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queryTables/queryTable1.xml" ContentType="application/vnd.openxmlformats-officedocument.spreadsheetml.queryTable+xml"/>
  <Override PartName="/xl/comments6.xml" ContentType="application/vnd.openxmlformats-officedocument.spreadsheetml.comments+xml"/>
  <Override PartName="/xl/queryTables/queryTable2.xml" ContentType="application/vnd.openxmlformats-officedocument.spreadsheetml.query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codeName="ThisWorkbook" defaultThemeVersion="124226"/>
  <mc:AlternateContent xmlns:mc="http://schemas.openxmlformats.org/markup-compatibility/2006">
    <mc:Choice Requires="x15">
      <x15ac:absPath xmlns:x15ac="http://schemas.microsoft.com/office/spreadsheetml/2010/11/ac" url="C:\Users\Jan\Desktop\Ceník a aktualizace\"/>
    </mc:Choice>
  </mc:AlternateContent>
  <xr:revisionPtr revIDLastSave="0" documentId="13_ncr:1_{FDF5CBC0-5AB0-4B14-AA80-87E52561D069}" xr6:coauthVersionLast="47" xr6:coauthVersionMax="47" xr10:uidLastSave="{00000000-0000-0000-0000-000000000000}"/>
  <workbookProtection workbookAlgorithmName="SHA-512" workbookHashValue="6sc3V45OLRwB5N6Z2Dfru7fT3m4TEi6CqIsNpXUzLM2KpX7BmTTzFRaSt/KCF1/BtDe9b3/hlHR1t+1vWa60xQ==" workbookSaltValue="f9xVTj3d85X6+9MzTjGeBw==" workbookSpinCount="100000" lockStructure="1"/>
  <bookViews>
    <workbookView xWindow="-120" yWindow="-120" windowWidth="29040" windowHeight="15720" tabRatio="758" xr2:uid="{00000000-000D-0000-FFFF-FFFF00000000}"/>
  </bookViews>
  <sheets>
    <sheet name="General price list" sheetId="19" r:id="rId1"/>
    <sheet name="Část (1)" sheetId="44" state="hidden" r:id="rId2"/>
    <sheet name="Část (2)" sheetId="52" state="hidden" r:id="rId3"/>
    <sheet name="Část (3)" sheetId="53" state="hidden" r:id="rId4"/>
    <sheet name="Část (4)" sheetId="54" state="hidden" r:id="rId5"/>
    <sheet name="Část (5)" sheetId="55" state="hidden" r:id="rId6"/>
    <sheet name="HLAVIČKA" sheetId="42" state="hidden" r:id="rId7"/>
    <sheet name="info_all" sheetId="38" state="hidden" r:id="rId8"/>
    <sheet name="Kat." sheetId="36" state="hidden" r:id="rId9"/>
    <sheet name="Terms and Conditions" sheetId="43" r:id="rId10"/>
    <sheet name="Lowest price guarantee" sheetId="57" r:id="rId11"/>
    <sheet name="Kategorie" sheetId="34" state="hidden" r:id="rId12"/>
    <sheet name="Jazyky_ceník" sheetId="32" state="hidden" r:id="rId13"/>
    <sheet name="Popisy" sheetId="33" state="hidden" r:id="rId14"/>
    <sheet name="Výpočet času" sheetId="35" state="hidden" r:id="rId15"/>
    <sheet name="Act_Kurs" sheetId="17" state="hidden" r:id="rId16"/>
    <sheet name="Act_Kurs_libry" sheetId="56" state="hidden" r:id="rId17"/>
  </sheets>
  <externalReferences>
    <externalReference r:id="rId18"/>
    <externalReference r:id="rId19"/>
    <externalReference r:id="rId20"/>
    <externalReference r:id="rId21"/>
  </externalReferences>
  <definedNames>
    <definedName name="_FilterDatabase" localSheetId="15" hidden="1">Act_Kurs!$B$1:$B$1779</definedName>
    <definedName name="_FilterDatabase" localSheetId="16" hidden="1">Act_Kurs_libry!$B$1:$B$1779</definedName>
    <definedName name="_FilterDatabase" localSheetId="0" hidden="1">'General price list'!$A$20:$AN$1000</definedName>
    <definedName name="_FilterDatabase" localSheetId="7" hidden="1">info_all!$B$1:$M$148</definedName>
    <definedName name="_FilterDatabase" localSheetId="12" hidden="1">Jazyky_ceník!$A$1:$A$16355</definedName>
    <definedName name="_FilterDatabase" localSheetId="8" hidden="1">Kat.!$A$1:$C$991</definedName>
    <definedName name="_FilterDatabase" localSheetId="11" hidden="1">Kategorie!$M$1:$M$187</definedName>
    <definedName name="_FilterDatabase" localSheetId="13" hidden="1">Popisy!$A$5:$M$1347</definedName>
    <definedName name="_FilterDatabase" localSheetId="9" hidden="1">'Terms and Conditions'!$B$1:$B$130</definedName>
    <definedName name="_FilterDatabase" localSheetId="14" hidden="1">'Výpočet času'!$D$1:$D$1100</definedName>
    <definedName name="_FilterDB" localSheetId="8" hidden="1">Kat.!$A$1:$B$983</definedName>
    <definedName name="_xlnm._FilterDatabase" localSheetId="1" hidden="1">'Část (1)'!$X$18:$X$981</definedName>
    <definedName name="_xlnm._FilterDatabase" localSheetId="2" hidden="1">'Část (2)'!$X$18:$X$981</definedName>
    <definedName name="_xlnm._FilterDatabase" localSheetId="3" hidden="1">'Část (3)'!$X$18:$X$981</definedName>
    <definedName name="_xlnm._FilterDatabase" localSheetId="4" hidden="1">'Část (4)'!$X$18:$X$981</definedName>
    <definedName name="_xlnm._FilterDatabase" localSheetId="5" hidden="1">'Část (5)'!$X$18:$X$981</definedName>
    <definedName name="_xlnm._FilterDatabase" localSheetId="8" hidden="1">Kat.!$A$1:$C$991</definedName>
    <definedName name="_xlnm._FilterDatabase" localSheetId="11" hidden="1">Kategorie!$A$1:$A$187</definedName>
    <definedName name="_xlnm._FilterDatabase" localSheetId="13" hidden="1">Popisy!$B$1:$M$1426</definedName>
    <definedName name="cbmPAL">'Výpočet času'!$AC$5</definedName>
    <definedName name="detail_kurzu?curr_eur" localSheetId="15">Act_Kurs!$A$3:$A$280</definedName>
    <definedName name="detail_kurzu?curr_eur" localSheetId="16">Act_Kurs_libry!$A$3:$A$280</definedName>
    <definedName name="nextPAL">'Výpočet času'!$Y$5</definedName>
    <definedName name="nextVK">'Výpočet času'!$T$5</definedName>
    <definedName name="odhPAL">'Výpočet času'!$O$4</definedName>
    <definedName name="PALzKoje">'Výpočet času'!$U$5</definedName>
    <definedName name="prvniPAL">'Výpočet času'!$X$5</definedName>
    <definedName name="prvniVK">'Výpočet času'!$S$5</definedName>
    <definedName name="tvorbaPAL">'Výpočet času'!$V$5</definedName>
    <definedName name="VK">'Výpočet času'!$Z$5</definedName>
    <definedName name="vystKONTROLA">'Výpočet času'!$W$5</definedName>
    <definedName name="zacatek">'Výpočet času'!$R$5</definedName>
  </definedNames>
  <calcPr calcId="181029"/>
</workbook>
</file>

<file path=xl/calcChain.xml><?xml version="1.0" encoding="utf-8"?>
<calcChain xmlns="http://schemas.openxmlformats.org/spreadsheetml/2006/main">
  <c r="Y982" i="19" l="1"/>
  <c r="A64" i="19"/>
  <c r="F50" i="19" l="1"/>
  <c r="I64" i="19"/>
  <c r="I50" i="19"/>
  <c r="AZ64" i="19"/>
  <c r="AY64" i="19"/>
  <c r="AX64" i="19"/>
  <c r="AR64" i="19"/>
  <c r="AT64" i="19" s="1"/>
  <c r="AC64" i="19"/>
  <c r="Z64" i="19"/>
  <c r="AA64" i="19"/>
  <c r="Y64" i="19"/>
  <c r="AL64" i="19" s="1"/>
  <c r="X64" i="19"/>
  <c r="P64" i="19"/>
  <c r="O64" i="19"/>
  <c r="N64" i="19"/>
  <c r="F64" i="19"/>
  <c r="AZ50" i="19"/>
  <c r="AY50" i="19"/>
  <c r="AX50" i="19"/>
  <c r="AR50" i="19"/>
  <c r="AT50" i="19" s="1"/>
  <c r="AC50" i="19"/>
  <c r="Z50" i="19"/>
  <c r="P50" i="19"/>
  <c r="O50" i="19"/>
  <c r="N50" i="19"/>
  <c r="X50" i="19"/>
  <c r="Y50" i="19"/>
  <c r="AP50" i="19" s="1"/>
  <c r="AA50" i="19"/>
  <c r="AI64" i="19" l="1"/>
  <c r="AM64" i="19"/>
  <c r="AP64" i="19"/>
  <c r="AS64" i="19"/>
  <c r="AJ64" i="19"/>
  <c r="AK64" i="19"/>
  <c r="AS50" i="19"/>
  <c r="AJ50" i="19"/>
  <c r="AL50" i="19"/>
  <c r="AK50" i="19"/>
  <c r="AI50" i="19"/>
  <c r="AM50" i="19"/>
  <c r="AN64" i="19" l="1"/>
  <c r="AN50" i="19"/>
  <c r="Z872" i="19" l="1"/>
  <c r="Z871" i="19"/>
  <c r="I982" i="19"/>
  <c r="I981" i="19"/>
  <c r="I980" i="19"/>
  <c r="I979" i="19"/>
  <c r="I978" i="19"/>
  <c r="I976" i="19"/>
  <c r="I975" i="19"/>
  <c r="I974" i="19"/>
  <c r="I972" i="19"/>
  <c r="I971" i="19"/>
  <c r="I970" i="19"/>
  <c r="I969" i="19"/>
  <c r="I968" i="19"/>
  <c r="I966" i="19"/>
  <c r="I965" i="19"/>
  <c r="I964" i="19"/>
  <c r="I963" i="19"/>
  <c r="I962" i="19"/>
  <c r="I961" i="19"/>
  <c r="I960" i="19"/>
  <c r="I959" i="19"/>
  <c r="I958" i="19"/>
  <c r="I957" i="19"/>
  <c r="I956" i="19"/>
  <c r="I955" i="19"/>
  <c r="I954" i="19"/>
  <c r="I953" i="19"/>
  <c r="I952" i="19"/>
  <c r="I951" i="19"/>
  <c r="I950" i="19"/>
  <c r="I949" i="19"/>
  <c r="I948" i="19"/>
  <c r="I946" i="19"/>
  <c r="I945" i="19"/>
  <c r="I944" i="19"/>
  <c r="I943" i="19"/>
  <c r="I941" i="19"/>
  <c r="I939" i="19"/>
  <c r="I938" i="19"/>
  <c r="I937" i="19"/>
  <c r="I936" i="19"/>
  <c r="I934" i="19"/>
  <c r="I933" i="19"/>
  <c r="I932" i="19"/>
  <c r="I931" i="19"/>
  <c r="I930" i="19"/>
  <c r="I929" i="19"/>
  <c r="I928" i="19"/>
  <c r="I927" i="19"/>
  <c r="I926" i="19"/>
  <c r="I925" i="19"/>
  <c r="I924" i="19"/>
  <c r="I923" i="19"/>
  <c r="I922" i="19"/>
  <c r="I921" i="19"/>
  <c r="I920" i="19"/>
  <c r="I918" i="19"/>
  <c r="I916" i="19"/>
  <c r="I915" i="19"/>
  <c r="I914" i="19"/>
  <c r="I913" i="19"/>
  <c r="I912" i="19"/>
  <c r="I911" i="19"/>
  <c r="I909" i="19"/>
  <c r="I907" i="19"/>
  <c r="I906" i="19"/>
  <c r="I905" i="19"/>
  <c r="I904" i="19"/>
  <c r="I903" i="19"/>
  <c r="I902" i="19"/>
  <c r="I901" i="19"/>
  <c r="I900" i="19"/>
  <c r="I899" i="19"/>
  <c r="I897" i="19"/>
  <c r="I896" i="19"/>
  <c r="I895" i="19"/>
  <c r="I894" i="19"/>
  <c r="I893" i="19"/>
  <c r="I892" i="19"/>
  <c r="I891" i="19"/>
  <c r="I890" i="19"/>
  <c r="I889" i="19"/>
  <c r="I888" i="19"/>
  <c r="I887" i="19"/>
  <c r="I886" i="19"/>
  <c r="I884" i="19"/>
  <c r="I883" i="19"/>
  <c r="I881" i="19"/>
  <c r="I880" i="19"/>
  <c r="I879" i="19"/>
  <c r="I878" i="19"/>
  <c r="I877" i="19"/>
  <c r="I876" i="19"/>
  <c r="I874" i="19"/>
  <c r="I873" i="19"/>
  <c r="I872" i="19"/>
  <c r="I871" i="19"/>
  <c r="I870" i="19"/>
  <c r="I869" i="19"/>
  <c r="I868" i="19"/>
  <c r="I867" i="19"/>
  <c r="I866" i="19"/>
  <c r="I864" i="19"/>
  <c r="I863" i="19"/>
  <c r="I862" i="19"/>
  <c r="I861" i="19"/>
  <c r="I860" i="19"/>
  <c r="I859" i="19"/>
  <c r="I858" i="19"/>
  <c r="I857" i="19"/>
  <c r="I856" i="19"/>
  <c r="I855" i="19"/>
  <c r="I854" i="19"/>
  <c r="I853" i="19"/>
  <c r="I852" i="19"/>
  <c r="I851" i="19"/>
  <c r="I850" i="19"/>
  <c r="I849" i="19"/>
  <c r="I848" i="19"/>
  <c r="I847" i="19"/>
  <c r="I846" i="19"/>
  <c r="I844" i="19"/>
  <c r="I843" i="19"/>
  <c r="I842" i="19"/>
  <c r="I841" i="19"/>
  <c r="I840" i="19"/>
  <c r="I839" i="19"/>
  <c r="I838" i="19"/>
  <c r="I837" i="19"/>
  <c r="I836" i="19"/>
  <c r="I834" i="19"/>
  <c r="I833" i="19"/>
  <c r="I831" i="19"/>
  <c r="I830" i="19"/>
  <c r="I829" i="19"/>
  <c r="I828" i="19"/>
  <c r="I827" i="19"/>
  <c r="I825" i="19"/>
  <c r="I823" i="19"/>
  <c r="I821" i="19"/>
  <c r="I820" i="19"/>
  <c r="I818" i="19"/>
  <c r="I816" i="19"/>
  <c r="I814" i="19"/>
  <c r="I812" i="19"/>
  <c r="I809" i="19"/>
  <c r="I808" i="19"/>
  <c r="I807" i="19"/>
  <c r="I806" i="19"/>
  <c r="I804" i="19"/>
  <c r="I803" i="19"/>
  <c r="I802" i="19"/>
  <c r="I801" i="19"/>
  <c r="I799" i="19"/>
  <c r="I798" i="19"/>
  <c r="I797" i="19"/>
  <c r="I796" i="19"/>
  <c r="I795" i="19"/>
  <c r="I794" i="19"/>
  <c r="I793" i="19"/>
  <c r="I792" i="19"/>
  <c r="I791" i="19"/>
  <c r="I790" i="19"/>
  <c r="I789" i="19"/>
  <c r="I788" i="19"/>
  <c r="I786" i="19"/>
  <c r="I785" i="19"/>
  <c r="I784" i="19"/>
  <c r="I783" i="19"/>
  <c r="I782" i="19"/>
  <c r="I781" i="19"/>
  <c r="I779" i="19"/>
  <c r="I778" i="19"/>
  <c r="I777" i="19"/>
  <c r="I776" i="19"/>
  <c r="I775" i="19"/>
  <c r="I774" i="19"/>
  <c r="I773" i="19"/>
  <c r="I772" i="19"/>
  <c r="I771" i="19"/>
  <c r="I770" i="19"/>
  <c r="I769" i="19"/>
  <c r="I767" i="19"/>
  <c r="I766" i="19"/>
  <c r="I764" i="19"/>
  <c r="I763" i="19"/>
  <c r="I761" i="19"/>
  <c r="I760" i="19"/>
  <c r="I758" i="19"/>
  <c r="I755" i="19"/>
  <c r="I753" i="19"/>
  <c r="I751" i="19"/>
  <c r="I749" i="19"/>
  <c r="I747" i="19"/>
  <c r="I745" i="19"/>
  <c r="I743" i="19"/>
  <c r="I741" i="19"/>
  <c r="I740" i="19"/>
  <c r="I738" i="19"/>
  <c r="I737" i="19"/>
  <c r="I735" i="19"/>
  <c r="I733" i="19"/>
  <c r="I731" i="19"/>
  <c r="I728" i="19"/>
  <c r="I726" i="19"/>
  <c r="I724" i="19"/>
  <c r="I722" i="19"/>
  <c r="I721" i="19"/>
  <c r="I720" i="19"/>
  <c r="I719" i="19"/>
  <c r="I717" i="19"/>
  <c r="I715" i="19"/>
  <c r="I714" i="19"/>
  <c r="I712" i="19"/>
  <c r="I711" i="19"/>
  <c r="I709" i="19"/>
  <c r="I707" i="19"/>
  <c r="I706" i="19"/>
  <c r="I704" i="19"/>
  <c r="I703" i="19"/>
  <c r="I701" i="19"/>
  <c r="I700" i="19"/>
  <c r="I698" i="19"/>
  <c r="I697" i="19"/>
  <c r="I696" i="19"/>
  <c r="I695" i="19"/>
  <c r="I694" i="19"/>
  <c r="I693" i="19"/>
  <c r="I692" i="19"/>
  <c r="I691" i="19"/>
  <c r="I690" i="19"/>
  <c r="I689" i="19"/>
  <c r="I688" i="19"/>
  <c r="I687" i="19"/>
  <c r="I686" i="19"/>
  <c r="I685" i="19"/>
  <c r="I684" i="19"/>
  <c r="I683" i="19"/>
  <c r="I681" i="19"/>
  <c r="I680" i="19"/>
  <c r="I678" i="19"/>
  <c r="I677" i="19"/>
  <c r="I676" i="19"/>
  <c r="I675" i="19"/>
  <c r="I674" i="19"/>
  <c r="I673" i="19"/>
  <c r="I672" i="19"/>
  <c r="I671" i="19"/>
  <c r="I670" i="19"/>
  <c r="I669" i="19"/>
  <c r="I668" i="19"/>
  <c r="I666" i="19"/>
  <c r="I665" i="19"/>
  <c r="I663" i="19"/>
  <c r="I662" i="19"/>
  <c r="I660" i="19"/>
  <c r="I659" i="19"/>
  <c r="I657" i="19"/>
  <c r="I656" i="19"/>
  <c r="I655" i="19"/>
  <c r="I654" i="19"/>
  <c r="I652" i="19"/>
  <c r="I651" i="19"/>
  <c r="I650" i="19"/>
  <c r="I649" i="19"/>
  <c r="I647" i="19"/>
  <c r="I646" i="19"/>
  <c r="I645" i="19"/>
  <c r="I644" i="19"/>
  <c r="I643" i="19"/>
  <c r="I642" i="19"/>
  <c r="I641" i="19"/>
  <c r="I640" i="19"/>
  <c r="I639" i="19"/>
  <c r="I638" i="19"/>
  <c r="I636" i="19"/>
  <c r="I634" i="19"/>
  <c r="I633" i="19"/>
  <c r="I632" i="19"/>
  <c r="I630" i="19"/>
  <c r="I629" i="19"/>
  <c r="I628" i="19"/>
  <c r="I626" i="19"/>
  <c r="I624" i="19"/>
  <c r="I623" i="19"/>
  <c r="I622" i="19"/>
  <c r="I621" i="19"/>
  <c r="I620" i="19"/>
  <c r="I618" i="19"/>
  <c r="I617" i="19"/>
  <c r="I616" i="19"/>
  <c r="I615" i="19"/>
  <c r="I614" i="19"/>
  <c r="I612" i="19"/>
  <c r="I611" i="19"/>
  <c r="I610" i="19"/>
  <c r="I609" i="19"/>
  <c r="I608" i="19"/>
  <c r="I606" i="19"/>
  <c r="I604" i="19"/>
  <c r="I603" i="19"/>
  <c r="I602" i="19"/>
  <c r="I601" i="19"/>
  <c r="I600" i="19"/>
  <c r="I599" i="19"/>
  <c r="I598" i="19"/>
  <c r="I596" i="19"/>
  <c r="I595" i="19"/>
  <c r="I594" i="19"/>
  <c r="I593" i="19"/>
  <c r="I591" i="19"/>
  <c r="I590" i="19"/>
  <c r="I589" i="19"/>
  <c r="I588" i="19"/>
  <c r="I587" i="19"/>
  <c r="I585" i="19"/>
  <c r="I584" i="19"/>
  <c r="I583" i="19"/>
  <c r="I582" i="19"/>
  <c r="I581" i="19"/>
  <c r="I580" i="19"/>
  <c r="I579" i="19"/>
  <c r="I578" i="19"/>
  <c r="I577" i="19"/>
  <c r="I575" i="19"/>
  <c r="I574" i="19"/>
  <c r="I573" i="19"/>
  <c r="I571" i="19"/>
  <c r="I570" i="19"/>
  <c r="I569" i="19"/>
  <c r="I567" i="19"/>
  <c r="I565" i="19"/>
  <c r="I564" i="19"/>
  <c r="I563" i="19"/>
  <c r="I561" i="19"/>
  <c r="I560" i="19"/>
  <c r="I558" i="19"/>
  <c r="I557" i="19"/>
  <c r="I555" i="19"/>
  <c r="I554" i="19"/>
  <c r="I553" i="19"/>
  <c r="I552" i="19"/>
  <c r="I550" i="19"/>
  <c r="I549" i="19"/>
  <c r="I548" i="19"/>
  <c r="I546" i="19"/>
  <c r="I544" i="19"/>
  <c r="I542" i="19"/>
  <c r="I540" i="19"/>
  <c r="I539" i="19"/>
  <c r="I538" i="19"/>
  <c r="I536" i="19"/>
  <c r="I534" i="19"/>
  <c r="I533" i="19"/>
  <c r="I532" i="19"/>
  <c r="I531" i="19"/>
  <c r="I530" i="19"/>
  <c r="I528" i="19"/>
  <c r="I527" i="19"/>
  <c r="I526" i="19"/>
  <c r="I524" i="19"/>
  <c r="I523" i="19"/>
  <c r="I522" i="19"/>
  <c r="I521" i="19"/>
  <c r="I519" i="19"/>
  <c r="I518" i="19"/>
  <c r="I517" i="19"/>
  <c r="I516" i="19"/>
  <c r="I515" i="19"/>
  <c r="I514" i="19"/>
  <c r="I513" i="19"/>
  <c r="I511" i="19"/>
  <c r="I510" i="19"/>
  <c r="I509" i="19"/>
  <c r="I508" i="19"/>
  <c r="I507" i="19"/>
  <c r="I506" i="19"/>
  <c r="I505" i="19"/>
  <c r="I504" i="19"/>
  <c r="I503" i="19"/>
  <c r="I501" i="19"/>
  <c r="I500" i="19"/>
  <c r="I499" i="19"/>
  <c r="I498" i="19"/>
  <c r="I497" i="19"/>
  <c r="I496" i="19"/>
  <c r="I495" i="19"/>
  <c r="I494" i="19"/>
  <c r="I493" i="19"/>
  <c r="I492" i="19"/>
  <c r="I490" i="19"/>
  <c r="I489" i="19"/>
  <c r="I488" i="19"/>
  <c r="I487" i="19"/>
  <c r="I486" i="19"/>
  <c r="I485" i="19"/>
  <c r="I484" i="19"/>
  <c r="I483" i="19"/>
  <c r="I481" i="19"/>
  <c r="I480" i="19"/>
  <c r="I478" i="19"/>
  <c r="I477" i="19"/>
  <c r="I475" i="19"/>
  <c r="I473" i="19"/>
  <c r="I472" i="19"/>
  <c r="I471" i="19"/>
  <c r="I469" i="19"/>
  <c r="I467" i="19"/>
  <c r="I466" i="19"/>
  <c r="I465" i="19"/>
  <c r="I464" i="19"/>
  <c r="I462" i="19"/>
  <c r="I461" i="19"/>
  <c r="I460" i="19"/>
  <c r="I458" i="19"/>
  <c r="I457" i="19"/>
  <c r="I456" i="19"/>
  <c r="I454" i="19"/>
  <c r="I452" i="19"/>
  <c r="I451" i="19"/>
  <c r="I449" i="19"/>
  <c r="I447" i="19"/>
  <c r="I446" i="19"/>
  <c r="I445" i="19"/>
  <c r="I444" i="19"/>
  <c r="I442" i="19"/>
  <c r="I440" i="19"/>
  <c r="I439" i="19"/>
  <c r="I438" i="19"/>
  <c r="I436" i="19"/>
  <c r="I435" i="19"/>
  <c r="I433" i="19"/>
  <c r="I432" i="19"/>
  <c r="I431" i="19"/>
  <c r="I430" i="19"/>
  <c r="I429" i="19"/>
  <c r="I427" i="19"/>
  <c r="I426" i="19"/>
  <c r="I424" i="19"/>
  <c r="I422" i="19"/>
  <c r="I421" i="19"/>
  <c r="I420" i="19"/>
  <c r="I418" i="19"/>
  <c r="I417" i="19"/>
  <c r="I416" i="19"/>
  <c r="I415" i="19"/>
  <c r="I414" i="19"/>
  <c r="I413" i="19"/>
  <c r="I412" i="19"/>
  <c r="I411" i="19"/>
  <c r="I410" i="19"/>
  <c r="I409" i="19"/>
  <c r="I407" i="19"/>
  <c r="I406" i="19"/>
  <c r="I404" i="19"/>
  <c r="I403" i="19"/>
  <c r="I401" i="19"/>
  <c r="I400" i="19"/>
  <c r="I399" i="19"/>
  <c r="I398" i="19"/>
  <c r="I397" i="19"/>
  <c r="I396" i="19"/>
  <c r="I394" i="19"/>
  <c r="I393" i="19"/>
  <c r="I391" i="19"/>
  <c r="I389" i="19"/>
  <c r="I388" i="19"/>
  <c r="I386" i="19"/>
  <c r="I384" i="19"/>
  <c r="I382" i="19"/>
  <c r="I380" i="19"/>
  <c r="I378" i="19"/>
  <c r="I376" i="19"/>
  <c r="I374" i="19"/>
  <c r="I372" i="19"/>
  <c r="I370" i="19"/>
  <c r="I368" i="19"/>
  <c r="I366" i="19"/>
  <c r="I365" i="19"/>
  <c r="I363" i="19"/>
  <c r="I362" i="19"/>
  <c r="I360" i="19"/>
  <c r="I359" i="19"/>
  <c r="I358" i="19"/>
  <c r="I357" i="19"/>
  <c r="I356" i="19"/>
  <c r="I355" i="19"/>
  <c r="I354" i="19"/>
  <c r="I353" i="19"/>
  <c r="I352" i="19"/>
  <c r="I351" i="19"/>
  <c r="I350" i="19"/>
  <c r="I349" i="19"/>
  <c r="I348" i="19"/>
  <c r="I347" i="19"/>
  <c r="I345" i="19"/>
  <c r="I344" i="19"/>
  <c r="I342" i="19"/>
  <c r="I341" i="19"/>
  <c r="I340" i="19"/>
  <c r="I339" i="19"/>
  <c r="I337" i="19"/>
  <c r="I336" i="19"/>
  <c r="I335" i="19"/>
  <c r="I334" i="19"/>
  <c r="I332" i="19"/>
  <c r="I331" i="19"/>
  <c r="I330" i="19"/>
  <c r="I329" i="19"/>
  <c r="I327" i="19"/>
  <c r="I326" i="19"/>
  <c r="I325" i="19"/>
  <c r="I324" i="19"/>
  <c r="I322" i="19"/>
  <c r="I321" i="19"/>
  <c r="I320" i="19"/>
  <c r="I319" i="19"/>
  <c r="I317" i="19"/>
  <c r="I316" i="19"/>
  <c r="I315" i="19"/>
  <c r="I314" i="19"/>
  <c r="I312" i="19"/>
  <c r="I311" i="19"/>
  <c r="I310" i="19"/>
  <c r="I309" i="19"/>
  <c r="I307" i="19"/>
  <c r="I306" i="19"/>
  <c r="I305" i="19"/>
  <c r="I304" i="19"/>
  <c r="I303" i="19"/>
  <c r="I302" i="19"/>
  <c r="I301" i="19"/>
  <c r="I300" i="19"/>
  <c r="I299" i="19"/>
  <c r="I298" i="19"/>
  <c r="I296" i="19"/>
  <c r="I295" i="19"/>
  <c r="I294" i="19"/>
  <c r="I293" i="19"/>
  <c r="I292" i="19"/>
  <c r="I291" i="19"/>
  <c r="I290" i="19"/>
  <c r="I289" i="19"/>
  <c r="I288" i="19"/>
  <c r="I287" i="19"/>
  <c r="I286" i="19"/>
  <c r="I285" i="19"/>
  <c r="I284" i="19"/>
  <c r="I283" i="19"/>
  <c r="I282" i="19"/>
  <c r="I281" i="19"/>
  <c r="I280" i="19"/>
  <c r="I279" i="19"/>
  <c r="I278" i="19"/>
  <c r="I277" i="19"/>
  <c r="I276" i="19"/>
  <c r="I275" i="19"/>
  <c r="I274" i="19"/>
  <c r="I273" i="19"/>
  <c r="I271" i="19"/>
  <c r="I270" i="19"/>
  <c r="I269" i="19"/>
  <c r="I268" i="19"/>
  <c r="I267" i="19"/>
  <c r="I266" i="19"/>
  <c r="I265" i="19"/>
  <c r="I264" i="19"/>
  <c r="I263" i="19"/>
  <c r="I262" i="19"/>
  <c r="I261" i="19"/>
  <c r="I260" i="19"/>
  <c r="I258" i="19"/>
  <c r="I257" i="19"/>
  <c r="I256" i="19"/>
  <c r="I255" i="19"/>
  <c r="I253" i="19"/>
  <c r="I252" i="19"/>
  <c r="I251" i="19"/>
  <c r="I249" i="19"/>
  <c r="I248" i="19"/>
  <c r="I247" i="19"/>
  <c r="I246" i="19"/>
  <c r="I245" i="19"/>
  <c r="I244" i="19"/>
  <c r="I243" i="19"/>
  <c r="I242" i="19"/>
  <c r="I241" i="19"/>
  <c r="I240" i="19"/>
  <c r="I239" i="19"/>
  <c r="I237" i="19"/>
  <c r="I236" i="19"/>
  <c r="I235" i="19"/>
  <c r="I233" i="19"/>
  <c r="I232" i="19"/>
  <c r="I231" i="19"/>
  <c r="I230" i="19"/>
  <c r="I229" i="19"/>
  <c r="I228" i="19"/>
  <c r="I226" i="19"/>
  <c r="I225" i="19"/>
  <c r="I224" i="19"/>
  <c r="I222" i="19"/>
  <c r="I220" i="19"/>
  <c r="I219" i="19"/>
  <c r="I217" i="19"/>
  <c r="I216" i="19"/>
  <c r="I215" i="19"/>
  <c r="I213" i="19"/>
  <c r="I212" i="19"/>
  <c r="I210" i="19"/>
  <c r="I209" i="19"/>
  <c r="I208" i="19"/>
  <c r="I207" i="19"/>
  <c r="I205" i="19"/>
  <c r="I204" i="19"/>
  <c r="I203" i="19"/>
  <c r="I202" i="19"/>
  <c r="I201" i="19"/>
  <c r="I200" i="19"/>
  <c r="I199" i="19"/>
  <c r="I198" i="19"/>
  <c r="I196" i="19"/>
  <c r="I195" i="19"/>
  <c r="I193" i="19"/>
  <c r="I192" i="19"/>
  <c r="I190" i="19"/>
  <c r="I189" i="19"/>
  <c r="I188" i="19"/>
  <c r="I187" i="19"/>
  <c r="I186" i="19"/>
  <c r="I184" i="19"/>
  <c r="I183" i="19"/>
  <c r="I182" i="19"/>
  <c r="I180" i="19"/>
  <c r="I179" i="19"/>
  <c r="I178" i="19"/>
  <c r="I177" i="19"/>
  <c r="I176" i="19"/>
  <c r="I175" i="19"/>
  <c r="I174" i="19"/>
  <c r="I172" i="19"/>
  <c r="I171" i="19"/>
  <c r="I169" i="19"/>
  <c r="I167" i="19"/>
  <c r="I166" i="19"/>
  <c r="I165" i="19"/>
  <c r="I164" i="19"/>
  <c r="I162" i="19"/>
  <c r="I161" i="19"/>
  <c r="I160" i="19"/>
  <c r="I159" i="19"/>
  <c r="I158" i="19"/>
  <c r="I157" i="19"/>
  <c r="I156" i="19"/>
  <c r="I155" i="19"/>
  <c r="I154" i="19"/>
  <c r="I152" i="19"/>
  <c r="I151" i="19"/>
  <c r="I150" i="19"/>
  <c r="I149" i="19"/>
  <c r="I148" i="19"/>
  <c r="I147" i="19"/>
  <c r="I146" i="19"/>
  <c r="I145" i="19"/>
  <c r="I144" i="19"/>
  <c r="I143" i="19"/>
  <c r="I142" i="19"/>
  <c r="I141" i="19"/>
  <c r="I140" i="19"/>
  <c r="I139" i="19"/>
  <c r="I137" i="19"/>
  <c r="I136" i="19"/>
  <c r="I134" i="19"/>
  <c r="I133" i="19"/>
  <c r="I132" i="19"/>
  <c r="I131" i="19"/>
  <c r="I130" i="19"/>
  <c r="I129" i="19"/>
  <c r="I127" i="19"/>
  <c r="I126" i="19"/>
  <c r="I125" i="19"/>
  <c r="I124" i="19"/>
  <c r="I123" i="19"/>
  <c r="I121" i="19"/>
  <c r="I120" i="19"/>
  <c r="I119" i="19"/>
  <c r="I118" i="19"/>
  <c r="I116" i="19"/>
  <c r="I115" i="19"/>
  <c r="I114" i="19"/>
  <c r="I113" i="19"/>
  <c r="I111" i="19"/>
  <c r="I110" i="19"/>
  <c r="I109" i="19"/>
  <c r="I108" i="19"/>
  <c r="I107" i="19"/>
  <c r="I106" i="19"/>
  <c r="I105" i="19"/>
  <c r="I104" i="19"/>
  <c r="I103" i="19"/>
  <c r="I102" i="19"/>
  <c r="I101" i="19"/>
  <c r="I100" i="19"/>
  <c r="I99" i="19"/>
  <c r="I98" i="19"/>
  <c r="I96" i="19"/>
  <c r="I95" i="19"/>
  <c r="I94" i="19"/>
  <c r="I93" i="19"/>
  <c r="I91" i="19"/>
  <c r="I90" i="19"/>
  <c r="I89" i="19"/>
  <c r="I88" i="19"/>
  <c r="I87" i="19"/>
  <c r="I86" i="19"/>
  <c r="I85" i="19"/>
  <c r="I84" i="19"/>
  <c r="I83" i="19"/>
  <c r="I81" i="19"/>
  <c r="I80" i="19"/>
  <c r="I79" i="19"/>
  <c r="I77" i="19"/>
  <c r="I76" i="19"/>
  <c r="I75" i="19"/>
  <c r="I74" i="19"/>
  <c r="I73" i="19"/>
  <c r="I72" i="19"/>
  <c r="I71" i="19"/>
  <c r="I70" i="19"/>
  <c r="I69" i="19"/>
  <c r="I68" i="19"/>
  <c r="I67" i="19"/>
  <c r="I66" i="19"/>
  <c r="I65" i="19"/>
  <c r="I62" i="19"/>
  <c r="I61" i="19"/>
  <c r="I60" i="19"/>
  <c r="I59" i="19"/>
  <c r="I58" i="19"/>
  <c r="I57" i="19"/>
  <c r="I56" i="19"/>
  <c r="I54" i="19"/>
  <c r="I53" i="19"/>
  <c r="I52" i="19"/>
  <c r="I51" i="19"/>
  <c r="I49" i="19"/>
  <c r="I48" i="19"/>
  <c r="I47" i="19"/>
  <c r="I46" i="19"/>
  <c r="I44" i="19"/>
  <c r="I43" i="19"/>
  <c r="I42" i="19"/>
  <c r="I41" i="19"/>
  <c r="I40" i="19"/>
  <c r="I38" i="19"/>
  <c r="I37" i="19"/>
  <c r="I36" i="19"/>
  <c r="I35" i="19"/>
  <c r="I34" i="19"/>
  <c r="I33" i="19"/>
  <c r="I32" i="19"/>
  <c r="I31" i="19"/>
  <c r="I30" i="19"/>
  <c r="I29" i="19"/>
  <c r="I28" i="19"/>
  <c r="I27" i="19"/>
  <c r="I26" i="19"/>
  <c r="I25" i="19"/>
  <c r="I24" i="19"/>
  <c r="I23" i="19"/>
  <c r="F982" i="19"/>
  <c r="F981" i="19"/>
  <c r="F980" i="19"/>
  <c r="F979" i="19"/>
  <c r="F978" i="19"/>
  <c r="F976" i="19"/>
  <c r="F975" i="19"/>
  <c r="F974" i="19"/>
  <c r="F972" i="19"/>
  <c r="F971" i="19"/>
  <c r="F970" i="19"/>
  <c r="F969" i="19"/>
  <c r="F968" i="19"/>
  <c r="F966" i="19"/>
  <c r="F965" i="19"/>
  <c r="F964" i="19"/>
  <c r="F963" i="19"/>
  <c r="F962" i="19"/>
  <c r="F961" i="19"/>
  <c r="F960" i="19"/>
  <c r="F959" i="19"/>
  <c r="F958" i="19"/>
  <c r="F957" i="19"/>
  <c r="F956" i="19"/>
  <c r="F955" i="19"/>
  <c r="F954" i="19"/>
  <c r="F953" i="19"/>
  <c r="F952" i="19"/>
  <c r="F951" i="19"/>
  <c r="F950" i="19"/>
  <c r="F949" i="19"/>
  <c r="F948" i="19"/>
  <c r="F946" i="19"/>
  <c r="F945" i="19"/>
  <c r="F944" i="19"/>
  <c r="F943" i="19"/>
  <c r="F941" i="19"/>
  <c r="F939" i="19"/>
  <c r="F938" i="19"/>
  <c r="F937" i="19"/>
  <c r="F936" i="19"/>
  <c r="F934" i="19"/>
  <c r="F933" i="19"/>
  <c r="F932" i="19"/>
  <c r="F931" i="19"/>
  <c r="F930" i="19"/>
  <c r="F929" i="19"/>
  <c r="F928" i="19"/>
  <c r="F927" i="19"/>
  <c r="F926" i="19"/>
  <c r="F925" i="19"/>
  <c r="F924" i="19"/>
  <c r="F923" i="19"/>
  <c r="F922" i="19"/>
  <c r="F921" i="19"/>
  <c r="F920" i="19"/>
  <c r="F918" i="19"/>
  <c r="F916" i="19"/>
  <c r="F915" i="19"/>
  <c r="F914" i="19"/>
  <c r="F913" i="19"/>
  <c r="F912" i="19"/>
  <c r="F911" i="19"/>
  <c r="F909" i="19"/>
  <c r="F907" i="19"/>
  <c r="F906" i="19"/>
  <c r="F905" i="19"/>
  <c r="F904" i="19"/>
  <c r="F903" i="19"/>
  <c r="F902" i="19"/>
  <c r="F901" i="19"/>
  <c r="F900" i="19"/>
  <c r="F899" i="19"/>
  <c r="F897" i="19"/>
  <c r="F896" i="19"/>
  <c r="F895" i="19"/>
  <c r="F894" i="19"/>
  <c r="F893" i="19"/>
  <c r="F892" i="19"/>
  <c r="F891" i="19"/>
  <c r="F890" i="19"/>
  <c r="F889" i="19"/>
  <c r="F888" i="19"/>
  <c r="F887" i="19"/>
  <c r="F886" i="19"/>
  <c r="F884" i="19"/>
  <c r="F883" i="19"/>
  <c r="F881" i="19"/>
  <c r="F880" i="19"/>
  <c r="F879" i="19"/>
  <c r="F878" i="19"/>
  <c r="F877" i="19"/>
  <c r="F876" i="19"/>
  <c r="F874" i="19"/>
  <c r="F873" i="19"/>
  <c r="F872" i="19"/>
  <c r="F871" i="19"/>
  <c r="F870" i="19"/>
  <c r="F869" i="19"/>
  <c r="F868" i="19"/>
  <c r="F867" i="19"/>
  <c r="F866" i="19"/>
  <c r="F864" i="19"/>
  <c r="F863" i="19"/>
  <c r="F862" i="19"/>
  <c r="F861" i="19"/>
  <c r="F860" i="19"/>
  <c r="F859" i="19"/>
  <c r="F858" i="19"/>
  <c r="F857" i="19"/>
  <c r="F856" i="19"/>
  <c r="F855" i="19"/>
  <c r="F854" i="19"/>
  <c r="F853" i="19"/>
  <c r="F852" i="19"/>
  <c r="F851" i="19"/>
  <c r="F850" i="19"/>
  <c r="F849" i="19"/>
  <c r="F848" i="19"/>
  <c r="F847" i="19"/>
  <c r="F846" i="19"/>
  <c r="F844" i="19"/>
  <c r="F843" i="19"/>
  <c r="F842" i="19"/>
  <c r="F841" i="19"/>
  <c r="F840" i="19"/>
  <c r="F839" i="19"/>
  <c r="F838" i="19"/>
  <c r="F837" i="19"/>
  <c r="F836" i="19"/>
  <c r="F834" i="19"/>
  <c r="F833" i="19"/>
  <c r="F831" i="19"/>
  <c r="F830" i="19"/>
  <c r="F829" i="19"/>
  <c r="F828" i="19"/>
  <c r="F827" i="19"/>
  <c r="F825" i="19"/>
  <c r="F823" i="19"/>
  <c r="F821" i="19"/>
  <c r="F820" i="19"/>
  <c r="F818" i="19"/>
  <c r="F816" i="19"/>
  <c r="F814" i="19"/>
  <c r="F812" i="19"/>
  <c r="F809" i="19"/>
  <c r="F808" i="19"/>
  <c r="F807" i="19"/>
  <c r="F806" i="19"/>
  <c r="F804" i="19"/>
  <c r="F803" i="19"/>
  <c r="F802" i="19"/>
  <c r="F801" i="19"/>
  <c r="F799" i="19"/>
  <c r="F798" i="19"/>
  <c r="F797" i="19"/>
  <c r="F796" i="19"/>
  <c r="F795" i="19"/>
  <c r="F794" i="19"/>
  <c r="F793" i="19"/>
  <c r="F792" i="19"/>
  <c r="F791" i="19"/>
  <c r="F790" i="19"/>
  <c r="F789" i="19"/>
  <c r="F788" i="19"/>
  <c r="F786" i="19"/>
  <c r="F785" i="19"/>
  <c r="F784" i="19"/>
  <c r="F783" i="19"/>
  <c r="F782" i="19"/>
  <c r="F781" i="19"/>
  <c r="F779" i="19"/>
  <c r="F778" i="19"/>
  <c r="F777" i="19"/>
  <c r="F776" i="19"/>
  <c r="F775" i="19"/>
  <c r="F774" i="19"/>
  <c r="F773" i="19"/>
  <c r="F772" i="19"/>
  <c r="F771" i="19"/>
  <c r="F770" i="19"/>
  <c r="F769" i="19"/>
  <c r="F767" i="19"/>
  <c r="F766" i="19"/>
  <c r="F764" i="19"/>
  <c r="F763" i="19"/>
  <c r="F761" i="19"/>
  <c r="F760" i="19"/>
  <c r="F758" i="19"/>
  <c r="F755" i="19"/>
  <c r="F753" i="19"/>
  <c r="F751" i="19"/>
  <c r="F749" i="19"/>
  <c r="F747" i="19"/>
  <c r="F745" i="19"/>
  <c r="F743" i="19"/>
  <c r="F741" i="19"/>
  <c r="F740" i="19"/>
  <c r="F738" i="19"/>
  <c r="F737" i="19"/>
  <c r="F735" i="19"/>
  <c r="F733" i="19"/>
  <c r="F731" i="19"/>
  <c r="F728" i="19"/>
  <c r="F726" i="19"/>
  <c r="F724" i="19"/>
  <c r="F722" i="19"/>
  <c r="F721" i="19"/>
  <c r="F720" i="19"/>
  <c r="F719" i="19"/>
  <c r="F717" i="19"/>
  <c r="F715" i="19"/>
  <c r="F714" i="19"/>
  <c r="F712" i="19"/>
  <c r="F711" i="19"/>
  <c r="F709" i="19"/>
  <c r="F707" i="19"/>
  <c r="F706" i="19"/>
  <c r="F704" i="19"/>
  <c r="F703" i="19"/>
  <c r="F701" i="19"/>
  <c r="F700" i="19"/>
  <c r="F698" i="19"/>
  <c r="F697" i="19"/>
  <c r="F696" i="19"/>
  <c r="F695" i="19"/>
  <c r="F694" i="19"/>
  <c r="F693" i="19"/>
  <c r="F692" i="19"/>
  <c r="F691" i="19"/>
  <c r="F690" i="19"/>
  <c r="F689" i="19"/>
  <c r="F688" i="19"/>
  <c r="F687" i="19"/>
  <c r="F686" i="19"/>
  <c r="F685" i="19"/>
  <c r="F684" i="19"/>
  <c r="F683" i="19"/>
  <c r="F681" i="19"/>
  <c r="F680" i="19"/>
  <c r="F678" i="19"/>
  <c r="F677" i="19"/>
  <c r="F676" i="19"/>
  <c r="F675" i="19"/>
  <c r="F674" i="19"/>
  <c r="F673" i="19"/>
  <c r="F672" i="19"/>
  <c r="F671" i="19"/>
  <c r="F670" i="19"/>
  <c r="F669" i="19"/>
  <c r="F668" i="19"/>
  <c r="F666" i="19"/>
  <c r="F665" i="19"/>
  <c r="F663" i="19"/>
  <c r="F662" i="19"/>
  <c r="F660" i="19"/>
  <c r="F659" i="19"/>
  <c r="F657" i="19"/>
  <c r="F656" i="19"/>
  <c r="F655" i="19"/>
  <c r="F654" i="19"/>
  <c r="F652" i="19"/>
  <c r="F651" i="19"/>
  <c r="F650" i="19"/>
  <c r="F649" i="19"/>
  <c r="F647" i="19"/>
  <c r="F646" i="19"/>
  <c r="F645" i="19"/>
  <c r="F644" i="19"/>
  <c r="F643" i="19"/>
  <c r="F642" i="19"/>
  <c r="F641" i="19"/>
  <c r="F640" i="19"/>
  <c r="F639" i="19"/>
  <c r="F638" i="19"/>
  <c r="F636" i="19"/>
  <c r="F634" i="19"/>
  <c r="F633" i="19"/>
  <c r="F632" i="19"/>
  <c r="F630" i="19"/>
  <c r="F629" i="19"/>
  <c r="F628" i="19"/>
  <c r="F626" i="19"/>
  <c r="F624" i="19"/>
  <c r="F623" i="19"/>
  <c r="F622" i="19"/>
  <c r="F621" i="19"/>
  <c r="F620" i="19"/>
  <c r="F618" i="19"/>
  <c r="F617" i="19"/>
  <c r="F616" i="19"/>
  <c r="F615" i="19"/>
  <c r="F614" i="19"/>
  <c r="F612" i="19"/>
  <c r="F611" i="19"/>
  <c r="F610" i="19"/>
  <c r="F609" i="19"/>
  <c r="F608" i="19"/>
  <c r="F606" i="19"/>
  <c r="F604" i="19"/>
  <c r="F603" i="19"/>
  <c r="F602" i="19"/>
  <c r="F601" i="19"/>
  <c r="F600" i="19"/>
  <c r="F599" i="19"/>
  <c r="F598" i="19"/>
  <c r="F596" i="19"/>
  <c r="F595" i="19"/>
  <c r="F594" i="19"/>
  <c r="F593" i="19"/>
  <c r="F591" i="19"/>
  <c r="F590" i="19"/>
  <c r="F589" i="19"/>
  <c r="F588" i="19"/>
  <c r="F587" i="19"/>
  <c r="F585" i="19"/>
  <c r="F584" i="19"/>
  <c r="F583" i="19"/>
  <c r="F582" i="19"/>
  <c r="F581" i="19"/>
  <c r="F580" i="19"/>
  <c r="F579" i="19"/>
  <c r="F578" i="19"/>
  <c r="F577" i="19"/>
  <c r="F575" i="19"/>
  <c r="F574" i="19"/>
  <c r="F573" i="19"/>
  <c r="F571" i="19"/>
  <c r="F570" i="19"/>
  <c r="F569" i="19"/>
  <c r="F567" i="19"/>
  <c r="F565" i="19"/>
  <c r="F564" i="19"/>
  <c r="F563" i="19"/>
  <c r="F561" i="19"/>
  <c r="F560" i="19"/>
  <c r="F558" i="19"/>
  <c r="F557" i="19"/>
  <c r="F555" i="19"/>
  <c r="F554" i="19"/>
  <c r="F553" i="19"/>
  <c r="F552" i="19"/>
  <c r="F550" i="19"/>
  <c r="F549" i="19"/>
  <c r="F548" i="19"/>
  <c r="F546" i="19"/>
  <c r="F544" i="19"/>
  <c r="F542" i="19"/>
  <c r="F540" i="19"/>
  <c r="F539" i="19"/>
  <c r="F538" i="19"/>
  <c r="F536" i="19"/>
  <c r="F534" i="19"/>
  <c r="F533" i="19"/>
  <c r="F532" i="19"/>
  <c r="F531" i="19"/>
  <c r="F530" i="19"/>
  <c r="F528" i="19"/>
  <c r="F527" i="19"/>
  <c r="F526" i="19"/>
  <c r="F524" i="19"/>
  <c r="F523" i="19"/>
  <c r="F522" i="19"/>
  <c r="F521" i="19"/>
  <c r="F519" i="19"/>
  <c r="F518" i="19"/>
  <c r="F517" i="19"/>
  <c r="F516" i="19"/>
  <c r="F515" i="19"/>
  <c r="F514" i="19"/>
  <c r="F513" i="19"/>
  <c r="F511" i="19"/>
  <c r="F510" i="19"/>
  <c r="F509" i="19"/>
  <c r="F508" i="19"/>
  <c r="F507" i="19"/>
  <c r="F506" i="19"/>
  <c r="F505" i="19"/>
  <c r="F504" i="19"/>
  <c r="F503" i="19"/>
  <c r="F501" i="19"/>
  <c r="F500" i="19"/>
  <c r="F499" i="19"/>
  <c r="F498" i="19"/>
  <c r="F497" i="19"/>
  <c r="F496" i="19"/>
  <c r="F495" i="19"/>
  <c r="F494" i="19"/>
  <c r="F493" i="19"/>
  <c r="F492" i="19"/>
  <c r="F490" i="19"/>
  <c r="F489" i="19"/>
  <c r="F488" i="19"/>
  <c r="F487" i="19"/>
  <c r="F486" i="19"/>
  <c r="F485" i="19"/>
  <c r="F484" i="19"/>
  <c r="F483" i="19"/>
  <c r="F481" i="19"/>
  <c r="F480" i="19"/>
  <c r="F478" i="19"/>
  <c r="F477" i="19"/>
  <c r="F475" i="19"/>
  <c r="F473" i="19"/>
  <c r="F472" i="19"/>
  <c r="F471" i="19"/>
  <c r="F469" i="19"/>
  <c r="F467" i="19"/>
  <c r="F466" i="19"/>
  <c r="F465" i="19"/>
  <c r="F464" i="19"/>
  <c r="F462" i="19"/>
  <c r="F461" i="19"/>
  <c r="F460" i="19"/>
  <c r="F458" i="19"/>
  <c r="F457" i="19"/>
  <c r="F456" i="19"/>
  <c r="F454" i="19"/>
  <c r="F452" i="19"/>
  <c r="F451" i="19"/>
  <c r="F449" i="19"/>
  <c r="F447" i="19"/>
  <c r="F446" i="19"/>
  <c r="F445" i="19"/>
  <c r="F444" i="19"/>
  <c r="F442" i="19"/>
  <c r="F440" i="19"/>
  <c r="F439" i="19"/>
  <c r="F438" i="19"/>
  <c r="F436" i="19"/>
  <c r="F435" i="19"/>
  <c r="F433" i="19"/>
  <c r="F432" i="19"/>
  <c r="F431" i="19"/>
  <c r="F430" i="19"/>
  <c r="F429" i="19"/>
  <c r="F427" i="19"/>
  <c r="F426" i="19"/>
  <c r="F424" i="19"/>
  <c r="F422" i="19"/>
  <c r="F421" i="19"/>
  <c r="F420" i="19"/>
  <c r="F418" i="19"/>
  <c r="F417" i="19"/>
  <c r="F416" i="19"/>
  <c r="F415" i="19"/>
  <c r="F414" i="19"/>
  <c r="F413" i="19"/>
  <c r="F412" i="19"/>
  <c r="F411" i="19"/>
  <c r="F410" i="19"/>
  <c r="F409" i="19"/>
  <c r="F407" i="19"/>
  <c r="F406" i="19"/>
  <c r="F404" i="19"/>
  <c r="F403" i="19"/>
  <c r="F401" i="19"/>
  <c r="F400" i="19"/>
  <c r="F399" i="19"/>
  <c r="F398" i="19"/>
  <c r="F397" i="19"/>
  <c r="F396" i="19"/>
  <c r="F394" i="19"/>
  <c r="F393" i="19"/>
  <c r="F391" i="19"/>
  <c r="F389" i="19"/>
  <c r="F388" i="19"/>
  <c r="F386" i="19"/>
  <c r="F384" i="19"/>
  <c r="F382" i="19"/>
  <c r="F380" i="19"/>
  <c r="F378" i="19"/>
  <c r="F376" i="19"/>
  <c r="F374" i="19"/>
  <c r="F372" i="19"/>
  <c r="F370" i="19"/>
  <c r="F368" i="19"/>
  <c r="F366" i="19"/>
  <c r="F365" i="19"/>
  <c r="F363" i="19"/>
  <c r="F362" i="19"/>
  <c r="F360" i="19"/>
  <c r="F359" i="19"/>
  <c r="F358" i="19"/>
  <c r="F357" i="19"/>
  <c r="F356" i="19"/>
  <c r="F355" i="19"/>
  <c r="F354" i="19"/>
  <c r="F353" i="19"/>
  <c r="F352" i="19"/>
  <c r="F351" i="19"/>
  <c r="F350" i="19"/>
  <c r="F349" i="19"/>
  <c r="F348" i="19"/>
  <c r="F347" i="19"/>
  <c r="F345" i="19"/>
  <c r="F344" i="19"/>
  <c r="F342" i="19"/>
  <c r="F341" i="19"/>
  <c r="F340" i="19"/>
  <c r="F339" i="19"/>
  <c r="F337" i="19"/>
  <c r="F336" i="19"/>
  <c r="F335" i="19"/>
  <c r="F334" i="19"/>
  <c r="F332" i="19"/>
  <c r="F331" i="19"/>
  <c r="F330" i="19"/>
  <c r="F329" i="19"/>
  <c r="F327" i="19"/>
  <c r="F326" i="19"/>
  <c r="F325" i="19"/>
  <c r="F324" i="19"/>
  <c r="F322" i="19"/>
  <c r="F321" i="19"/>
  <c r="F320" i="19"/>
  <c r="F319" i="19"/>
  <c r="F317" i="19"/>
  <c r="F316" i="19"/>
  <c r="F315" i="19"/>
  <c r="F314" i="19"/>
  <c r="F312" i="19"/>
  <c r="F311" i="19"/>
  <c r="F310" i="19"/>
  <c r="F309" i="19"/>
  <c r="F307" i="19"/>
  <c r="F306" i="19"/>
  <c r="F305" i="19"/>
  <c r="F304" i="19"/>
  <c r="F303" i="19"/>
  <c r="F302" i="19"/>
  <c r="F301" i="19"/>
  <c r="F300" i="19"/>
  <c r="F299" i="19"/>
  <c r="F298" i="19"/>
  <c r="F296" i="19"/>
  <c r="F295" i="19"/>
  <c r="F294" i="19"/>
  <c r="F293" i="19"/>
  <c r="F292" i="19"/>
  <c r="F291" i="19"/>
  <c r="F290" i="19"/>
  <c r="F289" i="19"/>
  <c r="F288" i="19"/>
  <c r="F287" i="19"/>
  <c r="F286" i="19"/>
  <c r="F285" i="19"/>
  <c r="F284" i="19"/>
  <c r="F283" i="19"/>
  <c r="F282" i="19"/>
  <c r="F281" i="19"/>
  <c r="F280" i="19"/>
  <c r="F279" i="19"/>
  <c r="F278" i="19"/>
  <c r="F277" i="19"/>
  <c r="F276" i="19"/>
  <c r="F275" i="19"/>
  <c r="F274" i="19"/>
  <c r="F273" i="19"/>
  <c r="F271" i="19"/>
  <c r="F270" i="19"/>
  <c r="F269" i="19"/>
  <c r="F268" i="19"/>
  <c r="F267" i="19"/>
  <c r="F266" i="19"/>
  <c r="F265" i="19"/>
  <c r="F264" i="19"/>
  <c r="F263" i="19"/>
  <c r="F262" i="19"/>
  <c r="F261" i="19"/>
  <c r="F260" i="19"/>
  <c r="F258" i="19"/>
  <c r="F257" i="19"/>
  <c r="F256" i="19"/>
  <c r="F255" i="19"/>
  <c r="F253" i="19"/>
  <c r="F252" i="19"/>
  <c r="F251" i="19"/>
  <c r="F249" i="19"/>
  <c r="F248" i="19"/>
  <c r="F247" i="19"/>
  <c r="F246" i="19"/>
  <c r="F245" i="19"/>
  <c r="F244" i="19"/>
  <c r="F243" i="19"/>
  <c r="F242" i="19"/>
  <c r="F241" i="19"/>
  <c r="F240" i="19"/>
  <c r="F239" i="19"/>
  <c r="F237" i="19"/>
  <c r="F236" i="19"/>
  <c r="F235" i="19"/>
  <c r="F233" i="19"/>
  <c r="F232" i="19"/>
  <c r="F231" i="19"/>
  <c r="F230" i="19"/>
  <c r="F229" i="19"/>
  <c r="F228" i="19"/>
  <c r="F226" i="19"/>
  <c r="F225" i="19"/>
  <c r="F224" i="19"/>
  <c r="F222" i="19"/>
  <c r="F220" i="19"/>
  <c r="F219" i="19"/>
  <c r="F217" i="19"/>
  <c r="F216" i="19"/>
  <c r="F215" i="19"/>
  <c r="F213" i="19"/>
  <c r="F212" i="19"/>
  <c r="F210" i="19"/>
  <c r="F209" i="19"/>
  <c r="F208" i="19"/>
  <c r="F207" i="19"/>
  <c r="F205" i="19"/>
  <c r="F204" i="19"/>
  <c r="F203" i="19"/>
  <c r="F202" i="19"/>
  <c r="F201" i="19"/>
  <c r="F200" i="19"/>
  <c r="F199" i="19"/>
  <c r="F198" i="19"/>
  <c r="F196" i="19"/>
  <c r="F195" i="19"/>
  <c r="F193" i="19"/>
  <c r="F192" i="19"/>
  <c r="F190" i="19"/>
  <c r="F189" i="19"/>
  <c r="F188" i="19"/>
  <c r="F187" i="19"/>
  <c r="F186" i="19"/>
  <c r="F184" i="19"/>
  <c r="F183" i="19"/>
  <c r="F182" i="19"/>
  <c r="F180" i="19"/>
  <c r="F179" i="19"/>
  <c r="F178" i="19"/>
  <c r="F177" i="19"/>
  <c r="F176" i="19"/>
  <c r="F175" i="19"/>
  <c r="F174" i="19"/>
  <c r="F172" i="19"/>
  <c r="F171" i="19"/>
  <c r="F169" i="19"/>
  <c r="F167" i="19"/>
  <c r="F166" i="19"/>
  <c r="F165" i="19"/>
  <c r="F164" i="19"/>
  <c r="F162" i="19"/>
  <c r="F161" i="19"/>
  <c r="F160" i="19"/>
  <c r="F159" i="19"/>
  <c r="F158" i="19"/>
  <c r="F157" i="19"/>
  <c r="F156" i="19"/>
  <c r="F155" i="19"/>
  <c r="F154" i="19"/>
  <c r="F152" i="19"/>
  <c r="F151" i="19"/>
  <c r="F150" i="19"/>
  <c r="F149" i="19"/>
  <c r="F148" i="19"/>
  <c r="F147" i="19"/>
  <c r="F146" i="19"/>
  <c r="F145" i="19"/>
  <c r="F144" i="19"/>
  <c r="F143" i="19"/>
  <c r="F142" i="19"/>
  <c r="F141" i="19"/>
  <c r="F140" i="19"/>
  <c r="F139" i="19"/>
  <c r="F137" i="19"/>
  <c r="F136" i="19"/>
  <c r="F134" i="19"/>
  <c r="F133" i="19"/>
  <c r="F132" i="19"/>
  <c r="F131" i="19"/>
  <c r="F130" i="19"/>
  <c r="F129" i="19"/>
  <c r="F127" i="19"/>
  <c r="F126" i="19"/>
  <c r="F125" i="19"/>
  <c r="F124" i="19"/>
  <c r="F123" i="19"/>
  <c r="F121" i="19"/>
  <c r="F120" i="19"/>
  <c r="F119" i="19"/>
  <c r="F118" i="19"/>
  <c r="F116" i="19"/>
  <c r="F115" i="19"/>
  <c r="F114" i="19"/>
  <c r="F113" i="19"/>
  <c r="F111" i="19"/>
  <c r="F110" i="19"/>
  <c r="F109" i="19"/>
  <c r="F108" i="19"/>
  <c r="F107" i="19"/>
  <c r="F106" i="19"/>
  <c r="F105" i="19"/>
  <c r="F104" i="19"/>
  <c r="F103" i="19"/>
  <c r="F102" i="19"/>
  <c r="F101" i="19"/>
  <c r="F100" i="19"/>
  <c r="F99" i="19"/>
  <c r="F98" i="19"/>
  <c r="F96" i="19"/>
  <c r="F95" i="19"/>
  <c r="F94" i="19"/>
  <c r="F93" i="19"/>
  <c r="F91" i="19"/>
  <c r="F90" i="19"/>
  <c r="F89" i="19"/>
  <c r="F88" i="19"/>
  <c r="F87" i="19"/>
  <c r="F86" i="19"/>
  <c r="F85" i="19"/>
  <c r="F84" i="19"/>
  <c r="F83" i="19"/>
  <c r="F81" i="19"/>
  <c r="F80" i="19"/>
  <c r="F79" i="19"/>
  <c r="F77" i="19"/>
  <c r="F76" i="19"/>
  <c r="F75" i="19"/>
  <c r="F74" i="19"/>
  <c r="F73" i="19"/>
  <c r="F72" i="19"/>
  <c r="F71" i="19"/>
  <c r="F70" i="19"/>
  <c r="F69" i="19"/>
  <c r="F68" i="19"/>
  <c r="F67" i="19"/>
  <c r="F66" i="19"/>
  <c r="F65" i="19"/>
  <c r="F62" i="19"/>
  <c r="F61" i="19"/>
  <c r="F60" i="19"/>
  <c r="F59" i="19"/>
  <c r="F58" i="19"/>
  <c r="F57" i="19"/>
  <c r="F56" i="19"/>
  <c r="F54" i="19"/>
  <c r="F53" i="19"/>
  <c r="F52" i="19"/>
  <c r="F51" i="19"/>
  <c r="F49" i="19"/>
  <c r="F48" i="19"/>
  <c r="F47" i="19"/>
  <c r="F46" i="19"/>
  <c r="F44" i="19"/>
  <c r="F43" i="19"/>
  <c r="F42" i="19"/>
  <c r="F41" i="19"/>
  <c r="F40" i="19"/>
  <c r="F38" i="19"/>
  <c r="F37" i="19"/>
  <c r="F36" i="19"/>
  <c r="F35" i="19"/>
  <c r="F34" i="19"/>
  <c r="F33" i="19"/>
  <c r="F32" i="19"/>
  <c r="F31" i="19"/>
  <c r="F30" i="19"/>
  <c r="F29" i="19"/>
  <c r="F28" i="19"/>
  <c r="F27" i="19"/>
  <c r="F26" i="19"/>
  <c r="F25" i="19"/>
  <c r="F24" i="19"/>
  <c r="F23" i="19"/>
  <c r="I22" i="19"/>
  <c r="F22" i="19"/>
  <c r="R17" i="19"/>
  <c r="Y25" i="55"/>
  <c r="W25" i="55" s="1"/>
  <c r="Y26" i="55"/>
  <c r="W26" i="55" s="1"/>
  <c r="Y27" i="55"/>
  <c r="W27" i="55" s="1"/>
  <c r="Y28" i="55"/>
  <c r="W28" i="55" s="1"/>
  <c r="Y29" i="55"/>
  <c r="W29" i="55" s="1"/>
  <c r="Y30" i="55"/>
  <c r="W30" i="55" s="1"/>
  <c r="Y31" i="55"/>
  <c r="W31" i="55" s="1"/>
  <c r="Y32" i="55"/>
  <c r="W32" i="55" s="1"/>
  <c r="Y33" i="55"/>
  <c r="W33" i="55" s="1"/>
  <c r="Y34" i="55"/>
  <c r="W34" i="55" s="1"/>
  <c r="Y35" i="55"/>
  <c r="W35" i="55" s="1"/>
  <c r="Y36" i="55"/>
  <c r="W36" i="55" s="1"/>
  <c r="Y37" i="55"/>
  <c r="W37" i="55" s="1"/>
  <c r="Y38" i="55"/>
  <c r="W38" i="55" s="1"/>
  <c r="Y39" i="55"/>
  <c r="W39" i="55" s="1"/>
  <c r="Y40" i="55"/>
  <c r="W40" i="55" s="1"/>
  <c r="Y41" i="55"/>
  <c r="W41" i="55" s="1"/>
  <c r="Y42" i="55"/>
  <c r="W42" i="55" s="1"/>
  <c r="Y43" i="55"/>
  <c r="W43" i="55" s="1"/>
  <c r="Y44" i="55"/>
  <c r="W44" i="55" s="1"/>
  <c r="Y45" i="55"/>
  <c r="W45" i="55" s="1"/>
  <c r="Y46" i="55"/>
  <c r="W46" i="55" s="1"/>
  <c r="Y47" i="55"/>
  <c r="W47" i="55" s="1"/>
  <c r="Y48" i="55"/>
  <c r="W48" i="55" s="1"/>
  <c r="Y49" i="55"/>
  <c r="W49" i="55" s="1"/>
  <c r="Y50" i="55"/>
  <c r="W50" i="55" s="1"/>
  <c r="Y51" i="55"/>
  <c r="W51" i="55" s="1"/>
  <c r="Y52" i="55"/>
  <c r="W52" i="55" s="1"/>
  <c r="Y53" i="55"/>
  <c r="W53" i="55" s="1"/>
  <c r="Y54" i="55"/>
  <c r="W54" i="55" s="1"/>
  <c r="Y55" i="55"/>
  <c r="W55" i="55" s="1"/>
  <c r="Y56" i="55"/>
  <c r="W56" i="55" s="1"/>
  <c r="Y57" i="55"/>
  <c r="W57" i="55" s="1"/>
  <c r="Y58" i="55"/>
  <c r="W58" i="55" s="1"/>
  <c r="Y59" i="55"/>
  <c r="W59" i="55" s="1"/>
  <c r="Y60" i="55"/>
  <c r="W60" i="55" s="1"/>
  <c r="Y61" i="55"/>
  <c r="W61" i="55" s="1"/>
  <c r="Y62" i="55"/>
  <c r="W62" i="55" s="1"/>
  <c r="Y63" i="55"/>
  <c r="W63" i="55" s="1"/>
  <c r="Y64" i="55"/>
  <c r="W64" i="55" s="1"/>
  <c r="Y65" i="55"/>
  <c r="W65" i="55" s="1"/>
  <c r="Y66" i="55"/>
  <c r="W66" i="55" s="1"/>
  <c r="Y67" i="55"/>
  <c r="W67" i="55" s="1"/>
  <c r="Y68" i="55"/>
  <c r="W68" i="55" s="1"/>
  <c r="Y69" i="55"/>
  <c r="W69" i="55" s="1"/>
  <c r="Y70" i="55"/>
  <c r="W70" i="55" s="1"/>
  <c r="Y71" i="55"/>
  <c r="W71" i="55" s="1"/>
  <c r="Y72" i="55"/>
  <c r="W72" i="55" s="1"/>
  <c r="Y73" i="55"/>
  <c r="W73" i="55" s="1"/>
  <c r="Y74" i="55"/>
  <c r="W74" i="55" s="1"/>
  <c r="Y75" i="55"/>
  <c r="W75" i="55" s="1"/>
  <c r="Y76" i="55"/>
  <c r="W76" i="55" s="1"/>
  <c r="Y77" i="55"/>
  <c r="W77" i="55" s="1"/>
  <c r="Y78" i="55"/>
  <c r="W78" i="55" s="1"/>
  <c r="Y79" i="55"/>
  <c r="W79" i="55" s="1"/>
  <c r="Y80" i="55"/>
  <c r="W80" i="55" s="1"/>
  <c r="Y81" i="55"/>
  <c r="W81" i="55" s="1"/>
  <c r="Y82" i="55"/>
  <c r="W82" i="55" s="1"/>
  <c r="Y83" i="55"/>
  <c r="W83" i="55" s="1"/>
  <c r="Y84" i="55"/>
  <c r="W84" i="55" s="1"/>
  <c r="Y85" i="55"/>
  <c r="W85" i="55" s="1"/>
  <c r="Y86" i="55"/>
  <c r="W86" i="55" s="1"/>
  <c r="Y87" i="55"/>
  <c r="W87" i="55" s="1"/>
  <c r="Y88" i="55"/>
  <c r="W88" i="55" s="1"/>
  <c r="Y89" i="55"/>
  <c r="W89" i="55" s="1"/>
  <c r="Y90" i="55"/>
  <c r="W90" i="55" s="1"/>
  <c r="Y91" i="55"/>
  <c r="W91" i="55" s="1"/>
  <c r="Y92" i="55"/>
  <c r="W92" i="55" s="1"/>
  <c r="Y93" i="55"/>
  <c r="W93" i="55" s="1"/>
  <c r="Y94" i="55"/>
  <c r="W94" i="55" s="1"/>
  <c r="Y95" i="55"/>
  <c r="W95" i="55" s="1"/>
  <c r="Y96" i="55"/>
  <c r="W96" i="55" s="1"/>
  <c r="Y97" i="55"/>
  <c r="W97" i="55" s="1"/>
  <c r="Y98" i="55"/>
  <c r="W98" i="55" s="1"/>
  <c r="Y99" i="55"/>
  <c r="W99" i="55" s="1"/>
  <c r="Y100" i="55"/>
  <c r="W100" i="55" s="1"/>
  <c r="Y101" i="55"/>
  <c r="W101" i="55" s="1"/>
  <c r="Y102" i="55"/>
  <c r="W102" i="55" s="1"/>
  <c r="Y103" i="55"/>
  <c r="W103" i="55" s="1"/>
  <c r="Y104" i="55"/>
  <c r="W104" i="55" s="1"/>
  <c r="Y105" i="55"/>
  <c r="W105" i="55" s="1"/>
  <c r="Y106" i="55"/>
  <c r="W106" i="55" s="1"/>
  <c r="Y107" i="55"/>
  <c r="W107" i="55" s="1"/>
  <c r="Y108" i="55"/>
  <c r="W108" i="55" s="1"/>
  <c r="Y109" i="55"/>
  <c r="W109" i="55" s="1"/>
  <c r="Y110" i="55"/>
  <c r="W110" i="55" s="1"/>
  <c r="Y111" i="55"/>
  <c r="W111" i="55" s="1"/>
  <c r="Y112" i="55"/>
  <c r="W112" i="55" s="1"/>
  <c r="Y113" i="55"/>
  <c r="W113" i="55" s="1"/>
  <c r="Y114" i="55"/>
  <c r="W114" i="55" s="1"/>
  <c r="Y115" i="55"/>
  <c r="W115" i="55" s="1"/>
  <c r="Y116" i="55"/>
  <c r="W116" i="55" s="1"/>
  <c r="Y117" i="55"/>
  <c r="W117" i="55" s="1"/>
  <c r="Y118" i="55"/>
  <c r="W118" i="55" s="1"/>
  <c r="Y119" i="55"/>
  <c r="W119" i="55" s="1"/>
  <c r="Y120" i="55"/>
  <c r="W120" i="55" s="1"/>
  <c r="Y121" i="55"/>
  <c r="W121" i="55" s="1"/>
  <c r="Y122" i="55"/>
  <c r="W122" i="55" s="1"/>
  <c r="Y123" i="55"/>
  <c r="W123" i="55" s="1"/>
  <c r="Y124" i="55"/>
  <c r="W124" i="55" s="1"/>
  <c r="Y125" i="55"/>
  <c r="W125" i="55" s="1"/>
  <c r="Y126" i="55"/>
  <c r="W126" i="55" s="1"/>
  <c r="Y127" i="55"/>
  <c r="W127" i="55" s="1"/>
  <c r="Y128" i="55"/>
  <c r="W128" i="55" s="1"/>
  <c r="Y129" i="55"/>
  <c r="W129" i="55" s="1"/>
  <c r="Y130" i="55"/>
  <c r="W130" i="55" s="1"/>
  <c r="Y131" i="55"/>
  <c r="W131" i="55" s="1"/>
  <c r="Y132" i="55"/>
  <c r="W132" i="55" s="1"/>
  <c r="Y133" i="55"/>
  <c r="W133" i="55" s="1"/>
  <c r="Y134" i="55"/>
  <c r="W134" i="55" s="1"/>
  <c r="Y135" i="55"/>
  <c r="W135" i="55" s="1"/>
  <c r="Y136" i="55"/>
  <c r="W136" i="55" s="1"/>
  <c r="Y137" i="55"/>
  <c r="W137" i="55" s="1"/>
  <c r="Y138" i="55"/>
  <c r="W138" i="55" s="1"/>
  <c r="Y139" i="55"/>
  <c r="W139" i="55" s="1"/>
  <c r="Y140" i="55"/>
  <c r="W140" i="55" s="1"/>
  <c r="Y141" i="55"/>
  <c r="W141" i="55" s="1"/>
  <c r="Y142" i="55"/>
  <c r="W142" i="55" s="1"/>
  <c r="Y143" i="55"/>
  <c r="W143" i="55" s="1"/>
  <c r="Y144" i="55"/>
  <c r="W144" i="55" s="1"/>
  <c r="Y145" i="55"/>
  <c r="W145" i="55" s="1"/>
  <c r="Y146" i="55"/>
  <c r="W146" i="55" s="1"/>
  <c r="Y147" i="55"/>
  <c r="W147" i="55" s="1"/>
  <c r="Y148" i="55"/>
  <c r="W148" i="55" s="1"/>
  <c r="Y149" i="55"/>
  <c r="W149" i="55" s="1"/>
  <c r="Y150" i="55"/>
  <c r="W150" i="55" s="1"/>
  <c r="Y151" i="55"/>
  <c r="W151" i="55" s="1"/>
  <c r="Y152" i="55"/>
  <c r="W152" i="55" s="1"/>
  <c r="Y153" i="55"/>
  <c r="W153" i="55" s="1"/>
  <c r="Y154" i="55"/>
  <c r="W154" i="55" s="1"/>
  <c r="Y155" i="55"/>
  <c r="W155" i="55" s="1"/>
  <c r="Y156" i="55"/>
  <c r="W156" i="55" s="1"/>
  <c r="Y157" i="55"/>
  <c r="W157" i="55" s="1"/>
  <c r="Y158" i="55"/>
  <c r="W158" i="55" s="1"/>
  <c r="Y159" i="55"/>
  <c r="W159" i="55" s="1"/>
  <c r="Y160" i="55"/>
  <c r="W160" i="55" s="1"/>
  <c r="Y161" i="55"/>
  <c r="W161" i="55" s="1"/>
  <c r="Y162" i="55"/>
  <c r="W162" i="55" s="1"/>
  <c r="Y163" i="55"/>
  <c r="W163" i="55" s="1"/>
  <c r="Y164" i="55"/>
  <c r="W164" i="55" s="1"/>
  <c r="Y165" i="55"/>
  <c r="W165" i="55" s="1"/>
  <c r="Y166" i="55"/>
  <c r="W166" i="55" s="1"/>
  <c r="Y167" i="55"/>
  <c r="W167" i="55" s="1"/>
  <c r="Y168" i="55"/>
  <c r="W168" i="55" s="1"/>
  <c r="Y169" i="55"/>
  <c r="W169" i="55" s="1"/>
  <c r="Y170" i="55"/>
  <c r="W170" i="55" s="1"/>
  <c r="Y171" i="55"/>
  <c r="W171" i="55" s="1"/>
  <c r="Y172" i="55"/>
  <c r="W172" i="55" s="1"/>
  <c r="Y173" i="55"/>
  <c r="W173" i="55" s="1"/>
  <c r="Y174" i="55"/>
  <c r="W174" i="55" s="1"/>
  <c r="Y175" i="55"/>
  <c r="W175" i="55" s="1"/>
  <c r="Y176" i="55"/>
  <c r="W176" i="55" s="1"/>
  <c r="Y177" i="55"/>
  <c r="W177" i="55" s="1"/>
  <c r="Y178" i="55"/>
  <c r="W178" i="55" s="1"/>
  <c r="Y179" i="55"/>
  <c r="W179" i="55" s="1"/>
  <c r="Y180" i="55"/>
  <c r="W180" i="55" s="1"/>
  <c r="Y181" i="55"/>
  <c r="W181" i="55" s="1"/>
  <c r="Y182" i="55"/>
  <c r="W182" i="55" s="1"/>
  <c r="Y183" i="55"/>
  <c r="W183" i="55" s="1"/>
  <c r="Y184" i="55"/>
  <c r="W184" i="55" s="1"/>
  <c r="Y185" i="55"/>
  <c r="W185" i="55" s="1"/>
  <c r="Y186" i="55"/>
  <c r="W186" i="55" s="1"/>
  <c r="Y187" i="55"/>
  <c r="W187" i="55" s="1"/>
  <c r="Y188" i="55"/>
  <c r="W188" i="55" s="1"/>
  <c r="Y189" i="55"/>
  <c r="W189" i="55" s="1"/>
  <c r="Y190" i="55"/>
  <c r="W190" i="55" s="1"/>
  <c r="Y191" i="55"/>
  <c r="W191" i="55" s="1"/>
  <c r="Y192" i="55"/>
  <c r="W192" i="55" s="1"/>
  <c r="Y193" i="55"/>
  <c r="W193" i="55" s="1"/>
  <c r="Y194" i="55"/>
  <c r="W194" i="55" s="1"/>
  <c r="Y195" i="55"/>
  <c r="W195" i="55" s="1"/>
  <c r="Y196" i="55"/>
  <c r="W196" i="55" s="1"/>
  <c r="Y197" i="55"/>
  <c r="W197" i="55" s="1"/>
  <c r="Y198" i="55"/>
  <c r="W198" i="55" s="1"/>
  <c r="Y199" i="55"/>
  <c r="W199" i="55" s="1"/>
  <c r="Y200" i="55"/>
  <c r="W200" i="55" s="1"/>
  <c r="Y201" i="55"/>
  <c r="W201" i="55" s="1"/>
  <c r="Y202" i="55"/>
  <c r="W202" i="55" s="1"/>
  <c r="Y203" i="55"/>
  <c r="W203" i="55" s="1"/>
  <c r="Y204" i="55"/>
  <c r="W204" i="55" s="1"/>
  <c r="Y205" i="55"/>
  <c r="W205" i="55" s="1"/>
  <c r="Y206" i="55"/>
  <c r="W206" i="55" s="1"/>
  <c r="Y207" i="55"/>
  <c r="W207" i="55" s="1"/>
  <c r="Y208" i="55"/>
  <c r="W208" i="55" s="1"/>
  <c r="Y209" i="55"/>
  <c r="W209" i="55" s="1"/>
  <c r="Y210" i="55"/>
  <c r="W210" i="55" s="1"/>
  <c r="Y211" i="55"/>
  <c r="W211" i="55" s="1"/>
  <c r="Y212" i="55"/>
  <c r="W212" i="55" s="1"/>
  <c r="Y213" i="55"/>
  <c r="W213" i="55" s="1"/>
  <c r="Y214" i="55"/>
  <c r="W214" i="55" s="1"/>
  <c r="Y215" i="55"/>
  <c r="W215" i="55" s="1"/>
  <c r="Y216" i="55"/>
  <c r="W216" i="55" s="1"/>
  <c r="Y217" i="55"/>
  <c r="W217" i="55" s="1"/>
  <c r="Y218" i="55"/>
  <c r="W218" i="55" s="1"/>
  <c r="Y219" i="55"/>
  <c r="W219" i="55" s="1"/>
  <c r="Y220" i="55"/>
  <c r="W220" i="55" s="1"/>
  <c r="Y221" i="55"/>
  <c r="W221" i="55" s="1"/>
  <c r="Y222" i="55"/>
  <c r="W222" i="55" s="1"/>
  <c r="Y223" i="55"/>
  <c r="W223" i="55" s="1"/>
  <c r="Y224" i="55"/>
  <c r="W224" i="55" s="1"/>
  <c r="Y225" i="55"/>
  <c r="W225" i="55" s="1"/>
  <c r="Y226" i="55"/>
  <c r="W226" i="55" s="1"/>
  <c r="Y227" i="55"/>
  <c r="W227" i="55" s="1"/>
  <c r="Y228" i="55"/>
  <c r="W228" i="55" s="1"/>
  <c r="Y229" i="55"/>
  <c r="W229" i="55" s="1"/>
  <c r="Y230" i="55"/>
  <c r="W230" i="55" s="1"/>
  <c r="Y231" i="55"/>
  <c r="W231" i="55" s="1"/>
  <c r="Y232" i="55"/>
  <c r="W232" i="55" s="1"/>
  <c r="Y233" i="55"/>
  <c r="W233" i="55" s="1"/>
  <c r="Y234" i="55"/>
  <c r="W234" i="55" s="1"/>
  <c r="Y235" i="55"/>
  <c r="W235" i="55" s="1"/>
  <c r="Y236" i="55"/>
  <c r="W236" i="55" s="1"/>
  <c r="Y237" i="55"/>
  <c r="W237" i="55" s="1"/>
  <c r="Y238" i="55"/>
  <c r="W238" i="55" s="1"/>
  <c r="Y239" i="55"/>
  <c r="W239" i="55" s="1"/>
  <c r="Y240" i="55"/>
  <c r="W240" i="55" s="1"/>
  <c r="Y241" i="55"/>
  <c r="W241" i="55" s="1"/>
  <c r="Y242" i="55"/>
  <c r="W242" i="55" s="1"/>
  <c r="Y243" i="55"/>
  <c r="W243" i="55" s="1"/>
  <c r="Y244" i="55"/>
  <c r="W244" i="55" s="1"/>
  <c r="Y245" i="55"/>
  <c r="W245" i="55" s="1"/>
  <c r="Y246" i="55"/>
  <c r="W246" i="55" s="1"/>
  <c r="Y247" i="55"/>
  <c r="W247" i="55" s="1"/>
  <c r="Y248" i="55"/>
  <c r="W248" i="55" s="1"/>
  <c r="Y249" i="55"/>
  <c r="W249" i="55" s="1"/>
  <c r="Y250" i="55"/>
  <c r="W250" i="55" s="1"/>
  <c r="Y251" i="55"/>
  <c r="W251" i="55" s="1"/>
  <c r="Y252" i="55"/>
  <c r="W252" i="55" s="1"/>
  <c r="Y253" i="55"/>
  <c r="W253" i="55" s="1"/>
  <c r="Y254" i="55"/>
  <c r="W254" i="55" s="1"/>
  <c r="Y255" i="55"/>
  <c r="W255" i="55" s="1"/>
  <c r="Y256" i="55"/>
  <c r="W256" i="55" s="1"/>
  <c r="Y257" i="55"/>
  <c r="W257" i="55" s="1"/>
  <c r="Y258" i="55"/>
  <c r="W258" i="55" s="1"/>
  <c r="Y259" i="55"/>
  <c r="W259" i="55" s="1"/>
  <c r="Y260" i="55"/>
  <c r="W260" i="55" s="1"/>
  <c r="Y261" i="55"/>
  <c r="W261" i="55" s="1"/>
  <c r="Y262" i="55"/>
  <c r="W262" i="55" s="1"/>
  <c r="Y263" i="55"/>
  <c r="W263" i="55" s="1"/>
  <c r="Y264" i="55"/>
  <c r="W264" i="55" s="1"/>
  <c r="Y265" i="55"/>
  <c r="W265" i="55" s="1"/>
  <c r="Y266" i="55"/>
  <c r="W266" i="55" s="1"/>
  <c r="Y267" i="55"/>
  <c r="W267" i="55" s="1"/>
  <c r="Y268" i="55"/>
  <c r="W268" i="55" s="1"/>
  <c r="Y269" i="55"/>
  <c r="W269" i="55" s="1"/>
  <c r="Y270" i="55"/>
  <c r="W270" i="55" s="1"/>
  <c r="Y271" i="55"/>
  <c r="W271" i="55" s="1"/>
  <c r="Y272" i="55"/>
  <c r="W272" i="55" s="1"/>
  <c r="Y273" i="55"/>
  <c r="W273" i="55" s="1"/>
  <c r="Y274" i="55"/>
  <c r="W274" i="55" s="1"/>
  <c r="Y275" i="55"/>
  <c r="W275" i="55" s="1"/>
  <c r="Y276" i="55"/>
  <c r="W276" i="55" s="1"/>
  <c r="Y277" i="55"/>
  <c r="W277" i="55" s="1"/>
  <c r="Y278" i="55"/>
  <c r="W278" i="55" s="1"/>
  <c r="Y279" i="55"/>
  <c r="W279" i="55" s="1"/>
  <c r="Y280" i="55"/>
  <c r="W280" i="55" s="1"/>
  <c r="Y281" i="55"/>
  <c r="W281" i="55" s="1"/>
  <c r="Y282" i="55"/>
  <c r="W282" i="55" s="1"/>
  <c r="Y283" i="55"/>
  <c r="W283" i="55" s="1"/>
  <c r="Y284" i="55"/>
  <c r="W284" i="55" s="1"/>
  <c r="Y285" i="55"/>
  <c r="W285" i="55" s="1"/>
  <c r="Y286" i="55"/>
  <c r="W286" i="55" s="1"/>
  <c r="Y287" i="55"/>
  <c r="W287" i="55" s="1"/>
  <c r="Y288" i="55"/>
  <c r="W288" i="55" s="1"/>
  <c r="Y289" i="55"/>
  <c r="W289" i="55" s="1"/>
  <c r="Y290" i="55"/>
  <c r="W290" i="55" s="1"/>
  <c r="Y291" i="55"/>
  <c r="W291" i="55" s="1"/>
  <c r="Y292" i="55"/>
  <c r="W292" i="55" s="1"/>
  <c r="Y293" i="55"/>
  <c r="W293" i="55" s="1"/>
  <c r="Y294" i="55"/>
  <c r="W294" i="55" s="1"/>
  <c r="Y295" i="55"/>
  <c r="W295" i="55" s="1"/>
  <c r="Y296" i="55"/>
  <c r="W296" i="55" s="1"/>
  <c r="Y297" i="55"/>
  <c r="W297" i="55" s="1"/>
  <c r="Y298" i="55"/>
  <c r="W298" i="55" s="1"/>
  <c r="Y299" i="55"/>
  <c r="W299" i="55" s="1"/>
  <c r="Y300" i="55"/>
  <c r="W300" i="55" s="1"/>
  <c r="Y301" i="55"/>
  <c r="W301" i="55" s="1"/>
  <c r="Y302" i="55"/>
  <c r="W302" i="55" s="1"/>
  <c r="Y303" i="55"/>
  <c r="W303" i="55" s="1"/>
  <c r="Y304" i="55"/>
  <c r="W304" i="55" s="1"/>
  <c r="Y305" i="55"/>
  <c r="W305" i="55" s="1"/>
  <c r="Y306" i="55"/>
  <c r="W306" i="55" s="1"/>
  <c r="Y307" i="55"/>
  <c r="W307" i="55" s="1"/>
  <c r="Y308" i="55"/>
  <c r="W308" i="55" s="1"/>
  <c r="Y309" i="55"/>
  <c r="W309" i="55" s="1"/>
  <c r="Y310" i="55"/>
  <c r="W310" i="55" s="1"/>
  <c r="Y311" i="55"/>
  <c r="W311" i="55" s="1"/>
  <c r="Y312" i="55"/>
  <c r="W312" i="55" s="1"/>
  <c r="Y313" i="55"/>
  <c r="W313" i="55" s="1"/>
  <c r="Y314" i="55"/>
  <c r="W314" i="55" s="1"/>
  <c r="Y315" i="55"/>
  <c r="W315" i="55" s="1"/>
  <c r="Y316" i="55"/>
  <c r="W316" i="55" s="1"/>
  <c r="Y317" i="55"/>
  <c r="W317" i="55" s="1"/>
  <c r="Y318" i="55"/>
  <c r="W318" i="55" s="1"/>
  <c r="Y319" i="55"/>
  <c r="W319" i="55" s="1"/>
  <c r="Y320" i="55"/>
  <c r="W320" i="55" s="1"/>
  <c r="Y321" i="55"/>
  <c r="W321" i="55" s="1"/>
  <c r="Y322" i="55"/>
  <c r="W322" i="55" s="1"/>
  <c r="Y323" i="55"/>
  <c r="W323" i="55" s="1"/>
  <c r="Y324" i="55"/>
  <c r="W324" i="55" s="1"/>
  <c r="Y325" i="55"/>
  <c r="W325" i="55" s="1"/>
  <c r="Y326" i="55"/>
  <c r="W326" i="55" s="1"/>
  <c r="Y327" i="55"/>
  <c r="W327" i="55" s="1"/>
  <c r="Y328" i="55"/>
  <c r="W328" i="55" s="1"/>
  <c r="Y329" i="55"/>
  <c r="W329" i="55" s="1"/>
  <c r="Y330" i="55"/>
  <c r="W330" i="55" s="1"/>
  <c r="Y331" i="55"/>
  <c r="W331" i="55" s="1"/>
  <c r="Y332" i="55"/>
  <c r="W332" i="55" s="1"/>
  <c r="Y333" i="55"/>
  <c r="W333" i="55" s="1"/>
  <c r="Y334" i="55"/>
  <c r="W334" i="55" s="1"/>
  <c r="Y335" i="55"/>
  <c r="W335" i="55" s="1"/>
  <c r="Y336" i="55"/>
  <c r="W336" i="55" s="1"/>
  <c r="Y337" i="55"/>
  <c r="W337" i="55" s="1"/>
  <c r="Y338" i="55"/>
  <c r="W338" i="55" s="1"/>
  <c r="Y339" i="55"/>
  <c r="W339" i="55" s="1"/>
  <c r="Y340" i="55"/>
  <c r="W340" i="55" s="1"/>
  <c r="Y341" i="55"/>
  <c r="W341" i="55" s="1"/>
  <c r="Y342" i="55"/>
  <c r="W342" i="55" s="1"/>
  <c r="Y343" i="55"/>
  <c r="W343" i="55" s="1"/>
  <c r="Y344" i="55"/>
  <c r="W344" i="55" s="1"/>
  <c r="Y345" i="55"/>
  <c r="W345" i="55" s="1"/>
  <c r="Y346" i="55"/>
  <c r="W346" i="55" s="1"/>
  <c r="Y347" i="55"/>
  <c r="W347" i="55" s="1"/>
  <c r="Y348" i="55"/>
  <c r="W348" i="55" s="1"/>
  <c r="Y349" i="55"/>
  <c r="W349" i="55" s="1"/>
  <c r="Y350" i="55"/>
  <c r="W350" i="55" s="1"/>
  <c r="Y351" i="55"/>
  <c r="W351" i="55" s="1"/>
  <c r="Y352" i="55"/>
  <c r="W352" i="55" s="1"/>
  <c r="Y353" i="55"/>
  <c r="W353" i="55" s="1"/>
  <c r="Y354" i="55"/>
  <c r="W354" i="55" s="1"/>
  <c r="Y355" i="55"/>
  <c r="W355" i="55" s="1"/>
  <c r="Y356" i="55"/>
  <c r="W356" i="55" s="1"/>
  <c r="Y357" i="55"/>
  <c r="W357" i="55" s="1"/>
  <c r="Y358" i="55"/>
  <c r="W358" i="55" s="1"/>
  <c r="Y359" i="55"/>
  <c r="W359" i="55" s="1"/>
  <c r="Y360" i="55"/>
  <c r="W360" i="55" s="1"/>
  <c r="Y361" i="55"/>
  <c r="W361" i="55" s="1"/>
  <c r="Y362" i="55"/>
  <c r="W362" i="55" s="1"/>
  <c r="Y363" i="55"/>
  <c r="W363" i="55" s="1"/>
  <c r="Y364" i="55"/>
  <c r="W364" i="55" s="1"/>
  <c r="Y365" i="55"/>
  <c r="W365" i="55" s="1"/>
  <c r="Y366" i="55"/>
  <c r="W366" i="55" s="1"/>
  <c r="Y367" i="55"/>
  <c r="W367" i="55" s="1"/>
  <c r="Y368" i="55"/>
  <c r="W368" i="55" s="1"/>
  <c r="Y369" i="55"/>
  <c r="W369" i="55" s="1"/>
  <c r="Y370" i="55"/>
  <c r="W370" i="55" s="1"/>
  <c r="Y371" i="55"/>
  <c r="W371" i="55" s="1"/>
  <c r="Y372" i="55"/>
  <c r="W372" i="55" s="1"/>
  <c r="Y373" i="55"/>
  <c r="W373" i="55" s="1"/>
  <c r="Y374" i="55"/>
  <c r="W374" i="55" s="1"/>
  <c r="Y375" i="55"/>
  <c r="W375" i="55" s="1"/>
  <c r="Y376" i="55"/>
  <c r="W376" i="55" s="1"/>
  <c r="Y377" i="55"/>
  <c r="W377" i="55" s="1"/>
  <c r="Y378" i="55"/>
  <c r="W378" i="55" s="1"/>
  <c r="Y379" i="55"/>
  <c r="W379" i="55" s="1"/>
  <c r="Y380" i="55"/>
  <c r="W380" i="55" s="1"/>
  <c r="Y381" i="55"/>
  <c r="W381" i="55" s="1"/>
  <c r="Y382" i="55"/>
  <c r="W382" i="55" s="1"/>
  <c r="Y383" i="55"/>
  <c r="W383" i="55" s="1"/>
  <c r="Y384" i="55"/>
  <c r="W384" i="55" s="1"/>
  <c r="Y385" i="55"/>
  <c r="W385" i="55" s="1"/>
  <c r="Y386" i="55"/>
  <c r="W386" i="55" s="1"/>
  <c r="Y387" i="55"/>
  <c r="W387" i="55" s="1"/>
  <c r="Y388" i="55"/>
  <c r="W388" i="55" s="1"/>
  <c r="Y389" i="55"/>
  <c r="W389" i="55" s="1"/>
  <c r="Y390" i="55"/>
  <c r="W390" i="55" s="1"/>
  <c r="Y391" i="55"/>
  <c r="W391" i="55" s="1"/>
  <c r="Y392" i="55"/>
  <c r="W392" i="55" s="1"/>
  <c r="Y393" i="55"/>
  <c r="W393" i="55" s="1"/>
  <c r="Y394" i="55"/>
  <c r="W394" i="55" s="1"/>
  <c r="Y395" i="55"/>
  <c r="W395" i="55" s="1"/>
  <c r="Y396" i="55"/>
  <c r="W396" i="55" s="1"/>
  <c r="Y397" i="55"/>
  <c r="W397" i="55" s="1"/>
  <c r="Y398" i="55"/>
  <c r="W398" i="55" s="1"/>
  <c r="Y399" i="55"/>
  <c r="W399" i="55" s="1"/>
  <c r="Y400" i="55"/>
  <c r="W400" i="55" s="1"/>
  <c r="Y401" i="55"/>
  <c r="W401" i="55" s="1"/>
  <c r="Y402" i="55"/>
  <c r="W402" i="55" s="1"/>
  <c r="Y403" i="55"/>
  <c r="W403" i="55" s="1"/>
  <c r="Y404" i="55"/>
  <c r="W404" i="55" s="1"/>
  <c r="Y405" i="55"/>
  <c r="W405" i="55" s="1"/>
  <c r="Y406" i="55"/>
  <c r="W406" i="55" s="1"/>
  <c r="Y407" i="55"/>
  <c r="W407" i="55" s="1"/>
  <c r="Y408" i="55"/>
  <c r="W408" i="55" s="1"/>
  <c r="Y409" i="55"/>
  <c r="W409" i="55" s="1"/>
  <c r="Y410" i="55"/>
  <c r="W410" i="55" s="1"/>
  <c r="Y411" i="55"/>
  <c r="W411" i="55" s="1"/>
  <c r="Y412" i="55"/>
  <c r="W412" i="55" s="1"/>
  <c r="Y413" i="55"/>
  <c r="W413" i="55" s="1"/>
  <c r="Y414" i="55"/>
  <c r="W414" i="55" s="1"/>
  <c r="Y415" i="55"/>
  <c r="W415" i="55" s="1"/>
  <c r="Y416" i="55"/>
  <c r="W416" i="55" s="1"/>
  <c r="Y417" i="55"/>
  <c r="W417" i="55" s="1"/>
  <c r="Y418" i="55"/>
  <c r="W418" i="55" s="1"/>
  <c r="Y419" i="55"/>
  <c r="W419" i="55" s="1"/>
  <c r="Y420" i="55"/>
  <c r="W420" i="55" s="1"/>
  <c r="Y421" i="55"/>
  <c r="W421" i="55" s="1"/>
  <c r="Y422" i="55"/>
  <c r="W422" i="55" s="1"/>
  <c r="Y423" i="55"/>
  <c r="W423" i="55" s="1"/>
  <c r="Y424" i="55"/>
  <c r="W424" i="55" s="1"/>
  <c r="Y425" i="55"/>
  <c r="W425" i="55" s="1"/>
  <c r="Y426" i="55"/>
  <c r="W426" i="55" s="1"/>
  <c r="Y427" i="55"/>
  <c r="W427" i="55" s="1"/>
  <c r="Y428" i="55"/>
  <c r="W428" i="55" s="1"/>
  <c r="Y429" i="55"/>
  <c r="W429" i="55" s="1"/>
  <c r="Y430" i="55"/>
  <c r="W430" i="55" s="1"/>
  <c r="Y431" i="55"/>
  <c r="W431" i="55" s="1"/>
  <c r="Y432" i="55"/>
  <c r="W432" i="55" s="1"/>
  <c r="Y433" i="55"/>
  <c r="W433" i="55" s="1"/>
  <c r="Y434" i="55"/>
  <c r="W434" i="55" s="1"/>
  <c r="Y435" i="55"/>
  <c r="W435" i="55" s="1"/>
  <c r="Y436" i="55"/>
  <c r="W436" i="55" s="1"/>
  <c r="Y437" i="55"/>
  <c r="W437" i="55" s="1"/>
  <c r="Y438" i="55"/>
  <c r="W438" i="55" s="1"/>
  <c r="Y439" i="55"/>
  <c r="W439" i="55" s="1"/>
  <c r="Y440" i="55"/>
  <c r="W440" i="55" s="1"/>
  <c r="Y441" i="55"/>
  <c r="W441" i="55" s="1"/>
  <c r="Y442" i="55"/>
  <c r="W442" i="55" s="1"/>
  <c r="Y443" i="55"/>
  <c r="W443" i="55" s="1"/>
  <c r="Y444" i="55"/>
  <c r="W444" i="55" s="1"/>
  <c r="Y445" i="55"/>
  <c r="W445" i="55" s="1"/>
  <c r="Y446" i="55"/>
  <c r="W446" i="55" s="1"/>
  <c r="Y447" i="55"/>
  <c r="W447" i="55" s="1"/>
  <c r="Y448" i="55"/>
  <c r="W448" i="55" s="1"/>
  <c r="Y449" i="55"/>
  <c r="W449" i="55" s="1"/>
  <c r="Y450" i="55"/>
  <c r="W450" i="55" s="1"/>
  <c r="Y451" i="55"/>
  <c r="W451" i="55" s="1"/>
  <c r="Y452" i="55"/>
  <c r="W452" i="55" s="1"/>
  <c r="Y453" i="55"/>
  <c r="W453" i="55" s="1"/>
  <c r="Y454" i="55"/>
  <c r="W454" i="55" s="1"/>
  <c r="Y455" i="55"/>
  <c r="W455" i="55" s="1"/>
  <c r="Y456" i="55"/>
  <c r="W456" i="55" s="1"/>
  <c r="Y457" i="55"/>
  <c r="W457" i="55" s="1"/>
  <c r="Y458" i="55"/>
  <c r="W458" i="55" s="1"/>
  <c r="Y459" i="55"/>
  <c r="W459" i="55" s="1"/>
  <c r="Y460" i="55"/>
  <c r="W460" i="55" s="1"/>
  <c r="Y461" i="55"/>
  <c r="W461" i="55" s="1"/>
  <c r="Y462" i="55"/>
  <c r="W462" i="55" s="1"/>
  <c r="Y463" i="55"/>
  <c r="W463" i="55" s="1"/>
  <c r="Y464" i="55"/>
  <c r="W464" i="55" s="1"/>
  <c r="Y465" i="55"/>
  <c r="W465" i="55" s="1"/>
  <c r="Y466" i="55"/>
  <c r="W466" i="55" s="1"/>
  <c r="Y467" i="55"/>
  <c r="W467" i="55" s="1"/>
  <c r="Y468" i="55"/>
  <c r="W468" i="55" s="1"/>
  <c r="Y469" i="55"/>
  <c r="W469" i="55" s="1"/>
  <c r="Y470" i="55"/>
  <c r="W470" i="55" s="1"/>
  <c r="Y471" i="55"/>
  <c r="W471" i="55" s="1"/>
  <c r="Y472" i="55"/>
  <c r="W472" i="55" s="1"/>
  <c r="Y473" i="55"/>
  <c r="W473" i="55" s="1"/>
  <c r="Y474" i="55"/>
  <c r="W474" i="55" s="1"/>
  <c r="Y475" i="55"/>
  <c r="W475" i="55" s="1"/>
  <c r="Y476" i="55"/>
  <c r="W476" i="55" s="1"/>
  <c r="Y477" i="55"/>
  <c r="W477" i="55" s="1"/>
  <c r="Y478" i="55"/>
  <c r="W478" i="55" s="1"/>
  <c r="Y479" i="55"/>
  <c r="W479" i="55" s="1"/>
  <c r="Y480" i="55"/>
  <c r="W480" i="55" s="1"/>
  <c r="Y481" i="55"/>
  <c r="W481" i="55" s="1"/>
  <c r="Y482" i="55"/>
  <c r="W482" i="55" s="1"/>
  <c r="Y483" i="55"/>
  <c r="W483" i="55" s="1"/>
  <c r="Y484" i="55"/>
  <c r="W484" i="55" s="1"/>
  <c r="Y485" i="55"/>
  <c r="W485" i="55" s="1"/>
  <c r="Y486" i="55"/>
  <c r="W486" i="55" s="1"/>
  <c r="Y487" i="55"/>
  <c r="W487" i="55" s="1"/>
  <c r="Y488" i="55"/>
  <c r="W488" i="55" s="1"/>
  <c r="Y489" i="55"/>
  <c r="W489" i="55" s="1"/>
  <c r="Y490" i="55"/>
  <c r="W490" i="55" s="1"/>
  <c r="Y491" i="55"/>
  <c r="W491" i="55" s="1"/>
  <c r="Y492" i="55"/>
  <c r="W492" i="55" s="1"/>
  <c r="Y493" i="55"/>
  <c r="W493" i="55" s="1"/>
  <c r="Y494" i="55"/>
  <c r="W494" i="55" s="1"/>
  <c r="Y495" i="55"/>
  <c r="W495" i="55" s="1"/>
  <c r="Y496" i="55"/>
  <c r="W496" i="55" s="1"/>
  <c r="Y497" i="55"/>
  <c r="W497" i="55" s="1"/>
  <c r="Y498" i="55"/>
  <c r="W498" i="55" s="1"/>
  <c r="Y499" i="55"/>
  <c r="W499" i="55" s="1"/>
  <c r="Y500" i="55"/>
  <c r="W500" i="55" s="1"/>
  <c r="Y501" i="55"/>
  <c r="W501" i="55" s="1"/>
  <c r="Y502" i="55"/>
  <c r="W502" i="55" s="1"/>
  <c r="Y503" i="55"/>
  <c r="W503" i="55" s="1"/>
  <c r="Y504" i="55"/>
  <c r="W504" i="55" s="1"/>
  <c r="Y505" i="55"/>
  <c r="W505" i="55" s="1"/>
  <c r="Y506" i="55"/>
  <c r="W506" i="55" s="1"/>
  <c r="Y507" i="55"/>
  <c r="W507" i="55" s="1"/>
  <c r="Y508" i="55"/>
  <c r="W508" i="55" s="1"/>
  <c r="Y509" i="55"/>
  <c r="W509" i="55" s="1"/>
  <c r="Y510" i="55"/>
  <c r="W510" i="55" s="1"/>
  <c r="Y511" i="55"/>
  <c r="W511" i="55" s="1"/>
  <c r="Y512" i="55"/>
  <c r="W512" i="55" s="1"/>
  <c r="Y513" i="55"/>
  <c r="W513" i="55" s="1"/>
  <c r="Y514" i="55"/>
  <c r="W514" i="55" s="1"/>
  <c r="Y515" i="55"/>
  <c r="W515" i="55" s="1"/>
  <c r="Y516" i="55"/>
  <c r="W516" i="55" s="1"/>
  <c r="Y517" i="55"/>
  <c r="W517" i="55" s="1"/>
  <c r="Y518" i="55"/>
  <c r="W518" i="55" s="1"/>
  <c r="Y519" i="55"/>
  <c r="W519" i="55" s="1"/>
  <c r="Y520" i="55"/>
  <c r="W520" i="55" s="1"/>
  <c r="Y521" i="55"/>
  <c r="W521" i="55" s="1"/>
  <c r="Y522" i="55"/>
  <c r="W522" i="55" s="1"/>
  <c r="Y523" i="55"/>
  <c r="W523" i="55" s="1"/>
  <c r="Y524" i="55"/>
  <c r="W524" i="55" s="1"/>
  <c r="Y525" i="55"/>
  <c r="W525" i="55" s="1"/>
  <c r="Y526" i="55"/>
  <c r="W526" i="55" s="1"/>
  <c r="Y527" i="55"/>
  <c r="W527" i="55" s="1"/>
  <c r="Y528" i="55"/>
  <c r="W528" i="55" s="1"/>
  <c r="Y529" i="55"/>
  <c r="W529" i="55" s="1"/>
  <c r="Y530" i="55"/>
  <c r="W530" i="55" s="1"/>
  <c r="Y531" i="55"/>
  <c r="W531" i="55" s="1"/>
  <c r="Y532" i="55"/>
  <c r="W532" i="55" s="1"/>
  <c r="Y533" i="55"/>
  <c r="W533" i="55" s="1"/>
  <c r="Y534" i="55"/>
  <c r="W534" i="55" s="1"/>
  <c r="Y535" i="55"/>
  <c r="W535" i="55" s="1"/>
  <c r="Y536" i="55"/>
  <c r="W536" i="55" s="1"/>
  <c r="Y537" i="55"/>
  <c r="W537" i="55" s="1"/>
  <c r="Y538" i="55"/>
  <c r="W538" i="55" s="1"/>
  <c r="Y539" i="55"/>
  <c r="W539" i="55" s="1"/>
  <c r="Y540" i="55"/>
  <c r="W540" i="55" s="1"/>
  <c r="Y541" i="55"/>
  <c r="W541" i="55" s="1"/>
  <c r="Y542" i="55"/>
  <c r="W542" i="55" s="1"/>
  <c r="Y543" i="55"/>
  <c r="W543" i="55" s="1"/>
  <c r="Y544" i="55"/>
  <c r="W544" i="55" s="1"/>
  <c r="Y545" i="55"/>
  <c r="W545" i="55" s="1"/>
  <c r="Y546" i="55"/>
  <c r="W546" i="55" s="1"/>
  <c r="Y547" i="55"/>
  <c r="W547" i="55" s="1"/>
  <c r="Y548" i="55"/>
  <c r="W548" i="55" s="1"/>
  <c r="Y549" i="55"/>
  <c r="W549" i="55" s="1"/>
  <c r="Y550" i="55"/>
  <c r="W550" i="55" s="1"/>
  <c r="Y551" i="55"/>
  <c r="W551" i="55" s="1"/>
  <c r="Y552" i="55"/>
  <c r="W552" i="55" s="1"/>
  <c r="Y553" i="55"/>
  <c r="W553" i="55" s="1"/>
  <c r="Y554" i="55"/>
  <c r="W554" i="55" s="1"/>
  <c r="Y555" i="55"/>
  <c r="W555" i="55" s="1"/>
  <c r="Y556" i="55"/>
  <c r="W556" i="55" s="1"/>
  <c r="Y557" i="55"/>
  <c r="W557" i="55" s="1"/>
  <c r="Y558" i="55"/>
  <c r="W558" i="55" s="1"/>
  <c r="Y559" i="55"/>
  <c r="W559" i="55" s="1"/>
  <c r="Y560" i="55"/>
  <c r="W560" i="55" s="1"/>
  <c r="Y561" i="55"/>
  <c r="W561" i="55" s="1"/>
  <c r="Y562" i="55"/>
  <c r="W562" i="55" s="1"/>
  <c r="Y563" i="55"/>
  <c r="W563" i="55" s="1"/>
  <c r="Y564" i="55"/>
  <c r="W564" i="55" s="1"/>
  <c r="Y565" i="55"/>
  <c r="W565" i="55" s="1"/>
  <c r="Y566" i="55"/>
  <c r="W566" i="55" s="1"/>
  <c r="Y567" i="55"/>
  <c r="W567" i="55" s="1"/>
  <c r="Y568" i="55"/>
  <c r="W568" i="55" s="1"/>
  <c r="Y569" i="55"/>
  <c r="W569" i="55" s="1"/>
  <c r="Y570" i="55"/>
  <c r="W570" i="55" s="1"/>
  <c r="Y571" i="55"/>
  <c r="W571" i="55" s="1"/>
  <c r="Y572" i="55"/>
  <c r="W572" i="55" s="1"/>
  <c r="Y573" i="55"/>
  <c r="W573" i="55" s="1"/>
  <c r="Y574" i="55"/>
  <c r="W574" i="55" s="1"/>
  <c r="Y575" i="55"/>
  <c r="W575" i="55" s="1"/>
  <c r="Y576" i="55"/>
  <c r="W576" i="55" s="1"/>
  <c r="Y577" i="55"/>
  <c r="W577" i="55" s="1"/>
  <c r="Y578" i="55"/>
  <c r="W578" i="55" s="1"/>
  <c r="Y579" i="55"/>
  <c r="W579" i="55" s="1"/>
  <c r="Y580" i="55"/>
  <c r="W580" i="55" s="1"/>
  <c r="Y581" i="55"/>
  <c r="W581" i="55" s="1"/>
  <c r="Y582" i="55"/>
  <c r="W582" i="55" s="1"/>
  <c r="Y583" i="55"/>
  <c r="W583" i="55" s="1"/>
  <c r="Y584" i="55"/>
  <c r="W584" i="55" s="1"/>
  <c r="Y585" i="55"/>
  <c r="W585" i="55" s="1"/>
  <c r="Y586" i="55"/>
  <c r="W586" i="55" s="1"/>
  <c r="Y587" i="55"/>
  <c r="W587" i="55" s="1"/>
  <c r="Y588" i="55"/>
  <c r="W588" i="55" s="1"/>
  <c r="Y589" i="55"/>
  <c r="W589" i="55" s="1"/>
  <c r="Y590" i="55"/>
  <c r="W590" i="55" s="1"/>
  <c r="Y591" i="55"/>
  <c r="W591" i="55" s="1"/>
  <c r="Y592" i="55"/>
  <c r="W592" i="55" s="1"/>
  <c r="Y593" i="55"/>
  <c r="W593" i="55" s="1"/>
  <c r="Y594" i="55"/>
  <c r="W594" i="55" s="1"/>
  <c r="Y595" i="55"/>
  <c r="W595" i="55" s="1"/>
  <c r="Y596" i="55"/>
  <c r="W596" i="55" s="1"/>
  <c r="Y597" i="55"/>
  <c r="W597" i="55" s="1"/>
  <c r="Y598" i="55"/>
  <c r="W598" i="55" s="1"/>
  <c r="Y599" i="55"/>
  <c r="W599" i="55" s="1"/>
  <c r="Y600" i="55"/>
  <c r="W600" i="55" s="1"/>
  <c r="Y601" i="55"/>
  <c r="W601" i="55" s="1"/>
  <c r="Y602" i="55"/>
  <c r="W602" i="55" s="1"/>
  <c r="Y603" i="55"/>
  <c r="W603" i="55" s="1"/>
  <c r="Y604" i="55"/>
  <c r="W604" i="55" s="1"/>
  <c r="Y605" i="55"/>
  <c r="W605" i="55" s="1"/>
  <c r="Y606" i="55"/>
  <c r="W606" i="55" s="1"/>
  <c r="Y607" i="55"/>
  <c r="W607" i="55" s="1"/>
  <c r="Y608" i="55"/>
  <c r="W608" i="55" s="1"/>
  <c r="Y609" i="55"/>
  <c r="W609" i="55" s="1"/>
  <c r="Y610" i="55"/>
  <c r="W610" i="55" s="1"/>
  <c r="Y611" i="55"/>
  <c r="W611" i="55" s="1"/>
  <c r="Y612" i="55"/>
  <c r="W612" i="55" s="1"/>
  <c r="Y613" i="55"/>
  <c r="W613" i="55" s="1"/>
  <c r="Y614" i="55"/>
  <c r="W614" i="55" s="1"/>
  <c r="Y615" i="55"/>
  <c r="W615" i="55" s="1"/>
  <c r="Y616" i="55"/>
  <c r="W616" i="55" s="1"/>
  <c r="Y617" i="55"/>
  <c r="W617" i="55" s="1"/>
  <c r="Y618" i="55"/>
  <c r="W618" i="55" s="1"/>
  <c r="Y619" i="55"/>
  <c r="W619" i="55" s="1"/>
  <c r="Y620" i="55"/>
  <c r="W620" i="55" s="1"/>
  <c r="Y621" i="55"/>
  <c r="W621" i="55" s="1"/>
  <c r="Y622" i="55"/>
  <c r="W622" i="55" s="1"/>
  <c r="Y623" i="55"/>
  <c r="W623" i="55" s="1"/>
  <c r="Y624" i="55"/>
  <c r="W624" i="55" s="1"/>
  <c r="Y625" i="55"/>
  <c r="W625" i="55" s="1"/>
  <c r="Y626" i="55"/>
  <c r="W626" i="55" s="1"/>
  <c r="Y627" i="55"/>
  <c r="W627" i="55" s="1"/>
  <c r="Y628" i="55"/>
  <c r="W628" i="55" s="1"/>
  <c r="Y629" i="55"/>
  <c r="W629" i="55" s="1"/>
  <c r="Y630" i="55"/>
  <c r="W630" i="55" s="1"/>
  <c r="Y631" i="55"/>
  <c r="W631" i="55" s="1"/>
  <c r="Y632" i="55"/>
  <c r="W632" i="55" s="1"/>
  <c r="Y633" i="55"/>
  <c r="W633" i="55" s="1"/>
  <c r="Y634" i="55"/>
  <c r="W634" i="55" s="1"/>
  <c r="Y635" i="55"/>
  <c r="W635" i="55" s="1"/>
  <c r="Y636" i="55"/>
  <c r="W636" i="55" s="1"/>
  <c r="Y637" i="55"/>
  <c r="W637" i="55" s="1"/>
  <c r="Y638" i="55"/>
  <c r="W638" i="55" s="1"/>
  <c r="Y639" i="55"/>
  <c r="W639" i="55" s="1"/>
  <c r="Y640" i="55"/>
  <c r="W640" i="55" s="1"/>
  <c r="Y641" i="55"/>
  <c r="W641" i="55" s="1"/>
  <c r="Y642" i="55"/>
  <c r="W642" i="55" s="1"/>
  <c r="Y643" i="55"/>
  <c r="W643" i="55" s="1"/>
  <c r="Y644" i="55"/>
  <c r="W644" i="55" s="1"/>
  <c r="Y645" i="55"/>
  <c r="W645" i="55" s="1"/>
  <c r="Y646" i="55"/>
  <c r="W646" i="55" s="1"/>
  <c r="Y647" i="55"/>
  <c r="W647" i="55" s="1"/>
  <c r="Y648" i="55"/>
  <c r="W648" i="55" s="1"/>
  <c r="Y649" i="55"/>
  <c r="W649" i="55" s="1"/>
  <c r="Y650" i="55"/>
  <c r="W650" i="55" s="1"/>
  <c r="Y651" i="55"/>
  <c r="W651" i="55" s="1"/>
  <c r="Y652" i="55"/>
  <c r="W652" i="55" s="1"/>
  <c r="Y653" i="55"/>
  <c r="W653" i="55" s="1"/>
  <c r="Y654" i="55"/>
  <c r="W654" i="55" s="1"/>
  <c r="Y655" i="55"/>
  <c r="W655" i="55" s="1"/>
  <c r="Y656" i="55"/>
  <c r="W656" i="55" s="1"/>
  <c r="Y657" i="55"/>
  <c r="W657" i="55" s="1"/>
  <c r="Y658" i="55"/>
  <c r="W658" i="55" s="1"/>
  <c r="Y659" i="55"/>
  <c r="W659" i="55" s="1"/>
  <c r="Y660" i="55"/>
  <c r="W660" i="55" s="1"/>
  <c r="Y661" i="55"/>
  <c r="W661" i="55" s="1"/>
  <c r="Y662" i="55"/>
  <c r="W662" i="55" s="1"/>
  <c r="Y663" i="55"/>
  <c r="W663" i="55" s="1"/>
  <c r="Y664" i="55"/>
  <c r="W664" i="55" s="1"/>
  <c r="Y665" i="55"/>
  <c r="W665" i="55" s="1"/>
  <c r="Y666" i="55"/>
  <c r="W666" i="55" s="1"/>
  <c r="Y667" i="55"/>
  <c r="W667" i="55" s="1"/>
  <c r="Y668" i="55"/>
  <c r="W668" i="55" s="1"/>
  <c r="Y669" i="55"/>
  <c r="W669" i="55" s="1"/>
  <c r="Y670" i="55"/>
  <c r="W670" i="55" s="1"/>
  <c r="Y671" i="55"/>
  <c r="W671" i="55" s="1"/>
  <c r="Y672" i="55"/>
  <c r="W672" i="55" s="1"/>
  <c r="Y673" i="55"/>
  <c r="W673" i="55" s="1"/>
  <c r="Y674" i="55"/>
  <c r="W674" i="55" s="1"/>
  <c r="Y675" i="55"/>
  <c r="W675" i="55" s="1"/>
  <c r="Y676" i="55"/>
  <c r="W676" i="55" s="1"/>
  <c r="Y677" i="55"/>
  <c r="W677" i="55" s="1"/>
  <c r="Y678" i="55"/>
  <c r="W678" i="55" s="1"/>
  <c r="Y679" i="55"/>
  <c r="W679" i="55" s="1"/>
  <c r="Y680" i="55"/>
  <c r="W680" i="55" s="1"/>
  <c r="Y681" i="55"/>
  <c r="W681" i="55" s="1"/>
  <c r="Y682" i="55"/>
  <c r="W682" i="55" s="1"/>
  <c r="Y683" i="55"/>
  <c r="W683" i="55" s="1"/>
  <c r="Y684" i="55"/>
  <c r="W684" i="55" s="1"/>
  <c r="Y685" i="55"/>
  <c r="W685" i="55" s="1"/>
  <c r="Y686" i="55"/>
  <c r="W686" i="55" s="1"/>
  <c r="Y687" i="55"/>
  <c r="W687" i="55" s="1"/>
  <c r="Y688" i="55"/>
  <c r="W688" i="55" s="1"/>
  <c r="Y689" i="55"/>
  <c r="W689" i="55" s="1"/>
  <c r="Y690" i="55"/>
  <c r="W690" i="55" s="1"/>
  <c r="Y691" i="55"/>
  <c r="W691" i="55" s="1"/>
  <c r="Y692" i="55"/>
  <c r="W692" i="55" s="1"/>
  <c r="Y693" i="55"/>
  <c r="W693" i="55" s="1"/>
  <c r="Y694" i="55"/>
  <c r="W694" i="55" s="1"/>
  <c r="Y695" i="55"/>
  <c r="W695" i="55" s="1"/>
  <c r="Y696" i="55"/>
  <c r="W696" i="55" s="1"/>
  <c r="Y697" i="55"/>
  <c r="W697" i="55" s="1"/>
  <c r="Y698" i="55"/>
  <c r="W698" i="55" s="1"/>
  <c r="Y699" i="55"/>
  <c r="W699" i="55" s="1"/>
  <c r="Y700" i="55"/>
  <c r="W700" i="55" s="1"/>
  <c r="Y701" i="55"/>
  <c r="W701" i="55" s="1"/>
  <c r="Y702" i="55"/>
  <c r="W702" i="55" s="1"/>
  <c r="Y703" i="55"/>
  <c r="W703" i="55" s="1"/>
  <c r="Y704" i="55"/>
  <c r="W704" i="55" s="1"/>
  <c r="Y705" i="55"/>
  <c r="W705" i="55" s="1"/>
  <c r="Y706" i="55"/>
  <c r="W706" i="55" s="1"/>
  <c r="Y707" i="55"/>
  <c r="W707" i="55" s="1"/>
  <c r="Y708" i="55"/>
  <c r="W708" i="55" s="1"/>
  <c r="Y709" i="55"/>
  <c r="W709" i="55" s="1"/>
  <c r="Y710" i="55"/>
  <c r="W710" i="55" s="1"/>
  <c r="Y711" i="55"/>
  <c r="W711" i="55" s="1"/>
  <c r="Y712" i="55"/>
  <c r="W712" i="55" s="1"/>
  <c r="Y713" i="55"/>
  <c r="W713" i="55" s="1"/>
  <c r="Y714" i="55"/>
  <c r="W714" i="55" s="1"/>
  <c r="Y715" i="55"/>
  <c r="W715" i="55" s="1"/>
  <c r="Y716" i="55"/>
  <c r="W716" i="55" s="1"/>
  <c r="Y717" i="55"/>
  <c r="W717" i="55" s="1"/>
  <c r="Y718" i="55"/>
  <c r="W718" i="55" s="1"/>
  <c r="Y719" i="55"/>
  <c r="W719" i="55" s="1"/>
  <c r="Y720" i="55"/>
  <c r="W720" i="55" s="1"/>
  <c r="Y721" i="55"/>
  <c r="W721" i="55" s="1"/>
  <c r="Y722" i="55"/>
  <c r="W722" i="55" s="1"/>
  <c r="Y723" i="55"/>
  <c r="W723" i="55" s="1"/>
  <c r="Y724" i="55"/>
  <c r="W724" i="55" s="1"/>
  <c r="Y725" i="55"/>
  <c r="W725" i="55" s="1"/>
  <c r="Y726" i="55"/>
  <c r="W726" i="55" s="1"/>
  <c r="Y727" i="55"/>
  <c r="W727" i="55" s="1"/>
  <c r="Y728" i="55"/>
  <c r="W728" i="55" s="1"/>
  <c r="Y729" i="55"/>
  <c r="W729" i="55" s="1"/>
  <c r="Y730" i="55"/>
  <c r="W730" i="55" s="1"/>
  <c r="Y731" i="55"/>
  <c r="W731" i="55" s="1"/>
  <c r="Y732" i="55"/>
  <c r="W732" i="55" s="1"/>
  <c r="Y733" i="55"/>
  <c r="W733" i="55" s="1"/>
  <c r="Y734" i="55"/>
  <c r="W734" i="55" s="1"/>
  <c r="Y735" i="55"/>
  <c r="W735" i="55" s="1"/>
  <c r="Y736" i="55"/>
  <c r="W736" i="55" s="1"/>
  <c r="Y737" i="55"/>
  <c r="W737" i="55" s="1"/>
  <c r="Y738" i="55"/>
  <c r="W738" i="55" s="1"/>
  <c r="Y739" i="55"/>
  <c r="W739" i="55" s="1"/>
  <c r="Y740" i="55"/>
  <c r="W740" i="55" s="1"/>
  <c r="Y741" i="55"/>
  <c r="W741" i="55" s="1"/>
  <c r="Y742" i="55"/>
  <c r="W742" i="55" s="1"/>
  <c r="Y743" i="55"/>
  <c r="W743" i="55" s="1"/>
  <c r="Y744" i="55"/>
  <c r="W744" i="55" s="1"/>
  <c r="Y745" i="55"/>
  <c r="W745" i="55" s="1"/>
  <c r="Y746" i="55"/>
  <c r="W746" i="55" s="1"/>
  <c r="Y747" i="55"/>
  <c r="W747" i="55" s="1"/>
  <c r="Y748" i="55"/>
  <c r="W748" i="55" s="1"/>
  <c r="Y749" i="55"/>
  <c r="W749" i="55" s="1"/>
  <c r="Y750" i="55"/>
  <c r="W750" i="55" s="1"/>
  <c r="Y751" i="55"/>
  <c r="W751" i="55" s="1"/>
  <c r="Y752" i="55"/>
  <c r="W752" i="55" s="1"/>
  <c r="Y753" i="55"/>
  <c r="W753" i="55" s="1"/>
  <c r="Y754" i="55"/>
  <c r="W754" i="55" s="1"/>
  <c r="Y755" i="55"/>
  <c r="W755" i="55" s="1"/>
  <c r="Y756" i="55"/>
  <c r="W756" i="55" s="1"/>
  <c r="Y757" i="55"/>
  <c r="W757" i="55" s="1"/>
  <c r="Y758" i="55"/>
  <c r="W758" i="55" s="1"/>
  <c r="Y759" i="55"/>
  <c r="W759" i="55" s="1"/>
  <c r="Y760" i="55"/>
  <c r="W760" i="55" s="1"/>
  <c r="Y761" i="55"/>
  <c r="W761" i="55" s="1"/>
  <c r="Y762" i="55"/>
  <c r="W762" i="55" s="1"/>
  <c r="Y763" i="55"/>
  <c r="W763" i="55" s="1"/>
  <c r="Y764" i="55"/>
  <c r="W764" i="55" s="1"/>
  <c r="Y765" i="55"/>
  <c r="W765" i="55" s="1"/>
  <c r="Y766" i="55"/>
  <c r="W766" i="55" s="1"/>
  <c r="Y767" i="55"/>
  <c r="W767" i="55" s="1"/>
  <c r="Y768" i="55"/>
  <c r="W768" i="55" s="1"/>
  <c r="Y769" i="55"/>
  <c r="W769" i="55" s="1"/>
  <c r="Y770" i="55"/>
  <c r="W770" i="55" s="1"/>
  <c r="Y771" i="55"/>
  <c r="W771" i="55" s="1"/>
  <c r="Y772" i="55"/>
  <c r="W772" i="55" s="1"/>
  <c r="Y773" i="55"/>
  <c r="W773" i="55" s="1"/>
  <c r="Y774" i="55"/>
  <c r="W774" i="55" s="1"/>
  <c r="Y775" i="55"/>
  <c r="W775" i="55" s="1"/>
  <c r="Y776" i="55"/>
  <c r="W776" i="55" s="1"/>
  <c r="Y777" i="55"/>
  <c r="W777" i="55" s="1"/>
  <c r="Y778" i="55"/>
  <c r="W778" i="55" s="1"/>
  <c r="Y779" i="55"/>
  <c r="W779" i="55" s="1"/>
  <c r="Y780" i="55"/>
  <c r="W780" i="55" s="1"/>
  <c r="Y781" i="55"/>
  <c r="W781" i="55" s="1"/>
  <c r="Y782" i="55"/>
  <c r="W782" i="55" s="1"/>
  <c r="Y783" i="55"/>
  <c r="W783" i="55" s="1"/>
  <c r="Y784" i="55"/>
  <c r="W784" i="55" s="1"/>
  <c r="Y785" i="55"/>
  <c r="W785" i="55" s="1"/>
  <c r="Y786" i="55"/>
  <c r="W786" i="55" s="1"/>
  <c r="Y787" i="55"/>
  <c r="W787" i="55" s="1"/>
  <c r="Y788" i="55"/>
  <c r="W788" i="55" s="1"/>
  <c r="Y789" i="55"/>
  <c r="W789" i="55" s="1"/>
  <c r="Y790" i="55"/>
  <c r="W790" i="55" s="1"/>
  <c r="Y791" i="55"/>
  <c r="W791" i="55" s="1"/>
  <c r="Y792" i="55"/>
  <c r="W792" i="55" s="1"/>
  <c r="Y793" i="55"/>
  <c r="W793" i="55" s="1"/>
  <c r="Y794" i="55"/>
  <c r="W794" i="55" s="1"/>
  <c r="Y795" i="55"/>
  <c r="W795" i="55" s="1"/>
  <c r="Y796" i="55"/>
  <c r="W796" i="55" s="1"/>
  <c r="Y797" i="55"/>
  <c r="W797" i="55" s="1"/>
  <c r="Y798" i="55"/>
  <c r="W798" i="55" s="1"/>
  <c r="Y799" i="55"/>
  <c r="W799" i="55" s="1"/>
  <c r="Y800" i="55"/>
  <c r="W800" i="55" s="1"/>
  <c r="Y801" i="55"/>
  <c r="W801" i="55" s="1"/>
  <c r="Y802" i="55"/>
  <c r="W802" i="55" s="1"/>
  <c r="Y803" i="55"/>
  <c r="W803" i="55" s="1"/>
  <c r="Y804" i="55"/>
  <c r="W804" i="55" s="1"/>
  <c r="Y805" i="55"/>
  <c r="W805" i="55" s="1"/>
  <c r="Y806" i="55"/>
  <c r="W806" i="55" s="1"/>
  <c r="Y807" i="55"/>
  <c r="W807" i="55" s="1"/>
  <c r="Y808" i="55"/>
  <c r="W808" i="55" s="1"/>
  <c r="Y809" i="55"/>
  <c r="W809" i="55" s="1"/>
  <c r="Y810" i="55"/>
  <c r="W810" i="55" s="1"/>
  <c r="Y811" i="55"/>
  <c r="W811" i="55" s="1"/>
  <c r="Y812" i="55"/>
  <c r="W812" i="55" s="1"/>
  <c r="Y813" i="55"/>
  <c r="W813" i="55" s="1"/>
  <c r="Y814" i="55"/>
  <c r="W814" i="55" s="1"/>
  <c r="Y815" i="55"/>
  <c r="W815" i="55" s="1"/>
  <c r="Y816" i="55"/>
  <c r="W816" i="55" s="1"/>
  <c r="Y817" i="55"/>
  <c r="W817" i="55" s="1"/>
  <c r="Y818" i="55"/>
  <c r="W818" i="55" s="1"/>
  <c r="Y819" i="55"/>
  <c r="W819" i="55" s="1"/>
  <c r="Y820" i="55"/>
  <c r="W820" i="55" s="1"/>
  <c r="Y821" i="55"/>
  <c r="W821" i="55" s="1"/>
  <c r="Y822" i="55"/>
  <c r="W822" i="55" s="1"/>
  <c r="Y823" i="55"/>
  <c r="W823" i="55" s="1"/>
  <c r="Y824" i="55"/>
  <c r="W824" i="55" s="1"/>
  <c r="Y825" i="55"/>
  <c r="W825" i="55" s="1"/>
  <c r="Y826" i="55"/>
  <c r="W826" i="55" s="1"/>
  <c r="Y827" i="55"/>
  <c r="W827" i="55" s="1"/>
  <c r="Y828" i="55"/>
  <c r="W828" i="55" s="1"/>
  <c r="Y829" i="55"/>
  <c r="W829" i="55" s="1"/>
  <c r="Y830" i="55"/>
  <c r="W830" i="55" s="1"/>
  <c r="Y831" i="55"/>
  <c r="W831" i="55" s="1"/>
  <c r="Y832" i="55"/>
  <c r="W832" i="55" s="1"/>
  <c r="Y833" i="55"/>
  <c r="W833" i="55" s="1"/>
  <c r="Y834" i="55"/>
  <c r="W834" i="55" s="1"/>
  <c r="Y835" i="55"/>
  <c r="W835" i="55" s="1"/>
  <c r="Y836" i="55"/>
  <c r="W836" i="55" s="1"/>
  <c r="Y837" i="55"/>
  <c r="W837" i="55" s="1"/>
  <c r="Y838" i="55"/>
  <c r="W838" i="55" s="1"/>
  <c r="Y839" i="55"/>
  <c r="W839" i="55" s="1"/>
  <c r="Y840" i="55"/>
  <c r="W840" i="55" s="1"/>
  <c r="Y841" i="55"/>
  <c r="W841" i="55" s="1"/>
  <c r="Y842" i="55"/>
  <c r="W842" i="55" s="1"/>
  <c r="Y843" i="55"/>
  <c r="W843" i="55" s="1"/>
  <c r="Y844" i="55"/>
  <c r="W844" i="55" s="1"/>
  <c r="Y845" i="55"/>
  <c r="W845" i="55" s="1"/>
  <c r="Y846" i="55"/>
  <c r="W846" i="55" s="1"/>
  <c r="Y847" i="55"/>
  <c r="W847" i="55" s="1"/>
  <c r="Y848" i="55"/>
  <c r="W848" i="55" s="1"/>
  <c r="Y849" i="55"/>
  <c r="W849" i="55" s="1"/>
  <c r="Y850" i="55"/>
  <c r="W850" i="55" s="1"/>
  <c r="Y851" i="55"/>
  <c r="W851" i="55" s="1"/>
  <c r="Y852" i="55"/>
  <c r="W852" i="55" s="1"/>
  <c r="Y853" i="55"/>
  <c r="W853" i="55" s="1"/>
  <c r="Y854" i="55"/>
  <c r="W854" i="55" s="1"/>
  <c r="Y855" i="55"/>
  <c r="W855" i="55" s="1"/>
  <c r="Y856" i="55"/>
  <c r="W856" i="55" s="1"/>
  <c r="Y857" i="55"/>
  <c r="W857" i="55" s="1"/>
  <c r="Y858" i="55"/>
  <c r="W858" i="55" s="1"/>
  <c r="Y859" i="55"/>
  <c r="W859" i="55" s="1"/>
  <c r="Y860" i="55"/>
  <c r="W860" i="55" s="1"/>
  <c r="Y861" i="55"/>
  <c r="W861" i="55" s="1"/>
  <c r="Y862" i="55"/>
  <c r="W862" i="55" s="1"/>
  <c r="Y863" i="55"/>
  <c r="W863" i="55" s="1"/>
  <c r="Y864" i="55"/>
  <c r="W864" i="55" s="1"/>
  <c r="Y865" i="55"/>
  <c r="W865" i="55" s="1"/>
  <c r="Y866" i="55"/>
  <c r="W866" i="55" s="1"/>
  <c r="Y867" i="55"/>
  <c r="W867" i="55" s="1"/>
  <c r="Y868" i="55"/>
  <c r="W868" i="55" s="1"/>
  <c r="Y869" i="55"/>
  <c r="W869" i="55" s="1"/>
  <c r="Y870" i="55"/>
  <c r="W870" i="55" s="1"/>
  <c r="Y871" i="55"/>
  <c r="W871" i="55" s="1"/>
  <c r="Y872" i="55"/>
  <c r="W872" i="55" s="1"/>
  <c r="Y873" i="55"/>
  <c r="W873" i="55" s="1"/>
  <c r="Y874" i="55"/>
  <c r="W874" i="55" s="1"/>
  <c r="Y875" i="55"/>
  <c r="W875" i="55" s="1"/>
  <c r="Y876" i="55"/>
  <c r="W876" i="55" s="1"/>
  <c r="Y877" i="55"/>
  <c r="W877" i="55" s="1"/>
  <c r="Y878" i="55"/>
  <c r="W878" i="55" s="1"/>
  <c r="Y879" i="55"/>
  <c r="W879" i="55" s="1"/>
  <c r="Y880" i="55"/>
  <c r="W880" i="55" s="1"/>
  <c r="Y881" i="55"/>
  <c r="W881" i="55" s="1"/>
  <c r="Y882" i="55"/>
  <c r="W882" i="55" s="1"/>
  <c r="Y883" i="55"/>
  <c r="W883" i="55" s="1"/>
  <c r="Y884" i="55"/>
  <c r="W884" i="55" s="1"/>
  <c r="Y885" i="55"/>
  <c r="W885" i="55" s="1"/>
  <c r="Y886" i="55"/>
  <c r="W886" i="55" s="1"/>
  <c r="Y887" i="55"/>
  <c r="W887" i="55" s="1"/>
  <c r="Y888" i="55"/>
  <c r="W888" i="55" s="1"/>
  <c r="Y889" i="55"/>
  <c r="W889" i="55" s="1"/>
  <c r="Y890" i="55"/>
  <c r="W890" i="55" s="1"/>
  <c r="Y891" i="55"/>
  <c r="W891" i="55" s="1"/>
  <c r="Y892" i="55"/>
  <c r="W892" i="55" s="1"/>
  <c r="Y893" i="55"/>
  <c r="W893" i="55" s="1"/>
  <c r="Y894" i="55"/>
  <c r="W894" i="55" s="1"/>
  <c r="Y895" i="55"/>
  <c r="W895" i="55" s="1"/>
  <c r="Y896" i="55"/>
  <c r="W896" i="55" s="1"/>
  <c r="Y897" i="55"/>
  <c r="W897" i="55" s="1"/>
  <c r="Y898" i="55"/>
  <c r="W898" i="55" s="1"/>
  <c r="Y899" i="55"/>
  <c r="W899" i="55" s="1"/>
  <c r="Y900" i="55"/>
  <c r="W900" i="55" s="1"/>
  <c r="Y901" i="55"/>
  <c r="W901" i="55" s="1"/>
  <c r="Y902" i="55"/>
  <c r="W902" i="55" s="1"/>
  <c r="Y903" i="55"/>
  <c r="W903" i="55" s="1"/>
  <c r="Y904" i="55"/>
  <c r="W904" i="55" s="1"/>
  <c r="Y905" i="55"/>
  <c r="W905" i="55" s="1"/>
  <c r="Y906" i="55"/>
  <c r="W906" i="55" s="1"/>
  <c r="Y907" i="55"/>
  <c r="W907" i="55" s="1"/>
  <c r="Y908" i="55"/>
  <c r="W908" i="55" s="1"/>
  <c r="Y909" i="55"/>
  <c r="W909" i="55" s="1"/>
  <c r="Y910" i="55"/>
  <c r="W910" i="55" s="1"/>
  <c r="Y911" i="55"/>
  <c r="W911" i="55" s="1"/>
  <c r="Y912" i="55"/>
  <c r="W912" i="55" s="1"/>
  <c r="Y913" i="55"/>
  <c r="W913" i="55" s="1"/>
  <c r="Y914" i="55"/>
  <c r="W914" i="55" s="1"/>
  <c r="Y915" i="55"/>
  <c r="W915" i="55" s="1"/>
  <c r="Y916" i="55"/>
  <c r="W916" i="55" s="1"/>
  <c r="Y917" i="55"/>
  <c r="W917" i="55" s="1"/>
  <c r="Y918" i="55"/>
  <c r="W918" i="55" s="1"/>
  <c r="Y919" i="55"/>
  <c r="W919" i="55" s="1"/>
  <c r="Y920" i="55"/>
  <c r="W920" i="55" s="1"/>
  <c r="Y921" i="55"/>
  <c r="W921" i="55" s="1"/>
  <c r="Y922" i="55"/>
  <c r="W922" i="55" s="1"/>
  <c r="Y923" i="55"/>
  <c r="W923" i="55" s="1"/>
  <c r="Y924" i="55"/>
  <c r="W924" i="55" s="1"/>
  <c r="Y925" i="55"/>
  <c r="W925" i="55" s="1"/>
  <c r="Y926" i="55"/>
  <c r="W926" i="55" s="1"/>
  <c r="Y927" i="55"/>
  <c r="W927" i="55" s="1"/>
  <c r="Y928" i="55"/>
  <c r="W928" i="55" s="1"/>
  <c r="Y929" i="55"/>
  <c r="W929" i="55" s="1"/>
  <c r="Y930" i="55"/>
  <c r="W930" i="55" s="1"/>
  <c r="Y931" i="55"/>
  <c r="W931" i="55" s="1"/>
  <c r="Y932" i="55"/>
  <c r="W932" i="55" s="1"/>
  <c r="Y933" i="55"/>
  <c r="W933" i="55" s="1"/>
  <c r="Y934" i="55"/>
  <c r="W934" i="55" s="1"/>
  <c r="Y935" i="55"/>
  <c r="W935" i="55" s="1"/>
  <c r="Y936" i="55"/>
  <c r="W936" i="55" s="1"/>
  <c r="Y937" i="55"/>
  <c r="W937" i="55" s="1"/>
  <c r="Y938" i="55"/>
  <c r="W938" i="55" s="1"/>
  <c r="Y939" i="55"/>
  <c r="W939" i="55" s="1"/>
  <c r="Y940" i="55"/>
  <c r="W940" i="55" s="1"/>
  <c r="Y941" i="55"/>
  <c r="W941" i="55" s="1"/>
  <c r="Y942" i="55"/>
  <c r="W942" i="55" s="1"/>
  <c r="Y943" i="55"/>
  <c r="W943" i="55" s="1"/>
  <c r="Y944" i="55"/>
  <c r="W944" i="55" s="1"/>
  <c r="Y945" i="55"/>
  <c r="W945" i="55" s="1"/>
  <c r="Y946" i="55"/>
  <c r="W946" i="55" s="1"/>
  <c r="Y947" i="55"/>
  <c r="W947" i="55" s="1"/>
  <c r="Y948" i="55"/>
  <c r="W948" i="55" s="1"/>
  <c r="Y949" i="55"/>
  <c r="W949" i="55" s="1"/>
  <c r="Y950" i="55"/>
  <c r="W950" i="55" s="1"/>
  <c r="Y951" i="55"/>
  <c r="W951" i="55" s="1"/>
  <c r="Y952" i="55"/>
  <c r="W952" i="55" s="1"/>
  <c r="Y953" i="55"/>
  <c r="W953" i="55" s="1"/>
  <c r="Y954" i="55"/>
  <c r="W954" i="55" s="1"/>
  <c r="Y955" i="55"/>
  <c r="W955" i="55" s="1"/>
  <c r="Y956" i="55"/>
  <c r="W956" i="55" s="1"/>
  <c r="Y957" i="55"/>
  <c r="W957" i="55" s="1"/>
  <c r="Y958" i="55"/>
  <c r="W958" i="55" s="1"/>
  <c r="Y959" i="55"/>
  <c r="W959" i="55" s="1"/>
  <c r="Y960" i="55"/>
  <c r="W960" i="55" s="1"/>
  <c r="Y961" i="55"/>
  <c r="W961" i="55" s="1"/>
  <c r="Y962" i="55"/>
  <c r="W962" i="55" s="1"/>
  <c r="Y963" i="55"/>
  <c r="W963" i="55" s="1"/>
  <c r="Y964" i="55"/>
  <c r="W964" i="55" s="1"/>
  <c r="Y965" i="55"/>
  <c r="W965" i="55" s="1"/>
  <c r="Y966" i="55"/>
  <c r="W966" i="55" s="1"/>
  <c r="Y967" i="55"/>
  <c r="W967" i="55" s="1"/>
  <c r="Y968" i="55"/>
  <c r="W968" i="55" s="1"/>
  <c r="Y969" i="55"/>
  <c r="W969" i="55" s="1"/>
  <c r="Y970" i="55"/>
  <c r="W970" i="55" s="1"/>
  <c r="Y971" i="55"/>
  <c r="W971" i="55" s="1"/>
  <c r="Y972" i="55"/>
  <c r="W972" i="55" s="1"/>
  <c r="Y973" i="55"/>
  <c r="W973" i="55" s="1"/>
  <c r="Y974" i="55"/>
  <c r="W974" i="55" s="1"/>
  <c r="Y975" i="55"/>
  <c r="W975" i="55" s="1"/>
  <c r="Y976" i="55"/>
  <c r="W976" i="55" s="1"/>
  <c r="Y977" i="55"/>
  <c r="W977" i="55" s="1"/>
  <c r="Y978" i="55"/>
  <c r="W978" i="55" s="1"/>
  <c r="Y979" i="55"/>
  <c r="W979" i="55" s="1"/>
  <c r="Y980" i="55"/>
  <c r="W980" i="55" s="1"/>
  <c r="Y24" i="54"/>
  <c r="W24" i="54" s="1"/>
  <c r="Y25" i="54"/>
  <c r="W25" i="54" s="1"/>
  <c r="Y26" i="54"/>
  <c r="W26" i="54" s="1"/>
  <c r="Y27" i="54"/>
  <c r="W27" i="54" s="1"/>
  <c r="Y28" i="54"/>
  <c r="W28" i="54" s="1"/>
  <c r="Y29" i="54"/>
  <c r="W29" i="54" s="1"/>
  <c r="Y30" i="54"/>
  <c r="W30" i="54" s="1"/>
  <c r="Y31" i="54"/>
  <c r="W31" i="54" s="1"/>
  <c r="Y32" i="54"/>
  <c r="W32" i="54" s="1"/>
  <c r="Y33" i="54"/>
  <c r="W33" i="54" s="1"/>
  <c r="Y34" i="54"/>
  <c r="W34" i="54" s="1"/>
  <c r="Y35" i="54"/>
  <c r="W35" i="54" s="1"/>
  <c r="Y36" i="54"/>
  <c r="W36" i="54" s="1"/>
  <c r="Y37" i="54"/>
  <c r="W37" i="54" s="1"/>
  <c r="Y38" i="54"/>
  <c r="W38" i="54" s="1"/>
  <c r="Y39" i="54"/>
  <c r="W39" i="54" s="1"/>
  <c r="Y40" i="54"/>
  <c r="W40" i="54" s="1"/>
  <c r="Y41" i="54"/>
  <c r="W41" i="54" s="1"/>
  <c r="Y42" i="54"/>
  <c r="W42" i="54" s="1"/>
  <c r="Y43" i="54"/>
  <c r="W43" i="54" s="1"/>
  <c r="Y44" i="54"/>
  <c r="W44" i="54" s="1"/>
  <c r="Y45" i="54"/>
  <c r="W45" i="54" s="1"/>
  <c r="Y46" i="54"/>
  <c r="W46" i="54" s="1"/>
  <c r="Y47" i="54"/>
  <c r="W47" i="54" s="1"/>
  <c r="Y48" i="54"/>
  <c r="W48" i="54" s="1"/>
  <c r="Y49" i="54"/>
  <c r="W49" i="54" s="1"/>
  <c r="Y50" i="54"/>
  <c r="W50" i="54" s="1"/>
  <c r="Y51" i="54"/>
  <c r="W51" i="54" s="1"/>
  <c r="Y52" i="54"/>
  <c r="W52" i="54" s="1"/>
  <c r="Y53" i="54"/>
  <c r="W53" i="54" s="1"/>
  <c r="Y54" i="54"/>
  <c r="W54" i="54" s="1"/>
  <c r="Y55" i="54"/>
  <c r="W55" i="54" s="1"/>
  <c r="Y56" i="54"/>
  <c r="W56" i="54" s="1"/>
  <c r="Y57" i="54"/>
  <c r="W57" i="54" s="1"/>
  <c r="Y58" i="54"/>
  <c r="W58" i="54" s="1"/>
  <c r="Y59" i="54"/>
  <c r="W59" i="54" s="1"/>
  <c r="Y60" i="54"/>
  <c r="W60" i="54" s="1"/>
  <c r="Y61" i="54"/>
  <c r="W61" i="54" s="1"/>
  <c r="Y62" i="54"/>
  <c r="W62" i="54" s="1"/>
  <c r="Y63" i="54"/>
  <c r="W63" i="54" s="1"/>
  <c r="Y64" i="54"/>
  <c r="W64" i="54" s="1"/>
  <c r="Y65" i="54"/>
  <c r="W65" i="54" s="1"/>
  <c r="Y66" i="54"/>
  <c r="W66" i="54" s="1"/>
  <c r="Y67" i="54"/>
  <c r="W67" i="54" s="1"/>
  <c r="Y68" i="54"/>
  <c r="W68" i="54" s="1"/>
  <c r="Y69" i="54"/>
  <c r="W69" i="54" s="1"/>
  <c r="Y70" i="54"/>
  <c r="W70" i="54" s="1"/>
  <c r="Y71" i="54"/>
  <c r="W71" i="54" s="1"/>
  <c r="Y72" i="54"/>
  <c r="W72" i="54" s="1"/>
  <c r="Y73" i="54"/>
  <c r="W73" i="54" s="1"/>
  <c r="Y74" i="54"/>
  <c r="W74" i="54" s="1"/>
  <c r="Y75" i="54"/>
  <c r="W75" i="54" s="1"/>
  <c r="Y76" i="54"/>
  <c r="W76" i="54" s="1"/>
  <c r="Y77" i="54"/>
  <c r="W77" i="54" s="1"/>
  <c r="Y78" i="54"/>
  <c r="W78" i="54" s="1"/>
  <c r="Y79" i="54"/>
  <c r="W79" i="54" s="1"/>
  <c r="Y80" i="54"/>
  <c r="W80" i="54" s="1"/>
  <c r="Y81" i="54"/>
  <c r="W81" i="54" s="1"/>
  <c r="Y82" i="54"/>
  <c r="W82" i="54" s="1"/>
  <c r="Y83" i="54"/>
  <c r="W83" i="54" s="1"/>
  <c r="Y84" i="54"/>
  <c r="W84" i="54" s="1"/>
  <c r="Y85" i="54"/>
  <c r="W85" i="54" s="1"/>
  <c r="Y86" i="54"/>
  <c r="W86" i="54" s="1"/>
  <c r="Y87" i="54"/>
  <c r="W87" i="54" s="1"/>
  <c r="Y88" i="54"/>
  <c r="W88" i="54" s="1"/>
  <c r="Y89" i="54"/>
  <c r="W89" i="54" s="1"/>
  <c r="Y90" i="54"/>
  <c r="W90" i="54" s="1"/>
  <c r="Y91" i="54"/>
  <c r="W91" i="54" s="1"/>
  <c r="Y92" i="54"/>
  <c r="W92" i="54" s="1"/>
  <c r="Y93" i="54"/>
  <c r="W93" i="54" s="1"/>
  <c r="Y94" i="54"/>
  <c r="W94" i="54" s="1"/>
  <c r="Y95" i="54"/>
  <c r="W95" i="54" s="1"/>
  <c r="Y96" i="54"/>
  <c r="W96" i="54" s="1"/>
  <c r="Y97" i="54"/>
  <c r="W97" i="54" s="1"/>
  <c r="Y98" i="54"/>
  <c r="W98" i="54" s="1"/>
  <c r="Y99" i="54"/>
  <c r="W99" i="54" s="1"/>
  <c r="Y100" i="54"/>
  <c r="W100" i="54" s="1"/>
  <c r="Y101" i="54"/>
  <c r="W101" i="54" s="1"/>
  <c r="Y102" i="54"/>
  <c r="W102" i="54" s="1"/>
  <c r="Y103" i="54"/>
  <c r="W103" i="54" s="1"/>
  <c r="Y104" i="54"/>
  <c r="W104" i="54" s="1"/>
  <c r="Y105" i="54"/>
  <c r="W105" i="54" s="1"/>
  <c r="Y106" i="54"/>
  <c r="W106" i="54" s="1"/>
  <c r="Y107" i="54"/>
  <c r="W107" i="54" s="1"/>
  <c r="Y108" i="54"/>
  <c r="W108" i="54" s="1"/>
  <c r="Y109" i="54"/>
  <c r="W109" i="54" s="1"/>
  <c r="Y110" i="54"/>
  <c r="W110" i="54" s="1"/>
  <c r="Y111" i="54"/>
  <c r="W111" i="54" s="1"/>
  <c r="Y112" i="54"/>
  <c r="W112" i="54" s="1"/>
  <c r="Y113" i="54"/>
  <c r="W113" i="54" s="1"/>
  <c r="Y114" i="54"/>
  <c r="W114" i="54" s="1"/>
  <c r="Y115" i="54"/>
  <c r="W115" i="54" s="1"/>
  <c r="Y116" i="54"/>
  <c r="W116" i="54" s="1"/>
  <c r="Y117" i="54"/>
  <c r="W117" i="54" s="1"/>
  <c r="Y118" i="54"/>
  <c r="W118" i="54" s="1"/>
  <c r="Y119" i="54"/>
  <c r="W119" i="54" s="1"/>
  <c r="Y120" i="54"/>
  <c r="W120" i="54" s="1"/>
  <c r="Y121" i="54"/>
  <c r="W121" i="54" s="1"/>
  <c r="Y122" i="54"/>
  <c r="W122" i="54" s="1"/>
  <c r="Y123" i="54"/>
  <c r="W123" i="54" s="1"/>
  <c r="Y124" i="54"/>
  <c r="W124" i="54" s="1"/>
  <c r="Y125" i="54"/>
  <c r="W125" i="54" s="1"/>
  <c r="Y126" i="54"/>
  <c r="W126" i="54" s="1"/>
  <c r="Y127" i="54"/>
  <c r="W127" i="54" s="1"/>
  <c r="Y128" i="54"/>
  <c r="W128" i="54" s="1"/>
  <c r="Y129" i="54"/>
  <c r="W129" i="54" s="1"/>
  <c r="Y130" i="54"/>
  <c r="W130" i="54" s="1"/>
  <c r="Y131" i="54"/>
  <c r="W131" i="54" s="1"/>
  <c r="Y132" i="54"/>
  <c r="W132" i="54" s="1"/>
  <c r="Y133" i="54"/>
  <c r="W133" i="54" s="1"/>
  <c r="Y134" i="54"/>
  <c r="W134" i="54" s="1"/>
  <c r="Y135" i="54"/>
  <c r="W135" i="54" s="1"/>
  <c r="Y136" i="54"/>
  <c r="W136" i="54" s="1"/>
  <c r="Y137" i="54"/>
  <c r="W137" i="54" s="1"/>
  <c r="Y138" i="54"/>
  <c r="W138" i="54" s="1"/>
  <c r="Y139" i="54"/>
  <c r="W139" i="54" s="1"/>
  <c r="Y140" i="54"/>
  <c r="W140" i="54" s="1"/>
  <c r="Y141" i="54"/>
  <c r="W141" i="54" s="1"/>
  <c r="Y142" i="54"/>
  <c r="W142" i="54" s="1"/>
  <c r="Y143" i="54"/>
  <c r="W143" i="54" s="1"/>
  <c r="Y144" i="54"/>
  <c r="W144" i="54" s="1"/>
  <c r="Y145" i="54"/>
  <c r="W145" i="54" s="1"/>
  <c r="Y146" i="54"/>
  <c r="W146" i="54" s="1"/>
  <c r="Y147" i="54"/>
  <c r="W147" i="54" s="1"/>
  <c r="Y148" i="54"/>
  <c r="W148" i="54" s="1"/>
  <c r="Y149" i="54"/>
  <c r="W149" i="54" s="1"/>
  <c r="Y150" i="54"/>
  <c r="W150" i="54" s="1"/>
  <c r="Y151" i="54"/>
  <c r="W151" i="54" s="1"/>
  <c r="Y152" i="54"/>
  <c r="W152" i="54" s="1"/>
  <c r="Y153" i="54"/>
  <c r="W153" i="54" s="1"/>
  <c r="Y154" i="54"/>
  <c r="W154" i="54" s="1"/>
  <c r="Y155" i="54"/>
  <c r="W155" i="54" s="1"/>
  <c r="Y156" i="54"/>
  <c r="W156" i="54" s="1"/>
  <c r="Y157" i="54"/>
  <c r="W157" i="54" s="1"/>
  <c r="Y158" i="54"/>
  <c r="W158" i="54" s="1"/>
  <c r="Y159" i="54"/>
  <c r="W159" i="54" s="1"/>
  <c r="Y160" i="54"/>
  <c r="W160" i="54" s="1"/>
  <c r="Y161" i="54"/>
  <c r="W161" i="54" s="1"/>
  <c r="Y162" i="54"/>
  <c r="W162" i="54" s="1"/>
  <c r="Y163" i="54"/>
  <c r="W163" i="54" s="1"/>
  <c r="Y164" i="54"/>
  <c r="W164" i="54" s="1"/>
  <c r="Y165" i="54"/>
  <c r="W165" i="54" s="1"/>
  <c r="Y166" i="54"/>
  <c r="W166" i="54" s="1"/>
  <c r="Y167" i="54"/>
  <c r="W167" i="54" s="1"/>
  <c r="Y168" i="54"/>
  <c r="W168" i="54" s="1"/>
  <c r="Y169" i="54"/>
  <c r="W169" i="54" s="1"/>
  <c r="Y170" i="54"/>
  <c r="W170" i="54" s="1"/>
  <c r="Y171" i="54"/>
  <c r="W171" i="54" s="1"/>
  <c r="Y172" i="54"/>
  <c r="W172" i="54" s="1"/>
  <c r="Y173" i="54"/>
  <c r="W173" i="54" s="1"/>
  <c r="Y174" i="54"/>
  <c r="W174" i="54" s="1"/>
  <c r="Y175" i="54"/>
  <c r="W175" i="54" s="1"/>
  <c r="Y176" i="54"/>
  <c r="W176" i="54" s="1"/>
  <c r="Y177" i="54"/>
  <c r="W177" i="54" s="1"/>
  <c r="Y178" i="54"/>
  <c r="W178" i="54" s="1"/>
  <c r="Y179" i="54"/>
  <c r="W179" i="54" s="1"/>
  <c r="Y180" i="54"/>
  <c r="W180" i="54" s="1"/>
  <c r="Y181" i="54"/>
  <c r="W181" i="54" s="1"/>
  <c r="Y182" i="54"/>
  <c r="W182" i="54" s="1"/>
  <c r="Y183" i="54"/>
  <c r="W183" i="54" s="1"/>
  <c r="Y184" i="54"/>
  <c r="W184" i="54" s="1"/>
  <c r="Y185" i="54"/>
  <c r="W185" i="54" s="1"/>
  <c r="Y186" i="54"/>
  <c r="W186" i="54" s="1"/>
  <c r="Y187" i="54"/>
  <c r="W187" i="54" s="1"/>
  <c r="Y188" i="54"/>
  <c r="W188" i="54" s="1"/>
  <c r="Y189" i="54"/>
  <c r="W189" i="54" s="1"/>
  <c r="Y190" i="54"/>
  <c r="W190" i="54" s="1"/>
  <c r="Y191" i="54"/>
  <c r="W191" i="54" s="1"/>
  <c r="Y192" i="54"/>
  <c r="W192" i="54" s="1"/>
  <c r="Y193" i="54"/>
  <c r="W193" i="54" s="1"/>
  <c r="Y194" i="54"/>
  <c r="W194" i="54" s="1"/>
  <c r="Y195" i="54"/>
  <c r="W195" i="54" s="1"/>
  <c r="Y196" i="54"/>
  <c r="W196" i="54" s="1"/>
  <c r="Y197" i="54"/>
  <c r="W197" i="54" s="1"/>
  <c r="Y198" i="54"/>
  <c r="W198" i="54" s="1"/>
  <c r="Y199" i="54"/>
  <c r="W199" i="54" s="1"/>
  <c r="Y200" i="54"/>
  <c r="W200" i="54" s="1"/>
  <c r="Y201" i="54"/>
  <c r="W201" i="54" s="1"/>
  <c r="Y202" i="54"/>
  <c r="W202" i="54" s="1"/>
  <c r="Y203" i="54"/>
  <c r="W203" i="54" s="1"/>
  <c r="Y204" i="54"/>
  <c r="W204" i="54" s="1"/>
  <c r="Y205" i="54"/>
  <c r="W205" i="54" s="1"/>
  <c r="Y206" i="54"/>
  <c r="W206" i="54" s="1"/>
  <c r="Y207" i="54"/>
  <c r="W207" i="54" s="1"/>
  <c r="Y208" i="54"/>
  <c r="W208" i="54" s="1"/>
  <c r="Y209" i="54"/>
  <c r="W209" i="54" s="1"/>
  <c r="Y210" i="54"/>
  <c r="W210" i="54" s="1"/>
  <c r="Y211" i="54"/>
  <c r="W211" i="54" s="1"/>
  <c r="Y212" i="54"/>
  <c r="W212" i="54" s="1"/>
  <c r="Y213" i="54"/>
  <c r="W213" i="54" s="1"/>
  <c r="Y214" i="54"/>
  <c r="W214" i="54" s="1"/>
  <c r="Y215" i="54"/>
  <c r="W215" i="54" s="1"/>
  <c r="Y216" i="54"/>
  <c r="W216" i="54" s="1"/>
  <c r="Y217" i="54"/>
  <c r="W217" i="54" s="1"/>
  <c r="Y218" i="54"/>
  <c r="W218" i="54" s="1"/>
  <c r="Y219" i="54"/>
  <c r="W219" i="54" s="1"/>
  <c r="Y220" i="54"/>
  <c r="W220" i="54" s="1"/>
  <c r="Y221" i="54"/>
  <c r="W221" i="54" s="1"/>
  <c r="Y222" i="54"/>
  <c r="W222" i="54" s="1"/>
  <c r="Y223" i="54"/>
  <c r="W223" i="54" s="1"/>
  <c r="Y224" i="54"/>
  <c r="W224" i="54" s="1"/>
  <c r="Y225" i="54"/>
  <c r="W225" i="54" s="1"/>
  <c r="Y226" i="54"/>
  <c r="W226" i="54" s="1"/>
  <c r="Y227" i="54"/>
  <c r="W227" i="54" s="1"/>
  <c r="Y228" i="54"/>
  <c r="W228" i="54" s="1"/>
  <c r="Y229" i="54"/>
  <c r="W229" i="54" s="1"/>
  <c r="Y230" i="54"/>
  <c r="W230" i="54" s="1"/>
  <c r="Y231" i="54"/>
  <c r="W231" i="54" s="1"/>
  <c r="Y232" i="54"/>
  <c r="W232" i="54" s="1"/>
  <c r="Y233" i="54"/>
  <c r="W233" i="54" s="1"/>
  <c r="Y234" i="54"/>
  <c r="W234" i="54" s="1"/>
  <c r="Y235" i="54"/>
  <c r="W235" i="54" s="1"/>
  <c r="Y236" i="54"/>
  <c r="W236" i="54" s="1"/>
  <c r="Y237" i="54"/>
  <c r="W237" i="54" s="1"/>
  <c r="Y238" i="54"/>
  <c r="W238" i="54" s="1"/>
  <c r="Y239" i="54"/>
  <c r="W239" i="54" s="1"/>
  <c r="Y240" i="54"/>
  <c r="W240" i="54" s="1"/>
  <c r="Y241" i="54"/>
  <c r="W241" i="54" s="1"/>
  <c r="Y242" i="54"/>
  <c r="W242" i="54" s="1"/>
  <c r="Y243" i="54"/>
  <c r="W243" i="54" s="1"/>
  <c r="Y244" i="54"/>
  <c r="W244" i="54" s="1"/>
  <c r="Y245" i="54"/>
  <c r="W245" i="54" s="1"/>
  <c r="Y246" i="54"/>
  <c r="W246" i="54" s="1"/>
  <c r="Y247" i="54"/>
  <c r="W247" i="54" s="1"/>
  <c r="Y248" i="54"/>
  <c r="W248" i="54" s="1"/>
  <c r="Y249" i="54"/>
  <c r="W249" i="54" s="1"/>
  <c r="Y250" i="54"/>
  <c r="W250" i="54" s="1"/>
  <c r="Y251" i="54"/>
  <c r="W251" i="54" s="1"/>
  <c r="Y252" i="54"/>
  <c r="W252" i="54" s="1"/>
  <c r="Y253" i="54"/>
  <c r="W253" i="54" s="1"/>
  <c r="Y254" i="54"/>
  <c r="W254" i="54" s="1"/>
  <c r="Y255" i="54"/>
  <c r="W255" i="54" s="1"/>
  <c r="Y256" i="54"/>
  <c r="W256" i="54" s="1"/>
  <c r="Y257" i="54"/>
  <c r="W257" i="54" s="1"/>
  <c r="Y258" i="54"/>
  <c r="W258" i="54" s="1"/>
  <c r="Y259" i="54"/>
  <c r="W259" i="54" s="1"/>
  <c r="Y260" i="54"/>
  <c r="W260" i="54" s="1"/>
  <c r="Y261" i="54"/>
  <c r="W261" i="54" s="1"/>
  <c r="Y262" i="54"/>
  <c r="W262" i="54" s="1"/>
  <c r="Y263" i="54"/>
  <c r="W263" i="54" s="1"/>
  <c r="Y264" i="54"/>
  <c r="W264" i="54" s="1"/>
  <c r="Y265" i="54"/>
  <c r="W265" i="54" s="1"/>
  <c r="Y266" i="54"/>
  <c r="W266" i="54" s="1"/>
  <c r="Y267" i="54"/>
  <c r="W267" i="54" s="1"/>
  <c r="Y268" i="54"/>
  <c r="W268" i="54" s="1"/>
  <c r="Y269" i="54"/>
  <c r="W269" i="54" s="1"/>
  <c r="Y270" i="54"/>
  <c r="W270" i="54" s="1"/>
  <c r="Y271" i="54"/>
  <c r="W271" i="54" s="1"/>
  <c r="Y272" i="54"/>
  <c r="W272" i="54" s="1"/>
  <c r="Y273" i="54"/>
  <c r="W273" i="54" s="1"/>
  <c r="Y274" i="54"/>
  <c r="W274" i="54" s="1"/>
  <c r="Y275" i="54"/>
  <c r="W275" i="54" s="1"/>
  <c r="Y276" i="54"/>
  <c r="W276" i="54" s="1"/>
  <c r="Y277" i="54"/>
  <c r="W277" i="54" s="1"/>
  <c r="Y278" i="54"/>
  <c r="W278" i="54" s="1"/>
  <c r="Y279" i="54"/>
  <c r="W279" i="54" s="1"/>
  <c r="Y280" i="54"/>
  <c r="W280" i="54" s="1"/>
  <c r="Y281" i="54"/>
  <c r="W281" i="54" s="1"/>
  <c r="Y282" i="54"/>
  <c r="W282" i="54" s="1"/>
  <c r="Y283" i="54"/>
  <c r="W283" i="54" s="1"/>
  <c r="Y284" i="54"/>
  <c r="W284" i="54" s="1"/>
  <c r="Y285" i="54"/>
  <c r="W285" i="54" s="1"/>
  <c r="Y286" i="54"/>
  <c r="W286" i="54" s="1"/>
  <c r="Y287" i="54"/>
  <c r="W287" i="54" s="1"/>
  <c r="Y288" i="54"/>
  <c r="W288" i="54" s="1"/>
  <c r="Y289" i="54"/>
  <c r="W289" i="54" s="1"/>
  <c r="Y290" i="54"/>
  <c r="W290" i="54" s="1"/>
  <c r="Y291" i="54"/>
  <c r="W291" i="54" s="1"/>
  <c r="Y292" i="54"/>
  <c r="W292" i="54" s="1"/>
  <c r="Y293" i="54"/>
  <c r="W293" i="54" s="1"/>
  <c r="Y294" i="54"/>
  <c r="W294" i="54" s="1"/>
  <c r="Y295" i="54"/>
  <c r="W295" i="54" s="1"/>
  <c r="Y296" i="54"/>
  <c r="W296" i="54" s="1"/>
  <c r="Y297" i="54"/>
  <c r="W297" i="54" s="1"/>
  <c r="Y298" i="54"/>
  <c r="W298" i="54" s="1"/>
  <c r="Y299" i="54"/>
  <c r="W299" i="54" s="1"/>
  <c r="Y300" i="54"/>
  <c r="W300" i="54" s="1"/>
  <c r="Y301" i="54"/>
  <c r="W301" i="54" s="1"/>
  <c r="Y302" i="54"/>
  <c r="W302" i="54" s="1"/>
  <c r="Y303" i="54"/>
  <c r="W303" i="54" s="1"/>
  <c r="Y304" i="54"/>
  <c r="W304" i="54" s="1"/>
  <c r="Y305" i="54"/>
  <c r="W305" i="54" s="1"/>
  <c r="Y306" i="54"/>
  <c r="W306" i="54" s="1"/>
  <c r="Y307" i="54"/>
  <c r="W307" i="54" s="1"/>
  <c r="Y308" i="54"/>
  <c r="W308" i="54" s="1"/>
  <c r="Y309" i="54"/>
  <c r="W309" i="54" s="1"/>
  <c r="Y310" i="54"/>
  <c r="W310" i="54" s="1"/>
  <c r="Y311" i="54"/>
  <c r="W311" i="54" s="1"/>
  <c r="Y312" i="54"/>
  <c r="W312" i="54" s="1"/>
  <c r="Y313" i="54"/>
  <c r="W313" i="54" s="1"/>
  <c r="Y314" i="54"/>
  <c r="W314" i="54" s="1"/>
  <c r="Y315" i="54"/>
  <c r="W315" i="54" s="1"/>
  <c r="Y316" i="54"/>
  <c r="W316" i="54" s="1"/>
  <c r="Y317" i="54"/>
  <c r="W317" i="54" s="1"/>
  <c r="Y318" i="54"/>
  <c r="W318" i="54" s="1"/>
  <c r="Y319" i="54"/>
  <c r="W319" i="54" s="1"/>
  <c r="Y320" i="54"/>
  <c r="W320" i="54" s="1"/>
  <c r="Y321" i="54"/>
  <c r="W321" i="54" s="1"/>
  <c r="Y322" i="54"/>
  <c r="W322" i="54" s="1"/>
  <c r="Y323" i="54"/>
  <c r="W323" i="54" s="1"/>
  <c r="Y324" i="54"/>
  <c r="W324" i="54" s="1"/>
  <c r="Y325" i="54"/>
  <c r="W325" i="54" s="1"/>
  <c r="Y326" i="54"/>
  <c r="W326" i="54" s="1"/>
  <c r="Y327" i="54"/>
  <c r="W327" i="54" s="1"/>
  <c r="Y328" i="54"/>
  <c r="W328" i="54" s="1"/>
  <c r="Y329" i="54"/>
  <c r="W329" i="54" s="1"/>
  <c r="Y330" i="54"/>
  <c r="W330" i="54" s="1"/>
  <c r="Y331" i="54"/>
  <c r="W331" i="54" s="1"/>
  <c r="Y332" i="54"/>
  <c r="W332" i="54" s="1"/>
  <c r="Y333" i="54"/>
  <c r="W333" i="54" s="1"/>
  <c r="Y334" i="54"/>
  <c r="W334" i="54" s="1"/>
  <c r="Y335" i="54"/>
  <c r="W335" i="54" s="1"/>
  <c r="Y336" i="54"/>
  <c r="W336" i="54" s="1"/>
  <c r="Y337" i="54"/>
  <c r="W337" i="54" s="1"/>
  <c r="Y338" i="54"/>
  <c r="W338" i="54" s="1"/>
  <c r="Y339" i="54"/>
  <c r="W339" i="54" s="1"/>
  <c r="Y340" i="54"/>
  <c r="W340" i="54" s="1"/>
  <c r="Y341" i="54"/>
  <c r="W341" i="54" s="1"/>
  <c r="Y342" i="54"/>
  <c r="W342" i="54" s="1"/>
  <c r="Y343" i="54"/>
  <c r="W343" i="54" s="1"/>
  <c r="Y344" i="54"/>
  <c r="W344" i="54" s="1"/>
  <c r="Y345" i="54"/>
  <c r="W345" i="54" s="1"/>
  <c r="Y346" i="54"/>
  <c r="W346" i="54" s="1"/>
  <c r="Y347" i="54"/>
  <c r="W347" i="54" s="1"/>
  <c r="Y348" i="54"/>
  <c r="W348" i="54" s="1"/>
  <c r="Y349" i="54"/>
  <c r="W349" i="54" s="1"/>
  <c r="Y350" i="54"/>
  <c r="W350" i="54" s="1"/>
  <c r="Y351" i="54"/>
  <c r="W351" i="54" s="1"/>
  <c r="Y352" i="54"/>
  <c r="W352" i="54" s="1"/>
  <c r="Y353" i="54"/>
  <c r="W353" i="54" s="1"/>
  <c r="Y354" i="54"/>
  <c r="W354" i="54" s="1"/>
  <c r="Y355" i="54"/>
  <c r="W355" i="54" s="1"/>
  <c r="Y356" i="54"/>
  <c r="W356" i="54" s="1"/>
  <c r="Y357" i="54"/>
  <c r="W357" i="54" s="1"/>
  <c r="Y358" i="54"/>
  <c r="W358" i="54" s="1"/>
  <c r="Y359" i="54"/>
  <c r="W359" i="54" s="1"/>
  <c r="Y360" i="54"/>
  <c r="W360" i="54" s="1"/>
  <c r="Y361" i="54"/>
  <c r="W361" i="54" s="1"/>
  <c r="Y362" i="54"/>
  <c r="W362" i="54" s="1"/>
  <c r="Y363" i="54"/>
  <c r="W363" i="54" s="1"/>
  <c r="Y364" i="54"/>
  <c r="W364" i="54" s="1"/>
  <c r="Y365" i="54"/>
  <c r="W365" i="54" s="1"/>
  <c r="Y366" i="54"/>
  <c r="W366" i="54" s="1"/>
  <c r="Y367" i="54"/>
  <c r="W367" i="54" s="1"/>
  <c r="Y368" i="54"/>
  <c r="W368" i="54" s="1"/>
  <c r="Y369" i="54"/>
  <c r="W369" i="54" s="1"/>
  <c r="Y370" i="54"/>
  <c r="W370" i="54" s="1"/>
  <c r="Y371" i="54"/>
  <c r="W371" i="54" s="1"/>
  <c r="Y372" i="54"/>
  <c r="W372" i="54" s="1"/>
  <c r="Y373" i="54"/>
  <c r="W373" i="54" s="1"/>
  <c r="Y374" i="54"/>
  <c r="W374" i="54" s="1"/>
  <c r="Y375" i="54"/>
  <c r="W375" i="54" s="1"/>
  <c r="Y376" i="54"/>
  <c r="W376" i="54" s="1"/>
  <c r="Y377" i="54"/>
  <c r="W377" i="54" s="1"/>
  <c r="Y378" i="54"/>
  <c r="W378" i="54" s="1"/>
  <c r="Y379" i="54"/>
  <c r="W379" i="54" s="1"/>
  <c r="Y380" i="54"/>
  <c r="W380" i="54" s="1"/>
  <c r="Y381" i="54"/>
  <c r="W381" i="54" s="1"/>
  <c r="Y382" i="54"/>
  <c r="W382" i="54" s="1"/>
  <c r="Y383" i="54"/>
  <c r="W383" i="54" s="1"/>
  <c r="Y384" i="54"/>
  <c r="W384" i="54" s="1"/>
  <c r="Y385" i="54"/>
  <c r="W385" i="54" s="1"/>
  <c r="Y386" i="54"/>
  <c r="W386" i="54" s="1"/>
  <c r="Y387" i="54"/>
  <c r="W387" i="54" s="1"/>
  <c r="Y388" i="54"/>
  <c r="W388" i="54" s="1"/>
  <c r="Y389" i="54"/>
  <c r="W389" i="54" s="1"/>
  <c r="Y390" i="54"/>
  <c r="W390" i="54" s="1"/>
  <c r="Y391" i="54"/>
  <c r="W391" i="54" s="1"/>
  <c r="Y392" i="54"/>
  <c r="W392" i="54" s="1"/>
  <c r="Y393" i="54"/>
  <c r="W393" i="54" s="1"/>
  <c r="Y394" i="54"/>
  <c r="W394" i="54" s="1"/>
  <c r="Y395" i="54"/>
  <c r="W395" i="54" s="1"/>
  <c r="Y396" i="54"/>
  <c r="W396" i="54" s="1"/>
  <c r="Y397" i="54"/>
  <c r="W397" i="54" s="1"/>
  <c r="Y398" i="54"/>
  <c r="W398" i="54" s="1"/>
  <c r="Y399" i="54"/>
  <c r="W399" i="54" s="1"/>
  <c r="Y400" i="54"/>
  <c r="W400" i="54" s="1"/>
  <c r="Y401" i="54"/>
  <c r="W401" i="54" s="1"/>
  <c r="Y402" i="54"/>
  <c r="W402" i="54" s="1"/>
  <c r="Y403" i="54"/>
  <c r="W403" i="54" s="1"/>
  <c r="Y404" i="54"/>
  <c r="W404" i="54" s="1"/>
  <c r="Y405" i="54"/>
  <c r="W405" i="54" s="1"/>
  <c r="Y406" i="54"/>
  <c r="W406" i="54" s="1"/>
  <c r="Y407" i="54"/>
  <c r="W407" i="54" s="1"/>
  <c r="Y408" i="54"/>
  <c r="W408" i="54" s="1"/>
  <c r="Y409" i="54"/>
  <c r="W409" i="54" s="1"/>
  <c r="Y410" i="54"/>
  <c r="W410" i="54" s="1"/>
  <c r="Y411" i="54"/>
  <c r="W411" i="54" s="1"/>
  <c r="Y412" i="54"/>
  <c r="W412" i="54" s="1"/>
  <c r="Y413" i="54"/>
  <c r="W413" i="54" s="1"/>
  <c r="Y414" i="54"/>
  <c r="W414" i="54" s="1"/>
  <c r="Y415" i="54"/>
  <c r="W415" i="54" s="1"/>
  <c r="Y416" i="54"/>
  <c r="W416" i="54" s="1"/>
  <c r="Y417" i="54"/>
  <c r="W417" i="54" s="1"/>
  <c r="Y418" i="54"/>
  <c r="W418" i="54" s="1"/>
  <c r="Y419" i="54"/>
  <c r="W419" i="54" s="1"/>
  <c r="Y420" i="54"/>
  <c r="W420" i="54" s="1"/>
  <c r="Y421" i="54"/>
  <c r="W421" i="54" s="1"/>
  <c r="Y422" i="54"/>
  <c r="W422" i="54" s="1"/>
  <c r="Y423" i="54"/>
  <c r="W423" i="54" s="1"/>
  <c r="Y424" i="54"/>
  <c r="W424" i="54" s="1"/>
  <c r="Y425" i="54"/>
  <c r="W425" i="54" s="1"/>
  <c r="Y426" i="54"/>
  <c r="W426" i="54" s="1"/>
  <c r="Y427" i="54"/>
  <c r="W427" i="54" s="1"/>
  <c r="Y428" i="54"/>
  <c r="W428" i="54" s="1"/>
  <c r="Y429" i="54"/>
  <c r="W429" i="54" s="1"/>
  <c r="Y430" i="54"/>
  <c r="W430" i="54" s="1"/>
  <c r="Y431" i="54"/>
  <c r="W431" i="54" s="1"/>
  <c r="Y432" i="54"/>
  <c r="W432" i="54" s="1"/>
  <c r="Y433" i="54"/>
  <c r="W433" i="54" s="1"/>
  <c r="Y434" i="54"/>
  <c r="W434" i="54" s="1"/>
  <c r="Y435" i="54"/>
  <c r="W435" i="54" s="1"/>
  <c r="Y436" i="54"/>
  <c r="W436" i="54" s="1"/>
  <c r="Y437" i="54"/>
  <c r="W437" i="54" s="1"/>
  <c r="Y438" i="54"/>
  <c r="W438" i="54" s="1"/>
  <c r="Y439" i="54"/>
  <c r="W439" i="54" s="1"/>
  <c r="Y440" i="54"/>
  <c r="W440" i="54" s="1"/>
  <c r="Y441" i="54"/>
  <c r="W441" i="54" s="1"/>
  <c r="Y442" i="54"/>
  <c r="W442" i="54" s="1"/>
  <c r="Y443" i="54"/>
  <c r="W443" i="54" s="1"/>
  <c r="Y444" i="54"/>
  <c r="W444" i="54" s="1"/>
  <c r="Y445" i="54"/>
  <c r="W445" i="54" s="1"/>
  <c r="Y446" i="54"/>
  <c r="W446" i="54" s="1"/>
  <c r="Y447" i="54"/>
  <c r="W447" i="54" s="1"/>
  <c r="Y448" i="54"/>
  <c r="W448" i="54" s="1"/>
  <c r="Y449" i="54"/>
  <c r="W449" i="54" s="1"/>
  <c r="Y450" i="54"/>
  <c r="W450" i="54" s="1"/>
  <c r="Y451" i="54"/>
  <c r="W451" i="54" s="1"/>
  <c r="Y452" i="54"/>
  <c r="W452" i="54" s="1"/>
  <c r="Y453" i="54"/>
  <c r="W453" i="54" s="1"/>
  <c r="Y454" i="54"/>
  <c r="W454" i="54" s="1"/>
  <c r="Y455" i="54"/>
  <c r="W455" i="54" s="1"/>
  <c r="Y456" i="54"/>
  <c r="W456" i="54" s="1"/>
  <c r="Y457" i="54"/>
  <c r="W457" i="54" s="1"/>
  <c r="Y458" i="54"/>
  <c r="W458" i="54" s="1"/>
  <c r="Y459" i="54"/>
  <c r="W459" i="54" s="1"/>
  <c r="Y460" i="54"/>
  <c r="W460" i="54" s="1"/>
  <c r="Y461" i="54"/>
  <c r="W461" i="54" s="1"/>
  <c r="Y462" i="54"/>
  <c r="W462" i="54" s="1"/>
  <c r="Y463" i="54"/>
  <c r="W463" i="54" s="1"/>
  <c r="Y464" i="54"/>
  <c r="W464" i="54" s="1"/>
  <c r="Y465" i="54"/>
  <c r="W465" i="54" s="1"/>
  <c r="Y466" i="54"/>
  <c r="W466" i="54" s="1"/>
  <c r="Y467" i="54"/>
  <c r="W467" i="54" s="1"/>
  <c r="Y468" i="54"/>
  <c r="W468" i="54" s="1"/>
  <c r="Y469" i="54"/>
  <c r="W469" i="54" s="1"/>
  <c r="Y470" i="54"/>
  <c r="W470" i="54" s="1"/>
  <c r="Y471" i="54"/>
  <c r="W471" i="54" s="1"/>
  <c r="Y472" i="54"/>
  <c r="W472" i="54" s="1"/>
  <c r="Y473" i="54"/>
  <c r="W473" i="54" s="1"/>
  <c r="Y474" i="54"/>
  <c r="W474" i="54" s="1"/>
  <c r="Y475" i="54"/>
  <c r="W475" i="54" s="1"/>
  <c r="Y476" i="54"/>
  <c r="W476" i="54" s="1"/>
  <c r="Y477" i="54"/>
  <c r="W477" i="54" s="1"/>
  <c r="Y478" i="54"/>
  <c r="W478" i="54" s="1"/>
  <c r="Y479" i="54"/>
  <c r="W479" i="54" s="1"/>
  <c r="Y480" i="54"/>
  <c r="W480" i="54" s="1"/>
  <c r="Y481" i="54"/>
  <c r="W481" i="54" s="1"/>
  <c r="Y482" i="54"/>
  <c r="W482" i="54" s="1"/>
  <c r="Y483" i="54"/>
  <c r="W483" i="54" s="1"/>
  <c r="Y484" i="54"/>
  <c r="W484" i="54" s="1"/>
  <c r="Y485" i="54"/>
  <c r="W485" i="54" s="1"/>
  <c r="Y486" i="54"/>
  <c r="W486" i="54" s="1"/>
  <c r="Y487" i="54"/>
  <c r="W487" i="54" s="1"/>
  <c r="Y488" i="54"/>
  <c r="W488" i="54" s="1"/>
  <c r="Y489" i="54"/>
  <c r="W489" i="54" s="1"/>
  <c r="Y490" i="54"/>
  <c r="W490" i="54" s="1"/>
  <c r="Y491" i="54"/>
  <c r="W491" i="54" s="1"/>
  <c r="Y492" i="54"/>
  <c r="W492" i="54" s="1"/>
  <c r="Y493" i="54"/>
  <c r="W493" i="54" s="1"/>
  <c r="Y494" i="54"/>
  <c r="W494" i="54" s="1"/>
  <c r="Y495" i="54"/>
  <c r="W495" i="54" s="1"/>
  <c r="Y496" i="54"/>
  <c r="W496" i="54" s="1"/>
  <c r="Y497" i="54"/>
  <c r="W497" i="54" s="1"/>
  <c r="Y498" i="54"/>
  <c r="W498" i="54" s="1"/>
  <c r="Y499" i="54"/>
  <c r="W499" i="54" s="1"/>
  <c r="Y500" i="54"/>
  <c r="W500" i="54" s="1"/>
  <c r="Y501" i="54"/>
  <c r="W501" i="54" s="1"/>
  <c r="Y502" i="54"/>
  <c r="W502" i="54" s="1"/>
  <c r="Y503" i="54"/>
  <c r="W503" i="54" s="1"/>
  <c r="Y504" i="54"/>
  <c r="W504" i="54" s="1"/>
  <c r="Y505" i="54"/>
  <c r="W505" i="54" s="1"/>
  <c r="Y506" i="54"/>
  <c r="W506" i="54" s="1"/>
  <c r="Y507" i="54"/>
  <c r="W507" i="54" s="1"/>
  <c r="Y508" i="54"/>
  <c r="W508" i="54" s="1"/>
  <c r="Y509" i="54"/>
  <c r="W509" i="54" s="1"/>
  <c r="Y510" i="54"/>
  <c r="W510" i="54" s="1"/>
  <c r="Y511" i="54"/>
  <c r="W511" i="54" s="1"/>
  <c r="Y512" i="54"/>
  <c r="W512" i="54" s="1"/>
  <c r="Y513" i="54"/>
  <c r="W513" i="54" s="1"/>
  <c r="Y514" i="54"/>
  <c r="W514" i="54" s="1"/>
  <c r="Y515" i="54"/>
  <c r="W515" i="54" s="1"/>
  <c r="Y516" i="54"/>
  <c r="W516" i="54" s="1"/>
  <c r="Y517" i="54"/>
  <c r="W517" i="54" s="1"/>
  <c r="Y518" i="54"/>
  <c r="W518" i="54" s="1"/>
  <c r="Y519" i="54"/>
  <c r="W519" i="54" s="1"/>
  <c r="Y520" i="54"/>
  <c r="W520" i="54" s="1"/>
  <c r="Y521" i="54"/>
  <c r="W521" i="54" s="1"/>
  <c r="Y522" i="54"/>
  <c r="W522" i="54" s="1"/>
  <c r="Y523" i="54"/>
  <c r="W523" i="54" s="1"/>
  <c r="Y524" i="54"/>
  <c r="W524" i="54" s="1"/>
  <c r="Y525" i="54"/>
  <c r="W525" i="54" s="1"/>
  <c r="Y526" i="54"/>
  <c r="W526" i="54" s="1"/>
  <c r="Y527" i="54"/>
  <c r="W527" i="54" s="1"/>
  <c r="Y528" i="54"/>
  <c r="W528" i="54" s="1"/>
  <c r="Y529" i="54"/>
  <c r="W529" i="54" s="1"/>
  <c r="Y530" i="54"/>
  <c r="W530" i="54" s="1"/>
  <c r="Y531" i="54"/>
  <c r="W531" i="54" s="1"/>
  <c r="Y532" i="54"/>
  <c r="W532" i="54" s="1"/>
  <c r="Y533" i="54"/>
  <c r="W533" i="54" s="1"/>
  <c r="Y534" i="54"/>
  <c r="W534" i="54" s="1"/>
  <c r="Y535" i="54"/>
  <c r="W535" i="54" s="1"/>
  <c r="Y536" i="54"/>
  <c r="W536" i="54" s="1"/>
  <c r="Y537" i="54"/>
  <c r="W537" i="54" s="1"/>
  <c r="Y538" i="54"/>
  <c r="W538" i="54" s="1"/>
  <c r="Y539" i="54"/>
  <c r="W539" i="54" s="1"/>
  <c r="Y540" i="54"/>
  <c r="W540" i="54" s="1"/>
  <c r="Y541" i="54"/>
  <c r="W541" i="54" s="1"/>
  <c r="Y542" i="54"/>
  <c r="W542" i="54" s="1"/>
  <c r="Y543" i="54"/>
  <c r="W543" i="54" s="1"/>
  <c r="Y544" i="54"/>
  <c r="W544" i="54" s="1"/>
  <c r="Y545" i="54"/>
  <c r="W545" i="54" s="1"/>
  <c r="Y546" i="54"/>
  <c r="W546" i="54" s="1"/>
  <c r="Y547" i="54"/>
  <c r="W547" i="54" s="1"/>
  <c r="Y548" i="54"/>
  <c r="W548" i="54" s="1"/>
  <c r="Y549" i="54"/>
  <c r="W549" i="54" s="1"/>
  <c r="Y550" i="54"/>
  <c r="W550" i="54" s="1"/>
  <c r="Y551" i="54"/>
  <c r="W551" i="54" s="1"/>
  <c r="Y552" i="54"/>
  <c r="W552" i="54" s="1"/>
  <c r="Y553" i="54"/>
  <c r="W553" i="54" s="1"/>
  <c r="Y554" i="54"/>
  <c r="W554" i="54" s="1"/>
  <c r="Y555" i="54"/>
  <c r="W555" i="54" s="1"/>
  <c r="Y556" i="54"/>
  <c r="W556" i="54" s="1"/>
  <c r="Y557" i="54"/>
  <c r="W557" i="54" s="1"/>
  <c r="Y558" i="54"/>
  <c r="W558" i="54" s="1"/>
  <c r="Y559" i="54"/>
  <c r="W559" i="54" s="1"/>
  <c r="Y560" i="54"/>
  <c r="W560" i="54" s="1"/>
  <c r="Y561" i="54"/>
  <c r="W561" i="54" s="1"/>
  <c r="Y562" i="54"/>
  <c r="W562" i="54" s="1"/>
  <c r="Y563" i="54"/>
  <c r="W563" i="54" s="1"/>
  <c r="Y564" i="54"/>
  <c r="W564" i="54" s="1"/>
  <c r="Y565" i="54"/>
  <c r="W565" i="54" s="1"/>
  <c r="Y566" i="54"/>
  <c r="W566" i="54" s="1"/>
  <c r="Y567" i="54"/>
  <c r="W567" i="54" s="1"/>
  <c r="Y568" i="54"/>
  <c r="W568" i="54" s="1"/>
  <c r="Y569" i="54"/>
  <c r="W569" i="54" s="1"/>
  <c r="Y570" i="54"/>
  <c r="W570" i="54" s="1"/>
  <c r="Y571" i="54"/>
  <c r="W571" i="54" s="1"/>
  <c r="Y572" i="54"/>
  <c r="W572" i="54" s="1"/>
  <c r="Y573" i="54"/>
  <c r="W573" i="54" s="1"/>
  <c r="Y574" i="54"/>
  <c r="W574" i="54" s="1"/>
  <c r="Y575" i="54"/>
  <c r="W575" i="54" s="1"/>
  <c r="Y576" i="54"/>
  <c r="W576" i="54" s="1"/>
  <c r="Y577" i="54"/>
  <c r="W577" i="54" s="1"/>
  <c r="Y578" i="54"/>
  <c r="W578" i="54" s="1"/>
  <c r="Y579" i="54"/>
  <c r="W579" i="54" s="1"/>
  <c r="Y580" i="54"/>
  <c r="W580" i="54" s="1"/>
  <c r="Y581" i="54"/>
  <c r="W581" i="54" s="1"/>
  <c r="Y582" i="54"/>
  <c r="W582" i="54" s="1"/>
  <c r="Y583" i="54"/>
  <c r="W583" i="54" s="1"/>
  <c r="Y584" i="54"/>
  <c r="W584" i="54" s="1"/>
  <c r="Y585" i="54"/>
  <c r="W585" i="54" s="1"/>
  <c r="Y586" i="54"/>
  <c r="W586" i="54" s="1"/>
  <c r="Y587" i="54"/>
  <c r="W587" i="54" s="1"/>
  <c r="Y588" i="54"/>
  <c r="W588" i="54" s="1"/>
  <c r="Y589" i="54"/>
  <c r="W589" i="54" s="1"/>
  <c r="Y590" i="54"/>
  <c r="W590" i="54" s="1"/>
  <c r="Y591" i="54"/>
  <c r="W591" i="54" s="1"/>
  <c r="Y592" i="54"/>
  <c r="W592" i="54" s="1"/>
  <c r="Y593" i="54"/>
  <c r="W593" i="54" s="1"/>
  <c r="Y594" i="54"/>
  <c r="W594" i="54" s="1"/>
  <c r="Y595" i="54"/>
  <c r="W595" i="54" s="1"/>
  <c r="Y596" i="54"/>
  <c r="W596" i="54" s="1"/>
  <c r="Y597" i="54"/>
  <c r="W597" i="54" s="1"/>
  <c r="Y598" i="54"/>
  <c r="W598" i="54" s="1"/>
  <c r="Y599" i="54"/>
  <c r="W599" i="54" s="1"/>
  <c r="Y600" i="54"/>
  <c r="W600" i="54" s="1"/>
  <c r="Y601" i="54"/>
  <c r="W601" i="54" s="1"/>
  <c r="Y602" i="54"/>
  <c r="W602" i="54" s="1"/>
  <c r="Y603" i="54"/>
  <c r="W603" i="54" s="1"/>
  <c r="Y604" i="54"/>
  <c r="W604" i="54" s="1"/>
  <c r="Y605" i="54"/>
  <c r="W605" i="54" s="1"/>
  <c r="Y606" i="54"/>
  <c r="W606" i="54" s="1"/>
  <c r="Y607" i="54"/>
  <c r="W607" i="54" s="1"/>
  <c r="Y608" i="54"/>
  <c r="W608" i="54" s="1"/>
  <c r="Y609" i="54"/>
  <c r="W609" i="54" s="1"/>
  <c r="Y610" i="54"/>
  <c r="W610" i="54" s="1"/>
  <c r="Y611" i="54"/>
  <c r="W611" i="54" s="1"/>
  <c r="Y612" i="54"/>
  <c r="W612" i="54" s="1"/>
  <c r="Y613" i="54"/>
  <c r="W613" i="54" s="1"/>
  <c r="Y614" i="54"/>
  <c r="W614" i="54" s="1"/>
  <c r="Y615" i="54"/>
  <c r="W615" i="54" s="1"/>
  <c r="Y616" i="54"/>
  <c r="W616" i="54" s="1"/>
  <c r="Y617" i="54"/>
  <c r="W617" i="54" s="1"/>
  <c r="Y618" i="54"/>
  <c r="W618" i="54" s="1"/>
  <c r="Y619" i="54"/>
  <c r="W619" i="54" s="1"/>
  <c r="Y620" i="54"/>
  <c r="W620" i="54" s="1"/>
  <c r="Y621" i="54"/>
  <c r="W621" i="54" s="1"/>
  <c r="Y622" i="54"/>
  <c r="W622" i="54" s="1"/>
  <c r="Y623" i="54"/>
  <c r="W623" i="54" s="1"/>
  <c r="Y624" i="54"/>
  <c r="W624" i="54" s="1"/>
  <c r="Y625" i="54"/>
  <c r="W625" i="54" s="1"/>
  <c r="Y626" i="54"/>
  <c r="W626" i="54" s="1"/>
  <c r="Y627" i="54"/>
  <c r="W627" i="54" s="1"/>
  <c r="Y628" i="54"/>
  <c r="W628" i="54" s="1"/>
  <c r="Y629" i="54"/>
  <c r="W629" i="54" s="1"/>
  <c r="Y630" i="54"/>
  <c r="W630" i="54" s="1"/>
  <c r="Y631" i="54"/>
  <c r="W631" i="54" s="1"/>
  <c r="Y632" i="54"/>
  <c r="W632" i="54" s="1"/>
  <c r="Y633" i="54"/>
  <c r="W633" i="54" s="1"/>
  <c r="Y634" i="54"/>
  <c r="W634" i="54" s="1"/>
  <c r="Y635" i="54"/>
  <c r="W635" i="54" s="1"/>
  <c r="Y636" i="54"/>
  <c r="W636" i="54" s="1"/>
  <c r="Y637" i="54"/>
  <c r="W637" i="54" s="1"/>
  <c r="Y638" i="54"/>
  <c r="W638" i="54" s="1"/>
  <c r="Y639" i="54"/>
  <c r="W639" i="54" s="1"/>
  <c r="Y640" i="54"/>
  <c r="W640" i="54" s="1"/>
  <c r="Y641" i="54"/>
  <c r="W641" i="54" s="1"/>
  <c r="Y642" i="54"/>
  <c r="W642" i="54" s="1"/>
  <c r="Y643" i="54"/>
  <c r="W643" i="54" s="1"/>
  <c r="Y644" i="54"/>
  <c r="W644" i="54" s="1"/>
  <c r="Y645" i="54"/>
  <c r="W645" i="54" s="1"/>
  <c r="Y646" i="54"/>
  <c r="W646" i="54" s="1"/>
  <c r="Y647" i="54"/>
  <c r="W647" i="54" s="1"/>
  <c r="Y648" i="54"/>
  <c r="W648" i="54" s="1"/>
  <c r="Y649" i="54"/>
  <c r="W649" i="54" s="1"/>
  <c r="Y650" i="54"/>
  <c r="W650" i="54" s="1"/>
  <c r="Y651" i="54"/>
  <c r="W651" i="54" s="1"/>
  <c r="Y652" i="54"/>
  <c r="W652" i="54" s="1"/>
  <c r="Y653" i="54"/>
  <c r="W653" i="54" s="1"/>
  <c r="Y654" i="54"/>
  <c r="W654" i="54" s="1"/>
  <c r="Y655" i="54"/>
  <c r="W655" i="54" s="1"/>
  <c r="Y656" i="54"/>
  <c r="W656" i="54" s="1"/>
  <c r="Y657" i="54"/>
  <c r="W657" i="54" s="1"/>
  <c r="Y658" i="54"/>
  <c r="W658" i="54" s="1"/>
  <c r="Y659" i="54"/>
  <c r="W659" i="54" s="1"/>
  <c r="Y660" i="54"/>
  <c r="W660" i="54" s="1"/>
  <c r="Y661" i="54"/>
  <c r="W661" i="54" s="1"/>
  <c r="Y662" i="54"/>
  <c r="W662" i="54" s="1"/>
  <c r="Y663" i="54"/>
  <c r="W663" i="54" s="1"/>
  <c r="Y664" i="54"/>
  <c r="W664" i="54" s="1"/>
  <c r="Y665" i="54"/>
  <c r="W665" i="54" s="1"/>
  <c r="Y666" i="54"/>
  <c r="W666" i="54" s="1"/>
  <c r="Y667" i="54"/>
  <c r="W667" i="54" s="1"/>
  <c r="Y668" i="54"/>
  <c r="W668" i="54" s="1"/>
  <c r="Y669" i="54"/>
  <c r="W669" i="54" s="1"/>
  <c r="Y670" i="54"/>
  <c r="W670" i="54" s="1"/>
  <c r="Y671" i="54"/>
  <c r="W671" i="54" s="1"/>
  <c r="Y672" i="54"/>
  <c r="W672" i="54" s="1"/>
  <c r="Y673" i="54"/>
  <c r="W673" i="54" s="1"/>
  <c r="Y674" i="54"/>
  <c r="W674" i="54" s="1"/>
  <c r="Y675" i="54"/>
  <c r="W675" i="54" s="1"/>
  <c r="Y676" i="54"/>
  <c r="W676" i="54" s="1"/>
  <c r="Y677" i="54"/>
  <c r="W677" i="54" s="1"/>
  <c r="Y678" i="54"/>
  <c r="W678" i="54" s="1"/>
  <c r="Y679" i="54"/>
  <c r="W679" i="54" s="1"/>
  <c r="Y680" i="54"/>
  <c r="W680" i="54" s="1"/>
  <c r="Y681" i="54"/>
  <c r="W681" i="54" s="1"/>
  <c r="Y682" i="54"/>
  <c r="W682" i="54" s="1"/>
  <c r="Y683" i="54"/>
  <c r="W683" i="54" s="1"/>
  <c r="Y684" i="54"/>
  <c r="W684" i="54" s="1"/>
  <c r="Y685" i="54"/>
  <c r="W685" i="54" s="1"/>
  <c r="Y686" i="54"/>
  <c r="W686" i="54" s="1"/>
  <c r="Y687" i="54"/>
  <c r="W687" i="54" s="1"/>
  <c r="Y688" i="54"/>
  <c r="W688" i="54" s="1"/>
  <c r="Y689" i="54"/>
  <c r="W689" i="54" s="1"/>
  <c r="Y690" i="54"/>
  <c r="W690" i="54" s="1"/>
  <c r="Y691" i="54"/>
  <c r="W691" i="54" s="1"/>
  <c r="Y692" i="54"/>
  <c r="W692" i="54" s="1"/>
  <c r="Y693" i="54"/>
  <c r="W693" i="54" s="1"/>
  <c r="Y694" i="54"/>
  <c r="W694" i="54" s="1"/>
  <c r="Y695" i="54"/>
  <c r="W695" i="54" s="1"/>
  <c r="Y696" i="54"/>
  <c r="W696" i="54" s="1"/>
  <c r="Y697" i="54"/>
  <c r="W697" i="54" s="1"/>
  <c r="Y698" i="54"/>
  <c r="W698" i="54" s="1"/>
  <c r="Y699" i="54"/>
  <c r="W699" i="54" s="1"/>
  <c r="Y700" i="54"/>
  <c r="W700" i="54" s="1"/>
  <c r="Y701" i="54"/>
  <c r="W701" i="54" s="1"/>
  <c r="Y702" i="54"/>
  <c r="W702" i="54" s="1"/>
  <c r="Y703" i="54"/>
  <c r="W703" i="54" s="1"/>
  <c r="Y704" i="54"/>
  <c r="W704" i="54" s="1"/>
  <c r="Y705" i="54"/>
  <c r="W705" i="54" s="1"/>
  <c r="Y706" i="54"/>
  <c r="W706" i="54" s="1"/>
  <c r="Y707" i="54"/>
  <c r="W707" i="54" s="1"/>
  <c r="Y708" i="54"/>
  <c r="W708" i="54" s="1"/>
  <c r="Y709" i="54"/>
  <c r="W709" i="54" s="1"/>
  <c r="Y710" i="54"/>
  <c r="W710" i="54" s="1"/>
  <c r="Y711" i="54"/>
  <c r="W711" i="54" s="1"/>
  <c r="Y712" i="54"/>
  <c r="W712" i="54" s="1"/>
  <c r="Y713" i="54"/>
  <c r="W713" i="54" s="1"/>
  <c r="Y714" i="54"/>
  <c r="W714" i="54" s="1"/>
  <c r="Y715" i="54"/>
  <c r="W715" i="54" s="1"/>
  <c r="Y716" i="54"/>
  <c r="W716" i="54" s="1"/>
  <c r="Y717" i="54"/>
  <c r="W717" i="54" s="1"/>
  <c r="Y718" i="54"/>
  <c r="W718" i="54" s="1"/>
  <c r="Y719" i="54"/>
  <c r="W719" i="54" s="1"/>
  <c r="Y720" i="54"/>
  <c r="W720" i="54" s="1"/>
  <c r="Y721" i="54"/>
  <c r="W721" i="54" s="1"/>
  <c r="Y722" i="54"/>
  <c r="W722" i="54" s="1"/>
  <c r="Y723" i="54"/>
  <c r="W723" i="54" s="1"/>
  <c r="Y724" i="54"/>
  <c r="W724" i="54" s="1"/>
  <c r="Y725" i="54"/>
  <c r="W725" i="54" s="1"/>
  <c r="Y726" i="54"/>
  <c r="W726" i="54" s="1"/>
  <c r="Y727" i="54"/>
  <c r="W727" i="54" s="1"/>
  <c r="Y728" i="54"/>
  <c r="W728" i="54" s="1"/>
  <c r="Y729" i="54"/>
  <c r="W729" i="54" s="1"/>
  <c r="Y730" i="54"/>
  <c r="W730" i="54" s="1"/>
  <c r="Y731" i="54"/>
  <c r="W731" i="54" s="1"/>
  <c r="Y732" i="54"/>
  <c r="W732" i="54" s="1"/>
  <c r="Y733" i="54"/>
  <c r="W733" i="54" s="1"/>
  <c r="Y734" i="54"/>
  <c r="W734" i="54" s="1"/>
  <c r="Y735" i="54"/>
  <c r="W735" i="54" s="1"/>
  <c r="Y736" i="54"/>
  <c r="W736" i="54" s="1"/>
  <c r="Y737" i="54"/>
  <c r="W737" i="54" s="1"/>
  <c r="Y738" i="54"/>
  <c r="W738" i="54" s="1"/>
  <c r="Y739" i="54"/>
  <c r="W739" i="54" s="1"/>
  <c r="Y740" i="54"/>
  <c r="W740" i="54" s="1"/>
  <c r="Y741" i="54"/>
  <c r="W741" i="54" s="1"/>
  <c r="Y742" i="54"/>
  <c r="W742" i="54" s="1"/>
  <c r="Y743" i="54"/>
  <c r="W743" i="54" s="1"/>
  <c r="Y744" i="54"/>
  <c r="W744" i="54" s="1"/>
  <c r="Y745" i="54"/>
  <c r="W745" i="54" s="1"/>
  <c r="Y746" i="54"/>
  <c r="W746" i="54" s="1"/>
  <c r="Y747" i="54"/>
  <c r="W747" i="54" s="1"/>
  <c r="Y748" i="54"/>
  <c r="W748" i="54" s="1"/>
  <c r="Y749" i="54"/>
  <c r="W749" i="54" s="1"/>
  <c r="Y750" i="54"/>
  <c r="W750" i="54" s="1"/>
  <c r="Y751" i="54"/>
  <c r="W751" i="54" s="1"/>
  <c r="Y752" i="54"/>
  <c r="W752" i="54" s="1"/>
  <c r="Y753" i="54"/>
  <c r="W753" i="54" s="1"/>
  <c r="Y754" i="54"/>
  <c r="W754" i="54" s="1"/>
  <c r="Y755" i="54"/>
  <c r="W755" i="54" s="1"/>
  <c r="Y756" i="54"/>
  <c r="W756" i="54" s="1"/>
  <c r="Y757" i="54"/>
  <c r="W757" i="54" s="1"/>
  <c r="Y758" i="54"/>
  <c r="W758" i="54" s="1"/>
  <c r="Y759" i="54"/>
  <c r="W759" i="54" s="1"/>
  <c r="Y760" i="54"/>
  <c r="W760" i="54" s="1"/>
  <c r="Y761" i="54"/>
  <c r="W761" i="54" s="1"/>
  <c r="Y762" i="54"/>
  <c r="W762" i="54" s="1"/>
  <c r="Y763" i="54"/>
  <c r="W763" i="54" s="1"/>
  <c r="Y764" i="54"/>
  <c r="W764" i="54" s="1"/>
  <c r="Y765" i="54"/>
  <c r="W765" i="54" s="1"/>
  <c r="Y766" i="54"/>
  <c r="W766" i="54" s="1"/>
  <c r="Y767" i="54"/>
  <c r="W767" i="54" s="1"/>
  <c r="Y768" i="54"/>
  <c r="W768" i="54" s="1"/>
  <c r="Y769" i="54"/>
  <c r="W769" i="54" s="1"/>
  <c r="Y770" i="54"/>
  <c r="W770" i="54" s="1"/>
  <c r="Y771" i="54"/>
  <c r="W771" i="54" s="1"/>
  <c r="Y772" i="54"/>
  <c r="W772" i="54" s="1"/>
  <c r="Y773" i="54"/>
  <c r="W773" i="54" s="1"/>
  <c r="Y774" i="54"/>
  <c r="W774" i="54" s="1"/>
  <c r="Y775" i="54"/>
  <c r="W775" i="54" s="1"/>
  <c r="Y776" i="54"/>
  <c r="W776" i="54" s="1"/>
  <c r="Y777" i="54"/>
  <c r="W777" i="54" s="1"/>
  <c r="Y778" i="54"/>
  <c r="W778" i="54" s="1"/>
  <c r="Y779" i="54"/>
  <c r="W779" i="54" s="1"/>
  <c r="Y780" i="54"/>
  <c r="W780" i="54" s="1"/>
  <c r="Y781" i="54"/>
  <c r="W781" i="54" s="1"/>
  <c r="Y782" i="54"/>
  <c r="W782" i="54" s="1"/>
  <c r="Y783" i="54"/>
  <c r="W783" i="54" s="1"/>
  <c r="Y784" i="54"/>
  <c r="W784" i="54" s="1"/>
  <c r="Y785" i="54"/>
  <c r="W785" i="54" s="1"/>
  <c r="Y786" i="54"/>
  <c r="W786" i="54" s="1"/>
  <c r="Y787" i="54"/>
  <c r="W787" i="54" s="1"/>
  <c r="Y788" i="54"/>
  <c r="W788" i="54" s="1"/>
  <c r="Y789" i="54"/>
  <c r="W789" i="54" s="1"/>
  <c r="Y790" i="54"/>
  <c r="W790" i="54" s="1"/>
  <c r="Y791" i="54"/>
  <c r="W791" i="54" s="1"/>
  <c r="Y792" i="54"/>
  <c r="W792" i="54" s="1"/>
  <c r="Y793" i="54"/>
  <c r="W793" i="54" s="1"/>
  <c r="Y794" i="54"/>
  <c r="W794" i="54" s="1"/>
  <c r="Y795" i="54"/>
  <c r="W795" i="54" s="1"/>
  <c r="Y796" i="54"/>
  <c r="W796" i="54" s="1"/>
  <c r="Y797" i="54"/>
  <c r="W797" i="54" s="1"/>
  <c r="Y798" i="54"/>
  <c r="W798" i="54" s="1"/>
  <c r="Y799" i="54"/>
  <c r="W799" i="54" s="1"/>
  <c r="Y800" i="54"/>
  <c r="W800" i="54" s="1"/>
  <c r="Y801" i="54"/>
  <c r="W801" i="54" s="1"/>
  <c r="Y802" i="54"/>
  <c r="W802" i="54" s="1"/>
  <c r="Y803" i="54"/>
  <c r="W803" i="54" s="1"/>
  <c r="Y804" i="54"/>
  <c r="W804" i="54" s="1"/>
  <c r="Y805" i="54"/>
  <c r="W805" i="54" s="1"/>
  <c r="Y806" i="54"/>
  <c r="W806" i="54" s="1"/>
  <c r="Y807" i="54"/>
  <c r="W807" i="54" s="1"/>
  <c r="Y808" i="54"/>
  <c r="W808" i="54" s="1"/>
  <c r="Y809" i="54"/>
  <c r="W809" i="54" s="1"/>
  <c r="Y810" i="54"/>
  <c r="W810" i="54" s="1"/>
  <c r="Y811" i="54"/>
  <c r="W811" i="54" s="1"/>
  <c r="Y812" i="54"/>
  <c r="W812" i="54" s="1"/>
  <c r="Y813" i="54"/>
  <c r="W813" i="54" s="1"/>
  <c r="Y814" i="54"/>
  <c r="W814" i="54" s="1"/>
  <c r="Y815" i="54"/>
  <c r="W815" i="54" s="1"/>
  <c r="Y816" i="54"/>
  <c r="W816" i="54" s="1"/>
  <c r="Y817" i="54"/>
  <c r="W817" i="54" s="1"/>
  <c r="Y818" i="54"/>
  <c r="W818" i="54" s="1"/>
  <c r="Y819" i="54"/>
  <c r="W819" i="54" s="1"/>
  <c r="Y820" i="54"/>
  <c r="W820" i="54" s="1"/>
  <c r="Y821" i="54"/>
  <c r="W821" i="54" s="1"/>
  <c r="Y822" i="54"/>
  <c r="W822" i="54" s="1"/>
  <c r="Y823" i="54"/>
  <c r="W823" i="54" s="1"/>
  <c r="Y824" i="54"/>
  <c r="W824" i="54" s="1"/>
  <c r="Y825" i="54"/>
  <c r="W825" i="54" s="1"/>
  <c r="Y826" i="54"/>
  <c r="W826" i="54" s="1"/>
  <c r="Y827" i="54"/>
  <c r="W827" i="54" s="1"/>
  <c r="Y828" i="54"/>
  <c r="W828" i="54" s="1"/>
  <c r="Y829" i="54"/>
  <c r="W829" i="54" s="1"/>
  <c r="Y830" i="54"/>
  <c r="W830" i="54" s="1"/>
  <c r="Y831" i="54"/>
  <c r="W831" i="54" s="1"/>
  <c r="Y832" i="54"/>
  <c r="W832" i="54" s="1"/>
  <c r="Y833" i="54"/>
  <c r="W833" i="54" s="1"/>
  <c r="Y834" i="54"/>
  <c r="W834" i="54" s="1"/>
  <c r="Y835" i="54"/>
  <c r="W835" i="54" s="1"/>
  <c r="Y836" i="54"/>
  <c r="W836" i="54" s="1"/>
  <c r="Y837" i="54"/>
  <c r="W837" i="54" s="1"/>
  <c r="Y838" i="54"/>
  <c r="W838" i="54" s="1"/>
  <c r="Y839" i="54"/>
  <c r="W839" i="54" s="1"/>
  <c r="Y840" i="54"/>
  <c r="W840" i="54" s="1"/>
  <c r="Y841" i="54"/>
  <c r="W841" i="54" s="1"/>
  <c r="Y842" i="54"/>
  <c r="W842" i="54" s="1"/>
  <c r="Y843" i="54"/>
  <c r="W843" i="54" s="1"/>
  <c r="Y844" i="54"/>
  <c r="W844" i="54" s="1"/>
  <c r="Y845" i="54"/>
  <c r="W845" i="54" s="1"/>
  <c r="Y846" i="54"/>
  <c r="W846" i="54" s="1"/>
  <c r="Y847" i="54"/>
  <c r="W847" i="54" s="1"/>
  <c r="Y848" i="54"/>
  <c r="W848" i="54" s="1"/>
  <c r="Y849" i="54"/>
  <c r="W849" i="54" s="1"/>
  <c r="Y850" i="54"/>
  <c r="W850" i="54" s="1"/>
  <c r="Y851" i="54"/>
  <c r="W851" i="54" s="1"/>
  <c r="Y852" i="54"/>
  <c r="W852" i="54" s="1"/>
  <c r="Y853" i="54"/>
  <c r="W853" i="54" s="1"/>
  <c r="Y854" i="54"/>
  <c r="W854" i="54" s="1"/>
  <c r="Y855" i="54"/>
  <c r="W855" i="54" s="1"/>
  <c r="Y856" i="54"/>
  <c r="W856" i="54" s="1"/>
  <c r="Y857" i="54"/>
  <c r="W857" i="54" s="1"/>
  <c r="Y858" i="54"/>
  <c r="W858" i="54" s="1"/>
  <c r="Y859" i="54"/>
  <c r="W859" i="54" s="1"/>
  <c r="Y860" i="54"/>
  <c r="W860" i="54" s="1"/>
  <c r="Y861" i="54"/>
  <c r="W861" i="54" s="1"/>
  <c r="Y862" i="54"/>
  <c r="W862" i="54" s="1"/>
  <c r="Y863" i="54"/>
  <c r="W863" i="54" s="1"/>
  <c r="Y864" i="54"/>
  <c r="W864" i="54" s="1"/>
  <c r="Y865" i="54"/>
  <c r="W865" i="54" s="1"/>
  <c r="Y866" i="54"/>
  <c r="W866" i="54" s="1"/>
  <c r="Y867" i="54"/>
  <c r="W867" i="54" s="1"/>
  <c r="Y868" i="54"/>
  <c r="W868" i="54" s="1"/>
  <c r="Y869" i="54"/>
  <c r="W869" i="54" s="1"/>
  <c r="Y870" i="54"/>
  <c r="W870" i="54" s="1"/>
  <c r="Y871" i="54"/>
  <c r="W871" i="54" s="1"/>
  <c r="Y872" i="54"/>
  <c r="W872" i="54" s="1"/>
  <c r="Y873" i="54"/>
  <c r="W873" i="54" s="1"/>
  <c r="Y874" i="54"/>
  <c r="W874" i="54" s="1"/>
  <c r="Y875" i="54"/>
  <c r="W875" i="54" s="1"/>
  <c r="Y876" i="54"/>
  <c r="W876" i="54" s="1"/>
  <c r="Y877" i="54"/>
  <c r="W877" i="54" s="1"/>
  <c r="Y878" i="54"/>
  <c r="W878" i="54" s="1"/>
  <c r="Y879" i="54"/>
  <c r="W879" i="54" s="1"/>
  <c r="Y880" i="54"/>
  <c r="W880" i="54" s="1"/>
  <c r="Y881" i="54"/>
  <c r="W881" i="54" s="1"/>
  <c r="Y882" i="54"/>
  <c r="W882" i="54" s="1"/>
  <c r="Y883" i="54"/>
  <c r="W883" i="54" s="1"/>
  <c r="Y884" i="54"/>
  <c r="W884" i="54" s="1"/>
  <c r="Y885" i="54"/>
  <c r="W885" i="54" s="1"/>
  <c r="Y886" i="54"/>
  <c r="W886" i="54" s="1"/>
  <c r="Y887" i="54"/>
  <c r="W887" i="54" s="1"/>
  <c r="Y888" i="54"/>
  <c r="W888" i="54" s="1"/>
  <c r="Y889" i="54"/>
  <c r="W889" i="54" s="1"/>
  <c r="Y890" i="54"/>
  <c r="W890" i="54" s="1"/>
  <c r="Y891" i="54"/>
  <c r="W891" i="54" s="1"/>
  <c r="Y892" i="54"/>
  <c r="W892" i="54" s="1"/>
  <c r="Y893" i="54"/>
  <c r="W893" i="54" s="1"/>
  <c r="Y894" i="54"/>
  <c r="W894" i="54" s="1"/>
  <c r="Y895" i="54"/>
  <c r="W895" i="54" s="1"/>
  <c r="Y896" i="54"/>
  <c r="W896" i="54" s="1"/>
  <c r="Y897" i="54"/>
  <c r="W897" i="54" s="1"/>
  <c r="Y898" i="54"/>
  <c r="W898" i="54" s="1"/>
  <c r="Y899" i="54"/>
  <c r="W899" i="54" s="1"/>
  <c r="Y900" i="54"/>
  <c r="W900" i="54" s="1"/>
  <c r="Y901" i="54"/>
  <c r="W901" i="54" s="1"/>
  <c r="Y902" i="54"/>
  <c r="W902" i="54" s="1"/>
  <c r="Y903" i="54"/>
  <c r="W903" i="54" s="1"/>
  <c r="Y904" i="54"/>
  <c r="W904" i="54" s="1"/>
  <c r="Y905" i="54"/>
  <c r="W905" i="54" s="1"/>
  <c r="Y906" i="54"/>
  <c r="W906" i="54" s="1"/>
  <c r="Y907" i="54"/>
  <c r="W907" i="54" s="1"/>
  <c r="Y908" i="54"/>
  <c r="W908" i="54" s="1"/>
  <c r="Y909" i="54"/>
  <c r="W909" i="54" s="1"/>
  <c r="Y910" i="54"/>
  <c r="W910" i="54" s="1"/>
  <c r="Y911" i="54"/>
  <c r="W911" i="54" s="1"/>
  <c r="Y912" i="54"/>
  <c r="W912" i="54" s="1"/>
  <c r="Y913" i="54"/>
  <c r="W913" i="54" s="1"/>
  <c r="Y914" i="54"/>
  <c r="W914" i="54" s="1"/>
  <c r="Y915" i="54"/>
  <c r="W915" i="54" s="1"/>
  <c r="Y916" i="54"/>
  <c r="W916" i="54" s="1"/>
  <c r="Y917" i="54"/>
  <c r="W917" i="54" s="1"/>
  <c r="Y918" i="54"/>
  <c r="W918" i="54" s="1"/>
  <c r="Y919" i="54"/>
  <c r="W919" i="54" s="1"/>
  <c r="Y920" i="54"/>
  <c r="W920" i="54" s="1"/>
  <c r="Y921" i="54"/>
  <c r="W921" i="54" s="1"/>
  <c r="Y922" i="54"/>
  <c r="W922" i="54" s="1"/>
  <c r="Y923" i="54"/>
  <c r="W923" i="54" s="1"/>
  <c r="Y924" i="54"/>
  <c r="W924" i="54" s="1"/>
  <c r="Y925" i="54"/>
  <c r="W925" i="54" s="1"/>
  <c r="Y926" i="54"/>
  <c r="W926" i="54" s="1"/>
  <c r="Y927" i="54"/>
  <c r="W927" i="54" s="1"/>
  <c r="Y928" i="54"/>
  <c r="W928" i="54" s="1"/>
  <c r="Y929" i="54"/>
  <c r="W929" i="54" s="1"/>
  <c r="Y930" i="54"/>
  <c r="W930" i="54" s="1"/>
  <c r="Y931" i="54"/>
  <c r="W931" i="54" s="1"/>
  <c r="Y932" i="54"/>
  <c r="W932" i="54" s="1"/>
  <c r="Y933" i="54"/>
  <c r="W933" i="54" s="1"/>
  <c r="Y934" i="54"/>
  <c r="W934" i="54" s="1"/>
  <c r="Y935" i="54"/>
  <c r="W935" i="54" s="1"/>
  <c r="Y936" i="54"/>
  <c r="W936" i="54" s="1"/>
  <c r="Y937" i="54"/>
  <c r="W937" i="54" s="1"/>
  <c r="Y938" i="54"/>
  <c r="W938" i="54" s="1"/>
  <c r="Y939" i="54"/>
  <c r="W939" i="54" s="1"/>
  <c r="Y940" i="54"/>
  <c r="W940" i="54" s="1"/>
  <c r="Y941" i="54"/>
  <c r="W941" i="54" s="1"/>
  <c r="Y942" i="54"/>
  <c r="W942" i="54" s="1"/>
  <c r="Y943" i="54"/>
  <c r="W943" i="54" s="1"/>
  <c r="Y944" i="54"/>
  <c r="W944" i="54" s="1"/>
  <c r="Y945" i="54"/>
  <c r="W945" i="54" s="1"/>
  <c r="Y946" i="54"/>
  <c r="W946" i="54" s="1"/>
  <c r="Y947" i="54"/>
  <c r="W947" i="54" s="1"/>
  <c r="Y948" i="54"/>
  <c r="W948" i="54" s="1"/>
  <c r="Y949" i="54"/>
  <c r="W949" i="54" s="1"/>
  <c r="Y950" i="54"/>
  <c r="W950" i="54" s="1"/>
  <c r="Y951" i="54"/>
  <c r="W951" i="54" s="1"/>
  <c r="Y952" i="54"/>
  <c r="W952" i="54" s="1"/>
  <c r="Y953" i="54"/>
  <c r="W953" i="54" s="1"/>
  <c r="Y954" i="54"/>
  <c r="W954" i="54" s="1"/>
  <c r="Y955" i="54"/>
  <c r="W955" i="54" s="1"/>
  <c r="Y956" i="54"/>
  <c r="W956" i="54" s="1"/>
  <c r="Y957" i="54"/>
  <c r="W957" i="54" s="1"/>
  <c r="Y958" i="54"/>
  <c r="W958" i="54" s="1"/>
  <c r="Y959" i="54"/>
  <c r="W959" i="54" s="1"/>
  <c r="Y960" i="54"/>
  <c r="W960" i="54" s="1"/>
  <c r="Y961" i="54"/>
  <c r="W961" i="54" s="1"/>
  <c r="Y962" i="54"/>
  <c r="W962" i="54" s="1"/>
  <c r="Y963" i="54"/>
  <c r="W963" i="54" s="1"/>
  <c r="Y964" i="54"/>
  <c r="W964" i="54" s="1"/>
  <c r="Y965" i="54"/>
  <c r="W965" i="54" s="1"/>
  <c r="Y966" i="54"/>
  <c r="W966" i="54" s="1"/>
  <c r="Y967" i="54"/>
  <c r="W967" i="54" s="1"/>
  <c r="Y968" i="54"/>
  <c r="W968" i="54" s="1"/>
  <c r="Y969" i="54"/>
  <c r="W969" i="54" s="1"/>
  <c r="Y970" i="54"/>
  <c r="W970" i="54" s="1"/>
  <c r="Y971" i="54"/>
  <c r="W971" i="54" s="1"/>
  <c r="Y972" i="54"/>
  <c r="W972" i="54" s="1"/>
  <c r="Y973" i="54"/>
  <c r="W973" i="54" s="1"/>
  <c r="Y974" i="54"/>
  <c r="W974" i="54" s="1"/>
  <c r="Y975" i="54"/>
  <c r="W975" i="54" s="1"/>
  <c r="Y976" i="54"/>
  <c r="W976" i="54" s="1"/>
  <c r="Y977" i="54"/>
  <c r="W977" i="54" s="1"/>
  <c r="Y978" i="54"/>
  <c r="W978" i="54" s="1"/>
  <c r="Y979" i="54"/>
  <c r="W979" i="54" s="1"/>
  <c r="Y980" i="54"/>
  <c r="W980" i="54" s="1"/>
  <c r="Y25" i="53"/>
  <c r="W25" i="53" s="1"/>
  <c r="Y26" i="53"/>
  <c r="W26" i="53" s="1"/>
  <c r="Y27" i="53"/>
  <c r="W27" i="53" s="1"/>
  <c r="Y28" i="53"/>
  <c r="W28" i="53" s="1"/>
  <c r="Y29" i="53"/>
  <c r="W29" i="53" s="1"/>
  <c r="Y30" i="53"/>
  <c r="W30" i="53" s="1"/>
  <c r="Y31" i="53"/>
  <c r="W31" i="53" s="1"/>
  <c r="Y32" i="53"/>
  <c r="W32" i="53" s="1"/>
  <c r="Y33" i="53"/>
  <c r="W33" i="53" s="1"/>
  <c r="Y34" i="53"/>
  <c r="W34" i="53" s="1"/>
  <c r="Y35" i="53"/>
  <c r="W35" i="53" s="1"/>
  <c r="Y36" i="53"/>
  <c r="W36" i="53" s="1"/>
  <c r="Y37" i="53"/>
  <c r="W37" i="53" s="1"/>
  <c r="Y38" i="53"/>
  <c r="W38" i="53" s="1"/>
  <c r="Y39" i="53"/>
  <c r="W39" i="53" s="1"/>
  <c r="Y40" i="53"/>
  <c r="W40" i="53" s="1"/>
  <c r="Y41" i="53"/>
  <c r="W41" i="53" s="1"/>
  <c r="Y42" i="53"/>
  <c r="W42" i="53" s="1"/>
  <c r="Y43" i="53"/>
  <c r="W43" i="53" s="1"/>
  <c r="Y44" i="53"/>
  <c r="W44" i="53" s="1"/>
  <c r="Y45" i="53"/>
  <c r="W45" i="53" s="1"/>
  <c r="Y46" i="53"/>
  <c r="W46" i="53" s="1"/>
  <c r="Y47" i="53"/>
  <c r="W47" i="53" s="1"/>
  <c r="Y48" i="53"/>
  <c r="W48" i="53" s="1"/>
  <c r="Y49" i="53"/>
  <c r="W49" i="53" s="1"/>
  <c r="Y50" i="53"/>
  <c r="W50" i="53" s="1"/>
  <c r="Y51" i="53"/>
  <c r="W51" i="53" s="1"/>
  <c r="Y52" i="53"/>
  <c r="W52" i="53" s="1"/>
  <c r="Y53" i="53"/>
  <c r="W53" i="53" s="1"/>
  <c r="Y54" i="53"/>
  <c r="W54" i="53" s="1"/>
  <c r="Y55" i="53"/>
  <c r="W55" i="53" s="1"/>
  <c r="Y56" i="53"/>
  <c r="W56" i="53" s="1"/>
  <c r="Y57" i="53"/>
  <c r="W57" i="53" s="1"/>
  <c r="Y58" i="53"/>
  <c r="W58" i="53" s="1"/>
  <c r="Y59" i="53"/>
  <c r="W59" i="53" s="1"/>
  <c r="Y60" i="53"/>
  <c r="W60" i="53" s="1"/>
  <c r="Y61" i="53"/>
  <c r="W61" i="53" s="1"/>
  <c r="Y62" i="53"/>
  <c r="W62" i="53" s="1"/>
  <c r="Y63" i="53"/>
  <c r="W63" i="53" s="1"/>
  <c r="Y64" i="53"/>
  <c r="W64" i="53" s="1"/>
  <c r="Y65" i="53"/>
  <c r="W65" i="53" s="1"/>
  <c r="Y66" i="53"/>
  <c r="W66" i="53" s="1"/>
  <c r="Y67" i="53"/>
  <c r="W67" i="53" s="1"/>
  <c r="Y68" i="53"/>
  <c r="W68" i="53" s="1"/>
  <c r="Y69" i="53"/>
  <c r="W69" i="53" s="1"/>
  <c r="Y70" i="53"/>
  <c r="W70" i="53" s="1"/>
  <c r="Y71" i="53"/>
  <c r="W71" i="53" s="1"/>
  <c r="Y72" i="53"/>
  <c r="W72" i="53" s="1"/>
  <c r="Y73" i="53"/>
  <c r="W73" i="53" s="1"/>
  <c r="Y74" i="53"/>
  <c r="W74" i="53" s="1"/>
  <c r="Y75" i="53"/>
  <c r="W75" i="53" s="1"/>
  <c r="Y76" i="53"/>
  <c r="W76" i="53" s="1"/>
  <c r="Y77" i="53"/>
  <c r="W77" i="53" s="1"/>
  <c r="Y78" i="53"/>
  <c r="W78" i="53" s="1"/>
  <c r="Y79" i="53"/>
  <c r="W79" i="53" s="1"/>
  <c r="Y80" i="53"/>
  <c r="W80" i="53" s="1"/>
  <c r="Y81" i="53"/>
  <c r="W81" i="53" s="1"/>
  <c r="Y82" i="53"/>
  <c r="W82" i="53" s="1"/>
  <c r="Y83" i="53"/>
  <c r="W83" i="53" s="1"/>
  <c r="Y84" i="53"/>
  <c r="W84" i="53" s="1"/>
  <c r="Y85" i="53"/>
  <c r="W85" i="53" s="1"/>
  <c r="Y86" i="53"/>
  <c r="W86" i="53" s="1"/>
  <c r="Y87" i="53"/>
  <c r="W87" i="53" s="1"/>
  <c r="Y88" i="53"/>
  <c r="W88" i="53" s="1"/>
  <c r="Y89" i="53"/>
  <c r="W89" i="53" s="1"/>
  <c r="Y90" i="53"/>
  <c r="W90" i="53" s="1"/>
  <c r="Y91" i="53"/>
  <c r="W91" i="53" s="1"/>
  <c r="Y92" i="53"/>
  <c r="W92" i="53" s="1"/>
  <c r="Y93" i="53"/>
  <c r="W93" i="53" s="1"/>
  <c r="Y94" i="53"/>
  <c r="W94" i="53" s="1"/>
  <c r="Y95" i="53"/>
  <c r="W95" i="53" s="1"/>
  <c r="Y96" i="53"/>
  <c r="W96" i="53" s="1"/>
  <c r="Y97" i="53"/>
  <c r="W97" i="53" s="1"/>
  <c r="Y98" i="53"/>
  <c r="W98" i="53" s="1"/>
  <c r="Y99" i="53"/>
  <c r="W99" i="53" s="1"/>
  <c r="Y100" i="53"/>
  <c r="W100" i="53" s="1"/>
  <c r="Y101" i="53"/>
  <c r="W101" i="53" s="1"/>
  <c r="Y102" i="53"/>
  <c r="W102" i="53" s="1"/>
  <c r="Y103" i="53"/>
  <c r="W103" i="53" s="1"/>
  <c r="Y104" i="53"/>
  <c r="W104" i="53" s="1"/>
  <c r="Y105" i="53"/>
  <c r="W105" i="53" s="1"/>
  <c r="Y106" i="53"/>
  <c r="W106" i="53" s="1"/>
  <c r="Y107" i="53"/>
  <c r="W107" i="53" s="1"/>
  <c r="Y108" i="53"/>
  <c r="W108" i="53" s="1"/>
  <c r="Y109" i="53"/>
  <c r="W109" i="53" s="1"/>
  <c r="Y110" i="53"/>
  <c r="W110" i="53" s="1"/>
  <c r="Y111" i="53"/>
  <c r="W111" i="53" s="1"/>
  <c r="Y112" i="53"/>
  <c r="W112" i="53" s="1"/>
  <c r="Y113" i="53"/>
  <c r="W113" i="53" s="1"/>
  <c r="Y114" i="53"/>
  <c r="W114" i="53" s="1"/>
  <c r="Y115" i="53"/>
  <c r="W115" i="53" s="1"/>
  <c r="Y116" i="53"/>
  <c r="W116" i="53" s="1"/>
  <c r="Y117" i="53"/>
  <c r="W117" i="53" s="1"/>
  <c r="Y118" i="53"/>
  <c r="W118" i="53" s="1"/>
  <c r="Y119" i="53"/>
  <c r="W119" i="53" s="1"/>
  <c r="Y120" i="53"/>
  <c r="W120" i="53" s="1"/>
  <c r="Y121" i="53"/>
  <c r="W121" i="53" s="1"/>
  <c r="Y122" i="53"/>
  <c r="W122" i="53" s="1"/>
  <c r="Y123" i="53"/>
  <c r="W123" i="53" s="1"/>
  <c r="Y124" i="53"/>
  <c r="W124" i="53" s="1"/>
  <c r="Y125" i="53"/>
  <c r="W125" i="53" s="1"/>
  <c r="Y126" i="53"/>
  <c r="W126" i="53" s="1"/>
  <c r="Y127" i="53"/>
  <c r="W127" i="53" s="1"/>
  <c r="Y128" i="53"/>
  <c r="W128" i="53" s="1"/>
  <c r="Y129" i="53"/>
  <c r="W129" i="53" s="1"/>
  <c r="Y130" i="53"/>
  <c r="W130" i="53" s="1"/>
  <c r="Y131" i="53"/>
  <c r="W131" i="53" s="1"/>
  <c r="Y132" i="53"/>
  <c r="W132" i="53" s="1"/>
  <c r="Y133" i="53"/>
  <c r="W133" i="53" s="1"/>
  <c r="Y134" i="53"/>
  <c r="W134" i="53" s="1"/>
  <c r="Y135" i="53"/>
  <c r="W135" i="53" s="1"/>
  <c r="Y136" i="53"/>
  <c r="W136" i="53" s="1"/>
  <c r="Y137" i="53"/>
  <c r="W137" i="53" s="1"/>
  <c r="Y138" i="53"/>
  <c r="W138" i="53" s="1"/>
  <c r="Y139" i="53"/>
  <c r="W139" i="53" s="1"/>
  <c r="Y140" i="53"/>
  <c r="W140" i="53" s="1"/>
  <c r="Y141" i="53"/>
  <c r="W141" i="53" s="1"/>
  <c r="Y142" i="53"/>
  <c r="W142" i="53" s="1"/>
  <c r="Y143" i="53"/>
  <c r="W143" i="53" s="1"/>
  <c r="Y144" i="53"/>
  <c r="W144" i="53" s="1"/>
  <c r="Y145" i="53"/>
  <c r="W145" i="53" s="1"/>
  <c r="Y146" i="53"/>
  <c r="W146" i="53" s="1"/>
  <c r="Y147" i="53"/>
  <c r="W147" i="53" s="1"/>
  <c r="Y148" i="53"/>
  <c r="W148" i="53" s="1"/>
  <c r="Y149" i="53"/>
  <c r="W149" i="53" s="1"/>
  <c r="Y150" i="53"/>
  <c r="W150" i="53" s="1"/>
  <c r="Y151" i="53"/>
  <c r="W151" i="53" s="1"/>
  <c r="Y152" i="53"/>
  <c r="W152" i="53" s="1"/>
  <c r="Y153" i="53"/>
  <c r="W153" i="53" s="1"/>
  <c r="Y154" i="53"/>
  <c r="W154" i="53" s="1"/>
  <c r="Y155" i="53"/>
  <c r="W155" i="53" s="1"/>
  <c r="Y156" i="53"/>
  <c r="W156" i="53" s="1"/>
  <c r="Y157" i="53"/>
  <c r="W157" i="53" s="1"/>
  <c r="Y158" i="53"/>
  <c r="W158" i="53" s="1"/>
  <c r="Y159" i="53"/>
  <c r="W159" i="53" s="1"/>
  <c r="Y160" i="53"/>
  <c r="W160" i="53" s="1"/>
  <c r="Y161" i="53"/>
  <c r="W161" i="53" s="1"/>
  <c r="Y162" i="53"/>
  <c r="W162" i="53" s="1"/>
  <c r="Y163" i="53"/>
  <c r="W163" i="53" s="1"/>
  <c r="Y164" i="53"/>
  <c r="W164" i="53" s="1"/>
  <c r="Y165" i="53"/>
  <c r="W165" i="53" s="1"/>
  <c r="Y166" i="53"/>
  <c r="W166" i="53" s="1"/>
  <c r="Y167" i="53"/>
  <c r="W167" i="53" s="1"/>
  <c r="Y168" i="53"/>
  <c r="W168" i="53" s="1"/>
  <c r="Y169" i="53"/>
  <c r="W169" i="53" s="1"/>
  <c r="Y170" i="53"/>
  <c r="W170" i="53" s="1"/>
  <c r="Y171" i="53"/>
  <c r="W171" i="53" s="1"/>
  <c r="Y172" i="53"/>
  <c r="W172" i="53" s="1"/>
  <c r="Y173" i="53"/>
  <c r="W173" i="53" s="1"/>
  <c r="Y174" i="53"/>
  <c r="W174" i="53" s="1"/>
  <c r="Y175" i="53"/>
  <c r="W175" i="53" s="1"/>
  <c r="Y176" i="53"/>
  <c r="W176" i="53" s="1"/>
  <c r="Y177" i="53"/>
  <c r="W177" i="53" s="1"/>
  <c r="Y178" i="53"/>
  <c r="W178" i="53" s="1"/>
  <c r="Y179" i="53"/>
  <c r="W179" i="53" s="1"/>
  <c r="Y180" i="53"/>
  <c r="W180" i="53" s="1"/>
  <c r="Y181" i="53"/>
  <c r="W181" i="53" s="1"/>
  <c r="Y182" i="53"/>
  <c r="W182" i="53" s="1"/>
  <c r="Y183" i="53"/>
  <c r="W183" i="53" s="1"/>
  <c r="Y184" i="53"/>
  <c r="W184" i="53" s="1"/>
  <c r="Y185" i="53"/>
  <c r="W185" i="53" s="1"/>
  <c r="Y186" i="53"/>
  <c r="W186" i="53" s="1"/>
  <c r="Y187" i="53"/>
  <c r="W187" i="53" s="1"/>
  <c r="Y188" i="53"/>
  <c r="W188" i="53" s="1"/>
  <c r="Y189" i="53"/>
  <c r="W189" i="53" s="1"/>
  <c r="Y190" i="53"/>
  <c r="W190" i="53" s="1"/>
  <c r="Y191" i="53"/>
  <c r="W191" i="53" s="1"/>
  <c r="Y192" i="53"/>
  <c r="W192" i="53" s="1"/>
  <c r="Y193" i="53"/>
  <c r="W193" i="53" s="1"/>
  <c r="Y194" i="53"/>
  <c r="W194" i="53" s="1"/>
  <c r="Y195" i="53"/>
  <c r="W195" i="53" s="1"/>
  <c r="Y196" i="53"/>
  <c r="W196" i="53" s="1"/>
  <c r="Y197" i="53"/>
  <c r="W197" i="53" s="1"/>
  <c r="Y198" i="53"/>
  <c r="W198" i="53" s="1"/>
  <c r="Y199" i="53"/>
  <c r="W199" i="53" s="1"/>
  <c r="Y200" i="53"/>
  <c r="W200" i="53" s="1"/>
  <c r="Y201" i="53"/>
  <c r="W201" i="53" s="1"/>
  <c r="Y202" i="53"/>
  <c r="W202" i="53" s="1"/>
  <c r="Y203" i="53"/>
  <c r="W203" i="53" s="1"/>
  <c r="Y204" i="53"/>
  <c r="W204" i="53" s="1"/>
  <c r="Y205" i="53"/>
  <c r="W205" i="53" s="1"/>
  <c r="Y206" i="53"/>
  <c r="W206" i="53" s="1"/>
  <c r="Y207" i="53"/>
  <c r="W207" i="53" s="1"/>
  <c r="Y208" i="53"/>
  <c r="W208" i="53" s="1"/>
  <c r="Y209" i="53"/>
  <c r="W209" i="53" s="1"/>
  <c r="Y210" i="53"/>
  <c r="W210" i="53" s="1"/>
  <c r="Y211" i="53"/>
  <c r="W211" i="53" s="1"/>
  <c r="Y212" i="53"/>
  <c r="W212" i="53" s="1"/>
  <c r="Y213" i="53"/>
  <c r="W213" i="53" s="1"/>
  <c r="Y214" i="53"/>
  <c r="W214" i="53" s="1"/>
  <c r="Y215" i="53"/>
  <c r="W215" i="53" s="1"/>
  <c r="Y216" i="53"/>
  <c r="W216" i="53" s="1"/>
  <c r="Y217" i="53"/>
  <c r="W217" i="53" s="1"/>
  <c r="Y218" i="53"/>
  <c r="W218" i="53" s="1"/>
  <c r="Y219" i="53"/>
  <c r="W219" i="53" s="1"/>
  <c r="Y220" i="53"/>
  <c r="W220" i="53" s="1"/>
  <c r="Y221" i="53"/>
  <c r="W221" i="53" s="1"/>
  <c r="Y222" i="53"/>
  <c r="W222" i="53" s="1"/>
  <c r="Y223" i="53"/>
  <c r="W223" i="53" s="1"/>
  <c r="Y224" i="53"/>
  <c r="W224" i="53" s="1"/>
  <c r="Y225" i="53"/>
  <c r="W225" i="53" s="1"/>
  <c r="Y226" i="53"/>
  <c r="W226" i="53" s="1"/>
  <c r="Y227" i="53"/>
  <c r="W227" i="53" s="1"/>
  <c r="Y228" i="53"/>
  <c r="W228" i="53" s="1"/>
  <c r="Y229" i="53"/>
  <c r="W229" i="53" s="1"/>
  <c r="Y230" i="53"/>
  <c r="W230" i="53" s="1"/>
  <c r="Y231" i="53"/>
  <c r="W231" i="53" s="1"/>
  <c r="Y232" i="53"/>
  <c r="W232" i="53" s="1"/>
  <c r="Y233" i="53"/>
  <c r="W233" i="53" s="1"/>
  <c r="Y234" i="53"/>
  <c r="W234" i="53" s="1"/>
  <c r="Y235" i="53"/>
  <c r="W235" i="53" s="1"/>
  <c r="Y236" i="53"/>
  <c r="W236" i="53" s="1"/>
  <c r="Y237" i="53"/>
  <c r="W237" i="53" s="1"/>
  <c r="Y238" i="53"/>
  <c r="W238" i="53" s="1"/>
  <c r="Y239" i="53"/>
  <c r="W239" i="53" s="1"/>
  <c r="Y240" i="53"/>
  <c r="W240" i="53" s="1"/>
  <c r="Y241" i="53"/>
  <c r="W241" i="53" s="1"/>
  <c r="Y242" i="53"/>
  <c r="W242" i="53" s="1"/>
  <c r="Y243" i="53"/>
  <c r="W243" i="53" s="1"/>
  <c r="Y244" i="53"/>
  <c r="W244" i="53" s="1"/>
  <c r="Y245" i="53"/>
  <c r="W245" i="53" s="1"/>
  <c r="Y246" i="53"/>
  <c r="W246" i="53" s="1"/>
  <c r="Y247" i="53"/>
  <c r="W247" i="53" s="1"/>
  <c r="Y248" i="53"/>
  <c r="W248" i="53" s="1"/>
  <c r="Y249" i="53"/>
  <c r="W249" i="53" s="1"/>
  <c r="Y250" i="53"/>
  <c r="W250" i="53" s="1"/>
  <c r="Y251" i="53"/>
  <c r="W251" i="53" s="1"/>
  <c r="Y252" i="53"/>
  <c r="W252" i="53" s="1"/>
  <c r="Y253" i="53"/>
  <c r="W253" i="53" s="1"/>
  <c r="Y254" i="53"/>
  <c r="W254" i="53" s="1"/>
  <c r="Y255" i="53"/>
  <c r="W255" i="53" s="1"/>
  <c r="Y256" i="53"/>
  <c r="W256" i="53" s="1"/>
  <c r="Y257" i="53"/>
  <c r="W257" i="53" s="1"/>
  <c r="Y258" i="53"/>
  <c r="W258" i="53" s="1"/>
  <c r="Y259" i="53"/>
  <c r="W259" i="53" s="1"/>
  <c r="Y260" i="53"/>
  <c r="W260" i="53" s="1"/>
  <c r="Y261" i="53"/>
  <c r="W261" i="53" s="1"/>
  <c r="Y262" i="53"/>
  <c r="W262" i="53" s="1"/>
  <c r="Y263" i="53"/>
  <c r="W263" i="53" s="1"/>
  <c r="Y264" i="53"/>
  <c r="W264" i="53" s="1"/>
  <c r="Y265" i="53"/>
  <c r="W265" i="53" s="1"/>
  <c r="Y266" i="53"/>
  <c r="W266" i="53" s="1"/>
  <c r="Y267" i="53"/>
  <c r="W267" i="53" s="1"/>
  <c r="Y268" i="53"/>
  <c r="W268" i="53" s="1"/>
  <c r="Y269" i="53"/>
  <c r="W269" i="53" s="1"/>
  <c r="Y270" i="53"/>
  <c r="W270" i="53" s="1"/>
  <c r="Y271" i="53"/>
  <c r="W271" i="53" s="1"/>
  <c r="Y272" i="53"/>
  <c r="W272" i="53" s="1"/>
  <c r="Y273" i="53"/>
  <c r="W273" i="53" s="1"/>
  <c r="Y274" i="53"/>
  <c r="W274" i="53" s="1"/>
  <c r="Y275" i="53"/>
  <c r="W275" i="53" s="1"/>
  <c r="Y276" i="53"/>
  <c r="W276" i="53" s="1"/>
  <c r="Y277" i="53"/>
  <c r="W277" i="53" s="1"/>
  <c r="Y278" i="53"/>
  <c r="W278" i="53" s="1"/>
  <c r="Y279" i="53"/>
  <c r="W279" i="53" s="1"/>
  <c r="Y280" i="53"/>
  <c r="W280" i="53" s="1"/>
  <c r="Y281" i="53"/>
  <c r="W281" i="53" s="1"/>
  <c r="Y282" i="53"/>
  <c r="W282" i="53" s="1"/>
  <c r="Y283" i="53"/>
  <c r="W283" i="53" s="1"/>
  <c r="Y284" i="53"/>
  <c r="W284" i="53" s="1"/>
  <c r="Y285" i="53"/>
  <c r="W285" i="53" s="1"/>
  <c r="Y286" i="53"/>
  <c r="W286" i="53" s="1"/>
  <c r="Y287" i="53"/>
  <c r="W287" i="53" s="1"/>
  <c r="Y288" i="53"/>
  <c r="W288" i="53" s="1"/>
  <c r="Y289" i="53"/>
  <c r="W289" i="53" s="1"/>
  <c r="Y290" i="53"/>
  <c r="W290" i="53" s="1"/>
  <c r="Y291" i="53"/>
  <c r="W291" i="53" s="1"/>
  <c r="Y292" i="53"/>
  <c r="W292" i="53" s="1"/>
  <c r="Y293" i="53"/>
  <c r="W293" i="53" s="1"/>
  <c r="Y294" i="53"/>
  <c r="W294" i="53" s="1"/>
  <c r="Y295" i="53"/>
  <c r="W295" i="53" s="1"/>
  <c r="Y296" i="53"/>
  <c r="W296" i="53" s="1"/>
  <c r="Y297" i="53"/>
  <c r="W297" i="53" s="1"/>
  <c r="Y298" i="53"/>
  <c r="W298" i="53" s="1"/>
  <c r="Y299" i="53"/>
  <c r="W299" i="53" s="1"/>
  <c r="Y300" i="53"/>
  <c r="W300" i="53" s="1"/>
  <c r="Y301" i="53"/>
  <c r="W301" i="53" s="1"/>
  <c r="Y302" i="53"/>
  <c r="W302" i="53" s="1"/>
  <c r="Y303" i="53"/>
  <c r="W303" i="53" s="1"/>
  <c r="Y304" i="53"/>
  <c r="W304" i="53" s="1"/>
  <c r="Y305" i="53"/>
  <c r="W305" i="53" s="1"/>
  <c r="Y306" i="53"/>
  <c r="W306" i="53" s="1"/>
  <c r="Y307" i="53"/>
  <c r="W307" i="53" s="1"/>
  <c r="Y308" i="53"/>
  <c r="W308" i="53" s="1"/>
  <c r="Y309" i="53"/>
  <c r="W309" i="53" s="1"/>
  <c r="Y310" i="53"/>
  <c r="W310" i="53" s="1"/>
  <c r="Y311" i="53"/>
  <c r="W311" i="53" s="1"/>
  <c r="Y312" i="53"/>
  <c r="W312" i="53" s="1"/>
  <c r="Y313" i="53"/>
  <c r="W313" i="53" s="1"/>
  <c r="Y314" i="53"/>
  <c r="W314" i="53" s="1"/>
  <c r="Y315" i="53"/>
  <c r="W315" i="53" s="1"/>
  <c r="Y316" i="53"/>
  <c r="W316" i="53" s="1"/>
  <c r="Y317" i="53"/>
  <c r="W317" i="53" s="1"/>
  <c r="Y318" i="53"/>
  <c r="W318" i="53" s="1"/>
  <c r="Y319" i="53"/>
  <c r="W319" i="53" s="1"/>
  <c r="Y320" i="53"/>
  <c r="W320" i="53" s="1"/>
  <c r="Y321" i="53"/>
  <c r="W321" i="53" s="1"/>
  <c r="Y322" i="53"/>
  <c r="W322" i="53" s="1"/>
  <c r="Y323" i="53"/>
  <c r="W323" i="53" s="1"/>
  <c r="Y324" i="53"/>
  <c r="W324" i="53" s="1"/>
  <c r="Y325" i="53"/>
  <c r="W325" i="53" s="1"/>
  <c r="Y326" i="53"/>
  <c r="W326" i="53" s="1"/>
  <c r="Y327" i="53"/>
  <c r="W327" i="53" s="1"/>
  <c r="Y328" i="53"/>
  <c r="W328" i="53" s="1"/>
  <c r="Y329" i="53"/>
  <c r="W329" i="53" s="1"/>
  <c r="Y330" i="53"/>
  <c r="W330" i="53" s="1"/>
  <c r="Y331" i="53"/>
  <c r="W331" i="53" s="1"/>
  <c r="Y332" i="53"/>
  <c r="W332" i="53" s="1"/>
  <c r="Y333" i="53"/>
  <c r="W333" i="53" s="1"/>
  <c r="Y334" i="53"/>
  <c r="W334" i="53" s="1"/>
  <c r="Y335" i="53"/>
  <c r="W335" i="53" s="1"/>
  <c r="Y336" i="53"/>
  <c r="W336" i="53" s="1"/>
  <c r="Y337" i="53"/>
  <c r="W337" i="53" s="1"/>
  <c r="Y338" i="53"/>
  <c r="W338" i="53" s="1"/>
  <c r="Y339" i="53"/>
  <c r="W339" i="53" s="1"/>
  <c r="Y340" i="53"/>
  <c r="W340" i="53" s="1"/>
  <c r="Y341" i="53"/>
  <c r="W341" i="53" s="1"/>
  <c r="Y342" i="53"/>
  <c r="W342" i="53" s="1"/>
  <c r="Y343" i="53"/>
  <c r="W343" i="53" s="1"/>
  <c r="Y344" i="53"/>
  <c r="W344" i="53" s="1"/>
  <c r="Y345" i="53"/>
  <c r="W345" i="53" s="1"/>
  <c r="Y346" i="53"/>
  <c r="W346" i="53" s="1"/>
  <c r="Y347" i="53"/>
  <c r="W347" i="53" s="1"/>
  <c r="Y348" i="53"/>
  <c r="W348" i="53" s="1"/>
  <c r="Y349" i="53"/>
  <c r="W349" i="53" s="1"/>
  <c r="Y350" i="53"/>
  <c r="W350" i="53" s="1"/>
  <c r="Y351" i="53"/>
  <c r="W351" i="53" s="1"/>
  <c r="Y352" i="53"/>
  <c r="W352" i="53" s="1"/>
  <c r="Y353" i="53"/>
  <c r="W353" i="53" s="1"/>
  <c r="Y354" i="53"/>
  <c r="W354" i="53" s="1"/>
  <c r="Y355" i="53"/>
  <c r="W355" i="53" s="1"/>
  <c r="Y356" i="53"/>
  <c r="W356" i="53" s="1"/>
  <c r="Y357" i="53"/>
  <c r="W357" i="53" s="1"/>
  <c r="Y358" i="53"/>
  <c r="W358" i="53" s="1"/>
  <c r="Y359" i="53"/>
  <c r="W359" i="53" s="1"/>
  <c r="Y360" i="53"/>
  <c r="W360" i="53" s="1"/>
  <c r="Y361" i="53"/>
  <c r="W361" i="53" s="1"/>
  <c r="Y362" i="53"/>
  <c r="W362" i="53" s="1"/>
  <c r="Y363" i="53"/>
  <c r="W363" i="53" s="1"/>
  <c r="Y364" i="53"/>
  <c r="W364" i="53" s="1"/>
  <c r="Y365" i="53"/>
  <c r="W365" i="53" s="1"/>
  <c r="Y366" i="53"/>
  <c r="W366" i="53" s="1"/>
  <c r="Y367" i="53"/>
  <c r="W367" i="53" s="1"/>
  <c r="Y368" i="53"/>
  <c r="W368" i="53" s="1"/>
  <c r="Y369" i="53"/>
  <c r="W369" i="53" s="1"/>
  <c r="Y370" i="53"/>
  <c r="W370" i="53" s="1"/>
  <c r="Y371" i="53"/>
  <c r="W371" i="53" s="1"/>
  <c r="Y372" i="53"/>
  <c r="W372" i="53" s="1"/>
  <c r="Y373" i="53"/>
  <c r="W373" i="53" s="1"/>
  <c r="Y374" i="53"/>
  <c r="W374" i="53" s="1"/>
  <c r="Y375" i="53"/>
  <c r="W375" i="53" s="1"/>
  <c r="Y376" i="53"/>
  <c r="W376" i="53" s="1"/>
  <c r="Y377" i="53"/>
  <c r="W377" i="53" s="1"/>
  <c r="Y378" i="53"/>
  <c r="W378" i="53" s="1"/>
  <c r="Y379" i="53"/>
  <c r="W379" i="53" s="1"/>
  <c r="Y380" i="53"/>
  <c r="W380" i="53" s="1"/>
  <c r="Y381" i="53"/>
  <c r="W381" i="53" s="1"/>
  <c r="Y382" i="53"/>
  <c r="W382" i="53" s="1"/>
  <c r="Y383" i="53"/>
  <c r="W383" i="53" s="1"/>
  <c r="Y384" i="53"/>
  <c r="W384" i="53" s="1"/>
  <c r="Y385" i="53"/>
  <c r="W385" i="53" s="1"/>
  <c r="Y386" i="53"/>
  <c r="W386" i="53" s="1"/>
  <c r="Y387" i="53"/>
  <c r="W387" i="53" s="1"/>
  <c r="Y388" i="53"/>
  <c r="W388" i="53" s="1"/>
  <c r="Y389" i="53"/>
  <c r="W389" i="53" s="1"/>
  <c r="Y390" i="53"/>
  <c r="W390" i="53" s="1"/>
  <c r="Y391" i="53"/>
  <c r="W391" i="53" s="1"/>
  <c r="Y392" i="53"/>
  <c r="W392" i="53" s="1"/>
  <c r="Y393" i="53"/>
  <c r="W393" i="53" s="1"/>
  <c r="Y394" i="53"/>
  <c r="W394" i="53" s="1"/>
  <c r="Y395" i="53"/>
  <c r="W395" i="53" s="1"/>
  <c r="Y396" i="53"/>
  <c r="W396" i="53" s="1"/>
  <c r="Y397" i="53"/>
  <c r="W397" i="53" s="1"/>
  <c r="Y398" i="53"/>
  <c r="W398" i="53" s="1"/>
  <c r="Y399" i="53"/>
  <c r="W399" i="53" s="1"/>
  <c r="Y400" i="53"/>
  <c r="W400" i="53" s="1"/>
  <c r="Y401" i="53"/>
  <c r="W401" i="53" s="1"/>
  <c r="Y402" i="53"/>
  <c r="W402" i="53" s="1"/>
  <c r="Y403" i="53"/>
  <c r="W403" i="53" s="1"/>
  <c r="Y404" i="53"/>
  <c r="W404" i="53" s="1"/>
  <c r="Y405" i="53"/>
  <c r="W405" i="53" s="1"/>
  <c r="Y406" i="53"/>
  <c r="W406" i="53" s="1"/>
  <c r="Y407" i="53"/>
  <c r="W407" i="53" s="1"/>
  <c r="Y408" i="53"/>
  <c r="W408" i="53" s="1"/>
  <c r="Y409" i="53"/>
  <c r="W409" i="53" s="1"/>
  <c r="Y410" i="53"/>
  <c r="W410" i="53" s="1"/>
  <c r="Y411" i="53"/>
  <c r="W411" i="53" s="1"/>
  <c r="Y412" i="53"/>
  <c r="W412" i="53" s="1"/>
  <c r="Y413" i="53"/>
  <c r="W413" i="53" s="1"/>
  <c r="Y414" i="53"/>
  <c r="W414" i="53" s="1"/>
  <c r="Y415" i="53"/>
  <c r="W415" i="53" s="1"/>
  <c r="Y416" i="53"/>
  <c r="W416" i="53" s="1"/>
  <c r="Y417" i="53"/>
  <c r="W417" i="53" s="1"/>
  <c r="Y418" i="53"/>
  <c r="W418" i="53" s="1"/>
  <c r="Y419" i="53"/>
  <c r="W419" i="53" s="1"/>
  <c r="Y420" i="53"/>
  <c r="W420" i="53" s="1"/>
  <c r="Y421" i="53"/>
  <c r="W421" i="53" s="1"/>
  <c r="Y422" i="53"/>
  <c r="W422" i="53" s="1"/>
  <c r="Y423" i="53"/>
  <c r="W423" i="53" s="1"/>
  <c r="Y424" i="53"/>
  <c r="W424" i="53" s="1"/>
  <c r="Y425" i="53"/>
  <c r="W425" i="53" s="1"/>
  <c r="Y426" i="53"/>
  <c r="W426" i="53" s="1"/>
  <c r="Y427" i="53"/>
  <c r="W427" i="53" s="1"/>
  <c r="Y428" i="53"/>
  <c r="W428" i="53" s="1"/>
  <c r="Y429" i="53"/>
  <c r="W429" i="53" s="1"/>
  <c r="Y430" i="53"/>
  <c r="W430" i="53" s="1"/>
  <c r="Y431" i="53"/>
  <c r="W431" i="53" s="1"/>
  <c r="Y432" i="53"/>
  <c r="W432" i="53" s="1"/>
  <c r="Y433" i="53"/>
  <c r="W433" i="53" s="1"/>
  <c r="Y434" i="53"/>
  <c r="W434" i="53" s="1"/>
  <c r="Y435" i="53"/>
  <c r="W435" i="53" s="1"/>
  <c r="Y436" i="53"/>
  <c r="W436" i="53" s="1"/>
  <c r="Y437" i="53"/>
  <c r="W437" i="53" s="1"/>
  <c r="Y438" i="53"/>
  <c r="W438" i="53" s="1"/>
  <c r="Y439" i="53"/>
  <c r="W439" i="53" s="1"/>
  <c r="Y440" i="53"/>
  <c r="W440" i="53" s="1"/>
  <c r="Y441" i="53"/>
  <c r="W441" i="53" s="1"/>
  <c r="Y442" i="53"/>
  <c r="W442" i="53" s="1"/>
  <c r="Y443" i="53"/>
  <c r="W443" i="53" s="1"/>
  <c r="Y444" i="53"/>
  <c r="W444" i="53" s="1"/>
  <c r="Y445" i="53"/>
  <c r="W445" i="53" s="1"/>
  <c r="Y446" i="53"/>
  <c r="W446" i="53" s="1"/>
  <c r="Y447" i="53"/>
  <c r="W447" i="53" s="1"/>
  <c r="Y448" i="53"/>
  <c r="W448" i="53" s="1"/>
  <c r="Y449" i="53"/>
  <c r="W449" i="53" s="1"/>
  <c r="Y450" i="53"/>
  <c r="W450" i="53" s="1"/>
  <c r="Y451" i="53"/>
  <c r="W451" i="53" s="1"/>
  <c r="Y452" i="53"/>
  <c r="W452" i="53" s="1"/>
  <c r="Y453" i="53"/>
  <c r="W453" i="53" s="1"/>
  <c r="Y454" i="53"/>
  <c r="W454" i="53" s="1"/>
  <c r="Y455" i="53"/>
  <c r="W455" i="53" s="1"/>
  <c r="Y456" i="53"/>
  <c r="W456" i="53" s="1"/>
  <c r="Y457" i="53"/>
  <c r="W457" i="53" s="1"/>
  <c r="Y458" i="53"/>
  <c r="W458" i="53" s="1"/>
  <c r="Y459" i="53"/>
  <c r="W459" i="53" s="1"/>
  <c r="Y460" i="53"/>
  <c r="W460" i="53" s="1"/>
  <c r="Y461" i="53"/>
  <c r="W461" i="53" s="1"/>
  <c r="Y462" i="53"/>
  <c r="W462" i="53" s="1"/>
  <c r="Y463" i="53"/>
  <c r="W463" i="53" s="1"/>
  <c r="Y464" i="53"/>
  <c r="W464" i="53" s="1"/>
  <c r="Y465" i="53"/>
  <c r="W465" i="53" s="1"/>
  <c r="Y466" i="53"/>
  <c r="W466" i="53" s="1"/>
  <c r="Y467" i="53"/>
  <c r="W467" i="53" s="1"/>
  <c r="Y468" i="53"/>
  <c r="W468" i="53" s="1"/>
  <c r="Y469" i="53"/>
  <c r="W469" i="53" s="1"/>
  <c r="Y470" i="53"/>
  <c r="W470" i="53" s="1"/>
  <c r="Y471" i="53"/>
  <c r="W471" i="53" s="1"/>
  <c r="Y472" i="53"/>
  <c r="W472" i="53" s="1"/>
  <c r="Y473" i="53"/>
  <c r="W473" i="53" s="1"/>
  <c r="Y474" i="53"/>
  <c r="W474" i="53" s="1"/>
  <c r="Y475" i="53"/>
  <c r="W475" i="53" s="1"/>
  <c r="Y476" i="53"/>
  <c r="W476" i="53" s="1"/>
  <c r="Y477" i="53"/>
  <c r="W477" i="53" s="1"/>
  <c r="Y478" i="53"/>
  <c r="W478" i="53" s="1"/>
  <c r="Y479" i="53"/>
  <c r="W479" i="53" s="1"/>
  <c r="Y480" i="53"/>
  <c r="W480" i="53" s="1"/>
  <c r="Y481" i="53"/>
  <c r="W481" i="53" s="1"/>
  <c r="Y482" i="53"/>
  <c r="W482" i="53" s="1"/>
  <c r="Y483" i="53"/>
  <c r="W483" i="53" s="1"/>
  <c r="Y484" i="53"/>
  <c r="W484" i="53" s="1"/>
  <c r="Y485" i="53"/>
  <c r="W485" i="53" s="1"/>
  <c r="Y486" i="53"/>
  <c r="W486" i="53" s="1"/>
  <c r="Y487" i="53"/>
  <c r="W487" i="53" s="1"/>
  <c r="Y488" i="53"/>
  <c r="W488" i="53" s="1"/>
  <c r="Y489" i="53"/>
  <c r="W489" i="53" s="1"/>
  <c r="Y490" i="53"/>
  <c r="W490" i="53" s="1"/>
  <c r="Y491" i="53"/>
  <c r="W491" i="53" s="1"/>
  <c r="Y492" i="53"/>
  <c r="W492" i="53" s="1"/>
  <c r="Y493" i="53"/>
  <c r="W493" i="53" s="1"/>
  <c r="Y494" i="53"/>
  <c r="W494" i="53" s="1"/>
  <c r="Y495" i="53"/>
  <c r="W495" i="53" s="1"/>
  <c r="Y496" i="53"/>
  <c r="W496" i="53" s="1"/>
  <c r="Y497" i="53"/>
  <c r="W497" i="53" s="1"/>
  <c r="Y498" i="53"/>
  <c r="W498" i="53" s="1"/>
  <c r="Y499" i="53"/>
  <c r="W499" i="53" s="1"/>
  <c r="Y500" i="53"/>
  <c r="W500" i="53" s="1"/>
  <c r="Y501" i="53"/>
  <c r="W501" i="53" s="1"/>
  <c r="Y502" i="53"/>
  <c r="W502" i="53" s="1"/>
  <c r="Y503" i="53"/>
  <c r="W503" i="53" s="1"/>
  <c r="Y504" i="53"/>
  <c r="W504" i="53" s="1"/>
  <c r="Y505" i="53"/>
  <c r="W505" i="53" s="1"/>
  <c r="Y506" i="53"/>
  <c r="W506" i="53" s="1"/>
  <c r="Y507" i="53"/>
  <c r="W507" i="53" s="1"/>
  <c r="Y508" i="53"/>
  <c r="W508" i="53" s="1"/>
  <c r="Y509" i="53"/>
  <c r="W509" i="53" s="1"/>
  <c r="Y510" i="53"/>
  <c r="W510" i="53" s="1"/>
  <c r="Y511" i="53"/>
  <c r="W511" i="53" s="1"/>
  <c r="Y512" i="53"/>
  <c r="W512" i="53" s="1"/>
  <c r="Y513" i="53"/>
  <c r="W513" i="53" s="1"/>
  <c r="Y514" i="53"/>
  <c r="W514" i="53" s="1"/>
  <c r="Y515" i="53"/>
  <c r="W515" i="53" s="1"/>
  <c r="Y516" i="53"/>
  <c r="W516" i="53" s="1"/>
  <c r="Y517" i="53"/>
  <c r="W517" i="53" s="1"/>
  <c r="Y518" i="53"/>
  <c r="W518" i="53" s="1"/>
  <c r="Y519" i="53"/>
  <c r="W519" i="53" s="1"/>
  <c r="Y520" i="53"/>
  <c r="W520" i="53" s="1"/>
  <c r="Y521" i="53"/>
  <c r="W521" i="53" s="1"/>
  <c r="Y522" i="53"/>
  <c r="W522" i="53" s="1"/>
  <c r="Y523" i="53"/>
  <c r="W523" i="53" s="1"/>
  <c r="Y524" i="53"/>
  <c r="W524" i="53" s="1"/>
  <c r="Y525" i="53"/>
  <c r="W525" i="53" s="1"/>
  <c r="Y526" i="53"/>
  <c r="W526" i="53" s="1"/>
  <c r="Y527" i="53"/>
  <c r="W527" i="53" s="1"/>
  <c r="Y528" i="53"/>
  <c r="W528" i="53" s="1"/>
  <c r="Y529" i="53"/>
  <c r="W529" i="53" s="1"/>
  <c r="Y530" i="53"/>
  <c r="W530" i="53" s="1"/>
  <c r="Y531" i="53"/>
  <c r="W531" i="53" s="1"/>
  <c r="Y532" i="53"/>
  <c r="W532" i="53" s="1"/>
  <c r="Y533" i="53"/>
  <c r="W533" i="53" s="1"/>
  <c r="Y534" i="53"/>
  <c r="W534" i="53" s="1"/>
  <c r="Y535" i="53"/>
  <c r="W535" i="53" s="1"/>
  <c r="Y536" i="53"/>
  <c r="W536" i="53" s="1"/>
  <c r="Y537" i="53"/>
  <c r="W537" i="53" s="1"/>
  <c r="Y538" i="53"/>
  <c r="W538" i="53" s="1"/>
  <c r="Y539" i="53"/>
  <c r="W539" i="53" s="1"/>
  <c r="Y540" i="53"/>
  <c r="W540" i="53" s="1"/>
  <c r="Y541" i="53"/>
  <c r="W541" i="53" s="1"/>
  <c r="Y542" i="53"/>
  <c r="W542" i="53" s="1"/>
  <c r="Y543" i="53"/>
  <c r="W543" i="53" s="1"/>
  <c r="Y544" i="53"/>
  <c r="W544" i="53" s="1"/>
  <c r="Y545" i="53"/>
  <c r="W545" i="53" s="1"/>
  <c r="Y546" i="53"/>
  <c r="W546" i="53" s="1"/>
  <c r="Y547" i="53"/>
  <c r="W547" i="53" s="1"/>
  <c r="Y548" i="53"/>
  <c r="W548" i="53" s="1"/>
  <c r="Y549" i="53"/>
  <c r="W549" i="53" s="1"/>
  <c r="Y550" i="53"/>
  <c r="W550" i="53" s="1"/>
  <c r="Y551" i="53"/>
  <c r="W551" i="53" s="1"/>
  <c r="Y552" i="53"/>
  <c r="W552" i="53" s="1"/>
  <c r="Y553" i="53"/>
  <c r="W553" i="53" s="1"/>
  <c r="Y554" i="53"/>
  <c r="W554" i="53" s="1"/>
  <c r="Y555" i="53"/>
  <c r="W555" i="53" s="1"/>
  <c r="Y556" i="53"/>
  <c r="W556" i="53" s="1"/>
  <c r="Y557" i="53"/>
  <c r="W557" i="53" s="1"/>
  <c r="Y558" i="53"/>
  <c r="W558" i="53" s="1"/>
  <c r="Y559" i="53"/>
  <c r="W559" i="53" s="1"/>
  <c r="Y560" i="53"/>
  <c r="W560" i="53" s="1"/>
  <c r="Y561" i="53"/>
  <c r="W561" i="53" s="1"/>
  <c r="Y562" i="53"/>
  <c r="W562" i="53" s="1"/>
  <c r="Y563" i="53"/>
  <c r="W563" i="53" s="1"/>
  <c r="Y564" i="53"/>
  <c r="W564" i="53" s="1"/>
  <c r="Y565" i="53"/>
  <c r="W565" i="53" s="1"/>
  <c r="Y566" i="53"/>
  <c r="W566" i="53" s="1"/>
  <c r="Y567" i="53"/>
  <c r="W567" i="53" s="1"/>
  <c r="Y568" i="53"/>
  <c r="W568" i="53" s="1"/>
  <c r="Y569" i="53"/>
  <c r="W569" i="53" s="1"/>
  <c r="Y570" i="53"/>
  <c r="W570" i="53" s="1"/>
  <c r="Y571" i="53"/>
  <c r="W571" i="53" s="1"/>
  <c r="Y572" i="53"/>
  <c r="W572" i="53" s="1"/>
  <c r="Y573" i="53"/>
  <c r="W573" i="53" s="1"/>
  <c r="Y574" i="53"/>
  <c r="W574" i="53" s="1"/>
  <c r="Y575" i="53"/>
  <c r="W575" i="53" s="1"/>
  <c r="Y576" i="53"/>
  <c r="W576" i="53" s="1"/>
  <c r="Y577" i="53"/>
  <c r="W577" i="53" s="1"/>
  <c r="Y578" i="53"/>
  <c r="W578" i="53" s="1"/>
  <c r="Y579" i="53"/>
  <c r="W579" i="53" s="1"/>
  <c r="Y580" i="53"/>
  <c r="W580" i="53" s="1"/>
  <c r="Y581" i="53"/>
  <c r="W581" i="53" s="1"/>
  <c r="Y582" i="53"/>
  <c r="W582" i="53" s="1"/>
  <c r="Y583" i="53"/>
  <c r="W583" i="53" s="1"/>
  <c r="Y584" i="53"/>
  <c r="W584" i="53" s="1"/>
  <c r="Y585" i="53"/>
  <c r="W585" i="53" s="1"/>
  <c r="Y586" i="53"/>
  <c r="W586" i="53" s="1"/>
  <c r="Y587" i="53"/>
  <c r="W587" i="53" s="1"/>
  <c r="Y588" i="53"/>
  <c r="W588" i="53" s="1"/>
  <c r="Y589" i="53"/>
  <c r="W589" i="53" s="1"/>
  <c r="Y590" i="53"/>
  <c r="W590" i="53" s="1"/>
  <c r="Y591" i="53"/>
  <c r="W591" i="53" s="1"/>
  <c r="Y592" i="53"/>
  <c r="W592" i="53" s="1"/>
  <c r="Y593" i="53"/>
  <c r="W593" i="53" s="1"/>
  <c r="Y594" i="53"/>
  <c r="W594" i="53" s="1"/>
  <c r="Y595" i="53"/>
  <c r="W595" i="53" s="1"/>
  <c r="Y596" i="53"/>
  <c r="W596" i="53" s="1"/>
  <c r="Y597" i="53"/>
  <c r="W597" i="53" s="1"/>
  <c r="Y598" i="53"/>
  <c r="W598" i="53" s="1"/>
  <c r="Y599" i="53"/>
  <c r="W599" i="53" s="1"/>
  <c r="Y600" i="53"/>
  <c r="W600" i="53" s="1"/>
  <c r="Y601" i="53"/>
  <c r="W601" i="53" s="1"/>
  <c r="Y602" i="53"/>
  <c r="W602" i="53" s="1"/>
  <c r="Y603" i="53"/>
  <c r="W603" i="53" s="1"/>
  <c r="Y604" i="53"/>
  <c r="W604" i="53" s="1"/>
  <c r="Y605" i="53"/>
  <c r="W605" i="53" s="1"/>
  <c r="Y606" i="53"/>
  <c r="W606" i="53" s="1"/>
  <c r="Y607" i="53"/>
  <c r="W607" i="53" s="1"/>
  <c r="Y608" i="53"/>
  <c r="W608" i="53" s="1"/>
  <c r="Y609" i="53"/>
  <c r="W609" i="53" s="1"/>
  <c r="Y610" i="53"/>
  <c r="W610" i="53" s="1"/>
  <c r="Y611" i="53"/>
  <c r="W611" i="53" s="1"/>
  <c r="Y612" i="53"/>
  <c r="W612" i="53" s="1"/>
  <c r="Y613" i="53"/>
  <c r="W613" i="53" s="1"/>
  <c r="Y614" i="53"/>
  <c r="W614" i="53" s="1"/>
  <c r="Y615" i="53"/>
  <c r="W615" i="53" s="1"/>
  <c r="Y616" i="53"/>
  <c r="W616" i="53" s="1"/>
  <c r="Y617" i="53"/>
  <c r="W617" i="53" s="1"/>
  <c r="Y618" i="53"/>
  <c r="W618" i="53" s="1"/>
  <c r="Y619" i="53"/>
  <c r="W619" i="53" s="1"/>
  <c r="Y620" i="53"/>
  <c r="W620" i="53" s="1"/>
  <c r="Y621" i="53"/>
  <c r="W621" i="53" s="1"/>
  <c r="Y622" i="53"/>
  <c r="W622" i="53" s="1"/>
  <c r="Y623" i="53"/>
  <c r="W623" i="53" s="1"/>
  <c r="Y624" i="53"/>
  <c r="W624" i="53" s="1"/>
  <c r="Y625" i="53"/>
  <c r="W625" i="53" s="1"/>
  <c r="Y626" i="53"/>
  <c r="W626" i="53" s="1"/>
  <c r="Y627" i="53"/>
  <c r="W627" i="53" s="1"/>
  <c r="Y628" i="53"/>
  <c r="W628" i="53" s="1"/>
  <c r="Y629" i="53"/>
  <c r="W629" i="53" s="1"/>
  <c r="Y630" i="53"/>
  <c r="W630" i="53" s="1"/>
  <c r="Y631" i="53"/>
  <c r="W631" i="53" s="1"/>
  <c r="Y632" i="53"/>
  <c r="W632" i="53" s="1"/>
  <c r="Y633" i="53"/>
  <c r="W633" i="53" s="1"/>
  <c r="Y634" i="53"/>
  <c r="W634" i="53" s="1"/>
  <c r="Y635" i="53"/>
  <c r="W635" i="53" s="1"/>
  <c r="Y636" i="53"/>
  <c r="W636" i="53" s="1"/>
  <c r="Y637" i="53"/>
  <c r="W637" i="53" s="1"/>
  <c r="Y638" i="53"/>
  <c r="W638" i="53" s="1"/>
  <c r="Y639" i="53"/>
  <c r="W639" i="53" s="1"/>
  <c r="Y640" i="53"/>
  <c r="W640" i="53" s="1"/>
  <c r="Y641" i="53"/>
  <c r="W641" i="53" s="1"/>
  <c r="Y642" i="53"/>
  <c r="W642" i="53" s="1"/>
  <c r="Y643" i="53"/>
  <c r="W643" i="53" s="1"/>
  <c r="Y644" i="53"/>
  <c r="W644" i="53" s="1"/>
  <c r="Y645" i="53"/>
  <c r="W645" i="53" s="1"/>
  <c r="Y646" i="53"/>
  <c r="W646" i="53" s="1"/>
  <c r="Y647" i="53"/>
  <c r="W647" i="53" s="1"/>
  <c r="Y648" i="53"/>
  <c r="W648" i="53" s="1"/>
  <c r="Y649" i="53"/>
  <c r="W649" i="53" s="1"/>
  <c r="Y650" i="53"/>
  <c r="W650" i="53" s="1"/>
  <c r="Y651" i="53"/>
  <c r="W651" i="53" s="1"/>
  <c r="Y652" i="53"/>
  <c r="W652" i="53" s="1"/>
  <c r="Y653" i="53"/>
  <c r="W653" i="53" s="1"/>
  <c r="Y654" i="53"/>
  <c r="W654" i="53" s="1"/>
  <c r="Y655" i="53"/>
  <c r="W655" i="53" s="1"/>
  <c r="Y656" i="53"/>
  <c r="W656" i="53" s="1"/>
  <c r="Y657" i="53"/>
  <c r="W657" i="53" s="1"/>
  <c r="Y658" i="53"/>
  <c r="W658" i="53" s="1"/>
  <c r="Y659" i="53"/>
  <c r="W659" i="53" s="1"/>
  <c r="Y660" i="53"/>
  <c r="W660" i="53" s="1"/>
  <c r="Y661" i="53"/>
  <c r="W661" i="53" s="1"/>
  <c r="Y662" i="53"/>
  <c r="W662" i="53" s="1"/>
  <c r="Y663" i="53"/>
  <c r="W663" i="53" s="1"/>
  <c r="Y664" i="53"/>
  <c r="W664" i="53" s="1"/>
  <c r="Y665" i="53"/>
  <c r="W665" i="53" s="1"/>
  <c r="Y666" i="53"/>
  <c r="W666" i="53" s="1"/>
  <c r="Y667" i="53"/>
  <c r="W667" i="53" s="1"/>
  <c r="Y668" i="53"/>
  <c r="W668" i="53" s="1"/>
  <c r="Y669" i="53"/>
  <c r="W669" i="53" s="1"/>
  <c r="Y670" i="53"/>
  <c r="W670" i="53" s="1"/>
  <c r="Y671" i="53"/>
  <c r="W671" i="53" s="1"/>
  <c r="Y672" i="53"/>
  <c r="W672" i="53" s="1"/>
  <c r="Y673" i="53"/>
  <c r="W673" i="53" s="1"/>
  <c r="Y674" i="53"/>
  <c r="W674" i="53" s="1"/>
  <c r="Y675" i="53"/>
  <c r="W675" i="53" s="1"/>
  <c r="Y676" i="53"/>
  <c r="W676" i="53" s="1"/>
  <c r="Y677" i="53"/>
  <c r="W677" i="53" s="1"/>
  <c r="Y678" i="53"/>
  <c r="W678" i="53" s="1"/>
  <c r="Y679" i="53"/>
  <c r="W679" i="53" s="1"/>
  <c r="Y680" i="53"/>
  <c r="W680" i="53" s="1"/>
  <c r="Y681" i="53"/>
  <c r="W681" i="53" s="1"/>
  <c r="Y682" i="53"/>
  <c r="W682" i="53" s="1"/>
  <c r="Y683" i="53"/>
  <c r="W683" i="53" s="1"/>
  <c r="Y684" i="53"/>
  <c r="W684" i="53" s="1"/>
  <c r="Y685" i="53"/>
  <c r="W685" i="53" s="1"/>
  <c r="Y686" i="53"/>
  <c r="W686" i="53" s="1"/>
  <c r="Y687" i="53"/>
  <c r="W687" i="53" s="1"/>
  <c r="Y688" i="53"/>
  <c r="W688" i="53" s="1"/>
  <c r="Y689" i="53"/>
  <c r="W689" i="53" s="1"/>
  <c r="Y690" i="53"/>
  <c r="W690" i="53" s="1"/>
  <c r="Y691" i="53"/>
  <c r="W691" i="53" s="1"/>
  <c r="Y692" i="53"/>
  <c r="W692" i="53" s="1"/>
  <c r="Y693" i="53"/>
  <c r="W693" i="53" s="1"/>
  <c r="Y694" i="53"/>
  <c r="W694" i="53" s="1"/>
  <c r="Y695" i="53"/>
  <c r="W695" i="53" s="1"/>
  <c r="Y696" i="53"/>
  <c r="W696" i="53" s="1"/>
  <c r="Y697" i="53"/>
  <c r="W697" i="53" s="1"/>
  <c r="Y698" i="53"/>
  <c r="W698" i="53" s="1"/>
  <c r="Y699" i="53"/>
  <c r="W699" i="53" s="1"/>
  <c r="Y700" i="53"/>
  <c r="W700" i="53" s="1"/>
  <c r="Y701" i="53"/>
  <c r="W701" i="53" s="1"/>
  <c r="Y702" i="53"/>
  <c r="W702" i="53" s="1"/>
  <c r="Y703" i="53"/>
  <c r="W703" i="53" s="1"/>
  <c r="Y704" i="53"/>
  <c r="W704" i="53" s="1"/>
  <c r="Y705" i="53"/>
  <c r="W705" i="53" s="1"/>
  <c r="Y706" i="53"/>
  <c r="W706" i="53" s="1"/>
  <c r="Y707" i="53"/>
  <c r="W707" i="53" s="1"/>
  <c r="Y708" i="53"/>
  <c r="W708" i="53" s="1"/>
  <c r="Y709" i="53"/>
  <c r="W709" i="53" s="1"/>
  <c r="Y710" i="53"/>
  <c r="W710" i="53" s="1"/>
  <c r="Y711" i="53"/>
  <c r="W711" i="53" s="1"/>
  <c r="Y712" i="53"/>
  <c r="W712" i="53" s="1"/>
  <c r="Y713" i="53"/>
  <c r="W713" i="53" s="1"/>
  <c r="Y714" i="53"/>
  <c r="W714" i="53" s="1"/>
  <c r="Y715" i="53"/>
  <c r="W715" i="53" s="1"/>
  <c r="Y716" i="53"/>
  <c r="W716" i="53" s="1"/>
  <c r="Y717" i="53"/>
  <c r="W717" i="53" s="1"/>
  <c r="Y718" i="53"/>
  <c r="W718" i="53" s="1"/>
  <c r="Y719" i="53"/>
  <c r="W719" i="53" s="1"/>
  <c r="Y720" i="53"/>
  <c r="W720" i="53" s="1"/>
  <c r="Y721" i="53"/>
  <c r="W721" i="53" s="1"/>
  <c r="Y722" i="53"/>
  <c r="W722" i="53" s="1"/>
  <c r="Y723" i="53"/>
  <c r="W723" i="53" s="1"/>
  <c r="Y724" i="53"/>
  <c r="W724" i="53" s="1"/>
  <c r="Y725" i="53"/>
  <c r="W725" i="53" s="1"/>
  <c r="Y726" i="53"/>
  <c r="W726" i="53" s="1"/>
  <c r="Y727" i="53"/>
  <c r="W727" i="53" s="1"/>
  <c r="Y728" i="53"/>
  <c r="W728" i="53" s="1"/>
  <c r="Y729" i="53"/>
  <c r="W729" i="53" s="1"/>
  <c r="Y730" i="53"/>
  <c r="W730" i="53" s="1"/>
  <c r="Y731" i="53"/>
  <c r="W731" i="53" s="1"/>
  <c r="Y732" i="53"/>
  <c r="W732" i="53" s="1"/>
  <c r="Y733" i="53"/>
  <c r="W733" i="53" s="1"/>
  <c r="Y734" i="53"/>
  <c r="W734" i="53" s="1"/>
  <c r="Y735" i="53"/>
  <c r="W735" i="53" s="1"/>
  <c r="Y736" i="53"/>
  <c r="W736" i="53" s="1"/>
  <c r="Y737" i="53"/>
  <c r="W737" i="53" s="1"/>
  <c r="Y738" i="53"/>
  <c r="W738" i="53" s="1"/>
  <c r="Y739" i="53"/>
  <c r="W739" i="53" s="1"/>
  <c r="Y740" i="53"/>
  <c r="W740" i="53" s="1"/>
  <c r="Y741" i="53"/>
  <c r="W741" i="53" s="1"/>
  <c r="Y742" i="53"/>
  <c r="W742" i="53" s="1"/>
  <c r="Y743" i="53"/>
  <c r="W743" i="53" s="1"/>
  <c r="Y744" i="53"/>
  <c r="W744" i="53" s="1"/>
  <c r="Y745" i="53"/>
  <c r="W745" i="53" s="1"/>
  <c r="Y746" i="53"/>
  <c r="W746" i="53" s="1"/>
  <c r="Y747" i="53"/>
  <c r="W747" i="53" s="1"/>
  <c r="Y748" i="53"/>
  <c r="W748" i="53" s="1"/>
  <c r="Y749" i="53"/>
  <c r="W749" i="53" s="1"/>
  <c r="Y750" i="53"/>
  <c r="W750" i="53" s="1"/>
  <c r="Y751" i="53"/>
  <c r="W751" i="53" s="1"/>
  <c r="Y752" i="53"/>
  <c r="W752" i="53" s="1"/>
  <c r="Y753" i="53"/>
  <c r="W753" i="53" s="1"/>
  <c r="Y754" i="53"/>
  <c r="W754" i="53" s="1"/>
  <c r="Y755" i="53"/>
  <c r="W755" i="53" s="1"/>
  <c r="Y756" i="53"/>
  <c r="W756" i="53" s="1"/>
  <c r="Y757" i="53"/>
  <c r="W757" i="53" s="1"/>
  <c r="Y758" i="53"/>
  <c r="W758" i="53" s="1"/>
  <c r="Y759" i="53"/>
  <c r="W759" i="53" s="1"/>
  <c r="Y760" i="53"/>
  <c r="W760" i="53" s="1"/>
  <c r="Y761" i="53"/>
  <c r="W761" i="53" s="1"/>
  <c r="Y762" i="53"/>
  <c r="W762" i="53" s="1"/>
  <c r="Y763" i="53"/>
  <c r="W763" i="53" s="1"/>
  <c r="Y764" i="53"/>
  <c r="W764" i="53" s="1"/>
  <c r="Y765" i="53"/>
  <c r="W765" i="53" s="1"/>
  <c r="Y766" i="53"/>
  <c r="W766" i="53" s="1"/>
  <c r="Y767" i="53"/>
  <c r="W767" i="53" s="1"/>
  <c r="Y768" i="53"/>
  <c r="W768" i="53" s="1"/>
  <c r="Y769" i="53"/>
  <c r="W769" i="53" s="1"/>
  <c r="Y770" i="53"/>
  <c r="W770" i="53" s="1"/>
  <c r="Y771" i="53"/>
  <c r="W771" i="53" s="1"/>
  <c r="Y772" i="53"/>
  <c r="W772" i="53" s="1"/>
  <c r="Y773" i="53"/>
  <c r="W773" i="53" s="1"/>
  <c r="Y774" i="53"/>
  <c r="W774" i="53" s="1"/>
  <c r="Y775" i="53"/>
  <c r="W775" i="53" s="1"/>
  <c r="Y776" i="53"/>
  <c r="W776" i="53" s="1"/>
  <c r="Y777" i="53"/>
  <c r="W777" i="53" s="1"/>
  <c r="Y778" i="53"/>
  <c r="W778" i="53" s="1"/>
  <c r="Y779" i="53"/>
  <c r="W779" i="53" s="1"/>
  <c r="Y780" i="53"/>
  <c r="W780" i="53" s="1"/>
  <c r="Y781" i="53"/>
  <c r="W781" i="53" s="1"/>
  <c r="Y782" i="53"/>
  <c r="W782" i="53" s="1"/>
  <c r="Y783" i="53"/>
  <c r="W783" i="53" s="1"/>
  <c r="Y784" i="53"/>
  <c r="W784" i="53" s="1"/>
  <c r="Y785" i="53"/>
  <c r="W785" i="53" s="1"/>
  <c r="Y786" i="53"/>
  <c r="W786" i="53" s="1"/>
  <c r="Y787" i="53"/>
  <c r="W787" i="53" s="1"/>
  <c r="Y788" i="53"/>
  <c r="W788" i="53" s="1"/>
  <c r="Y789" i="53"/>
  <c r="W789" i="53" s="1"/>
  <c r="Y790" i="53"/>
  <c r="W790" i="53" s="1"/>
  <c r="Y791" i="53"/>
  <c r="W791" i="53" s="1"/>
  <c r="Y792" i="53"/>
  <c r="W792" i="53" s="1"/>
  <c r="Y793" i="53"/>
  <c r="W793" i="53" s="1"/>
  <c r="Y794" i="53"/>
  <c r="W794" i="53" s="1"/>
  <c r="Y795" i="53"/>
  <c r="W795" i="53" s="1"/>
  <c r="Y796" i="53"/>
  <c r="W796" i="53" s="1"/>
  <c r="Y797" i="53"/>
  <c r="W797" i="53" s="1"/>
  <c r="Y798" i="53"/>
  <c r="W798" i="53" s="1"/>
  <c r="Y799" i="53"/>
  <c r="W799" i="53" s="1"/>
  <c r="Y800" i="53"/>
  <c r="W800" i="53" s="1"/>
  <c r="Y801" i="53"/>
  <c r="W801" i="53" s="1"/>
  <c r="Y802" i="53"/>
  <c r="W802" i="53" s="1"/>
  <c r="Y803" i="53"/>
  <c r="W803" i="53" s="1"/>
  <c r="Y804" i="53"/>
  <c r="W804" i="53" s="1"/>
  <c r="Y805" i="53"/>
  <c r="W805" i="53" s="1"/>
  <c r="Y806" i="53"/>
  <c r="W806" i="53" s="1"/>
  <c r="Y807" i="53"/>
  <c r="W807" i="53" s="1"/>
  <c r="Y808" i="53"/>
  <c r="W808" i="53" s="1"/>
  <c r="Y809" i="53"/>
  <c r="W809" i="53" s="1"/>
  <c r="Y810" i="53"/>
  <c r="W810" i="53" s="1"/>
  <c r="Y811" i="53"/>
  <c r="W811" i="53" s="1"/>
  <c r="Y812" i="53"/>
  <c r="W812" i="53" s="1"/>
  <c r="Y813" i="53"/>
  <c r="W813" i="53" s="1"/>
  <c r="Y814" i="53"/>
  <c r="W814" i="53" s="1"/>
  <c r="Y815" i="53"/>
  <c r="W815" i="53" s="1"/>
  <c r="Y816" i="53"/>
  <c r="W816" i="53" s="1"/>
  <c r="Y817" i="53"/>
  <c r="W817" i="53" s="1"/>
  <c r="Y818" i="53"/>
  <c r="W818" i="53" s="1"/>
  <c r="Y819" i="53"/>
  <c r="W819" i="53" s="1"/>
  <c r="Y820" i="53"/>
  <c r="W820" i="53" s="1"/>
  <c r="Y821" i="53"/>
  <c r="W821" i="53" s="1"/>
  <c r="Y822" i="53"/>
  <c r="W822" i="53" s="1"/>
  <c r="Y823" i="53"/>
  <c r="W823" i="53" s="1"/>
  <c r="Y824" i="53"/>
  <c r="W824" i="53" s="1"/>
  <c r="Y825" i="53"/>
  <c r="W825" i="53" s="1"/>
  <c r="Y826" i="53"/>
  <c r="W826" i="53" s="1"/>
  <c r="Y827" i="53"/>
  <c r="W827" i="53" s="1"/>
  <c r="Y828" i="53"/>
  <c r="W828" i="53" s="1"/>
  <c r="Y829" i="53"/>
  <c r="W829" i="53" s="1"/>
  <c r="Y830" i="53"/>
  <c r="W830" i="53" s="1"/>
  <c r="Y831" i="53"/>
  <c r="W831" i="53" s="1"/>
  <c r="Y832" i="53"/>
  <c r="W832" i="53" s="1"/>
  <c r="Y833" i="53"/>
  <c r="W833" i="53" s="1"/>
  <c r="Y834" i="53"/>
  <c r="W834" i="53" s="1"/>
  <c r="Y835" i="53"/>
  <c r="W835" i="53" s="1"/>
  <c r="Y836" i="53"/>
  <c r="W836" i="53" s="1"/>
  <c r="Y837" i="53"/>
  <c r="W837" i="53" s="1"/>
  <c r="Y838" i="53"/>
  <c r="W838" i="53" s="1"/>
  <c r="Y839" i="53"/>
  <c r="W839" i="53" s="1"/>
  <c r="Y840" i="53"/>
  <c r="W840" i="53" s="1"/>
  <c r="Y841" i="53"/>
  <c r="W841" i="53" s="1"/>
  <c r="Y842" i="53"/>
  <c r="W842" i="53" s="1"/>
  <c r="Y843" i="53"/>
  <c r="W843" i="53" s="1"/>
  <c r="Y844" i="53"/>
  <c r="W844" i="53" s="1"/>
  <c r="Y845" i="53"/>
  <c r="W845" i="53" s="1"/>
  <c r="Y846" i="53"/>
  <c r="W846" i="53" s="1"/>
  <c r="Y847" i="53"/>
  <c r="W847" i="53" s="1"/>
  <c r="Y848" i="53"/>
  <c r="W848" i="53" s="1"/>
  <c r="Y849" i="53"/>
  <c r="W849" i="53" s="1"/>
  <c r="Y850" i="53"/>
  <c r="W850" i="53" s="1"/>
  <c r="Y851" i="53"/>
  <c r="W851" i="53" s="1"/>
  <c r="Y852" i="53"/>
  <c r="W852" i="53" s="1"/>
  <c r="Y853" i="53"/>
  <c r="W853" i="53" s="1"/>
  <c r="Y854" i="53"/>
  <c r="W854" i="53" s="1"/>
  <c r="Y855" i="53"/>
  <c r="W855" i="53" s="1"/>
  <c r="Y856" i="53"/>
  <c r="W856" i="53" s="1"/>
  <c r="Y857" i="53"/>
  <c r="W857" i="53" s="1"/>
  <c r="Y858" i="53"/>
  <c r="W858" i="53" s="1"/>
  <c r="Y859" i="53"/>
  <c r="W859" i="53" s="1"/>
  <c r="Y860" i="53"/>
  <c r="W860" i="53" s="1"/>
  <c r="Y861" i="53"/>
  <c r="W861" i="53" s="1"/>
  <c r="Y862" i="53"/>
  <c r="W862" i="53" s="1"/>
  <c r="Y863" i="53"/>
  <c r="W863" i="53" s="1"/>
  <c r="Y864" i="53"/>
  <c r="W864" i="53" s="1"/>
  <c r="Y865" i="53"/>
  <c r="W865" i="53" s="1"/>
  <c r="Y866" i="53"/>
  <c r="W866" i="53" s="1"/>
  <c r="Y867" i="53"/>
  <c r="W867" i="53" s="1"/>
  <c r="Y868" i="53"/>
  <c r="W868" i="53" s="1"/>
  <c r="Y869" i="53"/>
  <c r="W869" i="53" s="1"/>
  <c r="Y870" i="53"/>
  <c r="W870" i="53" s="1"/>
  <c r="Y871" i="53"/>
  <c r="W871" i="53" s="1"/>
  <c r="Y872" i="53"/>
  <c r="W872" i="53" s="1"/>
  <c r="Y873" i="53"/>
  <c r="W873" i="53" s="1"/>
  <c r="Y874" i="53"/>
  <c r="W874" i="53" s="1"/>
  <c r="Y875" i="53"/>
  <c r="W875" i="53" s="1"/>
  <c r="Y876" i="53"/>
  <c r="W876" i="53" s="1"/>
  <c r="Y877" i="53"/>
  <c r="W877" i="53" s="1"/>
  <c r="Y878" i="53"/>
  <c r="W878" i="53" s="1"/>
  <c r="Y879" i="53"/>
  <c r="W879" i="53" s="1"/>
  <c r="Y880" i="53"/>
  <c r="W880" i="53" s="1"/>
  <c r="Y881" i="53"/>
  <c r="W881" i="53" s="1"/>
  <c r="Y882" i="53"/>
  <c r="W882" i="53" s="1"/>
  <c r="Y883" i="53"/>
  <c r="W883" i="53" s="1"/>
  <c r="Y884" i="53"/>
  <c r="W884" i="53" s="1"/>
  <c r="Y885" i="53"/>
  <c r="W885" i="53" s="1"/>
  <c r="Y886" i="53"/>
  <c r="W886" i="53" s="1"/>
  <c r="Y887" i="53"/>
  <c r="W887" i="53" s="1"/>
  <c r="Y888" i="53"/>
  <c r="W888" i="53" s="1"/>
  <c r="Y889" i="53"/>
  <c r="W889" i="53" s="1"/>
  <c r="Y890" i="53"/>
  <c r="W890" i="53" s="1"/>
  <c r="Y891" i="53"/>
  <c r="W891" i="53" s="1"/>
  <c r="Y892" i="53"/>
  <c r="W892" i="53" s="1"/>
  <c r="Y893" i="53"/>
  <c r="W893" i="53" s="1"/>
  <c r="Y894" i="53"/>
  <c r="W894" i="53" s="1"/>
  <c r="Y895" i="53"/>
  <c r="W895" i="53" s="1"/>
  <c r="Y896" i="53"/>
  <c r="W896" i="53" s="1"/>
  <c r="Y897" i="53"/>
  <c r="W897" i="53" s="1"/>
  <c r="Y898" i="53"/>
  <c r="W898" i="53" s="1"/>
  <c r="Y899" i="53"/>
  <c r="W899" i="53" s="1"/>
  <c r="Y900" i="53"/>
  <c r="W900" i="53" s="1"/>
  <c r="Y901" i="53"/>
  <c r="W901" i="53" s="1"/>
  <c r="Y902" i="53"/>
  <c r="W902" i="53" s="1"/>
  <c r="Y903" i="53"/>
  <c r="W903" i="53" s="1"/>
  <c r="Y904" i="53"/>
  <c r="W904" i="53" s="1"/>
  <c r="Y905" i="53"/>
  <c r="W905" i="53" s="1"/>
  <c r="Y906" i="53"/>
  <c r="W906" i="53" s="1"/>
  <c r="Y907" i="53"/>
  <c r="W907" i="53" s="1"/>
  <c r="Y908" i="53"/>
  <c r="W908" i="53" s="1"/>
  <c r="Y909" i="53"/>
  <c r="W909" i="53" s="1"/>
  <c r="Y910" i="53"/>
  <c r="W910" i="53" s="1"/>
  <c r="Y911" i="53"/>
  <c r="W911" i="53" s="1"/>
  <c r="Y912" i="53"/>
  <c r="W912" i="53" s="1"/>
  <c r="Y913" i="53"/>
  <c r="W913" i="53" s="1"/>
  <c r="Y914" i="53"/>
  <c r="W914" i="53" s="1"/>
  <c r="Y915" i="53"/>
  <c r="W915" i="53" s="1"/>
  <c r="Y916" i="53"/>
  <c r="W916" i="53" s="1"/>
  <c r="Y917" i="53"/>
  <c r="W917" i="53" s="1"/>
  <c r="Y918" i="53"/>
  <c r="W918" i="53" s="1"/>
  <c r="Y919" i="53"/>
  <c r="W919" i="53" s="1"/>
  <c r="Y920" i="53"/>
  <c r="W920" i="53" s="1"/>
  <c r="Y921" i="53"/>
  <c r="W921" i="53" s="1"/>
  <c r="Y922" i="53"/>
  <c r="W922" i="53" s="1"/>
  <c r="Y923" i="53"/>
  <c r="W923" i="53" s="1"/>
  <c r="Y924" i="53"/>
  <c r="W924" i="53" s="1"/>
  <c r="Y925" i="53"/>
  <c r="W925" i="53" s="1"/>
  <c r="Y926" i="53"/>
  <c r="W926" i="53" s="1"/>
  <c r="Y927" i="53"/>
  <c r="W927" i="53" s="1"/>
  <c r="Y928" i="53"/>
  <c r="W928" i="53" s="1"/>
  <c r="Y929" i="53"/>
  <c r="W929" i="53" s="1"/>
  <c r="Y930" i="53"/>
  <c r="W930" i="53" s="1"/>
  <c r="Y931" i="53"/>
  <c r="W931" i="53" s="1"/>
  <c r="Y932" i="53"/>
  <c r="W932" i="53" s="1"/>
  <c r="Y933" i="53"/>
  <c r="W933" i="53" s="1"/>
  <c r="Y934" i="53"/>
  <c r="W934" i="53" s="1"/>
  <c r="Y935" i="53"/>
  <c r="W935" i="53" s="1"/>
  <c r="Y936" i="53"/>
  <c r="W936" i="53" s="1"/>
  <c r="Y937" i="53"/>
  <c r="W937" i="53" s="1"/>
  <c r="Y938" i="53"/>
  <c r="W938" i="53" s="1"/>
  <c r="Y939" i="53"/>
  <c r="W939" i="53" s="1"/>
  <c r="Y940" i="53"/>
  <c r="W940" i="53" s="1"/>
  <c r="Y941" i="53"/>
  <c r="W941" i="53" s="1"/>
  <c r="Y942" i="53"/>
  <c r="W942" i="53" s="1"/>
  <c r="Y943" i="53"/>
  <c r="W943" i="53" s="1"/>
  <c r="Y944" i="53"/>
  <c r="W944" i="53" s="1"/>
  <c r="Y945" i="53"/>
  <c r="W945" i="53" s="1"/>
  <c r="Y946" i="53"/>
  <c r="W946" i="53" s="1"/>
  <c r="Y947" i="53"/>
  <c r="W947" i="53" s="1"/>
  <c r="Y948" i="53"/>
  <c r="W948" i="53" s="1"/>
  <c r="Y949" i="53"/>
  <c r="W949" i="53" s="1"/>
  <c r="Y950" i="53"/>
  <c r="W950" i="53" s="1"/>
  <c r="Y951" i="53"/>
  <c r="W951" i="53" s="1"/>
  <c r="Y952" i="53"/>
  <c r="W952" i="53" s="1"/>
  <c r="Y953" i="53"/>
  <c r="W953" i="53" s="1"/>
  <c r="Y954" i="53"/>
  <c r="W954" i="53" s="1"/>
  <c r="Y955" i="53"/>
  <c r="W955" i="53" s="1"/>
  <c r="Y956" i="53"/>
  <c r="W956" i="53" s="1"/>
  <c r="Y957" i="53"/>
  <c r="W957" i="53" s="1"/>
  <c r="Y958" i="53"/>
  <c r="W958" i="53" s="1"/>
  <c r="Y959" i="53"/>
  <c r="W959" i="53" s="1"/>
  <c r="Y960" i="53"/>
  <c r="W960" i="53" s="1"/>
  <c r="Y961" i="53"/>
  <c r="W961" i="53" s="1"/>
  <c r="Y962" i="53"/>
  <c r="W962" i="53" s="1"/>
  <c r="Y963" i="53"/>
  <c r="W963" i="53" s="1"/>
  <c r="Y964" i="53"/>
  <c r="W964" i="53" s="1"/>
  <c r="Y965" i="53"/>
  <c r="W965" i="53" s="1"/>
  <c r="Y966" i="53"/>
  <c r="W966" i="53" s="1"/>
  <c r="Y967" i="53"/>
  <c r="W967" i="53" s="1"/>
  <c r="Y968" i="53"/>
  <c r="W968" i="53" s="1"/>
  <c r="Y969" i="53"/>
  <c r="W969" i="53" s="1"/>
  <c r="Y970" i="53"/>
  <c r="W970" i="53" s="1"/>
  <c r="Y971" i="53"/>
  <c r="W971" i="53" s="1"/>
  <c r="Y972" i="53"/>
  <c r="W972" i="53" s="1"/>
  <c r="Y973" i="53"/>
  <c r="W973" i="53" s="1"/>
  <c r="Y974" i="53"/>
  <c r="W974" i="53" s="1"/>
  <c r="Y975" i="53"/>
  <c r="W975" i="53" s="1"/>
  <c r="Y976" i="53"/>
  <c r="W976" i="53" s="1"/>
  <c r="Y977" i="53"/>
  <c r="W977" i="53" s="1"/>
  <c r="Y978" i="53"/>
  <c r="W978" i="53" s="1"/>
  <c r="Y979" i="53"/>
  <c r="W979" i="53" s="1"/>
  <c r="Y980" i="53"/>
  <c r="W980" i="53" s="1"/>
  <c r="AA981" i="52"/>
  <c r="AA980" i="52"/>
  <c r="Y980" i="52"/>
  <c r="W980" i="52" s="1"/>
  <c r="AA979" i="52"/>
  <c r="Y979" i="52"/>
  <c r="W979" i="52" s="1"/>
  <c r="AA978" i="52"/>
  <c r="Y978" i="52"/>
  <c r="W978" i="52" s="1"/>
  <c r="AA977" i="52"/>
  <c r="Y977" i="52"/>
  <c r="W977" i="52" s="1"/>
  <c r="AA976" i="52"/>
  <c r="Y976" i="52"/>
  <c r="W976" i="52" s="1"/>
  <c r="AA975" i="52"/>
  <c r="Y975" i="52"/>
  <c r="W975" i="52" s="1"/>
  <c r="AA974" i="52"/>
  <c r="Y974" i="52"/>
  <c r="W974" i="52" s="1"/>
  <c r="AA973" i="52"/>
  <c r="Y973" i="52"/>
  <c r="W973" i="52" s="1"/>
  <c r="AA972" i="52"/>
  <c r="Y972" i="52"/>
  <c r="W972" i="52" s="1"/>
  <c r="AA971" i="52"/>
  <c r="Y971" i="52"/>
  <c r="W971" i="52" s="1"/>
  <c r="AA970" i="52"/>
  <c r="Y970" i="52"/>
  <c r="W970" i="52" s="1"/>
  <c r="AA969" i="52"/>
  <c r="Y969" i="52"/>
  <c r="W969" i="52" s="1"/>
  <c r="AA968" i="52"/>
  <c r="Y968" i="52"/>
  <c r="W968" i="52" s="1"/>
  <c r="AA967" i="52"/>
  <c r="Y967" i="52"/>
  <c r="W967" i="52" s="1"/>
  <c r="AA966" i="52"/>
  <c r="Y966" i="52"/>
  <c r="W966" i="52" s="1"/>
  <c r="AA965" i="52"/>
  <c r="Y965" i="52"/>
  <c r="W965" i="52" s="1"/>
  <c r="AA964" i="52"/>
  <c r="Y964" i="52"/>
  <c r="W964" i="52" s="1"/>
  <c r="AA963" i="52"/>
  <c r="Y963" i="52"/>
  <c r="W963" i="52" s="1"/>
  <c r="AA962" i="52"/>
  <c r="Y962" i="52"/>
  <c r="W962" i="52" s="1"/>
  <c r="AA961" i="52"/>
  <c r="Y961" i="52"/>
  <c r="W961" i="52" s="1"/>
  <c r="AA960" i="52"/>
  <c r="Y960" i="52"/>
  <c r="W960" i="52" s="1"/>
  <c r="AA959" i="52"/>
  <c r="Y959" i="52"/>
  <c r="W959" i="52" s="1"/>
  <c r="AA958" i="52"/>
  <c r="Y958" i="52"/>
  <c r="W958" i="52" s="1"/>
  <c r="AA957" i="52"/>
  <c r="Y957" i="52"/>
  <c r="W957" i="52" s="1"/>
  <c r="AA956" i="52"/>
  <c r="Y956" i="52"/>
  <c r="W956" i="52" s="1"/>
  <c r="AA955" i="52"/>
  <c r="Y955" i="52"/>
  <c r="W955" i="52" s="1"/>
  <c r="AA954" i="52"/>
  <c r="Y954" i="52"/>
  <c r="W954" i="52" s="1"/>
  <c r="AA953" i="52"/>
  <c r="Y953" i="52"/>
  <c r="W953" i="52" s="1"/>
  <c r="AA952" i="52"/>
  <c r="Y952" i="52"/>
  <c r="W952" i="52" s="1"/>
  <c r="AA951" i="52"/>
  <c r="Y951" i="52"/>
  <c r="W951" i="52" s="1"/>
  <c r="AA950" i="52"/>
  <c r="Y950" i="52"/>
  <c r="W950" i="52" s="1"/>
  <c r="AA949" i="52"/>
  <c r="Y949" i="52"/>
  <c r="W949" i="52" s="1"/>
  <c r="AA948" i="52"/>
  <c r="Y948" i="52"/>
  <c r="W948" i="52" s="1"/>
  <c r="AA947" i="52"/>
  <c r="Y947" i="52"/>
  <c r="W947" i="52" s="1"/>
  <c r="AA946" i="52"/>
  <c r="Y946" i="52"/>
  <c r="W946" i="52" s="1"/>
  <c r="AA945" i="52"/>
  <c r="Y945" i="52"/>
  <c r="W945" i="52" s="1"/>
  <c r="AA944" i="52"/>
  <c r="Y944" i="52"/>
  <c r="W944" i="52" s="1"/>
  <c r="AA943" i="52"/>
  <c r="Y943" i="52"/>
  <c r="W943" i="52" s="1"/>
  <c r="AA942" i="52"/>
  <c r="Y942" i="52"/>
  <c r="W942" i="52" s="1"/>
  <c r="AA941" i="52"/>
  <c r="Y941" i="52"/>
  <c r="W941" i="52" s="1"/>
  <c r="AA940" i="52"/>
  <c r="Y940" i="52"/>
  <c r="W940" i="52" s="1"/>
  <c r="AA939" i="52"/>
  <c r="Y939" i="52"/>
  <c r="W939" i="52" s="1"/>
  <c r="AA938" i="52"/>
  <c r="Y938" i="52"/>
  <c r="W938" i="52" s="1"/>
  <c r="AA937" i="52"/>
  <c r="Y937" i="52"/>
  <c r="W937" i="52" s="1"/>
  <c r="AA936" i="52"/>
  <c r="Y936" i="52"/>
  <c r="W936" i="52" s="1"/>
  <c r="AA935" i="52"/>
  <c r="Y935" i="52"/>
  <c r="W935" i="52" s="1"/>
  <c r="AA934" i="52"/>
  <c r="Y934" i="52"/>
  <c r="W934" i="52" s="1"/>
  <c r="AA933" i="52"/>
  <c r="Y933" i="52"/>
  <c r="W933" i="52" s="1"/>
  <c r="AA932" i="52"/>
  <c r="Y932" i="52"/>
  <c r="W932" i="52" s="1"/>
  <c r="AA931" i="52"/>
  <c r="Y931" i="52"/>
  <c r="W931" i="52" s="1"/>
  <c r="AA930" i="52"/>
  <c r="Y930" i="52"/>
  <c r="W930" i="52" s="1"/>
  <c r="AA929" i="52"/>
  <c r="Y929" i="52"/>
  <c r="W929" i="52" s="1"/>
  <c r="AA928" i="52"/>
  <c r="Y928" i="52"/>
  <c r="W928" i="52" s="1"/>
  <c r="AA927" i="52"/>
  <c r="Y927" i="52"/>
  <c r="W927" i="52" s="1"/>
  <c r="AA926" i="52"/>
  <c r="Y926" i="52"/>
  <c r="W926" i="52" s="1"/>
  <c r="AA925" i="52"/>
  <c r="Y925" i="52"/>
  <c r="W925" i="52" s="1"/>
  <c r="AA924" i="52"/>
  <c r="Y924" i="52"/>
  <c r="W924" i="52" s="1"/>
  <c r="AA923" i="52"/>
  <c r="Y923" i="52"/>
  <c r="W923" i="52" s="1"/>
  <c r="AA922" i="52"/>
  <c r="Y922" i="52"/>
  <c r="W922" i="52" s="1"/>
  <c r="AA921" i="52"/>
  <c r="Y921" i="52"/>
  <c r="W921" i="52" s="1"/>
  <c r="AA920" i="52"/>
  <c r="Y920" i="52"/>
  <c r="W920" i="52" s="1"/>
  <c r="AA919" i="52"/>
  <c r="Y919" i="52"/>
  <c r="W919" i="52" s="1"/>
  <c r="AA918" i="52"/>
  <c r="Y918" i="52"/>
  <c r="W918" i="52" s="1"/>
  <c r="AA917" i="52"/>
  <c r="Y917" i="52"/>
  <c r="W917" i="52" s="1"/>
  <c r="AA916" i="52"/>
  <c r="Y916" i="52"/>
  <c r="W916" i="52" s="1"/>
  <c r="AA915" i="52"/>
  <c r="Y915" i="52"/>
  <c r="W915" i="52" s="1"/>
  <c r="AA914" i="52"/>
  <c r="Y914" i="52"/>
  <c r="W914" i="52" s="1"/>
  <c r="AA913" i="52"/>
  <c r="Y913" i="52"/>
  <c r="W913" i="52" s="1"/>
  <c r="AA912" i="52"/>
  <c r="Y912" i="52"/>
  <c r="W912" i="52" s="1"/>
  <c r="AA911" i="52"/>
  <c r="Y911" i="52"/>
  <c r="W911" i="52" s="1"/>
  <c r="AA910" i="52"/>
  <c r="Y910" i="52"/>
  <c r="W910" i="52" s="1"/>
  <c r="AA909" i="52"/>
  <c r="Y909" i="52"/>
  <c r="W909" i="52" s="1"/>
  <c r="AA908" i="52"/>
  <c r="Y908" i="52"/>
  <c r="W908" i="52" s="1"/>
  <c r="AA907" i="52"/>
  <c r="Y907" i="52"/>
  <c r="W907" i="52" s="1"/>
  <c r="AA906" i="52"/>
  <c r="Y906" i="52"/>
  <c r="W906" i="52" s="1"/>
  <c r="AA905" i="52"/>
  <c r="Y905" i="52"/>
  <c r="W905" i="52" s="1"/>
  <c r="AA904" i="52"/>
  <c r="Y904" i="52"/>
  <c r="W904" i="52" s="1"/>
  <c r="AA903" i="52"/>
  <c r="Y903" i="52"/>
  <c r="W903" i="52" s="1"/>
  <c r="AA902" i="52"/>
  <c r="Y902" i="52"/>
  <c r="W902" i="52" s="1"/>
  <c r="AA901" i="52"/>
  <c r="Y901" i="52"/>
  <c r="W901" i="52" s="1"/>
  <c r="AA900" i="52"/>
  <c r="Y900" i="52"/>
  <c r="W900" i="52" s="1"/>
  <c r="AA899" i="52"/>
  <c r="Y899" i="52"/>
  <c r="W899" i="52" s="1"/>
  <c r="AA898" i="52"/>
  <c r="Y898" i="52"/>
  <c r="W898" i="52" s="1"/>
  <c r="AA897" i="52"/>
  <c r="Y897" i="52"/>
  <c r="W897" i="52" s="1"/>
  <c r="AA896" i="52"/>
  <c r="Y896" i="52"/>
  <c r="W896" i="52" s="1"/>
  <c r="AA895" i="52"/>
  <c r="Y895" i="52"/>
  <c r="W895" i="52" s="1"/>
  <c r="AA894" i="52"/>
  <c r="Y894" i="52"/>
  <c r="W894" i="52" s="1"/>
  <c r="AA893" i="52"/>
  <c r="Y893" i="52"/>
  <c r="W893" i="52" s="1"/>
  <c r="AA892" i="52"/>
  <c r="Y892" i="52"/>
  <c r="W892" i="52" s="1"/>
  <c r="AA891" i="52"/>
  <c r="Y891" i="52"/>
  <c r="W891" i="52" s="1"/>
  <c r="AA890" i="52"/>
  <c r="Y890" i="52"/>
  <c r="W890" i="52" s="1"/>
  <c r="AA889" i="52"/>
  <c r="Y889" i="52"/>
  <c r="W889" i="52" s="1"/>
  <c r="AA888" i="52"/>
  <c r="Y888" i="52"/>
  <c r="W888" i="52" s="1"/>
  <c r="AA887" i="52"/>
  <c r="Y887" i="52"/>
  <c r="W887" i="52" s="1"/>
  <c r="AA886" i="52"/>
  <c r="Y886" i="52"/>
  <c r="W886" i="52" s="1"/>
  <c r="AA885" i="52"/>
  <c r="Y885" i="52"/>
  <c r="W885" i="52" s="1"/>
  <c r="AA884" i="52"/>
  <c r="Y884" i="52"/>
  <c r="W884" i="52" s="1"/>
  <c r="AA883" i="52"/>
  <c r="Y883" i="52"/>
  <c r="W883" i="52" s="1"/>
  <c r="AA882" i="52"/>
  <c r="Y882" i="52"/>
  <c r="W882" i="52" s="1"/>
  <c r="AA881" i="52"/>
  <c r="Y881" i="52"/>
  <c r="W881" i="52" s="1"/>
  <c r="AA880" i="52"/>
  <c r="Y880" i="52"/>
  <c r="W880" i="52" s="1"/>
  <c r="AA879" i="52"/>
  <c r="Y879" i="52"/>
  <c r="W879" i="52" s="1"/>
  <c r="AA878" i="52"/>
  <c r="Y878" i="52"/>
  <c r="W878" i="52" s="1"/>
  <c r="AA877" i="52"/>
  <c r="Y877" i="52"/>
  <c r="W877" i="52" s="1"/>
  <c r="AA876" i="52"/>
  <c r="Y876" i="52"/>
  <c r="W876" i="52" s="1"/>
  <c r="AA875" i="52"/>
  <c r="Y875" i="52"/>
  <c r="W875" i="52" s="1"/>
  <c r="AA874" i="52"/>
  <c r="Y874" i="52"/>
  <c r="W874" i="52" s="1"/>
  <c r="AA873" i="52"/>
  <c r="Y873" i="52"/>
  <c r="W873" i="52" s="1"/>
  <c r="AA872" i="52"/>
  <c r="Y872" i="52"/>
  <c r="W872" i="52" s="1"/>
  <c r="AA871" i="52"/>
  <c r="Y871" i="52"/>
  <c r="W871" i="52" s="1"/>
  <c r="AA870" i="52"/>
  <c r="Y870" i="52"/>
  <c r="W870" i="52" s="1"/>
  <c r="AA869" i="52"/>
  <c r="Y869" i="52"/>
  <c r="W869" i="52" s="1"/>
  <c r="AA868" i="52"/>
  <c r="Y868" i="52"/>
  <c r="W868" i="52" s="1"/>
  <c r="AA867" i="52"/>
  <c r="Y867" i="52"/>
  <c r="W867" i="52" s="1"/>
  <c r="AA866" i="52"/>
  <c r="Y866" i="52"/>
  <c r="W866" i="52" s="1"/>
  <c r="AA865" i="52"/>
  <c r="Y865" i="52"/>
  <c r="W865" i="52" s="1"/>
  <c r="AA864" i="52"/>
  <c r="Y864" i="52"/>
  <c r="W864" i="52" s="1"/>
  <c r="AA863" i="52"/>
  <c r="Y863" i="52"/>
  <c r="W863" i="52" s="1"/>
  <c r="AA862" i="52"/>
  <c r="Y862" i="52"/>
  <c r="W862" i="52" s="1"/>
  <c r="AA861" i="52"/>
  <c r="Y861" i="52"/>
  <c r="W861" i="52" s="1"/>
  <c r="AA860" i="52"/>
  <c r="Y860" i="52"/>
  <c r="W860" i="52" s="1"/>
  <c r="AA859" i="52"/>
  <c r="Y859" i="52"/>
  <c r="W859" i="52" s="1"/>
  <c r="AA858" i="52"/>
  <c r="Y858" i="52"/>
  <c r="W858" i="52" s="1"/>
  <c r="AA857" i="52"/>
  <c r="Y857" i="52"/>
  <c r="W857" i="52" s="1"/>
  <c r="AA856" i="52"/>
  <c r="Y856" i="52"/>
  <c r="W856" i="52" s="1"/>
  <c r="AA855" i="52"/>
  <c r="Y855" i="52"/>
  <c r="W855" i="52" s="1"/>
  <c r="AA854" i="52"/>
  <c r="Y854" i="52"/>
  <c r="W854" i="52" s="1"/>
  <c r="AA853" i="52"/>
  <c r="Y853" i="52"/>
  <c r="W853" i="52" s="1"/>
  <c r="AA852" i="52"/>
  <c r="Y852" i="52"/>
  <c r="W852" i="52" s="1"/>
  <c r="AA851" i="52"/>
  <c r="Y851" i="52"/>
  <c r="W851" i="52" s="1"/>
  <c r="AA850" i="52"/>
  <c r="Y850" i="52"/>
  <c r="W850" i="52" s="1"/>
  <c r="AA849" i="52"/>
  <c r="Y849" i="52"/>
  <c r="W849" i="52" s="1"/>
  <c r="AA848" i="52"/>
  <c r="Y848" i="52"/>
  <c r="W848" i="52" s="1"/>
  <c r="AA847" i="52"/>
  <c r="Y847" i="52"/>
  <c r="W847" i="52" s="1"/>
  <c r="AA846" i="52"/>
  <c r="Y846" i="52"/>
  <c r="W846" i="52" s="1"/>
  <c r="AA845" i="52"/>
  <c r="Y845" i="52"/>
  <c r="W845" i="52" s="1"/>
  <c r="AA844" i="52"/>
  <c r="Y844" i="52"/>
  <c r="W844" i="52" s="1"/>
  <c r="AA843" i="52"/>
  <c r="Y843" i="52"/>
  <c r="W843" i="52" s="1"/>
  <c r="AA842" i="52"/>
  <c r="Y842" i="52"/>
  <c r="W842" i="52" s="1"/>
  <c r="AA841" i="52"/>
  <c r="Y841" i="52"/>
  <c r="W841" i="52" s="1"/>
  <c r="AA840" i="52"/>
  <c r="Y840" i="52"/>
  <c r="W840" i="52" s="1"/>
  <c r="AA839" i="52"/>
  <c r="Y839" i="52"/>
  <c r="W839" i="52" s="1"/>
  <c r="AA838" i="52"/>
  <c r="Y838" i="52"/>
  <c r="W838" i="52" s="1"/>
  <c r="AA837" i="52"/>
  <c r="Y837" i="52"/>
  <c r="W837" i="52" s="1"/>
  <c r="AA836" i="52"/>
  <c r="Y836" i="52"/>
  <c r="W836" i="52" s="1"/>
  <c r="AA835" i="52"/>
  <c r="Y835" i="52"/>
  <c r="W835" i="52" s="1"/>
  <c r="AA834" i="52"/>
  <c r="Y834" i="52"/>
  <c r="W834" i="52" s="1"/>
  <c r="AA833" i="52"/>
  <c r="Y833" i="52"/>
  <c r="W833" i="52" s="1"/>
  <c r="AA832" i="52"/>
  <c r="Y832" i="52"/>
  <c r="W832" i="52" s="1"/>
  <c r="AA831" i="52"/>
  <c r="Y831" i="52"/>
  <c r="W831" i="52" s="1"/>
  <c r="AA830" i="52"/>
  <c r="Y830" i="52"/>
  <c r="W830" i="52" s="1"/>
  <c r="AA829" i="52"/>
  <c r="Y829" i="52"/>
  <c r="W829" i="52" s="1"/>
  <c r="AA828" i="52"/>
  <c r="Y828" i="52"/>
  <c r="W828" i="52" s="1"/>
  <c r="AA827" i="52"/>
  <c r="Y827" i="52"/>
  <c r="W827" i="52" s="1"/>
  <c r="AA826" i="52"/>
  <c r="Y826" i="52"/>
  <c r="W826" i="52" s="1"/>
  <c r="AA825" i="52"/>
  <c r="Y825" i="52"/>
  <c r="W825" i="52" s="1"/>
  <c r="AA824" i="52"/>
  <c r="Y824" i="52"/>
  <c r="W824" i="52" s="1"/>
  <c r="AA823" i="52"/>
  <c r="Y823" i="52"/>
  <c r="W823" i="52" s="1"/>
  <c r="AA822" i="52"/>
  <c r="Y822" i="52"/>
  <c r="W822" i="52" s="1"/>
  <c r="AA821" i="52"/>
  <c r="Y821" i="52"/>
  <c r="W821" i="52" s="1"/>
  <c r="AA820" i="52"/>
  <c r="Y820" i="52"/>
  <c r="W820" i="52" s="1"/>
  <c r="AA819" i="52"/>
  <c r="Y819" i="52"/>
  <c r="W819" i="52" s="1"/>
  <c r="AA818" i="52"/>
  <c r="Y818" i="52"/>
  <c r="W818" i="52" s="1"/>
  <c r="AA817" i="52"/>
  <c r="Y817" i="52"/>
  <c r="W817" i="52" s="1"/>
  <c r="AA816" i="52"/>
  <c r="Y816" i="52"/>
  <c r="W816" i="52" s="1"/>
  <c r="AA815" i="52"/>
  <c r="Y815" i="52"/>
  <c r="W815" i="52" s="1"/>
  <c r="AA814" i="52"/>
  <c r="Y814" i="52"/>
  <c r="W814" i="52" s="1"/>
  <c r="AA813" i="52"/>
  <c r="Y813" i="52"/>
  <c r="W813" i="52" s="1"/>
  <c r="AA812" i="52"/>
  <c r="Y812" i="52"/>
  <c r="W812" i="52" s="1"/>
  <c r="AA811" i="52"/>
  <c r="Y811" i="52"/>
  <c r="W811" i="52" s="1"/>
  <c r="AA810" i="52"/>
  <c r="Y810" i="52"/>
  <c r="W810" i="52" s="1"/>
  <c r="AA809" i="52"/>
  <c r="Y809" i="52"/>
  <c r="W809" i="52" s="1"/>
  <c r="AA808" i="52"/>
  <c r="Y808" i="52"/>
  <c r="W808" i="52" s="1"/>
  <c r="AA807" i="52"/>
  <c r="Y807" i="52"/>
  <c r="W807" i="52" s="1"/>
  <c r="AA806" i="52"/>
  <c r="Y806" i="52"/>
  <c r="W806" i="52" s="1"/>
  <c r="AA805" i="52"/>
  <c r="Y805" i="52"/>
  <c r="W805" i="52" s="1"/>
  <c r="AA804" i="52"/>
  <c r="Y804" i="52"/>
  <c r="W804" i="52" s="1"/>
  <c r="AA803" i="52"/>
  <c r="Y803" i="52"/>
  <c r="W803" i="52" s="1"/>
  <c r="AA802" i="52"/>
  <c r="Y802" i="52"/>
  <c r="W802" i="52" s="1"/>
  <c r="AA801" i="52"/>
  <c r="Y801" i="52"/>
  <c r="W801" i="52" s="1"/>
  <c r="AA800" i="52"/>
  <c r="Y800" i="52"/>
  <c r="W800" i="52" s="1"/>
  <c r="AA799" i="52"/>
  <c r="Y799" i="52"/>
  <c r="W799" i="52" s="1"/>
  <c r="AA798" i="52"/>
  <c r="Y798" i="52"/>
  <c r="W798" i="52" s="1"/>
  <c r="AA797" i="52"/>
  <c r="Y797" i="52"/>
  <c r="W797" i="52" s="1"/>
  <c r="AA796" i="52"/>
  <c r="Y796" i="52"/>
  <c r="W796" i="52" s="1"/>
  <c r="AA795" i="52"/>
  <c r="Y795" i="52"/>
  <c r="W795" i="52" s="1"/>
  <c r="AA794" i="52"/>
  <c r="Y794" i="52"/>
  <c r="W794" i="52" s="1"/>
  <c r="AA793" i="52"/>
  <c r="Y793" i="52"/>
  <c r="W793" i="52" s="1"/>
  <c r="AA792" i="52"/>
  <c r="Y792" i="52"/>
  <c r="W792" i="52" s="1"/>
  <c r="AA791" i="52"/>
  <c r="Y791" i="52"/>
  <c r="W791" i="52" s="1"/>
  <c r="AA790" i="52"/>
  <c r="Y790" i="52"/>
  <c r="W790" i="52" s="1"/>
  <c r="AA789" i="52"/>
  <c r="Y789" i="52"/>
  <c r="W789" i="52" s="1"/>
  <c r="AA788" i="52"/>
  <c r="Y788" i="52"/>
  <c r="W788" i="52" s="1"/>
  <c r="AA787" i="52"/>
  <c r="Y787" i="52"/>
  <c r="W787" i="52" s="1"/>
  <c r="AA786" i="52"/>
  <c r="Y786" i="52"/>
  <c r="W786" i="52" s="1"/>
  <c r="AA785" i="52"/>
  <c r="Y785" i="52"/>
  <c r="W785" i="52" s="1"/>
  <c r="AA784" i="52"/>
  <c r="Y784" i="52"/>
  <c r="W784" i="52" s="1"/>
  <c r="AA783" i="52"/>
  <c r="Y783" i="52"/>
  <c r="W783" i="52" s="1"/>
  <c r="AA782" i="52"/>
  <c r="Y782" i="52"/>
  <c r="W782" i="52" s="1"/>
  <c r="AA781" i="52"/>
  <c r="Y781" i="52"/>
  <c r="W781" i="52" s="1"/>
  <c r="AA780" i="52"/>
  <c r="Y780" i="52"/>
  <c r="W780" i="52" s="1"/>
  <c r="AA779" i="52"/>
  <c r="Y779" i="52"/>
  <c r="W779" i="52" s="1"/>
  <c r="AA778" i="52"/>
  <c r="Y778" i="52"/>
  <c r="W778" i="52" s="1"/>
  <c r="AA777" i="52"/>
  <c r="Y777" i="52"/>
  <c r="W777" i="52" s="1"/>
  <c r="AA776" i="52"/>
  <c r="Y776" i="52"/>
  <c r="W776" i="52" s="1"/>
  <c r="AA775" i="52"/>
  <c r="Y775" i="52"/>
  <c r="W775" i="52" s="1"/>
  <c r="AA774" i="52"/>
  <c r="Y774" i="52"/>
  <c r="W774" i="52" s="1"/>
  <c r="AA773" i="52"/>
  <c r="Y773" i="52"/>
  <c r="W773" i="52" s="1"/>
  <c r="AA772" i="52"/>
  <c r="Y772" i="52"/>
  <c r="W772" i="52" s="1"/>
  <c r="AA771" i="52"/>
  <c r="Y771" i="52"/>
  <c r="W771" i="52" s="1"/>
  <c r="AA770" i="52"/>
  <c r="Y770" i="52"/>
  <c r="W770" i="52" s="1"/>
  <c r="AA769" i="52"/>
  <c r="Y769" i="52"/>
  <c r="W769" i="52" s="1"/>
  <c r="AA768" i="52"/>
  <c r="Y768" i="52"/>
  <c r="W768" i="52" s="1"/>
  <c r="AA767" i="52"/>
  <c r="Y767" i="52"/>
  <c r="W767" i="52" s="1"/>
  <c r="AA766" i="52"/>
  <c r="Y766" i="52"/>
  <c r="W766" i="52" s="1"/>
  <c r="AA765" i="52"/>
  <c r="Y765" i="52"/>
  <c r="W765" i="52" s="1"/>
  <c r="AA764" i="52"/>
  <c r="Y764" i="52"/>
  <c r="W764" i="52" s="1"/>
  <c r="AA763" i="52"/>
  <c r="Y763" i="52"/>
  <c r="W763" i="52" s="1"/>
  <c r="AA762" i="52"/>
  <c r="Y762" i="52"/>
  <c r="W762" i="52" s="1"/>
  <c r="AA761" i="52"/>
  <c r="Y761" i="52"/>
  <c r="W761" i="52" s="1"/>
  <c r="AA760" i="52"/>
  <c r="Y760" i="52"/>
  <c r="W760" i="52" s="1"/>
  <c r="AA759" i="52"/>
  <c r="Y759" i="52"/>
  <c r="W759" i="52" s="1"/>
  <c r="AA758" i="52"/>
  <c r="Y758" i="52"/>
  <c r="W758" i="52" s="1"/>
  <c r="AA757" i="52"/>
  <c r="Y757" i="52"/>
  <c r="W757" i="52" s="1"/>
  <c r="AA756" i="52"/>
  <c r="Y756" i="52"/>
  <c r="W756" i="52" s="1"/>
  <c r="AA755" i="52"/>
  <c r="Y755" i="52"/>
  <c r="W755" i="52" s="1"/>
  <c r="AA754" i="52"/>
  <c r="Y754" i="52"/>
  <c r="W754" i="52" s="1"/>
  <c r="AA753" i="52"/>
  <c r="Y753" i="52"/>
  <c r="W753" i="52" s="1"/>
  <c r="AA752" i="52"/>
  <c r="Y752" i="52"/>
  <c r="W752" i="52" s="1"/>
  <c r="AA751" i="52"/>
  <c r="Y751" i="52"/>
  <c r="W751" i="52" s="1"/>
  <c r="AA750" i="52"/>
  <c r="Y750" i="52"/>
  <c r="W750" i="52" s="1"/>
  <c r="AA749" i="52"/>
  <c r="Y749" i="52"/>
  <c r="W749" i="52" s="1"/>
  <c r="AA748" i="52"/>
  <c r="Y748" i="52"/>
  <c r="W748" i="52" s="1"/>
  <c r="AA747" i="52"/>
  <c r="Y747" i="52"/>
  <c r="W747" i="52" s="1"/>
  <c r="AA746" i="52"/>
  <c r="Y746" i="52"/>
  <c r="W746" i="52" s="1"/>
  <c r="AA745" i="52"/>
  <c r="Y745" i="52"/>
  <c r="W745" i="52" s="1"/>
  <c r="AA744" i="52"/>
  <c r="Y744" i="52"/>
  <c r="W744" i="52" s="1"/>
  <c r="AA743" i="52"/>
  <c r="Y743" i="52"/>
  <c r="W743" i="52" s="1"/>
  <c r="AA742" i="52"/>
  <c r="Y742" i="52"/>
  <c r="W742" i="52" s="1"/>
  <c r="AA741" i="52"/>
  <c r="Y741" i="52"/>
  <c r="W741" i="52" s="1"/>
  <c r="AA740" i="52"/>
  <c r="Y740" i="52"/>
  <c r="W740" i="52" s="1"/>
  <c r="AA739" i="52"/>
  <c r="Y739" i="52"/>
  <c r="W739" i="52" s="1"/>
  <c r="AA738" i="52"/>
  <c r="Y738" i="52"/>
  <c r="W738" i="52" s="1"/>
  <c r="AA737" i="52"/>
  <c r="Y737" i="52"/>
  <c r="W737" i="52" s="1"/>
  <c r="AA736" i="52"/>
  <c r="Y736" i="52"/>
  <c r="W736" i="52" s="1"/>
  <c r="AA735" i="52"/>
  <c r="Y735" i="52"/>
  <c r="W735" i="52" s="1"/>
  <c r="AA734" i="52"/>
  <c r="Y734" i="52"/>
  <c r="W734" i="52" s="1"/>
  <c r="AA733" i="52"/>
  <c r="Y733" i="52"/>
  <c r="W733" i="52" s="1"/>
  <c r="AA732" i="52"/>
  <c r="Y732" i="52"/>
  <c r="W732" i="52" s="1"/>
  <c r="AA731" i="52"/>
  <c r="Y731" i="52"/>
  <c r="W731" i="52" s="1"/>
  <c r="AA730" i="52"/>
  <c r="Y730" i="52"/>
  <c r="W730" i="52" s="1"/>
  <c r="AA729" i="52"/>
  <c r="Y729" i="52"/>
  <c r="W729" i="52" s="1"/>
  <c r="AA728" i="52"/>
  <c r="Y728" i="52"/>
  <c r="W728" i="52" s="1"/>
  <c r="AA727" i="52"/>
  <c r="Y727" i="52"/>
  <c r="W727" i="52" s="1"/>
  <c r="AA726" i="52"/>
  <c r="Y726" i="52"/>
  <c r="W726" i="52" s="1"/>
  <c r="AA725" i="52"/>
  <c r="Y725" i="52"/>
  <c r="W725" i="52" s="1"/>
  <c r="AA724" i="52"/>
  <c r="Y724" i="52"/>
  <c r="W724" i="52" s="1"/>
  <c r="AA723" i="52"/>
  <c r="Y723" i="52"/>
  <c r="W723" i="52" s="1"/>
  <c r="AA722" i="52"/>
  <c r="Y722" i="52"/>
  <c r="W722" i="52" s="1"/>
  <c r="AA721" i="52"/>
  <c r="Y721" i="52"/>
  <c r="W721" i="52" s="1"/>
  <c r="AA720" i="52"/>
  <c r="Y720" i="52"/>
  <c r="W720" i="52" s="1"/>
  <c r="AA719" i="52"/>
  <c r="Y719" i="52"/>
  <c r="W719" i="52" s="1"/>
  <c r="AA718" i="52"/>
  <c r="Y718" i="52"/>
  <c r="W718" i="52" s="1"/>
  <c r="AA717" i="52"/>
  <c r="Y717" i="52"/>
  <c r="W717" i="52" s="1"/>
  <c r="AA716" i="52"/>
  <c r="Y716" i="52"/>
  <c r="W716" i="52" s="1"/>
  <c r="AA715" i="52"/>
  <c r="Y715" i="52"/>
  <c r="W715" i="52" s="1"/>
  <c r="AA714" i="52"/>
  <c r="Y714" i="52"/>
  <c r="W714" i="52" s="1"/>
  <c r="AA713" i="52"/>
  <c r="Y713" i="52"/>
  <c r="W713" i="52" s="1"/>
  <c r="AA712" i="52"/>
  <c r="Y712" i="52"/>
  <c r="W712" i="52" s="1"/>
  <c r="AA711" i="52"/>
  <c r="Y711" i="52"/>
  <c r="W711" i="52" s="1"/>
  <c r="AA710" i="52"/>
  <c r="Y710" i="52"/>
  <c r="W710" i="52" s="1"/>
  <c r="AA709" i="52"/>
  <c r="Y709" i="52"/>
  <c r="W709" i="52" s="1"/>
  <c r="AA708" i="52"/>
  <c r="Y708" i="52"/>
  <c r="W708" i="52" s="1"/>
  <c r="AA707" i="52"/>
  <c r="Y707" i="52"/>
  <c r="W707" i="52" s="1"/>
  <c r="AA706" i="52"/>
  <c r="Y706" i="52"/>
  <c r="W706" i="52" s="1"/>
  <c r="AA705" i="52"/>
  <c r="Y705" i="52"/>
  <c r="W705" i="52" s="1"/>
  <c r="AA704" i="52"/>
  <c r="Y704" i="52"/>
  <c r="W704" i="52" s="1"/>
  <c r="AA703" i="52"/>
  <c r="Y703" i="52"/>
  <c r="W703" i="52" s="1"/>
  <c r="AA702" i="52"/>
  <c r="Y702" i="52"/>
  <c r="W702" i="52" s="1"/>
  <c r="AA701" i="52"/>
  <c r="Y701" i="52"/>
  <c r="W701" i="52" s="1"/>
  <c r="AA700" i="52"/>
  <c r="Y700" i="52"/>
  <c r="W700" i="52" s="1"/>
  <c r="AA699" i="52"/>
  <c r="Y699" i="52"/>
  <c r="W699" i="52" s="1"/>
  <c r="AA698" i="52"/>
  <c r="Y698" i="52"/>
  <c r="W698" i="52" s="1"/>
  <c r="AA697" i="52"/>
  <c r="Y697" i="52"/>
  <c r="W697" i="52" s="1"/>
  <c r="AA696" i="52"/>
  <c r="Y696" i="52"/>
  <c r="W696" i="52" s="1"/>
  <c r="AA695" i="52"/>
  <c r="Y695" i="52"/>
  <c r="W695" i="52" s="1"/>
  <c r="AA694" i="52"/>
  <c r="Y694" i="52"/>
  <c r="W694" i="52" s="1"/>
  <c r="AA693" i="52"/>
  <c r="Y693" i="52"/>
  <c r="W693" i="52" s="1"/>
  <c r="AA692" i="52"/>
  <c r="Y692" i="52"/>
  <c r="W692" i="52" s="1"/>
  <c r="AA691" i="52"/>
  <c r="Y691" i="52"/>
  <c r="W691" i="52" s="1"/>
  <c r="AA690" i="52"/>
  <c r="Y690" i="52"/>
  <c r="W690" i="52" s="1"/>
  <c r="AA689" i="52"/>
  <c r="Y689" i="52"/>
  <c r="W689" i="52" s="1"/>
  <c r="AA688" i="52"/>
  <c r="Y688" i="52"/>
  <c r="W688" i="52" s="1"/>
  <c r="AA687" i="52"/>
  <c r="Y687" i="52"/>
  <c r="W687" i="52" s="1"/>
  <c r="AA686" i="52"/>
  <c r="Y686" i="52"/>
  <c r="W686" i="52" s="1"/>
  <c r="AA685" i="52"/>
  <c r="Y685" i="52"/>
  <c r="W685" i="52" s="1"/>
  <c r="AA684" i="52"/>
  <c r="Y684" i="52"/>
  <c r="W684" i="52" s="1"/>
  <c r="AA683" i="52"/>
  <c r="Y683" i="52"/>
  <c r="W683" i="52" s="1"/>
  <c r="AA682" i="52"/>
  <c r="Y682" i="52"/>
  <c r="W682" i="52" s="1"/>
  <c r="AA681" i="52"/>
  <c r="Y681" i="52"/>
  <c r="W681" i="52" s="1"/>
  <c r="AA680" i="52"/>
  <c r="Y680" i="52"/>
  <c r="W680" i="52" s="1"/>
  <c r="AA679" i="52"/>
  <c r="Y679" i="52"/>
  <c r="W679" i="52" s="1"/>
  <c r="AA678" i="52"/>
  <c r="Y678" i="52"/>
  <c r="W678" i="52" s="1"/>
  <c r="AA677" i="52"/>
  <c r="Y677" i="52"/>
  <c r="W677" i="52" s="1"/>
  <c r="AA676" i="52"/>
  <c r="Y676" i="52"/>
  <c r="W676" i="52" s="1"/>
  <c r="AA675" i="52"/>
  <c r="Y675" i="52"/>
  <c r="W675" i="52" s="1"/>
  <c r="AA674" i="52"/>
  <c r="Y674" i="52"/>
  <c r="W674" i="52" s="1"/>
  <c r="AA673" i="52"/>
  <c r="Y673" i="52"/>
  <c r="W673" i="52" s="1"/>
  <c r="AA672" i="52"/>
  <c r="Y672" i="52"/>
  <c r="W672" i="52" s="1"/>
  <c r="AA671" i="52"/>
  <c r="Y671" i="52"/>
  <c r="W671" i="52" s="1"/>
  <c r="AA670" i="52"/>
  <c r="Y670" i="52"/>
  <c r="W670" i="52" s="1"/>
  <c r="AA669" i="52"/>
  <c r="Y669" i="52"/>
  <c r="W669" i="52" s="1"/>
  <c r="AA668" i="52"/>
  <c r="Y668" i="52"/>
  <c r="W668" i="52" s="1"/>
  <c r="AA667" i="52"/>
  <c r="Y667" i="52"/>
  <c r="W667" i="52" s="1"/>
  <c r="AA666" i="52"/>
  <c r="Y666" i="52"/>
  <c r="W666" i="52" s="1"/>
  <c r="AA665" i="52"/>
  <c r="Y665" i="52"/>
  <c r="W665" i="52" s="1"/>
  <c r="AA664" i="52"/>
  <c r="Y664" i="52"/>
  <c r="W664" i="52" s="1"/>
  <c r="AA663" i="52"/>
  <c r="Y663" i="52"/>
  <c r="W663" i="52" s="1"/>
  <c r="AA662" i="52"/>
  <c r="Y662" i="52"/>
  <c r="W662" i="52" s="1"/>
  <c r="AA661" i="52"/>
  <c r="Y661" i="52"/>
  <c r="W661" i="52" s="1"/>
  <c r="AA660" i="52"/>
  <c r="Y660" i="52"/>
  <c r="W660" i="52" s="1"/>
  <c r="AA659" i="52"/>
  <c r="Y659" i="52"/>
  <c r="W659" i="52" s="1"/>
  <c r="AA658" i="52"/>
  <c r="Y658" i="52"/>
  <c r="W658" i="52" s="1"/>
  <c r="AA657" i="52"/>
  <c r="Y657" i="52"/>
  <c r="W657" i="52" s="1"/>
  <c r="AA656" i="52"/>
  <c r="Y656" i="52"/>
  <c r="W656" i="52" s="1"/>
  <c r="AA655" i="52"/>
  <c r="Y655" i="52"/>
  <c r="W655" i="52" s="1"/>
  <c r="AA654" i="52"/>
  <c r="Y654" i="52"/>
  <c r="W654" i="52" s="1"/>
  <c r="AA653" i="52"/>
  <c r="Y653" i="52"/>
  <c r="W653" i="52" s="1"/>
  <c r="AA652" i="52"/>
  <c r="Y652" i="52"/>
  <c r="W652" i="52" s="1"/>
  <c r="AA651" i="52"/>
  <c r="Y651" i="52"/>
  <c r="W651" i="52" s="1"/>
  <c r="AA650" i="52"/>
  <c r="Y650" i="52"/>
  <c r="W650" i="52" s="1"/>
  <c r="AA649" i="52"/>
  <c r="Y649" i="52"/>
  <c r="W649" i="52" s="1"/>
  <c r="AA648" i="52"/>
  <c r="Y648" i="52"/>
  <c r="W648" i="52" s="1"/>
  <c r="AA647" i="52"/>
  <c r="Y647" i="52"/>
  <c r="W647" i="52" s="1"/>
  <c r="AA646" i="52"/>
  <c r="Y646" i="52"/>
  <c r="W646" i="52" s="1"/>
  <c r="AA645" i="52"/>
  <c r="Y645" i="52"/>
  <c r="W645" i="52" s="1"/>
  <c r="AA644" i="52"/>
  <c r="Y644" i="52"/>
  <c r="W644" i="52" s="1"/>
  <c r="AA643" i="52"/>
  <c r="Y643" i="52"/>
  <c r="W643" i="52" s="1"/>
  <c r="AA642" i="52"/>
  <c r="Y642" i="52"/>
  <c r="W642" i="52" s="1"/>
  <c r="AA641" i="52"/>
  <c r="Y641" i="52"/>
  <c r="W641" i="52" s="1"/>
  <c r="AA640" i="52"/>
  <c r="Y640" i="52"/>
  <c r="W640" i="52" s="1"/>
  <c r="AA639" i="52"/>
  <c r="Y639" i="52"/>
  <c r="W639" i="52" s="1"/>
  <c r="AA638" i="52"/>
  <c r="Y638" i="52"/>
  <c r="W638" i="52" s="1"/>
  <c r="AA637" i="52"/>
  <c r="Y637" i="52"/>
  <c r="W637" i="52" s="1"/>
  <c r="AA636" i="52"/>
  <c r="Y636" i="52"/>
  <c r="W636" i="52" s="1"/>
  <c r="AA635" i="52"/>
  <c r="Y635" i="52"/>
  <c r="W635" i="52" s="1"/>
  <c r="AA634" i="52"/>
  <c r="Y634" i="52"/>
  <c r="W634" i="52" s="1"/>
  <c r="AA633" i="52"/>
  <c r="Y633" i="52"/>
  <c r="W633" i="52" s="1"/>
  <c r="AA632" i="52"/>
  <c r="Y632" i="52"/>
  <c r="W632" i="52" s="1"/>
  <c r="AA631" i="52"/>
  <c r="Y631" i="52"/>
  <c r="W631" i="52" s="1"/>
  <c r="AA630" i="52"/>
  <c r="Y630" i="52"/>
  <c r="W630" i="52" s="1"/>
  <c r="AA629" i="52"/>
  <c r="Y629" i="52"/>
  <c r="W629" i="52" s="1"/>
  <c r="AA628" i="52"/>
  <c r="Y628" i="52"/>
  <c r="W628" i="52" s="1"/>
  <c r="AA627" i="52"/>
  <c r="Y627" i="52"/>
  <c r="W627" i="52" s="1"/>
  <c r="AA626" i="52"/>
  <c r="Y626" i="52"/>
  <c r="W626" i="52" s="1"/>
  <c r="AA625" i="52"/>
  <c r="Y625" i="52"/>
  <c r="W625" i="52" s="1"/>
  <c r="AA624" i="52"/>
  <c r="Y624" i="52"/>
  <c r="W624" i="52" s="1"/>
  <c r="AA623" i="52"/>
  <c r="Y623" i="52"/>
  <c r="W623" i="52" s="1"/>
  <c r="AA622" i="52"/>
  <c r="Y622" i="52"/>
  <c r="W622" i="52" s="1"/>
  <c r="AA621" i="52"/>
  <c r="Y621" i="52"/>
  <c r="W621" i="52" s="1"/>
  <c r="AA620" i="52"/>
  <c r="Y620" i="52"/>
  <c r="W620" i="52" s="1"/>
  <c r="AA619" i="52"/>
  <c r="Y619" i="52"/>
  <c r="W619" i="52" s="1"/>
  <c r="AA618" i="52"/>
  <c r="Y618" i="52"/>
  <c r="W618" i="52" s="1"/>
  <c r="AA617" i="52"/>
  <c r="Y617" i="52"/>
  <c r="W617" i="52" s="1"/>
  <c r="AA616" i="52"/>
  <c r="Y616" i="52"/>
  <c r="W616" i="52" s="1"/>
  <c r="AA615" i="52"/>
  <c r="Y615" i="52"/>
  <c r="W615" i="52" s="1"/>
  <c r="AA614" i="52"/>
  <c r="Y614" i="52"/>
  <c r="W614" i="52" s="1"/>
  <c r="AA613" i="52"/>
  <c r="Y613" i="52"/>
  <c r="W613" i="52" s="1"/>
  <c r="AA612" i="52"/>
  <c r="Y612" i="52"/>
  <c r="W612" i="52" s="1"/>
  <c r="AA611" i="52"/>
  <c r="Y611" i="52"/>
  <c r="W611" i="52" s="1"/>
  <c r="AA610" i="52"/>
  <c r="Y610" i="52"/>
  <c r="W610" i="52" s="1"/>
  <c r="AA609" i="52"/>
  <c r="Y609" i="52"/>
  <c r="W609" i="52" s="1"/>
  <c r="AA608" i="52"/>
  <c r="Y608" i="52"/>
  <c r="W608" i="52" s="1"/>
  <c r="AA607" i="52"/>
  <c r="Y607" i="52"/>
  <c r="W607" i="52" s="1"/>
  <c r="AA606" i="52"/>
  <c r="Y606" i="52"/>
  <c r="W606" i="52" s="1"/>
  <c r="AA605" i="52"/>
  <c r="Y605" i="52"/>
  <c r="W605" i="52" s="1"/>
  <c r="AA604" i="52"/>
  <c r="Y604" i="52"/>
  <c r="W604" i="52" s="1"/>
  <c r="AA603" i="52"/>
  <c r="Y603" i="52"/>
  <c r="W603" i="52" s="1"/>
  <c r="AA602" i="52"/>
  <c r="Y602" i="52"/>
  <c r="W602" i="52" s="1"/>
  <c r="AA601" i="52"/>
  <c r="Y601" i="52"/>
  <c r="W601" i="52" s="1"/>
  <c r="AA600" i="52"/>
  <c r="Y600" i="52"/>
  <c r="W600" i="52" s="1"/>
  <c r="AA599" i="52"/>
  <c r="Y599" i="52"/>
  <c r="W599" i="52" s="1"/>
  <c r="AA598" i="52"/>
  <c r="Y598" i="52"/>
  <c r="W598" i="52" s="1"/>
  <c r="AA597" i="52"/>
  <c r="Y597" i="52"/>
  <c r="W597" i="52" s="1"/>
  <c r="AA596" i="52"/>
  <c r="Y596" i="52"/>
  <c r="W596" i="52" s="1"/>
  <c r="AA595" i="52"/>
  <c r="Y595" i="52"/>
  <c r="W595" i="52" s="1"/>
  <c r="AA594" i="52"/>
  <c r="Y594" i="52"/>
  <c r="W594" i="52" s="1"/>
  <c r="AA593" i="52"/>
  <c r="Y593" i="52"/>
  <c r="W593" i="52" s="1"/>
  <c r="AA592" i="52"/>
  <c r="Y592" i="52"/>
  <c r="W592" i="52" s="1"/>
  <c r="AA591" i="52"/>
  <c r="Y591" i="52"/>
  <c r="W591" i="52" s="1"/>
  <c r="AA590" i="52"/>
  <c r="Y590" i="52"/>
  <c r="W590" i="52" s="1"/>
  <c r="AA589" i="52"/>
  <c r="Y589" i="52"/>
  <c r="W589" i="52" s="1"/>
  <c r="AA588" i="52"/>
  <c r="Y588" i="52"/>
  <c r="W588" i="52" s="1"/>
  <c r="AA587" i="52"/>
  <c r="Y587" i="52"/>
  <c r="W587" i="52" s="1"/>
  <c r="AA586" i="52"/>
  <c r="Y586" i="52"/>
  <c r="W586" i="52" s="1"/>
  <c r="AA585" i="52"/>
  <c r="Y585" i="52"/>
  <c r="W585" i="52" s="1"/>
  <c r="AA584" i="52"/>
  <c r="Y584" i="52"/>
  <c r="W584" i="52" s="1"/>
  <c r="AA583" i="52"/>
  <c r="Y583" i="52"/>
  <c r="W583" i="52" s="1"/>
  <c r="AA582" i="52"/>
  <c r="Y582" i="52"/>
  <c r="W582" i="52" s="1"/>
  <c r="AA581" i="52"/>
  <c r="Y581" i="52"/>
  <c r="W581" i="52" s="1"/>
  <c r="AA580" i="52"/>
  <c r="Y580" i="52"/>
  <c r="W580" i="52" s="1"/>
  <c r="AA579" i="52"/>
  <c r="Y579" i="52"/>
  <c r="W579" i="52" s="1"/>
  <c r="AA578" i="52"/>
  <c r="Y578" i="52"/>
  <c r="W578" i="52" s="1"/>
  <c r="AA577" i="52"/>
  <c r="Y577" i="52"/>
  <c r="W577" i="52" s="1"/>
  <c r="AA576" i="52"/>
  <c r="Y576" i="52"/>
  <c r="W576" i="52" s="1"/>
  <c r="AA575" i="52"/>
  <c r="Y575" i="52"/>
  <c r="W575" i="52" s="1"/>
  <c r="AA574" i="52"/>
  <c r="Y574" i="52"/>
  <c r="W574" i="52" s="1"/>
  <c r="AA573" i="52"/>
  <c r="Y573" i="52"/>
  <c r="W573" i="52" s="1"/>
  <c r="AA572" i="52"/>
  <c r="Y572" i="52"/>
  <c r="W572" i="52" s="1"/>
  <c r="AA571" i="52"/>
  <c r="Y571" i="52"/>
  <c r="W571" i="52" s="1"/>
  <c r="AA570" i="52"/>
  <c r="Y570" i="52"/>
  <c r="W570" i="52" s="1"/>
  <c r="AA569" i="52"/>
  <c r="Y569" i="52"/>
  <c r="W569" i="52" s="1"/>
  <c r="AA568" i="52"/>
  <c r="Y568" i="52"/>
  <c r="W568" i="52" s="1"/>
  <c r="AA567" i="52"/>
  <c r="Y567" i="52"/>
  <c r="W567" i="52" s="1"/>
  <c r="AA566" i="52"/>
  <c r="Y566" i="52"/>
  <c r="W566" i="52" s="1"/>
  <c r="AA565" i="52"/>
  <c r="Y565" i="52"/>
  <c r="W565" i="52" s="1"/>
  <c r="AA564" i="52"/>
  <c r="Y564" i="52"/>
  <c r="W564" i="52" s="1"/>
  <c r="AA563" i="52"/>
  <c r="Y563" i="52"/>
  <c r="W563" i="52" s="1"/>
  <c r="AA562" i="52"/>
  <c r="Y562" i="52"/>
  <c r="W562" i="52" s="1"/>
  <c r="AA561" i="52"/>
  <c r="Y561" i="52"/>
  <c r="W561" i="52" s="1"/>
  <c r="AA560" i="52"/>
  <c r="Y560" i="52"/>
  <c r="W560" i="52" s="1"/>
  <c r="AA559" i="52"/>
  <c r="Y559" i="52"/>
  <c r="W559" i="52" s="1"/>
  <c r="AA558" i="52"/>
  <c r="Y558" i="52"/>
  <c r="W558" i="52" s="1"/>
  <c r="AA557" i="52"/>
  <c r="Y557" i="52"/>
  <c r="W557" i="52" s="1"/>
  <c r="AA556" i="52"/>
  <c r="Y556" i="52"/>
  <c r="W556" i="52" s="1"/>
  <c r="AA555" i="52"/>
  <c r="Y555" i="52"/>
  <c r="W555" i="52" s="1"/>
  <c r="AA554" i="52"/>
  <c r="Y554" i="52"/>
  <c r="W554" i="52" s="1"/>
  <c r="AA553" i="52"/>
  <c r="Y553" i="52"/>
  <c r="W553" i="52" s="1"/>
  <c r="AA552" i="52"/>
  <c r="Y552" i="52"/>
  <c r="W552" i="52" s="1"/>
  <c r="AA551" i="52"/>
  <c r="Y551" i="52"/>
  <c r="W551" i="52" s="1"/>
  <c r="AA550" i="52"/>
  <c r="Y550" i="52"/>
  <c r="W550" i="52" s="1"/>
  <c r="AA549" i="52"/>
  <c r="Y549" i="52"/>
  <c r="W549" i="52" s="1"/>
  <c r="AA548" i="52"/>
  <c r="Y548" i="52"/>
  <c r="W548" i="52" s="1"/>
  <c r="AA547" i="52"/>
  <c r="Y547" i="52"/>
  <c r="W547" i="52" s="1"/>
  <c r="AA546" i="52"/>
  <c r="Y546" i="52"/>
  <c r="W546" i="52" s="1"/>
  <c r="AA545" i="52"/>
  <c r="Y545" i="52"/>
  <c r="W545" i="52" s="1"/>
  <c r="AA544" i="52"/>
  <c r="Y544" i="52"/>
  <c r="W544" i="52" s="1"/>
  <c r="AA543" i="52"/>
  <c r="Y543" i="52"/>
  <c r="W543" i="52" s="1"/>
  <c r="AA542" i="52"/>
  <c r="Y542" i="52"/>
  <c r="W542" i="52" s="1"/>
  <c r="AA541" i="52"/>
  <c r="Y541" i="52"/>
  <c r="W541" i="52" s="1"/>
  <c r="AA540" i="52"/>
  <c r="Y540" i="52"/>
  <c r="W540" i="52" s="1"/>
  <c r="AA539" i="52"/>
  <c r="Y539" i="52"/>
  <c r="W539" i="52" s="1"/>
  <c r="AA538" i="52"/>
  <c r="Y538" i="52"/>
  <c r="W538" i="52" s="1"/>
  <c r="AA537" i="52"/>
  <c r="Y537" i="52"/>
  <c r="W537" i="52" s="1"/>
  <c r="AA536" i="52"/>
  <c r="Y536" i="52"/>
  <c r="W536" i="52" s="1"/>
  <c r="AA535" i="52"/>
  <c r="Y535" i="52"/>
  <c r="W535" i="52" s="1"/>
  <c r="AA534" i="52"/>
  <c r="Y534" i="52"/>
  <c r="W534" i="52" s="1"/>
  <c r="AA533" i="52"/>
  <c r="Y533" i="52"/>
  <c r="W533" i="52" s="1"/>
  <c r="AA532" i="52"/>
  <c r="Y532" i="52"/>
  <c r="W532" i="52" s="1"/>
  <c r="AA531" i="52"/>
  <c r="Y531" i="52"/>
  <c r="W531" i="52" s="1"/>
  <c r="AA530" i="52"/>
  <c r="Y530" i="52"/>
  <c r="W530" i="52" s="1"/>
  <c r="AA529" i="52"/>
  <c r="Y529" i="52"/>
  <c r="W529" i="52" s="1"/>
  <c r="AA528" i="52"/>
  <c r="Y528" i="52"/>
  <c r="W528" i="52" s="1"/>
  <c r="AA527" i="52"/>
  <c r="Y527" i="52"/>
  <c r="W527" i="52" s="1"/>
  <c r="AA526" i="52"/>
  <c r="Y526" i="52"/>
  <c r="W526" i="52" s="1"/>
  <c r="AA525" i="52"/>
  <c r="Y525" i="52"/>
  <c r="W525" i="52" s="1"/>
  <c r="AA524" i="52"/>
  <c r="Y524" i="52"/>
  <c r="W524" i="52" s="1"/>
  <c r="AA523" i="52"/>
  <c r="Y523" i="52"/>
  <c r="W523" i="52" s="1"/>
  <c r="AA522" i="52"/>
  <c r="Y522" i="52"/>
  <c r="W522" i="52" s="1"/>
  <c r="AA521" i="52"/>
  <c r="Y521" i="52"/>
  <c r="W521" i="52" s="1"/>
  <c r="AA520" i="52"/>
  <c r="Y520" i="52"/>
  <c r="W520" i="52" s="1"/>
  <c r="AA519" i="52"/>
  <c r="Y519" i="52"/>
  <c r="W519" i="52" s="1"/>
  <c r="AA518" i="52"/>
  <c r="Y518" i="52"/>
  <c r="W518" i="52" s="1"/>
  <c r="AA517" i="52"/>
  <c r="Y517" i="52"/>
  <c r="W517" i="52" s="1"/>
  <c r="AA516" i="52"/>
  <c r="Y516" i="52"/>
  <c r="W516" i="52" s="1"/>
  <c r="AA515" i="52"/>
  <c r="Y515" i="52"/>
  <c r="W515" i="52" s="1"/>
  <c r="AA514" i="52"/>
  <c r="Y514" i="52"/>
  <c r="W514" i="52" s="1"/>
  <c r="AA513" i="52"/>
  <c r="Y513" i="52"/>
  <c r="W513" i="52" s="1"/>
  <c r="AA512" i="52"/>
  <c r="Y512" i="52"/>
  <c r="W512" i="52" s="1"/>
  <c r="AA511" i="52"/>
  <c r="Y511" i="52"/>
  <c r="W511" i="52" s="1"/>
  <c r="AA510" i="52"/>
  <c r="Y510" i="52"/>
  <c r="W510" i="52" s="1"/>
  <c r="AA509" i="52"/>
  <c r="Y509" i="52"/>
  <c r="W509" i="52" s="1"/>
  <c r="AA508" i="52"/>
  <c r="Y508" i="52"/>
  <c r="W508" i="52" s="1"/>
  <c r="AA507" i="52"/>
  <c r="Y507" i="52"/>
  <c r="W507" i="52" s="1"/>
  <c r="AA506" i="52"/>
  <c r="Y506" i="52"/>
  <c r="W506" i="52" s="1"/>
  <c r="AA505" i="52"/>
  <c r="Y505" i="52"/>
  <c r="W505" i="52" s="1"/>
  <c r="AA504" i="52"/>
  <c r="Y504" i="52"/>
  <c r="W504" i="52" s="1"/>
  <c r="AA503" i="52"/>
  <c r="Y503" i="52"/>
  <c r="W503" i="52" s="1"/>
  <c r="AA502" i="52"/>
  <c r="Y502" i="52"/>
  <c r="W502" i="52" s="1"/>
  <c r="AA501" i="52"/>
  <c r="Y501" i="52"/>
  <c r="W501" i="52" s="1"/>
  <c r="AA500" i="52"/>
  <c r="Y500" i="52"/>
  <c r="W500" i="52" s="1"/>
  <c r="AA499" i="52"/>
  <c r="Y499" i="52"/>
  <c r="W499" i="52" s="1"/>
  <c r="AA498" i="52"/>
  <c r="Y498" i="52"/>
  <c r="W498" i="52" s="1"/>
  <c r="AA497" i="52"/>
  <c r="Y497" i="52"/>
  <c r="W497" i="52" s="1"/>
  <c r="AA496" i="52"/>
  <c r="Y496" i="52"/>
  <c r="W496" i="52" s="1"/>
  <c r="AA495" i="52"/>
  <c r="Y495" i="52"/>
  <c r="W495" i="52" s="1"/>
  <c r="AA494" i="52"/>
  <c r="Y494" i="52"/>
  <c r="W494" i="52" s="1"/>
  <c r="AA493" i="52"/>
  <c r="Y493" i="52"/>
  <c r="W493" i="52" s="1"/>
  <c r="AA492" i="52"/>
  <c r="Y492" i="52"/>
  <c r="W492" i="52" s="1"/>
  <c r="AA491" i="52"/>
  <c r="Y491" i="52"/>
  <c r="W491" i="52" s="1"/>
  <c r="AA490" i="52"/>
  <c r="Y490" i="52"/>
  <c r="W490" i="52" s="1"/>
  <c r="AA489" i="52"/>
  <c r="Y489" i="52"/>
  <c r="W489" i="52" s="1"/>
  <c r="AA488" i="52"/>
  <c r="Y488" i="52"/>
  <c r="W488" i="52" s="1"/>
  <c r="AA487" i="52"/>
  <c r="Y487" i="52"/>
  <c r="W487" i="52" s="1"/>
  <c r="AA486" i="52"/>
  <c r="Y486" i="52"/>
  <c r="W486" i="52" s="1"/>
  <c r="AA485" i="52"/>
  <c r="Y485" i="52"/>
  <c r="W485" i="52" s="1"/>
  <c r="AA484" i="52"/>
  <c r="Y484" i="52"/>
  <c r="W484" i="52" s="1"/>
  <c r="AA483" i="52"/>
  <c r="Y483" i="52"/>
  <c r="W483" i="52" s="1"/>
  <c r="AA482" i="52"/>
  <c r="Y482" i="52"/>
  <c r="W482" i="52" s="1"/>
  <c r="AA481" i="52"/>
  <c r="Y481" i="52"/>
  <c r="W481" i="52" s="1"/>
  <c r="AA480" i="52"/>
  <c r="Y480" i="52"/>
  <c r="W480" i="52" s="1"/>
  <c r="AA479" i="52"/>
  <c r="Y479" i="52"/>
  <c r="W479" i="52" s="1"/>
  <c r="AA478" i="52"/>
  <c r="Y478" i="52"/>
  <c r="W478" i="52" s="1"/>
  <c r="AA477" i="52"/>
  <c r="Y477" i="52"/>
  <c r="W477" i="52" s="1"/>
  <c r="AA476" i="52"/>
  <c r="Y476" i="52"/>
  <c r="W476" i="52" s="1"/>
  <c r="AA475" i="52"/>
  <c r="Y475" i="52"/>
  <c r="W475" i="52" s="1"/>
  <c r="AA474" i="52"/>
  <c r="Y474" i="52"/>
  <c r="W474" i="52" s="1"/>
  <c r="AA473" i="52"/>
  <c r="Y473" i="52"/>
  <c r="W473" i="52" s="1"/>
  <c r="AA472" i="52"/>
  <c r="Y472" i="52"/>
  <c r="W472" i="52" s="1"/>
  <c r="AA471" i="52"/>
  <c r="Y471" i="52"/>
  <c r="W471" i="52" s="1"/>
  <c r="AA470" i="52"/>
  <c r="Y470" i="52"/>
  <c r="W470" i="52" s="1"/>
  <c r="AA469" i="52"/>
  <c r="Y469" i="52"/>
  <c r="W469" i="52" s="1"/>
  <c r="AA468" i="52"/>
  <c r="Y468" i="52"/>
  <c r="W468" i="52" s="1"/>
  <c r="AA467" i="52"/>
  <c r="Y467" i="52"/>
  <c r="W467" i="52" s="1"/>
  <c r="AA466" i="52"/>
  <c r="Y466" i="52"/>
  <c r="W466" i="52" s="1"/>
  <c r="AA465" i="52"/>
  <c r="Y465" i="52"/>
  <c r="W465" i="52" s="1"/>
  <c r="AA464" i="52"/>
  <c r="Y464" i="52"/>
  <c r="W464" i="52" s="1"/>
  <c r="AA463" i="52"/>
  <c r="Y463" i="52"/>
  <c r="W463" i="52" s="1"/>
  <c r="AA462" i="52"/>
  <c r="Y462" i="52"/>
  <c r="W462" i="52" s="1"/>
  <c r="AA461" i="52"/>
  <c r="Y461" i="52"/>
  <c r="W461" i="52" s="1"/>
  <c r="AA460" i="52"/>
  <c r="Y460" i="52"/>
  <c r="W460" i="52" s="1"/>
  <c r="AA459" i="52"/>
  <c r="Y459" i="52"/>
  <c r="W459" i="52" s="1"/>
  <c r="AA458" i="52"/>
  <c r="Y458" i="52"/>
  <c r="W458" i="52" s="1"/>
  <c r="AA457" i="52"/>
  <c r="Y457" i="52"/>
  <c r="W457" i="52" s="1"/>
  <c r="AA456" i="52"/>
  <c r="Y456" i="52"/>
  <c r="W456" i="52" s="1"/>
  <c r="AA455" i="52"/>
  <c r="Y455" i="52"/>
  <c r="W455" i="52" s="1"/>
  <c r="AA454" i="52"/>
  <c r="Y454" i="52"/>
  <c r="W454" i="52" s="1"/>
  <c r="AA453" i="52"/>
  <c r="Y453" i="52"/>
  <c r="W453" i="52" s="1"/>
  <c r="AA452" i="52"/>
  <c r="Y452" i="52"/>
  <c r="W452" i="52" s="1"/>
  <c r="AA451" i="52"/>
  <c r="Y451" i="52"/>
  <c r="W451" i="52" s="1"/>
  <c r="AA450" i="52"/>
  <c r="Y450" i="52"/>
  <c r="W450" i="52" s="1"/>
  <c r="AA449" i="52"/>
  <c r="Y449" i="52"/>
  <c r="W449" i="52" s="1"/>
  <c r="AA448" i="52"/>
  <c r="Y448" i="52"/>
  <c r="W448" i="52" s="1"/>
  <c r="AA447" i="52"/>
  <c r="Y447" i="52"/>
  <c r="W447" i="52" s="1"/>
  <c r="AA446" i="52"/>
  <c r="Y446" i="52"/>
  <c r="W446" i="52" s="1"/>
  <c r="AA445" i="52"/>
  <c r="Y445" i="52"/>
  <c r="W445" i="52" s="1"/>
  <c r="AA444" i="52"/>
  <c r="Y444" i="52"/>
  <c r="W444" i="52" s="1"/>
  <c r="AA443" i="52"/>
  <c r="Y443" i="52"/>
  <c r="W443" i="52" s="1"/>
  <c r="AA442" i="52"/>
  <c r="Y442" i="52"/>
  <c r="W442" i="52" s="1"/>
  <c r="AA441" i="52"/>
  <c r="Y441" i="52"/>
  <c r="W441" i="52" s="1"/>
  <c r="AA440" i="52"/>
  <c r="Y440" i="52"/>
  <c r="W440" i="52" s="1"/>
  <c r="AA439" i="52"/>
  <c r="Y439" i="52"/>
  <c r="W439" i="52" s="1"/>
  <c r="AA438" i="52"/>
  <c r="Y438" i="52"/>
  <c r="W438" i="52" s="1"/>
  <c r="AA437" i="52"/>
  <c r="Y437" i="52"/>
  <c r="W437" i="52" s="1"/>
  <c r="AA436" i="52"/>
  <c r="Y436" i="52"/>
  <c r="W436" i="52" s="1"/>
  <c r="AA435" i="52"/>
  <c r="Y435" i="52"/>
  <c r="W435" i="52" s="1"/>
  <c r="AA434" i="52"/>
  <c r="Y434" i="52"/>
  <c r="W434" i="52" s="1"/>
  <c r="AA433" i="52"/>
  <c r="Y433" i="52"/>
  <c r="W433" i="52" s="1"/>
  <c r="AA432" i="52"/>
  <c r="Y432" i="52"/>
  <c r="W432" i="52" s="1"/>
  <c r="AA431" i="52"/>
  <c r="Y431" i="52"/>
  <c r="W431" i="52" s="1"/>
  <c r="AA430" i="52"/>
  <c r="Y430" i="52"/>
  <c r="W430" i="52" s="1"/>
  <c r="AA429" i="52"/>
  <c r="Y429" i="52"/>
  <c r="W429" i="52" s="1"/>
  <c r="AA428" i="52"/>
  <c r="Y428" i="52"/>
  <c r="W428" i="52" s="1"/>
  <c r="AA427" i="52"/>
  <c r="Y427" i="52"/>
  <c r="W427" i="52" s="1"/>
  <c r="AA426" i="52"/>
  <c r="Y426" i="52"/>
  <c r="W426" i="52" s="1"/>
  <c r="AA425" i="52"/>
  <c r="Y425" i="52"/>
  <c r="W425" i="52" s="1"/>
  <c r="AA424" i="52"/>
  <c r="Y424" i="52"/>
  <c r="W424" i="52" s="1"/>
  <c r="AA423" i="52"/>
  <c r="Y423" i="52"/>
  <c r="W423" i="52" s="1"/>
  <c r="AA422" i="52"/>
  <c r="Y422" i="52"/>
  <c r="W422" i="52" s="1"/>
  <c r="AA421" i="52"/>
  <c r="Y421" i="52"/>
  <c r="W421" i="52" s="1"/>
  <c r="AA420" i="52"/>
  <c r="Y420" i="52"/>
  <c r="W420" i="52" s="1"/>
  <c r="AA419" i="52"/>
  <c r="Y419" i="52"/>
  <c r="W419" i="52" s="1"/>
  <c r="AA418" i="52"/>
  <c r="Y418" i="52"/>
  <c r="W418" i="52" s="1"/>
  <c r="AA417" i="52"/>
  <c r="Y417" i="52"/>
  <c r="W417" i="52" s="1"/>
  <c r="AA416" i="52"/>
  <c r="Y416" i="52"/>
  <c r="W416" i="52" s="1"/>
  <c r="AA415" i="52"/>
  <c r="Y415" i="52"/>
  <c r="W415" i="52" s="1"/>
  <c r="AA414" i="52"/>
  <c r="Y414" i="52"/>
  <c r="W414" i="52" s="1"/>
  <c r="AA413" i="52"/>
  <c r="Y413" i="52"/>
  <c r="W413" i="52" s="1"/>
  <c r="AA412" i="52"/>
  <c r="Y412" i="52"/>
  <c r="W412" i="52" s="1"/>
  <c r="AA411" i="52"/>
  <c r="Y411" i="52"/>
  <c r="W411" i="52" s="1"/>
  <c r="AA410" i="52"/>
  <c r="Y410" i="52"/>
  <c r="W410" i="52" s="1"/>
  <c r="AA409" i="52"/>
  <c r="Y409" i="52"/>
  <c r="W409" i="52" s="1"/>
  <c r="AA408" i="52"/>
  <c r="Y408" i="52"/>
  <c r="W408" i="52" s="1"/>
  <c r="AA407" i="52"/>
  <c r="Y407" i="52"/>
  <c r="W407" i="52" s="1"/>
  <c r="AA406" i="52"/>
  <c r="Y406" i="52"/>
  <c r="W406" i="52" s="1"/>
  <c r="AA405" i="52"/>
  <c r="Y405" i="52"/>
  <c r="W405" i="52" s="1"/>
  <c r="AA404" i="52"/>
  <c r="Y404" i="52"/>
  <c r="W404" i="52" s="1"/>
  <c r="AA403" i="52"/>
  <c r="Y403" i="52"/>
  <c r="W403" i="52" s="1"/>
  <c r="AA402" i="52"/>
  <c r="Y402" i="52"/>
  <c r="W402" i="52" s="1"/>
  <c r="AA401" i="52"/>
  <c r="Y401" i="52"/>
  <c r="W401" i="52" s="1"/>
  <c r="AA400" i="52"/>
  <c r="Y400" i="52"/>
  <c r="W400" i="52" s="1"/>
  <c r="AA399" i="52"/>
  <c r="Y399" i="52"/>
  <c r="W399" i="52" s="1"/>
  <c r="AA398" i="52"/>
  <c r="Y398" i="52"/>
  <c r="W398" i="52" s="1"/>
  <c r="AA397" i="52"/>
  <c r="Y397" i="52"/>
  <c r="W397" i="52" s="1"/>
  <c r="AA396" i="52"/>
  <c r="Y396" i="52"/>
  <c r="W396" i="52" s="1"/>
  <c r="AA395" i="52"/>
  <c r="Y395" i="52"/>
  <c r="W395" i="52" s="1"/>
  <c r="AA394" i="52"/>
  <c r="Y394" i="52"/>
  <c r="W394" i="52" s="1"/>
  <c r="AA393" i="52"/>
  <c r="Y393" i="52"/>
  <c r="W393" i="52" s="1"/>
  <c r="AA392" i="52"/>
  <c r="Y392" i="52"/>
  <c r="W392" i="52" s="1"/>
  <c r="AA391" i="52"/>
  <c r="Y391" i="52"/>
  <c r="W391" i="52" s="1"/>
  <c r="AA390" i="52"/>
  <c r="Y390" i="52"/>
  <c r="W390" i="52" s="1"/>
  <c r="AA389" i="52"/>
  <c r="Y389" i="52"/>
  <c r="W389" i="52" s="1"/>
  <c r="AA388" i="52"/>
  <c r="Y388" i="52"/>
  <c r="W388" i="52" s="1"/>
  <c r="AA387" i="52"/>
  <c r="Y387" i="52"/>
  <c r="W387" i="52" s="1"/>
  <c r="AA386" i="52"/>
  <c r="Y386" i="52"/>
  <c r="W386" i="52" s="1"/>
  <c r="AA385" i="52"/>
  <c r="Y385" i="52"/>
  <c r="W385" i="52" s="1"/>
  <c r="AA384" i="52"/>
  <c r="Y384" i="52"/>
  <c r="W384" i="52" s="1"/>
  <c r="AA383" i="52"/>
  <c r="Y383" i="52"/>
  <c r="W383" i="52" s="1"/>
  <c r="AA382" i="52"/>
  <c r="Y382" i="52"/>
  <c r="W382" i="52" s="1"/>
  <c r="AA381" i="52"/>
  <c r="Y381" i="52"/>
  <c r="W381" i="52" s="1"/>
  <c r="AA380" i="52"/>
  <c r="Y380" i="52"/>
  <c r="W380" i="52" s="1"/>
  <c r="AA379" i="52"/>
  <c r="Y379" i="52"/>
  <c r="W379" i="52" s="1"/>
  <c r="AA378" i="52"/>
  <c r="Y378" i="52"/>
  <c r="W378" i="52" s="1"/>
  <c r="AA377" i="52"/>
  <c r="Y377" i="52"/>
  <c r="W377" i="52" s="1"/>
  <c r="AA376" i="52"/>
  <c r="Y376" i="52"/>
  <c r="W376" i="52" s="1"/>
  <c r="AA375" i="52"/>
  <c r="Y375" i="52"/>
  <c r="W375" i="52" s="1"/>
  <c r="AA374" i="52"/>
  <c r="Y374" i="52"/>
  <c r="W374" i="52" s="1"/>
  <c r="AA373" i="52"/>
  <c r="Y373" i="52"/>
  <c r="W373" i="52" s="1"/>
  <c r="AA372" i="52"/>
  <c r="Y372" i="52"/>
  <c r="W372" i="52" s="1"/>
  <c r="AA371" i="52"/>
  <c r="Y371" i="52"/>
  <c r="W371" i="52" s="1"/>
  <c r="AA370" i="52"/>
  <c r="Y370" i="52"/>
  <c r="W370" i="52" s="1"/>
  <c r="AA369" i="52"/>
  <c r="Y369" i="52"/>
  <c r="W369" i="52" s="1"/>
  <c r="AA368" i="52"/>
  <c r="Y368" i="52"/>
  <c r="W368" i="52" s="1"/>
  <c r="AA367" i="52"/>
  <c r="Y367" i="52"/>
  <c r="W367" i="52" s="1"/>
  <c r="AA366" i="52"/>
  <c r="Y366" i="52"/>
  <c r="W366" i="52" s="1"/>
  <c r="AA365" i="52"/>
  <c r="Y365" i="52"/>
  <c r="W365" i="52" s="1"/>
  <c r="AA364" i="52"/>
  <c r="Y364" i="52"/>
  <c r="W364" i="52" s="1"/>
  <c r="AA363" i="52"/>
  <c r="Y363" i="52"/>
  <c r="W363" i="52" s="1"/>
  <c r="AA362" i="52"/>
  <c r="Y362" i="52"/>
  <c r="W362" i="52" s="1"/>
  <c r="AA361" i="52"/>
  <c r="Y361" i="52"/>
  <c r="W361" i="52" s="1"/>
  <c r="AA360" i="52"/>
  <c r="Y360" i="52"/>
  <c r="W360" i="52" s="1"/>
  <c r="AA359" i="52"/>
  <c r="Y359" i="52"/>
  <c r="W359" i="52" s="1"/>
  <c r="AA358" i="52"/>
  <c r="Y358" i="52"/>
  <c r="W358" i="52" s="1"/>
  <c r="AA357" i="52"/>
  <c r="Y357" i="52"/>
  <c r="W357" i="52" s="1"/>
  <c r="AA356" i="52"/>
  <c r="Y356" i="52"/>
  <c r="W356" i="52" s="1"/>
  <c r="AA355" i="52"/>
  <c r="Y355" i="52"/>
  <c r="W355" i="52" s="1"/>
  <c r="AA354" i="52"/>
  <c r="Y354" i="52"/>
  <c r="W354" i="52" s="1"/>
  <c r="AA353" i="52"/>
  <c r="Y353" i="52"/>
  <c r="W353" i="52" s="1"/>
  <c r="AA352" i="52"/>
  <c r="Y352" i="52"/>
  <c r="W352" i="52" s="1"/>
  <c r="AA351" i="52"/>
  <c r="Y351" i="52"/>
  <c r="W351" i="52" s="1"/>
  <c r="AA350" i="52"/>
  <c r="Y350" i="52"/>
  <c r="W350" i="52" s="1"/>
  <c r="AA349" i="52"/>
  <c r="Y349" i="52"/>
  <c r="W349" i="52" s="1"/>
  <c r="AA348" i="52"/>
  <c r="Y348" i="52"/>
  <c r="W348" i="52" s="1"/>
  <c r="AA347" i="52"/>
  <c r="Y347" i="52"/>
  <c r="W347" i="52" s="1"/>
  <c r="AA346" i="52"/>
  <c r="Y346" i="52"/>
  <c r="W346" i="52" s="1"/>
  <c r="AA345" i="52"/>
  <c r="Y345" i="52"/>
  <c r="W345" i="52" s="1"/>
  <c r="AA344" i="52"/>
  <c r="Y344" i="52"/>
  <c r="W344" i="52" s="1"/>
  <c r="AA343" i="52"/>
  <c r="Y343" i="52"/>
  <c r="W343" i="52" s="1"/>
  <c r="AA342" i="52"/>
  <c r="Y342" i="52"/>
  <c r="W342" i="52" s="1"/>
  <c r="AA341" i="52"/>
  <c r="Y341" i="52"/>
  <c r="W341" i="52" s="1"/>
  <c r="AA340" i="52"/>
  <c r="Y340" i="52"/>
  <c r="W340" i="52" s="1"/>
  <c r="AA339" i="52"/>
  <c r="Y339" i="52"/>
  <c r="W339" i="52" s="1"/>
  <c r="AA338" i="52"/>
  <c r="Y338" i="52"/>
  <c r="W338" i="52" s="1"/>
  <c r="AA337" i="52"/>
  <c r="Y337" i="52"/>
  <c r="W337" i="52" s="1"/>
  <c r="AA336" i="52"/>
  <c r="Y336" i="52"/>
  <c r="W336" i="52" s="1"/>
  <c r="AA335" i="52"/>
  <c r="Y335" i="52"/>
  <c r="W335" i="52" s="1"/>
  <c r="AA334" i="52"/>
  <c r="Y334" i="52"/>
  <c r="W334" i="52" s="1"/>
  <c r="AA333" i="52"/>
  <c r="Y333" i="52"/>
  <c r="W333" i="52" s="1"/>
  <c r="AA332" i="52"/>
  <c r="Y332" i="52"/>
  <c r="W332" i="52" s="1"/>
  <c r="AA331" i="52"/>
  <c r="Y331" i="52"/>
  <c r="W331" i="52" s="1"/>
  <c r="AA330" i="52"/>
  <c r="Y330" i="52"/>
  <c r="W330" i="52" s="1"/>
  <c r="AA329" i="52"/>
  <c r="Y329" i="52"/>
  <c r="W329" i="52" s="1"/>
  <c r="AA328" i="52"/>
  <c r="Y328" i="52"/>
  <c r="W328" i="52" s="1"/>
  <c r="AA327" i="52"/>
  <c r="Y327" i="52"/>
  <c r="W327" i="52" s="1"/>
  <c r="AA326" i="52"/>
  <c r="Y326" i="52"/>
  <c r="W326" i="52" s="1"/>
  <c r="AA325" i="52"/>
  <c r="Y325" i="52"/>
  <c r="W325" i="52" s="1"/>
  <c r="AA324" i="52"/>
  <c r="Y324" i="52"/>
  <c r="W324" i="52" s="1"/>
  <c r="AA323" i="52"/>
  <c r="Y323" i="52"/>
  <c r="W323" i="52" s="1"/>
  <c r="AA322" i="52"/>
  <c r="Y322" i="52"/>
  <c r="W322" i="52" s="1"/>
  <c r="AA321" i="52"/>
  <c r="Y321" i="52"/>
  <c r="W321" i="52" s="1"/>
  <c r="AA320" i="52"/>
  <c r="Y320" i="52"/>
  <c r="W320" i="52" s="1"/>
  <c r="AA319" i="52"/>
  <c r="Y319" i="52"/>
  <c r="W319" i="52" s="1"/>
  <c r="AA318" i="52"/>
  <c r="Y318" i="52"/>
  <c r="W318" i="52" s="1"/>
  <c r="AA317" i="52"/>
  <c r="Y317" i="52"/>
  <c r="W317" i="52" s="1"/>
  <c r="AA316" i="52"/>
  <c r="Y316" i="52"/>
  <c r="W316" i="52" s="1"/>
  <c r="AA315" i="52"/>
  <c r="Y315" i="52"/>
  <c r="W315" i="52" s="1"/>
  <c r="AA314" i="52"/>
  <c r="Y314" i="52"/>
  <c r="W314" i="52" s="1"/>
  <c r="AA313" i="52"/>
  <c r="Y313" i="52"/>
  <c r="W313" i="52" s="1"/>
  <c r="AA312" i="52"/>
  <c r="Y312" i="52"/>
  <c r="W312" i="52" s="1"/>
  <c r="AA311" i="52"/>
  <c r="Y311" i="52"/>
  <c r="W311" i="52" s="1"/>
  <c r="AA310" i="52"/>
  <c r="Y310" i="52"/>
  <c r="W310" i="52" s="1"/>
  <c r="AA309" i="52"/>
  <c r="Y309" i="52"/>
  <c r="W309" i="52" s="1"/>
  <c r="AA308" i="52"/>
  <c r="Y308" i="52"/>
  <c r="W308" i="52" s="1"/>
  <c r="AA307" i="52"/>
  <c r="Y307" i="52"/>
  <c r="W307" i="52" s="1"/>
  <c r="AA306" i="52"/>
  <c r="Y306" i="52"/>
  <c r="W306" i="52" s="1"/>
  <c r="AA305" i="52"/>
  <c r="Y305" i="52"/>
  <c r="W305" i="52" s="1"/>
  <c r="AA304" i="52"/>
  <c r="Y304" i="52"/>
  <c r="W304" i="52" s="1"/>
  <c r="AA303" i="52"/>
  <c r="Y303" i="52"/>
  <c r="W303" i="52" s="1"/>
  <c r="AA302" i="52"/>
  <c r="Y302" i="52"/>
  <c r="W302" i="52" s="1"/>
  <c r="AA301" i="52"/>
  <c r="Y301" i="52"/>
  <c r="W301" i="52" s="1"/>
  <c r="AA300" i="52"/>
  <c r="Y300" i="52"/>
  <c r="W300" i="52" s="1"/>
  <c r="AA299" i="52"/>
  <c r="Y299" i="52"/>
  <c r="W299" i="52" s="1"/>
  <c r="AA298" i="52"/>
  <c r="Y298" i="52"/>
  <c r="W298" i="52" s="1"/>
  <c r="AA297" i="52"/>
  <c r="Y297" i="52"/>
  <c r="W297" i="52" s="1"/>
  <c r="AA296" i="52"/>
  <c r="Y296" i="52"/>
  <c r="W296" i="52" s="1"/>
  <c r="AA295" i="52"/>
  <c r="Y295" i="52"/>
  <c r="W295" i="52" s="1"/>
  <c r="AA294" i="52"/>
  <c r="Y294" i="52"/>
  <c r="W294" i="52" s="1"/>
  <c r="AA293" i="52"/>
  <c r="Y293" i="52"/>
  <c r="W293" i="52" s="1"/>
  <c r="AA292" i="52"/>
  <c r="Y292" i="52"/>
  <c r="W292" i="52" s="1"/>
  <c r="AA291" i="52"/>
  <c r="Y291" i="52"/>
  <c r="W291" i="52" s="1"/>
  <c r="AA290" i="52"/>
  <c r="Y290" i="52"/>
  <c r="W290" i="52" s="1"/>
  <c r="AA289" i="52"/>
  <c r="Y289" i="52"/>
  <c r="W289" i="52" s="1"/>
  <c r="AA288" i="52"/>
  <c r="Y288" i="52"/>
  <c r="W288" i="52" s="1"/>
  <c r="AA287" i="52"/>
  <c r="Y287" i="52"/>
  <c r="W287" i="52" s="1"/>
  <c r="AA286" i="52"/>
  <c r="Y286" i="52"/>
  <c r="W286" i="52" s="1"/>
  <c r="AA285" i="52"/>
  <c r="Y285" i="52"/>
  <c r="W285" i="52" s="1"/>
  <c r="AA284" i="52"/>
  <c r="Y284" i="52"/>
  <c r="W284" i="52" s="1"/>
  <c r="AA283" i="52"/>
  <c r="Y283" i="52"/>
  <c r="W283" i="52" s="1"/>
  <c r="AA282" i="52"/>
  <c r="Y282" i="52"/>
  <c r="W282" i="52" s="1"/>
  <c r="AA281" i="52"/>
  <c r="Y281" i="52"/>
  <c r="W281" i="52" s="1"/>
  <c r="AA280" i="52"/>
  <c r="Y280" i="52"/>
  <c r="W280" i="52" s="1"/>
  <c r="AA279" i="52"/>
  <c r="Y279" i="52"/>
  <c r="W279" i="52" s="1"/>
  <c r="AA278" i="52"/>
  <c r="Y278" i="52"/>
  <c r="W278" i="52" s="1"/>
  <c r="AA277" i="52"/>
  <c r="Y277" i="52"/>
  <c r="W277" i="52" s="1"/>
  <c r="AA276" i="52"/>
  <c r="Y276" i="52"/>
  <c r="W276" i="52" s="1"/>
  <c r="AA275" i="52"/>
  <c r="Y275" i="52"/>
  <c r="W275" i="52" s="1"/>
  <c r="AA274" i="52"/>
  <c r="Y274" i="52"/>
  <c r="W274" i="52" s="1"/>
  <c r="AA273" i="52"/>
  <c r="Y273" i="52"/>
  <c r="W273" i="52" s="1"/>
  <c r="AA272" i="52"/>
  <c r="Y272" i="52"/>
  <c r="W272" i="52" s="1"/>
  <c r="AA271" i="52"/>
  <c r="Y271" i="52"/>
  <c r="W271" i="52" s="1"/>
  <c r="AA270" i="52"/>
  <c r="Y270" i="52"/>
  <c r="W270" i="52" s="1"/>
  <c r="AA269" i="52"/>
  <c r="Y269" i="52"/>
  <c r="W269" i="52" s="1"/>
  <c r="AA268" i="52"/>
  <c r="Y268" i="52"/>
  <c r="W268" i="52" s="1"/>
  <c r="AA267" i="52"/>
  <c r="Y267" i="52"/>
  <c r="W267" i="52" s="1"/>
  <c r="AA266" i="52"/>
  <c r="Y266" i="52"/>
  <c r="W266" i="52" s="1"/>
  <c r="AA265" i="52"/>
  <c r="Y265" i="52"/>
  <c r="W265" i="52" s="1"/>
  <c r="AA264" i="52"/>
  <c r="Y264" i="52"/>
  <c r="W264" i="52" s="1"/>
  <c r="AA263" i="52"/>
  <c r="Y263" i="52"/>
  <c r="W263" i="52" s="1"/>
  <c r="AA262" i="52"/>
  <c r="Y262" i="52"/>
  <c r="W262" i="52" s="1"/>
  <c r="AA261" i="52"/>
  <c r="Y261" i="52"/>
  <c r="W261" i="52" s="1"/>
  <c r="AA260" i="52"/>
  <c r="Y260" i="52"/>
  <c r="W260" i="52" s="1"/>
  <c r="AA259" i="52"/>
  <c r="Y259" i="52"/>
  <c r="W259" i="52" s="1"/>
  <c r="AA258" i="52"/>
  <c r="Y258" i="52"/>
  <c r="W258" i="52" s="1"/>
  <c r="AA257" i="52"/>
  <c r="Y257" i="52"/>
  <c r="W257" i="52" s="1"/>
  <c r="AA256" i="52"/>
  <c r="Y256" i="52"/>
  <c r="W256" i="52" s="1"/>
  <c r="AA255" i="52"/>
  <c r="Y255" i="52"/>
  <c r="W255" i="52" s="1"/>
  <c r="AA254" i="52"/>
  <c r="Y254" i="52"/>
  <c r="W254" i="52" s="1"/>
  <c r="AA253" i="52"/>
  <c r="Y253" i="52"/>
  <c r="W253" i="52" s="1"/>
  <c r="AA252" i="52"/>
  <c r="Y252" i="52"/>
  <c r="W252" i="52" s="1"/>
  <c r="AA251" i="52"/>
  <c r="Y251" i="52"/>
  <c r="W251" i="52" s="1"/>
  <c r="AA250" i="52"/>
  <c r="Y250" i="52"/>
  <c r="W250" i="52" s="1"/>
  <c r="AA249" i="52"/>
  <c r="Y249" i="52"/>
  <c r="W249" i="52" s="1"/>
  <c r="AA248" i="52"/>
  <c r="Y248" i="52"/>
  <c r="W248" i="52" s="1"/>
  <c r="AA247" i="52"/>
  <c r="Y247" i="52"/>
  <c r="W247" i="52" s="1"/>
  <c r="AA246" i="52"/>
  <c r="Y246" i="52"/>
  <c r="W246" i="52" s="1"/>
  <c r="AA245" i="52"/>
  <c r="Y245" i="52"/>
  <c r="W245" i="52" s="1"/>
  <c r="AA244" i="52"/>
  <c r="Y244" i="52"/>
  <c r="W244" i="52" s="1"/>
  <c r="AA243" i="52"/>
  <c r="Y243" i="52"/>
  <c r="W243" i="52" s="1"/>
  <c r="AA242" i="52"/>
  <c r="Y242" i="52"/>
  <c r="W242" i="52" s="1"/>
  <c r="AA241" i="52"/>
  <c r="Y241" i="52"/>
  <c r="W241" i="52" s="1"/>
  <c r="AA240" i="52"/>
  <c r="Y240" i="52"/>
  <c r="W240" i="52" s="1"/>
  <c r="AA239" i="52"/>
  <c r="Y239" i="52"/>
  <c r="W239" i="52" s="1"/>
  <c r="AA238" i="52"/>
  <c r="Y238" i="52"/>
  <c r="W238" i="52" s="1"/>
  <c r="AA237" i="52"/>
  <c r="Y237" i="52"/>
  <c r="W237" i="52" s="1"/>
  <c r="AA236" i="52"/>
  <c r="Y236" i="52"/>
  <c r="W236" i="52" s="1"/>
  <c r="AA235" i="52"/>
  <c r="Y235" i="52"/>
  <c r="W235" i="52" s="1"/>
  <c r="AA234" i="52"/>
  <c r="Y234" i="52"/>
  <c r="W234" i="52" s="1"/>
  <c r="AA233" i="52"/>
  <c r="Y233" i="52"/>
  <c r="W233" i="52" s="1"/>
  <c r="AA232" i="52"/>
  <c r="Y232" i="52"/>
  <c r="W232" i="52" s="1"/>
  <c r="AA231" i="52"/>
  <c r="Y231" i="52"/>
  <c r="W231" i="52" s="1"/>
  <c r="AA230" i="52"/>
  <c r="Y230" i="52"/>
  <c r="W230" i="52" s="1"/>
  <c r="AA229" i="52"/>
  <c r="Y229" i="52"/>
  <c r="W229" i="52" s="1"/>
  <c r="AA228" i="52"/>
  <c r="Y228" i="52"/>
  <c r="W228" i="52" s="1"/>
  <c r="AA227" i="52"/>
  <c r="Y227" i="52"/>
  <c r="W227" i="52" s="1"/>
  <c r="AA226" i="52"/>
  <c r="Y226" i="52"/>
  <c r="W226" i="52" s="1"/>
  <c r="AA225" i="52"/>
  <c r="Y225" i="52"/>
  <c r="W225" i="52" s="1"/>
  <c r="AA224" i="52"/>
  <c r="Y224" i="52"/>
  <c r="W224" i="52" s="1"/>
  <c r="AA223" i="52"/>
  <c r="Y223" i="52"/>
  <c r="W223" i="52" s="1"/>
  <c r="AA222" i="52"/>
  <c r="Y222" i="52"/>
  <c r="W222" i="52" s="1"/>
  <c r="AA221" i="52"/>
  <c r="Y221" i="52"/>
  <c r="W221" i="52" s="1"/>
  <c r="AA220" i="52"/>
  <c r="Y220" i="52"/>
  <c r="W220" i="52" s="1"/>
  <c r="AA219" i="52"/>
  <c r="Y219" i="52"/>
  <c r="W219" i="52" s="1"/>
  <c r="AA218" i="52"/>
  <c r="Y218" i="52"/>
  <c r="W218" i="52" s="1"/>
  <c r="AA217" i="52"/>
  <c r="Y217" i="52"/>
  <c r="W217" i="52" s="1"/>
  <c r="AA216" i="52"/>
  <c r="Y216" i="52"/>
  <c r="W216" i="52" s="1"/>
  <c r="AA215" i="52"/>
  <c r="Y215" i="52"/>
  <c r="W215" i="52" s="1"/>
  <c r="AA214" i="52"/>
  <c r="Y214" i="52"/>
  <c r="W214" i="52" s="1"/>
  <c r="AA213" i="52"/>
  <c r="Y213" i="52"/>
  <c r="W213" i="52" s="1"/>
  <c r="AA212" i="52"/>
  <c r="Y212" i="52"/>
  <c r="W212" i="52" s="1"/>
  <c r="AA211" i="52"/>
  <c r="Y211" i="52"/>
  <c r="W211" i="52" s="1"/>
  <c r="AA210" i="52"/>
  <c r="Y210" i="52"/>
  <c r="W210" i="52" s="1"/>
  <c r="AA209" i="52"/>
  <c r="Y209" i="52"/>
  <c r="W209" i="52" s="1"/>
  <c r="AA208" i="52"/>
  <c r="Y208" i="52"/>
  <c r="W208" i="52" s="1"/>
  <c r="AA207" i="52"/>
  <c r="Y207" i="52"/>
  <c r="W207" i="52" s="1"/>
  <c r="AA206" i="52"/>
  <c r="Y206" i="52"/>
  <c r="W206" i="52" s="1"/>
  <c r="AA205" i="52"/>
  <c r="Y205" i="52"/>
  <c r="W205" i="52" s="1"/>
  <c r="AA204" i="52"/>
  <c r="Y204" i="52"/>
  <c r="W204" i="52" s="1"/>
  <c r="AA203" i="52"/>
  <c r="Y203" i="52"/>
  <c r="W203" i="52" s="1"/>
  <c r="AA202" i="52"/>
  <c r="Y202" i="52"/>
  <c r="W202" i="52" s="1"/>
  <c r="AA201" i="52"/>
  <c r="Y201" i="52"/>
  <c r="W201" i="52" s="1"/>
  <c r="AA200" i="52"/>
  <c r="Y200" i="52"/>
  <c r="W200" i="52" s="1"/>
  <c r="AA199" i="52"/>
  <c r="Y199" i="52"/>
  <c r="W199" i="52" s="1"/>
  <c r="AA198" i="52"/>
  <c r="Y198" i="52"/>
  <c r="W198" i="52" s="1"/>
  <c r="AA197" i="52"/>
  <c r="Y197" i="52"/>
  <c r="W197" i="52" s="1"/>
  <c r="AA196" i="52"/>
  <c r="Y196" i="52"/>
  <c r="W196" i="52" s="1"/>
  <c r="AA195" i="52"/>
  <c r="Y195" i="52"/>
  <c r="W195" i="52" s="1"/>
  <c r="AA194" i="52"/>
  <c r="Y194" i="52"/>
  <c r="W194" i="52" s="1"/>
  <c r="AA193" i="52"/>
  <c r="Y193" i="52"/>
  <c r="W193" i="52" s="1"/>
  <c r="AA192" i="52"/>
  <c r="Y192" i="52"/>
  <c r="W192" i="52" s="1"/>
  <c r="AA191" i="52"/>
  <c r="Y191" i="52"/>
  <c r="W191" i="52" s="1"/>
  <c r="AA190" i="52"/>
  <c r="Y190" i="52"/>
  <c r="W190" i="52" s="1"/>
  <c r="AA189" i="52"/>
  <c r="Y189" i="52"/>
  <c r="W189" i="52" s="1"/>
  <c r="AA188" i="52"/>
  <c r="Y188" i="52"/>
  <c r="W188" i="52" s="1"/>
  <c r="AA187" i="52"/>
  <c r="Y187" i="52"/>
  <c r="W187" i="52" s="1"/>
  <c r="AA186" i="52"/>
  <c r="Y186" i="52"/>
  <c r="W186" i="52" s="1"/>
  <c r="AA185" i="52"/>
  <c r="Y185" i="52"/>
  <c r="W185" i="52" s="1"/>
  <c r="AA184" i="52"/>
  <c r="Y184" i="52"/>
  <c r="W184" i="52" s="1"/>
  <c r="AA183" i="52"/>
  <c r="Y183" i="52"/>
  <c r="W183" i="52" s="1"/>
  <c r="AA182" i="52"/>
  <c r="Y182" i="52"/>
  <c r="W182" i="52" s="1"/>
  <c r="AA181" i="52"/>
  <c r="Y181" i="52"/>
  <c r="W181" i="52" s="1"/>
  <c r="AA180" i="52"/>
  <c r="Y180" i="52"/>
  <c r="W180" i="52" s="1"/>
  <c r="AA179" i="52"/>
  <c r="Y179" i="52"/>
  <c r="W179" i="52" s="1"/>
  <c r="AA178" i="52"/>
  <c r="Y178" i="52"/>
  <c r="W178" i="52" s="1"/>
  <c r="AA177" i="52"/>
  <c r="Y177" i="52"/>
  <c r="W177" i="52" s="1"/>
  <c r="AA176" i="52"/>
  <c r="Y176" i="52"/>
  <c r="W176" i="52" s="1"/>
  <c r="AA175" i="52"/>
  <c r="Y175" i="52"/>
  <c r="W175" i="52" s="1"/>
  <c r="AA174" i="52"/>
  <c r="Y174" i="52"/>
  <c r="W174" i="52" s="1"/>
  <c r="AA173" i="52"/>
  <c r="Y173" i="52"/>
  <c r="W173" i="52" s="1"/>
  <c r="AA172" i="52"/>
  <c r="Y172" i="52"/>
  <c r="W172" i="52" s="1"/>
  <c r="AA171" i="52"/>
  <c r="Y171" i="52"/>
  <c r="W171" i="52" s="1"/>
  <c r="AA170" i="52"/>
  <c r="Y170" i="52"/>
  <c r="W170" i="52" s="1"/>
  <c r="AA169" i="52"/>
  <c r="Y169" i="52"/>
  <c r="W169" i="52" s="1"/>
  <c r="AA168" i="52"/>
  <c r="Y168" i="52"/>
  <c r="W168" i="52" s="1"/>
  <c r="AA167" i="52"/>
  <c r="Y167" i="52"/>
  <c r="W167" i="52" s="1"/>
  <c r="AA166" i="52"/>
  <c r="Y166" i="52"/>
  <c r="W166" i="52" s="1"/>
  <c r="AA165" i="52"/>
  <c r="Y165" i="52"/>
  <c r="W165" i="52" s="1"/>
  <c r="AA164" i="52"/>
  <c r="Y164" i="52"/>
  <c r="W164" i="52" s="1"/>
  <c r="AA163" i="52"/>
  <c r="Y163" i="52"/>
  <c r="W163" i="52" s="1"/>
  <c r="AA162" i="52"/>
  <c r="Y162" i="52"/>
  <c r="W162" i="52" s="1"/>
  <c r="AA161" i="52"/>
  <c r="Y161" i="52"/>
  <c r="W161" i="52" s="1"/>
  <c r="AA160" i="52"/>
  <c r="Y160" i="52"/>
  <c r="W160" i="52" s="1"/>
  <c r="AA159" i="52"/>
  <c r="Y159" i="52"/>
  <c r="W159" i="52" s="1"/>
  <c r="AA158" i="52"/>
  <c r="Y158" i="52"/>
  <c r="W158" i="52" s="1"/>
  <c r="AA157" i="52"/>
  <c r="Y157" i="52"/>
  <c r="W157" i="52" s="1"/>
  <c r="AA156" i="52"/>
  <c r="Y156" i="52"/>
  <c r="W156" i="52" s="1"/>
  <c r="AA155" i="52"/>
  <c r="Y155" i="52"/>
  <c r="W155" i="52" s="1"/>
  <c r="AA154" i="52"/>
  <c r="Y154" i="52"/>
  <c r="W154" i="52" s="1"/>
  <c r="AA153" i="52"/>
  <c r="Y153" i="52"/>
  <c r="W153" i="52" s="1"/>
  <c r="AA152" i="52"/>
  <c r="Y152" i="52"/>
  <c r="W152" i="52" s="1"/>
  <c r="AA151" i="52"/>
  <c r="Y151" i="52"/>
  <c r="W151" i="52" s="1"/>
  <c r="AA150" i="52"/>
  <c r="Y150" i="52"/>
  <c r="W150" i="52" s="1"/>
  <c r="AA149" i="52"/>
  <c r="Y149" i="52"/>
  <c r="W149" i="52" s="1"/>
  <c r="AA148" i="52"/>
  <c r="Y148" i="52"/>
  <c r="W148" i="52" s="1"/>
  <c r="AA147" i="52"/>
  <c r="Y147" i="52"/>
  <c r="W147" i="52" s="1"/>
  <c r="AA146" i="52"/>
  <c r="Y146" i="52"/>
  <c r="W146" i="52" s="1"/>
  <c r="AA145" i="52"/>
  <c r="Y145" i="52"/>
  <c r="W145" i="52" s="1"/>
  <c r="AA144" i="52"/>
  <c r="Y144" i="52"/>
  <c r="W144" i="52" s="1"/>
  <c r="AA143" i="52"/>
  <c r="Y143" i="52"/>
  <c r="W143" i="52" s="1"/>
  <c r="AA142" i="52"/>
  <c r="Y142" i="52"/>
  <c r="W142" i="52" s="1"/>
  <c r="AA141" i="52"/>
  <c r="Y141" i="52"/>
  <c r="W141" i="52" s="1"/>
  <c r="AA140" i="52"/>
  <c r="Y140" i="52"/>
  <c r="W140" i="52" s="1"/>
  <c r="AA139" i="52"/>
  <c r="Y139" i="52"/>
  <c r="W139" i="52" s="1"/>
  <c r="AA138" i="52"/>
  <c r="Y138" i="52"/>
  <c r="W138" i="52" s="1"/>
  <c r="AA137" i="52"/>
  <c r="Y137" i="52"/>
  <c r="W137" i="52" s="1"/>
  <c r="AA136" i="52"/>
  <c r="Y136" i="52"/>
  <c r="W136" i="52" s="1"/>
  <c r="AA135" i="52"/>
  <c r="Y135" i="52"/>
  <c r="W135" i="52" s="1"/>
  <c r="AA134" i="52"/>
  <c r="Y134" i="52"/>
  <c r="W134" i="52" s="1"/>
  <c r="AA133" i="52"/>
  <c r="Y133" i="52"/>
  <c r="W133" i="52" s="1"/>
  <c r="AA132" i="52"/>
  <c r="Y132" i="52"/>
  <c r="W132" i="52" s="1"/>
  <c r="AA131" i="52"/>
  <c r="Y131" i="52"/>
  <c r="W131" i="52" s="1"/>
  <c r="AA130" i="52"/>
  <c r="Y130" i="52"/>
  <c r="W130" i="52" s="1"/>
  <c r="AA129" i="52"/>
  <c r="Y129" i="52"/>
  <c r="W129" i="52" s="1"/>
  <c r="AA128" i="52"/>
  <c r="Y128" i="52"/>
  <c r="W128" i="52" s="1"/>
  <c r="AA127" i="52"/>
  <c r="Y127" i="52"/>
  <c r="W127" i="52" s="1"/>
  <c r="AA126" i="52"/>
  <c r="Y126" i="52"/>
  <c r="W126" i="52" s="1"/>
  <c r="AA125" i="52"/>
  <c r="Y125" i="52"/>
  <c r="W125" i="52" s="1"/>
  <c r="AA124" i="52"/>
  <c r="Y124" i="52"/>
  <c r="W124" i="52" s="1"/>
  <c r="AA123" i="52"/>
  <c r="Y123" i="52"/>
  <c r="W123" i="52" s="1"/>
  <c r="AA122" i="52"/>
  <c r="Y122" i="52"/>
  <c r="W122" i="52" s="1"/>
  <c r="AA121" i="52"/>
  <c r="Y121" i="52"/>
  <c r="W121" i="52" s="1"/>
  <c r="AA120" i="52"/>
  <c r="Y120" i="52"/>
  <c r="W120" i="52" s="1"/>
  <c r="AA119" i="52"/>
  <c r="Y119" i="52"/>
  <c r="W119" i="52" s="1"/>
  <c r="AA118" i="52"/>
  <c r="Y118" i="52"/>
  <c r="W118" i="52" s="1"/>
  <c r="AA117" i="52"/>
  <c r="Y117" i="52"/>
  <c r="W117" i="52" s="1"/>
  <c r="AA116" i="52"/>
  <c r="Y116" i="52"/>
  <c r="W116" i="52" s="1"/>
  <c r="AA115" i="52"/>
  <c r="Y115" i="52"/>
  <c r="W115" i="52" s="1"/>
  <c r="AA114" i="52"/>
  <c r="Y114" i="52"/>
  <c r="W114" i="52" s="1"/>
  <c r="AA113" i="52"/>
  <c r="Y113" i="52"/>
  <c r="W113" i="52" s="1"/>
  <c r="AA112" i="52"/>
  <c r="Y112" i="52"/>
  <c r="W112" i="52" s="1"/>
  <c r="AA111" i="52"/>
  <c r="Y111" i="52"/>
  <c r="W111" i="52" s="1"/>
  <c r="AA110" i="52"/>
  <c r="Y110" i="52"/>
  <c r="W110" i="52" s="1"/>
  <c r="AA109" i="52"/>
  <c r="Y109" i="52"/>
  <c r="W109" i="52" s="1"/>
  <c r="AA108" i="52"/>
  <c r="Y108" i="52"/>
  <c r="W108" i="52" s="1"/>
  <c r="AA107" i="52"/>
  <c r="Y107" i="52"/>
  <c r="W107" i="52" s="1"/>
  <c r="AA106" i="52"/>
  <c r="Y106" i="52"/>
  <c r="W106" i="52" s="1"/>
  <c r="AA105" i="52"/>
  <c r="Y105" i="52"/>
  <c r="W105" i="52" s="1"/>
  <c r="AA104" i="52"/>
  <c r="Y104" i="52"/>
  <c r="W104" i="52" s="1"/>
  <c r="AA103" i="52"/>
  <c r="Y103" i="52"/>
  <c r="W103" i="52" s="1"/>
  <c r="AA102" i="52"/>
  <c r="Y102" i="52"/>
  <c r="W102" i="52" s="1"/>
  <c r="AA101" i="52"/>
  <c r="Y101" i="52"/>
  <c r="W101" i="52" s="1"/>
  <c r="AA100" i="52"/>
  <c r="Y100" i="52"/>
  <c r="W100" i="52" s="1"/>
  <c r="AA99" i="52"/>
  <c r="Y99" i="52"/>
  <c r="W99" i="52" s="1"/>
  <c r="AA98" i="52"/>
  <c r="Y98" i="52"/>
  <c r="W98" i="52" s="1"/>
  <c r="AA97" i="52"/>
  <c r="Y97" i="52"/>
  <c r="W97" i="52" s="1"/>
  <c r="AA96" i="52"/>
  <c r="Y96" i="52"/>
  <c r="W96" i="52" s="1"/>
  <c r="AA95" i="52"/>
  <c r="Y95" i="52"/>
  <c r="W95" i="52" s="1"/>
  <c r="AA94" i="52"/>
  <c r="Y94" i="52"/>
  <c r="W94" i="52" s="1"/>
  <c r="AA93" i="52"/>
  <c r="Y93" i="52"/>
  <c r="W93" i="52" s="1"/>
  <c r="AA92" i="52"/>
  <c r="Y92" i="52"/>
  <c r="W92" i="52" s="1"/>
  <c r="AA91" i="52"/>
  <c r="Y91" i="52"/>
  <c r="W91" i="52" s="1"/>
  <c r="AA90" i="52"/>
  <c r="Y90" i="52"/>
  <c r="W90" i="52" s="1"/>
  <c r="AA89" i="52"/>
  <c r="Y89" i="52"/>
  <c r="W89" i="52" s="1"/>
  <c r="AA88" i="52"/>
  <c r="Y88" i="52"/>
  <c r="W88" i="52" s="1"/>
  <c r="AA87" i="52"/>
  <c r="Y87" i="52"/>
  <c r="W87" i="52" s="1"/>
  <c r="AA86" i="52"/>
  <c r="Y86" i="52"/>
  <c r="W86" i="52" s="1"/>
  <c r="AA85" i="52"/>
  <c r="Y85" i="52"/>
  <c r="W85" i="52" s="1"/>
  <c r="AA84" i="52"/>
  <c r="Y84" i="52"/>
  <c r="W84" i="52" s="1"/>
  <c r="AA83" i="52"/>
  <c r="Y83" i="52"/>
  <c r="W83" i="52" s="1"/>
  <c r="AA82" i="52"/>
  <c r="Y82" i="52"/>
  <c r="W82" i="52" s="1"/>
  <c r="AA81" i="52"/>
  <c r="Y81" i="52"/>
  <c r="W81" i="52" s="1"/>
  <c r="AA80" i="52"/>
  <c r="Y80" i="52"/>
  <c r="W80" i="52" s="1"/>
  <c r="AA79" i="52"/>
  <c r="Y79" i="52"/>
  <c r="W79" i="52" s="1"/>
  <c r="AA78" i="52"/>
  <c r="Y78" i="52"/>
  <c r="W78" i="52" s="1"/>
  <c r="AA77" i="52"/>
  <c r="Y77" i="52"/>
  <c r="W77" i="52" s="1"/>
  <c r="AA76" i="52"/>
  <c r="Y76" i="52"/>
  <c r="W76" i="52" s="1"/>
  <c r="AA75" i="52"/>
  <c r="Y75" i="52"/>
  <c r="W75" i="52" s="1"/>
  <c r="AA74" i="52"/>
  <c r="Y74" i="52"/>
  <c r="W74" i="52" s="1"/>
  <c r="AA73" i="52"/>
  <c r="Y73" i="52"/>
  <c r="W73" i="52" s="1"/>
  <c r="AA72" i="52"/>
  <c r="Y72" i="52"/>
  <c r="W72" i="52" s="1"/>
  <c r="AA71" i="52"/>
  <c r="Y71" i="52"/>
  <c r="W71" i="52" s="1"/>
  <c r="AA70" i="52"/>
  <c r="Y70" i="52"/>
  <c r="W70" i="52" s="1"/>
  <c r="AA69" i="52"/>
  <c r="Y69" i="52"/>
  <c r="W69" i="52" s="1"/>
  <c r="AA68" i="52"/>
  <c r="Y68" i="52"/>
  <c r="W68" i="52" s="1"/>
  <c r="AA67" i="52"/>
  <c r="Y67" i="52"/>
  <c r="W67" i="52" s="1"/>
  <c r="AA66" i="52"/>
  <c r="Y66" i="52"/>
  <c r="W66" i="52" s="1"/>
  <c r="AA65" i="52"/>
  <c r="Y65" i="52"/>
  <c r="W65" i="52" s="1"/>
  <c r="AA64" i="52"/>
  <c r="Y64" i="52"/>
  <c r="W64" i="52" s="1"/>
  <c r="AA63" i="52"/>
  <c r="Y63" i="52"/>
  <c r="W63" i="52" s="1"/>
  <c r="AA62" i="52"/>
  <c r="Y62" i="52"/>
  <c r="W62" i="52" s="1"/>
  <c r="AA61" i="52"/>
  <c r="Y61" i="52"/>
  <c r="W61" i="52" s="1"/>
  <c r="AA60" i="52"/>
  <c r="Y60" i="52"/>
  <c r="W60" i="52" s="1"/>
  <c r="AA59" i="52"/>
  <c r="Y59" i="52"/>
  <c r="W59" i="52" s="1"/>
  <c r="AA58" i="52"/>
  <c r="Y58" i="52"/>
  <c r="W58" i="52" s="1"/>
  <c r="AA57" i="52"/>
  <c r="Y57" i="52"/>
  <c r="W57" i="52" s="1"/>
  <c r="AA56" i="52"/>
  <c r="Y56" i="52"/>
  <c r="W56" i="52" s="1"/>
  <c r="AA55" i="52"/>
  <c r="Y55" i="52"/>
  <c r="W55" i="52" s="1"/>
  <c r="AA54" i="52"/>
  <c r="Y54" i="52"/>
  <c r="W54" i="52" s="1"/>
  <c r="AA53" i="52"/>
  <c r="Y53" i="52"/>
  <c r="W53" i="52" s="1"/>
  <c r="AA52" i="52"/>
  <c r="Y52" i="52"/>
  <c r="W52" i="52" s="1"/>
  <c r="AA51" i="52"/>
  <c r="Y51" i="52"/>
  <c r="W51" i="52" s="1"/>
  <c r="AA50" i="52"/>
  <c r="Y50" i="52"/>
  <c r="W50" i="52" s="1"/>
  <c r="AA49" i="52"/>
  <c r="Y49" i="52"/>
  <c r="W49" i="52" s="1"/>
  <c r="AA48" i="52"/>
  <c r="Y48" i="52"/>
  <c r="W48" i="52" s="1"/>
  <c r="AA47" i="52"/>
  <c r="Y47" i="52"/>
  <c r="W47" i="52" s="1"/>
  <c r="AA46" i="52"/>
  <c r="Y46" i="52"/>
  <c r="W46" i="52" s="1"/>
  <c r="AA45" i="52"/>
  <c r="Y45" i="52"/>
  <c r="W45" i="52" s="1"/>
  <c r="AA44" i="52"/>
  <c r="Y44" i="52"/>
  <c r="W44" i="52" s="1"/>
  <c r="AA43" i="52"/>
  <c r="Y43" i="52"/>
  <c r="W43" i="52" s="1"/>
  <c r="AA42" i="52"/>
  <c r="Y42" i="52"/>
  <c r="W42" i="52" s="1"/>
  <c r="AA41" i="52"/>
  <c r="Y41" i="52"/>
  <c r="W41" i="52" s="1"/>
  <c r="AA40" i="52"/>
  <c r="Y40" i="52"/>
  <c r="W40" i="52" s="1"/>
  <c r="AA39" i="52"/>
  <c r="Y39" i="52"/>
  <c r="W39" i="52" s="1"/>
  <c r="AA38" i="52"/>
  <c r="Y38" i="52"/>
  <c r="W38" i="52" s="1"/>
  <c r="AA37" i="52"/>
  <c r="Y37" i="52"/>
  <c r="W37" i="52" s="1"/>
  <c r="AA36" i="52"/>
  <c r="Y36" i="52"/>
  <c r="W36" i="52" s="1"/>
  <c r="AA35" i="52"/>
  <c r="Y35" i="52"/>
  <c r="W35" i="52" s="1"/>
  <c r="AA34" i="52"/>
  <c r="Y34" i="52"/>
  <c r="W34" i="52" s="1"/>
  <c r="AA33" i="52"/>
  <c r="Y33" i="52"/>
  <c r="W33" i="52" s="1"/>
  <c r="AA32" i="52"/>
  <c r="Y32" i="52"/>
  <c r="W32" i="52" s="1"/>
  <c r="AA31" i="52"/>
  <c r="Y31" i="52"/>
  <c r="W31" i="52" s="1"/>
  <c r="AA30" i="52"/>
  <c r="Y30" i="52"/>
  <c r="W30" i="52" s="1"/>
  <c r="AA29" i="52"/>
  <c r="Y29" i="52"/>
  <c r="W29" i="52" s="1"/>
  <c r="AA28" i="52"/>
  <c r="Y28" i="52"/>
  <c r="W28" i="52" s="1"/>
  <c r="AA27" i="52"/>
  <c r="Y27" i="52"/>
  <c r="W27" i="52" s="1"/>
  <c r="AA26" i="52"/>
  <c r="Y26" i="52"/>
  <c r="W26" i="52" s="1"/>
  <c r="AA25" i="52"/>
  <c r="Y25" i="52"/>
  <c r="W25" i="52" s="1"/>
  <c r="AA24" i="52"/>
  <c r="Y24" i="52"/>
  <c r="W24" i="52" s="1"/>
  <c r="Y24" i="44"/>
  <c r="W24" i="44" s="1"/>
  <c r="Y25" i="44"/>
  <c r="W25" i="44" s="1"/>
  <c r="Y26" i="44"/>
  <c r="W26" i="44" s="1"/>
  <c r="Y27" i="44"/>
  <c r="X27" i="44" s="1"/>
  <c r="Y28" i="44"/>
  <c r="W28" i="44" s="1"/>
  <c r="Y29" i="44"/>
  <c r="W29" i="44" s="1"/>
  <c r="Y30" i="44"/>
  <c r="W30" i="44" s="1"/>
  <c r="Y31" i="44"/>
  <c r="W31" i="44" s="1"/>
  <c r="Y32" i="44"/>
  <c r="X32" i="44" s="1"/>
  <c r="Y33" i="44"/>
  <c r="Y34" i="44"/>
  <c r="X34" i="44" s="1"/>
  <c r="Y35" i="44"/>
  <c r="X35" i="44" s="1"/>
  <c r="Y36" i="44"/>
  <c r="Y37" i="44"/>
  <c r="W37" i="44" s="1"/>
  <c r="Y38" i="44"/>
  <c r="X38" i="44" s="1"/>
  <c r="Y39" i="44"/>
  <c r="X39" i="44" s="1"/>
  <c r="Y40" i="44"/>
  <c r="W40" i="44" s="1"/>
  <c r="Y41" i="44"/>
  <c r="W41" i="44" s="1"/>
  <c r="Y42" i="44"/>
  <c r="W42" i="44" s="1"/>
  <c r="Y43" i="44"/>
  <c r="W43" i="44" s="1"/>
  <c r="Y44" i="44"/>
  <c r="W44" i="44" s="1"/>
  <c r="Y45" i="44"/>
  <c r="Y46" i="44"/>
  <c r="W46" i="44" s="1"/>
  <c r="Y47" i="44"/>
  <c r="W47" i="44" s="1"/>
  <c r="Y48" i="44"/>
  <c r="Y49" i="44"/>
  <c r="Y50" i="44"/>
  <c r="W50" i="44" s="1"/>
  <c r="Y51" i="44"/>
  <c r="W51" i="44" s="1"/>
  <c r="Y52" i="44"/>
  <c r="Y53" i="44"/>
  <c r="W53" i="44" s="1"/>
  <c r="Y54" i="44"/>
  <c r="W54" i="44" s="1"/>
  <c r="Y55" i="44"/>
  <c r="W55" i="44" s="1"/>
  <c r="Y56" i="44"/>
  <c r="X56" i="44" s="1"/>
  <c r="Y57" i="44"/>
  <c r="W57" i="44" s="1"/>
  <c r="Y58" i="44"/>
  <c r="Y59" i="44"/>
  <c r="W59" i="44" s="1"/>
  <c r="Y60" i="44"/>
  <c r="Y61" i="44"/>
  <c r="Y62" i="44"/>
  <c r="W62" i="44" s="1"/>
  <c r="Y63" i="44"/>
  <c r="W63" i="44" s="1"/>
  <c r="Y64" i="44"/>
  <c r="Y65" i="44"/>
  <c r="Y66" i="44"/>
  <c r="W66" i="44" s="1"/>
  <c r="Y67" i="44"/>
  <c r="W67" i="44" s="1"/>
  <c r="Y68" i="44"/>
  <c r="Y69" i="44"/>
  <c r="W69" i="44" s="1"/>
  <c r="Y70" i="44"/>
  <c r="W70" i="44" s="1"/>
  <c r="Y71" i="44"/>
  <c r="W71" i="44" s="1"/>
  <c r="Y72" i="44"/>
  <c r="Y73" i="44"/>
  <c r="Y74" i="44"/>
  <c r="X74" i="44" s="1"/>
  <c r="Y75" i="44"/>
  <c r="X75" i="44" s="1"/>
  <c r="Y76" i="44"/>
  <c r="Y77" i="44"/>
  <c r="W77" i="44" s="1"/>
  <c r="Y78" i="44"/>
  <c r="W78" i="44" s="1"/>
  <c r="Y79" i="44"/>
  <c r="W79" i="44" s="1"/>
  <c r="Y80" i="44"/>
  <c r="Y81" i="44"/>
  <c r="Y82" i="44"/>
  <c r="W82" i="44" s="1"/>
  <c r="Y83" i="44"/>
  <c r="X83" i="44" s="1"/>
  <c r="Y84" i="44"/>
  <c r="Y85" i="44"/>
  <c r="Y86" i="44"/>
  <c r="W86" i="44" s="1"/>
  <c r="Y87" i="44"/>
  <c r="X87" i="44" s="1"/>
  <c r="Y88" i="44"/>
  <c r="Y89" i="44"/>
  <c r="W89" i="44" s="1"/>
  <c r="Y90" i="44"/>
  <c r="W90" i="44" s="1"/>
  <c r="Y91" i="44"/>
  <c r="X91" i="44" s="1"/>
  <c r="Y92" i="44"/>
  <c r="W92" i="44" s="1"/>
  <c r="Y93" i="44"/>
  <c r="W93" i="44" s="1"/>
  <c r="Y94" i="44"/>
  <c r="X94" i="44" s="1"/>
  <c r="Y95" i="44"/>
  <c r="W95" i="44" s="1"/>
  <c r="Y96" i="44"/>
  <c r="Y97" i="44"/>
  <c r="Y98" i="44"/>
  <c r="X98" i="44" s="1"/>
  <c r="Y99" i="44"/>
  <c r="W99" i="44" s="1"/>
  <c r="Y100" i="44"/>
  <c r="Y101" i="44"/>
  <c r="W101" i="44" s="1"/>
  <c r="Y102" i="44"/>
  <c r="Y103" i="44"/>
  <c r="X103" i="44" s="1"/>
  <c r="Y104" i="44"/>
  <c r="W104" i="44" s="1"/>
  <c r="Y105" i="44"/>
  <c r="Y106" i="44"/>
  <c r="X106" i="44" s="1"/>
  <c r="Y107" i="44"/>
  <c r="W107" i="44" s="1"/>
  <c r="Y108" i="44"/>
  <c r="Y109" i="44"/>
  <c r="Y110" i="44"/>
  <c r="W110" i="44" s="1"/>
  <c r="Y111" i="44"/>
  <c r="X111" i="44" s="1"/>
  <c r="Y112" i="44"/>
  <c r="Y113" i="44"/>
  <c r="W113" i="44" s="1"/>
  <c r="Y114" i="44"/>
  <c r="W114" i="44" s="1"/>
  <c r="Y115" i="44"/>
  <c r="X115" i="44" s="1"/>
  <c r="AA115" i="44" s="1"/>
  <c r="Y116" i="44"/>
  <c r="X116" i="44" s="1"/>
  <c r="Y117" i="44"/>
  <c r="W117" i="44" s="1"/>
  <c r="Y118" i="44"/>
  <c r="W118" i="44" s="1"/>
  <c r="Y119" i="44"/>
  <c r="X119" i="44" s="1"/>
  <c r="Y120" i="44"/>
  <c r="Y121" i="44"/>
  <c r="Y122" i="44"/>
  <c r="Y123" i="44"/>
  <c r="X123" i="44" s="1"/>
  <c r="AA123" i="44" s="1"/>
  <c r="Y124" i="44"/>
  <c r="Y125" i="44"/>
  <c r="Y126" i="44"/>
  <c r="W126" i="44" s="1"/>
  <c r="Y127" i="44"/>
  <c r="W127" i="44" s="1"/>
  <c r="Y128" i="44"/>
  <c r="W128" i="44" s="1"/>
  <c r="Y129" i="44"/>
  <c r="W129" i="44" s="1"/>
  <c r="Y130" i="44"/>
  <c r="Y131" i="44"/>
  <c r="X131" i="44" s="1"/>
  <c r="Y132" i="44"/>
  <c r="Y133" i="44"/>
  <c r="Y134" i="44"/>
  <c r="W134" i="44" s="1"/>
  <c r="Y135" i="44"/>
  <c r="W135" i="44" s="1"/>
  <c r="Y136" i="44"/>
  <c r="Y137" i="44"/>
  <c r="W137" i="44" s="1"/>
  <c r="Y138" i="44"/>
  <c r="W138" i="44" s="1"/>
  <c r="Y139" i="44"/>
  <c r="W139" i="44" s="1"/>
  <c r="Y140" i="44"/>
  <c r="X140" i="44" s="1"/>
  <c r="Y141" i="44"/>
  <c r="W141" i="44" s="1"/>
  <c r="Y142" i="44"/>
  <c r="W142" i="44" s="1"/>
  <c r="Y143" i="44"/>
  <c r="X143" i="44" s="1"/>
  <c r="Y144" i="44"/>
  <c r="Y145" i="44"/>
  <c r="Y146" i="44"/>
  <c r="W146" i="44" s="1"/>
  <c r="Y147" i="44"/>
  <c r="Y148" i="44"/>
  <c r="Y149" i="44"/>
  <c r="W149" i="44" s="1"/>
  <c r="Y150" i="44"/>
  <c r="W150" i="44" s="1"/>
  <c r="Y151" i="44"/>
  <c r="X151" i="44" s="1"/>
  <c r="Y152" i="44"/>
  <c r="W152" i="44" s="1"/>
  <c r="Y153" i="44"/>
  <c r="W153" i="44" s="1"/>
  <c r="Y154" i="44"/>
  <c r="W154" i="44" s="1"/>
  <c r="Y155" i="44"/>
  <c r="W155" i="44" s="1"/>
  <c r="Y156" i="44"/>
  <c r="Y157" i="44"/>
  <c r="Y158" i="44"/>
  <c r="W158" i="44" s="1"/>
  <c r="Y159" i="44"/>
  <c r="X159" i="44" s="1"/>
  <c r="Y160" i="44"/>
  <c r="X160" i="44" s="1"/>
  <c r="AA160" i="44" s="1"/>
  <c r="Y161" i="44"/>
  <c r="Y162" i="44"/>
  <c r="W162" i="44" s="1"/>
  <c r="Y163" i="44"/>
  <c r="X163" i="44" s="1"/>
  <c r="Y164" i="44"/>
  <c r="W164" i="44" s="1"/>
  <c r="Y165" i="44"/>
  <c r="W165" i="44" s="1"/>
  <c r="Y166" i="44"/>
  <c r="X166" i="44" s="1"/>
  <c r="Y167" i="44"/>
  <c r="W167" i="44" s="1"/>
  <c r="Y168" i="44"/>
  <c r="Y169" i="44"/>
  <c r="Y170" i="44"/>
  <c r="Y171" i="44"/>
  <c r="W171" i="44" s="1"/>
  <c r="Y172" i="44"/>
  <c r="X172" i="44" s="1"/>
  <c r="AA172" i="44" s="1"/>
  <c r="Y173" i="44"/>
  <c r="W173" i="44" s="1"/>
  <c r="Y174" i="44"/>
  <c r="W174" i="44" s="1"/>
  <c r="Y175" i="44"/>
  <c r="W175" i="44" s="1"/>
  <c r="Y176" i="44"/>
  <c r="Y177" i="44"/>
  <c r="W177" i="44" s="1"/>
  <c r="Y178" i="44"/>
  <c r="W178" i="44" s="1"/>
  <c r="Y179" i="44"/>
  <c r="X179" i="44" s="1"/>
  <c r="AA179" i="44" s="1"/>
  <c r="Y180" i="44"/>
  <c r="Y181" i="44"/>
  <c r="Y182" i="44"/>
  <c r="W182" i="44" s="1"/>
  <c r="Y183" i="44"/>
  <c r="W183" i="44" s="1"/>
  <c r="Y184" i="44"/>
  <c r="X184" i="44" s="1"/>
  <c r="Y185" i="44"/>
  <c r="Y186" i="44"/>
  <c r="W186" i="44" s="1"/>
  <c r="Y187" i="44"/>
  <c r="W187" i="44" s="1"/>
  <c r="Y188" i="44"/>
  <c r="X188" i="44" s="1"/>
  <c r="Y189" i="44"/>
  <c r="Y190" i="44"/>
  <c r="X190" i="44" s="1"/>
  <c r="Y191" i="44"/>
  <c r="W191" i="44" s="1"/>
  <c r="Y192" i="44"/>
  <c r="Y193" i="44"/>
  <c r="Y194" i="44"/>
  <c r="W194" i="44" s="1"/>
  <c r="Y195" i="44"/>
  <c r="X195" i="44" s="1"/>
  <c r="Y196" i="44"/>
  <c r="X196" i="44" s="1"/>
  <c r="Y197" i="44"/>
  <c r="Y198" i="44"/>
  <c r="W198" i="44" s="1"/>
  <c r="Y199" i="44"/>
  <c r="W199" i="44" s="1"/>
  <c r="Y200" i="44"/>
  <c r="W200" i="44" s="1"/>
  <c r="Y201" i="44"/>
  <c r="W201" i="44" s="1"/>
  <c r="Y202" i="44"/>
  <c r="W202" i="44" s="1"/>
  <c r="Y203" i="44"/>
  <c r="Y204" i="44"/>
  <c r="Y205" i="44"/>
  <c r="Y206" i="44"/>
  <c r="W206" i="44" s="1"/>
  <c r="Y207" i="44"/>
  <c r="W207" i="44" s="1"/>
  <c r="Y208" i="44"/>
  <c r="Y209" i="44"/>
  <c r="W209" i="44" s="1"/>
  <c r="Y210" i="44"/>
  <c r="W210" i="44" s="1"/>
  <c r="Y211" i="44"/>
  <c r="Y212" i="44"/>
  <c r="X212" i="44" s="1"/>
  <c r="Y213" i="44"/>
  <c r="Y214" i="44"/>
  <c r="X214" i="44" s="1"/>
  <c r="Y215" i="44"/>
  <c r="X215" i="44" s="1"/>
  <c r="Y216" i="44"/>
  <c r="Y217" i="44"/>
  <c r="Y218" i="44"/>
  <c r="Y219" i="44"/>
  <c r="W219" i="44" s="1"/>
  <c r="Y220" i="44"/>
  <c r="X220" i="44" s="1"/>
  <c r="AA220" i="44" s="1"/>
  <c r="Y221" i="44"/>
  <c r="W221" i="44" s="1"/>
  <c r="Y222" i="44"/>
  <c r="Y223" i="44"/>
  <c r="W223" i="44" s="1"/>
  <c r="Y224" i="44"/>
  <c r="X224" i="44" s="1"/>
  <c r="Y225" i="44"/>
  <c r="W225" i="44" s="1"/>
  <c r="Y226" i="44"/>
  <c r="W226" i="44" s="1"/>
  <c r="Y227" i="44"/>
  <c r="X227" i="44" s="1"/>
  <c r="Y228" i="44"/>
  <c r="Y229" i="44"/>
  <c r="Y230" i="44"/>
  <c r="W230" i="44" s="1"/>
  <c r="Y231" i="44"/>
  <c r="W231" i="44" s="1"/>
  <c r="Y232" i="44"/>
  <c r="X232" i="44" s="1"/>
  <c r="AA232" i="44" s="1"/>
  <c r="Y233" i="44"/>
  <c r="W233" i="44" s="1"/>
  <c r="Y234" i="44"/>
  <c r="Y235" i="44"/>
  <c r="W235" i="44" s="1"/>
  <c r="Y236" i="44"/>
  <c r="X236" i="44" s="1"/>
  <c r="Y237" i="44"/>
  <c r="W237" i="44" s="1"/>
  <c r="Y238" i="44"/>
  <c r="Y239" i="44"/>
  <c r="X239" i="44" s="1"/>
  <c r="AA239" i="44" s="1"/>
  <c r="Y240" i="44"/>
  <c r="X240" i="44" s="1"/>
  <c r="AA240" i="44" s="1"/>
  <c r="Y241" i="44"/>
  <c r="Y242" i="44"/>
  <c r="X242" i="44" s="1"/>
  <c r="Y243" i="44"/>
  <c r="W243" i="44" s="1"/>
  <c r="Y244" i="44"/>
  <c r="X244" i="44" s="1"/>
  <c r="Y245" i="44"/>
  <c r="W245" i="44" s="1"/>
  <c r="Y246" i="44"/>
  <c r="Y247" i="44"/>
  <c r="X247" i="44" s="1"/>
  <c r="Y248" i="44"/>
  <c r="W248" i="44" s="1"/>
  <c r="Y249" i="44"/>
  <c r="X249" i="44" s="1"/>
  <c r="Y250" i="44"/>
  <c r="X250" i="44" s="1"/>
  <c r="Y251" i="44"/>
  <c r="W251" i="44" s="1"/>
  <c r="Y252" i="44"/>
  <c r="Y253" i="44"/>
  <c r="X253" i="44" s="1"/>
  <c r="AA253" i="44" s="1"/>
  <c r="Y254" i="44"/>
  <c r="Y255" i="44"/>
  <c r="X255" i="44" s="1"/>
  <c r="Y256" i="44"/>
  <c r="W256" i="44" s="1"/>
  <c r="Y257" i="44"/>
  <c r="W257" i="44" s="1"/>
  <c r="Y258" i="44"/>
  <c r="W258" i="44" s="1"/>
  <c r="Y259" i="44"/>
  <c r="X259" i="44" s="1"/>
  <c r="Y260" i="44"/>
  <c r="Y261" i="44"/>
  <c r="Y262" i="44"/>
  <c r="Y263" i="44"/>
  <c r="W263" i="44" s="1"/>
  <c r="Y264" i="44"/>
  <c r="Y265" i="44"/>
  <c r="Y266" i="44"/>
  <c r="X266" i="44" s="1"/>
  <c r="Y267" i="44"/>
  <c r="X267" i="44" s="1"/>
  <c r="Y268" i="44"/>
  <c r="Y269" i="44"/>
  <c r="W269" i="44" s="1"/>
  <c r="Y270" i="44"/>
  <c r="Y271" i="44"/>
  <c r="W271" i="44" s="1"/>
  <c r="Y272" i="44"/>
  <c r="W272" i="44" s="1"/>
  <c r="Y273" i="44"/>
  <c r="W273" i="44" s="1"/>
  <c r="Y274" i="44"/>
  <c r="W274" i="44" s="1"/>
  <c r="Y275" i="44"/>
  <c r="W275" i="44" s="1"/>
  <c r="Y276" i="44"/>
  <c r="Y277" i="44"/>
  <c r="Y278" i="44"/>
  <c r="X278" i="44" s="1"/>
  <c r="AA278" i="44" s="1"/>
  <c r="Y279" i="44"/>
  <c r="X279" i="44" s="1"/>
  <c r="Y280" i="44"/>
  <c r="Y281" i="44"/>
  <c r="W281" i="44" s="1"/>
  <c r="Y282" i="44"/>
  <c r="Y283" i="44"/>
  <c r="Y284" i="44"/>
  <c r="Y285" i="44"/>
  <c r="W285" i="44" s="1"/>
  <c r="Y286" i="44"/>
  <c r="Y287" i="44"/>
  <c r="W287" i="44" s="1"/>
  <c r="Y288" i="44"/>
  <c r="Y289" i="44"/>
  <c r="X289" i="44" s="1"/>
  <c r="Y290" i="44"/>
  <c r="X290" i="44" s="1"/>
  <c r="Y291" i="44"/>
  <c r="X291" i="44" s="1"/>
  <c r="AA291" i="44" s="1"/>
  <c r="Y292" i="44"/>
  <c r="Y293" i="44"/>
  <c r="Y294" i="44"/>
  <c r="X294" i="44" s="1"/>
  <c r="Y295" i="44"/>
  <c r="W295" i="44" s="1"/>
  <c r="Y296" i="44"/>
  <c r="Y297" i="44"/>
  <c r="Y298" i="44"/>
  <c r="X298" i="44" s="1"/>
  <c r="Y299" i="44"/>
  <c r="X299" i="44" s="1"/>
  <c r="Y300" i="44"/>
  <c r="W300" i="44" s="1"/>
  <c r="Y301" i="44"/>
  <c r="W301" i="44" s="1"/>
  <c r="Y302" i="44"/>
  <c r="X302" i="44" s="1"/>
  <c r="AA302" i="44" s="1"/>
  <c r="Y303" i="44"/>
  <c r="X303" i="44" s="1"/>
  <c r="Y304" i="44"/>
  <c r="Y305" i="44"/>
  <c r="Y306" i="44"/>
  <c r="W306" i="44" s="1"/>
  <c r="Y307" i="44"/>
  <c r="X307" i="44" s="1"/>
  <c r="AA307" i="44" s="1"/>
  <c r="Y308" i="44"/>
  <c r="X308" i="44" s="1"/>
  <c r="Y309" i="44"/>
  <c r="W309" i="44" s="1"/>
  <c r="Y310" i="44"/>
  <c r="Y311" i="44"/>
  <c r="Y312" i="44"/>
  <c r="W312" i="44" s="1"/>
  <c r="Y313" i="44"/>
  <c r="X313" i="44" s="1"/>
  <c r="Y314" i="44"/>
  <c r="W314" i="44" s="1"/>
  <c r="Y315" i="44"/>
  <c r="X315" i="44" s="1"/>
  <c r="Y316" i="44"/>
  <c r="X316" i="44" s="1"/>
  <c r="AA316" i="44" s="1"/>
  <c r="Y317" i="44"/>
  <c r="Y318" i="44"/>
  <c r="W318" i="44" s="1"/>
  <c r="Y319" i="44"/>
  <c r="W319" i="44" s="1"/>
  <c r="Y320" i="44"/>
  <c r="Y321" i="44"/>
  <c r="W321" i="44" s="1"/>
  <c r="Y322" i="44"/>
  <c r="X322" i="44" s="1"/>
  <c r="Y323" i="44"/>
  <c r="W323" i="44" s="1"/>
  <c r="Y324" i="44"/>
  <c r="Y325" i="44"/>
  <c r="X325" i="44" s="1"/>
  <c r="Y326" i="44"/>
  <c r="X326" i="44" s="1"/>
  <c r="AA326" i="44" s="1"/>
  <c r="Y327" i="44"/>
  <c r="Y328" i="44"/>
  <c r="Y329" i="44"/>
  <c r="Y330" i="44"/>
  <c r="X330" i="44" s="1"/>
  <c r="Y331" i="44"/>
  <c r="W331" i="44" s="1"/>
  <c r="Y332" i="44"/>
  <c r="W332" i="44" s="1"/>
  <c r="Y333" i="44"/>
  <c r="Y334" i="44"/>
  <c r="W334" i="44" s="1"/>
  <c r="Y335" i="44"/>
  <c r="X335" i="44" s="1"/>
  <c r="Y336" i="44"/>
  <c r="W336" i="44" s="1"/>
  <c r="Y337" i="44"/>
  <c r="Y338" i="44"/>
  <c r="W338" i="44" s="1"/>
  <c r="Y339" i="44"/>
  <c r="X339" i="44" s="1"/>
  <c r="Y340" i="44"/>
  <c r="Y341" i="44"/>
  <c r="Y342" i="44"/>
  <c r="Y343" i="44"/>
  <c r="Y344" i="44"/>
  <c r="W344" i="44" s="1"/>
  <c r="Y345" i="44"/>
  <c r="W345" i="44" s="1"/>
  <c r="Y346" i="44"/>
  <c r="W346" i="44" s="1"/>
  <c r="Y347" i="44"/>
  <c r="W347" i="44" s="1"/>
  <c r="Y348" i="44"/>
  <c r="Y349" i="44"/>
  <c r="W349" i="44" s="1"/>
  <c r="Y350" i="44"/>
  <c r="W350" i="44" s="1"/>
  <c r="Y351" i="44"/>
  <c r="X351" i="44" s="1"/>
  <c r="AA351" i="44" s="1"/>
  <c r="Y352" i="44"/>
  <c r="X352" i="44" s="1"/>
  <c r="AA352" i="44" s="1"/>
  <c r="Y353" i="44"/>
  <c r="Y354" i="44"/>
  <c r="Y355" i="44"/>
  <c r="Y356" i="44"/>
  <c r="W356" i="44" s="1"/>
  <c r="Y357" i="44"/>
  <c r="W357" i="44" s="1"/>
  <c r="Y358" i="44"/>
  <c r="Y359" i="44"/>
  <c r="W359" i="44" s="1"/>
  <c r="Y360" i="44"/>
  <c r="W360" i="44" s="1"/>
  <c r="Y361" i="44"/>
  <c r="X361" i="44" s="1"/>
  <c r="Y362" i="44"/>
  <c r="X362" i="44" s="1"/>
  <c r="AA362" i="44" s="1"/>
  <c r="Y363" i="44"/>
  <c r="Y364" i="44"/>
  <c r="X364" i="44" s="1"/>
  <c r="AA364" i="44" s="1"/>
  <c r="Y365" i="44"/>
  <c r="X365" i="44" s="1"/>
  <c r="AA365" i="44" s="1"/>
  <c r="Y366" i="44"/>
  <c r="Y367" i="44"/>
  <c r="W367" i="44" s="1"/>
  <c r="Y368" i="44"/>
  <c r="W368" i="44" s="1"/>
  <c r="Y369" i="44"/>
  <c r="W369" i="44" s="1"/>
  <c r="Y370" i="44"/>
  <c r="X370" i="44" s="1"/>
  <c r="Y371" i="44"/>
  <c r="X371" i="44" s="1"/>
  <c r="Y372" i="44"/>
  <c r="Y373" i="44"/>
  <c r="W373" i="44" s="1"/>
  <c r="Y374" i="44"/>
  <c r="Y375" i="44"/>
  <c r="X375" i="44" s="1"/>
  <c r="Y376" i="44"/>
  <c r="Y377" i="44"/>
  <c r="Y378" i="44"/>
  <c r="Y379" i="44"/>
  <c r="X379" i="44" s="1"/>
  <c r="Y380" i="44"/>
  <c r="W380" i="44" s="1"/>
  <c r="Y381" i="44"/>
  <c r="W381" i="44" s="1"/>
  <c r="Y382" i="44"/>
  <c r="Y383" i="44"/>
  <c r="Y384" i="44"/>
  <c r="Y385" i="44"/>
  <c r="X385" i="44" s="1"/>
  <c r="Y386" i="44"/>
  <c r="W386" i="44" s="1"/>
  <c r="Y387" i="44"/>
  <c r="W387" i="44" s="1"/>
  <c r="Y388" i="44"/>
  <c r="X388" i="44" s="1"/>
  <c r="Y389" i="44"/>
  <c r="Y390" i="44"/>
  <c r="W390" i="44" s="1"/>
  <c r="Y391" i="44"/>
  <c r="Y392" i="44"/>
  <c r="W392" i="44" s="1"/>
  <c r="Y393" i="44"/>
  <c r="W393" i="44" s="1"/>
  <c r="Y394" i="44"/>
  <c r="X394" i="44" s="1"/>
  <c r="AA394" i="44" s="1"/>
  <c r="Y395" i="44"/>
  <c r="W395" i="44" s="1"/>
  <c r="Y396" i="44"/>
  <c r="W396" i="44" s="1"/>
  <c r="Y397" i="44"/>
  <c r="Y398" i="44"/>
  <c r="W398" i="44" s="1"/>
  <c r="Y399" i="44"/>
  <c r="X399" i="44" s="1"/>
  <c r="AA399" i="44" s="1"/>
  <c r="Y400" i="44"/>
  <c r="Y401" i="44"/>
  <c r="Y402" i="44"/>
  <c r="X402" i="44" s="1"/>
  <c r="AA402" i="44" s="1"/>
  <c r="Y403" i="44"/>
  <c r="X403" i="44" s="1"/>
  <c r="Y404" i="44"/>
  <c r="W404" i="44" s="1"/>
  <c r="Y405" i="44"/>
  <c r="Y406" i="44"/>
  <c r="X406" i="44" s="1"/>
  <c r="Y407" i="44"/>
  <c r="W407" i="44" s="1"/>
  <c r="Y408" i="44"/>
  <c r="W408" i="44" s="1"/>
  <c r="Y409" i="44"/>
  <c r="W409" i="44" s="1"/>
  <c r="Y410" i="44"/>
  <c r="Y411" i="44"/>
  <c r="X411" i="44" s="1"/>
  <c r="Y412" i="44"/>
  <c r="Y413" i="44"/>
  <c r="W413" i="44" s="1"/>
  <c r="Y414" i="44"/>
  <c r="W414" i="44" s="1"/>
  <c r="Y415" i="44"/>
  <c r="X415" i="44" s="1"/>
  <c r="Y416" i="44"/>
  <c r="W416" i="44" s="1"/>
  <c r="Y417" i="44"/>
  <c r="W417" i="44" s="1"/>
  <c r="Y418" i="44"/>
  <c r="X418" i="44" s="1"/>
  <c r="Y419" i="44"/>
  <c r="Y420" i="44"/>
  <c r="W420" i="44" s="1"/>
  <c r="Y421" i="44"/>
  <c r="Y422" i="44"/>
  <c r="W422" i="44" s="1"/>
  <c r="Y423" i="44"/>
  <c r="X423" i="44" s="1"/>
  <c r="Y424" i="44"/>
  <c r="X424" i="44" s="1"/>
  <c r="AA424" i="44" s="1"/>
  <c r="Y425" i="44"/>
  <c r="W425" i="44" s="1"/>
  <c r="Y426" i="44"/>
  <c r="W426" i="44" s="1"/>
  <c r="Y427" i="44"/>
  <c r="W427" i="44" s="1"/>
  <c r="Y428" i="44"/>
  <c r="Y429" i="44"/>
  <c r="W429" i="44" s="1"/>
  <c r="Y430" i="44"/>
  <c r="Y431" i="44"/>
  <c r="W431" i="44" s="1"/>
  <c r="Y432" i="44"/>
  <c r="W432" i="44" s="1"/>
  <c r="Y433" i="44"/>
  <c r="Y434" i="44"/>
  <c r="W434" i="44" s="1"/>
  <c r="Y435" i="44"/>
  <c r="Y436" i="44"/>
  <c r="X436" i="44" s="1"/>
  <c r="AA436" i="44" s="1"/>
  <c r="Y437" i="44"/>
  <c r="X437" i="44" s="1"/>
  <c r="AA437" i="44" s="1"/>
  <c r="Y438" i="44"/>
  <c r="X438" i="44" s="1"/>
  <c r="Y439" i="44"/>
  <c r="W439" i="44" s="1"/>
  <c r="Y440" i="44"/>
  <c r="X440" i="44" s="1"/>
  <c r="Y441" i="44"/>
  <c r="W441" i="44" s="1"/>
  <c r="Y442" i="44"/>
  <c r="Y443" i="44"/>
  <c r="Y444" i="44"/>
  <c r="X444" i="44" s="1"/>
  <c r="Y445" i="44"/>
  <c r="Y446" i="44"/>
  <c r="Y447" i="44"/>
  <c r="X447" i="44" s="1"/>
  <c r="Y448" i="44"/>
  <c r="Y449" i="44"/>
  <c r="Y450" i="44"/>
  <c r="W450" i="44" s="1"/>
  <c r="Y451" i="44"/>
  <c r="Y452" i="44"/>
  <c r="X452" i="44" s="1"/>
  <c r="AA452" i="44" s="1"/>
  <c r="Y453" i="44"/>
  <c r="W453" i="44" s="1"/>
  <c r="Y454" i="44"/>
  <c r="X454" i="44" s="1"/>
  <c r="Y455" i="44"/>
  <c r="Y456" i="44"/>
  <c r="W456" i="44" s="1"/>
  <c r="Y457" i="44"/>
  <c r="X457" i="44" s="1"/>
  <c r="Y458" i="44"/>
  <c r="X458" i="44" s="1"/>
  <c r="Y459" i="44"/>
  <c r="X459" i="44" s="1"/>
  <c r="Y460" i="44"/>
  <c r="X460" i="44" s="1"/>
  <c r="AA460" i="44" s="1"/>
  <c r="Y461" i="44"/>
  <c r="W461" i="44" s="1"/>
  <c r="Y462" i="44"/>
  <c r="W462" i="44" s="1"/>
  <c r="Y463" i="44"/>
  <c r="X463" i="44" s="1"/>
  <c r="Y464" i="44"/>
  <c r="W464" i="44" s="1"/>
  <c r="Y465" i="44"/>
  <c r="X465" i="44" s="1"/>
  <c r="Y466" i="44"/>
  <c r="Y467" i="44"/>
  <c r="Y468" i="44"/>
  <c r="Y469" i="44"/>
  <c r="W469" i="44" s="1"/>
  <c r="Y470" i="44"/>
  <c r="W470" i="44" s="1"/>
  <c r="Y471" i="44"/>
  <c r="Y472" i="44"/>
  <c r="W472" i="44" s="1"/>
  <c r="Y473" i="44"/>
  <c r="X473" i="44" s="1"/>
  <c r="Y474" i="44"/>
  <c r="Y475" i="44"/>
  <c r="X475" i="44" s="1"/>
  <c r="AA475" i="44" s="1"/>
  <c r="Y476" i="44"/>
  <c r="Y477" i="44"/>
  <c r="W477" i="44" s="1"/>
  <c r="Y478" i="44"/>
  <c r="Y479" i="44"/>
  <c r="W479" i="44" s="1"/>
  <c r="Y480" i="44"/>
  <c r="W480" i="44" s="1"/>
  <c r="Y481" i="44"/>
  <c r="W481" i="44" s="1"/>
  <c r="Y482" i="44"/>
  <c r="X482" i="44" s="1"/>
  <c r="AA482" i="44" s="1"/>
  <c r="Y483" i="44"/>
  <c r="X483" i="44" s="1"/>
  <c r="Y484" i="44"/>
  <c r="X484" i="44" s="1"/>
  <c r="Y485" i="44"/>
  <c r="Y486" i="44"/>
  <c r="Y487" i="44"/>
  <c r="X487" i="44" s="1"/>
  <c r="Y488" i="44"/>
  <c r="Y489" i="44"/>
  <c r="W489" i="44" s="1"/>
  <c r="Y490" i="44"/>
  <c r="W490" i="44" s="1"/>
  <c r="Y491" i="44"/>
  <c r="Y492" i="44"/>
  <c r="Y493" i="44"/>
  <c r="X493" i="44" s="1"/>
  <c r="AA493" i="44" s="1"/>
  <c r="Y494" i="44"/>
  <c r="X494" i="44" s="1"/>
  <c r="Y495" i="44"/>
  <c r="W495" i="44" s="1"/>
  <c r="Y496" i="44"/>
  <c r="Y497" i="44"/>
  <c r="Y498" i="44"/>
  <c r="X498" i="44" s="1"/>
  <c r="Y499" i="44"/>
  <c r="Y500" i="44"/>
  <c r="W500" i="44" s="1"/>
  <c r="Y501" i="44"/>
  <c r="W501" i="44" s="1"/>
  <c r="Y502" i="44"/>
  <c r="W502" i="44" s="1"/>
  <c r="Y503" i="44"/>
  <c r="Y504" i="44"/>
  <c r="Y505" i="44"/>
  <c r="W505" i="44" s="1"/>
  <c r="Y506" i="44"/>
  <c r="Y507" i="44"/>
  <c r="Y508" i="44"/>
  <c r="Y509" i="44"/>
  <c r="X509" i="44" s="1"/>
  <c r="AA509" i="44" s="1"/>
  <c r="Y510" i="44"/>
  <c r="W510" i="44" s="1"/>
  <c r="Y511" i="44"/>
  <c r="Y512" i="44"/>
  <c r="X512" i="44" s="1"/>
  <c r="Y513" i="44"/>
  <c r="Y514" i="44"/>
  <c r="X514" i="44" s="1"/>
  <c r="Y515" i="44"/>
  <c r="X515" i="44" s="1"/>
  <c r="Y516" i="44"/>
  <c r="Y517" i="44"/>
  <c r="Y518" i="44"/>
  <c r="W518" i="44" s="1"/>
  <c r="Y519" i="44"/>
  <c r="W519" i="44" s="1"/>
  <c r="Y520" i="44"/>
  <c r="X520" i="44" s="1"/>
  <c r="Y521" i="44"/>
  <c r="X521" i="44" s="1"/>
  <c r="Y522" i="44"/>
  <c r="Y523" i="44"/>
  <c r="X523" i="44" s="1"/>
  <c r="AA523" i="44" s="1"/>
  <c r="Y524" i="44"/>
  <c r="W524" i="44" s="1"/>
  <c r="Y525" i="44"/>
  <c r="W525" i="44" s="1"/>
  <c r="Y526" i="44"/>
  <c r="X526" i="44" s="1"/>
  <c r="Y527" i="44"/>
  <c r="Y528" i="44"/>
  <c r="Y529" i="44"/>
  <c r="W529" i="44" s="1"/>
  <c r="Y530" i="44"/>
  <c r="W530" i="44" s="1"/>
  <c r="Y531" i="44"/>
  <c r="W531" i="44" s="1"/>
  <c r="Y532" i="44"/>
  <c r="Y533" i="44"/>
  <c r="W533" i="44" s="1"/>
  <c r="Y534" i="44"/>
  <c r="Y535" i="44"/>
  <c r="Y536" i="44"/>
  <c r="W536" i="44" s="1"/>
  <c r="Y537" i="44"/>
  <c r="W537" i="44" s="1"/>
  <c r="Y538" i="44"/>
  <c r="W538" i="44" s="1"/>
  <c r="Y539" i="44"/>
  <c r="X539" i="44" s="1"/>
  <c r="Y540" i="44"/>
  <c r="X540" i="44" s="1"/>
  <c r="AA540" i="44" s="1"/>
  <c r="Y541" i="44"/>
  <c r="W541" i="44" s="1"/>
  <c r="Y542" i="44"/>
  <c r="X542" i="44" s="1"/>
  <c r="Y543" i="44"/>
  <c r="Y544" i="44"/>
  <c r="W544" i="44" s="1"/>
  <c r="Y545" i="44"/>
  <c r="Y546" i="44"/>
  <c r="W546" i="44" s="1"/>
  <c r="Y547" i="44"/>
  <c r="W547" i="44" s="1"/>
  <c r="Y548" i="44"/>
  <c r="Y549" i="44"/>
  <c r="W549" i="44" s="1"/>
  <c r="Y550" i="44"/>
  <c r="Y551" i="44"/>
  <c r="W551" i="44" s="1"/>
  <c r="Y552" i="44"/>
  <c r="Y553" i="44"/>
  <c r="X553" i="44" s="1"/>
  <c r="Y554" i="44"/>
  <c r="X554" i="44" s="1"/>
  <c r="AA554" i="44" s="1"/>
  <c r="Y555" i="44"/>
  <c r="X555" i="44" s="1"/>
  <c r="AA555" i="44" s="1"/>
  <c r="Y556" i="44"/>
  <c r="W556" i="44" s="1"/>
  <c r="Y557" i="44"/>
  <c r="W557" i="44" s="1"/>
  <c r="Y558" i="44"/>
  <c r="Y559" i="44"/>
  <c r="W559" i="44" s="1"/>
  <c r="Y560" i="44"/>
  <c r="Y561" i="44"/>
  <c r="W561" i="44" s="1"/>
  <c r="Y562" i="44"/>
  <c r="W562" i="44" s="1"/>
  <c r="Y563" i="44"/>
  <c r="Y564" i="44"/>
  <c r="X564" i="44" s="1"/>
  <c r="AA564" i="44" s="1"/>
  <c r="Y565" i="44"/>
  <c r="W565" i="44" s="1"/>
  <c r="Y566" i="44"/>
  <c r="Y567" i="44"/>
  <c r="W567" i="44" s="1"/>
  <c r="Y568" i="44"/>
  <c r="W568" i="44" s="1"/>
  <c r="Y569" i="44"/>
  <c r="W569" i="44" s="1"/>
  <c r="Y570" i="44"/>
  <c r="X570" i="44" s="1"/>
  <c r="Y571" i="44"/>
  <c r="W571" i="44" s="1"/>
  <c r="Y572" i="44"/>
  <c r="X572" i="44" s="1"/>
  <c r="Y573" i="44"/>
  <c r="Y574" i="44"/>
  <c r="Y575" i="44"/>
  <c r="Y576" i="44"/>
  <c r="X576" i="44" s="1"/>
  <c r="Y577" i="44"/>
  <c r="W577" i="44" s="1"/>
  <c r="Y578" i="44"/>
  <c r="Y579" i="44"/>
  <c r="Y580" i="44"/>
  <c r="X580" i="44" s="1"/>
  <c r="Y581" i="44"/>
  <c r="Y582" i="44"/>
  <c r="W582" i="44" s="1"/>
  <c r="Y583" i="44"/>
  <c r="Y584" i="44"/>
  <c r="W584" i="44" s="1"/>
  <c r="Y585" i="44"/>
  <c r="W585" i="44" s="1"/>
  <c r="Y586" i="44"/>
  <c r="W586" i="44" s="1"/>
  <c r="Y587" i="44"/>
  <c r="W587" i="44" s="1"/>
  <c r="Y588" i="44"/>
  <c r="Y589" i="44"/>
  <c r="Y590" i="44"/>
  <c r="X590" i="44" s="1"/>
  <c r="Y591" i="44"/>
  <c r="X591" i="44" s="1"/>
  <c r="AA591" i="44" s="1"/>
  <c r="Y592" i="44"/>
  <c r="X592" i="44" s="1"/>
  <c r="Y593" i="44"/>
  <c r="X593" i="44" s="1"/>
  <c r="Y594" i="44"/>
  <c r="Y595" i="44"/>
  <c r="Y596" i="44"/>
  <c r="W596" i="44" s="1"/>
  <c r="Y597" i="44"/>
  <c r="W597" i="44" s="1"/>
  <c r="Y598" i="44"/>
  <c r="W598" i="44" s="1"/>
  <c r="Y599" i="44"/>
  <c r="W599" i="44" s="1"/>
  <c r="Y600" i="44"/>
  <c r="W600" i="44" s="1"/>
  <c r="Y601" i="44"/>
  <c r="X601" i="44" s="1"/>
  <c r="Y602" i="44"/>
  <c r="Y603" i="44"/>
  <c r="W603" i="44" s="1"/>
  <c r="Y604" i="44"/>
  <c r="W604" i="44" s="1"/>
  <c r="Y605" i="44"/>
  <c r="X605" i="44" s="1"/>
  <c r="AA605" i="44" s="1"/>
  <c r="Y606" i="44"/>
  <c r="X606" i="44" s="1"/>
  <c r="Y607" i="44"/>
  <c r="W607" i="44" s="1"/>
  <c r="Y608" i="44"/>
  <c r="W608" i="44" s="1"/>
  <c r="Y609" i="44"/>
  <c r="X609" i="44" s="1"/>
  <c r="Y610" i="44"/>
  <c r="W610" i="44" s="1"/>
  <c r="Y611" i="44"/>
  <c r="W611" i="44" s="1"/>
  <c r="Y612" i="44"/>
  <c r="X612" i="44" s="1"/>
  <c r="Y613" i="44"/>
  <c r="X613" i="44" s="1"/>
  <c r="AA613" i="44" s="1"/>
  <c r="Y614" i="44"/>
  <c r="X614" i="44" s="1"/>
  <c r="Y615" i="44"/>
  <c r="Y616" i="44"/>
  <c r="X616" i="44" s="1"/>
  <c r="AA616" i="44" s="1"/>
  <c r="Y617" i="44"/>
  <c r="W617" i="44" s="1"/>
  <c r="Y618" i="44"/>
  <c r="W618" i="44" s="1"/>
  <c r="Y619" i="44"/>
  <c r="W619" i="44" s="1"/>
  <c r="Y620" i="44"/>
  <c r="W620" i="44" s="1"/>
  <c r="Y621" i="44"/>
  <c r="X621" i="44" s="1"/>
  <c r="AA621" i="44" s="1"/>
  <c r="Y622" i="44"/>
  <c r="Y623" i="44"/>
  <c r="W623" i="44" s="1"/>
  <c r="Y624" i="44"/>
  <c r="X624" i="44" s="1"/>
  <c r="Y625" i="44"/>
  <c r="W625" i="44" s="1"/>
  <c r="Y626" i="44"/>
  <c r="X626" i="44" s="1"/>
  <c r="AA626" i="44" s="1"/>
  <c r="Y627" i="44"/>
  <c r="Y628" i="44"/>
  <c r="W628" i="44" s="1"/>
  <c r="Y629" i="44"/>
  <c r="Y630" i="44"/>
  <c r="W630" i="44" s="1"/>
  <c r="Y631" i="44"/>
  <c r="W631" i="44" s="1"/>
  <c r="Y632" i="44"/>
  <c r="W632" i="44" s="1"/>
  <c r="Y633" i="44"/>
  <c r="W633" i="44" s="1"/>
  <c r="Y634" i="44"/>
  <c r="X634" i="44" s="1"/>
  <c r="AA634" i="44" s="1"/>
  <c r="Y635" i="44"/>
  <c r="X635" i="44" s="1"/>
  <c r="AA635" i="44" s="1"/>
  <c r="Y636" i="44"/>
  <c r="W636" i="44" s="1"/>
  <c r="Y637" i="44"/>
  <c r="X637" i="44" s="1"/>
  <c r="AA637" i="44" s="1"/>
  <c r="Y638" i="44"/>
  <c r="X638" i="44" s="1"/>
  <c r="AA638" i="44" s="1"/>
  <c r="Y639" i="44"/>
  <c r="X639" i="44" s="1"/>
  <c r="Y640" i="44"/>
  <c r="W640" i="44" s="1"/>
  <c r="Y641" i="44"/>
  <c r="X641" i="44" s="1"/>
  <c r="AA641" i="44" s="1"/>
  <c r="Y642" i="44"/>
  <c r="W642" i="44" s="1"/>
  <c r="Y643" i="44"/>
  <c r="W643" i="44" s="1"/>
  <c r="Y644" i="44"/>
  <c r="X644" i="44" s="1"/>
  <c r="AA644" i="44" s="1"/>
  <c r="Y645" i="44"/>
  <c r="W645" i="44" s="1"/>
  <c r="Y646" i="44"/>
  <c r="W646" i="44" s="1"/>
  <c r="Y647" i="44"/>
  <c r="X647" i="44" s="1"/>
  <c r="Y648" i="44"/>
  <c r="Y649" i="44"/>
  <c r="W649" i="44" s="1"/>
  <c r="Y650" i="44"/>
  <c r="X650" i="44" s="1"/>
  <c r="Y651" i="44"/>
  <c r="W651" i="44" s="1"/>
  <c r="Y652" i="44"/>
  <c r="W652" i="44" s="1"/>
  <c r="Y653" i="44"/>
  <c r="W653" i="44" s="1"/>
  <c r="Y654" i="44"/>
  <c r="X654" i="44" s="1"/>
  <c r="AA654" i="44" s="1"/>
  <c r="Y655" i="44"/>
  <c r="W655" i="44" s="1"/>
  <c r="Y656" i="44"/>
  <c r="W656" i="44" s="1"/>
  <c r="Y657" i="44"/>
  <c r="W657" i="44" s="1"/>
  <c r="Y658" i="44"/>
  <c r="W658" i="44" s="1"/>
  <c r="Y659" i="44"/>
  <c r="W659" i="44" s="1"/>
  <c r="Y660" i="44"/>
  <c r="W660" i="44" s="1"/>
  <c r="Y661" i="44"/>
  <c r="W661" i="44" s="1"/>
  <c r="Y662" i="44"/>
  <c r="X662" i="44" s="1"/>
  <c r="Y663" i="44"/>
  <c r="X663" i="44" s="1"/>
  <c r="AA663" i="44" s="1"/>
  <c r="Y664" i="44"/>
  <c r="W664" i="44" s="1"/>
  <c r="Y665" i="44"/>
  <c r="W665" i="44" s="1"/>
  <c r="Y666" i="44"/>
  <c r="X666" i="44" s="1"/>
  <c r="AA666" i="44" s="1"/>
  <c r="Y667" i="44"/>
  <c r="W667" i="44" s="1"/>
  <c r="Y668" i="44"/>
  <c r="X668" i="44" s="1"/>
  <c r="AA668" i="44" s="1"/>
  <c r="Y669" i="44"/>
  <c r="X669" i="44" s="1"/>
  <c r="AA669" i="44" s="1"/>
  <c r="Y670" i="44"/>
  <c r="W670" i="44" s="1"/>
  <c r="Y671" i="44"/>
  <c r="W671" i="44" s="1"/>
  <c r="Y672" i="44"/>
  <c r="W672" i="44" s="1"/>
  <c r="Y673" i="44"/>
  <c r="X673" i="44" s="1"/>
  <c r="Y674" i="44"/>
  <c r="Y675" i="44"/>
  <c r="W675" i="44" s="1"/>
  <c r="Y676" i="44"/>
  <c r="Y677" i="44"/>
  <c r="W677" i="44" s="1"/>
  <c r="Y678" i="44"/>
  <c r="Y679" i="44"/>
  <c r="Y680" i="44"/>
  <c r="W680" i="44" s="1"/>
  <c r="Y681" i="44"/>
  <c r="W681" i="44" s="1"/>
  <c r="Y682" i="44"/>
  <c r="X682" i="44" s="1"/>
  <c r="Y683" i="44"/>
  <c r="X683" i="44" s="1"/>
  <c r="Y684" i="44"/>
  <c r="W684" i="44" s="1"/>
  <c r="Y685" i="44"/>
  <c r="W685" i="44" s="1"/>
  <c r="Y686" i="44"/>
  <c r="X686" i="44" s="1"/>
  <c r="AA686" i="44" s="1"/>
  <c r="Y687" i="44"/>
  <c r="W687" i="44" s="1"/>
  <c r="Y688" i="44"/>
  <c r="W688" i="44" s="1"/>
  <c r="Y689" i="44"/>
  <c r="Y690" i="44"/>
  <c r="W690" i="44" s="1"/>
  <c r="Y691" i="44"/>
  <c r="W691" i="44" s="1"/>
  <c r="Y692" i="44"/>
  <c r="W692" i="44" s="1"/>
  <c r="Y693" i="44"/>
  <c r="X693" i="44" s="1"/>
  <c r="Y694" i="44"/>
  <c r="W694" i="44" s="1"/>
  <c r="Y695" i="44"/>
  <c r="X695" i="44" s="1"/>
  <c r="AA695" i="44" s="1"/>
  <c r="Y696" i="44"/>
  <c r="W696" i="44" s="1"/>
  <c r="Y697" i="44"/>
  <c r="X697" i="44" s="1"/>
  <c r="Y698" i="44"/>
  <c r="Y699" i="44"/>
  <c r="X699" i="44" s="1"/>
  <c r="AA699" i="44" s="1"/>
  <c r="Y700" i="44"/>
  <c r="Y701" i="44"/>
  <c r="W701" i="44" s="1"/>
  <c r="Y702" i="44"/>
  <c r="W702" i="44" s="1"/>
  <c r="Y703" i="44"/>
  <c r="Y704" i="44"/>
  <c r="X704" i="44" s="1"/>
  <c r="Y705" i="44"/>
  <c r="W705" i="44" s="1"/>
  <c r="Y706" i="44"/>
  <c r="X706" i="44" s="1"/>
  <c r="AA706" i="44" s="1"/>
  <c r="Y707" i="44"/>
  <c r="W707" i="44" s="1"/>
  <c r="Y708" i="44"/>
  <c r="W708" i="44" s="1"/>
  <c r="Y709" i="44"/>
  <c r="W709" i="44" s="1"/>
  <c r="Y710" i="44"/>
  <c r="X710" i="44" s="1"/>
  <c r="AA710" i="44" s="1"/>
  <c r="Y711" i="44"/>
  <c r="W711" i="44" s="1"/>
  <c r="Y712" i="44"/>
  <c r="W712" i="44" s="1"/>
  <c r="Y713" i="44"/>
  <c r="X713" i="44" s="1"/>
  <c r="Y714" i="44"/>
  <c r="W714" i="44" s="1"/>
  <c r="Y715" i="44"/>
  <c r="W715" i="44" s="1"/>
  <c r="Y716" i="44"/>
  <c r="W716" i="44" s="1"/>
  <c r="Y717" i="44"/>
  <c r="X717" i="44" s="1"/>
  <c r="Y718" i="44"/>
  <c r="W718" i="44" s="1"/>
  <c r="Y719" i="44"/>
  <c r="W719" i="44" s="1"/>
  <c r="Y720" i="44"/>
  <c r="W720" i="44" s="1"/>
  <c r="Y721" i="44"/>
  <c r="W721" i="44" s="1"/>
  <c r="Y722" i="44"/>
  <c r="X722" i="44" s="1"/>
  <c r="AA722" i="44" s="1"/>
  <c r="Y723" i="44"/>
  <c r="X723" i="44" s="1"/>
  <c r="AA723" i="44" s="1"/>
  <c r="Y724" i="44"/>
  <c r="W724" i="44" s="1"/>
  <c r="Y725" i="44"/>
  <c r="W725" i="44" s="1"/>
  <c r="Y726" i="44"/>
  <c r="W726" i="44" s="1"/>
  <c r="Y727" i="44"/>
  <c r="W727" i="44" s="1"/>
  <c r="Y728" i="44"/>
  <c r="X728" i="44" s="1"/>
  <c r="AA728" i="44" s="1"/>
  <c r="Y729" i="44"/>
  <c r="W729" i="44" s="1"/>
  <c r="Y730" i="44"/>
  <c r="Y731" i="44"/>
  <c r="W731" i="44" s="1"/>
  <c r="Y732" i="44"/>
  <c r="W732" i="44" s="1"/>
  <c r="Y733" i="44"/>
  <c r="W733" i="44" s="1"/>
  <c r="Y734" i="44"/>
  <c r="X734" i="44" s="1"/>
  <c r="AA734" i="44" s="1"/>
  <c r="Y735" i="44"/>
  <c r="X735" i="44" s="1"/>
  <c r="AA735" i="44" s="1"/>
  <c r="Y736" i="44"/>
  <c r="W736" i="44" s="1"/>
  <c r="Y737" i="44"/>
  <c r="X737" i="44" s="1"/>
  <c r="AA737" i="44" s="1"/>
  <c r="Y738" i="44"/>
  <c r="W738" i="44" s="1"/>
  <c r="Y739" i="44"/>
  <c r="W739" i="44" s="1"/>
  <c r="Y740" i="44"/>
  <c r="W740" i="44" s="1"/>
  <c r="Y741" i="44"/>
  <c r="W741" i="44" s="1"/>
  <c r="Y742" i="44"/>
  <c r="W742" i="44" s="1"/>
  <c r="Y743" i="44"/>
  <c r="W743" i="44" s="1"/>
  <c r="Y744" i="44"/>
  <c r="W744" i="44" s="1"/>
  <c r="Y745" i="44"/>
  <c r="W745" i="44" s="1"/>
  <c r="Y746" i="44"/>
  <c r="X746" i="44" s="1"/>
  <c r="AA746" i="44" s="1"/>
  <c r="Y747" i="44"/>
  <c r="X747" i="44" s="1"/>
  <c r="AA747" i="44" s="1"/>
  <c r="Y748" i="44"/>
  <c r="W748" i="44" s="1"/>
  <c r="Y749" i="44"/>
  <c r="W749" i="44" s="1"/>
  <c r="Y750" i="44"/>
  <c r="W750" i="44" s="1"/>
  <c r="Y751" i="44"/>
  <c r="W751" i="44" s="1"/>
  <c r="Y752" i="44"/>
  <c r="X752" i="44" s="1"/>
  <c r="AA752" i="44" s="1"/>
  <c r="Y753" i="44"/>
  <c r="W753" i="44" s="1"/>
  <c r="Y754" i="44"/>
  <c r="W754" i="44" s="1"/>
  <c r="Y755" i="44"/>
  <c r="X755" i="44" s="1"/>
  <c r="Y756" i="44"/>
  <c r="X756" i="44" s="1"/>
  <c r="Y757" i="44"/>
  <c r="W757" i="44" s="1"/>
  <c r="Y758" i="44"/>
  <c r="X758" i="44" s="1"/>
  <c r="AA758" i="44" s="1"/>
  <c r="Y759" i="44"/>
  <c r="W759" i="44" s="1"/>
  <c r="Y760" i="44"/>
  <c r="W760" i="44" s="1"/>
  <c r="Y761" i="44"/>
  <c r="W761" i="44" s="1"/>
  <c r="Y762" i="44"/>
  <c r="W762" i="44" s="1"/>
  <c r="Y763" i="44"/>
  <c r="W763" i="44" s="1"/>
  <c r="Y764" i="44"/>
  <c r="W764" i="44" s="1"/>
  <c r="Y765" i="44"/>
  <c r="W765" i="44" s="1"/>
  <c r="Y766" i="44"/>
  <c r="W766" i="44" s="1"/>
  <c r="Y767" i="44"/>
  <c r="W767" i="44" s="1"/>
  <c r="Y768" i="44"/>
  <c r="W768" i="44" s="1"/>
  <c r="Y769" i="44"/>
  <c r="X769" i="44" s="1"/>
  <c r="AA769" i="44" s="1"/>
  <c r="Y770" i="44"/>
  <c r="X770" i="44" s="1"/>
  <c r="Y771" i="44"/>
  <c r="X771" i="44" s="1"/>
  <c r="AA771" i="44" s="1"/>
  <c r="Y772" i="44"/>
  <c r="W772" i="44" s="1"/>
  <c r="Y773" i="44"/>
  <c r="W773" i="44" s="1"/>
  <c r="Y774" i="44"/>
  <c r="X774" i="44" s="1"/>
  <c r="AA774" i="44" s="1"/>
  <c r="Y775" i="44"/>
  <c r="W775" i="44" s="1"/>
  <c r="Y776" i="44"/>
  <c r="W776" i="44" s="1"/>
  <c r="Y777" i="44"/>
  <c r="X777" i="44" s="1"/>
  <c r="Y778" i="44"/>
  <c r="W778" i="44" s="1"/>
  <c r="Y779" i="44"/>
  <c r="W779" i="44" s="1"/>
  <c r="Y780" i="44"/>
  <c r="X780" i="44" s="1"/>
  <c r="AA780" i="44" s="1"/>
  <c r="Y781" i="44"/>
  <c r="W781" i="44" s="1"/>
  <c r="Y782" i="44"/>
  <c r="Y783" i="44"/>
  <c r="W783" i="44" s="1"/>
  <c r="Y784" i="44"/>
  <c r="W784" i="44" s="1"/>
  <c r="Y785" i="44"/>
  <c r="W785" i="44" s="1"/>
  <c r="Y786" i="44"/>
  <c r="X786" i="44" s="1"/>
  <c r="Y787" i="44"/>
  <c r="W787" i="44" s="1"/>
  <c r="Y788" i="44"/>
  <c r="W788" i="44" s="1"/>
  <c r="Y789" i="44"/>
  <c r="W789" i="44" s="1"/>
  <c r="Y790" i="44"/>
  <c r="X790" i="44" s="1"/>
  <c r="AA790" i="44" s="1"/>
  <c r="Y791" i="44"/>
  <c r="W791" i="44" s="1"/>
  <c r="Y792" i="44"/>
  <c r="W792" i="44" s="1"/>
  <c r="Y793" i="44"/>
  <c r="W793" i="44" s="1"/>
  <c r="Y794" i="44"/>
  <c r="X794" i="44" s="1"/>
  <c r="AA794" i="44" s="1"/>
  <c r="Y795" i="44"/>
  <c r="W795" i="44" s="1"/>
  <c r="Y796" i="44"/>
  <c r="X796" i="44" s="1"/>
  <c r="AA796" i="44" s="1"/>
  <c r="Y797" i="44"/>
  <c r="W797" i="44" s="1"/>
  <c r="Y798" i="44"/>
  <c r="W798" i="44" s="1"/>
  <c r="Y799" i="44"/>
  <c r="Y800" i="44"/>
  <c r="X800" i="44" s="1"/>
  <c r="Y801" i="44"/>
  <c r="W801" i="44" s="1"/>
  <c r="Y802" i="44"/>
  <c r="W802" i="44" s="1"/>
  <c r="Y803" i="44"/>
  <c r="W803" i="44" s="1"/>
  <c r="Y804" i="44"/>
  <c r="W804" i="44" s="1"/>
  <c r="Y805" i="44"/>
  <c r="W805" i="44" s="1"/>
  <c r="Y806" i="44"/>
  <c r="X806" i="44" s="1"/>
  <c r="AA806" i="44" s="1"/>
  <c r="Y807" i="44"/>
  <c r="X807" i="44" s="1"/>
  <c r="AA807" i="44" s="1"/>
  <c r="Y808" i="44"/>
  <c r="W808" i="44" s="1"/>
  <c r="Y809" i="44"/>
  <c r="W809" i="44" s="1"/>
  <c r="Y810" i="44"/>
  <c r="W810" i="44" s="1"/>
  <c r="Y811" i="44"/>
  <c r="W811" i="44" s="1"/>
  <c r="Y812" i="44"/>
  <c r="W812" i="44" s="1"/>
  <c r="Y813" i="44"/>
  <c r="X813" i="44" s="1"/>
  <c r="Y814" i="44"/>
  <c r="W814" i="44" s="1"/>
  <c r="Y815" i="44"/>
  <c r="W815" i="44" s="1"/>
  <c r="Y816" i="44"/>
  <c r="X816" i="44" s="1"/>
  <c r="Y817" i="44"/>
  <c r="W817" i="44" s="1"/>
  <c r="Y818" i="44"/>
  <c r="X818" i="44" s="1"/>
  <c r="Y819" i="44"/>
  <c r="W819" i="44" s="1"/>
  <c r="Y820" i="44"/>
  <c r="W820" i="44" s="1"/>
  <c r="Y821" i="44"/>
  <c r="X821" i="44" s="1"/>
  <c r="Y822" i="44"/>
  <c r="W822" i="44" s="1"/>
  <c r="Y823" i="44"/>
  <c r="W823" i="44" s="1"/>
  <c r="Y824" i="44"/>
  <c r="W824" i="44" s="1"/>
  <c r="Y825" i="44"/>
  <c r="W825" i="44" s="1"/>
  <c r="Y826" i="44"/>
  <c r="W826" i="44" s="1"/>
  <c r="Y827" i="44"/>
  <c r="W827" i="44" s="1"/>
  <c r="Y828" i="44"/>
  <c r="X828" i="44" s="1"/>
  <c r="Y829" i="44"/>
  <c r="X829" i="44" s="1"/>
  <c r="AA829" i="44" s="1"/>
  <c r="Y830" i="44"/>
  <c r="X830" i="44" s="1"/>
  <c r="AA830" i="44" s="1"/>
  <c r="Y831" i="44"/>
  <c r="X831" i="44" s="1"/>
  <c r="AA831" i="44" s="1"/>
  <c r="Y832" i="44"/>
  <c r="W832" i="44" s="1"/>
  <c r="Y833" i="44"/>
  <c r="W833" i="44" s="1"/>
  <c r="Y834" i="44"/>
  <c r="W834" i="44" s="1"/>
  <c r="Y835" i="44"/>
  <c r="W835" i="44" s="1"/>
  <c r="Y836" i="44"/>
  <c r="W836" i="44" s="1"/>
  <c r="Y837" i="44"/>
  <c r="W837" i="44" s="1"/>
  <c r="Y838" i="44"/>
  <c r="W838" i="44" s="1"/>
  <c r="Y839" i="44"/>
  <c r="W839" i="44" s="1"/>
  <c r="Y840" i="44"/>
  <c r="X840" i="44" s="1"/>
  <c r="AA840" i="44" s="1"/>
  <c r="Y841" i="44"/>
  <c r="X841" i="44" s="1"/>
  <c r="Y842" i="44"/>
  <c r="X842" i="44" s="1"/>
  <c r="Y843" i="44"/>
  <c r="Y844" i="44"/>
  <c r="W844" i="44" s="1"/>
  <c r="Y845" i="44"/>
  <c r="X845" i="44" s="1"/>
  <c r="AA845" i="44" s="1"/>
  <c r="Y846" i="44"/>
  <c r="W846" i="44" s="1"/>
  <c r="Y847" i="44"/>
  <c r="X847" i="44" s="1"/>
  <c r="Y848" i="44"/>
  <c r="X848" i="44" s="1"/>
  <c r="Y849" i="44"/>
  <c r="W849" i="44" s="1"/>
  <c r="Y850" i="44"/>
  <c r="W850" i="44" s="1"/>
  <c r="Y851" i="44"/>
  <c r="X851" i="44" s="1"/>
  <c r="AA851" i="44" s="1"/>
  <c r="Y852" i="44"/>
  <c r="X852" i="44" s="1"/>
  <c r="Y853" i="44"/>
  <c r="Y854" i="44"/>
  <c r="W854" i="44" s="1"/>
  <c r="Y855" i="44"/>
  <c r="W855" i="44" s="1"/>
  <c r="Y856" i="44"/>
  <c r="X856" i="44" s="1"/>
  <c r="Y857" i="44"/>
  <c r="W857" i="44" s="1"/>
  <c r="Y858" i="44"/>
  <c r="X858" i="44" s="1"/>
  <c r="AA858" i="44" s="1"/>
  <c r="Y859" i="44"/>
  <c r="W859" i="44" s="1"/>
  <c r="Y860" i="44"/>
  <c r="X860" i="44" s="1"/>
  <c r="AA860" i="44" s="1"/>
  <c r="Y861" i="44"/>
  <c r="W861" i="44" s="1"/>
  <c r="Y862" i="44"/>
  <c r="W862" i="44" s="1"/>
  <c r="Y863" i="44"/>
  <c r="W863" i="44" s="1"/>
  <c r="Y864" i="44"/>
  <c r="W864" i="44" s="1"/>
  <c r="Y865" i="44"/>
  <c r="W865" i="44" s="1"/>
  <c r="Y866" i="44"/>
  <c r="W866" i="44" s="1"/>
  <c r="Y867" i="44"/>
  <c r="W867" i="44" s="1"/>
  <c r="Y868" i="44"/>
  <c r="W868" i="44" s="1"/>
  <c r="Y869" i="44"/>
  <c r="W869" i="44" s="1"/>
  <c r="Y870" i="44"/>
  <c r="X870" i="44" s="1"/>
  <c r="Y871" i="44"/>
  <c r="W871" i="44" s="1"/>
  <c r="Y872" i="44"/>
  <c r="X872" i="44" s="1"/>
  <c r="AA872" i="44" s="1"/>
  <c r="Y873" i="44"/>
  <c r="X873" i="44" s="1"/>
  <c r="Y874" i="44"/>
  <c r="X874" i="44" s="1"/>
  <c r="Y875" i="44"/>
  <c r="W875" i="44" s="1"/>
  <c r="Y876" i="44"/>
  <c r="W876" i="44" s="1"/>
  <c r="Y877" i="44"/>
  <c r="W877" i="44" s="1"/>
  <c r="Y878" i="44"/>
  <c r="X878" i="44" s="1"/>
  <c r="Y879" i="44"/>
  <c r="W879" i="44" s="1"/>
  <c r="Y880" i="44"/>
  <c r="W880" i="44" s="1"/>
  <c r="Y881" i="44"/>
  <c r="W881" i="44" s="1"/>
  <c r="Y882" i="44"/>
  <c r="W882" i="44" s="1"/>
  <c r="Y883" i="44"/>
  <c r="X883" i="44" s="1"/>
  <c r="Y884" i="44"/>
  <c r="X884" i="44" s="1"/>
  <c r="AA884" i="44" s="1"/>
  <c r="Y885" i="44"/>
  <c r="W885" i="44" s="1"/>
  <c r="Y886" i="44"/>
  <c r="X886" i="44" s="1"/>
  <c r="Y887" i="44"/>
  <c r="W887" i="44" s="1"/>
  <c r="Y888" i="44"/>
  <c r="W888" i="44" s="1"/>
  <c r="Y889" i="44"/>
  <c r="W889" i="44" s="1"/>
  <c r="Y890" i="44"/>
  <c r="W890" i="44" s="1"/>
  <c r="Y891" i="44"/>
  <c r="W891" i="44" s="1"/>
  <c r="Y892" i="44"/>
  <c r="W892" i="44" s="1"/>
  <c r="Y893" i="44"/>
  <c r="X893" i="44" s="1"/>
  <c r="AA893" i="44" s="1"/>
  <c r="Y894" i="44"/>
  <c r="W894" i="44" s="1"/>
  <c r="Y895" i="44"/>
  <c r="W895" i="44" s="1"/>
  <c r="Y896" i="44"/>
  <c r="X896" i="44" s="1"/>
  <c r="Y897" i="44"/>
  <c r="X897" i="44" s="1"/>
  <c r="Y898" i="44"/>
  <c r="W898" i="44" s="1"/>
  <c r="Y899" i="44"/>
  <c r="X899" i="44" s="1"/>
  <c r="Y900" i="44"/>
  <c r="X900" i="44" s="1"/>
  <c r="Y901" i="44"/>
  <c r="W901" i="44" s="1"/>
  <c r="Y902" i="44"/>
  <c r="X902" i="44" s="1"/>
  <c r="Y903" i="44"/>
  <c r="W903" i="44" s="1"/>
  <c r="Y904" i="44"/>
  <c r="X904" i="44" s="1"/>
  <c r="Y905" i="44"/>
  <c r="X905" i="44" s="1"/>
  <c r="AA905" i="44" s="1"/>
  <c r="Y906" i="44"/>
  <c r="W906" i="44" s="1"/>
  <c r="Y907" i="44"/>
  <c r="X907" i="44" s="1"/>
  <c r="Y908" i="44"/>
  <c r="X908" i="44" s="1"/>
  <c r="AA908" i="44" s="1"/>
  <c r="Y909" i="44"/>
  <c r="W909" i="44" s="1"/>
  <c r="Y910" i="44"/>
  <c r="W910" i="44" s="1"/>
  <c r="Y911" i="44"/>
  <c r="W911" i="44" s="1"/>
  <c r="Y912" i="44"/>
  <c r="W912" i="44" s="1"/>
  <c r="Y913" i="44"/>
  <c r="W913" i="44" s="1"/>
  <c r="Y914" i="44"/>
  <c r="X914" i="44" s="1"/>
  <c r="Y915" i="44"/>
  <c r="W915" i="44" s="1"/>
  <c r="Y916" i="44"/>
  <c r="W916" i="44" s="1"/>
  <c r="Y917" i="44"/>
  <c r="W917" i="44" s="1"/>
  <c r="Y918" i="44"/>
  <c r="W918" i="44" s="1"/>
  <c r="Y919" i="44"/>
  <c r="X919" i="44" s="1"/>
  <c r="Y920" i="44"/>
  <c r="X920" i="44" s="1"/>
  <c r="Y921" i="44"/>
  <c r="W921" i="44" s="1"/>
  <c r="Y922" i="44"/>
  <c r="X922" i="44" s="1"/>
  <c r="Y923" i="44"/>
  <c r="X923" i="44" s="1"/>
  <c r="Y924" i="44"/>
  <c r="W924" i="44" s="1"/>
  <c r="Y925" i="44"/>
  <c r="W925" i="44" s="1"/>
  <c r="Y926" i="44"/>
  <c r="W926" i="44" s="1"/>
  <c r="Y927" i="44"/>
  <c r="W927" i="44" s="1"/>
  <c r="Y928" i="44"/>
  <c r="X928" i="44" s="1"/>
  <c r="Y929" i="44"/>
  <c r="W929" i="44" s="1"/>
  <c r="Y930" i="44"/>
  <c r="W930" i="44" s="1"/>
  <c r="Y931" i="44"/>
  <c r="W931" i="44" s="1"/>
  <c r="Y932" i="44"/>
  <c r="X932" i="44" s="1"/>
  <c r="Y933" i="44"/>
  <c r="W933" i="44" s="1"/>
  <c r="Y934" i="44"/>
  <c r="X934" i="44" s="1"/>
  <c r="Y935" i="44"/>
  <c r="X935" i="44" s="1"/>
  <c r="Y936" i="44"/>
  <c r="W936" i="44" s="1"/>
  <c r="Y937" i="44"/>
  <c r="W937" i="44" s="1"/>
  <c r="Y938" i="44"/>
  <c r="W938" i="44" s="1"/>
  <c r="Y939" i="44"/>
  <c r="W939" i="44" s="1"/>
  <c r="Y940" i="44"/>
  <c r="X940" i="44" s="1"/>
  <c r="Y941" i="44"/>
  <c r="X941" i="44" s="1"/>
  <c r="AA941" i="44" s="1"/>
  <c r="Y942" i="44"/>
  <c r="W942" i="44" s="1"/>
  <c r="Y943" i="44"/>
  <c r="X943" i="44" s="1"/>
  <c r="Y944" i="44"/>
  <c r="X944" i="44" s="1"/>
  <c r="AA944" i="44" s="1"/>
  <c r="Y945" i="44"/>
  <c r="W945" i="44" s="1"/>
  <c r="Y946" i="44"/>
  <c r="X946" i="44" s="1"/>
  <c r="Y947" i="44"/>
  <c r="W947" i="44" s="1"/>
  <c r="Y948" i="44"/>
  <c r="W948" i="44" s="1"/>
  <c r="Y949" i="44"/>
  <c r="W949" i="44" s="1"/>
  <c r="Y950" i="44"/>
  <c r="X950" i="44" s="1"/>
  <c r="Y951" i="44"/>
  <c r="W951" i="44" s="1"/>
  <c r="Y952" i="44"/>
  <c r="W952" i="44" s="1"/>
  <c r="Y953" i="44"/>
  <c r="W953" i="44" s="1"/>
  <c r="Y954" i="44"/>
  <c r="X954" i="44" s="1"/>
  <c r="Y955" i="44"/>
  <c r="X955" i="44" s="1"/>
  <c r="Y956" i="44"/>
  <c r="X956" i="44" s="1"/>
  <c r="AA956" i="44" s="1"/>
  <c r="Y957" i="44"/>
  <c r="W957" i="44" s="1"/>
  <c r="Y958" i="44"/>
  <c r="X958" i="44" s="1"/>
  <c r="Y959" i="44"/>
  <c r="W959" i="44" s="1"/>
  <c r="Y960" i="44"/>
  <c r="W960" i="44" s="1"/>
  <c r="Y961" i="44"/>
  <c r="W961" i="44" s="1"/>
  <c r="Y962" i="44"/>
  <c r="W962" i="44" s="1"/>
  <c r="Y963" i="44"/>
  <c r="W963" i="44" s="1"/>
  <c r="Y964" i="44"/>
  <c r="X964" i="44" s="1"/>
  <c r="Y965" i="44"/>
  <c r="W965" i="44" s="1"/>
  <c r="Y966" i="44"/>
  <c r="X966" i="44" s="1"/>
  <c r="Y967" i="44"/>
  <c r="W967" i="44" s="1"/>
  <c r="Y968" i="44"/>
  <c r="X968" i="44" s="1"/>
  <c r="Y969" i="44"/>
  <c r="W969" i="44" s="1"/>
  <c r="Y970" i="44"/>
  <c r="X970" i="44" s="1"/>
  <c r="Y971" i="44"/>
  <c r="W971" i="44" s="1"/>
  <c r="Y972" i="44"/>
  <c r="W972" i="44" s="1"/>
  <c r="Y973" i="44"/>
  <c r="W973" i="44" s="1"/>
  <c r="Y974" i="44"/>
  <c r="W974" i="44" s="1"/>
  <c r="Y975" i="44"/>
  <c r="W975" i="44" s="1"/>
  <c r="Y976" i="44"/>
  <c r="W976" i="44" s="1"/>
  <c r="Y977" i="44"/>
  <c r="X977" i="44" s="1"/>
  <c r="Y978" i="44"/>
  <c r="X978" i="44" s="1"/>
  <c r="Y979" i="44"/>
  <c r="W979" i="44" s="1"/>
  <c r="Y980" i="44"/>
  <c r="X980" i="44" s="1"/>
  <c r="X857" i="44" l="1"/>
  <c r="AA857" i="44" s="1"/>
  <c r="X306" i="44"/>
  <c r="X309" i="44"/>
  <c r="AA309" i="44" s="1"/>
  <c r="X71" i="44"/>
  <c r="AA71" i="44" s="1"/>
  <c r="W605" i="44"/>
  <c r="W794" i="44"/>
  <c r="X93" i="44"/>
  <c r="W613" i="44"/>
  <c r="W196" i="44"/>
  <c r="X965" i="44"/>
  <c r="AA965" i="44" s="1"/>
  <c r="X501" i="44"/>
  <c r="X784" i="44"/>
  <c r="AA784" i="44" s="1"/>
  <c r="X690" i="44"/>
  <c r="AA690" i="44" s="1"/>
  <c r="X667" i="44"/>
  <c r="X620" i="44"/>
  <c r="AA620" i="44" s="1"/>
  <c r="W335" i="44"/>
  <c r="W955" i="44"/>
  <c r="W813" i="44"/>
  <c r="X235" i="44"/>
  <c r="AA235" i="44" s="1"/>
  <c r="W475" i="44"/>
  <c r="W452" i="44"/>
  <c r="X960" i="44"/>
  <c r="AA960" i="44" s="1"/>
  <c r="X392" i="44"/>
  <c r="AA392" i="44" s="1"/>
  <c r="X565" i="44"/>
  <c r="AA565" i="44" s="1"/>
  <c r="X426" i="44"/>
  <c r="AA426" i="44" s="1"/>
  <c r="X356" i="44"/>
  <c r="W278" i="44"/>
  <c r="X738" i="44"/>
  <c r="AA738" i="44" s="1"/>
  <c r="X231" i="44"/>
  <c r="AA231" i="44" s="1"/>
  <c r="X90" i="44"/>
  <c r="AA90" i="44" s="1"/>
  <c r="X909" i="44"/>
  <c r="AA909" i="44" s="1"/>
  <c r="X479" i="44"/>
  <c r="AA479" i="44" s="1"/>
  <c r="W330" i="44"/>
  <c r="W637" i="44"/>
  <c r="X561" i="44"/>
  <c r="AA561" i="44" s="1"/>
  <c r="X118" i="44"/>
  <c r="AA118" i="44" s="1"/>
  <c r="W39" i="44"/>
  <c r="W593" i="44"/>
  <c r="X368" i="44"/>
  <c r="AA368" i="44" s="1"/>
  <c r="W315" i="44"/>
  <c r="X274" i="44"/>
  <c r="AA274" i="44" s="1"/>
  <c r="X152" i="44"/>
  <c r="AA152" i="44" s="1"/>
  <c r="W27" i="44"/>
  <c r="X803" i="44"/>
  <c r="AA803" i="44" s="1"/>
  <c r="X567" i="44"/>
  <c r="AA567" i="44" s="1"/>
  <c r="W411" i="44"/>
  <c r="W291" i="44"/>
  <c r="W115" i="44"/>
  <c r="X533" i="44"/>
  <c r="AA533" i="44" s="1"/>
  <c r="X891" i="44"/>
  <c r="AA891" i="44" s="1"/>
  <c r="W509" i="44"/>
  <c r="X631" i="44"/>
  <c r="AA631" i="44" s="1"/>
  <c r="W289" i="44"/>
  <c r="X269" i="44"/>
  <c r="AA269" i="44" s="1"/>
  <c r="X258" i="44"/>
  <c r="AA258" i="44" s="1"/>
  <c r="W899" i="44"/>
  <c r="X854" i="44"/>
  <c r="AA854" i="44" s="1"/>
  <c r="W639" i="44"/>
  <c r="W440" i="44"/>
  <c r="W351" i="44"/>
  <c r="W179" i="44"/>
  <c r="X942" i="44"/>
  <c r="W483" i="44"/>
  <c r="W244" i="44"/>
  <c r="X200" i="44"/>
  <c r="AA200" i="44" s="1"/>
  <c r="W908" i="44"/>
  <c r="W786" i="44"/>
  <c r="W717" i="44"/>
  <c r="X233" i="44"/>
  <c r="AA233" i="44" s="1"/>
  <c r="W893" i="44"/>
  <c r="X271" i="44"/>
  <c r="AA271" i="44" s="1"/>
  <c r="X251" i="44"/>
  <c r="AA251" i="44" s="1"/>
  <c r="W232" i="44"/>
  <c r="X223" i="44"/>
  <c r="AA223" i="44" s="1"/>
  <c r="X95" i="44"/>
  <c r="AA95" i="44" s="1"/>
  <c r="X31" i="44"/>
  <c r="AA31" i="44" s="1"/>
  <c r="W954" i="44"/>
  <c r="W851" i="44"/>
  <c r="W621" i="44"/>
  <c r="W601" i="44"/>
  <c r="W459" i="44"/>
  <c r="X416" i="44"/>
  <c r="AA416" i="44" s="1"/>
  <c r="X300" i="44"/>
  <c r="AA300" i="44" s="1"/>
  <c r="W240" i="44"/>
  <c r="W212" i="44"/>
  <c r="X191" i="44"/>
  <c r="X126" i="44"/>
  <c r="AA126" i="44" s="1"/>
  <c r="X63" i="44"/>
  <c r="AA63" i="44" s="1"/>
  <c r="X867" i="44"/>
  <c r="AA867" i="44" s="1"/>
  <c r="X814" i="44"/>
  <c r="AA814" i="44" s="1"/>
  <c r="X661" i="44"/>
  <c r="AA661" i="44" s="1"/>
  <c r="X350" i="44"/>
  <c r="AA350" i="44" s="1"/>
  <c r="X134" i="44"/>
  <c r="AA134" i="44" s="1"/>
  <c r="W970" i="44"/>
  <c r="X380" i="44"/>
  <c r="AA380" i="44" s="1"/>
  <c r="X257" i="44"/>
  <c r="AA257" i="44" s="1"/>
  <c r="X219" i="44"/>
  <c r="AA219" i="44" s="1"/>
  <c r="W950" i="44"/>
  <c r="W668" i="44"/>
  <c r="X597" i="44"/>
  <c r="AA597" i="44" s="1"/>
  <c r="X165" i="44"/>
  <c r="AA165" i="44" s="1"/>
  <c r="X69" i="44"/>
  <c r="AA69" i="44" s="1"/>
  <c r="W977" i="44"/>
  <c r="X926" i="44"/>
  <c r="AA926" i="44" s="1"/>
  <c r="X812" i="44"/>
  <c r="AA812" i="44" s="1"/>
  <c r="W119" i="44"/>
  <c r="W56" i="44"/>
  <c r="W905" i="44"/>
  <c r="W697" i="44"/>
  <c r="W494" i="44"/>
  <c r="W371" i="44"/>
  <c r="W266" i="44"/>
  <c r="W215" i="44"/>
  <c r="X929" i="44"/>
  <c r="AA929" i="44" s="1"/>
  <c r="X895" i="44"/>
  <c r="AA895" i="44" s="1"/>
  <c r="W848" i="44"/>
  <c r="X753" i="44"/>
  <c r="AA753" i="44" s="1"/>
  <c r="W734" i="44"/>
  <c r="X725" i="44"/>
  <c r="AA725" i="44" s="1"/>
  <c r="X696" i="44"/>
  <c r="AA696" i="44" s="1"/>
  <c r="X658" i="44"/>
  <c r="AA658" i="44" s="1"/>
  <c r="X582" i="44"/>
  <c r="AA582" i="44" s="1"/>
  <c r="W493" i="44"/>
  <c r="X462" i="44"/>
  <c r="AA462" i="44" s="1"/>
  <c r="W444" i="44"/>
  <c r="X395" i="44"/>
  <c r="AA395" i="44" s="1"/>
  <c r="X387" i="44"/>
  <c r="AA387" i="44" s="1"/>
  <c r="W370" i="44"/>
  <c r="X344" i="44"/>
  <c r="AA344" i="44" s="1"/>
  <c r="X336" i="44"/>
  <c r="AA336" i="44" s="1"/>
  <c r="W290" i="44"/>
  <c r="X272" i="44"/>
  <c r="AA272" i="44" s="1"/>
  <c r="W236" i="44"/>
  <c r="X230" i="44"/>
  <c r="AA230" i="44" s="1"/>
  <c r="W123" i="44"/>
  <c r="W32" i="44"/>
  <c r="W873" i="44"/>
  <c r="X855" i="44"/>
  <c r="AA855" i="44" s="1"/>
  <c r="X837" i="44"/>
  <c r="AA837" i="44" s="1"/>
  <c r="W829" i="44"/>
  <c r="X742" i="44"/>
  <c r="AA742" i="44" s="1"/>
  <c r="X716" i="44"/>
  <c r="AA716" i="44" s="1"/>
  <c r="X619" i="44"/>
  <c r="AA619" i="44" s="1"/>
  <c r="X600" i="44"/>
  <c r="AA600" i="44" s="1"/>
  <c r="W482" i="44"/>
  <c r="W415" i="44"/>
  <c r="W379" i="44"/>
  <c r="X359" i="44"/>
  <c r="AA359" i="44" s="1"/>
  <c r="W352" i="44"/>
  <c r="W299" i="44"/>
  <c r="X182" i="44"/>
  <c r="AA182" i="44" s="1"/>
  <c r="X164" i="44"/>
  <c r="AA164" i="44" s="1"/>
  <c r="W143" i="44"/>
  <c r="X104" i="44"/>
  <c r="AA104" i="44" s="1"/>
  <c r="X810" i="44"/>
  <c r="AA810" i="44" s="1"/>
  <c r="X724" i="44"/>
  <c r="AA724" i="44" s="1"/>
  <c r="W704" i="44"/>
  <c r="X936" i="44"/>
  <c r="AA936" i="44" s="1"/>
  <c r="X927" i="44"/>
  <c r="AA927" i="44" s="1"/>
  <c r="W900" i="44"/>
  <c r="X789" i="44"/>
  <c r="AA789" i="44" s="1"/>
  <c r="X731" i="44"/>
  <c r="AA731" i="44" s="1"/>
  <c r="W693" i="44"/>
  <c r="W634" i="44"/>
  <c r="X530" i="44"/>
  <c r="AA530" i="44" s="1"/>
  <c r="W520" i="44"/>
  <c r="X432" i="44"/>
  <c r="AA432" i="44" s="1"/>
  <c r="W385" i="44"/>
  <c r="X357" i="44"/>
  <c r="X323" i="44"/>
  <c r="X314" i="44"/>
  <c r="AA314" i="44" s="1"/>
  <c r="W227" i="44"/>
  <c r="W190" i="44"/>
  <c r="X171" i="44"/>
  <c r="AA171" i="44" s="1"/>
  <c r="W111" i="44"/>
  <c r="W75" i="44"/>
  <c r="W38" i="44"/>
  <c r="X945" i="44"/>
  <c r="AA945" i="44" s="1"/>
  <c r="W870" i="44"/>
  <c r="X768" i="44"/>
  <c r="AA768" i="44" s="1"/>
  <c r="W722" i="44"/>
  <c r="X670" i="44"/>
  <c r="W663" i="44"/>
  <c r="X623" i="44"/>
  <c r="AA623" i="44" s="1"/>
  <c r="X549" i="44"/>
  <c r="AA549" i="44" s="1"/>
  <c r="W303" i="44"/>
  <c r="W259" i="44"/>
  <c r="X226" i="44"/>
  <c r="AA226" i="44" s="1"/>
  <c r="X101" i="44"/>
  <c r="AA101" i="44" s="1"/>
  <c r="W83" i="44"/>
  <c r="W74" i="44"/>
  <c r="X66" i="44"/>
  <c r="AA66" i="44" s="1"/>
  <c r="X46" i="44"/>
  <c r="W858" i="44"/>
  <c r="W842" i="44"/>
  <c r="X833" i="44"/>
  <c r="AA833" i="44" s="1"/>
  <c r="W777" i="44"/>
  <c r="W747" i="44"/>
  <c r="W669" i="44"/>
  <c r="X604" i="44"/>
  <c r="AA604" i="44" s="1"/>
  <c r="X596" i="44"/>
  <c r="AA596" i="44" s="1"/>
  <c r="X586" i="44"/>
  <c r="AA586" i="44" s="1"/>
  <c r="X518" i="44"/>
  <c r="AA518" i="44" s="1"/>
  <c r="W458" i="44"/>
  <c r="X439" i="44"/>
  <c r="W399" i="44"/>
  <c r="W339" i="44"/>
  <c r="X823" i="44"/>
  <c r="AA823" i="44" s="1"/>
  <c r="W728" i="44"/>
  <c r="W91" i="44"/>
  <c r="X82" i="44"/>
  <c r="X765" i="44"/>
  <c r="AA765" i="44" s="1"/>
  <c r="W438" i="44"/>
  <c r="X417" i="44"/>
  <c r="AA417" i="44" s="1"/>
  <c r="X381" i="44"/>
  <c r="AA381" i="44" s="1"/>
  <c r="X338" i="44"/>
  <c r="AA338" i="44" s="1"/>
  <c r="X301" i="44"/>
  <c r="AA301" i="44" s="1"/>
  <c r="X248" i="44"/>
  <c r="AA248" i="44" s="1"/>
  <c r="X177" i="44"/>
  <c r="AA177" i="44" s="1"/>
  <c r="X107" i="44"/>
  <c r="AA107" i="44" s="1"/>
  <c r="X99" i="44"/>
  <c r="AA99" i="44" s="1"/>
  <c r="W34" i="44"/>
  <c r="X741" i="44"/>
  <c r="AA741" i="44" s="1"/>
  <c r="W710" i="44"/>
  <c r="X701" i="44"/>
  <c r="AA701" i="44" s="1"/>
  <c r="W641" i="44"/>
  <c r="W443" i="44"/>
  <c r="X443" i="44"/>
  <c r="AA443" i="44" s="1"/>
  <c r="X560" i="44"/>
  <c r="AA560" i="44" s="1"/>
  <c r="W560" i="44"/>
  <c r="W442" i="44"/>
  <c r="X442" i="44"/>
  <c r="AA442" i="44" s="1"/>
  <c r="W254" i="44"/>
  <c r="X254" i="44"/>
  <c r="AA254" i="44" s="1"/>
  <c r="W944" i="44"/>
  <c r="W922" i="44"/>
  <c r="X906" i="44"/>
  <c r="AA906" i="44" s="1"/>
  <c r="W886" i="44"/>
  <c r="X877" i="44"/>
  <c r="AA877" i="44" s="1"/>
  <c r="X868" i="44"/>
  <c r="AA868" i="44" s="1"/>
  <c r="X846" i="44"/>
  <c r="X740" i="44"/>
  <c r="AA740" i="44" s="1"/>
  <c r="X709" i="44"/>
  <c r="AA709" i="44" s="1"/>
  <c r="W686" i="44"/>
  <c r="W673" i="44"/>
  <c r="X610" i="44"/>
  <c r="AA610" i="44" s="1"/>
  <c r="W575" i="44"/>
  <c r="X575" i="44"/>
  <c r="AA575" i="44" s="1"/>
  <c r="X488" i="44"/>
  <c r="AA488" i="44" s="1"/>
  <c r="W488" i="44"/>
  <c r="X305" i="44"/>
  <c r="AA305" i="44" s="1"/>
  <c r="W305" i="44"/>
  <c r="W211" i="44"/>
  <c r="X211" i="44"/>
  <c r="AA211" i="44" s="1"/>
  <c r="W852" i="44"/>
  <c r="X779" i="44"/>
  <c r="AA779" i="44" s="1"/>
  <c r="X685" i="44"/>
  <c r="AA685" i="44" s="1"/>
  <c r="X672" i="44"/>
  <c r="AA672" i="44" s="1"/>
  <c r="X633" i="44"/>
  <c r="AA633" i="44" s="1"/>
  <c r="W609" i="44"/>
  <c r="W573" i="44"/>
  <c r="X573" i="44"/>
  <c r="AA573" i="44" s="1"/>
  <c r="W548" i="44"/>
  <c r="X548" i="44"/>
  <c r="AA548" i="44" s="1"/>
  <c r="X508" i="44"/>
  <c r="AA508" i="44" s="1"/>
  <c r="W508" i="44"/>
  <c r="W467" i="44"/>
  <c r="X467" i="44"/>
  <c r="AA467" i="44" s="1"/>
  <c r="W260" i="44"/>
  <c r="X260" i="44"/>
  <c r="AA260" i="44" s="1"/>
  <c r="W419" i="44"/>
  <c r="X419" i="44"/>
  <c r="AA419" i="44" s="1"/>
  <c r="X218" i="44"/>
  <c r="AA218" i="44" s="1"/>
  <c r="W218" i="44"/>
  <c r="W58" i="44"/>
  <c r="X58" i="44"/>
  <c r="AA58" i="44" s="1"/>
  <c r="X975" i="44"/>
  <c r="AA975" i="44" s="1"/>
  <c r="W919" i="44"/>
  <c r="X827" i="44"/>
  <c r="AA827" i="44" s="1"/>
  <c r="X817" i="44"/>
  <c r="AA817" i="44" s="1"/>
  <c r="W769" i="44"/>
  <c r="X684" i="44"/>
  <c r="AA684" i="44" s="1"/>
  <c r="X677" i="44"/>
  <c r="AA677" i="44" s="1"/>
  <c r="X665" i="44"/>
  <c r="AA665" i="44" s="1"/>
  <c r="X632" i="44"/>
  <c r="AA632" i="44" s="1"/>
  <c r="W572" i="44"/>
  <c r="W485" i="44"/>
  <c r="X485" i="44"/>
  <c r="AA485" i="44" s="1"/>
  <c r="W383" i="44"/>
  <c r="X383" i="44"/>
  <c r="AA383" i="44" s="1"/>
  <c r="W268" i="44"/>
  <c r="X268" i="44"/>
  <c r="AA268" i="44" s="1"/>
  <c r="W465" i="44"/>
  <c r="X348" i="44"/>
  <c r="AA348" i="44" s="1"/>
  <c r="W348" i="44"/>
  <c r="W311" i="44"/>
  <c r="X311" i="44"/>
  <c r="AA311" i="44" s="1"/>
  <c r="X974" i="44"/>
  <c r="AA974" i="44" s="1"/>
  <c r="W941" i="44"/>
  <c r="X918" i="44"/>
  <c r="AA918" i="44" s="1"/>
  <c r="X890" i="44"/>
  <c r="AA890" i="44" s="1"/>
  <c r="X866" i="44"/>
  <c r="AA866" i="44" s="1"/>
  <c r="W563" i="44"/>
  <c r="X563" i="44"/>
  <c r="AA563" i="44" s="1"/>
  <c r="X832" i="44"/>
  <c r="AA832" i="44" s="1"/>
  <c r="X802" i="44"/>
  <c r="AA802" i="44" s="1"/>
  <c r="X688" i="44"/>
  <c r="AA688" i="44" s="1"/>
  <c r="W683" i="44"/>
  <c r="W589" i="44"/>
  <c r="X589" i="44"/>
  <c r="AA589" i="44" s="1"/>
  <c r="W570" i="44"/>
  <c r="X543" i="44"/>
  <c r="AA543" i="44" s="1"/>
  <c r="W543" i="44"/>
  <c r="W65" i="44"/>
  <c r="X65" i="44"/>
  <c r="AA65" i="44" s="1"/>
  <c r="W980" i="44"/>
  <c r="W940" i="44"/>
  <c r="X924" i="44"/>
  <c r="AA924" i="44" s="1"/>
  <c r="X901" i="44"/>
  <c r="AA901" i="44" s="1"/>
  <c r="X879" i="44"/>
  <c r="AA879" i="44" s="1"/>
  <c r="X783" i="44"/>
  <c r="AA783" i="44" s="1"/>
  <c r="X776" i="44"/>
  <c r="AA776" i="44" s="1"/>
  <c r="W758" i="44"/>
  <c r="X727" i="44"/>
  <c r="AA727" i="44" s="1"/>
  <c r="X675" i="44"/>
  <c r="AA675" i="44" s="1"/>
  <c r="X532" i="44"/>
  <c r="AA532" i="44" s="1"/>
  <c r="W532" i="44"/>
  <c r="W317" i="44"/>
  <c r="X317" i="44"/>
  <c r="AA317" i="44" s="1"/>
  <c r="X694" i="44"/>
  <c r="AA694" i="44" s="1"/>
  <c r="W682" i="44"/>
  <c r="W512" i="44"/>
  <c r="X435" i="44"/>
  <c r="AA435" i="44" s="1"/>
  <c r="W435" i="44"/>
  <c r="X280" i="44"/>
  <c r="AA280" i="44" s="1"/>
  <c r="W280" i="44"/>
  <c r="W246" i="44"/>
  <c r="X246" i="44"/>
  <c r="W203" i="44"/>
  <c r="X203" i="44"/>
  <c r="AA203" i="44" s="1"/>
  <c r="W176" i="44"/>
  <c r="X176" i="44"/>
  <c r="AA176" i="44" s="1"/>
  <c r="W125" i="44"/>
  <c r="X125" i="44"/>
  <c r="AA125" i="44" s="1"/>
  <c r="X420" i="44"/>
  <c r="AA420" i="44" s="1"/>
  <c r="X414" i="44"/>
  <c r="AA414" i="44" s="1"/>
  <c r="X407" i="44"/>
  <c r="AA407" i="44" s="1"/>
  <c r="X312" i="44"/>
  <c r="AA312" i="44" s="1"/>
  <c r="X538" i="44"/>
  <c r="AA538" i="44" s="1"/>
  <c r="W523" i="44"/>
  <c r="X472" i="44"/>
  <c r="AA472" i="44" s="1"/>
  <c r="X464" i="44"/>
  <c r="AA464" i="44" s="1"/>
  <c r="W457" i="44"/>
  <c r="X450" i="44"/>
  <c r="AA450" i="44" s="1"/>
  <c r="X425" i="44"/>
  <c r="AA425" i="44" s="1"/>
  <c r="X413" i="44"/>
  <c r="AA413" i="44" s="1"/>
  <c r="X396" i="44"/>
  <c r="AA396" i="44" s="1"/>
  <c r="X369" i="44"/>
  <c r="AA369" i="44" s="1"/>
  <c r="X334" i="44"/>
  <c r="AA334" i="44" s="1"/>
  <c r="X273" i="44"/>
  <c r="AA273" i="44" s="1"/>
  <c r="W195" i="44"/>
  <c r="X187" i="44"/>
  <c r="AA187" i="44" s="1"/>
  <c r="X154" i="44"/>
  <c r="AA154" i="44" s="1"/>
  <c r="X146" i="44"/>
  <c r="AA146" i="44" s="1"/>
  <c r="X139" i="44"/>
  <c r="AA139" i="44" s="1"/>
  <c r="X110" i="44"/>
  <c r="AA110" i="44" s="1"/>
  <c r="X44" i="44"/>
  <c r="AA44" i="44" s="1"/>
  <c r="X568" i="44"/>
  <c r="AA568" i="44" s="1"/>
  <c r="X562" i="44"/>
  <c r="AA562" i="44" s="1"/>
  <c r="W555" i="44"/>
  <c r="X531" i="44"/>
  <c r="AA531" i="44" s="1"/>
  <c r="W514" i="44"/>
  <c r="X441" i="44"/>
  <c r="AA441" i="44" s="1"/>
  <c r="W375" i="44"/>
  <c r="X347" i="44"/>
  <c r="AA347" i="44" s="1"/>
  <c r="W279" i="44"/>
  <c r="W267" i="44"/>
  <c r="X245" i="44"/>
  <c r="AA245" i="44" s="1"/>
  <c r="X175" i="44"/>
  <c r="AA175" i="44" s="1"/>
  <c r="W94" i="44"/>
  <c r="X50" i="44"/>
  <c r="AA50" i="44" s="1"/>
  <c r="X30" i="44"/>
  <c r="AA30" i="44" s="1"/>
  <c r="X201" i="44"/>
  <c r="AA201" i="44" s="1"/>
  <c r="W160" i="44"/>
  <c r="X138" i="44"/>
  <c r="AA138" i="44" s="1"/>
  <c r="W116" i="44"/>
  <c r="W87" i="44"/>
  <c r="W35" i="44"/>
  <c r="W454" i="44"/>
  <c r="W423" i="44"/>
  <c r="W402" i="44"/>
  <c r="X373" i="44"/>
  <c r="AA373" i="44" s="1"/>
  <c r="X346" i="44"/>
  <c r="AA346" i="44" s="1"/>
  <c r="X332" i="44"/>
  <c r="AA332" i="44" s="1"/>
  <c r="W294" i="44"/>
  <c r="X174" i="44"/>
  <c r="AA174" i="44" s="1"/>
  <c r="X167" i="44"/>
  <c r="AA167" i="44" s="1"/>
  <c r="W159" i="44"/>
  <c r="X128" i="44"/>
  <c r="AA128" i="44" s="1"/>
  <c r="X86" i="44"/>
  <c r="AA86" i="44" s="1"/>
  <c r="X77" i="44"/>
  <c r="AA77" i="44" s="1"/>
  <c r="X453" i="44"/>
  <c r="AA453" i="44" s="1"/>
  <c r="X422" i="44"/>
  <c r="AA422" i="44" s="1"/>
  <c r="X409" i="44"/>
  <c r="AA409" i="44" s="1"/>
  <c r="X386" i="44"/>
  <c r="AA386" i="44" s="1"/>
  <c r="W365" i="44"/>
  <c r="X345" i="44"/>
  <c r="AA345" i="44" s="1"/>
  <c r="X321" i="44"/>
  <c r="AA321" i="44" s="1"/>
  <c r="W307" i="44"/>
  <c r="W249" i="44"/>
  <c r="W214" i="44"/>
  <c r="X206" i="44"/>
  <c r="X183" i="44"/>
  <c r="AA183" i="44" s="1"/>
  <c r="X178" i="44"/>
  <c r="AA178" i="44" s="1"/>
  <c r="X173" i="44"/>
  <c r="AA173" i="44" s="1"/>
  <c r="X158" i="44"/>
  <c r="AA158" i="44" s="1"/>
  <c r="W151" i="44"/>
  <c r="X135" i="44"/>
  <c r="AA135" i="44" s="1"/>
  <c r="X127" i="44"/>
  <c r="AA127" i="44" s="1"/>
  <c r="X92" i="44"/>
  <c r="AA92" i="44" s="1"/>
  <c r="X62" i="44"/>
  <c r="AA62" i="44" s="1"/>
  <c r="X55" i="44"/>
  <c r="AA55" i="44" s="1"/>
  <c r="X47" i="44"/>
  <c r="AA47" i="44" s="1"/>
  <c r="X142" i="44"/>
  <c r="AA142" i="44" s="1"/>
  <c r="X26" i="44"/>
  <c r="AA697" i="44"/>
  <c r="AA704" i="44"/>
  <c r="AA870" i="44"/>
  <c r="AA693" i="44"/>
  <c r="W588" i="44"/>
  <c r="X588" i="44"/>
  <c r="X527" i="44"/>
  <c r="W527" i="44"/>
  <c r="W506" i="44"/>
  <c r="X506" i="44"/>
  <c r="AA506" i="44" s="1"/>
  <c r="AA458" i="44"/>
  <c r="AA415" i="44"/>
  <c r="AA339" i="44"/>
  <c r="AA299" i="44"/>
  <c r="W130" i="44"/>
  <c r="X130" i="44"/>
  <c r="AA116" i="44"/>
  <c r="AA87" i="44"/>
  <c r="X969" i="44"/>
  <c r="AA969" i="44" s="1"/>
  <c r="X963" i="44"/>
  <c r="X937" i="44"/>
  <c r="AA937" i="44" s="1"/>
  <c r="X931" i="44"/>
  <c r="AA920" i="44"/>
  <c r="X915" i="44"/>
  <c r="W878" i="44"/>
  <c r="X861" i="44"/>
  <c r="AA861" i="44" s="1"/>
  <c r="AA856" i="44"/>
  <c r="X826" i="44"/>
  <c r="X798" i="44"/>
  <c r="X788" i="44"/>
  <c r="X757" i="44"/>
  <c r="AA757" i="44" s="1"/>
  <c r="X739" i="44"/>
  <c r="X729" i="44"/>
  <c r="X708" i="44"/>
  <c r="W662" i="44"/>
  <c r="X657" i="44"/>
  <c r="X653" i="44"/>
  <c r="X649" i="44"/>
  <c r="AA612" i="44"/>
  <c r="X598" i="44"/>
  <c r="AA598" i="44" s="1"/>
  <c r="W579" i="44"/>
  <c r="X579" i="44"/>
  <c r="AA315" i="44"/>
  <c r="W310" i="44"/>
  <c r="X310" i="44"/>
  <c r="AA298" i="44"/>
  <c r="AA159" i="44"/>
  <c r="W594" i="44"/>
  <c r="X594" i="44"/>
  <c r="W451" i="44"/>
  <c r="X451" i="44"/>
  <c r="W958" i="44"/>
  <c r="W904" i="44"/>
  <c r="W883" i="44"/>
  <c r="W830" i="44"/>
  <c r="W821" i="44"/>
  <c r="W816" i="44"/>
  <c r="W771" i="44"/>
  <c r="X766" i="44"/>
  <c r="W746" i="44"/>
  <c r="X720" i="44"/>
  <c r="AA720" i="44" s="1"/>
  <c r="X712" i="44"/>
  <c r="W638" i="44"/>
  <c r="W612" i="44"/>
  <c r="X608" i="44"/>
  <c r="AA608" i="44" s="1"/>
  <c r="X603" i="44"/>
  <c r="AA603" i="44" s="1"/>
  <c r="X400" i="44"/>
  <c r="W400" i="44"/>
  <c r="AA371" i="44"/>
  <c r="AA323" i="44"/>
  <c r="AA206" i="44"/>
  <c r="AA143" i="44"/>
  <c r="W122" i="44"/>
  <c r="X122" i="44"/>
  <c r="AA56" i="44"/>
  <c r="AA592" i="44"/>
  <c r="X578" i="44"/>
  <c r="W578" i="44"/>
  <c r="AA553" i="44"/>
  <c r="X471" i="44"/>
  <c r="W471" i="44"/>
  <c r="W296" i="44"/>
  <c r="X296" i="44"/>
  <c r="AA296" i="44" s="1"/>
  <c r="AA247" i="44"/>
  <c r="W213" i="44"/>
  <c r="X213" i="44"/>
  <c r="AA213" i="44" s="1"/>
  <c r="AA151" i="44"/>
  <c r="W968" i="44"/>
  <c r="X951" i="44"/>
  <c r="W914" i="44"/>
  <c r="X888" i="44"/>
  <c r="AA888" i="44" s="1"/>
  <c r="X882" i="44"/>
  <c r="AA882" i="44" s="1"/>
  <c r="W860" i="44"/>
  <c r="W840" i="44"/>
  <c r="X820" i="44"/>
  <c r="AA820" i="44" s="1"/>
  <c r="X815" i="44"/>
  <c r="AA815" i="44" s="1"/>
  <c r="W806" i="44"/>
  <c r="W790" i="44"/>
  <c r="X707" i="44"/>
  <c r="AA707" i="44" s="1"/>
  <c r="X651" i="44"/>
  <c r="AA651" i="44" s="1"/>
  <c r="X642" i="44"/>
  <c r="AA642" i="44" s="1"/>
  <c r="W616" i="44"/>
  <c r="X611" i="44"/>
  <c r="AA611" i="44" s="1"/>
  <c r="W592" i="44"/>
  <c r="X585" i="44"/>
  <c r="X552" i="44"/>
  <c r="W552" i="44"/>
  <c r="W545" i="44"/>
  <c r="X545" i="44"/>
  <c r="AA545" i="44" s="1"/>
  <c r="W455" i="44"/>
  <c r="X455" i="44"/>
  <c r="AA455" i="44" s="1"/>
  <c r="W337" i="44"/>
  <c r="X337" i="44"/>
  <c r="AA212" i="44"/>
  <c r="AA75" i="44"/>
  <c r="W68" i="44"/>
  <c r="X68" i="44"/>
  <c r="X602" i="44"/>
  <c r="W602" i="44"/>
  <c r="X478" i="44"/>
  <c r="W478" i="44"/>
  <c r="AA440" i="44"/>
  <c r="W378" i="44"/>
  <c r="X378" i="44"/>
  <c r="AA378" i="44" s="1"/>
  <c r="AA267" i="44"/>
  <c r="AA119" i="44"/>
  <c r="W105" i="44"/>
  <c r="X105" i="44"/>
  <c r="AA105" i="44" s="1"/>
  <c r="AA91" i="44"/>
  <c r="AA83" i="44"/>
  <c r="AA27" i="44"/>
  <c r="X962" i="44"/>
  <c r="W935" i="44"/>
  <c r="X913" i="44"/>
  <c r="AA913" i="44" s="1"/>
  <c r="X903" i="44"/>
  <c r="X850" i="44"/>
  <c r="W845" i="44"/>
  <c r="X839" i="44"/>
  <c r="AA839" i="44" s="1"/>
  <c r="X825" i="44"/>
  <c r="AA818" i="44"/>
  <c r="X805" i="44"/>
  <c r="AA805" i="44" s="1"/>
  <c r="X801" i="44"/>
  <c r="X781" i="44"/>
  <c r="X759" i="44"/>
  <c r="X754" i="44"/>
  <c r="AA754" i="44" s="1"/>
  <c r="X749" i="44"/>
  <c r="AA749" i="44" s="1"/>
  <c r="X745" i="44"/>
  <c r="W737" i="44"/>
  <c r="X718" i="44"/>
  <c r="X715" i="44"/>
  <c r="X664" i="44"/>
  <c r="AA664" i="44" s="1"/>
  <c r="X660" i="44"/>
  <c r="X656" i="44"/>
  <c r="AA650" i="44"/>
  <c r="W626" i="44"/>
  <c r="AA614" i="44"/>
  <c r="X607" i="44"/>
  <c r="W576" i="44"/>
  <c r="X491" i="44"/>
  <c r="W491" i="44"/>
  <c r="W391" i="44"/>
  <c r="X391" i="44"/>
  <c r="AA391" i="44" s="1"/>
  <c r="AA188" i="44"/>
  <c r="AA74" i="44"/>
  <c r="AA580" i="44"/>
  <c r="AA290" i="44"/>
  <c r="W550" i="44"/>
  <c r="X550" i="44"/>
  <c r="W517" i="44"/>
  <c r="X517" i="44"/>
  <c r="X476" i="44"/>
  <c r="AA476" i="44" s="1"/>
  <c r="W476" i="44"/>
  <c r="W445" i="44"/>
  <c r="X445" i="44"/>
  <c r="AA445" i="44" s="1"/>
  <c r="X343" i="44"/>
  <c r="AA343" i="44" s="1"/>
  <c r="W343" i="44"/>
  <c r="AA335" i="44"/>
  <c r="AA224" i="44"/>
  <c r="AA140" i="44"/>
  <c r="AA111" i="44"/>
  <c r="X264" i="44"/>
  <c r="W264" i="44"/>
  <c r="AA717" i="44"/>
  <c r="AA542" i="44"/>
  <c r="X535" i="44"/>
  <c r="AA535" i="44" s="1"/>
  <c r="W535" i="44"/>
  <c r="AA521" i="44"/>
  <c r="AA411" i="44"/>
  <c r="AA375" i="44"/>
  <c r="X328" i="44"/>
  <c r="W328" i="44"/>
  <c r="AA195" i="44"/>
  <c r="AA163" i="44"/>
  <c r="W147" i="44"/>
  <c r="X147" i="44"/>
  <c r="AA39" i="44"/>
  <c r="X949" i="44"/>
  <c r="X939" i="44"/>
  <c r="X863" i="44"/>
  <c r="X849" i="44"/>
  <c r="AA849" i="44" s="1"/>
  <c r="AA842" i="44"/>
  <c r="X824" i="44"/>
  <c r="AA824" i="44" s="1"/>
  <c r="W818" i="44"/>
  <c r="AA813" i="44"/>
  <c r="W800" i="44"/>
  <c r="X764" i="44"/>
  <c r="X736" i="44"/>
  <c r="X714" i="44"/>
  <c r="X705" i="44"/>
  <c r="X681" i="44"/>
  <c r="X671" i="44"/>
  <c r="AA667" i="44"/>
  <c r="X655" i="44"/>
  <c r="AA655" i="44" s="1"/>
  <c r="W650" i="44"/>
  <c r="X645" i="44"/>
  <c r="W614" i="44"/>
  <c r="W542" i="44"/>
  <c r="X534" i="44"/>
  <c r="AA534" i="44" s="1"/>
  <c r="W534" i="44"/>
  <c r="W521" i="44"/>
  <c r="X431" i="44"/>
  <c r="AA431" i="44" s="1"/>
  <c r="W382" i="44"/>
  <c r="X382" i="44"/>
  <c r="AA382" i="44" s="1"/>
  <c r="X360" i="44"/>
  <c r="AA360" i="44" s="1"/>
  <c r="X292" i="44"/>
  <c r="W292" i="44"/>
  <c r="AA236" i="44"/>
  <c r="AA103" i="44"/>
  <c r="AA609" i="44"/>
  <c r="AA514" i="44"/>
  <c r="X277" i="44"/>
  <c r="AA277" i="44" s="1"/>
  <c r="W277" i="44"/>
  <c r="W170" i="44"/>
  <c r="X170" i="44"/>
  <c r="AA170" i="44" s="1"/>
  <c r="AA131" i="44"/>
  <c r="W102" i="44"/>
  <c r="X102" i="44"/>
  <c r="AA102" i="44" s="1"/>
  <c r="W80" i="44"/>
  <c r="X80" i="44"/>
  <c r="AA38" i="44"/>
  <c r="W447" i="44"/>
  <c r="W406" i="44"/>
  <c r="W361" i="44"/>
  <c r="W298" i="44"/>
  <c r="W250" i="44"/>
  <c r="W247" i="44"/>
  <c r="W224" i="44"/>
  <c r="W188" i="44"/>
  <c r="W166" i="44"/>
  <c r="W163" i="44"/>
  <c r="W140" i="44"/>
  <c r="W131" i="44"/>
  <c r="W106" i="44"/>
  <c r="W103" i="44"/>
  <c r="W98" i="44"/>
  <c r="X155" i="44"/>
  <c r="AA155" i="44" s="1"/>
  <c r="X117" i="44"/>
  <c r="AA117" i="44" s="1"/>
  <c r="X114" i="44"/>
  <c r="AA114" i="44" s="1"/>
  <c r="X89" i="44"/>
  <c r="AA89" i="44" s="1"/>
  <c r="X59" i="44"/>
  <c r="X51" i="44"/>
  <c r="X43" i="44"/>
  <c r="X537" i="44"/>
  <c r="X519" i="44"/>
  <c r="X470" i="44"/>
  <c r="AA470" i="44" s="1"/>
  <c r="W436" i="44"/>
  <c r="W424" i="44"/>
  <c r="X408" i="44"/>
  <c r="AA408" i="44" s="1"/>
  <c r="X404" i="44"/>
  <c r="W364" i="44"/>
  <c r="W322" i="44"/>
  <c r="W316" i="44"/>
  <c r="X287" i="44"/>
  <c r="X263" i="44"/>
  <c r="AA263" i="44" s="1"/>
  <c r="W253" i="44"/>
  <c r="X209" i="44"/>
  <c r="X113" i="44"/>
  <c r="AA113" i="44" s="1"/>
  <c r="W554" i="44"/>
  <c r="X541" i="44"/>
  <c r="W515" i="44"/>
  <c r="X490" i="44"/>
  <c r="AA388" i="44"/>
  <c r="X544" i="44"/>
  <c r="AA544" i="44" s="1"/>
  <c r="X510" i="44"/>
  <c r="X349" i="44"/>
  <c r="AA349" i="44" s="1"/>
  <c r="X331" i="44"/>
  <c r="AA331" i="44" s="1"/>
  <c r="W326" i="44"/>
  <c r="X295" i="44"/>
  <c r="X275" i="44"/>
  <c r="X225" i="44"/>
  <c r="X186" i="44"/>
  <c r="AA186" i="44" s="1"/>
  <c r="X141" i="44"/>
  <c r="AA141" i="44" s="1"/>
  <c r="X79" i="44"/>
  <c r="X70" i="44"/>
  <c r="AA70" i="44" s="1"/>
  <c r="X67" i="44"/>
  <c r="X42" i="44"/>
  <c r="AA463" i="44"/>
  <c r="AA418" i="44"/>
  <c r="X393" i="44"/>
  <c r="W388" i="44"/>
  <c r="X367" i="44"/>
  <c r="AA367" i="44" s="1"/>
  <c r="W362" i="44"/>
  <c r="W325" i="44"/>
  <c r="X256" i="44"/>
  <c r="X243" i="44"/>
  <c r="X237" i="44"/>
  <c r="X221" i="44"/>
  <c r="X207" i="44"/>
  <c r="X202" i="44"/>
  <c r="AA202" i="44" s="1"/>
  <c r="X199" i="44"/>
  <c r="X194" i="44"/>
  <c r="W172" i="44"/>
  <c r="X150" i="44"/>
  <c r="X57" i="44"/>
  <c r="AA57" i="44" s="1"/>
  <c r="X54" i="44"/>
  <c r="AA54" i="44" s="1"/>
  <c r="X41" i="44"/>
  <c r="AA41" i="44" s="1"/>
  <c r="W255" i="44"/>
  <c r="X78" i="44"/>
  <c r="X53" i="44"/>
  <c r="AA53" i="44" s="1"/>
  <c r="AA955" i="44"/>
  <c r="AA934" i="44"/>
  <c r="AA928" i="44"/>
  <c r="AA886" i="44"/>
  <c r="AA873" i="44"/>
  <c r="AA576" i="44"/>
  <c r="AA943" i="44"/>
  <c r="AA923" i="44"/>
  <c r="AA902" i="44"/>
  <c r="AA964" i="44"/>
  <c r="AA922" i="44"/>
  <c r="AA639" i="44"/>
  <c r="AA800" i="44"/>
  <c r="AA970" i="44"/>
  <c r="AA852" i="44"/>
  <c r="AA713" i="44"/>
  <c r="AA946" i="44"/>
  <c r="AA878" i="44"/>
  <c r="AA958" i="44"/>
  <c r="AA904" i="44"/>
  <c r="AA883" i="44"/>
  <c r="AA847" i="44"/>
  <c r="AA841" i="44"/>
  <c r="AA816" i="44"/>
  <c r="AA980" i="44"/>
  <c r="AA899" i="44"/>
  <c r="AA606" i="44"/>
  <c r="AA968" i="44"/>
  <c r="AA914" i="44"/>
  <c r="AA647" i="44"/>
  <c r="AA940" i="44"/>
  <c r="AA919" i="44"/>
  <c r="AA978" i="44"/>
  <c r="AA935" i="44"/>
  <c r="AA897" i="44"/>
  <c r="AA966" i="44"/>
  <c r="AA950" i="44"/>
  <c r="AA907" i="44"/>
  <c r="AA828" i="44"/>
  <c r="AA438" i="44"/>
  <c r="W730" i="44"/>
  <c r="X730" i="44"/>
  <c r="W679" i="44"/>
  <c r="X679" i="44"/>
  <c r="W624" i="44"/>
  <c r="X617" i="44"/>
  <c r="W590" i="44"/>
  <c r="AA572" i="44"/>
  <c r="X569" i="44"/>
  <c r="W558" i="44"/>
  <c r="X558" i="44"/>
  <c r="X551" i="44"/>
  <c r="AA526" i="44"/>
  <c r="W486" i="44"/>
  <c r="X486" i="44"/>
  <c r="X434" i="44"/>
  <c r="W648" i="44"/>
  <c r="X648" i="44"/>
  <c r="X627" i="44"/>
  <c r="W627" i="44"/>
  <c r="W522" i="44"/>
  <c r="X522" i="44"/>
  <c r="W516" i="44"/>
  <c r="X516" i="44"/>
  <c r="W503" i="44"/>
  <c r="X503" i="44"/>
  <c r="X499" i="44"/>
  <c r="W499" i="44"/>
  <c r="AA473" i="44"/>
  <c r="X433" i="44"/>
  <c r="W433" i="44"/>
  <c r="AA259" i="44"/>
  <c r="W333" i="44"/>
  <c r="X333" i="44"/>
  <c r="W449" i="44"/>
  <c r="X449" i="44"/>
  <c r="W389" i="44"/>
  <c r="X389" i="44"/>
  <c r="X808" i="44"/>
  <c r="X795" i="44"/>
  <c r="X772" i="44"/>
  <c r="X762" i="44"/>
  <c r="X933" i="44"/>
  <c r="X844" i="44"/>
  <c r="X835" i="44"/>
  <c r="X938" i="44"/>
  <c r="W897" i="44"/>
  <c r="X865" i="44"/>
  <c r="X862" i="44"/>
  <c r="W853" i="44"/>
  <c r="X853" i="44"/>
  <c r="W841" i="44"/>
  <c r="W695" i="44"/>
  <c r="X557" i="44"/>
  <c r="X547" i="44"/>
  <c r="W507" i="44"/>
  <c r="X507" i="44"/>
  <c r="W498" i="44"/>
  <c r="W978" i="44"/>
  <c r="X973" i="44"/>
  <c r="W966" i="44"/>
  <c r="X961" i="44"/>
  <c r="X953" i="44"/>
  <c r="X948" i="44"/>
  <c r="W943" i="44"/>
  <c r="AA932" i="44"/>
  <c r="X930" i="44"/>
  <c r="X925" i="44"/>
  <c r="X917" i="44"/>
  <c r="X912" i="44"/>
  <c r="W907" i="44"/>
  <c r="W902" i="44"/>
  <c r="AA896" i="44"/>
  <c r="X894" i="44"/>
  <c r="X889" i="44"/>
  <c r="X881" i="44"/>
  <c r="X876" i="44"/>
  <c r="X859" i="44"/>
  <c r="W856" i="44"/>
  <c r="W847" i="44"/>
  <c r="W831" i="44"/>
  <c r="W828" i="44"/>
  <c r="X822" i="44"/>
  <c r="X819" i="44"/>
  <c r="X791" i="44"/>
  <c r="X778" i="44"/>
  <c r="X775" i="44"/>
  <c r="X698" i="44"/>
  <c r="W698" i="44"/>
  <c r="X691" i="44"/>
  <c r="X674" i="44"/>
  <c r="W674" i="44"/>
  <c r="W647" i="44"/>
  <c r="W644" i="44"/>
  <c r="W606" i="44"/>
  <c r="W564" i="44"/>
  <c r="W540" i="44"/>
  <c r="X502" i="44"/>
  <c r="W473" i="44"/>
  <c r="X971" i="44"/>
  <c r="W964" i="44"/>
  <c r="W946" i="44"/>
  <c r="W928" i="44"/>
  <c r="W923" i="44"/>
  <c r="W678" i="44"/>
  <c r="X678" i="44"/>
  <c r="AA498" i="44"/>
  <c r="W884" i="44"/>
  <c r="X785" i="44"/>
  <c r="X726" i="44"/>
  <c r="W723" i="44"/>
  <c r="X719" i="44"/>
  <c r="W654" i="44"/>
  <c r="W526" i="44"/>
  <c r="AA977" i="44"/>
  <c r="AA942" i="44"/>
  <c r="AA846" i="44"/>
  <c r="X834" i="44"/>
  <c r="W807" i="44"/>
  <c r="AA777" i="44"/>
  <c r="X761" i="44"/>
  <c r="X748" i="44"/>
  <c r="X732" i="44"/>
  <c r="X702" i="44"/>
  <c r="X687" i="44"/>
  <c r="AA673" i="44"/>
  <c r="X640" i="44"/>
  <c r="X630" i="44"/>
  <c r="X599" i="44"/>
  <c r="W553" i="44"/>
  <c r="X546" i="44"/>
  <c r="AA539" i="44"/>
  <c r="X529" i="44"/>
  <c r="X525" i="44"/>
  <c r="W497" i="44"/>
  <c r="X497" i="44"/>
  <c r="AA484" i="44"/>
  <c r="X477" i="44"/>
  <c r="X469" i="44"/>
  <c r="X456" i="44"/>
  <c r="W397" i="44"/>
  <c r="X397" i="44"/>
  <c r="AA385" i="44"/>
  <c r="X363" i="44"/>
  <c r="W363" i="44"/>
  <c r="X910" i="44"/>
  <c r="X887" i="44"/>
  <c r="X871" i="44"/>
  <c r="X792" i="44"/>
  <c r="X782" i="44"/>
  <c r="W782" i="44"/>
  <c r="W756" i="44"/>
  <c r="X838" i="44"/>
  <c r="W703" i="44"/>
  <c r="X703" i="44"/>
  <c r="W956" i="44"/>
  <c r="X804" i="44"/>
  <c r="X843" i="44"/>
  <c r="W843" i="44"/>
  <c r="AA821" i="44"/>
  <c r="AA770" i="44"/>
  <c r="AA670" i="44"/>
  <c r="W615" i="44"/>
  <c r="X615" i="44"/>
  <c r="W574" i="44"/>
  <c r="X574" i="44"/>
  <c r="X571" i="44"/>
  <c r="X556" i="44"/>
  <c r="W539" i="44"/>
  <c r="X496" i="44"/>
  <c r="W496" i="44"/>
  <c r="X489" i="44"/>
  <c r="W484" i="44"/>
  <c r="X480" i="44"/>
  <c r="W468" i="44"/>
  <c r="X468" i="44"/>
  <c r="AA459" i="44"/>
  <c r="AA447" i="44"/>
  <c r="W410" i="44"/>
  <c r="X410" i="44"/>
  <c r="X976" i="44"/>
  <c r="AA515" i="44"/>
  <c r="X511" i="44"/>
  <c r="W511" i="44"/>
  <c r="W920" i="44"/>
  <c r="W755" i="44"/>
  <c r="W752" i="44"/>
  <c r="W713" i="44"/>
  <c r="W706" i="44"/>
  <c r="AA593" i="44"/>
  <c r="W932" i="44"/>
  <c r="W896" i="44"/>
  <c r="X864" i="44"/>
  <c r="X797" i="44"/>
  <c r="W774" i="44"/>
  <c r="X767" i="44"/>
  <c r="X760" i="44"/>
  <c r="X751" i="44"/>
  <c r="X744" i="44"/>
  <c r="W735" i="44"/>
  <c r="X646" i="44"/>
  <c r="X643" i="44"/>
  <c r="X636" i="44"/>
  <c r="W629" i="44"/>
  <c r="X629" i="44"/>
  <c r="W622" i="44"/>
  <c r="X622" i="44"/>
  <c r="AA601" i="44"/>
  <c r="W581" i="44"/>
  <c r="X581" i="44"/>
  <c r="AA570" i="44"/>
  <c r="W528" i="44"/>
  <c r="X528" i="44"/>
  <c r="W492" i="44"/>
  <c r="X492" i="44"/>
  <c r="W421" i="44"/>
  <c r="X421" i="44"/>
  <c r="W384" i="44"/>
  <c r="X384" i="44"/>
  <c r="X811" i="44"/>
  <c r="AA755" i="44"/>
  <c r="X692" i="44"/>
  <c r="W676" i="44"/>
  <c r="X676" i="44"/>
  <c r="W595" i="44"/>
  <c r="X595" i="44"/>
  <c r="AA520" i="44"/>
  <c r="AA483" i="44"/>
  <c r="X401" i="44"/>
  <c r="W401" i="44"/>
  <c r="AA370" i="44"/>
  <c r="W874" i="44"/>
  <c r="X972" i="44"/>
  <c r="AA954" i="44"/>
  <c r="X947" i="44"/>
  <c r="X880" i="44"/>
  <c r="X875" i="44"/>
  <c r="X809" i="44"/>
  <c r="X793" i="44"/>
  <c r="X787" i="44"/>
  <c r="W780" i="44"/>
  <c r="W770" i="44"/>
  <c r="X750" i="44"/>
  <c r="X721" i="44"/>
  <c r="X711" i="44"/>
  <c r="X680" i="44"/>
  <c r="X659" i="44"/>
  <c r="X652" i="44"/>
  <c r="X625" i="44"/>
  <c r="X618" i="44"/>
  <c r="X587" i="44"/>
  <c r="X584" i="44"/>
  <c r="X577" i="44"/>
  <c r="X566" i="44"/>
  <c r="W566" i="44"/>
  <c r="W513" i="44"/>
  <c r="X513" i="44"/>
  <c r="X505" i="44"/>
  <c r="X495" i="44"/>
  <c r="X429" i="44"/>
  <c r="W405" i="44"/>
  <c r="X405" i="44"/>
  <c r="X366" i="44"/>
  <c r="W366" i="44"/>
  <c r="X959" i="44"/>
  <c r="X892" i="44"/>
  <c r="X733" i="44"/>
  <c r="X952" i="44"/>
  <c r="X916" i="44"/>
  <c r="X911" i="44"/>
  <c r="AA900" i="44"/>
  <c r="X898" i="44"/>
  <c r="X979" i="44"/>
  <c r="X967" i="44"/>
  <c r="X957" i="44"/>
  <c r="W934" i="44"/>
  <c r="X921" i="44"/>
  <c r="X885" i="44"/>
  <c r="W872" i="44"/>
  <c r="X869" i="44"/>
  <c r="AA848" i="44"/>
  <c r="X836" i="44"/>
  <c r="W799" i="44"/>
  <c r="X799" i="44"/>
  <c r="W796" i="44"/>
  <c r="AA786" i="44"/>
  <c r="X773" i="44"/>
  <c r="X763" i="44"/>
  <c r="AA756" i="44"/>
  <c r="X743" i="44"/>
  <c r="W700" i="44"/>
  <c r="X700" i="44"/>
  <c r="AA682" i="44"/>
  <c r="W666" i="44"/>
  <c r="AA662" i="44"/>
  <c r="W635" i="44"/>
  <c r="X628" i="44"/>
  <c r="AA624" i="44"/>
  <c r="W591" i="44"/>
  <c r="W580" i="44"/>
  <c r="X559" i="44"/>
  <c r="AA494" i="44"/>
  <c r="AA439" i="44"/>
  <c r="W699" i="44"/>
  <c r="AA874" i="44"/>
  <c r="W689" i="44"/>
  <c r="X689" i="44"/>
  <c r="AA590" i="44"/>
  <c r="W583" i="44"/>
  <c r="X583" i="44"/>
  <c r="AA512" i="44"/>
  <c r="W466" i="44"/>
  <c r="X466" i="44"/>
  <c r="W428" i="44"/>
  <c r="X428" i="44"/>
  <c r="W342" i="44"/>
  <c r="X342" i="44"/>
  <c r="X358" i="44"/>
  <c r="W358" i="44"/>
  <c r="X448" i="44"/>
  <c r="W448" i="44"/>
  <c r="AA444" i="44"/>
  <c r="W372" i="44"/>
  <c r="X372" i="44"/>
  <c r="AA356" i="44"/>
  <c r="AA454" i="44"/>
  <c r="AA423" i="44"/>
  <c r="AA403" i="44"/>
  <c r="AA330" i="44"/>
  <c r="W403" i="44"/>
  <c r="W355" i="44"/>
  <c r="X355" i="44"/>
  <c r="AA487" i="44"/>
  <c r="AA406" i="44"/>
  <c r="X320" i="44"/>
  <c r="W320" i="44"/>
  <c r="X536" i="44"/>
  <c r="X524" i="44"/>
  <c r="X500" i="44"/>
  <c r="W487" i="44"/>
  <c r="X481" i="44"/>
  <c r="X461" i="44"/>
  <c r="AA457" i="44"/>
  <c r="X398" i="44"/>
  <c r="AA379" i="44"/>
  <c r="AA683" i="44"/>
  <c r="W474" i="44"/>
  <c r="X474" i="44"/>
  <c r="W446" i="44"/>
  <c r="X446" i="44"/>
  <c r="X430" i="44"/>
  <c r="W430" i="44"/>
  <c r="W374" i="44"/>
  <c r="X374" i="44"/>
  <c r="X329" i="44"/>
  <c r="W329" i="44"/>
  <c r="X341" i="44"/>
  <c r="W341" i="44"/>
  <c r="AA325" i="44"/>
  <c r="W313" i="44"/>
  <c r="AA306" i="44"/>
  <c r="W302" i="44"/>
  <c r="W270" i="44"/>
  <c r="X270" i="44"/>
  <c r="X265" i="44"/>
  <c r="W265" i="44"/>
  <c r="X340" i="44"/>
  <c r="W340" i="44"/>
  <c r="W324" i="44"/>
  <c r="X324" i="44"/>
  <c r="AA294" i="44"/>
  <c r="X286" i="44"/>
  <c r="W286" i="44"/>
  <c r="AA246" i="44"/>
  <c r="W354" i="44"/>
  <c r="X354" i="44"/>
  <c r="X319" i="44"/>
  <c r="X285" i="44"/>
  <c r="AA308" i="44"/>
  <c r="X304" i="44"/>
  <c r="W304" i="44"/>
  <c r="X293" i="44"/>
  <c r="W293" i="44"/>
  <c r="X284" i="44"/>
  <c r="W284" i="44"/>
  <c r="W504" i="44"/>
  <c r="X504" i="44"/>
  <c r="AA465" i="44"/>
  <c r="W463" i="44"/>
  <c r="W460" i="44"/>
  <c r="W437" i="44"/>
  <c r="X427" i="44"/>
  <c r="W418" i="44"/>
  <c r="W394" i="44"/>
  <c r="X390" i="44"/>
  <c r="X377" i="44"/>
  <c r="W377" i="44"/>
  <c r="AA361" i="44"/>
  <c r="W353" i="44"/>
  <c r="X353" i="44"/>
  <c r="X318" i="44"/>
  <c r="W308" i="44"/>
  <c r="AA303" i="44"/>
  <c r="AA357" i="44"/>
  <c r="W283" i="44"/>
  <c r="X283" i="44"/>
  <c r="W262" i="44"/>
  <c r="X262" i="44"/>
  <c r="X327" i="44"/>
  <c r="W327" i="44"/>
  <c r="AA322" i="44"/>
  <c r="W288" i="44"/>
  <c r="X288" i="44"/>
  <c r="W282" i="44"/>
  <c r="X282" i="44"/>
  <c r="W261" i="44"/>
  <c r="X261" i="44"/>
  <c r="X281" i="44"/>
  <c r="AA266" i="44"/>
  <c r="W229" i="44"/>
  <c r="X229" i="44"/>
  <c r="AA313" i="44"/>
  <c r="X210" i="44"/>
  <c r="W192" i="44"/>
  <c r="X192" i="44"/>
  <c r="W297" i="44"/>
  <c r="X297" i="44"/>
  <c r="X276" i="44"/>
  <c r="W276" i="44"/>
  <c r="W217" i="44"/>
  <c r="X217" i="44"/>
  <c r="AA191" i="44"/>
  <c r="AA250" i="44"/>
  <c r="W228" i="44"/>
  <c r="X228" i="44"/>
  <c r="X208" i="44"/>
  <c r="W208" i="44"/>
  <c r="X412" i="44"/>
  <c r="W412" i="44"/>
  <c r="X376" i="44"/>
  <c r="W376" i="44"/>
  <c r="AA289" i="44"/>
  <c r="AA249" i="44"/>
  <c r="W239" i="44"/>
  <c r="AA227" i="44"/>
  <c r="W220" i="44"/>
  <c r="AA242" i="44"/>
  <c r="W238" i="44"/>
  <c r="X238" i="44"/>
  <c r="AA215" i="44"/>
  <c r="X252" i="44"/>
  <c r="W252" i="44"/>
  <c r="W242" i="44"/>
  <c r="W234" i="44"/>
  <c r="X234" i="44"/>
  <c r="AA214" i="44"/>
  <c r="AA184" i="44"/>
  <c r="AA255" i="44"/>
  <c r="AA244" i="44"/>
  <c r="W222" i="44"/>
  <c r="X222" i="44"/>
  <c r="W197" i="44"/>
  <c r="X197" i="44"/>
  <c r="AA93" i="44"/>
  <c r="W216" i="44"/>
  <c r="X216" i="44"/>
  <c r="AA190" i="44"/>
  <c r="W96" i="44"/>
  <c r="X96" i="44"/>
  <c r="AA166" i="44"/>
  <c r="W121" i="44"/>
  <c r="X121" i="44"/>
  <c r="W109" i="44"/>
  <c r="X109" i="44"/>
  <c r="W205" i="44"/>
  <c r="X205" i="44"/>
  <c r="X198" i="44"/>
  <c r="W189" i="44"/>
  <c r="X189" i="44"/>
  <c r="W120" i="44"/>
  <c r="X120" i="44"/>
  <c r="W133" i="44"/>
  <c r="X133" i="44"/>
  <c r="W100" i="44"/>
  <c r="X100" i="44"/>
  <c r="W204" i="44"/>
  <c r="X204" i="44"/>
  <c r="W185" i="44"/>
  <c r="X185" i="44"/>
  <c r="W181" i="44"/>
  <c r="X181" i="44"/>
  <c r="W144" i="44"/>
  <c r="X144" i="44"/>
  <c r="W132" i="44"/>
  <c r="X132" i="44"/>
  <c r="W124" i="44"/>
  <c r="X124" i="44"/>
  <c r="AA196" i="44"/>
  <c r="X162" i="44"/>
  <c r="X137" i="44"/>
  <c r="W180" i="44"/>
  <c r="X180" i="44"/>
  <c r="W169" i="44"/>
  <c r="X169" i="44"/>
  <c r="W161" i="44"/>
  <c r="X161" i="44"/>
  <c r="W156" i="44"/>
  <c r="X156" i="44"/>
  <c r="W148" i="44"/>
  <c r="X148" i="44"/>
  <c r="W184" i="44"/>
  <c r="W136" i="44"/>
  <c r="X136" i="44"/>
  <c r="W168" i="44"/>
  <c r="X168" i="44"/>
  <c r="W81" i="44"/>
  <c r="X81" i="44"/>
  <c r="W108" i="44"/>
  <c r="X108" i="44"/>
  <c r="W97" i="44"/>
  <c r="X97" i="44"/>
  <c r="W33" i="44"/>
  <c r="X33" i="44"/>
  <c r="W85" i="44"/>
  <c r="X85" i="44"/>
  <c r="AA32" i="44"/>
  <c r="W112" i="44"/>
  <c r="X112" i="44"/>
  <c r="W84" i="44"/>
  <c r="X84" i="44"/>
  <c r="W73" i="44"/>
  <c r="X73" i="44"/>
  <c r="W45" i="44"/>
  <c r="X45" i="44"/>
  <c r="W72" i="44"/>
  <c r="X72" i="44"/>
  <c r="W61" i="44"/>
  <c r="X61" i="44"/>
  <c r="W88" i="44"/>
  <c r="X88" i="44"/>
  <c r="W60" i="44"/>
  <c r="X60" i="44"/>
  <c r="W49" i="44"/>
  <c r="X49" i="44"/>
  <c r="W241" i="44"/>
  <c r="X241" i="44"/>
  <c r="W193" i="44"/>
  <c r="X193" i="44"/>
  <c r="W157" i="44"/>
  <c r="X157" i="44"/>
  <c r="X153" i="44"/>
  <c r="W76" i="44"/>
  <c r="X76" i="44"/>
  <c r="W48" i="44"/>
  <c r="X48" i="44"/>
  <c r="W36" i="44"/>
  <c r="X36" i="44"/>
  <c r="W64" i="44"/>
  <c r="X64" i="44"/>
  <c r="AA35" i="44"/>
  <c r="W145" i="44"/>
  <c r="X145" i="44"/>
  <c r="W52" i="44"/>
  <c r="X52" i="44"/>
  <c r="X149" i="44"/>
  <c r="X129" i="44"/>
  <c r="AA98" i="44"/>
  <c r="X40" i="44"/>
  <c r="X28" i="44"/>
  <c r="AA106" i="44"/>
  <c r="AA94" i="44"/>
  <c r="AA82" i="44"/>
  <c r="AA46" i="44"/>
  <c r="X37" i="44"/>
  <c r="AA34" i="44"/>
  <c r="X25" i="44"/>
  <c r="X29" i="44"/>
  <c r="X24" i="44"/>
  <c r="AR261" i="19"/>
  <c r="AT261" i="19" s="1"/>
  <c r="AX261" i="19"/>
  <c r="AY261" i="19"/>
  <c r="AZ261" i="19"/>
  <c r="AP250" i="19"/>
  <c r="AP254" i="19"/>
  <c r="AP259" i="19"/>
  <c r="AA261" i="19"/>
  <c r="Z261" i="19"/>
  <c r="P261" i="19"/>
  <c r="O261" i="19"/>
  <c r="N261" i="19"/>
  <c r="B261" i="36"/>
  <c r="C261" i="36"/>
  <c r="A261" i="19" s="1"/>
  <c r="B262" i="36"/>
  <c r="C262" i="36"/>
  <c r="C263" i="36"/>
  <c r="B264" i="36"/>
  <c r="C264" i="36"/>
  <c r="B265" i="36"/>
  <c r="C265" i="36"/>
  <c r="B266" i="36"/>
  <c r="C266" i="36"/>
  <c r="B267" i="36"/>
  <c r="C267" i="36"/>
  <c r="B268" i="36"/>
  <c r="C268" i="36"/>
  <c r="B269" i="36"/>
  <c r="C269" i="36"/>
  <c r="B270" i="36"/>
  <c r="C270" i="36"/>
  <c r="B271" i="36"/>
  <c r="C271" i="36"/>
  <c r="B273" i="36"/>
  <c r="C273" i="36"/>
  <c r="B274" i="36"/>
  <c r="C274" i="36"/>
  <c r="B275" i="36"/>
  <c r="C275" i="36"/>
  <c r="B276" i="36"/>
  <c r="C276" i="36"/>
  <c r="B277" i="36"/>
  <c r="C277" i="36"/>
  <c r="B278" i="36"/>
  <c r="C278" i="36"/>
  <c r="B279" i="36"/>
  <c r="C279" i="36"/>
  <c r="B280" i="36"/>
  <c r="C280" i="36"/>
  <c r="B281" i="36"/>
  <c r="C281" i="36"/>
  <c r="B282" i="36"/>
  <c r="C282" i="36"/>
  <c r="B283" i="36"/>
  <c r="C283" i="36"/>
  <c r="B284" i="36"/>
  <c r="C284" i="36"/>
  <c r="B285" i="36"/>
  <c r="C285" i="36"/>
  <c r="B286" i="36"/>
  <c r="C286" i="36"/>
  <c r="B287" i="36"/>
  <c r="C287" i="36"/>
  <c r="B288" i="36"/>
  <c r="C288" i="36"/>
  <c r="B289" i="36"/>
  <c r="C289" i="36"/>
  <c r="B290" i="36"/>
  <c r="C290" i="36"/>
  <c r="B291" i="36"/>
  <c r="C291" i="36"/>
  <c r="B292" i="36"/>
  <c r="C292" i="36"/>
  <c r="B293" i="36"/>
  <c r="C293" i="36"/>
  <c r="B294" i="36"/>
  <c r="C294" i="36"/>
  <c r="B295" i="36"/>
  <c r="C295" i="36"/>
  <c r="B296" i="36"/>
  <c r="C296" i="36"/>
  <c r="B298" i="36"/>
  <c r="C298" i="36"/>
  <c r="C299" i="36"/>
  <c r="C300" i="36"/>
  <c r="C301" i="36"/>
  <c r="C302" i="36"/>
  <c r="B303" i="36"/>
  <c r="C303" i="36"/>
  <c r="B304" i="36"/>
  <c r="C304" i="36"/>
  <c r="B305" i="36"/>
  <c r="C305" i="36"/>
  <c r="B306" i="36"/>
  <c r="C306" i="36"/>
  <c r="B307" i="36"/>
  <c r="C307" i="36"/>
  <c r="C309" i="36"/>
  <c r="C310" i="36"/>
  <c r="C311" i="36"/>
  <c r="C312" i="36"/>
  <c r="B314" i="36"/>
  <c r="C314" i="36"/>
  <c r="B315" i="36"/>
  <c r="C315" i="36"/>
  <c r="B316" i="36"/>
  <c r="C316" i="36"/>
  <c r="B317" i="36"/>
  <c r="C317" i="36"/>
  <c r="B318" i="36"/>
  <c r="C318" i="36"/>
  <c r="C319" i="36"/>
  <c r="C320" i="36"/>
  <c r="C321" i="36"/>
  <c r="C322" i="36"/>
  <c r="B323" i="36"/>
  <c r="C323" i="36"/>
  <c r="B324" i="36"/>
  <c r="C324" i="36"/>
  <c r="B325" i="36"/>
  <c r="C325" i="36"/>
  <c r="B326" i="36"/>
  <c r="C326" i="36"/>
  <c r="B327" i="36"/>
  <c r="C327" i="36"/>
  <c r="B328" i="36"/>
  <c r="C328" i="36"/>
  <c r="B329" i="36"/>
  <c r="C329" i="36"/>
  <c r="B330" i="36"/>
  <c r="C330" i="36"/>
  <c r="B331" i="36"/>
  <c r="C331" i="36"/>
  <c r="B332" i="36"/>
  <c r="C332" i="36"/>
  <c r="B333" i="36"/>
  <c r="C333" i="36"/>
  <c r="B334" i="36"/>
  <c r="C334" i="36"/>
  <c r="B335" i="36"/>
  <c r="C335" i="36"/>
  <c r="B336" i="36"/>
  <c r="C336" i="36"/>
  <c r="B337" i="36"/>
  <c r="C337" i="36"/>
  <c r="B338" i="36"/>
  <c r="C338" i="36"/>
  <c r="B339" i="36"/>
  <c r="C339" i="36"/>
  <c r="B340" i="36"/>
  <c r="C340" i="36"/>
  <c r="B341" i="36"/>
  <c r="C341" i="36"/>
  <c r="B342" i="36"/>
  <c r="C342" i="36"/>
  <c r="B343" i="36"/>
  <c r="C343" i="36"/>
  <c r="B344" i="36"/>
  <c r="C344" i="36"/>
  <c r="B345" i="36"/>
  <c r="C345" i="36"/>
  <c r="B347" i="36"/>
  <c r="C347" i="36"/>
  <c r="C348" i="36"/>
  <c r="C349" i="36"/>
  <c r="B350" i="36"/>
  <c r="C350" i="36"/>
  <c r="B351" i="36"/>
  <c r="C351" i="36"/>
  <c r="C352" i="36"/>
  <c r="B353" i="36"/>
  <c r="C353" i="36"/>
  <c r="C354" i="36"/>
  <c r="B355" i="36"/>
  <c r="C355" i="36"/>
  <c r="B356" i="36"/>
  <c r="C356" i="36"/>
  <c r="B357" i="36"/>
  <c r="C357" i="36"/>
  <c r="C358" i="36"/>
  <c r="B359" i="36"/>
  <c r="C359" i="36"/>
  <c r="B360" i="36"/>
  <c r="C360" i="36"/>
  <c r="B362" i="36"/>
  <c r="C362" i="36"/>
  <c r="B363" i="36"/>
  <c r="C363" i="36"/>
  <c r="B365" i="36"/>
  <c r="C365" i="36"/>
  <c r="B366" i="36"/>
  <c r="C366" i="36"/>
  <c r="B368" i="36"/>
  <c r="C368" i="36"/>
  <c r="B370" i="36"/>
  <c r="C370" i="36"/>
  <c r="B372" i="36"/>
  <c r="C372" i="36"/>
  <c r="B374" i="36"/>
  <c r="C374" i="36"/>
  <c r="B376" i="36"/>
  <c r="C376" i="36"/>
  <c r="B378" i="36"/>
  <c r="C378" i="36"/>
  <c r="B380" i="36"/>
  <c r="C380" i="36"/>
  <c r="B382" i="36"/>
  <c r="C382" i="36"/>
  <c r="B384" i="36"/>
  <c r="C384" i="36"/>
  <c r="B386" i="36"/>
  <c r="C386" i="36"/>
  <c r="B388" i="36"/>
  <c r="C388" i="36"/>
  <c r="B389" i="36"/>
  <c r="C389" i="36"/>
  <c r="B391" i="36"/>
  <c r="C391" i="36"/>
  <c r="B393" i="36"/>
  <c r="C393" i="36"/>
  <c r="B394" i="36"/>
  <c r="C394" i="36"/>
  <c r="B396" i="36"/>
  <c r="C396" i="36"/>
  <c r="C397" i="36"/>
  <c r="B398" i="36"/>
  <c r="C398" i="36"/>
  <c r="B399" i="36"/>
  <c r="C399" i="36"/>
  <c r="B400" i="36"/>
  <c r="C400" i="36"/>
  <c r="B401" i="36"/>
  <c r="C401" i="36"/>
  <c r="B403" i="36"/>
  <c r="C403" i="36"/>
  <c r="B404" i="36"/>
  <c r="C404" i="36"/>
  <c r="B406" i="36"/>
  <c r="C406" i="36"/>
  <c r="B407" i="36"/>
  <c r="C407" i="36"/>
  <c r="B409" i="36"/>
  <c r="C409" i="36"/>
  <c r="B410" i="36"/>
  <c r="C410" i="36"/>
  <c r="C411" i="36"/>
  <c r="B412" i="36"/>
  <c r="C412" i="36"/>
  <c r="B413" i="36"/>
  <c r="C413" i="36"/>
  <c r="B414" i="36"/>
  <c r="C414" i="36"/>
  <c r="B415" i="36"/>
  <c r="C415" i="36"/>
  <c r="B416" i="36"/>
  <c r="C416" i="36"/>
  <c r="B417" i="36"/>
  <c r="C417" i="36"/>
  <c r="C418" i="36"/>
  <c r="B420" i="36"/>
  <c r="C420" i="36"/>
  <c r="B421" i="36"/>
  <c r="C421" i="36"/>
  <c r="C422" i="36"/>
  <c r="B424" i="36"/>
  <c r="C424" i="36"/>
  <c r="B426" i="36"/>
  <c r="C426" i="36"/>
  <c r="B427" i="36"/>
  <c r="C427" i="36"/>
  <c r="B429" i="36"/>
  <c r="C429" i="36"/>
  <c r="B430" i="36"/>
  <c r="C430" i="36"/>
  <c r="B431" i="36"/>
  <c r="C431" i="36"/>
  <c r="B432" i="36"/>
  <c r="C432" i="36"/>
  <c r="B433" i="36"/>
  <c r="C433" i="36"/>
  <c r="B435" i="36"/>
  <c r="C435" i="36"/>
  <c r="B436" i="36"/>
  <c r="C436" i="36"/>
  <c r="B438" i="36"/>
  <c r="C438" i="36"/>
  <c r="B439" i="36"/>
  <c r="C439" i="36"/>
  <c r="B440" i="36"/>
  <c r="C440" i="36"/>
  <c r="B442" i="36"/>
  <c r="C442" i="36"/>
  <c r="B444" i="36"/>
  <c r="C444" i="36"/>
  <c r="B445" i="36"/>
  <c r="C445" i="36"/>
  <c r="B446" i="36"/>
  <c r="C446" i="36"/>
  <c r="B447" i="36"/>
  <c r="C447" i="36"/>
  <c r="B449" i="36"/>
  <c r="C449" i="36"/>
  <c r="B451" i="36"/>
  <c r="C451" i="36"/>
  <c r="B452" i="36"/>
  <c r="C452" i="36"/>
  <c r="B454" i="36"/>
  <c r="C454" i="36"/>
  <c r="B456" i="36"/>
  <c r="C456" i="36"/>
  <c r="B457" i="36"/>
  <c r="C457" i="36"/>
  <c r="B458" i="36"/>
  <c r="C458" i="36"/>
  <c r="B460" i="36"/>
  <c r="C460" i="36"/>
  <c r="B461" i="36"/>
  <c r="C461" i="36"/>
  <c r="B462" i="36"/>
  <c r="C462" i="36"/>
  <c r="C464" i="36"/>
  <c r="C465" i="36"/>
  <c r="C466" i="36"/>
  <c r="B467" i="36"/>
  <c r="C467" i="36"/>
  <c r="B469" i="36"/>
  <c r="C469" i="36"/>
  <c r="B471" i="36"/>
  <c r="C471" i="36"/>
  <c r="B472" i="36"/>
  <c r="C472" i="36"/>
  <c r="B473" i="36"/>
  <c r="C473" i="36"/>
  <c r="B475" i="36"/>
  <c r="C475" i="36"/>
  <c r="B477" i="36"/>
  <c r="C477" i="36"/>
  <c r="B478" i="36"/>
  <c r="C478" i="36"/>
  <c r="C480" i="36"/>
  <c r="B481" i="36"/>
  <c r="C481" i="36"/>
  <c r="B483" i="36"/>
  <c r="C483" i="36"/>
  <c r="B484" i="36"/>
  <c r="C484" i="36"/>
  <c r="C485" i="36"/>
  <c r="B486" i="36"/>
  <c r="C486" i="36"/>
  <c r="B487" i="36"/>
  <c r="C487" i="36"/>
  <c r="B488" i="36"/>
  <c r="C488" i="36"/>
  <c r="B489" i="36"/>
  <c r="C489" i="36"/>
  <c r="B490" i="36"/>
  <c r="C490" i="36"/>
  <c r="B492" i="36"/>
  <c r="C492" i="36"/>
  <c r="B493" i="36"/>
  <c r="C493" i="36"/>
  <c r="B494" i="36"/>
  <c r="C494" i="36"/>
  <c r="B495" i="36"/>
  <c r="C495" i="36"/>
  <c r="B496" i="36"/>
  <c r="C496" i="36"/>
  <c r="B497" i="36"/>
  <c r="C497" i="36"/>
  <c r="B498" i="36"/>
  <c r="C498" i="36"/>
  <c r="B499" i="36"/>
  <c r="C499" i="36"/>
  <c r="B500" i="36"/>
  <c r="C500" i="36"/>
  <c r="B501" i="36"/>
  <c r="C501" i="36"/>
  <c r="B503" i="36"/>
  <c r="C503" i="36"/>
  <c r="B504" i="36"/>
  <c r="C504" i="36"/>
  <c r="B505" i="36"/>
  <c r="C505" i="36"/>
  <c r="B506" i="36"/>
  <c r="C506" i="36"/>
  <c r="B507" i="36"/>
  <c r="C507" i="36"/>
  <c r="B508" i="36"/>
  <c r="C508" i="36"/>
  <c r="B509" i="36"/>
  <c r="C509" i="36"/>
  <c r="B510" i="36"/>
  <c r="C510" i="36"/>
  <c r="B511" i="36"/>
  <c r="C511" i="36"/>
  <c r="B513" i="36"/>
  <c r="C513" i="36"/>
  <c r="B514" i="36"/>
  <c r="C514" i="36"/>
  <c r="B515" i="36"/>
  <c r="C515" i="36"/>
  <c r="B516" i="36"/>
  <c r="C516" i="36"/>
  <c r="B517" i="36"/>
  <c r="C517" i="36"/>
  <c r="B518" i="36"/>
  <c r="C518" i="36"/>
  <c r="B519" i="36"/>
  <c r="C519" i="36"/>
  <c r="B521" i="36"/>
  <c r="C521" i="36"/>
  <c r="B522" i="36"/>
  <c r="C522" i="36"/>
  <c r="B523" i="36"/>
  <c r="C523" i="36"/>
  <c r="B524" i="36"/>
  <c r="C524" i="36"/>
  <c r="B526" i="36"/>
  <c r="C526" i="36"/>
  <c r="B527" i="36"/>
  <c r="C527" i="36"/>
  <c r="B528" i="36"/>
  <c r="C528" i="36"/>
  <c r="B530" i="36"/>
  <c r="C530" i="36"/>
  <c r="B531" i="36"/>
  <c r="C531" i="36"/>
  <c r="B532" i="36"/>
  <c r="C532" i="36"/>
  <c r="B533" i="36"/>
  <c r="C533" i="36"/>
  <c r="B534" i="36"/>
  <c r="C534" i="36"/>
  <c r="B536" i="36"/>
  <c r="C536" i="36"/>
  <c r="C538" i="36"/>
  <c r="B539" i="36"/>
  <c r="C539" i="36"/>
  <c r="B540" i="36"/>
  <c r="C540" i="36"/>
  <c r="B542" i="36"/>
  <c r="C542" i="36"/>
  <c r="B544" i="36"/>
  <c r="C544" i="36"/>
  <c r="B546" i="36"/>
  <c r="C546" i="36"/>
  <c r="B548" i="36"/>
  <c r="C548" i="36"/>
  <c r="B549" i="36"/>
  <c r="C549" i="36"/>
  <c r="B550" i="36"/>
  <c r="C550" i="36"/>
  <c r="B552" i="36"/>
  <c r="C552" i="36"/>
  <c r="B553" i="36"/>
  <c r="C553" i="36"/>
  <c r="B554" i="36"/>
  <c r="C554" i="36"/>
  <c r="B555" i="36"/>
  <c r="C555" i="36"/>
  <c r="B557" i="36"/>
  <c r="C557" i="36"/>
  <c r="B558" i="36"/>
  <c r="C558" i="36"/>
  <c r="B560" i="36"/>
  <c r="C560" i="36"/>
  <c r="B561" i="36"/>
  <c r="C561" i="36"/>
  <c r="C563" i="36"/>
  <c r="B564" i="36"/>
  <c r="C564" i="36"/>
  <c r="C565" i="36"/>
  <c r="B567" i="36"/>
  <c r="C567" i="36"/>
  <c r="B569" i="36"/>
  <c r="C569" i="36"/>
  <c r="B570" i="36"/>
  <c r="C570" i="36"/>
  <c r="B571" i="36"/>
  <c r="C571" i="36"/>
  <c r="B573" i="36"/>
  <c r="C573" i="36"/>
  <c r="B574" i="36"/>
  <c r="C574" i="36"/>
  <c r="B575" i="36"/>
  <c r="C575" i="36"/>
  <c r="B577" i="36"/>
  <c r="C577" i="36"/>
  <c r="B578" i="36"/>
  <c r="C578" i="36"/>
  <c r="B579" i="36"/>
  <c r="C579" i="36"/>
  <c r="B580" i="36"/>
  <c r="C580" i="36"/>
  <c r="B581" i="36"/>
  <c r="C581" i="36"/>
  <c r="B582" i="36"/>
  <c r="C582" i="36"/>
  <c r="B583" i="36"/>
  <c r="C583" i="36"/>
  <c r="B584" i="36"/>
  <c r="C584" i="36"/>
  <c r="B585" i="36"/>
  <c r="C585" i="36"/>
  <c r="C587" i="36"/>
  <c r="B588" i="36"/>
  <c r="C588" i="36"/>
  <c r="C589" i="36"/>
  <c r="C590" i="36"/>
  <c r="B591" i="36"/>
  <c r="C591" i="36"/>
  <c r="C593" i="36"/>
  <c r="C594" i="36"/>
  <c r="B595" i="36"/>
  <c r="C595" i="36"/>
  <c r="C596" i="36"/>
  <c r="B598" i="36"/>
  <c r="C598" i="36"/>
  <c r="B599" i="36"/>
  <c r="C599" i="36"/>
  <c r="C600" i="36"/>
  <c r="B601" i="36"/>
  <c r="C601" i="36"/>
  <c r="B602" i="36"/>
  <c r="C602" i="36"/>
  <c r="B603" i="36"/>
  <c r="C603" i="36"/>
  <c r="B604" i="36"/>
  <c r="C604" i="36"/>
  <c r="B606" i="36"/>
  <c r="C606" i="36"/>
  <c r="B608" i="36"/>
  <c r="C608" i="36"/>
  <c r="B609" i="36"/>
  <c r="C609" i="36"/>
  <c r="B610" i="36"/>
  <c r="C610" i="36"/>
  <c r="B611" i="36"/>
  <c r="C611" i="36"/>
  <c r="B612" i="36"/>
  <c r="C612" i="36"/>
  <c r="B614" i="36"/>
  <c r="C614" i="36"/>
  <c r="B615" i="36"/>
  <c r="C615" i="36"/>
  <c r="C616" i="36"/>
  <c r="B617" i="36"/>
  <c r="C617" i="36"/>
  <c r="B618" i="36"/>
  <c r="C618" i="36"/>
  <c r="B620" i="36"/>
  <c r="C620" i="36"/>
  <c r="B621" i="36"/>
  <c r="C621" i="36"/>
  <c r="B622" i="36"/>
  <c r="C622" i="36"/>
  <c r="B623" i="36"/>
  <c r="C623" i="36"/>
  <c r="B624" i="36"/>
  <c r="C624" i="36"/>
  <c r="B626" i="36"/>
  <c r="C626" i="36"/>
  <c r="C628" i="36"/>
  <c r="B629" i="36"/>
  <c r="C629" i="36"/>
  <c r="B630" i="36"/>
  <c r="C630" i="36"/>
  <c r="B632" i="36"/>
  <c r="C632" i="36"/>
  <c r="B633" i="36"/>
  <c r="C633" i="36"/>
  <c r="B634" i="36"/>
  <c r="C634" i="36"/>
  <c r="B636" i="36"/>
  <c r="C636" i="36"/>
  <c r="B638" i="36"/>
  <c r="C638" i="36"/>
  <c r="C639" i="36"/>
  <c r="B640" i="36"/>
  <c r="C640" i="36"/>
  <c r="B641" i="36"/>
  <c r="C641" i="36"/>
  <c r="B642" i="36"/>
  <c r="C642" i="36"/>
  <c r="B643" i="36"/>
  <c r="C643" i="36"/>
  <c r="B644" i="36"/>
  <c r="C644" i="36"/>
  <c r="B645" i="36"/>
  <c r="C645" i="36"/>
  <c r="B646" i="36"/>
  <c r="C646" i="36"/>
  <c r="B647" i="36"/>
  <c r="C647" i="36"/>
  <c r="B649" i="36"/>
  <c r="C649" i="36"/>
  <c r="C650" i="36"/>
  <c r="C651" i="36"/>
  <c r="B652" i="36"/>
  <c r="C652" i="36"/>
  <c r="B654" i="36"/>
  <c r="C654" i="36"/>
  <c r="B655" i="36"/>
  <c r="C655" i="36"/>
  <c r="B656" i="36"/>
  <c r="C656" i="36"/>
  <c r="B657" i="36"/>
  <c r="C657" i="36"/>
  <c r="B659" i="36"/>
  <c r="C659" i="36"/>
  <c r="B660" i="36"/>
  <c r="C660" i="36"/>
  <c r="B662" i="36"/>
  <c r="C662" i="36"/>
  <c r="B663" i="36"/>
  <c r="C663" i="36"/>
  <c r="C665" i="36"/>
  <c r="B666" i="36"/>
  <c r="C666" i="36"/>
  <c r="B668" i="36"/>
  <c r="C668" i="36"/>
  <c r="C669" i="36"/>
  <c r="B670" i="36"/>
  <c r="C670" i="36"/>
  <c r="B671" i="36"/>
  <c r="C671" i="36"/>
  <c r="B672" i="36"/>
  <c r="C672" i="36"/>
  <c r="B673" i="36"/>
  <c r="C673" i="36"/>
  <c r="B674" i="36"/>
  <c r="C674" i="36"/>
  <c r="B675" i="36"/>
  <c r="C675" i="36"/>
  <c r="B676" i="36"/>
  <c r="C676" i="36"/>
  <c r="C677" i="36"/>
  <c r="B678" i="36"/>
  <c r="C678" i="36"/>
  <c r="B680" i="36"/>
  <c r="C680" i="36"/>
  <c r="B681" i="36"/>
  <c r="C681" i="36"/>
  <c r="C683" i="36"/>
  <c r="B684" i="36"/>
  <c r="C684" i="36"/>
  <c r="C685" i="36"/>
  <c r="B686" i="36"/>
  <c r="C686" i="36"/>
  <c r="B687" i="36"/>
  <c r="C687" i="36"/>
  <c r="C688" i="36"/>
  <c r="B689" i="36"/>
  <c r="C689" i="36"/>
  <c r="B690" i="36"/>
  <c r="C690" i="36"/>
  <c r="B691" i="36"/>
  <c r="C691" i="36"/>
  <c r="B692" i="36"/>
  <c r="C692" i="36"/>
  <c r="B693" i="36"/>
  <c r="C693" i="36"/>
  <c r="B694" i="36"/>
  <c r="C694" i="36"/>
  <c r="C695" i="36"/>
  <c r="B696" i="36"/>
  <c r="C696" i="36"/>
  <c r="B697" i="36"/>
  <c r="C697" i="36"/>
  <c r="B698" i="36"/>
  <c r="C698" i="36"/>
  <c r="B700" i="36"/>
  <c r="C700" i="36"/>
  <c r="B701" i="36"/>
  <c r="C701" i="36"/>
  <c r="B703" i="36"/>
  <c r="C703" i="36"/>
  <c r="B704" i="36"/>
  <c r="C704" i="36"/>
  <c r="B706" i="36"/>
  <c r="C706" i="36"/>
  <c r="B707" i="36"/>
  <c r="C707" i="36"/>
  <c r="B709" i="36"/>
  <c r="C709" i="36"/>
  <c r="B711" i="36"/>
  <c r="C711" i="36"/>
  <c r="B712" i="36"/>
  <c r="C712" i="36"/>
  <c r="B714" i="36"/>
  <c r="C714" i="36"/>
  <c r="B715" i="36"/>
  <c r="C715" i="36"/>
  <c r="B717" i="36"/>
  <c r="C717" i="36"/>
  <c r="B719" i="36"/>
  <c r="C719" i="36"/>
  <c r="B720" i="36"/>
  <c r="C720" i="36"/>
  <c r="B721" i="36"/>
  <c r="C721" i="36"/>
  <c r="B722" i="36"/>
  <c r="C722" i="36"/>
  <c r="B724" i="36"/>
  <c r="C724" i="36"/>
  <c r="B726" i="36"/>
  <c r="C726" i="36"/>
  <c r="B728" i="36"/>
  <c r="C728" i="36"/>
  <c r="B731" i="36"/>
  <c r="C731" i="36"/>
  <c r="B733" i="36"/>
  <c r="C733" i="36"/>
  <c r="B735" i="36"/>
  <c r="C735" i="36"/>
  <c r="B737" i="36"/>
  <c r="C737" i="36"/>
  <c r="B738" i="36"/>
  <c r="C738" i="36"/>
  <c r="B740" i="36"/>
  <c r="C740" i="36"/>
  <c r="B741" i="36"/>
  <c r="C741" i="36"/>
  <c r="C743" i="36"/>
  <c r="B745" i="36"/>
  <c r="C745" i="36"/>
  <c r="B747" i="36"/>
  <c r="C747" i="36"/>
  <c r="B749" i="36"/>
  <c r="C749" i="36"/>
  <c r="B751" i="36"/>
  <c r="C751" i="36"/>
  <c r="B753" i="36"/>
  <c r="C753" i="36"/>
  <c r="B755" i="36"/>
  <c r="C755" i="36"/>
  <c r="B758" i="36"/>
  <c r="C758" i="36"/>
  <c r="B760" i="36"/>
  <c r="C760" i="36"/>
  <c r="B761" i="36"/>
  <c r="C761" i="36"/>
  <c r="B763" i="36"/>
  <c r="C763" i="36"/>
  <c r="B764" i="36"/>
  <c r="C764" i="36"/>
  <c r="B766" i="36"/>
  <c r="C766" i="36"/>
  <c r="B767" i="36"/>
  <c r="C767" i="36"/>
  <c r="C769" i="36"/>
  <c r="B770" i="36"/>
  <c r="C770" i="36"/>
  <c r="B771" i="36"/>
  <c r="C771" i="36"/>
  <c r="B772" i="36"/>
  <c r="C772" i="36"/>
  <c r="C773" i="36"/>
  <c r="B774" i="36"/>
  <c r="C774" i="36"/>
  <c r="B775" i="36"/>
  <c r="C775" i="36"/>
  <c r="B776" i="36"/>
  <c r="C776" i="36"/>
  <c r="B777" i="36"/>
  <c r="C777" i="36"/>
  <c r="B778" i="36"/>
  <c r="C778" i="36"/>
  <c r="B779" i="36"/>
  <c r="C779" i="36"/>
  <c r="B781" i="36"/>
  <c r="C781" i="36"/>
  <c r="B782" i="36"/>
  <c r="C782" i="36"/>
  <c r="B783" i="36"/>
  <c r="C783" i="36"/>
  <c r="B784" i="36"/>
  <c r="C784" i="36"/>
  <c r="B785" i="36"/>
  <c r="C785" i="36"/>
  <c r="B786" i="36"/>
  <c r="C786" i="36"/>
  <c r="B788" i="36"/>
  <c r="C788" i="36"/>
  <c r="B789" i="36"/>
  <c r="C789" i="36"/>
  <c r="C790" i="36"/>
  <c r="B791" i="36"/>
  <c r="C791" i="36"/>
  <c r="C792" i="36"/>
  <c r="C793" i="36"/>
  <c r="B794" i="36"/>
  <c r="C794" i="36"/>
  <c r="B795" i="36"/>
  <c r="C795" i="36"/>
  <c r="B796" i="36"/>
  <c r="C796" i="36"/>
  <c r="B797" i="36"/>
  <c r="C797" i="36"/>
  <c r="B798" i="36"/>
  <c r="C798" i="36"/>
  <c r="B799" i="36"/>
  <c r="C799" i="36"/>
  <c r="B801" i="36"/>
  <c r="C801" i="36"/>
  <c r="B802" i="36"/>
  <c r="C802" i="36"/>
  <c r="B803" i="36"/>
  <c r="C803" i="36"/>
  <c r="B804" i="36"/>
  <c r="C804" i="36"/>
  <c r="B806" i="36"/>
  <c r="C806" i="36"/>
  <c r="B807" i="36"/>
  <c r="C807" i="36"/>
  <c r="B808" i="36"/>
  <c r="C808" i="36"/>
  <c r="B809" i="36"/>
  <c r="C809" i="36"/>
  <c r="B812" i="36"/>
  <c r="C812" i="36"/>
  <c r="B814" i="36"/>
  <c r="C814" i="36"/>
  <c r="B816" i="36"/>
  <c r="C816" i="36"/>
  <c r="B818" i="36"/>
  <c r="C818" i="36"/>
  <c r="B820" i="36"/>
  <c r="C820" i="36"/>
  <c r="B821" i="36"/>
  <c r="C821" i="36"/>
  <c r="B823" i="36"/>
  <c r="C823" i="36"/>
  <c r="B825" i="36"/>
  <c r="C825" i="36"/>
  <c r="B827" i="36"/>
  <c r="C827" i="36"/>
  <c r="B828" i="36"/>
  <c r="C828" i="36"/>
  <c r="B829" i="36"/>
  <c r="C829" i="36"/>
  <c r="C830" i="36"/>
  <c r="B831" i="36"/>
  <c r="C831" i="36"/>
  <c r="B833" i="36"/>
  <c r="C833" i="36"/>
  <c r="C834" i="36"/>
  <c r="B836" i="36"/>
  <c r="C836" i="36"/>
  <c r="B837" i="36"/>
  <c r="C837" i="36"/>
  <c r="B838" i="36"/>
  <c r="C838" i="36"/>
  <c r="B839" i="36"/>
  <c r="C839" i="36"/>
  <c r="B840" i="36"/>
  <c r="C840" i="36"/>
  <c r="B841" i="36"/>
  <c r="C841" i="36"/>
  <c r="B842" i="36"/>
  <c r="C842" i="36"/>
  <c r="B843" i="36"/>
  <c r="C843" i="36"/>
  <c r="B844" i="36"/>
  <c r="C844" i="36"/>
  <c r="B846" i="36"/>
  <c r="C846" i="36"/>
  <c r="B847" i="36"/>
  <c r="C847" i="36"/>
  <c r="B848" i="36"/>
  <c r="C848" i="36"/>
  <c r="B849" i="36"/>
  <c r="C849" i="36"/>
  <c r="B850" i="36"/>
  <c r="C850" i="36"/>
  <c r="B851" i="36"/>
  <c r="C851" i="36"/>
  <c r="B852" i="36"/>
  <c r="C852" i="36"/>
  <c r="B853" i="36"/>
  <c r="C853" i="36"/>
  <c r="B854" i="36"/>
  <c r="C854" i="36"/>
  <c r="B855" i="36"/>
  <c r="C855" i="36"/>
  <c r="B856" i="36"/>
  <c r="C856" i="36"/>
  <c r="B857" i="36"/>
  <c r="C857" i="36"/>
  <c r="B858" i="36"/>
  <c r="C858" i="36"/>
  <c r="B859" i="36"/>
  <c r="C859" i="36"/>
  <c r="B860" i="36"/>
  <c r="C860" i="36"/>
  <c r="B861" i="36"/>
  <c r="C861" i="36"/>
  <c r="B862" i="36"/>
  <c r="C862" i="36"/>
  <c r="B863" i="36"/>
  <c r="C863" i="36"/>
  <c r="B864" i="36"/>
  <c r="C864" i="36"/>
  <c r="B866" i="36"/>
  <c r="C866" i="36"/>
  <c r="B867" i="36"/>
  <c r="C867" i="36"/>
  <c r="B868" i="36"/>
  <c r="C868" i="36"/>
  <c r="B869" i="36"/>
  <c r="C869" i="36"/>
  <c r="B870" i="36"/>
  <c r="C870" i="36"/>
  <c r="B871" i="36"/>
  <c r="C871" i="36"/>
  <c r="B872" i="36"/>
  <c r="C872" i="36"/>
  <c r="B873" i="36"/>
  <c r="C873" i="36"/>
  <c r="B874" i="36"/>
  <c r="C874" i="36"/>
  <c r="B876" i="36"/>
  <c r="C876" i="36"/>
  <c r="B877" i="36"/>
  <c r="C877" i="36"/>
  <c r="B878" i="36"/>
  <c r="C878" i="36"/>
  <c r="B879" i="36"/>
  <c r="C879" i="36"/>
  <c r="B880" i="36"/>
  <c r="C880" i="36"/>
  <c r="B881" i="36"/>
  <c r="C881" i="36"/>
  <c r="B883" i="36"/>
  <c r="C883" i="36"/>
  <c r="B884" i="36"/>
  <c r="C884" i="36"/>
  <c r="B886" i="36"/>
  <c r="C886" i="36"/>
  <c r="B887" i="36"/>
  <c r="C887" i="36"/>
  <c r="B888" i="36"/>
  <c r="C888" i="36"/>
  <c r="B889" i="36"/>
  <c r="C889" i="36"/>
  <c r="B890" i="36"/>
  <c r="C890" i="36"/>
  <c r="B891" i="36"/>
  <c r="C891" i="36"/>
  <c r="B892" i="36"/>
  <c r="C892" i="36"/>
  <c r="B893" i="36"/>
  <c r="C893" i="36"/>
  <c r="C894" i="36"/>
  <c r="C895" i="36"/>
  <c r="B896" i="36"/>
  <c r="C896" i="36"/>
  <c r="B897" i="36"/>
  <c r="C897" i="36"/>
  <c r="B899" i="36"/>
  <c r="C899" i="36"/>
  <c r="B900" i="36"/>
  <c r="C900" i="36"/>
  <c r="B901" i="36"/>
  <c r="C901" i="36"/>
  <c r="B902" i="36"/>
  <c r="C902" i="36"/>
  <c r="B903" i="36"/>
  <c r="C903" i="36"/>
  <c r="C904" i="36"/>
  <c r="C905" i="36"/>
  <c r="B906" i="36"/>
  <c r="C906" i="36"/>
  <c r="B907" i="36"/>
  <c r="C907" i="36"/>
  <c r="B909" i="36"/>
  <c r="C909" i="36"/>
  <c r="B911" i="36"/>
  <c r="C911" i="36"/>
  <c r="B912" i="36"/>
  <c r="C912" i="36"/>
  <c r="B913" i="36"/>
  <c r="C913" i="36"/>
  <c r="B914" i="36"/>
  <c r="C914" i="36"/>
  <c r="B915" i="36"/>
  <c r="C915" i="36"/>
  <c r="B916" i="36"/>
  <c r="C916" i="36"/>
  <c r="B918" i="36"/>
  <c r="C918" i="36"/>
  <c r="B920" i="36"/>
  <c r="C920" i="36"/>
  <c r="B921" i="36"/>
  <c r="C921" i="36"/>
  <c r="B922" i="36"/>
  <c r="C922" i="36"/>
  <c r="B923" i="36"/>
  <c r="C923" i="36"/>
  <c r="B924" i="36"/>
  <c r="C924" i="36"/>
  <c r="B925" i="36"/>
  <c r="C925" i="36"/>
  <c r="B926" i="36"/>
  <c r="C926" i="36"/>
  <c r="B927" i="36"/>
  <c r="C927" i="36"/>
  <c r="B928" i="36"/>
  <c r="C928" i="36"/>
  <c r="B929" i="36"/>
  <c r="C929" i="36"/>
  <c r="B930" i="36"/>
  <c r="C930" i="36"/>
  <c r="B931" i="36"/>
  <c r="C931" i="36"/>
  <c r="B932" i="36"/>
  <c r="C932" i="36"/>
  <c r="B933" i="36"/>
  <c r="C933" i="36"/>
  <c r="B934" i="36"/>
  <c r="C934" i="36"/>
  <c r="B936" i="36"/>
  <c r="C936" i="36"/>
  <c r="B937" i="36"/>
  <c r="C937" i="36"/>
  <c r="B938" i="36"/>
  <c r="C938" i="36"/>
  <c r="B939" i="36"/>
  <c r="C939" i="36"/>
  <c r="B941" i="36"/>
  <c r="C941" i="36"/>
  <c r="B943" i="36"/>
  <c r="C943" i="36"/>
  <c r="B944" i="36"/>
  <c r="C944" i="36"/>
  <c r="B945" i="36"/>
  <c r="C945" i="36"/>
  <c r="B946" i="36"/>
  <c r="C946" i="36"/>
  <c r="B948" i="36"/>
  <c r="C948" i="36"/>
  <c r="B949" i="36"/>
  <c r="C949" i="36"/>
  <c r="B950" i="36"/>
  <c r="C950" i="36"/>
  <c r="B951" i="36"/>
  <c r="C951" i="36"/>
  <c r="B952" i="36"/>
  <c r="C952" i="36"/>
  <c r="B953" i="36"/>
  <c r="C953" i="36"/>
  <c r="B954" i="36"/>
  <c r="C954" i="36"/>
  <c r="B955" i="36"/>
  <c r="C955" i="36"/>
  <c r="B956" i="36"/>
  <c r="C956" i="36"/>
  <c r="B957" i="36"/>
  <c r="C957" i="36"/>
  <c r="B958" i="36"/>
  <c r="C958" i="36"/>
  <c r="B959" i="36"/>
  <c r="C959" i="36"/>
  <c r="B960" i="36"/>
  <c r="C960" i="36"/>
  <c r="B961" i="36"/>
  <c r="C961" i="36"/>
  <c r="B962" i="36"/>
  <c r="C962" i="36"/>
  <c r="B963" i="36"/>
  <c r="C963" i="36"/>
  <c r="B964" i="36"/>
  <c r="C964" i="36"/>
  <c r="B965" i="36"/>
  <c r="C965" i="36"/>
  <c r="B966" i="36"/>
  <c r="C966" i="36"/>
  <c r="B968" i="36"/>
  <c r="C968" i="36"/>
  <c r="B969" i="36"/>
  <c r="C969" i="36"/>
  <c r="B970" i="36"/>
  <c r="C970" i="36"/>
  <c r="B971" i="36"/>
  <c r="C971" i="36"/>
  <c r="B972" i="36"/>
  <c r="C972" i="36"/>
  <c r="B974" i="36"/>
  <c r="C974" i="36"/>
  <c r="B975" i="36"/>
  <c r="C975" i="36"/>
  <c r="B976" i="36"/>
  <c r="C976" i="36"/>
  <c r="B978" i="36"/>
  <c r="C978" i="36"/>
  <c r="B979" i="36"/>
  <c r="C979" i="36"/>
  <c r="B980" i="36"/>
  <c r="C980" i="36"/>
  <c r="B981" i="36"/>
  <c r="C981" i="36"/>
  <c r="C982" i="36"/>
  <c r="B983" i="36"/>
  <c r="C983" i="36"/>
  <c r="X261" i="19"/>
  <c r="Y261" i="19"/>
  <c r="AK261" i="19" s="1"/>
  <c r="AA80" i="44" l="1"/>
  <c r="AA939" i="44"/>
  <c r="AA491" i="44"/>
  <c r="AA825" i="44"/>
  <c r="AA478" i="44"/>
  <c r="AA708" i="44"/>
  <c r="AA199" i="44"/>
  <c r="AA275" i="44"/>
  <c r="AA209" i="44"/>
  <c r="AA671" i="44"/>
  <c r="AA718" i="44"/>
  <c r="AA122" i="44"/>
  <c r="AA766" i="44"/>
  <c r="AA739" i="44"/>
  <c r="AA295" i="44"/>
  <c r="AA681" i="44"/>
  <c r="AA328" i="44"/>
  <c r="AA850" i="44"/>
  <c r="AA602" i="44"/>
  <c r="AA68" i="44"/>
  <c r="AA471" i="44"/>
  <c r="AA594" i="44"/>
  <c r="AA931" i="44"/>
  <c r="AA393" i="44"/>
  <c r="AA207" i="44"/>
  <c r="AA705" i="44"/>
  <c r="AA745" i="44"/>
  <c r="AA552" i="44"/>
  <c r="AA400" i="44"/>
  <c r="AA194" i="44"/>
  <c r="AA130" i="44"/>
  <c r="AA78" i="44"/>
  <c r="AA221" i="44"/>
  <c r="AA42" i="44"/>
  <c r="AA490" i="44"/>
  <c r="AA714" i="44"/>
  <c r="AA607" i="44"/>
  <c r="AA585" i="44"/>
  <c r="AA788" i="44"/>
  <c r="AA963" i="44"/>
  <c r="AA915" i="44"/>
  <c r="AA225" i="44"/>
  <c r="AA579" i="44"/>
  <c r="AA237" i="44"/>
  <c r="AA287" i="44"/>
  <c r="AA519" i="44"/>
  <c r="AA736" i="44"/>
  <c r="AA798" i="44"/>
  <c r="AA451" i="44"/>
  <c r="AA588" i="44"/>
  <c r="AA243" i="44"/>
  <c r="AA67" i="44"/>
  <c r="AA541" i="44"/>
  <c r="AA537" i="44"/>
  <c r="AA43" i="44"/>
  <c r="AA292" i="44"/>
  <c r="AA863" i="44"/>
  <c r="AA759" i="44"/>
  <c r="AA903" i="44"/>
  <c r="AA729" i="44"/>
  <c r="AA256" i="44"/>
  <c r="AA510" i="44"/>
  <c r="AA51" i="44"/>
  <c r="AA764" i="44"/>
  <c r="AA147" i="44"/>
  <c r="AA781" i="44"/>
  <c r="AA337" i="44"/>
  <c r="AA578" i="44"/>
  <c r="AA649" i="44"/>
  <c r="AA715" i="44"/>
  <c r="AA79" i="44"/>
  <c r="AA517" i="44"/>
  <c r="AA656" i="44"/>
  <c r="AA801" i="44"/>
  <c r="AA310" i="44"/>
  <c r="AA653" i="44"/>
  <c r="AA826" i="44"/>
  <c r="AA59" i="44"/>
  <c r="AA645" i="44"/>
  <c r="AA264" i="44"/>
  <c r="AA660" i="44"/>
  <c r="AA962" i="44"/>
  <c r="AA657" i="44"/>
  <c r="AA951" i="44"/>
  <c r="AA949" i="44"/>
  <c r="AA150" i="44"/>
  <c r="AA404" i="44"/>
  <c r="AA550" i="44"/>
  <c r="AA712" i="44"/>
  <c r="AA527" i="44"/>
  <c r="AA29" i="44"/>
  <c r="AA28" i="44"/>
  <c r="AA193" i="44"/>
  <c r="AA73" i="44"/>
  <c r="AA156" i="44"/>
  <c r="AA205" i="44"/>
  <c r="AA234" i="44"/>
  <c r="AA238" i="44"/>
  <c r="AA192" i="44"/>
  <c r="AA262" i="44"/>
  <c r="AA318" i="44"/>
  <c r="AA427" i="44"/>
  <c r="AA536" i="44"/>
  <c r="AA358" i="44"/>
  <c r="AA773" i="44"/>
  <c r="AA957" i="44"/>
  <c r="AA959" i="44"/>
  <c r="AA659" i="44"/>
  <c r="AA401" i="44"/>
  <c r="AA636" i="44"/>
  <c r="AA797" i="44"/>
  <c r="AA468" i="44"/>
  <c r="AA703" i="44"/>
  <c r="AA687" i="44"/>
  <c r="AA834" i="44"/>
  <c r="AA778" i="44"/>
  <c r="AA881" i="44"/>
  <c r="AA948" i="44"/>
  <c r="AA762" i="44"/>
  <c r="AA333" i="44"/>
  <c r="AA627" i="44"/>
  <c r="AA583" i="44"/>
  <c r="AA967" i="44"/>
  <c r="AA875" i="44"/>
  <c r="AA511" i="44"/>
  <c r="AA525" i="44"/>
  <c r="AA145" i="44"/>
  <c r="AA241" i="44"/>
  <c r="AA61" i="44"/>
  <c r="AA84" i="44"/>
  <c r="AA161" i="44"/>
  <c r="AA109" i="44"/>
  <c r="AA96" i="44"/>
  <c r="AA216" i="44"/>
  <c r="AA376" i="44"/>
  <c r="AA210" i="44"/>
  <c r="AA261" i="44"/>
  <c r="AA283" i="44"/>
  <c r="AA320" i="44"/>
  <c r="AA372" i="44"/>
  <c r="AA700" i="44"/>
  <c r="AA869" i="44"/>
  <c r="AA979" i="44"/>
  <c r="AA366" i="44"/>
  <c r="AA711" i="44"/>
  <c r="AA880" i="44"/>
  <c r="AA646" i="44"/>
  <c r="AA864" i="44"/>
  <c r="AA571" i="44"/>
  <c r="AA838" i="44"/>
  <c r="AA397" i="44"/>
  <c r="AA529" i="44"/>
  <c r="AA702" i="44"/>
  <c r="AA791" i="44"/>
  <c r="AA894" i="44"/>
  <c r="AA961" i="44"/>
  <c r="AA795" i="44"/>
  <c r="AA340" i="44"/>
  <c r="AA374" i="44"/>
  <c r="AA342" i="44"/>
  <c r="AA678" i="44"/>
  <c r="AA648" i="44"/>
  <c r="AA37" i="44"/>
  <c r="AA33" i="44"/>
  <c r="AA124" i="44"/>
  <c r="AA181" i="44"/>
  <c r="AA353" i="44"/>
  <c r="AA398" i="44"/>
  <c r="AA428" i="44"/>
  <c r="AA898" i="44"/>
  <c r="AA405" i="44"/>
  <c r="AA566" i="44"/>
  <c r="AA721" i="44"/>
  <c r="AA492" i="44"/>
  <c r="AA574" i="44"/>
  <c r="AA853" i="44"/>
  <c r="AA808" i="44"/>
  <c r="AA617" i="44"/>
  <c r="AA680" i="44"/>
  <c r="AA49" i="44"/>
  <c r="AA72" i="44"/>
  <c r="AA169" i="44"/>
  <c r="AA121" i="44"/>
  <c r="AA412" i="44"/>
  <c r="AA282" i="44"/>
  <c r="AA265" i="44"/>
  <c r="AA341" i="44"/>
  <c r="AA430" i="44"/>
  <c r="AA628" i="44"/>
  <c r="AA577" i="44"/>
  <c r="AA947" i="44"/>
  <c r="AA976" i="44"/>
  <c r="AA732" i="44"/>
  <c r="AA719" i="44"/>
  <c r="AA819" i="44"/>
  <c r="AA973" i="44"/>
  <c r="AA389" i="44"/>
  <c r="AA499" i="44"/>
  <c r="AA129" i="44"/>
  <c r="AA64" i="44"/>
  <c r="AA76" i="44"/>
  <c r="AA168" i="44"/>
  <c r="AA132" i="44"/>
  <c r="AA185" i="44"/>
  <c r="AA217" i="44"/>
  <c r="AA504" i="44"/>
  <c r="AA286" i="44"/>
  <c r="AA270" i="44"/>
  <c r="AA446" i="44"/>
  <c r="AA799" i="44"/>
  <c r="AA911" i="44"/>
  <c r="AA584" i="44"/>
  <c r="AA750" i="44"/>
  <c r="AA692" i="44"/>
  <c r="AA480" i="44"/>
  <c r="AA782" i="44"/>
  <c r="AA822" i="44"/>
  <c r="AA862" i="44"/>
  <c r="AA503" i="44"/>
  <c r="AA551" i="44"/>
  <c r="AA40" i="44"/>
  <c r="AA133" i="44"/>
  <c r="AA304" i="44"/>
  <c r="AA149" i="44"/>
  <c r="AA60" i="44"/>
  <c r="AA112" i="44"/>
  <c r="AA208" i="44"/>
  <c r="AA288" i="44"/>
  <c r="AA329" i="44"/>
  <c r="AA461" i="44"/>
  <c r="AA466" i="44"/>
  <c r="AA885" i="44"/>
  <c r="AA916" i="44"/>
  <c r="AA587" i="44"/>
  <c r="AA744" i="44"/>
  <c r="AA410" i="44"/>
  <c r="AA615" i="44"/>
  <c r="AA792" i="44"/>
  <c r="AA456" i="44"/>
  <c r="AA546" i="44"/>
  <c r="AA748" i="44"/>
  <c r="AA726" i="44"/>
  <c r="AA674" i="44"/>
  <c r="AA912" i="44"/>
  <c r="AA865" i="44"/>
  <c r="AA81" i="44"/>
  <c r="AA97" i="44"/>
  <c r="AA136" i="44"/>
  <c r="AA144" i="44"/>
  <c r="AA204" i="44"/>
  <c r="AA120" i="44"/>
  <c r="AA229" i="44"/>
  <c r="AA319" i="44"/>
  <c r="AA481" i="44"/>
  <c r="AA355" i="44"/>
  <c r="AA743" i="44"/>
  <c r="AA429" i="44"/>
  <c r="AA618" i="44"/>
  <c r="AA972" i="44"/>
  <c r="AA528" i="44"/>
  <c r="AA751" i="44"/>
  <c r="AA489" i="44"/>
  <c r="AA843" i="44"/>
  <c r="AA871" i="44"/>
  <c r="AA469" i="44"/>
  <c r="AA785" i="44"/>
  <c r="AA971" i="44"/>
  <c r="AA691" i="44"/>
  <c r="AA917" i="44"/>
  <c r="AA507" i="44"/>
  <c r="AA516" i="44"/>
  <c r="AA558" i="44"/>
  <c r="AA679" i="44"/>
  <c r="AA85" i="44"/>
  <c r="AA889" i="44"/>
  <c r="AA953" i="44"/>
  <c r="AA486" i="44"/>
  <c r="AA153" i="44"/>
  <c r="AA45" i="44"/>
  <c r="AA180" i="44"/>
  <c r="AA197" i="44"/>
  <c r="AA377" i="44"/>
  <c r="AA284" i="44"/>
  <c r="AA448" i="44"/>
  <c r="AA921" i="44"/>
  <c r="AA952" i="44"/>
  <c r="AA495" i="44"/>
  <c r="AA625" i="44"/>
  <c r="AA787" i="44"/>
  <c r="AA811" i="44"/>
  <c r="AA622" i="44"/>
  <c r="AA760" i="44"/>
  <c r="AA887" i="44"/>
  <c r="AA477" i="44"/>
  <c r="AA599" i="44"/>
  <c r="AA761" i="44"/>
  <c r="AA925" i="44"/>
  <c r="AA938" i="44"/>
  <c r="AA434" i="44"/>
  <c r="AA643" i="44"/>
  <c r="AA772" i="44"/>
  <c r="AA52" i="44"/>
  <c r="AA36" i="44"/>
  <c r="AA157" i="44"/>
  <c r="AA108" i="44"/>
  <c r="AA100" i="44"/>
  <c r="AA189" i="44"/>
  <c r="AA252" i="44"/>
  <c r="AA276" i="44"/>
  <c r="AA390" i="44"/>
  <c r="AA324" i="44"/>
  <c r="AA474" i="44"/>
  <c r="AA689" i="44"/>
  <c r="AA505" i="44"/>
  <c r="AA793" i="44"/>
  <c r="AA595" i="44"/>
  <c r="AA384" i="44"/>
  <c r="AA767" i="44"/>
  <c r="AA496" i="44"/>
  <c r="AA910" i="44"/>
  <c r="AA630" i="44"/>
  <c r="AA502" i="44"/>
  <c r="AA698" i="44"/>
  <c r="AA930" i="44"/>
  <c r="AA547" i="44"/>
  <c r="AA835" i="44"/>
  <c r="AA522" i="44"/>
  <c r="AA48" i="44"/>
  <c r="AA88" i="44"/>
  <c r="AA148" i="44"/>
  <c r="AA137" i="44"/>
  <c r="AA222" i="44"/>
  <c r="AA228" i="44"/>
  <c r="AA297" i="44"/>
  <c r="AA293" i="44"/>
  <c r="AA354" i="44"/>
  <c r="AA500" i="44"/>
  <c r="AA763" i="44"/>
  <c r="AA733" i="44"/>
  <c r="AA513" i="44"/>
  <c r="AA629" i="44"/>
  <c r="AA804" i="44"/>
  <c r="AA640" i="44"/>
  <c r="AA859" i="44"/>
  <c r="AA557" i="44"/>
  <c r="AA844" i="44"/>
  <c r="AA449" i="44"/>
  <c r="AA569" i="44"/>
  <c r="AA730" i="44"/>
  <c r="AA24" i="44"/>
  <c r="AA162" i="44"/>
  <c r="AA198" i="44"/>
  <c r="AA327" i="44"/>
  <c r="AA524" i="44"/>
  <c r="AA559" i="44"/>
  <c r="AA836" i="44"/>
  <c r="AA892" i="44"/>
  <c r="AA652" i="44"/>
  <c r="AA809" i="44"/>
  <c r="AA676" i="44"/>
  <c r="AA421" i="44"/>
  <c r="AA581" i="44"/>
  <c r="AA556" i="44"/>
  <c r="AA363" i="44"/>
  <c r="AA497" i="44"/>
  <c r="AA775" i="44"/>
  <c r="AA876" i="44"/>
  <c r="AA933" i="44"/>
  <c r="AA433" i="44"/>
  <c r="AS261" i="19"/>
  <c r="AP261" i="19"/>
  <c r="AM261" i="19"/>
  <c r="AL261" i="19"/>
  <c r="AJ261" i="19"/>
  <c r="AI261" i="19"/>
  <c r="Y24" i="55"/>
  <c r="W24" i="55" s="1"/>
  <c r="Y24" i="53"/>
  <c r="W24" i="53" s="1"/>
  <c r="Y23" i="52"/>
  <c r="W23" i="52" s="1"/>
  <c r="Y23" i="44"/>
  <c r="W23" i="44" s="1"/>
  <c r="Z982" i="19"/>
  <c r="Z981" i="19"/>
  <c r="Z980" i="19"/>
  <c r="Z979" i="19"/>
  <c r="Z978" i="19"/>
  <c r="Z976" i="19"/>
  <c r="Z975" i="19"/>
  <c r="Z974" i="19"/>
  <c r="Z972" i="19"/>
  <c r="Z971" i="19"/>
  <c r="Z970" i="19"/>
  <c r="Z969" i="19"/>
  <c r="Z968" i="19"/>
  <c r="Z966" i="19"/>
  <c r="Z965" i="19"/>
  <c r="Z964" i="19"/>
  <c r="Z963" i="19"/>
  <c r="Z962" i="19"/>
  <c r="Z961" i="19"/>
  <c r="Z960" i="19"/>
  <c r="Z959" i="19"/>
  <c r="Z958" i="19"/>
  <c r="Z957" i="19"/>
  <c r="Z956" i="19"/>
  <c r="Z955" i="19"/>
  <c r="Z954" i="19"/>
  <c r="Z953" i="19"/>
  <c r="Z952" i="19"/>
  <c r="Z951" i="19"/>
  <c r="Z950" i="19"/>
  <c r="Z949" i="19"/>
  <c r="Z948" i="19"/>
  <c r="Z946" i="19"/>
  <c r="Z945" i="19"/>
  <c r="Z944" i="19"/>
  <c r="Z943" i="19"/>
  <c r="Z941" i="19"/>
  <c r="Z939" i="19"/>
  <c r="Z938" i="19"/>
  <c r="Z937" i="19"/>
  <c r="Z936" i="19"/>
  <c r="Z934" i="19"/>
  <c r="Z933" i="19"/>
  <c r="Z932" i="19"/>
  <c r="Z931" i="19"/>
  <c r="Z930" i="19"/>
  <c r="Z929" i="19"/>
  <c r="Z928" i="19"/>
  <c r="Z927" i="19"/>
  <c r="Z926" i="19"/>
  <c r="Z925" i="19"/>
  <c r="Z924" i="19"/>
  <c r="Z923" i="19"/>
  <c r="Z922" i="19"/>
  <c r="Z921" i="19"/>
  <c r="Z920" i="19"/>
  <c r="Z918" i="19"/>
  <c r="Z916" i="19"/>
  <c r="Z915" i="19"/>
  <c r="Z914" i="19"/>
  <c r="Z913" i="19"/>
  <c r="Z912" i="19"/>
  <c r="Z911" i="19"/>
  <c r="Z909" i="19"/>
  <c r="Z907" i="19"/>
  <c r="Z906" i="19"/>
  <c r="Z905" i="19"/>
  <c r="Z904" i="19"/>
  <c r="Z903" i="19"/>
  <c r="Z902" i="19"/>
  <c r="Z901" i="19"/>
  <c r="Z900" i="19"/>
  <c r="Z899" i="19"/>
  <c r="Z897" i="19"/>
  <c r="Z896" i="19"/>
  <c r="Z895" i="19"/>
  <c r="Z894" i="19"/>
  <c r="Z893" i="19"/>
  <c r="Z892" i="19"/>
  <c r="Z891" i="19"/>
  <c r="Z890" i="19"/>
  <c r="Z889" i="19"/>
  <c r="Z888" i="19"/>
  <c r="Z887" i="19"/>
  <c r="Z886" i="19"/>
  <c r="Z884" i="19"/>
  <c r="Z883" i="19"/>
  <c r="Z881" i="19"/>
  <c r="Z880" i="19"/>
  <c r="Z879" i="19"/>
  <c r="Z878" i="19"/>
  <c r="Z877" i="19"/>
  <c r="Z876" i="19"/>
  <c r="Z874" i="19"/>
  <c r="Z873" i="19"/>
  <c r="Z870" i="19"/>
  <c r="Z869" i="19"/>
  <c r="Z868" i="19"/>
  <c r="Z867" i="19"/>
  <c r="Z866" i="19"/>
  <c r="Z864" i="19"/>
  <c r="Z863" i="19"/>
  <c r="Z862" i="19"/>
  <c r="Z861" i="19"/>
  <c r="Z860" i="19"/>
  <c r="Z859" i="19"/>
  <c r="Z858" i="19"/>
  <c r="Z857" i="19"/>
  <c r="Z856" i="19"/>
  <c r="Z855" i="19"/>
  <c r="Z854" i="19"/>
  <c r="Z853" i="19"/>
  <c r="Z852" i="19"/>
  <c r="Z851" i="19"/>
  <c r="Z850" i="19"/>
  <c r="Z849" i="19"/>
  <c r="Z848" i="19"/>
  <c r="Z847" i="19"/>
  <c r="Z846" i="19"/>
  <c r="Z844" i="19"/>
  <c r="Z843" i="19"/>
  <c r="Z842" i="19"/>
  <c r="Z841" i="19"/>
  <c r="Z840" i="19"/>
  <c r="Z839" i="19"/>
  <c r="Z838" i="19"/>
  <c r="Z837" i="19"/>
  <c r="Z836" i="19"/>
  <c r="Z834" i="19"/>
  <c r="Z833" i="19"/>
  <c r="Z831" i="19"/>
  <c r="Z830" i="19"/>
  <c r="Z829" i="19"/>
  <c r="Z828" i="19"/>
  <c r="Z827" i="19"/>
  <c r="Z825" i="19"/>
  <c r="Z823" i="19"/>
  <c r="Z821" i="19"/>
  <c r="Z820" i="19"/>
  <c r="Z818" i="19"/>
  <c r="Z816" i="19"/>
  <c r="Z814" i="19"/>
  <c r="Z812" i="19"/>
  <c r="Z809" i="19"/>
  <c r="Z808" i="19"/>
  <c r="Z807" i="19"/>
  <c r="Z806" i="19"/>
  <c r="Z804" i="19"/>
  <c r="Z803" i="19"/>
  <c r="Z802" i="19"/>
  <c r="Z801" i="19"/>
  <c r="Z799" i="19"/>
  <c r="Z798" i="19"/>
  <c r="Z797" i="19"/>
  <c r="Z796" i="19"/>
  <c r="Z795" i="19"/>
  <c r="Z794" i="19"/>
  <c r="Z793" i="19"/>
  <c r="Z792" i="19"/>
  <c r="Z791" i="19"/>
  <c r="Z790" i="19"/>
  <c r="Z789" i="19"/>
  <c r="Z788" i="19"/>
  <c r="Z786" i="19"/>
  <c r="Z785" i="19"/>
  <c r="Z784" i="19"/>
  <c r="Z783" i="19"/>
  <c r="Z782" i="19"/>
  <c r="Z781" i="19"/>
  <c r="Z779" i="19"/>
  <c r="Z778" i="19"/>
  <c r="Z777" i="19"/>
  <c r="Z776" i="19"/>
  <c r="Z775" i="19"/>
  <c r="Z774" i="19"/>
  <c r="Z773" i="19"/>
  <c r="Z772" i="19"/>
  <c r="Z771" i="19"/>
  <c r="Z770" i="19"/>
  <c r="Z769" i="19"/>
  <c r="Z767" i="19"/>
  <c r="Z766" i="19"/>
  <c r="Z764" i="19"/>
  <c r="Z763" i="19"/>
  <c r="Z761" i="19"/>
  <c r="Z760" i="19"/>
  <c r="Z758" i="19"/>
  <c r="Z755" i="19"/>
  <c r="Z753" i="19"/>
  <c r="Z751" i="19"/>
  <c r="Z749" i="19"/>
  <c r="Z747" i="19"/>
  <c r="Z745" i="19"/>
  <c r="Z743" i="19"/>
  <c r="Z741" i="19"/>
  <c r="Z740" i="19"/>
  <c r="Z738" i="19"/>
  <c r="Z737" i="19"/>
  <c r="Z735" i="19"/>
  <c r="Z733" i="19"/>
  <c r="Z731" i="19"/>
  <c r="Z728" i="19"/>
  <c r="Z726" i="19"/>
  <c r="Z724" i="19"/>
  <c r="Z722" i="19"/>
  <c r="Z721" i="19"/>
  <c r="Z720" i="19"/>
  <c r="Z719" i="19"/>
  <c r="Z717" i="19"/>
  <c r="Z715" i="19"/>
  <c r="Z714" i="19"/>
  <c r="Z712" i="19"/>
  <c r="Z711" i="19"/>
  <c r="Z709" i="19"/>
  <c r="Z707" i="19"/>
  <c r="Z706" i="19"/>
  <c r="Z704" i="19"/>
  <c r="Z703" i="19"/>
  <c r="Z701" i="19"/>
  <c r="Z700" i="19"/>
  <c r="Z698" i="19"/>
  <c r="Z697" i="19"/>
  <c r="Z696" i="19"/>
  <c r="Z695" i="19"/>
  <c r="Z694" i="19"/>
  <c r="Z693" i="19"/>
  <c r="Z692" i="19"/>
  <c r="Z691" i="19"/>
  <c r="Z690" i="19"/>
  <c r="Z689" i="19"/>
  <c r="Z688" i="19"/>
  <c r="Z687" i="19"/>
  <c r="Z686" i="19"/>
  <c r="Z685" i="19"/>
  <c r="Z684" i="19"/>
  <c r="Z683" i="19"/>
  <c r="Z681" i="19"/>
  <c r="Z680" i="19"/>
  <c r="Z678" i="19"/>
  <c r="Z677" i="19"/>
  <c r="Z676" i="19"/>
  <c r="Z675" i="19"/>
  <c r="Z674" i="19"/>
  <c r="Z673" i="19"/>
  <c r="Z672" i="19"/>
  <c r="Z671" i="19"/>
  <c r="Z670" i="19"/>
  <c r="Z669" i="19"/>
  <c r="Z668" i="19"/>
  <c r="Z666" i="19"/>
  <c r="Z665" i="19"/>
  <c r="Z663" i="19"/>
  <c r="Z662" i="19"/>
  <c r="Z660" i="19"/>
  <c r="Z659" i="19"/>
  <c r="Z657" i="19"/>
  <c r="Z656" i="19"/>
  <c r="Z655" i="19"/>
  <c r="Z654" i="19"/>
  <c r="Z652" i="19"/>
  <c r="Z651" i="19"/>
  <c r="Z650" i="19"/>
  <c r="Z649" i="19"/>
  <c r="Z647" i="19"/>
  <c r="Z646" i="19"/>
  <c r="Z645" i="19"/>
  <c r="Z644" i="19"/>
  <c r="Z643" i="19"/>
  <c r="Z642" i="19"/>
  <c r="Z641" i="19"/>
  <c r="Z640" i="19"/>
  <c r="Z639" i="19"/>
  <c r="Z638" i="19"/>
  <c r="Z636" i="19"/>
  <c r="Z634" i="19"/>
  <c r="Z633" i="19"/>
  <c r="Z632" i="19"/>
  <c r="Z630" i="19"/>
  <c r="Z629" i="19"/>
  <c r="Z628" i="19"/>
  <c r="Z626" i="19"/>
  <c r="Z624" i="19"/>
  <c r="Z623" i="19"/>
  <c r="Z622" i="19"/>
  <c r="Z621" i="19"/>
  <c r="Z620" i="19"/>
  <c r="Z618" i="19"/>
  <c r="Z617" i="19"/>
  <c r="Z616" i="19"/>
  <c r="Z615" i="19"/>
  <c r="Z614" i="19"/>
  <c r="Z612" i="19"/>
  <c r="Z611" i="19"/>
  <c r="Z610" i="19"/>
  <c r="Z609" i="19"/>
  <c r="Z608" i="19"/>
  <c r="Z606" i="19"/>
  <c r="Z604" i="19"/>
  <c r="Z603" i="19"/>
  <c r="Z602" i="19"/>
  <c r="Z601" i="19"/>
  <c r="Z600" i="19"/>
  <c r="Z599" i="19"/>
  <c r="Z598" i="19"/>
  <c r="Z596" i="19"/>
  <c r="Z595" i="19"/>
  <c r="Z594" i="19"/>
  <c r="Z593" i="19"/>
  <c r="Z591" i="19"/>
  <c r="Z590" i="19"/>
  <c r="Z589" i="19"/>
  <c r="Z588" i="19"/>
  <c r="Z587" i="19"/>
  <c r="Z585" i="19"/>
  <c r="Z584" i="19"/>
  <c r="Z583" i="19"/>
  <c r="Z582" i="19"/>
  <c r="Z581" i="19"/>
  <c r="Z580" i="19"/>
  <c r="Z579" i="19"/>
  <c r="Z578" i="19"/>
  <c r="Z577" i="19"/>
  <c r="Z575" i="19"/>
  <c r="Z574" i="19"/>
  <c r="Z573" i="19"/>
  <c r="Z571" i="19"/>
  <c r="Z570" i="19"/>
  <c r="Z569" i="19"/>
  <c r="Z567" i="19"/>
  <c r="Z565" i="19"/>
  <c r="Z564" i="19"/>
  <c r="Z563" i="19"/>
  <c r="Z561" i="19"/>
  <c r="Z560" i="19"/>
  <c r="Z558" i="19"/>
  <c r="Z557" i="19"/>
  <c r="Z555" i="19"/>
  <c r="Z554" i="19"/>
  <c r="Z553" i="19"/>
  <c r="Z552" i="19"/>
  <c r="Z550" i="19"/>
  <c r="Z549" i="19"/>
  <c r="Z548" i="19"/>
  <c r="Z546" i="19"/>
  <c r="Z544" i="19"/>
  <c r="Z542" i="19"/>
  <c r="Z540" i="19"/>
  <c r="Z539" i="19"/>
  <c r="Z538" i="19"/>
  <c r="Z536" i="19"/>
  <c r="Z534" i="19"/>
  <c r="Z533" i="19"/>
  <c r="Z532" i="19"/>
  <c r="Z531" i="19"/>
  <c r="Z530" i="19"/>
  <c r="Z528" i="19"/>
  <c r="Z527" i="19"/>
  <c r="Z526" i="19"/>
  <c r="Z524" i="19"/>
  <c r="Z523" i="19"/>
  <c r="Z522" i="19"/>
  <c r="Z521" i="19"/>
  <c r="Z519" i="19"/>
  <c r="Z518" i="19"/>
  <c r="Z517" i="19"/>
  <c r="Z516" i="19"/>
  <c r="Z515" i="19"/>
  <c r="Z514" i="19"/>
  <c r="Z513" i="19"/>
  <c r="Z511" i="19"/>
  <c r="Z510" i="19"/>
  <c r="Z509" i="19"/>
  <c r="Z508" i="19"/>
  <c r="Z507" i="19"/>
  <c r="Z506" i="19"/>
  <c r="Z505" i="19"/>
  <c r="Z504" i="19"/>
  <c r="Z503" i="19"/>
  <c r="Z501" i="19"/>
  <c r="Z500" i="19"/>
  <c r="Z499" i="19"/>
  <c r="Z498" i="19"/>
  <c r="Z497" i="19"/>
  <c r="Z496" i="19"/>
  <c r="Z495" i="19"/>
  <c r="Z494" i="19"/>
  <c r="Z493" i="19"/>
  <c r="Z492" i="19"/>
  <c r="Z490" i="19"/>
  <c r="Z489" i="19"/>
  <c r="Z488" i="19"/>
  <c r="Z487" i="19"/>
  <c r="Z486" i="19"/>
  <c r="Z485" i="19"/>
  <c r="Z484" i="19"/>
  <c r="Z483" i="19"/>
  <c r="Z481" i="19"/>
  <c r="Z480" i="19"/>
  <c r="Z478" i="19"/>
  <c r="Z477" i="19"/>
  <c r="Z475" i="19"/>
  <c r="Z473" i="19"/>
  <c r="Z472" i="19"/>
  <c r="Z471" i="19"/>
  <c r="Z469" i="19"/>
  <c r="Z467" i="19"/>
  <c r="Z466" i="19"/>
  <c r="Z465" i="19"/>
  <c r="Z464" i="19"/>
  <c r="Z462" i="19"/>
  <c r="Z461" i="19"/>
  <c r="Z460" i="19"/>
  <c r="Z458" i="19"/>
  <c r="Z457" i="19"/>
  <c r="Z456" i="19"/>
  <c r="Z454" i="19"/>
  <c r="Z452" i="19"/>
  <c r="Z451" i="19"/>
  <c r="Z449" i="19"/>
  <c r="Z447" i="19"/>
  <c r="Z446" i="19"/>
  <c r="Z445" i="19"/>
  <c r="Z444" i="19"/>
  <c r="Z442" i="19"/>
  <c r="Z440" i="19"/>
  <c r="Z439" i="19"/>
  <c r="Z438" i="19"/>
  <c r="Z436" i="19"/>
  <c r="Z435" i="19"/>
  <c r="Z433" i="19"/>
  <c r="Z432" i="19"/>
  <c r="Z431" i="19"/>
  <c r="Z430" i="19"/>
  <c r="Z429" i="19"/>
  <c r="Z427" i="19"/>
  <c r="Z426" i="19"/>
  <c r="Z424" i="19"/>
  <c r="Z422" i="19"/>
  <c r="Z421" i="19"/>
  <c r="Z420" i="19"/>
  <c r="Z418" i="19"/>
  <c r="Z417" i="19"/>
  <c r="Z416" i="19"/>
  <c r="Z415" i="19"/>
  <c r="Z414" i="19"/>
  <c r="Z413" i="19"/>
  <c r="Z412" i="19"/>
  <c r="Z411" i="19"/>
  <c r="Z410" i="19"/>
  <c r="Z409" i="19"/>
  <c r="Z407" i="19"/>
  <c r="Z406" i="19"/>
  <c r="Z404" i="19"/>
  <c r="Z403" i="19"/>
  <c r="Z401" i="19"/>
  <c r="Z400" i="19"/>
  <c r="Z399" i="19"/>
  <c r="Z398" i="19"/>
  <c r="Z397" i="19"/>
  <c r="Z396" i="19"/>
  <c r="Z394" i="19"/>
  <c r="Z393" i="19"/>
  <c r="Z391" i="19"/>
  <c r="Z389" i="19"/>
  <c r="Z388" i="19"/>
  <c r="Z386" i="19"/>
  <c r="Z384" i="19"/>
  <c r="Z382" i="19"/>
  <c r="Z380" i="19"/>
  <c r="Z378" i="19"/>
  <c r="Z376" i="19"/>
  <c r="Z374" i="19"/>
  <c r="Z372" i="19"/>
  <c r="Z370" i="19"/>
  <c r="Z368" i="19"/>
  <c r="Z366" i="19"/>
  <c r="Z365" i="19"/>
  <c r="Z363" i="19"/>
  <c r="Z362" i="19"/>
  <c r="Z360" i="19"/>
  <c r="Z359" i="19"/>
  <c r="Z358" i="19"/>
  <c r="Z357" i="19"/>
  <c r="Z356" i="19"/>
  <c r="Z355" i="19"/>
  <c r="Z354" i="19"/>
  <c r="Z353" i="19"/>
  <c r="Z352" i="19"/>
  <c r="Z351" i="19"/>
  <c r="Z350" i="19"/>
  <c r="Z349" i="19"/>
  <c r="Z348" i="19"/>
  <c r="Z347" i="19"/>
  <c r="Z345" i="19"/>
  <c r="Z344" i="19"/>
  <c r="Z342" i="19"/>
  <c r="Z341" i="19"/>
  <c r="Z340" i="19"/>
  <c r="Z339" i="19"/>
  <c r="Z337" i="19"/>
  <c r="Z336" i="19"/>
  <c r="Z335" i="19"/>
  <c r="Z334" i="19"/>
  <c r="Z332" i="19"/>
  <c r="Z331" i="19"/>
  <c r="Z330" i="19"/>
  <c r="Z329" i="19"/>
  <c r="Z327" i="19"/>
  <c r="Z326" i="19"/>
  <c r="Z325" i="19"/>
  <c r="Z324" i="19"/>
  <c r="Z322" i="19"/>
  <c r="Z321" i="19"/>
  <c r="Z320" i="19"/>
  <c r="Z319" i="19"/>
  <c r="Z317" i="19"/>
  <c r="Z316" i="19"/>
  <c r="Z315" i="19"/>
  <c r="Z314" i="19"/>
  <c r="Z312" i="19"/>
  <c r="Z311" i="19"/>
  <c r="Z310" i="19"/>
  <c r="Z309" i="19"/>
  <c r="Z307" i="19"/>
  <c r="Z306" i="19"/>
  <c r="Z305" i="19"/>
  <c r="Z304" i="19"/>
  <c r="Z303" i="19"/>
  <c r="Z302" i="19"/>
  <c r="Z301" i="19"/>
  <c r="Z300" i="19"/>
  <c r="Z299" i="19"/>
  <c r="Z298" i="19"/>
  <c r="Z296" i="19"/>
  <c r="Z295" i="19"/>
  <c r="Z294" i="19"/>
  <c r="Z293" i="19"/>
  <c r="Z292" i="19"/>
  <c r="Z291" i="19"/>
  <c r="Z290" i="19"/>
  <c r="Z289" i="19"/>
  <c r="Z288" i="19"/>
  <c r="Z287" i="19"/>
  <c r="Z286" i="19"/>
  <c r="Z285" i="19"/>
  <c r="Z284" i="19"/>
  <c r="Z283" i="19"/>
  <c r="Z282" i="19"/>
  <c r="Z281" i="19"/>
  <c r="Z280" i="19"/>
  <c r="Z279" i="19"/>
  <c r="Z278" i="19"/>
  <c r="Z277" i="19"/>
  <c r="Z276" i="19"/>
  <c r="Z275" i="19"/>
  <c r="Z274" i="19"/>
  <c r="Z273" i="19"/>
  <c r="Z271" i="19"/>
  <c r="Z270" i="19"/>
  <c r="Z269" i="19"/>
  <c r="Z268" i="19"/>
  <c r="Z267" i="19"/>
  <c r="Z266" i="19"/>
  <c r="Z265" i="19"/>
  <c r="Z264" i="19"/>
  <c r="Z263" i="19"/>
  <c r="Z262" i="19"/>
  <c r="Z260" i="19"/>
  <c r="Z258" i="19"/>
  <c r="Z257" i="19"/>
  <c r="Z256" i="19"/>
  <c r="Z255" i="19"/>
  <c r="Z253" i="19"/>
  <c r="Z252" i="19"/>
  <c r="Z251" i="19"/>
  <c r="Z249" i="19"/>
  <c r="Z248" i="19"/>
  <c r="Z247" i="19"/>
  <c r="Z246" i="19"/>
  <c r="Z245" i="19"/>
  <c r="Z244" i="19"/>
  <c r="Z243" i="19"/>
  <c r="Z242" i="19"/>
  <c r="Z241" i="19"/>
  <c r="Z240" i="19"/>
  <c r="Z239" i="19"/>
  <c r="Z237" i="19"/>
  <c r="Z236" i="19"/>
  <c r="Z235" i="19"/>
  <c r="Z233" i="19"/>
  <c r="Z232" i="19"/>
  <c r="Z231" i="19"/>
  <c r="Z230" i="19"/>
  <c r="Z229" i="19"/>
  <c r="Z228" i="19"/>
  <c r="Z226" i="19"/>
  <c r="Z225" i="19"/>
  <c r="Z224" i="19"/>
  <c r="Z222" i="19"/>
  <c r="Z220" i="19"/>
  <c r="Z219" i="19"/>
  <c r="Z217" i="19"/>
  <c r="Z216" i="19"/>
  <c r="Z215" i="19"/>
  <c r="Z213" i="19"/>
  <c r="Z212" i="19"/>
  <c r="Z210" i="19"/>
  <c r="Z209" i="19"/>
  <c r="Z208" i="19"/>
  <c r="Z207" i="19"/>
  <c r="Z205" i="19"/>
  <c r="Z204" i="19"/>
  <c r="Z203" i="19"/>
  <c r="Z202" i="19"/>
  <c r="Z201" i="19"/>
  <c r="Z200" i="19"/>
  <c r="Z199" i="19"/>
  <c r="Z198" i="19"/>
  <c r="Z196" i="19"/>
  <c r="Z195" i="19"/>
  <c r="Z193" i="19"/>
  <c r="Z192" i="19"/>
  <c r="Z190" i="19"/>
  <c r="Z189" i="19"/>
  <c r="Z188" i="19"/>
  <c r="Z187" i="19"/>
  <c r="Z186" i="19"/>
  <c r="Z184" i="19"/>
  <c r="Z183" i="19"/>
  <c r="Z182" i="19"/>
  <c r="Z180" i="19"/>
  <c r="Z179" i="19"/>
  <c r="Z178" i="19"/>
  <c r="Z177" i="19"/>
  <c r="Z176" i="19"/>
  <c r="Z175" i="19"/>
  <c r="Z174" i="19"/>
  <c r="Z172" i="19"/>
  <c r="Z171" i="19"/>
  <c r="Z169" i="19"/>
  <c r="Z167" i="19"/>
  <c r="Z166" i="19"/>
  <c r="Z165" i="19"/>
  <c r="Z164" i="19"/>
  <c r="Z162" i="19"/>
  <c r="Z161" i="19"/>
  <c r="Z160" i="19"/>
  <c r="Z159" i="19"/>
  <c r="Z158" i="19"/>
  <c r="Z157" i="19"/>
  <c r="Z156" i="19"/>
  <c r="Z155" i="19"/>
  <c r="Z154" i="19"/>
  <c r="Z152" i="19"/>
  <c r="Z151" i="19"/>
  <c r="Z150" i="19"/>
  <c r="Z149" i="19"/>
  <c r="Z148" i="19"/>
  <c r="Z147" i="19"/>
  <c r="Z146" i="19"/>
  <c r="Z145" i="19"/>
  <c r="Z144" i="19"/>
  <c r="Z143" i="19"/>
  <c r="Z142" i="19"/>
  <c r="Z141" i="19"/>
  <c r="Z140" i="19"/>
  <c r="Z139" i="19"/>
  <c r="Z137" i="19"/>
  <c r="Z136" i="19"/>
  <c r="Z134" i="19"/>
  <c r="Z133" i="19"/>
  <c r="Z132" i="19"/>
  <c r="Z131" i="19"/>
  <c r="Z130" i="19"/>
  <c r="Z129" i="19"/>
  <c r="Z127" i="19"/>
  <c r="Z126" i="19"/>
  <c r="Z125" i="19"/>
  <c r="Z124" i="19"/>
  <c r="Z123" i="19"/>
  <c r="Z121" i="19"/>
  <c r="Z120" i="19"/>
  <c r="Z119" i="19"/>
  <c r="Z118" i="19"/>
  <c r="Z116" i="19"/>
  <c r="Z115" i="19"/>
  <c r="Z114" i="19"/>
  <c r="Z113" i="19"/>
  <c r="Z111" i="19"/>
  <c r="Z110" i="19"/>
  <c r="Z109" i="19"/>
  <c r="Z108" i="19"/>
  <c r="Z107" i="19"/>
  <c r="Z106" i="19"/>
  <c r="Z105" i="19"/>
  <c r="Z104" i="19"/>
  <c r="Z103" i="19"/>
  <c r="Z102" i="19"/>
  <c r="Z101" i="19"/>
  <c r="Z100" i="19"/>
  <c r="Z99" i="19"/>
  <c r="Z98" i="19"/>
  <c r="Z96" i="19"/>
  <c r="Z95" i="19"/>
  <c r="Z94" i="19"/>
  <c r="Z93" i="19"/>
  <c r="Z91" i="19"/>
  <c r="Z90" i="19"/>
  <c r="Z89" i="19"/>
  <c r="Z88" i="19"/>
  <c r="Z87" i="19"/>
  <c r="Z86" i="19"/>
  <c r="Z85" i="19"/>
  <c r="Z84" i="19"/>
  <c r="Z83" i="19"/>
  <c r="Z81" i="19"/>
  <c r="Z80" i="19"/>
  <c r="Z79" i="19"/>
  <c r="Z77" i="19"/>
  <c r="Z76" i="19"/>
  <c r="Z75" i="19"/>
  <c r="Z74" i="19"/>
  <c r="Z73" i="19"/>
  <c r="Z72" i="19"/>
  <c r="Z71" i="19"/>
  <c r="Z70" i="19"/>
  <c r="Z69" i="19"/>
  <c r="Z68" i="19"/>
  <c r="Z67" i="19"/>
  <c r="Z66" i="19"/>
  <c r="Z65" i="19"/>
  <c r="Z62" i="19"/>
  <c r="Z61" i="19"/>
  <c r="Z60" i="19"/>
  <c r="Z59" i="19"/>
  <c r="Z58" i="19"/>
  <c r="Z57" i="19"/>
  <c r="Z56" i="19"/>
  <c r="Z54" i="19"/>
  <c r="Z53" i="19"/>
  <c r="Z52" i="19"/>
  <c r="Z51" i="19"/>
  <c r="Z49" i="19"/>
  <c r="Z48" i="19"/>
  <c r="Z47" i="19"/>
  <c r="Z46" i="19"/>
  <c r="Z44" i="19"/>
  <c r="Z43" i="19"/>
  <c r="Z42" i="19"/>
  <c r="Z41" i="19"/>
  <c r="Z40" i="19"/>
  <c r="Z38" i="19"/>
  <c r="Z37" i="19"/>
  <c r="Z36" i="19"/>
  <c r="Z35" i="19"/>
  <c r="Z34" i="19"/>
  <c r="Z33" i="19"/>
  <c r="Z32" i="19"/>
  <c r="Z31" i="19"/>
  <c r="Z30" i="19"/>
  <c r="Z29" i="19"/>
  <c r="Z28" i="19"/>
  <c r="Z27" i="19"/>
  <c r="Z26" i="19"/>
  <c r="Z25" i="19"/>
  <c r="Z24" i="19"/>
  <c r="Z23" i="19"/>
  <c r="Z22" i="19"/>
  <c r="AN261" i="19" l="1"/>
  <c r="X23" i="44"/>
  <c r="AA23" i="44" l="1"/>
  <c r="O983" i="19"/>
  <c r="N983" i="19"/>
  <c r="C23" i="36"/>
  <c r="A23" i="19" s="1"/>
  <c r="C24" i="36"/>
  <c r="A24" i="19" s="1"/>
  <c r="C25" i="36"/>
  <c r="A25" i="19" s="1"/>
  <c r="C26" i="36"/>
  <c r="A26" i="19" s="1"/>
  <c r="C27" i="36"/>
  <c r="A27" i="19" s="1"/>
  <c r="C28" i="36"/>
  <c r="A28" i="19" s="1"/>
  <c r="C29" i="36"/>
  <c r="A29" i="19" s="1"/>
  <c r="C30" i="36"/>
  <c r="A30" i="19" s="1"/>
  <c r="C31" i="36"/>
  <c r="A31" i="19" s="1"/>
  <c r="C32" i="36"/>
  <c r="A32" i="19" s="1"/>
  <c r="C33" i="36"/>
  <c r="A33" i="19" s="1"/>
  <c r="C34" i="36"/>
  <c r="A34" i="19" s="1"/>
  <c r="C35" i="36"/>
  <c r="A35" i="19" s="1"/>
  <c r="C36" i="36"/>
  <c r="A36" i="19" s="1"/>
  <c r="C38" i="36"/>
  <c r="A38" i="19" s="1"/>
  <c r="C40" i="36"/>
  <c r="A40" i="19" s="1"/>
  <c r="C41" i="36"/>
  <c r="A41" i="19" s="1"/>
  <c r="C42" i="36"/>
  <c r="A42" i="19" s="1"/>
  <c r="C44" i="36"/>
  <c r="A44" i="19" s="1"/>
  <c r="C46" i="36"/>
  <c r="A46" i="19" s="1"/>
  <c r="C47" i="36"/>
  <c r="A47" i="19" s="1"/>
  <c r="C48" i="36"/>
  <c r="A48" i="19" s="1"/>
  <c r="C49" i="36"/>
  <c r="A49" i="19" s="1"/>
  <c r="C51" i="36"/>
  <c r="C52" i="36"/>
  <c r="A52" i="19" s="1"/>
  <c r="C54" i="36"/>
  <c r="A54" i="19" s="1"/>
  <c r="C56" i="36"/>
  <c r="A56" i="19" s="1"/>
  <c r="C57" i="36"/>
  <c r="A57" i="19" s="1"/>
  <c r="C58" i="36"/>
  <c r="A58" i="19" s="1"/>
  <c r="C59" i="36"/>
  <c r="A59" i="19" s="1"/>
  <c r="C60" i="36"/>
  <c r="A60" i="19" s="1"/>
  <c r="C62" i="36"/>
  <c r="A62" i="19" s="1"/>
  <c r="C65" i="36"/>
  <c r="A65" i="19" s="1"/>
  <c r="C66" i="36"/>
  <c r="C67" i="36"/>
  <c r="A67" i="19" s="1"/>
  <c r="C68" i="36"/>
  <c r="A68" i="19" s="1"/>
  <c r="C69" i="36"/>
  <c r="A69" i="19" s="1"/>
  <c r="C70" i="36"/>
  <c r="A70" i="19" s="1"/>
  <c r="C71" i="36"/>
  <c r="A71" i="19" s="1"/>
  <c r="C72" i="36"/>
  <c r="A72" i="19" s="1"/>
  <c r="C73" i="36"/>
  <c r="A73" i="19" s="1"/>
  <c r="C74" i="36"/>
  <c r="A74" i="19" s="1"/>
  <c r="C75" i="36"/>
  <c r="A75" i="19" s="1"/>
  <c r="C77" i="36"/>
  <c r="A77" i="19" s="1"/>
  <c r="C79" i="36"/>
  <c r="A79" i="19" s="1"/>
  <c r="C81" i="36"/>
  <c r="A81" i="19" s="1"/>
  <c r="C83" i="36"/>
  <c r="A83" i="19" s="1"/>
  <c r="C85" i="36"/>
  <c r="A85" i="19" s="1"/>
  <c r="C86" i="36"/>
  <c r="A86" i="19" s="1"/>
  <c r="C87" i="36"/>
  <c r="A87" i="19" s="1"/>
  <c r="C88" i="36"/>
  <c r="A88" i="19" s="1"/>
  <c r="C89" i="36"/>
  <c r="A89" i="19" s="1"/>
  <c r="C90" i="36"/>
  <c r="A90" i="19" s="1"/>
  <c r="C91" i="36"/>
  <c r="A91" i="19" s="1"/>
  <c r="C93" i="36"/>
  <c r="A93" i="19" s="1"/>
  <c r="C95" i="36"/>
  <c r="A95" i="19" s="1"/>
  <c r="C96" i="36"/>
  <c r="A96" i="19" s="1"/>
  <c r="C98" i="36"/>
  <c r="A98" i="19" s="1"/>
  <c r="C100" i="36"/>
  <c r="A100" i="19" s="1"/>
  <c r="C101" i="36"/>
  <c r="A101" i="19" s="1"/>
  <c r="C102" i="36"/>
  <c r="A102" i="19" s="1"/>
  <c r="C103" i="36"/>
  <c r="A103" i="19" s="1"/>
  <c r="C104" i="36"/>
  <c r="A104" i="19" s="1"/>
  <c r="C105" i="36"/>
  <c r="A105" i="19" s="1"/>
  <c r="C106" i="36"/>
  <c r="A106" i="19" s="1"/>
  <c r="C107" i="36"/>
  <c r="A107" i="19" s="1"/>
  <c r="C108" i="36"/>
  <c r="A108" i="19" s="1"/>
  <c r="C109" i="36"/>
  <c r="A109" i="19" s="1"/>
  <c r="C110" i="36"/>
  <c r="A110" i="19" s="1"/>
  <c r="C111" i="36"/>
  <c r="A111" i="19" s="1"/>
  <c r="C113" i="36"/>
  <c r="A113" i="19" s="1"/>
  <c r="C114" i="36"/>
  <c r="A114" i="19" s="1"/>
  <c r="C115" i="36"/>
  <c r="A115" i="19" s="1"/>
  <c r="C118" i="36"/>
  <c r="A118" i="19" s="1"/>
  <c r="C119" i="36"/>
  <c r="A119" i="19" s="1"/>
  <c r="C120" i="36"/>
  <c r="A120" i="19" s="1"/>
  <c r="C123" i="36"/>
  <c r="A123" i="19" s="1"/>
  <c r="C124" i="36"/>
  <c r="A124" i="19" s="1"/>
  <c r="C125" i="36"/>
  <c r="A125" i="19" s="1"/>
  <c r="C126" i="36"/>
  <c r="A126" i="19" s="1"/>
  <c r="C127" i="36"/>
  <c r="A127" i="19" s="1"/>
  <c r="C129" i="36"/>
  <c r="A129" i="19" s="1"/>
  <c r="C130" i="36"/>
  <c r="A130" i="19" s="1"/>
  <c r="C131" i="36"/>
  <c r="A131" i="19" s="1"/>
  <c r="C132" i="36"/>
  <c r="A132" i="19" s="1"/>
  <c r="C133" i="36"/>
  <c r="A133" i="19" s="1"/>
  <c r="C136" i="36"/>
  <c r="A136" i="19" s="1"/>
  <c r="C137" i="36"/>
  <c r="A137" i="19" s="1"/>
  <c r="C139" i="36"/>
  <c r="A139" i="19" s="1"/>
  <c r="C140" i="36"/>
  <c r="A140" i="19" s="1"/>
  <c r="C142" i="36"/>
  <c r="A142" i="19" s="1"/>
  <c r="C143" i="36"/>
  <c r="A143" i="19" s="1"/>
  <c r="C145" i="36"/>
  <c r="A145" i="19" s="1"/>
  <c r="C146" i="36"/>
  <c r="A146" i="19" s="1"/>
  <c r="C147" i="36"/>
  <c r="A147" i="19" s="1"/>
  <c r="C148" i="36"/>
  <c r="A148" i="19" s="1"/>
  <c r="C149" i="36"/>
  <c r="A149" i="19" s="1"/>
  <c r="C150" i="36"/>
  <c r="A150" i="19" s="1"/>
  <c r="C151" i="36"/>
  <c r="A151" i="19" s="1"/>
  <c r="C152" i="36"/>
  <c r="A152" i="19" s="1"/>
  <c r="C154" i="36"/>
  <c r="A154" i="19" s="1"/>
  <c r="C155" i="36"/>
  <c r="A155" i="19" s="1"/>
  <c r="C156" i="36"/>
  <c r="A156" i="19" s="1"/>
  <c r="C157" i="36"/>
  <c r="A157" i="19" s="1"/>
  <c r="C158" i="36"/>
  <c r="A158" i="19" s="1"/>
  <c r="C160" i="36"/>
  <c r="A160" i="19" s="1"/>
  <c r="C161" i="36"/>
  <c r="A161" i="19" s="1"/>
  <c r="C162" i="36"/>
  <c r="A162" i="19" s="1"/>
  <c r="C164" i="36"/>
  <c r="A164" i="19" s="1"/>
  <c r="C165" i="36"/>
  <c r="A165" i="19" s="1"/>
  <c r="C166" i="36"/>
  <c r="A166" i="19" s="1"/>
  <c r="C167" i="36"/>
  <c r="A167" i="19" s="1"/>
  <c r="C169" i="36"/>
  <c r="A169" i="19" s="1"/>
  <c r="C171" i="36"/>
  <c r="A171" i="19" s="1"/>
  <c r="C174" i="36"/>
  <c r="A174" i="19" s="1"/>
  <c r="C175" i="36"/>
  <c r="A175" i="19" s="1"/>
  <c r="C176" i="36"/>
  <c r="A176" i="19" s="1"/>
  <c r="C177" i="36"/>
  <c r="A177" i="19" s="1"/>
  <c r="C179" i="36"/>
  <c r="A179" i="19" s="1"/>
  <c r="C182" i="36"/>
  <c r="A182" i="19" s="1"/>
  <c r="C184" i="36"/>
  <c r="A184" i="19" s="1"/>
  <c r="C186" i="36"/>
  <c r="A186" i="19" s="1"/>
  <c r="C187" i="36"/>
  <c r="A187" i="19" s="1"/>
  <c r="C188" i="36"/>
  <c r="A188" i="19" s="1"/>
  <c r="C189" i="36"/>
  <c r="A189" i="19" s="1"/>
  <c r="C190" i="36"/>
  <c r="A190" i="19" s="1"/>
  <c r="C192" i="36"/>
  <c r="A192" i="19" s="1"/>
  <c r="C193" i="36"/>
  <c r="A193" i="19" s="1"/>
  <c r="C195" i="36"/>
  <c r="A195" i="19" s="1"/>
  <c r="C196" i="36"/>
  <c r="A196" i="19" s="1"/>
  <c r="C198" i="36"/>
  <c r="A198" i="19" s="1"/>
  <c r="C199" i="36"/>
  <c r="A199" i="19" s="1"/>
  <c r="C201" i="36"/>
  <c r="A201" i="19" s="1"/>
  <c r="C202" i="36"/>
  <c r="A202" i="19" s="1"/>
  <c r="C203" i="36"/>
  <c r="A203" i="19" s="1"/>
  <c r="C204" i="36"/>
  <c r="A204" i="19" s="1"/>
  <c r="C205" i="36"/>
  <c r="A205" i="19" s="1"/>
  <c r="C207" i="36"/>
  <c r="A207" i="19" s="1"/>
  <c r="C208" i="36"/>
  <c r="A208" i="19" s="1"/>
  <c r="C209" i="36"/>
  <c r="A209" i="19" s="1"/>
  <c r="C210" i="36"/>
  <c r="A210" i="19" s="1"/>
  <c r="C212" i="36"/>
  <c r="A212" i="19" s="1"/>
  <c r="C215" i="36"/>
  <c r="A215" i="19" s="1"/>
  <c r="C216" i="36"/>
  <c r="A216" i="19" s="1"/>
  <c r="C217" i="36"/>
  <c r="A217" i="19" s="1"/>
  <c r="C219" i="36"/>
  <c r="A219" i="19" s="1"/>
  <c r="C220" i="36"/>
  <c r="A220" i="19" s="1"/>
  <c r="C222" i="36"/>
  <c r="A222" i="19" s="1"/>
  <c r="C225" i="36"/>
  <c r="A225" i="19" s="1"/>
  <c r="C228" i="36"/>
  <c r="A228" i="19" s="1"/>
  <c r="C229" i="36"/>
  <c r="A229" i="19" s="1"/>
  <c r="C231" i="36"/>
  <c r="A231" i="19" s="1"/>
  <c r="C232" i="36"/>
  <c r="A232" i="19" s="1"/>
  <c r="C235" i="36"/>
  <c r="A235" i="19" s="1"/>
  <c r="C236" i="36"/>
  <c r="A236" i="19" s="1"/>
  <c r="C239" i="36"/>
  <c r="A239" i="19" s="1"/>
  <c r="C240" i="36"/>
  <c r="A240" i="19" s="1"/>
  <c r="C242" i="36"/>
  <c r="A242" i="19" s="1"/>
  <c r="C243" i="36"/>
  <c r="A243" i="19" s="1"/>
  <c r="C244" i="36"/>
  <c r="A244" i="19" s="1"/>
  <c r="C245" i="36"/>
  <c r="A245" i="19" s="1"/>
  <c r="C246" i="36"/>
  <c r="A246" i="19" s="1"/>
  <c r="C247" i="36"/>
  <c r="A247" i="19" s="1"/>
  <c r="C248" i="36"/>
  <c r="A248" i="19" s="1"/>
  <c r="C249" i="36"/>
  <c r="A249" i="19" s="1"/>
  <c r="C251" i="36"/>
  <c r="A251" i="19" s="1"/>
  <c r="C252" i="36"/>
  <c r="A252" i="19" s="1"/>
  <c r="C253" i="36"/>
  <c r="A253" i="19" s="1"/>
  <c r="C256" i="36"/>
  <c r="A256" i="19" s="1"/>
  <c r="C257" i="36"/>
  <c r="A257" i="19" s="1"/>
  <c r="C258" i="36"/>
  <c r="A258" i="19" s="1"/>
  <c r="C260" i="36"/>
  <c r="A260" i="19" s="1"/>
  <c r="A263" i="19"/>
  <c r="A264" i="19"/>
  <c r="A266" i="19"/>
  <c r="A267" i="19"/>
  <c r="A268" i="19"/>
  <c r="A269" i="19"/>
  <c r="A270" i="19"/>
  <c r="A271" i="19"/>
  <c r="A273" i="19"/>
  <c r="A274" i="19"/>
  <c r="A275" i="19"/>
  <c r="A276" i="19"/>
  <c r="A278" i="19"/>
  <c r="A279" i="19"/>
  <c r="A280" i="19"/>
  <c r="A281" i="19"/>
  <c r="A282" i="19"/>
  <c r="A283" i="19"/>
  <c r="A284" i="19"/>
  <c r="A285" i="19"/>
  <c r="A286" i="19"/>
  <c r="A287" i="19"/>
  <c r="A288" i="19"/>
  <c r="A289" i="19"/>
  <c r="A290" i="19"/>
  <c r="A291" i="19"/>
  <c r="A292" i="19"/>
  <c r="A293" i="19"/>
  <c r="A294" i="19"/>
  <c r="A295" i="19"/>
  <c r="A296" i="19"/>
  <c r="A298" i="19"/>
  <c r="A299" i="19"/>
  <c r="A300" i="19"/>
  <c r="A301" i="19"/>
  <c r="A303" i="19"/>
  <c r="A304" i="19"/>
  <c r="A305" i="19"/>
  <c r="A306" i="19"/>
  <c r="A307" i="19"/>
  <c r="A309" i="19"/>
  <c r="A310" i="19"/>
  <c r="A311" i="19"/>
  <c r="A312" i="19"/>
  <c r="A314" i="19"/>
  <c r="A316" i="19"/>
  <c r="A317" i="19"/>
  <c r="A318" i="19"/>
  <c r="A319"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7" i="19"/>
  <c r="A348" i="19"/>
  <c r="A349" i="19"/>
  <c r="A350" i="19"/>
  <c r="A351" i="19"/>
  <c r="A352" i="19"/>
  <c r="A354" i="19"/>
  <c r="A355" i="19"/>
  <c r="A356" i="19"/>
  <c r="A357" i="19"/>
  <c r="A358" i="19"/>
  <c r="A359" i="19"/>
  <c r="A360" i="19"/>
  <c r="A362" i="19"/>
  <c r="A363" i="19"/>
  <c r="A365" i="19"/>
  <c r="A366" i="19"/>
  <c r="A368" i="19"/>
  <c r="A372" i="19"/>
  <c r="A374" i="19"/>
  <c r="A376" i="19"/>
  <c r="A378" i="19"/>
  <c r="A380" i="19"/>
  <c r="A382" i="19"/>
  <c r="A384" i="19"/>
  <c r="A386" i="19"/>
  <c r="A388" i="19"/>
  <c r="A393" i="19"/>
  <c r="A396" i="19"/>
  <c r="A397" i="19"/>
  <c r="A398" i="19"/>
  <c r="A399" i="19"/>
  <c r="A400" i="19"/>
  <c r="A403" i="19"/>
  <c r="A406" i="19"/>
  <c r="A409" i="19"/>
  <c r="A410" i="19"/>
  <c r="A411" i="19"/>
  <c r="A412" i="19"/>
  <c r="A413" i="19"/>
  <c r="A414" i="19"/>
  <c r="A415" i="19"/>
  <c r="A416" i="19"/>
  <c r="A417" i="19"/>
  <c r="A420" i="19"/>
  <c r="A421" i="19"/>
  <c r="A426" i="19"/>
  <c r="A429" i="19"/>
  <c r="A430" i="19"/>
  <c r="A431" i="19"/>
  <c r="A432" i="19"/>
  <c r="A435" i="19"/>
  <c r="A438" i="19"/>
  <c r="A439" i="19"/>
  <c r="A444" i="19"/>
  <c r="A445" i="19"/>
  <c r="A446" i="19"/>
  <c r="A451" i="19"/>
  <c r="A456" i="19"/>
  <c r="A457" i="19"/>
  <c r="A460" i="19"/>
  <c r="A461" i="19"/>
  <c r="A464" i="19"/>
  <c r="A465" i="19"/>
  <c r="A466" i="19"/>
  <c r="A471" i="19"/>
  <c r="A472" i="19"/>
  <c r="A477" i="19"/>
  <c r="A480" i="19"/>
  <c r="A483" i="19"/>
  <c r="A484" i="19"/>
  <c r="A485" i="19"/>
  <c r="A486" i="19"/>
  <c r="A487" i="19"/>
  <c r="A488" i="19"/>
  <c r="A490" i="19"/>
  <c r="A492" i="19"/>
  <c r="A493" i="19"/>
  <c r="A494" i="19"/>
  <c r="A495" i="19"/>
  <c r="A496" i="19"/>
  <c r="A498" i="19"/>
  <c r="A499" i="19"/>
  <c r="A501" i="19"/>
  <c r="A504" i="19"/>
  <c r="A505" i="19"/>
  <c r="A506" i="19"/>
  <c r="A507" i="19"/>
  <c r="A508" i="19"/>
  <c r="A510" i="19"/>
  <c r="A513" i="19"/>
  <c r="A514" i="19"/>
  <c r="A515" i="19"/>
  <c r="A516" i="19"/>
  <c r="A517" i="19"/>
  <c r="A518" i="19"/>
  <c r="A521" i="19"/>
  <c r="A523" i="19"/>
  <c r="A524" i="19"/>
  <c r="A526" i="19"/>
  <c r="A527" i="19"/>
  <c r="A528" i="19"/>
  <c r="A530" i="19"/>
  <c r="A531" i="19"/>
  <c r="A533" i="19"/>
  <c r="A534" i="19"/>
  <c r="A536" i="19"/>
  <c r="A539" i="19"/>
  <c r="A540" i="19"/>
  <c r="A542" i="19"/>
  <c r="A544" i="19"/>
  <c r="A546" i="19"/>
  <c r="A548" i="19"/>
  <c r="A550" i="19"/>
  <c r="A552" i="19"/>
  <c r="A553" i="19"/>
  <c r="A554" i="19"/>
  <c r="A555" i="19"/>
  <c r="A558" i="19"/>
  <c r="A560" i="19"/>
  <c r="A561" i="19"/>
  <c r="A563" i="19"/>
  <c r="A564" i="19"/>
  <c r="A565" i="19"/>
  <c r="A567" i="19"/>
  <c r="A569" i="19"/>
  <c r="A571" i="19"/>
  <c r="A573" i="19"/>
  <c r="A575" i="19"/>
  <c r="A577" i="19"/>
  <c r="A579" i="19"/>
  <c r="A581" i="19"/>
  <c r="A583" i="19"/>
  <c r="A585" i="19"/>
  <c r="A587" i="19"/>
  <c r="A589" i="19"/>
  <c r="A591" i="19"/>
  <c r="A594" i="19"/>
  <c r="A595" i="19"/>
  <c r="A600" i="19"/>
  <c r="A601" i="19"/>
  <c r="A604" i="19"/>
  <c r="A606" i="19"/>
  <c r="A608" i="19"/>
  <c r="A611" i="19"/>
  <c r="A612" i="19"/>
  <c r="A614" i="19"/>
  <c r="A615" i="19"/>
  <c r="A616" i="19"/>
  <c r="A617" i="19"/>
  <c r="A620" i="19"/>
  <c r="A621" i="19"/>
  <c r="A622" i="19"/>
  <c r="A624" i="19"/>
  <c r="A626" i="19"/>
  <c r="A628" i="19"/>
  <c r="A629" i="19"/>
  <c r="A632" i="19"/>
  <c r="A634" i="19"/>
  <c r="A636" i="19"/>
  <c r="A638" i="19"/>
  <c r="A641" i="19"/>
  <c r="A642" i="19"/>
  <c r="A643" i="19"/>
  <c r="A644" i="19"/>
  <c r="A646" i="19"/>
  <c r="A647" i="19"/>
  <c r="A649" i="19"/>
  <c r="A651" i="19"/>
  <c r="A652" i="19"/>
  <c r="A654" i="19"/>
  <c r="A657" i="19"/>
  <c r="A659" i="19"/>
  <c r="A660" i="19"/>
  <c r="A666" i="19"/>
  <c r="A669" i="19"/>
  <c r="A672" i="19"/>
  <c r="A673" i="19"/>
  <c r="A675" i="19"/>
  <c r="A676" i="19"/>
  <c r="A681" i="19"/>
  <c r="A684" i="19"/>
  <c r="A686" i="19"/>
  <c r="A687" i="19"/>
  <c r="A688" i="19"/>
  <c r="A690" i="19"/>
  <c r="A692" i="19"/>
  <c r="A694" i="19"/>
  <c r="A696" i="19"/>
  <c r="A697" i="19"/>
  <c r="A698" i="19"/>
  <c r="A700" i="19"/>
  <c r="A703" i="19"/>
  <c r="A709" i="19"/>
  <c r="A712" i="19"/>
  <c r="A714" i="19"/>
  <c r="A715" i="19"/>
  <c r="A717" i="19"/>
  <c r="A720" i="19"/>
  <c r="A724" i="19"/>
  <c r="A726" i="19"/>
  <c r="A728" i="19"/>
  <c r="A731" i="19"/>
  <c r="A733" i="19"/>
  <c r="A735" i="19"/>
  <c r="A738" i="19"/>
  <c r="A740" i="19"/>
  <c r="A741" i="19"/>
  <c r="A743" i="19"/>
  <c r="A745" i="19"/>
  <c r="A747" i="19"/>
  <c r="A751" i="19"/>
  <c r="A753" i="19"/>
  <c r="A758" i="19"/>
  <c r="A760" i="19"/>
  <c r="A761" i="19"/>
  <c r="A763" i="19"/>
  <c r="A764" i="19"/>
  <c r="A766" i="19"/>
  <c r="A767" i="19"/>
  <c r="A769" i="19"/>
  <c r="A770" i="19"/>
  <c r="A773" i="19"/>
  <c r="A775" i="19"/>
  <c r="A777" i="19"/>
  <c r="A778" i="19"/>
  <c r="A781" i="19"/>
  <c r="A783" i="19"/>
  <c r="A785" i="19"/>
  <c r="A786" i="19"/>
  <c r="A788" i="19"/>
  <c r="A790" i="19"/>
  <c r="A791" i="19"/>
  <c r="A793" i="19"/>
  <c r="A797" i="19"/>
  <c r="A799" i="19"/>
  <c r="A802" i="19"/>
  <c r="A804" i="19"/>
  <c r="A809" i="19"/>
  <c r="A812" i="19"/>
  <c r="A814" i="19"/>
  <c r="A816" i="19"/>
  <c r="A825" i="19"/>
  <c r="A827" i="19"/>
  <c r="A831" i="19"/>
  <c r="A834" i="19"/>
  <c r="A837" i="19"/>
  <c r="A839" i="19"/>
  <c r="A841" i="19"/>
  <c r="A843" i="19"/>
  <c r="A847" i="19"/>
  <c r="A849" i="19"/>
  <c r="A854" i="19"/>
  <c r="A855" i="19"/>
  <c r="A857" i="19"/>
  <c r="A860" i="19"/>
  <c r="A861" i="19"/>
  <c r="A863" i="19"/>
  <c r="A866" i="19"/>
  <c r="A867" i="19"/>
  <c r="A868" i="19"/>
  <c r="A869" i="19"/>
  <c r="A870" i="19"/>
  <c r="A871" i="19"/>
  <c r="A872" i="19"/>
  <c r="A873" i="19"/>
  <c r="A877" i="19"/>
  <c r="A878" i="19"/>
  <c r="A879" i="19"/>
  <c r="A880" i="19"/>
  <c r="A881" i="19"/>
  <c r="A883" i="19"/>
  <c r="A884" i="19"/>
  <c r="A886" i="19"/>
  <c r="A887" i="19"/>
  <c r="A888" i="19"/>
  <c r="A890" i="19"/>
  <c r="A891" i="19"/>
  <c r="A894" i="19"/>
  <c r="A895" i="19"/>
  <c r="A896" i="19"/>
  <c r="A900" i="19"/>
  <c r="A901" i="19"/>
  <c r="A903" i="19"/>
  <c r="A904" i="19"/>
  <c r="A905" i="19"/>
  <c r="A906" i="19"/>
  <c r="A909" i="19"/>
  <c r="A911" i="19"/>
  <c r="A913" i="19"/>
  <c r="A915" i="19"/>
  <c r="A921" i="19"/>
  <c r="A923" i="19"/>
  <c r="A926" i="19"/>
  <c r="A927" i="19"/>
  <c r="A928" i="19"/>
  <c r="A929" i="19"/>
  <c r="A932" i="19"/>
  <c r="A933" i="19"/>
  <c r="A934" i="19"/>
  <c r="A936" i="19"/>
  <c r="A937" i="19"/>
  <c r="A939" i="19"/>
  <c r="A943" i="19"/>
  <c r="A949" i="19"/>
  <c r="A951" i="19"/>
  <c r="A953" i="19"/>
  <c r="A955" i="19"/>
  <c r="A959" i="19"/>
  <c r="A961" i="19"/>
  <c r="A963" i="19"/>
  <c r="A964" i="19"/>
  <c r="A966" i="19"/>
  <c r="A969" i="19"/>
  <c r="A970" i="19"/>
  <c r="A971" i="19"/>
  <c r="A972" i="19"/>
  <c r="A975" i="19"/>
  <c r="A978" i="19"/>
  <c r="A979" i="19"/>
  <c r="A980" i="19"/>
  <c r="A981" i="19"/>
  <c r="A982" i="19"/>
  <c r="B22" i="36"/>
  <c r="B23" i="36"/>
  <c r="B24" i="36"/>
  <c r="B25" i="36"/>
  <c r="B26" i="36"/>
  <c r="B27" i="36"/>
  <c r="B29" i="36"/>
  <c r="B31" i="36"/>
  <c r="B32" i="36"/>
  <c r="B33" i="36"/>
  <c r="B35" i="36"/>
  <c r="B36" i="36"/>
  <c r="B38" i="36"/>
  <c r="B40" i="36"/>
  <c r="B41" i="36"/>
  <c r="B42" i="36"/>
  <c r="B44" i="36"/>
  <c r="B46" i="36"/>
  <c r="B47" i="36"/>
  <c r="B48" i="36"/>
  <c r="B49" i="36"/>
  <c r="B51" i="36"/>
  <c r="B53" i="36"/>
  <c r="C53" i="36" s="1"/>
  <c r="A53" i="19" s="1"/>
  <c r="B54" i="36"/>
  <c r="B56" i="36"/>
  <c r="B59" i="36"/>
  <c r="B60" i="36"/>
  <c r="B61" i="36"/>
  <c r="C61" i="36" s="1"/>
  <c r="A61" i="19" s="1"/>
  <c r="B62" i="36"/>
  <c r="B65" i="36"/>
  <c r="B66" i="36"/>
  <c r="B67" i="36"/>
  <c r="B68" i="36"/>
  <c r="B69" i="36"/>
  <c r="B70" i="36"/>
  <c r="B71" i="36"/>
  <c r="B72" i="36"/>
  <c r="B73" i="36"/>
  <c r="B74" i="36"/>
  <c r="B75" i="36"/>
  <c r="B76" i="36"/>
  <c r="C76" i="36" s="1"/>
  <c r="A76" i="19" s="1"/>
  <c r="B77" i="36"/>
  <c r="B79" i="36"/>
  <c r="B80" i="36"/>
  <c r="C80" i="36" s="1"/>
  <c r="A80" i="19" s="1"/>
  <c r="B81" i="36"/>
  <c r="B83" i="36"/>
  <c r="B84" i="36"/>
  <c r="C84" i="36" s="1"/>
  <c r="A84" i="19" s="1"/>
  <c r="B85" i="36"/>
  <c r="B86" i="36"/>
  <c r="B88" i="36"/>
  <c r="B89" i="36"/>
  <c r="B90" i="36"/>
  <c r="B93" i="36"/>
  <c r="B94" i="36"/>
  <c r="C94" i="36" s="1"/>
  <c r="A94" i="19" s="1"/>
  <c r="B95" i="36"/>
  <c r="B98" i="36"/>
  <c r="B99" i="36"/>
  <c r="C99" i="36" s="1"/>
  <c r="A99" i="19" s="1"/>
  <c r="B100" i="36"/>
  <c r="B101" i="36"/>
  <c r="B102" i="36"/>
  <c r="B103" i="36"/>
  <c r="B104" i="36"/>
  <c r="B105" i="36"/>
  <c r="B106" i="36"/>
  <c r="B108" i="36"/>
  <c r="B109" i="36"/>
  <c r="B110" i="36"/>
  <c r="B111" i="36"/>
  <c r="B124" i="36"/>
  <c r="B125" i="36"/>
  <c r="B126" i="36"/>
  <c r="B127" i="36"/>
  <c r="B129" i="36"/>
  <c r="B132" i="36"/>
  <c r="B133" i="36"/>
  <c r="B136" i="36"/>
  <c r="B137" i="36"/>
  <c r="B139" i="36"/>
  <c r="B140" i="36"/>
  <c r="B141" i="36"/>
  <c r="C141" i="36" s="1"/>
  <c r="A141" i="19" s="1"/>
  <c r="B142" i="36"/>
  <c r="B143" i="36"/>
  <c r="B144" i="36"/>
  <c r="C144" i="36" s="1"/>
  <c r="A144" i="19" s="1"/>
  <c r="B145" i="36"/>
  <c r="B146" i="36"/>
  <c r="B147" i="36"/>
  <c r="B148" i="36"/>
  <c r="B149" i="36"/>
  <c r="B150" i="36"/>
  <c r="B151" i="36"/>
  <c r="B152" i="36"/>
  <c r="B154" i="36"/>
  <c r="B155" i="36"/>
  <c r="B156" i="36"/>
  <c r="B157" i="36"/>
  <c r="B158" i="36"/>
  <c r="B160" i="36"/>
  <c r="B161" i="36"/>
  <c r="B162" i="36"/>
  <c r="B165" i="36"/>
  <c r="B166" i="36"/>
  <c r="B167" i="36"/>
  <c r="B169" i="36"/>
  <c r="B171" i="36"/>
  <c r="B172" i="36"/>
  <c r="C172" i="36" s="1"/>
  <c r="A172" i="19" s="1"/>
  <c r="B174" i="36"/>
  <c r="B175" i="36"/>
  <c r="B176" i="36"/>
  <c r="B177" i="36"/>
  <c r="B178" i="36"/>
  <c r="C178" i="36" s="1"/>
  <c r="A178" i="19" s="1"/>
  <c r="B179" i="36"/>
  <c r="B180" i="36"/>
  <c r="C180" i="36" s="1"/>
  <c r="A180" i="19" s="1"/>
  <c r="B182" i="36"/>
  <c r="B183" i="36"/>
  <c r="C183" i="36" s="1"/>
  <c r="A183" i="19" s="1"/>
  <c r="B184" i="36"/>
  <c r="B186" i="36"/>
  <c r="B187" i="36"/>
  <c r="B189" i="36"/>
  <c r="B190" i="36"/>
  <c r="B192" i="36"/>
  <c r="B193" i="36"/>
  <c r="B195" i="36"/>
  <c r="B196" i="36"/>
  <c r="B198" i="36"/>
  <c r="B199" i="36"/>
  <c r="B200" i="36"/>
  <c r="C200" i="36" s="1"/>
  <c r="A200" i="19" s="1"/>
  <c r="B201" i="36"/>
  <c r="B202" i="36"/>
  <c r="B203" i="36"/>
  <c r="B204" i="36"/>
  <c r="B205" i="36"/>
  <c r="B207" i="36"/>
  <c r="B209" i="36"/>
  <c r="B210" i="36"/>
  <c r="B212" i="36"/>
  <c r="B213" i="36"/>
  <c r="C213" i="36" s="1"/>
  <c r="A213" i="19" s="1"/>
  <c r="B215" i="36"/>
  <c r="B216" i="36"/>
  <c r="B217" i="36"/>
  <c r="B219" i="36"/>
  <c r="B220" i="36"/>
  <c r="B222" i="36"/>
  <c r="B224" i="36"/>
  <c r="C224" i="36" s="1"/>
  <c r="A224" i="19" s="1"/>
  <c r="B225" i="36"/>
  <c r="B226" i="36"/>
  <c r="C226" i="36" s="1"/>
  <c r="A226" i="19" s="1"/>
  <c r="B228" i="36"/>
  <c r="B229" i="36"/>
  <c r="B230" i="36"/>
  <c r="C230" i="36" s="1"/>
  <c r="A230" i="19" s="1"/>
  <c r="B231" i="36"/>
  <c r="B232" i="36"/>
  <c r="B235" i="36"/>
  <c r="B236" i="36"/>
  <c r="B237" i="36"/>
  <c r="C237" i="36" s="1"/>
  <c r="A237" i="19" s="1"/>
  <c r="B239" i="36"/>
  <c r="B240" i="36"/>
  <c r="B241" i="36"/>
  <c r="C241" i="36" s="1"/>
  <c r="A241" i="19" s="1"/>
  <c r="B242" i="36"/>
  <c r="B243" i="36"/>
  <c r="B244" i="36"/>
  <c r="B245" i="36"/>
  <c r="B246" i="36"/>
  <c r="B247" i="36"/>
  <c r="B248" i="36"/>
  <c r="B249" i="36"/>
  <c r="B251" i="36"/>
  <c r="B252" i="36"/>
  <c r="B253" i="36"/>
  <c r="B255" i="36"/>
  <c r="C255" i="36" s="1"/>
  <c r="A255" i="19" s="1"/>
  <c r="B256" i="36"/>
  <c r="B257" i="36"/>
  <c r="B258" i="36"/>
  <c r="B260" i="36"/>
  <c r="A265" i="19"/>
  <c r="A277" i="19"/>
  <c r="A315" i="19"/>
  <c r="A353" i="19"/>
  <c r="A370" i="19"/>
  <c r="A389" i="19"/>
  <c r="A391" i="19"/>
  <c r="A394" i="19"/>
  <c r="A401" i="19"/>
  <c r="A404" i="19"/>
  <c r="A407" i="19"/>
  <c r="A424" i="19"/>
  <c r="A427" i="19"/>
  <c r="A433" i="19"/>
  <c r="A436" i="19"/>
  <c r="A440" i="19"/>
  <c r="A442" i="19"/>
  <c r="A447" i="19"/>
  <c r="A449" i="19"/>
  <c r="A452" i="19"/>
  <c r="A454" i="19"/>
  <c r="A458" i="19"/>
  <c r="A462" i="19"/>
  <c r="A467" i="19"/>
  <c r="A469" i="19"/>
  <c r="A473" i="19"/>
  <c r="A475" i="19"/>
  <c r="A478" i="19"/>
  <c r="A481" i="19"/>
  <c r="A489" i="19"/>
  <c r="A497" i="19"/>
  <c r="A503" i="19"/>
  <c r="A509" i="19"/>
  <c r="A519" i="19"/>
  <c r="A570" i="19"/>
  <c r="A598" i="19"/>
  <c r="A610" i="19"/>
  <c r="A618" i="19"/>
  <c r="A630" i="19"/>
  <c r="A656" i="19"/>
  <c r="A662" i="19"/>
  <c r="A668" i="19"/>
  <c r="A670" i="19"/>
  <c r="A678" i="19"/>
  <c r="A680" i="19"/>
  <c r="A691" i="19"/>
  <c r="A701" i="19"/>
  <c r="A704" i="19"/>
  <c r="A707" i="19"/>
  <c r="A721" i="19"/>
  <c r="A771" i="19"/>
  <c r="A774" i="19"/>
  <c r="A776" i="19"/>
  <c r="A779" i="19"/>
  <c r="A782" i="19"/>
  <c r="A784" i="19"/>
  <c r="A794" i="19"/>
  <c r="A796" i="19"/>
  <c r="A801" i="19"/>
  <c r="A807" i="19"/>
  <c r="A829" i="19"/>
  <c r="A852" i="19"/>
  <c r="A858" i="19"/>
  <c r="A864" i="19"/>
  <c r="A876" i="19"/>
  <c r="A889" i="19"/>
  <c r="A893" i="19"/>
  <c r="A897" i="19"/>
  <c r="A907" i="19"/>
  <c r="A914" i="19"/>
  <c r="A916" i="19"/>
  <c r="A920" i="19"/>
  <c r="A922" i="19"/>
  <c r="A924" i="19"/>
  <c r="A931" i="19"/>
  <c r="A938" i="19"/>
  <c r="A941" i="19"/>
  <c r="A944" i="19"/>
  <c r="A957" i="19"/>
  <c r="A965" i="19"/>
  <c r="B28" i="36"/>
  <c r="C22" i="36"/>
  <c r="AZ982" i="19"/>
  <c r="AY982" i="19"/>
  <c r="AX982" i="19"/>
  <c r="AR982" i="19"/>
  <c r="AT982" i="19" s="1"/>
  <c r="AZ981" i="19"/>
  <c r="AY981" i="19"/>
  <c r="AX981" i="19"/>
  <c r="AR981" i="19"/>
  <c r="AT981" i="19" s="1"/>
  <c r="AZ980" i="19"/>
  <c r="AY980" i="19"/>
  <c r="AX980" i="19"/>
  <c r="AR980" i="19"/>
  <c r="AT980" i="19" s="1"/>
  <c r="AZ979" i="19"/>
  <c r="AY979" i="19"/>
  <c r="AX979" i="19"/>
  <c r="AR979" i="19"/>
  <c r="AT979" i="19" s="1"/>
  <c r="AZ978" i="19"/>
  <c r="AY978" i="19"/>
  <c r="AX978" i="19"/>
  <c r="AR978" i="19"/>
  <c r="AT978" i="19" s="1"/>
  <c r="AS978" i="19" s="1"/>
  <c r="AZ976" i="19"/>
  <c r="AY976" i="19"/>
  <c r="AX976" i="19"/>
  <c r="AR976" i="19"/>
  <c r="AT976" i="19" s="1"/>
  <c r="AS976" i="19" s="1"/>
  <c r="AZ975" i="19"/>
  <c r="AY975" i="19"/>
  <c r="AX975" i="19"/>
  <c r="AR975" i="19"/>
  <c r="AT975" i="19" s="1"/>
  <c r="AS975" i="19" s="1"/>
  <c r="AZ974" i="19"/>
  <c r="AY974" i="19"/>
  <c r="AX974" i="19"/>
  <c r="AR974" i="19"/>
  <c r="AT974" i="19" s="1"/>
  <c r="AZ972" i="19"/>
  <c r="AY972" i="19"/>
  <c r="AX972" i="19"/>
  <c r="AR972" i="19"/>
  <c r="AT972" i="19" s="1"/>
  <c r="AZ971" i="19"/>
  <c r="AY971" i="19"/>
  <c r="AX971" i="19"/>
  <c r="AR971" i="19"/>
  <c r="AT971" i="19" s="1"/>
  <c r="AZ970" i="19"/>
  <c r="AY970" i="19"/>
  <c r="AX970" i="19"/>
  <c r="AR970" i="19"/>
  <c r="AT970" i="19" s="1"/>
  <c r="AS970" i="19" s="1"/>
  <c r="AZ969" i="19"/>
  <c r="AY969" i="19"/>
  <c r="AX969" i="19"/>
  <c r="AR969" i="19"/>
  <c r="AT969" i="19" s="1"/>
  <c r="AS969" i="19" s="1"/>
  <c r="AZ968" i="19"/>
  <c r="AY968" i="19"/>
  <c r="AX968" i="19"/>
  <c r="AR968" i="19"/>
  <c r="AT968" i="19" s="1"/>
  <c r="AZ966" i="19"/>
  <c r="AY966" i="19"/>
  <c r="AX966" i="19"/>
  <c r="AR966" i="19"/>
  <c r="AT966" i="19" s="1"/>
  <c r="AZ965" i="19"/>
  <c r="AY965" i="19"/>
  <c r="AX965" i="19"/>
  <c r="AR965" i="19"/>
  <c r="AT965" i="19" s="1"/>
  <c r="AZ964" i="19"/>
  <c r="AY964" i="19"/>
  <c r="AX964" i="19"/>
  <c r="AR964" i="19"/>
  <c r="AT964" i="19" s="1"/>
  <c r="AZ963" i="19"/>
  <c r="AY963" i="19"/>
  <c r="AX963" i="19"/>
  <c r="AR963" i="19"/>
  <c r="AT963" i="19" s="1"/>
  <c r="AZ962" i="19"/>
  <c r="AY962" i="19"/>
  <c r="AX962" i="19"/>
  <c r="AR962" i="19"/>
  <c r="AT962" i="19" s="1"/>
  <c r="AS962" i="19" s="1"/>
  <c r="AZ961" i="19"/>
  <c r="AY961" i="19"/>
  <c r="AX961" i="19"/>
  <c r="AR961" i="19"/>
  <c r="AT961" i="19" s="1"/>
  <c r="AS961" i="19" s="1"/>
  <c r="AZ960" i="19"/>
  <c r="AY960" i="19"/>
  <c r="AX960" i="19"/>
  <c r="AR960" i="19"/>
  <c r="AT960" i="19" s="1"/>
  <c r="AZ959" i="19"/>
  <c r="AY959" i="19"/>
  <c r="AX959" i="19"/>
  <c r="AR959" i="19"/>
  <c r="AT959" i="19" s="1"/>
  <c r="AZ958" i="19"/>
  <c r="AY958" i="19"/>
  <c r="AX958" i="19"/>
  <c r="AR958" i="19"/>
  <c r="AT958" i="19" s="1"/>
  <c r="AZ957" i="19"/>
  <c r="AY957" i="19"/>
  <c r="AX957" i="19"/>
  <c r="AR957" i="19"/>
  <c r="AT957" i="19" s="1"/>
  <c r="AS957" i="19" s="1"/>
  <c r="AZ956" i="19"/>
  <c r="AY956" i="19"/>
  <c r="AX956" i="19"/>
  <c r="AR956" i="19"/>
  <c r="AT956" i="19" s="1"/>
  <c r="AS956" i="19" s="1"/>
  <c r="AZ955" i="19"/>
  <c r="AY955" i="19"/>
  <c r="AX955" i="19"/>
  <c r="AR955" i="19"/>
  <c r="AT955" i="19" s="1"/>
  <c r="AS955" i="19" s="1"/>
  <c r="AZ954" i="19"/>
  <c r="AY954" i="19"/>
  <c r="AX954" i="19"/>
  <c r="AR954" i="19"/>
  <c r="AT954" i="19" s="1"/>
  <c r="AZ953" i="19"/>
  <c r="AY953" i="19"/>
  <c r="AX953" i="19"/>
  <c r="AR953" i="19"/>
  <c r="AT953" i="19" s="1"/>
  <c r="AZ952" i="19"/>
  <c r="AY952" i="19"/>
  <c r="AX952" i="19"/>
  <c r="AR952" i="19"/>
  <c r="AT952" i="19" s="1"/>
  <c r="AZ951" i="19"/>
  <c r="AY951" i="19"/>
  <c r="AX951" i="19"/>
  <c r="AR951" i="19"/>
  <c r="AT951" i="19" s="1"/>
  <c r="AZ950" i="19"/>
  <c r="AY950" i="19"/>
  <c r="AX950" i="19"/>
  <c r="AR950" i="19"/>
  <c r="AT950" i="19" s="1"/>
  <c r="AZ949" i="19"/>
  <c r="AY949" i="19"/>
  <c r="AX949" i="19"/>
  <c r="AR949" i="19"/>
  <c r="AT949" i="19" s="1"/>
  <c r="AS949" i="19" s="1"/>
  <c r="AZ948" i="19"/>
  <c r="AY948" i="19"/>
  <c r="AX948" i="19"/>
  <c r="AR948" i="19"/>
  <c r="AT948" i="19" s="1"/>
  <c r="AZ946" i="19"/>
  <c r="AY946" i="19"/>
  <c r="AX946" i="19"/>
  <c r="AR946" i="19"/>
  <c r="AT946" i="19" s="1"/>
  <c r="AZ945" i="19"/>
  <c r="AY945" i="19"/>
  <c r="AX945" i="19"/>
  <c r="AR945" i="19"/>
  <c r="AT945" i="19" s="1"/>
  <c r="AZ944" i="19"/>
  <c r="AY944" i="19"/>
  <c r="AX944" i="19"/>
  <c r="AR944" i="19"/>
  <c r="AT944" i="19" s="1"/>
  <c r="AS944" i="19" s="1"/>
  <c r="AZ943" i="19"/>
  <c r="AY943" i="19"/>
  <c r="AX943" i="19"/>
  <c r="AR943" i="19"/>
  <c r="AT943" i="19" s="1"/>
  <c r="AS943" i="19" s="1"/>
  <c r="AZ941" i="19"/>
  <c r="AY941" i="19"/>
  <c r="AX941" i="19"/>
  <c r="AR941" i="19"/>
  <c r="AT941" i="19" s="1"/>
  <c r="AS941" i="19" s="1"/>
  <c r="AZ939" i="19"/>
  <c r="AY939" i="19"/>
  <c r="AX939" i="19"/>
  <c r="AR939" i="19"/>
  <c r="AT939" i="19" s="1"/>
  <c r="AZ938" i="19"/>
  <c r="AY938" i="19"/>
  <c r="AX938" i="19"/>
  <c r="AR938" i="19"/>
  <c r="AT938" i="19" s="1"/>
  <c r="AZ937" i="19"/>
  <c r="AY937" i="19"/>
  <c r="AX937" i="19"/>
  <c r="AR937" i="19"/>
  <c r="AT937" i="19" s="1"/>
  <c r="AZ936" i="19"/>
  <c r="AY936" i="19"/>
  <c r="AX936" i="19"/>
  <c r="AR936" i="19"/>
  <c r="AT936" i="19" s="1"/>
  <c r="AZ934" i="19"/>
  <c r="AY934" i="19"/>
  <c r="AX934" i="19"/>
  <c r="AR934" i="19"/>
  <c r="AT934" i="19" s="1"/>
  <c r="AS934" i="19" s="1"/>
  <c r="AZ933" i="19"/>
  <c r="AY933" i="19"/>
  <c r="AX933" i="19"/>
  <c r="AR933" i="19"/>
  <c r="AT933" i="19" s="1"/>
  <c r="AS933" i="19" s="1"/>
  <c r="AZ932" i="19"/>
  <c r="AY932" i="19"/>
  <c r="AX932" i="19"/>
  <c r="AR932" i="19"/>
  <c r="AT932" i="19" s="1"/>
  <c r="AZ931" i="19"/>
  <c r="AY931" i="19"/>
  <c r="AX931" i="19"/>
  <c r="AR931" i="19"/>
  <c r="AT931" i="19" s="1"/>
  <c r="AZ930" i="19"/>
  <c r="AY930" i="19"/>
  <c r="AX930" i="19"/>
  <c r="AR930" i="19"/>
  <c r="AT930" i="19" s="1"/>
  <c r="AZ929" i="19"/>
  <c r="AY929" i="19"/>
  <c r="AX929" i="19"/>
  <c r="AR929" i="19"/>
  <c r="AT929" i="19" s="1"/>
  <c r="AS929" i="19" s="1"/>
  <c r="AZ928" i="19"/>
  <c r="AY928" i="19"/>
  <c r="AX928" i="19"/>
  <c r="AR928" i="19"/>
  <c r="AT928" i="19" s="1"/>
  <c r="AS928" i="19" s="1"/>
  <c r="AZ927" i="19"/>
  <c r="AY927" i="19"/>
  <c r="AX927" i="19"/>
  <c r="AR927" i="19"/>
  <c r="AT927" i="19" s="1"/>
  <c r="AS927" i="19" s="1"/>
  <c r="AZ926" i="19"/>
  <c r="AY926" i="19"/>
  <c r="AX926" i="19"/>
  <c r="AR926" i="19"/>
  <c r="AT926" i="19" s="1"/>
  <c r="AZ925" i="19"/>
  <c r="AY925" i="19"/>
  <c r="AX925" i="19"/>
  <c r="AR925" i="19"/>
  <c r="AT925" i="19" s="1"/>
  <c r="AZ924" i="19"/>
  <c r="AY924" i="19"/>
  <c r="AX924" i="19"/>
  <c r="AR924" i="19"/>
  <c r="AT924" i="19" s="1"/>
  <c r="AZ923" i="19"/>
  <c r="AY923" i="19"/>
  <c r="AX923" i="19"/>
  <c r="AR923" i="19"/>
  <c r="AT923" i="19" s="1"/>
  <c r="AZ922" i="19"/>
  <c r="AY922" i="19"/>
  <c r="AX922" i="19"/>
  <c r="AR922" i="19"/>
  <c r="AT922" i="19" s="1"/>
  <c r="AS922" i="19" s="1"/>
  <c r="AZ921" i="19"/>
  <c r="AY921" i="19"/>
  <c r="AX921" i="19"/>
  <c r="AR921" i="19"/>
  <c r="AT921" i="19" s="1"/>
  <c r="AS921" i="19" s="1"/>
  <c r="AZ920" i="19"/>
  <c r="AY920" i="19"/>
  <c r="AX920" i="19"/>
  <c r="AR920" i="19"/>
  <c r="AT920" i="19" s="1"/>
  <c r="AS920" i="19" s="1"/>
  <c r="AZ918" i="19"/>
  <c r="AY918" i="19"/>
  <c r="AX918" i="19"/>
  <c r="AR918" i="19"/>
  <c r="AT918" i="19" s="1"/>
  <c r="AZ916" i="19"/>
  <c r="AY916" i="19"/>
  <c r="AX916" i="19"/>
  <c r="AR916" i="19"/>
  <c r="AT916" i="19" s="1"/>
  <c r="AZ915" i="19"/>
  <c r="AY915" i="19"/>
  <c r="AX915" i="19"/>
  <c r="AR915" i="19"/>
  <c r="AT915" i="19" s="1"/>
  <c r="AS915" i="19" s="1"/>
  <c r="AZ914" i="19"/>
  <c r="AY914" i="19"/>
  <c r="AX914" i="19"/>
  <c r="AR914" i="19"/>
  <c r="AT914" i="19" s="1"/>
  <c r="AS914" i="19" s="1"/>
  <c r="AZ913" i="19"/>
  <c r="AY913" i="19"/>
  <c r="AX913" i="19"/>
  <c r="AR913" i="19"/>
  <c r="AT913" i="19" s="1"/>
  <c r="AS913" i="19" s="1"/>
  <c r="AZ912" i="19"/>
  <c r="AY912" i="19"/>
  <c r="AX912" i="19"/>
  <c r="AR912" i="19"/>
  <c r="AT912" i="19" s="1"/>
  <c r="AS912" i="19" s="1"/>
  <c r="AZ911" i="19"/>
  <c r="AY911" i="19"/>
  <c r="AX911" i="19"/>
  <c r="AR911" i="19"/>
  <c r="AT911" i="19" s="1"/>
  <c r="AZ909" i="19"/>
  <c r="AY909" i="19"/>
  <c r="AX909" i="19"/>
  <c r="AR909" i="19"/>
  <c r="AT909" i="19" s="1"/>
  <c r="AZ907" i="19"/>
  <c r="AY907" i="19"/>
  <c r="AX907" i="19"/>
  <c r="AR907" i="19"/>
  <c r="AT907" i="19" s="1"/>
  <c r="AS907" i="19" s="1"/>
  <c r="AZ906" i="19"/>
  <c r="AY906" i="19"/>
  <c r="AX906" i="19"/>
  <c r="AR906" i="19"/>
  <c r="AT906" i="19" s="1"/>
  <c r="AS906" i="19" s="1"/>
  <c r="AZ905" i="19"/>
  <c r="AY905" i="19"/>
  <c r="AX905" i="19"/>
  <c r="AR905" i="19"/>
  <c r="AT905" i="19" s="1"/>
  <c r="AS905" i="19" s="1"/>
  <c r="AZ904" i="19"/>
  <c r="AY904" i="19"/>
  <c r="AX904" i="19"/>
  <c r="AR904" i="19"/>
  <c r="AT904" i="19" s="1"/>
  <c r="AZ903" i="19"/>
  <c r="AY903" i="19"/>
  <c r="AX903" i="19"/>
  <c r="AR903" i="19"/>
  <c r="AT903" i="19" s="1"/>
  <c r="AZ902" i="19"/>
  <c r="AY902" i="19"/>
  <c r="AX902" i="19"/>
  <c r="AR902" i="19"/>
  <c r="AT902" i="19" s="1"/>
  <c r="AZ901" i="19"/>
  <c r="AY901" i="19"/>
  <c r="AX901" i="19"/>
  <c r="AR901" i="19"/>
  <c r="AT901" i="19" s="1"/>
  <c r="AS901" i="19" s="1"/>
  <c r="AZ900" i="19"/>
  <c r="AY900" i="19"/>
  <c r="AX900" i="19"/>
  <c r="AR900" i="19"/>
  <c r="AT900" i="19" s="1"/>
  <c r="AS900" i="19" s="1"/>
  <c r="AZ899" i="19"/>
  <c r="AY899" i="19"/>
  <c r="AX899" i="19"/>
  <c r="AR899" i="19"/>
  <c r="AT899" i="19" s="1"/>
  <c r="AZ897" i="19"/>
  <c r="AY897" i="19"/>
  <c r="AX897" i="19"/>
  <c r="AR897" i="19"/>
  <c r="AT897" i="19" s="1"/>
  <c r="AS897" i="19" s="1"/>
  <c r="AZ896" i="19"/>
  <c r="AY896" i="19"/>
  <c r="AX896" i="19"/>
  <c r="AR896" i="19"/>
  <c r="AT896" i="19" s="1"/>
  <c r="AS896" i="19" s="1"/>
  <c r="AZ895" i="19"/>
  <c r="AY895" i="19"/>
  <c r="AX895" i="19"/>
  <c r="AR895" i="19"/>
  <c r="AT895" i="19" s="1"/>
  <c r="AS895" i="19" s="1"/>
  <c r="AZ894" i="19"/>
  <c r="AY894" i="19"/>
  <c r="AX894" i="19"/>
  <c r="AR894" i="19"/>
  <c r="AT894" i="19" s="1"/>
  <c r="AS894" i="19" s="1"/>
  <c r="AZ893" i="19"/>
  <c r="AY893" i="19"/>
  <c r="AX893" i="19"/>
  <c r="AR893" i="19"/>
  <c r="AT893" i="19" s="1"/>
  <c r="AS893" i="19" s="1"/>
  <c r="AZ892" i="19"/>
  <c r="AY892" i="19"/>
  <c r="AX892" i="19"/>
  <c r="AR892" i="19"/>
  <c r="AT892" i="19" s="1"/>
  <c r="AS892" i="19" s="1"/>
  <c r="AZ891" i="19"/>
  <c r="AY891" i="19"/>
  <c r="AX891" i="19"/>
  <c r="AR891" i="19"/>
  <c r="AT891" i="19" s="1"/>
  <c r="AZ890" i="19"/>
  <c r="AY890" i="19"/>
  <c r="AX890" i="19"/>
  <c r="AR890" i="19"/>
  <c r="AT890" i="19" s="1"/>
  <c r="AS890" i="19" s="1"/>
  <c r="AZ889" i="19"/>
  <c r="AY889" i="19"/>
  <c r="AX889" i="19"/>
  <c r="AR889" i="19"/>
  <c r="AT889" i="19" s="1"/>
  <c r="AS889" i="19" s="1"/>
  <c r="AZ888" i="19"/>
  <c r="AY888" i="19"/>
  <c r="AX888" i="19"/>
  <c r="AR888" i="19"/>
  <c r="AT888" i="19" s="1"/>
  <c r="AS888" i="19" s="1"/>
  <c r="AZ887" i="19"/>
  <c r="AY887" i="19"/>
  <c r="AX887" i="19"/>
  <c r="AR887" i="19"/>
  <c r="AT887" i="19" s="1"/>
  <c r="AS887" i="19" s="1"/>
  <c r="AZ886" i="19"/>
  <c r="AY886" i="19"/>
  <c r="AX886" i="19"/>
  <c r="AR886" i="19"/>
  <c r="AT886" i="19" s="1"/>
  <c r="AS886" i="19" s="1"/>
  <c r="AZ884" i="19"/>
  <c r="AY884" i="19"/>
  <c r="AX884" i="19"/>
  <c r="AR884" i="19"/>
  <c r="AT884" i="19" s="1"/>
  <c r="AS884" i="19" s="1"/>
  <c r="AZ883" i="19"/>
  <c r="AY883" i="19"/>
  <c r="AX883" i="19"/>
  <c r="AR883" i="19"/>
  <c r="AT883" i="19" s="1"/>
  <c r="AS883" i="19" s="1"/>
  <c r="AZ881" i="19"/>
  <c r="AY881" i="19"/>
  <c r="AX881" i="19"/>
  <c r="AR881" i="19"/>
  <c r="AT881" i="19" s="1"/>
  <c r="AS881" i="19" s="1"/>
  <c r="AZ880" i="19"/>
  <c r="AY880" i="19"/>
  <c r="AX880" i="19"/>
  <c r="AR880" i="19"/>
  <c r="AT880" i="19" s="1"/>
  <c r="AZ879" i="19"/>
  <c r="AY879" i="19"/>
  <c r="AX879" i="19"/>
  <c r="AR879" i="19"/>
  <c r="AT879" i="19" s="1"/>
  <c r="AS879" i="19" s="1"/>
  <c r="AZ878" i="19"/>
  <c r="AY878" i="19"/>
  <c r="AX878" i="19"/>
  <c r="AR878" i="19"/>
  <c r="AT878" i="19" s="1"/>
  <c r="AS878" i="19" s="1"/>
  <c r="AZ877" i="19"/>
  <c r="AY877" i="19"/>
  <c r="AX877" i="19"/>
  <c r="AR877" i="19"/>
  <c r="AT877" i="19" s="1"/>
  <c r="AS877" i="19" s="1"/>
  <c r="AZ876" i="19"/>
  <c r="AY876" i="19"/>
  <c r="AX876" i="19"/>
  <c r="AR876" i="19"/>
  <c r="AT876" i="19" s="1"/>
  <c r="AS876" i="19" s="1"/>
  <c r="AZ874" i="19"/>
  <c r="AY874" i="19"/>
  <c r="AX874" i="19"/>
  <c r="AR874" i="19"/>
  <c r="AT874" i="19" s="1"/>
  <c r="AS874" i="19" s="1"/>
  <c r="AZ873" i="19"/>
  <c r="AY873" i="19"/>
  <c r="AX873" i="19"/>
  <c r="AR873" i="19"/>
  <c r="AT873" i="19" s="1"/>
  <c r="AS873" i="19" s="1"/>
  <c r="AZ872" i="19"/>
  <c r="AY872" i="19"/>
  <c r="AX872" i="19"/>
  <c r="AR872" i="19"/>
  <c r="AT872" i="19" s="1"/>
  <c r="AS872" i="19" s="1"/>
  <c r="AZ871" i="19"/>
  <c r="AY871" i="19"/>
  <c r="AX871" i="19"/>
  <c r="AR871" i="19"/>
  <c r="AT871" i="19" s="1"/>
  <c r="AS871" i="19" s="1"/>
  <c r="AZ870" i="19"/>
  <c r="AY870" i="19"/>
  <c r="AX870" i="19"/>
  <c r="AR870" i="19"/>
  <c r="AT870" i="19" s="1"/>
  <c r="AS870" i="19" s="1"/>
  <c r="AZ869" i="19"/>
  <c r="AY869" i="19"/>
  <c r="AX869" i="19"/>
  <c r="AR869" i="19"/>
  <c r="AT869" i="19" s="1"/>
  <c r="AS869" i="19" s="1"/>
  <c r="AZ868" i="19"/>
  <c r="AY868" i="19"/>
  <c r="AX868" i="19"/>
  <c r="AR868" i="19"/>
  <c r="AT868" i="19" s="1"/>
  <c r="AS868" i="19" s="1"/>
  <c r="AZ867" i="19"/>
  <c r="AY867" i="19"/>
  <c r="AX867" i="19"/>
  <c r="AR867" i="19"/>
  <c r="AT867" i="19" s="1"/>
  <c r="AZ866" i="19"/>
  <c r="AY866" i="19"/>
  <c r="AX866" i="19"/>
  <c r="AR866" i="19"/>
  <c r="AT866" i="19" s="1"/>
  <c r="AS866" i="19" s="1"/>
  <c r="AZ864" i="19"/>
  <c r="AY864" i="19"/>
  <c r="AX864" i="19"/>
  <c r="AR864" i="19"/>
  <c r="AT864" i="19" s="1"/>
  <c r="AS864" i="19" s="1"/>
  <c r="AZ863" i="19"/>
  <c r="AY863" i="19"/>
  <c r="AX863" i="19"/>
  <c r="AR863" i="19"/>
  <c r="AT863" i="19" s="1"/>
  <c r="AS863" i="19" s="1"/>
  <c r="AZ862" i="19"/>
  <c r="AY862" i="19"/>
  <c r="AX862" i="19"/>
  <c r="AR862" i="19"/>
  <c r="AT862" i="19" s="1"/>
  <c r="AS862" i="19" s="1"/>
  <c r="AZ861" i="19"/>
  <c r="AY861" i="19"/>
  <c r="AX861" i="19"/>
  <c r="AR861" i="19"/>
  <c r="AT861" i="19" s="1"/>
  <c r="AZ860" i="19"/>
  <c r="AY860" i="19"/>
  <c r="AX860" i="19"/>
  <c r="AR860" i="19"/>
  <c r="AT860" i="19" s="1"/>
  <c r="AZ859" i="19"/>
  <c r="AY859" i="19"/>
  <c r="AX859" i="19"/>
  <c r="AR859" i="19"/>
  <c r="AT859" i="19" s="1"/>
  <c r="AZ858" i="19"/>
  <c r="AY858" i="19"/>
  <c r="AX858" i="19"/>
  <c r="AR858" i="19"/>
  <c r="AT858" i="19" s="1"/>
  <c r="AZ857" i="19"/>
  <c r="AY857" i="19"/>
  <c r="AX857" i="19"/>
  <c r="AR857" i="19"/>
  <c r="AT857" i="19" s="1"/>
  <c r="AZ856" i="19"/>
  <c r="AY856" i="19"/>
  <c r="AX856" i="19"/>
  <c r="AR856" i="19"/>
  <c r="AT856" i="19" s="1"/>
  <c r="AZ855" i="19"/>
  <c r="AY855" i="19"/>
  <c r="AX855" i="19"/>
  <c r="AR855" i="19"/>
  <c r="AT855" i="19" s="1"/>
  <c r="AZ854" i="19"/>
  <c r="AY854" i="19"/>
  <c r="AX854" i="19"/>
  <c r="AR854" i="19"/>
  <c r="AT854" i="19" s="1"/>
  <c r="AZ853" i="19"/>
  <c r="AY853" i="19"/>
  <c r="AX853" i="19"/>
  <c r="AR853" i="19"/>
  <c r="AT853" i="19" s="1"/>
  <c r="AZ852" i="19"/>
  <c r="AY852" i="19"/>
  <c r="AX852" i="19"/>
  <c r="AR852" i="19"/>
  <c r="AT852" i="19" s="1"/>
  <c r="AZ851" i="19"/>
  <c r="AY851" i="19"/>
  <c r="AX851" i="19"/>
  <c r="AR851" i="19"/>
  <c r="AT851" i="19" s="1"/>
  <c r="AZ850" i="19"/>
  <c r="AY850" i="19"/>
  <c r="AX850" i="19"/>
  <c r="AR850" i="19"/>
  <c r="AT850" i="19" s="1"/>
  <c r="AZ849" i="19"/>
  <c r="AY849" i="19"/>
  <c r="AX849" i="19"/>
  <c r="AR849" i="19"/>
  <c r="AT849" i="19" s="1"/>
  <c r="AZ848" i="19"/>
  <c r="AY848" i="19"/>
  <c r="AX848" i="19"/>
  <c r="AR848" i="19"/>
  <c r="AT848" i="19" s="1"/>
  <c r="AZ847" i="19"/>
  <c r="AY847" i="19"/>
  <c r="AX847" i="19"/>
  <c r="AR847" i="19"/>
  <c r="AT847" i="19" s="1"/>
  <c r="AZ846" i="19"/>
  <c r="AY846" i="19"/>
  <c r="AX846" i="19"/>
  <c r="AR846" i="19"/>
  <c r="AT846" i="19" s="1"/>
  <c r="AZ844" i="19"/>
  <c r="AY844" i="19"/>
  <c r="AX844" i="19"/>
  <c r="AR844" i="19"/>
  <c r="AT844" i="19" s="1"/>
  <c r="AZ843" i="19"/>
  <c r="AY843" i="19"/>
  <c r="AX843" i="19"/>
  <c r="AR843" i="19"/>
  <c r="AT843" i="19" s="1"/>
  <c r="AZ842" i="19"/>
  <c r="AY842" i="19"/>
  <c r="AX842" i="19"/>
  <c r="AR842" i="19"/>
  <c r="AT842" i="19" s="1"/>
  <c r="AZ841" i="19"/>
  <c r="AY841" i="19"/>
  <c r="AX841" i="19"/>
  <c r="AR841" i="19"/>
  <c r="AT841" i="19" s="1"/>
  <c r="AZ840" i="19"/>
  <c r="AY840" i="19"/>
  <c r="AX840" i="19"/>
  <c r="AR840" i="19"/>
  <c r="AT840" i="19" s="1"/>
  <c r="AZ839" i="19"/>
  <c r="AY839" i="19"/>
  <c r="AX839" i="19"/>
  <c r="AR839" i="19"/>
  <c r="AT839" i="19" s="1"/>
  <c r="AZ838" i="19"/>
  <c r="AY838" i="19"/>
  <c r="AX838" i="19"/>
  <c r="AR838" i="19"/>
  <c r="AT838" i="19" s="1"/>
  <c r="AZ837" i="19"/>
  <c r="AY837" i="19"/>
  <c r="AX837" i="19"/>
  <c r="AR837" i="19"/>
  <c r="AT837" i="19" s="1"/>
  <c r="AZ836" i="19"/>
  <c r="AY836" i="19"/>
  <c r="AX836" i="19"/>
  <c r="AR836" i="19"/>
  <c r="AT836" i="19" s="1"/>
  <c r="AZ834" i="19"/>
  <c r="AY834" i="19"/>
  <c r="AX834" i="19"/>
  <c r="AR834" i="19"/>
  <c r="AT834" i="19" s="1"/>
  <c r="AZ833" i="19"/>
  <c r="AY833" i="19"/>
  <c r="AX833" i="19"/>
  <c r="AR833" i="19"/>
  <c r="AT833" i="19" s="1"/>
  <c r="AZ831" i="19"/>
  <c r="AY831" i="19"/>
  <c r="AX831" i="19"/>
  <c r="AR831" i="19"/>
  <c r="AT831" i="19" s="1"/>
  <c r="AZ830" i="19"/>
  <c r="AY830" i="19"/>
  <c r="AX830" i="19"/>
  <c r="AR830" i="19"/>
  <c r="AT830" i="19" s="1"/>
  <c r="AZ829" i="19"/>
  <c r="AY829" i="19"/>
  <c r="AX829" i="19"/>
  <c r="AR829" i="19"/>
  <c r="AT829" i="19" s="1"/>
  <c r="AS829" i="19" s="1"/>
  <c r="AZ828" i="19"/>
  <c r="AY828" i="19"/>
  <c r="AX828" i="19"/>
  <c r="AR828" i="19"/>
  <c r="AT828" i="19" s="1"/>
  <c r="AS828" i="19" s="1"/>
  <c r="AZ827" i="19"/>
  <c r="AY827" i="19"/>
  <c r="AX827" i="19"/>
  <c r="AR827" i="19"/>
  <c r="AT827" i="19" s="1"/>
  <c r="AZ825" i="19"/>
  <c r="AY825" i="19"/>
  <c r="AX825" i="19"/>
  <c r="AR825" i="19"/>
  <c r="AT825" i="19" s="1"/>
  <c r="AZ823" i="19"/>
  <c r="AY823" i="19"/>
  <c r="AX823" i="19"/>
  <c r="AR823" i="19"/>
  <c r="AT823" i="19" s="1"/>
  <c r="AZ821" i="19"/>
  <c r="AY821" i="19"/>
  <c r="AX821" i="19"/>
  <c r="AR821" i="19"/>
  <c r="AT821" i="19" s="1"/>
  <c r="AZ820" i="19"/>
  <c r="AY820" i="19"/>
  <c r="AX820" i="19"/>
  <c r="AR820" i="19"/>
  <c r="AT820" i="19" s="1"/>
  <c r="AZ818" i="19"/>
  <c r="AY818" i="19"/>
  <c r="AX818" i="19"/>
  <c r="AR818" i="19"/>
  <c r="AT818" i="19" s="1"/>
  <c r="AS818" i="19" s="1"/>
  <c r="AZ816" i="19"/>
  <c r="AY816" i="19"/>
  <c r="AX816" i="19"/>
  <c r="AR816" i="19"/>
  <c r="AT816" i="19" s="1"/>
  <c r="AZ814" i="19"/>
  <c r="AY814" i="19"/>
  <c r="AX814" i="19"/>
  <c r="AR814" i="19"/>
  <c r="AT814" i="19" s="1"/>
  <c r="AZ812" i="19"/>
  <c r="AY812" i="19"/>
  <c r="AX812" i="19"/>
  <c r="AR812" i="19"/>
  <c r="AT812" i="19" s="1"/>
  <c r="AZ809" i="19"/>
  <c r="AY809" i="19"/>
  <c r="AX809" i="19"/>
  <c r="AR809" i="19"/>
  <c r="AT809" i="19" s="1"/>
  <c r="AZ808" i="19"/>
  <c r="AY808" i="19"/>
  <c r="AX808" i="19"/>
  <c r="AR808" i="19"/>
  <c r="AT808" i="19" s="1"/>
  <c r="AZ807" i="19"/>
  <c r="AY807" i="19"/>
  <c r="AX807" i="19"/>
  <c r="AR807" i="19"/>
  <c r="AT807" i="19" s="1"/>
  <c r="AZ806" i="19"/>
  <c r="AY806" i="19"/>
  <c r="AX806" i="19"/>
  <c r="AR806" i="19"/>
  <c r="AT806" i="19" s="1"/>
  <c r="AS806" i="19" s="1"/>
  <c r="AZ804" i="19"/>
  <c r="AY804" i="19"/>
  <c r="AX804" i="19"/>
  <c r="AR804" i="19"/>
  <c r="AT804" i="19" s="1"/>
  <c r="AZ803" i="19"/>
  <c r="AY803" i="19"/>
  <c r="AX803" i="19"/>
  <c r="AR803" i="19"/>
  <c r="AT803" i="19" s="1"/>
  <c r="AZ802" i="19"/>
  <c r="AY802" i="19"/>
  <c r="AX802" i="19"/>
  <c r="AR802" i="19"/>
  <c r="AT802" i="19" s="1"/>
  <c r="AS802" i="19" s="1"/>
  <c r="AZ801" i="19"/>
  <c r="AY801" i="19"/>
  <c r="AX801" i="19"/>
  <c r="AR801" i="19"/>
  <c r="AT801" i="19" s="1"/>
  <c r="AZ799" i="19"/>
  <c r="AY799" i="19"/>
  <c r="AX799" i="19"/>
  <c r="AR799" i="19"/>
  <c r="AT799" i="19" s="1"/>
  <c r="AZ798" i="19"/>
  <c r="AY798" i="19"/>
  <c r="AX798" i="19"/>
  <c r="AR798" i="19"/>
  <c r="AT798" i="19" s="1"/>
  <c r="AZ797" i="19"/>
  <c r="AY797" i="19"/>
  <c r="AX797" i="19"/>
  <c r="AR797" i="19"/>
  <c r="AT797" i="19" s="1"/>
  <c r="AZ796" i="19"/>
  <c r="AY796" i="19"/>
  <c r="AX796" i="19"/>
  <c r="AR796" i="19"/>
  <c r="AT796" i="19" s="1"/>
  <c r="AZ795" i="19"/>
  <c r="AY795" i="19"/>
  <c r="AX795" i="19"/>
  <c r="AR795" i="19"/>
  <c r="AT795" i="19" s="1"/>
  <c r="AS795" i="19" s="1"/>
  <c r="AZ794" i="19"/>
  <c r="AY794" i="19"/>
  <c r="AX794" i="19"/>
  <c r="AR794" i="19"/>
  <c r="AT794" i="19" s="1"/>
  <c r="AZ793" i="19"/>
  <c r="AY793" i="19"/>
  <c r="AX793" i="19"/>
  <c r="AR793" i="19"/>
  <c r="AT793" i="19" s="1"/>
  <c r="AZ792" i="19"/>
  <c r="AY792" i="19"/>
  <c r="AX792" i="19"/>
  <c r="AR792" i="19"/>
  <c r="AT792" i="19" s="1"/>
  <c r="AZ791" i="19"/>
  <c r="AY791" i="19"/>
  <c r="AX791" i="19"/>
  <c r="AR791" i="19"/>
  <c r="AT791" i="19" s="1"/>
  <c r="AZ790" i="19"/>
  <c r="AY790" i="19"/>
  <c r="AX790" i="19"/>
  <c r="AR790" i="19"/>
  <c r="AT790" i="19" s="1"/>
  <c r="AS790" i="19" s="1"/>
  <c r="AZ789" i="19"/>
  <c r="AY789" i="19"/>
  <c r="AX789" i="19"/>
  <c r="AR789" i="19"/>
  <c r="AT789" i="19" s="1"/>
  <c r="AZ788" i="19"/>
  <c r="AY788" i="19"/>
  <c r="AX788" i="19"/>
  <c r="AR788" i="19"/>
  <c r="AT788" i="19" s="1"/>
  <c r="AZ786" i="19"/>
  <c r="AY786" i="19"/>
  <c r="AX786" i="19"/>
  <c r="AR786" i="19"/>
  <c r="AT786" i="19" s="1"/>
  <c r="AZ785" i="19"/>
  <c r="AY785" i="19"/>
  <c r="AX785" i="19"/>
  <c r="AR785" i="19"/>
  <c r="AT785" i="19" s="1"/>
  <c r="AS785" i="19" s="1"/>
  <c r="AZ784" i="19"/>
  <c r="AY784" i="19"/>
  <c r="AX784" i="19"/>
  <c r="AR784" i="19"/>
  <c r="AT784" i="19" s="1"/>
  <c r="AZ783" i="19"/>
  <c r="AY783" i="19"/>
  <c r="AX783" i="19"/>
  <c r="AR783" i="19"/>
  <c r="AT783" i="19" s="1"/>
  <c r="AZ782" i="19"/>
  <c r="AY782" i="19"/>
  <c r="AX782" i="19"/>
  <c r="AR782" i="19"/>
  <c r="AT782" i="19" s="1"/>
  <c r="AS782" i="19" s="1"/>
  <c r="AZ781" i="19"/>
  <c r="AY781" i="19"/>
  <c r="AX781" i="19"/>
  <c r="AR781" i="19"/>
  <c r="AT781" i="19" s="1"/>
  <c r="AZ779" i="19"/>
  <c r="AY779" i="19"/>
  <c r="AX779" i="19"/>
  <c r="AR779" i="19"/>
  <c r="AT779" i="19" s="1"/>
  <c r="AZ778" i="19"/>
  <c r="AY778" i="19"/>
  <c r="AX778" i="19"/>
  <c r="AR778" i="19"/>
  <c r="AT778" i="19" s="1"/>
  <c r="AZ777" i="19"/>
  <c r="AY777" i="19"/>
  <c r="AX777" i="19"/>
  <c r="AR777" i="19"/>
  <c r="AT777" i="19" s="1"/>
  <c r="AS777" i="19" s="1"/>
  <c r="AZ776" i="19"/>
  <c r="AY776" i="19"/>
  <c r="AX776" i="19"/>
  <c r="AR776" i="19"/>
  <c r="AT776" i="19" s="1"/>
  <c r="AZ775" i="19"/>
  <c r="AY775" i="19"/>
  <c r="AX775" i="19"/>
  <c r="AR775" i="19"/>
  <c r="AT775" i="19" s="1"/>
  <c r="AZ774" i="19"/>
  <c r="AY774" i="19"/>
  <c r="AX774" i="19"/>
  <c r="AR774" i="19"/>
  <c r="AT774" i="19" s="1"/>
  <c r="AZ773" i="19"/>
  <c r="AY773" i="19"/>
  <c r="AX773" i="19"/>
  <c r="AR773" i="19"/>
  <c r="AT773" i="19" s="1"/>
  <c r="AZ772" i="19"/>
  <c r="AY772" i="19"/>
  <c r="AX772" i="19"/>
  <c r="AR772" i="19"/>
  <c r="AT772" i="19" s="1"/>
  <c r="AZ771" i="19"/>
  <c r="AY771" i="19"/>
  <c r="AX771" i="19"/>
  <c r="AR771" i="19"/>
  <c r="AT771" i="19" s="1"/>
  <c r="AS771" i="19" s="1"/>
  <c r="AZ770" i="19"/>
  <c r="AY770" i="19"/>
  <c r="AX770" i="19"/>
  <c r="AR770" i="19"/>
  <c r="AT770" i="19" s="1"/>
  <c r="AZ769" i="19"/>
  <c r="AY769" i="19"/>
  <c r="AX769" i="19"/>
  <c r="AR769" i="19"/>
  <c r="AT769" i="19" s="1"/>
  <c r="AZ767" i="19"/>
  <c r="AY767" i="19"/>
  <c r="AX767" i="19"/>
  <c r="AR767" i="19"/>
  <c r="AT767" i="19" s="1"/>
  <c r="AZ766" i="19"/>
  <c r="AY766" i="19"/>
  <c r="AX766" i="19"/>
  <c r="AR766" i="19"/>
  <c r="AT766" i="19" s="1"/>
  <c r="AZ764" i="19"/>
  <c r="AY764" i="19"/>
  <c r="AX764" i="19"/>
  <c r="AR764" i="19"/>
  <c r="AT764" i="19" s="1"/>
  <c r="AZ763" i="19"/>
  <c r="AY763" i="19"/>
  <c r="AX763" i="19"/>
  <c r="AR763" i="19"/>
  <c r="AT763" i="19" s="1"/>
  <c r="AS763" i="19" s="1"/>
  <c r="AZ761" i="19"/>
  <c r="AY761" i="19"/>
  <c r="AX761" i="19"/>
  <c r="AR761" i="19"/>
  <c r="AT761" i="19" s="1"/>
  <c r="AZ760" i="19"/>
  <c r="AY760" i="19"/>
  <c r="AX760" i="19"/>
  <c r="AR760" i="19"/>
  <c r="AT760" i="19" s="1"/>
  <c r="AZ758" i="19"/>
  <c r="AY758" i="19"/>
  <c r="AX758" i="19"/>
  <c r="AR758" i="19"/>
  <c r="AT758" i="19" s="1"/>
  <c r="AZ755" i="19"/>
  <c r="AY755" i="19"/>
  <c r="AX755" i="19"/>
  <c r="AR755" i="19"/>
  <c r="AT755" i="19" s="1"/>
  <c r="AZ753" i="19"/>
  <c r="AY753" i="19"/>
  <c r="AX753" i="19"/>
  <c r="AR753" i="19"/>
  <c r="AT753" i="19" s="1"/>
  <c r="AZ751" i="19"/>
  <c r="AY751" i="19"/>
  <c r="AX751" i="19"/>
  <c r="AR751" i="19"/>
  <c r="AT751" i="19" s="1"/>
  <c r="AS751" i="19" s="1"/>
  <c r="AZ749" i="19"/>
  <c r="AY749" i="19"/>
  <c r="AX749" i="19"/>
  <c r="AR749" i="19"/>
  <c r="AT749" i="19" s="1"/>
  <c r="AZ747" i="19"/>
  <c r="AY747" i="19"/>
  <c r="AX747" i="19"/>
  <c r="AR747" i="19"/>
  <c r="AT747" i="19" s="1"/>
  <c r="AZ745" i="19"/>
  <c r="AY745" i="19"/>
  <c r="AX745" i="19"/>
  <c r="AR745" i="19"/>
  <c r="AT745" i="19" s="1"/>
  <c r="AS745" i="19" s="1"/>
  <c r="AZ743" i="19"/>
  <c r="AY743" i="19"/>
  <c r="AX743" i="19"/>
  <c r="AR743" i="19"/>
  <c r="AT743" i="19" s="1"/>
  <c r="AZ741" i="19"/>
  <c r="AY741" i="19"/>
  <c r="AX741" i="19"/>
  <c r="AR741" i="19"/>
  <c r="AT741" i="19" s="1"/>
  <c r="AZ740" i="19"/>
  <c r="AY740" i="19"/>
  <c r="AX740" i="19"/>
  <c r="AR740" i="19"/>
  <c r="AT740" i="19" s="1"/>
  <c r="AS740" i="19" s="1"/>
  <c r="AZ738" i="19"/>
  <c r="AY738" i="19"/>
  <c r="AX738" i="19"/>
  <c r="AR738" i="19"/>
  <c r="AT738" i="19" s="1"/>
  <c r="AZ737" i="19"/>
  <c r="AY737" i="19"/>
  <c r="AX737" i="19"/>
  <c r="AR737" i="19"/>
  <c r="AT737" i="19" s="1"/>
  <c r="AS737" i="19" s="1"/>
  <c r="AZ735" i="19"/>
  <c r="AY735" i="19"/>
  <c r="AX735" i="19"/>
  <c r="AR735" i="19"/>
  <c r="AT735" i="19" s="1"/>
  <c r="AS735" i="19" s="1"/>
  <c r="AZ733" i="19"/>
  <c r="AY733" i="19"/>
  <c r="AX733" i="19"/>
  <c r="AR733" i="19"/>
  <c r="AT733" i="19" s="1"/>
  <c r="AZ731" i="19"/>
  <c r="AY731" i="19"/>
  <c r="AX731" i="19"/>
  <c r="AR731" i="19"/>
  <c r="AT731" i="19" s="1"/>
  <c r="AZ728" i="19"/>
  <c r="AY728" i="19"/>
  <c r="AX728" i="19"/>
  <c r="AR728" i="19"/>
  <c r="AT728" i="19" s="1"/>
  <c r="AS728" i="19" s="1"/>
  <c r="AZ726" i="19"/>
  <c r="AY726" i="19"/>
  <c r="AX726" i="19"/>
  <c r="AR726" i="19"/>
  <c r="AT726" i="19" s="1"/>
  <c r="AZ724" i="19"/>
  <c r="AY724" i="19"/>
  <c r="AX724" i="19"/>
  <c r="AR724" i="19"/>
  <c r="AT724" i="19" s="1"/>
  <c r="AZ722" i="19"/>
  <c r="AY722" i="19"/>
  <c r="AX722" i="19"/>
  <c r="AR722" i="19"/>
  <c r="AT722" i="19" s="1"/>
  <c r="AZ721" i="19"/>
  <c r="AY721" i="19"/>
  <c r="AX721" i="19"/>
  <c r="AR721" i="19"/>
  <c r="AT721" i="19" s="1"/>
  <c r="AZ720" i="19"/>
  <c r="AY720" i="19"/>
  <c r="AX720" i="19"/>
  <c r="AR720" i="19"/>
  <c r="AT720" i="19" s="1"/>
  <c r="AS720" i="19" s="1"/>
  <c r="AZ719" i="19"/>
  <c r="AY719" i="19"/>
  <c r="AX719" i="19"/>
  <c r="AR719" i="19"/>
  <c r="AT719" i="19" s="1"/>
  <c r="AZ717" i="19"/>
  <c r="AY717" i="19"/>
  <c r="AX717" i="19"/>
  <c r="AR717" i="19"/>
  <c r="AT717" i="19" s="1"/>
  <c r="AZ715" i="19"/>
  <c r="AY715" i="19"/>
  <c r="AX715" i="19"/>
  <c r="AR715" i="19"/>
  <c r="AT715" i="19" s="1"/>
  <c r="AS715" i="19" s="1"/>
  <c r="AZ714" i="19"/>
  <c r="AY714" i="19"/>
  <c r="AX714" i="19"/>
  <c r="AR714" i="19"/>
  <c r="AT714" i="19" s="1"/>
  <c r="AZ712" i="19"/>
  <c r="AY712" i="19"/>
  <c r="AX712" i="19"/>
  <c r="AR712" i="19"/>
  <c r="AT712" i="19" s="1"/>
  <c r="AS712" i="19" s="1"/>
  <c r="AZ711" i="19"/>
  <c r="AY711" i="19"/>
  <c r="AX711" i="19"/>
  <c r="AR711" i="19"/>
  <c r="AT711" i="19" s="1"/>
  <c r="AS711" i="19" s="1"/>
  <c r="AZ709" i="19"/>
  <c r="AY709" i="19"/>
  <c r="AX709" i="19"/>
  <c r="AR709" i="19"/>
  <c r="AT709" i="19" s="1"/>
  <c r="AS709" i="19" s="1"/>
  <c r="AZ707" i="19"/>
  <c r="AY707" i="19"/>
  <c r="AX707" i="19"/>
  <c r="AR707" i="19"/>
  <c r="AT707" i="19" s="1"/>
  <c r="AZ706" i="19"/>
  <c r="AY706" i="19"/>
  <c r="AX706" i="19"/>
  <c r="AR706" i="19"/>
  <c r="AT706" i="19" s="1"/>
  <c r="AS706" i="19" s="1"/>
  <c r="AZ704" i="19"/>
  <c r="AY704" i="19"/>
  <c r="AX704" i="19"/>
  <c r="AR704" i="19"/>
  <c r="AT704" i="19" s="1"/>
  <c r="AZ703" i="19"/>
  <c r="AY703" i="19"/>
  <c r="AX703" i="19"/>
  <c r="AR703" i="19"/>
  <c r="AT703" i="19" s="1"/>
  <c r="AZ701" i="19"/>
  <c r="AY701" i="19"/>
  <c r="AX701" i="19"/>
  <c r="AR701" i="19"/>
  <c r="AT701" i="19" s="1"/>
  <c r="AS701" i="19" s="1"/>
  <c r="AZ700" i="19"/>
  <c r="AY700" i="19"/>
  <c r="AX700" i="19"/>
  <c r="AR700" i="19"/>
  <c r="AT700" i="19" s="1"/>
  <c r="AZ698" i="19"/>
  <c r="AY698" i="19"/>
  <c r="AX698" i="19"/>
  <c r="AR698" i="19"/>
  <c r="AT698" i="19" s="1"/>
  <c r="AS698" i="19" s="1"/>
  <c r="AZ697" i="19"/>
  <c r="AY697" i="19"/>
  <c r="AX697" i="19"/>
  <c r="AR697" i="19"/>
  <c r="AT697" i="19" s="1"/>
  <c r="AS697" i="19" s="1"/>
  <c r="AZ696" i="19"/>
  <c r="AY696" i="19"/>
  <c r="AX696" i="19"/>
  <c r="AR696" i="19"/>
  <c r="AT696" i="19" s="1"/>
  <c r="AS696" i="19" s="1"/>
  <c r="AZ695" i="19"/>
  <c r="AY695" i="19"/>
  <c r="AX695" i="19"/>
  <c r="AR695" i="19"/>
  <c r="AT695" i="19" s="1"/>
  <c r="AS695" i="19" s="1"/>
  <c r="AZ694" i="19"/>
  <c r="AY694" i="19"/>
  <c r="AX694" i="19"/>
  <c r="AR694" i="19"/>
  <c r="AT694" i="19" s="1"/>
  <c r="AS694" i="19" s="1"/>
  <c r="AZ693" i="19"/>
  <c r="AY693" i="19"/>
  <c r="AX693" i="19"/>
  <c r="AR693" i="19"/>
  <c r="AT693" i="19" s="1"/>
  <c r="AZ692" i="19"/>
  <c r="AY692" i="19"/>
  <c r="AX692" i="19"/>
  <c r="AR692" i="19"/>
  <c r="AT692" i="19" s="1"/>
  <c r="AS692" i="19" s="1"/>
  <c r="AZ691" i="19"/>
  <c r="AY691" i="19"/>
  <c r="AX691" i="19"/>
  <c r="AR691" i="19"/>
  <c r="AT691" i="19" s="1"/>
  <c r="AZ690" i="19"/>
  <c r="AY690" i="19"/>
  <c r="AX690" i="19"/>
  <c r="AR690" i="19"/>
  <c r="AT690" i="19" s="1"/>
  <c r="AS690" i="19" s="1"/>
  <c r="AZ689" i="19"/>
  <c r="AY689" i="19"/>
  <c r="AX689" i="19"/>
  <c r="AR689" i="19"/>
  <c r="AT689" i="19" s="1"/>
  <c r="AS689" i="19" s="1"/>
  <c r="AZ688" i="19"/>
  <c r="AY688" i="19"/>
  <c r="AX688" i="19"/>
  <c r="AR688" i="19"/>
  <c r="AT688" i="19" s="1"/>
  <c r="AS688" i="19" s="1"/>
  <c r="AZ687" i="19"/>
  <c r="AY687" i="19"/>
  <c r="AX687" i="19"/>
  <c r="AR687" i="19"/>
  <c r="AT687" i="19" s="1"/>
  <c r="AZ686" i="19"/>
  <c r="AY686" i="19"/>
  <c r="AX686" i="19"/>
  <c r="AR686" i="19"/>
  <c r="AT686" i="19" s="1"/>
  <c r="AS686" i="19" s="1"/>
  <c r="AZ685" i="19"/>
  <c r="AY685" i="19"/>
  <c r="AX685" i="19"/>
  <c r="AR685" i="19"/>
  <c r="AT685" i="19" s="1"/>
  <c r="AZ684" i="19"/>
  <c r="AY684" i="19"/>
  <c r="AX684" i="19"/>
  <c r="AR684" i="19"/>
  <c r="AT684" i="19" s="1"/>
  <c r="AS684" i="19" s="1"/>
  <c r="AZ683" i="19"/>
  <c r="AY683" i="19"/>
  <c r="AX683" i="19"/>
  <c r="AR683" i="19"/>
  <c r="AT683" i="19" s="1"/>
  <c r="AS683" i="19" s="1"/>
  <c r="AZ681" i="19"/>
  <c r="AY681" i="19"/>
  <c r="AX681" i="19"/>
  <c r="AR681" i="19"/>
  <c r="AT681" i="19" s="1"/>
  <c r="AS681" i="19" s="1"/>
  <c r="AZ680" i="19"/>
  <c r="AY680" i="19"/>
  <c r="AX680" i="19"/>
  <c r="AR680" i="19"/>
  <c r="AT680" i="19" s="1"/>
  <c r="AZ678" i="19"/>
  <c r="AY678" i="19"/>
  <c r="AX678" i="19"/>
  <c r="AR678" i="19"/>
  <c r="AT678" i="19" s="1"/>
  <c r="AS678" i="19" s="1"/>
  <c r="AZ677" i="19"/>
  <c r="AY677" i="19"/>
  <c r="AX677" i="19"/>
  <c r="AR677" i="19"/>
  <c r="AT677" i="19" s="1"/>
  <c r="AS677" i="19" s="1"/>
  <c r="AZ676" i="19"/>
  <c r="AY676" i="19"/>
  <c r="AX676" i="19"/>
  <c r="AR676" i="19"/>
  <c r="AT676" i="19" s="1"/>
  <c r="AS676" i="19" s="1"/>
  <c r="AZ675" i="19"/>
  <c r="AY675" i="19"/>
  <c r="AX675" i="19"/>
  <c r="AR675" i="19"/>
  <c r="AT675" i="19" s="1"/>
  <c r="AS675" i="19" s="1"/>
  <c r="AZ674" i="19"/>
  <c r="AY674" i="19"/>
  <c r="AX674" i="19"/>
  <c r="AR674" i="19"/>
  <c r="AT674" i="19" s="1"/>
  <c r="AZ673" i="19"/>
  <c r="AY673" i="19"/>
  <c r="AX673" i="19"/>
  <c r="AR673" i="19"/>
  <c r="AT673" i="19" s="1"/>
  <c r="AS673" i="19" s="1"/>
  <c r="AZ672" i="19"/>
  <c r="AY672" i="19"/>
  <c r="AX672" i="19"/>
  <c r="AR672" i="19"/>
  <c r="AT672" i="19" s="1"/>
  <c r="AS672" i="19" s="1"/>
  <c r="AZ671" i="19"/>
  <c r="AY671" i="19"/>
  <c r="AX671" i="19"/>
  <c r="AR671" i="19"/>
  <c r="AT671" i="19" s="1"/>
  <c r="AS671" i="19" s="1"/>
  <c r="AZ670" i="19"/>
  <c r="AY670" i="19"/>
  <c r="AX670" i="19"/>
  <c r="AR670" i="19"/>
  <c r="AT670" i="19" s="1"/>
  <c r="AS670" i="19" s="1"/>
  <c r="AZ669" i="19"/>
  <c r="AY669" i="19"/>
  <c r="AX669" i="19"/>
  <c r="AR669" i="19"/>
  <c r="AT669" i="19" s="1"/>
  <c r="AZ668" i="19"/>
  <c r="AY668" i="19"/>
  <c r="AX668" i="19"/>
  <c r="AR668" i="19"/>
  <c r="AT668" i="19" s="1"/>
  <c r="AS668" i="19" s="1"/>
  <c r="AZ666" i="19"/>
  <c r="AY666" i="19"/>
  <c r="AX666" i="19"/>
  <c r="AR666" i="19"/>
  <c r="AT666" i="19" s="1"/>
  <c r="AS666" i="19" s="1"/>
  <c r="AZ665" i="19"/>
  <c r="AY665" i="19"/>
  <c r="AX665" i="19"/>
  <c r="AR665" i="19"/>
  <c r="AT665" i="19" s="1"/>
  <c r="AS665" i="19" s="1"/>
  <c r="AZ663" i="19"/>
  <c r="AY663" i="19"/>
  <c r="AX663" i="19"/>
  <c r="AR663" i="19"/>
  <c r="AT663" i="19" s="1"/>
  <c r="AS663" i="19" s="1"/>
  <c r="AZ662" i="19"/>
  <c r="AY662" i="19"/>
  <c r="AX662" i="19"/>
  <c r="AR662" i="19"/>
  <c r="AT662" i="19" s="1"/>
  <c r="AZ660" i="19"/>
  <c r="AY660" i="19"/>
  <c r="AX660" i="19"/>
  <c r="AR660" i="19"/>
  <c r="AT660" i="19" s="1"/>
  <c r="AS660" i="19" s="1"/>
  <c r="AZ659" i="19"/>
  <c r="AY659" i="19"/>
  <c r="AX659" i="19"/>
  <c r="AR659" i="19"/>
  <c r="AT659" i="19" s="1"/>
  <c r="AS659" i="19" s="1"/>
  <c r="AZ657" i="19"/>
  <c r="AY657" i="19"/>
  <c r="AX657" i="19"/>
  <c r="AR657" i="19"/>
  <c r="AT657" i="19" s="1"/>
  <c r="AS657" i="19" s="1"/>
  <c r="AZ656" i="19"/>
  <c r="AY656" i="19"/>
  <c r="AX656" i="19"/>
  <c r="AR656" i="19"/>
  <c r="AT656" i="19" s="1"/>
  <c r="AZ655" i="19"/>
  <c r="AY655" i="19"/>
  <c r="AX655" i="19"/>
  <c r="AR655" i="19"/>
  <c r="AT655" i="19" s="1"/>
  <c r="AS655" i="19" s="1"/>
  <c r="AZ654" i="19"/>
  <c r="AY654" i="19"/>
  <c r="AX654" i="19"/>
  <c r="AR654" i="19"/>
  <c r="AT654" i="19" s="1"/>
  <c r="AS654" i="19" s="1"/>
  <c r="AZ652" i="19"/>
  <c r="AY652" i="19"/>
  <c r="AX652" i="19"/>
  <c r="AR652" i="19"/>
  <c r="AT652" i="19" s="1"/>
  <c r="AZ651" i="19"/>
  <c r="AY651" i="19"/>
  <c r="AX651" i="19"/>
  <c r="AR651" i="19"/>
  <c r="AT651" i="19" s="1"/>
  <c r="AZ650" i="19"/>
  <c r="AY650" i="19"/>
  <c r="AX650" i="19"/>
  <c r="AR650" i="19"/>
  <c r="AT650" i="19" s="1"/>
  <c r="AS650" i="19" s="1"/>
  <c r="AZ649" i="19"/>
  <c r="AY649" i="19"/>
  <c r="AX649" i="19"/>
  <c r="AR649" i="19"/>
  <c r="AT649" i="19" s="1"/>
  <c r="AS649" i="19" s="1"/>
  <c r="AZ647" i="19"/>
  <c r="AY647" i="19"/>
  <c r="AX647" i="19"/>
  <c r="AR647" i="19"/>
  <c r="AT647" i="19" s="1"/>
  <c r="AZ646" i="19"/>
  <c r="AY646" i="19"/>
  <c r="AX646" i="19"/>
  <c r="AR646" i="19"/>
  <c r="AT646" i="19" s="1"/>
  <c r="AS646" i="19" s="1"/>
  <c r="AZ645" i="19"/>
  <c r="AY645" i="19"/>
  <c r="AX645" i="19"/>
  <c r="AR645" i="19"/>
  <c r="AT645" i="19" s="1"/>
  <c r="AS645" i="19" s="1"/>
  <c r="AZ644" i="19"/>
  <c r="AY644" i="19"/>
  <c r="AX644" i="19"/>
  <c r="AR644" i="19"/>
  <c r="AT644" i="19" s="1"/>
  <c r="AZ643" i="19"/>
  <c r="AY643" i="19"/>
  <c r="AX643" i="19"/>
  <c r="AR643" i="19"/>
  <c r="AT643" i="19" s="1"/>
  <c r="AS643" i="19" s="1"/>
  <c r="AZ642" i="19"/>
  <c r="AY642" i="19"/>
  <c r="AX642" i="19"/>
  <c r="AR642" i="19"/>
  <c r="AT642" i="19" s="1"/>
  <c r="AZ641" i="19"/>
  <c r="AY641" i="19"/>
  <c r="AX641" i="19"/>
  <c r="AR641" i="19"/>
  <c r="AT641" i="19" s="1"/>
  <c r="AZ640" i="19"/>
  <c r="AY640" i="19"/>
  <c r="AX640" i="19"/>
  <c r="AR640" i="19"/>
  <c r="AT640" i="19" s="1"/>
  <c r="AZ639" i="19"/>
  <c r="AY639" i="19"/>
  <c r="AX639" i="19"/>
  <c r="AR639" i="19"/>
  <c r="AT639" i="19" s="1"/>
  <c r="AS639" i="19" s="1"/>
  <c r="AZ638" i="19"/>
  <c r="AY638" i="19"/>
  <c r="AX638" i="19"/>
  <c r="AR638" i="19"/>
  <c r="AT638" i="19" s="1"/>
  <c r="AZ636" i="19"/>
  <c r="AY636" i="19"/>
  <c r="AX636" i="19"/>
  <c r="AR636" i="19"/>
  <c r="AT636" i="19" s="1"/>
  <c r="AS636" i="19" s="1"/>
  <c r="AZ634" i="19"/>
  <c r="AY634" i="19"/>
  <c r="AX634" i="19"/>
  <c r="AR634" i="19"/>
  <c r="AT634" i="19" s="1"/>
  <c r="AS634" i="19" s="1"/>
  <c r="AZ633" i="19"/>
  <c r="AY633" i="19"/>
  <c r="AX633" i="19"/>
  <c r="AR633" i="19"/>
  <c r="AT633" i="19" s="1"/>
  <c r="AZ632" i="19"/>
  <c r="AY632" i="19"/>
  <c r="AX632" i="19"/>
  <c r="AR632" i="19"/>
  <c r="AT632" i="19" s="1"/>
  <c r="AZ630" i="19"/>
  <c r="AY630" i="19"/>
  <c r="AX630" i="19"/>
  <c r="AR630" i="19"/>
  <c r="AT630" i="19" s="1"/>
  <c r="AS630" i="19" s="1"/>
  <c r="AZ629" i="19"/>
  <c r="AY629" i="19"/>
  <c r="AX629" i="19"/>
  <c r="AR629" i="19"/>
  <c r="AT629" i="19" s="1"/>
  <c r="AZ628" i="19"/>
  <c r="AY628" i="19"/>
  <c r="AX628" i="19"/>
  <c r="AR628" i="19"/>
  <c r="AT628" i="19" s="1"/>
  <c r="AS628" i="19" s="1"/>
  <c r="AZ626" i="19"/>
  <c r="AY626" i="19"/>
  <c r="AX626" i="19"/>
  <c r="AR626" i="19"/>
  <c r="AT626" i="19" s="1"/>
  <c r="AS626" i="19" s="1"/>
  <c r="AZ624" i="19"/>
  <c r="AY624" i="19"/>
  <c r="AX624" i="19"/>
  <c r="AR624" i="19"/>
  <c r="AT624" i="19" s="1"/>
  <c r="AZ623" i="19"/>
  <c r="AY623" i="19"/>
  <c r="AX623" i="19"/>
  <c r="AR623" i="19"/>
  <c r="AT623" i="19" s="1"/>
  <c r="AS623" i="19" s="1"/>
  <c r="AZ622" i="19"/>
  <c r="AY622" i="19"/>
  <c r="AX622" i="19"/>
  <c r="AR622" i="19"/>
  <c r="AT622" i="19" s="1"/>
  <c r="AS622" i="19" s="1"/>
  <c r="AZ621" i="19"/>
  <c r="AY621" i="19"/>
  <c r="AX621" i="19"/>
  <c r="AR621" i="19"/>
  <c r="AT621" i="19" s="1"/>
  <c r="AZ620" i="19"/>
  <c r="AY620" i="19"/>
  <c r="AX620" i="19"/>
  <c r="AR620" i="19"/>
  <c r="AT620" i="19" s="1"/>
  <c r="AS620" i="19" s="1"/>
  <c r="AZ618" i="19"/>
  <c r="AY618" i="19"/>
  <c r="AX618" i="19"/>
  <c r="AR618" i="19"/>
  <c r="AT618" i="19" s="1"/>
  <c r="AS618" i="19" s="1"/>
  <c r="AZ617" i="19"/>
  <c r="AY617" i="19"/>
  <c r="AX617" i="19"/>
  <c r="AR617" i="19"/>
  <c r="AT617" i="19" s="1"/>
  <c r="AZ616" i="19"/>
  <c r="AY616" i="19"/>
  <c r="AX616" i="19"/>
  <c r="AR616" i="19"/>
  <c r="AT616" i="19" s="1"/>
  <c r="AZ615" i="19"/>
  <c r="AY615" i="19"/>
  <c r="AX615" i="19"/>
  <c r="AR615" i="19"/>
  <c r="AT615" i="19" s="1"/>
  <c r="AS615" i="19" s="1"/>
  <c r="AZ614" i="19"/>
  <c r="AY614" i="19"/>
  <c r="AX614" i="19"/>
  <c r="AR614" i="19"/>
  <c r="AT614" i="19" s="1"/>
  <c r="AZ612" i="19"/>
  <c r="AY612" i="19"/>
  <c r="AX612" i="19"/>
  <c r="AR612" i="19"/>
  <c r="AT612" i="19" s="1"/>
  <c r="AS612" i="19" s="1"/>
  <c r="AZ611" i="19"/>
  <c r="AY611" i="19"/>
  <c r="AX611" i="19"/>
  <c r="AR611" i="19"/>
  <c r="AT611" i="19" s="1"/>
  <c r="AS611" i="19" s="1"/>
  <c r="AZ610" i="19"/>
  <c r="AY610" i="19"/>
  <c r="AX610" i="19"/>
  <c r="AR610" i="19"/>
  <c r="AT610" i="19" s="1"/>
  <c r="AZ609" i="19"/>
  <c r="AY609" i="19"/>
  <c r="AX609" i="19"/>
  <c r="AR609" i="19"/>
  <c r="AT609" i="19" s="1"/>
  <c r="AZ608" i="19"/>
  <c r="AY608" i="19"/>
  <c r="AX608" i="19"/>
  <c r="AR608" i="19"/>
  <c r="AT608" i="19" s="1"/>
  <c r="AS608" i="19" s="1"/>
  <c r="AZ606" i="19"/>
  <c r="AY606" i="19"/>
  <c r="AX606" i="19"/>
  <c r="AR606" i="19"/>
  <c r="AT606" i="19" s="1"/>
  <c r="AZ604" i="19"/>
  <c r="AY604" i="19"/>
  <c r="AX604" i="19"/>
  <c r="AR604" i="19"/>
  <c r="AT604" i="19" s="1"/>
  <c r="AS604" i="19" s="1"/>
  <c r="AZ603" i="19"/>
  <c r="AY603" i="19"/>
  <c r="AX603" i="19"/>
  <c r="AR603" i="19"/>
  <c r="AT603" i="19" s="1"/>
  <c r="AS603" i="19" s="1"/>
  <c r="AZ602" i="19"/>
  <c r="AY602" i="19"/>
  <c r="AX602" i="19"/>
  <c r="AR602" i="19"/>
  <c r="AT602" i="19" s="1"/>
  <c r="AZ601" i="19"/>
  <c r="AY601" i="19"/>
  <c r="AX601" i="19"/>
  <c r="AR601" i="19"/>
  <c r="AT601" i="19" s="1"/>
  <c r="AS601" i="19" s="1"/>
  <c r="AZ600" i="19"/>
  <c r="AY600" i="19"/>
  <c r="AX600" i="19"/>
  <c r="AR600" i="19"/>
  <c r="AT600" i="19" s="1"/>
  <c r="AS600" i="19" s="1"/>
  <c r="AZ599" i="19"/>
  <c r="AY599" i="19"/>
  <c r="AX599" i="19"/>
  <c r="AR599" i="19"/>
  <c r="AT599" i="19" s="1"/>
  <c r="AS599" i="19" s="1"/>
  <c r="AZ598" i="19"/>
  <c r="AY598" i="19"/>
  <c r="AX598" i="19"/>
  <c r="AR598" i="19"/>
  <c r="AT598" i="19" s="1"/>
  <c r="AS598" i="19" s="1"/>
  <c r="AZ596" i="19"/>
  <c r="AY596" i="19"/>
  <c r="AX596" i="19"/>
  <c r="AR596" i="19"/>
  <c r="AT596" i="19" s="1"/>
  <c r="AZ595" i="19"/>
  <c r="AY595" i="19"/>
  <c r="AX595" i="19"/>
  <c r="AR595" i="19"/>
  <c r="AT595" i="19" s="1"/>
  <c r="AS595" i="19" s="1"/>
  <c r="AZ594" i="19"/>
  <c r="AY594" i="19"/>
  <c r="AX594" i="19"/>
  <c r="AR594" i="19"/>
  <c r="AT594" i="19" s="1"/>
  <c r="AS594" i="19" s="1"/>
  <c r="AZ593" i="19"/>
  <c r="AY593" i="19"/>
  <c r="AX593" i="19"/>
  <c r="AR593" i="19"/>
  <c r="AT593" i="19" s="1"/>
  <c r="AZ591" i="19"/>
  <c r="AY591" i="19"/>
  <c r="AX591" i="19"/>
  <c r="AR591" i="19"/>
  <c r="AT591" i="19" s="1"/>
  <c r="AZ590" i="19"/>
  <c r="AY590" i="19"/>
  <c r="AX590" i="19"/>
  <c r="AR590" i="19"/>
  <c r="AT590" i="19" s="1"/>
  <c r="AS590" i="19" s="1"/>
  <c r="AZ589" i="19"/>
  <c r="AY589" i="19"/>
  <c r="AX589" i="19"/>
  <c r="AR589" i="19"/>
  <c r="AT589" i="19" s="1"/>
  <c r="AS589" i="19" s="1"/>
  <c r="AZ588" i="19"/>
  <c r="AY588" i="19"/>
  <c r="AX588" i="19"/>
  <c r="AR588" i="19"/>
  <c r="AT588" i="19" s="1"/>
  <c r="AS588" i="19" s="1"/>
  <c r="AZ587" i="19"/>
  <c r="AY587" i="19"/>
  <c r="AX587" i="19"/>
  <c r="AR587" i="19"/>
  <c r="AT587" i="19" s="1"/>
  <c r="AS587" i="19" s="1"/>
  <c r="AZ585" i="19"/>
  <c r="AY585" i="19"/>
  <c r="AX585" i="19"/>
  <c r="AR585" i="19"/>
  <c r="AT585" i="19" s="1"/>
  <c r="AS585" i="19" s="1"/>
  <c r="AZ584" i="19"/>
  <c r="AY584" i="19"/>
  <c r="AX584" i="19"/>
  <c r="AR584" i="19"/>
  <c r="AT584" i="19" s="1"/>
  <c r="AZ583" i="19"/>
  <c r="AY583" i="19"/>
  <c r="AX583" i="19"/>
  <c r="AR583" i="19"/>
  <c r="AT583" i="19" s="1"/>
  <c r="AS583" i="19" s="1"/>
  <c r="AZ582" i="19"/>
  <c r="AY582" i="19"/>
  <c r="AX582" i="19"/>
  <c r="AR582" i="19"/>
  <c r="AT582" i="19" s="1"/>
  <c r="AS582" i="19" s="1"/>
  <c r="AZ581" i="19"/>
  <c r="AY581" i="19"/>
  <c r="AX581" i="19"/>
  <c r="AR581" i="19"/>
  <c r="AT581" i="19" s="1"/>
  <c r="AZ580" i="19"/>
  <c r="AY580" i="19"/>
  <c r="AX580" i="19"/>
  <c r="AR580" i="19"/>
  <c r="AT580" i="19" s="1"/>
  <c r="AS580" i="19" s="1"/>
  <c r="AZ579" i="19"/>
  <c r="AY579" i="19"/>
  <c r="AX579" i="19"/>
  <c r="AR579" i="19"/>
  <c r="AT579" i="19" s="1"/>
  <c r="AS579" i="19" s="1"/>
  <c r="AZ578" i="19"/>
  <c r="AY578" i="19"/>
  <c r="AX578" i="19"/>
  <c r="AR578" i="19"/>
  <c r="AT578" i="19" s="1"/>
  <c r="AS578" i="19" s="1"/>
  <c r="AZ577" i="19"/>
  <c r="AY577" i="19"/>
  <c r="AX577" i="19"/>
  <c r="AR577" i="19"/>
  <c r="AT577" i="19" s="1"/>
  <c r="AS577" i="19" s="1"/>
  <c r="AZ575" i="19"/>
  <c r="AY575" i="19"/>
  <c r="AX575" i="19"/>
  <c r="AR575" i="19"/>
  <c r="AT575" i="19" s="1"/>
  <c r="AZ574" i="19"/>
  <c r="AY574" i="19"/>
  <c r="AX574" i="19"/>
  <c r="AR574" i="19"/>
  <c r="AT574" i="19" s="1"/>
  <c r="AZ573" i="19"/>
  <c r="AY573" i="19"/>
  <c r="AX573" i="19"/>
  <c r="AR573" i="19"/>
  <c r="AT573" i="19" s="1"/>
  <c r="AZ571" i="19"/>
  <c r="AY571" i="19"/>
  <c r="AX571" i="19"/>
  <c r="AR571" i="19"/>
  <c r="AT571" i="19" s="1"/>
  <c r="AS571" i="19" s="1"/>
  <c r="AZ570" i="19"/>
  <c r="AY570" i="19"/>
  <c r="AX570" i="19"/>
  <c r="AR570" i="19"/>
  <c r="AT570" i="19" s="1"/>
  <c r="AS570" i="19" s="1"/>
  <c r="AZ569" i="19"/>
  <c r="AY569" i="19"/>
  <c r="AX569" i="19"/>
  <c r="AR569" i="19"/>
  <c r="AT569" i="19" s="1"/>
  <c r="AS569" i="19" s="1"/>
  <c r="AZ567" i="19"/>
  <c r="AY567" i="19"/>
  <c r="AX567" i="19"/>
  <c r="AR567" i="19"/>
  <c r="AT567" i="19" s="1"/>
  <c r="AS567" i="19" s="1"/>
  <c r="AZ565" i="19"/>
  <c r="AY565" i="19"/>
  <c r="AX565" i="19"/>
  <c r="AR565" i="19"/>
  <c r="AT565" i="19" s="1"/>
  <c r="AS565" i="19" s="1"/>
  <c r="AZ564" i="19"/>
  <c r="AY564" i="19"/>
  <c r="AX564" i="19"/>
  <c r="AR564" i="19"/>
  <c r="AT564" i="19" s="1"/>
  <c r="AZ563" i="19"/>
  <c r="AY563" i="19"/>
  <c r="AX563" i="19"/>
  <c r="AR563" i="19"/>
  <c r="AT563" i="19" s="1"/>
  <c r="AS563" i="19" s="1"/>
  <c r="AZ561" i="19"/>
  <c r="AY561" i="19"/>
  <c r="AX561" i="19"/>
  <c r="AR561" i="19"/>
  <c r="AT561" i="19" s="1"/>
  <c r="AZ560" i="19"/>
  <c r="AY560" i="19"/>
  <c r="AX560" i="19"/>
  <c r="AR560" i="19"/>
  <c r="AT560" i="19" s="1"/>
  <c r="AS560" i="19" s="1"/>
  <c r="AZ558" i="19"/>
  <c r="AY558" i="19"/>
  <c r="AX558" i="19"/>
  <c r="AR558" i="19"/>
  <c r="AT558" i="19" s="1"/>
  <c r="AS558" i="19" s="1"/>
  <c r="AZ557" i="19"/>
  <c r="AY557" i="19"/>
  <c r="AX557" i="19"/>
  <c r="AR557" i="19"/>
  <c r="AT557" i="19" s="1"/>
  <c r="AS557" i="19" s="1"/>
  <c r="AZ555" i="19"/>
  <c r="AY555" i="19"/>
  <c r="AX555" i="19"/>
  <c r="AR555" i="19"/>
  <c r="AT555" i="19" s="1"/>
  <c r="AZ554" i="19"/>
  <c r="AY554" i="19"/>
  <c r="AX554" i="19"/>
  <c r="AR554" i="19"/>
  <c r="AT554" i="19" s="1"/>
  <c r="AS554" i="19" s="1"/>
  <c r="AZ553" i="19"/>
  <c r="AY553" i="19"/>
  <c r="AX553" i="19"/>
  <c r="AR553" i="19"/>
  <c r="AT553" i="19" s="1"/>
  <c r="AS553" i="19" s="1"/>
  <c r="AZ552" i="19"/>
  <c r="AY552" i="19"/>
  <c r="AX552" i="19"/>
  <c r="AR552" i="19"/>
  <c r="AT552" i="19" s="1"/>
  <c r="AS552" i="19" s="1"/>
  <c r="AZ550" i="19"/>
  <c r="AY550" i="19"/>
  <c r="AX550" i="19"/>
  <c r="AR550" i="19"/>
  <c r="AT550" i="19" s="1"/>
  <c r="AS550" i="19" s="1"/>
  <c r="AZ549" i="19"/>
  <c r="AY549" i="19"/>
  <c r="AX549" i="19"/>
  <c r="AR549" i="19"/>
  <c r="AT549" i="19" s="1"/>
  <c r="AZ548" i="19"/>
  <c r="AY548" i="19"/>
  <c r="AX548" i="19"/>
  <c r="AR548" i="19"/>
  <c r="AT548" i="19" s="1"/>
  <c r="AS548" i="19" s="1"/>
  <c r="AZ546" i="19"/>
  <c r="AY546" i="19"/>
  <c r="AX546" i="19"/>
  <c r="AR546" i="19"/>
  <c r="AT546" i="19" s="1"/>
  <c r="AS546" i="19" s="1"/>
  <c r="AZ544" i="19"/>
  <c r="AY544" i="19"/>
  <c r="AX544" i="19"/>
  <c r="AR544" i="19"/>
  <c r="AT544" i="19" s="1"/>
  <c r="AS544" i="19" s="1"/>
  <c r="AZ542" i="19"/>
  <c r="AY542" i="19"/>
  <c r="AX542" i="19"/>
  <c r="AR542" i="19"/>
  <c r="AT542" i="19" s="1"/>
  <c r="AZ540" i="19"/>
  <c r="AY540" i="19"/>
  <c r="AX540" i="19"/>
  <c r="AR540" i="19"/>
  <c r="AT540" i="19" s="1"/>
  <c r="AS540" i="19" s="1"/>
  <c r="AZ539" i="19"/>
  <c r="AY539" i="19"/>
  <c r="AX539" i="19"/>
  <c r="AR539" i="19"/>
  <c r="AT539" i="19" s="1"/>
  <c r="AS539" i="19" s="1"/>
  <c r="AZ538" i="19"/>
  <c r="AY538" i="19"/>
  <c r="AX538" i="19"/>
  <c r="AR538" i="19"/>
  <c r="AT538" i="19" s="1"/>
  <c r="AS538" i="19" s="1"/>
  <c r="AZ536" i="19"/>
  <c r="AY536" i="19"/>
  <c r="AX536" i="19"/>
  <c r="AR536" i="19"/>
  <c r="AT536" i="19" s="1"/>
  <c r="AS536" i="19" s="1"/>
  <c r="AZ534" i="19"/>
  <c r="AY534" i="19"/>
  <c r="AX534" i="19"/>
  <c r="AR534" i="19"/>
  <c r="AT534" i="19" s="1"/>
  <c r="AZ533" i="19"/>
  <c r="AY533" i="19"/>
  <c r="AX533" i="19"/>
  <c r="AR533" i="19"/>
  <c r="AT533" i="19" s="1"/>
  <c r="AS533" i="19" s="1"/>
  <c r="AZ532" i="19"/>
  <c r="AY532" i="19"/>
  <c r="AX532" i="19"/>
  <c r="AR532" i="19"/>
  <c r="AT532" i="19" s="1"/>
  <c r="AS532" i="19" s="1"/>
  <c r="AZ531" i="19"/>
  <c r="AY531" i="19"/>
  <c r="AX531" i="19"/>
  <c r="AR531" i="19"/>
  <c r="AT531" i="19" s="1"/>
  <c r="AS531" i="19" s="1"/>
  <c r="AZ530" i="19"/>
  <c r="AY530" i="19"/>
  <c r="AX530" i="19"/>
  <c r="AR530" i="19"/>
  <c r="AT530" i="19" s="1"/>
  <c r="AZ528" i="19"/>
  <c r="AY528" i="19"/>
  <c r="AX528" i="19"/>
  <c r="AR528" i="19"/>
  <c r="AT528" i="19" s="1"/>
  <c r="AS528" i="19" s="1"/>
  <c r="AZ527" i="19"/>
  <c r="AY527" i="19"/>
  <c r="AX527" i="19"/>
  <c r="AR527" i="19"/>
  <c r="AT527" i="19" s="1"/>
  <c r="AZ526" i="19"/>
  <c r="AY526" i="19"/>
  <c r="AX526" i="19"/>
  <c r="AR526" i="19"/>
  <c r="AT526" i="19" s="1"/>
  <c r="AS526" i="19" s="1"/>
  <c r="AZ524" i="19"/>
  <c r="AY524" i="19"/>
  <c r="AX524" i="19"/>
  <c r="AR524" i="19"/>
  <c r="AT524" i="19" s="1"/>
  <c r="AZ523" i="19"/>
  <c r="AY523" i="19"/>
  <c r="AX523" i="19"/>
  <c r="AR523" i="19"/>
  <c r="AT523" i="19" s="1"/>
  <c r="AS523" i="19" s="1"/>
  <c r="AZ522" i="19"/>
  <c r="AY522" i="19"/>
  <c r="AX522" i="19"/>
  <c r="AR522" i="19"/>
  <c r="AT522" i="19" s="1"/>
  <c r="AZ521" i="19"/>
  <c r="AY521" i="19"/>
  <c r="AX521" i="19"/>
  <c r="AR521" i="19"/>
  <c r="AT521" i="19" s="1"/>
  <c r="AS521" i="19" s="1"/>
  <c r="AZ519" i="19"/>
  <c r="AY519" i="19"/>
  <c r="AX519" i="19"/>
  <c r="AR519" i="19"/>
  <c r="AT519" i="19" s="1"/>
  <c r="AS519" i="19" s="1"/>
  <c r="AZ518" i="19"/>
  <c r="AY518" i="19"/>
  <c r="AX518" i="19"/>
  <c r="AR518" i="19"/>
  <c r="AT518" i="19" s="1"/>
  <c r="AZ517" i="19"/>
  <c r="AY517" i="19"/>
  <c r="AX517" i="19"/>
  <c r="AR517" i="19"/>
  <c r="AT517" i="19" s="1"/>
  <c r="AS517" i="19" s="1"/>
  <c r="AZ516" i="19"/>
  <c r="AY516" i="19"/>
  <c r="AX516" i="19"/>
  <c r="AR516" i="19"/>
  <c r="AT516" i="19" s="1"/>
  <c r="AZ515" i="19"/>
  <c r="AY515" i="19"/>
  <c r="AX515" i="19"/>
  <c r="AR515" i="19"/>
  <c r="AT515" i="19" s="1"/>
  <c r="AS515" i="19" s="1"/>
  <c r="AZ514" i="19"/>
  <c r="AY514" i="19"/>
  <c r="AX514" i="19"/>
  <c r="AR514" i="19"/>
  <c r="AT514" i="19" s="1"/>
  <c r="AZ513" i="19"/>
  <c r="AY513" i="19"/>
  <c r="AX513" i="19"/>
  <c r="AR513" i="19"/>
  <c r="AT513" i="19" s="1"/>
  <c r="AS513" i="19" s="1"/>
  <c r="AZ511" i="19"/>
  <c r="AY511" i="19"/>
  <c r="AX511" i="19"/>
  <c r="AR511" i="19"/>
  <c r="AT511" i="19" s="1"/>
  <c r="AZ510" i="19"/>
  <c r="AY510" i="19"/>
  <c r="AX510" i="19"/>
  <c r="AR510" i="19"/>
  <c r="AT510" i="19" s="1"/>
  <c r="AZ509" i="19"/>
  <c r="AY509" i="19"/>
  <c r="AX509" i="19"/>
  <c r="AR509" i="19"/>
  <c r="AT509" i="19" s="1"/>
  <c r="AZ508" i="19"/>
  <c r="AY508" i="19"/>
  <c r="AX508" i="19"/>
  <c r="AR508" i="19"/>
  <c r="AT508" i="19" s="1"/>
  <c r="AZ507" i="19"/>
  <c r="AY507" i="19"/>
  <c r="AX507" i="19"/>
  <c r="AR507" i="19"/>
  <c r="AT507" i="19" s="1"/>
  <c r="AZ506" i="19"/>
  <c r="AY506" i="19"/>
  <c r="AX506" i="19"/>
  <c r="AR506" i="19"/>
  <c r="AT506" i="19" s="1"/>
  <c r="AZ505" i="19"/>
  <c r="AY505" i="19"/>
  <c r="AX505" i="19"/>
  <c r="AR505" i="19"/>
  <c r="AT505" i="19" s="1"/>
  <c r="AS505" i="19" s="1"/>
  <c r="AZ504" i="19"/>
  <c r="AY504" i="19"/>
  <c r="AX504" i="19"/>
  <c r="AR504" i="19"/>
  <c r="AT504" i="19" s="1"/>
  <c r="AS504" i="19" s="1"/>
  <c r="AZ503" i="19"/>
  <c r="AY503" i="19"/>
  <c r="AX503" i="19"/>
  <c r="AR503" i="19"/>
  <c r="AT503" i="19" s="1"/>
  <c r="AZ501" i="19"/>
  <c r="AY501" i="19"/>
  <c r="AX501" i="19"/>
  <c r="AR501" i="19"/>
  <c r="AT501" i="19" s="1"/>
  <c r="AZ500" i="19"/>
  <c r="AY500" i="19"/>
  <c r="AX500" i="19"/>
  <c r="AR500" i="19"/>
  <c r="AT500" i="19" s="1"/>
  <c r="AZ499" i="19"/>
  <c r="AY499" i="19"/>
  <c r="AX499" i="19"/>
  <c r="AR499" i="19"/>
  <c r="AT499" i="19" s="1"/>
  <c r="AZ498" i="19"/>
  <c r="AY498" i="19"/>
  <c r="AX498" i="19"/>
  <c r="AR498" i="19"/>
  <c r="AT498" i="19" s="1"/>
  <c r="AZ497" i="19"/>
  <c r="AY497" i="19"/>
  <c r="AX497" i="19"/>
  <c r="AR497" i="19"/>
  <c r="AT497" i="19" s="1"/>
  <c r="AZ496" i="19"/>
  <c r="AY496" i="19"/>
  <c r="AX496" i="19"/>
  <c r="AR496" i="19"/>
  <c r="AT496" i="19" s="1"/>
  <c r="AS496" i="19" s="1"/>
  <c r="AZ495" i="19"/>
  <c r="AY495" i="19"/>
  <c r="AX495" i="19"/>
  <c r="AR495" i="19"/>
  <c r="AT495" i="19" s="1"/>
  <c r="AS495" i="19" s="1"/>
  <c r="AZ494" i="19"/>
  <c r="AY494" i="19"/>
  <c r="AX494" i="19"/>
  <c r="AR494" i="19"/>
  <c r="AT494" i="19" s="1"/>
  <c r="AS494" i="19" s="1"/>
  <c r="AZ493" i="19"/>
  <c r="AY493" i="19"/>
  <c r="AX493" i="19"/>
  <c r="AR493" i="19"/>
  <c r="AT493" i="19" s="1"/>
  <c r="AS493" i="19" s="1"/>
  <c r="AZ492" i="19"/>
  <c r="AY492" i="19"/>
  <c r="AX492" i="19"/>
  <c r="AR492" i="19"/>
  <c r="AT492" i="19" s="1"/>
  <c r="AZ490" i="19"/>
  <c r="AY490" i="19"/>
  <c r="AX490" i="19"/>
  <c r="AR490" i="19"/>
  <c r="AT490" i="19" s="1"/>
  <c r="AZ489" i="19"/>
  <c r="AY489" i="19"/>
  <c r="AX489" i="19"/>
  <c r="AR489" i="19"/>
  <c r="AT489" i="19" s="1"/>
  <c r="AS489" i="19" s="1"/>
  <c r="AZ488" i="19"/>
  <c r="AY488" i="19"/>
  <c r="AX488" i="19"/>
  <c r="AR488" i="19"/>
  <c r="AT488" i="19" s="1"/>
  <c r="AZ487" i="19"/>
  <c r="AY487" i="19"/>
  <c r="AX487" i="19"/>
  <c r="AR487" i="19"/>
  <c r="AT487" i="19" s="1"/>
  <c r="AZ486" i="19"/>
  <c r="AY486" i="19"/>
  <c r="AX486" i="19"/>
  <c r="AR486" i="19"/>
  <c r="AT486" i="19" s="1"/>
  <c r="AS486" i="19" s="1"/>
  <c r="AZ485" i="19"/>
  <c r="AY485" i="19"/>
  <c r="AX485" i="19"/>
  <c r="AR485" i="19"/>
  <c r="AT485" i="19" s="1"/>
  <c r="AS485" i="19" s="1"/>
  <c r="AZ484" i="19"/>
  <c r="AY484" i="19"/>
  <c r="AX484" i="19"/>
  <c r="AR484" i="19"/>
  <c r="AT484" i="19" s="1"/>
  <c r="AZ483" i="19"/>
  <c r="AY483" i="19"/>
  <c r="AX483" i="19"/>
  <c r="AR483" i="19"/>
  <c r="AT483" i="19" s="1"/>
  <c r="AZ481" i="19"/>
  <c r="AY481" i="19"/>
  <c r="AX481" i="19"/>
  <c r="AR481" i="19"/>
  <c r="AT481" i="19" s="1"/>
  <c r="AZ480" i="19"/>
  <c r="AY480" i="19"/>
  <c r="AX480" i="19"/>
  <c r="AR480" i="19"/>
  <c r="AT480" i="19" s="1"/>
  <c r="AZ478" i="19"/>
  <c r="AY478" i="19"/>
  <c r="AX478" i="19"/>
  <c r="AR478" i="19"/>
  <c r="AT478" i="19" s="1"/>
  <c r="AZ477" i="19"/>
  <c r="AY477" i="19"/>
  <c r="AX477" i="19"/>
  <c r="AR477" i="19"/>
  <c r="AT477" i="19" s="1"/>
  <c r="AS477" i="19" s="1"/>
  <c r="AZ475" i="19"/>
  <c r="AY475" i="19"/>
  <c r="AX475" i="19"/>
  <c r="AR475" i="19"/>
  <c r="AT475" i="19" s="1"/>
  <c r="AZ473" i="19"/>
  <c r="AY473" i="19"/>
  <c r="AX473" i="19"/>
  <c r="AR473" i="19"/>
  <c r="AT473" i="19" s="1"/>
  <c r="AS473" i="19" s="1"/>
  <c r="AZ472" i="19"/>
  <c r="AY472" i="19"/>
  <c r="AX472" i="19"/>
  <c r="AR472" i="19"/>
  <c r="AT472" i="19" s="1"/>
  <c r="AZ471" i="19"/>
  <c r="AY471" i="19"/>
  <c r="AX471" i="19"/>
  <c r="AR471" i="19"/>
  <c r="AT471" i="19" s="1"/>
  <c r="AZ469" i="19"/>
  <c r="AY469" i="19"/>
  <c r="AX469" i="19"/>
  <c r="AR469" i="19"/>
  <c r="AT469" i="19" s="1"/>
  <c r="AZ467" i="19"/>
  <c r="AY467" i="19"/>
  <c r="AX467" i="19"/>
  <c r="AR467" i="19"/>
  <c r="AT467" i="19" s="1"/>
  <c r="AS467" i="19" s="1"/>
  <c r="AZ466" i="19"/>
  <c r="AY466" i="19"/>
  <c r="AX466" i="19"/>
  <c r="AR466" i="19"/>
  <c r="AT466" i="19" s="1"/>
  <c r="AS466" i="19" s="1"/>
  <c r="AZ465" i="19"/>
  <c r="AY465" i="19"/>
  <c r="AX465" i="19"/>
  <c r="AR465" i="19"/>
  <c r="AT465" i="19" s="1"/>
  <c r="AZ464" i="19"/>
  <c r="AY464" i="19"/>
  <c r="AX464" i="19"/>
  <c r="AR464" i="19"/>
  <c r="AT464" i="19" s="1"/>
  <c r="AS464" i="19" s="1"/>
  <c r="AZ462" i="19"/>
  <c r="AY462" i="19"/>
  <c r="AX462" i="19"/>
  <c r="AR462" i="19"/>
  <c r="AT462" i="19" s="1"/>
  <c r="AZ461" i="19"/>
  <c r="AY461" i="19"/>
  <c r="AX461" i="19"/>
  <c r="AR461" i="19"/>
  <c r="AT461" i="19" s="1"/>
  <c r="AZ460" i="19"/>
  <c r="AY460" i="19"/>
  <c r="AX460" i="19"/>
  <c r="AR460" i="19"/>
  <c r="AT460" i="19" s="1"/>
  <c r="AS460" i="19" s="1"/>
  <c r="AZ458" i="19"/>
  <c r="AY458" i="19"/>
  <c r="AX458" i="19"/>
  <c r="AR458" i="19"/>
  <c r="AT458" i="19" s="1"/>
  <c r="AZ457" i="19"/>
  <c r="AY457" i="19"/>
  <c r="AX457" i="19"/>
  <c r="AR457" i="19"/>
  <c r="AT457" i="19" s="1"/>
  <c r="AS457" i="19" s="1"/>
  <c r="AZ456" i="19"/>
  <c r="AY456" i="19"/>
  <c r="AX456" i="19"/>
  <c r="AR456" i="19"/>
  <c r="AT456" i="19" s="1"/>
  <c r="AS456" i="19" s="1"/>
  <c r="AZ454" i="19"/>
  <c r="AY454" i="19"/>
  <c r="AX454" i="19"/>
  <c r="AR454" i="19"/>
  <c r="AT454" i="19" s="1"/>
  <c r="AZ452" i="19"/>
  <c r="AY452" i="19"/>
  <c r="AX452" i="19"/>
  <c r="AR452" i="19"/>
  <c r="AT452" i="19" s="1"/>
  <c r="AZ451" i="19"/>
  <c r="AY451" i="19"/>
  <c r="AX451" i="19"/>
  <c r="AR451" i="19"/>
  <c r="AT451" i="19" s="1"/>
  <c r="AS451" i="19" s="1"/>
  <c r="AZ449" i="19"/>
  <c r="AY449" i="19"/>
  <c r="AX449" i="19"/>
  <c r="AR449" i="19"/>
  <c r="AT449" i="19" s="1"/>
  <c r="AZ447" i="19"/>
  <c r="AY447" i="19"/>
  <c r="AX447" i="19"/>
  <c r="AR447" i="19"/>
  <c r="AT447" i="19" s="1"/>
  <c r="AS447" i="19" s="1"/>
  <c r="AZ446" i="19"/>
  <c r="AY446" i="19"/>
  <c r="AX446" i="19"/>
  <c r="AR446" i="19"/>
  <c r="AT446" i="19" s="1"/>
  <c r="AS446" i="19" s="1"/>
  <c r="AZ445" i="19"/>
  <c r="AY445" i="19"/>
  <c r="AX445" i="19"/>
  <c r="AR445" i="19"/>
  <c r="AT445" i="19" s="1"/>
  <c r="AZ444" i="19"/>
  <c r="AY444" i="19"/>
  <c r="AX444" i="19"/>
  <c r="AR444" i="19"/>
  <c r="AT444" i="19" s="1"/>
  <c r="AZ442" i="19"/>
  <c r="AY442" i="19"/>
  <c r="AX442" i="19"/>
  <c r="AR442" i="19"/>
  <c r="AT442" i="19" s="1"/>
  <c r="AS442" i="19" s="1"/>
  <c r="AZ440" i="19"/>
  <c r="AY440" i="19"/>
  <c r="AX440" i="19"/>
  <c r="AR440" i="19"/>
  <c r="AT440" i="19" s="1"/>
  <c r="AZ439" i="19"/>
  <c r="AY439" i="19"/>
  <c r="AX439" i="19"/>
  <c r="AR439" i="19"/>
  <c r="AT439" i="19" s="1"/>
  <c r="AZ438" i="19"/>
  <c r="AY438" i="19"/>
  <c r="AX438" i="19"/>
  <c r="AR438" i="19"/>
  <c r="AT438" i="19" s="1"/>
  <c r="AZ436" i="19"/>
  <c r="AY436" i="19"/>
  <c r="AX436" i="19"/>
  <c r="AR436" i="19"/>
  <c r="AT436" i="19" s="1"/>
  <c r="AZ435" i="19"/>
  <c r="AY435" i="19"/>
  <c r="AX435" i="19"/>
  <c r="AR435" i="19"/>
  <c r="AT435" i="19" s="1"/>
  <c r="AS435" i="19" s="1"/>
  <c r="AZ433" i="19"/>
  <c r="AY433" i="19"/>
  <c r="AX433" i="19"/>
  <c r="AR433" i="19"/>
  <c r="AT433" i="19" s="1"/>
  <c r="AZ432" i="19"/>
  <c r="AY432" i="19"/>
  <c r="AX432" i="19"/>
  <c r="AR432" i="19"/>
  <c r="AT432" i="19" s="1"/>
  <c r="AZ431" i="19"/>
  <c r="AY431" i="19"/>
  <c r="AX431" i="19"/>
  <c r="AR431" i="19"/>
  <c r="AT431" i="19" s="1"/>
  <c r="AZ430" i="19"/>
  <c r="AY430" i="19"/>
  <c r="AX430" i="19"/>
  <c r="AR430" i="19"/>
  <c r="AT430" i="19" s="1"/>
  <c r="AS430" i="19" s="1"/>
  <c r="AZ429" i="19"/>
  <c r="AY429" i="19"/>
  <c r="AX429" i="19"/>
  <c r="AR429" i="19"/>
  <c r="AT429" i="19" s="1"/>
  <c r="AZ427" i="19"/>
  <c r="AY427" i="19"/>
  <c r="AX427" i="19"/>
  <c r="AR427" i="19"/>
  <c r="AT427" i="19" s="1"/>
  <c r="AZ426" i="19"/>
  <c r="AY426" i="19"/>
  <c r="AX426" i="19"/>
  <c r="AR426" i="19"/>
  <c r="AT426" i="19" s="1"/>
  <c r="AS426" i="19" s="1"/>
  <c r="AZ424" i="19"/>
  <c r="AY424" i="19"/>
  <c r="AX424" i="19"/>
  <c r="AR424" i="19"/>
  <c r="AT424" i="19" s="1"/>
  <c r="AS424" i="19" s="1"/>
  <c r="AZ422" i="19"/>
  <c r="AY422" i="19"/>
  <c r="AX422" i="19"/>
  <c r="AR422" i="19"/>
  <c r="AT422" i="19" s="1"/>
  <c r="AS422" i="19" s="1"/>
  <c r="AZ421" i="19"/>
  <c r="AY421" i="19"/>
  <c r="AX421" i="19"/>
  <c r="AR421" i="19"/>
  <c r="AT421" i="19" s="1"/>
  <c r="AS421" i="19" s="1"/>
  <c r="AZ420" i="19"/>
  <c r="AY420" i="19"/>
  <c r="AX420" i="19"/>
  <c r="AR420" i="19"/>
  <c r="AT420" i="19" s="1"/>
  <c r="AZ418" i="19"/>
  <c r="AY418" i="19"/>
  <c r="AX418" i="19"/>
  <c r="AR418" i="19"/>
  <c r="AT418" i="19" s="1"/>
  <c r="AS418" i="19" s="1"/>
  <c r="AZ417" i="19"/>
  <c r="AY417" i="19"/>
  <c r="AX417" i="19"/>
  <c r="AR417" i="19"/>
  <c r="AT417" i="19" s="1"/>
  <c r="AS417" i="19" s="1"/>
  <c r="AZ416" i="19"/>
  <c r="AY416" i="19"/>
  <c r="AX416" i="19"/>
  <c r="AR416" i="19"/>
  <c r="AT416" i="19" s="1"/>
  <c r="AZ415" i="19"/>
  <c r="AY415" i="19"/>
  <c r="AX415" i="19"/>
  <c r="AR415" i="19"/>
  <c r="AT415" i="19" s="1"/>
  <c r="AZ414" i="19"/>
  <c r="AY414" i="19"/>
  <c r="AX414" i="19"/>
  <c r="AR414" i="19"/>
  <c r="AT414" i="19" s="1"/>
  <c r="AS414" i="19" s="1"/>
  <c r="AZ413" i="19"/>
  <c r="AY413" i="19"/>
  <c r="AX413" i="19"/>
  <c r="AR413" i="19"/>
  <c r="AT413" i="19" s="1"/>
  <c r="AZ412" i="19"/>
  <c r="AY412" i="19"/>
  <c r="AX412" i="19"/>
  <c r="AR412" i="19"/>
  <c r="AT412" i="19" s="1"/>
  <c r="AS412" i="19" s="1"/>
  <c r="AZ411" i="19"/>
  <c r="AY411" i="19"/>
  <c r="AX411" i="19"/>
  <c r="AR411" i="19"/>
  <c r="AT411" i="19" s="1"/>
  <c r="AS411" i="19" s="1"/>
  <c r="AZ410" i="19"/>
  <c r="AY410" i="19"/>
  <c r="AX410" i="19"/>
  <c r="AR410" i="19"/>
  <c r="AT410" i="19" s="1"/>
  <c r="AZ409" i="19"/>
  <c r="AY409" i="19"/>
  <c r="AX409" i="19"/>
  <c r="AR409" i="19"/>
  <c r="AT409" i="19" s="1"/>
  <c r="AZ407" i="19"/>
  <c r="AY407" i="19"/>
  <c r="AX407" i="19"/>
  <c r="AR407" i="19"/>
  <c r="AT407" i="19" s="1"/>
  <c r="AZ406" i="19"/>
  <c r="AY406" i="19"/>
  <c r="AX406" i="19"/>
  <c r="AR406" i="19"/>
  <c r="AT406" i="19" s="1"/>
  <c r="AS406" i="19" s="1"/>
  <c r="AZ404" i="19"/>
  <c r="AY404" i="19"/>
  <c r="AX404" i="19"/>
  <c r="AR404" i="19"/>
  <c r="AT404" i="19" s="1"/>
  <c r="AS404" i="19" s="1"/>
  <c r="AZ403" i="19"/>
  <c r="AY403" i="19"/>
  <c r="AX403" i="19"/>
  <c r="AR403" i="19"/>
  <c r="AT403" i="19" s="1"/>
  <c r="AS403" i="19" s="1"/>
  <c r="AZ401" i="19"/>
  <c r="AY401" i="19"/>
  <c r="AX401" i="19"/>
  <c r="AR401" i="19"/>
  <c r="AT401" i="19" s="1"/>
  <c r="AS401" i="19" s="1"/>
  <c r="AZ400" i="19"/>
  <c r="AY400" i="19"/>
  <c r="AX400" i="19"/>
  <c r="AR400" i="19"/>
  <c r="AT400" i="19" s="1"/>
  <c r="AZ399" i="19"/>
  <c r="AY399" i="19"/>
  <c r="AX399" i="19"/>
  <c r="AR399" i="19"/>
  <c r="AT399" i="19" s="1"/>
  <c r="AZ398" i="19"/>
  <c r="AY398" i="19"/>
  <c r="AX398" i="19"/>
  <c r="AR398" i="19"/>
  <c r="AT398" i="19" s="1"/>
  <c r="AS398" i="19" s="1"/>
  <c r="AZ397" i="19"/>
  <c r="AY397" i="19"/>
  <c r="AX397" i="19"/>
  <c r="AR397" i="19"/>
  <c r="AT397" i="19" s="1"/>
  <c r="AS397" i="19" s="1"/>
  <c r="AZ396" i="19"/>
  <c r="AY396" i="19"/>
  <c r="AX396" i="19"/>
  <c r="AR396" i="19"/>
  <c r="AT396" i="19" s="1"/>
  <c r="AS396" i="19" s="1"/>
  <c r="AZ394" i="19"/>
  <c r="AY394" i="19"/>
  <c r="AX394" i="19"/>
  <c r="AR394" i="19"/>
  <c r="AT394" i="19" s="1"/>
  <c r="AS394" i="19" s="1"/>
  <c r="AZ393" i="19"/>
  <c r="AY393" i="19"/>
  <c r="AX393" i="19"/>
  <c r="AR393" i="19"/>
  <c r="AT393" i="19" s="1"/>
  <c r="AS393" i="19" s="1"/>
  <c r="AZ391" i="19"/>
  <c r="AY391" i="19"/>
  <c r="AX391" i="19"/>
  <c r="AR391" i="19"/>
  <c r="AT391" i="19" s="1"/>
  <c r="AZ389" i="19"/>
  <c r="AY389" i="19"/>
  <c r="AX389" i="19"/>
  <c r="AR389" i="19"/>
  <c r="AT389" i="19" s="1"/>
  <c r="AZ388" i="19"/>
  <c r="AY388" i="19"/>
  <c r="AX388" i="19"/>
  <c r="AR388" i="19"/>
  <c r="AT388" i="19" s="1"/>
  <c r="AS388" i="19" s="1"/>
  <c r="AZ386" i="19"/>
  <c r="AY386" i="19"/>
  <c r="AX386" i="19"/>
  <c r="AR386" i="19"/>
  <c r="AT386" i="19" s="1"/>
  <c r="AS386" i="19" s="1"/>
  <c r="AZ384" i="19"/>
  <c r="AY384" i="19"/>
  <c r="AX384" i="19"/>
  <c r="AR384" i="19"/>
  <c r="AT384" i="19" s="1"/>
  <c r="AS384" i="19" s="1"/>
  <c r="AZ382" i="19"/>
  <c r="AY382" i="19"/>
  <c r="AX382" i="19"/>
  <c r="AR382" i="19"/>
  <c r="AT382" i="19" s="1"/>
  <c r="AZ380" i="19"/>
  <c r="AY380" i="19"/>
  <c r="AX380" i="19"/>
  <c r="AR380" i="19"/>
  <c r="AT380" i="19" s="1"/>
  <c r="AS380" i="19" s="1"/>
  <c r="AZ378" i="19"/>
  <c r="AY378" i="19"/>
  <c r="AX378" i="19"/>
  <c r="AR378" i="19"/>
  <c r="AT378" i="19" s="1"/>
  <c r="AS378" i="19" s="1"/>
  <c r="AZ376" i="19"/>
  <c r="AY376" i="19"/>
  <c r="AX376" i="19"/>
  <c r="AR376" i="19"/>
  <c r="AT376" i="19" s="1"/>
  <c r="AS376" i="19" s="1"/>
  <c r="AZ374" i="19"/>
  <c r="AY374" i="19"/>
  <c r="AX374" i="19"/>
  <c r="AR374" i="19"/>
  <c r="AT374" i="19" s="1"/>
  <c r="AS374" i="19" s="1"/>
  <c r="AZ372" i="19"/>
  <c r="AY372" i="19"/>
  <c r="AX372" i="19"/>
  <c r="AR372" i="19"/>
  <c r="AT372" i="19" s="1"/>
  <c r="AZ370" i="19"/>
  <c r="AY370" i="19"/>
  <c r="AX370" i="19"/>
  <c r="AR370" i="19"/>
  <c r="AT370" i="19" s="1"/>
  <c r="AS370" i="19" s="1"/>
  <c r="AZ368" i="19"/>
  <c r="AY368" i="19"/>
  <c r="AX368" i="19"/>
  <c r="AR368" i="19"/>
  <c r="AT368" i="19" s="1"/>
  <c r="AS368" i="19" s="1"/>
  <c r="AZ366" i="19"/>
  <c r="AY366" i="19"/>
  <c r="AX366" i="19"/>
  <c r="AR366" i="19"/>
  <c r="AT366" i="19" s="1"/>
  <c r="AZ365" i="19"/>
  <c r="AY365" i="19"/>
  <c r="AX365" i="19"/>
  <c r="AR365" i="19"/>
  <c r="AT365" i="19" s="1"/>
  <c r="AZ363" i="19"/>
  <c r="AY363" i="19"/>
  <c r="AX363" i="19"/>
  <c r="AR363" i="19"/>
  <c r="AT363" i="19" s="1"/>
  <c r="AS363" i="19" s="1"/>
  <c r="AZ362" i="19"/>
  <c r="AY362" i="19"/>
  <c r="AX362" i="19"/>
  <c r="AR362" i="19"/>
  <c r="AT362" i="19" s="1"/>
  <c r="AZ360" i="19"/>
  <c r="AY360" i="19"/>
  <c r="AX360" i="19"/>
  <c r="AR360" i="19"/>
  <c r="AT360" i="19" s="1"/>
  <c r="AS360" i="19" s="1"/>
  <c r="AZ359" i="19"/>
  <c r="AY359" i="19"/>
  <c r="AX359" i="19"/>
  <c r="AR359" i="19"/>
  <c r="AT359" i="19" s="1"/>
  <c r="AS359" i="19" s="1"/>
  <c r="AZ358" i="19"/>
  <c r="AY358" i="19"/>
  <c r="AX358" i="19"/>
  <c r="AR358" i="19"/>
  <c r="AT358" i="19" s="1"/>
  <c r="AS358" i="19" s="1"/>
  <c r="AZ357" i="19"/>
  <c r="AY357" i="19"/>
  <c r="AX357" i="19"/>
  <c r="AR357" i="19"/>
  <c r="AT357" i="19" s="1"/>
  <c r="AS357" i="19" s="1"/>
  <c r="AZ356" i="19"/>
  <c r="AY356" i="19"/>
  <c r="AX356" i="19"/>
  <c r="AR356" i="19"/>
  <c r="AT356" i="19" s="1"/>
  <c r="AS356" i="19" s="1"/>
  <c r="AZ355" i="19"/>
  <c r="AY355" i="19"/>
  <c r="AX355" i="19"/>
  <c r="AR355" i="19"/>
  <c r="AT355" i="19" s="1"/>
  <c r="AS355" i="19" s="1"/>
  <c r="AZ354" i="19"/>
  <c r="AY354" i="19"/>
  <c r="AX354" i="19"/>
  <c r="AR354" i="19"/>
  <c r="AT354" i="19" s="1"/>
  <c r="AS354" i="19" s="1"/>
  <c r="AZ353" i="19"/>
  <c r="AY353" i="19"/>
  <c r="AX353" i="19"/>
  <c r="AR353" i="19"/>
  <c r="AT353" i="19" s="1"/>
  <c r="AS353" i="19" s="1"/>
  <c r="AZ352" i="19"/>
  <c r="AY352" i="19"/>
  <c r="AX352" i="19"/>
  <c r="AR352" i="19"/>
  <c r="AT352" i="19" s="1"/>
  <c r="AZ351" i="19"/>
  <c r="AY351" i="19"/>
  <c r="AX351" i="19"/>
  <c r="AR351" i="19"/>
  <c r="AT351" i="19" s="1"/>
  <c r="AS351" i="19" s="1"/>
  <c r="AZ350" i="19"/>
  <c r="AY350" i="19"/>
  <c r="AX350" i="19"/>
  <c r="AR350" i="19"/>
  <c r="AT350" i="19" s="1"/>
  <c r="AS350" i="19" s="1"/>
  <c r="AZ349" i="19"/>
  <c r="AY349" i="19"/>
  <c r="AX349" i="19"/>
  <c r="AR349" i="19"/>
  <c r="AT349" i="19" s="1"/>
  <c r="AS349" i="19" s="1"/>
  <c r="AZ348" i="19"/>
  <c r="AY348" i="19"/>
  <c r="AX348" i="19"/>
  <c r="AR348" i="19"/>
  <c r="AT348" i="19" s="1"/>
  <c r="AZ347" i="19"/>
  <c r="AY347" i="19"/>
  <c r="AX347" i="19"/>
  <c r="AR347" i="19"/>
  <c r="AT347" i="19" s="1"/>
  <c r="AZ345" i="19"/>
  <c r="AY345" i="19"/>
  <c r="AX345" i="19"/>
  <c r="AR345" i="19"/>
  <c r="AT345" i="19" s="1"/>
  <c r="AS345" i="19" s="1"/>
  <c r="AZ344" i="19"/>
  <c r="AY344" i="19"/>
  <c r="AX344" i="19"/>
  <c r="AR344" i="19"/>
  <c r="AT344" i="19" s="1"/>
  <c r="AS344" i="19" s="1"/>
  <c r="AZ342" i="19"/>
  <c r="AY342" i="19"/>
  <c r="AX342" i="19"/>
  <c r="AR342" i="19"/>
  <c r="AT342" i="19" s="1"/>
  <c r="AS342" i="19" s="1"/>
  <c r="AZ341" i="19"/>
  <c r="AY341" i="19"/>
  <c r="AX341" i="19"/>
  <c r="AR341" i="19"/>
  <c r="AT341" i="19" s="1"/>
  <c r="AZ340" i="19"/>
  <c r="AY340" i="19"/>
  <c r="AX340" i="19"/>
  <c r="AR340" i="19"/>
  <c r="AT340" i="19" s="1"/>
  <c r="AZ339" i="19"/>
  <c r="AY339" i="19"/>
  <c r="AX339" i="19"/>
  <c r="AR339" i="19"/>
  <c r="AT339" i="19" s="1"/>
  <c r="AZ337" i="19"/>
  <c r="AY337" i="19"/>
  <c r="AX337" i="19"/>
  <c r="AR337" i="19"/>
  <c r="AT337" i="19" s="1"/>
  <c r="AS337" i="19" s="1"/>
  <c r="AZ336" i="19"/>
  <c r="AY336" i="19"/>
  <c r="AX336" i="19"/>
  <c r="AR336" i="19"/>
  <c r="AT336" i="19" s="1"/>
  <c r="AS336" i="19" s="1"/>
  <c r="AZ335" i="19"/>
  <c r="AY335" i="19"/>
  <c r="AX335" i="19"/>
  <c r="AR335" i="19"/>
  <c r="AT335" i="19" s="1"/>
  <c r="AS335" i="19" s="1"/>
  <c r="AZ334" i="19"/>
  <c r="AY334" i="19"/>
  <c r="AX334" i="19"/>
  <c r="AR334" i="19"/>
  <c r="AT334" i="19" s="1"/>
  <c r="AZ332" i="19"/>
  <c r="AY332" i="19"/>
  <c r="AX332" i="19"/>
  <c r="AR332" i="19"/>
  <c r="AT332" i="19" s="1"/>
  <c r="AZ331" i="19"/>
  <c r="AY331" i="19"/>
  <c r="AX331" i="19"/>
  <c r="AR331" i="19"/>
  <c r="AT331" i="19" s="1"/>
  <c r="AS331" i="19" s="1"/>
  <c r="AZ330" i="19"/>
  <c r="AY330" i="19"/>
  <c r="AX330" i="19"/>
  <c r="AR330" i="19"/>
  <c r="AT330" i="19" s="1"/>
  <c r="AZ329" i="19"/>
  <c r="AY329" i="19"/>
  <c r="AX329" i="19"/>
  <c r="AR329" i="19"/>
  <c r="AT329" i="19" s="1"/>
  <c r="AS329" i="19" s="1"/>
  <c r="AZ327" i="19"/>
  <c r="AY327" i="19"/>
  <c r="AX327" i="19"/>
  <c r="AR327" i="19"/>
  <c r="AT327" i="19" s="1"/>
  <c r="AS327" i="19" s="1"/>
  <c r="AZ326" i="19"/>
  <c r="AY326" i="19"/>
  <c r="AX326" i="19"/>
  <c r="AR326" i="19"/>
  <c r="AT326" i="19" s="1"/>
  <c r="AS326" i="19" s="1"/>
  <c r="AZ325" i="19"/>
  <c r="AY325" i="19"/>
  <c r="AX325" i="19"/>
  <c r="AR325" i="19"/>
  <c r="AT325" i="19" s="1"/>
  <c r="AZ324" i="19"/>
  <c r="AY324" i="19"/>
  <c r="AX324" i="19"/>
  <c r="AR324" i="19"/>
  <c r="AT324" i="19" s="1"/>
  <c r="AZ322" i="19"/>
  <c r="AY322" i="19"/>
  <c r="AX322" i="19"/>
  <c r="AR322" i="19"/>
  <c r="AT322" i="19" s="1"/>
  <c r="AZ321" i="19"/>
  <c r="AY321" i="19"/>
  <c r="AX321" i="19"/>
  <c r="AR321" i="19"/>
  <c r="AT321" i="19" s="1"/>
  <c r="AZ320" i="19"/>
  <c r="AY320" i="19"/>
  <c r="AX320" i="19"/>
  <c r="AR320" i="19"/>
  <c r="AT320" i="19" s="1"/>
  <c r="AS320" i="19" s="1"/>
  <c r="AZ319" i="19"/>
  <c r="AY319" i="19"/>
  <c r="AX319" i="19"/>
  <c r="AR319" i="19"/>
  <c r="AT319" i="19" s="1"/>
  <c r="AZ317" i="19"/>
  <c r="AY317" i="19"/>
  <c r="AX317" i="19"/>
  <c r="AR317" i="19"/>
  <c r="AT317" i="19" s="1"/>
  <c r="AZ316" i="19"/>
  <c r="AY316" i="19"/>
  <c r="AX316" i="19"/>
  <c r="AR316" i="19"/>
  <c r="AT316" i="19" s="1"/>
  <c r="AZ315" i="19"/>
  <c r="AY315" i="19"/>
  <c r="AX315" i="19"/>
  <c r="AR315" i="19"/>
  <c r="AT315" i="19" s="1"/>
  <c r="AZ314" i="19"/>
  <c r="AY314" i="19"/>
  <c r="AX314" i="19"/>
  <c r="AR314" i="19"/>
  <c r="AT314" i="19" s="1"/>
  <c r="AS314" i="19" s="1"/>
  <c r="AZ312" i="19"/>
  <c r="AY312" i="19"/>
  <c r="AX312" i="19"/>
  <c r="AR312" i="19"/>
  <c r="AT312" i="19" s="1"/>
  <c r="AS312" i="19" s="1"/>
  <c r="AZ311" i="19"/>
  <c r="AY311" i="19"/>
  <c r="AX311" i="19"/>
  <c r="AR311" i="19"/>
  <c r="AT311" i="19" s="1"/>
  <c r="AZ310" i="19"/>
  <c r="AY310" i="19"/>
  <c r="AX310" i="19"/>
  <c r="AR310" i="19"/>
  <c r="AT310" i="19" s="1"/>
  <c r="AZ309" i="19"/>
  <c r="AY309" i="19"/>
  <c r="AX309" i="19"/>
  <c r="AR309" i="19"/>
  <c r="AT309" i="19" s="1"/>
  <c r="AZ307" i="19"/>
  <c r="AY307" i="19"/>
  <c r="AX307" i="19"/>
  <c r="AR307" i="19"/>
  <c r="AT307" i="19" s="1"/>
  <c r="AZ306" i="19"/>
  <c r="AY306" i="19"/>
  <c r="AX306" i="19"/>
  <c r="AR306" i="19"/>
  <c r="AT306" i="19" s="1"/>
  <c r="AS306" i="19" s="1"/>
  <c r="AZ305" i="19"/>
  <c r="AY305" i="19"/>
  <c r="AX305" i="19"/>
  <c r="AR305" i="19"/>
  <c r="AT305" i="19" s="1"/>
  <c r="AS305" i="19" s="1"/>
  <c r="AZ304" i="19"/>
  <c r="AY304" i="19"/>
  <c r="AX304" i="19"/>
  <c r="AR304" i="19"/>
  <c r="AT304" i="19" s="1"/>
  <c r="AZ303" i="19"/>
  <c r="AY303" i="19"/>
  <c r="AX303" i="19"/>
  <c r="AR303" i="19"/>
  <c r="AT303" i="19" s="1"/>
  <c r="AS303" i="19" s="1"/>
  <c r="AZ302" i="19"/>
  <c r="AY302" i="19"/>
  <c r="AX302" i="19"/>
  <c r="AR302" i="19"/>
  <c r="AT302" i="19" s="1"/>
  <c r="AS302" i="19" s="1"/>
  <c r="AZ301" i="19"/>
  <c r="AY301" i="19"/>
  <c r="AX301" i="19"/>
  <c r="AR301" i="19"/>
  <c r="AT301" i="19" s="1"/>
  <c r="AZ300" i="19"/>
  <c r="AY300" i="19"/>
  <c r="AX300" i="19"/>
  <c r="AR300" i="19"/>
  <c r="AT300" i="19" s="1"/>
  <c r="AS300" i="19" s="1"/>
  <c r="AZ299" i="19"/>
  <c r="AY299" i="19"/>
  <c r="AX299" i="19"/>
  <c r="AR299" i="19"/>
  <c r="AT299" i="19" s="1"/>
  <c r="AS299" i="19" s="1"/>
  <c r="AZ298" i="19"/>
  <c r="AY298" i="19"/>
  <c r="AX298" i="19"/>
  <c r="AR298" i="19"/>
  <c r="AT298" i="19" s="1"/>
  <c r="AS298" i="19" s="1"/>
  <c r="AZ296" i="19"/>
  <c r="AY296" i="19"/>
  <c r="AX296" i="19"/>
  <c r="AR296" i="19"/>
  <c r="AT296" i="19" s="1"/>
  <c r="AS296" i="19" s="1"/>
  <c r="AZ295" i="19"/>
  <c r="AY295" i="19"/>
  <c r="AX295" i="19"/>
  <c r="AR295" i="19"/>
  <c r="AT295" i="19" s="1"/>
  <c r="AZ294" i="19"/>
  <c r="AY294" i="19"/>
  <c r="AX294" i="19"/>
  <c r="AR294" i="19"/>
  <c r="AT294" i="19" s="1"/>
  <c r="AZ293" i="19"/>
  <c r="AY293" i="19"/>
  <c r="AX293" i="19"/>
  <c r="AR293" i="19"/>
  <c r="AT293" i="19" s="1"/>
  <c r="AS293" i="19" s="1"/>
  <c r="AZ292" i="19"/>
  <c r="AY292" i="19"/>
  <c r="AX292" i="19"/>
  <c r="AR292" i="19"/>
  <c r="AT292" i="19" s="1"/>
  <c r="AZ291" i="19"/>
  <c r="AY291" i="19"/>
  <c r="AX291" i="19"/>
  <c r="AR291" i="19"/>
  <c r="AT291" i="19" s="1"/>
  <c r="AZ290" i="19"/>
  <c r="AY290" i="19"/>
  <c r="AX290" i="19"/>
  <c r="AR290" i="19"/>
  <c r="AT290" i="19" s="1"/>
  <c r="AS290" i="19" s="1"/>
  <c r="AZ289" i="19"/>
  <c r="AY289" i="19"/>
  <c r="AX289" i="19"/>
  <c r="AR289" i="19"/>
  <c r="AT289" i="19" s="1"/>
  <c r="AS289" i="19" s="1"/>
  <c r="AZ288" i="19"/>
  <c r="AY288" i="19"/>
  <c r="AX288" i="19"/>
  <c r="AR288" i="19"/>
  <c r="AT288" i="19" s="1"/>
  <c r="AS288" i="19" s="1"/>
  <c r="AZ287" i="19"/>
  <c r="AY287" i="19"/>
  <c r="AX287" i="19"/>
  <c r="AR287" i="19"/>
  <c r="AT287" i="19" s="1"/>
  <c r="AS287" i="19" s="1"/>
  <c r="AZ286" i="19"/>
  <c r="AY286" i="19"/>
  <c r="AX286" i="19"/>
  <c r="AR286" i="19"/>
  <c r="AT286" i="19" s="1"/>
  <c r="AZ285" i="19"/>
  <c r="AY285" i="19"/>
  <c r="AX285" i="19"/>
  <c r="AR285" i="19"/>
  <c r="AT285" i="19" s="1"/>
  <c r="AS285" i="19" s="1"/>
  <c r="AZ284" i="19"/>
  <c r="AY284" i="19"/>
  <c r="AX284" i="19"/>
  <c r="AR284" i="19"/>
  <c r="AT284" i="19" s="1"/>
  <c r="AS284" i="19" s="1"/>
  <c r="AZ283" i="19"/>
  <c r="AY283" i="19"/>
  <c r="AX283" i="19"/>
  <c r="AR283" i="19"/>
  <c r="AT283" i="19" s="1"/>
  <c r="AS283" i="19" s="1"/>
  <c r="AZ282" i="19"/>
  <c r="AY282" i="19"/>
  <c r="AX282" i="19"/>
  <c r="AR282" i="19"/>
  <c r="AT282" i="19" s="1"/>
  <c r="AZ281" i="19"/>
  <c r="AY281" i="19"/>
  <c r="AX281" i="19"/>
  <c r="AR281" i="19"/>
  <c r="AT281" i="19" s="1"/>
  <c r="AS281" i="19" s="1"/>
  <c r="AZ280" i="19"/>
  <c r="AY280" i="19"/>
  <c r="AX280" i="19"/>
  <c r="AR280" i="19"/>
  <c r="AT280" i="19" s="1"/>
  <c r="AS280" i="19" s="1"/>
  <c r="AZ279" i="19"/>
  <c r="AY279" i="19"/>
  <c r="AX279" i="19"/>
  <c r="AR279" i="19"/>
  <c r="AT279" i="19" s="1"/>
  <c r="AS279" i="19" s="1"/>
  <c r="AZ278" i="19"/>
  <c r="AY278" i="19"/>
  <c r="AX278" i="19"/>
  <c r="AR278" i="19"/>
  <c r="AT278" i="19" s="1"/>
  <c r="AS278" i="19" s="1"/>
  <c r="AZ277" i="19"/>
  <c r="AY277" i="19"/>
  <c r="AX277" i="19"/>
  <c r="AR277" i="19"/>
  <c r="AT277" i="19" s="1"/>
  <c r="AS277" i="19" s="1"/>
  <c r="AZ276" i="19"/>
  <c r="AY276" i="19"/>
  <c r="AX276" i="19"/>
  <c r="AR276" i="19"/>
  <c r="AT276" i="19" s="1"/>
  <c r="AZ275" i="19"/>
  <c r="AY275" i="19"/>
  <c r="AX275" i="19"/>
  <c r="AR275" i="19"/>
  <c r="AT275" i="19" s="1"/>
  <c r="AS275" i="19" s="1"/>
  <c r="AZ274" i="19"/>
  <c r="AY274" i="19"/>
  <c r="AX274" i="19"/>
  <c r="AR274" i="19"/>
  <c r="AT274" i="19" s="1"/>
  <c r="AS274" i="19" s="1"/>
  <c r="AZ273" i="19"/>
  <c r="AY273" i="19"/>
  <c r="AX273" i="19"/>
  <c r="AR273" i="19"/>
  <c r="AT273" i="19" s="1"/>
  <c r="AS273" i="19" s="1"/>
  <c r="AZ271" i="19"/>
  <c r="AY271" i="19"/>
  <c r="AX271" i="19"/>
  <c r="AR271" i="19"/>
  <c r="AT271" i="19" s="1"/>
  <c r="AZ270" i="19"/>
  <c r="AY270" i="19"/>
  <c r="AX270" i="19"/>
  <c r="AR270" i="19"/>
  <c r="AT270" i="19" s="1"/>
  <c r="AZ269" i="19"/>
  <c r="AY269" i="19"/>
  <c r="AX269" i="19"/>
  <c r="AR269" i="19"/>
  <c r="AT269" i="19" s="1"/>
  <c r="AZ268" i="19"/>
  <c r="AY268" i="19"/>
  <c r="AX268" i="19"/>
  <c r="AR268" i="19"/>
  <c r="AT268" i="19" s="1"/>
  <c r="AS268" i="19" s="1"/>
  <c r="AZ267" i="19"/>
  <c r="AY267" i="19"/>
  <c r="AX267" i="19"/>
  <c r="AR267" i="19"/>
  <c r="AT267" i="19" s="1"/>
  <c r="AS267" i="19" s="1"/>
  <c r="AZ266" i="19"/>
  <c r="AY266" i="19"/>
  <c r="AX266" i="19"/>
  <c r="AR266" i="19"/>
  <c r="AT266" i="19" s="1"/>
  <c r="AS266" i="19" s="1"/>
  <c r="AZ265" i="19"/>
  <c r="AY265" i="19"/>
  <c r="AX265" i="19"/>
  <c r="AR265" i="19"/>
  <c r="AT265" i="19" s="1"/>
  <c r="AZ264" i="19"/>
  <c r="AY264" i="19"/>
  <c r="AX264" i="19"/>
  <c r="AR264" i="19"/>
  <c r="AT264" i="19" s="1"/>
  <c r="AZ263" i="19"/>
  <c r="AY263" i="19"/>
  <c r="AX263" i="19"/>
  <c r="AR263" i="19"/>
  <c r="AT263" i="19" s="1"/>
  <c r="AS263" i="19" s="1"/>
  <c r="AZ262" i="19"/>
  <c r="AY262" i="19"/>
  <c r="AX262" i="19"/>
  <c r="AR262" i="19"/>
  <c r="AT262" i="19" s="1"/>
  <c r="AS262" i="19" s="1"/>
  <c r="AZ260" i="19"/>
  <c r="AY260" i="19"/>
  <c r="AX260" i="19"/>
  <c r="AR260" i="19"/>
  <c r="AT260" i="19" s="1"/>
  <c r="AS260" i="19" s="1"/>
  <c r="AZ258" i="19"/>
  <c r="AY258" i="19"/>
  <c r="AX258" i="19"/>
  <c r="AR258" i="19"/>
  <c r="AT258" i="19" s="1"/>
  <c r="AZ257" i="19"/>
  <c r="AY257" i="19"/>
  <c r="AX257" i="19"/>
  <c r="AR257" i="19"/>
  <c r="AT257" i="19" s="1"/>
  <c r="AZ256" i="19"/>
  <c r="AY256" i="19"/>
  <c r="AX256" i="19"/>
  <c r="AR256" i="19"/>
  <c r="AT256" i="19" s="1"/>
  <c r="AS256" i="19" s="1"/>
  <c r="AZ255" i="19"/>
  <c r="AY255" i="19"/>
  <c r="AX255" i="19"/>
  <c r="AR255" i="19"/>
  <c r="AT255" i="19" s="1"/>
  <c r="AS255" i="19" s="1"/>
  <c r="AZ253" i="19"/>
  <c r="AY253" i="19"/>
  <c r="AX253" i="19"/>
  <c r="AR253" i="19"/>
  <c r="AT253" i="19" s="1"/>
  <c r="AS253" i="19" s="1"/>
  <c r="AZ252" i="19"/>
  <c r="AY252" i="19"/>
  <c r="AX252" i="19"/>
  <c r="AR252" i="19"/>
  <c r="AT252" i="19" s="1"/>
  <c r="AS252" i="19" s="1"/>
  <c r="AZ251" i="19"/>
  <c r="AY251" i="19"/>
  <c r="AX251" i="19"/>
  <c r="AR251" i="19"/>
  <c r="AT251" i="19" s="1"/>
  <c r="AS251" i="19" s="1"/>
  <c r="AZ249" i="19"/>
  <c r="AY249" i="19"/>
  <c r="AX249" i="19"/>
  <c r="AR249" i="19"/>
  <c r="AT249" i="19" s="1"/>
  <c r="AZ248" i="19"/>
  <c r="AY248" i="19"/>
  <c r="AX248" i="19"/>
  <c r="AR248" i="19"/>
  <c r="AT248" i="19" s="1"/>
  <c r="AS248" i="19" s="1"/>
  <c r="AZ247" i="19"/>
  <c r="AY247" i="19"/>
  <c r="AX247" i="19"/>
  <c r="AR247" i="19"/>
  <c r="AT247" i="19" s="1"/>
  <c r="AZ246" i="19"/>
  <c r="AY246" i="19"/>
  <c r="AX246" i="19"/>
  <c r="AR246" i="19"/>
  <c r="AT246" i="19" s="1"/>
  <c r="AS246" i="19" s="1"/>
  <c r="AZ245" i="19"/>
  <c r="AY245" i="19"/>
  <c r="AX245" i="19"/>
  <c r="AR245" i="19"/>
  <c r="AT245" i="19" s="1"/>
  <c r="AS245" i="19" s="1"/>
  <c r="AZ244" i="19"/>
  <c r="AY244" i="19"/>
  <c r="AX244" i="19"/>
  <c r="AR244" i="19"/>
  <c r="AT244" i="19" s="1"/>
  <c r="AZ243" i="19"/>
  <c r="AY243" i="19"/>
  <c r="AX243" i="19"/>
  <c r="AR243" i="19"/>
  <c r="AT243" i="19" s="1"/>
  <c r="AZ242" i="19"/>
  <c r="AY242" i="19"/>
  <c r="AX242" i="19"/>
  <c r="AR242" i="19"/>
  <c r="AT242" i="19" s="1"/>
  <c r="AZ241" i="19"/>
  <c r="AY241" i="19"/>
  <c r="AX241" i="19"/>
  <c r="AR241" i="19"/>
  <c r="AT241" i="19" s="1"/>
  <c r="AS241" i="19" s="1"/>
  <c r="AZ240" i="19"/>
  <c r="AY240" i="19"/>
  <c r="AX240" i="19"/>
  <c r="AR240" i="19"/>
  <c r="AT240" i="19" s="1"/>
  <c r="AZ239" i="19"/>
  <c r="AY239" i="19"/>
  <c r="AX239" i="19"/>
  <c r="AR239" i="19"/>
  <c r="AT239" i="19" s="1"/>
  <c r="AZ237" i="19"/>
  <c r="AY237" i="19"/>
  <c r="AX237" i="19"/>
  <c r="AR237" i="19"/>
  <c r="AT237" i="19" s="1"/>
  <c r="AZ236" i="19"/>
  <c r="AY236" i="19"/>
  <c r="AX236" i="19"/>
  <c r="AR236" i="19"/>
  <c r="AT236" i="19" s="1"/>
  <c r="AS236" i="19" s="1"/>
  <c r="AZ235" i="19"/>
  <c r="AY235" i="19"/>
  <c r="AX235" i="19"/>
  <c r="AR235" i="19"/>
  <c r="AT235" i="19" s="1"/>
  <c r="AS235" i="19" s="1"/>
  <c r="AZ233" i="19"/>
  <c r="AY233" i="19"/>
  <c r="AX233" i="19"/>
  <c r="AR233" i="19"/>
  <c r="AT233" i="19" s="1"/>
  <c r="AZ232" i="19"/>
  <c r="AY232" i="19"/>
  <c r="AX232" i="19"/>
  <c r="AR232" i="19"/>
  <c r="AT232" i="19" s="1"/>
  <c r="AS232" i="19" s="1"/>
  <c r="AZ231" i="19"/>
  <c r="AY231" i="19"/>
  <c r="AX231" i="19"/>
  <c r="AR231" i="19"/>
  <c r="AT231" i="19" s="1"/>
  <c r="AS231" i="19" s="1"/>
  <c r="AZ230" i="19"/>
  <c r="AY230" i="19"/>
  <c r="AX230" i="19"/>
  <c r="AR230" i="19"/>
  <c r="AT230" i="19" s="1"/>
  <c r="AS230" i="19" s="1"/>
  <c r="AZ229" i="19"/>
  <c r="AY229" i="19"/>
  <c r="AX229" i="19"/>
  <c r="AR229" i="19"/>
  <c r="AT229" i="19" s="1"/>
  <c r="AS229" i="19" s="1"/>
  <c r="AZ228" i="19"/>
  <c r="AY228" i="19"/>
  <c r="AX228" i="19"/>
  <c r="AR228" i="19"/>
  <c r="AT228" i="19" s="1"/>
  <c r="AZ226" i="19"/>
  <c r="AY226" i="19"/>
  <c r="AX226" i="19"/>
  <c r="AR226" i="19"/>
  <c r="AT226" i="19" s="1"/>
  <c r="AZ225" i="19"/>
  <c r="AY225" i="19"/>
  <c r="AX225" i="19"/>
  <c r="AR225" i="19"/>
  <c r="AT225" i="19" s="1"/>
  <c r="AZ224" i="19"/>
  <c r="AY224" i="19"/>
  <c r="AX224" i="19"/>
  <c r="AR224" i="19"/>
  <c r="AT224" i="19" s="1"/>
  <c r="AZ222" i="19"/>
  <c r="AY222" i="19"/>
  <c r="AX222" i="19"/>
  <c r="AR222" i="19"/>
  <c r="AT222" i="19" s="1"/>
  <c r="AZ220" i="19"/>
  <c r="AY220" i="19"/>
  <c r="AX220" i="19"/>
  <c r="AR220" i="19"/>
  <c r="AT220" i="19" s="1"/>
  <c r="AS220" i="19" s="1"/>
  <c r="AZ219" i="19"/>
  <c r="AY219" i="19"/>
  <c r="AX219" i="19"/>
  <c r="AR219" i="19"/>
  <c r="AT219" i="19" s="1"/>
  <c r="AZ217" i="19"/>
  <c r="AY217" i="19"/>
  <c r="AX217" i="19"/>
  <c r="AR217" i="19"/>
  <c r="AT217" i="19" s="1"/>
  <c r="AZ216" i="19"/>
  <c r="AY216" i="19"/>
  <c r="AX216" i="19"/>
  <c r="AR216" i="19"/>
  <c r="AT216" i="19" s="1"/>
  <c r="AZ215" i="19"/>
  <c r="AY215" i="19"/>
  <c r="AX215" i="19"/>
  <c r="AR215" i="19"/>
  <c r="AT215" i="19" s="1"/>
  <c r="AS215" i="19" s="1"/>
  <c r="AZ213" i="19"/>
  <c r="AY213" i="19"/>
  <c r="AX213" i="19"/>
  <c r="AR213" i="19"/>
  <c r="AT213" i="19" s="1"/>
  <c r="AS213" i="19" s="1"/>
  <c r="AZ212" i="19"/>
  <c r="AY212" i="19"/>
  <c r="AX212" i="19"/>
  <c r="AR212" i="19"/>
  <c r="AT212" i="19" s="1"/>
  <c r="AZ210" i="19"/>
  <c r="AY210" i="19"/>
  <c r="AX210" i="19"/>
  <c r="AR210" i="19"/>
  <c r="AT210" i="19" s="1"/>
  <c r="AS210" i="19" s="1"/>
  <c r="AZ209" i="19"/>
  <c r="AY209" i="19"/>
  <c r="AX209" i="19"/>
  <c r="AR209" i="19"/>
  <c r="AT209" i="19" s="1"/>
  <c r="AZ208" i="19"/>
  <c r="AY208" i="19"/>
  <c r="AX208" i="19"/>
  <c r="AR208" i="19"/>
  <c r="AT208" i="19" s="1"/>
  <c r="AZ207" i="19"/>
  <c r="AY207" i="19"/>
  <c r="AX207" i="19"/>
  <c r="AR207" i="19"/>
  <c r="AT207" i="19" s="1"/>
  <c r="AZ205" i="19"/>
  <c r="AY205" i="19"/>
  <c r="AX205" i="19"/>
  <c r="AR205" i="19"/>
  <c r="AT205" i="19" s="1"/>
  <c r="AZ204" i="19"/>
  <c r="AY204" i="19"/>
  <c r="AX204" i="19"/>
  <c r="AR204" i="19"/>
  <c r="AT204" i="19" s="1"/>
  <c r="AS204" i="19" s="1"/>
  <c r="AZ203" i="19"/>
  <c r="AY203" i="19"/>
  <c r="AX203" i="19"/>
  <c r="AR203" i="19"/>
  <c r="AT203" i="19" s="1"/>
  <c r="AS203" i="19" s="1"/>
  <c r="AZ202" i="19"/>
  <c r="AY202" i="19"/>
  <c r="AX202" i="19"/>
  <c r="AR202" i="19"/>
  <c r="AT202" i="19" s="1"/>
  <c r="AZ201" i="19"/>
  <c r="AY201" i="19"/>
  <c r="AX201" i="19"/>
  <c r="AR201" i="19"/>
  <c r="AT201" i="19" s="1"/>
  <c r="AS201" i="19" s="1"/>
  <c r="AZ200" i="19"/>
  <c r="AY200" i="19"/>
  <c r="AX200" i="19"/>
  <c r="AR200" i="19"/>
  <c r="AT200" i="19" s="1"/>
  <c r="AS200" i="19" s="1"/>
  <c r="AZ199" i="19"/>
  <c r="AY199" i="19"/>
  <c r="AX199" i="19"/>
  <c r="AR199" i="19"/>
  <c r="AT199" i="19" s="1"/>
  <c r="AS199" i="19" s="1"/>
  <c r="AZ198" i="19"/>
  <c r="AY198" i="19"/>
  <c r="AX198" i="19"/>
  <c r="AR198" i="19"/>
  <c r="AT198" i="19" s="1"/>
  <c r="AS198" i="19" s="1"/>
  <c r="AZ196" i="19"/>
  <c r="AY196" i="19"/>
  <c r="AX196" i="19"/>
  <c r="AR196" i="19"/>
  <c r="AT196" i="19" s="1"/>
  <c r="AS196" i="19" s="1"/>
  <c r="AZ195" i="19"/>
  <c r="AY195" i="19"/>
  <c r="AX195" i="19"/>
  <c r="AR195" i="19"/>
  <c r="AT195" i="19" s="1"/>
  <c r="AZ193" i="19"/>
  <c r="AY193" i="19"/>
  <c r="AX193" i="19"/>
  <c r="AR193" i="19"/>
  <c r="AT193" i="19" s="1"/>
  <c r="AZ192" i="19"/>
  <c r="AY192" i="19"/>
  <c r="AX192" i="19"/>
  <c r="AR192" i="19"/>
  <c r="AT192" i="19" s="1"/>
  <c r="AS192" i="19" s="1"/>
  <c r="AZ190" i="19"/>
  <c r="AY190" i="19"/>
  <c r="AX190" i="19"/>
  <c r="AR190" i="19"/>
  <c r="AT190" i="19" s="1"/>
  <c r="AS190" i="19" s="1"/>
  <c r="AZ189" i="19"/>
  <c r="AY189" i="19"/>
  <c r="AX189" i="19"/>
  <c r="AR189" i="19"/>
  <c r="AT189" i="19" s="1"/>
  <c r="AS189" i="19" s="1"/>
  <c r="AZ188" i="19"/>
  <c r="AY188" i="19"/>
  <c r="AX188" i="19"/>
  <c r="AR188" i="19"/>
  <c r="AT188" i="19" s="1"/>
  <c r="AS188" i="19" s="1"/>
  <c r="AZ187" i="19"/>
  <c r="AY187" i="19"/>
  <c r="AX187" i="19"/>
  <c r="AR187" i="19"/>
  <c r="AT187" i="19" s="1"/>
  <c r="AS187" i="19" s="1"/>
  <c r="AZ186" i="19"/>
  <c r="AY186" i="19"/>
  <c r="AX186" i="19"/>
  <c r="AR186" i="19"/>
  <c r="AT186" i="19" s="1"/>
  <c r="AZ184" i="19"/>
  <c r="AY184" i="19"/>
  <c r="AX184" i="19"/>
  <c r="AR184" i="19"/>
  <c r="AT184" i="19" s="1"/>
  <c r="AS184" i="19" s="1"/>
  <c r="AZ183" i="19"/>
  <c r="AY183" i="19"/>
  <c r="AX183" i="19"/>
  <c r="AR183" i="19"/>
  <c r="AT183" i="19" s="1"/>
  <c r="AZ182" i="19"/>
  <c r="AY182" i="19"/>
  <c r="AX182" i="19"/>
  <c r="AR182" i="19"/>
  <c r="AT182" i="19" s="1"/>
  <c r="AZ180" i="19"/>
  <c r="AY180" i="19"/>
  <c r="AX180" i="19"/>
  <c r="AR180" i="19"/>
  <c r="AT180" i="19" s="1"/>
  <c r="AZ179" i="19"/>
  <c r="AY179" i="19"/>
  <c r="AX179" i="19"/>
  <c r="AR179" i="19"/>
  <c r="AT179" i="19" s="1"/>
  <c r="AZ178" i="19"/>
  <c r="AY178" i="19"/>
  <c r="AX178" i="19"/>
  <c r="AR178" i="19"/>
  <c r="AT178" i="19" s="1"/>
  <c r="AZ177" i="19"/>
  <c r="AY177" i="19"/>
  <c r="AX177" i="19"/>
  <c r="AR177" i="19"/>
  <c r="AT177" i="19" s="1"/>
  <c r="AZ176" i="19"/>
  <c r="AY176" i="19"/>
  <c r="AX176" i="19"/>
  <c r="AR176" i="19"/>
  <c r="AT176" i="19" s="1"/>
  <c r="AZ175" i="19"/>
  <c r="AY175" i="19"/>
  <c r="AX175" i="19"/>
  <c r="AR175" i="19"/>
  <c r="AT175" i="19" s="1"/>
  <c r="AS175" i="19" s="1"/>
  <c r="AZ174" i="19"/>
  <c r="AY174" i="19"/>
  <c r="AX174" i="19"/>
  <c r="AR174" i="19"/>
  <c r="AT174" i="19" s="1"/>
  <c r="AS174" i="19" s="1"/>
  <c r="AZ172" i="19"/>
  <c r="AY172" i="19"/>
  <c r="AX172" i="19"/>
  <c r="AR172" i="19"/>
  <c r="AT172" i="19" s="1"/>
  <c r="AZ171" i="19"/>
  <c r="AY171" i="19"/>
  <c r="AX171" i="19"/>
  <c r="AR171" i="19"/>
  <c r="AT171" i="19" s="1"/>
  <c r="AZ169" i="19"/>
  <c r="AY169" i="19"/>
  <c r="AX169" i="19"/>
  <c r="AR169" i="19"/>
  <c r="AT169" i="19" s="1"/>
  <c r="AZ167" i="19"/>
  <c r="AY167" i="19"/>
  <c r="AX167" i="19"/>
  <c r="AR167" i="19"/>
  <c r="AT167" i="19" s="1"/>
  <c r="AZ166" i="19"/>
  <c r="AY166" i="19"/>
  <c r="AX166" i="19"/>
  <c r="AR166" i="19"/>
  <c r="AT166" i="19" s="1"/>
  <c r="AZ165" i="19"/>
  <c r="AY165" i="19"/>
  <c r="AX165" i="19"/>
  <c r="AR165" i="19"/>
  <c r="AT165" i="19" s="1"/>
  <c r="AS165" i="19" s="1"/>
  <c r="AZ164" i="19"/>
  <c r="AY164" i="19"/>
  <c r="AX164" i="19"/>
  <c r="AR164" i="19"/>
  <c r="AT164" i="19" s="1"/>
  <c r="AZ162" i="19"/>
  <c r="AY162" i="19"/>
  <c r="AX162" i="19"/>
  <c r="AR162" i="19"/>
  <c r="AT162" i="19" s="1"/>
  <c r="AS162" i="19" s="1"/>
  <c r="AZ161" i="19"/>
  <c r="AY161" i="19"/>
  <c r="AX161" i="19"/>
  <c r="AR161" i="19"/>
  <c r="AT161" i="19" s="1"/>
  <c r="AS161" i="19" s="1"/>
  <c r="AZ160" i="19"/>
  <c r="AY160" i="19"/>
  <c r="AX160" i="19"/>
  <c r="AR160" i="19"/>
  <c r="AT160" i="19" s="1"/>
  <c r="AS160" i="19" s="1"/>
  <c r="AZ159" i="19"/>
  <c r="AY159" i="19"/>
  <c r="AX159" i="19"/>
  <c r="AR159" i="19"/>
  <c r="AT159" i="19" s="1"/>
  <c r="AZ158" i="19"/>
  <c r="AY158" i="19"/>
  <c r="AX158" i="19"/>
  <c r="AR158" i="19"/>
  <c r="AT158" i="19" s="1"/>
  <c r="AZ157" i="19"/>
  <c r="AY157" i="19"/>
  <c r="AX157" i="19"/>
  <c r="AR157" i="19"/>
  <c r="AT157" i="19" s="1"/>
  <c r="AZ156" i="19"/>
  <c r="AY156" i="19"/>
  <c r="AX156" i="19"/>
  <c r="AR156" i="19"/>
  <c r="AT156" i="19" s="1"/>
  <c r="AS156" i="19" s="1"/>
  <c r="AZ155" i="19"/>
  <c r="AY155" i="19"/>
  <c r="AX155" i="19"/>
  <c r="AR155" i="19"/>
  <c r="AT155" i="19" s="1"/>
  <c r="AS155" i="19" s="1"/>
  <c r="AZ154" i="19"/>
  <c r="AY154" i="19"/>
  <c r="AX154" i="19"/>
  <c r="AR154" i="19"/>
  <c r="AT154" i="19" s="1"/>
  <c r="AZ152" i="19"/>
  <c r="AY152" i="19"/>
  <c r="AX152" i="19"/>
  <c r="AR152" i="19"/>
  <c r="AT152" i="19" s="1"/>
  <c r="AS152" i="19" s="1"/>
  <c r="AZ151" i="19"/>
  <c r="AY151" i="19"/>
  <c r="AX151" i="19"/>
  <c r="AR151" i="19"/>
  <c r="AT151" i="19" s="1"/>
  <c r="AZ150" i="19"/>
  <c r="AY150" i="19"/>
  <c r="AX150" i="19"/>
  <c r="AR150" i="19"/>
  <c r="AT150" i="19" s="1"/>
  <c r="AS150" i="19" s="1"/>
  <c r="AZ149" i="19"/>
  <c r="AY149" i="19"/>
  <c r="AX149" i="19"/>
  <c r="AR149" i="19"/>
  <c r="AT149" i="19" s="1"/>
  <c r="AS149" i="19" s="1"/>
  <c r="AZ148" i="19"/>
  <c r="AY148" i="19"/>
  <c r="AX148" i="19"/>
  <c r="AR148" i="19"/>
  <c r="AT148" i="19" s="1"/>
  <c r="AS148" i="19" s="1"/>
  <c r="AZ147" i="19"/>
  <c r="AY147" i="19"/>
  <c r="AX147" i="19"/>
  <c r="AR147" i="19"/>
  <c r="AT147" i="19" s="1"/>
  <c r="AZ146" i="19"/>
  <c r="AY146" i="19"/>
  <c r="AX146" i="19"/>
  <c r="AR146" i="19"/>
  <c r="AT146" i="19" s="1"/>
  <c r="AZ145" i="19"/>
  <c r="AY145" i="19"/>
  <c r="AX145" i="19"/>
  <c r="AR145" i="19"/>
  <c r="AT145" i="19" s="1"/>
  <c r="AS145" i="19" s="1"/>
  <c r="AZ144" i="19"/>
  <c r="AY144" i="19"/>
  <c r="AX144" i="19"/>
  <c r="AR144" i="19"/>
  <c r="AT144" i="19" s="1"/>
  <c r="AS144" i="19" s="1"/>
  <c r="AZ143" i="19"/>
  <c r="AY143" i="19"/>
  <c r="AX143" i="19"/>
  <c r="AR143" i="19"/>
  <c r="AT143" i="19" s="1"/>
  <c r="AS143" i="19" s="1"/>
  <c r="AZ142" i="19"/>
  <c r="AY142" i="19"/>
  <c r="AX142" i="19"/>
  <c r="AR142" i="19"/>
  <c r="AT142" i="19" s="1"/>
  <c r="AS142" i="19" s="1"/>
  <c r="AZ141" i="19"/>
  <c r="AY141" i="19"/>
  <c r="AX141" i="19"/>
  <c r="AR141" i="19"/>
  <c r="AT141" i="19" s="1"/>
  <c r="AZ140" i="19"/>
  <c r="AY140" i="19"/>
  <c r="AX140" i="19"/>
  <c r="AR140" i="19"/>
  <c r="AT140" i="19" s="1"/>
  <c r="AS140" i="19" s="1"/>
  <c r="AZ139" i="19"/>
  <c r="AY139" i="19"/>
  <c r="AX139" i="19"/>
  <c r="AR139" i="19"/>
  <c r="AT139" i="19" s="1"/>
  <c r="AS139" i="19" s="1"/>
  <c r="AZ137" i="19"/>
  <c r="AY137" i="19"/>
  <c r="AX137" i="19"/>
  <c r="AR137" i="19"/>
  <c r="AT137" i="19" s="1"/>
  <c r="AS137" i="19" s="1"/>
  <c r="AZ136" i="19"/>
  <c r="AY136" i="19"/>
  <c r="AX136" i="19"/>
  <c r="AR136" i="19"/>
  <c r="AT136" i="19" s="1"/>
  <c r="AS136" i="19" s="1"/>
  <c r="AZ134" i="19"/>
  <c r="AY134" i="19"/>
  <c r="AX134" i="19"/>
  <c r="AR134" i="19"/>
  <c r="AT134" i="19" s="1"/>
  <c r="AS134" i="19" s="1"/>
  <c r="AZ133" i="19"/>
  <c r="AY133" i="19"/>
  <c r="AX133" i="19"/>
  <c r="AR133" i="19"/>
  <c r="AT133" i="19" s="1"/>
  <c r="AZ132" i="19"/>
  <c r="AY132" i="19"/>
  <c r="AX132" i="19"/>
  <c r="AR132" i="19"/>
  <c r="AT132" i="19" s="1"/>
  <c r="AZ131" i="19"/>
  <c r="AY131" i="19"/>
  <c r="AX131" i="19"/>
  <c r="AR131" i="19"/>
  <c r="AT131" i="19" s="1"/>
  <c r="AS131" i="19" s="1"/>
  <c r="AZ130" i="19"/>
  <c r="AY130" i="19"/>
  <c r="AX130" i="19"/>
  <c r="AR130" i="19"/>
  <c r="AT130" i="19" s="1"/>
  <c r="AS130" i="19" s="1"/>
  <c r="AZ129" i="19"/>
  <c r="AY129" i="19"/>
  <c r="AX129" i="19"/>
  <c r="AR129" i="19"/>
  <c r="AT129" i="19" s="1"/>
  <c r="AS129" i="19" s="1"/>
  <c r="AZ127" i="19"/>
  <c r="AY127" i="19"/>
  <c r="AX127" i="19"/>
  <c r="AR127" i="19"/>
  <c r="AT127" i="19" s="1"/>
  <c r="AS127" i="19" s="1"/>
  <c r="AZ126" i="19"/>
  <c r="AY126" i="19"/>
  <c r="AX126" i="19"/>
  <c r="AR126" i="19"/>
  <c r="AT126" i="19" s="1"/>
  <c r="AZ125" i="19"/>
  <c r="AY125" i="19"/>
  <c r="AX125" i="19"/>
  <c r="AR125" i="19"/>
  <c r="AT125" i="19" s="1"/>
  <c r="AS125" i="19" s="1"/>
  <c r="AZ124" i="19"/>
  <c r="AY124" i="19"/>
  <c r="AX124" i="19"/>
  <c r="AR124" i="19"/>
  <c r="AT124" i="19" s="1"/>
  <c r="AS124" i="19" s="1"/>
  <c r="AZ123" i="19"/>
  <c r="AY123" i="19"/>
  <c r="AX123" i="19"/>
  <c r="AR123" i="19"/>
  <c r="AT123" i="19" s="1"/>
  <c r="AS123" i="19" s="1"/>
  <c r="AZ121" i="19"/>
  <c r="AY121" i="19"/>
  <c r="AX121" i="19"/>
  <c r="AR121" i="19"/>
  <c r="AT121" i="19" s="1"/>
  <c r="AS121" i="19" s="1"/>
  <c r="AZ120" i="19"/>
  <c r="AY120" i="19"/>
  <c r="AX120" i="19"/>
  <c r="AR120" i="19"/>
  <c r="AT120" i="19" s="1"/>
  <c r="AS120" i="19" s="1"/>
  <c r="AZ119" i="19"/>
  <c r="AY119" i="19"/>
  <c r="AX119" i="19"/>
  <c r="AR119" i="19"/>
  <c r="AT119" i="19" s="1"/>
  <c r="AS119" i="19" s="1"/>
  <c r="AZ118" i="19"/>
  <c r="AY118" i="19"/>
  <c r="AX118" i="19"/>
  <c r="AR118" i="19"/>
  <c r="AT118" i="19" s="1"/>
  <c r="AZ116" i="19"/>
  <c r="AY116" i="19"/>
  <c r="AX116" i="19"/>
  <c r="AR116" i="19"/>
  <c r="AT116" i="19" s="1"/>
  <c r="AS116" i="19" s="1"/>
  <c r="AZ115" i="19"/>
  <c r="AY115" i="19"/>
  <c r="AX115" i="19"/>
  <c r="AR115" i="19"/>
  <c r="AT115" i="19" s="1"/>
  <c r="AS115" i="19" s="1"/>
  <c r="AZ114" i="19"/>
  <c r="AY114" i="19"/>
  <c r="AX114" i="19"/>
  <c r="AR114" i="19"/>
  <c r="AT114" i="19" s="1"/>
  <c r="AS114" i="19" s="1"/>
  <c r="AZ113" i="19"/>
  <c r="AY113" i="19"/>
  <c r="AX113" i="19"/>
  <c r="AR113" i="19"/>
  <c r="AT113" i="19" s="1"/>
  <c r="AS113" i="19" s="1"/>
  <c r="AZ111" i="19"/>
  <c r="AY111" i="19"/>
  <c r="AX111" i="19"/>
  <c r="AR111" i="19"/>
  <c r="AT111" i="19" s="1"/>
  <c r="AZ110" i="19"/>
  <c r="AY110" i="19"/>
  <c r="AX110" i="19"/>
  <c r="AR110" i="19"/>
  <c r="AT110" i="19" s="1"/>
  <c r="AS110" i="19" s="1"/>
  <c r="AZ109" i="19"/>
  <c r="AY109" i="19"/>
  <c r="AX109" i="19"/>
  <c r="AR109" i="19"/>
  <c r="AT109" i="19" s="1"/>
  <c r="AS109" i="19" s="1"/>
  <c r="AZ108" i="19"/>
  <c r="AY108" i="19"/>
  <c r="AX108" i="19"/>
  <c r="AR108" i="19"/>
  <c r="AT108" i="19" s="1"/>
  <c r="AS108" i="19" s="1"/>
  <c r="AZ107" i="19"/>
  <c r="AY107" i="19"/>
  <c r="AX107" i="19"/>
  <c r="AR107" i="19"/>
  <c r="AT107" i="19" s="1"/>
  <c r="AS107" i="19" s="1"/>
  <c r="AZ106" i="19"/>
  <c r="AY106" i="19"/>
  <c r="AX106" i="19"/>
  <c r="AR106" i="19"/>
  <c r="AT106" i="19" s="1"/>
  <c r="AS106" i="19" s="1"/>
  <c r="AZ105" i="19"/>
  <c r="AY105" i="19"/>
  <c r="AX105" i="19"/>
  <c r="AR105" i="19"/>
  <c r="AT105" i="19" s="1"/>
  <c r="AS105" i="19" s="1"/>
  <c r="AZ104" i="19"/>
  <c r="AY104" i="19"/>
  <c r="AX104" i="19"/>
  <c r="AR104" i="19"/>
  <c r="AT104" i="19" s="1"/>
  <c r="AZ103" i="19"/>
  <c r="AY103" i="19"/>
  <c r="AX103" i="19"/>
  <c r="AR103" i="19"/>
  <c r="AT103" i="19" s="1"/>
  <c r="AS103" i="19" s="1"/>
  <c r="AZ102" i="19"/>
  <c r="AY102" i="19"/>
  <c r="AX102" i="19"/>
  <c r="AR102" i="19"/>
  <c r="AT102" i="19" s="1"/>
  <c r="AS102" i="19" s="1"/>
  <c r="AZ101" i="19"/>
  <c r="AY101" i="19"/>
  <c r="AX101" i="19"/>
  <c r="AR101" i="19"/>
  <c r="AT101" i="19" s="1"/>
  <c r="AS101" i="19" s="1"/>
  <c r="AZ100" i="19"/>
  <c r="AY100" i="19"/>
  <c r="AX100" i="19"/>
  <c r="AR100" i="19"/>
  <c r="AT100" i="19" s="1"/>
  <c r="AZ99" i="19"/>
  <c r="AY99" i="19"/>
  <c r="AX99" i="19"/>
  <c r="AR99" i="19"/>
  <c r="AT99" i="19" s="1"/>
  <c r="AZ98" i="19"/>
  <c r="AY98" i="19"/>
  <c r="AX98" i="19"/>
  <c r="AR98" i="19"/>
  <c r="AT98" i="19" s="1"/>
  <c r="AS98" i="19" s="1"/>
  <c r="AZ96" i="19"/>
  <c r="AY96" i="19"/>
  <c r="AX96" i="19"/>
  <c r="AR96" i="19"/>
  <c r="AT96" i="19" s="1"/>
  <c r="AS96" i="19" s="1"/>
  <c r="AZ95" i="19"/>
  <c r="AY95" i="19"/>
  <c r="AX95" i="19"/>
  <c r="AR95" i="19"/>
  <c r="AT95" i="19" s="1"/>
  <c r="AZ94" i="19"/>
  <c r="AY94" i="19"/>
  <c r="AX94" i="19"/>
  <c r="AR94" i="19"/>
  <c r="AT94" i="19" s="1"/>
  <c r="AS94" i="19" s="1"/>
  <c r="AZ93" i="19"/>
  <c r="AY93" i="19"/>
  <c r="AX93" i="19"/>
  <c r="AR93" i="19"/>
  <c r="AT93" i="19" s="1"/>
  <c r="AS93" i="19" s="1"/>
  <c r="AZ91" i="19"/>
  <c r="AY91" i="19"/>
  <c r="AX91" i="19"/>
  <c r="AR91" i="19"/>
  <c r="AT91" i="19" s="1"/>
  <c r="AS91" i="19" s="1"/>
  <c r="AZ90" i="19"/>
  <c r="AY90" i="19"/>
  <c r="AX90" i="19"/>
  <c r="AR90" i="19"/>
  <c r="AT90" i="19" s="1"/>
  <c r="AZ89" i="19"/>
  <c r="AY89" i="19"/>
  <c r="AX89" i="19"/>
  <c r="AR89" i="19"/>
  <c r="AT89" i="19" s="1"/>
  <c r="AS89" i="19" s="1"/>
  <c r="AZ88" i="19"/>
  <c r="AY88" i="19"/>
  <c r="AX88" i="19"/>
  <c r="AR88" i="19"/>
  <c r="AT88" i="19" s="1"/>
  <c r="AS88" i="19" s="1"/>
  <c r="AZ87" i="19"/>
  <c r="AY87" i="19"/>
  <c r="AX87" i="19"/>
  <c r="AR87" i="19"/>
  <c r="AT87" i="19" s="1"/>
  <c r="AS87" i="19" s="1"/>
  <c r="AZ86" i="19"/>
  <c r="AY86" i="19"/>
  <c r="AX86" i="19"/>
  <c r="AR86" i="19"/>
  <c r="AT86" i="19" s="1"/>
  <c r="AZ85" i="19"/>
  <c r="AY85" i="19"/>
  <c r="AX85" i="19"/>
  <c r="AR85" i="19"/>
  <c r="AT85" i="19" s="1"/>
  <c r="AZ84" i="19"/>
  <c r="AY84" i="19"/>
  <c r="AX84" i="19"/>
  <c r="AR84" i="19"/>
  <c r="AT84" i="19" s="1"/>
  <c r="AS84" i="19" s="1"/>
  <c r="AZ83" i="19"/>
  <c r="AY83" i="19"/>
  <c r="AX83" i="19"/>
  <c r="AR83" i="19"/>
  <c r="AT83" i="19" s="1"/>
  <c r="AS83" i="19" s="1"/>
  <c r="AZ81" i="19"/>
  <c r="AY81" i="19"/>
  <c r="AX81" i="19"/>
  <c r="AR81" i="19"/>
  <c r="AT81" i="19" s="1"/>
  <c r="AS81" i="19" s="1"/>
  <c r="AZ80" i="19"/>
  <c r="AY80" i="19"/>
  <c r="AX80" i="19"/>
  <c r="AR80" i="19"/>
  <c r="AT80" i="19" s="1"/>
  <c r="AS80" i="19" s="1"/>
  <c r="AZ79" i="19"/>
  <c r="AY79" i="19"/>
  <c r="AX79" i="19"/>
  <c r="AR79" i="19"/>
  <c r="AT79" i="19" s="1"/>
  <c r="AS79" i="19" s="1"/>
  <c r="AZ77" i="19"/>
  <c r="AY77" i="19"/>
  <c r="AX77" i="19"/>
  <c r="AR77" i="19"/>
  <c r="AT77" i="19" s="1"/>
  <c r="AS77" i="19" s="1"/>
  <c r="AZ76" i="19"/>
  <c r="AY76" i="19"/>
  <c r="AX76" i="19"/>
  <c r="AR76" i="19"/>
  <c r="AT76" i="19" s="1"/>
  <c r="AZ75" i="19"/>
  <c r="AY75" i="19"/>
  <c r="AX75" i="19"/>
  <c r="AR75" i="19"/>
  <c r="AT75" i="19" s="1"/>
  <c r="AS75" i="19" s="1"/>
  <c r="AZ74" i="19"/>
  <c r="AY74" i="19"/>
  <c r="AX74" i="19"/>
  <c r="AR74" i="19"/>
  <c r="AT74" i="19" s="1"/>
  <c r="AS74" i="19" s="1"/>
  <c r="AZ73" i="19"/>
  <c r="AY73" i="19"/>
  <c r="AX73" i="19"/>
  <c r="AR73" i="19"/>
  <c r="AT73" i="19" s="1"/>
  <c r="AS73" i="19" s="1"/>
  <c r="AZ72" i="19"/>
  <c r="AY72" i="19"/>
  <c r="AX72" i="19"/>
  <c r="AR72" i="19"/>
  <c r="AT72" i="19" s="1"/>
  <c r="AZ71" i="19"/>
  <c r="AY71" i="19"/>
  <c r="AX71" i="19"/>
  <c r="AR71" i="19"/>
  <c r="AT71" i="19" s="1"/>
  <c r="AZ70" i="19"/>
  <c r="AY70" i="19"/>
  <c r="AX70" i="19"/>
  <c r="AR70" i="19"/>
  <c r="AT70" i="19" s="1"/>
  <c r="AS70" i="19" s="1"/>
  <c r="AZ69" i="19"/>
  <c r="AY69" i="19"/>
  <c r="AX69" i="19"/>
  <c r="AR69" i="19"/>
  <c r="AT69" i="19" s="1"/>
  <c r="AS69" i="19" s="1"/>
  <c r="AZ68" i="19"/>
  <c r="AY68" i="19"/>
  <c r="AX68" i="19"/>
  <c r="AR68" i="19"/>
  <c r="AT68" i="19" s="1"/>
  <c r="AS68" i="19" s="1"/>
  <c r="AZ67" i="19"/>
  <c r="AY67" i="19"/>
  <c r="AX67" i="19"/>
  <c r="AR67" i="19"/>
  <c r="AT67" i="19" s="1"/>
  <c r="AS67" i="19" s="1"/>
  <c r="AZ66" i="19"/>
  <c r="AY66" i="19"/>
  <c r="AX66" i="19"/>
  <c r="AR66" i="19"/>
  <c r="AT66" i="19" s="1"/>
  <c r="AS66" i="19" s="1"/>
  <c r="AZ65" i="19"/>
  <c r="AY65" i="19"/>
  <c r="AX65" i="19"/>
  <c r="AR65" i="19"/>
  <c r="AT65" i="19" s="1"/>
  <c r="AS65" i="19" s="1"/>
  <c r="AZ62" i="19"/>
  <c r="AY62" i="19"/>
  <c r="AX62" i="19"/>
  <c r="AR62" i="19"/>
  <c r="AT62" i="19" s="1"/>
  <c r="AZ61" i="19"/>
  <c r="AY61" i="19"/>
  <c r="AX61" i="19"/>
  <c r="AR61" i="19"/>
  <c r="AT61" i="19" s="1"/>
  <c r="AS61" i="19" s="1"/>
  <c r="AZ60" i="19"/>
  <c r="AY60" i="19"/>
  <c r="AX60" i="19"/>
  <c r="AR60" i="19"/>
  <c r="AT60" i="19" s="1"/>
  <c r="AS60" i="19" s="1"/>
  <c r="AZ59" i="19"/>
  <c r="AY59" i="19"/>
  <c r="AX59" i="19"/>
  <c r="AR59" i="19"/>
  <c r="AT59" i="19" s="1"/>
  <c r="AS59" i="19" s="1"/>
  <c r="AZ58" i="19"/>
  <c r="AY58" i="19"/>
  <c r="AX58" i="19"/>
  <c r="AR58" i="19"/>
  <c r="AT58" i="19" s="1"/>
  <c r="AZ57" i="19"/>
  <c r="AY57" i="19"/>
  <c r="AX57" i="19"/>
  <c r="AR57" i="19"/>
  <c r="AT57" i="19" s="1"/>
  <c r="AZ56" i="19"/>
  <c r="AY56" i="19"/>
  <c r="AX56" i="19"/>
  <c r="AR56" i="19"/>
  <c r="AT56" i="19" s="1"/>
  <c r="AS56" i="19" s="1"/>
  <c r="AZ54" i="19"/>
  <c r="AY54" i="19"/>
  <c r="AX54" i="19"/>
  <c r="AR54" i="19"/>
  <c r="AT54" i="19" s="1"/>
  <c r="AS54" i="19" s="1"/>
  <c r="AZ53" i="19"/>
  <c r="AY53" i="19"/>
  <c r="AX53" i="19"/>
  <c r="AR53" i="19"/>
  <c r="AT53" i="19" s="1"/>
  <c r="AS53" i="19" s="1"/>
  <c r="AZ52" i="19"/>
  <c r="AY52" i="19"/>
  <c r="AX52" i="19"/>
  <c r="AR52" i="19"/>
  <c r="AT52" i="19" s="1"/>
  <c r="AZ51" i="19"/>
  <c r="AY51" i="19"/>
  <c r="AX51" i="19"/>
  <c r="AR51" i="19"/>
  <c r="AT51" i="19" s="1"/>
  <c r="AZ49" i="19"/>
  <c r="AY49" i="19"/>
  <c r="AX49" i="19"/>
  <c r="AR49" i="19"/>
  <c r="AT49" i="19" s="1"/>
  <c r="AZ48" i="19"/>
  <c r="AY48" i="19"/>
  <c r="AX48" i="19"/>
  <c r="AR48" i="19"/>
  <c r="AT48" i="19" s="1"/>
  <c r="AZ47" i="19"/>
  <c r="AY47" i="19"/>
  <c r="AX47" i="19"/>
  <c r="AR47" i="19"/>
  <c r="AT47" i="19" s="1"/>
  <c r="AS47" i="19" s="1"/>
  <c r="AZ46" i="19"/>
  <c r="AY46" i="19"/>
  <c r="AX46" i="19"/>
  <c r="AR46" i="19"/>
  <c r="AT46" i="19" s="1"/>
  <c r="AZ44" i="19"/>
  <c r="AY44" i="19"/>
  <c r="AX44" i="19"/>
  <c r="AR44" i="19"/>
  <c r="AT44" i="19" s="1"/>
  <c r="AZ43" i="19"/>
  <c r="AY43" i="19"/>
  <c r="AX43" i="19"/>
  <c r="AR43" i="19"/>
  <c r="AT43" i="19" s="1"/>
  <c r="AZ42" i="19"/>
  <c r="AY42" i="19"/>
  <c r="AX42" i="19"/>
  <c r="AR42" i="19"/>
  <c r="AT42" i="19" s="1"/>
  <c r="AZ41" i="19"/>
  <c r="AY41" i="19"/>
  <c r="AX41" i="19"/>
  <c r="AR41" i="19"/>
  <c r="AT41" i="19" s="1"/>
  <c r="AS41" i="19" s="1"/>
  <c r="AZ40" i="19"/>
  <c r="AY40" i="19"/>
  <c r="AX40" i="19"/>
  <c r="AR40" i="19"/>
  <c r="AT40" i="19" s="1"/>
  <c r="AS40" i="19" s="1"/>
  <c r="AZ38" i="19"/>
  <c r="AY38" i="19"/>
  <c r="AX38" i="19"/>
  <c r="AR38" i="19"/>
  <c r="AT38" i="19" s="1"/>
  <c r="AS38" i="19" s="1"/>
  <c r="AZ37" i="19"/>
  <c r="AY37" i="19"/>
  <c r="AX37" i="19"/>
  <c r="AR37" i="19"/>
  <c r="AT37" i="19" s="1"/>
  <c r="AZ36" i="19"/>
  <c r="AY36" i="19"/>
  <c r="AX36" i="19"/>
  <c r="AR36" i="19"/>
  <c r="AT36" i="19" s="1"/>
  <c r="AZ35" i="19"/>
  <c r="AY35" i="19"/>
  <c r="AX35" i="19"/>
  <c r="AR35" i="19"/>
  <c r="AT35" i="19" s="1"/>
  <c r="AZ34" i="19"/>
  <c r="AY34" i="19"/>
  <c r="AX34" i="19"/>
  <c r="AR34" i="19"/>
  <c r="AT34" i="19" s="1"/>
  <c r="AZ33" i="19"/>
  <c r="AY33" i="19"/>
  <c r="AX33" i="19"/>
  <c r="AR33" i="19"/>
  <c r="AT33" i="19" s="1"/>
  <c r="AS33" i="19" s="1"/>
  <c r="AZ32" i="19"/>
  <c r="AY32" i="19"/>
  <c r="AX32" i="19"/>
  <c r="AR32" i="19"/>
  <c r="AT32" i="19" s="1"/>
  <c r="AS32" i="19" s="1"/>
  <c r="AZ31" i="19"/>
  <c r="AY31" i="19"/>
  <c r="AX31" i="19"/>
  <c r="AR31" i="19"/>
  <c r="AT31" i="19" s="1"/>
  <c r="AZ30" i="19"/>
  <c r="AY30" i="19"/>
  <c r="AX30" i="19"/>
  <c r="AR30" i="19"/>
  <c r="AT30" i="19" s="1"/>
  <c r="AZ29" i="19"/>
  <c r="AY29" i="19"/>
  <c r="AX29" i="19"/>
  <c r="AR29" i="19"/>
  <c r="AT29" i="19" s="1"/>
  <c r="AZ28" i="19"/>
  <c r="AY28" i="19"/>
  <c r="AX28" i="19"/>
  <c r="AR28" i="19"/>
  <c r="AT28" i="19" s="1"/>
  <c r="AZ27" i="19"/>
  <c r="AY27" i="19"/>
  <c r="AX27" i="19"/>
  <c r="AR27" i="19"/>
  <c r="AT27" i="19" s="1"/>
  <c r="AS27" i="19" s="1"/>
  <c r="AZ26" i="19"/>
  <c r="AY26" i="19"/>
  <c r="AX26" i="19"/>
  <c r="AR26" i="19"/>
  <c r="AT26" i="19" s="1"/>
  <c r="AZ25" i="19"/>
  <c r="AY25" i="19"/>
  <c r="AX25" i="19"/>
  <c r="AR25" i="19"/>
  <c r="AT25" i="19" s="1"/>
  <c r="AC982" i="19"/>
  <c r="B982" i="19" s="1"/>
  <c r="AC981" i="19"/>
  <c r="B981" i="19" s="1"/>
  <c r="AC980" i="19"/>
  <c r="B980" i="19" s="1"/>
  <c r="AC979" i="19"/>
  <c r="B979" i="19" s="1"/>
  <c r="AC978" i="19"/>
  <c r="B978" i="19" s="1"/>
  <c r="AC976" i="19"/>
  <c r="AC975" i="19"/>
  <c r="B975" i="19" s="1"/>
  <c r="AC972" i="19"/>
  <c r="B972" i="19" s="1"/>
  <c r="AC971" i="19"/>
  <c r="B971" i="19" s="1"/>
  <c r="AC970" i="19"/>
  <c r="B970" i="19" s="1"/>
  <c r="AC969" i="19"/>
  <c r="B969" i="19" s="1"/>
  <c r="AC968" i="19"/>
  <c r="B968" i="19" s="1"/>
  <c r="AC966" i="19"/>
  <c r="B966" i="19" s="1"/>
  <c r="AC965" i="19"/>
  <c r="B965" i="19" s="1"/>
  <c r="AC964" i="19"/>
  <c r="B964" i="19" s="1"/>
  <c r="AC963" i="19"/>
  <c r="B963" i="19" s="1"/>
  <c r="AC962" i="19"/>
  <c r="B962" i="19" s="1"/>
  <c r="AC961" i="19"/>
  <c r="B961" i="19" s="1"/>
  <c r="AC960" i="19"/>
  <c r="B960" i="19" s="1"/>
  <c r="AC959" i="19"/>
  <c r="B959" i="19" s="1"/>
  <c r="AC958" i="19"/>
  <c r="B958" i="19" s="1"/>
  <c r="AC957" i="19"/>
  <c r="B957" i="19" s="1"/>
  <c r="AC956" i="19"/>
  <c r="B956" i="19" s="1"/>
  <c r="AC955" i="19"/>
  <c r="B955" i="19" s="1"/>
  <c r="AC954" i="19"/>
  <c r="B954" i="19" s="1"/>
  <c r="AC953" i="19"/>
  <c r="B953" i="19" s="1"/>
  <c r="AC952" i="19"/>
  <c r="B952" i="19" s="1"/>
  <c r="AC951" i="19"/>
  <c r="B951" i="19" s="1"/>
  <c r="AC950" i="19"/>
  <c r="B950" i="19" s="1"/>
  <c r="AC949" i="19"/>
  <c r="B949" i="19" s="1"/>
  <c r="AC948" i="19"/>
  <c r="B948" i="19" s="1"/>
  <c r="AC946" i="19"/>
  <c r="AC945" i="19"/>
  <c r="B945" i="19" s="1"/>
  <c r="AC944" i="19"/>
  <c r="B944" i="19" s="1"/>
  <c r="AC943" i="19"/>
  <c r="AC939" i="19"/>
  <c r="AC938" i="19"/>
  <c r="B938" i="19" s="1"/>
  <c r="AC937" i="19"/>
  <c r="B937" i="19" s="1"/>
  <c r="AC936" i="19"/>
  <c r="B936" i="19" s="1"/>
  <c r="AC934" i="19"/>
  <c r="AC933" i="19"/>
  <c r="B933" i="19" s="1"/>
  <c r="AC932" i="19"/>
  <c r="B932" i="19" s="1"/>
  <c r="AC931" i="19"/>
  <c r="AC930" i="19"/>
  <c r="AC929" i="19"/>
  <c r="B929" i="19" s="1"/>
  <c r="AC927" i="19"/>
  <c r="B927" i="19" s="1"/>
  <c r="AC926" i="19"/>
  <c r="B926" i="19" s="1"/>
  <c r="AC924" i="19"/>
  <c r="B924" i="19" s="1"/>
  <c r="AC923" i="19"/>
  <c r="B923" i="19" s="1"/>
  <c r="AC922" i="19"/>
  <c r="B922" i="19" s="1"/>
  <c r="AC921" i="19"/>
  <c r="B921" i="19" s="1"/>
  <c r="AC920" i="19"/>
  <c r="B920" i="19" s="1"/>
  <c r="AC918" i="19"/>
  <c r="AC916" i="19"/>
  <c r="AC915" i="19"/>
  <c r="AC914" i="19"/>
  <c r="AC913" i="19"/>
  <c r="AC912" i="19"/>
  <c r="B912" i="19" s="1"/>
  <c r="AC911" i="19"/>
  <c r="AC909" i="19"/>
  <c r="B909" i="19" s="1"/>
  <c r="AC907" i="19"/>
  <c r="B907" i="19" s="1"/>
  <c r="AC906" i="19"/>
  <c r="B906" i="19" s="1"/>
  <c r="AC905" i="19"/>
  <c r="B905" i="19" s="1"/>
  <c r="AC904" i="19"/>
  <c r="B904" i="19" s="1"/>
  <c r="AC903" i="19"/>
  <c r="AC902" i="19"/>
  <c r="B902" i="19" s="1"/>
  <c r="AC899" i="19"/>
  <c r="B899" i="19" s="1"/>
  <c r="AC897" i="19"/>
  <c r="B897" i="19" s="1"/>
  <c r="AC896" i="19"/>
  <c r="B896" i="19" s="1"/>
  <c r="AC895" i="19"/>
  <c r="B895" i="19" s="1"/>
  <c r="AC894" i="19"/>
  <c r="B894" i="19" s="1"/>
  <c r="AC893" i="19"/>
  <c r="B893" i="19" s="1"/>
  <c r="AC892" i="19"/>
  <c r="AC891" i="19"/>
  <c r="B891" i="19" s="1"/>
  <c r="AC890" i="19"/>
  <c r="B890" i="19" s="1"/>
  <c r="AC889" i="19"/>
  <c r="B889" i="19" s="1"/>
  <c r="AC888" i="19"/>
  <c r="AC887" i="19"/>
  <c r="B887" i="19" s="1"/>
  <c r="AC886" i="19"/>
  <c r="B886" i="19" s="1"/>
  <c r="AC884" i="19"/>
  <c r="AC881" i="19"/>
  <c r="B881" i="19" s="1"/>
  <c r="AC880" i="19"/>
  <c r="AC879" i="19"/>
  <c r="AC878" i="19"/>
  <c r="B878" i="19" s="1"/>
  <c r="AC877" i="19"/>
  <c r="B877" i="19" s="1"/>
  <c r="AC876" i="19"/>
  <c r="B876" i="19" s="1"/>
  <c r="AC874" i="19"/>
  <c r="AC873" i="19"/>
  <c r="B873" i="19" s="1"/>
  <c r="AC872" i="19"/>
  <c r="AC871" i="19"/>
  <c r="AC870" i="19"/>
  <c r="B870" i="19" s="1"/>
  <c r="AC869" i="19"/>
  <c r="AC868" i="19"/>
  <c r="B868" i="19" s="1"/>
  <c r="AC867" i="19"/>
  <c r="B867" i="19" s="1"/>
  <c r="AC866" i="19"/>
  <c r="B866" i="19" s="1"/>
  <c r="AC864" i="19"/>
  <c r="B864" i="19" s="1"/>
  <c r="AC863" i="19"/>
  <c r="B863" i="19" s="1"/>
  <c r="AC862" i="19"/>
  <c r="B862" i="19" s="1"/>
  <c r="AC861" i="19"/>
  <c r="B861" i="19" s="1"/>
  <c r="AC860" i="19"/>
  <c r="B860" i="19" s="1"/>
  <c r="AC859" i="19"/>
  <c r="B859" i="19" s="1"/>
  <c r="AC858" i="19"/>
  <c r="B858" i="19" s="1"/>
  <c r="AC857" i="19"/>
  <c r="B857" i="19" s="1"/>
  <c r="AC856" i="19"/>
  <c r="B856" i="19" s="1"/>
  <c r="AC855" i="19"/>
  <c r="B855" i="19" s="1"/>
  <c r="AC854" i="19"/>
  <c r="B854" i="19" s="1"/>
  <c r="AC853" i="19"/>
  <c r="AC852" i="19"/>
  <c r="AC851" i="19"/>
  <c r="AC850" i="19"/>
  <c r="AC849" i="19"/>
  <c r="AC848" i="19"/>
  <c r="AC847" i="19"/>
  <c r="B847" i="19" s="1"/>
  <c r="AC846" i="19"/>
  <c r="AC844" i="19"/>
  <c r="B844" i="19" s="1"/>
  <c r="AC843" i="19"/>
  <c r="B843" i="19" s="1"/>
  <c r="AC842" i="19"/>
  <c r="AC841" i="19"/>
  <c r="AC840" i="19"/>
  <c r="AC839" i="19"/>
  <c r="AC838" i="19"/>
  <c r="AC837" i="19"/>
  <c r="AC836" i="19"/>
  <c r="AC834" i="19"/>
  <c r="B834" i="19" s="1"/>
  <c r="AC833" i="19"/>
  <c r="B833" i="19" s="1"/>
  <c r="AC831" i="19"/>
  <c r="B831" i="19" s="1"/>
  <c r="AC830" i="19"/>
  <c r="B830" i="19" s="1"/>
  <c r="AC829" i="19"/>
  <c r="B829" i="19" s="1"/>
  <c r="AC827" i="19"/>
  <c r="B827" i="19" s="1"/>
  <c r="AC825" i="19"/>
  <c r="B825" i="19" s="1"/>
  <c r="AC823" i="19"/>
  <c r="B823" i="19" s="1"/>
  <c r="AC821" i="19"/>
  <c r="B821" i="19" s="1"/>
  <c r="AC820" i="19"/>
  <c r="B820" i="19" s="1"/>
  <c r="AC818" i="19"/>
  <c r="B818" i="19" s="1"/>
  <c r="AC816" i="19"/>
  <c r="B816" i="19" s="1"/>
  <c r="AC814" i="19"/>
  <c r="B814" i="19" s="1"/>
  <c r="AC812" i="19"/>
  <c r="B812" i="19" s="1"/>
  <c r="AC809" i="19"/>
  <c r="B809" i="19" s="1"/>
  <c r="AC808" i="19"/>
  <c r="B808" i="19" s="1"/>
  <c r="AC807" i="19"/>
  <c r="B807" i="19" s="1"/>
  <c r="AC806" i="19"/>
  <c r="B806" i="19" s="1"/>
  <c r="AC804" i="19"/>
  <c r="AC803" i="19"/>
  <c r="AC802" i="19"/>
  <c r="B802" i="19" s="1"/>
  <c r="AC801" i="19"/>
  <c r="B801" i="19" s="1"/>
  <c r="AC799" i="19"/>
  <c r="B799" i="19" s="1"/>
  <c r="AC798" i="19"/>
  <c r="B798" i="19" s="1"/>
  <c r="AC797" i="19"/>
  <c r="B797" i="19" s="1"/>
  <c r="AC796" i="19"/>
  <c r="B796" i="19" s="1"/>
  <c r="AC795" i="19"/>
  <c r="B795" i="19" s="1"/>
  <c r="AC794" i="19"/>
  <c r="B794" i="19" s="1"/>
  <c r="AC793" i="19"/>
  <c r="B793" i="19" s="1"/>
  <c r="AC792" i="19"/>
  <c r="B792" i="19" s="1"/>
  <c r="AC791" i="19"/>
  <c r="B791" i="19" s="1"/>
  <c r="AC790" i="19"/>
  <c r="B790" i="19" s="1"/>
  <c r="AC789" i="19"/>
  <c r="B789" i="19" s="1"/>
  <c r="AC788" i="19"/>
  <c r="B788" i="19" s="1"/>
  <c r="AC786" i="19"/>
  <c r="AC785" i="19"/>
  <c r="B785" i="19" s="1"/>
  <c r="AC784" i="19"/>
  <c r="B784" i="19" s="1"/>
  <c r="AC783" i="19"/>
  <c r="AC782" i="19"/>
  <c r="B782" i="19" s="1"/>
  <c r="AC781" i="19"/>
  <c r="B781" i="19" s="1"/>
  <c r="AC779" i="19"/>
  <c r="AC778" i="19"/>
  <c r="AC777" i="19"/>
  <c r="B777" i="19" s="1"/>
  <c r="AC776" i="19"/>
  <c r="B776" i="19" s="1"/>
  <c r="AC775" i="19"/>
  <c r="B775" i="19" s="1"/>
  <c r="AC774" i="19"/>
  <c r="B774" i="19" s="1"/>
  <c r="AC773" i="19"/>
  <c r="B773" i="19" s="1"/>
  <c r="AC772" i="19"/>
  <c r="B772" i="19" s="1"/>
  <c r="AC771" i="19"/>
  <c r="B771" i="19" s="1"/>
  <c r="AC770" i="19"/>
  <c r="B770" i="19" s="1"/>
  <c r="AC769" i="19"/>
  <c r="B769" i="19" s="1"/>
  <c r="AC767" i="19"/>
  <c r="B767" i="19" s="1"/>
  <c r="AC766" i="19"/>
  <c r="B766" i="19" s="1"/>
  <c r="AC764" i="19"/>
  <c r="B764" i="19" s="1"/>
  <c r="AC763" i="19"/>
  <c r="B763" i="19" s="1"/>
  <c r="AC761" i="19"/>
  <c r="AC760" i="19"/>
  <c r="B760" i="19" s="1"/>
  <c r="AC758" i="19"/>
  <c r="B758" i="19" s="1"/>
  <c r="AC755" i="19"/>
  <c r="AC753" i="19"/>
  <c r="AC751" i="19"/>
  <c r="AC749" i="19"/>
  <c r="AC747" i="19"/>
  <c r="B747" i="19" s="1"/>
  <c r="AC741" i="19"/>
  <c r="B741" i="19" s="1"/>
  <c r="AC740" i="19"/>
  <c r="B740" i="19" s="1"/>
  <c r="AC738" i="19"/>
  <c r="AC737" i="19"/>
  <c r="B737" i="19" s="1"/>
  <c r="AC735" i="19"/>
  <c r="B735" i="19" s="1"/>
  <c r="AC733" i="19"/>
  <c r="B733" i="19" s="1"/>
  <c r="AC728" i="19"/>
  <c r="B728" i="19" s="1"/>
  <c r="AC726" i="19"/>
  <c r="B726" i="19" s="1"/>
  <c r="AC724" i="19"/>
  <c r="B724" i="19" s="1"/>
  <c r="AC722" i="19"/>
  <c r="B722" i="19" s="1"/>
  <c r="AC721" i="19"/>
  <c r="B721" i="19" s="1"/>
  <c r="AC720" i="19"/>
  <c r="B720" i="19" s="1"/>
  <c r="AC719" i="19"/>
  <c r="B719" i="19" s="1"/>
  <c r="AC717" i="19"/>
  <c r="B717" i="19" s="1"/>
  <c r="AC715" i="19"/>
  <c r="B715" i="19" s="1"/>
  <c r="AC714" i="19"/>
  <c r="B714" i="19" s="1"/>
  <c r="AC712" i="19"/>
  <c r="B712" i="19" s="1"/>
  <c r="AC711" i="19"/>
  <c r="B711" i="19" s="1"/>
  <c r="AC707" i="19"/>
  <c r="B707" i="19" s="1"/>
  <c r="AC706" i="19"/>
  <c r="B706" i="19" s="1"/>
  <c r="AC704" i="19"/>
  <c r="B704" i="19" s="1"/>
  <c r="AC703" i="19"/>
  <c r="B703" i="19" s="1"/>
  <c r="AC701" i="19"/>
  <c r="AC700" i="19"/>
  <c r="AC698" i="19"/>
  <c r="B698" i="19" s="1"/>
  <c r="AC697" i="19"/>
  <c r="B697" i="19" s="1"/>
  <c r="AC696" i="19"/>
  <c r="B696" i="19" s="1"/>
  <c r="AC695" i="19"/>
  <c r="AC694" i="19"/>
  <c r="B694" i="19" s="1"/>
  <c r="AC692" i="19"/>
  <c r="B692" i="19" s="1"/>
  <c r="AC690" i="19"/>
  <c r="B690" i="19" s="1"/>
  <c r="AC689" i="19"/>
  <c r="B689" i="19" s="1"/>
  <c r="AC687" i="19"/>
  <c r="B687" i="19" s="1"/>
  <c r="AC686" i="19"/>
  <c r="B686" i="19" s="1"/>
  <c r="AC684" i="19"/>
  <c r="B684" i="19" s="1"/>
  <c r="AC681" i="19"/>
  <c r="AC680" i="19"/>
  <c r="AC678" i="19"/>
  <c r="B678" i="19" s="1"/>
  <c r="AC676" i="19"/>
  <c r="B676" i="19" s="1"/>
  <c r="AC674" i="19"/>
  <c r="AC673" i="19"/>
  <c r="B673" i="19" s="1"/>
  <c r="AC672" i="19"/>
  <c r="B672" i="19" s="1"/>
  <c r="AC671" i="19"/>
  <c r="B671" i="19" s="1"/>
  <c r="AC670" i="19"/>
  <c r="B670" i="19" s="1"/>
  <c r="AC669" i="19"/>
  <c r="B669" i="19" s="1"/>
  <c r="AC668" i="19"/>
  <c r="B668" i="19" s="1"/>
  <c r="AC665" i="19"/>
  <c r="B665" i="19" s="1"/>
  <c r="AC663" i="19"/>
  <c r="AC662" i="19"/>
  <c r="AC657" i="19"/>
  <c r="AC656" i="19"/>
  <c r="AC655" i="19"/>
  <c r="B655" i="19" s="1"/>
  <c r="AC654" i="19"/>
  <c r="AC651" i="19"/>
  <c r="B651" i="19" s="1"/>
  <c r="AC649" i="19"/>
  <c r="B649" i="19" s="1"/>
  <c r="AC647" i="19"/>
  <c r="AC646" i="19"/>
  <c r="B646" i="19" s="1"/>
  <c r="AC645" i="19"/>
  <c r="B645" i="19" s="1"/>
  <c r="AC642" i="19"/>
  <c r="B642" i="19" s="1"/>
  <c r="AC641" i="19"/>
  <c r="B641" i="19" s="1"/>
  <c r="AC640" i="19"/>
  <c r="B640" i="19" s="1"/>
  <c r="AC638" i="19"/>
  <c r="B638" i="19" s="1"/>
  <c r="AC636" i="19"/>
  <c r="B636" i="19" s="1"/>
  <c r="AC634" i="19"/>
  <c r="AC633" i="19"/>
  <c r="AC632" i="19"/>
  <c r="B632" i="19" s="1"/>
  <c r="AC630" i="19"/>
  <c r="AC629" i="19"/>
  <c r="AC626" i="19"/>
  <c r="B626" i="19" s="1"/>
  <c r="AC624" i="19"/>
  <c r="B624" i="19" s="1"/>
  <c r="AC623" i="19"/>
  <c r="B623" i="19" s="1"/>
  <c r="AC622" i="19"/>
  <c r="B622" i="19" s="1"/>
  <c r="AC621" i="19"/>
  <c r="B621" i="19" s="1"/>
  <c r="AC620" i="19"/>
  <c r="B620" i="19" s="1"/>
  <c r="AC618" i="19"/>
  <c r="B618" i="19" s="1"/>
  <c r="AC617" i="19"/>
  <c r="B617" i="19" s="1"/>
  <c r="AC616" i="19"/>
  <c r="B616" i="19" s="1"/>
  <c r="AC615" i="19"/>
  <c r="B615" i="19" s="1"/>
  <c r="AC614" i="19"/>
  <c r="AC612" i="19"/>
  <c r="B612" i="19" s="1"/>
  <c r="AC611" i="19"/>
  <c r="B611" i="19" s="1"/>
  <c r="AC610" i="19"/>
  <c r="B610" i="19" s="1"/>
  <c r="AC609" i="19"/>
  <c r="B609" i="19" s="1"/>
  <c r="AC608" i="19"/>
  <c r="B608" i="19" s="1"/>
  <c r="AC606" i="19"/>
  <c r="B606" i="19" s="1"/>
  <c r="AC603" i="19"/>
  <c r="B603" i="19" s="1"/>
  <c r="AC602" i="19"/>
  <c r="B602" i="19" s="1"/>
  <c r="AC600" i="19"/>
  <c r="B600" i="19" s="1"/>
  <c r="AC599" i="19"/>
  <c r="B599" i="19" s="1"/>
  <c r="AC598" i="19"/>
  <c r="B598" i="19" s="1"/>
  <c r="AC596" i="19"/>
  <c r="B596" i="19" s="1"/>
  <c r="AC595" i="19"/>
  <c r="B595" i="19" s="1"/>
  <c r="AC594" i="19"/>
  <c r="B594" i="19" s="1"/>
  <c r="AC593" i="19"/>
  <c r="B593" i="19" s="1"/>
  <c r="AC591" i="19"/>
  <c r="B591" i="19" s="1"/>
  <c r="AC590" i="19"/>
  <c r="B590" i="19" s="1"/>
  <c r="AC589" i="19"/>
  <c r="B589" i="19" s="1"/>
  <c r="AC588" i="19"/>
  <c r="AC587" i="19"/>
  <c r="B587" i="19" s="1"/>
  <c r="AC585" i="19"/>
  <c r="AC583" i="19"/>
  <c r="B583" i="19" s="1"/>
  <c r="AC582" i="19"/>
  <c r="B582" i="19" s="1"/>
  <c r="AC581" i="19"/>
  <c r="B581" i="19" s="1"/>
  <c r="AC580" i="19"/>
  <c r="B580" i="19" s="1"/>
  <c r="AC579" i="19"/>
  <c r="B579" i="19" s="1"/>
  <c r="AC578" i="19"/>
  <c r="AC577" i="19"/>
  <c r="AC575" i="19"/>
  <c r="B575" i="19" s="1"/>
  <c r="AC574" i="19"/>
  <c r="B574" i="19" s="1"/>
  <c r="AC573" i="19"/>
  <c r="B573" i="19" s="1"/>
  <c r="AC570" i="19"/>
  <c r="B570" i="19" s="1"/>
  <c r="AC569" i="19"/>
  <c r="AC565" i="19"/>
  <c r="B565" i="19" s="1"/>
  <c r="AC564" i="19"/>
  <c r="B564" i="19" s="1"/>
  <c r="AC563" i="19"/>
  <c r="B563" i="19" s="1"/>
  <c r="AC561" i="19"/>
  <c r="AC560" i="19"/>
  <c r="AC558" i="19"/>
  <c r="B558" i="19" s="1"/>
  <c r="AC557" i="19"/>
  <c r="B557" i="19" s="1"/>
  <c r="AC555" i="19"/>
  <c r="AC554" i="19"/>
  <c r="AC552" i="19"/>
  <c r="B552" i="19" s="1"/>
  <c r="AC550" i="19"/>
  <c r="B550" i="19" s="1"/>
  <c r="AC549" i="19"/>
  <c r="B549" i="19" s="1"/>
  <c r="AC546" i="19"/>
  <c r="AC542" i="19"/>
  <c r="B542" i="19" s="1"/>
  <c r="AC540" i="19"/>
  <c r="AC539" i="19"/>
  <c r="AC538" i="19"/>
  <c r="B538" i="19" s="1"/>
  <c r="AC536" i="19"/>
  <c r="B536" i="19" s="1"/>
  <c r="AC533" i="19"/>
  <c r="B533" i="19" s="1"/>
  <c r="AC532" i="19"/>
  <c r="B532" i="19" s="1"/>
  <c r="AC531" i="19"/>
  <c r="B531" i="19" s="1"/>
  <c r="AC530" i="19"/>
  <c r="B530" i="19" s="1"/>
  <c r="AC528" i="19"/>
  <c r="B528" i="19" s="1"/>
  <c r="AC527" i="19"/>
  <c r="B527" i="19" s="1"/>
  <c r="AC526" i="19"/>
  <c r="B526" i="19" s="1"/>
  <c r="AC524" i="19"/>
  <c r="AC523" i="19"/>
  <c r="B523" i="19" s="1"/>
  <c r="AC522" i="19"/>
  <c r="B522" i="19" s="1"/>
  <c r="AC521" i="19"/>
  <c r="AC519" i="19"/>
  <c r="B519" i="19" s="1"/>
  <c r="AC518" i="19"/>
  <c r="B518" i="19" s="1"/>
  <c r="AC516" i="19"/>
  <c r="B516" i="19" s="1"/>
  <c r="AC515" i="19"/>
  <c r="B515" i="19" s="1"/>
  <c r="AC513" i="19"/>
  <c r="B513" i="19" s="1"/>
  <c r="AC511" i="19"/>
  <c r="B511" i="19" s="1"/>
  <c r="AC510" i="19"/>
  <c r="B510" i="19" s="1"/>
  <c r="AC508" i="19"/>
  <c r="B508" i="19" s="1"/>
  <c r="AC507" i="19"/>
  <c r="B507" i="19" s="1"/>
  <c r="AC506" i="19"/>
  <c r="B506" i="19" s="1"/>
  <c r="AC503" i="19"/>
  <c r="B503" i="19" s="1"/>
  <c r="AC501" i="19"/>
  <c r="AC500" i="19"/>
  <c r="AC499" i="19"/>
  <c r="AC498" i="19"/>
  <c r="B498" i="19" s="1"/>
  <c r="AC497" i="19"/>
  <c r="AC496" i="19"/>
  <c r="AC495" i="19"/>
  <c r="B495" i="19" s="1"/>
  <c r="AC494" i="19"/>
  <c r="B494" i="19" s="1"/>
  <c r="AC493" i="19"/>
  <c r="B493" i="19" s="1"/>
  <c r="AC492" i="19"/>
  <c r="B492" i="19" s="1"/>
  <c r="AC490" i="19"/>
  <c r="B490" i="19" s="1"/>
  <c r="AC489" i="19"/>
  <c r="B489" i="19" s="1"/>
  <c r="AC488" i="19"/>
  <c r="B488" i="19" s="1"/>
  <c r="AC487" i="19"/>
  <c r="AC486" i="19"/>
  <c r="AC485" i="19"/>
  <c r="B485" i="19" s="1"/>
  <c r="AC484" i="19"/>
  <c r="B484" i="19" s="1"/>
  <c r="AC483" i="19"/>
  <c r="AC481" i="19"/>
  <c r="B481" i="19" s="1"/>
  <c r="AC480" i="19"/>
  <c r="B480" i="19" s="1"/>
  <c r="AC478" i="19"/>
  <c r="B478" i="19" s="1"/>
  <c r="AC477" i="19"/>
  <c r="AC475" i="19"/>
  <c r="AC473" i="19"/>
  <c r="AC472" i="19"/>
  <c r="B472" i="19" s="1"/>
  <c r="AC469" i="19"/>
  <c r="AC467" i="19"/>
  <c r="B467" i="19" s="1"/>
  <c r="AC466" i="19"/>
  <c r="B466" i="19" s="1"/>
  <c r="AC465" i="19"/>
  <c r="B465" i="19" s="1"/>
  <c r="AC462" i="19"/>
  <c r="AC461" i="19"/>
  <c r="B461" i="19" s="1"/>
  <c r="AC460" i="19"/>
  <c r="AC454" i="19"/>
  <c r="B454" i="19" s="1"/>
  <c r="AC452" i="19"/>
  <c r="B452" i="19" s="1"/>
  <c r="AC451" i="19"/>
  <c r="AC449" i="19"/>
  <c r="B449" i="19" s="1"/>
  <c r="AC447" i="19"/>
  <c r="B447" i="19" s="1"/>
  <c r="AC446" i="19"/>
  <c r="B446" i="19" s="1"/>
  <c r="AC445" i="19"/>
  <c r="B445" i="19" s="1"/>
  <c r="AC444" i="19"/>
  <c r="B444" i="19" s="1"/>
  <c r="AC442" i="19"/>
  <c r="B442" i="19" s="1"/>
  <c r="AC440" i="19"/>
  <c r="AC438" i="19"/>
  <c r="AC436" i="19"/>
  <c r="B436" i="19" s="1"/>
  <c r="AC435" i="19"/>
  <c r="B435" i="19" s="1"/>
  <c r="AC433" i="19"/>
  <c r="B433" i="19" s="1"/>
  <c r="AC432" i="19"/>
  <c r="B432" i="19" s="1"/>
  <c r="AC431" i="19"/>
  <c r="B431" i="19" s="1"/>
  <c r="AC430" i="19"/>
  <c r="AC429" i="19"/>
  <c r="B429" i="19" s="1"/>
  <c r="AC427" i="19"/>
  <c r="B427" i="19" s="1"/>
  <c r="AC426" i="19"/>
  <c r="B426" i="19" s="1"/>
  <c r="AC424" i="19"/>
  <c r="B424" i="19" s="1"/>
  <c r="AC422" i="19"/>
  <c r="B422" i="19" s="1"/>
  <c r="AC421" i="19"/>
  <c r="B421" i="19" s="1"/>
  <c r="AC415" i="19"/>
  <c r="B415" i="19" s="1"/>
  <c r="AC414" i="19"/>
  <c r="B414" i="19" s="1"/>
  <c r="AC413" i="19"/>
  <c r="B413" i="19" s="1"/>
  <c r="AC412" i="19"/>
  <c r="AC411" i="19"/>
  <c r="B411" i="19" s="1"/>
  <c r="AC410" i="19"/>
  <c r="B410" i="19" s="1"/>
  <c r="AC409" i="19"/>
  <c r="B409" i="19" s="1"/>
  <c r="AC403" i="19"/>
  <c r="B403" i="19" s="1"/>
  <c r="AC400" i="19"/>
  <c r="AC399" i="19"/>
  <c r="AC398" i="19"/>
  <c r="AC394" i="19"/>
  <c r="AC393" i="19"/>
  <c r="AC391" i="19"/>
  <c r="B391" i="19" s="1"/>
  <c r="AC389" i="19"/>
  <c r="AC388" i="19"/>
  <c r="AC386" i="19"/>
  <c r="AC384" i="19"/>
  <c r="B384" i="19" s="1"/>
  <c r="AC382" i="19"/>
  <c r="B382" i="19" s="1"/>
  <c r="AC380" i="19"/>
  <c r="AC378" i="19"/>
  <c r="B378" i="19" s="1"/>
  <c r="AC376" i="19"/>
  <c r="B376" i="19" s="1"/>
  <c r="AC372" i="19"/>
  <c r="B372" i="19" s="1"/>
  <c r="AC368" i="19"/>
  <c r="AC365" i="19"/>
  <c r="AC363" i="19"/>
  <c r="B363" i="19" s="1"/>
  <c r="AC359" i="19"/>
  <c r="B359" i="19" s="1"/>
  <c r="AC358" i="19"/>
  <c r="B358" i="19" s="1"/>
  <c r="AC357" i="19"/>
  <c r="B357" i="19" s="1"/>
  <c r="AC354" i="19"/>
  <c r="B354" i="19" s="1"/>
  <c r="AC353" i="19"/>
  <c r="B353" i="19" s="1"/>
  <c r="AC350" i="19"/>
  <c r="B350" i="19" s="1"/>
  <c r="AC349" i="19"/>
  <c r="B349" i="19" s="1"/>
  <c r="AC347" i="19"/>
  <c r="B347" i="19" s="1"/>
  <c r="AC345" i="19"/>
  <c r="B345" i="19" s="1"/>
  <c r="AC344" i="19"/>
  <c r="B344" i="19" s="1"/>
  <c r="AC342" i="19"/>
  <c r="B342" i="19" s="1"/>
  <c r="AC339" i="19"/>
  <c r="B339" i="19" s="1"/>
  <c r="AC317" i="19"/>
  <c r="B317" i="19" s="1"/>
  <c r="AC316" i="19"/>
  <c r="B316" i="19" s="1"/>
  <c r="AC310" i="19"/>
  <c r="B310" i="19" s="1"/>
  <c r="AC309" i="19"/>
  <c r="B309" i="19" s="1"/>
  <c r="AC307" i="19"/>
  <c r="AC306" i="19"/>
  <c r="B306" i="19" s="1"/>
  <c r="AC305" i="19"/>
  <c r="B305" i="19" s="1"/>
  <c r="AC304" i="19"/>
  <c r="B304" i="19" s="1"/>
  <c r="AC302" i="19"/>
  <c r="B302" i="19" s="1"/>
  <c r="AC301" i="19"/>
  <c r="AC300" i="19"/>
  <c r="AC299" i="19"/>
  <c r="B299" i="19" s="1"/>
  <c r="AC298" i="19"/>
  <c r="B298" i="19" s="1"/>
  <c r="AC296" i="19"/>
  <c r="AC295" i="19"/>
  <c r="B295" i="19" s="1"/>
  <c r="AC294" i="19"/>
  <c r="AC293" i="19"/>
  <c r="AC292" i="19"/>
  <c r="B292" i="19" s="1"/>
  <c r="AC291" i="19"/>
  <c r="B291" i="19" s="1"/>
  <c r="AC290" i="19"/>
  <c r="B290" i="19" s="1"/>
  <c r="AC289" i="19"/>
  <c r="B289" i="19" s="1"/>
  <c r="AC287" i="19"/>
  <c r="AC286" i="19"/>
  <c r="B286" i="19" s="1"/>
  <c r="AC285" i="19"/>
  <c r="AC284" i="19"/>
  <c r="AC283" i="19"/>
  <c r="AC281" i="19"/>
  <c r="B281" i="19" s="1"/>
  <c r="AC279" i="19"/>
  <c r="AC278" i="19"/>
  <c r="AC277" i="19"/>
  <c r="AC276" i="19"/>
  <c r="AC275" i="19"/>
  <c r="AC274" i="19"/>
  <c r="B274" i="19" s="1"/>
  <c r="AC273" i="19"/>
  <c r="AC271" i="19"/>
  <c r="B271" i="19" s="1"/>
  <c r="AC269" i="19"/>
  <c r="B269" i="19" s="1"/>
  <c r="AC268" i="19"/>
  <c r="B268" i="19" s="1"/>
  <c r="AC267" i="19"/>
  <c r="B267" i="19" s="1"/>
  <c r="AC265" i="19"/>
  <c r="AC264" i="19"/>
  <c r="B264" i="19" s="1"/>
  <c r="AC263" i="19"/>
  <c r="B263" i="19" s="1"/>
  <c r="AC262" i="19"/>
  <c r="B262" i="19" s="1"/>
  <c r="AC260" i="19"/>
  <c r="B260" i="19" s="1"/>
  <c r="AC253" i="19"/>
  <c r="B253" i="19" s="1"/>
  <c r="AC252" i="19"/>
  <c r="B252" i="19" s="1"/>
  <c r="AC251" i="19"/>
  <c r="B251" i="19" s="1"/>
  <c r="AC248" i="19"/>
  <c r="B248" i="19" s="1"/>
  <c r="AC245" i="19"/>
  <c r="B245" i="19" s="1"/>
  <c r="AC244" i="19"/>
  <c r="AC243" i="19"/>
  <c r="B243" i="19" s="1"/>
  <c r="AC242" i="19"/>
  <c r="B242" i="19" s="1"/>
  <c r="AC240" i="19"/>
  <c r="AC237" i="19"/>
  <c r="B237" i="19" s="1"/>
  <c r="AC232" i="19"/>
  <c r="AC231" i="19"/>
  <c r="B231" i="19" s="1"/>
  <c r="AC230" i="19"/>
  <c r="AC229" i="19"/>
  <c r="AC228" i="19"/>
  <c r="B228" i="19" s="1"/>
  <c r="AC225" i="19"/>
  <c r="B225" i="19" s="1"/>
  <c r="AC224" i="19"/>
  <c r="B224" i="19" s="1"/>
  <c r="AC220" i="19"/>
  <c r="AC217" i="19"/>
  <c r="AC216" i="19"/>
  <c r="AC215" i="19"/>
  <c r="B215" i="19" s="1"/>
  <c r="AC213" i="19"/>
  <c r="AC212" i="19"/>
  <c r="AC210" i="19"/>
  <c r="B210" i="19" s="1"/>
  <c r="AC209" i="19"/>
  <c r="B209" i="19" s="1"/>
  <c r="AC208" i="19"/>
  <c r="B208" i="19" s="1"/>
  <c r="AC207" i="19"/>
  <c r="B207" i="19" s="1"/>
  <c r="AC205" i="19"/>
  <c r="B205" i="19" s="1"/>
  <c r="AC204" i="19"/>
  <c r="AC203" i="19"/>
  <c r="AC202" i="19"/>
  <c r="B202" i="19" s="1"/>
  <c r="AC198" i="19"/>
  <c r="B198" i="19" s="1"/>
  <c r="AC196" i="19"/>
  <c r="B196" i="19" s="1"/>
  <c r="AC190" i="19"/>
  <c r="AC189" i="19"/>
  <c r="AC188" i="19"/>
  <c r="B188" i="19" s="1"/>
  <c r="AC187" i="19"/>
  <c r="AC186" i="19"/>
  <c r="AC184" i="19"/>
  <c r="AC183" i="19"/>
  <c r="B183" i="19" s="1"/>
  <c r="AC180" i="19"/>
  <c r="B180" i="19" s="1"/>
  <c r="AC179" i="19"/>
  <c r="B179" i="19" s="1"/>
  <c r="AC177" i="19"/>
  <c r="B177" i="19" s="1"/>
  <c r="AC176" i="19"/>
  <c r="B176" i="19" s="1"/>
  <c r="AC175" i="19"/>
  <c r="B175" i="19" s="1"/>
  <c r="AC174" i="19"/>
  <c r="AC172" i="19"/>
  <c r="B172" i="19" s="1"/>
  <c r="AC169" i="19"/>
  <c r="B169" i="19" s="1"/>
  <c r="AC167" i="19"/>
  <c r="B167" i="19" s="1"/>
  <c r="AC166" i="19"/>
  <c r="B166" i="19" s="1"/>
  <c r="AC165" i="19"/>
  <c r="B165" i="19" s="1"/>
  <c r="AC162" i="19"/>
  <c r="B162" i="19" s="1"/>
  <c r="AC161" i="19"/>
  <c r="AC159" i="19"/>
  <c r="B159" i="19" s="1"/>
  <c r="AC158" i="19"/>
  <c r="B158" i="19" s="1"/>
  <c r="AC157" i="19"/>
  <c r="AC154" i="19"/>
  <c r="B154" i="19" s="1"/>
  <c r="AC152" i="19"/>
  <c r="AC150" i="19"/>
  <c r="B150" i="19" s="1"/>
  <c r="AC149" i="19"/>
  <c r="AC148" i="19"/>
  <c r="B148" i="19" s="1"/>
  <c r="AC147" i="19"/>
  <c r="AC145" i="19"/>
  <c r="B145" i="19" s="1"/>
  <c r="AC144" i="19"/>
  <c r="B144" i="19" s="1"/>
  <c r="AC143" i="19"/>
  <c r="B143" i="19" s="1"/>
  <c r="AC142" i="19"/>
  <c r="B142" i="19" s="1"/>
  <c r="AC141" i="19"/>
  <c r="B141" i="19" s="1"/>
  <c r="AC140" i="19"/>
  <c r="B140" i="19" s="1"/>
  <c r="AC137" i="19"/>
  <c r="B137" i="19" s="1"/>
  <c r="AC136" i="19"/>
  <c r="B136" i="19" s="1"/>
  <c r="AC134" i="19"/>
  <c r="B134" i="19" s="1"/>
  <c r="AC133" i="19"/>
  <c r="B133" i="19" s="1"/>
  <c r="AC132" i="19"/>
  <c r="B132" i="19" s="1"/>
  <c r="AC131" i="19"/>
  <c r="B131" i="19" s="1"/>
  <c r="AC130" i="19"/>
  <c r="B130" i="19" s="1"/>
  <c r="AC129" i="19"/>
  <c r="B129" i="19" s="1"/>
  <c r="AC127" i="19"/>
  <c r="B127" i="19" s="1"/>
  <c r="AC126" i="19"/>
  <c r="B126" i="19" s="1"/>
  <c r="AC125" i="19"/>
  <c r="B125" i="19" s="1"/>
  <c r="AC124" i="19"/>
  <c r="B124" i="19" s="1"/>
  <c r="AC121" i="19"/>
  <c r="B121" i="19" s="1"/>
  <c r="AC119" i="19"/>
  <c r="B119" i="19" s="1"/>
  <c r="AC116" i="19"/>
  <c r="B116" i="19" s="1"/>
  <c r="AC115" i="19"/>
  <c r="B115" i="19" s="1"/>
  <c r="AC114" i="19"/>
  <c r="B114" i="19" s="1"/>
  <c r="AC113" i="19"/>
  <c r="B113" i="19" s="1"/>
  <c r="AC111" i="19"/>
  <c r="B111" i="19" s="1"/>
  <c r="AC110" i="19"/>
  <c r="B110" i="19" s="1"/>
  <c r="AC109" i="19"/>
  <c r="B109" i="19" s="1"/>
  <c r="AC108" i="19"/>
  <c r="B108" i="19" s="1"/>
  <c r="AC105" i="19"/>
  <c r="B105" i="19" s="1"/>
  <c r="AC104" i="19"/>
  <c r="B104" i="19" s="1"/>
  <c r="AC103" i="19"/>
  <c r="B103" i="19" s="1"/>
  <c r="AC101" i="19"/>
  <c r="B101" i="19" s="1"/>
  <c r="AC100" i="19"/>
  <c r="AC99" i="19"/>
  <c r="B99" i="19" s="1"/>
  <c r="AC98" i="19"/>
  <c r="AC95" i="19"/>
  <c r="B95" i="19" s="1"/>
  <c r="AC94" i="19"/>
  <c r="AC90" i="19"/>
  <c r="B90" i="19" s="1"/>
  <c r="AC88" i="19"/>
  <c r="B88" i="19" s="1"/>
  <c r="AC87" i="19"/>
  <c r="B87" i="19" s="1"/>
  <c r="AC85" i="19"/>
  <c r="B85" i="19" s="1"/>
  <c r="AC83" i="19"/>
  <c r="B83" i="19" s="1"/>
  <c r="AC81" i="19"/>
  <c r="AC77" i="19"/>
  <c r="AC76" i="19"/>
  <c r="B76" i="19" s="1"/>
  <c r="AC75" i="19"/>
  <c r="AC73" i="19"/>
  <c r="B73" i="19" s="1"/>
  <c r="AC72" i="19"/>
  <c r="AC71" i="19"/>
  <c r="B71" i="19" s="1"/>
  <c r="AC70" i="19"/>
  <c r="B70" i="19" s="1"/>
  <c r="AC69" i="19"/>
  <c r="B69" i="19" s="1"/>
  <c r="AC68" i="19"/>
  <c r="B68" i="19" s="1"/>
  <c r="AC66" i="19"/>
  <c r="AC65" i="19"/>
  <c r="B65" i="19" s="1"/>
  <c r="AC62" i="19"/>
  <c r="AC61" i="19"/>
  <c r="B61" i="19" s="1"/>
  <c r="AC60" i="19"/>
  <c r="B60" i="19" s="1"/>
  <c r="AC59" i="19"/>
  <c r="B59" i="19" s="1"/>
  <c r="AC56" i="19"/>
  <c r="B56" i="19" s="1"/>
  <c r="AC54" i="19"/>
  <c r="B54" i="19" s="1"/>
  <c r="AC52" i="19"/>
  <c r="B52" i="19" s="1"/>
  <c r="AC49" i="19"/>
  <c r="B49" i="19" s="1"/>
  <c r="AC47" i="19"/>
  <c r="B47" i="19" s="1"/>
  <c r="AC46" i="19"/>
  <c r="B46" i="19" s="1"/>
  <c r="AC44" i="19"/>
  <c r="B44" i="19" s="1"/>
  <c r="AC43" i="19"/>
  <c r="AC42" i="19"/>
  <c r="B42" i="19" s="1"/>
  <c r="AC41" i="19"/>
  <c r="AC40" i="19"/>
  <c r="AC38" i="19"/>
  <c r="AC37" i="19"/>
  <c r="B37" i="19" s="1"/>
  <c r="AC36" i="19"/>
  <c r="AC35" i="19"/>
  <c r="AC34" i="19"/>
  <c r="B34" i="19" s="1"/>
  <c r="AC33" i="19"/>
  <c r="AC31" i="19"/>
  <c r="AC30" i="19"/>
  <c r="B30" i="19" s="1"/>
  <c r="AC29" i="19"/>
  <c r="AC28" i="19"/>
  <c r="B28" i="19" s="1"/>
  <c r="AC25" i="19"/>
  <c r="AC24" i="19"/>
  <c r="AA982" i="19"/>
  <c r="AA981" i="19"/>
  <c r="AA980" i="19"/>
  <c r="AA979" i="19"/>
  <c r="AA978" i="19"/>
  <c r="AA976" i="19"/>
  <c r="AA975" i="19"/>
  <c r="AA974" i="19"/>
  <c r="AA972" i="19"/>
  <c r="AA971" i="19"/>
  <c r="AA970" i="19"/>
  <c r="AA969" i="19"/>
  <c r="AA968" i="19"/>
  <c r="AA966" i="19"/>
  <c r="AA965" i="19"/>
  <c r="AA964" i="19"/>
  <c r="AA963" i="19"/>
  <c r="AA962" i="19"/>
  <c r="AA961" i="19"/>
  <c r="AA960" i="19"/>
  <c r="AA959" i="19"/>
  <c r="AA958" i="19"/>
  <c r="AA957" i="19"/>
  <c r="AA956" i="19"/>
  <c r="AA955" i="19"/>
  <c r="AA954" i="19"/>
  <c r="AA953" i="19"/>
  <c r="AA952" i="19"/>
  <c r="AA951" i="19"/>
  <c r="AA950" i="19"/>
  <c r="AA949" i="19"/>
  <c r="AA948" i="19"/>
  <c r="AA946" i="19"/>
  <c r="AA945" i="19"/>
  <c r="AA944" i="19"/>
  <c r="AA943" i="19"/>
  <c r="AA941" i="19"/>
  <c r="AA939" i="19"/>
  <c r="AA938" i="19"/>
  <c r="AA937" i="19"/>
  <c r="AA936" i="19"/>
  <c r="AA934" i="19"/>
  <c r="AA933" i="19"/>
  <c r="AA932" i="19"/>
  <c r="AA931" i="19"/>
  <c r="AA930" i="19"/>
  <c r="AA929" i="19"/>
  <c r="AA928" i="19"/>
  <c r="AA927" i="19"/>
  <c r="AA926" i="19"/>
  <c r="AA925" i="19"/>
  <c r="AA924" i="19"/>
  <c r="AA923" i="19"/>
  <c r="AA922" i="19"/>
  <c r="AA921" i="19"/>
  <c r="AA920" i="19"/>
  <c r="AA918" i="19"/>
  <c r="AA916" i="19"/>
  <c r="AA915" i="19"/>
  <c r="AA914" i="19"/>
  <c r="AA913" i="19"/>
  <c r="AA912" i="19"/>
  <c r="AA911" i="19"/>
  <c r="AA909" i="19"/>
  <c r="AA907" i="19"/>
  <c r="AA906" i="19"/>
  <c r="AA905" i="19"/>
  <c r="AA904" i="19"/>
  <c r="AA903" i="19"/>
  <c r="AA902" i="19"/>
  <c r="AA901" i="19"/>
  <c r="AA900" i="19"/>
  <c r="AA899" i="19"/>
  <c r="AA897" i="19"/>
  <c r="AA896" i="19"/>
  <c r="AA895" i="19"/>
  <c r="AA894" i="19"/>
  <c r="AA893" i="19"/>
  <c r="AA892" i="19"/>
  <c r="AA891" i="19"/>
  <c r="AA890" i="19"/>
  <c r="AA889" i="19"/>
  <c r="AA888" i="19"/>
  <c r="AA887" i="19"/>
  <c r="AA886" i="19"/>
  <c r="AA884" i="19"/>
  <c r="AA883" i="19"/>
  <c r="AA881" i="19"/>
  <c r="AA880" i="19"/>
  <c r="AA879" i="19"/>
  <c r="AA878" i="19"/>
  <c r="AA877" i="19"/>
  <c r="AA876" i="19"/>
  <c r="AA874" i="19"/>
  <c r="AA873" i="19"/>
  <c r="AA872" i="19"/>
  <c r="AA871" i="19"/>
  <c r="AA870" i="19"/>
  <c r="AA869" i="19"/>
  <c r="AA868" i="19"/>
  <c r="AA867" i="19"/>
  <c r="AA866" i="19"/>
  <c r="AA864" i="19"/>
  <c r="AA863" i="19"/>
  <c r="AA862" i="19"/>
  <c r="AA861" i="19"/>
  <c r="AA860" i="19"/>
  <c r="AA859" i="19"/>
  <c r="AA858" i="19"/>
  <c r="AA857" i="19"/>
  <c r="AA856" i="19"/>
  <c r="AA855" i="19"/>
  <c r="AA854" i="19"/>
  <c r="AA853" i="19"/>
  <c r="AA852" i="19"/>
  <c r="AA851" i="19"/>
  <c r="AA850" i="19"/>
  <c r="AA849" i="19"/>
  <c r="AA848" i="19"/>
  <c r="AA847" i="19"/>
  <c r="AA846" i="19"/>
  <c r="AA844" i="19"/>
  <c r="AA843" i="19"/>
  <c r="AA842" i="19"/>
  <c r="AA841" i="19"/>
  <c r="AA840" i="19"/>
  <c r="AA839" i="19"/>
  <c r="AA838" i="19"/>
  <c r="AA837" i="19"/>
  <c r="AA836" i="19"/>
  <c r="AA834" i="19"/>
  <c r="AA833" i="19"/>
  <c r="AA831" i="19"/>
  <c r="AA830" i="19"/>
  <c r="AA829" i="19"/>
  <c r="AA828" i="19"/>
  <c r="AA827" i="19"/>
  <c r="AA825" i="19"/>
  <c r="AA823" i="19"/>
  <c r="AA821" i="19"/>
  <c r="AA820" i="19"/>
  <c r="AA818" i="19"/>
  <c r="AA816" i="19"/>
  <c r="AA814" i="19"/>
  <c r="AA812" i="19"/>
  <c r="AA809" i="19"/>
  <c r="AA808" i="19"/>
  <c r="AA807" i="19"/>
  <c r="AA806" i="19"/>
  <c r="AA804" i="19"/>
  <c r="AA803" i="19"/>
  <c r="AA802" i="19"/>
  <c r="AA801" i="19"/>
  <c r="AA799" i="19"/>
  <c r="AA798" i="19"/>
  <c r="AA797" i="19"/>
  <c r="AA796" i="19"/>
  <c r="AA795" i="19"/>
  <c r="AA794" i="19"/>
  <c r="AA793" i="19"/>
  <c r="AA792" i="19"/>
  <c r="AA791" i="19"/>
  <c r="AA790" i="19"/>
  <c r="AA789" i="19"/>
  <c r="AA788" i="19"/>
  <c r="AA786" i="19"/>
  <c r="AA785" i="19"/>
  <c r="AA784" i="19"/>
  <c r="AA783" i="19"/>
  <c r="AA782" i="19"/>
  <c r="AA781" i="19"/>
  <c r="AA779" i="19"/>
  <c r="AA778" i="19"/>
  <c r="AA777" i="19"/>
  <c r="AA776" i="19"/>
  <c r="AA775" i="19"/>
  <c r="AA774" i="19"/>
  <c r="AA773" i="19"/>
  <c r="AA772" i="19"/>
  <c r="AA771" i="19"/>
  <c r="AA770" i="19"/>
  <c r="AA769" i="19"/>
  <c r="AA767" i="19"/>
  <c r="AA766" i="19"/>
  <c r="AA764" i="19"/>
  <c r="AA763" i="19"/>
  <c r="AA761" i="19"/>
  <c r="AA760" i="19"/>
  <c r="AA758" i="19"/>
  <c r="AA755" i="19"/>
  <c r="AA753" i="19"/>
  <c r="AA751" i="19"/>
  <c r="AA749" i="19"/>
  <c r="AA747" i="19"/>
  <c r="AA745" i="19"/>
  <c r="AA743" i="19"/>
  <c r="AA741" i="19"/>
  <c r="AA740" i="19"/>
  <c r="AA738" i="19"/>
  <c r="AA737" i="19"/>
  <c r="AA735" i="19"/>
  <c r="AA733" i="19"/>
  <c r="AA731" i="19"/>
  <c r="AA728" i="19"/>
  <c r="AA726" i="19"/>
  <c r="AA724" i="19"/>
  <c r="AA722" i="19"/>
  <c r="AA721" i="19"/>
  <c r="AA720" i="19"/>
  <c r="AA719" i="19"/>
  <c r="AA717" i="19"/>
  <c r="AA715" i="19"/>
  <c r="AA714" i="19"/>
  <c r="AA712" i="19"/>
  <c r="AA711" i="19"/>
  <c r="AA709" i="19"/>
  <c r="AA707" i="19"/>
  <c r="AA706" i="19"/>
  <c r="AA704" i="19"/>
  <c r="AA703" i="19"/>
  <c r="AA701" i="19"/>
  <c r="AA700" i="19"/>
  <c r="AA698" i="19"/>
  <c r="AA697" i="19"/>
  <c r="AA696" i="19"/>
  <c r="AA695" i="19"/>
  <c r="AA694" i="19"/>
  <c r="AA693" i="19"/>
  <c r="AA692" i="19"/>
  <c r="AA691" i="19"/>
  <c r="AA690" i="19"/>
  <c r="AA689" i="19"/>
  <c r="AA688" i="19"/>
  <c r="AA687" i="19"/>
  <c r="AA686" i="19"/>
  <c r="AA685" i="19"/>
  <c r="AA684" i="19"/>
  <c r="AA683" i="19"/>
  <c r="AA681" i="19"/>
  <c r="AA680" i="19"/>
  <c r="AA678" i="19"/>
  <c r="AA677" i="19"/>
  <c r="AA676" i="19"/>
  <c r="AA675" i="19"/>
  <c r="AA674" i="19"/>
  <c r="AA673" i="19"/>
  <c r="AA672" i="19"/>
  <c r="AA671" i="19"/>
  <c r="AA670" i="19"/>
  <c r="AA669" i="19"/>
  <c r="AA668" i="19"/>
  <c r="AA666" i="19"/>
  <c r="AA665" i="19"/>
  <c r="AA663" i="19"/>
  <c r="AA662" i="19"/>
  <c r="AA660" i="19"/>
  <c r="AA659" i="19"/>
  <c r="AA657" i="19"/>
  <c r="AA656" i="19"/>
  <c r="AA655" i="19"/>
  <c r="AA654" i="19"/>
  <c r="AA652" i="19"/>
  <c r="AA651" i="19"/>
  <c r="AA650" i="19"/>
  <c r="AA649" i="19"/>
  <c r="AA647" i="19"/>
  <c r="AA646" i="19"/>
  <c r="AA645" i="19"/>
  <c r="AA644" i="19"/>
  <c r="AA643" i="19"/>
  <c r="AA642" i="19"/>
  <c r="AA641" i="19"/>
  <c r="AA640" i="19"/>
  <c r="AA639" i="19"/>
  <c r="AA638" i="19"/>
  <c r="AA636" i="19"/>
  <c r="AA634" i="19"/>
  <c r="AA633" i="19"/>
  <c r="AA632" i="19"/>
  <c r="AA630" i="19"/>
  <c r="AA629" i="19"/>
  <c r="AA628" i="19"/>
  <c r="AA626" i="19"/>
  <c r="AA624" i="19"/>
  <c r="AA623" i="19"/>
  <c r="AA622" i="19"/>
  <c r="AA621" i="19"/>
  <c r="AA620" i="19"/>
  <c r="AA618" i="19"/>
  <c r="AA617" i="19"/>
  <c r="AA616" i="19"/>
  <c r="AA615" i="19"/>
  <c r="AA614" i="19"/>
  <c r="AA612" i="19"/>
  <c r="AA611" i="19"/>
  <c r="AA610" i="19"/>
  <c r="AA609" i="19"/>
  <c r="AA608" i="19"/>
  <c r="AA606" i="19"/>
  <c r="AA604" i="19"/>
  <c r="AA603" i="19"/>
  <c r="AA602" i="19"/>
  <c r="AA601" i="19"/>
  <c r="AA600" i="19"/>
  <c r="AA599" i="19"/>
  <c r="AA598" i="19"/>
  <c r="AA596" i="19"/>
  <c r="AA595" i="19"/>
  <c r="AA594" i="19"/>
  <c r="AA593" i="19"/>
  <c r="AA591" i="19"/>
  <c r="AA590" i="19"/>
  <c r="AA589" i="19"/>
  <c r="AA588" i="19"/>
  <c r="AA587" i="19"/>
  <c r="AA585" i="19"/>
  <c r="AA584" i="19"/>
  <c r="AA583" i="19"/>
  <c r="AA582" i="19"/>
  <c r="AA581" i="19"/>
  <c r="AA580" i="19"/>
  <c r="AA579" i="19"/>
  <c r="AA578" i="19"/>
  <c r="AA577" i="19"/>
  <c r="AA575" i="19"/>
  <c r="AA574" i="19"/>
  <c r="AA573" i="19"/>
  <c r="AA571" i="19"/>
  <c r="AA570" i="19"/>
  <c r="AA569" i="19"/>
  <c r="AA567" i="19"/>
  <c r="AA565" i="19"/>
  <c r="AA564" i="19"/>
  <c r="AA563" i="19"/>
  <c r="AA561" i="19"/>
  <c r="AA560" i="19"/>
  <c r="AA558" i="19"/>
  <c r="AA557" i="19"/>
  <c r="AA555" i="19"/>
  <c r="AA554" i="19"/>
  <c r="AA553" i="19"/>
  <c r="AA552" i="19"/>
  <c r="AA550" i="19"/>
  <c r="AA549" i="19"/>
  <c r="AA548" i="19"/>
  <c r="AA546" i="19"/>
  <c r="AA544" i="19"/>
  <c r="AA542" i="19"/>
  <c r="AA540" i="19"/>
  <c r="AA539" i="19"/>
  <c r="AA538" i="19"/>
  <c r="AA536" i="19"/>
  <c r="AA534" i="19"/>
  <c r="AA533" i="19"/>
  <c r="AA532" i="19"/>
  <c r="AA531" i="19"/>
  <c r="AA530" i="19"/>
  <c r="AA528" i="19"/>
  <c r="AA527" i="19"/>
  <c r="AA526" i="19"/>
  <c r="AA524" i="19"/>
  <c r="AA523" i="19"/>
  <c r="AA522" i="19"/>
  <c r="AA521" i="19"/>
  <c r="AA519" i="19"/>
  <c r="AA518" i="19"/>
  <c r="AA517" i="19"/>
  <c r="AA516" i="19"/>
  <c r="AA515" i="19"/>
  <c r="AA514" i="19"/>
  <c r="AA513" i="19"/>
  <c r="AA511" i="19"/>
  <c r="AA510" i="19"/>
  <c r="AA509" i="19"/>
  <c r="AA508" i="19"/>
  <c r="AA507" i="19"/>
  <c r="AA506" i="19"/>
  <c r="AA505" i="19"/>
  <c r="AA504" i="19"/>
  <c r="AA503" i="19"/>
  <c r="AA501" i="19"/>
  <c r="AA500" i="19"/>
  <c r="AA499" i="19"/>
  <c r="AA498" i="19"/>
  <c r="AA497" i="19"/>
  <c r="AA496" i="19"/>
  <c r="AA495" i="19"/>
  <c r="AA494" i="19"/>
  <c r="AA493" i="19"/>
  <c r="AA492" i="19"/>
  <c r="AA490" i="19"/>
  <c r="AA489" i="19"/>
  <c r="AA488" i="19"/>
  <c r="AA487" i="19"/>
  <c r="AA486" i="19"/>
  <c r="AA485" i="19"/>
  <c r="AA484" i="19"/>
  <c r="AA483" i="19"/>
  <c r="AA481" i="19"/>
  <c r="AA480" i="19"/>
  <c r="AA478" i="19"/>
  <c r="AA477" i="19"/>
  <c r="AA475" i="19"/>
  <c r="AA473" i="19"/>
  <c r="AA472" i="19"/>
  <c r="AA471" i="19"/>
  <c r="AA469" i="19"/>
  <c r="AA467" i="19"/>
  <c r="AA466" i="19"/>
  <c r="AA465" i="19"/>
  <c r="AA464" i="19"/>
  <c r="AA462" i="19"/>
  <c r="AA461" i="19"/>
  <c r="AA460" i="19"/>
  <c r="AA458" i="19"/>
  <c r="AA457" i="19"/>
  <c r="AA456" i="19"/>
  <c r="AA454" i="19"/>
  <c r="AA452" i="19"/>
  <c r="AA451" i="19"/>
  <c r="AA449" i="19"/>
  <c r="AA447" i="19"/>
  <c r="AA446" i="19"/>
  <c r="AA445" i="19"/>
  <c r="AA444" i="19"/>
  <c r="AA442" i="19"/>
  <c r="AA440" i="19"/>
  <c r="AA439" i="19"/>
  <c r="AA438" i="19"/>
  <c r="AA436" i="19"/>
  <c r="AA435" i="19"/>
  <c r="AA433" i="19"/>
  <c r="AA432" i="19"/>
  <c r="AA431" i="19"/>
  <c r="AA430" i="19"/>
  <c r="AA429" i="19"/>
  <c r="AA427" i="19"/>
  <c r="AA426" i="19"/>
  <c r="AA424" i="19"/>
  <c r="AA422" i="19"/>
  <c r="AA421" i="19"/>
  <c r="AA420" i="19"/>
  <c r="AA418" i="19"/>
  <c r="AA417" i="19"/>
  <c r="AA416" i="19"/>
  <c r="AA415" i="19"/>
  <c r="AA414" i="19"/>
  <c r="AA413" i="19"/>
  <c r="AA412" i="19"/>
  <c r="AA411" i="19"/>
  <c r="AA410" i="19"/>
  <c r="AA409" i="19"/>
  <c r="AA407" i="19"/>
  <c r="AA406" i="19"/>
  <c r="AA404" i="19"/>
  <c r="AA403" i="19"/>
  <c r="AA401" i="19"/>
  <c r="AA400" i="19"/>
  <c r="AA399" i="19"/>
  <c r="AA398" i="19"/>
  <c r="AA397" i="19"/>
  <c r="AA396" i="19"/>
  <c r="AA394" i="19"/>
  <c r="AA393" i="19"/>
  <c r="AA391" i="19"/>
  <c r="AA389" i="19"/>
  <c r="AA388" i="19"/>
  <c r="AA386" i="19"/>
  <c r="AA384" i="19"/>
  <c r="AA382" i="19"/>
  <c r="AA380" i="19"/>
  <c r="AA378" i="19"/>
  <c r="AA376" i="19"/>
  <c r="AA374" i="19"/>
  <c r="AA372" i="19"/>
  <c r="AA370" i="19"/>
  <c r="AA368" i="19"/>
  <c r="AA366" i="19"/>
  <c r="AA365" i="19"/>
  <c r="AA363" i="19"/>
  <c r="AA362" i="19"/>
  <c r="AA360" i="19"/>
  <c r="AA359" i="19"/>
  <c r="AA358" i="19"/>
  <c r="AA357" i="19"/>
  <c r="AA356" i="19"/>
  <c r="AA355" i="19"/>
  <c r="AA354" i="19"/>
  <c r="AA353" i="19"/>
  <c r="AA352" i="19"/>
  <c r="AA351" i="19"/>
  <c r="AA350" i="19"/>
  <c r="AA349" i="19"/>
  <c r="AA348" i="19"/>
  <c r="AA347" i="19"/>
  <c r="AA345" i="19"/>
  <c r="AA344" i="19"/>
  <c r="AA342" i="19"/>
  <c r="AA341" i="19"/>
  <c r="AA340" i="19"/>
  <c r="AA339" i="19"/>
  <c r="AA337" i="19"/>
  <c r="AA336" i="19"/>
  <c r="AA335" i="19"/>
  <c r="AA334" i="19"/>
  <c r="AA332" i="19"/>
  <c r="AA331" i="19"/>
  <c r="AA330" i="19"/>
  <c r="AA329" i="19"/>
  <c r="AA327" i="19"/>
  <c r="AA326" i="19"/>
  <c r="AA325" i="19"/>
  <c r="AA324" i="19"/>
  <c r="AA322" i="19"/>
  <c r="AA321" i="19"/>
  <c r="AA320" i="19"/>
  <c r="AA319" i="19"/>
  <c r="AA317" i="19"/>
  <c r="AA316" i="19"/>
  <c r="AA315" i="19"/>
  <c r="AA314" i="19"/>
  <c r="AA312" i="19"/>
  <c r="AA311" i="19"/>
  <c r="AA310" i="19"/>
  <c r="AA309" i="19"/>
  <c r="AA307" i="19"/>
  <c r="AA306" i="19"/>
  <c r="AA305" i="19"/>
  <c r="AA304" i="19"/>
  <c r="AA303" i="19"/>
  <c r="AA302" i="19"/>
  <c r="AA301" i="19"/>
  <c r="AA300" i="19"/>
  <c r="AA299" i="19"/>
  <c r="AA298" i="19"/>
  <c r="AA296" i="19"/>
  <c r="AA295" i="19"/>
  <c r="AA294" i="19"/>
  <c r="AA293" i="19"/>
  <c r="AA292" i="19"/>
  <c r="AA291" i="19"/>
  <c r="AA290" i="19"/>
  <c r="AA289" i="19"/>
  <c r="AA288" i="19"/>
  <c r="AA287" i="19"/>
  <c r="AA286" i="19"/>
  <c r="AA285" i="19"/>
  <c r="AA284" i="19"/>
  <c r="AA283" i="19"/>
  <c r="AA282" i="19"/>
  <c r="AA281" i="19"/>
  <c r="AA280" i="19"/>
  <c r="AA279" i="19"/>
  <c r="AA278" i="19"/>
  <c r="AA277" i="19"/>
  <c r="AA276" i="19"/>
  <c r="AA275" i="19"/>
  <c r="AA274" i="19"/>
  <c r="AA273" i="19"/>
  <c r="AA271" i="19"/>
  <c r="AA270" i="19"/>
  <c r="AA269" i="19"/>
  <c r="AA268" i="19"/>
  <c r="AA267" i="19"/>
  <c r="AA266" i="19"/>
  <c r="AA265" i="19"/>
  <c r="AA264" i="19"/>
  <c r="AA263" i="19"/>
  <c r="AA262" i="19"/>
  <c r="AA260" i="19"/>
  <c r="AA258" i="19"/>
  <c r="AA257" i="19"/>
  <c r="AA256" i="19"/>
  <c r="AA255" i="19"/>
  <c r="AA253" i="19"/>
  <c r="AA252" i="19"/>
  <c r="AA251" i="19"/>
  <c r="AA249" i="19"/>
  <c r="AA248" i="19"/>
  <c r="AA247" i="19"/>
  <c r="AA246" i="19"/>
  <c r="AA245" i="19"/>
  <c r="AA244" i="19"/>
  <c r="AA243" i="19"/>
  <c r="AA242" i="19"/>
  <c r="AA241" i="19"/>
  <c r="AA240" i="19"/>
  <c r="AA239" i="19"/>
  <c r="AA237" i="19"/>
  <c r="AA236" i="19"/>
  <c r="AA235" i="19"/>
  <c r="AA233" i="19"/>
  <c r="AA232" i="19"/>
  <c r="AA231" i="19"/>
  <c r="AA230" i="19"/>
  <c r="AA229" i="19"/>
  <c r="AA228" i="19"/>
  <c r="AA226" i="19"/>
  <c r="AA225" i="19"/>
  <c r="AA224" i="19"/>
  <c r="AA222" i="19"/>
  <c r="AA220" i="19"/>
  <c r="AA219" i="19"/>
  <c r="AA217" i="19"/>
  <c r="AA216" i="19"/>
  <c r="AA215" i="19"/>
  <c r="AA213" i="19"/>
  <c r="AA212" i="19"/>
  <c r="AA210" i="19"/>
  <c r="AA209" i="19"/>
  <c r="AA208" i="19"/>
  <c r="AA207" i="19"/>
  <c r="AA205" i="19"/>
  <c r="AA204" i="19"/>
  <c r="AA203" i="19"/>
  <c r="AA202" i="19"/>
  <c r="AA201" i="19"/>
  <c r="AA200" i="19"/>
  <c r="AA199" i="19"/>
  <c r="AA198" i="19"/>
  <c r="AA196" i="19"/>
  <c r="AA195" i="19"/>
  <c r="AA193" i="19"/>
  <c r="AA192" i="19"/>
  <c r="AA190" i="19"/>
  <c r="AA189" i="19"/>
  <c r="AA188" i="19"/>
  <c r="AA187" i="19"/>
  <c r="AA186" i="19"/>
  <c r="AA184" i="19"/>
  <c r="AA183" i="19"/>
  <c r="AA182" i="19"/>
  <c r="AA180" i="19"/>
  <c r="AA179" i="19"/>
  <c r="AA178" i="19"/>
  <c r="AA177" i="19"/>
  <c r="AA176" i="19"/>
  <c r="AA175" i="19"/>
  <c r="AA174" i="19"/>
  <c r="AA172" i="19"/>
  <c r="AA171" i="19"/>
  <c r="AA169" i="19"/>
  <c r="AA167" i="19"/>
  <c r="AA166" i="19"/>
  <c r="AA165" i="19"/>
  <c r="AA164" i="19"/>
  <c r="AA162" i="19"/>
  <c r="AA161" i="19"/>
  <c r="AA160" i="19"/>
  <c r="AA159" i="19"/>
  <c r="AA158" i="19"/>
  <c r="AA157" i="19"/>
  <c r="AA156" i="19"/>
  <c r="AA155" i="19"/>
  <c r="AA154" i="19"/>
  <c r="AA152" i="19"/>
  <c r="AA151" i="19"/>
  <c r="AA150" i="19"/>
  <c r="AA149" i="19"/>
  <c r="AA148" i="19"/>
  <c r="AA147" i="19"/>
  <c r="AA146" i="19"/>
  <c r="AA145" i="19"/>
  <c r="AA144" i="19"/>
  <c r="AA143" i="19"/>
  <c r="AA142" i="19"/>
  <c r="AA141" i="19"/>
  <c r="AA140" i="19"/>
  <c r="AA139" i="19"/>
  <c r="AA137" i="19"/>
  <c r="AA136" i="19"/>
  <c r="AA134" i="19"/>
  <c r="AA133" i="19"/>
  <c r="AA132" i="19"/>
  <c r="AA131" i="19"/>
  <c r="AA130" i="19"/>
  <c r="AA129" i="19"/>
  <c r="AA127" i="19"/>
  <c r="AA126" i="19"/>
  <c r="AA125" i="19"/>
  <c r="AA124" i="19"/>
  <c r="AA123" i="19"/>
  <c r="AA121" i="19"/>
  <c r="AA120" i="19"/>
  <c r="AA119" i="19"/>
  <c r="AA118" i="19"/>
  <c r="AA116" i="19"/>
  <c r="AA115" i="19"/>
  <c r="AA114" i="19"/>
  <c r="AA113" i="19"/>
  <c r="AA111" i="19"/>
  <c r="AA110" i="19"/>
  <c r="AA109" i="19"/>
  <c r="AA108" i="19"/>
  <c r="AA107" i="19"/>
  <c r="AA106" i="19"/>
  <c r="AA105" i="19"/>
  <c r="AA104" i="19"/>
  <c r="AA103" i="19"/>
  <c r="AA102" i="19"/>
  <c r="AA101" i="19"/>
  <c r="AA100" i="19"/>
  <c r="AA99" i="19"/>
  <c r="AA98" i="19"/>
  <c r="AA96" i="19"/>
  <c r="AA95" i="19"/>
  <c r="AA94" i="19"/>
  <c r="AA93" i="19"/>
  <c r="AA91" i="19"/>
  <c r="AA90" i="19"/>
  <c r="AA89" i="19"/>
  <c r="AA88" i="19"/>
  <c r="AA87" i="19"/>
  <c r="AA86" i="19"/>
  <c r="AA85" i="19"/>
  <c r="AA84" i="19"/>
  <c r="AA83" i="19"/>
  <c r="AA81" i="19"/>
  <c r="AA80" i="19"/>
  <c r="AA79" i="19"/>
  <c r="AA77" i="19"/>
  <c r="AA76" i="19"/>
  <c r="AA75" i="19"/>
  <c r="AA74" i="19"/>
  <c r="AA73" i="19"/>
  <c r="AA72" i="19"/>
  <c r="AA71" i="19"/>
  <c r="AA70" i="19"/>
  <c r="AA69" i="19"/>
  <c r="AA68" i="19"/>
  <c r="AA67" i="19"/>
  <c r="AA66" i="19"/>
  <c r="AA65" i="19"/>
  <c r="AA62" i="19"/>
  <c r="AA61" i="19"/>
  <c r="AA60" i="19"/>
  <c r="AA59" i="19"/>
  <c r="AA58" i="19"/>
  <c r="AA57" i="19"/>
  <c r="AA56" i="19"/>
  <c r="AA54" i="19"/>
  <c r="AA53" i="19"/>
  <c r="AA52" i="19"/>
  <c r="AA51" i="19"/>
  <c r="AA49" i="19"/>
  <c r="AA48" i="19"/>
  <c r="AA47" i="19"/>
  <c r="AA46" i="19"/>
  <c r="AA44" i="19"/>
  <c r="AA43" i="19"/>
  <c r="AA42" i="19"/>
  <c r="AA41" i="19"/>
  <c r="AA40" i="19"/>
  <c r="AA38" i="19"/>
  <c r="AA37" i="19"/>
  <c r="AA36" i="19"/>
  <c r="AA35" i="19"/>
  <c r="AA34" i="19"/>
  <c r="AA33" i="19"/>
  <c r="AA32" i="19"/>
  <c r="AA31" i="19"/>
  <c r="AA30" i="19"/>
  <c r="AA29" i="19"/>
  <c r="AA28" i="19"/>
  <c r="AA27" i="19"/>
  <c r="AA26" i="19"/>
  <c r="AA25" i="19"/>
  <c r="AA24" i="19"/>
  <c r="AA23" i="19"/>
  <c r="X982" i="19"/>
  <c r="X981" i="19"/>
  <c r="X980" i="19"/>
  <c r="X979" i="19"/>
  <c r="X978" i="19"/>
  <c r="X976" i="19"/>
  <c r="X975" i="19"/>
  <c r="X974" i="19"/>
  <c r="X972" i="19"/>
  <c r="X971" i="19"/>
  <c r="X970" i="19"/>
  <c r="X969" i="19"/>
  <c r="X968" i="19"/>
  <c r="X966" i="19"/>
  <c r="X965" i="19"/>
  <c r="X964" i="19"/>
  <c r="Y963" i="19"/>
  <c r="X963" i="19"/>
  <c r="Y962" i="19"/>
  <c r="X962" i="19"/>
  <c r="Y961" i="19"/>
  <c r="X961" i="19"/>
  <c r="Y960" i="19"/>
  <c r="X960" i="19"/>
  <c r="Y959" i="19"/>
  <c r="X959" i="19"/>
  <c r="Y958" i="19"/>
  <c r="X958" i="19"/>
  <c r="Y957" i="19"/>
  <c r="X957" i="19"/>
  <c r="Y956" i="19"/>
  <c r="X956" i="19"/>
  <c r="Y955" i="19"/>
  <c r="X955" i="19"/>
  <c r="Y954" i="19"/>
  <c r="X954" i="19"/>
  <c r="Y953" i="19"/>
  <c r="X953" i="19"/>
  <c r="Y952" i="19"/>
  <c r="X952" i="19"/>
  <c r="Y951" i="19"/>
  <c r="X951" i="19"/>
  <c r="Y950" i="19"/>
  <c r="X950" i="19"/>
  <c r="Y949" i="19"/>
  <c r="X949" i="19"/>
  <c r="Y948" i="19"/>
  <c r="X948" i="19"/>
  <c r="Y946" i="19"/>
  <c r="X946" i="19"/>
  <c r="Y945" i="19"/>
  <c r="X945" i="19"/>
  <c r="X944" i="19"/>
  <c r="Y943" i="19"/>
  <c r="X943" i="19"/>
  <c r="Y941" i="19"/>
  <c r="X941" i="19"/>
  <c r="Y939" i="19"/>
  <c r="X939" i="19"/>
  <c r="Y938" i="19"/>
  <c r="X938" i="19"/>
  <c r="Y937" i="19"/>
  <c r="X937" i="19"/>
  <c r="Y936" i="19"/>
  <c r="X936" i="19"/>
  <c r="Y934" i="19"/>
  <c r="X934" i="19"/>
  <c r="Y933" i="19"/>
  <c r="X933" i="19"/>
  <c r="Y932" i="19"/>
  <c r="X932" i="19"/>
  <c r="Y931" i="19"/>
  <c r="X931" i="19"/>
  <c r="Y930" i="19"/>
  <c r="X930" i="19"/>
  <c r="Y929" i="19"/>
  <c r="X929" i="19"/>
  <c r="Y928" i="19"/>
  <c r="X928" i="19"/>
  <c r="Y927" i="19"/>
  <c r="X927" i="19"/>
  <c r="Y926" i="19"/>
  <c r="X926" i="19"/>
  <c r="Y925" i="19"/>
  <c r="X925" i="19"/>
  <c r="Y924" i="19"/>
  <c r="X924" i="19"/>
  <c r="Y923" i="19"/>
  <c r="X923" i="19"/>
  <c r="Y922" i="19"/>
  <c r="X922" i="19"/>
  <c r="Y921" i="19"/>
  <c r="X921" i="19"/>
  <c r="Y920" i="19"/>
  <c r="X920" i="19"/>
  <c r="Y918" i="19"/>
  <c r="X918" i="19"/>
  <c r="Y916" i="19"/>
  <c r="X916" i="19"/>
  <c r="Y915" i="19"/>
  <c r="X915" i="19"/>
  <c r="Y914" i="19"/>
  <c r="X914" i="19"/>
  <c r="Y913" i="19"/>
  <c r="X913" i="19"/>
  <c r="Y912" i="19"/>
  <c r="X912" i="19"/>
  <c r="Y911" i="19"/>
  <c r="X911" i="19"/>
  <c r="Y909" i="19"/>
  <c r="X909" i="19"/>
  <c r="Y907" i="19"/>
  <c r="X907" i="19"/>
  <c r="X906" i="19"/>
  <c r="X905" i="19"/>
  <c r="Y904" i="19"/>
  <c r="X904" i="19"/>
  <c r="Y903" i="19"/>
  <c r="X903" i="19"/>
  <c r="Y902" i="19"/>
  <c r="X902" i="19"/>
  <c r="Y901" i="19"/>
  <c r="X901" i="19"/>
  <c r="Y900" i="19"/>
  <c r="X900" i="19"/>
  <c r="Y899" i="19"/>
  <c r="X899" i="19"/>
  <c r="Y897" i="19"/>
  <c r="X897" i="19"/>
  <c r="Y896" i="19"/>
  <c r="X896" i="19"/>
  <c r="Y895" i="19"/>
  <c r="X895" i="19"/>
  <c r="Y894" i="19"/>
  <c r="X894" i="19"/>
  <c r="Y893" i="19"/>
  <c r="X893" i="19"/>
  <c r="Y892" i="19"/>
  <c r="X892" i="19"/>
  <c r="Y891" i="19"/>
  <c r="X891" i="19"/>
  <c r="Y890" i="19"/>
  <c r="X890" i="19"/>
  <c r="Y889" i="19"/>
  <c r="X889" i="19"/>
  <c r="Y888" i="19"/>
  <c r="X888" i="19"/>
  <c r="Y887" i="19"/>
  <c r="X887" i="19"/>
  <c r="Y886" i="19"/>
  <c r="X886" i="19"/>
  <c r="Y884" i="19"/>
  <c r="X884" i="19"/>
  <c r="Y883" i="19"/>
  <c r="X883" i="19"/>
  <c r="Y881" i="19"/>
  <c r="X881" i="19"/>
  <c r="Y880" i="19"/>
  <c r="X880" i="19"/>
  <c r="Y879" i="19"/>
  <c r="X879" i="19"/>
  <c r="Y878" i="19"/>
  <c r="X878" i="19"/>
  <c r="Y877" i="19"/>
  <c r="X877" i="19"/>
  <c r="Y876" i="19"/>
  <c r="X876" i="19"/>
  <c r="Y874" i="19"/>
  <c r="X874" i="19"/>
  <c r="Y873" i="19"/>
  <c r="X873" i="19"/>
  <c r="Y872" i="19"/>
  <c r="X872" i="19"/>
  <c r="Y871" i="19"/>
  <c r="X871" i="19"/>
  <c r="Y870" i="19"/>
  <c r="X870" i="19"/>
  <c r="Y869" i="19"/>
  <c r="X869" i="19"/>
  <c r="Y868" i="19"/>
  <c r="X868" i="19"/>
  <c r="Y867" i="19"/>
  <c r="X867" i="19"/>
  <c r="Y866" i="19"/>
  <c r="X866" i="19"/>
  <c r="Y864" i="19"/>
  <c r="X864" i="19"/>
  <c r="Y863" i="19"/>
  <c r="X863" i="19"/>
  <c r="Y862" i="19"/>
  <c r="X862" i="19"/>
  <c r="Y861" i="19"/>
  <c r="X861" i="19"/>
  <c r="Y860" i="19"/>
  <c r="X860" i="19"/>
  <c r="Y859" i="19"/>
  <c r="X859" i="19"/>
  <c r="Y858" i="19"/>
  <c r="X858" i="19"/>
  <c r="Y857" i="19"/>
  <c r="X857" i="19"/>
  <c r="Y856" i="19"/>
  <c r="X856" i="19"/>
  <c r="Y855" i="19"/>
  <c r="X855" i="19"/>
  <c r="Y854" i="19"/>
  <c r="X854" i="19"/>
  <c r="Y853" i="19"/>
  <c r="X853" i="19"/>
  <c r="Y852" i="19"/>
  <c r="X852" i="19"/>
  <c r="Y851" i="19"/>
  <c r="X851" i="19"/>
  <c r="Y850" i="19"/>
  <c r="X850" i="19"/>
  <c r="Y849" i="19"/>
  <c r="X849" i="19"/>
  <c r="Y848" i="19"/>
  <c r="X848" i="19"/>
  <c r="Y847" i="19"/>
  <c r="X847" i="19"/>
  <c r="Y846" i="19"/>
  <c r="X846" i="19"/>
  <c r="Y844" i="19"/>
  <c r="X844" i="19"/>
  <c r="Y843" i="19"/>
  <c r="X843" i="19"/>
  <c r="Y842" i="19"/>
  <c r="X842" i="19"/>
  <c r="Y841" i="19"/>
  <c r="X841" i="19"/>
  <c r="Y840" i="19"/>
  <c r="X840" i="19"/>
  <c r="Y839" i="19"/>
  <c r="X839" i="19"/>
  <c r="Y838" i="19"/>
  <c r="X838" i="19"/>
  <c r="Y837" i="19"/>
  <c r="X837" i="19"/>
  <c r="Y836" i="19"/>
  <c r="X836" i="19"/>
  <c r="Y834" i="19"/>
  <c r="X834" i="19"/>
  <c r="Y833" i="19"/>
  <c r="X833" i="19"/>
  <c r="Y831" i="19"/>
  <c r="X831" i="19"/>
  <c r="Y830" i="19"/>
  <c r="X830" i="19"/>
  <c r="Y829" i="19"/>
  <c r="X829" i="19"/>
  <c r="Y828" i="19"/>
  <c r="X828" i="19"/>
  <c r="Y827" i="19"/>
  <c r="X827" i="19"/>
  <c r="Y825" i="19"/>
  <c r="X825" i="19"/>
  <c r="Y823" i="19"/>
  <c r="X823" i="19"/>
  <c r="Y821" i="19"/>
  <c r="X821" i="19"/>
  <c r="Y820" i="19"/>
  <c r="X820" i="19"/>
  <c r="Y818" i="19"/>
  <c r="X818" i="19"/>
  <c r="Y816" i="19"/>
  <c r="X816" i="19"/>
  <c r="Y814" i="19"/>
  <c r="X814" i="19"/>
  <c r="Y812" i="19"/>
  <c r="X812" i="19"/>
  <c r="Y809" i="19"/>
  <c r="X809" i="19"/>
  <c r="Y808" i="19"/>
  <c r="X808" i="19"/>
  <c r="Y807" i="19"/>
  <c r="X807" i="19"/>
  <c r="Y806" i="19"/>
  <c r="X806" i="19"/>
  <c r="Y804" i="19"/>
  <c r="X804" i="19"/>
  <c r="Y803" i="19"/>
  <c r="X803" i="19"/>
  <c r="Y802" i="19"/>
  <c r="X802" i="19"/>
  <c r="Y801" i="19"/>
  <c r="X801" i="19"/>
  <c r="Y799" i="19"/>
  <c r="X799" i="19"/>
  <c r="Y798" i="19"/>
  <c r="X798" i="19"/>
  <c r="Y797" i="19"/>
  <c r="X797" i="19"/>
  <c r="Y796" i="19"/>
  <c r="X796" i="19"/>
  <c r="Y795" i="19"/>
  <c r="X795" i="19"/>
  <c r="Y794" i="19"/>
  <c r="X794" i="19"/>
  <c r="Y793" i="19"/>
  <c r="X793" i="19"/>
  <c r="Y792" i="19"/>
  <c r="X792" i="19"/>
  <c r="Y791" i="19"/>
  <c r="X791" i="19"/>
  <c r="Y790" i="19"/>
  <c r="X790" i="19"/>
  <c r="Y789" i="19"/>
  <c r="X789" i="19"/>
  <c r="Y788" i="19"/>
  <c r="X788" i="19"/>
  <c r="Y786" i="19"/>
  <c r="X786" i="19"/>
  <c r="Y785" i="19"/>
  <c r="X785" i="19"/>
  <c r="Y784" i="19"/>
  <c r="X784" i="19"/>
  <c r="Y783" i="19"/>
  <c r="X783" i="19"/>
  <c r="Y782" i="19"/>
  <c r="X782" i="19"/>
  <c r="Y781" i="19"/>
  <c r="X781" i="19"/>
  <c r="Y779" i="19"/>
  <c r="X779" i="19"/>
  <c r="Y778" i="19"/>
  <c r="X778" i="19"/>
  <c r="Y777" i="19"/>
  <c r="X777" i="19"/>
  <c r="Y776" i="19"/>
  <c r="X776" i="19"/>
  <c r="Y775" i="19"/>
  <c r="X775" i="19"/>
  <c r="Y774" i="19"/>
  <c r="X774" i="19"/>
  <c r="Y773" i="19"/>
  <c r="X773" i="19"/>
  <c r="Y772" i="19"/>
  <c r="X772" i="19"/>
  <c r="Y771" i="19"/>
  <c r="X771" i="19"/>
  <c r="Y770" i="19"/>
  <c r="X770" i="19"/>
  <c r="Y769" i="19"/>
  <c r="X769" i="19"/>
  <c r="Y767" i="19"/>
  <c r="X767" i="19"/>
  <c r="Y766" i="19"/>
  <c r="X766" i="19"/>
  <c r="Y764" i="19"/>
  <c r="X764" i="19"/>
  <c r="Y763" i="19"/>
  <c r="X763" i="19"/>
  <c r="Y761" i="19"/>
  <c r="X761" i="19"/>
  <c r="Y760" i="19"/>
  <c r="X760" i="19"/>
  <c r="Y758" i="19"/>
  <c r="X758" i="19"/>
  <c r="Y755" i="19"/>
  <c r="X755" i="19"/>
  <c r="Y753" i="19"/>
  <c r="X753" i="19"/>
  <c r="Y751" i="19"/>
  <c r="X751" i="19"/>
  <c r="Y749" i="19"/>
  <c r="X749" i="19"/>
  <c r="Y747" i="19"/>
  <c r="X747" i="19"/>
  <c r="Y745" i="19"/>
  <c r="X745" i="19"/>
  <c r="Y743" i="19"/>
  <c r="X743" i="19"/>
  <c r="Y741" i="19"/>
  <c r="X741" i="19"/>
  <c r="Y740" i="19"/>
  <c r="X740" i="19"/>
  <c r="Y738" i="19"/>
  <c r="X738" i="19"/>
  <c r="Y737" i="19"/>
  <c r="X737" i="19"/>
  <c r="Y735" i="19"/>
  <c r="X735" i="19"/>
  <c r="Y733" i="19"/>
  <c r="X733" i="19"/>
  <c r="Y731" i="19"/>
  <c r="X731" i="19"/>
  <c r="Y728" i="19"/>
  <c r="X728" i="19"/>
  <c r="Y726" i="19"/>
  <c r="X726" i="19"/>
  <c r="Y724" i="19"/>
  <c r="X724" i="19"/>
  <c r="Y722" i="19"/>
  <c r="X722" i="19"/>
  <c r="Y721" i="19"/>
  <c r="X721" i="19"/>
  <c r="Y720" i="19"/>
  <c r="X720" i="19"/>
  <c r="Y719" i="19"/>
  <c r="X719" i="19"/>
  <c r="Y717" i="19"/>
  <c r="X717" i="19"/>
  <c r="Y715" i="19"/>
  <c r="X715" i="19"/>
  <c r="Y714" i="19"/>
  <c r="X714" i="19"/>
  <c r="Y712" i="19"/>
  <c r="X712" i="19"/>
  <c r="Y711" i="19"/>
  <c r="X711" i="19"/>
  <c r="Y709" i="19"/>
  <c r="X709" i="19"/>
  <c r="Y707" i="19"/>
  <c r="X707" i="19"/>
  <c r="Y706" i="19"/>
  <c r="X706" i="19"/>
  <c r="Y704" i="19"/>
  <c r="X704" i="19"/>
  <c r="Y703" i="19"/>
  <c r="X703" i="19"/>
  <c r="Y701" i="19"/>
  <c r="X701" i="19"/>
  <c r="Y700" i="19"/>
  <c r="X700" i="19"/>
  <c r="Y698" i="19"/>
  <c r="X698" i="19"/>
  <c r="Y697" i="19"/>
  <c r="X697" i="19"/>
  <c r="Y696" i="19"/>
  <c r="X696" i="19"/>
  <c r="Y695" i="19"/>
  <c r="X695" i="19"/>
  <c r="Y694" i="19"/>
  <c r="X694" i="19"/>
  <c r="Y693" i="19"/>
  <c r="X693" i="19"/>
  <c r="Y692" i="19"/>
  <c r="X692" i="19"/>
  <c r="Y691" i="19"/>
  <c r="X691" i="19"/>
  <c r="Y690" i="19"/>
  <c r="X690" i="19"/>
  <c r="Y689" i="19"/>
  <c r="X689" i="19"/>
  <c r="Y688" i="19"/>
  <c r="X688" i="19"/>
  <c r="Y687" i="19"/>
  <c r="X687" i="19"/>
  <c r="Y686" i="19"/>
  <c r="X686" i="19"/>
  <c r="Y685" i="19"/>
  <c r="X685" i="19"/>
  <c r="Y684" i="19"/>
  <c r="X684" i="19"/>
  <c r="Y683" i="19"/>
  <c r="X683" i="19"/>
  <c r="Y681" i="19"/>
  <c r="X681" i="19"/>
  <c r="Y680" i="19"/>
  <c r="X680" i="19"/>
  <c r="Y678" i="19"/>
  <c r="X678" i="19"/>
  <c r="Y677" i="19"/>
  <c r="X677" i="19"/>
  <c r="Y676" i="19"/>
  <c r="X676" i="19"/>
  <c r="Y675" i="19"/>
  <c r="X675" i="19"/>
  <c r="Y674" i="19"/>
  <c r="X674" i="19"/>
  <c r="Y673" i="19"/>
  <c r="X673" i="19"/>
  <c r="Y672" i="19"/>
  <c r="X672" i="19"/>
  <c r="Y671" i="19"/>
  <c r="X671" i="19"/>
  <c r="Y670" i="19"/>
  <c r="X670" i="19"/>
  <c r="Y669" i="19"/>
  <c r="X669" i="19"/>
  <c r="Y668" i="19"/>
  <c r="X668" i="19"/>
  <c r="Y666" i="19"/>
  <c r="X666" i="19"/>
  <c r="Y665" i="19"/>
  <c r="X665" i="19"/>
  <c r="Y663" i="19"/>
  <c r="X663" i="19"/>
  <c r="Y662" i="19"/>
  <c r="X662" i="19"/>
  <c r="Y660" i="19"/>
  <c r="X660" i="19"/>
  <c r="Y659" i="19"/>
  <c r="X659" i="19"/>
  <c r="Y657" i="19"/>
  <c r="X657" i="19"/>
  <c r="Y656" i="19"/>
  <c r="X656" i="19"/>
  <c r="Y655" i="19"/>
  <c r="X655" i="19"/>
  <c r="Y654" i="19"/>
  <c r="X654" i="19"/>
  <c r="Y652" i="19"/>
  <c r="X652" i="19"/>
  <c r="Y651" i="19"/>
  <c r="X651" i="19"/>
  <c r="Y650" i="19"/>
  <c r="X650" i="19"/>
  <c r="Y649" i="19"/>
  <c r="X649" i="19"/>
  <c r="Y647" i="19"/>
  <c r="X647" i="19"/>
  <c r="Y646" i="19"/>
  <c r="X646" i="19"/>
  <c r="Y645" i="19"/>
  <c r="X645" i="19"/>
  <c r="Y644" i="19"/>
  <c r="X644" i="19"/>
  <c r="Y643" i="19"/>
  <c r="X643" i="19"/>
  <c r="Y642" i="19"/>
  <c r="X642" i="19"/>
  <c r="Y641" i="19"/>
  <c r="X641" i="19"/>
  <c r="Y640" i="19"/>
  <c r="X640" i="19"/>
  <c r="Y639" i="19"/>
  <c r="X639" i="19"/>
  <c r="Y638" i="19"/>
  <c r="X638" i="19"/>
  <c r="Y636" i="19"/>
  <c r="X636" i="19"/>
  <c r="Y634" i="19"/>
  <c r="X634" i="19"/>
  <c r="Y633" i="19"/>
  <c r="X633" i="19"/>
  <c r="Y632" i="19"/>
  <c r="X632" i="19"/>
  <c r="Y630" i="19"/>
  <c r="X630" i="19"/>
  <c r="Y629" i="19"/>
  <c r="X629" i="19"/>
  <c r="Y628" i="19"/>
  <c r="X628" i="19"/>
  <c r="Y626" i="19"/>
  <c r="X626" i="19"/>
  <c r="Y624" i="19"/>
  <c r="X624" i="19"/>
  <c r="Y623" i="19"/>
  <c r="X623" i="19"/>
  <c r="Y622" i="19"/>
  <c r="X622" i="19"/>
  <c r="Y621" i="19"/>
  <c r="X621" i="19"/>
  <c r="Y620" i="19"/>
  <c r="X620" i="19"/>
  <c r="Y618" i="19"/>
  <c r="X618" i="19"/>
  <c r="Y617" i="19"/>
  <c r="X617" i="19"/>
  <c r="Y616" i="19"/>
  <c r="X616" i="19"/>
  <c r="Y615" i="19"/>
  <c r="X615" i="19"/>
  <c r="Y614" i="19"/>
  <c r="X614" i="19"/>
  <c r="Y612" i="19"/>
  <c r="X612" i="19"/>
  <c r="Y611" i="19"/>
  <c r="X611" i="19"/>
  <c r="Y610" i="19"/>
  <c r="X610" i="19"/>
  <c r="Y609" i="19"/>
  <c r="X609" i="19"/>
  <c r="Y608" i="19"/>
  <c r="X608" i="19"/>
  <c r="Y606" i="19"/>
  <c r="X606" i="19"/>
  <c r="Y604" i="19"/>
  <c r="X604" i="19"/>
  <c r="Y603" i="19"/>
  <c r="X603" i="19"/>
  <c r="Y602" i="19"/>
  <c r="X602" i="19"/>
  <c r="Y601" i="19"/>
  <c r="X601" i="19"/>
  <c r="Y600" i="19"/>
  <c r="X600" i="19"/>
  <c r="Y599" i="19"/>
  <c r="X599" i="19"/>
  <c r="Y598" i="19"/>
  <c r="X598" i="19"/>
  <c r="Y596" i="19"/>
  <c r="X596" i="19"/>
  <c r="Y595" i="19"/>
  <c r="X595" i="19"/>
  <c r="Y594" i="19"/>
  <c r="X594" i="19"/>
  <c r="Y593" i="19"/>
  <c r="X593" i="19"/>
  <c r="Y591" i="19"/>
  <c r="X591" i="19"/>
  <c r="Y590" i="19"/>
  <c r="X590" i="19"/>
  <c r="Y589" i="19"/>
  <c r="X589" i="19"/>
  <c r="Y588" i="19"/>
  <c r="X588" i="19"/>
  <c r="Y587" i="19"/>
  <c r="X587" i="19"/>
  <c r="Y585" i="19"/>
  <c r="X585" i="19"/>
  <c r="Y584" i="19"/>
  <c r="X584" i="19"/>
  <c r="Y583" i="19"/>
  <c r="X583" i="19"/>
  <c r="Y582" i="19"/>
  <c r="X582" i="19"/>
  <c r="Y581" i="19"/>
  <c r="X581" i="19"/>
  <c r="Y580" i="19"/>
  <c r="X580" i="19"/>
  <c r="Y579" i="19"/>
  <c r="X579" i="19"/>
  <c r="Y578" i="19"/>
  <c r="X578" i="19"/>
  <c r="Y577" i="19"/>
  <c r="X577" i="19"/>
  <c r="Y575" i="19"/>
  <c r="X575" i="19"/>
  <c r="Y574" i="19"/>
  <c r="X574" i="19"/>
  <c r="Y573" i="19"/>
  <c r="X573" i="19"/>
  <c r="Y571" i="19"/>
  <c r="X571" i="19"/>
  <c r="Y570" i="19"/>
  <c r="X570" i="19"/>
  <c r="Y569" i="19"/>
  <c r="X569" i="19"/>
  <c r="Y567" i="19"/>
  <c r="X567" i="19"/>
  <c r="Y565" i="19"/>
  <c r="X565" i="19"/>
  <c r="Y564" i="19"/>
  <c r="X564" i="19"/>
  <c r="Y563" i="19"/>
  <c r="X563" i="19"/>
  <c r="Y561" i="19"/>
  <c r="X561" i="19"/>
  <c r="Y560" i="19"/>
  <c r="X560" i="19"/>
  <c r="Y558" i="19"/>
  <c r="X558" i="19"/>
  <c r="Y557" i="19"/>
  <c r="X557" i="19"/>
  <c r="Y555" i="19"/>
  <c r="X555" i="19"/>
  <c r="Y554" i="19"/>
  <c r="X554" i="19"/>
  <c r="Y553" i="19"/>
  <c r="X553" i="19"/>
  <c r="Y552" i="19"/>
  <c r="X552" i="19"/>
  <c r="Y550" i="19"/>
  <c r="X550" i="19"/>
  <c r="Y549" i="19"/>
  <c r="X549" i="19"/>
  <c r="Y548" i="19"/>
  <c r="X548" i="19"/>
  <c r="Y546" i="19"/>
  <c r="X546" i="19"/>
  <c r="Y544" i="19"/>
  <c r="X544" i="19"/>
  <c r="Y542" i="19"/>
  <c r="X542" i="19"/>
  <c r="Y540" i="19"/>
  <c r="X540" i="19"/>
  <c r="Y539" i="19"/>
  <c r="X539" i="19"/>
  <c r="Y538" i="19"/>
  <c r="X538" i="19"/>
  <c r="Y536" i="19"/>
  <c r="X536" i="19"/>
  <c r="Y534" i="19"/>
  <c r="X534" i="19"/>
  <c r="Y533" i="19"/>
  <c r="X533" i="19"/>
  <c r="Y532" i="19"/>
  <c r="X532" i="19"/>
  <c r="Y531" i="19"/>
  <c r="X531" i="19"/>
  <c r="Y530" i="19"/>
  <c r="X530" i="19"/>
  <c r="Y528" i="19"/>
  <c r="X528" i="19"/>
  <c r="Y527" i="19"/>
  <c r="X527" i="19"/>
  <c r="Y526" i="19"/>
  <c r="X526" i="19"/>
  <c r="Y524" i="19"/>
  <c r="X524" i="19"/>
  <c r="Y523" i="19"/>
  <c r="X523" i="19"/>
  <c r="Y522" i="19"/>
  <c r="X522" i="19"/>
  <c r="Y521" i="19"/>
  <c r="X521" i="19"/>
  <c r="Y519" i="19"/>
  <c r="X519" i="19"/>
  <c r="Y518" i="19"/>
  <c r="X518" i="19"/>
  <c r="Y517" i="19"/>
  <c r="X517" i="19"/>
  <c r="Y516" i="19"/>
  <c r="X516" i="19"/>
  <c r="Y515" i="19"/>
  <c r="X515" i="19"/>
  <c r="Y514" i="19"/>
  <c r="X514" i="19"/>
  <c r="Y513" i="19"/>
  <c r="X513" i="19"/>
  <c r="Y511" i="19"/>
  <c r="X511" i="19"/>
  <c r="Y510" i="19"/>
  <c r="X510" i="19"/>
  <c r="Y509" i="19"/>
  <c r="X509" i="19"/>
  <c r="Y508" i="19"/>
  <c r="X508" i="19"/>
  <c r="Y507" i="19"/>
  <c r="X507" i="19"/>
  <c r="Y506" i="19"/>
  <c r="X506" i="19"/>
  <c r="Y505" i="19"/>
  <c r="X505" i="19"/>
  <c r="Y504" i="19"/>
  <c r="X504" i="19"/>
  <c r="X503" i="19"/>
  <c r="Y501" i="19"/>
  <c r="X501" i="19"/>
  <c r="Y500" i="19"/>
  <c r="X500" i="19"/>
  <c r="Y499" i="19"/>
  <c r="X499" i="19"/>
  <c r="Y498" i="19"/>
  <c r="X498" i="19"/>
  <c r="Y497" i="19"/>
  <c r="X497" i="19"/>
  <c r="Y496" i="19"/>
  <c r="X496" i="19"/>
  <c r="Y495" i="19"/>
  <c r="X495" i="19"/>
  <c r="Y494" i="19"/>
  <c r="X494" i="19"/>
  <c r="Y493" i="19"/>
  <c r="X493" i="19"/>
  <c r="Y492" i="19"/>
  <c r="X492" i="19"/>
  <c r="Y490" i="19"/>
  <c r="X490" i="19"/>
  <c r="Y489" i="19"/>
  <c r="X489" i="19"/>
  <c r="Y488" i="19"/>
  <c r="X488" i="19"/>
  <c r="Y487" i="19"/>
  <c r="X487" i="19"/>
  <c r="Y486" i="19"/>
  <c r="X486" i="19"/>
  <c r="Y485" i="19"/>
  <c r="X485" i="19"/>
  <c r="Y484" i="19"/>
  <c r="X484" i="19"/>
  <c r="Y483" i="19"/>
  <c r="X483" i="19"/>
  <c r="Y481" i="19"/>
  <c r="X481" i="19"/>
  <c r="Y480" i="19"/>
  <c r="X480" i="19"/>
  <c r="Y478" i="19"/>
  <c r="X478" i="19"/>
  <c r="Y477" i="19"/>
  <c r="X477" i="19"/>
  <c r="Y475" i="19"/>
  <c r="X475" i="19"/>
  <c r="Y473" i="19"/>
  <c r="X473" i="19"/>
  <c r="Y472" i="19"/>
  <c r="X472" i="19"/>
  <c r="Y471" i="19"/>
  <c r="X471" i="19"/>
  <c r="Y469" i="19"/>
  <c r="X469" i="19"/>
  <c r="Y467" i="19"/>
  <c r="X467" i="19"/>
  <c r="Y466" i="19"/>
  <c r="X466" i="19"/>
  <c r="Y465" i="19"/>
  <c r="X465" i="19"/>
  <c r="Y464" i="19"/>
  <c r="X464" i="19"/>
  <c r="Y462" i="19"/>
  <c r="X462" i="19"/>
  <c r="Y461" i="19"/>
  <c r="X461" i="19"/>
  <c r="Y460" i="19"/>
  <c r="X460" i="19"/>
  <c r="Y458" i="19"/>
  <c r="X458" i="19"/>
  <c r="Y457" i="19"/>
  <c r="X457" i="19"/>
  <c r="Y456" i="19"/>
  <c r="X456" i="19"/>
  <c r="Y454" i="19"/>
  <c r="X454" i="19"/>
  <c r="Y452" i="19"/>
  <c r="X452" i="19"/>
  <c r="Y451" i="19"/>
  <c r="X451" i="19"/>
  <c r="Y449" i="19"/>
  <c r="X449" i="19"/>
  <c r="Y447" i="19"/>
  <c r="X447" i="19"/>
  <c r="Y446" i="19"/>
  <c r="X446" i="19"/>
  <c r="Y445" i="19"/>
  <c r="X445" i="19"/>
  <c r="Y444" i="19"/>
  <c r="X444" i="19"/>
  <c r="Y442" i="19"/>
  <c r="X442" i="19"/>
  <c r="Y440" i="19"/>
  <c r="X440" i="19"/>
  <c r="Y439" i="19"/>
  <c r="X439" i="19"/>
  <c r="Y438" i="19"/>
  <c r="X438" i="19"/>
  <c r="Y436" i="19"/>
  <c r="X436" i="19"/>
  <c r="Y435" i="19"/>
  <c r="X435" i="19"/>
  <c r="Y433" i="19"/>
  <c r="X433" i="19"/>
  <c r="Y432" i="19"/>
  <c r="X432" i="19"/>
  <c r="Y431" i="19"/>
  <c r="X431" i="19"/>
  <c r="Y430" i="19"/>
  <c r="X430" i="19"/>
  <c r="Y429" i="19"/>
  <c r="X429" i="19"/>
  <c r="Y427" i="19"/>
  <c r="X427" i="19"/>
  <c r="Y426" i="19"/>
  <c r="X426" i="19"/>
  <c r="Y424" i="19"/>
  <c r="X424" i="19"/>
  <c r="Y422" i="19"/>
  <c r="X422" i="19"/>
  <c r="Y421" i="19"/>
  <c r="X421" i="19"/>
  <c r="Y420" i="19"/>
  <c r="X420" i="19"/>
  <c r="Y418" i="19"/>
  <c r="X418" i="19"/>
  <c r="Y417" i="19"/>
  <c r="X417" i="19"/>
  <c r="Y416" i="19"/>
  <c r="X416" i="19"/>
  <c r="Y415" i="19"/>
  <c r="X415" i="19"/>
  <c r="Y414" i="19"/>
  <c r="X414" i="19"/>
  <c r="Y413" i="19"/>
  <c r="X413" i="19"/>
  <c r="Y412" i="19"/>
  <c r="X412" i="19"/>
  <c r="Y411" i="19"/>
  <c r="X411" i="19"/>
  <c r="Y410" i="19"/>
  <c r="X410" i="19"/>
  <c r="Y409" i="19"/>
  <c r="X409" i="19"/>
  <c r="Y407" i="19"/>
  <c r="X407" i="19"/>
  <c r="Y406" i="19"/>
  <c r="X406" i="19"/>
  <c r="Y404" i="19"/>
  <c r="X404" i="19"/>
  <c r="Y403" i="19"/>
  <c r="X403" i="19"/>
  <c r="Y401" i="19"/>
  <c r="X401" i="19"/>
  <c r="Y400" i="19"/>
  <c r="X400" i="19"/>
  <c r="Y399" i="19"/>
  <c r="X399" i="19"/>
  <c r="Y398" i="19"/>
  <c r="X398" i="19"/>
  <c r="Y397" i="19"/>
  <c r="X397" i="19"/>
  <c r="Y396" i="19"/>
  <c r="X396" i="19"/>
  <c r="Y394" i="19"/>
  <c r="X394" i="19"/>
  <c r="Y393" i="19"/>
  <c r="X393" i="19"/>
  <c r="Y391" i="19"/>
  <c r="X391" i="19"/>
  <c r="Y389" i="19"/>
  <c r="X389" i="19"/>
  <c r="Y388" i="19"/>
  <c r="X388" i="19"/>
  <c r="Y386" i="19"/>
  <c r="X386" i="19"/>
  <c r="Y384" i="19"/>
  <c r="X384" i="19"/>
  <c r="Y382" i="19"/>
  <c r="X382" i="19"/>
  <c r="Y380" i="19"/>
  <c r="X380" i="19"/>
  <c r="Y378" i="19"/>
  <c r="X378" i="19"/>
  <c r="Y376" i="19"/>
  <c r="X376" i="19"/>
  <c r="Y374" i="19"/>
  <c r="X374" i="19"/>
  <c r="Y372" i="19"/>
  <c r="X372" i="19"/>
  <c r="Y370" i="19"/>
  <c r="X370" i="19"/>
  <c r="Y368" i="19"/>
  <c r="X368" i="19"/>
  <c r="Y366" i="19"/>
  <c r="X366" i="19"/>
  <c r="Y365" i="19"/>
  <c r="X365" i="19"/>
  <c r="Y363" i="19"/>
  <c r="X363" i="19"/>
  <c r="Y362" i="19"/>
  <c r="X362" i="19"/>
  <c r="Y360" i="19"/>
  <c r="X360" i="19"/>
  <c r="Y359" i="19"/>
  <c r="X359" i="19"/>
  <c r="Y358" i="19"/>
  <c r="X358" i="19"/>
  <c r="Y357" i="19"/>
  <c r="X357" i="19"/>
  <c r="Y356" i="19"/>
  <c r="X356" i="19"/>
  <c r="Y355" i="19"/>
  <c r="X355" i="19"/>
  <c r="Y354" i="19"/>
  <c r="X354" i="19"/>
  <c r="Y353" i="19"/>
  <c r="X353" i="19"/>
  <c r="Y352" i="19"/>
  <c r="X352" i="19"/>
  <c r="Y351" i="19"/>
  <c r="X351" i="19"/>
  <c r="Y350" i="19"/>
  <c r="X350" i="19"/>
  <c r="Y349" i="19"/>
  <c r="X349" i="19"/>
  <c r="Y348" i="19"/>
  <c r="X348" i="19"/>
  <c r="Y347" i="19"/>
  <c r="X347" i="19"/>
  <c r="Y345" i="19"/>
  <c r="X345" i="19"/>
  <c r="Y344" i="19"/>
  <c r="X344" i="19"/>
  <c r="Y342" i="19"/>
  <c r="X342" i="19"/>
  <c r="Y341" i="19"/>
  <c r="X341" i="19"/>
  <c r="Y340" i="19"/>
  <c r="X340" i="19"/>
  <c r="Y339" i="19"/>
  <c r="X339" i="19"/>
  <c r="Y337" i="19"/>
  <c r="X337" i="19"/>
  <c r="Y336" i="19"/>
  <c r="X336" i="19"/>
  <c r="Y335" i="19"/>
  <c r="X335" i="19"/>
  <c r="Y334" i="19"/>
  <c r="X334" i="19"/>
  <c r="Y332" i="19"/>
  <c r="X332" i="19"/>
  <c r="Y331" i="19"/>
  <c r="X331" i="19"/>
  <c r="Y330" i="19"/>
  <c r="X330" i="19"/>
  <c r="Y329" i="19"/>
  <c r="X329" i="19"/>
  <c r="Y327" i="19"/>
  <c r="X327" i="19"/>
  <c r="Y326" i="19"/>
  <c r="X326" i="19"/>
  <c r="Y325" i="19"/>
  <c r="X325" i="19"/>
  <c r="Y324" i="19"/>
  <c r="X324" i="19"/>
  <c r="Y322" i="19"/>
  <c r="X322" i="19"/>
  <c r="Y321" i="19"/>
  <c r="X321" i="19"/>
  <c r="Y320" i="19"/>
  <c r="X320" i="19"/>
  <c r="Y319" i="19"/>
  <c r="X319" i="19"/>
  <c r="Y317" i="19"/>
  <c r="X317" i="19"/>
  <c r="Y316" i="19"/>
  <c r="X316" i="19"/>
  <c r="Y315" i="19"/>
  <c r="X315" i="19"/>
  <c r="Y314" i="19"/>
  <c r="X314" i="19"/>
  <c r="Y312" i="19"/>
  <c r="X312" i="19"/>
  <c r="Y311" i="19"/>
  <c r="X311" i="19"/>
  <c r="Y310" i="19"/>
  <c r="X310" i="19"/>
  <c r="Y309" i="19"/>
  <c r="X309" i="19"/>
  <c r="Y307" i="19"/>
  <c r="X307" i="19"/>
  <c r="Y306" i="19"/>
  <c r="X306" i="19"/>
  <c r="Y305" i="19"/>
  <c r="X305" i="19"/>
  <c r="Y304" i="19"/>
  <c r="X304" i="19"/>
  <c r="Y303" i="19"/>
  <c r="X303" i="19"/>
  <c r="Y302" i="19"/>
  <c r="X302" i="19"/>
  <c r="Y301" i="19"/>
  <c r="X301" i="19"/>
  <c r="Y300" i="19"/>
  <c r="X300" i="19"/>
  <c r="Y299" i="19"/>
  <c r="X299" i="19"/>
  <c r="Y298" i="19"/>
  <c r="X298" i="19"/>
  <c r="Y296" i="19"/>
  <c r="X296" i="19"/>
  <c r="Y295" i="19"/>
  <c r="X295" i="19"/>
  <c r="Y294" i="19"/>
  <c r="X294" i="19"/>
  <c r="Y293" i="19"/>
  <c r="X293" i="19"/>
  <c r="Y292" i="19"/>
  <c r="X292" i="19"/>
  <c r="Y291" i="19"/>
  <c r="X291" i="19"/>
  <c r="Y290" i="19"/>
  <c r="X290" i="19"/>
  <c r="Y289" i="19"/>
  <c r="X289" i="19"/>
  <c r="Y288" i="19"/>
  <c r="X288" i="19"/>
  <c r="X287" i="19"/>
  <c r="Y286" i="19"/>
  <c r="X286" i="19"/>
  <c r="Y285" i="19"/>
  <c r="X285" i="19"/>
  <c r="Y284" i="19"/>
  <c r="X284" i="19"/>
  <c r="X283" i="19"/>
  <c r="Y282" i="19"/>
  <c r="X282" i="19"/>
  <c r="X281" i="19"/>
  <c r="Y280" i="19"/>
  <c r="X280" i="19"/>
  <c r="Y279" i="19"/>
  <c r="X279" i="19"/>
  <c r="Y278" i="19"/>
  <c r="X278" i="19"/>
  <c r="Y277" i="19"/>
  <c r="X277" i="19"/>
  <c r="Y276" i="19"/>
  <c r="X276" i="19"/>
  <c r="Y275" i="19"/>
  <c r="X275" i="19"/>
  <c r="Y274" i="19"/>
  <c r="X274" i="19"/>
  <c r="Y273" i="19"/>
  <c r="X273" i="19"/>
  <c r="Y271" i="19"/>
  <c r="X271" i="19"/>
  <c r="Y270" i="19"/>
  <c r="X270" i="19"/>
  <c r="Y269" i="19"/>
  <c r="X269" i="19"/>
  <c r="Y268" i="19"/>
  <c r="X268" i="19"/>
  <c r="Y267" i="19"/>
  <c r="X267" i="19"/>
  <c r="Y266" i="19"/>
  <c r="X266" i="19"/>
  <c r="Y265" i="19"/>
  <c r="X265" i="19"/>
  <c r="Y264" i="19"/>
  <c r="X264" i="19"/>
  <c r="Y263" i="19"/>
  <c r="X263" i="19"/>
  <c r="Y262" i="19"/>
  <c r="X262" i="19"/>
  <c r="Y260" i="19"/>
  <c r="AP260" i="19" s="1"/>
  <c r="X260" i="19"/>
  <c r="Y258" i="19"/>
  <c r="AP258" i="19" s="1"/>
  <c r="X258" i="19"/>
  <c r="Y257" i="19"/>
  <c r="AP257" i="19" s="1"/>
  <c r="X257" i="19"/>
  <c r="Y256" i="19"/>
  <c r="AP256" i="19" s="1"/>
  <c r="X256" i="19"/>
  <c r="Y255" i="19"/>
  <c r="AP255" i="19" s="1"/>
  <c r="X255" i="19"/>
  <c r="Y253" i="19"/>
  <c r="AP253" i="19" s="1"/>
  <c r="X253" i="19"/>
  <c r="Y252" i="19"/>
  <c r="AP252" i="19" s="1"/>
  <c r="X252" i="19"/>
  <c r="Y251" i="19"/>
  <c r="AP251" i="19" s="1"/>
  <c r="X251" i="19"/>
  <c r="Y249" i="19"/>
  <c r="AP249" i="19" s="1"/>
  <c r="X249" i="19"/>
  <c r="Y248" i="19"/>
  <c r="AP248" i="19" s="1"/>
  <c r="X248" i="19"/>
  <c r="Y247" i="19"/>
  <c r="AP247" i="19" s="1"/>
  <c r="X247" i="19"/>
  <c r="Y246" i="19"/>
  <c r="AP246" i="19" s="1"/>
  <c r="X246" i="19"/>
  <c r="Y245" i="19"/>
  <c r="AP245" i="19" s="1"/>
  <c r="X245" i="19"/>
  <c r="Y244" i="19"/>
  <c r="AP244" i="19" s="1"/>
  <c r="X244" i="19"/>
  <c r="Y243" i="19"/>
  <c r="AP243" i="19" s="1"/>
  <c r="X243" i="19"/>
  <c r="Y242" i="19"/>
  <c r="AP242" i="19" s="1"/>
  <c r="X242" i="19"/>
  <c r="Y241" i="19"/>
  <c r="AP241" i="19" s="1"/>
  <c r="X241" i="19"/>
  <c r="Y240" i="19"/>
  <c r="X240" i="19"/>
  <c r="Y239" i="19"/>
  <c r="X239" i="19"/>
  <c r="Y237" i="19"/>
  <c r="X237" i="19"/>
  <c r="Y236" i="19"/>
  <c r="X236" i="19"/>
  <c r="Y235" i="19"/>
  <c r="X235" i="19"/>
  <c r="Y233" i="19"/>
  <c r="X233" i="19"/>
  <c r="Y232" i="19"/>
  <c r="X232" i="19"/>
  <c r="Y231" i="19"/>
  <c r="X231" i="19"/>
  <c r="Y230" i="19"/>
  <c r="X230" i="19"/>
  <c r="Y229" i="19"/>
  <c r="X229" i="19"/>
  <c r="Y228" i="19"/>
  <c r="X228" i="19"/>
  <c r="Y226" i="19"/>
  <c r="X226" i="19"/>
  <c r="Y225" i="19"/>
  <c r="X225" i="19"/>
  <c r="Y224" i="19"/>
  <c r="X224" i="19"/>
  <c r="Y222" i="19"/>
  <c r="X222" i="19"/>
  <c r="Y220" i="19"/>
  <c r="X220" i="19"/>
  <c r="Y219" i="19"/>
  <c r="X219" i="19"/>
  <c r="Y217" i="19"/>
  <c r="X217" i="19"/>
  <c r="Y216" i="19"/>
  <c r="X216" i="19"/>
  <c r="Y215" i="19"/>
  <c r="X215" i="19"/>
  <c r="Y213" i="19"/>
  <c r="X213" i="19"/>
  <c r="Y212" i="19"/>
  <c r="X212" i="19"/>
  <c r="Y210" i="19"/>
  <c r="X210" i="19"/>
  <c r="Y209" i="19"/>
  <c r="X209" i="19"/>
  <c r="Y208" i="19"/>
  <c r="X208" i="19"/>
  <c r="Y207" i="19"/>
  <c r="X207" i="19"/>
  <c r="Y205" i="19"/>
  <c r="X205" i="19"/>
  <c r="Y204" i="19"/>
  <c r="X204" i="19"/>
  <c r="Y203" i="19"/>
  <c r="X203" i="19"/>
  <c r="Y202" i="19"/>
  <c r="X202" i="19"/>
  <c r="Y201" i="19"/>
  <c r="X201" i="19"/>
  <c r="Y200" i="19"/>
  <c r="X200" i="19"/>
  <c r="Y199" i="19"/>
  <c r="X199" i="19"/>
  <c r="Y198" i="19"/>
  <c r="X198" i="19"/>
  <c r="Y196" i="19"/>
  <c r="X196" i="19"/>
  <c r="Y195" i="19"/>
  <c r="X195" i="19"/>
  <c r="Y193" i="19"/>
  <c r="X193" i="19"/>
  <c r="Y192" i="19"/>
  <c r="X192" i="19"/>
  <c r="Y190" i="19"/>
  <c r="X190" i="19"/>
  <c r="Y189" i="19"/>
  <c r="X189" i="19"/>
  <c r="Y188" i="19"/>
  <c r="X188" i="19"/>
  <c r="Y187" i="19"/>
  <c r="X187" i="19"/>
  <c r="Y186" i="19"/>
  <c r="X186" i="19"/>
  <c r="Y184" i="19"/>
  <c r="X184" i="19"/>
  <c r="Y183" i="19"/>
  <c r="X183" i="19"/>
  <c r="Y182" i="19"/>
  <c r="X182" i="19"/>
  <c r="Y180" i="19"/>
  <c r="X180" i="19"/>
  <c r="Y179" i="19"/>
  <c r="X179" i="19"/>
  <c r="Y178" i="19"/>
  <c r="X178" i="19"/>
  <c r="Y177" i="19"/>
  <c r="X177" i="19"/>
  <c r="Y176" i="19"/>
  <c r="X176" i="19"/>
  <c r="Y175" i="19"/>
  <c r="X175" i="19"/>
  <c r="Y174" i="19"/>
  <c r="X174" i="19"/>
  <c r="Y172" i="19"/>
  <c r="X172" i="19"/>
  <c r="Y171" i="19"/>
  <c r="X171" i="19"/>
  <c r="Y169" i="19"/>
  <c r="X169" i="19"/>
  <c r="Y167" i="19"/>
  <c r="X167" i="19"/>
  <c r="Y166" i="19"/>
  <c r="X166" i="19"/>
  <c r="Y165" i="19"/>
  <c r="X165" i="19"/>
  <c r="Y164" i="19"/>
  <c r="X164" i="19"/>
  <c r="Y162" i="19"/>
  <c r="X162" i="19"/>
  <c r="Y161" i="19"/>
  <c r="X161" i="19"/>
  <c r="Y160" i="19"/>
  <c r="X160" i="19"/>
  <c r="Y159" i="19"/>
  <c r="X159" i="19"/>
  <c r="Y158" i="19"/>
  <c r="X158" i="19"/>
  <c r="Y157" i="19"/>
  <c r="X157" i="19"/>
  <c r="Y156" i="19"/>
  <c r="X156" i="19"/>
  <c r="Y155" i="19"/>
  <c r="X155" i="19"/>
  <c r="Y154" i="19"/>
  <c r="X154" i="19"/>
  <c r="Y152" i="19"/>
  <c r="X152" i="19"/>
  <c r="Y151" i="19"/>
  <c r="X151" i="19"/>
  <c r="Y150" i="19"/>
  <c r="X150" i="19"/>
  <c r="Y149" i="19"/>
  <c r="X149" i="19"/>
  <c r="Y148" i="19"/>
  <c r="X148" i="19"/>
  <c r="Y147" i="19"/>
  <c r="X147" i="19"/>
  <c r="Y146" i="19"/>
  <c r="X146" i="19"/>
  <c r="Y145" i="19"/>
  <c r="X145" i="19"/>
  <c r="Y144" i="19"/>
  <c r="X144" i="19"/>
  <c r="Y143" i="19"/>
  <c r="X143" i="19"/>
  <c r="Y142" i="19"/>
  <c r="X142" i="19"/>
  <c r="Y141" i="19"/>
  <c r="X141" i="19"/>
  <c r="Y140" i="19"/>
  <c r="X140" i="19"/>
  <c r="Y139" i="19"/>
  <c r="X139" i="19"/>
  <c r="Y137" i="19"/>
  <c r="X137" i="19"/>
  <c r="Y136" i="19"/>
  <c r="X136" i="19"/>
  <c r="Y134" i="19"/>
  <c r="X134" i="19"/>
  <c r="Y133" i="19"/>
  <c r="X133" i="19"/>
  <c r="Y132" i="19"/>
  <c r="X132" i="19"/>
  <c r="Y131" i="19"/>
  <c r="X131" i="19"/>
  <c r="Y130" i="19"/>
  <c r="X130" i="19"/>
  <c r="Y129" i="19"/>
  <c r="X129" i="19"/>
  <c r="Y127" i="19"/>
  <c r="X127" i="19"/>
  <c r="Y126" i="19"/>
  <c r="X126" i="19"/>
  <c r="Y125" i="19"/>
  <c r="X125" i="19"/>
  <c r="Y124" i="19"/>
  <c r="X124" i="19"/>
  <c r="Y123" i="19"/>
  <c r="X123" i="19"/>
  <c r="Y121" i="19"/>
  <c r="X121" i="19"/>
  <c r="Y120" i="19"/>
  <c r="X120" i="19"/>
  <c r="Y119" i="19"/>
  <c r="X119" i="19"/>
  <c r="Y118" i="19"/>
  <c r="X118" i="19"/>
  <c r="Y116" i="19"/>
  <c r="X116" i="19"/>
  <c r="Y115" i="19"/>
  <c r="X115" i="19"/>
  <c r="Y114" i="19"/>
  <c r="X114" i="19"/>
  <c r="Y113" i="19"/>
  <c r="X113" i="19"/>
  <c r="Y111" i="19"/>
  <c r="X111" i="19"/>
  <c r="Y110" i="19"/>
  <c r="X110" i="19"/>
  <c r="Y109" i="19"/>
  <c r="X109" i="19"/>
  <c r="Y108" i="19"/>
  <c r="X108" i="19"/>
  <c r="Y107" i="19"/>
  <c r="X107" i="19"/>
  <c r="Y106" i="19"/>
  <c r="X106" i="19"/>
  <c r="Y105" i="19"/>
  <c r="X105" i="19"/>
  <c r="Y104" i="19"/>
  <c r="X104" i="19"/>
  <c r="Y103" i="19"/>
  <c r="X103" i="19"/>
  <c r="Y102" i="19"/>
  <c r="X102" i="19"/>
  <c r="Y101" i="19"/>
  <c r="X101" i="19"/>
  <c r="Y100" i="19"/>
  <c r="X100" i="19"/>
  <c r="Y99" i="19"/>
  <c r="X99" i="19"/>
  <c r="Y98" i="19"/>
  <c r="X98" i="19"/>
  <c r="Y96" i="19"/>
  <c r="X96" i="19"/>
  <c r="Y95" i="19"/>
  <c r="X95" i="19"/>
  <c r="Y94" i="19"/>
  <c r="X94" i="19"/>
  <c r="Y93" i="19"/>
  <c r="X93" i="19"/>
  <c r="Y91" i="19"/>
  <c r="X91" i="19"/>
  <c r="Y90" i="19"/>
  <c r="X90" i="19"/>
  <c r="Y89" i="19"/>
  <c r="X89" i="19"/>
  <c r="Y88" i="19"/>
  <c r="X88" i="19"/>
  <c r="Y87" i="19"/>
  <c r="X87" i="19"/>
  <c r="Y86" i="19"/>
  <c r="X86" i="19"/>
  <c r="Y85" i="19"/>
  <c r="X85" i="19"/>
  <c r="Y84" i="19"/>
  <c r="X84" i="19"/>
  <c r="Y83" i="19"/>
  <c r="X83" i="19"/>
  <c r="Y81" i="19"/>
  <c r="X81" i="19"/>
  <c r="Y80" i="19"/>
  <c r="X80" i="19"/>
  <c r="Y79" i="19"/>
  <c r="X79" i="19"/>
  <c r="Y77" i="19"/>
  <c r="X77" i="19"/>
  <c r="Y76" i="19"/>
  <c r="X76" i="19"/>
  <c r="Y75" i="19"/>
  <c r="X75" i="19"/>
  <c r="Y74" i="19"/>
  <c r="X74" i="19"/>
  <c r="Y73" i="19"/>
  <c r="X73" i="19"/>
  <c r="Y72" i="19"/>
  <c r="X72" i="19"/>
  <c r="Y71" i="19"/>
  <c r="X71" i="19"/>
  <c r="Y70" i="19"/>
  <c r="X70" i="19"/>
  <c r="Y69" i="19"/>
  <c r="X69" i="19"/>
  <c r="Y68" i="19"/>
  <c r="X68" i="19"/>
  <c r="Y67" i="19"/>
  <c r="X67" i="19"/>
  <c r="Y66" i="19"/>
  <c r="X66" i="19"/>
  <c r="Y65" i="19"/>
  <c r="X65" i="19"/>
  <c r="Y62" i="19"/>
  <c r="X62" i="19"/>
  <c r="Y61" i="19"/>
  <c r="X61" i="19"/>
  <c r="Y60" i="19"/>
  <c r="X60" i="19"/>
  <c r="Y59" i="19"/>
  <c r="X59" i="19"/>
  <c r="Y58" i="19"/>
  <c r="X58" i="19"/>
  <c r="Y57" i="19"/>
  <c r="X57" i="19"/>
  <c r="Y56" i="19"/>
  <c r="X56" i="19"/>
  <c r="Y54" i="19"/>
  <c r="X54" i="19"/>
  <c r="Y53" i="19"/>
  <c r="X53" i="19"/>
  <c r="Y52" i="19"/>
  <c r="X52" i="19"/>
  <c r="Y51" i="19"/>
  <c r="X51" i="19"/>
  <c r="Y49" i="19"/>
  <c r="X49" i="19"/>
  <c r="Y48" i="19"/>
  <c r="X48" i="19"/>
  <c r="Y47" i="19"/>
  <c r="X47" i="19"/>
  <c r="Y46" i="19"/>
  <c r="X46" i="19"/>
  <c r="Y44" i="19"/>
  <c r="X44" i="19"/>
  <c r="Y43" i="19"/>
  <c r="X43" i="19"/>
  <c r="Y42" i="19"/>
  <c r="X42" i="19"/>
  <c r="Y41" i="19"/>
  <c r="X41" i="19"/>
  <c r="Y40" i="19"/>
  <c r="X40" i="19"/>
  <c r="Y38" i="19"/>
  <c r="X38" i="19"/>
  <c r="Y37" i="19"/>
  <c r="X37" i="19"/>
  <c r="Y36" i="19"/>
  <c r="X36" i="19"/>
  <c r="Y35" i="19"/>
  <c r="X35" i="19"/>
  <c r="Y34" i="19"/>
  <c r="X34" i="19"/>
  <c r="Y33" i="19"/>
  <c r="X33" i="19"/>
  <c r="Y32" i="19"/>
  <c r="X32" i="19"/>
  <c r="Y31" i="19"/>
  <c r="X31" i="19"/>
  <c r="Y30" i="19"/>
  <c r="X30" i="19"/>
  <c r="Y29" i="19"/>
  <c r="X29" i="19"/>
  <c r="Y28" i="19"/>
  <c r="X28" i="19"/>
  <c r="Y27" i="19"/>
  <c r="X27" i="19"/>
  <c r="X26" i="19"/>
  <c r="X25" i="19"/>
  <c r="Y24" i="19"/>
  <c r="X24" i="19"/>
  <c r="Y23" i="19"/>
  <c r="X23" i="19"/>
  <c r="P982" i="19"/>
  <c r="O982" i="19"/>
  <c r="N982" i="19"/>
  <c r="P981" i="19"/>
  <c r="O981" i="19"/>
  <c r="N981" i="19"/>
  <c r="P980" i="19"/>
  <c r="O980" i="19"/>
  <c r="N980" i="19"/>
  <c r="P979" i="19"/>
  <c r="O979" i="19"/>
  <c r="N979" i="19"/>
  <c r="P978" i="19"/>
  <c r="O978" i="19"/>
  <c r="N978" i="19"/>
  <c r="P976" i="19"/>
  <c r="O976" i="19"/>
  <c r="N976" i="19"/>
  <c r="P975" i="19"/>
  <c r="O975" i="19"/>
  <c r="N975" i="19"/>
  <c r="P974" i="19"/>
  <c r="O974" i="19"/>
  <c r="N974" i="19"/>
  <c r="P972" i="19"/>
  <c r="O972" i="19"/>
  <c r="N972" i="19"/>
  <c r="P971" i="19"/>
  <c r="O971" i="19"/>
  <c r="N971" i="19"/>
  <c r="P970" i="19"/>
  <c r="O970" i="19"/>
  <c r="N970" i="19"/>
  <c r="P969" i="19"/>
  <c r="O969" i="19"/>
  <c r="N969" i="19"/>
  <c r="P968" i="19"/>
  <c r="O968" i="19"/>
  <c r="N968" i="19"/>
  <c r="P966" i="19"/>
  <c r="O966" i="19"/>
  <c r="N966" i="19"/>
  <c r="P965" i="19"/>
  <c r="O965" i="19"/>
  <c r="N965" i="19"/>
  <c r="P964" i="19"/>
  <c r="O964" i="19"/>
  <c r="N964" i="19"/>
  <c r="P963" i="19"/>
  <c r="O963" i="19"/>
  <c r="N963" i="19"/>
  <c r="P962" i="19"/>
  <c r="O962" i="19"/>
  <c r="N962" i="19"/>
  <c r="P961" i="19"/>
  <c r="O961" i="19"/>
  <c r="N961" i="19"/>
  <c r="P960" i="19"/>
  <c r="O960" i="19"/>
  <c r="N960" i="19"/>
  <c r="P959" i="19"/>
  <c r="O959" i="19"/>
  <c r="N959" i="19"/>
  <c r="P958" i="19"/>
  <c r="O958" i="19"/>
  <c r="N958" i="19"/>
  <c r="P957" i="19"/>
  <c r="O957" i="19"/>
  <c r="N957" i="19"/>
  <c r="P956" i="19"/>
  <c r="O956" i="19"/>
  <c r="N956" i="19"/>
  <c r="P955" i="19"/>
  <c r="O955" i="19"/>
  <c r="N955" i="19"/>
  <c r="P954" i="19"/>
  <c r="O954" i="19"/>
  <c r="N954" i="19"/>
  <c r="P953" i="19"/>
  <c r="O953" i="19"/>
  <c r="N953" i="19"/>
  <c r="P952" i="19"/>
  <c r="O952" i="19"/>
  <c r="N952" i="19"/>
  <c r="P951" i="19"/>
  <c r="O951" i="19"/>
  <c r="N951" i="19"/>
  <c r="P950" i="19"/>
  <c r="O950" i="19"/>
  <c r="N950" i="19"/>
  <c r="P949" i="19"/>
  <c r="O949" i="19"/>
  <c r="N949" i="19"/>
  <c r="P948" i="19"/>
  <c r="O948" i="19"/>
  <c r="N948" i="19"/>
  <c r="P946" i="19"/>
  <c r="O946" i="19"/>
  <c r="N946" i="19"/>
  <c r="P945" i="19"/>
  <c r="O945" i="19"/>
  <c r="N945" i="19"/>
  <c r="P944" i="19"/>
  <c r="O944" i="19"/>
  <c r="N944" i="19"/>
  <c r="P943" i="19"/>
  <c r="O943" i="19"/>
  <c r="N943" i="19"/>
  <c r="P941" i="19"/>
  <c r="O941" i="19"/>
  <c r="N941" i="19"/>
  <c r="P939" i="19"/>
  <c r="O939" i="19"/>
  <c r="N939" i="19"/>
  <c r="P938" i="19"/>
  <c r="O938" i="19"/>
  <c r="N938" i="19"/>
  <c r="P937" i="19"/>
  <c r="O937" i="19"/>
  <c r="N937" i="19"/>
  <c r="P936" i="19"/>
  <c r="O936" i="19"/>
  <c r="N936" i="19"/>
  <c r="P934" i="19"/>
  <c r="O934" i="19"/>
  <c r="N934" i="19"/>
  <c r="P933" i="19"/>
  <c r="O933" i="19"/>
  <c r="N933" i="19"/>
  <c r="P932" i="19"/>
  <c r="O932" i="19"/>
  <c r="N932" i="19"/>
  <c r="P931" i="19"/>
  <c r="O931" i="19"/>
  <c r="N931" i="19"/>
  <c r="P930" i="19"/>
  <c r="O930" i="19"/>
  <c r="N930" i="19"/>
  <c r="P929" i="19"/>
  <c r="O929" i="19"/>
  <c r="N929" i="19"/>
  <c r="P928" i="19"/>
  <c r="O928" i="19"/>
  <c r="N928" i="19"/>
  <c r="P927" i="19"/>
  <c r="O927" i="19"/>
  <c r="N927" i="19"/>
  <c r="P926" i="19"/>
  <c r="O926" i="19"/>
  <c r="N926" i="19"/>
  <c r="P925" i="19"/>
  <c r="O925" i="19"/>
  <c r="N925" i="19"/>
  <c r="P924" i="19"/>
  <c r="O924" i="19"/>
  <c r="N924" i="19"/>
  <c r="P923" i="19"/>
  <c r="O923" i="19"/>
  <c r="N923" i="19"/>
  <c r="P922" i="19"/>
  <c r="O922" i="19"/>
  <c r="N922" i="19"/>
  <c r="P921" i="19"/>
  <c r="O921" i="19"/>
  <c r="N921" i="19"/>
  <c r="P920" i="19"/>
  <c r="O920" i="19"/>
  <c r="N920" i="19"/>
  <c r="P918" i="19"/>
  <c r="O918" i="19"/>
  <c r="N918" i="19"/>
  <c r="P916" i="19"/>
  <c r="O916" i="19"/>
  <c r="N916" i="19"/>
  <c r="P915" i="19"/>
  <c r="O915" i="19"/>
  <c r="N915" i="19"/>
  <c r="P914" i="19"/>
  <c r="O914" i="19"/>
  <c r="N914" i="19"/>
  <c r="P913" i="19"/>
  <c r="O913" i="19"/>
  <c r="N913" i="19"/>
  <c r="P912" i="19"/>
  <c r="O912" i="19"/>
  <c r="N912" i="19"/>
  <c r="P911" i="19"/>
  <c r="O911" i="19"/>
  <c r="N911" i="19"/>
  <c r="P909" i="19"/>
  <c r="O909" i="19"/>
  <c r="N909" i="19"/>
  <c r="P907" i="19"/>
  <c r="O907" i="19"/>
  <c r="N907" i="19"/>
  <c r="P906" i="19"/>
  <c r="O906" i="19"/>
  <c r="N906" i="19"/>
  <c r="P905" i="19"/>
  <c r="O905" i="19"/>
  <c r="N905" i="19"/>
  <c r="P904" i="19"/>
  <c r="O904" i="19"/>
  <c r="N904" i="19"/>
  <c r="P903" i="19"/>
  <c r="O903" i="19"/>
  <c r="N903" i="19"/>
  <c r="P902" i="19"/>
  <c r="O902" i="19"/>
  <c r="N902" i="19"/>
  <c r="P901" i="19"/>
  <c r="O901" i="19"/>
  <c r="N901" i="19"/>
  <c r="P900" i="19"/>
  <c r="O900" i="19"/>
  <c r="N900" i="19"/>
  <c r="P899" i="19"/>
  <c r="O899" i="19"/>
  <c r="N899" i="19"/>
  <c r="P897" i="19"/>
  <c r="O897" i="19"/>
  <c r="N897" i="19"/>
  <c r="P896" i="19"/>
  <c r="O896" i="19"/>
  <c r="N896" i="19"/>
  <c r="P895" i="19"/>
  <c r="O895" i="19"/>
  <c r="N895" i="19"/>
  <c r="P894" i="19"/>
  <c r="O894" i="19"/>
  <c r="N894" i="19"/>
  <c r="P893" i="19"/>
  <c r="O893" i="19"/>
  <c r="N893" i="19"/>
  <c r="P892" i="19"/>
  <c r="O892" i="19"/>
  <c r="N892" i="19"/>
  <c r="P891" i="19"/>
  <c r="O891" i="19"/>
  <c r="N891" i="19"/>
  <c r="P890" i="19"/>
  <c r="O890" i="19"/>
  <c r="N890" i="19"/>
  <c r="P889" i="19"/>
  <c r="O889" i="19"/>
  <c r="N889" i="19"/>
  <c r="P888" i="19"/>
  <c r="O888" i="19"/>
  <c r="N888" i="19"/>
  <c r="P887" i="19"/>
  <c r="O887" i="19"/>
  <c r="N887" i="19"/>
  <c r="P886" i="19"/>
  <c r="O886" i="19"/>
  <c r="N886" i="19"/>
  <c r="P884" i="19"/>
  <c r="O884" i="19"/>
  <c r="N884" i="19"/>
  <c r="P883" i="19"/>
  <c r="O883" i="19"/>
  <c r="N883" i="19"/>
  <c r="P881" i="19"/>
  <c r="O881" i="19"/>
  <c r="N881" i="19"/>
  <c r="P880" i="19"/>
  <c r="O880" i="19"/>
  <c r="N880" i="19"/>
  <c r="P879" i="19"/>
  <c r="O879" i="19"/>
  <c r="N879" i="19"/>
  <c r="P878" i="19"/>
  <c r="O878" i="19"/>
  <c r="N878" i="19"/>
  <c r="P877" i="19"/>
  <c r="O877" i="19"/>
  <c r="N877" i="19"/>
  <c r="P876" i="19"/>
  <c r="O876" i="19"/>
  <c r="N876" i="19"/>
  <c r="P874" i="19"/>
  <c r="O874" i="19"/>
  <c r="N874" i="19"/>
  <c r="P873" i="19"/>
  <c r="O873" i="19"/>
  <c r="N873" i="19"/>
  <c r="P872" i="19"/>
  <c r="O872" i="19"/>
  <c r="N872" i="19"/>
  <c r="P871" i="19"/>
  <c r="O871" i="19"/>
  <c r="N871" i="19"/>
  <c r="P870" i="19"/>
  <c r="O870" i="19"/>
  <c r="N870" i="19"/>
  <c r="P869" i="19"/>
  <c r="O869" i="19"/>
  <c r="N869" i="19"/>
  <c r="P868" i="19"/>
  <c r="O868" i="19"/>
  <c r="N868" i="19"/>
  <c r="P867" i="19"/>
  <c r="O867" i="19"/>
  <c r="N867" i="19"/>
  <c r="P866" i="19"/>
  <c r="O866" i="19"/>
  <c r="N866" i="19"/>
  <c r="P864" i="19"/>
  <c r="O864" i="19"/>
  <c r="N864" i="19"/>
  <c r="P863" i="19"/>
  <c r="O863" i="19"/>
  <c r="N863" i="19"/>
  <c r="P862" i="19"/>
  <c r="O862" i="19"/>
  <c r="N862" i="19"/>
  <c r="P861" i="19"/>
  <c r="O861" i="19"/>
  <c r="N861" i="19"/>
  <c r="P860" i="19"/>
  <c r="O860" i="19"/>
  <c r="N860" i="19"/>
  <c r="P859" i="19"/>
  <c r="O859" i="19"/>
  <c r="N859" i="19"/>
  <c r="P858" i="19"/>
  <c r="O858" i="19"/>
  <c r="N858" i="19"/>
  <c r="P857" i="19"/>
  <c r="O857" i="19"/>
  <c r="N857" i="19"/>
  <c r="P856" i="19"/>
  <c r="O856" i="19"/>
  <c r="N856" i="19"/>
  <c r="P855" i="19"/>
  <c r="O855" i="19"/>
  <c r="N855" i="19"/>
  <c r="P854" i="19"/>
  <c r="O854" i="19"/>
  <c r="N854" i="19"/>
  <c r="P853" i="19"/>
  <c r="O853" i="19"/>
  <c r="N853" i="19"/>
  <c r="P852" i="19"/>
  <c r="O852" i="19"/>
  <c r="N852" i="19"/>
  <c r="P851" i="19"/>
  <c r="O851" i="19"/>
  <c r="N851" i="19"/>
  <c r="P850" i="19"/>
  <c r="O850" i="19"/>
  <c r="N850" i="19"/>
  <c r="P849" i="19"/>
  <c r="O849" i="19"/>
  <c r="N849" i="19"/>
  <c r="P848" i="19"/>
  <c r="O848" i="19"/>
  <c r="N848" i="19"/>
  <c r="P847" i="19"/>
  <c r="O847" i="19"/>
  <c r="N847" i="19"/>
  <c r="P846" i="19"/>
  <c r="O846" i="19"/>
  <c r="N846" i="19"/>
  <c r="P844" i="19"/>
  <c r="O844" i="19"/>
  <c r="N844" i="19"/>
  <c r="P843" i="19"/>
  <c r="O843" i="19"/>
  <c r="N843" i="19"/>
  <c r="P842" i="19"/>
  <c r="O842" i="19"/>
  <c r="N842" i="19"/>
  <c r="P841" i="19"/>
  <c r="O841" i="19"/>
  <c r="N841" i="19"/>
  <c r="P840" i="19"/>
  <c r="O840" i="19"/>
  <c r="N840" i="19"/>
  <c r="P839" i="19"/>
  <c r="O839" i="19"/>
  <c r="N839" i="19"/>
  <c r="P838" i="19"/>
  <c r="O838" i="19"/>
  <c r="N838" i="19"/>
  <c r="P837" i="19"/>
  <c r="O837" i="19"/>
  <c r="N837" i="19"/>
  <c r="P836" i="19"/>
  <c r="O836" i="19"/>
  <c r="N836" i="19"/>
  <c r="P834" i="19"/>
  <c r="O834" i="19"/>
  <c r="N834" i="19"/>
  <c r="P833" i="19"/>
  <c r="O833" i="19"/>
  <c r="N833" i="19"/>
  <c r="P831" i="19"/>
  <c r="O831" i="19"/>
  <c r="N831" i="19"/>
  <c r="P830" i="19"/>
  <c r="O830" i="19"/>
  <c r="N830" i="19"/>
  <c r="P829" i="19"/>
  <c r="O829" i="19"/>
  <c r="N829" i="19"/>
  <c r="P828" i="19"/>
  <c r="O828" i="19"/>
  <c r="N828" i="19"/>
  <c r="P827" i="19"/>
  <c r="O827" i="19"/>
  <c r="N827" i="19"/>
  <c r="P825" i="19"/>
  <c r="O825" i="19"/>
  <c r="N825" i="19"/>
  <c r="P823" i="19"/>
  <c r="O823" i="19"/>
  <c r="N823" i="19"/>
  <c r="P821" i="19"/>
  <c r="O821" i="19"/>
  <c r="N821" i="19"/>
  <c r="P820" i="19"/>
  <c r="O820" i="19"/>
  <c r="N820" i="19"/>
  <c r="P818" i="19"/>
  <c r="O818" i="19"/>
  <c r="N818" i="19"/>
  <c r="P816" i="19"/>
  <c r="O816" i="19"/>
  <c r="N816" i="19"/>
  <c r="P814" i="19"/>
  <c r="O814" i="19"/>
  <c r="N814" i="19"/>
  <c r="P812" i="19"/>
  <c r="O812" i="19"/>
  <c r="N812" i="19"/>
  <c r="P809" i="19"/>
  <c r="O809" i="19"/>
  <c r="N809" i="19"/>
  <c r="P808" i="19"/>
  <c r="O808" i="19"/>
  <c r="N808" i="19"/>
  <c r="P807" i="19"/>
  <c r="O807" i="19"/>
  <c r="N807" i="19"/>
  <c r="P806" i="19"/>
  <c r="O806" i="19"/>
  <c r="N806" i="19"/>
  <c r="P804" i="19"/>
  <c r="O804" i="19"/>
  <c r="N804" i="19"/>
  <c r="P803" i="19"/>
  <c r="O803" i="19"/>
  <c r="N803" i="19"/>
  <c r="P802" i="19"/>
  <c r="O802" i="19"/>
  <c r="N802" i="19"/>
  <c r="P801" i="19"/>
  <c r="O801" i="19"/>
  <c r="N801" i="19"/>
  <c r="P799" i="19"/>
  <c r="O799" i="19"/>
  <c r="N799" i="19"/>
  <c r="P798" i="19"/>
  <c r="O798" i="19"/>
  <c r="N798" i="19"/>
  <c r="P797" i="19"/>
  <c r="O797" i="19"/>
  <c r="N797" i="19"/>
  <c r="P796" i="19"/>
  <c r="O796" i="19"/>
  <c r="N796" i="19"/>
  <c r="P795" i="19"/>
  <c r="O795" i="19"/>
  <c r="N795" i="19"/>
  <c r="P794" i="19"/>
  <c r="O794" i="19"/>
  <c r="N794" i="19"/>
  <c r="P793" i="19"/>
  <c r="O793" i="19"/>
  <c r="N793" i="19"/>
  <c r="P792" i="19"/>
  <c r="O792" i="19"/>
  <c r="N792" i="19"/>
  <c r="P791" i="19"/>
  <c r="O791" i="19"/>
  <c r="N791" i="19"/>
  <c r="P790" i="19"/>
  <c r="O790" i="19"/>
  <c r="N790" i="19"/>
  <c r="P789" i="19"/>
  <c r="O789" i="19"/>
  <c r="N789" i="19"/>
  <c r="P788" i="19"/>
  <c r="O788" i="19"/>
  <c r="N788" i="19"/>
  <c r="P786" i="19"/>
  <c r="O786" i="19"/>
  <c r="N786" i="19"/>
  <c r="P785" i="19"/>
  <c r="O785" i="19"/>
  <c r="N785" i="19"/>
  <c r="P784" i="19"/>
  <c r="O784" i="19"/>
  <c r="N784" i="19"/>
  <c r="P783" i="19"/>
  <c r="O783" i="19"/>
  <c r="N783" i="19"/>
  <c r="P782" i="19"/>
  <c r="O782" i="19"/>
  <c r="N782" i="19"/>
  <c r="P781" i="19"/>
  <c r="O781" i="19"/>
  <c r="N781" i="19"/>
  <c r="P779" i="19"/>
  <c r="O779" i="19"/>
  <c r="N779" i="19"/>
  <c r="P778" i="19"/>
  <c r="O778" i="19"/>
  <c r="N778" i="19"/>
  <c r="P777" i="19"/>
  <c r="O777" i="19"/>
  <c r="N777" i="19"/>
  <c r="P776" i="19"/>
  <c r="O776" i="19"/>
  <c r="N776" i="19"/>
  <c r="P775" i="19"/>
  <c r="O775" i="19"/>
  <c r="N775" i="19"/>
  <c r="P774" i="19"/>
  <c r="O774" i="19"/>
  <c r="N774" i="19"/>
  <c r="P773" i="19"/>
  <c r="O773" i="19"/>
  <c r="N773" i="19"/>
  <c r="P772" i="19"/>
  <c r="O772" i="19"/>
  <c r="N772" i="19"/>
  <c r="P771" i="19"/>
  <c r="O771" i="19"/>
  <c r="N771" i="19"/>
  <c r="P770" i="19"/>
  <c r="O770" i="19"/>
  <c r="N770" i="19"/>
  <c r="P769" i="19"/>
  <c r="O769" i="19"/>
  <c r="N769" i="19"/>
  <c r="P767" i="19"/>
  <c r="O767" i="19"/>
  <c r="N767" i="19"/>
  <c r="P766" i="19"/>
  <c r="O766" i="19"/>
  <c r="N766" i="19"/>
  <c r="P764" i="19"/>
  <c r="O764" i="19"/>
  <c r="N764" i="19"/>
  <c r="P763" i="19"/>
  <c r="O763" i="19"/>
  <c r="N763" i="19"/>
  <c r="P761" i="19"/>
  <c r="O761" i="19"/>
  <c r="N761" i="19"/>
  <c r="P760" i="19"/>
  <c r="O760" i="19"/>
  <c r="N760" i="19"/>
  <c r="P758" i="19"/>
  <c r="O758" i="19"/>
  <c r="N758" i="19"/>
  <c r="P755" i="19"/>
  <c r="O755" i="19"/>
  <c r="N755" i="19"/>
  <c r="P753" i="19"/>
  <c r="O753" i="19"/>
  <c r="N753" i="19"/>
  <c r="P751" i="19"/>
  <c r="O751" i="19"/>
  <c r="N751" i="19"/>
  <c r="P749" i="19"/>
  <c r="O749" i="19"/>
  <c r="N749" i="19"/>
  <c r="P747" i="19"/>
  <c r="O747" i="19"/>
  <c r="N747" i="19"/>
  <c r="P745" i="19"/>
  <c r="O745" i="19"/>
  <c r="N745" i="19"/>
  <c r="P743" i="19"/>
  <c r="O743" i="19"/>
  <c r="N743" i="19"/>
  <c r="P741" i="19"/>
  <c r="O741" i="19"/>
  <c r="N741" i="19"/>
  <c r="P740" i="19"/>
  <c r="O740" i="19"/>
  <c r="N740" i="19"/>
  <c r="P738" i="19"/>
  <c r="O738" i="19"/>
  <c r="N738" i="19"/>
  <c r="P737" i="19"/>
  <c r="O737" i="19"/>
  <c r="N737" i="19"/>
  <c r="P735" i="19"/>
  <c r="O735" i="19"/>
  <c r="N735" i="19"/>
  <c r="P733" i="19"/>
  <c r="O733" i="19"/>
  <c r="N733" i="19"/>
  <c r="P731" i="19"/>
  <c r="O731" i="19"/>
  <c r="N731" i="19"/>
  <c r="P728" i="19"/>
  <c r="O728" i="19"/>
  <c r="N728" i="19"/>
  <c r="P726" i="19"/>
  <c r="O726" i="19"/>
  <c r="N726" i="19"/>
  <c r="P724" i="19"/>
  <c r="O724" i="19"/>
  <c r="N724" i="19"/>
  <c r="P722" i="19"/>
  <c r="O722" i="19"/>
  <c r="N722" i="19"/>
  <c r="P721" i="19"/>
  <c r="O721" i="19"/>
  <c r="N721" i="19"/>
  <c r="P720" i="19"/>
  <c r="O720" i="19"/>
  <c r="N720" i="19"/>
  <c r="P719" i="19"/>
  <c r="O719" i="19"/>
  <c r="N719" i="19"/>
  <c r="P717" i="19"/>
  <c r="O717" i="19"/>
  <c r="N717" i="19"/>
  <c r="P715" i="19"/>
  <c r="O715" i="19"/>
  <c r="N715" i="19"/>
  <c r="P714" i="19"/>
  <c r="O714" i="19"/>
  <c r="N714" i="19"/>
  <c r="P712" i="19"/>
  <c r="O712" i="19"/>
  <c r="N712" i="19"/>
  <c r="P711" i="19"/>
  <c r="O711" i="19"/>
  <c r="N711" i="19"/>
  <c r="P709" i="19"/>
  <c r="O709" i="19"/>
  <c r="N709" i="19"/>
  <c r="P707" i="19"/>
  <c r="O707" i="19"/>
  <c r="N707" i="19"/>
  <c r="P706" i="19"/>
  <c r="O706" i="19"/>
  <c r="N706" i="19"/>
  <c r="P704" i="19"/>
  <c r="O704" i="19"/>
  <c r="N704" i="19"/>
  <c r="P703" i="19"/>
  <c r="O703" i="19"/>
  <c r="N703" i="19"/>
  <c r="P701" i="19"/>
  <c r="O701" i="19"/>
  <c r="N701" i="19"/>
  <c r="P700" i="19"/>
  <c r="O700" i="19"/>
  <c r="N700" i="19"/>
  <c r="P698" i="19"/>
  <c r="O698" i="19"/>
  <c r="N698" i="19"/>
  <c r="P697" i="19"/>
  <c r="O697" i="19"/>
  <c r="N697" i="19"/>
  <c r="P696" i="19"/>
  <c r="O696" i="19"/>
  <c r="N696" i="19"/>
  <c r="P695" i="19"/>
  <c r="O695" i="19"/>
  <c r="N695" i="19"/>
  <c r="P694" i="19"/>
  <c r="O694" i="19"/>
  <c r="N694" i="19"/>
  <c r="P693" i="19"/>
  <c r="O693" i="19"/>
  <c r="N693" i="19"/>
  <c r="P692" i="19"/>
  <c r="O692" i="19"/>
  <c r="N692" i="19"/>
  <c r="P691" i="19"/>
  <c r="O691" i="19"/>
  <c r="N691" i="19"/>
  <c r="P690" i="19"/>
  <c r="O690" i="19"/>
  <c r="N690" i="19"/>
  <c r="P689" i="19"/>
  <c r="O689" i="19"/>
  <c r="N689" i="19"/>
  <c r="P688" i="19"/>
  <c r="O688" i="19"/>
  <c r="N688" i="19"/>
  <c r="P687" i="19"/>
  <c r="O687" i="19"/>
  <c r="N687" i="19"/>
  <c r="P686" i="19"/>
  <c r="O686" i="19"/>
  <c r="N686" i="19"/>
  <c r="P685" i="19"/>
  <c r="O685" i="19"/>
  <c r="N685" i="19"/>
  <c r="P684" i="19"/>
  <c r="O684" i="19"/>
  <c r="N684" i="19"/>
  <c r="P683" i="19"/>
  <c r="O683" i="19"/>
  <c r="N683" i="19"/>
  <c r="P681" i="19"/>
  <c r="O681" i="19"/>
  <c r="N681" i="19"/>
  <c r="P680" i="19"/>
  <c r="O680" i="19"/>
  <c r="N680" i="19"/>
  <c r="P678" i="19"/>
  <c r="O678" i="19"/>
  <c r="N678" i="19"/>
  <c r="P677" i="19"/>
  <c r="O677" i="19"/>
  <c r="N677" i="19"/>
  <c r="P676" i="19"/>
  <c r="O676" i="19"/>
  <c r="N676" i="19"/>
  <c r="P675" i="19"/>
  <c r="O675" i="19"/>
  <c r="N675" i="19"/>
  <c r="P674" i="19"/>
  <c r="O674" i="19"/>
  <c r="N674" i="19"/>
  <c r="P673" i="19"/>
  <c r="O673" i="19"/>
  <c r="N673" i="19"/>
  <c r="P672" i="19"/>
  <c r="O672" i="19"/>
  <c r="N672" i="19"/>
  <c r="P671" i="19"/>
  <c r="O671" i="19"/>
  <c r="N671" i="19"/>
  <c r="P670" i="19"/>
  <c r="O670" i="19"/>
  <c r="N670" i="19"/>
  <c r="P669" i="19"/>
  <c r="O669" i="19"/>
  <c r="N669" i="19"/>
  <c r="P668" i="19"/>
  <c r="O668" i="19"/>
  <c r="N668" i="19"/>
  <c r="P666" i="19"/>
  <c r="O666" i="19"/>
  <c r="N666" i="19"/>
  <c r="P665" i="19"/>
  <c r="O665" i="19"/>
  <c r="N665" i="19"/>
  <c r="P663" i="19"/>
  <c r="O663" i="19"/>
  <c r="N663" i="19"/>
  <c r="P662" i="19"/>
  <c r="O662" i="19"/>
  <c r="N662" i="19"/>
  <c r="P660" i="19"/>
  <c r="O660" i="19"/>
  <c r="N660" i="19"/>
  <c r="P659" i="19"/>
  <c r="O659" i="19"/>
  <c r="N659" i="19"/>
  <c r="P657" i="19"/>
  <c r="O657" i="19"/>
  <c r="N657" i="19"/>
  <c r="P656" i="19"/>
  <c r="O656" i="19"/>
  <c r="N656" i="19"/>
  <c r="P655" i="19"/>
  <c r="O655" i="19"/>
  <c r="N655" i="19"/>
  <c r="P654" i="19"/>
  <c r="O654" i="19"/>
  <c r="N654" i="19"/>
  <c r="P652" i="19"/>
  <c r="O652" i="19"/>
  <c r="N652" i="19"/>
  <c r="P651" i="19"/>
  <c r="O651" i="19"/>
  <c r="N651" i="19"/>
  <c r="P650" i="19"/>
  <c r="O650" i="19"/>
  <c r="N650" i="19"/>
  <c r="P649" i="19"/>
  <c r="O649" i="19"/>
  <c r="N649" i="19"/>
  <c r="P647" i="19"/>
  <c r="O647" i="19"/>
  <c r="N647" i="19"/>
  <c r="P646" i="19"/>
  <c r="O646" i="19"/>
  <c r="N646" i="19"/>
  <c r="P645" i="19"/>
  <c r="O645" i="19"/>
  <c r="N645" i="19"/>
  <c r="P644" i="19"/>
  <c r="O644" i="19"/>
  <c r="N644" i="19"/>
  <c r="P643" i="19"/>
  <c r="O643" i="19"/>
  <c r="N643" i="19"/>
  <c r="P642" i="19"/>
  <c r="O642" i="19"/>
  <c r="N642" i="19"/>
  <c r="P641" i="19"/>
  <c r="O641" i="19"/>
  <c r="N641" i="19"/>
  <c r="P640" i="19"/>
  <c r="O640" i="19"/>
  <c r="N640" i="19"/>
  <c r="P639" i="19"/>
  <c r="O639" i="19"/>
  <c r="N639" i="19"/>
  <c r="P638" i="19"/>
  <c r="O638" i="19"/>
  <c r="N638" i="19"/>
  <c r="P636" i="19"/>
  <c r="O636" i="19"/>
  <c r="N636" i="19"/>
  <c r="P634" i="19"/>
  <c r="O634" i="19"/>
  <c r="N634" i="19"/>
  <c r="P633" i="19"/>
  <c r="O633" i="19"/>
  <c r="N633" i="19"/>
  <c r="P632" i="19"/>
  <c r="O632" i="19"/>
  <c r="N632" i="19"/>
  <c r="P630" i="19"/>
  <c r="O630" i="19"/>
  <c r="N630" i="19"/>
  <c r="P629" i="19"/>
  <c r="O629" i="19"/>
  <c r="N629" i="19"/>
  <c r="P628" i="19"/>
  <c r="O628" i="19"/>
  <c r="N628" i="19"/>
  <c r="P626" i="19"/>
  <c r="O626" i="19"/>
  <c r="N626" i="19"/>
  <c r="P624" i="19"/>
  <c r="O624" i="19"/>
  <c r="N624" i="19"/>
  <c r="P623" i="19"/>
  <c r="O623" i="19"/>
  <c r="N623" i="19"/>
  <c r="P622" i="19"/>
  <c r="O622" i="19"/>
  <c r="N622" i="19"/>
  <c r="P621" i="19"/>
  <c r="O621" i="19"/>
  <c r="N621" i="19"/>
  <c r="P620" i="19"/>
  <c r="O620" i="19"/>
  <c r="N620" i="19"/>
  <c r="P618" i="19"/>
  <c r="O618" i="19"/>
  <c r="N618" i="19"/>
  <c r="P617" i="19"/>
  <c r="O617" i="19"/>
  <c r="N617" i="19"/>
  <c r="P616" i="19"/>
  <c r="O616" i="19"/>
  <c r="N616" i="19"/>
  <c r="P615" i="19"/>
  <c r="O615" i="19"/>
  <c r="N615" i="19"/>
  <c r="P614" i="19"/>
  <c r="O614" i="19"/>
  <c r="N614" i="19"/>
  <c r="P612" i="19"/>
  <c r="O612" i="19"/>
  <c r="N612" i="19"/>
  <c r="P611" i="19"/>
  <c r="O611" i="19"/>
  <c r="N611" i="19"/>
  <c r="P610" i="19"/>
  <c r="O610" i="19"/>
  <c r="N610" i="19"/>
  <c r="P609" i="19"/>
  <c r="O609" i="19"/>
  <c r="N609" i="19"/>
  <c r="P608" i="19"/>
  <c r="O608" i="19"/>
  <c r="N608" i="19"/>
  <c r="P606" i="19"/>
  <c r="O606" i="19"/>
  <c r="N606" i="19"/>
  <c r="P604" i="19"/>
  <c r="O604" i="19"/>
  <c r="N604" i="19"/>
  <c r="P603" i="19"/>
  <c r="O603" i="19"/>
  <c r="N603" i="19"/>
  <c r="P602" i="19"/>
  <c r="O602" i="19"/>
  <c r="N602" i="19"/>
  <c r="P601" i="19"/>
  <c r="O601" i="19"/>
  <c r="N601" i="19"/>
  <c r="P600" i="19"/>
  <c r="O600" i="19"/>
  <c r="N600" i="19"/>
  <c r="P599" i="19"/>
  <c r="O599" i="19"/>
  <c r="N599" i="19"/>
  <c r="P598" i="19"/>
  <c r="O598" i="19"/>
  <c r="N598" i="19"/>
  <c r="P596" i="19"/>
  <c r="O596" i="19"/>
  <c r="N596" i="19"/>
  <c r="P595" i="19"/>
  <c r="O595" i="19"/>
  <c r="N595" i="19"/>
  <c r="P594" i="19"/>
  <c r="O594" i="19"/>
  <c r="N594" i="19"/>
  <c r="P593" i="19"/>
  <c r="O593" i="19"/>
  <c r="N593" i="19"/>
  <c r="P591" i="19"/>
  <c r="O591" i="19"/>
  <c r="N591" i="19"/>
  <c r="P590" i="19"/>
  <c r="O590" i="19"/>
  <c r="N590" i="19"/>
  <c r="P589" i="19"/>
  <c r="O589" i="19"/>
  <c r="N589" i="19"/>
  <c r="P588" i="19"/>
  <c r="O588" i="19"/>
  <c r="N588" i="19"/>
  <c r="P587" i="19"/>
  <c r="O587" i="19"/>
  <c r="N587" i="19"/>
  <c r="P585" i="19"/>
  <c r="O585" i="19"/>
  <c r="N585" i="19"/>
  <c r="P584" i="19"/>
  <c r="O584" i="19"/>
  <c r="N584" i="19"/>
  <c r="P583" i="19"/>
  <c r="O583" i="19"/>
  <c r="N583" i="19"/>
  <c r="P582" i="19"/>
  <c r="O582" i="19"/>
  <c r="N582" i="19"/>
  <c r="P581" i="19"/>
  <c r="O581" i="19"/>
  <c r="N581" i="19"/>
  <c r="P580" i="19"/>
  <c r="O580" i="19"/>
  <c r="N580" i="19"/>
  <c r="P579" i="19"/>
  <c r="O579" i="19"/>
  <c r="N579" i="19"/>
  <c r="P578" i="19"/>
  <c r="O578" i="19"/>
  <c r="N578" i="19"/>
  <c r="P577" i="19"/>
  <c r="O577" i="19"/>
  <c r="N577" i="19"/>
  <c r="P575" i="19"/>
  <c r="O575" i="19"/>
  <c r="N575" i="19"/>
  <c r="P574" i="19"/>
  <c r="O574" i="19"/>
  <c r="N574" i="19"/>
  <c r="P573" i="19"/>
  <c r="O573" i="19"/>
  <c r="N573" i="19"/>
  <c r="P571" i="19"/>
  <c r="O571" i="19"/>
  <c r="N571" i="19"/>
  <c r="P570" i="19"/>
  <c r="O570" i="19"/>
  <c r="N570" i="19"/>
  <c r="P569" i="19"/>
  <c r="O569" i="19"/>
  <c r="N569" i="19"/>
  <c r="P567" i="19"/>
  <c r="O567" i="19"/>
  <c r="N567" i="19"/>
  <c r="P565" i="19"/>
  <c r="O565" i="19"/>
  <c r="N565" i="19"/>
  <c r="P564" i="19"/>
  <c r="O564" i="19"/>
  <c r="N564" i="19"/>
  <c r="P563" i="19"/>
  <c r="O563" i="19"/>
  <c r="N563" i="19"/>
  <c r="P561" i="19"/>
  <c r="O561" i="19"/>
  <c r="N561" i="19"/>
  <c r="P560" i="19"/>
  <c r="O560" i="19"/>
  <c r="N560" i="19"/>
  <c r="P558" i="19"/>
  <c r="O558" i="19"/>
  <c r="N558" i="19"/>
  <c r="P557" i="19"/>
  <c r="O557" i="19"/>
  <c r="N557" i="19"/>
  <c r="P555" i="19"/>
  <c r="O555" i="19"/>
  <c r="N555" i="19"/>
  <c r="P554" i="19"/>
  <c r="O554" i="19"/>
  <c r="N554" i="19"/>
  <c r="P553" i="19"/>
  <c r="O553" i="19"/>
  <c r="N553" i="19"/>
  <c r="P552" i="19"/>
  <c r="O552" i="19"/>
  <c r="N552" i="19"/>
  <c r="P550" i="19"/>
  <c r="O550" i="19"/>
  <c r="N550" i="19"/>
  <c r="P549" i="19"/>
  <c r="O549" i="19"/>
  <c r="N549" i="19"/>
  <c r="P548" i="19"/>
  <c r="O548" i="19"/>
  <c r="N548" i="19"/>
  <c r="P546" i="19"/>
  <c r="O546" i="19"/>
  <c r="N546" i="19"/>
  <c r="P544" i="19"/>
  <c r="O544" i="19"/>
  <c r="N544" i="19"/>
  <c r="P542" i="19"/>
  <c r="O542" i="19"/>
  <c r="N542" i="19"/>
  <c r="P540" i="19"/>
  <c r="O540" i="19"/>
  <c r="N540" i="19"/>
  <c r="P539" i="19"/>
  <c r="O539" i="19"/>
  <c r="N539" i="19"/>
  <c r="P538" i="19"/>
  <c r="O538" i="19"/>
  <c r="N538" i="19"/>
  <c r="P536" i="19"/>
  <c r="O536" i="19"/>
  <c r="N536" i="19"/>
  <c r="P534" i="19"/>
  <c r="O534" i="19"/>
  <c r="N534" i="19"/>
  <c r="P533" i="19"/>
  <c r="O533" i="19"/>
  <c r="N533" i="19"/>
  <c r="P532" i="19"/>
  <c r="O532" i="19"/>
  <c r="N532" i="19"/>
  <c r="P531" i="19"/>
  <c r="O531" i="19"/>
  <c r="N531" i="19"/>
  <c r="P530" i="19"/>
  <c r="O530" i="19"/>
  <c r="N530" i="19"/>
  <c r="P528" i="19"/>
  <c r="O528" i="19"/>
  <c r="N528" i="19"/>
  <c r="P527" i="19"/>
  <c r="O527" i="19"/>
  <c r="N527" i="19"/>
  <c r="P526" i="19"/>
  <c r="O526" i="19"/>
  <c r="N526" i="19"/>
  <c r="P524" i="19"/>
  <c r="O524" i="19"/>
  <c r="N524" i="19"/>
  <c r="P523" i="19"/>
  <c r="O523" i="19"/>
  <c r="N523" i="19"/>
  <c r="P522" i="19"/>
  <c r="O522" i="19"/>
  <c r="N522" i="19"/>
  <c r="P521" i="19"/>
  <c r="O521" i="19"/>
  <c r="N521" i="19"/>
  <c r="P519" i="19"/>
  <c r="O519" i="19"/>
  <c r="N519" i="19"/>
  <c r="P518" i="19"/>
  <c r="O518" i="19"/>
  <c r="N518" i="19"/>
  <c r="P517" i="19"/>
  <c r="O517" i="19"/>
  <c r="N517" i="19"/>
  <c r="P516" i="19"/>
  <c r="O516" i="19"/>
  <c r="N516" i="19"/>
  <c r="P515" i="19"/>
  <c r="O515" i="19"/>
  <c r="N515" i="19"/>
  <c r="P514" i="19"/>
  <c r="O514" i="19"/>
  <c r="N514" i="19"/>
  <c r="P513" i="19"/>
  <c r="O513" i="19"/>
  <c r="N513" i="19"/>
  <c r="P511" i="19"/>
  <c r="O511" i="19"/>
  <c r="N511" i="19"/>
  <c r="P510" i="19"/>
  <c r="O510" i="19"/>
  <c r="N510" i="19"/>
  <c r="P509" i="19"/>
  <c r="O509" i="19"/>
  <c r="N509" i="19"/>
  <c r="P508" i="19"/>
  <c r="O508" i="19"/>
  <c r="N508" i="19"/>
  <c r="P507" i="19"/>
  <c r="O507" i="19"/>
  <c r="N507" i="19"/>
  <c r="P506" i="19"/>
  <c r="O506" i="19"/>
  <c r="N506" i="19"/>
  <c r="P505" i="19"/>
  <c r="O505" i="19"/>
  <c r="N505" i="19"/>
  <c r="P504" i="19"/>
  <c r="O504" i="19"/>
  <c r="N504" i="19"/>
  <c r="P503" i="19"/>
  <c r="O503" i="19"/>
  <c r="N503" i="19"/>
  <c r="P501" i="19"/>
  <c r="O501" i="19"/>
  <c r="N501" i="19"/>
  <c r="P500" i="19"/>
  <c r="O500" i="19"/>
  <c r="N500" i="19"/>
  <c r="P499" i="19"/>
  <c r="O499" i="19"/>
  <c r="N499" i="19"/>
  <c r="P498" i="19"/>
  <c r="O498" i="19"/>
  <c r="N498" i="19"/>
  <c r="P497" i="19"/>
  <c r="O497" i="19"/>
  <c r="N497" i="19"/>
  <c r="P496" i="19"/>
  <c r="O496" i="19"/>
  <c r="N496" i="19"/>
  <c r="P495" i="19"/>
  <c r="O495" i="19"/>
  <c r="N495" i="19"/>
  <c r="P494" i="19"/>
  <c r="O494" i="19"/>
  <c r="N494" i="19"/>
  <c r="P493" i="19"/>
  <c r="O493" i="19"/>
  <c r="N493" i="19"/>
  <c r="P492" i="19"/>
  <c r="O492" i="19"/>
  <c r="N492" i="19"/>
  <c r="P490" i="19"/>
  <c r="O490" i="19"/>
  <c r="N490" i="19"/>
  <c r="P489" i="19"/>
  <c r="O489" i="19"/>
  <c r="N489" i="19"/>
  <c r="P488" i="19"/>
  <c r="O488" i="19"/>
  <c r="N488" i="19"/>
  <c r="P487" i="19"/>
  <c r="O487" i="19"/>
  <c r="N487" i="19"/>
  <c r="P486" i="19"/>
  <c r="O486" i="19"/>
  <c r="N486" i="19"/>
  <c r="P485" i="19"/>
  <c r="O485" i="19"/>
  <c r="N485" i="19"/>
  <c r="P484" i="19"/>
  <c r="O484" i="19"/>
  <c r="N484" i="19"/>
  <c r="P483" i="19"/>
  <c r="O483" i="19"/>
  <c r="N483" i="19"/>
  <c r="P481" i="19"/>
  <c r="O481" i="19"/>
  <c r="N481" i="19"/>
  <c r="P480" i="19"/>
  <c r="O480" i="19"/>
  <c r="N480" i="19"/>
  <c r="P478" i="19"/>
  <c r="O478" i="19"/>
  <c r="N478" i="19"/>
  <c r="P477" i="19"/>
  <c r="O477" i="19"/>
  <c r="N477" i="19"/>
  <c r="P475" i="19"/>
  <c r="O475" i="19"/>
  <c r="N475" i="19"/>
  <c r="P473" i="19"/>
  <c r="O473" i="19"/>
  <c r="N473" i="19"/>
  <c r="P472" i="19"/>
  <c r="O472" i="19"/>
  <c r="N472" i="19"/>
  <c r="P471" i="19"/>
  <c r="O471" i="19"/>
  <c r="N471" i="19"/>
  <c r="P469" i="19"/>
  <c r="O469" i="19"/>
  <c r="N469" i="19"/>
  <c r="P467" i="19"/>
  <c r="O467" i="19"/>
  <c r="N467" i="19"/>
  <c r="P466" i="19"/>
  <c r="O466" i="19"/>
  <c r="N466" i="19"/>
  <c r="P465" i="19"/>
  <c r="O465" i="19"/>
  <c r="N465" i="19"/>
  <c r="P464" i="19"/>
  <c r="O464" i="19"/>
  <c r="N464" i="19"/>
  <c r="P462" i="19"/>
  <c r="O462" i="19"/>
  <c r="N462" i="19"/>
  <c r="P461" i="19"/>
  <c r="O461" i="19"/>
  <c r="N461" i="19"/>
  <c r="P460" i="19"/>
  <c r="O460" i="19"/>
  <c r="N460" i="19"/>
  <c r="P458" i="19"/>
  <c r="O458" i="19"/>
  <c r="N458" i="19"/>
  <c r="P457" i="19"/>
  <c r="O457" i="19"/>
  <c r="N457" i="19"/>
  <c r="P456" i="19"/>
  <c r="O456" i="19"/>
  <c r="N456" i="19"/>
  <c r="P454" i="19"/>
  <c r="O454" i="19"/>
  <c r="N454" i="19"/>
  <c r="P452" i="19"/>
  <c r="O452" i="19"/>
  <c r="N452" i="19"/>
  <c r="P451" i="19"/>
  <c r="O451" i="19"/>
  <c r="N451" i="19"/>
  <c r="P449" i="19"/>
  <c r="O449" i="19"/>
  <c r="N449" i="19"/>
  <c r="P447" i="19"/>
  <c r="O447" i="19"/>
  <c r="N447" i="19"/>
  <c r="P446" i="19"/>
  <c r="O446" i="19"/>
  <c r="N446" i="19"/>
  <c r="P445" i="19"/>
  <c r="O445" i="19"/>
  <c r="N445" i="19"/>
  <c r="P444" i="19"/>
  <c r="O444" i="19"/>
  <c r="N444" i="19"/>
  <c r="P442" i="19"/>
  <c r="O442" i="19"/>
  <c r="N442" i="19"/>
  <c r="P440" i="19"/>
  <c r="O440" i="19"/>
  <c r="N440" i="19"/>
  <c r="P439" i="19"/>
  <c r="O439" i="19"/>
  <c r="N439" i="19"/>
  <c r="P438" i="19"/>
  <c r="O438" i="19"/>
  <c r="N438" i="19"/>
  <c r="P436" i="19"/>
  <c r="O436" i="19"/>
  <c r="N436" i="19"/>
  <c r="P435" i="19"/>
  <c r="O435" i="19"/>
  <c r="N435" i="19"/>
  <c r="P433" i="19"/>
  <c r="O433" i="19"/>
  <c r="N433" i="19"/>
  <c r="P432" i="19"/>
  <c r="O432" i="19"/>
  <c r="N432" i="19"/>
  <c r="P431" i="19"/>
  <c r="O431" i="19"/>
  <c r="N431" i="19"/>
  <c r="P430" i="19"/>
  <c r="O430" i="19"/>
  <c r="N430" i="19"/>
  <c r="P429" i="19"/>
  <c r="O429" i="19"/>
  <c r="N429" i="19"/>
  <c r="P427" i="19"/>
  <c r="O427" i="19"/>
  <c r="N427" i="19"/>
  <c r="P426" i="19"/>
  <c r="O426" i="19"/>
  <c r="N426" i="19"/>
  <c r="P424" i="19"/>
  <c r="O424" i="19"/>
  <c r="N424" i="19"/>
  <c r="P422" i="19"/>
  <c r="O422" i="19"/>
  <c r="N422" i="19"/>
  <c r="P421" i="19"/>
  <c r="O421" i="19"/>
  <c r="N421" i="19"/>
  <c r="P420" i="19"/>
  <c r="O420" i="19"/>
  <c r="N420" i="19"/>
  <c r="P418" i="19"/>
  <c r="O418" i="19"/>
  <c r="N418" i="19"/>
  <c r="P417" i="19"/>
  <c r="O417" i="19"/>
  <c r="N417" i="19"/>
  <c r="P416" i="19"/>
  <c r="O416" i="19"/>
  <c r="N416" i="19"/>
  <c r="P415" i="19"/>
  <c r="O415" i="19"/>
  <c r="N415" i="19"/>
  <c r="P414" i="19"/>
  <c r="O414" i="19"/>
  <c r="N414" i="19"/>
  <c r="P413" i="19"/>
  <c r="O413" i="19"/>
  <c r="N413" i="19"/>
  <c r="P412" i="19"/>
  <c r="O412" i="19"/>
  <c r="N412" i="19"/>
  <c r="P411" i="19"/>
  <c r="O411" i="19"/>
  <c r="N411" i="19"/>
  <c r="P410" i="19"/>
  <c r="O410" i="19"/>
  <c r="N410" i="19"/>
  <c r="P409" i="19"/>
  <c r="O409" i="19"/>
  <c r="N409" i="19"/>
  <c r="P407" i="19"/>
  <c r="O407" i="19"/>
  <c r="N407" i="19"/>
  <c r="P406" i="19"/>
  <c r="O406" i="19"/>
  <c r="N406" i="19"/>
  <c r="P404" i="19"/>
  <c r="O404" i="19"/>
  <c r="N404" i="19"/>
  <c r="P403" i="19"/>
  <c r="O403" i="19"/>
  <c r="N403" i="19"/>
  <c r="P401" i="19"/>
  <c r="O401" i="19"/>
  <c r="N401" i="19"/>
  <c r="P400" i="19"/>
  <c r="O400" i="19"/>
  <c r="N400" i="19"/>
  <c r="P399" i="19"/>
  <c r="O399" i="19"/>
  <c r="N399" i="19"/>
  <c r="P398" i="19"/>
  <c r="O398" i="19"/>
  <c r="N398" i="19"/>
  <c r="P397" i="19"/>
  <c r="O397" i="19"/>
  <c r="N397" i="19"/>
  <c r="P396" i="19"/>
  <c r="O396" i="19"/>
  <c r="N396" i="19"/>
  <c r="P394" i="19"/>
  <c r="O394" i="19"/>
  <c r="N394" i="19"/>
  <c r="P393" i="19"/>
  <c r="O393" i="19"/>
  <c r="N393" i="19"/>
  <c r="P391" i="19"/>
  <c r="O391" i="19"/>
  <c r="N391" i="19"/>
  <c r="P389" i="19"/>
  <c r="O389" i="19"/>
  <c r="N389" i="19"/>
  <c r="P388" i="19"/>
  <c r="O388" i="19"/>
  <c r="N388" i="19"/>
  <c r="P386" i="19"/>
  <c r="O386" i="19"/>
  <c r="N386" i="19"/>
  <c r="P384" i="19"/>
  <c r="O384" i="19"/>
  <c r="N384" i="19"/>
  <c r="P382" i="19"/>
  <c r="O382" i="19"/>
  <c r="N382" i="19"/>
  <c r="P380" i="19"/>
  <c r="O380" i="19"/>
  <c r="N380" i="19"/>
  <c r="P378" i="19"/>
  <c r="O378" i="19"/>
  <c r="N378" i="19"/>
  <c r="P376" i="19"/>
  <c r="O376" i="19"/>
  <c r="N376" i="19"/>
  <c r="P374" i="19"/>
  <c r="O374" i="19"/>
  <c r="N374" i="19"/>
  <c r="P372" i="19"/>
  <c r="O372" i="19"/>
  <c r="N372" i="19"/>
  <c r="P370" i="19"/>
  <c r="O370" i="19"/>
  <c r="N370" i="19"/>
  <c r="P368" i="19"/>
  <c r="O368" i="19"/>
  <c r="N368" i="19"/>
  <c r="P366" i="19"/>
  <c r="O366" i="19"/>
  <c r="N366" i="19"/>
  <c r="P365" i="19"/>
  <c r="O365" i="19"/>
  <c r="N365" i="19"/>
  <c r="P363" i="19"/>
  <c r="O363" i="19"/>
  <c r="N363" i="19"/>
  <c r="P362" i="19"/>
  <c r="O362" i="19"/>
  <c r="N362" i="19"/>
  <c r="P360" i="19"/>
  <c r="O360" i="19"/>
  <c r="N360" i="19"/>
  <c r="P359" i="19"/>
  <c r="O359" i="19"/>
  <c r="N359" i="19"/>
  <c r="P358" i="19"/>
  <c r="O358" i="19"/>
  <c r="N358" i="19"/>
  <c r="P357" i="19"/>
  <c r="O357" i="19"/>
  <c r="N357" i="19"/>
  <c r="P356" i="19"/>
  <c r="O356" i="19"/>
  <c r="N356" i="19"/>
  <c r="P355" i="19"/>
  <c r="O355" i="19"/>
  <c r="N355" i="19"/>
  <c r="P354" i="19"/>
  <c r="O354" i="19"/>
  <c r="N354" i="19"/>
  <c r="P353" i="19"/>
  <c r="O353" i="19"/>
  <c r="N353" i="19"/>
  <c r="P352" i="19"/>
  <c r="O352" i="19"/>
  <c r="N352" i="19"/>
  <c r="P351" i="19"/>
  <c r="O351" i="19"/>
  <c r="N351" i="19"/>
  <c r="P350" i="19"/>
  <c r="O350" i="19"/>
  <c r="N350" i="19"/>
  <c r="P349" i="19"/>
  <c r="O349" i="19"/>
  <c r="N349" i="19"/>
  <c r="P348" i="19"/>
  <c r="O348" i="19"/>
  <c r="N348" i="19"/>
  <c r="P347" i="19"/>
  <c r="O347" i="19"/>
  <c r="N347" i="19"/>
  <c r="P345" i="19"/>
  <c r="O345" i="19"/>
  <c r="N345" i="19"/>
  <c r="P344" i="19"/>
  <c r="O344" i="19"/>
  <c r="N344" i="19"/>
  <c r="P342" i="19"/>
  <c r="O342" i="19"/>
  <c r="N342" i="19"/>
  <c r="P341" i="19"/>
  <c r="O341" i="19"/>
  <c r="N341" i="19"/>
  <c r="P340" i="19"/>
  <c r="O340" i="19"/>
  <c r="N340" i="19"/>
  <c r="P339" i="19"/>
  <c r="O339" i="19"/>
  <c r="N339" i="19"/>
  <c r="P337" i="19"/>
  <c r="O337" i="19"/>
  <c r="N337" i="19"/>
  <c r="P336" i="19"/>
  <c r="O336" i="19"/>
  <c r="N336" i="19"/>
  <c r="P335" i="19"/>
  <c r="O335" i="19"/>
  <c r="N335" i="19"/>
  <c r="P334" i="19"/>
  <c r="O334" i="19"/>
  <c r="N334" i="19"/>
  <c r="P332" i="19"/>
  <c r="O332" i="19"/>
  <c r="N332" i="19"/>
  <c r="P331" i="19"/>
  <c r="O331" i="19"/>
  <c r="N331" i="19"/>
  <c r="P330" i="19"/>
  <c r="O330" i="19"/>
  <c r="N330" i="19"/>
  <c r="P329" i="19"/>
  <c r="O329" i="19"/>
  <c r="N329" i="19"/>
  <c r="P327" i="19"/>
  <c r="O327" i="19"/>
  <c r="N327" i="19"/>
  <c r="P326" i="19"/>
  <c r="O326" i="19"/>
  <c r="N326" i="19"/>
  <c r="P325" i="19"/>
  <c r="O325" i="19"/>
  <c r="N325" i="19"/>
  <c r="P324" i="19"/>
  <c r="O324" i="19"/>
  <c r="N324" i="19"/>
  <c r="P322" i="19"/>
  <c r="O322" i="19"/>
  <c r="N322" i="19"/>
  <c r="P321" i="19"/>
  <c r="O321" i="19"/>
  <c r="N321" i="19"/>
  <c r="P320" i="19"/>
  <c r="O320" i="19"/>
  <c r="N320" i="19"/>
  <c r="P319" i="19"/>
  <c r="O319" i="19"/>
  <c r="N319" i="19"/>
  <c r="P317" i="19"/>
  <c r="O317" i="19"/>
  <c r="N317" i="19"/>
  <c r="P316" i="19"/>
  <c r="O316" i="19"/>
  <c r="N316" i="19"/>
  <c r="P315" i="19"/>
  <c r="O315" i="19"/>
  <c r="N315" i="19"/>
  <c r="P314" i="19"/>
  <c r="O314" i="19"/>
  <c r="N314" i="19"/>
  <c r="P312" i="19"/>
  <c r="O312" i="19"/>
  <c r="N312" i="19"/>
  <c r="P311" i="19"/>
  <c r="O311" i="19"/>
  <c r="N311" i="19"/>
  <c r="P310" i="19"/>
  <c r="O310" i="19"/>
  <c r="N310" i="19"/>
  <c r="P309" i="19"/>
  <c r="O309" i="19"/>
  <c r="N309" i="19"/>
  <c r="P307" i="19"/>
  <c r="O307" i="19"/>
  <c r="N307" i="19"/>
  <c r="P306" i="19"/>
  <c r="O306" i="19"/>
  <c r="N306" i="19"/>
  <c r="P305" i="19"/>
  <c r="O305" i="19"/>
  <c r="N305" i="19"/>
  <c r="P304" i="19"/>
  <c r="O304" i="19"/>
  <c r="N304" i="19"/>
  <c r="P303" i="19"/>
  <c r="O303" i="19"/>
  <c r="N303" i="19"/>
  <c r="P302" i="19"/>
  <c r="O302" i="19"/>
  <c r="N302" i="19"/>
  <c r="P301" i="19"/>
  <c r="O301" i="19"/>
  <c r="N301" i="19"/>
  <c r="P300" i="19"/>
  <c r="O300" i="19"/>
  <c r="N300" i="19"/>
  <c r="P299" i="19"/>
  <c r="O299" i="19"/>
  <c r="N299" i="19"/>
  <c r="P298" i="19"/>
  <c r="O298" i="19"/>
  <c r="N298" i="19"/>
  <c r="P296" i="19"/>
  <c r="O296" i="19"/>
  <c r="N296" i="19"/>
  <c r="P295" i="19"/>
  <c r="O295" i="19"/>
  <c r="N295" i="19"/>
  <c r="P294" i="19"/>
  <c r="O294" i="19"/>
  <c r="N294" i="19"/>
  <c r="P293" i="19"/>
  <c r="O293" i="19"/>
  <c r="N293" i="19"/>
  <c r="P292" i="19"/>
  <c r="O292" i="19"/>
  <c r="N292" i="19"/>
  <c r="P291" i="19"/>
  <c r="O291" i="19"/>
  <c r="N291" i="19"/>
  <c r="P290" i="19"/>
  <c r="O290" i="19"/>
  <c r="N290" i="19"/>
  <c r="P289" i="19"/>
  <c r="O289" i="19"/>
  <c r="N289" i="19"/>
  <c r="P288" i="19"/>
  <c r="O288" i="19"/>
  <c r="N288" i="19"/>
  <c r="P287" i="19"/>
  <c r="O287" i="19"/>
  <c r="N287" i="19"/>
  <c r="P286" i="19"/>
  <c r="O286" i="19"/>
  <c r="N286" i="19"/>
  <c r="P285" i="19"/>
  <c r="O285" i="19"/>
  <c r="N285" i="19"/>
  <c r="P284" i="19"/>
  <c r="O284" i="19"/>
  <c r="N284" i="19"/>
  <c r="P283" i="19"/>
  <c r="O283" i="19"/>
  <c r="N283" i="19"/>
  <c r="P282" i="19"/>
  <c r="O282" i="19"/>
  <c r="N282" i="19"/>
  <c r="P281" i="19"/>
  <c r="O281" i="19"/>
  <c r="N281" i="19"/>
  <c r="P280" i="19"/>
  <c r="O280" i="19"/>
  <c r="N280" i="19"/>
  <c r="P279" i="19"/>
  <c r="O279" i="19"/>
  <c r="N279" i="19"/>
  <c r="P278" i="19"/>
  <c r="O278" i="19"/>
  <c r="N278" i="19"/>
  <c r="P277" i="19"/>
  <c r="O277" i="19"/>
  <c r="N277" i="19"/>
  <c r="P276" i="19"/>
  <c r="O276" i="19"/>
  <c r="N276" i="19"/>
  <c r="P275" i="19"/>
  <c r="O275" i="19"/>
  <c r="N275" i="19"/>
  <c r="P274" i="19"/>
  <c r="O274" i="19"/>
  <c r="N274" i="19"/>
  <c r="P273" i="19"/>
  <c r="O273" i="19"/>
  <c r="N273" i="19"/>
  <c r="P271" i="19"/>
  <c r="O271" i="19"/>
  <c r="N271" i="19"/>
  <c r="P270" i="19"/>
  <c r="O270" i="19"/>
  <c r="N270" i="19"/>
  <c r="P269" i="19"/>
  <c r="O269" i="19"/>
  <c r="N269" i="19"/>
  <c r="P268" i="19"/>
  <c r="O268" i="19"/>
  <c r="N268" i="19"/>
  <c r="P267" i="19"/>
  <c r="O267" i="19"/>
  <c r="N267" i="19"/>
  <c r="P266" i="19"/>
  <c r="O266" i="19"/>
  <c r="N266" i="19"/>
  <c r="P265" i="19"/>
  <c r="O265" i="19"/>
  <c r="N265" i="19"/>
  <c r="P264" i="19"/>
  <c r="O264" i="19"/>
  <c r="N264" i="19"/>
  <c r="P263" i="19"/>
  <c r="O263" i="19"/>
  <c r="N263" i="19"/>
  <c r="P262" i="19"/>
  <c r="O262" i="19"/>
  <c r="N262" i="19"/>
  <c r="P260" i="19"/>
  <c r="O260" i="19"/>
  <c r="N260" i="19"/>
  <c r="P258" i="19"/>
  <c r="O258" i="19"/>
  <c r="N258" i="19"/>
  <c r="P257" i="19"/>
  <c r="O257" i="19"/>
  <c r="N257" i="19"/>
  <c r="P256" i="19"/>
  <c r="O256" i="19"/>
  <c r="N256" i="19"/>
  <c r="P255" i="19"/>
  <c r="O255" i="19"/>
  <c r="N255" i="19"/>
  <c r="P253" i="19"/>
  <c r="O253" i="19"/>
  <c r="N253" i="19"/>
  <c r="P252" i="19"/>
  <c r="O252" i="19"/>
  <c r="N252" i="19"/>
  <c r="P251" i="19"/>
  <c r="O251" i="19"/>
  <c r="N251" i="19"/>
  <c r="P249" i="19"/>
  <c r="O249" i="19"/>
  <c r="N249" i="19"/>
  <c r="P248" i="19"/>
  <c r="O248" i="19"/>
  <c r="N248" i="19"/>
  <c r="P247" i="19"/>
  <c r="O247" i="19"/>
  <c r="N247" i="19"/>
  <c r="P246" i="19"/>
  <c r="O246" i="19"/>
  <c r="N246" i="19"/>
  <c r="P245" i="19"/>
  <c r="O245" i="19"/>
  <c r="N245" i="19"/>
  <c r="P244" i="19"/>
  <c r="O244" i="19"/>
  <c r="N244" i="19"/>
  <c r="P243" i="19"/>
  <c r="O243" i="19"/>
  <c r="N243" i="19"/>
  <c r="P242" i="19"/>
  <c r="O242" i="19"/>
  <c r="N242" i="19"/>
  <c r="P241" i="19"/>
  <c r="O241" i="19"/>
  <c r="N241" i="19"/>
  <c r="P240" i="19"/>
  <c r="O240" i="19"/>
  <c r="N240" i="19"/>
  <c r="P239" i="19"/>
  <c r="O239" i="19"/>
  <c r="N239" i="19"/>
  <c r="P237" i="19"/>
  <c r="O237" i="19"/>
  <c r="N237" i="19"/>
  <c r="P236" i="19"/>
  <c r="O236" i="19"/>
  <c r="N236" i="19"/>
  <c r="P235" i="19"/>
  <c r="O235" i="19"/>
  <c r="N235" i="19"/>
  <c r="P233" i="19"/>
  <c r="O233" i="19"/>
  <c r="N233" i="19"/>
  <c r="P232" i="19"/>
  <c r="O232" i="19"/>
  <c r="N232" i="19"/>
  <c r="P231" i="19"/>
  <c r="O231" i="19"/>
  <c r="N231" i="19"/>
  <c r="P230" i="19"/>
  <c r="O230" i="19"/>
  <c r="N230" i="19"/>
  <c r="P229" i="19"/>
  <c r="O229" i="19"/>
  <c r="N229" i="19"/>
  <c r="P228" i="19"/>
  <c r="O228" i="19"/>
  <c r="N228" i="19"/>
  <c r="P226" i="19"/>
  <c r="O226" i="19"/>
  <c r="N226" i="19"/>
  <c r="P225" i="19"/>
  <c r="O225" i="19"/>
  <c r="N225" i="19"/>
  <c r="P224" i="19"/>
  <c r="O224" i="19"/>
  <c r="N224" i="19"/>
  <c r="P222" i="19"/>
  <c r="O222" i="19"/>
  <c r="N222" i="19"/>
  <c r="P220" i="19"/>
  <c r="O220" i="19"/>
  <c r="N220" i="19"/>
  <c r="P219" i="19"/>
  <c r="O219" i="19"/>
  <c r="N219" i="19"/>
  <c r="P217" i="19"/>
  <c r="O217" i="19"/>
  <c r="N217" i="19"/>
  <c r="P216" i="19"/>
  <c r="O216" i="19"/>
  <c r="N216" i="19"/>
  <c r="P215" i="19"/>
  <c r="O215" i="19"/>
  <c r="N215" i="19"/>
  <c r="P213" i="19"/>
  <c r="O213" i="19"/>
  <c r="N213" i="19"/>
  <c r="P212" i="19"/>
  <c r="O212" i="19"/>
  <c r="N212" i="19"/>
  <c r="P210" i="19"/>
  <c r="O210" i="19"/>
  <c r="N210" i="19"/>
  <c r="P209" i="19"/>
  <c r="O209" i="19"/>
  <c r="N209" i="19"/>
  <c r="P208" i="19"/>
  <c r="O208" i="19"/>
  <c r="N208" i="19"/>
  <c r="P207" i="19"/>
  <c r="O207" i="19"/>
  <c r="N207" i="19"/>
  <c r="P205" i="19"/>
  <c r="O205" i="19"/>
  <c r="N205" i="19"/>
  <c r="P204" i="19"/>
  <c r="O204" i="19"/>
  <c r="N204" i="19"/>
  <c r="P203" i="19"/>
  <c r="O203" i="19"/>
  <c r="N203" i="19"/>
  <c r="P202" i="19"/>
  <c r="O202" i="19"/>
  <c r="N202" i="19"/>
  <c r="P201" i="19"/>
  <c r="O201" i="19"/>
  <c r="N201" i="19"/>
  <c r="P200" i="19"/>
  <c r="O200" i="19"/>
  <c r="N200" i="19"/>
  <c r="P199" i="19"/>
  <c r="O199" i="19"/>
  <c r="N199" i="19"/>
  <c r="P198" i="19"/>
  <c r="O198" i="19"/>
  <c r="N198" i="19"/>
  <c r="P196" i="19"/>
  <c r="O196" i="19"/>
  <c r="N196" i="19"/>
  <c r="P195" i="19"/>
  <c r="O195" i="19"/>
  <c r="N195" i="19"/>
  <c r="P193" i="19"/>
  <c r="O193" i="19"/>
  <c r="N193" i="19"/>
  <c r="P192" i="19"/>
  <c r="O192" i="19"/>
  <c r="N192" i="19"/>
  <c r="P190" i="19"/>
  <c r="O190" i="19"/>
  <c r="N190" i="19"/>
  <c r="P189" i="19"/>
  <c r="O189" i="19"/>
  <c r="N189" i="19"/>
  <c r="P188" i="19"/>
  <c r="O188" i="19"/>
  <c r="N188" i="19"/>
  <c r="P187" i="19"/>
  <c r="O187" i="19"/>
  <c r="N187" i="19"/>
  <c r="P186" i="19"/>
  <c r="O186" i="19"/>
  <c r="N186" i="19"/>
  <c r="P184" i="19"/>
  <c r="O184" i="19"/>
  <c r="N184" i="19"/>
  <c r="P183" i="19"/>
  <c r="O183" i="19"/>
  <c r="N183" i="19"/>
  <c r="P182" i="19"/>
  <c r="O182" i="19"/>
  <c r="N182" i="19"/>
  <c r="P180" i="19"/>
  <c r="O180" i="19"/>
  <c r="N180" i="19"/>
  <c r="P179" i="19"/>
  <c r="O179" i="19"/>
  <c r="N179" i="19"/>
  <c r="P178" i="19"/>
  <c r="O178" i="19"/>
  <c r="N178" i="19"/>
  <c r="P177" i="19"/>
  <c r="O177" i="19"/>
  <c r="N177" i="19"/>
  <c r="P176" i="19"/>
  <c r="O176" i="19"/>
  <c r="N176" i="19"/>
  <c r="P175" i="19"/>
  <c r="O175" i="19"/>
  <c r="N175" i="19"/>
  <c r="P174" i="19"/>
  <c r="O174" i="19"/>
  <c r="N174" i="19"/>
  <c r="P172" i="19"/>
  <c r="O172" i="19"/>
  <c r="N172" i="19"/>
  <c r="P171" i="19"/>
  <c r="O171" i="19"/>
  <c r="N171" i="19"/>
  <c r="P169" i="19"/>
  <c r="O169" i="19"/>
  <c r="N169" i="19"/>
  <c r="P167" i="19"/>
  <c r="O167" i="19"/>
  <c r="N167" i="19"/>
  <c r="P166" i="19"/>
  <c r="O166" i="19"/>
  <c r="N166" i="19"/>
  <c r="P165" i="19"/>
  <c r="O165" i="19"/>
  <c r="N165" i="19"/>
  <c r="P164" i="19"/>
  <c r="O164" i="19"/>
  <c r="N164" i="19"/>
  <c r="P162" i="19"/>
  <c r="O162" i="19"/>
  <c r="N162" i="19"/>
  <c r="P161" i="19"/>
  <c r="O161" i="19"/>
  <c r="N161" i="19"/>
  <c r="P160" i="19"/>
  <c r="O160" i="19"/>
  <c r="N160" i="19"/>
  <c r="P159" i="19"/>
  <c r="O159" i="19"/>
  <c r="N159" i="19"/>
  <c r="P158" i="19"/>
  <c r="O158" i="19"/>
  <c r="N158" i="19"/>
  <c r="P157" i="19"/>
  <c r="O157" i="19"/>
  <c r="N157" i="19"/>
  <c r="P156" i="19"/>
  <c r="O156" i="19"/>
  <c r="N156" i="19"/>
  <c r="P155" i="19"/>
  <c r="O155" i="19"/>
  <c r="N155" i="19"/>
  <c r="P154" i="19"/>
  <c r="O154" i="19"/>
  <c r="N154" i="19"/>
  <c r="P152" i="19"/>
  <c r="O152" i="19"/>
  <c r="N152" i="19"/>
  <c r="P151" i="19"/>
  <c r="O151" i="19"/>
  <c r="N151" i="19"/>
  <c r="P150" i="19"/>
  <c r="O150" i="19"/>
  <c r="N150" i="19"/>
  <c r="P149" i="19"/>
  <c r="O149" i="19"/>
  <c r="N149" i="19"/>
  <c r="P148" i="19"/>
  <c r="O148" i="19"/>
  <c r="N148" i="19"/>
  <c r="P147" i="19"/>
  <c r="O147" i="19"/>
  <c r="N147" i="19"/>
  <c r="P146" i="19"/>
  <c r="O146" i="19"/>
  <c r="N146" i="19"/>
  <c r="P145" i="19"/>
  <c r="O145" i="19"/>
  <c r="N145" i="19"/>
  <c r="P144" i="19"/>
  <c r="O144" i="19"/>
  <c r="N144" i="19"/>
  <c r="P143" i="19"/>
  <c r="O143" i="19"/>
  <c r="N143" i="19"/>
  <c r="P142" i="19"/>
  <c r="O142" i="19"/>
  <c r="N142" i="19"/>
  <c r="P141" i="19"/>
  <c r="O141" i="19"/>
  <c r="N141" i="19"/>
  <c r="P140" i="19"/>
  <c r="O140" i="19"/>
  <c r="N140" i="19"/>
  <c r="P139" i="19"/>
  <c r="O139" i="19"/>
  <c r="N139" i="19"/>
  <c r="P137" i="19"/>
  <c r="O137" i="19"/>
  <c r="N137" i="19"/>
  <c r="P136" i="19"/>
  <c r="O136" i="19"/>
  <c r="N136" i="19"/>
  <c r="P134" i="19"/>
  <c r="O134" i="19"/>
  <c r="N134" i="19"/>
  <c r="P133" i="19"/>
  <c r="O133" i="19"/>
  <c r="N133" i="19"/>
  <c r="P132" i="19"/>
  <c r="O132" i="19"/>
  <c r="N132" i="19"/>
  <c r="P131" i="19"/>
  <c r="O131" i="19"/>
  <c r="N131" i="19"/>
  <c r="P130" i="19"/>
  <c r="O130" i="19"/>
  <c r="N130" i="19"/>
  <c r="P129" i="19"/>
  <c r="O129" i="19"/>
  <c r="N129" i="19"/>
  <c r="P127" i="19"/>
  <c r="O127" i="19"/>
  <c r="N127" i="19"/>
  <c r="P126" i="19"/>
  <c r="O126" i="19"/>
  <c r="N126" i="19"/>
  <c r="P125" i="19"/>
  <c r="O125" i="19"/>
  <c r="N125" i="19"/>
  <c r="P124" i="19"/>
  <c r="O124" i="19"/>
  <c r="N124" i="19"/>
  <c r="P123" i="19"/>
  <c r="O123" i="19"/>
  <c r="N123" i="19"/>
  <c r="P121" i="19"/>
  <c r="O121" i="19"/>
  <c r="N121" i="19"/>
  <c r="P120" i="19"/>
  <c r="O120" i="19"/>
  <c r="N120" i="19"/>
  <c r="P119" i="19"/>
  <c r="O119" i="19"/>
  <c r="N119" i="19"/>
  <c r="P118" i="19"/>
  <c r="O118" i="19"/>
  <c r="N118" i="19"/>
  <c r="P116" i="19"/>
  <c r="O116" i="19"/>
  <c r="N116" i="19"/>
  <c r="P115" i="19"/>
  <c r="O115" i="19"/>
  <c r="N115" i="19"/>
  <c r="P114" i="19"/>
  <c r="O114" i="19"/>
  <c r="N114" i="19"/>
  <c r="P113" i="19"/>
  <c r="O113" i="19"/>
  <c r="N113" i="19"/>
  <c r="P111" i="19"/>
  <c r="O111" i="19"/>
  <c r="N111" i="19"/>
  <c r="P110" i="19"/>
  <c r="O110" i="19"/>
  <c r="N110" i="19"/>
  <c r="P109" i="19"/>
  <c r="O109" i="19"/>
  <c r="N109" i="19"/>
  <c r="P108" i="19"/>
  <c r="O108" i="19"/>
  <c r="N108" i="19"/>
  <c r="P107" i="19"/>
  <c r="O107" i="19"/>
  <c r="N107" i="19"/>
  <c r="P106" i="19"/>
  <c r="O106" i="19"/>
  <c r="N106" i="19"/>
  <c r="P105" i="19"/>
  <c r="O105" i="19"/>
  <c r="N105" i="19"/>
  <c r="P104" i="19"/>
  <c r="O104" i="19"/>
  <c r="N104" i="19"/>
  <c r="P103" i="19"/>
  <c r="O103" i="19"/>
  <c r="N103" i="19"/>
  <c r="P102" i="19"/>
  <c r="O102" i="19"/>
  <c r="N102" i="19"/>
  <c r="P101" i="19"/>
  <c r="O101" i="19"/>
  <c r="N101" i="19"/>
  <c r="P100" i="19"/>
  <c r="O100" i="19"/>
  <c r="N100" i="19"/>
  <c r="P99" i="19"/>
  <c r="O99" i="19"/>
  <c r="N99" i="19"/>
  <c r="P98" i="19"/>
  <c r="O98" i="19"/>
  <c r="N98" i="19"/>
  <c r="P96" i="19"/>
  <c r="O96" i="19"/>
  <c r="N96" i="19"/>
  <c r="P95" i="19"/>
  <c r="O95" i="19"/>
  <c r="N95" i="19"/>
  <c r="P94" i="19"/>
  <c r="O94" i="19"/>
  <c r="N94" i="19"/>
  <c r="P93" i="19"/>
  <c r="O93" i="19"/>
  <c r="N93" i="19"/>
  <c r="P91" i="19"/>
  <c r="O91" i="19"/>
  <c r="N91" i="19"/>
  <c r="P90" i="19"/>
  <c r="O90" i="19"/>
  <c r="N90" i="19"/>
  <c r="P89" i="19"/>
  <c r="O89" i="19"/>
  <c r="N89" i="19"/>
  <c r="P88" i="19"/>
  <c r="O88" i="19"/>
  <c r="N88" i="19"/>
  <c r="P87" i="19"/>
  <c r="O87" i="19"/>
  <c r="N87" i="19"/>
  <c r="P86" i="19"/>
  <c r="O86" i="19"/>
  <c r="N86" i="19"/>
  <c r="P85" i="19"/>
  <c r="O85" i="19"/>
  <c r="N85" i="19"/>
  <c r="P84" i="19"/>
  <c r="O84" i="19"/>
  <c r="N84" i="19"/>
  <c r="P83" i="19"/>
  <c r="O83" i="19"/>
  <c r="N83" i="19"/>
  <c r="P81" i="19"/>
  <c r="O81" i="19"/>
  <c r="N81" i="19"/>
  <c r="P80" i="19"/>
  <c r="O80" i="19"/>
  <c r="N80" i="19"/>
  <c r="P79" i="19"/>
  <c r="O79" i="19"/>
  <c r="N79" i="19"/>
  <c r="P77" i="19"/>
  <c r="O77" i="19"/>
  <c r="N77" i="19"/>
  <c r="P76" i="19"/>
  <c r="O76" i="19"/>
  <c r="N76" i="19"/>
  <c r="P75" i="19"/>
  <c r="O75" i="19"/>
  <c r="N75" i="19"/>
  <c r="P74" i="19"/>
  <c r="O74" i="19"/>
  <c r="N74" i="19"/>
  <c r="P73" i="19"/>
  <c r="O73" i="19"/>
  <c r="N73" i="19"/>
  <c r="P72" i="19"/>
  <c r="O72" i="19"/>
  <c r="N72" i="19"/>
  <c r="P71" i="19"/>
  <c r="O71" i="19"/>
  <c r="N71" i="19"/>
  <c r="P70" i="19"/>
  <c r="O70" i="19"/>
  <c r="N70" i="19"/>
  <c r="P69" i="19"/>
  <c r="O69" i="19"/>
  <c r="N69" i="19"/>
  <c r="P68" i="19"/>
  <c r="O68" i="19"/>
  <c r="N68" i="19"/>
  <c r="P67" i="19"/>
  <c r="O67" i="19"/>
  <c r="N67" i="19"/>
  <c r="P66" i="19"/>
  <c r="O66" i="19"/>
  <c r="N66" i="19"/>
  <c r="P65" i="19"/>
  <c r="O65" i="19"/>
  <c r="N65" i="19"/>
  <c r="P62" i="19"/>
  <c r="O62" i="19"/>
  <c r="N62" i="19"/>
  <c r="P61" i="19"/>
  <c r="O61" i="19"/>
  <c r="N61" i="19"/>
  <c r="P60" i="19"/>
  <c r="O60" i="19"/>
  <c r="N60" i="19"/>
  <c r="P59" i="19"/>
  <c r="O59" i="19"/>
  <c r="N59" i="19"/>
  <c r="P58" i="19"/>
  <c r="O58" i="19"/>
  <c r="N58" i="19"/>
  <c r="P57" i="19"/>
  <c r="O57" i="19"/>
  <c r="N57" i="19"/>
  <c r="P56" i="19"/>
  <c r="O56" i="19"/>
  <c r="N56" i="19"/>
  <c r="P54" i="19"/>
  <c r="O54" i="19"/>
  <c r="N54" i="19"/>
  <c r="P53" i="19"/>
  <c r="O53" i="19"/>
  <c r="N53" i="19"/>
  <c r="P52" i="19"/>
  <c r="O52" i="19"/>
  <c r="N52" i="19"/>
  <c r="P51" i="19"/>
  <c r="O51" i="19"/>
  <c r="N51" i="19"/>
  <c r="P49" i="19"/>
  <c r="O49" i="19"/>
  <c r="N49" i="19"/>
  <c r="P48" i="19"/>
  <c r="O48" i="19"/>
  <c r="N48" i="19"/>
  <c r="P47" i="19"/>
  <c r="O47" i="19"/>
  <c r="N47" i="19"/>
  <c r="P46" i="19"/>
  <c r="O46" i="19"/>
  <c r="N46" i="19"/>
  <c r="P44" i="19"/>
  <c r="O44" i="19"/>
  <c r="N44" i="19"/>
  <c r="P43" i="19"/>
  <c r="O43" i="19"/>
  <c r="N43" i="19"/>
  <c r="P42" i="19"/>
  <c r="O42" i="19"/>
  <c r="N42" i="19"/>
  <c r="P41" i="19"/>
  <c r="O41" i="19"/>
  <c r="N41" i="19"/>
  <c r="P40" i="19"/>
  <c r="O40" i="19"/>
  <c r="N40" i="19"/>
  <c r="P38" i="19"/>
  <c r="O38" i="19"/>
  <c r="N38" i="19"/>
  <c r="P37" i="19"/>
  <c r="O37" i="19"/>
  <c r="N37" i="19"/>
  <c r="P36" i="19"/>
  <c r="O36" i="19"/>
  <c r="N36" i="19"/>
  <c r="P35" i="19"/>
  <c r="O35" i="19"/>
  <c r="N35" i="19"/>
  <c r="P34" i="19"/>
  <c r="O34" i="19"/>
  <c r="N34" i="19"/>
  <c r="P33" i="19"/>
  <c r="O33" i="19"/>
  <c r="N33" i="19"/>
  <c r="P32" i="19"/>
  <c r="O32" i="19"/>
  <c r="N32" i="19"/>
  <c r="P31" i="19"/>
  <c r="O31" i="19"/>
  <c r="N31" i="19"/>
  <c r="P30" i="19"/>
  <c r="O30" i="19"/>
  <c r="N30" i="19"/>
  <c r="P29" i="19"/>
  <c r="O29" i="19"/>
  <c r="N29" i="19"/>
  <c r="P28" i="19"/>
  <c r="O28" i="19"/>
  <c r="N28" i="19"/>
  <c r="P27" i="19"/>
  <c r="O27" i="19"/>
  <c r="N27" i="19"/>
  <c r="P26" i="19"/>
  <c r="O26" i="19"/>
  <c r="N26" i="19"/>
  <c r="P25" i="19"/>
  <c r="O25" i="19"/>
  <c r="N25" i="19"/>
  <c r="P24" i="19"/>
  <c r="O24" i="19"/>
  <c r="N24" i="19"/>
  <c r="P23" i="19"/>
  <c r="O23" i="19"/>
  <c r="N23" i="19"/>
  <c r="W17" i="19"/>
  <c r="P983" i="19"/>
  <c r="AA983" i="19"/>
  <c r="W64" i="19" l="1"/>
  <c r="A66" i="19"/>
  <c r="W50" i="19"/>
  <c r="A51" i="19"/>
  <c r="A50" i="19"/>
  <c r="B301" i="36"/>
  <c r="B320" i="36"/>
  <c r="B434" i="36"/>
  <c r="C434" i="36" s="1"/>
  <c r="B441" i="36"/>
  <c r="C441" i="36" s="1"/>
  <c r="B448" i="36"/>
  <c r="C448" i="36" s="1"/>
  <c r="B535" i="36"/>
  <c r="C535" i="36" s="1"/>
  <c r="B597" i="36"/>
  <c r="C597" i="36" s="1"/>
  <c r="B664" i="36"/>
  <c r="C664" i="36" s="1"/>
  <c r="B677" i="36"/>
  <c r="B710" i="36"/>
  <c r="C710" i="36" s="1"/>
  <c r="B748" i="36"/>
  <c r="C748" i="36" s="1"/>
  <c r="A748" i="19" s="1"/>
  <c r="B756" i="36"/>
  <c r="C756" i="36" s="1"/>
  <c r="A756" i="19" s="1"/>
  <c r="B790" i="36"/>
  <c r="B817" i="36"/>
  <c r="C817" i="36" s="1"/>
  <c r="B824" i="36"/>
  <c r="C824" i="36" s="1"/>
  <c r="B875" i="36"/>
  <c r="C875" i="36" s="1"/>
  <c r="B371" i="36"/>
  <c r="C371" i="36" s="1"/>
  <c r="B379" i="36"/>
  <c r="C379" i="36" s="1"/>
  <c r="B387" i="36"/>
  <c r="C387" i="36" s="1"/>
  <c r="B408" i="36"/>
  <c r="C408" i="36" s="1"/>
  <c r="B428" i="36"/>
  <c r="C428" i="36" s="1"/>
  <c r="B463" i="36"/>
  <c r="C463" i="36" s="1"/>
  <c r="B470" i="36"/>
  <c r="C470" i="36" s="1"/>
  <c r="A470" i="19" s="1"/>
  <c r="B529" i="36"/>
  <c r="C529" i="36" s="1"/>
  <c r="A529" i="19" s="1"/>
  <c r="B543" i="36"/>
  <c r="C543" i="36" s="1"/>
  <c r="B631" i="36"/>
  <c r="C631" i="36" s="1"/>
  <c r="B651" i="36"/>
  <c r="B665" i="36"/>
  <c r="B718" i="36"/>
  <c r="C718" i="36" s="1"/>
  <c r="B725" i="36"/>
  <c r="C725" i="36" s="1"/>
  <c r="B757" i="36"/>
  <c r="C757" i="36" s="1"/>
  <c r="B882" i="36"/>
  <c r="C882" i="36" s="1"/>
  <c r="B895" i="36"/>
  <c r="B940" i="36"/>
  <c r="C940" i="36" s="1"/>
  <c r="B947" i="36"/>
  <c r="C947" i="36" s="1"/>
  <c r="A947" i="19" s="1"/>
  <c r="B302" i="36"/>
  <c r="B308" i="36"/>
  <c r="C308" i="36" s="1"/>
  <c r="B321" i="36"/>
  <c r="B364" i="36"/>
  <c r="C364" i="36" s="1"/>
  <c r="B395" i="36"/>
  <c r="C395" i="36" s="1"/>
  <c r="B464" i="36"/>
  <c r="B485" i="36"/>
  <c r="B491" i="36"/>
  <c r="C491" i="36" s="1"/>
  <c r="B551" i="36"/>
  <c r="C551" i="36" s="1"/>
  <c r="B565" i="36"/>
  <c r="B572" i="36"/>
  <c r="C572" i="36" s="1"/>
  <c r="B639" i="36"/>
  <c r="B658" i="36"/>
  <c r="C658" i="36" s="1"/>
  <c r="A658" i="19" s="1"/>
  <c r="B685" i="36"/>
  <c r="B734" i="36"/>
  <c r="C734" i="36" s="1"/>
  <c r="B765" i="36"/>
  <c r="C765" i="36" s="1"/>
  <c r="B810" i="36"/>
  <c r="C810" i="36" s="1"/>
  <c r="B832" i="36"/>
  <c r="C832" i="36" s="1"/>
  <c r="B845" i="36"/>
  <c r="C845" i="36" s="1"/>
  <c r="B908" i="36"/>
  <c r="C908" i="36" s="1"/>
  <c r="B309" i="36"/>
  <c r="B352" i="36"/>
  <c r="B358" i="36"/>
  <c r="B402" i="36"/>
  <c r="C402" i="36" s="1"/>
  <c r="A402" i="19" s="1"/>
  <c r="B422" i="36"/>
  <c r="B443" i="36"/>
  <c r="C443" i="36" s="1"/>
  <c r="B450" i="36"/>
  <c r="C450" i="36" s="1"/>
  <c r="B537" i="36"/>
  <c r="C537" i="36" s="1"/>
  <c r="B592" i="36"/>
  <c r="C592" i="36" s="1"/>
  <c r="B605" i="36"/>
  <c r="C605" i="36" s="1"/>
  <c r="B625" i="36"/>
  <c r="C625" i="36" s="1"/>
  <c r="B742" i="36"/>
  <c r="C742" i="36" s="1"/>
  <c r="B750" i="36"/>
  <c r="C750" i="36" s="1"/>
  <c r="B811" i="36"/>
  <c r="C811" i="36" s="1"/>
  <c r="B819" i="36"/>
  <c r="C819" i="36" s="1"/>
  <c r="A819" i="19" s="1"/>
  <c r="B826" i="36"/>
  <c r="C826" i="36" s="1"/>
  <c r="A826" i="19" s="1"/>
  <c r="B973" i="36"/>
  <c r="C973" i="36" s="1"/>
  <c r="B563" i="36"/>
  <c r="B723" i="36"/>
  <c r="C723" i="36" s="1"/>
  <c r="B637" i="36"/>
  <c r="C637" i="36" s="1"/>
  <c r="B272" i="36"/>
  <c r="C272" i="36" s="1"/>
  <c r="B322" i="36"/>
  <c r="B346" i="36"/>
  <c r="C346" i="36" s="1"/>
  <c r="B373" i="36"/>
  <c r="C373" i="36" s="1"/>
  <c r="B381" i="36"/>
  <c r="C381" i="36" s="1"/>
  <c r="B465" i="36"/>
  <c r="B479" i="36"/>
  <c r="C479" i="36" s="1"/>
  <c r="B538" i="36"/>
  <c r="B545" i="36"/>
  <c r="C545" i="36" s="1"/>
  <c r="A545" i="19" s="1"/>
  <c r="B559" i="36"/>
  <c r="C559" i="36" s="1"/>
  <c r="B566" i="36"/>
  <c r="C566" i="36" s="1"/>
  <c r="B586" i="36"/>
  <c r="C586" i="36" s="1"/>
  <c r="B593" i="36"/>
  <c r="B619" i="36"/>
  <c r="C619" i="36" s="1"/>
  <c r="B679" i="36"/>
  <c r="C679" i="36" s="1"/>
  <c r="B705" i="36"/>
  <c r="C705" i="36" s="1"/>
  <c r="B727" i="36"/>
  <c r="C727" i="36" s="1"/>
  <c r="B743" i="36"/>
  <c r="B759" i="36"/>
  <c r="C759" i="36" s="1"/>
  <c r="A759" i="19" s="1"/>
  <c r="B773" i="36"/>
  <c r="B792" i="36"/>
  <c r="B935" i="36"/>
  <c r="C935" i="36" s="1"/>
  <c r="B942" i="36"/>
  <c r="C942" i="36" s="1"/>
  <c r="B967" i="36"/>
  <c r="C967" i="36" s="1"/>
  <c r="B695" i="36"/>
  <c r="B556" i="36"/>
  <c r="C556" i="36" s="1"/>
  <c r="B894" i="36"/>
  <c r="B297" i="36"/>
  <c r="C297" i="36" s="1"/>
  <c r="B310" i="36"/>
  <c r="B397" i="36"/>
  <c r="B423" i="36"/>
  <c r="C423" i="36" s="1"/>
  <c r="A423" i="19" s="1"/>
  <c r="B437" i="36"/>
  <c r="C437" i="36" s="1"/>
  <c r="A437" i="19" s="1"/>
  <c r="B480" i="36"/>
  <c r="B587" i="36"/>
  <c r="B600" i="36"/>
  <c r="B613" i="36"/>
  <c r="C613" i="36" s="1"/>
  <c r="B653" i="36"/>
  <c r="C653" i="36" s="1"/>
  <c r="B667" i="36"/>
  <c r="C667" i="36" s="1"/>
  <c r="A667" i="19" s="1"/>
  <c r="B713" i="36"/>
  <c r="C713" i="36" s="1"/>
  <c r="B736" i="36"/>
  <c r="C736" i="36" s="1"/>
  <c r="B805" i="36"/>
  <c r="C805" i="36" s="1"/>
  <c r="B834" i="36"/>
  <c r="B865" i="36"/>
  <c r="C865" i="36" s="1"/>
  <c r="A865" i="19" s="1"/>
  <c r="B910" i="36"/>
  <c r="C910" i="36" s="1"/>
  <c r="A910" i="19" s="1"/>
  <c r="B596" i="36"/>
  <c r="B716" i="36"/>
  <c r="C716" i="36" s="1"/>
  <c r="B476" i="36"/>
  <c r="C476" i="36" s="1"/>
  <c r="B390" i="36"/>
  <c r="C390" i="36" s="1"/>
  <c r="B411" i="36"/>
  <c r="B459" i="36"/>
  <c r="C459" i="36" s="1"/>
  <c r="B466" i="36"/>
  <c r="B512" i="36"/>
  <c r="C512" i="36" s="1"/>
  <c r="B525" i="36"/>
  <c r="C525" i="36" s="1"/>
  <c r="A525" i="19" s="1"/>
  <c r="B594" i="36"/>
  <c r="B607" i="36"/>
  <c r="C607" i="36" s="1"/>
  <c r="B627" i="36"/>
  <c r="C627" i="36" s="1"/>
  <c r="A627" i="19" s="1"/>
  <c r="B699" i="36"/>
  <c r="C699" i="36" s="1"/>
  <c r="A699" i="19" s="1"/>
  <c r="B744" i="36"/>
  <c r="C744" i="36" s="1"/>
  <c r="B752" i="36"/>
  <c r="C752" i="36" s="1"/>
  <c r="B780" i="36"/>
  <c r="C780" i="36" s="1"/>
  <c r="B793" i="36"/>
  <c r="B813" i="36"/>
  <c r="C813" i="36" s="1"/>
  <c r="B885" i="36"/>
  <c r="C885" i="36" s="1"/>
  <c r="B904" i="36"/>
  <c r="B917" i="36"/>
  <c r="C917" i="36" s="1"/>
  <c r="B468" i="36"/>
  <c r="C468" i="36" s="1"/>
  <c r="B541" i="36"/>
  <c r="C541" i="36" s="1"/>
  <c r="A541" i="19" s="1"/>
  <c r="B683" i="36"/>
  <c r="B977" i="36"/>
  <c r="C977" i="36" s="1"/>
  <c r="B455" i="36"/>
  <c r="C455" i="36" s="1"/>
  <c r="B590" i="36"/>
  <c r="B650" i="36"/>
  <c r="B311" i="36"/>
  <c r="B348" i="36"/>
  <c r="B354" i="36"/>
  <c r="B367" i="36"/>
  <c r="C367" i="36" s="1"/>
  <c r="B375" i="36"/>
  <c r="C375" i="36" s="1"/>
  <c r="A375" i="19" s="1"/>
  <c r="B383" i="36"/>
  <c r="C383" i="36" s="1"/>
  <c r="A383" i="19" s="1"/>
  <c r="B547" i="36"/>
  <c r="C547" i="36" s="1"/>
  <c r="A547" i="19" s="1"/>
  <c r="B568" i="36"/>
  <c r="C568" i="36" s="1"/>
  <c r="A568" i="19" s="1"/>
  <c r="B628" i="36"/>
  <c r="B661" i="36"/>
  <c r="C661" i="36" s="1"/>
  <c r="B729" i="36"/>
  <c r="C729" i="36" s="1"/>
  <c r="B768" i="36"/>
  <c r="C768" i="36" s="1"/>
  <c r="B787" i="36"/>
  <c r="C787" i="36" s="1"/>
  <c r="B835" i="36"/>
  <c r="C835" i="36" s="1"/>
  <c r="B898" i="36"/>
  <c r="C898" i="36" s="1"/>
  <c r="A898" i="19" s="1"/>
  <c r="B982" i="36"/>
  <c r="B299" i="36"/>
  <c r="B405" i="36"/>
  <c r="C405" i="36" s="1"/>
  <c r="B418" i="36"/>
  <c r="B425" i="36"/>
  <c r="C425" i="36" s="1"/>
  <c r="A425" i="19" s="1"/>
  <c r="B453" i="36"/>
  <c r="C453" i="36" s="1"/>
  <c r="B474" i="36"/>
  <c r="C474" i="36" s="1"/>
  <c r="B635" i="36"/>
  <c r="C635" i="36" s="1"/>
  <c r="B648" i="36"/>
  <c r="C648" i="36" s="1"/>
  <c r="B669" i="36"/>
  <c r="B688" i="36"/>
  <c r="B730" i="36"/>
  <c r="C730" i="36" s="1"/>
  <c r="B769" i="36"/>
  <c r="B800" i="36"/>
  <c r="C800" i="36" s="1"/>
  <c r="B905" i="36"/>
  <c r="B263" i="36"/>
  <c r="B300" i="36"/>
  <c r="B319" i="36"/>
  <c r="B369" i="36"/>
  <c r="C369" i="36" s="1"/>
  <c r="A369" i="19" s="1"/>
  <c r="B385" i="36"/>
  <c r="C385" i="36" s="1"/>
  <c r="A385" i="19" s="1"/>
  <c r="B739" i="36"/>
  <c r="C739" i="36" s="1"/>
  <c r="A739" i="19" s="1"/>
  <c r="B313" i="36"/>
  <c r="C313" i="36" s="1"/>
  <c r="A313" i="19" s="1"/>
  <c r="B502" i="36"/>
  <c r="C502" i="36" s="1"/>
  <c r="A502" i="19" s="1"/>
  <c r="B312" i="36"/>
  <c r="B349" i="36"/>
  <c r="B361" i="36"/>
  <c r="C361" i="36" s="1"/>
  <c r="A361" i="19" s="1"/>
  <c r="B392" i="36"/>
  <c r="C392" i="36" s="1"/>
  <c r="A392" i="19" s="1"/>
  <c r="B482" i="36"/>
  <c r="C482" i="36" s="1"/>
  <c r="A482" i="19" s="1"/>
  <c r="B520" i="36"/>
  <c r="C520" i="36" s="1"/>
  <c r="A520" i="19" s="1"/>
  <c r="B562" i="36"/>
  <c r="C562" i="36" s="1"/>
  <c r="A562" i="19" s="1"/>
  <c r="B576" i="36"/>
  <c r="C576" i="36" s="1"/>
  <c r="A576" i="19" s="1"/>
  <c r="B589" i="36"/>
  <c r="B682" i="36"/>
  <c r="C682" i="36" s="1"/>
  <c r="A682" i="19" s="1"/>
  <c r="B708" i="36"/>
  <c r="C708" i="36" s="1"/>
  <c r="A708" i="19" s="1"/>
  <c r="B746" i="36"/>
  <c r="C746" i="36" s="1"/>
  <c r="A746" i="19" s="1"/>
  <c r="B754" i="36"/>
  <c r="C754" i="36" s="1"/>
  <c r="A754" i="19" s="1"/>
  <c r="B762" i="36"/>
  <c r="C762" i="36" s="1"/>
  <c r="A762" i="19" s="1"/>
  <c r="B815" i="36"/>
  <c r="C815" i="36" s="1"/>
  <c r="A815" i="19" s="1"/>
  <c r="B822" i="36"/>
  <c r="C822" i="36" s="1"/>
  <c r="A822" i="19" s="1"/>
  <c r="B919" i="36"/>
  <c r="C919" i="36" s="1"/>
  <c r="A919" i="19" s="1"/>
  <c r="B377" i="36"/>
  <c r="C377" i="36" s="1"/>
  <c r="A377" i="19" s="1"/>
  <c r="B419" i="36"/>
  <c r="C419" i="36" s="1"/>
  <c r="A419" i="19" s="1"/>
  <c r="B616" i="36"/>
  <c r="B830" i="36"/>
  <c r="B702" i="36"/>
  <c r="C702" i="36" s="1"/>
  <c r="A702" i="19" s="1"/>
  <c r="B732" i="36"/>
  <c r="C732" i="36" s="1"/>
  <c r="A732" i="19" s="1"/>
  <c r="W261" i="19"/>
  <c r="A262" i="19"/>
  <c r="B82" i="43"/>
  <c r="AJ29" i="19"/>
  <c r="AI29" i="19"/>
  <c r="AK29" i="19"/>
  <c r="AM29" i="19"/>
  <c r="AL29" i="19"/>
  <c r="AM35" i="19"/>
  <c r="AI35" i="19"/>
  <c r="AK35" i="19"/>
  <c r="AJ35" i="19"/>
  <c r="AL35" i="19"/>
  <c r="AJ42" i="19"/>
  <c r="AI42" i="19"/>
  <c r="AM42" i="19"/>
  <c r="AL42" i="19"/>
  <c r="AK42" i="19"/>
  <c r="AM49" i="19"/>
  <c r="AI49" i="19"/>
  <c r="AK49" i="19"/>
  <c r="AJ49" i="19"/>
  <c r="AL49" i="19"/>
  <c r="AJ57" i="19"/>
  <c r="AI57" i="19"/>
  <c r="AK57" i="19"/>
  <c r="AM57" i="19"/>
  <c r="AL57" i="19"/>
  <c r="AM65" i="19"/>
  <c r="AL65" i="19"/>
  <c r="AK65" i="19"/>
  <c r="AJ65" i="19"/>
  <c r="AI65" i="19"/>
  <c r="AJ71" i="19"/>
  <c r="AI71" i="19"/>
  <c r="AK71" i="19"/>
  <c r="AL71" i="19"/>
  <c r="AM71" i="19"/>
  <c r="AM77" i="19"/>
  <c r="AI77" i="19"/>
  <c r="AL77" i="19"/>
  <c r="AK77" i="19"/>
  <c r="AJ77" i="19"/>
  <c r="AJ85" i="19"/>
  <c r="AI85" i="19"/>
  <c r="AM85" i="19"/>
  <c r="AL85" i="19"/>
  <c r="AK85" i="19"/>
  <c r="AM91" i="19"/>
  <c r="AI91" i="19"/>
  <c r="AJ91" i="19"/>
  <c r="AL91" i="19"/>
  <c r="AK91" i="19"/>
  <c r="AJ99" i="19"/>
  <c r="AI99" i="19"/>
  <c r="AK99" i="19"/>
  <c r="AM99" i="19"/>
  <c r="AL99" i="19"/>
  <c r="AM105" i="19"/>
  <c r="AL105" i="19"/>
  <c r="AK105" i="19"/>
  <c r="AJ105" i="19"/>
  <c r="AI105" i="19"/>
  <c r="AJ111" i="19"/>
  <c r="AI111" i="19"/>
  <c r="AM111" i="19"/>
  <c r="AK111" i="19"/>
  <c r="AL111" i="19"/>
  <c r="AM119" i="19"/>
  <c r="AI119" i="19"/>
  <c r="AJ119" i="19"/>
  <c r="AL119" i="19"/>
  <c r="AK119" i="19"/>
  <c r="AJ126" i="19"/>
  <c r="AI126" i="19"/>
  <c r="AM126" i="19"/>
  <c r="AK126" i="19"/>
  <c r="AL126" i="19"/>
  <c r="AM133" i="19"/>
  <c r="AI133" i="19"/>
  <c r="AL133" i="19"/>
  <c r="AK133" i="19"/>
  <c r="AJ133" i="19"/>
  <c r="AJ141" i="19"/>
  <c r="AI141" i="19"/>
  <c r="AM141" i="19"/>
  <c r="AK141" i="19"/>
  <c r="AL141" i="19"/>
  <c r="AM147" i="19"/>
  <c r="AL147" i="19"/>
  <c r="AK147" i="19"/>
  <c r="AI147" i="19"/>
  <c r="AJ147" i="19"/>
  <c r="AJ154" i="19"/>
  <c r="AI154" i="19"/>
  <c r="AM154" i="19"/>
  <c r="AK154" i="19"/>
  <c r="AL154" i="19"/>
  <c r="AM160" i="19"/>
  <c r="AL160" i="19"/>
  <c r="AK160" i="19"/>
  <c r="AI160" i="19"/>
  <c r="AJ160" i="19"/>
  <c r="AP167" i="19"/>
  <c r="AJ167" i="19"/>
  <c r="AI167" i="19"/>
  <c r="AM167" i="19"/>
  <c r="AL167" i="19"/>
  <c r="AK167" i="19"/>
  <c r="AP176" i="19"/>
  <c r="AM176" i="19"/>
  <c r="AL176" i="19"/>
  <c r="AK176" i="19"/>
  <c r="AJ176" i="19"/>
  <c r="AI176" i="19"/>
  <c r="AP183" i="19"/>
  <c r="AM183" i="19"/>
  <c r="AL183" i="19"/>
  <c r="AK183" i="19"/>
  <c r="AJ183" i="19"/>
  <c r="AI183" i="19"/>
  <c r="AM190" i="19"/>
  <c r="AL190" i="19"/>
  <c r="AK190" i="19"/>
  <c r="AJ190" i="19"/>
  <c r="AI190" i="19"/>
  <c r="AP199" i="19"/>
  <c r="AM199" i="19"/>
  <c r="AL199" i="19"/>
  <c r="AK199" i="19"/>
  <c r="AJ199" i="19"/>
  <c r="AI199" i="19"/>
  <c r="AM205" i="19"/>
  <c r="AL205" i="19"/>
  <c r="AK205" i="19"/>
  <c r="AJ205" i="19"/>
  <c r="AI205" i="19"/>
  <c r="AP213" i="19"/>
  <c r="AM213" i="19"/>
  <c r="AL213" i="19"/>
  <c r="AK213" i="19"/>
  <c r="AJ213" i="19"/>
  <c r="AI213" i="19"/>
  <c r="AP222" i="19"/>
  <c r="AM222" i="19"/>
  <c r="AL222" i="19"/>
  <c r="AK222" i="19"/>
  <c r="AJ222" i="19"/>
  <c r="AI222" i="19"/>
  <c r="AP230" i="19"/>
  <c r="AJ230" i="19"/>
  <c r="AI230" i="19"/>
  <c r="AL230" i="19"/>
  <c r="AM230" i="19"/>
  <c r="AK230" i="19"/>
  <c r="AP237" i="19"/>
  <c r="AJ237" i="19"/>
  <c r="AI237" i="19"/>
  <c r="AM237" i="19"/>
  <c r="AK237" i="19"/>
  <c r="AL237" i="19"/>
  <c r="AJ244" i="19"/>
  <c r="AI244" i="19"/>
  <c r="AM244" i="19"/>
  <c r="AL244" i="19"/>
  <c r="AK244" i="19"/>
  <c r="AJ251" i="19"/>
  <c r="AI251" i="19"/>
  <c r="AL251" i="19"/>
  <c r="AK251" i="19"/>
  <c r="AM251" i="19"/>
  <c r="AJ258" i="19"/>
  <c r="AI258" i="19"/>
  <c r="AK258" i="19"/>
  <c r="AL258" i="19"/>
  <c r="AM258" i="19"/>
  <c r="AP266" i="19"/>
  <c r="AJ266" i="19"/>
  <c r="AI266" i="19"/>
  <c r="AK266" i="19"/>
  <c r="AL266" i="19"/>
  <c r="AM266" i="19"/>
  <c r="AP273" i="19"/>
  <c r="AK273" i="19"/>
  <c r="AJ273" i="19"/>
  <c r="AI273" i="19"/>
  <c r="AM273" i="19"/>
  <c r="AL273" i="19"/>
  <c r="AP279" i="19"/>
  <c r="AK279" i="19"/>
  <c r="AJ279" i="19"/>
  <c r="AI279" i="19"/>
  <c r="AL279" i="19"/>
  <c r="AM279" i="19"/>
  <c r="AP285" i="19"/>
  <c r="AK285" i="19"/>
  <c r="AJ285" i="19"/>
  <c r="AI285" i="19"/>
  <c r="AM285" i="19"/>
  <c r="AL285" i="19"/>
  <c r="AP291" i="19"/>
  <c r="AK291" i="19"/>
  <c r="AJ291" i="19"/>
  <c r="AI291" i="19"/>
  <c r="AL291" i="19"/>
  <c r="AM291" i="19"/>
  <c r="AP298" i="19"/>
  <c r="AK298" i="19"/>
  <c r="AJ298" i="19"/>
  <c r="AI298" i="19"/>
  <c r="AM298" i="19"/>
  <c r="AL298" i="19"/>
  <c r="AP304" i="19"/>
  <c r="AK304" i="19"/>
  <c r="AJ304" i="19"/>
  <c r="AI304" i="19"/>
  <c r="AM304" i="19"/>
  <c r="AL304" i="19"/>
  <c r="AP311" i="19"/>
  <c r="AK311" i="19"/>
  <c r="AJ311" i="19"/>
  <c r="AI311" i="19"/>
  <c r="AL311" i="19"/>
  <c r="AM311" i="19"/>
  <c r="AP319" i="19"/>
  <c r="AK319" i="19"/>
  <c r="AJ319" i="19"/>
  <c r="AI319" i="19"/>
  <c r="AM319" i="19"/>
  <c r="AL319" i="19"/>
  <c r="AP326" i="19"/>
  <c r="AK326" i="19"/>
  <c r="AJ326" i="19"/>
  <c r="AI326" i="19"/>
  <c r="AM326" i="19"/>
  <c r="AL326" i="19"/>
  <c r="AP334" i="19"/>
  <c r="AM334" i="19"/>
  <c r="AL334" i="19"/>
  <c r="AK334" i="19"/>
  <c r="AJ334" i="19"/>
  <c r="AI334" i="19"/>
  <c r="AP341" i="19"/>
  <c r="AM341" i="19"/>
  <c r="AK341" i="19"/>
  <c r="AL341" i="19"/>
  <c r="AJ341" i="19"/>
  <c r="AI341" i="19"/>
  <c r="AP349" i="19"/>
  <c r="AM349" i="19"/>
  <c r="AL349" i="19"/>
  <c r="AK349" i="19"/>
  <c r="AJ349" i="19"/>
  <c r="AI349" i="19"/>
  <c r="AP355" i="19"/>
  <c r="AL355" i="19"/>
  <c r="AK355" i="19"/>
  <c r="AJ355" i="19"/>
  <c r="AI355" i="19"/>
  <c r="AM355" i="19"/>
  <c r="AP362" i="19"/>
  <c r="AI362" i="19"/>
  <c r="AM362" i="19"/>
  <c r="AL362" i="19"/>
  <c r="AK362" i="19"/>
  <c r="AJ362" i="19"/>
  <c r="AP372" i="19"/>
  <c r="AK372" i="19"/>
  <c r="AJ372" i="19"/>
  <c r="AL372" i="19"/>
  <c r="AI372" i="19"/>
  <c r="AM372" i="19"/>
  <c r="AP384" i="19"/>
  <c r="AK384" i="19"/>
  <c r="AJ384" i="19"/>
  <c r="AM384" i="19"/>
  <c r="AL384" i="19"/>
  <c r="AI384" i="19"/>
  <c r="AP394" i="19"/>
  <c r="AK394" i="19"/>
  <c r="AJ394" i="19"/>
  <c r="AM394" i="19"/>
  <c r="AI394" i="19"/>
  <c r="AL394" i="19"/>
  <c r="AP401" i="19"/>
  <c r="AK401" i="19"/>
  <c r="AJ401" i="19"/>
  <c r="AM401" i="19"/>
  <c r="AL401" i="19"/>
  <c r="AI401" i="19"/>
  <c r="AP410" i="19"/>
  <c r="AK410" i="19"/>
  <c r="AJ410" i="19"/>
  <c r="AM410" i="19"/>
  <c r="AL410" i="19"/>
  <c r="AI410" i="19"/>
  <c r="AP416" i="19"/>
  <c r="AK416" i="19"/>
  <c r="AJ416" i="19"/>
  <c r="AM416" i="19"/>
  <c r="AL416" i="19"/>
  <c r="AI416" i="19"/>
  <c r="AP424" i="19"/>
  <c r="AM424" i="19"/>
  <c r="AK424" i="19"/>
  <c r="AJ424" i="19"/>
  <c r="AL424" i="19"/>
  <c r="AI424" i="19"/>
  <c r="AP432" i="19"/>
  <c r="AM432" i="19"/>
  <c r="AK432" i="19"/>
  <c r="AJ432" i="19"/>
  <c r="AL432" i="19"/>
  <c r="AI432" i="19"/>
  <c r="AP440" i="19"/>
  <c r="AM440" i="19"/>
  <c r="AK440" i="19"/>
  <c r="AJ440" i="19"/>
  <c r="AL440" i="19"/>
  <c r="AI440" i="19"/>
  <c r="AP449" i="19"/>
  <c r="AM449" i="19"/>
  <c r="AK449" i="19"/>
  <c r="AJ449" i="19"/>
  <c r="AL449" i="19"/>
  <c r="AI449" i="19"/>
  <c r="AP458" i="19"/>
  <c r="AM458" i="19"/>
  <c r="AK458" i="19"/>
  <c r="AJ458" i="19"/>
  <c r="AL458" i="19"/>
  <c r="AI458" i="19"/>
  <c r="AP466" i="19"/>
  <c r="AM466" i="19"/>
  <c r="AK466" i="19"/>
  <c r="AJ466" i="19"/>
  <c r="AL466" i="19"/>
  <c r="AI466" i="19"/>
  <c r="AP475" i="19"/>
  <c r="AM475" i="19"/>
  <c r="AK475" i="19"/>
  <c r="AJ475" i="19"/>
  <c r="AL475" i="19"/>
  <c r="AI475" i="19"/>
  <c r="AP484" i="19"/>
  <c r="AM484" i="19"/>
  <c r="AK484" i="19"/>
  <c r="AJ484" i="19"/>
  <c r="AL484" i="19"/>
  <c r="AI484" i="19"/>
  <c r="AP490" i="19"/>
  <c r="AL490" i="19"/>
  <c r="AK490" i="19"/>
  <c r="AM490" i="19"/>
  <c r="AJ490" i="19"/>
  <c r="AI490" i="19"/>
  <c r="AP497" i="19"/>
  <c r="AI497" i="19"/>
  <c r="AM497" i="19"/>
  <c r="AL497" i="19"/>
  <c r="AJ497" i="19"/>
  <c r="AK497" i="19"/>
  <c r="AP504" i="19"/>
  <c r="AI504" i="19"/>
  <c r="AM504" i="19"/>
  <c r="AL504" i="19"/>
  <c r="AK504" i="19"/>
  <c r="AJ504" i="19"/>
  <c r="AP510" i="19"/>
  <c r="AI510" i="19"/>
  <c r="AM510" i="19"/>
  <c r="AL510" i="19"/>
  <c r="AJ510" i="19"/>
  <c r="AK510" i="19"/>
  <c r="AP517" i="19"/>
  <c r="AI517" i="19"/>
  <c r="AM517" i="19"/>
  <c r="AK517" i="19"/>
  <c r="AJ517" i="19"/>
  <c r="AL517" i="19"/>
  <c r="AP524" i="19"/>
  <c r="AI524" i="19"/>
  <c r="AM524" i="19"/>
  <c r="AK524" i="19"/>
  <c r="AJ524" i="19"/>
  <c r="AL524" i="19"/>
  <c r="AP532" i="19"/>
  <c r="AI532" i="19"/>
  <c r="AM532" i="19"/>
  <c r="AL532" i="19"/>
  <c r="AK532" i="19"/>
  <c r="AJ532" i="19"/>
  <c r="AP540" i="19"/>
  <c r="AI540" i="19"/>
  <c r="AM540" i="19"/>
  <c r="AL540" i="19"/>
  <c r="AK540" i="19"/>
  <c r="AJ540" i="19"/>
  <c r="AP550" i="19"/>
  <c r="AI550" i="19"/>
  <c r="AM550" i="19"/>
  <c r="AL550" i="19"/>
  <c r="AK550" i="19"/>
  <c r="AJ550" i="19"/>
  <c r="AP558" i="19"/>
  <c r="AI558" i="19"/>
  <c r="AM558" i="19"/>
  <c r="AK558" i="19"/>
  <c r="AJ558" i="19"/>
  <c r="AL558" i="19"/>
  <c r="AP567" i="19"/>
  <c r="AI567" i="19"/>
  <c r="AM567" i="19"/>
  <c r="AL567" i="19"/>
  <c r="AK567" i="19"/>
  <c r="AJ567" i="19"/>
  <c r="AP575" i="19"/>
  <c r="AI575" i="19"/>
  <c r="AM575" i="19"/>
  <c r="AL575" i="19"/>
  <c r="AK575" i="19"/>
  <c r="AJ575" i="19"/>
  <c r="AP582" i="19"/>
  <c r="AI582" i="19"/>
  <c r="AM582" i="19"/>
  <c r="AL582" i="19"/>
  <c r="AJ582" i="19"/>
  <c r="AK582" i="19"/>
  <c r="AP589" i="19"/>
  <c r="AI589" i="19"/>
  <c r="AM589" i="19"/>
  <c r="AK589" i="19"/>
  <c r="AJ589" i="19"/>
  <c r="AL589" i="19"/>
  <c r="AP596" i="19"/>
  <c r="AI596" i="19"/>
  <c r="AM596" i="19"/>
  <c r="AL596" i="19"/>
  <c r="AK596" i="19"/>
  <c r="AJ596" i="19"/>
  <c r="AP603" i="19"/>
  <c r="AK603" i="19"/>
  <c r="AJ603" i="19"/>
  <c r="AI603" i="19"/>
  <c r="AM603" i="19"/>
  <c r="AL603" i="19"/>
  <c r="AP611" i="19"/>
  <c r="AM611" i="19"/>
  <c r="AL611" i="19"/>
  <c r="AK611" i="19"/>
  <c r="AJ611" i="19"/>
  <c r="AI611" i="19"/>
  <c r="AP618" i="19"/>
  <c r="AM618" i="19"/>
  <c r="AL618" i="19"/>
  <c r="AK618" i="19"/>
  <c r="AJ618" i="19"/>
  <c r="AI618" i="19"/>
  <c r="AP626" i="19"/>
  <c r="AM626" i="19"/>
  <c r="AK626" i="19"/>
  <c r="AL626" i="19"/>
  <c r="AI626" i="19"/>
  <c r="AJ626" i="19"/>
  <c r="AP634" i="19"/>
  <c r="AM634" i="19"/>
  <c r="AK634" i="19"/>
  <c r="AL634" i="19"/>
  <c r="AJ634" i="19"/>
  <c r="AI634" i="19"/>
  <c r="AP642" i="19"/>
  <c r="AM642" i="19"/>
  <c r="AK642" i="19"/>
  <c r="AL642" i="19"/>
  <c r="AJ642" i="19"/>
  <c r="AI642" i="19"/>
  <c r="AP649" i="19"/>
  <c r="AM649" i="19"/>
  <c r="AK649" i="19"/>
  <c r="AL649" i="19"/>
  <c r="AJ649" i="19"/>
  <c r="AI649" i="19"/>
  <c r="AP656" i="19"/>
  <c r="AM656" i="19"/>
  <c r="AK656" i="19"/>
  <c r="AL656" i="19"/>
  <c r="AJ656" i="19"/>
  <c r="AI656" i="19"/>
  <c r="AP665" i="19"/>
  <c r="AM665" i="19"/>
  <c r="AK665" i="19"/>
  <c r="AJ665" i="19"/>
  <c r="AI665" i="19"/>
  <c r="AL665" i="19"/>
  <c r="AP672" i="19"/>
  <c r="AM672" i="19"/>
  <c r="AK672" i="19"/>
  <c r="AL672" i="19"/>
  <c r="AJ672" i="19"/>
  <c r="AI672" i="19"/>
  <c r="AP678" i="19"/>
  <c r="AM678" i="19"/>
  <c r="AK678" i="19"/>
  <c r="AJ678" i="19"/>
  <c r="AI678" i="19"/>
  <c r="AL678" i="19"/>
  <c r="AP686" i="19"/>
  <c r="AM686" i="19"/>
  <c r="AK686" i="19"/>
  <c r="AL686" i="19"/>
  <c r="AJ686" i="19"/>
  <c r="AI686" i="19"/>
  <c r="AP692" i="19"/>
  <c r="AM692" i="19"/>
  <c r="AL692" i="19"/>
  <c r="AK692" i="19"/>
  <c r="AJ692" i="19"/>
  <c r="AI692" i="19"/>
  <c r="AP698" i="19"/>
  <c r="AM698" i="19"/>
  <c r="AL698" i="19"/>
  <c r="AK698" i="19"/>
  <c r="AI698" i="19"/>
  <c r="AJ698" i="19"/>
  <c r="AP707" i="19"/>
  <c r="AM707" i="19"/>
  <c r="AL707" i="19"/>
  <c r="AK707" i="19"/>
  <c r="AI707" i="19"/>
  <c r="AJ707" i="19"/>
  <c r="AP717" i="19"/>
  <c r="AM717" i="19"/>
  <c r="AL717" i="19"/>
  <c r="AK717" i="19"/>
  <c r="AI717" i="19"/>
  <c r="AJ717" i="19"/>
  <c r="AP726" i="19"/>
  <c r="AM726" i="19"/>
  <c r="AL726" i="19"/>
  <c r="AK726" i="19"/>
  <c r="AI726" i="19"/>
  <c r="AJ726" i="19"/>
  <c r="AP738" i="19"/>
  <c r="AM738" i="19"/>
  <c r="AL738" i="19"/>
  <c r="AK738" i="19"/>
  <c r="AI738" i="19"/>
  <c r="AJ738" i="19"/>
  <c r="AP749" i="19"/>
  <c r="AM749" i="19"/>
  <c r="AL749" i="19"/>
  <c r="AK749" i="19"/>
  <c r="AI749" i="19"/>
  <c r="AJ749" i="19"/>
  <c r="AP761" i="19"/>
  <c r="AM761" i="19"/>
  <c r="AL761" i="19"/>
  <c r="AK761" i="19"/>
  <c r="AI761" i="19"/>
  <c r="AJ761" i="19"/>
  <c r="AP770" i="19"/>
  <c r="AM770" i="19"/>
  <c r="AL770" i="19"/>
  <c r="AK770" i="19"/>
  <c r="AI770" i="19"/>
  <c r="AJ770" i="19"/>
  <c r="AP776" i="19"/>
  <c r="AM776" i="19"/>
  <c r="AL776" i="19"/>
  <c r="AK776" i="19"/>
  <c r="AI776" i="19"/>
  <c r="AJ776" i="19"/>
  <c r="AP783" i="19"/>
  <c r="AM783" i="19"/>
  <c r="AL783" i="19"/>
  <c r="AK783" i="19"/>
  <c r="AI783" i="19"/>
  <c r="AJ783" i="19"/>
  <c r="AP790" i="19"/>
  <c r="AI790" i="19"/>
  <c r="AL790" i="19"/>
  <c r="AM790" i="19"/>
  <c r="AK790" i="19"/>
  <c r="AJ790" i="19"/>
  <c r="AP796" i="19"/>
  <c r="AM796" i="19"/>
  <c r="AL796" i="19"/>
  <c r="AK796" i="19"/>
  <c r="AJ796" i="19"/>
  <c r="AI796" i="19"/>
  <c r="AP803" i="19"/>
  <c r="AM803" i="19"/>
  <c r="AL803" i="19"/>
  <c r="AK803" i="19"/>
  <c r="AJ803" i="19"/>
  <c r="AI803" i="19"/>
  <c r="AP812" i="19"/>
  <c r="AM812" i="19"/>
  <c r="AL812" i="19"/>
  <c r="AK812" i="19"/>
  <c r="AJ812" i="19"/>
  <c r="AI812" i="19"/>
  <c r="AP823" i="19"/>
  <c r="AM823" i="19"/>
  <c r="AL823" i="19"/>
  <c r="AK823" i="19"/>
  <c r="AJ823" i="19"/>
  <c r="AI823" i="19"/>
  <c r="AP831" i="19"/>
  <c r="AM831" i="19"/>
  <c r="AL831" i="19"/>
  <c r="AK831" i="19"/>
  <c r="AJ831" i="19"/>
  <c r="AI831" i="19"/>
  <c r="AP839" i="19"/>
  <c r="AM839" i="19"/>
  <c r="AL839" i="19"/>
  <c r="AK839" i="19"/>
  <c r="AJ839" i="19"/>
  <c r="AI839" i="19"/>
  <c r="AP846" i="19"/>
  <c r="AM846" i="19"/>
  <c r="AL846" i="19"/>
  <c r="AK846" i="19"/>
  <c r="AJ846" i="19"/>
  <c r="AI846" i="19"/>
  <c r="AP852" i="19"/>
  <c r="AM852" i="19"/>
  <c r="AL852" i="19"/>
  <c r="AK852" i="19"/>
  <c r="AJ852" i="19"/>
  <c r="AI852" i="19"/>
  <c r="AP858" i="19"/>
  <c r="AM858" i="19"/>
  <c r="AL858" i="19"/>
  <c r="AK858" i="19"/>
  <c r="AJ858" i="19"/>
  <c r="AI858" i="19"/>
  <c r="AP864" i="19"/>
  <c r="AM864" i="19"/>
  <c r="AL864" i="19"/>
  <c r="AK864" i="19"/>
  <c r="AJ864" i="19"/>
  <c r="AI864" i="19"/>
  <c r="AP871" i="19"/>
  <c r="AM871" i="19"/>
  <c r="AL871" i="19"/>
  <c r="AK871" i="19"/>
  <c r="AJ871" i="19"/>
  <c r="AI871" i="19"/>
  <c r="AP878" i="19"/>
  <c r="AM878" i="19"/>
  <c r="AL878" i="19"/>
  <c r="AK878" i="19"/>
  <c r="AJ878" i="19"/>
  <c r="AI878" i="19"/>
  <c r="AP886" i="19"/>
  <c r="AM886" i="19"/>
  <c r="AL886" i="19"/>
  <c r="AK886" i="19"/>
  <c r="AJ886" i="19"/>
  <c r="AI886" i="19"/>
  <c r="AP892" i="19"/>
  <c r="AM892" i="19"/>
  <c r="AL892" i="19"/>
  <c r="AK892" i="19"/>
  <c r="AJ892" i="19"/>
  <c r="AI892" i="19"/>
  <c r="AP899" i="19"/>
  <c r="AM899" i="19"/>
  <c r="AL899" i="19"/>
  <c r="AK899" i="19"/>
  <c r="AJ899" i="19"/>
  <c r="AI899" i="19"/>
  <c r="AP913" i="19"/>
  <c r="AM913" i="19"/>
  <c r="AL913" i="19"/>
  <c r="AK913" i="19"/>
  <c r="AJ913" i="19"/>
  <c r="AI913" i="19"/>
  <c r="AP921" i="19"/>
  <c r="AM921" i="19"/>
  <c r="AL921" i="19"/>
  <c r="AK921" i="19"/>
  <c r="AJ921" i="19"/>
  <c r="AI921" i="19"/>
  <c r="AP927" i="19"/>
  <c r="AM927" i="19"/>
  <c r="AL927" i="19"/>
  <c r="AK927" i="19"/>
  <c r="AJ927" i="19"/>
  <c r="AI927" i="19"/>
  <c r="AP933" i="19"/>
  <c r="AM933" i="19"/>
  <c r="AL933" i="19"/>
  <c r="AK933" i="19"/>
  <c r="AJ933" i="19"/>
  <c r="AI933" i="19"/>
  <c r="AP941" i="19"/>
  <c r="AM941" i="19"/>
  <c r="AL941" i="19"/>
  <c r="AK941" i="19"/>
  <c r="AJ941" i="19"/>
  <c r="AI941" i="19"/>
  <c r="AP949" i="19"/>
  <c r="AM949" i="19"/>
  <c r="AL949" i="19"/>
  <c r="AK949" i="19"/>
  <c r="AJ949" i="19"/>
  <c r="AI949" i="19"/>
  <c r="AP955" i="19"/>
  <c r="AM955" i="19"/>
  <c r="AL955" i="19"/>
  <c r="AK955" i="19"/>
  <c r="AJ955" i="19"/>
  <c r="AI955" i="19"/>
  <c r="AP961" i="19"/>
  <c r="AM961" i="19"/>
  <c r="AL961" i="19"/>
  <c r="AK961" i="19"/>
  <c r="AJ961" i="19"/>
  <c r="AI961" i="19"/>
  <c r="AM30" i="19"/>
  <c r="AL30" i="19"/>
  <c r="AK30" i="19"/>
  <c r="AJ30" i="19"/>
  <c r="AI30" i="19"/>
  <c r="AK36" i="19"/>
  <c r="AJ36" i="19"/>
  <c r="AI36" i="19"/>
  <c r="AM36" i="19"/>
  <c r="AL36" i="19"/>
  <c r="AJ43" i="19"/>
  <c r="AI43" i="19"/>
  <c r="AL43" i="19"/>
  <c r="AK43" i="19"/>
  <c r="AM43" i="19"/>
  <c r="AK51" i="19"/>
  <c r="AJ51" i="19"/>
  <c r="AI51" i="19"/>
  <c r="AM51" i="19"/>
  <c r="AL51" i="19"/>
  <c r="AM58" i="19"/>
  <c r="AK58" i="19"/>
  <c r="AJ58" i="19"/>
  <c r="AI58" i="19"/>
  <c r="AL58" i="19"/>
  <c r="AK66" i="19"/>
  <c r="AJ66" i="19"/>
  <c r="AI66" i="19"/>
  <c r="AL66" i="19"/>
  <c r="AM66" i="19"/>
  <c r="AM72" i="19"/>
  <c r="AL72" i="19"/>
  <c r="AK72" i="19"/>
  <c r="AI72" i="19"/>
  <c r="AJ72" i="19"/>
  <c r="AK79" i="19"/>
  <c r="AJ79" i="19"/>
  <c r="AI79" i="19"/>
  <c r="AM79" i="19"/>
  <c r="AL79" i="19"/>
  <c r="AJ86" i="19"/>
  <c r="AI86" i="19"/>
  <c r="AM86" i="19"/>
  <c r="AL86" i="19"/>
  <c r="AK86" i="19"/>
  <c r="AK93" i="19"/>
  <c r="AJ93" i="19"/>
  <c r="AI93" i="19"/>
  <c r="AM93" i="19"/>
  <c r="AL93" i="19"/>
  <c r="AM100" i="19"/>
  <c r="AL100" i="19"/>
  <c r="AI100" i="19"/>
  <c r="AK100" i="19"/>
  <c r="AJ100" i="19"/>
  <c r="AK106" i="19"/>
  <c r="AJ106" i="19"/>
  <c r="AI106" i="19"/>
  <c r="AL106" i="19"/>
  <c r="AM106" i="19"/>
  <c r="AJ113" i="19"/>
  <c r="AL113" i="19"/>
  <c r="AI113" i="19"/>
  <c r="AK113" i="19"/>
  <c r="AM113" i="19"/>
  <c r="AK120" i="19"/>
  <c r="AJ120" i="19"/>
  <c r="AI120" i="19"/>
  <c r="AM120" i="19"/>
  <c r="AL120" i="19"/>
  <c r="AJ127" i="19"/>
  <c r="AM127" i="19"/>
  <c r="AL127" i="19"/>
  <c r="AK127" i="19"/>
  <c r="AI127" i="19"/>
  <c r="AK134" i="19"/>
  <c r="AJ134" i="19"/>
  <c r="AI134" i="19"/>
  <c r="AL134" i="19"/>
  <c r="AM134" i="19"/>
  <c r="AL142" i="19"/>
  <c r="AJ142" i="19"/>
  <c r="AK142" i="19"/>
  <c r="AI142" i="19"/>
  <c r="AM142" i="19"/>
  <c r="AK148" i="19"/>
  <c r="AJ148" i="19"/>
  <c r="AI148" i="19"/>
  <c r="AL148" i="19"/>
  <c r="AM148" i="19"/>
  <c r="AL155" i="19"/>
  <c r="AJ155" i="19"/>
  <c r="AK155" i="19"/>
  <c r="AI155" i="19"/>
  <c r="AM155" i="19"/>
  <c r="AK161" i="19"/>
  <c r="AJ161" i="19"/>
  <c r="AI161" i="19"/>
  <c r="AM161" i="19"/>
  <c r="AL161" i="19"/>
  <c r="AP169" i="19"/>
  <c r="AM169" i="19"/>
  <c r="AL169" i="19"/>
  <c r="AJ169" i="19"/>
  <c r="AK169" i="19"/>
  <c r="AI169" i="19"/>
  <c r="AM177" i="19"/>
  <c r="AK177" i="19"/>
  <c r="AL177" i="19"/>
  <c r="AJ177" i="19"/>
  <c r="AI177" i="19"/>
  <c r="AM184" i="19"/>
  <c r="AK184" i="19"/>
  <c r="AL184" i="19"/>
  <c r="AJ184" i="19"/>
  <c r="AI184" i="19"/>
  <c r="AM192" i="19"/>
  <c r="AK192" i="19"/>
  <c r="AL192" i="19"/>
  <c r="AJ192" i="19"/>
  <c r="AI192" i="19"/>
  <c r="AM200" i="19"/>
  <c r="AK200" i="19"/>
  <c r="AL200" i="19"/>
  <c r="AJ200" i="19"/>
  <c r="AI200" i="19"/>
  <c r="AM207" i="19"/>
  <c r="AK207" i="19"/>
  <c r="AL207" i="19"/>
  <c r="AJ207" i="19"/>
  <c r="AI207" i="19"/>
  <c r="AP215" i="19"/>
  <c r="AM215" i="19"/>
  <c r="AK215" i="19"/>
  <c r="AL215" i="19"/>
  <c r="AJ215" i="19"/>
  <c r="AI215" i="19"/>
  <c r="AI224" i="19"/>
  <c r="AL224" i="19"/>
  <c r="AM224" i="19"/>
  <c r="AK224" i="19"/>
  <c r="AJ224" i="19"/>
  <c r="AP231" i="19"/>
  <c r="AM231" i="19"/>
  <c r="AL231" i="19"/>
  <c r="AK231" i="19"/>
  <c r="AJ231" i="19"/>
  <c r="AI231" i="19"/>
  <c r="AL239" i="19"/>
  <c r="AK239" i="19"/>
  <c r="AJ239" i="19"/>
  <c r="AI239" i="19"/>
  <c r="AM239" i="19"/>
  <c r="AI245" i="19"/>
  <c r="AL245" i="19"/>
  <c r="AK245" i="19"/>
  <c r="AM245" i="19"/>
  <c r="AJ245" i="19"/>
  <c r="AM252" i="19"/>
  <c r="AK252" i="19"/>
  <c r="AI252" i="19"/>
  <c r="AL252" i="19"/>
  <c r="AJ252" i="19"/>
  <c r="AL260" i="19"/>
  <c r="AM260" i="19"/>
  <c r="AJ260" i="19"/>
  <c r="AK260" i="19"/>
  <c r="AI260" i="19"/>
  <c r="AP267" i="19"/>
  <c r="AL267" i="19"/>
  <c r="AM267" i="19"/>
  <c r="AJ267" i="19"/>
  <c r="AI267" i="19"/>
  <c r="AK267" i="19"/>
  <c r="AP274" i="19"/>
  <c r="AM274" i="19"/>
  <c r="AL274" i="19"/>
  <c r="AI274" i="19"/>
  <c r="AK274" i="19"/>
  <c r="AJ274" i="19"/>
  <c r="AP280" i="19"/>
  <c r="AM280" i="19"/>
  <c r="AL280" i="19"/>
  <c r="AK280" i="19"/>
  <c r="AJ280" i="19"/>
  <c r="AI280" i="19"/>
  <c r="AP286" i="19"/>
  <c r="AM286" i="19"/>
  <c r="AL286" i="19"/>
  <c r="AI286" i="19"/>
  <c r="AK286" i="19"/>
  <c r="AJ286" i="19"/>
  <c r="AP292" i="19"/>
  <c r="AM292" i="19"/>
  <c r="AL292" i="19"/>
  <c r="AK292" i="19"/>
  <c r="AJ292" i="19"/>
  <c r="AI292" i="19"/>
  <c r="AP299" i="19"/>
  <c r="AM299" i="19"/>
  <c r="AL299" i="19"/>
  <c r="AJ299" i="19"/>
  <c r="AK299" i="19"/>
  <c r="AI299" i="19"/>
  <c r="AP305" i="19"/>
  <c r="AM305" i="19"/>
  <c r="AL305" i="19"/>
  <c r="AJ305" i="19"/>
  <c r="AK305" i="19"/>
  <c r="AI305" i="19"/>
  <c r="AP312" i="19"/>
  <c r="AM312" i="19"/>
  <c r="AL312" i="19"/>
  <c r="AJ312" i="19"/>
  <c r="AK312" i="19"/>
  <c r="AI312" i="19"/>
  <c r="AP320" i="19"/>
  <c r="AM320" i="19"/>
  <c r="AL320" i="19"/>
  <c r="AJ320" i="19"/>
  <c r="AK320" i="19"/>
  <c r="AI320" i="19"/>
  <c r="AP327" i="19"/>
  <c r="AM327" i="19"/>
  <c r="AK327" i="19"/>
  <c r="AL327" i="19"/>
  <c r="AJ327" i="19"/>
  <c r="AI327" i="19"/>
  <c r="AP335" i="19"/>
  <c r="AI335" i="19"/>
  <c r="AL335" i="19"/>
  <c r="AK335" i="19"/>
  <c r="AJ335" i="19"/>
  <c r="AM335" i="19"/>
  <c r="AP342" i="19"/>
  <c r="AJ342" i="19"/>
  <c r="AI342" i="19"/>
  <c r="AM342" i="19"/>
  <c r="AL342" i="19"/>
  <c r="AK342" i="19"/>
  <c r="AP350" i="19"/>
  <c r="AJ350" i="19"/>
  <c r="AI350" i="19"/>
  <c r="AL350" i="19"/>
  <c r="AK350" i="19"/>
  <c r="AM350" i="19"/>
  <c r="AP356" i="19"/>
  <c r="AJ356" i="19"/>
  <c r="AI356" i="19"/>
  <c r="AM356" i="19"/>
  <c r="AL356" i="19"/>
  <c r="AK356" i="19"/>
  <c r="AP363" i="19"/>
  <c r="AJ363" i="19"/>
  <c r="AI363" i="19"/>
  <c r="AM363" i="19"/>
  <c r="AK363" i="19"/>
  <c r="AL363" i="19"/>
  <c r="AP374" i="19"/>
  <c r="AJ374" i="19"/>
  <c r="AI374" i="19"/>
  <c r="AM374" i="19"/>
  <c r="AL374" i="19"/>
  <c r="AK374" i="19"/>
  <c r="AP386" i="19"/>
  <c r="AJ386" i="19"/>
  <c r="AI386" i="19"/>
  <c r="AL386" i="19"/>
  <c r="AK386" i="19"/>
  <c r="AM386" i="19"/>
  <c r="AP396" i="19"/>
  <c r="AJ396" i="19"/>
  <c r="AI396" i="19"/>
  <c r="AM396" i="19"/>
  <c r="AL396" i="19"/>
  <c r="AK396" i="19"/>
  <c r="AP403" i="19"/>
  <c r="AK403" i="19"/>
  <c r="AJ403" i="19"/>
  <c r="AI403" i="19"/>
  <c r="AL403" i="19"/>
  <c r="AM403" i="19"/>
  <c r="AP411" i="19"/>
  <c r="AK411" i="19"/>
  <c r="AJ411" i="19"/>
  <c r="AI411" i="19"/>
  <c r="AM411" i="19"/>
  <c r="AL411" i="19"/>
  <c r="AP417" i="19"/>
  <c r="AK417" i="19"/>
  <c r="AJ417" i="19"/>
  <c r="AI417" i="19"/>
  <c r="AL417" i="19"/>
  <c r="AM417" i="19"/>
  <c r="AP426" i="19"/>
  <c r="AK426" i="19"/>
  <c r="AJ426" i="19"/>
  <c r="AI426" i="19"/>
  <c r="AM426" i="19"/>
  <c r="AL426" i="19"/>
  <c r="AP433" i="19"/>
  <c r="AK433" i="19"/>
  <c r="AJ433" i="19"/>
  <c r="AI433" i="19"/>
  <c r="AM433" i="19"/>
  <c r="AL433" i="19"/>
  <c r="AP442" i="19"/>
  <c r="AL442" i="19"/>
  <c r="AK442" i="19"/>
  <c r="AJ442" i="19"/>
  <c r="AI442" i="19"/>
  <c r="AM442" i="19"/>
  <c r="AP451" i="19"/>
  <c r="AL451" i="19"/>
  <c r="AK451" i="19"/>
  <c r="AJ451" i="19"/>
  <c r="AI451" i="19"/>
  <c r="AM451" i="19"/>
  <c r="AP460" i="19"/>
  <c r="AL460" i="19"/>
  <c r="AK460" i="19"/>
  <c r="AJ460" i="19"/>
  <c r="AI460" i="19"/>
  <c r="AM460" i="19"/>
  <c r="AP467" i="19"/>
  <c r="AL467" i="19"/>
  <c r="AK467" i="19"/>
  <c r="AJ467" i="19"/>
  <c r="AI467" i="19"/>
  <c r="AM467" i="19"/>
  <c r="AP477" i="19"/>
  <c r="AL477" i="19"/>
  <c r="AK477" i="19"/>
  <c r="AJ477" i="19"/>
  <c r="AI477" i="19"/>
  <c r="AM477" i="19"/>
  <c r="AP485" i="19"/>
  <c r="AL485" i="19"/>
  <c r="AK485" i="19"/>
  <c r="AJ485" i="19"/>
  <c r="AI485" i="19"/>
  <c r="AM485" i="19"/>
  <c r="AP492" i="19"/>
  <c r="AM492" i="19"/>
  <c r="AL492" i="19"/>
  <c r="AI492" i="19"/>
  <c r="AK492" i="19"/>
  <c r="AJ492" i="19"/>
  <c r="AP498" i="19"/>
  <c r="AM498" i="19"/>
  <c r="AL498" i="19"/>
  <c r="AI498" i="19"/>
  <c r="AJ498" i="19"/>
  <c r="AK498" i="19"/>
  <c r="AP505" i="19"/>
  <c r="AM505" i="19"/>
  <c r="AL505" i="19"/>
  <c r="AI505" i="19"/>
  <c r="AJ505" i="19"/>
  <c r="AK505" i="19"/>
  <c r="AP511" i="19"/>
  <c r="AM511" i="19"/>
  <c r="AL511" i="19"/>
  <c r="AJ511" i="19"/>
  <c r="AI511" i="19"/>
  <c r="AK511" i="19"/>
  <c r="AP518" i="19"/>
  <c r="AM518" i="19"/>
  <c r="AL518" i="19"/>
  <c r="AJ518" i="19"/>
  <c r="AI518" i="19"/>
  <c r="AK518" i="19"/>
  <c r="AP526" i="19"/>
  <c r="AM526" i="19"/>
  <c r="AL526" i="19"/>
  <c r="AJ526" i="19"/>
  <c r="AI526" i="19"/>
  <c r="AK526" i="19"/>
  <c r="AP533" i="19"/>
  <c r="AM533" i="19"/>
  <c r="AL533" i="19"/>
  <c r="AJ533" i="19"/>
  <c r="AI533" i="19"/>
  <c r="AK533" i="19"/>
  <c r="AP542" i="19"/>
  <c r="AM542" i="19"/>
  <c r="AL542" i="19"/>
  <c r="AJ542" i="19"/>
  <c r="AI542" i="19"/>
  <c r="AK542" i="19"/>
  <c r="AP552" i="19"/>
  <c r="AM552" i="19"/>
  <c r="AL552" i="19"/>
  <c r="AJ552" i="19"/>
  <c r="AI552" i="19"/>
  <c r="AK552" i="19"/>
  <c r="AP560" i="19"/>
  <c r="AM560" i="19"/>
  <c r="AL560" i="19"/>
  <c r="AJ560" i="19"/>
  <c r="AI560" i="19"/>
  <c r="AK560" i="19"/>
  <c r="AP569" i="19"/>
  <c r="AM569" i="19"/>
  <c r="AL569" i="19"/>
  <c r="AJ569" i="19"/>
  <c r="AI569" i="19"/>
  <c r="AK569" i="19"/>
  <c r="AP577" i="19"/>
  <c r="AM577" i="19"/>
  <c r="AL577" i="19"/>
  <c r="AJ577" i="19"/>
  <c r="AI577" i="19"/>
  <c r="AK577" i="19"/>
  <c r="AP583" i="19"/>
  <c r="AM583" i="19"/>
  <c r="AL583" i="19"/>
  <c r="AJ583" i="19"/>
  <c r="AI583" i="19"/>
  <c r="AK583" i="19"/>
  <c r="AP590" i="19"/>
  <c r="AM590" i="19"/>
  <c r="AL590" i="19"/>
  <c r="AJ590" i="19"/>
  <c r="AI590" i="19"/>
  <c r="AK590" i="19"/>
  <c r="AP598" i="19"/>
  <c r="AM598" i="19"/>
  <c r="AL598" i="19"/>
  <c r="AJ598" i="19"/>
  <c r="AI598" i="19"/>
  <c r="AK598" i="19"/>
  <c r="AP604" i="19"/>
  <c r="AL604" i="19"/>
  <c r="AK604" i="19"/>
  <c r="AI604" i="19"/>
  <c r="AM604" i="19"/>
  <c r="AJ604" i="19"/>
  <c r="AP612" i="19"/>
  <c r="AI612" i="19"/>
  <c r="AL612" i="19"/>
  <c r="AM612" i="19"/>
  <c r="AK612" i="19"/>
  <c r="AJ612" i="19"/>
  <c r="AP620" i="19"/>
  <c r="AL620" i="19"/>
  <c r="AK620" i="19"/>
  <c r="AJ620" i="19"/>
  <c r="AI620" i="19"/>
  <c r="AM620" i="19"/>
  <c r="AP628" i="19"/>
  <c r="AM628" i="19"/>
  <c r="AL628" i="19"/>
  <c r="AK628" i="19"/>
  <c r="AJ628" i="19"/>
  <c r="AI628" i="19"/>
  <c r="AP636" i="19"/>
  <c r="AL636" i="19"/>
  <c r="AM636" i="19"/>
  <c r="AK636" i="19"/>
  <c r="AJ636" i="19"/>
  <c r="AI636" i="19"/>
  <c r="AP643" i="19"/>
  <c r="AL643" i="19"/>
  <c r="AM643" i="19"/>
  <c r="AK643" i="19"/>
  <c r="AJ643" i="19"/>
  <c r="AI643" i="19"/>
  <c r="AP650" i="19"/>
  <c r="AL650" i="19"/>
  <c r="AM650" i="19"/>
  <c r="AK650" i="19"/>
  <c r="AJ650" i="19"/>
  <c r="AI650" i="19"/>
  <c r="AP657" i="19"/>
  <c r="AL657" i="19"/>
  <c r="AI657" i="19"/>
  <c r="AM657" i="19"/>
  <c r="AK657" i="19"/>
  <c r="AJ657" i="19"/>
  <c r="AP666" i="19"/>
  <c r="AL666" i="19"/>
  <c r="AJ666" i="19"/>
  <c r="AI666" i="19"/>
  <c r="AM666" i="19"/>
  <c r="AK666" i="19"/>
  <c r="AP673" i="19"/>
  <c r="AL673" i="19"/>
  <c r="AJ673" i="19"/>
  <c r="AI673" i="19"/>
  <c r="AM673" i="19"/>
  <c r="AK673" i="19"/>
  <c r="AP680" i="19"/>
  <c r="AL680" i="19"/>
  <c r="AJ680" i="19"/>
  <c r="AI680" i="19"/>
  <c r="AM680" i="19"/>
  <c r="AK680" i="19"/>
  <c r="AP687" i="19"/>
  <c r="AL687" i="19"/>
  <c r="AJ687" i="19"/>
  <c r="AI687" i="19"/>
  <c r="AM687" i="19"/>
  <c r="AK687" i="19"/>
  <c r="AP693" i="19"/>
  <c r="AL693" i="19"/>
  <c r="AJ693" i="19"/>
  <c r="AI693" i="19"/>
  <c r="AM693" i="19"/>
  <c r="AK693" i="19"/>
  <c r="AP700" i="19"/>
  <c r="AL700" i="19"/>
  <c r="AJ700" i="19"/>
  <c r="AI700" i="19"/>
  <c r="AM700" i="19"/>
  <c r="AK700" i="19"/>
  <c r="AP709" i="19"/>
  <c r="AL709" i="19"/>
  <c r="AK709" i="19"/>
  <c r="AJ709" i="19"/>
  <c r="AI709" i="19"/>
  <c r="AM709" i="19"/>
  <c r="AP719" i="19"/>
  <c r="AL719" i="19"/>
  <c r="AK719" i="19"/>
  <c r="AJ719" i="19"/>
  <c r="AI719" i="19"/>
  <c r="AM719" i="19"/>
  <c r="AP728" i="19"/>
  <c r="AL728" i="19"/>
  <c r="AK728" i="19"/>
  <c r="AJ728" i="19"/>
  <c r="AI728" i="19"/>
  <c r="AM728" i="19"/>
  <c r="AP740" i="19"/>
  <c r="AL740" i="19"/>
  <c r="AK740" i="19"/>
  <c r="AJ740" i="19"/>
  <c r="AI740" i="19"/>
  <c r="AM740" i="19"/>
  <c r="AP751" i="19"/>
  <c r="AL751" i="19"/>
  <c r="AK751" i="19"/>
  <c r="AJ751" i="19"/>
  <c r="AI751" i="19"/>
  <c r="AM751" i="19"/>
  <c r="AP763" i="19"/>
  <c r="AL763" i="19"/>
  <c r="AK763" i="19"/>
  <c r="AJ763" i="19"/>
  <c r="AI763" i="19"/>
  <c r="AM763" i="19"/>
  <c r="AP771" i="19"/>
  <c r="AL771" i="19"/>
  <c r="AK771" i="19"/>
  <c r="AJ771" i="19"/>
  <c r="AI771" i="19"/>
  <c r="AM771" i="19"/>
  <c r="AP777" i="19"/>
  <c r="AL777" i="19"/>
  <c r="AK777" i="19"/>
  <c r="AJ777" i="19"/>
  <c r="AI777" i="19"/>
  <c r="AM777" i="19"/>
  <c r="AP784" i="19"/>
  <c r="AM784" i="19"/>
  <c r="AL784" i="19"/>
  <c r="AK784" i="19"/>
  <c r="AJ784" i="19"/>
  <c r="AI784" i="19"/>
  <c r="AP791" i="19"/>
  <c r="AM791" i="19"/>
  <c r="AL791" i="19"/>
  <c r="AK791" i="19"/>
  <c r="AJ791" i="19"/>
  <c r="AI791" i="19"/>
  <c r="AP797" i="19"/>
  <c r="AL797" i="19"/>
  <c r="AK797" i="19"/>
  <c r="AJ797" i="19"/>
  <c r="AI797" i="19"/>
  <c r="AM797" i="19"/>
  <c r="AP804" i="19"/>
  <c r="AM804" i="19"/>
  <c r="AL804" i="19"/>
  <c r="AK804" i="19"/>
  <c r="AJ804" i="19"/>
  <c r="AI804" i="19"/>
  <c r="AP814" i="19"/>
  <c r="AM814" i="19"/>
  <c r="AL814" i="19"/>
  <c r="AK814" i="19"/>
  <c r="AJ814" i="19"/>
  <c r="AI814" i="19"/>
  <c r="AP825" i="19"/>
  <c r="AM825" i="19"/>
  <c r="AL825" i="19"/>
  <c r="AK825" i="19"/>
  <c r="AJ825" i="19"/>
  <c r="AI825" i="19"/>
  <c r="AP833" i="19"/>
  <c r="AJ833" i="19"/>
  <c r="AI833" i="19"/>
  <c r="AM833" i="19"/>
  <c r="AL833" i="19"/>
  <c r="AK833" i="19"/>
  <c r="AP840" i="19"/>
  <c r="AM840" i="19"/>
  <c r="AL840" i="19"/>
  <c r="AJ840" i="19"/>
  <c r="AK840" i="19"/>
  <c r="AI840" i="19"/>
  <c r="AP847" i="19"/>
  <c r="AM847" i="19"/>
  <c r="AL847" i="19"/>
  <c r="AK847" i="19"/>
  <c r="AJ847" i="19"/>
  <c r="AI847" i="19"/>
  <c r="AP853" i="19"/>
  <c r="AM853" i="19"/>
  <c r="AL853" i="19"/>
  <c r="AK853" i="19"/>
  <c r="AJ853" i="19"/>
  <c r="AI853" i="19"/>
  <c r="AP859" i="19"/>
  <c r="AM859" i="19"/>
  <c r="AL859" i="19"/>
  <c r="AK859" i="19"/>
  <c r="AJ859" i="19"/>
  <c r="AI859" i="19"/>
  <c r="AP866" i="19"/>
  <c r="AM866" i="19"/>
  <c r="AL866" i="19"/>
  <c r="AK866" i="19"/>
  <c r="AJ866" i="19"/>
  <c r="AI866" i="19"/>
  <c r="AP872" i="19"/>
  <c r="AM872" i="19"/>
  <c r="AL872" i="19"/>
  <c r="AK872" i="19"/>
  <c r="AJ872" i="19"/>
  <c r="AI872" i="19"/>
  <c r="AP879" i="19"/>
  <c r="AM879" i="19"/>
  <c r="AL879" i="19"/>
  <c r="AK879" i="19"/>
  <c r="AJ879" i="19"/>
  <c r="AI879" i="19"/>
  <c r="AP887" i="19"/>
  <c r="AM887" i="19"/>
  <c r="AL887" i="19"/>
  <c r="AK887" i="19"/>
  <c r="AJ887" i="19"/>
  <c r="AI887" i="19"/>
  <c r="AP893" i="19"/>
  <c r="AM893" i="19"/>
  <c r="AL893" i="19"/>
  <c r="AK893" i="19"/>
  <c r="AJ893" i="19"/>
  <c r="AI893" i="19"/>
  <c r="AP900" i="19"/>
  <c r="AM900" i="19"/>
  <c r="AL900" i="19"/>
  <c r="AK900" i="19"/>
  <c r="AJ900" i="19"/>
  <c r="AI900" i="19"/>
  <c r="AP914" i="19"/>
  <c r="AM914" i="19"/>
  <c r="AL914" i="19"/>
  <c r="AK914" i="19"/>
  <c r="AJ914" i="19"/>
  <c r="AI914" i="19"/>
  <c r="AP922" i="19"/>
  <c r="AM922" i="19"/>
  <c r="AL922" i="19"/>
  <c r="AK922" i="19"/>
  <c r="AJ922" i="19"/>
  <c r="AI922" i="19"/>
  <c r="AP928" i="19"/>
  <c r="AM928" i="19"/>
  <c r="AL928" i="19"/>
  <c r="AK928" i="19"/>
  <c r="AJ928" i="19"/>
  <c r="AI928" i="19"/>
  <c r="AP934" i="19"/>
  <c r="AM934" i="19"/>
  <c r="AL934" i="19"/>
  <c r="AK934" i="19"/>
  <c r="AJ934" i="19"/>
  <c r="AI934" i="19"/>
  <c r="AP943" i="19"/>
  <c r="AM943" i="19"/>
  <c r="AL943" i="19"/>
  <c r="AK943" i="19"/>
  <c r="AJ943" i="19"/>
  <c r="AI943" i="19"/>
  <c r="AP950" i="19"/>
  <c r="AM950" i="19"/>
  <c r="AL950" i="19"/>
  <c r="AK950" i="19"/>
  <c r="AJ950" i="19"/>
  <c r="AI950" i="19"/>
  <c r="AP956" i="19"/>
  <c r="AM956" i="19"/>
  <c r="AL956" i="19"/>
  <c r="AK956" i="19"/>
  <c r="AJ956" i="19"/>
  <c r="AI956" i="19"/>
  <c r="AP962" i="19"/>
  <c r="AM962" i="19"/>
  <c r="AL962" i="19"/>
  <c r="AK962" i="19"/>
  <c r="AJ962" i="19"/>
  <c r="AI962" i="19"/>
  <c r="AL31" i="19"/>
  <c r="AK31" i="19"/>
  <c r="AJ31" i="19"/>
  <c r="AI31" i="19"/>
  <c r="AM31" i="19"/>
  <c r="AM37" i="19"/>
  <c r="AL37" i="19"/>
  <c r="AK37" i="19"/>
  <c r="AI37" i="19"/>
  <c r="AJ37" i="19"/>
  <c r="AL44" i="19"/>
  <c r="AK44" i="19"/>
  <c r="AJ44" i="19"/>
  <c r="AI44" i="19"/>
  <c r="AM44" i="19"/>
  <c r="AK52" i="19"/>
  <c r="AJ52" i="19"/>
  <c r="AI52" i="19"/>
  <c r="AM52" i="19"/>
  <c r="AL52" i="19"/>
  <c r="AL59" i="19"/>
  <c r="AJ59" i="19"/>
  <c r="AK59" i="19"/>
  <c r="AI59" i="19"/>
  <c r="AM59" i="19"/>
  <c r="AK67" i="19"/>
  <c r="AI67" i="19"/>
  <c r="AM67" i="19"/>
  <c r="AL67" i="19"/>
  <c r="AJ67" i="19"/>
  <c r="AL73" i="19"/>
  <c r="AK73" i="19"/>
  <c r="AJ73" i="19"/>
  <c r="AI73" i="19"/>
  <c r="AM73" i="19"/>
  <c r="AM80" i="19"/>
  <c r="AL80" i="19"/>
  <c r="AI80" i="19"/>
  <c r="AK80" i="19"/>
  <c r="AJ80" i="19"/>
  <c r="AL87" i="19"/>
  <c r="AK87" i="19"/>
  <c r="AJ87" i="19"/>
  <c r="AI87" i="19"/>
  <c r="AM87" i="19"/>
  <c r="AK94" i="19"/>
  <c r="AJ94" i="19"/>
  <c r="AI94" i="19"/>
  <c r="AM94" i="19"/>
  <c r="AL94" i="19"/>
  <c r="AL101" i="19"/>
  <c r="AK101" i="19"/>
  <c r="AJ101" i="19"/>
  <c r="AI101" i="19"/>
  <c r="AM101" i="19"/>
  <c r="AK107" i="19"/>
  <c r="AJ107" i="19"/>
  <c r="AM107" i="19"/>
  <c r="AL107" i="19"/>
  <c r="AI107" i="19"/>
  <c r="AL114" i="19"/>
  <c r="AK114" i="19"/>
  <c r="AJ114" i="19"/>
  <c r="AI114" i="19"/>
  <c r="AM114" i="19"/>
  <c r="AK121" i="19"/>
  <c r="AI121" i="19"/>
  <c r="AM121" i="19"/>
  <c r="AL121" i="19"/>
  <c r="AJ121" i="19"/>
  <c r="AL129" i="19"/>
  <c r="AK129" i="19"/>
  <c r="AJ129" i="19"/>
  <c r="AI129" i="19"/>
  <c r="AM129" i="19"/>
  <c r="AK136" i="19"/>
  <c r="AI136" i="19"/>
  <c r="AJ136" i="19"/>
  <c r="AL136" i="19"/>
  <c r="AM136" i="19"/>
  <c r="AL143" i="19"/>
  <c r="AK143" i="19"/>
  <c r="AJ143" i="19"/>
  <c r="AI143" i="19"/>
  <c r="AM143" i="19"/>
  <c r="AM149" i="19"/>
  <c r="AK149" i="19"/>
  <c r="AI149" i="19"/>
  <c r="AJ149" i="19"/>
  <c r="AL149" i="19"/>
  <c r="AL156" i="19"/>
  <c r="AK156" i="19"/>
  <c r="AJ156" i="19"/>
  <c r="AI156" i="19"/>
  <c r="AM156" i="19"/>
  <c r="AP162" i="19"/>
  <c r="AM162" i="19"/>
  <c r="AK162" i="19"/>
  <c r="AI162" i="19"/>
  <c r="AL162" i="19"/>
  <c r="AJ162" i="19"/>
  <c r="AL171" i="19"/>
  <c r="AK171" i="19"/>
  <c r="AJ171" i="19"/>
  <c r="AI171" i="19"/>
  <c r="AM171" i="19"/>
  <c r="AP178" i="19"/>
  <c r="AM178" i="19"/>
  <c r="AL178" i="19"/>
  <c r="AK178" i="19"/>
  <c r="AJ178" i="19"/>
  <c r="AI178" i="19"/>
  <c r="AP186" i="19"/>
  <c r="AM186" i="19"/>
  <c r="AL186" i="19"/>
  <c r="AK186" i="19"/>
  <c r="AJ186" i="19"/>
  <c r="AI186" i="19"/>
  <c r="AM193" i="19"/>
  <c r="AL193" i="19"/>
  <c r="AK193" i="19"/>
  <c r="AJ193" i="19"/>
  <c r="AI193" i="19"/>
  <c r="AP201" i="19"/>
  <c r="AM201" i="19"/>
  <c r="AL201" i="19"/>
  <c r="AK201" i="19"/>
  <c r="AJ201" i="19"/>
  <c r="AI201" i="19"/>
  <c r="AM208" i="19"/>
  <c r="AL208" i="19"/>
  <c r="AK208" i="19"/>
  <c r="AJ208" i="19"/>
  <c r="AI208" i="19"/>
  <c r="AP216" i="19"/>
  <c r="AM216" i="19"/>
  <c r="AL216" i="19"/>
  <c r="AK216" i="19"/>
  <c r="AJ216" i="19"/>
  <c r="AI216" i="19"/>
  <c r="AM225" i="19"/>
  <c r="AL225" i="19"/>
  <c r="AK225" i="19"/>
  <c r="AI225" i="19"/>
  <c r="AJ225" i="19"/>
  <c r="AP232" i="19"/>
  <c r="AJ232" i="19"/>
  <c r="AI232" i="19"/>
  <c r="AL232" i="19"/>
  <c r="AK232" i="19"/>
  <c r="AM232" i="19"/>
  <c r="AJ240" i="19"/>
  <c r="AI240" i="19"/>
  <c r="AL240" i="19"/>
  <c r="AM240" i="19"/>
  <c r="AK240" i="19"/>
  <c r="AJ246" i="19"/>
  <c r="AI246" i="19"/>
  <c r="AM246" i="19"/>
  <c r="AK246" i="19"/>
  <c r="AL246" i="19"/>
  <c r="AJ253" i="19"/>
  <c r="AI253" i="19"/>
  <c r="AM253" i="19"/>
  <c r="AL253" i="19"/>
  <c r="AK253" i="19"/>
  <c r="AP262" i="19"/>
  <c r="AJ262" i="19"/>
  <c r="AI262" i="19"/>
  <c r="AM262" i="19"/>
  <c r="AL262" i="19"/>
  <c r="AK262" i="19"/>
  <c r="AP268" i="19"/>
  <c r="AJ268" i="19"/>
  <c r="AI268" i="19"/>
  <c r="AM268" i="19"/>
  <c r="AL268" i="19"/>
  <c r="AK268" i="19"/>
  <c r="AP275" i="19"/>
  <c r="AK275" i="19"/>
  <c r="AJ275" i="19"/>
  <c r="AI275" i="19"/>
  <c r="AL275" i="19"/>
  <c r="AM275" i="19"/>
  <c r="AP293" i="19"/>
  <c r="AK293" i="19"/>
  <c r="AJ293" i="19"/>
  <c r="AI293" i="19"/>
  <c r="AM293" i="19"/>
  <c r="AL293" i="19"/>
  <c r="AP300" i="19"/>
  <c r="AK300" i="19"/>
  <c r="AJ300" i="19"/>
  <c r="AI300" i="19"/>
  <c r="AL300" i="19"/>
  <c r="AM300" i="19"/>
  <c r="AP306" i="19"/>
  <c r="AK306" i="19"/>
  <c r="AJ306" i="19"/>
  <c r="AI306" i="19"/>
  <c r="AL306" i="19"/>
  <c r="AM306" i="19"/>
  <c r="AP314" i="19"/>
  <c r="AK314" i="19"/>
  <c r="AJ314" i="19"/>
  <c r="AI314" i="19"/>
  <c r="AM314" i="19"/>
  <c r="AL314" i="19"/>
  <c r="AP321" i="19"/>
  <c r="AK321" i="19"/>
  <c r="AJ321" i="19"/>
  <c r="AI321" i="19"/>
  <c r="AM321" i="19"/>
  <c r="AL321" i="19"/>
  <c r="AP329" i="19"/>
  <c r="AL329" i="19"/>
  <c r="AK329" i="19"/>
  <c r="AJ329" i="19"/>
  <c r="AI329" i="19"/>
  <c r="AM329" i="19"/>
  <c r="AP336" i="19"/>
  <c r="AM336" i="19"/>
  <c r="AL336" i="19"/>
  <c r="AK336" i="19"/>
  <c r="AJ336" i="19"/>
  <c r="AI336" i="19"/>
  <c r="AP344" i="19"/>
  <c r="AI344" i="19"/>
  <c r="AL344" i="19"/>
  <c r="AM344" i="19"/>
  <c r="AJ344" i="19"/>
  <c r="AK344" i="19"/>
  <c r="AP351" i="19"/>
  <c r="AM351" i="19"/>
  <c r="AK351" i="19"/>
  <c r="AL351" i="19"/>
  <c r="AI351" i="19"/>
  <c r="AJ351" i="19"/>
  <c r="AP357" i="19"/>
  <c r="AM357" i="19"/>
  <c r="AL357" i="19"/>
  <c r="AK357" i="19"/>
  <c r="AJ357" i="19"/>
  <c r="AI357" i="19"/>
  <c r="AP365" i="19"/>
  <c r="AK365" i="19"/>
  <c r="AJ365" i="19"/>
  <c r="AM365" i="19"/>
  <c r="AL365" i="19"/>
  <c r="AI365" i="19"/>
  <c r="AP376" i="19"/>
  <c r="AK376" i="19"/>
  <c r="AJ376" i="19"/>
  <c r="AM376" i="19"/>
  <c r="AL376" i="19"/>
  <c r="AI376" i="19"/>
  <c r="AP388" i="19"/>
  <c r="AK388" i="19"/>
  <c r="AJ388" i="19"/>
  <c r="AM388" i="19"/>
  <c r="AI388" i="19"/>
  <c r="AL388" i="19"/>
  <c r="AP397" i="19"/>
  <c r="AK397" i="19"/>
  <c r="AJ397" i="19"/>
  <c r="AI397" i="19"/>
  <c r="AM397" i="19"/>
  <c r="AL397" i="19"/>
  <c r="AP404" i="19"/>
  <c r="AK404" i="19"/>
  <c r="AJ404" i="19"/>
  <c r="AM404" i="19"/>
  <c r="AL404" i="19"/>
  <c r="AI404" i="19"/>
  <c r="AP412" i="19"/>
  <c r="AK412" i="19"/>
  <c r="AJ412" i="19"/>
  <c r="AM412" i="19"/>
  <c r="AI412" i="19"/>
  <c r="AL412" i="19"/>
  <c r="AP418" i="19"/>
  <c r="AM418" i="19"/>
  <c r="AK418" i="19"/>
  <c r="AJ418" i="19"/>
  <c r="AL418" i="19"/>
  <c r="AI418" i="19"/>
  <c r="AP427" i="19"/>
  <c r="AM427" i="19"/>
  <c r="AK427" i="19"/>
  <c r="AJ427" i="19"/>
  <c r="AL427" i="19"/>
  <c r="AI427" i="19"/>
  <c r="AP435" i="19"/>
  <c r="AM435" i="19"/>
  <c r="AK435" i="19"/>
  <c r="AJ435" i="19"/>
  <c r="AL435" i="19"/>
  <c r="AI435" i="19"/>
  <c r="AP444" i="19"/>
  <c r="AM444" i="19"/>
  <c r="AK444" i="19"/>
  <c r="AJ444" i="19"/>
  <c r="AL444" i="19"/>
  <c r="AI444" i="19"/>
  <c r="AP452" i="19"/>
  <c r="AM452" i="19"/>
  <c r="AK452" i="19"/>
  <c r="AJ452" i="19"/>
  <c r="AI452" i="19"/>
  <c r="AL452" i="19"/>
  <c r="AP461" i="19"/>
  <c r="AM461" i="19"/>
  <c r="AK461" i="19"/>
  <c r="AJ461" i="19"/>
  <c r="AI461" i="19"/>
  <c r="AL461" i="19"/>
  <c r="AP469" i="19"/>
  <c r="AM469" i="19"/>
  <c r="AK469" i="19"/>
  <c r="AJ469" i="19"/>
  <c r="AL469" i="19"/>
  <c r="AI469" i="19"/>
  <c r="AP478" i="19"/>
  <c r="AM478" i="19"/>
  <c r="AK478" i="19"/>
  <c r="AJ478" i="19"/>
  <c r="AI478" i="19"/>
  <c r="AL478" i="19"/>
  <c r="AP486" i="19"/>
  <c r="AM486" i="19"/>
  <c r="AK486" i="19"/>
  <c r="AJ486" i="19"/>
  <c r="AL486" i="19"/>
  <c r="AI486" i="19"/>
  <c r="AP493" i="19"/>
  <c r="AI493" i="19"/>
  <c r="AM493" i="19"/>
  <c r="AK493" i="19"/>
  <c r="AJ493" i="19"/>
  <c r="AL493" i="19"/>
  <c r="AP499" i="19"/>
  <c r="AI499" i="19"/>
  <c r="AM499" i="19"/>
  <c r="AL499" i="19"/>
  <c r="AK499" i="19"/>
  <c r="AJ499" i="19"/>
  <c r="AP506" i="19"/>
  <c r="AI506" i="19"/>
  <c r="AM506" i="19"/>
  <c r="AL506" i="19"/>
  <c r="AJ506" i="19"/>
  <c r="AK506" i="19"/>
  <c r="AP513" i="19"/>
  <c r="AI513" i="19"/>
  <c r="AM513" i="19"/>
  <c r="AK513" i="19"/>
  <c r="AJ513" i="19"/>
  <c r="AL513" i="19"/>
  <c r="AP519" i="19"/>
  <c r="AI519" i="19"/>
  <c r="AM519" i="19"/>
  <c r="AL519" i="19"/>
  <c r="AJ519" i="19"/>
  <c r="AK519" i="19"/>
  <c r="AP527" i="19"/>
  <c r="AI527" i="19"/>
  <c r="AM527" i="19"/>
  <c r="AL527" i="19"/>
  <c r="AK527" i="19"/>
  <c r="AJ527" i="19"/>
  <c r="AP534" i="19"/>
  <c r="AI534" i="19"/>
  <c r="AM534" i="19"/>
  <c r="AJ534" i="19"/>
  <c r="AL534" i="19"/>
  <c r="AK534" i="19"/>
  <c r="AP544" i="19"/>
  <c r="AI544" i="19"/>
  <c r="AM544" i="19"/>
  <c r="AL544" i="19"/>
  <c r="AK544" i="19"/>
  <c r="AJ544" i="19"/>
  <c r="AP553" i="19"/>
  <c r="AI553" i="19"/>
  <c r="AM553" i="19"/>
  <c r="AL553" i="19"/>
  <c r="AK553" i="19"/>
  <c r="AJ553" i="19"/>
  <c r="AP561" i="19"/>
  <c r="AI561" i="19"/>
  <c r="AM561" i="19"/>
  <c r="AL561" i="19"/>
  <c r="AK561" i="19"/>
  <c r="AJ561" i="19"/>
  <c r="AP570" i="19"/>
  <c r="AI570" i="19"/>
  <c r="AM570" i="19"/>
  <c r="AJ570" i="19"/>
  <c r="AL570" i="19"/>
  <c r="AK570" i="19"/>
  <c r="AP578" i="19"/>
  <c r="AI578" i="19"/>
  <c r="AM578" i="19"/>
  <c r="AL578" i="19"/>
  <c r="AK578" i="19"/>
  <c r="AJ578" i="19"/>
  <c r="AP584" i="19"/>
  <c r="AI584" i="19"/>
  <c r="AM584" i="19"/>
  <c r="AL584" i="19"/>
  <c r="AK584" i="19"/>
  <c r="AJ584" i="19"/>
  <c r="AP591" i="19"/>
  <c r="AI591" i="19"/>
  <c r="AM591" i="19"/>
  <c r="AL591" i="19"/>
  <c r="AK591" i="19"/>
  <c r="AJ591" i="19"/>
  <c r="AP599" i="19"/>
  <c r="AJ599" i="19"/>
  <c r="AI599" i="19"/>
  <c r="AM599" i="19"/>
  <c r="AK599" i="19"/>
  <c r="AL599" i="19"/>
  <c r="AP606" i="19"/>
  <c r="AL606" i="19"/>
  <c r="AK606" i="19"/>
  <c r="AJ606" i="19"/>
  <c r="AI606" i="19"/>
  <c r="AM606" i="19"/>
  <c r="AP614" i="19"/>
  <c r="AM614" i="19"/>
  <c r="AL614" i="19"/>
  <c r="AK614" i="19"/>
  <c r="AI614" i="19"/>
  <c r="AJ614" i="19"/>
  <c r="AP621" i="19"/>
  <c r="AM621" i="19"/>
  <c r="AL621" i="19"/>
  <c r="AK621" i="19"/>
  <c r="AI621" i="19"/>
  <c r="AJ621" i="19"/>
  <c r="AP629" i="19"/>
  <c r="AM629" i="19"/>
  <c r="AK629" i="19"/>
  <c r="AI629" i="19"/>
  <c r="AL629" i="19"/>
  <c r="AJ629" i="19"/>
  <c r="AP638" i="19"/>
  <c r="AM638" i="19"/>
  <c r="AK638" i="19"/>
  <c r="AI638" i="19"/>
  <c r="AL638" i="19"/>
  <c r="AJ638" i="19"/>
  <c r="AP644" i="19"/>
  <c r="AM644" i="19"/>
  <c r="AK644" i="19"/>
  <c r="AI644" i="19"/>
  <c r="AL644" i="19"/>
  <c r="AJ644" i="19"/>
  <c r="AP651" i="19"/>
  <c r="AM651" i="19"/>
  <c r="AK651" i="19"/>
  <c r="AI651" i="19"/>
  <c r="AL651" i="19"/>
  <c r="AJ651" i="19"/>
  <c r="AP659" i="19"/>
  <c r="AM659" i="19"/>
  <c r="AK659" i="19"/>
  <c r="AJ659" i="19"/>
  <c r="AI659" i="19"/>
  <c r="AL659" i="19"/>
  <c r="AP668" i="19"/>
  <c r="AM668" i="19"/>
  <c r="AK668" i="19"/>
  <c r="AL668" i="19"/>
  <c r="AJ668" i="19"/>
  <c r="AI668" i="19"/>
  <c r="AP674" i="19"/>
  <c r="AM674" i="19"/>
  <c r="AK674" i="19"/>
  <c r="AJ674" i="19"/>
  <c r="AI674" i="19"/>
  <c r="AL674" i="19"/>
  <c r="AP681" i="19"/>
  <c r="AM681" i="19"/>
  <c r="AK681" i="19"/>
  <c r="AL681" i="19"/>
  <c r="AJ681" i="19"/>
  <c r="AI681" i="19"/>
  <c r="AP688" i="19"/>
  <c r="AM688" i="19"/>
  <c r="AL688" i="19"/>
  <c r="AK688" i="19"/>
  <c r="AJ688" i="19"/>
  <c r="AI688" i="19"/>
  <c r="AP694" i="19"/>
  <c r="AM694" i="19"/>
  <c r="AL694" i="19"/>
  <c r="AK694" i="19"/>
  <c r="AJ694" i="19"/>
  <c r="AI694" i="19"/>
  <c r="AP701" i="19"/>
  <c r="AM701" i="19"/>
  <c r="AL701" i="19"/>
  <c r="AK701" i="19"/>
  <c r="AJ701" i="19"/>
  <c r="AI701" i="19"/>
  <c r="AP711" i="19"/>
  <c r="AM711" i="19"/>
  <c r="AL711" i="19"/>
  <c r="AK711" i="19"/>
  <c r="AJ711" i="19"/>
  <c r="AI711" i="19"/>
  <c r="AP720" i="19"/>
  <c r="AM720" i="19"/>
  <c r="AL720" i="19"/>
  <c r="AK720" i="19"/>
  <c r="AJ720" i="19"/>
  <c r="AI720" i="19"/>
  <c r="AP731" i="19"/>
  <c r="AM731" i="19"/>
  <c r="AL731" i="19"/>
  <c r="AK731" i="19"/>
  <c r="AJ731" i="19"/>
  <c r="AI731" i="19"/>
  <c r="AP741" i="19"/>
  <c r="AM741" i="19"/>
  <c r="AL741" i="19"/>
  <c r="AK741" i="19"/>
  <c r="AJ741" i="19"/>
  <c r="AI741" i="19"/>
  <c r="AP753" i="19"/>
  <c r="AM753" i="19"/>
  <c r="AL753" i="19"/>
  <c r="AK753" i="19"/>
  <c r="AJ753" i="19"/>
  <c r="AI753" i="19"/>
  <c r="AP764" i="19"/>
  <c r="AM764" i="19"/>
  <c r="AL764" i="19"/>
  <c r="AK764" i="19"/>
  <c r="AJ764" i="19"/>
  <c r="AI764" i="19"/>
  <c r="AP772" i="19"/>
  <c r="AM772" i="19"/>
  <c r="AL772" i="19"/>
  <c r="AK772" i="19"/>
  <c r="AJ772" i="19"/>
  <c r="AI772" i="19"/>
  <c r="AP778" i="19"/>
  <c r="AM778" i="19"/>
  <c r="AL778" i="19"/>
  <c r="AK778" i="19"/>
  <c r="AJ778" i="19"/>
  <c r="AI778" i="19"/>
  <c r="AP785" i="19"/>
  <c r="AM785" i="19"/>
  <c r="AL785" i="19"/>
  <c r="AK785" i="19"/>
  <c r="AJ785" i="19"/>
  <c r="AI785" i="19"/>
  <c r="AP792" i="19"/>
  <c r="AJ792" i="19"/>
  <c r="AI792" i="19"/>
  <c r="AM792" i="19"/>
  <c r="AL792" i="19"/>
  <c r="AK792" i="19"/>
  <c r="AP798" i="19"/>
  <c r="AM798" i="19"/>
  <c r="AL798" i="19"/>
  <c r="AK798" i="19"/>
  <c r="AJ798" i="19"/>
  <c r="AI798" i="19"/>
  <c r="AP806" i="19"/>
  <c r="AM806" i="19"/>
  <c r="AL806" i="19"/>
  <c r="AK806" i="19"/>
  <c r="AJ806" i="19"/>
  <c r="AI806" i="19"/>
  <c r="AP816" i="19"/>
  <c r="AM816" i="19"/>
  <c r="AL816" i="19"/>
  <c r="AK816" i="19"/>
  <c r="AJ816" i="19"/>
  <c r="AI816" i="19"/>
  <c r="AP827" i="19"/>
  <c r="AM827" i="19"/>
  <c r="AL827" i="19"/>
  <c r="AK827" i="19"/>
  <c r="AJ827" i="19"/>
  <c r="AI827" i="19"/>
  <c r="AP834" i="19"/>
  <c r="AM834" i="19"/>
  <c r="AL834" i="19"/>
  <c r="AK834" i="19"/>
  <c r="AJ834" i="19"/>
  <c r="AI834" i="19"/>
  <c r="AP841" i="19"/>
  <c r="AM841" i="19"/>
  <c r="AL841" i="19"/>
  <c r="AK841" i="19"/>
  <c r="AJ841" i="19"/>
  <c r="AI841" i="19"/>
  <c r="AP848" i="19"/>
  <c r="AM848" i="19"/>
  <c r="AL848" i="19"/>
  <c r="AK848" i="19"/>
  <c r="AJ848" i="19"/>
  <c r="AI848" i="19"/>
  <c r="AP854" i="19"/>
  <c r="AM854" i="19"/>
  <c r="AL854" i="19"/>
  <c r="AK854" i="19"/>
  <c r="AJ854" i="19"/>
  <c r="AI854" i="19"/>
  <c r="AP860" i="19"/>
  <c r="AM860" i="19"/>
  <c r="AL860" i="19"/>
  <c r="AK860" i="19"/>
  <c r="AJ860" i="19"/>
  <c r="AI860" i="19"/>
  <c r="AP867" i="19"/>
  <c r="AM867" i="19"/>
  <c r="AL867" i="19"/>
  <c r="AK867" i="19"/>
  <c r="AJ867" i="19"/>
  <c r="AI867" i="19"/>
  <c r="AP873" i="19"/>
  <c r="AM873" i="19"/>
  <c r="AL873" i="19"/>
  <c r="AK873" i="19"/>
  <c r="AJ873" i="19"/>
  <c r="AI873" i="19"/>
  <c r="AP880" i="19"/>
  <c r="AM880" i="19"/>
  <c r="AL880" i="19"/>
  <c r="AK880" i="19"/>
  <c r="AJ880" i="19"/>
  <c r="AI880" i="19"/>
  <c r="AP888" i="19"/>
  <c r="AM888" i="19"/>
  <c r="AL888" i="19"/>
  <c r="AK888" i="19"/>
  <c r="AJ888" i="19"/>
  <c r="AI888" i="19"/>
  <c r="AP894" i="19"/>
  <c r="AM894" i="19"/>
  <c r="AL894" i="19"/>
  <c r="AK894" i="19"/>
  <c r="AJ894" i="19"/>
  <c r="AI894" i="19"/>
  <c r="AP901" i="19"/>
  <c r="AM901" i="19"/>
  <c r="AL901" i="19"/>
  <c r="AK901" i="19"/>
  <c r="AJ901" i="19"/>
  <c r="AI901" i="19"/>
  <c r="AP907" i="19"/>
  <c r="AM907" i="19"/>
  <c r="AL907" i="19"/>
  <c r="AK907" i="19"/>
  <c r="AJ907" i="19"/>
  <c r="AI907" i="19"/>
  <c r="AP915" i="19"/>
  <c r="AM915" i="19"/>
  <c r="AL915" i="19"/>
  <c r="AK915" i="19"/>
  <c r="AJ915" i="19"/>
  <c r="AI915" i="19"/>
  <c r="AP923" i="19"/>
  <c r="AM923" i="19"/>
  <c r="AL923" i="19"/>
  <c r="AK923" i="19"/>
  <c r="AJ923" i="19"/>
  <c r="AI923" i="19"/>
  <c r="AP929" i="19"/>
  <c r="AM929" i="19"/>
  <c r="AL929" i="19"/>
  <c r="AK929" i="19"/>
  <c r="AJ929" i="19"/>
  <c r="AI929" i="19"/>
  <c r="AP936" i="19"/>
  <c r="AM936" i="19"/>
  <c r="AL936" i="19"/>
  <c r="AK936" i="19"/>
  <c r="AJ936" i="19"/>
  <c r="AI936" i="19"/>
  <c r="AP951" i="19"/>
  <c r="AM951" i="19"/>
  <c r="AL951" i="19"/>
  <c r="AK951" i="19"/>
  <c r="AJ951" i="19"/>
  <c r="AI951" i="19"/>
  <c r="AP957" i="19"/>
  <c r="AM957" i="19"/>
  <c r="AL957" i="19"/>
  <c r="AK957" i="19"/>
  <c r="AJ957" i="19"/>
  <c r="AI957" i="19"/>
  <c r="AP963" i="19"/>
  <c r="AM963" i="19"/>
  <c r="AL963" i="19"/>
  <c r="AK963" i="19"/>
  <c r="AJ963" i="19"/>
  <c r="AI963" i="19"/>
  <c r="AK32" i="19"/>
  <c r="AL32" i="19"/>
  <c r="AM32" i="19"/>
  <c r="AJ32" i="19"/>
  <c r="AI32" i="19"/>
  <c r="AM38" i="19"/>
  <c r="AL38" i="19"/>
  <c r="AK38" i="19"/>
  <c r="AJ38" i="19"/>
  <c r="AI38" i="19"/>
  <c r="AM46" i="19"/>
  <c r="AL46" i="19"/>
  <c r="AJ46" i="19"/>
  <c r="AI46" i="19"/>
  <c r="AK46" i="19"/>
  <c r="AM53" i="19"/>
  <c r="AK53" i="19"/>
  <c r="AL53" i="19"/>
  <c r="AJ53" i="19"/>
  <c r="AI53" i="19"/>
  <c r="AL60" i="19"/>
  <c r="AK60" i="19"/>
  <c r="AJ60" i="19"/>
  <c r="AI60" i="19"/>
  <c r="AM60" i="19"/>
  <c r="AM68" i="19"/>
  <c r="AL68" i="19"/>
  <c r="AK68" i="19"/>
  <c r="AJ68" i="19"/>
  <c r="AI68" i="19"/>
  <c r="AJ74" i="19"/>
  <c r="AI74" i="19"/>
  <c r="AM74" i="19"/>
  <c r="AK74" i="19"/>
  <c r="AL74" i="19"/>
  <c r="AM81" i="19"/>
  <c r="AL81" i="19"/>
  <c r="AK81" i="19"/>
  <c r="AJ81" i="19"/>
  <c r="AI81" i="19"/>
  <c r="AM88" i="19"/>
  <c r="AJ88" i="19"/>
  <c r="AL88" i="19"/>
  <c r="AK88" i="19"/>
  <c r="AI88" i="19"/>
  <c r="AM95" i="19"/>
  <c r="AL95" i="19"/>
  <c r="AK95" i="19"/>
  <c r="AJ95" i="19"/>
  <c r="AI95" i="19"/>
  <c r="AL102" i="19"/>
  <c r="AK102" i="19"/>
  <c r="AJ102" i="19"/>
  <c r="AI102" i="19"/>
  <c r="AM102" i="19"/>
  <c r="AM108" i="19"/>
  <c r="AL108" i="19"/>
  <c r="AK108" i="19"/>
  <c r="AJ108" i="19"/>
  <c r="AI108" i="19"/>
  <c r="AL115" i="19"/>
  <c r="AJ115" i="19"/>
  <c r="AM115" i="19"/>
  <c r="AK115" i="19"/>
  <c r="AI115" i="19"/>
  <c r="AM123" i="19"/>
  <c r="AL123" i="19"/>
  <c r="AK123" i="19"/>
  <c r="AJ123" i="19"/>
  <c r="AI123" i="19"/>
  <c r="AL130" i="19"/>
  <c r="AJ130" i="19"/>
  <c r="AI130" i="19"/>
  <c r="AM130" i="19"/>
  <c r="AK130" i="19"/>
  <c r="AM137" i="19"/>
  <c r="AL137" i="19"/>
  <c r="AK137" i="19"/>
  <c r="AJ137" i="19"/>
  <c r="AI137" i="19"/>
  <c r="AL144" i="19"/>
  <c r="AJ144" i="19"/>
  <c r="AI144" i="19"/>
  <c r="AM144" i="19"/>
  <c r="AK144" i="19"/>
  <c r="AM150" i="19"/>
  <c r="AL150" i="19"/>
  <c r="AK150" i="19"/>
  <c r="AJ150" i="19"/>
  <c r="AI150" i="19"/>
  <c r="AL157" i="19"/>
  <c r="AJ157" i="19"/>
  <c r="AM157" i="19"/>
  <c r="AK157" i="19"/>
  <c r="AI157" i="19"/>
  <c r="AM164" i="19"/>
  <c r="AL164" i="19"/>
  <c r="AK164" i="19"/>
  <c r="AJ164" i="19"/>
  <c r="AI164" i="19"/>
  <c r="AL172" i="19"/>
  <c r="AJ172" i="19"/>
  <c r="AK172" i="19"/>
  <c r="AI172" i="19"/>
  <c r="AM172" i="19"/>
  <c r="AP179" i="19"/>
  <c r="AM179" i="19"/>
  <c r="AK179" i="19"/>
  <c r="AI179" i="19"/>
  <c r="AL179" i="19"/>
  <c r="AJ179" i="19"/>
  <c r="AP187" i="19"/>
  <c r="AM187" i="19"/>
  <c r="AK187" i="19"/>
  <c r="AJ187" i="19"/>
  <c r="AL187" i="19"/>
  <c r="AI187" i="19"/>
  <c r="AP195" i="19"/>
  <c r="AM195" i="19"/>
  <c r="AK195" i="19"/>
  <c r="AL195" i="19"/>
  <c r="AJ195" i="19"/>
  <c r="AI195" i="19"/>
  <c r="AM202" i="19"/>
  <c r="AK202" i="19"/>
  <c r="AI202" i="19"/>
  <c r="AJ202" i="19"/>
  <c r="AL202" i="19"/>
  <c r="AP209" i="19"/>
  <c r="AM209" i="19"/>
  <c r="AK209" i="19"/>
  <c r="AI209" i="19"/>
  <c r="AL209" i="19"/>
  <c r="AJ209" i="19"/>
  <c r="AP217" i="19"/>
  <c r="AM217" i="19"/>
  <c r="AK217" i="19"/>
  <c r="AJ217" i="19"/>
  <c r="AL217" i="19"/>
  <c r="AI217" i="19"/>
  <c r="AP226" i="19"/>
  <c r="AJ226" i="19"/>
  <c r="AI226" i="19"/>
  <c r="AM226" i="19"/>
  <c r="AL226" i="19"/>
  <c r="AK226" i="19"/>
  <c r="AP233" i="19"/>
  <c r="AM233" i="19"/>
  <c r="AK233" i="19"/>
  <c r="AI233" i="19"/>
  <c r="AL233" i="19"/>
  <c r="AJ233" i="19"/>
  <c r="AM241" i="19"/>
  <c r="AL241" i="19"/>
  <c r="AK241" i="19"/>
  <c r="AJ241" i="19"/>
  <c r="AI241" i="19"/>
  <c r="AL247" i="19"/>
  <c r="AK247" i="19"/>
  <c r="AJ247" i="19"/>
  <c r="AI247" i="19"/>
  <c r="AM247" i="19"/>
  <c r="AL255" i="19"/>
  <c r="AI255" i="19"/>
  <c r="AM255" i="19"/>
  <c r="AJ255" i="19"/>
  <c r="AK255" i="19"/>
  <c r="AP263" i="19"/>
  <c r="AL263" i="19"/>
  <c r="AI263" i="19"/>
  <c r="AM263" i="19"/>
  <c r="AK263" i="19"/>
  <c r="AJ263" i="19"/>
  <c r="AP269" i="19"/>
  <c r="AM269" i="19"/>
  <c r="AL269" i="19"/>
  <c r="AI269" i="19"/>
  <c r="AJ269" i="19"/>
  <c r="AK269" i="19"/>
  <c r="AP276" i="19"/>
  <c r="AM276" i="19"/>
  <c r="AL276" i="19"/>
  <c r="AK276" i="19"/>
  <c r="AJ276" i="19"/>
  <c r="AI276" i="19"/>
  <c r="AP282" i="19"/>
  <c r="AM282" i="19"/>
  <c r="AL282" i="19"/>
  <c r="AI282" i="19"/>
  <c r="AJ282" i="19"/>
  <c r="AK282" i="19"/>
  <c r="AP288" i="19"/>
  <c r="AM288" i="19"/>
  <c r="AL288" i="19"/>
  <c r="AK288" i="19"/>
  <c r="AJ288" i="19"/>
  <c r="AI288" i="19"/>
  <c r="AP294" i="19"/>
  <c r="AM294" i="19"/>
  <c r="AL294" i="19"/>
  <c r="AJ294" i="19"/>
  <c r="AI294" i="19"/>
  <c r="AK294" i="19"/>
  <c r="AP301" i="19"/>
  <c r="AM301" i="19"/>
  <c r="AL301" i="19"/>
  <c r="AJ301" i="19"/>
  <c r="AI301" i="19"/>
  <c r="AK301" i="19"/>
  <c r="AP307" i="19"/>
  <c r="AM307" i="19"/>
  <c r="AL307" i="19"/>
  <c r="AJ307" i="19"/>
  <c r="AK307" i="19"/>
  <c r="AI307" i="19"/>
  <c r="AP315" i="19"/>
  <c r="AM315" i="19"/>
  <c r="AL315" i="19"/>
  <c r="AJ315" i="19"/>
  <c r="AK315" i="19"/>
  <c r="AI315" i="19"/>
  <c r="AP322" i="19"/>
  <c r="AM322" i="19"/>
  <c r="AL322" i="19"/>
  <c r="AJ322" i="19"/>
  <c r="AI322" i="19"/>
  <c r="AK322" i="19"/>
  <c r="AP330" i="19"/>
  <c r="AL330" i="19"/>
  <c r="AK330" i="19"/>
  <c r="AI330" i="19"/>
  <c r="AM330" i="19"/>
  <c r="AJ330" i="19"/>
  <c r="AP337" i="19"/>
  <c r="AJ337" i="19"/>
  <c r="AI337" i="19"/>
  <c r="AM337" i="19"/>
  <c r="AK337" i="19"/>
  <c r="AL337" i="19"/>
  <c r="AP345" i="19"/>
  <c r="AJ345" i="19"/>
  <c r="AI345" i="19"/>
  <c r="AM345" i="19"/>
  <c r="AK345" i="19"/>
  <c r="AL345" i="19"/>
  <c r="AP352" i="19"/>
  <c r="AJ352" i="19"/>
  <c r="AI352" i="19"/>
  <c r="AM352" i="19"/>
  <c r="AL352" i="19"/>
  <c r="AK352" i="19"/>
  <c r="AP358" i="19"/>
  <c r="AJ358" i="19"/>
  <c r="AI358" i="19"/>
  <c r="AL358" i="19"/>
  <c r="AK358" i="19"/>
  <c r="AM358" i="19"/>
  <c r="AP366" i="19"/>
  <c r="AJ366" i="19"/>
  <c r="AI366" i="19"/>
  <c r="AK366" i="19"/>
  <c r="AL366" i="19"/>
  <c r="AM366" i="19"/>
  <c r="AP378" i="19"/>
  <c r="AJ378" i="19"/>
  <c r="AI378" i="19"/>
  <c r="AM378" i="19"/>
  <c r="AL378" i="19"/>
  <c r="AK378" i="19"/>
  <c r="AP389" i="19"/>
  <c r="AJ389" i="19"/>
  <c r="AI389" i="19"/>
  <c r="AM389" i="19"/>
  <c r="AL389" i="19"/>
  <c r="AK389" i="19"/>
  <c r="AP398" i="19"/>
  <c r="AJ398" i="19"/>
  <c r="AI398" i="19"/>
  <c r="AM398" i="19"/>
  <c r="AK398" i="19"/>
  <c r="AL398" i="19"/>
  <c r="AP406" i="19"/>
  <c r="AK406" i="19"/>
  <c r="AJ406" i="19"/>
  <c r="AI406" i="19"/>
  <c r="AM406" i="19"/>
  <c r="AL406" i="19"/>
  <c r="AP413" i="19"/>
  <c r="AK413" i="19"/>
  <c r="AJ413" i="19"/>
  <c r="AI413" i="19"/>
  <c r="AL413" i="19"/>
  <c r="AM413" i="19"/>
  <c r="AP420" i="19"/>
  <c r="AK420" i="19"/>
  <c r="AJ420" i="19"/>
  <c r="AI420" i="19"/>
  <c r="AM420" i="19"/>
  <c r="AL420" i="19"/>
  <c r="AP429" i="19"/>
  <c r="AK429" i="19"/>
  <c r="AJ429" i="19"/>
  <c r="AI429" i="19"/>
  <c r="AM429" i="19"/>
  <c r="AL429" i="19"/>
  <c r="AP436" i="19"/>
  <c r="AK436" i="19"/>
  <c r="AJ436" i="19"/>
  <c r="AI436" i="19"/>
  <c r="AM436" i="19"/>
  <c r="AL436" i="19"/>
  <c r="AP445" i="19"/>
  <c r="AL445" i="19"/>
  <c r="AK445" i="19"/>
  <c r="AJ445" i="19"/>
  <c r="AI445" i="19"/>
  <c r="AM445" i="19"/>
  <c r="AP454" i="19"/>
  <c r="AL454" i="19"/>
  <c r="AK454" i="19"/>
  <c r="AJ454" i="19"/>
  <c r="AI454" i="19"/>
  <c r="AM454" i="19"/>
  <c r="AP462" i="19"/>
  <c r="AL462" i="19"/>
  <c r="AK462" i="19"/>
  <c r="AJ462" i="19"/>
  <c r="AI462" i="19"/>
  <c r="AM462" i="19"/>
  <c r="AP471" i="19"/>
  <c r="AL471" i="19"/>
  <c r="AK471" i="19"/>
  <c r="AJ471" i="19"/>
  <c r="AI471" i="19"/>
  <c r="AM471" i="19"/>
  <c r="AP480" i="19"/>
  <c r="AL480" i="19"/>
  <c r="AK480" i="19"/>
  <c r="AJ480" i="19"/>
  <c r="AI480" i="19"/>
  <c r="AM480" i="19"/>
  <c r="AP487" i="19"/>
  <c r="AL487" i="19"/>
  <c r="AK487" i="19"/>
  <c r="AJ487" i="19"/>
  <c r="AI487" i="19"/>
  <c r="AM487" i="19"/>
  <c r="AP494" i="19"/>
  <c r="AM494" i="19"/>
  <c r="AL494" i="19"/>
  <c r="AI494" i="19"/>
  <c r="AK494" i="19"/>
  <c r="AJ494" i="19"/>
  <c r="AP500" i="19"/>
  <c r="AM500" i="19"/>
  <c r="AL500" i="19"/>
  <c r="AI500" i="19"/>
  <c r="AJ500" i="19"/>
  <c r="AK500" i="19"/>
  <c r="AP507" i="19"/>
  <c r="AM507" i="19"/>
  <c r="AL507" i="19"/>
  <c r="AJ507" i="19"/>
  <c r="AI507" i="19"/>
  <c r="AK507" i="19"/>
  <c r="AP514" i="19"/>
  <c r="AM514" i="19"/>
  <c r="AL514" i="19"/>
  <c r="AJ514" i="19"/>
  <c r="AI514" i="19"/>
  <c r="AK514" i="19"/>
  <c r="AP521" i="19"/>
  <c r="AM521" i="19"/>
  <c r="AL521" i="19"/>
  <c r="AJ521" i="19"/>
  <c r="AI521" i="19"/>
  <c r="AK521" i="19"/>
  <c r="AP528" i="19"/>
  <c r="AM528" i="19"/>
  <c r="AL528" i="19"/>
  <c r="AJ528" i="19"/>
  <c r="AI528" i="19"/>
  <c r="AK528" i="19"/>
  <c r="AP536" i="19"/>
  <c r="AM536" i="19"/>
  <c r="AL536" i="19"/>
  <c r="AJ536" i="19"/>
  <c r="AI536" i="19"/>
  <c r="AK536" i="19"/>
  <c r="AP546" i="19"/>
  <c r="AM546" i="19"/>
  <c r="AL546" i="19"/>
  <c r="AJ546" i="19"/>
  <c r="AI546" i="19"/>
  <c r="AK546" i="19"/>
  <c r="AP554" i="19"/>
  <c r="AM554" i="19"/>
  <c r="AL554" i="19"/>
  <c r="AJ554" i="19"/>
  <c r="AI554" i="19"/>
  <c r="AK554" i="19"/>
  <c r="AP563" i="19"/>
  <c r="AM563" i="19"/>
  <c r="AL563" i="19"/>
  <c r="AJ563" i="19"/>
  <c r="AI563" i="19"/>
  <c r="AK563" i="19"/>
  <c r="AP571" i="19"/>
  <c r="AM571" i="19"/>
  <c r="AL571" i="19"/>
  <c r="AJ571" i="19"/>
  <c r="AI571" i="19"/>
  <c r="AK571" i="19"/>
  <c r="AP579" i="19"/>
  <c r="AM579" i="19"/>
  <c r="AL579" i="19"/>
  <c r="AJ579" i="19"/>
  <c r="AI579" i="19"/>
  <c r="AK579" i="19"/>
  <c r="AP585" i="19"/>
  <c r="AM585" i="19"/>
  <c r="AL585" i="19"/>
  <c r="AJ585" i="19"/>
  <c r="AI585" i="19"/>
  <c r="AK585" i="19"/>
  <c r="AP593" i="19"/>
  <c r="AM593" i="19"/>
  <c r="AL593" i="19"/>
  <c r="AJ593" i="19"/>
  <c r="AI593" i="19"/>
  <c r="AK593" i="19"/>
  <c r="AP600" i="19"/>
  <c r="AM600" i="19"/>
  <c r="AL600" i="19"/>
  <c r="AJ600" i="19"/>
  <c r="AI600" i="19"/>
  <c r="AK600" i="19"/>
  <c r="AP608" i="19"/>
  <c r="AM608" i="19"/>
  <c r="AL608" i="19"/>
  <c r="AJ608" i="19"/>
  <c r="AK608" i="19"/>
  <c r="AI608" i="19"/>
  <c r="AP615" i="19"/>
  <c r="AJ615" i="19"/>
  <c r="AI615" i="19"/>
  <c r="AM615" i="19"/>
  <c r="AK615" i="19"/>
  <c r="AL615" i="19"/>
  <c r="AP622" i="19"/>
  <c r="AM622" i="19"/>
  <c r="AL622" i="19"/>
  <c r="AK622" i="19"/>
  <c r="AJ622" i="19"/>
  <c r="AI622" i="19"/>
  <c r="AP630" i="19"/>
  <c r="AL630" i="19"/>
  <c r="AM630" i="19"/>
  <c r="AK630" i="19"/>
  <c r="AI630" i="19"/>
  <c r="AJ630" i="19"/>
  <c r="AP639" i="19"/>
  <c r="AL639" i="19"/>
  <c r="AM639" i="19"/>
  <c r="AK639" i="19"/>
  <c r="AI639" i="19"/>
  <c r="AJ639" i="19"/>
  <c r="AP645" i="19"/>
  <c r="AL645" i="19"/>
  <c r="AM645" i="19"/>
  <c r="AK645" i="19"/>
  <c r="AI645" i="19"/>
  <c r="AJ645" i="19"/>
  <c r="AP652" i="19"/>
  <c r="AL652" i="19"/>
  <c r="AM652" i="19"/>
  <c r="AK652" i="19"/>
  <c r="AI652" i="19"/>
  <c r="AJ652" i="19"/>
  <c r="AP660" i="19"/>
  <c r="AL660" i="19"/>
  <c r="AJ660" i="19"/>
  <c r="AI660" i="19"/>
  <c r="AM660" i="19"/>
  <c r="AK660" i="19"/>
  <c r="AP669" i="19"/>
  <c r="AL669" i="19"/>
  <c r="AJ669" i="19"/>
  <c r="AI669" i="19"/>
  <c r="AM669" i="19"/>
  <c r="AK669" i="19"/>
  <c r="AP675" i="19"/>
  <c r="AL675" i="19"/>
  <c r="AJ675" i="19"/>
  <c r="AI675" i="19"/>
  <c r="AM675" i="19"/>
  <c r="AK675" i="19"/>
  <c r="AP683" i="19"/>
  <c r="AL683" i="19"/>
  <c r="AJ683" i="19"/>
  <c r="AI683" i="19"/>
  <c r="AM683" i="19"/>
  <c r="AK683" i="19"/>
  <c r="AP689" i="19"/>
  <c r="AL689" i="19"/>
  <c r="AJ689" i="19"/>
  <c r="AI689" i="19"/>
  <c r="AM689" i="19"/>
  <c r="AK689" i="19"/>
  <c r="AP695" i="19"/>
  <c r="AL695" i="19"/>
  <c r="AJ695" i="19"/>
  <c r="AI695" i="19"/>
  <c r="AM695" i="19"/>
  <c r="AK695" i="19"/>
  <c r="AP703" i="19"/>
  <c r="AL703" i="19"/>
  <c r="AJ703" i="19"/>
  <c r="AI703" i="19"/>
  <c r="AM703" i="19"/>
  <c r="AK703" i="19"/>
  <c r="AP712" i="19"/>
  <c r="AL712" i="19"/>
  <c r="AK712" i="19"/>
  <c r="AJ712" i="19"/>
  <c r="AI712" i="19"/>
  <c r="AM712" i="19"/>
  <c r="AP721" i="19"/>
  <c r="AL721" i="19"/>
  <c r="AK721" i="19"/>
  <c r="AJ721" i="19"/>
  <c r="AI721" i="19"/>
  <c r="AM721" i="19"/>
  <c r="AP733" i="19"/>
  <c r="AL733" i="19"/>
  <c r="AK733" i="19"/>
  <c r="AJ733" i="19"/>
  <c r="AI733" i="19"/>
  <c r="AM733" i="19"/>
  <c r="AP743" i="19"/>
  <c r="AL743" i="19"/>
  <c r="AK743" i="19"/>
  <c r="AJ743" i="19"/>
  <c r="AI743" i="19"/>
  <c r="AM743" i="19"/>
  <c r="AP755" i="19"/>
  <c r="AL755" i="19"/>
  <c r="AK755" i="19"/>
  <c r="AJ755" i="19"/>
  <c r="AI755" i="19"/>
  <c r="AM755" i="19"/>
  <c r="AP766" i="19"/>
  <c r="AL766" i="19"/>
  <c r="AK766" i="19"/>
  <c r="AJ766" i="19"/>
  <c r="AI766" i="19"/>
  <c r="AM766" i="19"/>
  <c r="AP773" i="19"/>
  <c r="AL773" i="19"/>
  <c r="AK773" i="19"/>
  <c r="AJ773" i="19"/>
  <c r="AI773" i="19"/>
  <c r="AM773" i="19"/>
  <c r="AP779" i="19"/>
  <c r="AL779" i="19"/>
  <c r="AK779" i="19"/>
  <c r="AJ779" i="19"/>
  <c r="AI779" i="19"/>
  <c r="AM779" i="19"/>
  <c r="AP786" i="19"/>
  <c r="AM786" i="19"/>
  <c r="AL786" i="19"/>
  <c r="AK786" i="19"/>
  <c r="AJ786" i="19"/>
  <c r="AI786" i="19"/>
  <c r="AP793" i="19"/>
  <c r="AM793" i="19"/>
  <c r="AL793" i="19"/>
  <c r="AK793" i="19"/>
  <c r="AJ793" i="19"/>
  <c r="AI793" i="19"/>
  <c r="AP799" i="19"/>
  <c r="AM799" i="19"/>
  <c r="AL799" i="19"/>
  <c r="AK799" i="19"/>
  <c r="AI799" i="19"/>
  <c r="AJ799" i="19"/>
  <c r="AP807" i="19"/>
  <c r="AM807" i="19"/>
  <c r="AL807" i="19"/>
  <c r="AK807" i="19"/>
  <c r="AJ807" i="19"/>
  <c r="AI807" i="19"/>
  <c r="AP818" i="19"/>
  <c r="AK818" i="19"/>
  <c r="AJ818" i="19"/>
  <c r="AI818" i="19"/>
  <c r="AM818" i="19"/>
  <c r="AL818" i="19"/>
  <c r="AP828" i="19"/>
  <c r="AM828" i="19"/>
  <c r="AL828" i="19"/>
  <c r="AK828" i="19"/>
  <c r="AJ828" i="19"/>
  <c r="AI828" i="19"/>
  <c r="AP836" i="19"/>
  <c r="AM836" i="19"/>
  <c r="AL836" i="19"/>
  <c r="AK836" i="19"/>
  <c r="AJ836" i="19"/>
  <c r="AI836" i="19"/>
  <c r="AP842" i="19"/>
  <c r="AM842" i="19"/>
  <c r="AL842" i="19"/>
  <c r="AK842" i="19"/>
  <c r="AJ842" i="19"/>
  <c r="AI842" i="19"/>
  <c r="AP849" i="19"/>
  <c r="AM849" i="19"/>
  <c r="AL849" i="19"/>
  <c r="AK849" i="19"/>
  <c r="AJ849" i="19"/>
  <c r="AI849" i="19"/>
  <c r="AP855" i="19"/>
  <c r="AM855" i="19"/>
  <c r="AL855" i="19"/>
  <c r="AK855" i="19"/>
  <c r="AJ855" i="19"/>
  <c r="AI855" i="19"/>
  <c r="AP861" i="19"/>
  <c r="AM861" i="19"/>
  <c r="AL861" i="19"/>
  <c r="AK861" i="19"/>
  <c r="AJ861" i="19"/>
  <c r="AI861" i="19"/>
  <c r="AP868" i="19"/>
  <c r="AM868" i="19"/>
  <c r="AL868" i="19"/>
  <c r="AK868" i="19"/>
  <c r="AJ868" i="19"/>
  <c r="AI868" i="19"/>
  <c r="AP874" i="19"/>
  <c r="AM874" i="19"/>
  <c r="AL874" i="19"/>
  <c r="AK874" i="19"/>
  <c r="AJ874" i="19"/>
  <c r="AI874" i="19"/>
  <c r="AP881" i="19"/>
  <c r="AM881" i="19"/>
  <c r="AL881" i="19"/>
  <c r="AK881" i="19"/>
  <c r="AJ881" i="19"/>
  <c r="AI881" i="19"/>
  <c r="AP889" i="19"/>
  <c r="AM889" i="19"/>
  <c r="AL889" i="19"/>
  <c r="AK889" i="19"/>
  <c r="AJ889" i="19"/>
  <c r="AI889" i="19"/>
  <c r="AP895" i="19"/>
  <c r="AM895" i="19"/>
  <c r="AL895" i="19"/>
  <c r="AK895" i="19"/>
  <c r="AJ895" i="19"/>
  <c r="AI895" i="19"/>
  <c r="AP902" i="19"/>
  <c r="AM902" i="19"/>
  <c r="AL902" i="19"/>
  <c r="AK902" i="19"/>
  <c r="AJ902" i="19"/>
  <c r="AI902" i="19"/>
  <c r="AP909" i="19"/>
  <c r="AM909" i="19"/>
  <c r="AL909" i="19"/>
  <c r="AK909" i="19"/>
  <c r="AJ909" i="19"/>
  <c r="AI909" i="19"/>
  <c r="AP916" i="19"/>
  <c r="AM916" i="19"/>
  <c r="AL916" i="19"/>
  <c r="AK916" i="19"/>
  <c r="AJ916" i="19"/>
  <c r="AI916" i="19"/>
  <c r="AP924" i="19"/>
  <c r="AM924" i="19"/>
  <c r="AL924" i="19"/>
  <c r="AK924" i="19"/>
  <c r="AJ924" i="19"/>
  <c r="AI924" i="19"/>
  <c r="AP930" i="19"/>
  <c r="AM930" i="19"/>
  <c r="AL930" i="19"/>
  <c r="AK930" i="19"/>
  <c r="AJ930" i="19"/>
  <c r="AI930" i="19"/>
  <c r="AP937" i="19"/>
  <c r="AM937" i="19"/>
  <c r="AL937" i="19"/>
  <c r="AK937" i="19"/>
  <c r="AJ937" i="19"/>
  <c r="AI937" i="19"/>
  <c r="AP945" i="19"/>
  <c r="AM945" i="19"/>
  <c r="AL945" i="19"/>
  <c r="AK945" i="19"/>
  <c r="AJ945" i="19"/>
  <c r="AI945" i="19"/>
  <c r="AP952" i="19"/>
  <c r="AM952" i="19"/>
  <c r="AL952" i="19"/>
  <c r="AK952" i="19"/>
  <c r="AJ952" i="19"/>
  <c r="AI952" i="19"/>
  <c r="AP958" i="19"/>
  <c r="AM958" i="19"/>
  <c r="AL958" i="19"/>
  <c r="AK958" i="19"/>
  <c r="AJ958" i="19"/>
  <c r="AI958" i="19"/>
  <c r="AL33" i="19"/>
  <c r="AM33" i="19"/>
  <c r="AK33" i="19"/>
  <c r="AJ33" i="19"/>
  <c r="AI33" i="19"/>
  <c r="AI40" i="19"/>
  <c r="AK40" i="19"/>
  <c r="AM40" i="19"/>
  <c r="AJ40" i="19"/>
  <c r="AL40" i="19"/>
  <c r="AL47" i="19"/>
  <c r="AM47" i="19"/>
  <c r="AK47" i="19"/>
  <c r="AJ47" i="19"/>
  <c r="AI47" i="19"/>
  <c r="AJ54" i="19"/>
  <c r="AM54" i="19"/>
  <c r="AL54" i="19"/>
  <c r="AI54" i="19"/>
  <c r="AK54" i="19"/>
  <c r="AM61" i="19"/>
  <c r="AL61" i="19"/>
  <c r="AK61" i="19"/>
  <c r="AJ61" i="19"/>
  <c r="AI61" i="19"/>
  <c r="AM69" i="19"/>
  <c r="AL69" i="19"/>
  <c r="AK69" i="19"/>
  <c r="AJ69" i="19"/>
  <c r="AI69" i="19"/>
  <c r="AM75" i="19"/>
  <c r="AL75" i="19"/>
  <c r="AK75" i="19"/>
  <c r="AJ75" i="19"/>
  <c r="AI75" i="19"/>
  <c r="AI83" i="19"/>
  <c r="AJ83" i="19"/>
  <c r="AK83" i="19"/>
  <c r="AM83" i="19"/>
  <c r="AL83" i="19"/>
  <c r="AM89" i="19"/>
  <c r="AL89" i="19"/>
  <c r="AK89" i="19"/>
  <c r="AJ89" i="19"/>
  <c r="AI89" i="19"/>
  <c r="AJ96" i="19"/>
  <c r="AM96" i="19"/>
  <c r="AL96" i="19"/>
  <c r="AI96" i="19"/>
  <c r="AK96" i="19"/>
  <c r="AM103" i="19"/>
  <c r="AL103" i="19"/>
  <c r="AK103" i="19"/>
  <c r="AJ103" i="19"/>
  <c r="AI103" i="19"/>
  <c r="AM109" i="19"/>
  <c r="AK109" i="19"/>
  <c r="AL109" i="19"/>
  <c r="AJ109" i="19"/>
  <c r="AI109" i="19"/>
  <c r="AM116" i="19"/>
  <c r="AL116" i="19"/>
  <c r="AK116" i="19"/>
  <c r="AJ116" i="19"/>
  <c r="AI116" i="19"/>
  <c r="AM124" i="19"/>
  <c r="AK124" i="19"/>
  <c r="AJ124" i="19"/>
  <c r="AL124" i="19"/>
  <c r="AI124" i="19"/>
  <c r="AM131" i="19"/>
  <c r="AL131" i="19"/>
  <c r="AK131" i="19"/>
  <c r="AJ131" i="19"/>
  <c r="AI131" i="19"/>
  <c r="AM139" i="19"/>
  <c r="AK139" i="19"/>
  <c r="AL139" i="19"/>
  <c r="AJ139" i="19"/>
  <c r="AI139" i="19"/>
  <c r="AM145" i="19"/>
  <c r="AL145" i="19"/>
  <c r="AK145" i="19"/>
  <c r="AI145" i="19"/>
  <c r="AJ145" i="19"/>
  <c r="AM151" i="19"/>
  <c r="AK151" i="19"/>
  <c r="AL151" i="19"/>
  <c r="AJ151" i="19"/>
  <c r="AI151" i="19"/>
  <c r="AM158" i="19"/>
  <c r="AL158" i="19"/>
  <c r="AK158" i="19"/>
  <c r="AJ158" i="19"/>
  <c r="AI158" i="19"/>
  <c r="AM165" i="19"/>
  <c r="AK165" i="19"/>
  <c r="AL165" i="19"/>
  <c r="AI165" i="19"/>
  <c r="AJ165" i="19"/>
  <c r="AP174" i="19"/>
  <c r="AM174" i="19"/>
  <c r="AL174" i="19"/>
  <c r="AK174" i="19"/>
  <c r="AJ174" i="19"/>
  <c r="AI174" i="19"/>
  <c r="AP180" i="19"/>
  <c r="AM180" i="19"/>
  <c r="AL180" i="19"/>
  <c r="AK180" i="19"/>
  <c r="AJ180" i="19"/>
  <c r="AI180" i="19"/>
  <c r="AM188" i="19"/>
  <c r="AL188" i="19"/>
  <c r="AK188" i="19"/>
  <c r="AJ188" i="19"/>
  <c r="AI188" i="19"/>
  <c r="AM196" i="19"/>
  <c r="AL196" i="19"/>
  <c r="AK196" i="19"/>
  <c r="AJ196" i="19"/>
  <c r="AI196" i="19"/>
  <c r="AM203" i="19"/>
  <c r="AL203" i="19"/>
  <c r="AK203" i="19"/>
  <c r="AJ203" i="19"/>
  <c r="AI203" i="19"/>
  <c r="AM210" i="19"/>
  <c r="AL210" i="19"/>
  <c r="AK210" i="19"/>
  <c r="AJ210" i="19"/>
  <c r="AI210" i="19"/>
  <c r="AP219" i="19"/>
  <c r="AM219" i="19"/>
  <c r="AL219" i="19"/>
  <c r="AK219" i="19"/>
  <c r="AJ219" i="19"/>
  <c r="AI219" i="19"/>
  <c r="AP228" i="19"/>
  <c r="AI228" i="19"/>
  <c r="AM228" i="19"/>
  <c r="AK228" i="19"/>
  <c r="AJ228" i="19"/>
  <c r="AL228" i="19"/>
  <c r="AP235" i="19"/>
  <c r="AJ235" i="19"/>
  <c r="AI235" i="19"/>
  <c r="AM235" i="19"/>
  <c r="AL235" i="19"/>
  <c r="AK235" i="19"/>
  <c r="AJ242" i="19"/>
  <c r="AI242" i="19"/>
  <c r="AL242" i="19"/>
  <c r="AK242" i="19"/>
  <c r="AM242" i="19"/>
  <c r="AJ248" i="19"/>
  <c r="AI248" i="19"/>
  <c r="AL248" i="19"/>
  <c r="AM248" i="19"/>
  <c r="AK248" i="19"/>
  <c r="AJ256" i="19"/>
  <c r="AI256" i="19"/>
  <c r="AL256" i="19"/>
  <c r="AM256" i="19"/>
  <c r="AK256" i="19"/>
  <c r="AP264" i="19"/>
  <c r="AJ264" i="19"/>
  <c r="AI264" i="19"/>
  <c r="AL264" i="19"/>
  <c r="AM264" i="19"/>
  <c r="AK264" i="19"/>
  <c r="AP270" i="19"/>
  <c r="AK270" i="19"/>
  <c r="AJ270" i="19"/>
  <c r="AI270" i="19"/>
  <c r="AL270" i="19"/>
  <c r="AM270" i="19"/>
  <c r="AP277" i="19"/>
  <c r="AK277" i="19"/>
  <c r="AJ277" i="19"/>
  <c r="AI277" i="19"/>
  <c r="AM277" i="19"/>
  <c r="AL277" i="19"/>
  <c r="AP289" i="19"/>
  <c r="AK289" i="19"/>
  <c r="AJ289" i="19"/>
  <c r="AI289" i="19"/>
  <c r="AM289" i="19"/>
  <c r="AL289" i="19"/>
  <c r="AP295" i="19"/>
  <c r="AK295" i="19"/>
  <c r="AJ295" i="19"/>
  <c r="AI295" i="19"/>
  <c r="AM295" i="19"/>
  <c r="AL295" i="19"/>
  <c r="AP302" i="19"/>
  <c r="AK302" i="19"/>
  <c r="AJ302" i="19"/>
  <c r="AI302" i="19"/>
  <c r="AL302" i="19"/>
  <c r="AM302" i="19"/>
  <c r="AP309" i="19"/>
  <c r="AK309" i="19"/>
  <c r="AJ309" i="19"/>
  <c r="AI309" i="19"/>
  <c r="AM309" i="19"/>
  <c r="AL309" i="19"/>
  <c r="AP316" i="19"/>
  <c r="AK316" i="19"/>
  <c r="AJ316" i="19"/>
  <c r="AI316" i="19"/>
  <c r="AM316" i="19"/>
  <c r="AL316" i="19"/>
  <c r="AP324" i="19"/>
  <c r="AK324" i="19"/>
  <c r="AJ324" i="19"/>
  <c r="AI324" i="19"/>
  <c r="AM324" i="19"/>
  <c r="AL324" i="19"/>
  <c r="AP331" i="19"/>
  <c r="AM331" i="19"/>
  <c r="AL331" i="19"/>
  <c r="AK331" i="19"/>
  <c r="AJ331" i="19"/>
  <c r="AI331" i="19"/>
  <c r="AP339" i="19"/>
  <c r="AM339" i="19"/>
  <c r="AL339" i="19"/>
  <c r="AK339" i="19"/>
  <c r="AI339" i="19"/>
  <c r="AJ339" i="19"/>
  <c r="AP347" i="19"/>
  <c r="AL347" i="19"/>
  <c r="AK347" i="19"/>
  <c r="AJ347" i="19"/>
  <c r="AI347" i="19"/>
  <c r="AM347" i="19"/>
  <c r="AP353" i="19"/>
  <c r="AI353" i="19"/>
  <c r="AM353" i="19"/>
  <c r="AK353" i="19"/>
  <c r="AL353" i="19"/>
  <c r="AJ353" i="19"/>
  <c r="AP359" i="19"/>
  <c r="AM359" i="19"/>
  <c r="AK359" i="19"/>
  <c r="AJ359" i="19"/>
  <c r="AL359" i="19"/>
  <c r="AI359" i="19"/>
  <c r="AP368" i="19"/>
  <c r="AK368" i="19"/>
  <c r="AJ368" i="19"/>
  <c r="AL368" i="19"/>
  <c r="AI368" i="19"/>
  <c r="AM368" i="19"/>
  <c r="AP380" i="19"/>
  <c r="AK380" i="19"/>
  <c r="AJ380" i="19"/>
  <c r="AM380" i="19"/>
  <c r="AL380" i="19"/>
  <c r="AI380" i="19"/>
  <c r="AP391" i="19"/>
  <c r="AK391" i="19"/>
  <c r="AJ391" i="19"/>
  <c r="AM391" i="19"/>
  <c r="AL391" i="19"/>
  <c r="AI391" i="19"/>
  <c r="AP399" i="19"/>
  <c r="AK399" i="19"/>
  <c r="AJ399" i="19"/>
  <c r="AM399" i="19"/>
  <c r="AL399" i="19"/>
  <c r="AI399" i="19"/>
  <c r="AP407" i="19"/>
  <c r="AK407" i="19"/>
  <c r="AJ407" i="19"/>
  <c r="AI407" i="19"/>
  <c r="AM407" i="19"/>
  <c r="AL407" i="19"/>
  <c r="AP414" i="19"/>
  <c r="AK414" i="19"/>
  <c r="AJ414" i="19"/>
  <c r="AM414" i="19"/>
  <c r="AL414" i="19"/>
  <c r="AI414" i="19"/>
  <c r="AP421" i="19"/>
  <c r="AM421" i="19"/>
  <c r="AK421" i="19"/>
  <c r="AJ421" i="19"/>
  <c r="AL421" i="19"/>
  <c r="AI421" i="19"/>
  <c r="AP430" i="19"/>
  <c r="AM430" i="19"/>
  <c r="AK430" i="19"/>
  <c r="AJ430" i="19"/>
  <c r="AL430" i="19"/>
  <c r="AI430" i="19"/>
  <c r="AP438" i="19"/>
  <c r="AM438" i="19"/>
  <c r="AK438" i="19"/>
  <c r="AJ438" i="19"/>
  <c r="AL438" i="19"/>
  <c r="AI438" i="19"/>
  <c r="AP446" i="19"/>
  <c r="AM446" i="19"/>
  <c r="AK446" i="19"/>
  <c r="AJ446" i="19"/>
  <c r="AL446" i="19"/>
  <c r="AI446" i="19"/>
  <c r="AP456" i="19"/>
  <c r="AM456" i="19"/>
  <c r="AK456" i="19"/>
  <c r="AJ456" i="19"/>
  <c r="AL456" i="19"/>
  <c r="AI456" i="19"/>
  <c r="AP464" i="19"/>
  <c r="AM464" i="19"/>
  <c r="AK464" i="19"/>
  <c r="AJ464" i="19"/>
  <c r="AL464" i="19"/>
  <c r="AI464" i="19"/>
  <c r="AP472" i="19"/>
  <c r="AM472" i="19"/>
  <c r="AK472" i="19"/>
  <c r="AJ472" i="19"/>
  <c r="AL472" i="19"/>
  <c r="AI472" i="19"/>
  <c r="AP481" i="19"/>
  <c r="AM481" i="19"/>
  <c r="AK481" i="19"/>
  <c r="AJ481" i="19"/>
  <c r="AL481" i="19"/>
  <c r="AI481" i="19"/>
  <c r="AP488" i="19"/>
  <c r="AM488" i="19"/>
  <c r="AK488" i="19"/>
  <c r="AJ488" i="19"/>
  <c r="AL488" i="19"/>
  <c r="AI488" i="19"/>
  <c r="AP495" i="19"/>
  <c r="AI495" i="19"/>
  <c r="AM495" i="19"/>
  <c r="AL495" i="19"/>
  <c r="AK495" i="19"/>
  <c r="AJ495" i="19"/>
  <c r="AP501" i="19"/>
  <c r="AI501" i="19"/>
  <c r="AM501" i="19"/>
  <c r="AL501" i="19"/>
  <c r="AK501" i="19"/>
  <c r="AJ501" i="19"/>
  <c r="AP508" i="19"/>
  <c r="AI508" i="19"/>
  <c r="AM508" i="19"/>
  <c r="AK508" i="19"/>
  <c r="AJ508" i="19"/>
  <c r="AL508" i="19"/>
  <c r="AP515" i="19"/>
  <c r="AI515" i="19"/>
  <c r="AM515" i="19"/>
  <c r="AL515" i="19"/>
  <c r="AJ515" i="19"/>
  <c r="AK515" i="19"/>
  <c r="AP522" i="19"/>
  <c r="AI522" i="19"/>
  <c r="AM522" i="19"/>
  <c r="AK522" i="19"/>
  <c r="AJ522" i="19"/>
  <c r="AL522" i="19"/>
  <c r="AP530" i="19"/>
  <c r="AI530" i="19"/>
  <c r="AM530" i="19"/>
  <c r="AL530" i="19"/>
  <c r="AK530" i="19"/>
  <c r="AJ530" i="19"/>
  <c r="AP538" i="19"/>
  <c r="AI538" i="19"/>
  <c r="AM538" i="19"/>
  <c r="AL538" i="19"/>
  <c r="AJ538" i="19"/>
  <c r="AK538" i="19"/>
  <c r="AP548" i="19"/>
  <c r="AI548" i="19"/>
  <c r="AM548" i="19"/>
  <c r="AL548" i="19"/>
  <c r="AK548" i="19"/>
  <c r="AJ548" i="19"/>
  <c r="AP555" i="19"/>
  <c r="AI555" i="19"/>
  <c r="AM555" i="19"/>
  <c r="AK555" i="19"/>
  <c r="AJ555" i="19"/>
  <c r="AL555" i="19"/>
  <c r="AP564" i="19"/>
  <c r="AI564" i="19"/>
  <c r="AM564" i="19"/>
  <c r="AL564" i="19"/>
  <c r="AK564" i="19"/>
  <c r="AJ564" i="19"/>
  <c r="AP573" i="19"/>
  <c r="AI573" i="19"/>
  <c r="AM573" i="19"/>
  <c r="AL573" i="19"/>
  <c r="AJ573" i="19"/>
  <c r="AK573" i="19"/>
  <c r="AP580" i="19"/>
  <c r="AI580" i="19"/>
  <c r="AM580" i="19"/>
  <c r="AL580" i="19"/>
  <c r="AK580" i="19"/>
  <c r="AJ580" i="19"/>
  <c r="AP587" i="19"/>
  <c r="AI587" i="19"/>
  <c r="AM587" i="19"/>
  <c r="AK587" i="19"/>
  <c r="AJ587" i="19"/>
  <c r="AL587" i="19"/>
  <c r="AP594" i="19"/>
  <c r="AI594" i="19"/>
  <c r="AM594" i="19"/>
  <c r="AL594" i="19"/>
  <c r="AK594" i="19"/>
  <c r="AJ594" i="19"/>
  <c r="AP601" i="19"/>
  <c r="AJ601" i="19"/>
  <c r="AI601" i="19"/>
  <c r="AM601" i="19"/>
  <c r="AL601" i="19"/>
  <c r="AK601" i="19"/>
  <c r="AP609" i="19"/>
  <c r="AM609" i="19"/>
  <c r="AL609" i="19"/>
  <c r="AK609" i="19"/>
  <c r="AJ609" i="19"/>
  <c r="AI609" i="19"/>
  <c r="AP616" i="19"/>
  <c r="AM616" i="19"/>
  <c r="AL616" i="19"/>
  <c r="AJ616" i="19"/>
  <c r="AI616" i="19"/>
  <c r="AK616" i="19"/>
  <c r="AP623" i="19"/>
  <c r="AM623" i="19"/>
  <c r="AL623" i="19"/>
  <c r="AJ623" i="19"/>
  <c r="AK623" i="19"/>
  <c r="AI623" i="19"/>
  <c r="AP632" i="19"/>
  <c r="AM632" i="19"/>
  <c r="AK632" i="19"/>
  <c r="AL632" i="19"/>
  <c r="AJ632" i="19"/>
  <c r="AI632" i="19"/>
  <c r="AP640" i="19"/>
  <c r="AM640" i="19"/>
  <c r="AK640" i="19"/>
  <c r="AL640" i="19"/>
  <c r="AJ640" i="19"/>
  <c r="AI640" i="19"/>
  <c r="AP646" i="19"/>
  <c r="AM646" i="19"/>
  <c r="AK646" i="19"/>
  <c r="AL646" i="19"/>
  <c r="AJ646" i="19"/>
  <c r="AI646" i="19"/>
  <c r="AP654" i="19"/>
  <c r="AM654" i="19"/>
  <c r="AK654" i="19"/>
  <c r="AL654" i="19"/>
  <c r="AJ654" i="19"/>
  <c r="AI654" i="19"/>
  <c r="AP662" i="19"/>
  <c r="AM662" i="19"/>
  <c r="AK662" i="19"/>
  <c r="AL662" i="19"/>
  <c r="AJ662" i="19"/>
  <c r="AI662" i="19"/>
  <c r="AP670" i="19"/>
  <c r="AM670" i="19"/>
  <c r="AK670" i="19"/>
  <c r="AJ670" i="19"/>
  <c r="AI670" i="19"/>
  <c r="AL670" i="19"/>
  <c r="AP676" i="19"/>
  <c r="AM676" i="19"/>
  <c r="AK676" i="19"/>
  <c r="AL676" i="19"/>
  <c r="AJ676" i="19"/>
  <c r="AI676" i="19"/>
  <c r="AP684" i="19"/>
  <c r="AM684" i="19"/>
  <c r="AK684" i="19"/>
  <c r="AJ684" i="19"/>
  <c r="AI684" i="19"/>
  <c r="AL684" i="19"/>
  <c r="AP690" i="19"/>
  <c r="AM690" i="19"/>
  <c r="AL690" i="19"/>
  <c r="AK690" i="19"/>
  <c r="AJ690" i="19"/>
  <c r="AI690" i="19"/>
  <c r="AP696" i="19"/>
  <c r="AM696" i="19"/>
  <c r="AL696" i="19"/>
  <c r="AK696" i="19"/>
  <c r="AJ696" i="19"/>
  <c r="AI696" i="19"/>
  <c r="AP704" i="19"/>
  <c r="AM704" i="19"/>
  <c r="AL704" i="19"/>
  <c r="AK704" i="19"/>
  <c r="AJ704" i="19"/>
  <c r="AI704" i="19"/>
  <c r="AP714" i="19"/>
  <c r="AM714" i="19"/>
  <c r="AL714" i="19"/>
  <c r="AK714" i="19"/>
  <c r="AJ714" i="19"/>
  <c r="AI714" i="19"/>
  <c r="AP722" i="19"/>
  <c r="AM722" i="19"/>
  <c r="AL722" i="19"/>
  <c r="AK722" i="19"/>
  <c r="AJ722" i="19"/>
  <c r="AI722" i="19"/>
  <c r="AP735" i="19"/>
  <c r="AM735" i="19"/>
  <c r="AL735" i="19"/>
  <c r="AK735" i="19"/>
  <c r="AJ735" i="19"/>
  <c r="AI735" i="19"/>
  <c r="AP745" i="19"/>
  <c r="AM745" i="19"/>
  <c r="AL745" i="19"/>
  <c r="AK745" i="19"/>
  <c r="AJ745" i="19"/>
  <c r="AI745" i="19"/>
  <c r="AM758" i="19"/>
  <c r="AL758" i="19"/>
  <c r="AK758" i="19"/>
  <c r="AJ758" i="19"/>
  <c r="AI758" i="19"/>
  <c r="AP767" i="19"/>
  <c r="AM767" i="19"/>
  <c r="AL767" i="19"/>
  <c r="AK767" i="19"/>
  <c r="AJ767" i="19"/>
  <c r="AI767" i="19"/>
  <c r="AP774" i="19"/>
  <c r="AM774" i="19"/>
  <c r="AL774" i="19"/>
  <c r="AK774" i="19"/>
  <c r="AJ774" i="19"/>
  <c r="AI774" i="19"/>
  <c r="AP781" i="19"/>
  <c r="AM781" i="19"/>
  <c r="AL781" i="19"/>
  <c r="AK781" i="19"/>
  <c r="AJ781" i="19"/>
  <c r="AI781" i="19"/>
  <c r="AP788" i="19"/>
  <c r="AM788" i="19"/>
  <c r="AL788" i="19"/>
  <c r="AK788" i="19"/>
  <c r="AJ788" i="19"/>
  <c r="AI788" i="19"/>
  <c r="AP794" i="19"/>
  <c r="AK794" i="19"/>
  <c r="AJ794" i="19"/>
  <c r="AI794" i="19"/>
  <c r="AM794" i="19"/>
  <c r="AL794" i="19"/>
  <c r="AP801" i="19"/>
  <c r="AM801" i="19"/>
  <c r="AL801" i="19"/>
  <c r="AK801" i="19"/>
  <c r="AJ801" i="19"/>
  <c r="AI801" i="19"/>
  <c r="AP808" i="19"/>
  <c r="AM808" i="19"/>
  <c r="AL808" i="19"/>
  <c r="AK808" i="19"/>
  <c r="AJ808" i="19"/>
  <c r="AI808" i="19"/>
  <c r="AP820" i="19"/>
  <c r="AM820" i="19"/>
  <c r="AL820" i="19"/>
  <c r="AK820" i="19"/>
  <c r="AJ820" i="19"/>
  <c r="AI820" i="19"/>
  <c r="AP829" i="19"/>
  <c r="AM829" i="19"/>
  <c r="AL829" i="19"/>
  <c r="AK829" i="19"/>
  <c r="AJ829" i="19"/>
  <c r="AI829" i="19"/>
  <c r="AP837" i="19"/>
  <c r="AM837" i="19"/>
  <c r="AL837" i="19"/>
  <c r="AK837" i="19"/>
  <c r="AJ837" i="19"/>
  <c r="AI837" i="19"/>
  <c r="AP843" i="19"/>
  <c r="AM843" i="19"/>
  <c r="AL843" i="19"/>
  <c r="AK843" i="19"/>
  <c r="AJ843" i="19"/>
  <c r="AI843" i="19"/>
  <c r="AP850" i="19"/>
  <c r="AM850" i="19"/>
  <c r="AL850" i="19"/>
  <c r="AK850" i="19"/>
  <c r="AJ850" i="19"/>
  <c r="AI850" i="19"/>
  <c r="AP856" i="19"/>
  <c r="AM856" i="19"/>
  <c r="AL856" i="19"/>
  <c r="AK856" i="19"/>
  <c r="AJ856" i="19"/>
  <c r="AI856" i="19"/>
  <c r="AP862" i="19"/>
  <c r="AM862" i="19"/>
  <c r="AL862" i="19"/>
  <c r="AK862" i="19"/>
  <c r="AJ862" i="19"/>
  <c r="AI862" i="19"/>
  <c r="AP869" i="19"/>
  <c r="AM869" i="19"/>
  <c r="AL869" i="19"/>
  <c r="AK869" i="19"/>
  <c r="AJ869" i="19"/>
  <c r="AI869" i="19"/>
  <c r="AP876" i="19"/>
  <c r="AM876" i="19"/>
  <c r="AL876" i="19"/>
  <c r="AK876" i="19"/>
  <c r="AJ876" i="19"/>
  <c r="AI876" i="19"/>
  <c r="AP883" i="19"/>
  <c r="AM883" i="19"/>
  <c r="AL883" i="19"/>
  <c r="AK883" i="19"/>
  <c r="AJ883" i="19"/>
  <c r="AI883" i="19"/>
  <c r="AP890" i="19"/>
  <c r="AM890" i="19"/>
  <c r="AL890" i="19"/>
  <c r="AK890" i="19"/>
  <c r="AJ890" i="19"/>
  <c r="AI890" i="19"/>
  <c r="AP896" i="19"/>
  <c r="AM896" i="19"/>
  <c r="AL896" i="19"/>
  <c r="AK896" i="19"/>
  <c r="AJ896" i="19"/>
  <c r="AI896" i="19"/>
  <c r="AP903" i="19"/>
  <c r="AM903" i="19"/>
  <c r="AL903" i="19"/>
  <c r="AK903" i="19"/>
  <c r="AJ903" i="19"/>
  <c r="AI903" i="19"/>
  <c r="AP911" i="19"/>
  <c r="AM911" i="19"/>
  <c r="AL911" i="19"/>
  <c r="AK911" i="19"/>
  <c r="AJ911" i="19"/>
  <c r="AI911" i="19"/>
  <c r="AP918" i="19"/>
  <c r="AM918" i="19"/>
  <c r="AL918" i="19"/>
  <c r="AK918" i="19"/>
  <c r="AJ918" i="19"/>
  <c r="AI918" i="19"/>
  <c r="AP925" i="19"/>
  <c r="AM925" i="19"/>
  <c r="AL925" i="19"/>
  <c r="AK925" i="19"/>
  <c r="AJ925" i="19"/>
  <c r="AI925" i="19"/>
  <c r="AP931" i="19"/>
  <c r="AM931" i="19"/>
  <c r="AL931" i="19"/>
  <c r="AK931" i="19"/>
  <c r="AJ931" i="19"/>
  <c r="AI931" i="19"/>
  <c r="AP938" i="19"/>
  <c r="AM938" i="19"/>
  <c r="AL938" i="19"/>
  <c r="AK938" i="19"/>
  <c r="AJ938" i="19"/>
  <c r="AI938" i="19"/>
  <c r="AP946" i="19"/>
  <c r="AM946" i="19"/>
  <c r="AL946" i="19"/>
  <c r="AK946" i="19"/>
  <c r="AJ946" i="19"/>
  <c r="AI946" i="19"/>
  <c r="AP953" i="19"/>
  <c r="AM953" i="19"/>
  <c r="AL953" i="19"/>
  <c r="AK953" i="19"/>
  <c r="AJ953" i="19"/>
  <c r="AI953" i="19"/>
  <c r="AP959" i="19"/>
  <c r="AM959" i="19"/>
  <c r="AL959" i="19"/>
  <c r="AK959" i="19"/>
  <c r="AJ959" i="19"/>
  <c r="AI959" i="19"/>
  <c r="AI34" i="19"/>
  <c r="AM34" i="19"/>
  <c r="AL34" i="19"/>
  <c r="AK34" i="19"/>
  <c r="AJ34" i="19"/>
  <c r="AM41" i="19"/>
  <c r="AL41" i="19"/>
  <c r="AK41" i="19"/>
  <c r="AJ41" i="19"/>
  <c r="AI41" i="19"/>
  <c r="AI48" i="19"/>
  <c r="AJ48" i="19"/>
  <c r="AK48" i="19"/>
  <c r="AM48" i="19"/>
  <c r="AL48" i="19"/>
  <c r="AM56" i="19"/>
  <c r="AL56" i="19"/>
  <c r="AK56" i="19"/>
  <c r="AJ56" i="19"/>
  <c r="AI56" i="19"/>
  <c r="AI62" i="19"/>
  <c r="AL62" i="19"/>
  <c r="AK62" i="19"/>
  <c r="AJ62" i="19"/>
  <c r="AM62" i="19"/>
  <c r="AM70" i="19"/>
  <c r="AL70" i="19"/>
  <c r="AK70" i="19"/>
  <c r="AJ70" i="19"/>
  <c r="AI70" i="19"/>
  <c r="AI76" i="19"/>
  <c r="AM76" i="19"/>
  <c r="AL76" i="19"/>
  <c r="AJ76" i="19"/>
  <c r="AK76" i="19"/>
  <c r="AM84" i="19"/>
  <c r="AL84" i="19"/>
  <c r="AK84" i="19"/>
  <c r="AJ84" i="19"/>
  <c r="AI84" i="19"/>
  <c r="AI90" i="19"/>
  <c r="AJ90" i="19"/>
  <c r="AM90" i="19"/>
  <c r="AK90" i="19"/>
  <c r="AL90" i="19"/>
  <c r="AM98" i="19"/>
  <c r="AL98" i="19"/>
  <c r="AK98" i="19"/>
  <c r="AJ98" i="19"/>
  <c r="AI98" i="19"/>
  <c r="AI104" i="19"/>
  <c r="AJ104" i="19"/>
  <c r="AM104" i="19"/>
  <c r="AL104" i="19"/>
  <c r="AK104" i="19"/>
  <c r="AM110" i="19"/>
  <c r="AL110" i="19"/>
  <c r="AK110" i="19"/>
  <c r="AJ110" i="19"/>
  <c r="AI110" i="19"/>
  <c r="AI118" i="19"/>
  <c r="AL118" i="19"/>
  <c r="AK118" i="19"/>
  <c r="AM118" i="19"/>
  <c r="AJ118" i="19"/>
  <c r="AM125" i="19"/>
  <c r="AL125" i="19"/>
  <c r="AJ125" i="19"/>
  <c r="AI125" i="19"/>
  <c r="AK125" i="19"/>
  <c r="AI132" i="19"/>
  <c r="AL132" i="19"/>
  <c r="AM132" i="19"/>
  <c r="AK132" i="19"/>
  <c r="AJ132" i="19"/>
  <c r="AM140" i="19"/>
  <c r="AL140" i="19"/>
  <c r="AK140" i="19"/>
  <c r="AJ140" i="19"/>
  <c r="AI140" i="19"/>
  <c r="AI146" i="19"/>
  <c r="AL146" i="19"/>
  <c r="AK146" i="19"/>
  <c r="AM146" i="19"/>
  <c r="AJ146" i="19"/>
  <c r="AM152" i="19"/>
  <c r="AL152" i="19"/>
  <c r="AJ152" i="19"/>
  <c r="AK152" i="19"/>
  <c r="AI152" i="19"/>
  <c r="AI159" i="19"/>
  <c r="AL159" i="19"/>
  <c r="AM159" i="19"/>
  <c r="AK159" i="19"/>
  <c r="AJ159" i="19"/>
  <c r="AM166" i="19"/>
  <c r="AL166" i="19"/>
  <c r="AK166" i="19"/>
  <c r="AJ166" i="19"/>
  <c r="AI166" i="19"/>
  <c r="AM175" i="19"/>
  <c r="AK175" i="19"/>
  <c r="AL175" i="19"/>
  <c r="AI175" i="19"/>
  <c r="AJ175" i="19"/>
  <c r="AM182" i="19"/>
  <c r="AK182" i="19"/>
  <c r="AL182" i="19"/>
  <c r="AI182" i="19"/>
  <c r="AJ182" i="19"/>
  <c r="AP189" i="19"/>
  <c r="AM189" i="19"/>
  <c r="AK189" i="19"/>
  <c r="AL189" i="19"/>
  <c r="AI189" i="19"/>
  <c r="AJ189" i="19"/>
  <c r="AM198" i="19"/>
  <c r="AK198" i="19"/>
  <c r="AI198" i="19"/>
  <c r="AL198" i="19"/>
  <c r="AJ198" i="19"/>
  <c r="AP204" i="19"/>
  <c r="AM204" i="19"/>
  <c r="AK204" i="19"/>
  <c r="AI204" i="19"/>
  <c r="AL204" i="19"/>
  <c r="AJ204" i="19"/>
  <c r="AP212" i="19"/>
  <c r="AM212" i="19"/>
  <c r="AK212" i="19"/>
  <c r="AI212" i="19"/>
  <c r="AL212" i="19"/>
  <c r="AJ212" i="19"/>
  <c r="AP220" i="19"/>
  <c r="AM220" i="19"/>
  <c r="AK220" i="19"/>
  <c r="AL220" i="19"/>
  <c r="AI220" i="19"/>
  <c r="AJ220" i="19"/>
  <c r="AP229" i="19"/>
  <c r="AL229" i="19"/>
  <c r="AK229" i="19"/>
  <c r="AJ229" i="19"/>
  <c r="AI229" i="19"/>
  <c r="AM229" i="19"/>
  <c r="AP236" i="19"/>
  <c r="AI236" i="19"/>
  <c r="AL236" i="19"/>
  <c r="AK236" i="19"/>
  <c r="AJ236" i="19"/>
  <c r="AM236" i="19"/>
  <c r="AM243" i="19"/>
  <c r="AK243" i="19"/>
  <c r="AI243" i="19"/>
  <c r="AL243" i="19"/>
  <c r="AJ243" i="19"/>
  <c r="AM249" i="19"/>
  <c r="AL249" i="19"/>
  <c r="AK249" i="19"/>
  <c r="AJ249" i="19"/>
  <c r="AI249" i="19"/>
  <c r="AL257" i="19"/>
  <c r="AM257" i="19"/>
  <c r="AK257" i="19"/>
  <c r="AJ257" i="19"/>
  <c r="AI257" i="19"/>
  <c r="AP265" i="19"/>
  <c r="AL265" i="19"/>
  <c r="AM265" i="19"/>
  <c r="AK265" i="19"/>
  <c r="AJ265" i="19"/>
  <c r="AI265" i="19"/>
  <c r="AP271" i="19"/>
  <c r="AM271" i="19"/>
  <c r="AL271" i="19"/>
  <c r="AK271" i="19"/>
  <c r="AJ271" i="19"/>
  <c r="AI271" i="19"/>
  <c r="AP278" i="19"/>
  <c r="AM278" i="19"/>
  <c r="AL278" i="19"/>
  <c r="AI278" i="19"/>
  <c r="AK278" i="19"/>
  <c r="AJ278" i="19"/>
  <c r="AP284" i="19"/>
  <c r="AM284" i="19"/>
  <c r="AL284" i="19"/>
  <c r="AK284" i="19"/>
  <c r="AJ284" i="19"/>
  <c r="AI284" i="19"/>
  <c r="AP290" i="19"/>
  <c r="AM290" i="19"/>
  <c r="AL290" i="19"/>
  <c r="AI290" i="19"/>
  <c r="AK290" i="19"/>
  <c r="AJ290" i="19"/>
  <c r="AP296" i="19"/>
  <c r="AM296" i="19"/>
  <c r="AL296" i="19"/>
  <c r="AJ296" i="19"/>
  <c r="AI296" i="19"/>
  <c r="AK296" i="19"/>
  <c r="AP303" i="19"/>
  <c r="AM303" i="19"/>
  <c r="AL303" i="19"/>
  <c r="AJ303" i="19"/>
  <c r="AK303" i="19"/>
  <c r="AI303" i="19"/>
  <c r="AP310" i="19"/>
  <c r="AM310" i="19"/>
  <c r="AL310" i="19"/>
  <c r="AJ310" i="19"/>
  <c r="AK310" i="19"/>
  <c r="AI310" i="19"/>
  <c r="AP317" i="19"/>
  <c r="AM317" i="19"/>
  <c r="AL317" i="19"/>
  <c r="AJ317" i="19"/>
  <c r="AK317" i="19"/>
  <c r="AI317" i="19"/>
  <c r="AP325" i="19"/>
  <c r="AM325" i="19"/>
  <c r="AL325" i="19"/>
  <c r="AJ325" i="19"/>
  <c r="AI325" i="19"/>
  <c r="AK325" i="19"/>
  <c r="AP332" i="19"/>
  <c r="AM332" i="19"/>
  <c r="AL332" i="19"/>
  <c r="AK332" i="19"/>
  <c r="AI332" i="19"/>
  <c r="AJ332" i="19"/>
  <c r="AP340" i="19"/>
  <c r="AI340" i="19"/>
  <c r="AL340" i="19"/>
  <c r="AK340" i="19"/>
  <c r="AJ340" i="19"/>
  <c r="AM340" i="19"/>
  <c r="AP348" i="19"/>
  <c r="AJ348" i="19"/>
  <c r="AI348" i="19"/>
  <c r="AM348" i="19"/>
  <c r="AL348" i="19"/>
  <c r="AK348" i="19"/>
  <c r="AP354" i="19"/>
  <c r="AJ354" i="19"/>
  <c r="AI354" i="19"/>
  <c r="AM354" i="19"/>
  <c r="AK354" i="19"/>
  <c r="AL354" i="19"/>
  <c r="AP360" i="19"/>
  <c r="AJ360" i="19"/>
  <c r="AI360" i="19"/>
  <c r="AM360" i="19"/>
  <c r="AL360" i="19"/>
  <c r="AK360" i="19"/>
  <c r="AP370" i="19"/>
  <c r="AJ370" i="19"/>
  <c r="AI370" i="19"/>
  <c r="AM370" i="19"/>
  <c r="AL370" i="19"/>
  <c r="AK370" i="19"/>
  <c r="AP382" i="19"/>
  <c r="AJ382" i="19"/>
  <c r="AI382" i="19"/>
  <c r="AL382" i="19"/>
  <c r="AK382" i="19"/>
  <c r="AM382" i="19"/>
  <c r="AP393" i="19"/>
  <c r="AJ393" i="19"/>
  <c r="AI393" i="19"/>
  <c r="AM393" i="19"/>
  <c r="AL393" i="19"/>
  <c r="AK393" i="19"/>
  <c r="AP400" i="19"/>
  <c r="AJ400" i="19"/>
  <c r="AI400" i="19"/>
  <c r="AM400" i="19"/>
  <c r="AL400" i="19"/>
  <c r="AK400" i="19"/>
  <c r="AP409" i="19"/>
  <c r="AK409" i="19"/>
  <c r="AJ409" i="19"/>
  <c r="AI409" i="19"/>
  <c r="AL409" i="19"/>
  <c r="AM409" i="19"/>
  <c r="AP415" i="19"/>
  <c r="AK415" i="19"/>
  <c r="AJ415" i="19"/>
  <c r="AI415" i="19"/>
  <c r="AM415" i="19"/>
  <c r="AL415" i="19"/>
  <c r="AP422" i="19"/>
  <c r="AK422" i="19"/>
  <c r="AJ422" i="19"/>
  <c r="AI422" i="19"/>
  <c r="AM422" i="19"/>
  <c r="AL422" i="19"/>
  <c r="AP431" i="19"/>
  <c r="AK431" i="19"/>
  <c r="AJ431" i="19"/>
  <c r="AI431" i="19"/>
  <c r="AM431" i="19"/>
  <c r="AL431" i="19"/>
  <c r="AP439" i="19"/>
  <c r="AL439" i="19"/>
  <c r="AK439" i="19"/>
  <c r="AJ439" i="19"/>
  <c r="AI439" i="19"/>
  <c r="AM439" i="19"/>
  <c r="AP447" i="19"/>
  <c r="AL447" i="19"/>
  <c r="AK447" i="19"/>
  <c r="AJ447" i="19"/>
  <c r="AI447" i="19"/>
  <c r="AM447" i="19"/>
  <c r="AP457" i="19"/>
  <c r="AL457" i="19"/>
  <c r="AK457" i="19"/>
  <c r="AJ457" i="19"/>
  <c r="AI457" i="19"/>
  <c r="AM457" i="19"/>
  <c r="AP465" i="19"/>
  <c r="AL465" i="19"/>
  <c r="AK465" i="19"/>
  <c r="AJ465" i="19"/>
  <c r="AI465" i="19"/>
  <c r="AM465" i="19"/>
  <c r="AP473" i="19"/>
  <c r="AL473" i="19"/>
  <c r="AK473" i="19"/>
  <c r="AJ473" i="19"/>
  <c r="AI473" i="19"/>
  <c r="AM473" i="19"/>
  <c r="AP483" i="19"/>
  <c r="AL483" i="19"/>
  <c r="AK483" i="19"/>
  <c r="AJ483" i="19"/>
  <c r="AI483" i="19"/>
  <c r="AM483" i="19"/>
  <c r="AP489" i="19"/>
  <c r="AL489" i="19"/>
  <c r="AM489" i="19"/>
  <c r="AK489" i="19"/>
  <c r="AJ489" i="19"/>
  <c r="AI489" i="19"/>
  <c r="AP496" i="19"/>
  <c r="AM496" i="19"/>
  <c r="AL496" i="19"/>
  <c r="AI496" i="19"/>
  <c r="AK496" i="19"/>
  <c r="AJ496" i="19"/>
  <c r="AP509" i="19"/>
  <c r="AM509" i="19"/>
  <c r="AL509" i="19"/>
  <c r="AJ509" i="19"/>
  <c r="AI509" i="19"/>
  <c r="AK509" i="19"/>
  <c r="AP516" i="19"/>
  <c r="AM516" i="19"/>
  <c r="AL516" i="19"/>
  <c r="AJ516" i="19"/>
  <c r="AI516" i="19"/>
  <c r="AK516" i="19"/>
  <c r="AP523" i="19"/>
  <c r="AM523" i="19"/>
  <c r="AL523" i="19"/>
  <c r="AJ523" i="19"/>
  <c r="AI523" i="19"/>
  <c r="AK523" i="19"/>
  <c r="AP531" i="19"/>
  <c r="AM531" i="19"/>
  <c r="AL531" i="19"/>
  <c r="AJ531" i="19"/>
  <c r="AI531" i="19"/>
  <c r="AK531" i="19"/>
  <c r="AP539" i="19"/>
  <c r="AM539" i="19"/>
  <c r="AL539" i="19"/>
  <c r="AJ539" i="19"/>
  <c r="AI539" i="19"/>
  <c r="AK539" i="19"/>
  <c r="AP549" i="19"/>
  <c r="AM549" i="19"/>
  <c r="AL549" i="19"/>
  <c r="AJ549" i="19"/>
  <c r="AI549" i="19"/>
  <c r="AK549" i="19"/>
  <c r="AP557" i="19"/>
  <c r="AM557" i="19"/>
  <c r="AL557" i="19"/>
  <c r="AJ557" i="19"/>
  <c r="AI557" i="19"/>
  <c r="AK557" i="19"/>
  <c r="AP565" i="19"/>
  <c r="AM565" i="19"/>
  <c r="AL565" i="19"/>
  <c r="AJ565" i="19"/>
  <c r="AI565" i="19"/>
  <c r="AK565" i="19"/>
  <c r="AP574" i="19"/>
  <c r="AM574" i="19"/>
  <c r="AL574" i="19"/>
  <c r="AJ574" i="19"/>
  <c r="AI574" i="19"/>
  <c r="AK574" i="19"/>
  <c r="AP581" i="19"/>
  <c r="AM581" i="19"/>
  <c r="AL581" i="19"/>
  <c r="AJ581" i="19"/>
  <c r="AI581" i="19"/>
  <c r="AK581" i="19"/>
  <c r="AP588" i="19"/>
  <c r="AM588" i="19"/>
  <c r="AL588" i="19"/>
  <c r="AJ588" i="19"/>
  <c r="AI588" i="19"/>
  <c r="AK588" i="19"/>
  <c r="AP595" i="19"/>
  <c r="AM595" i="19"/>
  <c r="AL595" i="19"/>
  <c r="AJ595" i="19"/>
  <c r="AI595" i="19"/>
  <c r="AK595" i="19"/>
  <c r="AP602" i="19"/>
  <c r="AM602" i="19"/>
  <c r="AK602" i="19"/>
  <c r="AJ602" i="19"/>
  <c r="AL602" i="19"/>
  <c r="AI602" i="19"/>
  <c r="AP610" i="19"/>
  <c r="AM610" i="19"/>
  <c r="AK610" i="19"/>
  <c r="AJ610" i="19"/>
  <c r="AI610" i="19"/>
  <c r="AL610" i="19"/>
  <c r="AP617" i="19"/>
  <c r="AK617" i="19"/>
  <c r="AJ617" i="19"/>
  <c r="AI617" i="19"/>
  <c r="AM617" i="19"/>
  <c r="AL617" i="19"/>
  <c r="AP624" i="19"/>
  <c r="AM624" i="19"/>
  <c r="AL624" i="19"/>
  <c r="AK624" i="19"/>
  <c r="AJ624" i="19"/>
  <c r="AI624" i="19"/>
  <c r="AP633" i="19"/>
  <c r="AL633" i="19"/>
  <c r="AJ633" i="19"/>
  <c r="AI633" i="19"/>
  <c r="AM633" i="19"/>
  <c r="AK633" i="19"/>
  <c r="AP641" i="19"/>
  <c r="AL641" i="19"/>
  <c r="AJ641" i="19"/>
  <c r="AI641" i="19"/>
  <c r="AM641" i="19"/>
  <c r="AK641" i="19"/>
  <c r="AP647" i="19"/>
  <c r="AL647" i="19"/>
  <c r="AJ647" i="19"/>
  <c r="AI647" i="19"/>
  <c r="AM647" i="19"/>
  <c r="AK647" i="19"/>
  <c r="AP655" i="19"/>
  <c r="AL655" i="19"/>
  <c r="AJ655" i="19"/>
  <c r="AI655" i="19"/>
  <c r="AK655" i="19"/>
  <c r="AM655" i="19"/>
  <c r="AP663" i="19"/>
  <c r="AL663" i="19"/>
  <c r="AJ663" i="19"/>
  <c r="AI663" i="19"/>
  <c r="AM663" i="19"/>
  <c r="AK663" i="19"/>
  <c r="AP671" i="19"/>
  <c r="AL671" i="19"/>
  <c r="AJ671" i="19"/>
  <c r="AI671" i="19"/>
  <c r="AM671" i="19"/>
  <c r="AK671" i="19"/>
  <c r="AP677" i="19"/>
  <c r="AL677" i="19"/>
  <c r="AJ677" i="19"/>
  <c r="AI677" i="19"/>
  <c r="AM677" i="19"/>
  <c r="AK677" i="19"/>
  <c r="AP685" i="19"/>
  <c r="AL685" i="19"/>
  <c r="AJ685" i="19"/>
  <c r="AI685" i="19"/>
  <c r="AM685" i="19"/>
  <c r="AK685" i="19"/>
  <c r="AP691" i="19"/>
  <c r="AL691" i="19"/>
  <c r="AJ691" i="19"/>
  <c r="AI691" i="19"/>
  <c r="AM691" i="19"/>
  <c r="AK691" i="19"/>
  <c r="AP697" i="19"/>
  <c r="AL697" i="19"/>
  <c r="AJ697" i="19"/>
  <c r="AI697" i="19"/>
  <c r="AM697" i="19"/>
  <c r="AK697" i="19"/>
  <c r="AP706" i="19"/>
  <c r="AL706" i="19"/>
  <c r="AJ706" i="19"/>
  <c r="AI706" i="19"/>
  <c r="AK706" i="19"/>
  <c r="AM706" i="19"/>
  <c r="AP715" i="19"/>
  <c r="AL715" i="19"/>
  <c r="AK715" i="19"/>
  <c r="AJ715" i="19"/>
  <c r="AI715" i="19"/>
  <c r="AM715" i="19"/>
  <c r="AP724" i="19"/>
  <c r="AL724" i="19"/>
  <c r="AK724" i="19"/>
  <c r="AJ724" i="19"/>
  <c r="AI724" i="19"/>
  <c r="AM724" i="19"/>
  <c r="AP737" i="19"/>
  <c r="AL737" i="19"/>
  <c r="AK737" i="19"/>
  <c r="AJ737" i="19"/>
  <c r="AI737" i="19"/>
  <c r="AM737" i="19"/>
  <c r="AP747" i="19"/>
  <c r="AL747" i="19"/>
  <c r="AK747" i="19"/>
  <c r="AJ747" i="19"/>
  <c r="AI747" i="19"/>
  <c r="AM747" i="19"/>
  <c r="AP760" i="19"/>
  <c r="AL760" i="19"/>
  <c r="AK760" i="19"/>
  <c r="AJ760" i="19"/>
  <c r="AI760" i="19"/>
  <c r="AM760" i="19"/>
  <c r="AP769" i="19"/>
  <c r="AL769" i="19"/>
  <c r="AK769" i="19"/>
  <c r="AJ769" i="19"/>
  <c r="AI769" i="19"/>
  <c r="AM769" i="19"/>
  <c r="AP775" i="19"/>
  <c r="AL775" i="19"/>
  <c r="AK775" i="19"/>
  <c r="AJ775" i="19"/>
  <c r="AI775" i="19"/>
  <c r="AM775" i="19"/>
  <c r="AP782" i="19"/>
  <c r="AL782" i="19"/>
  <c r="AK782" i="19"/>
  <c r="AJ782" i="19"/>
  <c r="AI782" i="19"/>
  <c r="AM782" i="19"/>
  <c r="AP789" i="19"/>
  <c r="AM789" i="19"/>
  <c r="AL789" i="19"/>
  <c r="AK789" i="19"/>
  <c r="AJ789" i="19"/>
  <c r="AI789" i="19"/>
  <c r="AP795" i="19"/>
  <c r="AM795" i="19"/>
  <c r="AL795" i="19"/>
  <c r="AK795" i="19"/>
  <c r="AJ795" i="19"/>
  <c r="AI795" i="19"/>
  <c r="AP802" i="19"/>
  <c r="AL802" i="19"/>
  <c r="AK802" i="19"/>
  <c r="AJ802" i="19"/>
  <c r="AI802" i="19"/>
  <c r="AM802" i="19"/>
  <c r="AP809" i="19"/>
  <c r="AI809" i="19"/>
  <c r="AM809" i="19"/>
  <c r="AL809" i="19"/>
  <c r="AK809" i="19"/>
  <c r="AJ809" i="19"/>
  <c r="AP821" i="19"/>
  <c r="AM821" i="19"/>
  <c r="AL821" i="19"/>
  <c r="AK821" i="19"/>
  <c r="AI821" i="19"/>
  <c r="AJ821" i="19"/>
  <c r="AP830" i="19"/>
  <c r="AM830" i="19"/>
  <c r="AL830" i="19"/>
  <c r="AK830" i="19"/>
  <c r="AJ830" i="19"/>
  <c r="AI830" i="19"/>
  <c r="AP838" i="19"/>
  <c r="AL838" i="19"/>
  <c r="AK838" i="19"/>
  <c r="AJ838" i="19"/>
  <c r="AI838" i="19"/>
  <c r="AM838" i="19"/>
  <c r="AP844" i="19"/>
  <c r="AM844" i="19"/>
  <c r="AL844" i="19"/>
  <c r="AK844" i="19"/>
  <c r="AJ844" i="19"/>
  <c r="AI844" i="19"/>
  <c r="AP851" i="19"/>
  <c r="AM851" i="19"/>
  <c r="AL851" i="19"/>
  <c r="AK851" i="19"/>
  <c r="AJ851" i="19"/>
  <c r="AI851" i="19"/>
  <c r="AP857" i="19"/>
  <c r="AM857" i="19"/>
  <c r="AL857" i="19"/>
  <c r="AK857" i="19"/>
  <c r="AJ857" i="19"/>
  <c r="AI857" i="19"/>
  <c r="AP863" i="19"/>
  <c r="AM863" i="19"/>
  <c r="AL863" i="19"/>
  <c r="AK863" i="19"/>
  <c r="AJ863" i="19"/>
  <c r="AI863" i="19"/>
  <c r="AP870" i="19"/>
  <c r="AM870" i="19"/>
  <c r="AL870" i="19"/>
  <c r="AK870" i="19"/>
  <c r="AJ870" i="19"/>
  <c r="AI870" i="19"/>
  <c r="AP877" i="19"/>
  <c r="AM877" i="19"/>
  <c r="AL877" i="19"/>
  <c r="AK877" i="19"/>
  <c r="AJ877" i="19"/>
  <c r="AI877" i="19"/>
  <c r="AP884" i="19"/>
  <c r="AM884" i="19"/>
  <c r="AL884" i="19"/>
  <c r="AK884" i="19"/>
  <c r="AJ884" i="19"/>
  <c r="AI884" i="19"/>
  <c r="AP891" i="19"/>
  <c r="AM891" i="19"/>
  <c r="AL891" i="19"/>
  <c r="AK891" i="19"/>
  <c r="AJ891" i="19"/>
  <c r="AI891" i="19"/>
  <c r="AP897" i="19"/>
  <c r="AM897" i="19"/>
  <c r="AL897" i="19"/>
  <c r="AK897" i="19"/>
  <c r="AJ897" i="19"/>
  <c r="AI897" i="19"/>
  <c r="AP904" i="19"/>
  <c r="AM904" i="19"/>
  <c r="AL904" i="19"/>
  <c r="AK904" i="19"/>
  <c r="AJ904" i="19"/>
  <c r="AI904" i="19"/>
  <c r="AP912" i="19"/>
  <c r="AM912" i="19"/>
  <c r="AL912" i="19"/>
  <c r="AK912" i="19"/>
  <c r="AJ912" i="19"/>
  <c r="AI912" i="19"/>
  <c r="AP920" i="19"/>
  <c r="AM920" i="19"/>
  <c r="AL920" i="19"/>
  <c r="AK920" i="19"/>
  <c r="AJ920" i="19"/>
  <c r="AI920" i="19"/>
  <c r="AP926" i="19"/>
  <c r="AM926" i="19"/>
  <c r="AL926" i="19"/>
  <c r="AK926" i="19"/>
  <c r="AJ926" i="19"/>
  <c r="AI926" i="19"/>
  <c r="AP932" i="19"/>
  <c r="AM932" i="19"/>
  <c r="AL932" i="19"/>
  <c r="AK932" i="19"/>
  <c r="AJ932" i="19"/>
  <c r="AI932" i="19"/>
  <c r="AP939" i="19"/>
  <c r="AM939" i="19"/>
  <c r="AL939" i="19"/>
  <c r="AK939" i="19"/>
  <c r="AJ939" i="19"/>
  <c r="AI939" i="19"/>
  <c r="AP948" i="19"/>
  <c r="AM948" i="19"/>
  <c r="AL948" i="19"/>
  <c r="AK948" i="19"/>
  <c r="AJ948" i="19"/>
  <c r="AI948" i="19"/>
  <c r="AP954" i="19"/>
  <c r="AM954" i="19"/>
  <c r="AL954" i="19"/>
  <c r="AK954" i="19"/>
  <c r="AJ954" i="19"/>
  <c r="AI954" i="19"/>
  <c r="AP960" i="19"/>
  <c r="AM960" i="19"/>
  <c r="AL960" i="19"/>
  <c r="AK960" i="19"/>
  <c r="AJ960" i="19"/>
  <c r="AI960" i="19"/>
  <c r="A590" i="19"/>
  <c r="A967" i="19"/>
  <c r="A882" i="19"/>
  <c r="A805" i="19"/>
  <c r="A787" i="19"/>
  <c r="A736" i="19"/>
  <c r="A718" i="19"/>
  <c r="A845" i="19"/>
  <c r="A734" i="19"/>
  <c r="A607" i="19"/>
  <c r="A942" i="19"/>
  <c r="A750" i="19"/>
  <c r="A664" i="19"/>
  <c r="A635" i="19"/>
  <c r="A586" i="19"/>
  <c r="A538" i="19"/>
  <c r="A512" i="19"/>
  <c r="A817" i="19"/>
  <c r="A679" i="19"/>
  <c r="A619" i="19"/>
  <c r="A551" i="19"/>
  <c r="A537" i="19"/>
  <c r="A908" i="19"/>
  <c r="A765" i="19"/>
  <c r="A713" i="19"/>
  <c r="A661" i="19"/>
  <c r="A631" i="19"/>
  <c r="A835" i="19"/>
  <c r="A730" i="19"/>
  <c r="A535" i="19"/>
  <c r="A875" i="19"/>
  <c r="A780" i="19"/>
  <c r="A744" i="19"/>
  <c r="A729" i="19"/>
  <c r="A710" i="19"/>
  <c r="A597" i="19"/>
  <c r="A832" i="19"/>
  <c r="A973" i="19"/>
  <c r="A811" i="19"/>
  <c r="A742" i="19"/>
  <c r="A705" i="19"/>
  <c r="A559" i="19"/>
  <c r="A810" i="19"/>
  <c r="A653" i="19"/>
  <c r="A592" i="19"/>
  <c r="A757" i="19"/>
  <c r="A648" i="19"/>
  <c r="A625" i="19"/>
  <c r="A556" i="19"/>
  <c r="A543" i="19"/>
  <c r="B34" i="36"/>
  <c r="B96" i="36"/>
  <c r="B120" i="36"/>
  <c r="B168" i="36"/>
  <c r="C168" i="36" s="1"/>
  <c r="A168" i="19" s="1"/>
  <c r="A373" i="19"/>
  <c r="A613" i="19"/>
  <c r="A637" i="19"/>
  <c r="A685" i="19"/>
  <c r="A828" i="19"/>
  <c r="A840" i="19"/>
  <c r="A899" i="19"/>
  <c r="A935" i="19"/>
  <c r="B97" i="36"/>
  <c r="C97" i="36" s="1"/>
  <c r="A97" i="19" s="1"/>
  <c r="B121" i="36"/>
  <c r="C121" i="36" s="1"/>
  <c r="A121" i="19" s="1"/>
  <c r="B181" i="36"/>
  <c r="C181" i="36" s="1"/>
  <c r="A181" i="19" s="1"/>
  <c r="A302" i="19"/>
  <c r="A422" i="19"/>
  <c r="A434" i="19"/>
  <c r="A566" i="19"/>
  <c r="A578" i="19"/>
  <c r="A602" i="19"/>
  <c r="A650" i="19"/>
  <c r="A674" i="19"/>
  <c r="A722" i="19"/>
  <c r="A806" i="19"/>
  <c r="A818" i="19"/>
  <c r="A853" i="19"/>
  <c r="A912" i="19"/>
  <c r="A948" i="19"/>
  <c r="A960" i="19"/>
  <c r="B122" i="36"/>
  <c r="C122" i="36" s="1"/>
  <c r="A122" i="19" s="1"/>
  <c r="B134" i="36"/>
  <c r="C134" i="36" s="1"/>
  <c r="A134" i="19" s="1"/>
  <c r="B170" i="36"/>
  <c r="C170" i="36" s="1"/>
  <c r="A170" i="19" s="1"/>
  <c r="B194" i="36"/>
  <c r="C194" i="36" s="1"/>
  <c r="A194" i="19" s="1"/>
  <c r="B206" i="36"/>
  <c r="C206" i="36" s="1"/>
  <c r="A206" i="19" s="1"/>
  <c r="B218" i="36"/>
  <c r="C218" i="36" s="1"/>
  <c r="A218" i="19" s="1"/>
  <c r="B254" i="36"/>
  <c r="C254" i="36" s="1"/>
  <c r="A254" i="19" s="1"/>
  <c r="A387" i="19"/>
  <c r="A459" i="19"/>
  <c r="A603" i="19"/>
  <c r="A639" i="19"/>
  <c r="A663" i="19"/>
  <c r="A711" i="19"/>
  <c r="A723" i="19"/>
  <c r="A795" i="19"/>
  <c r="A830" i="19"/>
  <c r="A842" i="19"/>
  <c r="A925" i="19"/>
  <c r="B37" i="36"/>
  <c r="C37" i="36" s="1"/>
  <c r="A37" i="19" s="1"/>
  <c r="B87" i="36"/>
  <c r="B123" i="36"/>
  <c r="B135" i="36"/>
  <c r="C135" i="36" s="1"/>
  <c r="A135" i="19" s="1"/>
  <c r="B159" i="36"/>
  <c r="C159" i="36" s="1"/>
  <c r="A159" i="19" s="1"/>
  <c r="A364" i="19"/>
  <c r="A448" i="19"/>
  <c r="A532" i="19"/>
  <c r="A580" i="19"/>
  <c r="A640" i="19"/>
  <c r="A772" i="19"/>
  <c r="A808" i="19"/>
  <c r="A820" i="19"/>
  <c r="A902" i="19"/>
  <c r="A950" i="19"/>
  <c r="A962" i="19"/>
  <c r="A974" i="19"/>
  <c r="B63" i="36"/>
  <c r="C63" i="36" s="1"/>
  <c r="A63" i="19" s="1"/>
  <c r="B112" i="36"/>
  <c r="C112" i="36" s="1"/>
  <c r="A112" i="19" s="1"/>
  <c r="B208" i="36"/>
  <c r="A557" i="19"/>
  <c r="A593" i="19"/>
  <c r="A605" i="19"/>
  <c r="A665" i="19"/>
  <c r="A677" i="19"/>
  <c r="A689" i="19"/>
  <c r="A725" i="19"/>
  <c r="A737" i="19"/>
  <c r="A749" i="19"/>
  <c r="A844" i="19"/>
  <c r="A856" i="19"/>
  <c r="B39" i="36"/>
  <c r="C39" i="36" s="1"/>
  <c r="A39" i="19" s="1"/>
  <c r="B52" i="36"/>
  <c r="B113" i="36"/>
  <c r="B173" i="36"/>
  <c r="C173" i="36" s="1"/>
  <c r="A173" i="19" s="1"/>
  <c r="B185" i="36"/>
  <c r="C185" i="36" s="1"/>
  <c r="A185" i="19" s="1"/>
  <c r="B197" i="36"/>
  <c r="C197" i="36" s="1"/>
  <c r="A197" i="19" s="1"/>
  <c r="B221" i="36"/>
  <c r="C221" i="36" s="1"/>
  <c r="A221" i="19" s="1"/>
  <c r="B233" i="36"/>
  <c r="C233" i="36" s="1"/>
  <c r="A233" i="19" s="1"/>
  <c r="A390" i="19"/>
  <c r="A450" i="19"/>
  <c r="A474" i="19"/>
  <c r="A522" i="19"/>
  <c r="A582" i="19"/>
  <c r="A798" i="19"/>
  <c r="A821" i="19"/>
  <c r="A833" i="19"/>
  <c r="A892" i="19"/>
  <c r="A940" i="19"/>
  <c r="A952" i="19"/>
  <c r="A976" i="19"/>
  <c r="B78" i="36"/>
  <c r="C78" i="36" s="1"/>
  <c r="A78" i="19" s="1"/>
  <c r="B114" i="36"/>
  <c r="B138" i="36"/>
  <c r="C138" i="36" s="1"/>
  <c r="A138" i="19" s="1"/>
  <c r="B234" i="36"/>
  <c r="C234" i="36" s="1"/>
  <c r="A234" i="19" s="1"/>
  <c r="A367" i="19"/>
  <c r="A379" i="19"/>
  <c r="A463" i="19"/>
  <c r="A511" i="19"/>
  <c r="A655" i="19"/>
  <c r="A727" i="19"/>
  <c r="A846" i="19"/>
  <c r="A917" i="19"/>
  <c r="A977" i="19"/>
  <c r="B91" i="36"/>
  <c r="B115" i="36"/>
  <c r="B163" i="36"/>
  <c r="C163" i="36" s="1"/>
  <c r="A163" i="19" s="1"/>
  <c r="B211" i="36"/>
  <c r="C211" i="36" s="1"/>
  <c r="A211" i="19" s="1"/>
  <c r="B223" i="36"/>
  <c r="C223" i="36" s="1"/>
  <c r="A223" i="19" s="1"/>
  <c r="B259" i="36"/>
  <c r="C259" i="36" s="1"/>
  <c r="A259" i="19" s="1"/>
  <c r="A272" i="19"/>
  <c r="A308" i="19"/>
  <c r="A320" i="19"/>
  <c r="A428" i="19"/>
  <c r="A476" i="19"/>
  <c r="A500" i="19"/>
  <c r="A572" i="19"/>
  <c r="A584" i="19"/>
  <c r="A596" i="19"/>
  <c r="A716" i="19"/>
  <c r="A752" i="19"/>
  <c r="A800" i="19"/>
  <c r="A823" i="19"/>
  <c r="A859" i="19"/>
  <c r="A918" i="19"/>
  <c r="A930" i="19"/>
  <c r="A954" i="19"/>
  <c r="B21" i="36"/>
  <c r="B30" i="36"/>
  <c r="B55" i="36"/>
  <c r="C55" i="36" s="1"/>
  <c r="A55" i="19" s="1"/>
  <c r="B92" i="36"/>
  <c r="C92" i="36" s="1"/>
  <c r="A92" i="19" s="1"/>
  <c r="B116" i="36"/>
  <c r="C116" i="36" s="1"/>
  <c r="A116" i="19" s="1"/>
  <c r="B128" i="36"/>
  <c r="C128" i="36" s="1"/>
  <c r="A128" i="19" s="1"/>
  <c r="B164" i="36"/>
  <c r="B188" i="36"/>
  <c r="A297" i="19"/>
  <c r="A381" i="19"/>
  <c r="A405" i="19"/>
  <c r="A441" i="19"/>
  <c r="A453" i="19"/>
  <c r="A549" i="19"/>
  <c r="A609" i="19"/>
  <c r="A633" i="19"/>
  <c r="A645" i="19"/>
  <c r="A693" i="19"/>
  <c r="A789" i="19"/>
  <c r="A813" i="19"/>
  <c r="A824" i="19"/>
  <c r="A836" i="19"/>
  <c r="A848" i="19"/>
  <c r="B43" i="36"/>
  <c r="C43" i="36" s="1"/>
  <c r="A43" i="19" s="1"/>
  <c r="B117" i="36"/>
  <c r="C117" i="36" s="1"/>
  <c r="A117" i="19" s="1"/>
  <c r="B153" i="36"/>
  <c r="C153" i="36" s="1"/>
  <c r="A153" i="19" s="1"/>
  <c r="A346" i="19"/>
  <c r="A418" i="19"/>
  <c r="A574" i="19"/>
  <c r="A706" i="19"/>
  <c r="A956" i="19"/>
  <c r="A968" i="19"/>
  <c r="B57" i="36"/>
  <c r="B82" i="36"/>
  <c r="C82" i="36" s="1"/>
  <c r="A82" i="19" s="1"/>
  <c r="B118" i="36"/>
  <c r="B130" i="36"/>
  <c r="B214" i="36"/>
  <c r="C214" i="36" s="1"/>
  <c r="A214" i="19" s="1"/>
  <c r="B238" i="36"/>
  <c r="C238" i="36" s="1"/>
  <c r="A238" i="19" s="1"/>
  <c r="B250" i="36"/>
  <c r="C250" i="36" s="1"/>
  <c r="A250" i="19" s="1"/>
  <c r="A371" i="19"/>
  <c r="A395" i="19"/>
  <c r="A443" i="19"/>
  <c r="A455" i="19"/>
  <c r="A479" i="19"/>
  <c r="A491" i="19"/>
  <c r="A599" i="19"/>
  <c r="A623" i="19"/>
  <c r="A671" i="19"/>
  <c r="A683" i="19"/>
  <c r="A695" i="19"/>
  <c r="A719" i="19"/>
  <c r="A755" i="19"/>
  <c r="A803" i="19"/>
  <c r="A838" i="19"/>
  <c r="A850" i="19"/>
  <c r="A862" i="19"/>
  <c r="A874" i="19"/>
  <c r="A885" i="19"/>
  <c r="A945" i="19"/>
  <c r="B45" i="36"/>
  <c r="C45" i="36" s="1"/>
  <c r="A45" i="19" s="1"/>
  <c r="B58" i="36"/>
  <c r="B107" i="36"/>
  <c r="B119" i="36"/>
  <c r="B131" i="36"/>
  <c r="B191" i="36"/>
  <c r="C191" i="36" s="1"/>
  <c r="A191" i="19" s="1"/>
  <c r="B227" i="36"/>
  <c r="C227" i="36" s="1"/>
  <c r="A227" i="19" s="1"/>
  <c r="A408" i="19"/>
  <c r="A468" i="19"/>
  <c r="A588" i="19"/>
  <c r="A768" i="19"/>
  <c r="A792" i="19"/>
  <c r="A851" i="19"/>
  <c r="A946" i="19"/>
  <c r="A958" i="19"/>
  <c r="W971" i="19"/>
  <c r="W966" i="19"/>
  <c r="W949" i="19"/>
  <c r="W928" i="19"/>
  <c r="W907" i="19"/>
  <c r="W869" i="19"/>
  <c r="W980" i="19"/>
  <c r="W969" i="19"/>
  <c r="W959" i="19"/>
  <c r="W955" i="19"/>
  <c r="W945" i="19"/>
  <c r="W939" i="19"/>
  <c r="W925" i="19"/>
  <c r="W894" i="19"/>
  <c r="W884" i="19"/>
  <c r="W879" i="19"/>
  <c r="W874" i="19"/>
  <c r="W818" i="19"/>
  <c r="W797" i="19"/>
  <c r="W793" i="19"/>
  <c r="W789" i="19"/>
  <c r="W781" i="19"/>
  <c r="W774" i="19"/>
  <c r="W763" i="19"/>
  <c r="W755" i="19"/>
  <c r="W747" i="19"/>
  <c r="W703" i="19"/>
  <c r="W666" i="19"/>
  <c r="W660" i="19"/>
  <c r="W628" i="19"/>
  <c r="W595" i="19"/>
  <c r="W590" i="19"/>
  <c r="W585" i="19"/>
  <c r="W581" i="19"/>
  <c r="W570" i="19"/>
  <c r="W552" i="19"/>
  <c r="W538" i="19"/>
  <c r="W532" i="19"/>
  <c r="W521" i="19"/>
  <c r="W514" i="19"/>
  <c r="W504" i="19"/>
  <c r="W963" i="19"/>
  <c r="W929" i="19"/>
  <c r="W914" i="19"/>
  <c r="W903" i="19"/>
  <c r="W899" i="19"/>
  <c r="W854" i="19"/>
  <c r="W844" i="19"/>
  <c r="W840" i="19"/>
  <c r="W836" i="19"/>
  <c r="W785" i="19"/>
  <c r="W731" i="19"/>
  <c r="W950" i="19"/>
  <c r="W933" i="19"/>
  <c r="W858" i="19"/>
  <c r="W849" i="19"/>
  <c r="W808" i="19"/>
  <c r="W803" i="19"/>
  <c r="W738" i="19"/>
  <c r="W694" i="19"/>
  <c r="W690" i="19"/>
  <c r="W675" i="19"/>
  <c r="W654" i="19"/>
  <c r="W643" i="19"/>
  <c r="W563" i="19"/>
  <c r="W544" i="19"/>
  <c r="W526" i="19"/>
  <c r="W508" i="19"/>
  <c r="W499" i="19"/>
  <c r="W472" i="19"/>
  <c r="W968" i="19"/>
  <c r="W958" i="19"/>
  <c r="W954" i="19"/>
  <c r="W944" i="19"/>
  <c r="W938" i="19"/>
  <c r="W893" i="19"/>
  <c r="W883" i="19"/>
  <c r="W878" i="19"/>
  <c r="W868" i="19"/>
  <c r="W823" i="19"/>
  <c r="W816" i="19"/>
  <c r="W796" i="19"/>
  <c r="W792" i="19"/>
  <c r="W788" i="19"/>
  <c r="W777" i="19"/>
  <c r="W761" i="19"/>
  <c r="W753" i="19"/>
  <c r="W745" i="19"/>
  <c r="W701" i="19"/>
  <c r="W698" i="19"/>
  <c r="W670" i="19"/>
  <c r="W665" i="19"/>
  <c r="W659" i="19"/>
  <c r="W978" i="19"/>
  <c r="W923" i="19"/>
  <c r="W906" i="19"/>
  <c r="W872" i="19"/>
  <c r="W857" i="19"/>
  <c r="W807" i="19"/>
  <c r="W802" i="19"/>
  <c r="W772" i="19"/>
  <c r="W693" i="19"/>
  <c r="W652" i="19"/>
  <c r="W642" i="19"/>
  <c r="W579" i="19"/>
  <c r="W561" i="19"/>
  <c r="W542" i="19"/>
  <c r="W511" i="19"/>
  <c r="W477" i="19"/>
  <c r="W471" i="19"/>
  <c r="W458" i="19"/>
  <c r="W452" i="19"/>
  <c r="W439" i="19"/>
  <c r="W421" i="19"/>
  <c r="W411" i="19"/>
  <c r="W406" i="19"/>
  <c r="W394" i="19"/>
  <c r="W388" i="19"/>
  <c r="W370" i="19"/>
  <c r="W353" i="19"/>
  <c r="W349" i="19"/>
  <c r="W326" i="19"/>
  <c r="W321" i="19"/>
  <c r="W310" i="19"/>
  <c r="W295" i="19"/>
  <c r="W982" i="19"/>
  <c r="W957" i="19"/>
  <c r="W953" i="19"/>
  <c r="W943" i="19"/>
  <c r="W927" i="19"/>
  <c r="W892" i="19"/>
  <c r="W887" i="19"/>
  <c r="W881" i="19"/>
  <c r="W877" i="19"/>
  <c r="W867" i="19"/>
  <c r="W833" i="19"/>
  <c r="W821" i="19"/>
  <c r="W814" i="19"/>
  <c r="W795" i="19"/>
  <c r="W791" i="19"/>
  <c r="W776" i="19"/>
  <c r="W760" i="19"/>
  <c r="W751" i="19"/>
  <c r="W743" i="19"/>
  <c r="W726" i="19"/>
  <c r="W706" i="19"/>
  <c r="W697" i="19"/>
  <c r="W681" i="19"/>
  <c r="W669" i="19"/>
  <c r="W663" i="19"/>
  <c r="W657" i="19"/>
  <c r="W630" i="19"/>
  <c r="W614" i="19"/>
  <c r="W593" i="19"/>
  <c r="W588" i="19"/>
  <c r="W583" i="19"/>
  <c r="W573" i="19"/>
  <c r="W567" i="19"/>
  <c r="W554" i="19"/>
  <c r="W549" i="19"/>
  <c r="W534" i="19"/>
  <c r="W516" i="19"/>
  <c r="W961" i="19"/>
  <c r="W931" i="19"/>
  <c r="W916" i="19"/>
  <c r="W912" i="19"/>
  <c r="W901" i="19"/>
  <c r="W896" i="19"/>
  <c r="W852" i="19"/>
  <c r="W847" i="19"/>
  <c r="W842" i="19"/>
  <c r="W838" i="19"/>
  <c r="W828" i="19"/>
  <c r="W766" i="19"/>
  <c r="W735" i="19"/>
  <c r="W976" i="19"/>
  <c r="W965" i="19"/>
  <c r="W936" i="19"/>
  <c r="W922" i="19"/>
  <c r="W905" i="19"/>
  <c r="W871" i="19"/>
  <c r="W856" i="19"/>
  <c r="W806" i="19"/>
  <c r="W801" i="19"/>
  <c r="W771" i="19"/>
  <c r="W692" i="19"/>
  <c r="W677" i="19"/>
  <c r="W438" i="19"/>
  <c r="W368" i="19"/>
  <c r="W309" i="19"/>
  <c r="W981" i="19"/>
  <c r="W970" i="19"/>
  <c r="W956" i="19"/>
  <c r="W946" i="19"/>
  <c r="W941" i="19"/>
  <c r="W926" i="19"/>
  <c r="W886" i="19"/>
  <c r="W880" i="19"/>
  <c r="W876" i="19"/>
  <c r="W820" i="19"/>
  <c r="W812" i="19"/>
  <c r="W798" i="19"/>
  <c r="W794" i="19"/>
  <c r="W790" i="19"/>
  <c r="W782" i="19"/>
  <c r="W775" i="19"/>
  <c r="W758" i="19"/>
  <c r="W749" i="19"/>
  <c r="W724" i="19"/>
  <c r="W704" i="19"/>
  <c r="W683" i="19"/>
  <c r="W680" i="19"/>
  <c r="W668" i="19"/>
  <c r="W662" i="19"/>
  <c r="W656" i="19"/>
  <c r="W930" i="19"/>
  <c r="W915" i="19"/>
  <c r="W911" i="19"/>
  <c r="W900" i="19"/>
  <c r="W846" i="19"/>
  <c r="W841" i="19"/>
  <c r="W837" i="19"/>
  <c r="W827" i="19"/>
  <c r="W786" i="19"/>
  <c r="W779" i="19"/>
  <c r="W733" i="19"/>
  <c r="W722" i="19"/>
  <c r="W717" i="19"/>
  <c r="W711" i="19"/>
  <c r="W687" i="19"/>
  <c r="W672" i="19"/>
  <c r="W640" i="19"/>
  <c r="W634" i="19"/>
  <c r="W622" i="19"/>
  <c r="W617" i="19"/>
  <c r="W606" i="19"/>
  <c r="W601" i="19"/>
  <c r="W975" i="19"/>
  <c r="W951" i="19"/>
  <c r="W934" i="19"/>
  <c r="W921" i="19"/>
  <c r="W890" i="19"/>
  <c r="W864" i="19"/>
  <c r="W859" i="19"/>
  <c r="W831" i="19"/>
  <c r="W804" i="19"/>
  <c r="W770" i="19"/>
  <c r="W740" i="19"/>
  <c r="W695" i="19"/>
  <c r="W691" i="19"/>
  <c r="W676" i="19"/>
  <c r="W650" i="19"/>
  <c r="W577" i="19"/>
  <c r="W41" i="19"/>
  <c r="W62" i="19"/>
  <c r="W94" i="19"/>
  <c r="W99" i="19"/>
  <c r="W311" i="19"/>
  <c r="W347" i="19"/>
  <c r="W380" i="19"/>
  <c r="W401" i="19"/>
  <c r="W409" i="19"/>
  <c r="W446" i="19"/>
  <c r="W466" i="19"/>
  <c r="W493" i="19"/>
  <c r="W522" i="19"/>
  <c r="W673" i="19"/>
  <c r="W720" i="19"/>
  <c r="W27" i="19"/>
  <c r="W47" i="19"/>
  <c r="W69" i="19"/>
  <c r="W84" i="19"/>
  <c r="W119" i="19"/>
  <c r="W124" i="19"/>
  <c r="W140" i="19"/>
  <c r="W149" i="19"/>
  <c r="W154" i="19"/>
  <c r="W176" i="19"/>
  <c r="W180" i="19"/>
  <c r="W198" i="19"/>
  <c r="W208" i="19"/>
  <c r="W213" i="19"/>
  <c r="W226" i="19"/>
  <c r="W231" i="19"/>
  <c r="W242" i="19"/>
  <c r="W257" i="19"/>
  <c r="W268" i="19"/>
  <c r="W273" i="19"/>
  <c r="W282" i="19"/>
  <c r="W286" i="19"/>
  <c r="W317" i="19"/>
  <c r="W341" i="19"/>
  <c r="W389" i="19"/>
  <c r="W454" i="19"/>
  <c r="W513" i="19"/>
  <c r="W608" i="19"/>
  <c r="W639" i="19"/>
  <c r="W714" i="19"/>
  <c r="W897" i="19"/>
  <c r="W404" i="19"/>
  <c r="W469" i="19"/>
  <c r="W23" i="19"/>
  <c r="W53" i="19"/>
  <c r="W58" i="19"/>
  <c r="W109" i="19"/>
  <c r="W145" i="19"/>
  <c r="W165" i="19"/>
  <c r="W203" i="19"/>
  <c r="W220" i="19"/>
  <c r="W237" i="19"/>
  <c r="W264" i="19"/>
  <c r="W278" i="19"/>
  <c r="W291" i="19"/>
  <c r="W306" i="19"/>
  <c r="W324" i="19"/>
  <c r="W336" i="19"/>
  <c r="W372" i="19"/>
  <c r="W415" i="19"/>
  <c r="W440" i="19"/>
  <c r="W483" i="19"/>
  <c r="W487" i="19"/>
  <c r="W536" i="19"/>
  <c r="W602" i="19"/>
  <c r="W620" i="19"/>
  <c r="W633" i="19"/>
  <c r="W645" i="19"/>
  <c r="W686" i="19"/>
  <c r="W918" i="19"/>
  <c r="W294" i="19"/>
  <c r="W352" i="19"/>
  <c r="W420" i="19"/>
  <c r="W37" i="19"/>
  <c r="W42" i="19"/>
  <c r="W95" i="19"/>
  <c r="W100" i="19"/>
  <c r="W105" i="19"/>
  <c r="W296" i="19"/>
  <c r="W302" i="19"/>
  <c r="W312" i="19"/>
  <c r="W382" i="19"/>
  <c r="W447" i="19"/>
  <c r="W494" i="19"/>
  <c r="W519" i="19"/>
  <c r="W546" i="19"/>
  <c r="W553" i="19"/>
  <c r="W589" i="19"/>
  <c r="W596" i="19"/>
  <c r="W598" i="19"/>
  <c r="W721" i="19"/>
  <c r="W767" i="19"/>
  <c r="W853" i="19"/>
  <c r="W28" i="19"/>
  <c r="W70" i="19"/>
  <c r="W80" i="19"/>
  <c r="W85" i="19"/>
  <c r="W90" i="19"/>
  <c r="W115" i="19"/>
  <c r="W120" i="19"/>
  <c r="W125" i="19"/>
  <c r="W136" i="19"/>
  <c r="W141" i="19"/>
  <c r="W150" i="19"/>
  <c r="W155" i="19"/>
  <c r="W160" i="19"/>
  <c r="W172" i="19"/>
  <c r="W177" i="19"/>
  <c r="W182" i="19"/>
  <c r="W193" i="19"/>
  <c r="W199" i="19"/>
  <c r="W209" i="19"/>
  <c r="W215" i="19"/>
  <c r="W228" i="19"/>
  <c r="W243" i="19"/>
  <c r="W253" i="19"/>
  <c r="W258" i="19"/>
  <c r="W269" i="19"/>
  <c r="W274" i="19"/>
  <c r="W283" i="19"/>
  <c r="W319" i="19"/>
  <c r="W331" i="19"/>
  <c r="W342" i="19"/>
  <c r="W365" i="19"/>
  <c r="W391" i="19"/>
  <c r="W435" i="19"/>
  <c r="W456" i="19"/>
  <c r="W506" i="19"/>
  <c r="W531" i="19"/>
  <c r="W569" i="19"/>
  <c r="W582" i="19"/>
  <c r="W609" i="19"/>
  <c r="W615" i="19"/>
  <c r="W715" i="19"/>
  <c r="W972" i="19"/>
  <c r="W325" i="19"/>
  <c r="W393" i="19"/>
  <c r="W457" i="19"/>
  <c r="W651" i="19"/>
  <c r="W54" i="19"/>
  <c r="W75" i="19"/>
  <c r="W110" i="19"/>
  <c r="W131" i="19"/>
  <c r="W146" i="19"/>
  <c r="W166" i="19"/>
  <c r="W188" i="19"/>
  <c r="W204" i="19"/>
  <c r="W222" i="19"/>
  <c r="W248" i="19"/>
  <c r="W265" i="19"/>
  <c r="W279" i="19"/>
  <c r="W292" i="19"/>
  <c r="W307" i="19"/>
  <c r="W354" i="19"/>
  <c r="W359" i="19"/>
  <c r="W374" i="19"/>
  <c r="W416" i="19"/>
  <c r="W422" i="19"/>
  <c r="W430" i="19"/>
  <c r="W442" i="19"/>
  <c r="W484" i="19"/>
  <c r="W488" i="19"/>
  <c r="W603" i="19"/>
  <c r="W621" i="19"/>
  <c r="W709" i="19"/>
  <c r="W913" i="19"/>
  <c r="W410" i="19"/>
  <c r="W475" i="19"/>
  <c r="W510" i="19"/>
  <c r="W38" i="19"/>
  <c r="W43" i="19"/>
  <c r="W49" i="19"/>
  <c r="W96" i="19"/>
  <c r="W288" i="19"/>
  <c r="W298" i="19"/>
  <c r="W303" i="19"/>
  <c r="W384" i="19"/>
  <c r="W399" i="19"/>
  <c r="W449" i="19"/>
  <c r="W464" i="19"/>
  <c r="W495" i="19"/>
  <c r="W500" i="19"/>
  <c r="W515" i="19"/>
  <c r="W599" i="19"/>
  <c r="W299" i="19"/>
  <c r="W356" i="19"/>
  <c r="W426" i="19"/>
  <c r="W25" i="19"/>
  <c r="W29" i="19"/>
  <c r="W34" i="19"/>
  <c r="W67" i="19"/>
  <c r="W71" i="19"/>
  <c r="W81" i="19"/>
  <c r="W86" i="19"/>
  <c r="W91" i="19"/>
  <c r="W116" i="19"/>
  <c r="W121" i="19"/>
  <c r="W126" i="19"/>
  <c r="W137" i="19"/>
  <c r="W142" i="19"/>
  <c r="W151" i="19"/>
  <c r="W174" i="19"/>
  <c r="W178" i="19"/>
  <c r="W183" i="19"/>
  <c r="W195" i="19"/>
  <c r="W200" i="19"/>
  <c r="W210" i="19"/>
  <c r="W229" i="19"/>
  <c r="W240" i="19"/>
  <c r="W244" i="19"/>
  <c r="W255" i="19"/>
  <c r="W260" i="19"/>
  <c r="W270" i="19"/>
  <c r="W284" i="19"/>
  <c r="W339" i="19"/>
  <c r="W350" i="19"/>
  <c r="W366" i="19"/>
  <c r="W436" i="19"/>
  <c r="W629" i="19"/>
  <c r="W636" i="19"/>
  <c r="W647" i="19"/>
  <c r="W688" i="19"/>
  <c r="W31" i="19"/>
  <c r="W44" i="19"/>
  <c r="W59" i="19"/>
  <c r="W73" i="19"/>
  <c r="W87" i="19"/>
  <c r="W56" i="19"/>
  <c r="W76" i="19"/>
  <c r="W107" i="19"/>
  <c r="W111" i="19"/>
  <c r="W132" i="19"/>
  <c r="W147" i="19"/>
  <c r="W167" i="19"/>
  <c r="W189" i="19"/>
  <c r="W205" i="19"/>
  <c r="W235" i="19"/>
  <c r="W249" i="19"/>
  <c r="W266" i="19"/>
  <c r="W293" i="19"/>
  <c r="W355" i="19"/>
  <c r="W360" i="19"/>
  <c r="W424" i="19"/>
  <c r="W431" i="19"/>
  <c r="W480" i="19"/>
  <c r="W485" i="19"/>
  <c r="W489" i="19"/>
  <c r="W555" i="19"/>
  <c r="W604" i="19"/>
  <c r="W784" i="19"/>
  <c r="W829" i="19"/>
  <c r="W843" i="19"/>
  <c r="W40" i="19"/>
  <c r="W61" i="19"/>
  <c r="W98" i="19"/>
  <c r="W162" i="19"/>
  <c r="W289" i="19"/>
  <c r="W304" i="19"/>
  <c r="W327" i="19"/>
  <c r="W334" i="19"/>
  <c r="W345" i="19"/>
  <c r="W400" i="19"/>
  <c r="W407" i="19"/>
  <c r="W465" i="19"/>
  <c r="W492" i="19"/>
  <c r="W496" i="19"/>
  <c r="W527" i="19"/>
  <c r="W533" i="19"/>
  <c r="W571" i="19"/>
  <c r="W584" i="19"/>
  <c r="W600" i="19"/>
  <c r="W719" i="19"/>
  <c r="W962" i="19"/>
  <c r="W33" i="19"/>
  <c r="W89" i="19"/>
  <c r="W560" i="19"/>
  <c r="W26" i="19"/>
  <c r="W30" i="19"/>
  <c r="W35" i="19"/>
  <c r="W68" i="19"/>
  <c r="W72" i="19"/>
  <c r="W83" i="19"/>
  <c r="W103" i="19"/>
  <c r="W118" i="19"/>
  <c r="W123" i="19"/>
  <c r="W127" i="19"/>
  <c r="W139" i="19"/>
  <c r="W152" i="19"/>
  <c r="W175" i="19"/>
  <c r="W179" i="19"/>
  <c r="W184" i="19"/>
  <c r="W196" i="19"/>
  <c r="W212" i="19"/>
  <c r="W225" i="19"/>
  <c r="W230" i="19"/>
  <c r="W241" i="19"/>
  <c r="W245" i="19"/>
  <c r="W256" i="19"/>
  <c r="W271" i="19"/>
  <c r="W281" i="19"/>
  <c r="W285" i="19"/>
  <c r="W316" i="19"/>
  <c r="W340" i="19"/>
  <c r="W351" i="19"/>
  <c r="W418" i="19"/>
  <c r="W550" i="19"/>
  <c r="W587" i="19"/>
  <c r="W594" i="19"/>
  <c r="W623" i="19"/>
  <c r="W638" i="19"/>
  <c r="W712" i="19"/>
  <c r="W862" i="19"/>
  <c r="W902" i="19"/>
  <c r="W48" i="19"/>
  <c r="W104" i="19"/>
  <c r="W290" i="19"/>
  <c r="W348" i="19"/>
  <c r="W578" i="19"/>
  <c r="W52" i="19"/>
  <c r="W57" i="19"/>
  <c r="W77" i="19"/>
  <c r="W108" i="19"/>
  <c r="W113" i="19"/>
  <c r="W133" i="19"/>
  <c r="W158" i="19"/>
  <c r="W169" i="19"/>
  <c r="W190" i="19"/>
  <c r="W219" i="19"/>
  <c r="W236" i="19"/>
  <c r="W251" i="19"/>
  <c r="W277" i="19"/>
  <c r="W322" i="19"/>
  <c r="W362" i="19"/>
  <c r="W396" i="19"/>
  <c r="W414" i="19"/>
  <c r="W432" i="19"/>
  <c r="W460" i="19"/>
  <c r="W473" i="19"/>
  <c r="W481" i="19"/>
  <c r="W486" i="19"/>
  <c r="W490" i="19"/>
  <c r="W509" i="19"/>
  <c r="W565" i="19"/>
  <c r="W612" i="19"/>
  <c r="W618" i="19"/>
  <c r="W685" i="19"/>
  <c r="W839" i="19"/>
  <c r="W65" i="19"/>
  <c r="W501" i="19"/>
  <c r="W528" i="19"/>
  <c r="W24" i="19"/>
  <c r="W36" i="19"/>
  <c r="W51" i="19"/>
  <c r="W66" i="19"/>
  <c r="W79" i="19"/>
  <c r="W93" i="19"/>
  <c r="W106" i="19"/>
  <c r="W134" i="19"/>
  <c r="W148" i="19"/>
  <c r="W161" i="19"/>
  <c r="W192" i="19"/>
  <c r="W207" i="19"/>
  <c r="W224" i="19"/>
  <c r="W239" i="19"/>
  <c r="W252" i="19"/>
  <c r="W267" i="19"/>
  <c r="W280" i="19"/>
  <c r="W305" i="19"/>
  <c r="W320" i="19"/>
  <c r="W335" i="19"/>
  <c r="W363" i="19"/>
  <c r="W386" i="19"/>
  <c r="W403" i="19"/>
  <c r="W417" i="19"/>
  <c r="W433" i="19"/>
  <c r="W451" i="19"/>
  <c r="W467" i="19"/>
  <c r="W505" i="19"/>
  <c r="W530" i="19"/>
  <c r="W548" i="19"/>
  <c r="W564" i="19"/>
  <c r="W580" i="19"/>
  <c r="W616" i="19"/>
  <c r="W632" i="19"/>
  <c r="W646" i="19"/>
  <c r="W689" i="19"/>
  <c r="W728" i="19"/>
  <c r="W866" i="19"/>
  <c r="W164" i="19"/>
  <c r="W337" i="19"/>
  <c r="W507" i="19"/>
  <c r="W649" i="19"/>
  <c r="W678" i="19"/>
  <c r="W700" i="19"/>
  <c r="W773" i="19"/>
  <c r="W855" i="19"/>
  <c r="W895" i="19"/>
  <c r="W909" i="19"/>
  <c r="W737" i="19"/>
  <c r="W870" i="19"/>
  <c r="W101" i="19"/>
  <c r="W114" i="19"/>
  <c r="W129" i="19"/>
  <c r="W143" i="19"/>
  <c r="W156" i="19"/>
  <c r="W171" i="19"/>
  <c r="W186" i="19"/>
  <c r="W201" i="19"/>
  <c r="W216" i="19"/>
  <c r="W232" i="19"/>
  <c r="W246" i="19"/>
  <c r="W262" i="19"/>
  <c r="W275" i="19"/>
  <c r="W287" i="19"/>
  <c r="W300" i="19"/>
  <c r="W314" i="19"/>
  <c r="W329" i="19"/>
  <c r="W344" i="19"/>
  <c r="W357" i="19"/>
  <c r="W376" i="19"/>
  <c r="W397" i="19"/>
  <c r="W412" i="19"/>
  <c r="W427" i="19"/>
  <c r="W444" i="19"/>
  <c r="W461" i="19"/>
  <c r="W478" i="19"/>
  <c r="W497" i="19"/>
  <c r="W517" i="19"/>
  <c r="W523" i="19"/>
  <c r="W539" i="19"/>
  <c r="W557" i="19"/>
  <c r="W574" i="19"/>
  <c r="W591" i="19"/>
  <c r="W610" i="19"/>
  <c r="W624" i="19"/>
  <c r="W641" i="19"/>
  <c r="W655" i="19"/>
  <c r="W671" i="19"/>
  <c r="W684" i="19"/>
  <c r="W696" i="19"/>
  <c r="W707" i="19"/>
  <c r="W741" i="19"/>
  <c r="W764" i="19"/>
  <c r="W778" i="19"/>
  <c r="W799" i="19"/>
  <c r="W809" i="19"/>
  <c r="W825" i="19"/>
  <c r="W834" i="19"/>
  <c r="W848" i="19"/>
  <c r="W860" i="19"/>
  <c r="W873" i="19"/>
  <c r="W888" i="19"/>
  <c r="W32" i="19"/>
  <c r="W46" i="19"/>
  <c r="W60" i="19"/>
  <c r="W74" i="19"/>
  <c r="W88" i="19"/>
  <c r="W102" i="19"/>
  <c r="W130" i="19"/>
  <c r="W144" i="19"/>
  <c r="W157" i="19"/>
  <c r="W187" i="19"/>
  <c r="W202" i="19"/>
  <c r="W217" i="19"/>
  <c r="W233" i="19"/>
  <c r="W247" i="19"/>
  <c r="W263" i="19"/>
  <c r="W276" i="19"/>
  <c r="W301" i="19"/>
  <c r="W315" i="19"/>
  <c r="W330" i="19"/>
  <c r="W358" i="19"/>
  <c r="W378" i="19"/>
  <c r="W398" i="19"/>
  <c r="W413" i="19"/>
  <c r="W429" i="19"/>
  <c r="W445" i="19"/>
  <c r="W462" i="19"/>
  <c r="W498" i="19"/>
  <c r="W518" i="19"/>
  <c r="W524" i="19"/>
  <c r="W540" i="19"/>
  <c r="W558" i="19"/>
  <c r="W575" i="19"/>
  <c r="W611" i="19"/>
  <c r="W626" i="19"/>
  <c r="W861" i="19"/>
  <c r="W889" i="19"/>
  <c r="W850" i="19"/>
  <c r="W159" i="19"/>
  <c r="W332" i="19"/>
  <c r="W503" i="19"/>
  <c r="W644" i="19"/>
  <c r="W674" i="19"/>
  <c r="W769" i="19"/>
  <c r="W783" i="19"/>
  <c r="W851" i="19"/>
  <c r="W863" i="19"/>
  <c r="W891" i="19"/>
  <c r="W904" i="19"/>
  <c r="W830" i="19"/>
  <c r="W920" i="19"/>
  <c r="W932" i="19"/>
  <c r="W948" i="19"/>
  <c r="W960" i="19"/>
  <c r="W974" i="19"/>
  <c r="W924" i="19"/>
  <c r="W937" i="19"/>
  <c r="W952" i="19"/>
  <c r="W964" i="19"/>
  <c r="W979" i="19"/>
  <c r="AM24" i="19"/>
  <c r="AM28" i="19"/>
  <c r="AP139" i="19"/>
  <c r="AP109" i="19"/>
  <c r="AP48" i="19"/>
  <c r="AP96" i="19"/>
  <c r="AP130" i="19"/>
  <c r="AP134" i="19"/>
  <c r="AP140" i="19"/>
  <c r="AP34" i="19"/>
  <c r="AP43" i="19"/>
  <c r="AP83" i="19"/>
  <c r="AM23" i="19"/>
  <c r="AM27" i="19"/>
  <c r="AP51" i="19"/>
  <c r="AP56" i="19"/>
  <c r="AP89" i="19"/>
  <c r="AP171" i="19"/>
  <c r="AS49" i="19"/>
  <c r="AS29" i="19"/>
  <c r="AP42" i="19"/>
  <c r="AP81" i="19"/>
  <c r="AP166" i="19"/>
  <c r="AP203" i="19"/>
  <c r="AP758" i="19"/>
  <c r="AS159" i="19"/>
  <c r="AP30" i="19"/>
  <c r="AP59" i="19"/>
  <c r="AP65" i="19"/>
  <c r="AP102" i="19"/>
  <c r="AP106" i="19"/>
  <c r="AP110" i="19"/>
  <c r="AP145" i="19"/>
  <c r="AP149" i="19"/>
  <c r="AP154" i="19"/>
  <c r="AP200" i="19"/>
  <c r="AP28" i="19"/>
  <c r="AP33" i="19"/>
  <c r="AS34" i="19"/>
  <c r="AS157" i="19"/>
  <c r="AS164" i="19"/>
  <c r="AS169" i="19"/>
  <c r="AS179" i="19"/>
  <c r="AS26" i="19"/>
  <c r="AP31" i="19"/>
  <c r="AP49" i="19"/>
  <c r="AP88" i="19"/>
  <c r="AP93" i="19"/>
  <c r="AP98" i="19"/>
  <c r="AP131" i="19"/>
  <c r="AP136" i="19"/>
  <c r="AP141" i="19"/>
  <c r="AP175" i="19"/>
  <c r="AP184" i="19"/>
  <c r="AS31" i="19"/>
  <c r="AS43" i="19"/>
  <c r="AP69" i="19"/>
  <c r="AS85" i="19"/>
  <c r="AS111" i="19"/>
  <c r="AS172" i="19"/>
  <c r="AS76" i="19"/>
  <c r="AS104" i="19"/>
  <c r="AS141" i="19"/>
  <c r="AS147" i="19"/>
  <c r="AP192" i="19"/>
  <c r="AS37" i="19"/>
  <c r="AS51" i="19"/>
  <c r="AP35" i="19"/>
  <c r="AP74" i="19"/>
  <c r="AP84" i="19"/>
  <c r="AP126" i="19"/>
  <c r="AP159" i="19"/>
  <c r="AP164" i="19"/>
  <c r="AP210" i="19"/>
  <c r="AP60" i="19"/>
  <c r="AP66" i="19"/>
  <c r="AP70" i="19"/>
  <c r="AP103" i="19"/>
  <c r="AP107" i="19"/>
  <c r="AP111" i="19"/>
  <c r="AP146" i="19"/>
  <c r="AP150" i="19"/>
  <c r="AP155" i="19"/>
  <c r="AP190" i="19"/>
  <c r="AP196" i="19"/>
  <c r="AP239" i="19"/>
  <c r="AP27" i="19"/>
  <c r="AS28" i="19"/>
  <c r="AS36" i="19"/>
  <c r="AS46" i="19"/>
  <c r="AP52" i="19"/>
  <c r="AS132" i="19"/>
  <c r="AP151" i="19"/>
  <c r="AP54" i="19"/>
  <c r="AP124" i="19"/>
  <c r="AS301" i="19"/>
  <c r="AP116" i="19"/>
  <c r="AP75" i="19"/>
  <c r="AP118" i="19"/>
  <c r="AP156" i="19"/>
  <c r="AP202" i="19"/>
  <c r="AS42" i="19"/>
  <c r="AS52" i="19"/>
  <c r="AS71" i="19"/>
  <c r="AS186" i="19"/>
  <c r="AP76" i="19"/>
  <c r="AP86" i="19"/>
  <c r="AP114" i="19"/>
  <c r="AP119" i="19"/>
  <c r="AP157" i="19"/>
  <c r="AP161" i="19"/>
  <c r="AP208" i="19"/>
  <c r="AP79" i="19"/>
  <c r="AP121" i="19"/>
  <c r="AP205" i="19"/>
  <c r="AP36" i="19"/>
  <c r="AP85" i="19"/>
  <c r="AP123" i="19"/>
  <c r="AP165" i="19"/>
  <c r="AP207" i="19"/>
  <c r="AP61" i="19"/>
  <c r="AP67" i="19"/>
  <c r="AP71" i="19"/>
  <c r="AP104" i="19"/>
  <c r="AP108" i="19"/>
  <c r="AP113" i="19"/>
  <c r="AP143" i="19"/>
  <c r="AP147" i="19"/>
  <c r="AP198" i="19"/>
  <c r="AP240" i="19"/>
  <c r="AS30" i="19"/>
  <c r="AP41" i="19"/>
  <c r="AP44" i="19"/>
  <c r="AS62" i="19"/>
  <c r="AS154" i="19"/>
  <c r="AS180" i="19"/>
  <c r="AS25" i="19"/>
  <c r="AP32" i="19"/>
  <c r="AP80" i="19"/>
  <c r="AP127" i="19"/>
  <c r="AP160" i="19"/>
  <c r="AP57" i="19"/>
  <c r="AP90" i="19"/>
  <c r="AP95" i="19"/>
  <c r="AP100" i="19"/>
  <c r="AP129" i="19"/>
  <c r="AP133" i="19"/>
  <c r="AP172" i="19"/>
  <c r="AP177" i="19"/>
  <c r="AP182" i="19"/>
  <c r="AP225" i="19"/>
  <c r="AP47" i="19"/>
  <c r="AS48" i="19"/>
  <c r="AS99" i="19"/>
  <c r="AS126" i="19"/>
  <c r="AS167" i="19"/>
  <c r="AS178" i="19"/>
  <c r="AS35" i="19"/>
  <c r="AP37" i="19"/>
  <c r="AS44" i="19"/>
  <c r="AS133" i="19"/>
  <c r="AS228" i="19"/>
  <c r="AS316" i="19"/>
  <c r="AP40" i="19"/>
  <c r="AS57" i="19"/>
  <c r="AS90" i="19"/>
  <c r="AS118" i="19"/>
  <c r="AS146" i="19"/>
  <c r="AS222" i="19"/>
  <c r="AS295" i="19"/>
  <c r="AS311" i="19"/>
  <c r="AS461" i="19"/>
  <c r="AS58" i="19"/>
  <c r="AS72" i="19"/>
  <c r="AS86" i="19"/>
  <c r="AS95" i="19"/>
  <c r="AS100" i="19"/>
  <c r="AS257" i="19"/>
  <c r="AS265" i="19"/>
  <c r="AS458" i="19"/>
  <c r="AP101" i="19"/>
  <c r="AP105" i="19"/>
  <c r="AP193" i="19"/>
  <c r="AS158" i="19"/>
  <c r="AS166" i="19"/>
  <c r="AS429" i="19"/>
  <c r="AS176" i="19"/>
  <c r="AS224" i="19"/>
  <c r="AP87" i="19"/>
  <c r="AP91" i="19"/>
  <c r="AP29" i="19"/>
  <c r="AS209" i="19"/>
  <c r="AS449" i="19"/>
  <c r="AP73" i="19"/>
  <c r="AP77" i="19"/>
  <c r="AP115" i="19"/>
  <c r="AP120" i="19"/>
  <c r="AP125" i="19"/>
  <c r="AP144" i="19"/>
  <c r="AP148" i="19"/>
  <c r="AP152" i="19"/>
  <c r="AS171" i="19"/>
  <c r="AS183" i="19"/>
  <c r="AS205" i="19"/>
  <c r="AS216" i="19"/>
  <c r="AS269" i="19"/>
  <c r="AS202" i="19"/>
  <c r="AS219" i="19"/>
  <c r="AS271" i="19"/>
  <c r="AS310" i="19"/>
  <c r="AS438" i="19"/>
  <c r="AS195" i="19"/>
  <c r="AS212" i="19"/>
  <c r="AS243" i="19"/>
  <c r="AS307" i="19"/>
  <c r="AS413" i="19"/>
  <c r="AS488" i="19"/>
  <c r="AS490" i="19"/>
  <c r="AS247" i="19"/>
  <c r="AS294" i="19"/>
  <c r="AS304" i="19"/>
  <c r="AS317" i="19"/>
  <c r="AS322" i="19"/>
  <c r="AS332" i="19"/>
  <c r="AS409" i="19"/>
  <c r="AS208" i="19"/>
  <c r="AS225" i="19"/>
  <c r="AP94" i="19"/>
  <c r="AP99" i="19"/>
  <c r="AP38" i="19"/>
  <c r="AP46" i="19"/>
  <c r="AP53" i="19"/>
  <c r="AS177" i="19"/>
  <c r="AS182" i="19"/>
  <c r="AS249" i="19"/>
  <c r="AS270" i="19"/>
  <c r="AS475" i="19"/>
  <c r="AS478" i="19"/>
  <c r="AP58" i="19"/>
  <c r="AP62" i="19"/>
  <c r="AP68" i="19"/>
  <c r="AP72" i="19"/>
  <c r="AP132" i="19"/>
  <c r="AP137" i="19"/>
  <c r="AP142" i="19"/>
  <c r="AS151" i="19"/>
  <c r="AS291" i="19"/>
  <c r="AS340" i="19"/>
  <c r="AS348" i="19"/>
  <c r="AP158" i="19"/>
  <c r="AP188" i="19"/>
  <c r="AS193" i="19"/>
  <c r="AS217" i="19"/>
  <c r="AP224" i="19"/>
  <c r="AS233" i="19"/>
  <c r="AS240" i="19"/>
  <c r="AS242" i="19"/>
  <c r="AS244" i="19"/>
  <c r="AS282" i="19"/>
  <c r="AS258" i="19"/>
  <c r="AS325" i="19"/>
  <c r="AS432" i="19"/>
  <c r="AS497" i="19"/>
  <c r="AS591" i="19"/>
  <c r="AS237" i="19"/>
  <c r="AS399" i="19"/>
  <c r="AS292" i="19"/>
  <c r="AS319" i="19"/>
  <c r="AS330" i="19"/>
  <c r="AS372" i="19"/>
  <c r="AS382" i="19"/>
  <c r="AS416" i="19"/>
  <c r="AS480" i="19"/>
  <c r="AS264" i="19"/>
  <c r="AS341" i="19"/>
  <c r="AS407" i="19"/>
  <c r="AS465" i="19"/>
  <c r="AS492" i="19"/>
  <c r="AS276" i="19"/>
  <c r="AS309" i="19"/>
  <c r="AS315" i="19"/>
  <c r="AS321" i="19"/>
  <c r="AS324" i="19"/>
  <c r="AS339" i="19"/>
  <c r="AS366" i="19"/>
  <c r="AS389" i="19"/>
  <c r="AS454" i="19"/>
  <c r="AS509" i="19"/>
  <c r="AS503" i="19"/>
  <c r="AS507" i="19"/>
  <c r="AS347" i="19"/>
  <c r="AS226" i="19"/>
  <c r="AS286" i="19"/>
  <c r="AS352" i="19"/>
  <c r="AS207" i="19"/>
  <c r="AS239" i="19"/>
  <c r="AS445" i="19"/>
  <c r="AS471" i="19"/>
  <c r="AS487" i="19"/>
  <c r="AS524" i="19"/>
  <c r="AS593" i="19"/>
  <c r="AS365" i="19"/>
  <c r="AS431" i="19"/>
  <c r="AS499" i="19"/>
  <c r="AS501" i="19"/>
  <c r="AS527" i="19"/>
  <c r="AS433" i="19"/>
  <c r="AS481" i="19"/>
  <c r="AS484" i="19"/>
  <c r="AS518" i="19"/>
  <c r="AS420" i="19"/>
  <c r="AS440" i="19"/>
  <c r="AS452" i="19"/>
  <c r="AS542" i="19"/>
  <c r="AS436" i="19"/>
  <c r="AS506" i="19"/>
  <c r="AS549" i="19"/>
  <c r="AS334" i="19"/>
  <c r="AS362" i="19"/>
  <c r="AS410" i="19"/>
  <c r="AS427" i="19"/>
  <c r="AS444" i="19"/>
  <c r="AS508" i="19"/>
  <c r="AS469" i="19"/>
  <c r="AS498" i="19"/>
  <c r="AS510" i="19"/>
  <c r="AS391" i="19"/>
  <c r="AS400" i="19"/>
  <c r="AS439" i="19"/>
  <c r="AS462" i="19"/>
  <c r="AS472" i="19"/>
  <c r="AS415" i="19"/>
  <c r="AS500" i="19"/>
  <c r="AS574" i="19"/>
  <c r="AS581" i="19"/>
  <c r="AS483" i="19"/>
  <c r="AS641" i="19"/>
  <c r="AS609" i="19"/>
  <c r="AS647" i="19"/>
  <c r="AS584" i="19"/>
  <c r="AS516" i="19"/>
  <c r="AS564" i="19"/>
  <c r="AS632" i="19"/>
  <c r="AS602" i="19"/>
  <c r="AS642" i="19"/>
  <c r="AS511" i="19"/>
  <c r="AS596" i="19"/>
  <c r="AS617" i="19"/>
  <c r="AS522" i="19"/>
  <c r="AS575" i="19"/>
  <c r="AS624" i="19"/>
  <c r="AS656" i="19"/>
  <c r="AS621" i="19"/>
  <c r="AS644" i="19"/>
  <c r="AS652" i="19"/>
  <c r="AS662" i="19"/>
  <c r="AS573" i="19"/>
  <c r="AS514" i="19"/>
  <c r="AS530" i="19"/>
  <c r="AS534" i="19"/>
  <c r="AS614" i="19"/>
  <c r="AS638" i="19"/>
  <c r="AS561" i="19"/>
  <c r="AS610" i="19"/>
  <c r="AS633" i="19"/>
  <c r="AS651" i="19"/>
  <c r="AS555" i="19"/>
  <c r="AS616" i="19"/>
  <c r="AS640" i="19"/>
  <c r="AS606" i="19"/>
  <c r="AS629" i="19"/>
  <c r="AS722" i="19"/>
  <c r="AS766" i="19"/>
  <c r="AS760" i="19"/>
  <c r="AS691" i="19"/>
  <c r="AS704" i="19"/>
  <c r="AS719" i="19"/>
  <c r="AS743" i="19"/>
  <c r="AS755" i="19"/>
  <c r="AS707" i="19"/>
  <c r="AS747" i="19"/>
  <c r="AS776" i="19"/>
  <c r="AS778" i="19"/>
  <c r="AS700" i="19"/>
  <c r="AS774" i="19"/>
  <c r="AS781" i="19"/>
  <c r="AS674" i="19"/>
  <c r="AS685" i="19"/>
  <c r="AS693" i="19"/>
  <c r="AS721" i="19"/>
  <c r="AS726" i="19"/>
  <c r="AS770" i="19"/>
  <c r="AS772" i="19"/>
  <c r="AS731" i="19"/>
  <c r="AS767" i="19"/>
  <c r="AS680" i="19"/>
  <c r="AS703" i="19"/>
  <c r="AS714" i="19"/>
  <c r="AS761" i="19"/>
  <c r="AS764" i="19"/>
  <c r="AS796" i="19"/>
  <c r="AS687" i="19"/>
  <c r="AS717" i="19"/>
  <c r="AS738" i="19"/>
  <c r="AS758" i="19"/>
  <c r="AS779" i="19"/>
  <c r="AS741" i="19"/>
  <c r="AS749" i="19"/>
  <c r="AS753" i="19"/>
  <c r="AS775" i="19"/>
  <c r="AS803" i="19"/>
  <c r="AS724" i="19"/>
  <c r="AS773" i="19"/>
  <c r="AS669" i="19"/>
  <c r="AS733" i="19"/>
  <c r="AS769" i="19"/>
  <c r="AS807" i="19"/>
  <c r="AS820" i="19"/>
  <c r="AS950" i="19"/>
  <c r="AS784" i="19"/>
  <c r="AS798" i="19"/>
  <c r="AS823" i="19"/>
  <c r="AS827" i="19"/>
  <c r="AS899" i="19"/>
  <c r="AS924" i="19"/>
  <c r="AS937" i="19"/>
  <c r="AS791" i="19"/>
  <c r="AS968" i="19"/>
  <c r="AS793" i="19"/>
  <c r="AS814" i="19"/>
  <c r="AS831" i="19"/>
  <c r="AS833" i="19"/>
  <c r="AS836" i="19"/>
  <c r="AS838" i="19"/>
  <c r="AS840" i="19"/>
  <c r="AS842" i="19"/>
  <c r="AS844" i="19"/>
  <c r="AS847" i="19"/>
  <c r="AS849" i="19"/>
  <c r="AS851" i="19"/>
  <c r="AS853" i="19"/>
  <c r="AS855" i="19"/>
  <c r="AS857" i="19"/>
  <c r="AS859" i="19"/>
  <c r="AS783" i="19"/>
  <c r="AS786" i="19"/>
  <c r="AS788" i="19"/>
  <c r="AS808" i="19"/>
  <c r="AS891" i="19"/>
  <c r="AS797" i="19"/>
  <c r="AS804" i="19"/>
  <c r="AS821" i="19"/>
  <c r="AS925" i="19"/>
  <c r="AS938" i="19"/>
  <c r="AS799" i="19"/>
  <c r="AS825" i="19"/>
  <c r="AS792" i="19"/>
  <c r="AS794" i="19"/>
  <c r="AS801" i="19"/>
  <c r="AS812" i="19"/>
  <c r="AS816" i="19"/>
  <c r="AS830" i="19"/>
  <c r="AS834" i="19"/>
  <c r="AS837" i="19"/>
  <c r="AS839" i="19"/>
  <c r="AS841" i="19"/>
  <c r="AS843" i="19"/>
  <c r="AS846" i="19"/>
  <c r="AS848" i="19"/>
  <c r="AS850" i="19"/>
  <c r="AS852" i="19"/>
  <c r="AS854" i="19"/>
  <c r="AS856" i="19"/>
  <c r="AS858" i="19"/>
  <c r="AS860" i="19"/>
  <c r="AS904" i="19"/>
  <c r="AS971" i="19"/>
  <c r="AS789" i="19"/>
  <c r="AS809" i="19"/>
  <c r="AS972" i="19"/>
  <c r="AS916" i="19"/>
  <c r="AS951" i="19"/>
  <c r="AS979" i="19"/>
  <c r="AS909" i="19"/>
  <c r="AS926" i="19"/>
  <c r="AS945" i="19"/>
  <c r="AS880" i="19"/>
  <c r="AS902" i="19"/>
  <c r="AS923" i="19"/>
  <c r="AS931" i="19"/>
  <c r="AS953" i="19"/>
  <c r="AS963" i="19"/>
  <c r="AS867" i="19"/>
  <c r="AS958" i="19"/>
  <c r="AS965" i="19"/>
  <c r="AS861" i="19"/>
  <c r="AS918" i="19"/>
  <c r="AS980" i="19"/>
  <c r="AS911" i="19"/>
  <c r="AS939" i="19"/>
  <c r="AS946" i="19"/>
  <c r="AS903" i="19"/>
  <c r="AS930" i="19"/>
  <c r="AS936" i="19"/>
  <c r="AS952" i="19"/>
  <c r="AS982" i="19"/>
  <c r="AS959" i="19"/>
  <c r="AS932" i="19"/>
  <c r="AS964" i="19"/>
  <c r="AS948" i="19"/>
  <c r="AS954" i="19"/>
  <c r="AS960" i="19"/>
  <c r="AS966" i="19"/>
  <c r="AS974" i="19"/>
  <c r="AS981" i="19"/>
  <c r="AI23" i="19"/>
  <c r="AI24" i="19"/>
  <c r="AI27" i="19"/>
  <c r="AI28" i="19"/>
  <c r="AJ23" i="19"/>
  <c r="AJ24" i="19"/>
  <c r="AJ27" i="19"/>
  <c r="AJ28" i="19"/>
  <c r="AK23" i="19"/>
  <c r="AK24" i="19"/>
  <c r="AK27" i="19"/>
  <c r="AK28" i="19"/>
  <c r="AL23" i="19"/>
  <c r="AL24" i="19"/>
  <c r="AL27" i="19"/>
  <c r="AL28" i="19"/>
  <c r="AN678" i="19" l="1"/>
  <c r="AN665" i="19"/>
  <c r="AN87" i="19"/>
  <c r="AN792" i="19"/>
  <c r="AN570" i="19"/>
  <c r="AN534" i="19"/>
  <c r="AN519" i="19"/>
  <c r="AN506" i="19"/>
  <c r="AN344" i="19"/>
  <c r="AN262" i="19"/>
  <c r="AN216" i="19"/>
  <c r="AN833" i="19"/>
  <c r="AN693" i="19"/>
  <c r="AN680" i="19"/>
  <c r="AN666" i="19"/>
  <c r="AN590" i="19"/>
  <c r="AN577" i="19"/>
  <c r="AN560" i="19"/>
  <c r="AN542" i="19"/>
  <c r="AN526" i="19"/>
  <c r="AN511" i="19"/>
  <c r="AN498" i="19"/>
  <c r="AN267" i="19"/>
  <c r="AN224" i="19"/>
  <c r="AN169" i="19"/>
  <c r="AN86" i="19"/>
  <c r="AN72" i="19"/>
  <c r="AN180" i="19"/>
  <c r="AN113" i="19"/>
  <c r="AN961" i="19"/>
  <c r="AN949" i="19"/>
  <c r="AN933" i="19"/>
  <c r="AN921" i="19"/>
  <c r="AN892" i="19"/>
  <c r="AN878" i="19"/>
  <c r="AN864" i="19"/>
  <c r="AN852" i="19"/>
  <c r="AN839" i="19"/>
  <c r="AN823" i="19"/>
  <c r="AN803" i="19"/>
  <c r="AN776" i="19"/>
  <c r="AN761" i="19"/>
  <c r="AN231" i="19"/>
  <c r="AN608" i="19"/>
  <c r="AN307" i="19"/>
  <c r="AN95" i="19"/>
  <c r="AN612" i="19"/>
  <c r="AN127" i="19"/>
  <c r="AN310" i="19"/>
  <c r="AN134" i="19"/>
  <c r="AN954" i="19"/>
  <c r="AN939" i="19"/>
  <c r="AN926" i="19"/>
  <c r="AN912" i="19"/>
  <c r="AN897" i="19"/>
  <c r="AN884" i="19"/>
  <c r="AN870" i="19"/>
  <c r="AN857" i="19"/>
  <c r="AN844" i="19"/>
  <c r="AN830" i="19"/>
  <c r="AN795" i="19"/>
  <c r="AN332" i="19"/>
  <c r="AN265" i="19"/>
  <c r="AN249" i="19"/>
  <c r="AN735" i="19"/>
  <c r="AN714" i="19"/>
  <c r="AN696" i="19"/>
  <c r="AN609" i="19"/>
  <c r="AN353" i="19"/>
  <c r="AN339" i="19"/>
  <c r="AN210" i="19"/>
  <c r="AN952" i="19"/>
  <c r="AN937" i="19"/>
  <c r="AN924" i="19"/>
  <c r="AN909" i="19"/>
  <c r="AN895" i="19"/>
  <c r="AN881" i="19"/>
  <c r="AN868" i="19"/>
  <c r="AN195" i="19"/>
  <c r="AN649" i="19"/>
  <c r="AN960" i="19"/>
  <c r="AN948" i="19"/>
  <c r="AN932" i="19"/>
  <c r="AN920" i="19"/>
  <c r="AN904" i="19"/>
  <c r="AN891" i="19"/>
  <c r="AN877" i="19"/>
  <c r="AN863" i="19"/>
  <c r="AN851" i="19"/>
  <c r="AN821" i="19"/>
  <c r="AN789" i="19"/>
  <c r="AN624" i="19"/>
  <c r="AN489" i="19"/>
  <c r="AN340" i="19"/>
  <c r="AN284" i="19"/>
  <c r="AN271" i="19"/>
  <c r="AN257" i="19"/>
  <c r="AN76" i="19"/>
  <c r="AN62" i="19"/>
  <c r="AN745" i="19"/>
  <c r="AN722" i="19"/>
  <c r="AN704" i="19"/>
  <c r="AN690" i="19"/>
  <c r="AN587" i="19"/>
  <c r="AN555" i="19"/>
  <c r="AN522" i="19"/>
  <c r="AN508" i="19"/>
  <c r="AN331" i="19"/>
  <c r="AN69" i="19"/>
  <c r="AN958" i="19"/>
  <c r="AN945" i="19"/>
  <c r="AN930" i="19"/>
  <c r="AN916" i="19"/>
  <c r="AN902" i="19"/>
  <c r="AN889" i="19"/>
  <c r="AN874" i="19"/>
  <c r="AN232" i="19"/>
  <c r="AN634" i="19"/>
  <c r="AN85" i="19"/>
  <c r="AN49" i="19"/>
  <c r="AN233" i="19"/>
  <c r="AN655" i="19"/>
  <c r="AN337" i="19"/>
  <c r="AN404" i="19"/>
  <c r="AN365" i="19"/>
  <c r="AN156" i="19"/>
  <c r="AN203" i="19"/>
  <c r="AN139" i="19"/>
  <c r="AN57" i="19"/>
  <c r="AN861" i="19"/>
  <c r="AN123" i="19"/>
  <c r="AN38" i="19"/>
  <c r="AN738" i="19"/>
  <c r="AN591" i="19"/>
  <c r="AN388" i="19"/>
  <c r="AN321" i="19"/>
  <c r="AN306" i="19"/>
  <c r="AN293" i="19"/>
  <c r="AN107" i="19"/>
  <c r="AN219" i="19"/>
  <c r="AN849" i="19"/>
  <c r="AN836" i="19"/>
  <c r="AN799" i="19"/>
  <c r="AN786" i="19"/>
  <c r="AN652" i="19"/>
  <c r="AN639" i="19"/>
  <c r="AN209" i="19"/>
  <c r="AN167" i="19"/>
  <c r="AN119" i="19"/>
  <c r="AN838" i="19"/>
  <c r="AN802" i="19"/>
  <c r="AN775" i="19"/>
  <c r="AN760" i="19"/>
  <c r="AN737" i="19"/>
  <c r="AN715" i="19"/>
  <c r="AN610" i="19"/>
  <c r="AN473" i="19"/>
  <c r="AN457" i="19"/>
  <c r="AN439" i="19"/>
  <c r="AN229" i="19"/>
  <c r="AN159" i="19"/>
  <c r="AN110" i="19"/>
  <c r="AN953" i="19"/>
  <c r="AN199" i="19"/>
  <c r="AN133" i="19"/>
  <c r="AN706" i="19"/>
  <c r="AN317" i="19"/>
  <c r="AN303" i="19"/>
  <c r="AN290" i="19"/>
  <c r="AN278" i="19"/>
  <c r="AN623" i="19"/>
  <c r="AN494" i="19"/>
  <c r="AN315" i="19"/>
  <c r="AN686" i="19"/>
  <c r="AN490" i="19"/>
  <c r="AN236" i="19"/>
  <c r="AN228" i="19"/>
  <c r="AN855" i="19"/>
  <c r="AN842" i="19"/>
  <c r="AN828" i="19"/>
  <c r="AN807" i="19"/>
  <c r="AN793" i="19"/>
  <c r="AN217" i="19"/>
  <c r="AN225" i="19"/>
  <c r="AN410" i="19"/>
  <c r="AN394" i="19"/>
  <c r="AN372" i="19"/>
  <c r="AN326" i="19"/>
  <c r="AN311" i="19"/>
  <c r="AN147" i="19"/>
  <c r="AN483" i="19"/>
  <c r="AN465" i="19"/>
  <c r="AN447" i="19"/>
  <c r="AN124" i="19"/>
  <c r="AN40" i="19"/>
  <c r="AN73" i="19"/>
  <c r="AN426" i="19"/>
  <c r="AN411" i="19"/>
  <c r="AN93" i="19"/>
  <c r="AN58" i="19"/>
  <c r="AN955" i="19"/>
  <c r="AN941" i="19"/>
  <c r="AN927" i="19"/>
  <c r="AN913" i="19"/>
  <c r="AN899" i="19"/>
  <c r="AN886" i="19"/>
  <c r="AN871" i="19"/>
  <c r="AN858" i="19"/>
  <c r="AN846" i="19"/>
  <c r="AN831" i="19"/>
  <c r="AN812" i="19"/>
  <c r="AN796" i="19"/>
  <c r="AN783" i="19"/>
  <c r="AN770" i="19"/>
  <c r="AN266" i="19"/>
  <c r="AN182" i="19"/>
  <c r="AN146" i="19"/>
  <c r="AN319" i="19"/>
  <c r="AN304" i="19"/>
  <c r="AN291" i="19"/>
  <c r="AN279" i="19"/>
  <c r="AN88" i="19"/>
  <c r="AN376" i="19"/>
  <c r="AN67" i="19"/>
  <c r="AN433" i="19"/>
  <c r="AN596" i="19"/>
  <c r="AN588" i="19"/>
  <c r="AN51" i="19"/>
  <c r="AN809" i="19"/>
  <c r="AN496" i="19"/>
  <c r="AN175" i="19"/>
  <c r="AN140" i="19"/>
  <c r="AN56" i="19"/>
  <c r="AN594" i="19"/>
  <c r="AN580" i="19"/>
  <c r="AN564" i="19"/>
  <c r="AN548" i="19"/>
  <c r="AN530" i="19"/>
  <c r="AN615" i="19"/>
  <c r="AN398" i="19"/>
  <c r="AN358" i="19"/>
  <c r="AN345" i="19"/>
  <c r="AN263" i="19"/>
  <c r="AN137" i="19"/>
  <c r="AN268" i="19"/>
  <c r="AN253" i="19"/>
  <c r="AN240" i="19"/>
  <c r="AN208" i="19"/>
  <c r="AN129" i="19"/>
  <c r="AN44" i="19"/>
  <c r="AN396" i="19"/>
  <c r="AN374" i="19"/>
  <c r="AN356" i="19"/>
  <c r="AN342" i="19"/>
  <c r="AN30" i="19"/>
  <c r="AN672" i="19"/>
  <c r="AN656" i="19"/>
  <c r="AN642" i="19"/>
  <c r="AN626" i="19"/>
  <c r="AN475" i="19"/>
  <c r="AN458" i="19"/>
  <c r="AN440" i="19"/>
  <c r="AN424" i="19"/>
  <c r="AN355" i="19"/>
  <c r="AN341" i="19"/>
  <c r="AN42" i="19"/>
  <c r="AN166" i="19"/>
  <c r="AN132" i="19"/>
  <c r="AN84" i="19"/>
  <c r="AN188" i="19"/>
  <c r="AN89" i="19"/>
  <c r="AN226" i="19"/>
  <c r="AN164" i="19"/>
  <c r="AN81" i="19"/>
  <c r="AN186" i="19"/>
  <c r="AN37" i="19"/>
  <c r="AN142" i="19"/>
  <c r="AN575" i="19"/>
  <c r="AN540" i="19"/>
  <c r="AN362" i="19"/>
  <c r="AN697" i="19"/>
  <c r="AN685" i="19"/>
  <c r="AN671" i="19"/>
  <c r="AN641" i="19"/>
  <c r="AN595" i="19"/>
  <c r="AN581" i="19"/>
  <c r="AN565" i="19"/>
  <c r="AN549" i="19"/>
  <c r="AN531" i="19"/>
  <c r="AN516" i="19"/>
  <c r="AN393" i="19"/>
  <c r="AN370" i="19"/>
  <c r="AN325" i="19"/>
  <c r="AN296" i="19"/>
  <c r="AN48" i="19"/>
  <c r="AN616" i="19"/>
  <c r="AN601" i="19"/>
  <c r="AN573" i="19"/>
  <c r="AN538" i="19"/>
  <c r="AN264" i="19"/>
  <c r="AN248" i="19"/>
  <c r="AN235" i="19"/>
  <c r="AN695" i="19"/>
  <c r="AN683" i="19"/>
  <c r="AN669" i="19"/>
  <c r="AN593" i="19"/>
  <c r="AN579" i="19"/>
  <c r="AN563" i="19"/>
  <c r="AN546" i="19"/>
  <c r="AN528" i="19"/>
  <c r="AN514" i="19"/>
  <c r="AN500" i="19"/>
  <c r="AN389" i="19"/>
  <c r="AN352" i="19"/>
  <c r="AN322" i="19"/>
  <c r="AN294" i="19"/>
  <c r="AN282" i="19"/>
  <c r="AN269" i="19"/>
  <c r="AN255" i="19"/>
  <c r="AN144" i="19"/>
  <c r="AN32" i="19"/>
  <c r="AN201" i="19"/>
  <c r="AN171" i="19"/>
  <c r="AN192" i="19"/>
  <c r="AN749" i="19"/>
  <c r="AN726" i="19"/>
  <c r="AN707" i="19"/>
  <c r="AN692" i="19"/>
  <c r="AN618" i="19"/>
  <c r="AN589" i="19"/>
  <c r="AN558" i="19"/>
  <c r="AN524" i="19"/>
  <c r="AN349" i="19"/>
  <c r="AN334" i="19"/>
  <c r="AN222" i="19"/>
  <c r="AN205" i="19"/>
  <c r="AN141" i="19"/>
  <c r="AN354" i="19"/>
  <c r="AN98" i="19"/>
  <c r="AN495" i="19"/>
  <c r="AN103" i="19"/>
  <c r="AN179" i="19"/>
  <c r="AN121" i="19"/>
  <c r="AN155" i="19"/>
  <c r="AN484" i="19"/>
  <c r="AN466" i="19"/>
  <c r="AN449" i="19"/>
  <c r="AN432" i="19"/>
  <c r="AN622" i="19"/>
  <c r="AN366" i="19"/>
  <c r="AN241" i="19"/>
  <c r="AN599" i="19"/>
  <c r="AN584" i="19"/>
  <c r="AN553" i="19"/>
  <c r="AN246" i="19"/>
  <c r="AN386" i="19"/>
  <c r="AN363" i="19"/>
  <c r="AN350" i="19"/>
  <c r="AN320" i="19"/>
  <c r="AN305" i="19"/>
  <c r="AN207" i="19"/>
  <c r="AN106" i="19"/>
  <c r="AN603" i="19"/>
  <c r="AN416" i="19"/>
  <c r="AN401" i="19"/>
  <c r="AN384" i="19"/>
  <c r="AN154" i="19"/>
  <c r="AN105" i="19"/>
  <c r="AN243" i="19"/>
  <c r="AN212" i="19"/>
  <c r="AN198" i="19"/>
  <c r="AN125" i="19"/>
  <c r="AN938" i="19"/>
  <c r="AN925" i="19"/>
  <c r="AN911" i="19"/>
  <c r="AN896" i="19"/>
  <c r="AN883" i="19"/>
  <c r="AN869" i="19"/>
  <c r="AN856" i="19"/>
  <c r="AN843" i="19"/>
  <c r="AN829" i="19"/>
  <c r="AN808" i="19"/>
  <c r="AN781" i="19"/>
  <c r="AN767" i="19"/>
  <c r="AN676" i="19"/>
  <c r="AN662" i="19"/>
  <c r="AN646" i="19"/>
  <c r="AN632" i="19"/>
  <c r="AN481" i="19"/>
  <c r="AN464" i="19"/>
  <c r="AN446" i="19"/>
  <c r="AN430" i="19"/>
  <c r="AN359" i="19"/>
  <c r="AN347" i="19"/>
  <c r="AN151" i="19"/>
  <c r="AN116" i="19"/>
  <c r="AN33" i="19"/>
  <c r="AN773" i="19"/>
  <c r="AN755" i="19"/>
  <c r="AN733" i="19"/>
  <c r="AN712" i="19"/>
  <c r="AN487" i="19"/>
  <c r="AN471" i="19"/>
  <c r="AN454" i="19"/>
  <c r="AN157" i="19"/>
  <c r="AN108" i="19"/>
  <c r="AN74" i="19"/>
  <c r="AN60" i="19"/>
  <c r="AN963" i="19"/>
  <c r="AN951" i="19"/>
  <c r="AN936" i="19"/>
  <c r="AN923" i="19"/>
  <c r="AN907" i="19"/>
  <c r="AN894" i="19"/>
  <c r="AN880" i="19"/>
  <c r="AN867" i="19"/>
  <c r="AN854" i="19"/>
  <c r="AN841" i="19"/>
  <c r="AN827" i="19"/>
  <c r="AN806" i="19"/>
  <c r="AN778" i="19"/>
  <c r="AN764" i="19"/>
  <c r="AN741" i="19"/>
  <c r="AN720" i="19"/>
  <c r="AN701" i="19"/>
  <c r="AN688" i="19"/>
  <c r="AN614" i="19"/>
  <c r="AN493" i="19"/>
  <c r="AN357" i="19"/>
  <c r="AN136" i="19"/>
  <c r="AN101" i="19"/>
  <c r="AN52" i="19"/>
  <c r="AN956" i="19"/>
  <c r="AN943" i="19"/>
  <c r="AN928" i="19"/>
  <c r="AN914" i="19"/>
  <c r="AN900" i="19"/>
  <c r="AN887" i="19"/>
  <c r="AN872" i="19"/>
  <c r="AN859" i="19"/>
  <c r="AN847" i="19"/>
  <c r="AN814" i="19"/>
  <c r="AN784" i="19"/>
  <c r="AN650" i="19"/>
  <c r="AN636" i="19"/>
  <c r="AN335" i="19"/>
  <c r="AN292" i="19"/>
  <c r="AN280" i="19"/>
  <c r="AN71" i="19"/>
  <c r="AN422" i="19"/>
  <c r="AN409" i="19"/>
  <c r="AN414" i="19"/>
  <c r="AN399" i="19"/>
  <c r="AN380" i="19"/>
  <c r="AN316" i="19"/>
  <c r="AN302" i="19"/>
  <c r="AN289" i="19"/>
  <c r="AN277" i="19"/>
  <c r="AN96" i="19"/>
  <c r="AN83" i="19"/>
  <c r="AN818" i="19"/>
  <c r="AN436" i="19"/>
  <c r="AN420" i="19"/>
  <c r="AN406" i="19"/>
  <c r="AN674" i="19"/>
  <c r="AN659" i="19"/>
  <c r="AN644" i="19"/>
  <c r="AN629" i="19"/>
  <c r="AN478" i="19"/>
  <c r="AN461" i="19"/>
  <c r="AN444" i="19"/>
  <c r="AN427" i="19"/>
  <c r="AN329" i="19"/>
  <c r="AN149" i="19"/>
  <c r="AN80" i="19"/>
  <c r="AN797" i="19"/>
  <c r="AN771" i="19"/>
  <c r="AN751" i="19"/>
  <c r="AN728" i="19"/>
  <c r="AN709" i="19"/>
  <c r="AN620" i="19"/>
  <c r="AN604" i="19"/>
  <c r="AN485" i="19"/>
  <c r="AN467" i="19"/>
  <c r="AN451" i="19"/>
  <c r="AN252" i="19"/>
  <c r="AN239" i="19"/>
  <c r="AN120" i="19"/>
  <c r="AN100" i="19"/>
  <c r="AN36" i="19"/>
  <c r="AN582" i="19"/>
  <c r="AN244" i="19"/>
  <c r="AN230" i="19"/>
  <c r="AN183" i="19"/>
  <c r="AN35" i="19"/>
  <c r="AN90" i="19"/>
  <c r="AN41" i="19"/>
  <c r="AN794" i="19"/>
  <c r="AN165" i="19"/>
  <c r="AN131" i="19"/>
  <c r="AN47" i="19"/>
  <c r="AN412" i="19"/>
  <c r="AN397" i="19"/>
  <c r="AN314" i="19"/>
  <c r="AN300" i="19"/>
  <c r="AN275" i="19"/>
  <c r="AN178" i="19"/>
  <c r="AN162" i="19"/>
  <c r="AN114" i="19"/>
  <c r="AN31" i="19"/>
  <c r="AN417" i="19"/>
  <c r="AN403" i="19"/>
  <c r="AN184" i="19"/>
  <c r="AN790" i="19"/>
  <c r="AN567" i="19"/>
  <c r="AN550" i="19"/>
  <c r="AN532" i="19"/>
  <c r="AN504" i="19"/>
  <c r="AN691" i="19"/>
  <c r="AN677" i="19"/>
  <c r="AN663" i="19"/>
  <c r="AN647" i="19"/>
  <c r="AN633" i="19"/>
  <c r="AN574" i="19"/>
  <c r="AN557" i="19"/>
  <c r="AN539" i="19"/>
  <c r="AN523" i="19"/>
  <c r="AN509" i="19"/>
  <c r="AN400" i="19"/>
  <c r="AN360" i="19"/>
  <c r="AN348" i="19"/>
  <c r="AN104" i="19"/>
  <c r="AN515" i="19"/>
  <c r="AN256" i="19"/>
  <c r="AN196" i="19"/>
  <c r="AN703" i="19"/>
  <c r="AN689" i="19"/>
  <c r="AN675" i="19"/>
  <c r="AN660" i="19"/>
  <c r="AN600" i="19"/>
  <c r="AN585" i="19"/>
  <c r="AN571" i="19"/>
  <c r="AN554" i="19"/>
  <c r="AN536" i="19"/>
  <c r="AN521" i="19"/>
  <c r="AN507" i="19"/>
  <c r="AN378" i="19"/>
  <c r="AN301" i="19"/>
  <c r="AN172" i="19"/>
  <c r="AN193" i="19"/>
  <c r="AN717" i="19"/>
  <c r="AN698" i="19"/>
  <c r="AN611" i="19"/>
  <c r="AN517" i="19"/>
  <c r="AN258" i="19"/>
  <c r="AN213" i="19"/>
  <c r="AN382" i="19"/>
  <c r="AN501" i="19"/>
  <c r="AN242" i="19"/>
  <c r="AN145" i="19"/>
  <c r="AN61" i="19"/>
  <c r="AN187" i="19"/>
  <c r="AN700" i="19"/>
  <c r="AN687" i="19"/>
  <c r="AN673" i="19"/>
  <c r="AN598" i="19"/>
  <c r="AN583" i="19"/>
  <c r="AN569" i="19"/>
  <c r="AN552" i="19"/>
  <c r="AN533" i="19"/>
  <c r="AN518" i="19"/>
  <c r="AN505" i="19"/>
  <c r="AN200" i="19"/>
  <c r="AN99" i="19"/>
  <c r="AN189" i="19"/>
  <c r="AN152" i="19"/>
  <c r="AN645" i="19"/>
  <c r="AN630" i="19"/>
  <c r="AN288" i="19"/>
  <c r="AN276" i="19"/>
  <c r="AN202" i="19"/>
  <c r="AN53" i="19"/>
  <c r="AN578" i="19"/>
  <c r="AN561" i="19"/>
  <c r="AN544" i="19"/>
  <c r="AN527" i="19"/>
  <c r="AN499" i="19"/>
  <c r="AN59" i="19"/>
  <c r="AN840" i="19"/>
  <c r="AN657" i="19"/>
  <c r="AN492" i="19"/>
  <c r="AN312" i="19"/>
  <c r="AN299" i="19"/>
  <c r="AN286" i="19"/>
  <c r="AN274" i="19"/>
  <c r="AN260" i="19"/>
  <c r="AN215" i="19"/>
  <c r="AN148" i="19"/>
  <c r="AN66" i="19"/>
  <c r="AN43" i="19"/>
  <c r="AN298" i="19"/>
  <c r="AN285" i="19"/>
  <c r="AN273" i="19"/>
  <c r="AN111" i="19"/>
  <c r="AN65" i="19"/>
  <c r="AN782" i="19"/>
  <c r="AN769" i="19"/>
  <c r="AN747" i="19"/>
  <c r="AN724" i="19"/>
  <c r="AN602" i="19"/>
  <c r="AN220" i="19"/>
  <c r="AN204" i="19"/>
  <c r="AN70" i="19"/>
  <c r="AN34" i="19"/>
  <c r="AN959" i="19"/>
  <c r="AN946" i="19"/>
  <c r="AN931" i="19"/>
  <c r="AN918" i="19"/>
  <c r="AN903" i="19"/>
  <c r="AN890" i="19"/>
  <c r="AN876" i="19"/>
  <c r="AN862" i="19"/>
  <c r="AN850" i="19"/>
  <c r="AN837" i="19"/>
  <c r="AN820" i="19"/>
  <c r="AN801" i="19"/>
  <c r="AN788" i="19"/>
  <c r="AN774" i="19"/>
  <c r="AN758" i="19"/>
  <c r="AN684" i="19"/>
  <c r="AN670" i="19"/>
  <c r="AN654" i="19"/>
  <c r="AN640" i="19"/>
  <c r="AN488" i="19"/>
  <c r="AN472" i="19"/>
  <c r="AN456" i="19"/>
  <c r="AN438" i="19"/>
  <c r="AN421" i="19"/>
  <c r="AN158" i="19"/>
  <c r="AN109" i="19"/>
  <c r="AN75" i="19"/>
  <c r="AN779" i="19"/>
  <c r="AN766" i="19"/>
  <c r="AN743" i="19"/>
  <c r="AN721" i="19"/>
  <c r="AN480" i="19"/>
  <c r="AN462" i="19"/>
  <c r="AN445" i="19"/>
  <c r="AN330" i="19"/>
  <c r="AN247" i="19"/>
  <c r="AN150" i="19"/>
  <c r="AN115" i="19"/>
  <c r="AN102" i="19"/>
  <c r="AN68" i="19"/>
  <c r="AN957" i="19"/>
  <c r="AN929" i="19"/>
  <c r="AN915" i="19"/>
  <c r="AN901" i="19"/>
  <c r="AN888" i="19"/>
  <c r="AN873" i="19"/>
  <c r="AN860" i="19"/>
  <c r="AN848" i="19"/>
  <c r="AN834" i="19"/>
  <c r="AN816" i="19"/>
  <c r="AN798" i="19"/>
  <c r="AN785" i="19"/>
  <c r="AN772" i="19"/>
  <c r="AN753" i="19"/>
  <c r="AN731" i="19"/>
  <c r="AN711" i="19"/>
  <c r="AN694" i="19"/>
  <c r="AN621" i="19"/>
  <c r="AN513" i="19"/>
  <c r="AN336" i="19"/>
  <c r="AN143" i="19"/>
  <c r="AN94" i="19"/>
  <c r="AN962" i="19"/>
  <c r="AN950" i="19"/>
  <c r="AN934" i="19"/>
  <c r="AN922" i="19"/>
  <c r="AN893" i="19"/>
  <c r="AN879" i="19"/>
  <c r="AN866" i="19"/>
  <c r="AN853" i="19"/>
  <c r="AN825" i="19"/>
  <c r="AN804" i="19"/>
  <c r="AN791" i="19"/>
  <c r="AN643" i="19"/>
  <c r="AN628" i="19"/>
  <c r="AN245" i="19"/>
  <c r="AN77" i="19"/>
  <c r="AN29" i="19"/>
  <c r="AN617" i="19"/>
  <c r="AN431" i="19"/>
  <c r="AN415" i="19"/>
  <c r="AN118" i="19"/>
  <c r="AN407" i="19"/>
  <c r="AN391" i="19"/>
  <c r="AN368" i="19"/>
  <c r="AN324" i="19"/>
  <c r="AN309" i="19"/>
  <c r="AN295" i="19"/>
  <c r="AN270" i="19"/>
  <c r="AN174" i="19"/>
  <c r="AN54" i="19"/>
  <c r="AN429" i="19"/>
  <c r="AN413" i="19"/>
  <c r="AN130" i="19"/>
  <c r="AN46" i="19"/>
  <c r="AN681" i="19"/>
  <c r="AN668" i="19"/>
  <c r="AN651" i="19"/>
  <c r="AN638" i="19"/>
  <c r="AN606" i="19"/>
  <c r="AN486" i="19"/>
  <c r="AN469" i="19"/>
  <c r="AN452" i="19"/>
  <c r="AN435" i="19"/>
  <c r="AN418" i="19"/>
  <c r="AN351" i="19"/>
  <c r="AN777" i="19"/>
  <c r="AN763" i="19"/>
  <c r="AN740" i="19"/>
  <c r="AN719" i="19"/>
  <c r="AN477" i="19"/>
  <c r="AN460" i="19"/>
  <c r="AN442" i="19"/>
  <c r="AN327" i="19"/>
  <c r="AN177" i="19"/>
  <c r="AN161" i="19"/>
  <c r="AN79" i="19"/>
  <c r="AN510" i="19"/>
  <c r="AN497" i="19"/>
  <c r="AN176" i="19"/>
  <c r="AN160" i="19"/>
  <c r="AN126" i="19"/>
  <c r="AN91" i="19"/>
  <c r="AN251" i="19"/>
  <c r="AN237" i="19"/>
  <c r="AN190" i="19"/>
  <c r="AN28" i="19"/>
  <c r="AN27" i="19"/>
  <c r="AN24" i="19"/>
  <c r="AN23" i="19"/>
  <c r="B4" i="35"/>
  <c r="B5" i="35" s="1"/>
  <c r="B6" i="35" s="1"/>
  <c r="B7" i="35" l="1"/>
  <c r="AZ977" i="19"/>
  <c r="AY977" i="19"/>
  <c r="AX977" i="19"/>
  <c r="AR977" i="19"/>
  <c r="AT977" i="19" s="1"/>
  <c r="AZ973" i="19"/>
  <c r="AY973" i="19"/>
  <c r="AX973" i="19"/>
  <c r="AR973" i="19"/>
  <c r="AT973" i="19" s="1"/>
  <c r="AZ967" i="19"/>
  <c r="AY967" i="19"/>
  <c r="AX967" i="19"/>
  <c r="AR967" i="19"/>
  <c r="AT967" i="19" s="1"/>
  <c r="AZ947" i="19"/>
  <c r="AY947" i="19"/>
  <c r="AX947" i="19"/>
  <c r="AR947" i="19"/>
  <c r="AT947" i="19" s="1"/>
  <c r="AZ935" i="19"/>
  <c r="AY935" i="19"/>
  <c r="AX935" i="19"/>
  <c r="AR935" i="19"/>
  <c r="AT935" i="19" s="1"/>
  <c r="AZ919" i="19"/>
  <c r="AY919" i="19"/>
  <c r="AX919" i="19"/>
  <c r="AR919" i="19"/>
  <c r="AT919" i="19" s="1"/>
  <c r="AZ917" i="19"/>
  <c r="AY917" i="19"/>
  <c r="AX917" i="19"/>
  <c r="AR917" i="19"/>
  <c r="AT917" i="19" s="1"/>
  <c r="AS917" i="19" s="1"/>
  <c r="AZ910" i="19"/>
  <c r="AY910" i="19"/>
  <c r="AX910" i="19"/>
  <c r="AR910" i="19"/>
  <c r="AT910" i="19" s="1"/>
  <c r="AZ908" i="19"/>
  <c r="AY908" i="19"/>
  <c r="AX908" i="19"/>
  <c r="AR908" i="19"/>
  <c r="AT908" i="19" s="1"/>
  <c r="AZ898" i="19"/>
  <c r="AY898" i="19"/>
  <c r="AX898" i="19"/>
  <c r="AR898" i="19"/>
  <c r="AT898" i="19" s="1"/>
  <c r="AZ885" i="19"/>
  <c r="AY885" i="19"/>
  <c r="AX885" i="19"/>
  <c r="AR885" i="19"/>
  <c r="AT885" i="19" s="1"/>
  <c r="AS885" i="19" s="1"/>
  <c r="AZ882" i="19"/>
  <c r="AY882" i="19"/>
  <c r="AX882" i="19"/>
  <c r="AR882" i="19"/>
  <c r="AT882" i="19" s="1"/>
  <c r="AZ875" i="19"/>
  <c r="AY875" i="19"/>
  <c r="AX875" i="19"/>
  <c r="AR875" i="19"/>
  <c r="AT875" i="19" s="1"/>
  <c r="AZ865" i="19"/>
  <c r="AY865" i="19"/>
  <c r="AX865" i="19"/>
  <c r="AR865" i="19"/>
  <c r="AT865" i="19" s="1"/>
  <c r="AZ845" i="19"/>
  <c r="AY845" i="19"/>
  <c r="AX845" i="19"/>
  <c r="AR845" i="19"/>
  <c r="AT845" i="19" s="1"/>
  <c r="AZ835" i="19"/>
  <c r="AY835" i="19"/>
  <c r="AX835" i="19"/>
  <c r="AR835" i="19"/>
  <c r="AT835" i="19" s="1"/>
  <c r="AZ832" i="19"/>
  <c r="AY832" i="19"/>
  <c r="AX832" i="19"/>
  <c r="AR832" i="19"/>
  <c r="AT832" i="19" s="1"/>
  <c r="AZ826" i="19"/>
  <c r="AY826" i="19"/>
  <c r="AX826" i="19"/>
  <c r="AR826" i="19"/>
  <c r="AT826" i="19" s="1"/>
  <c r="AS826" i="19" s="1"/>
  <c r="AZ824" i="19"/>
  <c r="AY824" i="19"/>
  <c r="AX824" i="19"/>
  <c r="AR824" i="19"/>
  <c r="AT824" i="19" s="1"/>
  <c r="AZ822" i="19"/>
  <c r="AY822" i="19"/>
  <c r="AX822" i="19"/>
  <c r="AR822" i="19"/>
  <c r="AT822" i="19" s="1"/>
  <c r="AZ819" i="19"/>
  <c r="AY819" i="19"/>
  <c r="AX819" i="19"/>
  <c r="AR819" i="19"/>
  <c r="AT819" i="19" s="1"/>
  <c r="AZ817" i="19"/>
  <c r="AY817" i="19"/>
  <c r="AX817" i="19"/>
  <c r="AR817" i="19"/>
  <c r="AT817" i="19" s="1"/>
  <c r="AZ815" i="19"/>
  <c r="AY815" i="19"/>
  <c r="AX815" i="19"/>
  <c r="AR815" i="19"/>
  <c r="AT815" i="19" s="1"/>
  <c r="AZ813" i="19"/>
  <c r="AY813" i="19"/>
  <c r="AX813" i="19"/>
  <c r="AR813" i="19"/>
  <c r="AT813" i="19" s="1"/>
  <c r="AZ811" i="19"/>
  <c r="AY811" i="19"/>
  <c r="AX811" i="19"/>
  <c r="AR811" i="19"/>
  <c r="AT811" i="19" s="1"/>
  <c r="AZ810" i="19"/>
  <c r="AY810" i="19"/>
  <c r="AX810" i="19"/>
  <c r="AR810" i="19"/>
  <c r="AT810" i="19" s="1"/>
  <c r="AZ805" i="19"/>
  <c r="AY805" i="19"/>
  <c r="AX805" i="19"/>
  <c r="AR805" i="19"/>
  <c r="AT805" i="19" s="1"/>
  <c r="AZ800" i="19"/>
  <c r="AY800" i="19"/>
  <c r="AX800" i="19"/>
  <c r="AR800" i="19"/>
  <c r="AT800" i="19" s="1"/>
  <c r="AZ787" i="19"/>
  <c r="AY787" i="19"/>
  <c r="AX787" i="19"/>
  <c r="AR787" i="19"/>
  <c r="AT787" i="19" s="1"/>
  <c r="AS787" i="19" s="1"/>
  <c r="AZ780" i="19"/>
  <c r="AY780" i="19"/>
  <c r="AX780" i="19"/>
  <c r="AR780" i="19"/>
  <c r="AT780" i="19" s="1"/>
  <c r="AS780" i="19" s="1"/>
  <c r="AZ768" i="19"/>
  <c r="AY768" i="19"/>
  <c r="AX768" i="19"/>
  <c r="AR768" i="19"/>
  <c r="AT768" i="19" s="1"/>
  <c r="AZ765" i="19"/>
  <c r="AY765" i="19"/>
  <c r="AX765" i="19"/>
  <c r="AR765" i="19"/>
  <c r="AT765" i="19" s="1"/>
  <c r="AZ762" i="19"/>
  <c r="AY762" i="19"/>
  <c r="AX762" i="19"/>
  <c r="AR762" i="19"/>
  <c r="AT762" i="19" s="1"/>
  <c r="AZ759" i="19"/>
  <c r="AY759" i="19"/>
  <c r="AX759" i="19"/>
  <c r="AR759" i="19"/>
  <c r="AT759" i="19" s="1"/>
  <c r="AZ757" i="19"/>
  <c r="AY757" i="19"/>
  <c r="AX757" i="19"/>
  <c r="AR757" i="19"/>
  <c r="AT757" i="19" s="1"/>
  <c r="AZ756" i="19"/>
  <c r="AY756" i="19"/>
  <c r="AX756" i="19"/>
  <c r="AR756" i="19"/>
  <c r="AT756" i="19" s="1"/>
  <c r="AZ754" i="19"/>
  <c r="AY754" i="19"/>
  <c r="AX754" i="19"/>
  <c r="AR754" i="19"/>
  <c r="AT754" i="19" s="1"/>
  <c r="AS754" i="19" s="1"/>
  <c r="AZ752" i="19"/>
  <c r="AY752" i="19"/>
  <c r="AX752" i="19"/>
  <c r="AR752" i="19"/>
  <c r="AT752" i="19" s="1"/>
  <c r="AZ750" i="19"/>
  <c r="AY750" i="19"/>
  <c r="AX750" i="19"/>
  <c r="AR750" i="19"/>
  <c r="AT750" i="19" s="1"/>
  <c r="AZ746" i="19"/>
  <c r="AY746" i="19"/>
  <c r="AX746" i="19"/>
  <c r="AR746" i="19"/>
  <c r="AT746" i="19" s="1"/>
  <c r="AZ744" i="19"/>
  <c r="AY744" i="19"/>
  <c r="AX744" i="19"/>
  <c r="AR744" i="19"/>
  <c r="AT744" i="19" s="1"/>
  <c r="AS744" i="19" s="1"/>
  <c r="AZ742" i="19"/>
  <c r="AY742" i="19"/>
  <c r="AX742" i="19"/>
  <c r="AR742" i="19"/>
  <c r="AT742" i="19" s="1"/>
  <c r="AZ739" i="19"/>
  <c r="AY739" i="19"/>
  <c r="AX739" i="19"/>
  <c r="AR739" i="19"/>
  <c r="AT739" i="19" s="1"/>
  <c r="AZ736" i="19"/>
  <c r="AY736" i="19"/>
  <c r="AX736" i="19"/>
  <c r="AR736" i="19"/>
  <c r="AT736" i="19" s="1"/>
  <c r="AZ734" i="19"/>
  <c r="AY734" i="19"/>
  <c r="AX734" i="19"/>
  <c r="AR734" i="19"/>
  <c r="AT734" i="19" s="1"/>
  <c r="AZ730" i="19"/>
  <c r="AY730" i="19"/>
  <c r="AX730" i="19"/>
  <c r="AR730" i="19"/>
  <c r="AT730" i="19" s="1"/>
  <c r="AZ725" i="19"/>
  <c r="AY725" i="19"/>
  <c r="AX725" i="19"/>
  <c r="AR725" i="19"/>
  <c r="AT725" i="19" s="1"/>
  <c r="AZ723" i="19"/>
  <c r="AY723" i="19"/>
  <c r="AX723" i="19"/>
  <c r="AR723" i="19"/>
  <c r="AT723" i="19" s="1"/>
  <c r="AZ718" i="19"/>
  <c r="AY718" i="19"/>
  <c r="AX718" i="19"/>
  <c r="AR718" i="19"/>
  <c r="AT718" i="19" s="1"/>
  <c r="AZ716" i="19"/>
  <c r="AY716" i="19"/>
  <c r="AX716" i="19"/>
  <c r="AR716" i="19"/>
  <c r="AT716" i="19" s="1"/>
  <c r="AZ705" i="19"/>
  <c r="AY705" i="19"/>
  <c r="AX705" i="19"/>
  <c r="AR705" i="19"/>
  <c r="AT705" i="19" s="1"/>
  <c r="AZ702" i="19"/>
  <c r="AY702" i="19"/>
  <c r="AX702" i="19"/>
  <c r="AR702" i="19"/>
  <c r="AT702" i="19" s="1"/>
  <c r="AZ682" i="19"/>
  <c r="AY682" i="19"/>
  <c r="AX682" i="19"/>
  <c r="AR682" i="19"/>
  <c r="AT682" i="19" s="1"/>
  <c r="AZ679" i="19"/>
  <c r="AY679" i="19"/>
  <c r="AX679" i="19"/>
  <c r="AR679" i="19"/>
  <c r="AT679" i="19" s="1"/>
  <c r="AZ667" i="19"/>
  <c r="AY667" i="19"/>
  <c r="AX667" i="19"/>
  <c r="AR667" i="19"/>
  <c r="AT667" i="19" s="1"/>
  <c r="AZ664" i="19"/>
  <c r="AY664" i="19"/>
  <c r="AX664" i="19"/>
  <c r="AR664" i="19"/>
  <c r="AT664" i="19" s="1"/>
  <c r="AZ661" i="19"/>
  <c r="AY661" i="19"/>
  <c r="AX661" i="19"/>
  <c r="AR661" i="19"/>
  <c r="AT661" i="19" s="1"/>
  <c r="AZ658" i="19"/>
  <c r="AY658" i="19"/>
  <c r="AX658" i="19"/>
  <c r="AR658" i="19"/>
  <c r="AT658" i="19" s="1"/>
  <c r="AZ653" i="19"/>
  <c r="AY653" i="19"/>
  <c r="AX653" i="19"/>
  <c r="AR653" i="19"/>
  <c r="AT653" i="19" s="1"/>
  <c r="AZ648" i="19"/>
  <c r="AY648" i="19"/>
  <c r="AX648" i="19"/>
  <c r="AR648" i="19"/>
  <c r="AT648" i="19" s="1"/>
  <c r="AZ637" i="19"/>
  <c r="AY637" i="19"/>
  <c r="AX637" i="19"/>
  <c r="AR637" i="19"/>
  <c r="AT637" i="19" s="1"/>
  <c r="AZ635" i="19"/>
  <c r="AY635" i="19"/>
  <c r="AX635" i="19"/>
  <c r="AR635" i="19"/>
  <c r="AT635" i="19" s="1"/>
  <c r="AZ631" i="19"/>
  <c r="AY631" i="19"/>
  <c r="AX631" i="19"/>
  <c r="AR631" i="19"/>
  <c r="AT631" i="19" s="1"/>
  <c r="AZ627" i="19"/>
  <c r="AY627" i="19"/>
  <c r="AX627" i="19"/>
  <c r="AR627" i="19"/>
  <c r="AT627" i="19" s="1"/>
  <c r="AZ625" i="19"/>
  <c r="AY625" i="19"/>
  <c r="AX625" i="19"/>
  <c r="AR625" i="19"/>
  <c r="AT625" i="19" s="1"/>
  <c r="AZ619" i="19"/>
  <c r="AY619" i="19"/>
  <c r="AX619" i="19"/>
  <c r="AR619" i="19"/>
  <c r="AT619" i="19" s="1"/>
  <c r="AZ613" i="19"/>
  <c r="AY613" i="19"/>
  <c r="AX613" i="19"/>
  <c r="AR613" i="19"/>
  <c r="AT613" i="19" s="1"/>
  <c r="AS613" i="19" s="1"/>
  <c r="AZ607" i="19"/>
  <c r="AY607" i="19"/>
  <c r="AX607" i="19"/>
  <c r="AR607" i="19"/>
  <c r="AT607" i="19" s="1"/>
  <c r="AZ605" i="19"/>
  <c r="AY605" i="19"/>
  <c r="AX605" i="19"/>
  <c r="AR605" i="19"/>
  <c r="AT605" i="19" s="1"/>
  <c r="AZ597" i="19"/>
  <c r="AY597" i="19"/>
  <c r="AX597" i="19"/>
  <c r="AR597" i="19"/>
  <c r="AT597" i="19" s="1"/>
  <c r="AZ592" i="19"/>
  <c r="AY592" i="19"/>
  <c r="AX592" i="19"/>
  <c r="AR592" i="19"/>
  <c r="AT592" i="19" s="1"/>
  <c r="AZ586" i="19"/>
  <c r="AY586" i="19"/>
  <c r="AX586" i="19"/>
  <c r="AR586" i="19"/>
  <c r="AT586" i="19" s="1"/>
  <c r="AZ576" i="19"/>
  <c r="AY576" i="19"/>
  <c r="AX576" i="19"/>
  <c r="AR576" i="19"/>
  <c r="AT576" i="19" s="1"/>
  <c r="AZ572" i="19"/>
  <c r="AY572" i="19"/>
  <c r="AX572" i="19"/>
  <c r="AR572" i="19"/>
  <c r="AT572" i="19" s="1"/>
  <c r="AZ568" i="19"/>
  <c r="AY568" i="19"/>
  <c r="AX568" i="19"/>
  <c r="AR568" i="19"/>
  <c r="AT568" i="19" s="1"/>
  <c r="AZ566" i="19"/>
  <c r="AY566" i="19"/>
  <c r="AX566" i="19"/>
  <c r="AR566" i="19"/>
  <c r="AT566" i="19" s="1"/>
  <c r="AZ562" i="19"/>
  <c r="AY562" i="19"/>
  <c r="AX562" i="19"/>
  <c r="AR562" i="19"/>
  <c r="AT562" i="19" s="1"/>
  <c r="AZ556" i="19"/>
  <c r="AY556" i="19"/>
  <c r="AX556" i="19"/>
  <c r="AR556" i="19"/>
  <c r="AT556" i="19" s="1"/>
  <c r="AZ551" i="19"/>
  <c r="AY551" i="19"/>
  <c r="AX551" i="19"/>
  <c r="AR551" i="19"/>
  <c r="AT551" i="19" s="1"/>
  <c r="AZ547" i="19"/>
  <c r="AY547" i="19"/>
  <c r="AX547" i="19"/>
  <c r="AR547" i="19"/>
  <c r="AT547" i="19" s="1"/>
  <c r="AZ543" i="19"/>
  <c r="AY543" i="19"/>
  <c r="AX543" i="19"/>
  <c r="AR543" i="19"/>
  <c r="AT543" i="19" s="1"/>
  <c r="AZ529" i="19"/>
  <c r="AY529" i="19"/>
  <c r="AX529" i="19"/>
  <c r="AR529" i="19"/>
  <c r="AT529" i="19" s="1"/>
  <c r="AZ520" i="19"/>
  <c r="AY520" i="19"/>
  <c r="AX520" i="19"/>
  <c r="AR520" i="19"/>
  <c r="AT520" i="19" s="1"/>
  <c r="AZ512" i="19"/>
  <c r="AY512" i="19"/>
  <c r="AX512" i="19"/>
  <c r="AR512" i="19"/>
  <c r="AT512" i="19" s="1"/>
  <c r="AZ502" i="19"/>
  <c r="AY502" i="19"/>
  <c r="AX502" i="19"/>
  <c r="AR502" i="19"/>
  <c r="AT502" i="19" s="1"/>
  <c r="AZ491" i="19"/>
  <c r="AY491" i="19"/>
  <c r="AX491" i="19"/>
  <c r="AR491" i="19"/>
  <c r="AT491" i="19" s="1"/>
  <c r="AS491" i="19" s="1"/>
  <c r="AZ482" i="19"/>
  <c r="AY482" i="19"/>
  <c r="AX482" i="19"/>
  <c r="AR482" i="19"/>
  <c r="AT482" i="19" s="1"/>
  <c r="AZ479" i="19"/>
  <c r="AY479" i="19"/>
  <c r="AX479" i="19"/>
  <c r="AR479" i="19"/>
  <c r="AT479" i="19" s="1"/>
  <c r="AZ476" i="19"/>
  <c r="AY476" i="19"/>
  <c r="AX476" i="19"/>
  <c r="AR476" i="19"/>
  <c r="AT476" i="19" s="1"/>
  <c r="AZ474" i="19"/>
  <c r="AY474" i="19"/>
  <c r="AX474" i="19"/>
  <c r="AR474" i="19"/>
  <c r="AT474" i="19" s="1"/>
  <c r="AZ470" i="19"/>
  <c r="AY470" i="19"/>
  <c r="AX470" i="19"/>
  <c r="AR470" i="19"/>
  <c r="AT470" i="19" s="1"/>
  <c r="AS470" i="19" s="1"/>
  <c r="AZ468" i="19"/>
  <c r="AY468" i="19"/>
  <c r="AX468" i="19"/>
  <c r="AR468" i="19"/>
  <c r="AT468" i="19" s="1"/>
  <c r="AZ463" i="19"/>
  <c r="AY463" i="19"/>
  <c r="AX463" i="19"/>
  <c r="AR463" i="19"/>
  <c r="AT463" i="19" s="1"/>
  <c r="AS463" i="19" s="1"/>
  <c r="AZ459" i="19"/>
  <c r="AY459" i="19"/>
  <c r="AX459" i="19"/>
  <c r="AR459" i="19"/>
  <c r="AT459" i="19" s="1"/>
  <c r="AZ455" i="19"/>
  <c r="AY455" i="19"/>
  <c r="AX455" i="19"/>
  <c r="AR455" i="19"/>
  <c r="AT455" i="19" s="1"/>
  <c r="AZ453" i="19"/>
  <c r="AY453" i="19"/>
  <c r="AX453" i="19"/>
  <c r="AR453" i="19"/>
  <c r="AT453" i="19" s="1"/>
  <c r="AZ450" i="19"/>
  <c r="AY450" i="19"/>
  <c r="AX450" i="19"/>
  <c r="AR450" i="19"/>
  <c r="AT450" i="19" s="1"/>
  <c r="AZ448" i="19"/>
  <c r="AY448" i="19"/>
  <c r="AX448" i="19"/>
  <c r="AR448" i="19"/>
  <c r="AT448" i="19" s="1"/>
  <c r="AZ443" i="19"/>
  <c r="AY443" i="19"/>
  <c r="AX443" i="19"/>
  <c r="AR443" i="19"/>
  <c r="AT443" i="19" s="1"/>
  <c r="AS443" i="19" s="1"/>
  <c r="AZ441" i="19"/>
  <c r="AY441" i="19"/>
  <c r="AX441" i="19"/>
  <c r="AR441" i="19"/>
  <c r="AT441" i="19" s="1"/>
  <c r="AZ437" i="19"/>
  <c r="AY437" i="19"/>
  <c r="AX437" i="19"/>
  <c r="AR437" i="19"/>
  <c r="AT437" i="19" s="1"/>
  <c r="AZ434" i="19"/>
  <c r="AY434" i="19"/>
  <c r="AX434" i="19"/>
  <c r="AR434" i="19"/>
  <c r="AT434" i="19" s="1"/>
  <c r="AZ428" i="19"/>
  <c r="AY428" i="19"/>
  <c r="AX428" i="19"/>
  <c r="AR428" i="19"/>
  <c r="AT428" i="19" s="1"/>
  <c r="AZ425" i="19"/>
  <c r="AY425" i="19"/>
  <c r="AX425" i="19"/>
  <c r="AR425" i="19"/>
  <c r="AT425" i="19" s="1"/>
  <c r="AZ423" i="19"/>
  <c r="AY423" i="19"/>
  <c r="AX423" i="19"/>
  <c r="AR423" i="19"/>
  <c r="AT423" i="19" s="1"/>
  <c r="AZ419" i="19"/>
  <c r="AY419" i="19"/>
  <c r="AX419" i="19"/>
  <c r="AR419" i="19"/>
  <c r="AT419" i="19" s="1"/>
  <c r="AS419" i="19" s="1"/>
  <c r="AZ408" i="19"/>
  <c r="AY408" i="19"/>
  <c r="AX408" i="19"/>
  <c r="AR408" i="19"/>
  <c r="AT408" i="19" s="1"/>
  <c r="AS408" i="19" s="1"/>
  <c r="AZ405" i="19"/>
  <c r="AY405" i="19"/>
  <c r="AX405" i="19"/>
  <c r="AR405" i="19"/>
  <c r="AT405" i="19" s="1"/>
  <c r="AZ402" i="19"/>
  <c r="AY402" i="19"/>
  <c r="AX402" i="19"/>
  <c r="AR402" i="19"/>
  <c r="AT402" i="19" s="1"/>
  <c r="AZ395" i="19"/>
  <c r="AY395" i="19"/>
  <c r="AX395" i="19"/>
  <c r="AR395" i="19"/>
  <c r="AT395" i="19" s="1"/>
  <c r="AZ392" i="19"/>
  <c r="AY392" i="19"/>
  <c r="AX392" i="19"/>
  <c r="AR392" i="19"/>
  <c r="AT392" i="19" s="1"/>
  <c r="AZ390" i="19"/>
  <c r="AY390" i="19"/>
  <c r="AX390" i="19"/>
  <c r="AR390" i="19"/>
  <c r="AT390" i="19" s="1"/>
  <c r="AZ371" i="19"/>
  <c r="AY371" i="19"/>
  <c r="AX371" i="19"/>
  <c r="AR371" i="19"/>
  <c r="AT371" i="19" s="1"/>
  <c r="AZ369" i="19"/>
  <c r="AY369" i="19"/>
  <c r="AX369" i="19"/>
  <c r="AR369" i="19"/>
  <c r="AT369" i="19" s="1"/>
  <c r="AZ364" i="19"/>
  <c r="AY364" i="19"/>
  <c r="AX364" i="19"/>
  <c r="AR364" i="19"/>
  <c r="AT364" i="19" s="1"/>
  <c r="AZ361" i="19"/>
  <c r="AY361" i="19"/>
  <c r="AX361" i="19"/>
  <c r="AR361" i="19"/>
  <c r="AT361" i="19" s="1"/>
  <c r="AZ346" i="19"/>
  <c r="AY346" i="19"/>
  <c r="AX346" i="19"/>
  <c r="AR346" i="19"/>
  <c r="AT346" i="19" s="1"/>
  <c r="AS346" i="19" s="1"/>
  <c r="AZ343" i="19"/>
  <c r="AY343" i="19"/>
  <c r="AX343" i="19"/>
  <c r="AR343" i="19"/>
  <c r="AT343" i="19" s="1"/>
  <c r="AZ338" i="19"/>
  <c r="AY338" i="19"/>
  <c r="AX338" i="19"/>
  <c r="AR338" i="19"/>
  <c r="AT338" i="19" s="1"/>
  <c r="AZ333" i="19"/>
  <c r="AY333" i="19"/>
  <c r="AX333" i="19"/>
  <c r="AR333" i="19"/>
  <c r="AT333" i="19" s="1"/>
  <c r="AZ328" i="19"/>
  <c r="AY328" i="19"/>
  <c r="AX328" i="19"/>
  <c r="AR328" i="19"/>
  <c r="AT328" i="19" s="1"/>
  <c r="AZ323" i="19"/>
  <c r="AY323" i="19"/>
  <c r="AX323" i="19"/>
  <c r="AR323" i="19"/>
  <c r="AT323" i="19" s="1"/>
  <c r="AZ318" i="19"/>
  <c r="AY318" i="19"/>
  <c r="AX318" i="19"/>
  <c r="AR318" i="19"/>
  <c r="AT318" i="19" s="1"/>
  <c r="AZ313" i="19"/>
  <c r="AY313" i="19"/>
  <c r="AX313" i="19"/>
  <c r="AR313" i="19"/>
  <c r="AT313" i="19" s="1"/>
  <c r="AZ308" i="19"/>
  <c r="AY308" i="19"/>
  <c r="AX308" i="19"/>
  <c r="AR308" i="19"/>
  <c r="AT308" i="19" s="1"/>
  <c r="AZ297" i="19"/>
  <c r="AY297" i="19"/>
  <c r="AX297" i="19"/>
  <c r="AR297" i="19"/>
  <c r="AT297" i="19" s="1"/>
  <c r="AZ272" i="19"/>
  <c r="AY272" i="19"/>
  <c r="AX272" i="19"/>
  <c r="AR272" i="19"/>
  <c r="AT272" i="19" s="1"/>
  <c r="AZ254" i="19"/>
  <c r="AY254" i="19"/>
  <c r="AX254" i="19"/>
  <c r="AR254" i="19"/>
  <c r="AT254" i="19" s="1"/>
  <c r="AZ250" i="19"/>
  <c r="AY250" i="19"/>
  <c r="AX250" i="19"/>
  <c r="AR250" i="19"/>
  <c r="AT250" i="19" s="1"/>
  <c r="AZ238" i="19"/>
  <c r="AY238" i="19"/>
  <c r="AX238" i="19"/>
  <c r="AR238" i="19"/>
  <c r="AT238" i="19" s="1"/>
  <c r="AZ234" i="19"/>
  <c r="AY234" i="19"/>
  <c r="AX234" i="19"/>
  <c r="AR234" i="19"/>
  <c r="AT234" i="19" s="1"/>
  <c r="AS234" i="19" s="1"/>
  <c r="AZ227" i="19"/>
  <c r="AY227" i="19"/>
  <c r="AX227" i="19"/>
  <c r="AR227" i="19"/>
  <c r="AT227" i="19" s="1"/>
  <c r="AZ223" i="19"/>
  <c r="AY223" i="19"/>
  <c r="AX223" i="19"/>
  <c r="AR223" i="19"/>
  <c r="AT223" i="19" s="1"/>
  <c r="AZ214" i="19"/>
  <c r="AY214" i="19"/>
  <c r="AX214" i="19"/>
  <c r="AR214" i="19"/>
  <c r="AT214" i="19" s="1"/>
  <c r="AS214" i="19" s="1"/>
  <c r="AZ211" i="19"/>
  <c r="AY211" i="19"/>
  <c r="AX211" i="19"/>
  <c r="AR211" i="19"/>
  <c r="AT211" i="19" s="1"/>
  <c r="AZ197" i="19"/>
  <c r="AY197" i="19"/>
  <c r="AX197" i="19"/>
  <c r="AR197" i="19"/>
  <c r="AT197" i="19" s="1"/>
  <c r="AS197" i="19" s="1"/>
  <c r="AZ185" i="19"/>
  <c r="AY185" i="19"/>
  <c r="AX185" i="19"/>
  <c r="AR185" i="19"/>
  <c r="AT185" i="19" s="1"/>
  <c r="AZ181" i="19"/>
  <c r="AY181" i="19"/>
  <c r="AX181" i="19"/>
  <c r="AR181" i="19"/>
  <c r="AT181" i="19" s="1"/>
  <c r="AZ173" i="19"/>
  <c r="AY173" i="19"/>
  <c r="AX173" i="19"/>
  <c r="AR173" i="19"/>
  <c r="AT173" i="19" s="1"/>
  <c r="AZ170" i="19"/>
  <c r="AY170" i="19"/>
  <c r="AX170" i="19"/>
  <c r="AR170" i="19"/>
  <c r="AT170" i="19" s="1"/>
  <c r="AZ168" i="19"/>
  <c r="AY168" i="19"/>
  <c r="AX168" i="19"/>
  <c r="AR168" i="19"/>
  <c r="AT168" i="19" s="1"/>
  <c r="AS168" i="19" s="1"/>
  <c r="AZ163" i="19"/>
  <c r="AY163" i="19"/>
  <c r="AX163" i="19"/>
  <c r="AR163" i="19"/>
  <c r="AT163" i="19" s="1"/>
  <c r="AZ153" i="19"/>
  <c r="AY153" i="19"/>
  <c r="AX153" i="19"/>
  <c r="AR153" i="19"/>
  <c r="AT153" i="19" s="1"/>
  <c r="AZ138" i="19"/>
  <c r="AY138" i="19"/>
  <c r="AX138" i="19"/>
  <c r="AR138" i="19"/>
  <c r="AT138" i="19" s="1"/>
  <c r="AS138" i="19" s="1"/>
  <c r="AZ135" i="19"/>
  <c r="AY135" i="19"/>
  <c r="AX135" i="19"/>
  <c r="AR135" i="19"/>
  <c r="AT135" i="19" s="1"/>
  <c r="AZ122" i="19"/>
  <c r="AY122" i="19"/>
  <c r="AX122" i="19"/>
  <c r="AR122" i="19"/>
  <c r="AT122" i="19" s="1"/>
  <c r="AZ117" i="19"/>
  <c r="AY117" i="19"/>
  <c r="AX117" i="19"/>
  <c r="AR117" i="19"/>
  <c r="AT117" i="19" s="1"/>
  <c r="AZ112" i="19"/>
  <c r="AY112" i="19"/>
  <c r="AX112" i="19"/>
  <c r="AR112" i="19"/>
  <c r="AT112" i="19" s="1"/>
  <c r="AS112" i="19" s="1"/>
  <c r="AZ97" i="19"/>
  <c r="AY97" i="19"/>
  <c r="AX97" i="19"/>
  <c r="AR97" i="19"/>
  <c r="AT97" i="19" s="1"/>
  <c r="AZ92" i="19"/>
  <c r="AY92" i="19"/>
  <c r="AX92" i="19"/>
  <c r="AR92" i="19"/>
  <c r="AT92" i="19" s="1"/>
  <c r="AZ82" i="19"/>
  <c r="AY82" i="19"/>
  <c r="AX82" i="19"/>
  <c r="AR82" i="19"/>
  <c r="AT82" i="19" s="1"/>
  <c r="AZ78" i="19"/>
  <c r="AY78" i="19"/>
  <c r="AX78" i="19"/>
  <c r="AR78" i="19"/>
  <c r="AT78" i="19" s="1"/>
  <c r="AZ63" i="19"/>
  <c r="AY63" i="19"/>
  <c r="AX63" i="19"/>
  <c r="AR63" i="19"/>
  <c r="AT63" i="19" s="1"/>
  <c r="AZ55" i="19"/>
  <c r="AY55" i="19"/>
  <c r="AX55" i="19"/>
  <c r="AR55" i="19"/>
  <c r="AT55" i="19" s="1"/>
  <c r="AZ45" i="19"/>
  <c r="AY45" i="19"/>
  <c r="AX45" i="19"/>
  <c r="AR45" i="19"/>
  <c r="AT45" i="19" s="1"/>
  <c r="AZ39" i="19"/>
  <c r="AY39" i="19"/>
  <c r="AX39" i="19"/>
  <c r="AR39" i="19"/>
  <c r="AT39" i="19" s="1"/>
  <c r="AZ24" i="19"/>
  <c r="AY24" i="19"/>
  <c r="AX24" i="19"/>
  <c r="AR24" i="19"/>
  <c r="AT24" i="19" s="1"/>
  <c r="B8" i="35" l="1"/>
  <c r="AS973" i="19"/>
  <c r="AS967" i="19"/>
  <c r="AS977" i="19"/>
  <c r="AS947" i="19"/>
  <c r="AS935" i="19"/>
  <c r="AS919" i="19"/>
  <c r="AS898" i="19"/>
  <c r="AS908" i="19"/>
  <c r="AS910" i="19"/>
  <c r="AS875" i="19"/>
  <c r="AS882" i="19"/>
  <c r="AS865" i="19"/>
  <c r="AS845" i="19"/>
  <c r="AS835" i="19"/>
  <c r="AS832" i="19"/>
  <c r="AS824" i="19"/>
  <c r="AS822" i="19"/>
  <c r="AS813" i="19"/>
  <c r="AS811" i="19"/>
  <c r="AS815" i="19"/>
  <c r="AS810" i="19"/>
  <c r="AS817" i="19"/>
  <c r="AS819" i="19"/>
  <c r="AS805" i="19"/>
  <c r="AS800" i="19"/>
  <c r="AS768" i="19"/>
  <c r="AS765" i="19"/>
  <c r="AS762" i="19"/>
  <c r="AS759" i="19"/>
  <c r="AS756" i="19"/>
  <c r="AS752" i="19"/>
  <c r="AS750" i="19"/>
  <c r="AS757" i="19"/>
  <c r="AS746" i="19"/>
  <c r="AS742" i="19"/>
  <c r="AS739" i="19"/>
  <c r="AS736" i="19"/>
  <c r="AS734" i="19"/>
  <c r="AS730" i="19"/>
  <c r="AS725" i="19"/>
  <c r="AS723" i="19"/>
  <c r="AS718" i="19"/>
  <c r="AS716" i="19"/>
  <c r="AS705" i="19"/>
  <c r="AS702" i="19"/>
  <c r="AS682" i="19"/>
  <c r="AS679" i="19"/>
  <c r="AS664" i="19"/>
  <c r="AS667" i="19"/>
  <c r="AS653" i="19"/>
  <c r="AS661" i="19"/>
  <c r="AS658" i="19"/>
  <c r="AS648" i="19"/>
  <c r="AS637" i="19"/>
  <c r="AS635" i="19"/>
  <c r="AS631" i="19"/>
  <c r="AS627" i="19"/>
  <c r="AS625" i="19"/>
  <c r="AS619" i="19"/>
  <c r="AS605" i="19"/>
  <c r="AS607" i="19"/>
  <c r="AS597" i="19"/>
  <c r="AS592" i="19"/>
  <c r="AS586" i="19"/>
  <c r="AS576" i="19"/>
  <c r="AS566" i="19"/>
  <c r="AS572" i="19"/>
  <c r="AS568" i="19"/>
  <c r="AS562" i="19"/>
  <c r="AS556" i="19"/>
  <c r="AS551" i="19"/>
  <c r="AS547" i="19"/>
  <c r="AS543" i="19"/>
  <c r="AS529" i="19"/>
  <c r="AS520" i="19"/>
  <c r="AS512" i="19"/>
  <c r="AS502" i="19"/>
  <c r="AS482" i="19"/>
  <c r="AS479" i="19"/>
  <c r="AS476" i="19"/>
  <c r="AS474" i="19"/>
  <c r="AS468" i="19"/>
  <c r="AS459" i="19"/>
  <c r="AS455" i="19"/>
  <c r="AS453" i="19"/>
  <c r="AS450" i="19"/>
  <c r="AS448" i="19"/>
  <c r="AS441" i="19"/>
  <c r="AS437" i="19"/>
  <c r="AS434" i="19"/>
  <c r="AS428" i="19"/>
  <c r="AS425" i="19"/>
  <c r="AS423" i="19"/>
  <c r="AS405" i="19"/>
  <c r="AS402" i="19"/>
  <c r="AS395" i="19"/>
  <c r="AS392" i="19"/>
  <c r="AS390" i="19"/>
  <c r="AS371" i="19"/>
  <c r="AS369" i="19"/>
  <c r="AS361" i="19"/>
  <c r="AS364" i="19"/>
  <c r="AS343" i="19"/>
  <c r="AS338" i="19"/>
  <c r="AS333" i="19"/>
  <c r="AS328" i="19"/>
  <c r="AS323" i="19"/>
  <c r="AS318" i="19"/>
  <c r="AS313" i="19"/>
  <c r="AS308" i="19"/>
  <c r="AS297" i="19"/>
  <c r="AS272" i="19"/>
  <c r="AS254" i="19"/>
  <c r="AS250" i="19"/>
  <c r="AS238" i="19"/>
  <c r="AS227" i="19"/>
  <c r="AS223" i="19"/>
  <c r="AS211" i="19"/>
  <c r="AS185" i="19"/>
  <c r="AS181" i="19"/>
  <c r="AS173" i="19"/>
  <c r="AS170" i="19"/>
  <c r="AS163" i="19"/>
  <c r="AS153" i="19"/>
  <c r="AS135" i="19"/>
  <c r="AS122" i="19"/>
  <c r="AS117" i="19"/>
  <c r="AS97" i="19"/>
  <c r="AS92" i="19"/>
  <c r="AS82" i="19"/>
  <c r="AS78" i="19"/>
  <c r="AS63" i="19"/>
  <c r="AS55" i="19"/>
  <c r="AS45" i="19"/>
  <c r="AS39" i="19"/>
  <c r="AS24" i="19"/>
  <c r="B9" i="35" l="1"/>
  <c r="AP977" i="19"/>
  <c r="AP967" i="19"/>
  <c r="AP973" i="19"/>
  <c r="AP947" i="19"/>
  <c r="AP935" i="19"/>
  <c r="AP898" i="19"/>
  <c r="AP908" i="19"/>
  <c r="AP910" i="19"/>
  <c r="AP885" i="19"/>
  <c r="AP824" i="19"/>
  <c r="AP826" i="19"/>
  <c r="AP822" i="19"/>
  <c r="AP810" i="19"/>
  <c r="AP780" i="19"/>
  <c r="AP768" i="19"/>
  <c r="AP754" i="19"/>
  <c r="AP750" i="19"/>
  <c r="AP756" i="19"/>
  <c r="AP757" i="19"/>
  <c r="AP752" i="19"/>
  <c r="AP723" i="19"/>
  <c r="AP718" i="19"/>
  <c r="AP664" i="19"/>
  <c r="AP637" i="19"/>
  <c r="AP619" i="19"/>
  <c r="AP607" i="19"/>
  <c r="AP597" i="19"/>
  <c r="AP592" i="19"/>
  <c r="AP556" i="19"/>
  <c r="AP529" i="19"/>
  <c r="AP512" i="19"/>
  <c r="AP479" i="19"/>
  <c r="AP453" i="19"/>
  <c r="AP450" i="19"/>
  <c r="AP434" i="19"/>
  <c r="AP425" i="19"/>
  <c r="AP405" i="19"/>
  <c r="AP392" i="19"/>
  <c r="AP364" i="19"/>
  <c r="AP318" i="19"/>
  <c r="AP308" i="19"/>
  <c r="AP211" i="19"/>
  <c r="AP181" i="19"/>
  <c r="AP168" i="19"/>
  <c r="AP117" i="19"/>
  <c r="AP92" i="19"/>
  <c r="AP24" i="19"/>
  <c r="B10" i="35" l="1"/>
  <c r="AR4" i="19"/>
  <c r="D2" i="32"/>
  <c r="B11" i="35" l="1"/>
  <c r="B12" i="35" s="1"/>
  <c r="B13" i="35" s="1"/>
  <c r="B14" i="35" s="1"/>
  <c r="B15" i="35" s="1"/>
  <c r="B16" i="35" s="1"/>
  <c r="B17" i="35" s="1"/>
  <c r="B18" i="35" s="1"/>
  <c r="B19" i="35" s="1"/>
  <c r="B20" i="35" s="1"/>
  <c r="B21" i="35" s="1"/>
  <c r="B22" i="35" s="1"/>
  <c r="B23" i="35" s="1"/>
  <c r="B24" i="35" s="1"/>
  <c r="B25" i="35" s="1"/>
  <c r="B26" i="35" s="1"/>
  <c r="B27" i="35" s="1"/>
  <c r="B28" i="35" s="1"/>
  <c r="B29" i="35" s="1"/>
  <c r="B30" i="35" s="1"/>
  <c r="B31" i="35" s="1"/>
  <c r="B32" i="35" s="1"/>
  <c r="B33" i="35" s="1"/>
  <c r="B34" i="35" s="1"/>
  <c r="D16" i="32"/>
  <c r="B35" i="35" l="1"/>
  <c r="A15" i="32"/>
  <c r="AH18" i="19"/>
  <c r="D127" i="32"/>
  <c r="D14" i="32"/>
  <c r="B36" i="35" l="1"/>
  <c r="S784" i="19"/>
  <c r="S407" i="19"/>
  <c r="S531" i="19"/>
  <c r="S783" i="19"/>
  <c r="S394" i="19"/>
  <c r="S530" i="19"/>
  <c r="S782" i="19"/>
  <c r="S393" i="19"/>
  <c r="S528" i="19"/>
  <c r="S781" i="19"/>
  <c r="S389" i="19"/>
  <c r="S527" i="19"/>
  <c r="S602" i="19"/>
  <c r="S644" i="19"/>
  <c r="S749" i="19"/>
  <c r="S376" i="19"/>
  <c r="S698" i="19"/>
  <c r="S887" i="19"/>
  <c r="S435" i="19"/>
  <c r="S697" i="19"/>
  <c r="S886" i="19"/>
  <c r="S433" i="19"/>
  <c r="S681" i="19"/>
  <c r="S840" i="19"/>
  <c r="S414" i="19"/>
  <c r="S695" i="19"/>
  <c r="S883" i="19"/>
  <c r="S431" i="19"/>
  <c r="S854" i="19"/>
  <c r="S510" i="19"/>
  <c r="S615" i="19"/>
  <c r="S888" i="19"/>
  <c r="S656" i="19"/>
  <c r="S761" i="19"/>
  <c r="S391" i="19"/>
  <c r="S771" i="19"/>
  <c r="S906" i="19"/>
  <c r="S471" i="19"/>
  <c r="S770" i="19"/>
  <c r="S905" i="19"/>
  <c r="S467" i="19"/>
  <c r="S769" i="19"/>
  <c r="S904" i="19"/>
  <c r="S466" i="19"/>
  <c r="S758" i="19"/>
  <c r="S903" i="19"/>
  <c r="S462" i="19"/>
  <c r="S436" i="19"/>
  <c r="S595" i="19"/>
  <c r="S717" i="19"/>
  <c r="S738" i="19"/>
  <c r="S684" i="19"/>
  <c r="S842" i="19"/>
  <c r="S417" i="19"/>
  <c r="S683" i="19"/>
  <c r="S841" i="19"/>
  <c r="S416" i="19"/>
  <c r="S668" i="19"/>
  <c r="S766" i="19"/>
  <c r="S398" i="19"/>
  <c r="S680" i="19"/>
  <c r="S839" i="19"/>
  <c r="S413" i="19"/>
  <c r="S829" i="19"/>
  <c r="S497" i="19"/>
  <c r="S574" i="19"/>
  <c r="S623" i="19"/>
  <c r="S612" i="19"/>
  <c r="S733" i="19"/>
  <c r="S806" i="19"/>
  <c r="S711" i="19"/>
  <c r="S893" i="19"/>
  <c r="S444" i="19"/>
  <c r="S709" i="19"/>
  <c r="S892" i="19"/>
  <c r="S442" i="19"/>
  <c r="S707" i="19"/>
  <c r="S891" i="19"/>
  <c r="S440" i="19"/>
  <c r="S704" i="19"/>
  <c r="S890" i="19"/>
  <c r="S439" i="19"/>
  <c r="S873" i="19"/>
  <c r="S581" i="19"/>
  <c r="S650" i="19"/>
  <c r="S380" i="19"/>
  <c r="S670" i="19"/>
  <c r="S812" i="19"/>
  <c r="S400" i="19"/>
  <c r="S669" i="19"/>
  <c r="S767" i="19"/>
  <c r="S399" i="19"/>
  <c r="S632" i="19"/>
  <c r="S741" i="19"/>
  <c r="S368" i="19"/>
  <c r="S665" i="19"/>
  <c r="S764" i="19"/>
  <c r="S397" i="19"/>
  <c r="S799" i="19"/>
  <c r="S484" i="19"/>
  <c r="S554" i="19"/>
  <c r="S458" i="19"/>
  <c r="S587" i="19"/>
  <c r="S659" i="19"/>
  <c r="S489" i="19"/>
  <c r="S690" i="19"/>
  <c r="S879" i="19"/>
  <c r="S427" i="19"/>
  <c r="S689" i="19"/>
  <c r="S878" i="19"/>
  <c r="S426" i="19"/>
  <c r="S688" i="19"/>
  <c r="S877" i="19"/>
  <c r="S424" i="19"/>
  <c r="S687" i="19"/>
  <c r="S876" i="19"/>
  <c r="S421" i="19"/>
  <c r="S860" i="19"/>
  <c r="S517" i="19"/>
  <c r="S624" i="19"/>
  <c r="S712" i="19"/>
  <c r="S640" i="19"/>
  <c r="S745" i="19"/>
  <c r="S372" i="19"/>
  <c r="S633" i="19"/>
  <c r="S743" i="19"/>
  <c r="S370" i="19"/>
  <c r="S590" i="19"/>
  <c r="S666" i="19"/>
  <c r="S700" i="19"/>
  <c r="S622" i="19"/>
  <c r="S737" i="19"/>
  <c r="S366" i="19"/>
  <c r="S786" i="19"/>
  <c r="S422" i="19"/>
  <c r="S533" i="19"/>
  <c r="S866" i="19"/>
  <c r="S552" i="19"/>
  <c r="S634" i="19"/>
  <c r="S747" i="19"/>
  <c r="S676" i="19"/>
  <c r="S836" i="19"/>
  <c r="S410" i="19"/>
  <c r="S675" i="19"/>
  <c r="S825" i="19"/>
  <c r="S409" i="19"/>
  <c r="S674" i="19"/>
  <c r="S821" i="19"/>
  <c r="S406" i="19"/>
  <c r="S673" i="19"/>
  <c r="S818" i="19"/>
  <c r="S404" i="19"/>
  <c r="S847" i="19"/>
  <c r="S504" i="19"/>
  <c r="S603" i="19"/>
  <c r="S524" i="19"/>
  <c r="S593" i="19"/>
  <c r="S706" i="19"/>
  <c r="S685" i="19"/>
  <c r="S591" i="19"/>
  <c r="S701" i="19"/>
  <c r="S869" i="19"/>
  <c r="S577" i="19"/>
  <c r="S639" i="19"/>
  <c r="S374" i="19"/>
  <c r="S589" i="19"/>
  <c r="S663" i="19"/>
  <c r="S872" i="19"/>
  <c r="S773" i="19"/>
  <c r="S215" i="19"/>
  <c r="S477" i="19"/>
  <c r="S853" i="19"/>
  <c r="S509" i="19"/>
  <c r="S614" i="19"/>
  <c r="S540" i="19"/>
  <c r="S655" i="19"/>
  <c r="S760" i="19"/>
  <c r="S386" i="19"/>
  <c r="S647" i="19"/>
  <c r="S755" i="19"/>
  <c r="S384" i="19"/>
  <c r="S646" i="19"/>
  <c r="S753" i="19"/>
  <c r="S382" i="19"/>
  <c r="S645" i="19"/>
  <c r="S751" i="19"/>
  <c r="S378" i="19"/>
  <c r="S807" i="19"/>
  <c r="S490" i="19"/>
  <c r="S563" i="19"/>
  <c r="S871" i="19"/>
  <c r="S579" i="19"/>
  <c r="S643" i="19"/>
  <c r="S870" i="19"/>
  <c r="S578" i="19"/>
  <c r="S641" i="19"/>
  <c r="S856" i="19"/>
  <c r="S513" i="19"/>
  <c r="S618" i="19"/>
  <c r="S868" i="19"/>
  <c r="S573" i="19"/>
  <c r="S638" i="19"/>
  <c r="S594" i="19"/>
  <c r="S715" i="19"/>
  <c r="S895" i="19"/>
  <c r="S451" i="19"/>
  <c r="S828" i="19"/>
  <c r="S496" i="19"/>
  <c r="S571" i="19"/>
  <c r="S401" i="19"/>
  <c r="S611" i="19"/>
  <c r="S731" i="19"/>
  <c r="S859" i="19"/>
  <c r="S608" i="19"/>
  <c r="S728" i="19"/>
  <c r="S846" i="19"/>
  <c r="S601" i="19"/>
  <c r="S726" i="19"/>
  <c r="S792" i="19"/>
  <c r="S596" i="19"/>
  <c r="S724" i="19"/>
  <c r="S778" i="19"/>
  <c r="S793" i="19"/>
  <c r="S465" i="19"/>
  <c r="S542" i="19"/>
  <c r="S858" i="19"/>
  <c r="S515" i="19"/>
  <c r="S621" i="19"/>
  <c r="S857" i="19"/>
  <c r="S514" i="19"/>
  <c r="S620" i="19"/>
  <c r="S831" i="19"/>
  <c r="S499" i="19"/>
  <c r="S598" i="19"/>
  <c r="S855" i="19"/>
  <c r="S511" i="19"/>
  <c r="S617" i="19"/>
  <c r="S464" i="19"/>
  <c r="S694" i="19"/>
  <c r="S881" i="19"/>
  <c r="S430" i="19"/>
  <c r="S798" i="19"/>
  <c r="S483" i="19"/>
  <c r="S553" i="19"/>
  <c r="T19" i="19"/>
  <c r="S827" i="19"/>
  <c r="S585" i="19"/>
  <c r="S657" i="19"/>
  <c r="S693" i="19"/>
  <c r="S584" i="19"/>
  <c r="S654" i="19"/>
  <c r="S692" i="19"/>
  <c r="S583" i="19"/>
  <c r="S652" i="19"/>
  <c r="S874" i="19"/>
  <c r="S582" i="19"/>
  <c r="S651" i="19"/>
  <c r="S642" i="19"/>
  <c r="S779" i="19"/>
  <c r="S388" i="19"/>
  <c r="S526" i="19"/>
  <c r="S834" i="19"/>
  <c r="S501" i="19"/>
  <c r="S600" i="19"/>
  <c r="S833" i="19"/>
  <c r="S500" i="19"/>
  <c r="S599" i="19"/>
  <c r="S802" i="19"/>
  <c r="S486" i="19"/>
  <c r="S557" i="19"/>
  <c r="S830" i="19"/>
  <c r="S498" i="19"/>
  <c r="S575" i="19"/>
  <c r="S843" i="19"/>
  <c r="S678" i="19"/>
  <c r="S838" i="19"/>
  <c r="S412" i="19"/>
  <c r="S785" i="19"/>
  <c r="S415" i="19"/>
  <c r="S532" i="19"/>
  <c r="T18" i="19"/>
  <c r="S864" i="19"/>
  <c r="S546" i="19"/>
  <c r="S630" i="19"/>
  <c r="S863" i="19"/>
  <c r="S522" i="19"/>
  <c r="S629" i="19"/>
  <c r="S862" i="19"/>
  <c r="S519" i="19"/>
  <c r="S628" i="19"/>
  <c r="S861" i="19"/>
  <c r="S518" i="19"/>
  <c r="S626" i="19"/>
  <c r="S580" i="19"/>
  <c r="S740" i="19"/>
  <c r="S902" i="19"/>
  <c r="S461" i="19"/>
  <c r="S804" i="19"/>
  <c r="S488" i="19"/>
  <c r="S560" i="19"/>
  <c r="S803" i="19"/>
  <c r="S487" i="19"/>
  <c r="S558" i="19"/>
  <c r="S789" i="19"/>
  <c r="S447" i="19"/>
  <c r="S536" i="19"/>
  <c r="S801" i="19"/>
  <c r="S485" i="19"/>
  <c r="S555" i="19"/>
  <c r="S649" i="19"/>
  <c r="S660" i="19"/>
  <c r="S763" i="19"/>
  <c r="S396" i="19"/>
  <c r="S772" i="19"/>
  <c r="S907" i="19"/>
  <c r="S472" i="19"/>
  <c r="S852" i="19"/>
  <c r="S508" i="19"/>
  <c r="S610" i="19"/>
  <c r="S851" i="19"/>
  <c r="S507" i="19"/>
  <c r="S609" i="19"/>
  <c r="S850" i="19"/>
  <c r="S506" i="19"/>
  <c r="S606" i="19"/>
  <c r="S849" i="19"/>
  <c r="S505" i="19"/>
  <c r="S604" i="19"/>
  <c r="S503" i="19"/>
  <c r="S703" i="19"/>
  <c r="S889" i="19"/>
  <c r="S438" i="19"/>
  <c r="S791" i="19"/>
  <c r="S460" i="19"/>
  <c r="S539" i="19"/>
  <c r="S790" i="19"/>
  <c r="S449" i="19"/>
  <c r="S538" i="19"/>
  <c r="S775" i="19"/>
  <c r="S217" i="19"/>
  <c r="S481" i="19"/>
  <c r="S788" i="19"/>
  <c r="S446" i="19"/>
  <c r="S534" i="19"/>
  <c r="S561" i="19"/>
  <c r="S616" i="19"/>
  <c r="S735" i="19"/>
  <c r="S365" i="19"/>
  <c r="S714" i="19"/>
  <c r="S894" i="19"/>
  <c r="S445" i="19"/>
  <c r="S823" i="19"/>
  <c r="S495" i="19"/>
  <c r="S570" i="19"/>
  <c r="S820" i="19"/>
  <c r="S494" i="19"/>
  <c r="S569" i="19"/>
  <c r="S809" i="19"/>
  <c r="S493" i="19"/>
  <c r="S565" i="19"/>
  <c r="S808" i="19"/>
  <c r="S492" i="19"/>
  <c r="S564" i="19"/>
  <c r="S901" i="19"/>
  <c r="S686" i="19"/>
  <c r="S844" i="19"/>
  <c r="S420" i="19"/>
  <c r="S777" i="19"/>
  <c r="S220" i="19"/>
  <c r="S523" i="19"/>
  <c r="S776" i="19"/>
  <c r="S219" i="19"/>
  <c r="S521" i="19"/>
  <c r="S720" i="19"/>
  <c r="S897" i="19"/>
  <c r="S454" i="19"/>
  <c r="S774" i="19"/>
  <c r="S216" i="19"/>
  <c r="S478" i="19"/>
  <c r="S418" i="19"/>
  <c r="S588" i="19"/>
  <c r="S662" i="19"/>
  <c r="S671" i="19"/>
  <c r="S691" i="19"/>
  <c r="S880" i="19"/>
  <c r="S429" i="19"/>
  <c r="S797" i="19"/>
  <c r="S480" i="19"/>
  <c r="S550" i="19"/>
  <c r="S796" i="19"/>
  <c r="S475" i="19"/>
  <c r="S549" i="19"/>
  <c r="S795" i="19"/>
  <c r="S473" i="19"/>
  <c r="S548" i="19"/>
  <c r="S794" i="19"/>
  <c r="S469" i="19"/>
  <c r="S544" i="19"/>
  <c r="S814" i="19"/>
  <c r="S672" i="19"/>
  <c r="S816" i="19"/>
  <c r="S403" i="19"/>
  <c r="S722" i="19"/>
  <c r="S900" i="19"/>
  <c r="S457" i="19"/>
  <c r="S721" i="19"/>
  <c r="S899" i="19"/>
  <c r="S456" i="19"/>
  <c r="S696" i="19"/>
  <c r="S884" i="19"/>
  <c r="S432" i="19"/>
  <c r="S719" i="19"/>
  <c r="S896" i="19"/>
  <c r="S452" i="19"/>
  <c r="S867" i="19"/>
  <c r="S567" i="19"/>
  <c r="S636" i="19"/>
  <c r="S516" i="19"/>
  <c r="S677" i="19"/>
  <c r="S837" i="19"/>
  <c r="S411" i="19"/>
  <c r="D986" i="19"/>
  <c r="C17" i="19"/>
  <c r="L15" i="32"/>
  <c r="K15" i="32"/>
  <c r="J15" i="32"/>
  <c r="I15" i="32"/>
  <c r="H15" i="32"/>
  <c r="G15" i="32"/>
  <c r="F15" i="32"/>
  <c r="E15" i="32"/>
  <c r="D15" i="32"/>
  <c r="C15" i="32"/>
  <c r="B15" i="32"/>
  <c r="B37" i="35" l="1"/>
  <c r="AZ748" i="19"/>
  <c r="AY748" i="19"/>
  <c r="AX748" i="19"/>
  <c r="AR748" i="19"/>
  <c r="AT748" i="19" s="1"/>
  <c r="AZ732" i="19"/>
  <c r="AY732" i="19"/>
  <c r="AX732" i="19"/>
  <c r="AR732" i="19"/>
  <c r="AT732" i="19" s="1"/>
  <c r="AZ729" i="19"/>
  <c r="AY729" i="19"/>
  <c r="AX729" i="19"/>
  <c r="AR729" i="19"/>
  <c r="AT729" i="19" s="1"/>
  <c r="AS729" i="19" s="1"/>
  <c r="AZ727" i="19"/>
  <c r="AY727" i="19"/>
  <c r="AX727" i="19"/>
  <c r="AR727" i="19"/>
  <c r="AT727" i="19" s="1"/>
  <c r="AZ713" i="19"/>
  <c r="AY713" i="19"/>
  <c r="AX713" i="19"/>
  <c r="AR713" i="19"/>
  <c r="AT713" i="19" s="1"/>
  <c r="AZ710" i="19"/>
  <c r="AY710" i="19"/>
  <c r="AX710" i="19"/>
  <c r="AR710" i="19"/>
  <c r="AT710" i="19" s="1"/>
  <c r="AZ708" i="19"/>
  <c r="AY708" i="19"/>
  <c r="AX708" i="19"/>
  <c r="AR708" i="19"/>
  <c r="AT708" i="19" s="1"/>
  <c r="AZ699" i="19"/>
  <c r="AY699" i="19"/>
  <c r="AX699" i="19"/>
  <c r="AR699" i="19"/>
  <c r="AT699" i="19" s="1"/>
  <c r="AZ559" i="19"/>
  <c r="AY559" i="19"/>
  <c r="AX559" i="19"/>
  <c r="AR559" i="19"/>
  <c r="AT559" i="19" s="1"/>
  <c r="AZ545" i="19"/>
  <c r="AY545" i="19"/>
  <c r="AX545" i="19"/>
  <c r="AR545" i="19"/>
  <c r="AT545" i="19" s="1"/>
  <c r="AZ537" i="19"/>
  <c r="AY537" i="19"/>
  <c r="AX537" i="19"/>
  <c r="AR537" i="19"/>
  <c r="AT537" i="19" s="1"/>
  <c r="AS537" i="19" s="1"/>
  <c r="AZ525" i="19"/>
  <c r="AY525" i="19"/>
  <c r="AX525" i="19"/>
  <c r="AR525" i="19"/>
  <c r="AT525" i="19" s="1"/>
  <c r="AZ387" i="19"/>
  <c r="AY387" i="19"/>
  <c r="AX387" i="19"/>
  <c r="AR387" i="19"/>
  <c r="AT387" i="19" s="1"/>
  <c r="AZ385" i="19"/>
  <c r="AY385" i="19"/>
  <c r="AX385" i="19"/>
  <c r="AR385" i="19"/>
  <c r="AT385" i="19" s="1"/>
  <c r="AZ381" i="19"/>
  <c r="AY381" i="19"/>
  <c r="AX381" i="19"/>
  <c r="AR381" i="19"/>
  <c r="AT381" i="19" s="1"/>
  <c r="AZ379" i="19"/>
  <c r="AY379" i="19"/>
  <c r="AX379" i="19"/>
  <c r="AR379" i="19"/>
  <c r="AT379" i="19" s="1"/>
  <c r="AZ377" i="19"/>
  <c r="AY377" i="19"/>
  <c r="AX377" i="19"/>
  <c r="AR377" i="19"/>
  <c r="AT377" i="19" s="1"/>
  <c r="AZ375" i="19"/>
  <c r="AY375" i="19"/>
  <c r="AX375" i="19"/>
  <c r="AR375" i="19"/>
  <c r="AT375" i="19" s="1"/>
  <c r="AZ367" i="19"/>
  <c r="AY367" i="19"/>
  <c r="AX367" i="19"/>
  <c r="AR367" i="19"/>
  <c r="AT367" i="19" s="1"/>
  <c r="AZ259" i="19"/>
  <c r="AY259" i="19"/>
  <c r="AX259" i="19"/>
  <c r="AR259" i="19"/>
  <c r="AT259" i="19" s="1"/>
  <c r="AZ218" i="19"/>
  <c r="AY218" i="19"/>
  <c r="AX218" i="19"/>
  <c r="AR218" i="19"/>
  <c r="AT218" i="19" s="1"/>
  <c r="AZ206" i="19"/>
  <c r="AY206" i="19"/>
  <c r="AX206" i="19"/>
  <c r="AR206" i="19"/>
  <c r="AT206" i="19" s="1"/>
  <c r="AZ128" i="19"/>
  <c r="AY128" i="19"/>
  <c r="AX128" i="19"/>
  <c r="AR128" i="19"/>
  <c r="AT128" i="19" s="1"/>
  <c r="B38" i="35" l="1"/>
  <c r="AS748" i="19"/>
  <c r="AS727" i="19"/>
  <c r="AS732" i="19"/>
  <c r="AS708" i="19"/>
  <c r="AS710" i="19"/>
  <c r="AS713" i="19"/>
  <c r="AS699" i="19"/>
  <c r="AS559" i="19"/>
  <c r="AS545" i="19"/>
  <c r="AS525" i="19"/>
  <c r="AS387" i="19"/>
  <c r="AS385" i="19"/>
  <c r="AS381" i="19"/>
  <c r="AS377" i="19"/>
  <c r="AS379" i="19"/>
  <c r="AS375" i="19"/>
  <c r="AS367" i="19"/>
  <c r="AS259" i="19"/>
  <c r="AS218" i="19"/>
  <c r="AS206" i="19"/>
  <c r="AS128" i="19"/>
  <c r="B39" i="35" l="1"/>
  <c r="C981" i="55"/>
  <c r="C980" i="55"/>
  <c r="C979" i="55"/>
  <c r="C978" i="55"/>
  <c r="C977" i="55"/>
  <c r="C976" i="55"/>
  <c r="C975" i="55"/>
  <c r="C974" i="55"/>
  <c r="C973" i="55"/>
  <c r="C972" i="55"/>
  <c r="C971" i="55"/>
  <c r="C970" i="55"/>
  <c r="C969" i="55"/>
  <c r="C968" i="55"/>
  <c r="C967" i="55"/>
  <c r="C966" i="55"/>
  <c r="C965" i="55"/>
  <c r="C964" i="55"/>
  <c r="C963" i="55"/>
  <c r="C962" i="55"/>
  <c r="C961" i="55"/>
  <c r="C960" i="55"/>
  <c r="C959" i="55"/>
  <c r="C958" i="55"/>
  <c r="C957" i="55"/>
  <c r="C956" i="55"/>
  <c r="C955" i="55"/>
  <c r="C954" i="55"/>
  <c r="C953" i="55"/>
  <c r="C952" i="55"/>
  <c r="C951" i="55"/>
  <c r="C950" i="55"/>
  <c r="C949" i="55"/>
  <c r="C948" i="55"/>
  <c r="C947" i="55"/>
  <c r="C946" i="55"/>
  <c r="C945" i="55"/>
  <c r="C944" i="55"/>
  <c r="C943" i="55"/>
  <c r="C942" i="55"/>
  <c r="C941" i="55"/>
  <c r="C940" i="55"/>
  <c r="C939" i="55"/>
  <c r="C938" i="55"/>
  <c r="C937" i="55"/>
  <c r="C936" i="55"/>
  <c r="C935" i="55"/>
  <c r="C934" i="55"/>
  <c r="C933" i="55"/>
  <c r="C932" i="55"/>
  <c r="C931" i="55"/>
  <c r="C930" i="55"/>
  <c r="C929" i="55"/>
  <c r="C928" i="55"/>
  <c r="C927" i="55"/>
  <c r="C926" i="55"/>
  <c r="C925" i="55"/>
  <c r="C924" i="55"/>
  <c r="C923" i="55"/>
  <c r="C922" i="55"/>
  <c r="C921" i="55"/>
  <c r="C920" i="55"/>
  <c r="C919" i="55"/>
  <c r="C918" i="55"/>
  <c r="C917" i="55"/>
  <c r="C916" i="55"/>
  <c r="C915" i="55"/>
  <c r="C914" i="55"/>
  <c r="C913" i="55"/>
  <c r="C912" i="55"/>
  <c r="C911" i="55"/>
  <c r="C910" i="55"/>
  <c r="C909" i="55"/>
  <c r="C908" i="55"/>
  <c r="C907" i="55"/>
  <c r="C906" i="55"/>
  <c r="C905" i="55"/>
  <c r="C904" i="55"/>
  <c r="C903" i="55"/>
  <c r="C902" i="55"/>
  <c r="C901" i="55"/>
  <c r="C900" i="55"/>
  <c r="C899" i="55"/>
  <c r="C898" i="55"/>
  <c r="C897" i="55"/>
  <c r="C896" i="55"/>
  <c r="C895" i="55"/>
  <c r="C894" i="55"/>
  <c r="C893" i="55"/>
  <c r="C892" i="55"/>
  <c r="C891" i="55"/>
  <c r="C890" i="55"/>
  <c r="C889" i="55"/>
  <c r="C888" i="55"/>
  <c r="C887" i="55"/>
  <c r="C886" i="55"/>
  <c r="C885" i="55"/>
  <c r="C884" i="55"/>
  <c r="C883" i="55"/>
  <c r="C882" i="55"/>
  <c r="C881" i="55"/>
  <c r="C880" i="55"/>
  <c r="C879" i="55"/>
  <c r="C878" i="55"/>
  <c r="C877" i="55"/>
  <c r="C876" i="55"/>
  <c r="C875" i="55"/>
  <c r="C874" i="55"/>
  <c r="C873" i="55"/>
  <c r="C872" i="55"/>
  <c r="C871" i="55"/>
  <c r="C870" i="55"/>
  <c r="C869" i="55"/>
  <c r="C868" i="55"/>
  <c r="C867" i="55"/>
  <c r="C866" i="55"/>
  <c r="C865" i="55"/>
  <c r="C864" i="55"/>
  <c r="C863" i="55"/>
  <c r="C862" i="55"/>
  <c r="C861" i="55"/>
  <c r="C860" i="55"/>
  <c r="C859" i="55"/>
  <c r="C858" i="55"/>
  <c r="C857" i="55"/>
  <c r="C856" i="55"/>
  <c r="C855" i="55"/>
  <c r="C854" i="55"/>
  <c r="C853" i="55"/>
  <c r="C852" i="55"/>
  <c r="C851" i="55"/>
  <c r="C850" i="55"/>
  <c r="C849" i="55"/>
  <c r="C848" i="55"/>
  <c r="C847" i="55"/>
  <c r="C846" i="55"/>
  <c r="C845" i="55"/>
  <c r="C844" i="55"/>
  <c r="C843" i="55"/>
  <c r="C842" i="55"/>
  <c r="C841" i="55"/>
  <c r="C840" i="55"/>
  <c r="C839" i="55"/>
  <c r="C838" i="55"/>
  <c r="C837" i="55"/>
  <c r="C836" i="55"/>
  <c r="C835" i="55"/>
  <c r="C834" i="55"/>
  <c r="C833" i="55"/>
  <c r="C832" i="55"/>
  <c r="C831" i="55"/>
  <c r="C830" i="55"/>
  <c r="C829" i="55"/>
  <c r="C828" i="55"/>
  <c r="C827" i="55"/>
  <c r="C826" i="55"/>
  <c r="C825" i="55"/>
  <c r="C824" i="55"/>
  <c r="C823" i="55"/>
  <c r="C822" i="55"/>
  <c r="C821" i="55"/>
  <c r="C820" i="55"/>
  <c r="C819" i="55"/>
  <c r="C818" i="55"/>
  <c r="C817" i="55"/>
  <c r="C816" i="55"/>
  <c r="C815" i="55"/>
  <c r="C814" i="55"/>
  <c r="C813" i="55"/>
  <c r="C812" i="55"/>
  <c r="C811" i="55"/>
  <c r="C810" i="55"/>
  <c r="C809" i="55"/>
  <c r="C808" i="55"/>
  <c r="C807" i="55"/>
  <c r="C806" i="55"/>
  <c r="C805" i="55"/>
  <c r="C804" i="55"/>
  <c r="C803" i="55"/>
  <c r="C802" i="55"/>
  <c r="C801" i="55"/>
  <c r="C800" i="55"/>
  <c r="C799" i="55"/>
  <c r="C798" i="55"/>
  <c r="C797" i="55"/>
  <c r="C796" i="55"/>
  <c r="C795" i="55"/>
  <c r="C794" i="55"/>
  <c r="C793" i="55"/>
  <c r="C792" i="55"/>
  <c r="C791" i="55"/>
  <c r="C790" i="55"/>
  <c r="C789" i="55"/>
  <c r="C788" i="55"/>
  <c r="C787" i="55"/>
  <c r="C786" i="55"/>
  <c r="C785" i="55"/>
  <c r="C784" i="55"/>
  <c r="C783" i="55"/>
  <c r="C782" i="55"/>
  <c r="C781" i="55"/>
  <c r="C780" i="55"/>
  <c r="C779" i="55"/>
  <c r="C778" i="55"/>
  <c r="C777" i="55"/>
  <c r="C776" i="55"/>
  <c r="C775" i="55"/>
  <c r="C774" i="55"/>
  <c r="C773" i="55"/>
  <c r="C772" i="55"/>
  <c r="C771" i="55"/>
  <c r="C770" i="55"/>
  <c r="C769" i="55"/>
  <c r="C768" i="55"/>
  <c r="C767" i="55"/>
  <c r="C766" i="55"/>
  <c r="C765" i="55"/>
  <c r="C764" i="55"/>
  <c r="C763" i="55"/>
  <c r="C762" i="55"/>
  <c r="C761" i="55"/>
  <c r="C760" i="55"/>
  <c r="C759" i="55"/>
  <c r="C758" i="55"/>
  <c r="C757" i="55"/>
  <c r="C756" i="55"/>
  <c r="C755" i="55"/>
  <c r="C754" i="55"/>
  <c r="C753" i="55"/>
  <c r="C752" i="55"/>
  <c r="C751" i="55"/>
  <c r="C750" i="55"/>
  <c r="C749" i="55"/>
  <c r="C748" i="55"/>
  <c r="C747" i="55"/>
  <c r="C746" i="55"/>
  <c r="C745" i="55"/>
  <c r="C744" i="55"/>
  <c r="C743" i="55"/>
  <c r="C742" i="55"/>
  <c r="C741" i="55"/>
  <c r="C740" i="55"/>
  <c r="C739" i="55"/>
  <c r="C738" i="55"/>
  <c r="C737" i="55"/>
  <c r="C736" i="55"/>
  <c r="C735" i="55"/>
  <c r="C734" i="55"/>
  <c r="C733" i="55"/>
  <c r="C732" i="55"/>
  <c r="C731" i="55"/>
  <c r="C730" i="55"/>
  <c r="C729" i="55"/>
  <c r="C728" i="55"/>
  <c r="C727" i="55"/>
  <c r="C726" i="55"/>
  <c r="C725" i="55"/>
  <c r="C724" i="55"/>
  <c r="C723" i="55"/>
  <c r="C722" i="55"/>
  <c r="C721" i="55"/>
  <c r="C720" i="55"/>
  <c r="C719" i="55"/>
  <c r="C718" i="55"/>
  <c r="C717" i="55"/>
  <c r="C716" i="55"/>
  <c r="C715" i="55"/>
  <c r="C714" i="55"/>
  <c r="C713" i="55"/>
  <c r="C712" i="55"/>
  <c r="C711" i="55"/>
  <c r="C710" i="55"/>
  <c r="C709" i="55"/>
  <c r="C708" i="55"/>
  <c r="C707" i="55"/>
  <c r="C706" i="55"/>
  <c r="C705" i="55"/>
  <c r="C704" i="55"/>
  <c r="C703" i="55"/>
  <c r="C702" i="55"/>
  <c r="C701" i="55"/>
  <c r="C700" i="55"/>
  <c r="C699" i="55"/>
  <c r="C698" i="55"/>
  <c r="C697" i="55"/>
  <c r="C696" i="55"/>
  <c r="C695" i="55"/>
  <c r="C694" i="55"/>
  <c r="C693" i="55"/>
  <c r="C692" i="55"/>
  <c r="C691" i="55"/>
  <c r="C690" i="55"/>
  <c r="C689" i="55"/>
  <c r="C688" i="55"/>
  <c r="C687" i="55"/>
  <c r="C686" i="55"/>
  <c r="C685" i="55"/>
  <c r="C684" i="55"/>
  <c r="C683" i="55"/>
  <c r="C682" i="55"/>
  <c r="C681" i="55"/>
  <c r="C680" i="55"/>
  <c r="C679" i="55"/>
  <c r="C678" i="55"/>
  <c r="C677" i="55"/>
  <c r="C676" i="55"/>
  <c r="C675" i="55"/>
  <c r="C674" i="55"/>
  <c r="C673" i="55"/>
  <c r="C672" i="55"/>
  <c r="C671" i="55"/>
  <c r="C670" i="55"/>
  <c r="C669" i="55"/>
  <c r="C668" i="55"/>
  <c r="C667" i="55"/>
  <c r="C666" i="55"/>
  <c r="C665" i="55"/>
  <c r="C664" i="55"/>
  <c r="C663" i="55"/>
  <c r="C662" i="55"/>
  <c r="C661" i="55"/>
  <c r="C660" i="55"/>
  <c r="C659" i="55"/>
  <c r="C658" i="55"/>
  <c r="C657" i="55"/>
  <c r="C656" i="55"/>
  <c r="C655" i="55"/>
  <c r="C654" i="55"/>
  <c r="C653" i="55"/>
  <c r="C652" i="55"/>
  <c r="C651" i="55"/>
  <c r="C650" i="55"/>
  <c r="C649" i="55"/>
  <c r="C648" i="55"/>
  <c r="C647" i="55"/>
  <c r="C646" i="55"/>
  <c r="C645" i="55"/>
  <c r="C644" i="55"/>
  <c r="C643" i="55"/>
  <c r="C642" i="55"/>
  <c r="C641" i="55"/>
  <c r="C640" i="55"/>
  <c r="C639" i="55"/>
  <c r="C638" i="55"/>
  <c r="C637" i="55"/>
  <c r="C636" i="55"/>
  <c r="C635" i="55"/>
  <c r="C634" i="55"/>
  <c r="C633" i="55"/>
  <c r="C632" i="55"/>
  <c r="C631" i="55"/>
  <c r="C630" i="55"/>
  <c r="C629" i="55"/>
  <c r="C628" i="55"/>
  <c r="C627" i="55"/>
  <c r="C626" i="55"/>
  <c r="C625" i="55"/>
  <c r="C624" i="55"/>
  <c r="C623" i="55"/>
  <c r="C622" i="55"/>
  <c r="C621" i="55"/>
  <c r="C620" i="55"/>
  <c r="C619" i="55"/>
  <c r="C618" i="55"/>
  <c r="C617" i="55"/>
  <c r="C616" i="55"/>
  <c r="C615" i="55"/>
  <c r="C614" i="55"/>
  <c r="C613" i="55"/>
  <c r="C612" i="55"/>
  <c r="C611" i="55"/>
  <c r="C610" i="55"/>
  <c r="C609" i="55"/>
  <c r="C608" i="55"/>
  <c r="C607" i="55"/>
  <c r="C606" i="55"/>
  <c r="C605" i="55"/>
  <c r="C604" i="55"/>
  <c r="C603" i="55"/>
  <c r="C602" i="55"/>
  <c r="C601" i="55"/>
  <c r="C600" i="55"/>
  <c r="C599" i="55"/>
  <c r="C598" i="55"/>
  <c r="C597" i="55"/>
  <c r="C596" i="55"/>
  <c r="C595" i="55"/>
  <c r="C594" i="55"/>
  <c r="C593" i="55"/>
  <c r="C592" i="55"/>
  <c r="C591" i="55"/>
  <c r="C590" i="55"/>
  <c r="C589" i="55"/>
  <c r="C588" i="55"/>
  <c r="C587" i="55"/>
  <c r="C586" i="55"/>
  <c r="C585" i="55"/>
  <c r="C584" i="55"/>
  <c r="C583" i="55"/>
  <c r="C582" i="55"/>
  <c r="C581" i="55"/>
  <c r="C580" i="55"/>
  <c r="C579" i="55"/>
  <c r="C578" i="55"/>
  <c r="C577" i="55"/>
  <c r="C576" i="55"/>
  <c r="C575" i="55"/>
  <c r="C574" i="55"/>
  <c r="C573" i="55"/>
  <c r="C572" i="55"/>
  <c r="C571" i="55"/>
  <c r="C570" i="55"/>
  <c r="C569" i="55"/>
  <c r="C568" i="55"/>
  <c r="C567" i="55"/>
  <c r="C566" i="55"/>
  <c r="C565" i="55"/>
  <c r="C564" i="55"/>
  <c r="C563" i="55"/>
  <c r="C562" i="55"/>
  <c r="C561" i="55"/>
  <c r="C560" i="55"/>
  <c r="C559" i="55"/>
  <c r="C558" i="55"/>
  <c r="C557" i="55"/>
  <c r="C556" i="55"/>
  <c r="C555" i="55"/>
  <c r="C554" i="55"/>
  <c r="C553" i="55"/>
  <c r="C552" i="55"/>
  <c r="C551" i="55"/>
  <c r="C550" i="55"/>
  <c r="C549" i="55"/>
  <c r="C548" i="55"/>
  <c r="C547" i="55"/>
  <c r="C546" i="55"/>
  <c r="C545" i="55"/>
  <c r="C544" i="55"/>
  <c r="C543" i="55"/>
  <c r="C542" i="55"/>
  <c r="C541" i="55"/>
  <c r="C540" i="55"/>
  <c r="C539" i="55"/>
  <c r="C538" i="55"/>
  <c r="C537" i="55"/>
  <c r="C536" i="55"/>
  <c r="C535" i="55"/>
  <c r="C534" i="55"/>
  <c r="C533" i="55"/>
  <c r="C532" i="55"/>
  <c r="C531" i="55"/>
  <c r="C530" i="55"/>
  <c r="C529" i="55"/>
  <c r="C528" i="55"/>
  <c r="C527" i="55"/>
  <c r="C526" i="55"/>
  <c r="C525" i="55"/>
  <c r="C524" i="55"/>
  <c r="C523" i="55"/>
  <c r="C522" i="55"/>
  <c r="C521" i="55"/>
  <c r="C520" i="55"/>
  <c r="C519" i="55"/>
  <c r="C518" i="55"/>
  <c r="C517" i="55"/>
  <c r="C516" i="55"/>
  <c r="C515" i="55"/>
  <c r="C514" i="55"/>
  <c r="C513" i="55"/>
  <c r="C512" i="55"/>
  <c r="C511" i="55"/>
  <c r="C510" i="55"/>
  <c r="C509" i="55"/>
  <c r="C508" i="55"/>
  <c r="C507" i="55"/>
  <c r="C506" i="55"/>
  <c r="C505" i="55"/>
  <c r="C504" i="55"/>
  <c r="C503" i="55"/>
  <c r="C502" i="55"/>
  <c r="C501" i="55"/>
  <c r="C500" i="55"/>
  <c r="C499" i="55"/>
  <c r="C498" i="55"/>
  <c r="C497" i="55"/>
  <c r="C496" i="55"/>
  <c r="C495" i="55"/>
  <c r="C494" i="55"/>
  <c r="C493" i="55"/>
  <c r="C492" i="55"/>
  <c r="C491" i="55"/>
  <c r="C490" i="55"/>
  <c r="C489" i="55"/>
  <c r="C488" i="55"/>
  <c r="C487" i="55"/>
  <c r="C486" i="55"/>
  <c r="C485" i="55"/>
  <c r="C484" i="55"/>
  <c r="C483" i="55"/>
  <c r="C482" i="55"/>
  <c r="C481" i="55"/>
  <c r="C480" i="55"/>
  <c r="C479" i="55"/>
  <c r="C478" i="55"/>
  <c r="C477" i="55"/>
  <c r="C476" i="55"/>
  <c r="C475" i="55"/>
  <c r="C474" i="55"/>
  <c r="C473" i="55"/>
  <c r="C472" i="55"/>
  <c r="C471" i="55"/>
  <c r="C470" i="55"/>
  <c r="C469" i="55"/>
  <c r="C468" i="55"/>
  <c r="C467" i="55"/>
  <c r="C466" i="55"/>
  <c r="C465" i="55"/>
  <c r="C464" i="55"/>
  <c r="C463" i="55"/>
  <c r="C462" i="55"/>
  <c r="C461" i="55"/>
  <c r="C460" i="55"/>
  <c r="C459" i="55"/>
  <c r="C458" i="55"/>
  <c r="C457" i="55"/>
  <c r="C456" i="55"/>
  <c r="C455" i="55"/>
  <c r="C454" i="55"/>
  <c r="C453" i="55"/>
  <c r="C452" i="55"/>
  <c r="C451" i="55"/>
  <c r="C450" i="55"/>
  <c r="C449" i="55"/>
  <c r="C448" i="55"/>
  <c r="C447" i="55"/>
  <c r="C446" i="55"/>
  <c r="C445" i="55"/>
  <c r="C444" i="55"/>
  <c r="C443" i="55"/>
  <c r="C442" i="55"/>
  <c r="C441" i="55"/>
  <c r="C440" i="55"/>
  <c r="C439" i="55"/>
  <c r="C438" i="55"/>
  <c r="C437" i="55"/>
  <c r="C436" i="55"/>
  <c r="C435" i="55"/>
  <c r="C434" i="55"/>
  <c r="C433" i="55"/>
  <c r="C432" i="55"/>
  <c r="C431" i="55"/>
  <c r="C430" i="55"/>
  <c r="C429" i="55"/>
  <c r="C428" i="55"/>
  <c r="C427" i="55"/>
  <c r="C426" i="55"/>
  <c r="C425" i="55"/>
  <c r="C424" i="55"/>
  <c r="C423" i="55"/>
  <c r="C422" i="55"/>
  <c r="C421" i="55"/>
  <c r="C420" i="55"/>
  <c r="C419" i="55"/>
  <c r="C418" i="55"/>
  <c r="C417" i="55"/>
  <c r="C416" i="55"/>
  <c r="C415" i="55"/>
  <c r="C414" i="55"/>
  <c r="C413" i="55"/>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C382" i="55"/>
  <c r="C381" i="55"/>
  <c r="C380" i="55"/>
  <c r="C379" i="55"/>
  <c r="C378" i="55"/>
  <c r="C377"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C349" i="55"/>
  <c r="C348" i="55"/>
  <c r="C347" i="55"/>
  <c r="C346"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C314" i="55"/>
  <c r="C313" i="55"/>
  <c r="C312" i="55"/>
  <c r="C311"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C279" i="55"/>
  <c r="C278" i="55"/>
  <c r="C277" i="55"/>
  <c r="C276"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C245" i="55"/>
  <c r="C244" i="55"/>
  <c r="C243" i="55"/>
  <c r="C242"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C210" i="55"/>
  <c r="C209" i="55"/>
  <c r="C208" i="55"/>
  <c r="C207"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C176" i="55"/>
  <c r="C175" i="55"/>
  <c r="C174" i="55"/>
  <c r="C173"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C141" i="55"/>
  <c r="C140" i="55"/>
  <c r="C139" i="55"/>
  <c r="C138"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C106" i="55"/>
  <c r="C105" i="55"/>
  <c r="C104" i="55"/>
  <c r="C103"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C72" i="55"/>
  <c r="C71" i="55"/>
  <c r="C70" i="55"/>
  <c r="C69" i="55"/>
  <c r="C68" i="55"/>
  <c r="C67" i="55"/>
  <c r="C66" i="55"/>
  <c r="C65" i="55"/>
  <c r="C64" i="55"/>
  <c r="C63" i="55"/>
  <c r="C62" i="55"/>
  <c r="C61" i="55"/>
  <c r="C60" i="55"/>
  <c r="C59" i="55"/>
  <c r="C58" i="55"/>
  <c r="C57" i="55"/>
  <c r="C56" i="55"/>
  <c r="C981" i="54"/>
  <c r="C980" i="54"/>
  <c r="C979" i="54"/>
  <c r="C978" i="54"/>
  <c r="C977" i="54"/>
  <c r="C976" i="54"/>
  <c r="C975" i="54"/>
  <c r="C974" i="54"/>
  <c r="C973" i="54"/>
  <c r="C972" i="54"/>
  <c r="C971" i="54"/>
  <c r="C970" i="54"/>
  <c r="C969" i="54"/>
  <c r="C968" i="54"/>
  <c r="C967" i="54"/>
  <c r="C966" i="54"/>
  <c r="C965" i="54"/>
  <c r="C964" i="54"/>
  <c r="C963" i="54"/>
  <c r="C962" i="54"/>
  <c r="C961" i="54"/>
  <c r="C960" i="54"/>
  <c r="C959" i="54"/>
  <c r="C958" i="54"/>
  <c r="C957" i="54"/>
  <c r="C956" i="54"/>
  <c r="C955" i="54"/>
  <c r="C954" i="54"/>
  <c r="C953" i="54"/>
  <c r="C952" i="54"/>
  <c r="C951" i="54"/>
  <c r="C950" i="54"/>
  <c r="C949" i="54"/>
  <c r="C948" i="54"/>
  <c r="C947" i="54"/>
  <c r="C946" i="54"/>
  <c r="C945" i="54"/>
  <c r="C944" i="54"/>
  <c r="C943" i="54"/>
  <c r="C942" i="54"/>
  <c r="C941" i="54"/>
  <c r="C940" i="54"/>
  <c r="C939" i="54"/>
  <c r="C938" i="54"/>
  <c r="C937" i="54"/>
  <c r="C936" i="54"/>
  <c r="C935" i="54"/>
  <c r="C934" i="54"/>
  <c r="C933" i="54"/>
  <c r="C932" i="54"/>
  <c r="C931" i="54"/>
  <c r="C930" i="54"/>
  <c r="C929" i="54"/>
  <c r="C928" i="54"/>
  <c r="C927" i="54"/>
  <c r="C926" i="54"/>
  <c r="C925" i="54"/>
  <c r="C924" i="54"/>
  <c r="C923" i="54"/>
  <c r="C922" i="54"/>
  <c r="C921" i="54"/>
  <c r="C920" i="54"/>
  <c r="C919" i="54"/>
  <c r="C918" i="54"/>
  <c r="C917" i="54"/>
  <c r="C916" i="54"/>
  <c r="C915" i="54"/>
  <c r="C914" i="54"/>
  <c r="C913" i="54"/>
  <c r="C912" i="54"/>
  <c r="C911" i="54"/>
  <c r="C910" i="54"/>
  <c r="C909" i="54"/>
  <c r="C908" i="54"/>
  <c r="C907" i="54"/>
  <c r="C906" i="54"/>
  <c r="C905" i="54"/>
  <c r="C904" i="54"/>
  <c r="C903" i="54"/>
  <c r="C902" i="54"/>
  <c r="C901" i="54"/>
  <c r="C900" i="54"/>
  <c r="C899" i="54"/>
  <c r="C898" i="54"/>
  <c r="C897" i="54"/>
  <c r="C896" i="54"/>
  <c r="C895" i="54"/>
  <c r="C894" i="54"/>
  <c r="C893" i="54"/>
  <c r="C892" i="54"/>
  <c r="C891" i="54"/>
  <c r="C890" i="54"/>
  <c r="C889" i="54"/>
  <c r="C888" i="54"/>
  <c r="C887" i="54"/>
  <c r="C886" i="54"/>
  <c r="C885" i="54"/>
  <c r="C884" i="54"/>
  <c r="C883" i="54"/>
  <c r="C882" i="54"/>
  <c r="C881" i="54"/>
  <c r="C880" i="54"/>
  <c r="C879" i="54"/>
  <c r="C878" i="54"/>
  <c r="C877" i="54"/>
  <c r="C876" i="54"/>
  <c r="C875" i="54"/>
  <c r="C874" i="54"/>
  <c r="C873" i="54"/>
  <c r="C872" i="54"/>
  <c r="C871" i="54"/>
  <c r="C870" i="54"/>
  <c r="C869" i="54"/>
  <c r="C868" i="54"/>
  <c r="C867" i="54"/>
  <c r="C866" i="54"/>
  <c r="C865" i="54"/>
  <c r="C864" i="54"/>
  <c r="C863" i="54"/>
  <c r="C862" i="54"/>
  <c r="C861" i="54"/>
  <c r="C860" i="54"/>
  <c r="C859" i="54"/>
  <c r="C858" i="54"/>
  <c r="C857" i="54"/>
  <c r="C856" i="54"/>
  <c r="C855" i="54"/>
  <c r="C854" i="54"/>
  <c r="C853" i="54"/>
  <c r="C852" i="54"/>
  <c r="C851" i="54"/>
  <c r="C850" i="54"/>
  <c r="C849" i="54"/>
  <c r="C848" i="54"/>
  <c r="C847" i="54"/>
  <c r="C846" i="54"/>
  <c r="C845" i="54"/>
  <c r="C844" i="54"/>
  <c r="C843" i="54"/>
  <c r="C842" i="54"/>
  <c r="C841" i="54"/>
  <c r="C840" i="54"/>
  <c r="C839" i="54"/>
  <c r="C838" i="54"/>
  <c r="C837" i="54"/>
  <c r="C836" i="54"/>
  <c r="C835" i="54"/>
  <c r="C834" i="54"/>
  <c r="C833" i="54"/>
  <c r="C832" i="54"/>
  <c r="C831" i="54"/>
  <c r="C830" i="54"/>
  <c r="C829" i="54"/>
  <c r="C828" i="54"/>
  <c r="C827" i="54"/>
  <c r="C826" i="54"/>
  <c r="C825" i="54"/>
  <c r="C824" i="54"/>
  <c r="C823" i="54"/>
  <c r="C822" i="54"/>
  <c r="C821" i="54"/>
  <c r="C820" i="54"/>
  <c r="C819" i="54"/>
  <c r="C818" i="54"/>
  <c r="C817" i="54"/>
  <c r="C816" i="54"/>
  <c r="C815" i="54"/>
  <c r="C814" i="54"/>
  <c r="C813" i="54"/>
  <c r="C812" i="54"/>
  <c r="C811" i="54"/>
  <c r="C810" i="54"/>
  <c r="C809" i="54"/>
  <c r="C808" i="54"/>
  <c r="C807" i="54"/>
  <c r="C806" i="54"/>
  <c r="C805" i="54"/>
  <c r="C804" i="54"/>
  <c r="C803" i="54"/>
  <c r="C802" i="54"/>
  <c r="C801" i="54"/>
  <c r="C800" i="54"/>
  <c r="C799" i="54"/>
  <c r="C798" i="54"/>
  <c r="C797" i="54"/>
  <c r="C796" i="54"/>
  <c r="C795" i="54"/>
  <c r="C794" i="54"/>
  <c r="C793" i="54"/>
  <c r="C792" i="54"/>
  <c r="C791" i="54"/>
  <c r="C790" i="54"/>
  <c r="C789" i="54"/>
  <c r="C788" i="54"/>
  <c r="C787" i="54"/>
  <c r="C786" i="54"/>
  <c r="C785" i="54"/>
  <c r="C784" i="54"/>
  <c r="C783" i="54"/>
  <c r="C782" i="54"/>
  <c r="C781" i="54"/>
  <c r="C780" i="54"/>
  <c r="C779" i="54"/>
  <c r="C778" i="54"/>
  <c r="C777" i="54"/>
  <c r="C776" i="54"/>
  <c r="C775" i="54"/>
  <c r="C774" i="54"/>
  <c r="C773" i="54"/>
  <c r="C772" i="54"/>
  <c r="C771" i="54"/>
  <c r="C770" i="54"/>
  <c r="C769" i="54"/>
  <c r="C768" i="54"/>
  <c r="C767" i="54"/>
  <c r="C766" i="54"/>
  <c r="C765" i="54"/>
  <c r="C764" i="54"/>
  <c r="C763" i="54"/>
  <c r="C762" i="54"/>
  <c r="C761" i="54"/>
  <c r="C760" i="54"/>
  <c r="C759" i="54"/>
  <c r="C758" i="54"/>
  <c r="C757" i="54"/>
  <c r="C756" i="54"/>
  <c r="C755" i="54"/>
  <c r="C754" i="54"/>
  <c r="C753" i="54"/>
  <c r="C752" i="54"/>
  <c r="C751" i="54"/>
  <c r="C750" i="54"/>
  <c r="C749" i="54"/>
  <c r="C748" i="54"/>
  <c r="C747" i="54"/>
  <c r="C746" i="54"/>
  <c r="C745" i="54"/>
  <c r="C744" i="54"/>
  <c r="C743" i="54"/>
  <c r="C742" i="54"/>
  <c r="C741" i="54"/>
  <c r="C740" i="54"/>
  <c r="C739" i="54"/>
  <c r="C738" i="54"/>
  <c r="C737" i="54"/>
  <c r="C736" i="54"/>
  <c r="C735" i="54"/>
  <c r="C734" i="54"/>
  <c r="C733" i="54"/>
  <c r="C732" i="54"/>
  <c r="C731" i="54"/>
  <c r="C730" i="54"/>
  <c r="C729" i="54"/>
  <c r="C728" i="54"/>
  <c r="C727" i="54"/>
  <c r="C726" i="54"/>
  <c r="C725" i="54"/>
  <c r="C724" i="54"/>
  <c r="C723" i="54"/>
  <c r="C722" i="54"/>
  <c r="C721" i="54"/>
  <c r="C720" i="54"/>
  <c r="C719" i="54"/>
  <c r="C718" i="54"/>
  <c r="C717" i="54"/>
  <c r="C716" i="54"/>
  <c r="C715" i="54"/>
  <c r="C714" i="54"/>
  <c r="C713" i="54"/>
  <c r="C712" i="54"/>
  <c r="C711" i="54"/>
  <c r="C710" i="54"/>
  <c r="C709" i="54"/>
  <c r="C708" i="54"/>
  <c r="C707" i="54"/>
  <c r="C706" i="54"/>
  <c r="C705" i="54"/>
  <c r="C704" i="54"/>
  <c r="C703" i="54"/>
  <c r="C702" i="54"/>
  <c r="C701" i="54"/>
  <c r="C700" i="54"/>
  <c r="C699" i="54"/>
  <c r="C698" i="54"/>
  <c r="C697" i="54"/>
  <c r="C696" i="54"/>
  <c r="C695" i="54"/>
  <c r="C694" i="54"/>
  <c r="C693" i="54"/>
  <c r="C692" i="54"/>
  <c r="C691" i="54"/>
  <c r="C690" i="54"/>
  <c r="C689" i="54"/>
  <c r="C688" i="54"/>
  <c r="C687" i="54"/>
  <c r="C686" i="54"/>
  <c r="C685" i="54"/>
  <c r="C684" i="54"/>
  <c r="C683" i="54"/>
  <c r="C682" i="54"/>
  <c r="C681" i="54"/>
  <c r="C680" i="54"/>
  <c r="C679" i="54"/>
  <c r="C678" i="54"/>
  <c r="C677" i="54"/>
  <c r="C676" i="54"/>
  <c r="C675" i="54"/>
  <c r="C674" i="54"/>
  <c r="C673" i="54"/>
  <c r="C672" i="54"/>
  <c r="C671" i="54"/>
  <c r="C670" i="54"/>
  <c r="C669" i="54"/>
  <c r="C668" i="54"/>
  <c r="C667" i="54"/>
  <c r="C666" i="54"/>
  <c r="C665" i="54"/>
  <c r="C664" i="54"/>
  <c r="C663" i="54"/>
  <c r="C662" i="54"/>
  <c r="C661" i="54"/>
  <c r="C660" i="54"/>
  <c r="C659" i="54"/>
  <c r="C658" i="54"/>
  <c r="C657" i="54"/>
  <c r="C656" i="54"/>
  <c r="C655" i="54"/>
  <c r="C654" i="54"/>
  <c r="C653" i="54"/>
  <c r="C652" i="54"/>
  <c r="C651" i="54"/>
  <c r="C650" i="54"/>
  <c r="C649" i="54"/>
  <c r="C648" i="54"/>
  <c r="C647" i="54"/>
  <c r="C646" i="54"/>
  <c r="C645" i="54"/>
  <c r="C644" i="54"/>
  <c r="C643" i="54"/>
  <c r="C642" i="54"/>
  <c r="C641" i="54"/>
  <c r="C640" i="54"/>
  <c r="C639" i="54"/>
  <c r="C638" i="54"/>
  <c r="C637" i="54"/>
  <c r="C636" i="54"/>
  <c r="C635" i="54"/>
  <c r="C634" i="54"/>
  <c r="C633" i="54"/>
  <c r="C632" i="54"/>
  <c r="C631" i="54"/>
  <c r="C630" i="54"/>
  <c r="C629" i="54"/>
  <c r="C628" i="54"/>
  <c r="C627" i="54"/>
  <c r="C626" i="54"/>
  <c r="C625" i="54"/>
  <c r="C624" i="54"/>
  <c r="C623" i="54"/>
  <c r="C622" i="54"/>
  <c r="C621" i="54"/>
  <c r="C620" i="54"/>
  <c r="C619" i="54"/>
  <c r="C618" i="54"/>
  <c r="C617" i="54"/>
  <c r="C616" i="54"/>
  <c r="C615" i="54"/>
  <c r="C614" i="54"/>
  <c r="C613" i="54"/>
  <c r="C612" i="54"/>
  <c r="C611" i="54"/>
  <c r="C610" i="54"/>
  <c r="C609" i="54"/>
  <c r="C608" i="54"/>
  <c r="C607" i="54"/>
  <c r="C606" i="54"/>
  <c r="C605" i="54"/>
  <c r="C604" i="54"/>
  <c r="C603" i="54"/>
  <c r="C602" i="54"/>
  <c r="C601" i="54"/>
  <c r="C600" i="54"/>
  <c r="C599" i="54"/>
  <c r="C598" i="54"/>
  <c r="C597" i="54"/>
  <c r="C596" i="54"/>
  <c r="C595" i="54"/>
  <c r="C594" i="54"/>
  <c r="C593" i="54"/>
  <c r="C592" i="54"/>
  <c r="C591" i="54"/>
  <c r="C590" i="54"/>
  <c r="C589" i="54"/>
  <c r="C588" i="54"/>
  <c r="C587" i="54"/>
  <c r="C586" i="54"/>
  <c r="C585" i="54"/>
  <c r="C584" i="54"/>
  <c r="C583" i="54"/>
  <c r="C582" i="54"/>
  <c r="C581" i="54"/>
  <c r="C580" i="54"/>
  <c r="C579" i="54"/>
  <c r="C578" i="54"/>
  <c r="C577" i="54"/>
  <c r="C576" i="54"/>
  <c r="C575" i="54"/>
  <c r="C574" i="54"/>
  <c r="C573" i="54"/>
  <c r="C572" i="54"/>
  <c r="C571" i="54"/>
  <c r="C570" i="54"/>
  <c r="C569" i="54"/>
  <c r="C568" i="54"/>
  <c r="C567" i="54"/>
  <c r="C566" i="54"/>
  <c r="C565" i="54"/>
  <c r="C564" i="54"/>
  <c r="C563" i="54"/>
  <c r="C562" i="54"/>
  <c r="C561" i="54"/>
  <c r="C560" i="54"/>
  <c r="C559" i="54"/>
  <c r="C558" i="54"/>
  <c r="C557" i="54"/>
  <c r="C556" i="54"/>
  <c r="C555" i="54"/>
  <c r="C554" i="54"/>
  <c r="C553" i="54"/>
  <c r="C552" i="54"/>
  <c r="C551" i="54"/>
  <c r="C550" i="54"/>
  <c r="C549" i="54"/>
  <c r="C548" i="54"/>
  <c r="C547" i="54"/>
  <c r="C546" i="54"/>
  <c r="C545" i="54"/>
  <c r="C544" i="54"/>
  <c r="C543" i="54"/>
  <c r="C542" i="54"/>
  <c r="C541" i="54"/>
  <c r="C540" i="54"/>
  <c r="C539" i="54"/>
  <c r="C538" i="54"/>
  <c r="C537" i="54"/>
  <c r="C536" i="54"/>
  <c r="C535" i="54"/>
  <c r="C534" i="54"/>
  <c r="C533" i="54"/>
  <c r="C532" i="54"/>
  <c r="C531" i="54"/>
  <c r="C530" i="54"/>
  <c r="C529" i="54"/>
  <c r="C528" i="54"/>
  <c r="C527" i="54"/>
  <c r="C526" i="54"/>
  <c r="C525" i="54"/>
  <c r="C524" i="54"/>
  <c r="C523" i="54"/>
  <c r="C522" i="54"/>
  <c r="C521" i="54"/>
  <c r="C520" i="54"/>
  <c r="C519" i="54"/>
  <c r="C518" i="54"/>
  <c r="C517" i="54"/>
  <c r="C516" i="54"/>
  <c r="C515" i="54"/>
  <c r="C514" i="54"/>
  <c r="C513" i="54"/>
  <c r="C512" i="54"/>
  <c r="C511" i="54"/>
  <c r="C510" i="54"/>
  <c r="C509" i="54"/>
  <c r="C508" i="54"/>
  <c r="C507" i="54"/>
  <c r="C506" i="54"/>
  <c r="C505" i="54"/>
  <c r="C504" i="54"/>
  <c r="C503" i="54"/>
  <c r="C502" i="54"/>
  <c r="C501" i="54"/>
  <c r="C500" i="54"/>
  <c r="C499" i="54"/>
  <c r="C498" i="54"/>
  <c r="C497" i="54"/>
  <c r="C496" i="54"/>
  <c r="C495" i="54"/>
  <c r="C494" i="54"/>
  <c r="C493" i="54"/>
  <c r="C492" i="54"/>
  <c r="C491" i="54"/>
  <c r="C490" i="54"/>
  <c r="C489" i="54"/>
  <c r="C488" i="54"/>
  <c r="C487" i="54"/>
  <c r="C486" i="54"/>
  <c r="C485" i="54"/>
  <c r="C484" i="54"/>
  <c r="C483" i="54"/>
  <c r="C482" i="54"/>
  <c r="C481" i="54"/>
  <c r="C480" i="54"/>
  <c r="C479" i="54"/>
  <c r="C478" i="54"/>
  <c r="C477" i="54"/>
  <c r="C476" i="54"/>
  <c r="C475" i="54"/>
  <c r="C474" i="54"/>
  <c r="C473" i="54"/>
  <c r="C472" i="54"/>
  <c r="C471" i="54"/>
  <c r="C470" i="54"/>
  <c r="C469" i="54"/>
  <c r="C468" i="54"/>
  <c r="C467" i="54"/>
  <c r="C466" i="54"/>
  <c r="C465" i="54"/>
  <c r="C464" i="54"/>
  <c r="C463" i="54"/>
  <c r="C462" i="54"/>
  <c r="C461" i="54"/>
  <c r="C460" i="54"/>
  <c r="C459" i="54"/>
  <c r="C458" i="54"/>
  <c r="C457" i="54"/>
  <c r="C456" i="54"/>
  <c r="C455" i="54"/>
  <c r="C454" i="54"/>
  <c r="C453" i="54"/>
  <c r="C452" i="54"/>
  <c r="C451" i="54"/>
  <c r="C450" i="54"/>
  <c r="C449" i="54"/>
  <c r="C448" i="54"/>
  <c r="C447" i="54"/>
  <c r="C446" i="54"/>
  <c r="C445" i="54"/>
  <c r="C444" i="54"/>
  <c r="C443" i="54"/>
  <c r="C442" i="54"/>
  <c r="C441" i="54"/>
  <c r="C440" i="54"/>
  <c r="C439" i="54"/>
  <c r="C438" i="54"/>
  <c r="C437" i="54"/>
  <c r="C436" i="54"/>
  <c r="C435" i="54"/>
  <c r="C434" i="54"/>
  <c r="C433" i="54"/>
  <c r="C432" i="54"/>
  <c r="C431" i="54"/>
  <c r="C430" i="54"/>
  <c r="C429" i="54"/>
  <c r="C428" i="54"/>
  <c r="C427" i="54"/>
  <c r="C426" i="54"/>
  <c r="C425" i="54"/>
  <c r="C424" i="54"/>
  <c r="C423" i="54"/>
  <c r="C422" i="54"/>
  <c r="C421" i="54"/>
  <c r="C420" i="54"/>
  <c r="C419" i="54"/>
  <c r="C418" i="54"/>
  <c r="C417" i="54"/>
  <c r="C416" i="54"/>
  <c r="C415" i="54"/>
  <c r="C414" i="54"/>
  <c r="C413" i="54"/>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C382" i="54"/>
  <c r="C381" i="54"/>
  <c r="C380" i="54"/>
  <c r="C379" i="54"/>
  <c r="C378" i="54"/>
  <c r="C377"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C349" i="54"/>
  <c r="C348" i="54"/>
  <c r="C347" i="54"/>
  <c r="C346"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C314" i="54"/>
  <c r="C313" i="54"/>
  <c r="C312" i="54"/>
  <c r="C311"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C279" i="54"/>
  <c r="C278" i="54"/>
  <c r="C277" i="54"/>
  <c r="C276"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C245" i="54"/>
  <c r="C244" i="54"/>
  <c r="C243" i="54"/>
  <c r="C242"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C210" i="54"/>
  <c r="C209" i="54"/>
  <c r="C208" i="54"/>
  <c r="C207"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C176" i="54"/>
  <c r="C175" i="54"/>
  <c r="C174" i="54"/>
  <c r="C173"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C141" i="54"/>
  <c r="C140" i="54"/>
  <c r="C139" i="54"/>
  <c r="C138"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C106" i="54"/>
  <c r="C105" i="54"/>
  <c r="C104" i="54"/>
  <c r="C103"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C72" i="54"/>
  <c r="C71" i="54"/>
  <c r="C70" i="54"/>
  <c r="C69" i="54"/>
  <c r="C68" i="54"/>
  <c r="C67" i="54"/>
  <c r="C66" i="54"/>
  <c r="C65" i="54"/>
  <c r="C64" i="54"/>
  <c r="C63" i="54"/>
  <c r="C62" i="54"/>
  <c r="C61" i="54"/>
  <c r="C60" i="54"/>
  <c r="C59" i="54"/>
  <c r="C58" i="54"/>
  <c r="C57" i="54"/>
  <c r="C56" i="54"/>
  <c r="C24" i="54"/>
  <c r="C25" i="54"/>
  <c r="C26" i="54"/>
  <c r="C27" i="54"/>
  <c r="C28" i="54"/>
  <c r="C29" i="54"/>
  <c r="C30" i="54"/>
  <c r="C31" i="54"/>
  <c r="C32" i="54"/>
  <c r="C33" i="54"/>
  <c r="C34" i="54"/>
  <c r="C35" i="54"/>
  <c r="C36" i="54"/>
  <c r="C37" i="54"/>
  <c r="C38" i="54"/>
  <c r="C39" i="54"/>
  <c r="C40" i="54"/>
  <c r="C41" i="54"/>
  <c r="C42" i="54"/>
  <c r="C43" i="54"/>
  <c r="C44" i="54"/>
  <c r="C45" i="54"/>
  <c r="C46" i="54"/>
  <c r="C47" i="54"/>
  <c r="C48" i="54"/>
  <c r="C49" i="54"/>
  <c r="C50" i="54"/>
  <c r="C51" i="54"/>
  <c r="C52" i="54"/>
  <c r="C53" i="54"/>
  <c r="C54" i="54"/>
  <c r="C55" i="54"/>
  <c r="C981" i="53"/>
  <c r="C980" i="53"/>
  <c r="C979" i="53"/>
  <c r="C978" i="53"/>
  <c r="C977" i="53"/>
  <c r="C976" i="53"/>
  <c r="C975" i="53"/>
  <c r="C974" i="53"/>
  <c r="C973" i="53"/>
  <c r="C972" i="53"/>
  <c r="C971" i="53"/>
  <c r="C970" i="53"/>
  <c r="C969" i="53"/>
  <c r="C968" i="53"/>
  <c r="C967" i="53"/>
  <c r="C966" i="53"/>
  <c r="C965" i="53"/>
  <c r="C964" i="53"/>
  <c r="C963" i="53"/>
  <c r="C962" i="53"/>
  <c r="C961" i="53"/>
  <c r="C960" i="53"/>
  <c r="C959" i="53"/>
  <c r="C958" i="53"/>
  <c r="C957" i="53"/>
  <c r="C956" i="53"/>
  <c r="C955" i="53"/>
  <c r="C954" i="53"/>
  <c r="C953" i="53"/>
  <c r="C952" i="53"/>
  <c r="C951" i="53"/>
  <c r="C950" i="53"/>
  <c r="C949" i="53"/>
  <c r="C948" i="53"/>
  <c r="C947" i="53"/>
  <c r="C946" i="53"/>
  <c r="C945" i="53"/>
  <c r="C944" i="53"/>
  <c r="C943" i="53"/>
  <c r="C942" i="53"/>
  <c r="C941" i="53"/>
  <c r="C940" i="53"/>
  <c r="C939" i="53"/>
  <c r="C938" i="53"/>
  <c r="C937" i="53"/>
  <c r="C936" i="53"/>
  <c r="C935" i="53"/>
  <c r="C934" i="53"/>
  <c r="C933" i="53"/>
  <c r="C932" i="53"/>
  <c r="C931" i="53"/>
  <c r="C930" i="53"/>
  <c r="C929" i="53"/>
  <c r="C928" i="53"/>
  <c r="C927" i="53"/>
  <c r="C926" i="53"/>
  <c r="C925" i="53"/>
  <c r="C924" i="53"/>
  <c r="C923" i="53"/>
  <c r="C922" i="53"/>
  <c r="C921" i="53"/>
  <c r="C920" i="53"/>
  <c r="C919" i="53"/>
  <c r="C918" i="53"/>
  <c r="C917" i="53"/>
  <c r="C916" i="53"/>
  <c r="C915" i="53"/>
  <c r="C914" i="53"/>
  <c r="C913" i="53"/>
  <c r="C912" i="53"/>
  <c r="C911" i="53"/>
  <c r="C910" i="53"/>
  <c r="C909" i="53"/>
  <c r="C908" i="53"/>
  <c r="C907" i="53"/>
  <c r="C906" i="53"/>
  <c r="C905" i="53"/>
  <c r="C904" i="53"/>
  <c r="C903" i="53"/>
  <c r="C902" i="53"/>
  <c r="C901" i="53"/>
  <c r="C900" i="53"/>
  <c r="C899" i="53"/>
  <c r="C898" i="53"/>
  <c r="C897" i="53"/>
  <c r="C896" i="53"/>
  <c r="C895" i="53"/>
  <c r="C894" i="53"/>
  <c r="C893" i="53"/>
  <c r="C892" i="53"/>
  <c r="C891" i="53"/>
  <c r="C890" i="53"/>
  <c r="C889" i="53"/>
  <c r="C888" i="53"/>
  <c r="C887" i="53"/>
  <c r="C886" i="53"/>
  <c r="C885" i="53"/>
  <c r="C884" i="53"/>
  <c r="C883" i="53"/>
  <c r="C882" i="53"/>
  <c r="C881" i="53"/>
  <c r="C880" i="53"/>
  <c r="C879" i="53"/>
  <c r="C878" i="53"/>
  <c r="C877" i="53"/>
  <c r="C876" i="53"/>
  <c r="C875" i="53"/>
  <c r="C874" i="53"/>
  <c r="C873" i="53"/>
  <c r="C872" i="53"/>
  <c r="C871" i="53"/>
  <c r="C870" i="53"/>
  <c r="C869" i="53"/>
  <c r="C868" i="53"/>
  <c r="C867" i="53"/>
  <c r="C866" i="53"/>
  <c r="C865" i="53"/>
  <c r="C864" i="53"/>
  <c r="C863" i="53"/>
  <c r="C862" i="53"/>
  <c r="C861" i="53"/>
  <c r="C860" i="53"/>
  <c r="C859" i="53"/>
  <c r="C858" i="53"/>
  <c r="C857" i="53"/>
  <c r="C856" i="53"/>
  <c r="C855" i="53"/>
  <c r="C854" i="53"/>
  <c r="C853" i="53"/>
  <c r="C852" i="53"/>
  <c r="C851" i="53"/>
  <c r="C850" i="53"/>
  <c r="C849" i="53"/>
  <c r="C848" i="53"/>
  <c r="C847" i="53"/>
  <c r="C846" i="53"/>
  <c r="C845" i="53"/>
  <c r="C844" i="53"/>
  <c r="C843" i="53"/>
  <c r="C842" i="53"/>
  <c r="C841" i="53"/>
  <c r="C840" i="53"/>
  <c r="C839" i="53"/>
  <c r="C838" i="53"/>
  <c r="C837" i="53"/>
  <c r="C836" i="53"/>
  <c r="C835" i="53"/>
  <c r="C834" i="53"/>
  <c r="C833" i="53"/>
  <c r="C832" i="53"/>
  <c r="C831" i="53"/>
  <c r="C830" i="53"/>
  <c r="C829" i="53"/>
  <c r="C828" i="53"/>
  <c r="C827" i="53"/>
  <c r="C826" i="53"/>
  <c r="C825" i="53"/>
  <c r="C824" i="53"/>
  <c r="C823" i="53"/>
  <c r="C822" i="53"/>
  <c r="C821" i="53"/>
  <c r="C820" i="53"/>
  <c r="C819" i="53"/>
  <c r="C818" i="53"/>
  <c r="C817" i="53"/>
  <c r="C816" i="53"/>
  <c r="C815" i="53"/>
  <c r="C814" i="53"/>
  <c r="C813" i="53"/>
  <c r="C812" i="53"/>
  <c r="C811" i="53"/>
  <c r="C810" i="53"/>
  <c r="C809" i="53"/>
  <c r="C808" i="53"/>
  <c r="C807" i="53"/>
  <c r="C806" i="53"/>
  <c r="C805" i="53"/>
  <c r="C804" i="53"/>
  <c r="C803" i="53"/>
  <c r="C802" i="53"/>
  <c r="C801" i="53"/>
  <c r="C800" i="53"/>
  <c r="C799" i="53"/>
  <c r="C798" i="53"/>
  <c r="C797" i="53"/>
  <c r="C796" i="53"/>
  <c r="C795" i="53"/>
  <c r="C794" i="53"/>
  <c r="C793" i="53"/>
  <c r="C792" i="53"/>
  <c r="C791" i="53"/>
  <c r="C790" i="53"/>
  <c r="C789" i="53"/>
  <c r="C788" i="53"/>
  <c r="C787" i="53"/>
  <c r="C786" i="53"/>
  <c r="C785" i="53"/>
  <c r="C784" i="53"/>
  <c r="C783" i="53"/>
  <c r="C782" i="53"/>
  <c r="C781" i="53"/>
  <c r="C780" i="53"/>
  <c r="C779" i="53"/>
  <c r="C778" i="53"/>
  <c r="C777" i="53"/>
  <c r="C776" i="53"/>
  <c r="C775" i="53"/>
  <c r="C774" i="53"/>
  <c r="C773" i="53"/>
  <c r="C772" i="53"/>
  <c r="C771" i="53"/>
  <c r="C770" i="53"/>
  <c r="C769" i="53"/>
  <c r="C768" i="53"/>
  <c r="C767" i="53"/>
  <c r="C766" i="53"/>
  <c r="C765" i="53"/>
  <c r="C764" i="53"/>
  <c r="C763" i="53"/>
  <c r="C762" i="53"/>
  <c r="C761" i="53"/>
  <c r="C760" i="53"/>
  <c r="C759" i="53"/>
  <c r="C758" i="53"/>
  <c r="C757" i="53"/>
  <c r="C756" i="53"/>
  <c r="C755" i="53"/>
  <c r="C754" i="53"/>
  <c r="C753" i="53"/>
  <c r="C752" i="53"/>
  <c r="C751" i="53"/>
  <c r="C750" i="53"/>
  <c r="C749" i="53"/>
  <c r="C748" i="53"/>
  <c r="C747" i="53"/>
  <c r="C746" i="53"/>
  <c r="C745" i="53"/>
  <c r="C744" i="53"/>
  <c r="C743" i="53"/>
  <c r="C742" i="53"/>
  <c r="C741" i="53"/>
  <c r="C740" i="53"/>
  <c r="C739" i="53"/>
  <c r="C738" i="53"/>
  <c r="C737" i="53"/>
  <c r="C736" i="53"/>
  <c r="C735" i="53"/>
  <c r="C734" i="53"/>
  <c r="C733" i="53"/>
  <c r="C732" i="53"/>
  <c r="C731" i="53"/>
  <c r="C730" i="53"/>
  <c r="C729" i="53"/>
  <c r="C728" i="53"/>
  <c r="C727" i="53"/>
  <c r="C726" i="53"/>
  <c r="C725" i="53"/>
  <c r="C724" i="53"/>
  <c r="C723" i="53"/>
  <c r="C722" i="53"/>
  <c r="C721" i="53"/>
  <c r="C720" i="53"/>
  <c r="C719" i="53"/>
  <c r="C718" i="53"/>
  <c r="C717" i="53"/>
  <c r="C716" i="53"/>
  <c r="C715" i="53"/>
  <c r="C714" i="53"/>
  <c r="C713" i="53"/>
  <c r="C712" i="53"/>
  <c r="C711" i="53"/>
  <c r="C710" i="53"/>
  <c r="C709" i="53"/>
  <c r="C708" i="53"/>
  <c r="C707" i="53"/>
  <c r="C706" i="53"/>
  <c r="C705" i="53"/>
  <c r="C704" i="53"/>
  <c r="C703" i="53"/>
  <c r="C702" i="53"/>
  <c r="C701" i="53"/>
  <c r="C700" i="53"/>
  <c r="C699" i="53"/>
  <c r="C698" i="53"/>
  <c r="C697" i="53"/>
  <c r="C696" i="53"/>
  <c r="C695" i="53"/>
  <c r="C694" i="53"/>
  <c r="C693" i="53"/>
  <c r="C692" i="53"/>
  <c r="C691" i="53"/>
  <c r="C690" i="53"/>
  <c r="C689" i="53"/>
  <c r="C688" i="53"/>
  <c r="C687" i="53"/>
  <c r="C686" i="53"/>
  <c r="C685" i="53"/>
  <c r="C684" i="53"/>
  <c r="C683" i="53"/>
  <c r="C682" i="53"/>
  <c r="C681" i="53"/>
  <c r="C680" i="53"/>
  <c r="C679" i="53"/>
  <c r="C678" i="53"/>
  <c r="C677" i="53"/>
  <c r="C676" i="53"/>
  <c r="C675" i="53"/>
  <c r="C674" i="53"/>
  <c r="C673" i="53"/>
  <c r="C672" i="53"/>
  <c r="C671" i="53"/>
  <c r="C670" i="53"/>
  <c r="C669" i="53"/>
  <c r="C668" i="53"/>
  <c r="C667" i="53"/>
  <c r="C666" i="53"/>
  <c r="C665" i="53"/>
  <c r="C664" i="53"/>
  <c r="C663" i="53"/>
  <c r="C662" i="53"/>
  <c r="C661" i="53"/>
  <c r="C660" i="53"/>
  <c r="C659" i="53"/>
  <c r="C658" i="53"/>
  <c r="C657" i="53"/>
  <c r="C656" i="53"/>
  <c r="C655" i="53"/>
  <c r="C654" i="53"/>
  <c r="C653" i="53"/>
  <c r="C652" i="53"/>
  <c r="C651" i="53"/>
  <c r="C650" i="53"/>
  <c r="C649" i="53"/>
  <c r="C648" i="53"/>
  <c r="C647" i="53"/>
  <c r="C646" i="53"/>
  <c r="C645" i="53"/>
  <c r="C644" i="53"/>
  <c r="C643" i="53"/>
  <c r="C642" i="53"/>
  <c r="C641" i="53"/>
  <c r="C640" i="53"/>
  <c r="C639" i="53"/>
  <c r="C638" i="53"/>
  <c r="C637" i="53"/>
  <c r="C636" i="53"/>
  <c r="C635" i="53"/>
  <c r="C634" i="53"/>
  <c r="C633" i="53"/>
  <c r="C632" i="53"/>
  <c r="C631" i="53"/>
  <c r="C630" i="53"/>
  <c r="C629" i="53"/>
  <c r="C628" i="53"/>
  <c r="C627" i="53"/>
  <c r="C626" i="53"/>
  <c r="C625" i="53"/>
  <c r="C624" i="53"/>
  <c r="C623" i="53"/>
  <c r="C622" i="53"/>
  <c r="C621" i="53"/>
  <c r="C620" i="53"/>
  <c r="C619" i="53"/>
  <c r="C618" i="53"/>
  <c r="C617" i="53"/>
  <c r="C616" i="53"/>
  <c r="C615" i="53"/>
  <c r="C614" i="53"/>
  <c r="C613" i="53"/>
  <c r="C612" i="53"/>
  <c r="C611" i="53"/>
  <c r="C610" i="53"/>
  <c r="C609" i="53"/>
  <c r="C608" i="53"/>
  <c r="C607" i="53"/>
  <c r="C606" i="53"/>
  <c r="C605" i="53"/>
  <c r="C604" i="53"/>
  <c r="C603" i="53"/>
  <c r="C602" i="53"/>
  <c r="C601" i="53"/>
  <c r="C600" i="53"/>
  <c r="C599" i="53"/>
  <c r="C598" i="53"/>
  <c r="C597" i="53"/>
  <c r="C596" i="53"/>
  <c r="C595" i="53"/>
  <c r="C594" i="53"/>
  <c r="C593" i="53"/>
  <c r="C592" i="53"/>
  <c r="C591" i="53"/>
  <c r="C590" i="53"/>
  <c r="C589" i="53"/>
  <c r="C588" i="53"/>
  <c r="C587" i="53"/>
  <c r="C586" i="53"/>
  <c r="C585" i="53"/>
  <c r="C584" i="53"/>
  <c r="C583" i="53"/>
  <c r="C582" i="53"/>
  <c r="C581" i="53"/>
  <c r="C580" i="53"/>
  <c r="C579" i="53"/>
  <c r="C578" i="53"/>
  <c r="C577" i="53"/>
  <c r="C576" i="53"/>
  <c r="C575" i="53"/>
  <c r="C574" i="53"/>
  <c r="C573" i="53"/>
  <c r="C572" i="53"/>
  <c r="C571" i="53"/>
  <c r="C570" i="53"/>
  <c r="C569" i="53"/>
  <c r="C568" i="53"/>
  <c r="C567" i="53"/>
  <c r="C566" i="53"/>
  <c r="C565" i="53"/>
  <c r="C564" i="53"/>
  <c r="C563" i="53"/>
  <c r="C562" i="53"/>
  <c r="C561" i="53"/>
  <c r="C560" i="53"/>
  <c r="C559" i="53"/>
  <c r="C558" i="53"/>
  <c r="C557" i="53"/>
  <c r="C556" i="53"/>
  <c r="C555" i="53"/>
  <c r="C554" i="53"/>
  <c r="C553" i="53"/>
  <c r="C552" i="53"/>
  <c r="C551" i="53"/>
  <c r="C550" i="53"/>
  <c r="C549" i="53"/>
  <c r="C548" i="53"/>
  <c r="C547" i="53"/>
  <c r="C546" i="53"/>
  <c r="C545" i="53"/>
  <c r="C544" i="53"/>
  <c r="C543" i="53"/>
  <c r="C542" i="53"/>
  <c r="C541" i="53"/>
  <c r="C540" i="53"/>
  <c r="C539" i="53"/>
  <c r="C538" i="53"/>
  <c r="C537" i="53"/>
  <c r="C536" i="53"/>
  <c r="C535" i="53"/>
  <c r="C534" i="53"/>
  <c r="C533" i="53"/>
  <c r="C532" i="53"/>
  <c r="C531" i="53"/>
  <c r="C530" i="53"/>
  <c r="C529" i="53"/>
  <c r="C528" i="53"/>
  <c r="C527" i="53"/>
  <c r="C526" i="53"/>
  <c r="C525" i="53"/>
  <c r="C524" i="53"/>
  <c r="C523" i="53"/>
  <c r="C522" i="53"/>
  <c r="C521" i="53"/>
  <c r="C520" i="53"/>
  <c r="C519" i="53"/>
  <c r="C518" i="53"/>
  <c r="C517" i="53"/>
  <c r="C516" i="53"/>
  <c r="C515" i="53"/>
  <c r="C514" i="53"/>
  <c r="C513" i="53"/>
  <c r="C512" i="53"/>
  <c r="C511" i="53"/>
  <c r="C510" i="53"/>
  <c r="C509" i="53"/>
  <c r="C508" i="53"/>
  <c r="C507" i="53"/>
  <c r="C506" i="53"/>
  <c r="C505" i="53"/>
  <c r="C504" i="53"/>
  <c r="C503" i="53"/>
  <c r="C502" i="53"/>
  <c r="C501" i="53"/>
  <c r="C500" i="53"/>
  <c r="C499" i="53"/>
  <c r="C498" i="53"/>
  <c r="C497" i="53"/>
  <c r="C496" i="53"/>
  <c r="C495" i="53"/>
  <c r="C494" i="53"/>
  <c r="C493" i="53"/>
  <c r="C492" i="53"/>
  <c r="C491" i="53"/>
  <c r="C490" i="53"/>
  <c r="C489" i="53"/>
  <c r="C488" i="53"/>
  <c r="C487" i="53"/>
  <c r="C486" i="53"/>
  <c r="C485" i="53"/>
  <c r="C484" i="53"/>
  <c r="C483" i="53"/>
  <c r="C482" i="53"/>
  <c r="C481" i="53"/>
  <c r="C480" i="53"/>
  <c r="C479" i="53"/>
  <c r="C478" i="53"/>
  <c r="C477" i="53"/>
  <c r="C476" i="53"/>
  <c r="C475" i="53"/>
  <c r="C474" i="53"/>
  <c r="C473" i="53"/>
  <c r="C472" i="53"/>
  <c r="C471" i="53"/>
  <c r="C470" i="53"/>
  <c r="C469" i="53"/>
  <c r="C468" i="53"/>
  <c r="C467" i="53"/>
  <c r="C466" i="53"/>
  <c r="C465" i="53"/>
  <c r="C464" i="53"/>
  <c r="C463" i="53"/>
  <c r="C462" i="53"/>
  <c r="C461" i="53"/>
  <c r="C460" i="53"/>
  <c r="C459" i="53"/>
  <c r="C458" i="53"/>
  <c r="C457" i="53"/>
  <c r="C456" i="53"/>
  <c r="C455" i="53"/>
  <c r="C454" i="53"/>
  <c r="C453" i="53"/>
  <c r="C452" i="53"/>
  <c r="C451" i="53"/>
  <c r="C450" i="53"/>
  <c r="C449" i="53"/>
  <c r="C448" i="53"/>
  <c r="C447" i="53"/>
  <c r="C446" i="53"/>
  <c r="C445" i="53"/>
  <c r="C444" i="53"/>
  <c r="C443" i="53"/>
  <c r="C442" i="53"/>
  <c r="C441" i="53"/>
  <c r="C440" i="53"/>
  <c r="C439" i="53"/>
  <c r="C438" i="53"/>
  <c r="C437" i="53"/>
  <c r="C436" i="53"/>
  <c r="C435" i="53"/>
  <c r="C434" i="53"/>
  <c r="C433" i="53"/>
  <c r="C432" i="53"/>
  <c r="C431" i="53"/>
  <c r="C430" i="53"/>
  <c r="C429" i="53"/>
  <c r="C428" i="53"/>
  <c r="C427" i="53"/>
  <c r="C426" i="53"/>
  <c r="C425" i="53"/>
  <c r="C424" i="53"/>
  <c r="C423" i="53"/>
  <c r="C422" i="53"/>
  <c r="C421" i="53"/>
  <c r="C420" i="53"/>
  <c r="C419" i="53"/>
  <c r="C418" i="53"/>
  <c r="C417" i="53"/>
  <c r="C416" i="53"/>
  <c r="C415" i="53"/>
  <c r="C414" i="53"/>
  <c r="C413"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82" i="53"/>
  <c r="C381" i="53"/>
  <c r="C380" i="53"/>
  <c r="C379" i="53"/>
  <c r="C378"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C349" i="53"/>
  <c r="C348" i="53"/>
  <c r="C347" i="53"/>
  <c r="C346"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C314" i="53"/>
  <c r="C313" i="53"/>
  <c r="C312" i="53"/>
  <c r="C311"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C279" i="53"/>
  <c r="C278" i="53"/>
  <c r="C277" i="53"/>
  <c r="C276"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C245" i="53"/>
  <c r="C244" i="53"/>
  <c r="C243" i="53"/>
  <c r="C242"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C210" i="53"/>
  <c r="C209" i="53"/>
  <c r="C208" i="53"/>
  <c r="C207"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C176" i="53"/>
  <c r="C175" i="53"/>
  <c r="C174" i="53"/>
  <c r="C173"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C141" i="53"/>
  <c r="C140" i="53"/>
  <c r="C139" i="53"/>
  <c r="C138"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C106" i="53"/>
  <c r="C105" i="53"/>
  <c r="C104" i="53"/>
  <c r="C103"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C72" i="53"/>
  <c r="C71" i="53"/>
  <c r="C70" i="53"/>
  <c r="C69"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C37" i="53"/>
  <c r="C36" i="53"/>
  <c r="C35" i="53"/>
  <c r="C34" i="53"/>
  <c r="C33" i="53"/>
  <c r="C32" i="53"/>
  <c r="C31" i="53"/>
  <c r="C30" i="53"/>
  <c r="C29" i="53"/>
  <c r="C28" i="53"/>
  <c r="C27" i="53"/>
  <c r="C26" i="53"/>
  <c r="C25" i="53"/>
  <c r="C24" i="53"/>
  <c r="Y22" i="44"/>
  <c r="C23"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C99" i="44"/>
  <c r="C100" i="44"/>
  <c r="C101" i="44"/>
  <c r="C102" i="44"/>
  <c r="C103" i="44"/>
  <c r="C104" i="44"/>
  <c r="C105" i="44"/>
  <c r="C106" i="44"/>
  <c r="C107" i="44"/>
  <c r="C108" i="44"/>
  <c r="C109" i="44"/>
  <c r="C110" i="44"/>
  <c r="C111" i="44"/>
  <c r="C112" i="44"/>
  <c r="C113" i="44"/>
  <c r="C114" i="44"/>
  <c r="C115" i="44"/>
  <c r="C116" i="44"/>
  <c r="C117" i="44"/>
  <c r="C118" i="44"/>
  <c r="C119" i="44"/>
  <c r="C120" i="44"/>
  <c r="C121" i="44"/>
  <c r="C122" i="44"/>
  <c r="C123" i="44"/>
  <c r="C124" i="44"/>
  <c r="C125" i="44"/>
  <c r="C126" i="44"/>
  <c r="C127" i="44"/>
  <c r="C128" i="44"/>
  <c r="C129" i="44"/>
  <c r="C130" i="44"/>
  <c r="C131" i="44"/>
  <c r="C132" i="44"/>
  <c r="C133" i="44"/>
  <c r="C134" i="44"/>
  <c r="C135" i="44"/>
  <c r="C136" i="44"/>
  <c r="C137" i="44"/>
  <c r="C138" i="44"/>
  <c r="C139" i="44"/>
  <c r="C140" i="44"/>
  <c r="C141" i="44"/>
  <c r="C142" i="44"/>
  <c r="C143" i="44"/>
  <c r="C144" i="44"/>
  <c r="C145" i="44"/>
  <c r="C146" i="44"/>
  <c r="C147" i="44"/>
  <c r="C148" i="44"/>
  <c r="C149" i="44"/>
  <c r="C150" i="44"/>
  <c r="C151" i="44"/>
  <c r="C152" i="44"/>
  <c r="C153" i="44"/>
  <c r="C154" i="44"/>
  <c r="C155" i="44"/>
  <c r="C156" i="44"/>
  <c r="C157" i="44"/>
  <c r="C158" i="44"/>
  <c r="C159" i="44"/>
  <c r="C160" i="44"/>
  <c r="C161" i="44"/>
  <c r="C162" i="44"/>
  <c r="C163" i="44"/>
  <c r="C164" i="44"/>
  <c r="C165" i="44"/>
  <c r="C166" i="44"/>
  <c r="C167" i="44"/>
  <c r="C168" i="44"/>
  <c r="C169" i="44"/>
  <c r="C170" i="44"/>
  <c r="C171" i="44"/>
  <c r="C172" i="44"/>
  <c r="C173" i="44"/>
  <c r="C174" i="44"/>
  <c r="C175" i="44"/>
  <c r="C176" i="44"/>
  <c r="C177" i="44"/>
  <c r="C178" i="44"/>
  <c r="C179" i="44"/>
  <c r="C180" i="44"/>
  <c r="C181" i="44"/>
  <c r="C182" i="44"/>
  <c r="C183" i="44"/>
  <c r="C184" i="44"/>
  <c r="C185" i="44"/>
  <c r="C186" i="44"/>
  <c r="C187" i="44"/>
  <c r="C188" i="44"/>
  <c r="C189" i="44"/>
  <c r="C190" i="44"/>
  <c r="C191" i="44"/>
  <c r="C192" i="44"/>
  <c r="C193" i="44"/>
  <c r="C194" i="44"/>
  <c r="C195" i="44"/>
  <c r="C196" i="44"/>
  <c r="C197" i="44"/>
  <c r="C198" i="44"/>
  <c r="C199" i="44"/>
  <c r="C200" i="44"/>
  <c r="C201" i="44"/>
  <c r="C202" i="44"/>
  <c r="C203" i="44"/>
  <c r="C204" i="44"/>
  <c r="C205" i="44"/>
  <c r="C206" i="44"/>
  <c r="C207" i="44"/>
  <c r="C208" i="44"/>
  <c r="C209" i="44"/>
  <c r="C210" i="44"/>
  <c r="C211" i="44"/>
  <c r="C212" i="44"/>
  <c r="C213" i="44"/>
  <c r="C214" i="44"/>
  <c r="C215" i="44"/>
  <c r="C216" i="44"/>
  <c r="C217" i="44"/>
  <c r="C218" i="44"/>
  <c r="C219" i="44"/>
  <c r="C220" i="44"/>
  <c r="C221" i="44"/>
  <c r="C222" i="44"/>
  <c r="C223" i="44"/>
  <c r="C224" i="44"/>
  <c r="C225" i="44"/>
  <c r="C226" i="44"/>
  <c r="C227" i="44"/>
  <c r="C228" i="44"/>
  <c r="C229" i="44"/>
  <c r="C230" i="44"/>
  <c r="C231" i="44"/>
  <c r="C232" i="44"/>
  <c r="C233" i="44"/>
  <c r="C234" i="44"/>
  <c r="C235" i="44"/>
  <c r="C236" i="44"/>
  <c r="C237" i="44"/>
  <c r="C238" i="44"/>
  <c r="C239" i="44"/>
  <c r="C240" i="44"/>
  <c r="C241" i="44"/>
  <c r="C242" i="44"/>
  <c r="C243" i="44"/>
  <c r="C244" i="44"/>
  <c r="C245" i="44"/>
  <c r="C246" i="44"/>
  <c r="C247" i="44"/>
  <c r="C248" i="44"/>
  <c r="C249" i="44"/>
  <c r="C250" i="44"/>
  <c r="C251" i="44"/>
  <c r="C252" i="44"/>
  <c r="C253" i="44"/>
  <c r="C254" i="44"/>
  <c r="C255" i="44"/>
  <c r="C256" i="44"/>
  <c r="C257" i="44"/>
  <c r="C258" i="44"/>
  <c r="C259" i="44"/>
  <c r="C260" i="44"/>
  <c r="C261" i="44"/>
  <c r="C262" i="44"/>
  <c r="C263" i="44"/>
  <c r="C264" i="44"/>
  <c r="C265" i="44"/>
  <c r="C266" i="44"/>
  <c r="C267" i="44"/>
  <c r="C268" i="44"/>
  <c r="C269" i="44"/>
  <c r="C270" i="44"/>
  <c r="C271" i="44"/>
  <c r="C272" i="44"/>
  <c r="C273" i="44"/>
  <c r="C274" i="44"/>
  <c r="C275" i="44"/>
  <c r="C276" i="44"/>
  <c r="C277" i="44"/>
  <c r="C278" i="44"/>
  <c r="C279" i="44"/>
  <c r="C280" i="44"/>
  <c r="C281" i="44"/>
  <c r="C282" i="44"/>
  <c r="C283" i="44"/>
  <c r="C284" i="44"/>
  <c r="C285" i="44"/>
  <c r="C286" i="44"/>
  <c r="C287" i="44"/>
  <c r="C288" i="44"/>
  <c r="C289" i="44"/>
  <c r="C290" i="44"/>
  <c r="C291" i="44"/>
  <c r="C292" i="44"/>
  <c r="C293" i="44"/>
  <c r="C294" i="44"/>
  <c r="C295" i="44"/>
  <c r="C296" i="44"/>
  <c r="C297" i="44"/>
  <c r="C298" i="44"/>
  <c r="C299" i="44"/>
  <c r="C300" i="44"/>
  <c r="C301" i="44"/>
  <c r="C302" i="44"/>
  <c r="C303" i="44"/>
  <c r="C304" i="44"/>
  <c r="C305" i="44"/>
  <c r="C306" i="44"/>
  <c r="C307" i="44"/>
  <c r="C308" i="44"/>
  <c r="C309" i="44"/>
  <c r="C310" i="44"/>
  <c r="C311" i="44"/>
  <c r="C312" i="44"/>
  <c r="C313" i="44"/>
  <c r="C314" i="44"/>
  <c r="C315" i="44"/>
  <c r="C316" i="44"/>
  <c r="C317" i="44"/>
  <c r="C318" i="44"/>
  <c r="C319" i="44"/>
  <c r="C320" i="44"/>
  <c r="C321" i="44"/>
  <c r="C322" i="44"/>
  <c r="C323" i="44"/>
  <c r="C324" i="44"/>
  <c r="C325" i="44"/>
  <c r="C326" i="44"/>
  <c r="C327" i="44"/>
  <c r="C328" i="44"/>
  <c r="C329" i="44"/>
  <c r="C330" i="44"/>
  <c r="C331" i="44"/>
  <c r="C332" i="44"/>
  <c r="C333" i="44"/>
  <c r="C334" i="44"/>
  <c r="C335" i="44"/>
  <c r="C336" i="44"/>
  <c r="C337" i="44"/>
  <c r="C338" i="44"/>
  <c r="C339" i="44"/>
  <c r="C340" i="44"/>
  <c r="C341" i="44"/>
  <c r="C342" i="44"/>
  <c r="C343" i="44"/>
  <c r="C344" i="44"/>
  <c r="C345" i="44"/>
  <c r="C346" i="44"/>
  <c r="C347" i="44"/>
  <c r="C348" i="44"/>
  <c r="C349" i="44"/>
  <c r="C350" i="44"/>
  <c r="C351" i="44"/>
  <c r="C352" i="44"/>
  <c r="C353" i="44"/>
  <c r="C354" i="44"/>
  <c r="C355" i="44"/>
  <c r="C356" i="44"/>
  <c r="C357" i="44"/>
  <c r="C358" i="44"/>
  <c r="C359" i="44"/>
  <c r="C360" i="44"/>
  <c r="C361" i="44"/>
  <c r="C362" i="44"/>
  <c r="C363" i="44"/>
  <c r="C364" i="44"/>
  <c r="C365" i="44"/>
  <c r="C366" i="44"/>
  <c r="C367" i="44"/>
  <c r="C368" i="44"/>
  <c r="C369" i="44"/>
  <c r="C370" i="44"/>
  <c r="C371" i="44"/>
  <c r="C372" i="44"/>
  <c r="C373" i="44"/>
  <c r="C374" i="44"/>
  <c r="C375" i="44"/>
  <c r="C376" i="44"/>
  <c r="C377" i="44"/>
  <c r="C378" i="44"/>
  <c r="C379" i="44"/>
  <c r="C380" i="44"/>
  <c r="C381" i="44"/>
  <c r="C382" i="44"/>
  <c r="C383" i="44"/>
  <c r="C384" i="44"/>
  <c r="C385" i="44"/>
  <c r="C386" i="44"/>
  <c r="C387" i="44"/>
  <c r="C388" i="44"/>
  <c r="C389" i="44"/>
  <c r="C390" i="44"/>
  <c r="C391" i="44"/>
  <c r="C392" i="44"/>
  <c r="C393" i="44"/>
  <c r="C394" i="44"/>
  <c r="C395" i="44"/>
  <c r="C396" i="44"/>
  <c r="C397" i="44"/>
  <c r="C398" i="44"/>
  <c r="C399" i="44"/>
  <c r="C400" i="44"/>
  <c r="C401" i="44"/>
  <c r="C402" i="44"/>
  <c r="C403" i="44"/>
  <c r="C404" i="44"/>
  <c r="C405" i="44"/>
  <c r="C406" i="44"/>
  <c r="C407" i="44"/>
  <c r="C408" i="44"/>
  <c r="C409" i="44"/>
  <c r="C410" i="44"/>
  <c r="C411" i="44"/>
  <c r="C412" i="44"/>
  <c r="C413" i="44"/>
  <c r="C414" i="44"/>
  <c r="C415" i="44"/>
  <c r="C416" i="44"/>
  <c r="C417" i="44"/>
  <c r="C418" i="44"/>
  <c r="C419" i="44"/>
  <c r="C420" i="44"/>
  <c r="C421" i="44"/>
  <c r="C422" i="44"/>
  <c r="C423" i="44"/>
  <c r="C424" i="44"/>
  <c r="C425" i="44"/>
  <c r="C426" i="44"/>
  <c r="C427" i="44"/>
  <c r="C428" i="44"/>
  <c r="C429" i="44"/>
  <c r="C430" i="44"/>
  <c r="C431" i="44"/>
  <c r="C432" i="44"/>
  <c r="C433" i="44"/>
  <c r="C434" i="44"/>
  <c r="C435" i="44"/>
  <c r="C436" i="44"/>
  <c r="C437" i="44"/>
  <c r="C438" i="44"/>
  <c r="C439" i="44"/>
  <c r="C440" i="44"/>
  <c r="C441" i="44"/>
  <c r="C442" i="44"/>
  <c r="C443" i="44"/>
  <c r="C444" i="44"/>
  <c r="C445" i="44"/>
  <c r="C446" i="44"/>
  <c r="C447" i="44"/>
  <c r="C448" i="44"/>
  <c r="C449" i="44"/>
  <c r="C450" i="44"/>
  <c r="C451" i="44"/>
  <c r="C452" i="44"/>
  <c r="C453" i="44"/>
  <c r="C454" i="44"/>
  <c r="C455" i="44"/>
  <c r="C456" i="44"/>
  <c r="C457" i="44"/>
  <c r="C458" i="44"/>
  <c r="C459" i="44"/>
  <c r="C460" i="44"/>
  <c r="C461" i="44"/>
  <c r="C462" i="44"/>
  <c r="C463" i="44"/>
  <c r="C464" i="44"/>
  <c r="C465" i="44"/>
  <c r="C466" i="44"/>
  <c r="C467" i="44"/>
  <c r="C468" i="44"/>
  <c r="C469" i="44"/>
  <c r="C470" i="44"/>
  <c r="C471" i="44"/>
  <c r="C472" i="44"/>
  <c r="C473" i="44"/>
  <c r="C474" i="44"/>
  <c r="C475" i="44"/>
  <c r="C476" i="44"/>
  <c r="C477" i="44"/>
  <c r="C478" i="44"/>
  <c r="C479" i="44"/>
  <c r="C480" i="44"/>
  <c r="C481" i="44"/>
  <c r="C482" i="44"/>
  <c r="C483" i="44"/>
  <c r="C484" i="44"/>
  <c r="C485" i="44"/>
  <c r="C486" i="44"/>
  <c r="C487" i="44"/>
  <c r="C488" i="44"/>
  <c r="C489" i="44"/>
  <c r="C490" i="44"/>
  <c r="C491" i="44"/>
  <c r="C492" i="44"/>
  <c r="C493" i="44"/>
  <c r="C494" i="44"/>
  <c r="C495" i="44"/>
  <c r="C496" i="44"/>
  <c r="C497" i="44"/>
  <c r="C498" i="44"/>
  <c r="C499" i="44"/>
  <c r="C500" i="44"/>
  <c r="C501" i="44"/>
  <c r="C502" i="44"/>
  <c r="C503" i="44"/>
  <c r="C504" i="44"/>
  <c r="C505" i="44"/>
  <c r="C506" i="44"/>
  <c r="C507" i="44"/>
  <c r="C508" i="44"/>
  <c r="C509" i="44"/>
  <c r="C510" i="44"/>
  <c r="C511" i="44"/>
  <c r="C512" i="44"/>
  <c r="C513" i="44"/>
  <c r="C514" i="44"/>
  <c r="C515" i="44"/>
  <c r="C516" i="44"/>
  <c r="C517" i="44"/>
  <c r="C518" i="44"/>
  <c r="C519" i="44"/>
  <c r="C520" i="44"/>
  <c r="C521" i="44"/>
  <c r="C522" i="44"/>
  <c r="C523" i="44"/>
  <c r="C524" i="44"/>
  <c r="C525" i="44"/>
  <c r="C526" i="44"/>
  <c r="C527" i="44"/>
  <c r="C528" i="44"/>
  <c r="C529" i="44"/>
  <c r="C530" i="44"/>
  <c r="C531" i="44"/>
  <c r="C532" i="44"/>
  <c r="C533" i="44"/>
  <c r="C534" i="44"/>
  <c r="C535" i="44"/>
  <c r="C536" i="44"/>
  <c r="C537" i="44"/>
  <c r="C538" i="44"/>
  <c r="C539" i="44"/>
  <c r="C540" i="44"/>
  <c r="C541" i="44"/>
  <c r="C542" i="44"/>
  <c r="C543" i="44"/>
  <c r="C544" i="44"/>
  <c r="C545" i="44"/>
  <c r="C546" i="44"/>
  <c r="C547" i="44"/>
  <c r="C548" i="44"/>
  <c r="C549" i="44"/>
  <c r="C550" i="44"/>
  <c r="C551" i="44"/>
  <c r="C552" i="44"/>
  <c r="C553" i="44"/>
  <c r="C554" i="44"/>
  <c r="C555" i="44"/>
  <c r="C556" i="44"/>
  <c r="C557" i="44"/>
  <c r="C558" i="44"/>
  <c r="C559" i="44"/>
  <c r="C560" i="44"/>
  <c r="C561" i="44"/>
  <c r="C562" i="44"/>
  <c r="C563" i="44"/>
  <c r="C564" i="44"/>
  <c r="C565" i="44"/>
  <c r="C566" i="44"/>
  <c r="C567" i="44"/>
  <c r="C568" i="44"/>
  <c r="C569" i="44"/>
  <c r="C570" i="44"/>
  <c r="C571" i="44"/>
  <c r="C572" i="44"/>
  <c r="C573" i="44"/>
  <c r="C574" i="44"/>
  <c r="C575" i="44"/>
  <c r="C576" i="44"/>
  <c r="C577" i="44"/>
  <c r="C578" i="44"/>
  <c r="C579" i="44"/>
  <c r="C580" i="44"/>
  <c r="C581" i="44"/>
  <c r="C582" i="44"/>
  <c r="C583" i="44"/>
  <c r="C584" i="44"/>
  <c r="C585" i="44"/>
  <c r="C586" i="44"/>
  <c r="C587" i="44"/>
  <c r="C588" i="44"/>
  <c r="C589" i="44"/>
  <c r="C590" i="44"/>
  <c r="C591" i="44"/>
  <c r="C592" i="44"/>
  <c r="C593" i="44"/>
  <c r="C594" i="44"/>
  <c r="C595" i="44"/>
  <c r="C596" i="44"/>
  <c r="C597" i="44"/>
  <c r="C598" i="44"/>
  <c r="C599" i="44"/>
  <c r="C600" i="44"/>
  <c r="C601" i="44"/>
  <c r="C602" i="44"/>
  <c r="C603" i="44"/>
  <c r="C604" i="44"/>
  <c r="C605" i="44"/>
  <c r="C606" i="44"/>
  <c r="C607" i="44"/>
  <c r="C608" i="44"/>
  <c r="C609" i="44"/>
  <c r="C610" i="44"/>
  <c r="C611" i="44"/>
  <c r="C612" i="44"/>
  <c r="C613" i="44"/>
  <c r="C614" i="44"/>
  <c r="C615" i="44"/>
  <c r="C616" i="44"/>
  <c r="C617" i="44"/>
  <c r="C618" i="44"/>
  <c r="C619" i="44"/>
  <c r="C620" i="44"/>
  <c r="C621" i="44"/>
  <c r="C622" i="44"/>
  <c r="C623" i="44"/>
  <c r="C624" i="44"/>
  <c r="C625" i="44"/>
  <c r="C626" i="44"/>
  <c r="C627" i="44"/>
  <c r="C628" i="44"/>
  <c r="C629" i="44"/>
  <c r="C630" i="44"/>
  <c r="C631" i="44"/>
  <c r="C632" i="44"/>
  <c r="C633" i="44"/>
  <c r="C634" i="44"/>
  <c r="C635" i="44"/>
  <c r="C636" i="44"/>
  <c r="C637" i="44"/>
  <c r="C638" i="44"/>
  <c r="C639" i="44"/>
  <c r="C640" i="44"/>
  <c r="C641" i="44"/>
  <c r="C642" i="44"/>
  <c r="C643" i="44"/>
  <c r="C644" i="44"/>
  <c r="C645" i="44"/>
  <c r="C646" i="44"/>
  <c r="C647" i="44"/>
  <c r="C648" i="44"/>
  <c r="C649" i="44"/>
  <c r="C650" i="44"/>
  <c r="C651" i="44"/>
  <c r="C652" i="44"/>
  <c r="C653" i="44"/>
  <c r="C654" i="44"/>
  <c r="C655" i="44"/>
  <c r="C656" i="44"/>
  <c r="C657" i="44"/>
  <c r="C658" i="44"/>
  <c r="C659" i="44"/>
  <c r="C660" i="44"/>
  <c r="C661" i="44"/>
  <c r="C662" i="44"/>
  <c r="C663" i="44"/>
  <c r="C664" i="44"/>
  <c r="C665" i="44"/>
  <c r="C666" i="44"/>
  <c r="C667" i="44"/>
  <c r="C668" i="44"/>
  <c r="C669" i="44"/>
  <c r="C670" i="44"/>
  <c r="C671" i="44"/>
  <c r="C672" i="44"/>
  <c r="C673" i="44"/>
  <c r="C674" i="44"/>
  <c r="C675" i="44"/>
  <c r="C676" i="44"/>
  <c r="C677" i="44"/>
  <c r="C678" i="44"/>
  <c r="C679" i="44"/>
  <c r="C680" i="44"/>
  <c r="C681" i="44"/>
  <c r="C682" i="44"/>
  <c r="C683" i="44"/>
  <c r="C684" i="44"/>
  <c r="C685" i="44"/>
  <c r="C686" i="44"/>
  <c r="C687" i="44"/>
  <c r="C688" i="44"/>
  <c r="C689" i="44"/>
  <c r="C690" i="44"/>
  <c r="C691" i="44"/>
  <c r="C692" i="44"/>
  <c r="C693" i="44"/>
  <c r="C694" i="44"/>
  <c r="C695" i="44"/>
  <c r="C696" i="44"/>
  <c r="C697" i="44"/>
  <c r="C698" i="44"/>
  <c r="C699" i="44"/>
  <c r="C700" i="44"/>
  <c r="C701" i="44"/>
  <c r="C702" i="44"/>
  <c r="C703" i="44"/>
  <c r="C704" i="44"/>
  <c r="C705" i="44"/>
  <c r="C706" i="44"/>
  <c r="C707" i="44"/>
  <c r="C708" i="44"/>
  <c r="C709" i="44"/>
  <c r="C710" i="44"/>
  <c r="C711" i="44"/>
  <c r="C712" i="44"/>
  <c r="C713" i="44"/>
  <c r="C714" i="44"/>
  <c r="C715" i="44"/>
  <c r="C716" i="44"/>
  <c r="C717" i="44"/>
  <c r="C718" i="44"/>
  <c r="C719" i="44"/>
  <c r="C720" i="44"/>
  <c r="C721" i="44"/>
  <c r="C722" i="44"/>
  <c r="C723" i="44"/>
  <c r="C724" i="44"/>
  <c r="C725" i="44"/>
  <c r="C726" i="44"/>
  <c r="C727" i="44"/>
  <c r="C728" i="44"/>
  <c r="C729" i="44"/>
  <c r="C730" i="44"/>
  <c r="C731" i="44"/>
  <c r="C732" i="44"/>
  <c r="C733" i="44"/>
  <c r="C734" i="44"/>
  <c r="C735" i="44"/>
  <c r="C736" i="44"/>
  <c r="C737" i="44"/>
  <c r="C738" i="44"/>
  <c r="C739" i="44"/>
  <c r="C740" i="44"/>
  <c r="C741" i="44"/>
  <c r="C742" i="44"/>
  <c r="C743" i="44"/>
  <c r="C744" i="44"/>
  <c r="C745" i="44"/>
  <c r="C746" i="44"/>
  <c r="C747" i="44"/>
  <c r="C748" i="44"/>
  <c r="C749" i="44"/>
  <c r="C750" i="44"/>
  <c r="C751" i="44"/>
  <c r="C752" i="44"/>
  <c r="C753" i="44"/>
  <c r="C754" i="44"/>
  <c r="C755" i="44"/>
  <c r="C756" i="44"/>
  <c r="C757" i="44"/>
  <c r="C758" i="44"/>
  <c r="C759" i="44"/>
  <c r="C760" i="44"/>
  <c r="C761" i="44"/>
  <c r="C762" i="44"/>
  <c r="C763" i="44"/>
  <c r="C764" i="44"/>
  <c r="C765" i="44"/>
  <c r="C766" i="44"/>
  <c r="C767" i="44"/>
  <c r="C768" i="44"/>
  <c r="C769" i="44"/>
  <c r="C770" i="44"/>
  <c r="C771" i="44"/>
  <c r="C772" i="44"/>
  <c r="C773" i="44"/>
  <c r="C774" i="44"/>
  <c r="C775" i="44"/>
  <c r="C776" i="44"/>
  <c r="C777" i="44"/>
  <c r="C778" i="44"/>
  <c r="C779" i="44"/>
  <c r="C780" i="44"/>
  <c r="C781" i="44"/>
  <c r="C782" i="44"/>
  <c r="C783" i="44"/>
  <c r="C784" i="44"/>
  <c r="C785" i="44"/>
  <c r="C786" i="44"/>
  <c r="C787" i="44"/>
  <c r="C788" i="44"/>
  <c r="C789" i="44"/>
  <c r="C790" i="44"/>
  <c r="C791" i="44"/>
  <c r="C792" i="44"/>
  <c r="C793" i="44"/>
  <c r="C794" i="44"/>
  <c r="C795" i="44"/>
  <c r="C796" i="44"/>
  <c r="C797" i="44"/>
  <c r="C798" i="44"/>
  <c r="C799" i="44"/>
  <c r="C800" i="44"/>
  <c r="C801" i="44"/>
  <c r="C802" i="44"/>
  <c r="C803" i="44"/>
  <c r="C804" i="44"/>
  <c r="C805" i="44"/>
  <c r="C806" i="44"/>
  <c r="C807" i="44"/>
  <c r="C808" i="44"/>
  <c r="C809" i="44"/>
  <c r="C810" i="44"/>
  <c r="C811" i="44"/>
  <c r="C812" i="44"/>
  <c r="C813" i="44"/>
  <c r="C814" i="44"/>
  <c r="C815" i="44"/>
  <c r="C816" i="44"/>
  <c r="C817" i="44"/>
  <c r="C818" i="44"/>
  <c r="C819" i="44"/>
  <c r="C820" i="44"/>
  <c r="C821" i="44"/>
  <c r="C822" i="44"/>
  <c r="C823" i="44"/>
  <c r="C824" i="44"/>
  <c r="C825" i="44"/>
  <c r="C826" i="44"/>
  <c r="C827" i="44"/>
  <c r="C828" i="44"/>
  <c r="C829" i="44"/>
  <c r="C830" i="44"/>
  <c r="C831" i="44"/>
  <c r="C832" i="44"/>
  <c r="C833" i="44"/>
  <c r="C834" i="44"/>
  <c r="C835" i="44"/>
  <c r="C836" i="44"/>
  <c r="C837" i="44"/>
  <c r="C838" i="44"/>
  <c r="C839" i="44"/>
  <c r="C840" i="44"/>
  <c r="C841" i="44"/>
  <c r="C842" i="44"/>
  <c r="C843" i="44"/>
  <c r="C844" i="44"/>
  <c r="C845" i="44"/>
  <c r="C846" i="44"/>
  <c r="C847" i="44"/>
  <c r="C848" i="44"/>
  <c r="C849" i="44"/>
  <c r="C850" i="44"/>
  <c r="C851" i="44"/>
  <c r="C852" i="44"/>
  <c r="C853" i="44"/>
  <c r="C854" i="44"/>
  <c r="C855" i="44"/>
  <c r="C856" i="44"/>
  <c r="C857" i="44"/>
  <c r="C858" i="44"/>
  <c r="C859" i="44"/>
  <c r="C860" i="44"/>
  <c r="C861" i="44"/>
  <c r="C862" i="44"/>
  <c r="C863" i="44"/>
  <c r="C864" i="44"/>
  <c r="C865" i="44"/>
  <c r="C866" i="44"/>
  <c r="C867" i="44"/>
  <c r="C868" i="44"/>
  <c r="C869" i="44"/>
  <c r="C870" i="44"/>
  <c r="C871" i="44"/>
  <c r="C872" i="44"/>
  <c r="C873" i="44"/>
  <c r="C874" i="44"/>
  <c r="C875" i="44"/>
  <c r="C876" i="44"/>
  <c r="C877" i="44"/>
  <c r="C878" i="44"/>
  <c r="C879" i="44"/>
  <c r="C880" i="44"/>
  <c r="C881" i="44"/>
  <c r="C882" i="44"/>
  <c r="C883" i="44"/>
  <c r="C884" i="44"/>
  <c r="C885" i="44"/>
  <c r="C886" i="44"/>
  <c r="C887" i="44"/>
  <c r="C888" i="44"/>
  <c r="C889" i="44"/>
  <c r="C890" i="44"/>
  <c r="C891" i="44"/>
  <c r="C892" i="44"/>
  <c r="C893" i="44"/>
  <c r="C894" i="44"/>
  <c r="C895" i="44"/>
  <c r="C896" i="44"/>
  <c r="C897" i="44"/>
  <c r="C898" i="44"/>
  <c r="C899" i="44"/>
  <c r="C900" i="44"/>
  <c r="C901" i="44"/>
  <c r="C902" i="44"/>
  <c r="C903" i="44"/>
  <c r="C904" i="44"/>
  <c r="C905" i="44"/>
  <c r="C906" i="44"/>
  <c r="C907" i="44"/>
  <c r="C908" i="44"/>
  <c r="C909" i="44"/>
  <c r="C910" i="44"/>
  <c r="C911" i="44"/>
  <c r="C912" i="44"/>
  <c r="C913" i="44"/>
  <c r="C914" i="44"/>
  <c r="C915" i="44"/>
  <c r="C916" i="44"/>
  <c r="C917" i="44"/>
  <c r="C918" i="44"/>
  <c r="C919" i="44"/>
  <c r="C920" i="44"/>
  <c r="C921" i="44"/>
  <c r="C922" i="44"/>
  <c r="C923" i="44"/>
  <c r="C924" i="44"/>
  <c r="C925" i="44"/>
  <c r="C926" i="44"/>
  <c r="C927" i="44"/>
  <c r="C928" i="44"/>
  <c r="C929" i="44"/>
  <c r="C930" i="44"/>
  <c r="C931" i="44"/>
  <c r="C932" i="44"/>
  <c r="C933" i="44"/>
  <c r="C934" i="44"/>
  <c r="C935" i="44"/>
  <c r="C936" i="44"/>
  <c r="C937" i="44"/>
  <c r="C938" i="44"/>
  <c r="C939" i="44"/>
  <c r="C940" i="44"/>
  <c r="C941" i="44"/>
  <c r="C942" i="44"/>
  <c r="C943" i="44"/>
  <c r="C944" i="44"/>
  <c r="C945" i="44"/>
  <c r="C946" i="44"/>
  <c r="C947" i="44"/>
  <c r="C948" i="44"/>
  <c r="C949" i="44"/>
  <c r="C950" i="44"/>
  <c r="C951" i="44"/>
  <c r="C952" i="44"/>
  <c r="C953" i="44"/>
  <c r="C954" i="44"/>
  <c r="C955" i="44"/>
  <c r="C956" i="44"/>
  <c r="C957" i="44"/>
  <c r="C958" i="44"/>
  <c r="C959" i="44"/>
  <c r="C960" i="44"/>
  <c r="C961" i="44"/>
  <c r="C962" i="44"/>
  <c r="C963" i="44"/>
  <c r="C964" i="44"/>
  <c r="C965" i="44"/>
  <c r="C966" i="44"/>
  <c r="C967" i="44"/>
  <c r="C968" i="44"/>
  <c r="C969" i="44"/>
  <c r="C970" i="44"/>
  <c r="C971" i="44"/>
  <c r="C972" i="44"/>
  <c r="C973" i="44"/>
  <c r="C974" i="44"/>
  <c r="C975" i="44"/>
  <c r="C976" i="44"/>
  <c r="C977" i="44"/>
  <c r="C978" i="44"/>
  <c r="C979" i="44"/>
  <c r="C980" i="44"/>
  <c r="C981" i="44"/>
  <c r="C22" i="44"/>
  <c r="B40" i="35" l="1"/>
  <c r="C23" i="55"/>
  <c r="C24" i="55"/>
  <c r="C25" i="55"/>
  <c r="C26" i="55"/>
  <c r="C27" i="55"/>
  <c r="C28" i="55"/>
  <c r="C29" i="55"/>
  <c r="C30" i="55"/>
  <c r="C31" i="55"/>
  <c r="C32" i="55"/>
  <c r="C33" i="55"/>
  <c r="C34" i="55"/>
  <c r="C35" i="55"/>
  <c r="C36" i="55"/>
  <c r="C37" i="55"/>
  <c r="C38" i="55"/>
  <c r="C39" i="55"/>
  <c r="C40" i="55"/>
  <c r="C41" i="55"/>
  <c r="C42" i="55"/>
  <c r="C43" i="55"/>
  <c r="C44" i="55"/>
  <c r="C45" i="55"/>
  <c r="C46" i="55"/>
  <c r="C47" i="55"/>
  <c r="C48" i="55"/>
  <c r="C49" i="55"/>
  <c r="C50" i="55"/>
  <c r="C51" i="55"/>
  <c r="C52" i="55"/>
  <c r="C53" i="55"/>
  <c r="C54" i="55"/>
  <c r="C55" i="55"/>
  <c r="C22" i="55"/>
  <c r="C23" i="54"/>
  <c r="C22" i="54"/>
  <c r="C23" i="53"/>
  <c r="C22" i="53"/>
  <c r="Y23" i="55"/>
  <c r="Y22" i="55"/>
  <c r="Y23" i="54"/>
  <c r="Y22" i="54"/>
  <c r="Y23" i="53"/>
  <c r="Y22" i="53"/>
  <c r="Y22" i="52"/>
  <c r="C981" i="52"/>
  <c r="C980" i="52"/>
  <c r="C979" i="52"/>
  <c r="C978" i="52"/>
  <c r="C977" i="52"/>
  <c r="C976" i="52"/>
  <c r="C975" i="52"/>
  <c r="C974" i="52"/>
  <c r="C973" i="52"/>
  <c r="C972" i="52"/>
  <c r="C971" i="52"/>
  <c r="C970" i="52"/>
  <c r="C969" i="52"/>
  <c r="C968" i="52"/>
  <c r="C967" i="52"/>
  <c r="C966" i="52"/>
  <c r="C965" i="52"/>
  <c r="C964" i="52"/>
  <c r="C963" i="52"/>
  <c r="C962" i="52"/>
  <c r="C961" i="52"/>
  <c r="C960" i="52"/>
  <c r="C959" i="52"/>
  <c r="C958" i="52"/>
  <c r="C957" i="52"/>
  <c r="C956" i="52"/>
  <c r="C955" i="52"/>
  <c r="C954" i="52"/>
  <c r="C953" i="52"/>
  <c r="C952" i="52"/>
  <c r="C951" i="52"/>
  <c r="C950" i="52"/>
  <c r="C949" i="52"/>
  <c r="C948" i="52"/>
  <c r="C947" i="52"/>
  <c r="C946" i="52"/>
  <c r="C945" i="52"/>
  <c r="C944" i="52"/>
  <c r="C943" i="52"/>
  <c r="C942" i="52"/>
  <c r="C941" i="52"/>
  <c r="C940" i="52"/>
  <c r="C939" i="52"/>
  <c r="C938" i="52"/>
  <c r="C937" i="52"/>
  <c r="C936" i="52"/>
  <c r="C935" i="52"/>
  <c r="C934" i="52"/>
  <c r="C933" i="52"/>
  <c r="C932" i="52"/>
  <c r="C931" i="52"/>
  <c r="C930" i="52"/>
  <c r="C929" i="52"/>
  <c r="C928" i="52"/>
  <c r="C927" i="52"/>
  <c r="C926" i="52"/>
  <c r="C925" i="52"/>
  <c r="C924" i="52"/>
  <c r="C923" i="52"/>
  <c r="C922" i="52"/>
  <c r="C921" i="52"/>
  <c r="C920" i="52"/>
  <c r="C919" i="52"/>
  <c r="C918" i="52"/>
  <c r="C917" i="52"/>
  <c r="C916" i="52"/>
  <c r="C915" i="52"/>
  <c r="C914" i="52"/>
  <c r="C913" i="52"/>
  <c r="C912" i="52"/>
  <c r="C911" i="52"/>
  <c r="C910" i="52"/>
  <c r="C909" i="52"/>
  <c r="C908" i="52"/>
  <c r="C907" i="52"/>
  <c r="C906" i="52"/>
  <c r="C905" i="52"/>
  <c r="C904" i="52"/>
  <c r="C903" i="52"/>
  <c r="C902" i="52"/>
  <c r="C901" i="52"/>
  <c r="C900" i="52"/>
  <c r="C899" i="52"/>
  <c r="C898" i="52"/>
  <c r="C897" i="52"/>
  <c r="C896" i="52"/>
  <c r="C895" i="52"/>
  <c r="C894" i="52"/>
  <c r="C893" i="52"/>
  <c r="C892" i="52"/>
  <c r="C891" i="52"/>
  <c r="C890" i="52"/>
  <c r="C889" i="52"/>
  <c r="C888" i="52"/>
  <c r="C887" i="52"/>
  <c r="C886" i="52"/>
  <c r="C885" i="52"/>
  <c r="C884" i="52"/>
  <c r="C883" i="52"/>
  <c r="C882" i="52"/>
  <c r="C881" i="52"/>
  <c r="C880" i="52"/>
  <c r="C879" i="52"/>
  <c r="C878" i="52"/>
  <c r="C877" i="52"/>
  <c r="C876" i="52"/>
  <c r="C875" i="52"/>
  <c r="C874" i="52"/>
  <c r="C873" i="52"/>
  <c r="C872" i="52"/>
  <c r="C871" i="52"/>
  <c r="C870" i="52"/>
  <c r="C869" i="52"/>
  <c r="C868" i="52"/>
  <c r="C867" i="52"/>
  <c r="C866" i="52"/>
  <c r="C865" i="52"/>
  <c r="C864" i="52"/>
  <c r="C863" i="52"/>
  <c r="C862" i="52"/>
  <c r="C861" i="52"/>
  <c r="C860" i="52"/>
  <c r="C859" i="52"/>
  <c r="C858" i="52"/>
  <c r="C857" i="52"/>
  <c r="C856" i="52"/>
  <c r="C855" i="52"/>
  <c r="C854" i="52"/>
  <c r="C853" i="52"/>
  <c r="C852" i="52"/>
  <c r="C851" i="52"/>
  <c r="C850" i="52"/>
  <c r="C849" i="52"/>
  <c r="C848" i="52"/>
  <c r="C847" i="52"/>
  <c r="C846" i="52"/>
  <c r="C845" i="52"/>
  <c r="C844" i="52"/>
  <c r="C843" i="52"/>
  <c r="C842" i="52"/>
  <c r="C841" i="52"/>
  <c r="C840" i="52"/>
  <c r="C839" i="52"/>
  <c r="C838" i="52"/>
  <c r="C837" i="52"/>
  <c r="C836" i="52"/>
  <c r="C835" i="52"/>
  <c r="C834" i="52"/>
  <c r="C833" i="52"/>
  <c r="C832" i="52"/>
  <c r="C831" i="52"/>
  <c r="C830" i="52"/>
  <c r="C829" i="52"/>
  <c r="C828" i="52"/>
  <c r="C827" i="52"/>
  <c r="C826" i="52"/>
  <c r="C825" i="52"/>
  <c r="C824" i="52"/>
  <c r="C823" i="52"/>
  <c r="C822" i="52"/>
  <c r="C821" i="52"/>
  <c r="C820" i="52"/>
  <c r="C819" i="52"/>
  <c r="C818" i="52"/>
  <c r="C817" i="52"/>
  <c r="C816" i="52"/>
  <c r="C815" i="52"/>
  <c r="C814" i="52"/>
  <c r="C813" i="52"/>
  <c r="C812" i="52"/>
  <c r="C811" i="52"/>
  <c r="C810" i="52"/>
  <c r="C809" i="52"/>
  <c r="C808" i="52"/>
  <c r="C807" i="52"/>
  <c r="C806" i="52"/>
  <c r="C805" i="52"/>
  <c r="C804" i="52"/>
  <c r="C803" i="52"/>
  <c r="C802" i="52"/>
  <c r="C801" i="52"/>
  <c r="C800" i="52"/>
  <c r="C799" i="52"/>
  <c r="C798" i="52"/>
  <c r="C797" i="52"/>
  <c r="C796" i="52"/>
  <c r="C795" i="52"/>
  <c r="C794" i="52"/>
  <c r="C793" i="52"/>
  <c r="C792" i="52"/>
  <c r="C791" i="52"/>
  <c r="C790" i="52"/>
  <c r="C789" i="52"/>
  <c r="C788" i="52"/>
  <c r="C787" i="52"/>
  <c r="C786" i="52"/>
  <c r="C785" i="52"/>
  <c r="C784" i="52"/>
  <c r="C783" i="52"/>
  <c r="C782" i="52"/>
  <c r="C781" i="52"/>
  <c r="C780" i="52"/>
  <c r="C779" i="52"/>
  <c r="C778" i="52"/>
  <c r="C777" i="52"/>
  <c r="C776" i="52"/>
  <c r="C775" i="52"/>
  <c r="C774" i="52"/>
  <c r="C773" i="52"/>
  <c r="C772" i="52"/>
  <c r="C771" i="52"/>
  <c r="C770" i="52"/>
  <c r="C769" i="52"/>
  <c r="C768" i="52"/>
  <c r="C767" i="52"/>
  <c r="C766" i="52"/>
  <c r="C765" i="52"/>
  <c r="C764" i="52"/>
  <c r="C763" i="52"/>
  <c r="C762" i="52"/>
  <c r="C761" i="52"/>
  <c r="C760" i="52"/>
  <c r="C759" i="52"/>
  <c r="C758" i="52"/>
  <c r="C757" i="52"/>
  <c r="C756" i="52"/>
  <c r="C755" i="52"/>
  <c r="C754" i="52"/>
  <c r="C753" i="52"/>
  <c r="C752" i="52"/>
  <c r="C751" i="52"/>
  <c r="C750" i="52"/>
  <c r="C749" i="52"/>
  <c r="C748" i="52"/>
  <c r="C747" i="52"/>
  <c r="C746" i="52"/>
  <c r="C745" i="52"/>
  <c r="C744" i="52"/>
  <c r="C743" i="52"/>
  <c r="C742" i="52"/>
  <c r="C741" i="52"/>
  <c r="C740" i="52"/>
  <c r="C739" i="52"/>
  <c r="C738" i="52"/>
  <c r="C737" i="52"/>
  <c r="C736" i="52"/>
  <c r="C735" i="52"/>
  <c r="C734" i="52"/>
  <c r="C733" i="52"/>
  <c r="C732" i="52"/>
  <c r="C731" i="52"/>
  <c r="C730" i="52"/>
  <c r="C729" i="52"/>
  <c r="C728" i="52"/>
  <c r="C727" i="52"/>
  <c r="C726" i="52"/>
  <c r="C725" i="52"/>
  <c r="C724" i="52"/>
  <c r="C723" i="52"/>
  <c r="C722" i="52"/>
  <c r="C721" i="52"/>
  <c r="C720" i="52"/>
  <c r="C719" i="52"/>
  <c r="C718" i="52"/>
  <c r="C717" i="52"/>
  <c r="C716" i="52"/>
  <c r="C715" i="52"/>
  <c r="C714" i="52"/>
  <c r="C713" i="52"/>
  <c r="C712" i="52"/>
  <c r="C711" i="52"/>
  <c r="C710" i="52"/>
  <c r="C709" i="52"/>
  <c r="C708" i="52"/>
  <c r="C707" i="52"/>
  <c r="C706" i="52"/>
  <c r="C705" i="52"/>
  <c r="C704" i="52"/>
  <c r="C703" i="52"/>
  <c r="C702" i="52"/>
  <c r="C701" i="52"/>
  <c r="C700" i="52"/>
  <c r="C699" i="52"/>
  <c r="C698" i="52"/>
  <c r="C697" i="52"/>
  <c r="C696" i="52"/>
  <c r="C695" i="52"/>
  <c r="C694" i="52"/>
  <c r="C693" i="52"/>
  <c r="C692" i="52"/>
  <c r="C691" i="52"/>
  <c r="C690" i="52"/>
  <c r="C689" i="52"/>
  <c r="C688" i="52"/>
  <c r="C687" i="52"/>
  <c r="C686" i="52"/>
  <c r="C685" i="52"/>
  <c r="C684" i="52"/>
  <c r="C683" i="52"/>
  <c r="C682" i="52"/>
  <c r="C681" i="52"/>
  <c r="C680" i="52"/>
  <c r="C679" i="52"/>
  <c r="C678" i="52"/>
  <c r="C677" i="52"/>
  <c r="C676" i="52"/>
  <c r="C675" i="52"/>
  <c r="C674" i="52"/>
  <c r="C673" i="52"/>
  <c r="C672" i="52"/>
  <c r="C671" i="52"/>
  <c r="C670" i="52"/>
  <c r="C669" i="52"/>
  <c r="C668" i="52"/>
  <c r="C667" i="52"/>
  <c r="C666" i="52"/>
  <c r="C665" i="52"/>
  <c r="C664" i="52"/>
  <c r="C663" i="52"/>
  <c r="C662" i="52"/>
  <c r="C661" i="52"/>
  <c r="C660" i="52"/>
  <c r="C659" i="52"/>
  <c r="C658" i="52"/>
  <c r="C657" i="52"/>
  <c r="C656" i="52"/>
  <c r="C655" i="52"/>
  <c r="C654" i="52"/>
  <c r="C653" i="52"/>
  <c r="C652" i="52"/>
  <c r="C651" i="52"/>
  <c r="C650" i="52"/>
  <c r="C649" i="52"/>
  <c r="C648" i="52"/>
  <c r="C647" i="52"/>
  <c r="C646" i="52"/>
  <c r="C645" i="52"/>
  <c r="C644" i="52"/>
  <c r="C643" i="52"/>
  <c r="C642" i="52"/>
  <c r="C641" i="52"/>
  <c r="C640" i="52"/>
  <c r="C639" i="52"/>
  <c r="C638" i="52"/>
  <c r="C637" i="52"/>
  <c r="C636" i="52"/>
  <c r="C635" i="52"/>
  <c r="C634" i="52"/>
  <c r="C633" i="52"/>
  <c r="C632" i="52"/>
  <c r="C631" i="52"/>
  <c r="C630" i="52"/>
  <c r="C629" i="52"/>
  <c r="C628" i="52"/>
  <c r="C627" i="52"/>
  <c r="C626" i="52"/>
  <c r="C625" i="52"/>
  <c r="C624" i="52"/>
  <c r="C623" i="52"/>
  <c r="C622" i="52"/>
  <c r="C621" i="52"/>
  <c r="C620" i="52"/>
  <c r="C619" i="52"/>
  <c r="C618" i="52"/>
  <c r="C617" i="52"/>
  <c r="C616" i="52"/>
  <c r="C615" i="52"/>
  <c r="C614" i="52"/>
  <c r="C613" i="52"/>
  <c r="C612" i="52"/>
  <c r="C611" i="52"/>
  <c r="C610" i="52"/>
  <c r="C609" i="52"/>
  <c r="C608" i="52"/>
  <c r="C607" i="52"/>
  <c r="C606" i="52"/>
  <c r="C605" i="52"/>
  <c r="C604" i="52"/>
  <c r="C603" i="52"/>
  <c r="C602" i="52"/>
  <c r="C601" i="52"/>
  <c r="C600" i="52"/>
  <c r="C599" i="52"/>
  <c r="C598" i="52"/>
  <c r="C597" i="52"/>
  <c r="C596" i="52"/>
  <c r="C595" i="52"/>
  <c r="C594" i="52"/>
  <c r="C593" i="52"/>
  <c r="C592" i="52"/>
  <c r="C591" i="52"/>
  <c r="C590" i="52"/>
  <c r="C589" i="52"/>
  <c r="C588" i="52"/>
  <c r="C587" i="52"/>
  <c r="C586" i="52"/>
  <c r="C585" i="52"/>
  <c r="C584" i="52"/>
  <c r="C583" i="52"/>
  <c r="C582" i="52"/>
  <c r="C581" i="52"/>
  <c r="C580" i="52"/>
  <c r="C579" i="52"/>
  <c r="C578" i="52"/>
  <c r="C577" i="52"/>
  <c r="C576" i="52"/>
  <c r="C575" i="52"/>
  <c r="C574" i="52"/>
  <c r="C573" i="52"/>
  <c r="C572" i="52"/>
  <c r="C571" i="52"/>
  <c r="C570" i="52"/>
  <c r="C569" i="52"/>
  <c r="C568" i="52"/>
  <c r="C567" i="52"/>
  <c r="C566" i="52"/>
  <c r="C565" i="52"/>
  <c r="C564" i="52"/>
  <c r="C563" i="52"/>
  <c r="C562" i="52"/>
  <c r="C561" i="52"/>
  <c r="C560" i="52"/>
  <c r="C559" i="52"/>
  <c r="C558" i="52"/>
  <c r="C557" i="52"/>
  <c r="C556" i="52"/>
  <c r="C555" i="52"/>
  <c r="C554" i="52"/>
  <c r="C553" i="52"/>
  <c r="C552" i="52"/>
  <c r="C551" i="52"/>
  <c r="C550" i="52"/>
  <c r="C549" i="52"/>
  <c r="C548" i="52"/>
  <c r="C547" i="52"/>
  <c r="C546" i="52"/>
  <c r="C545" i="52"/>
  <c r="C544" i="52"/>
  <c r="C543" i="52"/>
  <c r="C542" i="52"/>
  <c r="C541" i="52"/>
  <c r="C540" i="52"/>
  <c r="C539" i="52"/>
  <c r="C538" i="52"/>
  <c r="C537" i="52"/>
  <c r="C536" i="52"/>
  <c r="C535" i="52"/>
  <c r="C534" i="52"/>
  <c r="C533" i="52"/>
  <c r="C532" i="52"/>
  <c r="C531" i="52"/>
  <c r="C530" i="52"/>
  <c r="C529" i="52"/>
  <c r="C528" i="52"/>
  <c r="C527" i="52"/>
  <c r="C526" i="52"/>
  <c r="C525" i="52"/>
  <c r="C524" i="52"/>
  <c r="C523" i="52"/>
  <c r="C522" i="52"/>
  <c r="C521" i="52"/>
  <c r="C520" i="52"/>
  <c r="C519" i="52"/>
  <c r="C518" i="52"/>
  <c r="C517" i="52"/>
  <c r="C516" i="52"/>
  <c r="C515" i="52"/>
  <c r="C514" i="52"/>
  <c r="C513" i="52"/>
  <c r="C512" i="52"/>
  <c r="C511" i="52"/>
  <c r="C510" i="52"/>
  <c r="C509" i="52"/>
  <c r="C508" i="52"/>
  <c r="C507" i="52"/>
  <c r="C506" i="52"/>
  <c r="C505" i="52"/>
  <c r="C504" i="52"/>
  <c r="C503" i="52"/>
  <c r="C502" i="52"/>
  <c r="C501" i="52"/>
  <c r="C500" i="52"/>
  <c r="C499" i="52"/>
  <c r="C498" i="52"/>
  <c r="C497" i="52"/>
  <c r="C496" i="52"/>
  <c r="C495" i="52"/>
  <c r="C494" i="52"/>
  <c r="C493" i="52"/>
  <c r="C492" i="52"/>
  <c r="C491" i="52"/>
  <c r="C490" i="52"/>
  <c r="C489" i="52"/>
  <c r="C488" i="52"/>
  <c r="C487" i="52"/>
  <c r="C486" i="52"/>
  <c r="C485" i="52"/>
  <c r="C484" i="52"/>
  <c r="C483" i="52"/>
  <c r="C482" i="52"/>
  <c r="C481" i="52"/>
  <c r="C480" i="52"/>
  <c r="C479" i="52"/>
  <c r="C478" i="52"/>
  <c r="C477" i="52"/>
  <c r="C476" i="52"/>
  <c r="C475" i="52"/>
  <c r="C474" i="52"/>
  <c r="C473" i="52"/>
  <c r="C472" i="52"/>
  <c r="C471" i="52"/>
  <c r="C470" i="52"/>
  <c r="C469" i="52"/>
  <c r="C468" i="52"/>
  <c r="C467" i="52"/>
  <c r="C466" i="52"/>
  <c r="C465" i="52"/>
  <c r="C464" i="52"/>
  <c r="C463" i="52"/>
  <c r="C462" i="52"/>
  <c r="C461" i="52"/>
  <c r="C460" i="52"/>
  <c r="C459" i="52"/>
  <c r="C458" i="52"/>
  <c r="C457" i="52"/>
  <c r="C456" i="52"/>
  <c r="C455" i="52"/>
  <c r="C454" i="52"/>
  <c r="C453" i="52"/>
  <c r="C452" i="52"/>
  <c r="C451" i="52"/>
  <c r="C450" i="52"/>
  <c r="C449" i="52"/>
  <c r="C448" i="52"/>
  <c r="C447" i="52"/>
  <c r="C446" i="52"/>
  <c r="C445" i="52"/>
  <c r="C444" i="52"/>
  <c r="C443" i="52"/>
  <c r="C442" i="52"/>
  <c r="C441" i="52"/>
  <c r="C440" i="52"/>
  <c r="C439" i="52"/>
  <c r="C438" i="52"/>
  <c r="C437" i="52"/>
  <c r="C436" i="52"/>
  <c r="C435" i="52"/>
  <c r="C434" i="52"/>
  <c r="C433" i="52"/>
  <c r="C432" i="52"/>
  <c r="C431" i="52"/>
  <c r="C430" i="52"/>
  <c r="C429" i="52"/>
  <c r="C428" i="52"/>
  <c r="C427" i="52"/>
  <c r="C426" i="52"/>
  <c r="C425" i="52"/>
  <c r="C424" i="52"/>
  <c r="C423" i="52"/>
  <c r="C422" i="52"/>
  <c r="C421" i="52"/>
  <c r="C420" i="52"/>
  <c r="C419" i="52"/>
  <c r="C418" i="52"/>
  <c r="C417" i="52"/>
  <c r="C416" i="52"/>
  <c r="C415" i="52"/>
  <c r="C414" i="52"/>
  <c r="C413" i="52"/>
  <c r="C412" i="52"/>
  <c r="C411" i="52"/>
  <c r="C410" i="52"/>
  <c r="C409" i="52"/>
  <c r="C408" i="52"/>
  <c r="C407" i="52"/>
  <c r="C406" i="52"/>
  <c r="C405" i="52"/>
  <c r="C404" i="52"/>
  <c r="C403" i="52"/>
  <c r="C402" i="52"/>
  <c r="C401" i="52"/>
  <c r="C400" i="52"/>
  <c r="C399" i="52"/>
  <c r="C398" i="52"/>
  <c r="C397" i="52"/>
  <c r="C396" i="52"/>
  <c r="C395" i="52"/>
  <c r="C394" i="52"/>
  <c r="C393" i="52"/>
  <c r="C392" i="52"/>
  <c r="C391" i="52"/>
  <c r="C390" i="52"/>
  <c r="C389" i="52"/>
  <c r="C388" i="52"/>
  <c r="C387" i="52"/>
  <c r="C386" i="52"/>
  <c r="C385" i="52"/>
  <c r="C384" i="52"/>
  <c r="C383" i="52"/>
  <c r="C382" i="52"/>
  <c r="C381" i="52"/>
  <c r="C380" i="52"/>
  <c r="C379" i="52"/>
  <c r="C378" i="52"/>
  <c r="C377" i="52"/>
  <c r="C376" i="52"/>
  <c r="C375" i="52"/>
  <c r="C374" i="52"/>
  <c r="C373" i="52"/>
  <c r="C372" i="52"/>
  <c r="C371" i="52"/>
  <c r="C370" i="52"/>
  <c r="C369" i="52"/>
  <c r="C368" i="52"/>
  <c r="C367" i="52"/>
  <c r="C366" i="52"/>
  <c r="C365" i="52"/>
  <c r="C364" i="52"/>
  <c r="C363" i="52"/>
  <c r="C362" i="52"/>
  <c r="C361" i="52"/>
  <c r="C360" i="52"/>
  <c r="C359" i="52"/>
  <c r="C358" i="52"/>
  <c r="C357" i="52"/>
  <c r="C356" i="52"/>
  <c r="C355" i="52"/>
  <c r="C354" i="52"/>
  <c r="C353" i="52"/>
  <c r="C352" i="52"/>
  <c r="C351" i="52"/>
  <c r="C350" i="52"/>
  <c r="C349" i="52"/>
  <c r="C348" i="52"/>
  <c r="C347" i="52"/>
  <c r="C346" i="52"/>
  <c r="C345" i="52"/>
  <c r="C344" i="52"/>
  <c r="C343" i="52"/>
  <c r="C342" i="52"/>
  <c r="C341" i="52"/>
  <c r="C340" i="52"/>
  <c r="C339" i="52"/>
  <c r="C338" i="52"/>
  <c r="C337" i="52"/>
  <c r="C336" i="52"/>
  <c r="C335" i="52"/>
  <c r="C334" i="52"/>
  <c r="C333" i="52"/>
  <c r="C332" i="52"/>
  <c r="C331" i="52"/>
  <c r="C330" i="52"/>
  <c r="C329" i="52"/>
  <c r="C328" i="52"/>
  <c r="C327" i="52"/>
  <c r="C326" i="52"/>
  <c r="C325" i="52"/>
  <c r="C324" i="52"/>
  <c r="C323" i="52"/>
  <c r="C322" i="52"/>
  <c r="C321" i="52"/>
  <c r="C320" i="52"/>
  <c r="C319" i="52"/>
  <c r="C318" i="52"/>
  <c r="C317" i="52"/>
  <c r="C316" i="52"/>
  <c r="C315" i="52"/>
  <c r="C314" i="52"/>
  <c r="C313" i="52"/>
  <c r="C312" i="52"/>
  <c r="C311" i="52"/>
  <c r="C310" i="52"/>
  <c r="C309" i="52"/>
  <c r="C308" i="52"/>
  <c r="C307" i="52"/>
  <c r="C306" i="52"/>
  <c r="C305" i="52"/>
  <c r="C304" i="52"/>
  <c r="C303" i="52"/>
  <c r="C302" i="52"/>
  <c r="C301" i="52"/>
  <c r="C300" i="52"/>
  <c r="C299" i="52"/>
  <c r="C298" i="52"/>
  <c r="C297" i="52"/>
  <c r="C296" i="52"/>
  <c r="C295" i="52"/>
  <c r="C294" i="52"/>
  <c r="C293" i="52"/>
  <c r="C292" i="52"/>
  <c r="C291" i="52"/>
  <c r="C290" i="52"/>
  <c r="C289" i="52"/>
  <c r="C288" i="52"/>
  <c r="C287" i="52"/>
  <c r="C286" i="52"/>
  <c r="C285" i="52"/>
  <c r="C284" i="52"/>
  <c r="C283" i="52"/>
  <c r="C282" i="52"/>
  <c r="C281" i="52"/>
  <c r="C280" i="52"/>
  <c r="C279" i="52"/>
  <c r="C278" i="52"/>
  <c r="C277" i="52"/>
  <c r="C276" i="52"/>
  <c r="C275" i="52"/>
  <c r="C274" i="52"/>
  <c r="C273" i="52"/>
  <c r="C272" i="52"/>
  <c r="C271" i="52"/>
  <c r="C270" i="52"/>
  <c r="C269" i="52"/>
  <c r="C268" i="52"/>
  <c r="C267" i="52"/>
  <c r="C266" i="52"/>
  <c r="C265" i="52"/>
  <c r="C264" i="52"/>
  <c r="C263" i="52"/>
  <c r="C262" i="52"/>
  <c r="C261" i="52"/>
  <c r="C260" i="52"/>
  <c r="C259" i="52"/>
  <c r="C258" i="52"/>
  <c r="C257" i="52"/>
  <c r="C256" i="52"/>
  <c r="C255" i="52"/>
  <c r="C254" i="52"/>
  <c r="C253" i="52"/>
  <c r="C252" i="52"/>
  <c r="C251" i="52"/>
  <c r="C250" i="52"/>
  <c r="C249" i="52"/>
  <c r="C248" i="52"/>
  <c r="C247" i="52"/>
  <c r="C246" i="52"/>
  <c r="C245" i="52"/>
  <c r="C244" i="52"/>
  <c r="C243" i="52"/>
  <c r="C242" i="52"/>
  <c r="C241" i="52"/>
  <c r="C240" i="52"/>
  <c r="C239" i="52"/>
  <c r="C238" i="52"/>
  <c r="C237" i="52"/>
  <c r="C236" i="52"/>
  <c r="C235" i="52"/>
  <c r="C234" i="52"/>
  <c r="C233" i="52"/>
  <c r="C232" i="52"/>
  <c r="C231" i="52"/>
  <c r="C230" i="52"/>
  <c r="C229" i="52"/>
  <c r="C228" i="52"/>
  <c r="C227" i="52"/>
  <c r="C226" i="52"/>
  <c r="C225" i="52"/>
  <c r="C224" i="52"/>
  <c r="C223" i="52"/>
  <c r="C222" i="52"/>
  <c r="C221" i="52"/>
  <c r="C220" i="52"/>
  <c r="C219" i="52"/>
  <c r="C218" i="52"/>
  <c r="C217" i="52"/>
  <c r="C216" i="52"/>
  <c r="C215" i="52"/>
  <c r="C214" i="52"/>
  <c r="C213" i="52"/>
  <c r="C212" i="52"/>
  <c r="C211" i="52"/>
  <c r="C210" i="52"/>
  <c r="C209" i="52"/>
  <c r="C208" i="52"/>
  <c r="C207" i="52"/>
  <c r="C206" i="52"/>
  <c r="C205" i="52"/>
  <c r="C204" i="52"/>
  <c r="C203" i="52"/>
  <c r="C202" i="52"/>
  <c r="C201" i="52"/>
  <c r="C200" i="52"/>
  <c r="C199" i="52"/>
  <c r="C198" i="52"/>
  <c r="C197" i="52"/>
  <c r="C196" i="52"/>
  <c r="C195" i="52"/>
  <c r="C194" i="52"/>
  <c r="C193" i="52"/>
  <c r="C192" i="52"/>
  <c r="C191" i="52"/>
  <c r="C190" i="52"/>
  <c r="C189" i="52"/>
  <c r="C188" i="52"/>
  <c r="C187" i="52"/>
  <c r="C186" i="52"/>
  <c r="C185" i="52"/>
  <c r="C184" i="52"/>
  <c r="C183" i="52"/>
  <c r="C182" i="52"/>
  <c r="C181" i="52"/>
  <c r="C180" i="52"/>
  <c r="C179" i="52"/>
  <c r="C178" i="52"/>
  <c r="C177" i="52"/>
  <c r="C176" i="52"/>
  <c r="C175" i="52"/>
  <c r="C174" i="52"/>
  <c r="C173" i="52"/>
  <c r="C172" i="52"/>
  <c r="C171" i="52"/>
  <c r="C170" i="52"/>
  <c r="C169" i="52"/>
  <c r="C168" i="52"/>
  <c r="C167" i="52"/>
  <c r="C166" i="52"/>
  <c r="C165" i="52"/>
  <c r="C164" i="52"/>
  <c r="C163" i="52"/>
  <c r="C162" i="52"/>
  <c r="C161" i="52"/>
  <c r="C160" i="52"/>
  <c r="C159" i="52"/>
  <c r="C158" i="52"/>
  <c r="C157" i="52"/>
  <c r="C156" i="52"/>
  <c r="C155" i="52"/>
  <c r="C154" i="52"/>
  <c r="C153" i="52"/>
  <c r="C152" i="52"/>
  <c r="C151" i="52"/>
  <c r="C150" i="52"/>
  <c r="C149" i="52"/>
  <c r="C148" i="52"/>
  <c r="C147" i="52"/>
  <c r="C146" i="52"/>
  <c r="C145" i="52"/>
  <c r="C144" i="52"/>
  <c r="C143" i="52"/>
  <c r="C142" i="52"/>
  <c r="C141" i="52"/>
  <c r="C140" i="52"/>
  <c r="C139" i="52"/>
  <c r="C138" i="52"/>
  <c r="C137" i="52"/>
  <c r="C136" i="52"/>
  <c r="C135" i="52"/>
  <c r="C134" i="52"/>
  <c r="C133" i="52"/>
  <c r="C132" i="52"/>
  <c r="C131" i="52"/>
  <c r="C130" i="52"/>
  <c r="C129" i="52"/>
  <c r="C128" i="52"/>
  <c r="C127" i="52"/>
  <c r="C126" i="52"/>
  <c r="C125" i="52"/>
  <c r="C124" i="52"/>
  <c r="C123" i="52"/>
  <c r="C122" i="52"/>
  <c r="C121" i="52"/>
  <c r="C120" i="52"/>
  <c r="C119" i="52"/>
  <c r="C118" i="52"/>
  <c r="C117" i="52"/>
  <c r="C116" i="52"/>
  <c r="C115" i="52"/>
  <c r="C114" i="52"/>
  <c r="C113" i="52"/>
  <c r="C112" i="52"/>
  <c r="C111" i="52"/>
  <c r="C110" i="52"/>
  <c r="C109" i="52"/>
  <c r="C108" i="52"/>
  <c r="C107" i="52"/>
  <c r="C106" i="52"/>
  <c r="C105" i="52"/>
  <c r="C104" i="52"/>
  <c r="C103" i="52"/>
  <c r="C102" i="52"/>
  <c r="C101" i="52"/>
  <c r="C100" i="52"/>
  <c r="C99" i="52"/>
  <c r="C98" i="52"/>
  <c r="C97" i="52"/>
  <c r="C96" i="52"/>
  <c r="C95" i="52"/>
  <c r="C94" i="52"/>
  <c r="C93" i="52"/>
  <c r="C92" i="52"/>
  <c r="C91" i="52"/>
  <c r="C90" i="52"/>
  <c r="C89" i="52"/>
  <c r="C88" i="52"/>
  <c r="C87" i="52"/>
  <c r="C86" i="52"/>
  <c r="C85" i="52"/>
  <c r="C84" i="52"/>
  <c r="C83" i="52"/>
  <c r="C82" i="52"/>
  <c r="C81" i="52"/>
  <c r="C80" i="52"/>
  <c r="C79" i="52"/>
  <c r="C78" i="52"/>
  <c r="C77" i="52"/>
  <c r="C76" i="52"/>
  <c r="C75" i="52"/>
  <c r="C74" i="52"/>
  <c r="C73" i="52"/>
  <c r="C72" i="52"/>
  <c r="C71" i="52"/>
  <c r="C70" i="52"/>
  <c r="C69" i="52"/>
  <c r="C68" i="52"/>
  <c r="C67" i="52"/>
  <c r="C66" i="52"/>
  <c r="C65" i="52"/>
  <c r="C64" i="52"/>
  <c r="C63" i="52"/>
  <c r="C62" i="52"/>
  <c r="C61" i="52"/>
  <c r="C60" i="52"/>
  <c r="C59" i="52"/>
  <c r="C58" i="52"/>
  <c r="C57" i="52"/>
  <c r="C56" i="52"/>
  <c r="C55" i="52"/>
  <c r="C54" i="52"/>
  <c r="C53" i="52"/>
  <c r="C52" i="52"/>
  <c r="C51" i="52"/>
  <c r="C50" i="52"/>
  <c r="C49" i="52"/>
  <c r="C48" i="52"/>
  <c r="C47" i="52"/>
  <c r="C46" i="52"/>
  <c r="C45" i="52"/>
  <c r="C44" i="52"/>
  <c r="C43" i="52"/>
  <c r="C42" i="52"/>
  <c r="C41" i="52"/>
  <c r="C40" i="52"/>
  <c r="C39" i="52"/>
  <c r="C38" i="52"/>
  <c r="C37" i="52"/>
  <c r="C36" i="52"/>
  <c r="C35" i="52"/>
  <c r="C34" i="52"/>
  <c r="C33" i="52"/>
  <c r="C32" i="52"/>
  <c r="C31" i="52"/>
  <c r="C30" i="52"/>
  <c r="C29" i="52"/>
  <c r="C28" i="52"/>
  <c r="C27" i="52"/>
  <c r="C26" i="52"/>
  <c r="C25" i="52"/>
  <c r="C24" i="52"/>
  <c r="C23" i="52"/>
  <c r="C22" i="52"/>
  <c r="B41" i="35" l="1"/>
  <c r="AA22" i="53"/>
  <c r="AA22" i="52"/>
  <c r="C20" i="52"/>
  <c r="C20" i="53"/>
  <c r="C20" i="54"/>
  <c r="AA22" i="54"/>
  <c r="C20" i="55"/>
  <c r="AA22" i="55"/>
  <c r="W23" i="53"/>
  <c r="X22" i="44"/>
  <c r="AR3" i="19"/>
  <c r="AQ22" i="56"/>
  <c r="J3" i="56"/>
  <c r="K3" i="56" s="1"/>
  <c r="L3" i="56" s="1"/>
  <c r="B42" i="35" l="1"/>
  <c r="W23" i="55"/>
  <c r="W23" i="54"/>
  <c r="W22" i="44"/>
  <c r="J4" i="56"/>
  <c r="K4" i="56" s="1"/>
  <c r="L4" i="56" s="1"/>
  <c r="AA22" i="19"/>
  <c r="B43" i="35" l="1"/>
  <c r="W22" i="52"/>
  <c r="W22" i="53"/>
  <c r="W22" i="54"/>
  <c r="W22" i="55"/>
  <c r="J5" i="56"/>
  <c r="J6" i="56" s="1"/>
  <c r="A629" i="44"/>
  <c r="A888" i="44"/>
  <c r="A127" i="44"/>
  <c r="A715" i="44"/>
  <c r="A931" i="44"/>
  <c r="A459" i="44"/>
  <c r="A797" i="44"/>
  <c r="A965" i="44"/>
  <c r="A544" i="44"/>
  <c r="A845" i="44"/>
  <c r="A339" i="44"/>
  <c r="A22" i="44"/>
  <c r="A957" i="44"/>
  <c r="A920" i="44"/>
  <c r="A877" i="44"/>
  <c r="A835" i="44"/>
  <c r="A779" i="44"/>
  <c r="A693" i="44"/>
  <c r="A608" i="44"/>
  <c r="A523" i="44"/>
  <c r="A437" i="44"/>
  <c r="A25" i="44"/>
  <c r="A23" i="44"/>
  <c r="A978" i="44"/>
  <c r="A949" i="44"/>
  <c r="A909" i="44"/>
  <c r="A867" i="44"/>
  <c r="A824" i="44"/>
  <c r="A757" i="44"/>
  <c r="A672" i="44"/>
  <c r="A587" i="44"/>
  <c r="A501" i="44"/>
  <c r="A415" i="44"/>
  <c r="A24" i="44"/>
  <c r="A973" i="44"/>
  <c r="A941" i="44"/>
  <c r="A899" i="44"/>
  <c r="A856" i="44"/>
  <c r="A811" i="44"/>
  <c r="A736" i="44"/>
  <c r="A651" i="44"/>
  <c r="A565" i="44"/>
  <c r="A480" i="44"/>
  <c r="A28" i="44"/>
  <c r="A32" i="44"/>
  <c r="A36" i="44"/>
  <c r="A40" i="44"/>
  <c r="A44" i="44"/>
  <c r="A48" i="44"/>
  <c r="A52" i="44"/>
  <c r="A56" i="44"/>
  <c r="A60" i="44"/>
  <c r="A64" i="44"/>
  <c r="A68" i="44"/>
  <c r="A72" i="44"/>
  <c r="A76" i="44"/>
  <c r="A80" i="44"/>
  <c r="A84" i="44"/>
  <c r="A88" i="44"/>
  <c r="A92" i="44"/>
  <c r="A96" i="44"/>
  <c r="A100" i="44"/>
  <c r="A104" i="44"/>
  <c r="A108" i="44"/>
  <c r="A112" i="44"/>
  <c r="A116" i="44"/>
  <c r="A120" i="44"/>
  <c r="A124" i="44"/>
  <c r="A128" i="44"/>
  <c r="A132" i="44"/>
  <c r="A136" i="44"/>
  <c r="A140" i="44"/>
  <c r="A144" i="44"/>
  <c r="A148" i="44"/>
  <c r="A152" i="44"/>
  <c r="A156" i="44"/>
  <c r="A160" i="44"/>
  <c r="A164" i="44"/>
  <c r="A168" i="44"/>
  <c r="A172" i="44"/>
  <c r="A176" i="44"/>
  <c r="A180" i="44"/>
  <c r="A184" i="44"/>
  <c r="A188" i="44"/>
  <c r="A192" i="44"/>
  <c r="A196" i="44"/>
  <c r="A200" i="44"/>
  <c r="A204" i="44"/>
  <c r="A208" i="44"/>
  <c r="A212" i="44"/>
  <c r="A216" i="44"/>
  <c r="A220" i="44"/>
  <c r="A224" i="44"/>
  <c r="A228" i="44"/>
  <c r="A232" i="44"/>
  <c r="A236" i="44"/>
  <c r="A240" i="44"/>
  <c r="A244" i="44"/>
  <c r="A248" i="44"/>
  <c r="A252" i="44"/>
  <c r="A256" i="44"/>
  <c r="A260" i="44"/>
  <c r="A264" i="44"/>
  <c r="A268" i="44"/>
  <c r="A272" i="44"/>
  <c r="A276" i="44"/>
  <c r="A280" i="44"/>
  <c r="A284" i="44"/>
  <c r="A288" i="44"/>
  <c r="A292" i="44"/>
  <c r="A29" i="44"/>
  <c r="A33" i="44"/>
  <c r="A37" i="44"/>
  <c r="A41" i="44"/>
  <c r="A45" i="44"/>
  <c r="A49" i="44"/>
  <c r="A53" i="44"/>
  <c r="A57" i="44"/>
  <c r="A61" i="44"/>
  <c r="A65" i="44"/>
  <c r="A69" i="44"/>
  <c r="A73" i="44"/>
  <c r="A77" i="44"/>
  <c r="A81" i="44"/>
  <c r="A85" i="44"/>
  <c r="A89" i="44"/>
  <c r="A93" i="44"/>
  <c r="A97" i="44"/>
  <c r="A101" i="44"/>
  <c r="A105" i="44"/>
  <c r="A109" i="44"/>
  <c r="A113" i="44"/>
  <c r="A117" i="44"/>
  <c r="A121" i="44"/>
  <c r="A125" i="44"/>
  <c r="A129" i="44"/>
  <c r="A133" i="44"/>
  <c r="A137" i="44"/>
  <c r="A141" i="44"/>
  <c r="A145" i="44"/>
  <c r="A149" i="44"/>
  <c r="A153" i="44"/>
  <c r="A157" i="44"/>
  <c r="A161" i="44"/>
  <c r="A165" i="44"/>
  <c r="A169" i="44"/>
  <c r="A173" i="44"/>
  <c r="A177" i="44"/>
  <c r="A181" i="44"/>
  <c r="A185" i="44"/>
  <c r="A189" i="44"/>
  <c r="A193" i="44"/>
  <c r="A197" i="44"/>
  <c r="A201" i="44"/>
  <c r="A205" i="44"/>
  <c r="A209" i="44"/>
  <c r="A213" i="44"/>
  <c r="A217" i="44"/>
  <c r="A221" i="44"/>
  <c r="A225" i="44"/>
  <c r="A229" i="44"/>
  <c r="A233" i="44"/>
  <c r="A237" i="44"/>
  <c r="A241" i="44"/>
  <c r="A245" i="44"/>
  <c r="A249" i="44"/>
  <c r="A253" i="44"/>
  <c r="A257" i="44"/>
  <c r="A261" i="44"/>
  <c r="A265" i="44"/>
  <c r="A269" i="44"/>
  <c r="A273" i="44"/>
  <c r="A277" i="44"/>
  <c r="A281" i="44"/>
  <c r="A285" i="44"/>
  <c r="A289" i="44"/>
  <c r="A293" i="44"/>
  <c r="A297" i="44"/>
  <c r="A301" i="44"/>
  <c r="A305" i="44"/>
  <c r="A309" i="44"/>
  <c r="A313" i="44"/>
  <c r="A317" i="44"/>
  <c r="A321" i="44"/>
  <c r="A325" i="44"/>
  <c r="A329" i="44"/>
  <c r="A333" i="44"/>
  <c r="A337" i="44"/>
  <c r="A341" i="44"/>
  <c r="A345" i="44"/>
  <c r="A349" i="44"/>
  <c r="A353" i="44"/>
  <c r="A357" i="44"/>
  <c r="A361" i="44"/>
  <c r="A26" i="44"/>
  <c r="A30" i="44"/>
  <c r="A34" i="44"/>
  <c r="A38" i="44"/>
  <c r="A42" i="44"/>
  <c r="A46" i="44"/>
  <c r="A50" i="44"/>
  <c r="A54" i="44"/>
  <c r="A58" i="44"/>
  <c r="A62" i="44"/>
  <c r="A66" i="44"/>
  <c r="A70" i="44"/>
  <c r="A74" i="44"/>
  <c r="A78" i="44"/>
  <c r="A82" i="44"/>
  <c r="A86" i="44"/>
  <c r="A90" i="44"/>
  <c r="A94" i="44"/>
  <c r="A98" i="44"/>
  <c r="A102" i="44"/>
  <c r="A106" i="44"/>
  <c r="A110" i="44"/>
  <c r="A114" i="44"/>
  <c r="A118" i="44"/>
  <c r="A122" i="44"/>
  <c r="A126" i="44"/>
  <c r="A130" i="44"/>
  <c r="A134" i="44"/>
  <c r="A138" i="44"/>
  <c r="A142" i="44"/>
  <c r="A146" i="44"/>
  <c r="A150" i="44"/>
  <c r="A154" i="44"/>
  <c r="A158" i="44"/>
  <c r="A162" i="44"/>
  <c r="A166" i="44"/>
  <c r="A170" i="44"/>
  <c r="A174" i="44"/>
  <c r="A178" i="44"/>
  <c r="A182" i="44"/>
  <c r="A186" i="44"/>
  <c r="A190" i="44"/>
  <c r="A194" i="44"/>
  <c r="A198" i="44"/>
  <c r="A202" i="44"/>
  <c r="A206" i="44"/>
  <c r="A210" i="44"/>
  <c r="A214" i="44"/>
  <c r="A218" i="44"/>
  <c r="A222" i="44"/>
  <c r="A226" i="44"/>
  <c r="A230" i="44"/>
  <c r="A234" i="44"/>
  <c r="A238" i="44"/>
  <c r="A242" i="44"/>
  <c r="A246" i="44"/>
  <c r="A250" i="44"/>
  <c r="A254" i="44"/>
  <c r="A258" i="44"/>
  <c r="A262" i="44"/>
  <c r="A266" i="44"/>
  <c r="A270" i="44"/>
  <c r="A274" i="44"/>
  <c r="A278" i="44"/>
  <c r="A282" i="44"/>
  <c r="A286" i="44"/>
  <c r="A290" i="44"/>
  <c r="A294" i="44"/>
  <c r="A298" i="44"/>
  <c r="A302" i="44"/>
  <c r="A306" i="44"/>
  <c r="A310" i="44"/>
  <c r="A314" i="44"/>
  <c r="A318" i="44"/>
  <c r="A322" i="44"/>
  <c r="A326" i="44"/>
  <c r="A330" i="44"/>
  <c r="A334" i="44"/>
  <c r="A338" i="44"/>
  <c r="A342" i="44"/>
  <c r="A346" i="44"/>
  <c r="A350" i="44"/>
  <c r="A354" i="44"/>
  <c r="A358" i="44"/>
  <c r="A362" i="44"/>
  <c r="A35" i="44"/>
  <c r="A51" i="44"/>
  <c r="A67" i="44"/>
  <c r="A83" i="44"/>
  <c r="A99" i="44"/>
  <c r="A115" i="44"/>
  <c r="A131" i="44"/>
  <c r="A147" i="44"/>
  <c r="A163" i="44"/>
  <c r="A179" i="44"/>
  <c r="A195" i="44"/>
  <c r="A211" i="44"/>
  <c r="A227" i="44"/>
  <c r="A243" i="44"/>
  <c r="A259" i="44"/>
  <c r="A275" i="44"/>
  <c r="A291" i="44"/>
  <c r="A300" i="44"/>
  <c r="A308" i="44"/>
  <c r="A316" i="44"/>
  <c r="A324" i="44"/>
  <c r="A332" i="44"/>
  <c r="A340" i="44"/>
  <c r="A348" i="44"/>
  <c r="A356" i="44"/>
  <c r="A364" i="44"/>
  <c r="A368" i="44"/>
  <c r="A372" i="44"/>
  <c r="A376" i="44"/>
  <c r="A380" i="44"/>
  <c r="A384" i="44"/>
  <c r="A388" i="44"/>
  <c r="A392" i="44"/>
  <c r="A396" i="44"/>
  <c r="A400" i="44"/>
  <c r="A404" i="44"/>
  <c r="A408" i="44"/>
  <c r="A412" i="44"/>
  <c r="A39" i="44"/>
  <c r="A55" i="44"/>
  <c r="A71" i="44"/>
  <c r="A87" i="44"/>
  <c r="A103" i="44"/>
  <c r="A119" i="44"/>
  <c r="A135" i="44"/>
  <c r="A151" i="44"/>
  <c r="A167" i="44"/>
  <c r="A183" i="44"/>
  <c r="A199" i="44"/>
  <c r="A215" i="44"/>
  <c r="A231" i="44"/>
  <c r="A247" i="44"/>
  <c r="A263" i="44"/>
  <c r="A279" i="44"/>
  <c r="A295" i="44"/>
  <c r="A303" i="44"/>
  <c r="A311" i="44"/>
  <c r="A319" i="44"/>
  <c r="A327" i="44"/>
  <c r="A335" i="44"/>
  <c r="A343" i="44"/>
  <c r="A351" i="44"/>
  <c r="A359" i="44"/>
  <c r="A365" i="44"/>
  <c r="A369" i="44"/>
  <c r="A373" i="44"/>
  <c r="A377" i="44"/>
  <c r="A381" i="44"/>
  <c r="A385" i="44"/>
  <c r="A389" i="44"/>
  <c r="A393" i="44"/>
  <c r="A397" i="44"/>
  <c r="A401" i="44"/>
  <c r="A405" i="44"/>
  <c r="A409" i="44"/>
  <c r="A413" i="44"/>
  <c r="A417" i="44"/>
  <c r="A27" i="44"/>
  <c r="A43" i="44"/>
  <c r="A59" i="44"/>
  <c r="A75" i="44"/>
  <c r="A91" i="44"/>
  <c r="A107" i="44"/>
  <c r="A123" i="44"/>
  <c r="A139" i="44"/>
  <c r="A155" i="44"/>
  <c r="A171" i="44"/>
  <c r="A187" i="44"/>
  <c r="A203" i="44"/>
  <c r="A219" i="44"/>
  <c r="A235" i="44"/>
  <c r="A251" i="44"/>
  <c r="A267" i="44"/>
  <c r="A283" i="44"/>
  <c r="A296" i="44"/>
  <c r="A304" i="44"/>
  <c r="A312" i="44"/>
  <c r="A320" i="44"/>
  <c r="A328" i="44"/>
  <c r="A336" i="44"/>
  <c r="A344" i="44"/>
  <c r="A352" i="44"/>
  <c r="A360" i="44"/>
  <c r="A366" i="44"/>
  <c r="A370" i="44"/>
  <c r="A374" i="44"/>
  <c r="A378" i="44"/>
  <c r="A382" i="44"/>
  <c r="A386" i="44"/>
  <c r="A390" i="44"/>
  <c r="A394" i="44"/>
  <c r="A398" i="44"/>
  <c r="A402" i="44"/>
  <c r="A406" i="44"/>
  <c r="A410" i="44"/>
  <c r="A414" i="44"/>
  <c r="A418" i="44"/>
  <c r="A422" i="44"/>
  <c r="A426" i="44"/>
  <c r="A430" i="44"/>
  <c r="A434" i="44"/>
  <c r="A438" i="44"/>
  <c r="A442" i="44"/>
  <c r="A446" i="44"/>
  <c r="A450" i="44"/>
  <c r="A454" i="44"/>
  <c r="A458" i="44"/>
  <c r="A462" i="44"/>
  <c r="A466" i="44"/>
  <c r="A470" i="44"/>
  <c r="A474" i="44"/>
  <c r="A478" i="44"/>
  <c r="A482" i="44"/>
  <c r="A486" i="44"/>
  <c r="A490" i="44"/>
  <c r="A494" i="44"/>
  <c r="A498" i="44"/>
  <c r="A502" i="44"/>
  <c r="A506" i="44"/>
  <c r="A510" i="44"/>
  <c r="A514" i="44"/>
  <c r="A518" i="44"/>
  <c r="A522" i="44"/>
  <c r="A526" i="44"/>
  <c r="A530" i="44"/>
  <c r="A534" i="44"/>
  <c r="A538" i="44"/>
  <c r="A542" i="44"/>
  <c r="A546" i="44"/>
  <c r="A550" i="44"/>
  <c r="A554" i="44"/>
  <c r="A558" i="44"/>
  <c r="A562" i="44"/>
  <c r="A566" i="44"/>
  <c r="A570" i="44"/>
  <c r="A574" i="44"/>
  <c r="A578" i="44"/>
  <c r="A582" i="44"/>
  <c r="A586" i="44"/>
  <c r="A590" i="44"/>
  <c r="A594" i="44"/>
  <c r="A598" i="44"/>
  <c r="A602" i="44"/>
  <c r="A606" i="44"/>
  <c r="A610" i="44"/>
  <c r="A614" i="44"/>
  <c r="A618" i="44"/>
  <c r="A622" i="44"/>
  <c r="A626" i="44"/>
  <c r="A630" i="44"/>
  <c r="A634" i="44"/>
  <c r="A638" i="44"/>
  <c r="A642" i="44"/>
  <c r="A646" i="44"/>
  <c r="A650" i="44"/>
  <c r="A654" i="44"/>
  <c r="A658" i="44"/>
  <c r="A662" i="44"/>
  <c r="A666" i="44"/>
  <c r="A670" i="44"/>
  <c r="A674" i="44"/>
  <c r="A678" i="44"/>
  <c r="A682" i="44"/>
  <c r="A686" i="44"/>
  <c r="A690" i="44"/>
  <c r="A694" i="44"/>
  <c r="A698" i="44"/>
  <c r="A702" i="44"/>
  <c r="A706" i="44"/>
  <c r="A710" i="44"/>
  <c r="A714" i="44"/>
  <c r="A718" i="44"/>
  <c r="A722" i="44"/>
  <c r="A726" i="44"/>
  <c r="A730" i="44"/>
  <c r="A734" i="44"/>
  <c r="A738" i="44"/>
  <c r="A742" i="44"/>
  <c r="A746" i="44"/>
  <c r="A750" i="44"/>
  <c r="A754" i="44"/>
  <c r="A758" i="44"/>
  <c r="A762" i="44"/>
  <c r="A766" i="44"/>
  <c r="A770" i="44"/>
  <c r="A774" i="44"/>
  <c r="A778" i="44"/>
  <c r="A782" i="44"/>
  <c r="A786" i="44"/>
  <c r="A790" i="44"/>
  <c r="A794" i="44"/>
  <c r="A798" i="44"/>
  <c r="A802" i="44"/>
  <c r="A806" i="44"/>
  <c r="A810" i="44"/>
  <c r="A814" i="44"/>
  <c r="A818" i="44"/>
  <c r="A822" i="44"/>
  <c r="A826" i="44"/>
  <c r="A830" i="44"/>
  <c r="A834" i="44"/>
  <c r="A838" i="44"/>
  <c r="A842" i="44"/>
  <c r="A846" i="44"/>
  <c r="A850" i="44"/>
  <c r="A854" i="44"/>
  <c r="A858" i="44"/>
  <c r="A862" i="44"/>
  <c r="A866" i="44"/>
  <c r="A870" i="44"/>
  <c r="A874" i="44"/>
  <c r="A878" i="44"/>
  <c r="A882" i="44"/>
  <c r="A886" i="44"/>
  <c r="A890" i="44"/>
  <c r="A894" i="44"/>
  <c r="A898" i="44"/>
  <c r="A902" i="44"/>
  <c r="A906" i="44"/>
  <c r="A910" i="44"/>
  <c r="A914" i="44"/>
  <c r="A918" i="44"/>
  <c r="A922" i="44"/>
  <c r="A926" i="44"/>
  <c r="A930" i="44"/>
  <c r="A934" i="44"/>
  <c r="A938" i="44"/>
  <c r="A79" i="44"/>
  <c r="A143" i="44"/>
  <c r="A207" i="44"/>
  <c r="A271" i="44"/>
  <c r="A315" i="44"/>
  <c r="A347" i="44"/>
  <c r="A371" i="44"/>
  <c r="A387" i="44"/>
  <c r="A403" i="44"/>
  <c r="A416" i="44"/>
  <c r="A423" i="44"/>
  <c r="A428" i="44"/>
  <c r="A433" i="44"/>
  <c r="A439" i="44"/>
  <c r="A444" i="44"/>
  <c r="A449" i="44"/>
  <c r="A455" i="44"/>
  <c r="A460" i="44"/>
  <c r="A465" i="44"/>
  <c r="A471" i="44"/>
  <c r="A476" i="44"/>
  <c r="A481" i="44"/>
  <c r="A487" i="44"/>
  <c r="A492" i="44"/>
  <c r="A497" i="44"/>
  <c r="A503" i="44"/>
  <c r="A508" i="44"/>
  <c r="A513" i="44"/>
  <c r="A519" i="44"/>
  <c r="A524" i="44"/>
  <c r="A529" i="44"/>
  <c r="A535" i="44"/>
  <c r="A540" i="44"/>
  <c r="A545" i="44"/>
  <c r="A551" i="44"/>
  <c r="A556" i="44"/>
  <c r="A561" i="44"/>
  <c r="A567" i="44"/>
  <c r="A572" i="44"/>
  <c r="A577" i="44"/>
  <c r="A583" i="44"/>
  <c r="A588" i="44"/>
  <c r="A593" i="44"/>
  <c r="A599" i="44"/>
  <c r="A604" i="44"/>
  <c r="A609" i="44"/>
  <c r="A615" i="44"/>
  <c r="A620" i="44"/>
  <c r="A625" i="44"/>
  <c r="A631" i="44"/>
  <c r="A636" i="44"/>
  <c r="A641" i="44"/>
  <c r="A647" i="44"/>
  <c r="A652" i="44"/>
  <c r="A657" i="44"/>
  <c r="A663" i="44"/>
  <c r="A668" i="44"/>
  <c r="A673" i="44"/>
  <c r="A679" i="44"/>
  <c r="A684" i="44"/>
  <c r="A689" i="44"/>
  <c r="A695" i="44"/>
  <c r="A700" i="44"/>
  <c r="A705" i="44"/>
  <c r="A711" i="44"/>
  <c r="A716" i="44"/>
  <c r="A721" i="44"/>
  <c r="A727" i="44"/>
  <c r="A732" i="44"/>
  <c r="A737" i="44"/>
  <c r="A743" i="44"/>
  <c r="A748" i="44"/>
  <c r="A753" i="44"/>
  <c r="A759" i="44"/>
  <c r="A764" i="44"/>
  <c r="A769" i="44"/>
  <c r="A775" i="44"/>
  <c r="A780" i="44"/>
  <c r="A785" i="44"/>
  <c r="A791" i="44"/>
  <c r="A796" i="44"/>
  <c r="A801" i="44"/>
  <c r="A807" i="44"/>
  <c r="A812" i="44"/>
  <c r="A817" i="44"/>
  <c r="A31" i="44"/>
  <c r="A95" i="44"/>
  <c r="A159" i="44"/>
  <c r="A223" i="44"/>
  <c r="A287" i="44"/>
  <c r="A323" i="44"/>
  <c r="A355" i="44"/>
  <c r="A375" i="44"/>
  <c r="A391" i="44"/>
  <c r="A407" i="44"/>
  <c r="A419" i="44"/>
  <c r="A424" i="44"/>
  <c r="A429" i="44"/>
  <c r="A435" i="44"/>
  <c r="A440" i="44"/>
  <c r="A445" i="44"/>
  <c r="A451" i="44"/>
  <c r="A456" i="44"/>
  <c r="A461" i="44"/>
  <c r="A467" i="44"/>
  <c r="A472" i="44"/>
  <c r="A477" i="44"/>
  <c r="A483" i="44"/>
  <c r="A488" i="44"/>
  <c r="A493" i="44"/>
  <c r="A499" i="44"/>
  <c r="A504" i="44"/>
  <c r="A509" i="44"/>
  <c r="A515" i="44"/>
  <c r="A520" i="44"/>
  <c r="A525" i="44"/>
  <c r="A531" i="44"/>
  <c r="A536" i="44"/>
  <c r="A541" i="44"/>
  <c r="A547" i="44"/>
  <c r="A552" i="44"/>
  <c r="A557" i="44"/>
  <c r="A563" i="44"/>
  <c r="A568" i="44"/>
  <c r="A573" i="44"/>
  <c r="A579" i="44"/>
  <c r="A584" i="44"/>
  <c r="A589" i="44"/>
  <c r="A595" i="44"/>
  <c r="A600" i="44"/>
  <c r="A605" i="44"/>
  <c r="A611" i="44"/>
  <c r="A616" i="44"/>
  <c r="A621" i="44"/>
  <c r="A627" i="44"/>
  <c r="A632" i="44"/>
  <c r="A637" i="44"/>
  <c r="A643" i="44"/>
  <c r="A648" i="44"/>
  <c r="A653" i="44"/>
  <c r="A659" i="44"/>
  <c r="A664" i="44"/>
  <c r="A669" i="44"/>
  <c r="A675" i="44"/>
  <c r="A680" i="44"/>
  <c r="A685" i="44"/>
  <c r="A691" i="44"/>
  <c r="A696" i="44"/>
  <c r="A701" i="44"/>
  <c r="A707" i="44"/>
  <c r="A712" i="44"/>
  <c r="A717" i="44"/>
  <c r="A723" i="44"/>
  <c r="A728" i="44"/>
  <c r="A733" i="44"/>
  <c r="A739" i="44"/>
  <c r="A744" i="44"/>
  <c r="A749" i="44"/>
  <c r="A755" i="44"/>
  <c r="A760" i="44"/>
  <c r="A765" i="44"/>
  <c r="A771" i="44"/>
  <c r="A776" i="44"/>
  <c r="A781" i="44"/>
  <c r="A787" i="44"/>
  <c r="A111" i="44"/>
  <c r="A239" i="44"/>
  <c r="A331" i="44"/>
  <c r="A379" i="44"/>
  <c r="A411" i="44"/>
  <c r="A425" i="44"/>
  <c r="A436" i="44"/>
  <c r="A447" i="44"/>
  <c r="A457" i="44"/>
  <c r="A468" i="44"/>
  <c r="A479" i="44"/>
  <c r="A489" i="44"/>
  <c r="A500" i="44"/>
  <c r="A511" i="44"/>
  <c r="A521" i="44"/>
  <c r="A532" i="44"/>
  <c r="A543" i="44"/>
  <c r="A553" i="44"/>
  <c r="A564" i="44"/>
  <c r="A575" i="44"/>
  <c r="A585" i="44"/>
  <c r="A596" i="44"/>
  <c r="A607" i="44"/>
  <c r="A617" i="44"/>
  <c r="A628" i="44"/>
  <c r="A639" i="44"/>
  <c r="A649" i="44"/>
  <c r="A660" i="44"/>
  <c r="A671" i="44"/>
  <c r="A681" i="44"/>
  <c r="A692" i="44"/>
  <c r="A703" i="44"/>
  <c r="A713" i="44"/>
  <c r="A724" i="44"/>
  <c r="A735" i="44"/>
  <c r="A745" i="44"/>
  <c r="A756" i="44"/>
  <c r="A767" i="44"/>
  <c r="A777" i="44"/>
  <c r="A788" i="44"/>
  <c r="A795" i="44"/>
  <c r="A803" i="44"/>
  <c r="A809" i="44"/>
  <c r="A816" i="44"/>
  <c r="A823" i="44"/>
  <c r="A828" i="44"/>
  <c r="A833" i="44"/>
  <c r="A839" i="44"/>
  <c r="A844" i="44"/>
  <c r="A849" i="44"/>
  <c r="A855" i="44"/>
  <c r="A860" i="44"/>
  <c r="A865" i="44"/>
  <c r="A871" i="44"/>
  <c r="A876" i="44"/>
  <c r="A881" i="44"/>
  <c r="A887" i="44"/>
  <c r="A892" i="44"/>
  <c r="A897" i="44"/>
  <c r="A903" i="44"/>
  <c r="A908" i="44"/>
  <c r="A913" i="44"/>
  <c r="A919" i="44"/>
  <c r="A924" i="44"/>
  <c r="A929" i="44"/>
  <c r="A935" i="44"/>
  <c r="A940" i="44"/>
  <c r="A944" i="44"/>
  <c r="A948" i="44"/>
  <c r="A952" i="44"/>
  <c r="A956" i="44"/>
  <c r="A960" i="44"/>
  <c r="A964" i="44"/>
  <c r="A968" i="44"/>
  <c r="A972" i="44"/>
  <c r="A976" i="44"/>
  <c r="A980" i="44"/>
  <c r="A47" i="44"/>
  <c r="A175" i="44"/>
  <c r="A299" i="44"/>
  <c r="A363" i="44"/>
  <c r="A395" i="44"/>
  <c r="A420" i="44"/>
  <c r="A431" i="44"/>
  <c r="A441" i="44"/>
  <c r="A452" i="44"/>
  <c r="A463" i="44"/>
  <c r="A473" i="44"/>
  <c r="A484" i="44"/>
  <c r="A495" i="44"/>
  <c r="A505" i="44"/>
  <c r="A516" i="44"/>
  <c r="A527" i="44"/>
  <c r="A537" i="44"/>
  <c r="A548" i="44"/>
  <c r="A559" i="44"/>
  <c r="A569" i="44"/>
  <c r="A580" i="44"/>
  <c r="A591" i="44"/>
  <c r="A601" i="44"/>
  <c r="A612" i="44"/>
  <c r="A623" i="44"/>
  <c r="A633" i="44"/>
  <c r="A644" i="44"/>
  <c r="A655" i="44"/>
  <c r="A665" i="44"/>
  <c r="A676" i="44"/>
  <c r="A687" i="44"/>
  <c r="A697" i="44"/>
  <c r="A708" i="44"/>
  <c r="A719" i="44"/>
  <c r="A729" i="44"/>
  <c r="A740" i="44"/>
  <c r="A751" i="44"/>
  <c r="A761" i="44"/>
  <c r="A772" i="44"/>
  <c r="A783" i="44"/>
  <c r="A792" i="44"/>
  <c r="A799" i="44"/>
  <c r="A805" i="44"/>
  <c r="A813" i="44"/>
  <c r="A820" i="44"/>
  <c r="A825" i="44"/>
  <c r="A831" i="44"/>
  <c r="A836" i="44"/>
  <c r="A841" i="44"/>
  <c r="A847" i="44"/>
  <c r="A852" i="44"/>
  <c r="A857" i="44"/>
  <c r="A863" i="44"/>
  <c r="A868" i="44"/>
  <c r="A873" i="44"/>
  <c r="A879" i="44"/>
  <c r="A884" i="44"/>
  <c r="A889" i="44"/>
  <c r="A895" i="44"/>
  <c r="A900" i="44"/>
  <c r="A905" i="44"/>
  <c r="A911" i="44"/>
  <c r="A916" i="44"/>
  <c r="A921" i="44"/>
  <c r="A927" i="44"/>
  <c r="A932" i="44"/>
  <c r="A937" i="44"/>
  <c r="A942" i="44"/>
  <c r="A946" i="44"/>
  <c r="A950" i="44"/>
  <c r="A954" i="44"/>
  <c r="A958" i="44"/>
  <c r="A962" i="44"/>
  <c r="A966" i="44"/>
  <c r="A970" i="44"/>
  <c r="A977" i="44"/>
  <c r="A971" i="44"/>
  <c r="A963" i="44"/>
  <c r="A955" i="44"/>
  <c r="A947" i="44"/>
  <c r="A939" i="44"/>
  <c r="A928" i="44"/>
  <c r="A917" i="44"/>
  <c r="A907" i="44"/>
  <c r="A896" i="44"/>
  <c r="A885" i="44"/>
  <c r="A875" i="44"/>
  <c r="A864" i="44"/>
  <c r="A853" i="44"/>
  <c r="A843" i="44"/>
  <c r="A832" i="44"/>
  <c r="A821" i="44"/>
  <c r="A808" i="44"/>
  <c r="A793" i="44"/>
  <c r="A773" i="44"/>
  <c r="A752" i="44"/>
  <c r="A731" i="44"/>
  <c r="A709" i="44"/>
  <c r="A688" i="44"/>
  <c r="A667" i="44"/>
  <c r="A645" i="44"/>
  <c r="A624" i="44"/>
  <c r="A603" i="44"/>
  <c r="A581" i="44"/>
  <c r="A560" i="44"/>
  <c r="A539" i="44"/>
  <c r="A517" i="44"/>
  <c r="A496" i="44"/>
  <c r="A475" i="44"/>
  <c r="A453" i="44"/>
  <c r="A432" i="44"/>
  <c r="A399" i="44"/>
  <c r="A307" i="44"/>
  <c r="A63" i="44"/>
  <c r="A975" i="44"/>
  <c r="A969" i="44"/>
  <c r="A961" i="44"/>
  <c r="A953" i="44"/>
  <c r="A945" i="44"/>
  <c r="A936" i="44"/>
  <c r="A925" i="44"/>
  <c r="A915" i="44"/>
  <c r="A904" i="44"/>
  <c r="A893" i="44"/>
  <c r="A883" i="44"/>
  <c r="A872" i="44"/>
  <c r="A861" i="44"/>
  <c r="A851" i="44"/>
  <c r="A840" i="44"/>
  <c r="A829" i="44"/>
  <c r="A819" i="44"/>
  <c r="A804" i="44"/>
  <c r="A789" i="44"/>
  <c r="A768" i="44"/>
  <c r="A747" i="44"/>
  <c r="A725" i="44"/>
  <c r="A704" i="44"/>
  <c r="A683" i="44"/>
  <c r="A661" i="44"/>
  <c r="A640" i="44"/>
  <c r="A619" i="44"/>
  <c r="A597" i="44"/>
  <c r="A576" i="44"/>
  <c r="A555" i="44"/>
  <c r="A533" i="44"/>
  <c r="A512" i="44"/>
  <c r="A491" i="44"/>
  <c r="A469" i="44"/>
  <c r="A448" i="44"/>
  <c r="A427" i="44"/>
  <c r="A383" i="44"/>
  <c r="A255" i="44"/>
  <c r="A979" i="44"/>
  <c r="A974" i="44"/>
  <c r="A967" i="44"/>
  <c r="A959" i="44"/>
  <c r="A951" i="44"/>
  <c r="A943" i="44"/>
  <c r="A933" i="44"/>
  <c r="A923" i="44"/>
  <c r="A912" i="44"/>
  <c r="A901" i="44"/>
  <c r="A891" i="44"/>
  <c r="A880" i="44"/>
  <c r="A869" i="44"/>
  <c r="A859" i="44"/>
  <c r="A848" i="44"/>
  <c r="A837" i="44"/>
  <c r="A827" i="44"/>
  <c r="A815" i="44"/>
  <c r="A800" i="44"/>
  <c r="A784" i="44"/>
  <c r="A763" i="44"/>
  <c r="A741" i="44"/>
  <c r="A720" i="44"/>
  <c r="A699" i="44"/>
  <c r="A677" i="44"/>
  <c r="A656" i="44"/>
  <c r="A635" i="44"/>
  <c r="A613" i="44"/>
  <c r="A592" i="44"/>
  <c r="A571" i="44"/>
  <c r="A549" i="44"/>
  <c r="A528" i="44"/>
  <c r="A507" i="44"/>
  <c r="A485" i="44"/>
  <c r="A464" i="44"/>
  <c r="A443" i="44"/>
  <c r="A421" i="44"/>
  <c r="A367" i="44"/>
  <c r="A191" i="44"/>
  <c r="B44" i="35" l="1"/>
  <c r="A962" i="55"/>
  <c r="A836" i="53"/>
  <c r="A880" i="52"/>
  <c r="A110" i="52"/>
  <c r="A52" i="52"/>
  <c r="A168" i="52"/>
  <c r="A27" i="52"/>
  <c r="A447" i="52"/>
  <c r="A46" i="52"/>
  <c r="A212" i="52"/>
  <c r="A200" i="52"/>
  <c r="A127" i="52"/>
  <c r="A280" i="52"/>
  <c r="A208" i="52"/>
  <c r="A176" i="52"/>
  <c r="A126" i="52"/>
  <c r="A62" i="52"/>
  <c r="A143" i="52"/>
  <c r="A59" i="52"/>
  <c r="A120" i="52"/>
  <c r="A482" i="52"/>
  <c r="A497" i="52"/>
  <c r="A315" i="52"/>
  <c r="A791" i="52"/>
  <c r="A192" i="52"/>
  <c r="A158" i="52"/>
  <c r="A94" i="52"/>
  <c r="A30" i="52"/>
  <c r="A111" i="52"/>
  <c r="A195" i="52"/>
  <c r="A298" i="52"/>
  <c r="A244" i="52"/>
  <c r="A408" i="52"/>
  <c r="A656" i="52"/>
  <c r="A184" i="52"/>
  <c r="A142" i="52"/>
  <c r="A78" i="52"/>
  <c r="A159" i="52"/>
  <c r="A91" i="52"/>
  <c r="A173" i="52"/>
  <c r="A386" i="52"/>
  <c r="A369" i="52"/>
  <c r="A536" i="52"/>
  <c r="A653" i="52"/>
  <c r="A36" i="53"/>
  <c r="A553" i="53"/>
  <c r="A257" i="53"/>
  <c r="A155" i="53"/>
  <c r="A295" i="53"/>
  <c r="A954" i="53"/>
  <c r="A190" i="53"/>
  <c r="A266" i="53"/>
  <c r="A464" i="53"/>
  <c r="A106" i="53"/>
  <c r="A164" i="53"/>
  <c r="A451" i="53"/>
  <c r="A202" i="52"/>
  <c r="A194" i="52"/>
  <c r="A186" i="52"/>
  <c r="A178" i="52"/>
  <c r="A170" i="52"/>
  <c r="A162" i="52"/>
  <c r="A146" i="52"/>
  <c r="A130" i="52"/>
  <c r="A114" i="52"/>
  <c r="A98" i="52"/>
  <c r="A82" i="52"/>
  <c r="A66" i="52"/>
  <c r="A50" i="52"/>
  <c r="A34" i="52"/>
  <c r="A147" i="52"/>
  <c r="A131" i="52"/>
  <c r="A115" i="52"/>
  <c r="A95" i="52"/>
  <c r="A63" i="52"/>
  <c r="A31" i="52"/>
  <c r="A197" i="52"/>
  <c r="A181" i="52"/>
  <c r="A136" i="52"/>
  <c r="A72" i="52"/>
  <c r="A278" i="52"/>
  <c r="A362" i="52"/>
  <c r="A450" i="52"/>
  <c r="A585" i="52"/>
  <c r="A236" i="52"/>
  <c r="A337" i="52"/>
  <c r="A465" i="52"/>
  <c r="A248" i="52"/>
  <c r="A376" i="52"/>
  <c r="A504" i="52"/>
  <c r="A283" i="52"/>
  <c r="A411" i="52"/>
  <c r="A592" i="52"/>
  <c r="A678" i="52"/>
  <c r="A938" i="52"/>
  <c r="A161" i="52"/>
  <c r="A29" i="52"/>
  <c r="A45" i="52"/>
  <c r="A61" i="52"/>
  <c r="A77" i="52"/>
  <c r="A93" i="52"/>
  <c r="A109" i="52"/>
  <c r="A125" i="52"/>
  <c r="A141" i="52"/>
  <c r="A157" i="52"/>
  <c r="A965" i="52"/>
  <c r="A949" i="52"/>
  <c r="A933" i="52"/>
  <c r="A917" i="52"/>
  <c r="A901" i="52"/>
  <c r="A954" i="52"/>
  <c r="A942" i="52"/>
  <c r="A910" i="52"/>
  <c r="A888" i="52"/>
  <c r="A872" i="52"/>
  <c r="A964" i="52"/>
  <c r="A936" i="52"/>
  <c r="A904" i="52"/>
  <c r="A873" i="52"/>
  <c r="A849" i="52"/>
  <c r="A833" i="52"/>
  <c r="A817" i="52"/>
  <c r="A801" i="52"/>
  <c r="A785" i="52"/>
  <c r="A769" i="52"/>
  <c r="A753" i="52"/>
  <c r="A737" i="52"/>
  <c r="A971" i="52"/>
  <c r="A939" i="52"/>
  <c r="A916" i="52"/>
  <c r="A898" i="52"/>
  <c r="A882" i="52"/>
  <c r="A33" i="52"/>
  <c r="A49" i="52"/>
  <c r="A65" i="52"/>
  <c r="A81" i="52"/>
  <c r="A97" i="52"/>
  <c r="A113" i="52"/>
  <c r="A129" i="52"/>
  <c r="A145" i="52"/>
  <c r="A980" i="52"/>
  <c r="A977" i="52"/>
  <c r="A978" i="52"/>
  <c r="A961" i="52"/>
  <c r="A945" i="52"/>
  <c r="A929" i="52"/>
  <c r="A913" i="52"/>
  <c r="A946" i="52"/>
  <c r="A966" i="52"/>
  <c r="A934" i="52"/>
  <c r="A902" i="52"/>
  <c r="A884" i="52"/>
  <c r="A868" i="52"/>
  <c r="A960" i="52"/>
  <c r="A927" i="52"/>
  <c r="A897" i="52"/>
  <c r="A865" i="52"/>
  <c r="A845" i="52"/>
  <c r="A829" i="52"/>
  <c r="A813" i="52"/>
  <c r="A797" i="52"/>
  <c r="A781" i="52"/>
  <c r="A765" i="52"/>
  <c r="A749" i="52"/>
  <c r="A733" i="52"/>
  <c r="A37" i="52"/>
  <c r="A69" i="52"/>
  <c r="A101" i="52"/>
  <c r="A133" i="52"/>
  <c r="A973" i="52"/>
  <c r="A941" i="52"/>
  <c r="A909" i="52"/>
  <c r="A958" i="52"/>
  <c r="A896" i="52"/>
  <c r="A864" i="52"/>
  <c r="A947" i="52"/>
  <c r="A889" i="52"/>
  <c r="A841" i="52"/>
  <c r="A809" i="52"/>
  <c r="A777" i="52"/>
  <c r="A745" i="52"/>
  <c r="A967" i="52"/>
  <c r="A930" i="52"/>
  <c r="A900" i="52"/>
  <c r="A879" i="52"/>
  <c r="A863" i="52"/>
  <c r="A846" i="52"/>
  <c r="A830" i="52"/>
  <c r="A814" i="52"/>
  <c r="A798" i="52"/>
  <c r="A782" i="52"/>
  <c r="A766" i="52"/>
  <c r="A750" i="52"/>
  <c r="A734" i="52"/>
  <c r="A724" i="52"/>
  <c r="A720" i="52"/>
  <c r="A963" i="52"/>
  <c r="A935" i="52"/>
  <c r="A903" i="52"/>
  <c r="A869" i="52"/>
  <c r="A847" i="52"/>
  <c r="A831" i="52"/>
  <c r="A815" i="52"/>
  <c r="A799" i="52"/>
  <c r="A783" i="52"/>
  <c r="A767" i="52"/>
  <c r="A751" i="52"/>
  <c r="A735" i="52"/>
  <c r="A979" i="52"/>
  <c r="A951" i="52"/>
  <c r="A924" i="52"/>
  <c r="A906" i="52"/>
  <c r="A886" i="52"/>
  <c r="A870" i="52"/>
  <c r="A856" i="52"/>
  <c r="A840" i="52"/>
  <c r="A824" i="52"/>
  <c r="A808" i="52"/>
  <c r="A792" i="52"/>
  <c r="A776" i="52"/>
  <c r="A760" i="52"/>
  <c r="A744" i="52"/>
  <c r="A728" i="52"/>
  <c r="A713" i="52"/>
  <c r="A709" i="52"/>
  <c r="A705" i="52"/>
  <c r="A701" i="52"/>
  <c r="A697" i="52"/>
  <c r="A681" i="52"/>
  <c r="A665" i="52"/>
  <c r="A649" i="52"/>
  <c r="A41" i="52"/>
  <c r="A73" i="52"/>
  <c r="A105" i="52"/>
  <c r="A137" i="52"/>
  <c r="A969" i="52"/>
  <c r="A937" i="52"/>
  <c r="A905" i="52"/>
  <c r="A950" i="52"/>
  <c r="A892" i="52"/>
  <c r="A860" i="52"/>
  <c r="A943" i="52"/>
  <c r="A881" i="52"/>
  <c r="A837" i="52"/>
  <c r="A805" i="52"/>
  <c r="A773" i="52"/>
  <c r="A741" i="52"/>
  <c r="A956" i="52"/>
  <c r="A923" i="52"/>
  <c r="A895" i="52"/>
  <c r="A874" i="52"/>
  <c r="A858" i="52"/>
  <c r="A842" i="52"/>
  <c r="A826" i="52"/>
  <c r="A810" i="52"/>
  <c r="A794" i="52"/>
  <c r="A778" i="52"/>
  <c r="A762" i="52"/>
  <c r="A746" i="52"/>
  <c r="A730" i="52"/>
  <c r="A723" i="52"/>
  <c r="A719" i="52"/>
  <c r="A959" i="52"/>
  <c r="A928" i="52"/>
  <c r="A893" i="52"/>
  <c r="A861" i="52"/>
  <c r="A843" i="52"/>
  <c r="A827" i="52"/>
  <c r="A811" i="52"/>
  <c r="A795" i="52"/>
  <c r="A779" i="52"/>
  <c r="A763" i="52"/>
  <c r="A747" i="52"/>
  <c r="A731" i="52"/>
  <c r="A972" i="52"/>
  <c r="A940" i="52"/>
  <c r="A922" i="52"/>
  <c r="A899" i="52"/>
  <c r="A883" i="52"/>
  <c r="A867" i="52"/>
  <c r="A852" i="52"/>
  <c r="A836" i="52"/>
  <c r="A820" i="52"/>
  <c r="A804" i="52"/>
  <c r="A788" i="52"/>
  <c r="A772" i="52"/>
  <c r="A756" i="52"/>
  <c r="A740" i="52"/>
  <c r="A716" i="52"/>
  <c r="A53" i="52"/>
  <c r="A117" i="52"/>
  <c r="A976" i="52"/>
  <c r="A957" i="52"/>
  <c r="A970" i="52"/>
  <c r="A926" i="52"/>
  <c r="A857" i="52"/>
  <c r="A793" i="52"/>
  <c r="A729" i="52"/>
  <c r="A952" i="52"/>
  <c r="A890" i="52"/>
  <c r="A854" i="52"/>
  <c r="A822" i="52"/>
  <c r="A790" i="52"/>
  <c r="A758" i="52"/>
  <c r="A726" i="52"/>
  <c r="A718" i="52"/>
  <c r="A948" i="52"/>
  <c r="A885" i="52"/>
  <c r="A839" i="52"/>
  <c r="A807" i="52"/>
  <c r="A775" i="52"/>
  <c r="A743" i="52"/>
  <c r="A968" i="52"/>
  <c r="A915" i="52"/>
  <c r="A878" i="52"/>
  <c r="A848" i="52"/>
  <c r="A816" i="52"/>
  <c r="A784" i="52"/>
  <c r="A752" i="52"/>
  <c r="A715" i="52"/>
  <c r="A710" i="52"/>
  <c r="A704" i="52"/>
  <c r="A699" i="52"/>
  <c r="A685" i="52"/>
  <c r="A661" i="52"/>
  <c r="A641" i="52"/>
  <c r="A625" i="52"/>
  <c r="A609" i="52"/>
  <c r="A686" i="52"/>
  <c r="A670" i="52"/>
  <c r="A654" i="52"/>
  <c r="A638" i="52"/>
  <c r="A622" i="52"/>
  <c r="A691" i="52"/>
  <c r="A675" i="52"/>
  <c r="A659" i="52"/>
  <c r="A643" i="52"/>
  <c r="A627" i="52"/>
  <c r="A696" i="52"/>
  <c r="A680" i="52"/>
  <c r="A664" i="52"/>
  <c r="A648" i="52"/>
  <c r="A632" i="52"/>
  <c r="A616" i="52"/>
  <c r="A600" i="52"/>
  <c r="A584" i="52"/>
  <c r="A568" i="52"/>
  <c r="A552" i="52"/>
  <c r="A589" i="52"/>
  <c r="A570" i="52"/>
  <c r="A551" i="52"/>
  <c r="A535" i="52"/>
  <c r="A519" i="52"/>
  <c r="A503" i="52"/>
  <c r="A487" i="52"/>
  <c r="A471" i="52"/>
  <c r="A455" i="52"/>
  <c r="A439" i="52"/>
  <c r="A423" i="52"/>
  <c r="A407" i="52"/>
  <c r="A391" i="52"/>
  <c r="A375" i="52"/>
  <c r="A359" i="52"/>
  <c r="A343" i="52"/>
  <c r="A327" i="52"/>
  <c r="A311" i="52"/>
  <c r="A295" i="52"/>
  <c r="A279" i="52"/>
  <c r="A263" i="52"/>
  <c r="A247" i="52"/>
  <c r="A590" i="52"/>
  <c r="A571" i="52"/>
  <c r="A548" i="52"/>
  <c r="A532" i="52"/>
  <c r="A516" i="52"/>
  <c r="A500" i="52"/>
  <c r="A484" i="52"/>
  <c r="A468" i="52"/>
  <c r="A452" i="52"/>
  <c r="A436" i="52"/>
  <c r="A420" i="52"/>
  <c r="A404" i="52"/>
  <c r="A388" i="52"/>
  <c r="A372" i="52"/>
  <c r="A356" i="52"/>
  <c r="A340" i="52"/>
  <c r="A324" i="52"/>
  <c r="A308" i="52"/>
  <c r="A292" i="52"/>
  <c r="A276" i="52"/>
  <c r="A260" i="52"/>
  <c r="A606" i="52"/>
  <c r="A581" i="52"/>
  <c r="A562" i="52"/>
  <c r="A541" i="52"/>
  <c r="A525" i="52"/>
  <c r="A509" i="52"/>
  <c r="A493" i="52"/>
  <c r="A477" i="52"/>
  <c r="A461" i="52"/>
  <c r="A445" i="52"/>
  <c r="A429" i="52"/>
  <c r="A413" i="52"/>
  <c r="A397" i="52"/>
  <c r="A381" i="52"/>
  <c r="A365" i="52"/>
  <c r="A349" i="52"/>
  <c r="A333" i="52"/>
  <c r="A317" i="52"/>
  <c r="A301" i="52"/>
  <c r="A285" i="52"/>
  <c r="A269" i="52"/>
  <c r="A253" i="52"/>
  <c r="A243" i="52"/>
  <c r="A239" i="52"/>
  <c r="A235" i="52"/>
  <c r="A231" i="52"/>
  <c r="A227" i="52"/>
  <c r="A223" i="52"/>
  <c r="A219" i="52"/>
  <c r="A215" i="52"/>
  <c r="A211" i="52"/>
  <c r="A601" i="52"/>
  <c r="A582" i="52"/>
  <c r="A563" i="52"/>
  <c r="A542" i="52"/>
  <c r="A526" i="52"/>
  <c r="A510" i="52"/>
  <c r="A494" i="52"/>
  <c r="A478" i="52"/>
  <c r="A462" i="52"/>
  <c r="A446" i="52"/>
  <c r="A430" i="52"/>
  <c r="A414" i="52"/>
  <c r="A398" i="52"/>
  <c r="A382" i="52"/>
  <c r="A366" i="52"/>
  <c r="A350" i="52"/>
  <c r="A334" i="52"/>
  <c r="A318" i="52"/>
  <c r="A302" i="52"/>
  <c r="A286" i="52"/>
  <c r="A270" i="52"/>
  <c r="A254" i="52"/>
  <c r="A28" i="52"/>
  <c r="A44" i="52"/>
  <c r="A60" i="52"/>
  <c r="A57" i="52"/>
  <c r="A121" i="52"/>
  <c r="A953" i="52"/>
  <c r="A962" i="52"/>
  <c r="A918" i="52"/>
  <c r="A853" i="52"/>
  <c r="A789" i="52"/>
  <c r="A932" i="52"/>
  <c r="A887" i="52"/>
  <c r="A850" i="52"/>
  <c r="A818" i="52"/>
  <c r="A786" i="52"/>
  <c r="A754" i="52"/>
  <c r="A725" i="52"/>
  <c r="A717" i="52"/>
  <c r="A944" i="52"/>
  <c r="A877" i="52"/>
  <c r="A835" i="52"/>
  <c r="A803" i="52"/>
  <c r="A771" i="52"/>
  <c r="A739" i="52"/>
  <c r="A955" i="52"/>
  <c r="A908" i="52"/>
  <c r="A875" i="52"/>
  <c r="A844" i="52"/>
  <c r="A812" i="52"/>
  <c r="A780" i="52"/>
  <c r="A748" i="52"/>
  <c r="A714" i="52"/>
  <c r="A708" i="52"/>
  <c r="A703" i="52"/>
  <c r="A698" i="52"/>
  <c r="A677" i="52"/>
  <c r="A657" i="52"/>
  <c r="A637" i="52"/>
  <c r="A621" i="52"/>
  <c r="A605" i="52"/>
  <c r="A682" i="52"/>
  <c r="A666" i="52"/>
  <c r="A650" i="52"/>
  <c r="A634" i="52"/>
  <c r="A618" i="52"/>
  <c r="A687" i="52"/>
  <c r="A671" i="52"/>
  <c r="A655" i="52"/>
  <c r="A639" i="52"/>
  <c r="A623" i="52"/>
  <c r="A692" i="52"/>
  <c r="A676" i="52"/>
  <c r="A660" i="52"/>
  <c r="A644" i="52"/>
  <c r="A628" i="52"/>
  <c r="A612" i="52"/>
  <c r="A596" i="52"/>
  <c r="A580" i="52"/>
  <c r="A564" i="52"/>
  <c r="A610" i="52"/>
  <c r="A586" i="52"/>
  <c r="A567" i="52"/>
  <c r="A547" i="52"/>
  <c r="A531" i="52"/>
  <c r="A515" i="52"/>
  <c r="A499" i="52"/>
  <c r="A483" i="52"/>
  <c r="A467" i="52"/>
  <c r="A451" i="52"/>
  <c r="A435" i="52"/>
  <c r="A419" i="52"/>
  <c r="A403" i="52"/>
  <c r="A387" i="52"/>
  <c r="A371" i="52"/>
  <c r="A355" i="52"/>
  <c r="A339" i="52"/>
  <c r="A323" i="52"/>
  <c r="A307" i="52"/>
  <c r="A291" i="52"/>
  <c r="A275" i="52"/>
  <c r="A259" i="52"/>
  <c r="A611" i="52"/>
  <c r="A587" i="52"/>
  <c r="A561" i="52"/>
  <c r="A544" i="52"/>
  <c r="A528" i="52"/>
  <c r="A512" i="52"/>
  <c r="A496" i="52"/>
  <c r="A480" i="52"/>
  <c r="A464" i="52"/>
  <c r="A448" i="52"/>
  <c r="A432" i="52"/>
  <c r="A416" i="52"/>
  <c r="A400" i="52"/>
  <c r="A384" i="52"/>
  <c r="A368" i="52"/>
  <c r="A352" i="52"/>
  <c r="A336" i="52"/>
  <c r="A320" i="52"/>
  <c r="A304" i="52"/>
  <c r="A288" i="52"/>
  <c r="A272" i="52"/>
  <c r="A256" i="52"/>
  <c r="A597" i="52"/>
  <c r="A578" i="52"/>
  <c r="A559" i="52"/>
  <c r="A537" i="52"/>
  <c r="A521" i="52"/>
  <c r="A505" i="52"/>
  <c r="A489" i="52"/>
  <c r="A473" i="52"/>
  <c r="A457" i="52"/>
  <c r="A441" i="52"/>
  <c r="A425" i="52"/>
  <c r="A409" i="52"/>
  <c r="A393" i="52"/>
  <c r="A377" i="52"/>
  <c r="A361" i="52"/>
  <c r="A345" i="52"/>
  <c r="A329" i="52"/>
  <c r="A313" i="52"/>
  <c r="A297" i="52"/>
  <c r="A281" i="52"/>
  <c r="A265" i="52"/>
  <c r="A249" i="52"/>
  <c r="A242" i="52"/>
  <c r="A238" i="52"/>
  <c r="A234" i="52"/>
  <c r="A230" i="52"/>
  <c r="A226" i="52"/>
  <c r="A222" i="52"/>
  <c r="A218" i="52"/>
  <c r="A214" i="52"/>
  <c r="A210" i="52"/>
  <c r="A598" i="52"/>
  <c r="A579" i="52"/>
  <c r="A553" i="52"/>
  <c r="A538" i="52"/>
  <c r="A522" i="52"/>
  <c r="A506" i="52"/>
  <c r="A490" i="52"/>
  <c r="A474" i="52"/>
  <c r="A458" i="52"/>
  <c r="A25" i="52"/>
  <c r="A89" i="52"/>
  <c r="A153" i="52"/>
  <c r="A921" i="52"/>
  <c r="A876" i="52"/>
  <c r="A911" i="52"/>
  <c r="A821" i="52"/>
  <c r="A757" i="52"/>
  <c r="A975" i="52"/>
  <c r="A907" i="52"/>
  <c r="A866" i="52"/>
  <c r="A834" i="52"/>
  <c r="A802" i="52"/>
  <c r="A770" i="52"/>
  <c r="A738" i="52"/>
  <c r="A721" i="52"/>
  <c r="A912" i="52"/>
  <c r="A851" i="52"/>
  <c r="A819" i="52"/>
  <c r="A787" i="52"/>
  <c r="A755" i="52"/>
  <c r="A931" i="52"/>
  <c r="A891" i="52"/>
  <c r="A859" i="52"/>
  <c r="A828" i="52"/>
  <c r="A796" i="52"/>
  <c r="A764" i="52"/>
  <c r="A732" i="52"/>
  <c r="A711" i="52"/>
  <c r="A706" i="52"/>
  <c r="A700" i="52"/>
  <c r="A689" i="52"/>
  <c r="A669" i="52"/>
  <c r="A645" i="52"/>
  <c r="A629" i="52"/>
  <c r="A613" i="52"/>
  <c r="A690" i="52"/>
  <c r="A674" i="52"/>
  <c r="A658" i="52"/>
  <c r="A642" i="52"/>
  <c r="A626" i="52"/>
  <c r="A695" i="52"/>
  <c r="A679" i="52"/>
  <c r="A663" i="52"/>
  <c r="A647" i="52"/>
  <c r="A631" i="52"/>
  <c r="A615" i="52"/>
  <c r="A684" i="52"/>
  <c r="A668" i="52"/>
  <c r="A652" i="52"/>
  <c r="A636" i="52"/>
  <c r="A620" i="52"/>
  <c r="A604" i="52"/>
  <c r="A588" i="52"/>
  <c r="A572" i="52"/>
  <c r="A556" i="52"/>
  <c r="A599" i="52"/>
  <c r="A573" i="52"/>
  <c r="A554" i="52"/>
  <c r="A539" i="52"/>
  <c r="A523" i="52"/>
  <c r="A507" i="52"/>
  <c r="A491" i="52"/>
  <c r="A475" i="52"/>
  <c r="A459" i="52"/>
  <c r="A443" i="52"/>
  <c r="A149" i="52"/>
  <c r="A925" i="52"/>
  <c r="A825" i="52"/>
  <c r="A871" i="52"/>
  <c r="A742" i="52"/>
  <c r="A855" i="52"/>
  <c r="A727" i="52"/>
  <c r="A862" i="52"/>
  <c r="A736" i="52"/>
  <c r="A693" i="52"/>
  <c r="A617" i="52"/>
  <c r="A646" i="52"/>
  <c r="A667" i="52"/>
  <c r="A688" i="52"/>
  <c r="A624" i="52"/>
  <c r="A560" i="52"/>
  <c r="A543" i="52"/>
  <c r="A479" i="52"/>
  <c r="A427" i="52"/>
  <c r="A395" i="52"/>
  <c r="A363" i="52"/>
  <c r="A331" i="52"/>
  <c r="A299" i="52"/>
  <c r="A267" i="52"/>
  <c r="A593" i="52"/>
  <c r="A555" i="52"/>
  <c r="A520" i="52"/>
  <c r="A488" i="52"/>
  <c r="A456" i="52"/>
  <c r="A424" i="52"/>
  <c r="A392" i="52"/>
  <c r="A360" i="52"/>
  <c r="A328" i="52"/>
  <c r="A296" i="52"/>
  <c r="A264" i="52"/>
  <c r="A591" i="52"/>
  <c r="A545" i="52"/>
  <c r="A513" i="52"/>
  <c r="A481" i="52"/>
  <c r="A449" i="52"/>
  <c r="A417" i="52"/>
  <c r="A385" i="52"/>
  <c r="A353" i="52"/>
  <c r="A321" i="52"/>
  <c r="A289" i="52"/>
  <c r="A257" i="52"/>
  <c r="A240" i="52"/>
  <c r="A232" i="52"/>
  <c r="A224" i="52"/>
  <c r="A216" i="52"/>
  <c r="A607" i="52"/>
  <c r="A566" i="52"/>
  <c r="A530" i="52"/>
  <c r="A498" i="52"/>
  <c r="A466" i="52"/>
  <c r="A438" i="52"/>
  <c r="A418" i="52"/>
  <c r="A394" i="52"/>
  <c r="A374" i="52"/>
  <c r="A354" i="52"/>
  <c r="A330" i="52"/>
  <c r="A310" i="52"/>
  <c r="A290" i="52"/>
  <c r="A266" i="52"/>
  <c r="A246" i="52"/>
  <c r="A40" i="52"/>
  <c r="A64" i="52"/>
  <c r="A80" i="52"/>
  <c r="A96" i="52"/>
  <c r="A112" i="52"/>
  <c r="A128" i="52"/>
  <c r="A144" i="52"/>
  <c r="A160" i="52"/>
  <c r="A169" i="52"/>
  <c r="A177" i="52"/>
  <c r="A185" i="52"/>
  <c r="A193" i="52"/>
  <c r="A201" i="52"/>
  <c r="A23" i="52"/>
  <c r="A39" i="52"/>
  <c r="A55" i="52"/>
  <c r="A71" i="52"/>
  <c r="A87" i="52"/>
  <c r="A103" i="52"/>
  <c r="A761" i="52"/>
  <c r="A838" i="52"/>
  <c r="A722" i="52"/>
  <c r="A823" i="52"/>
  <c r="A832" i="52"/>
  <c r="A712" i="52"/>
  <c r="A673" i="52"/>
  <c r="A694" i="52"/>
  <c r="A630" i="52"/>
  <c r="A651" i="52"/>
  <c r="A672" i="52"/>
  <c r="A608" i="52"/>
  <c r="A602" i="52"/>
  <c r="A527" i="52"/>
  <c r="A463" i="52"/>
  <c r="A415" i="52"/>
  <c r="A383" i="52"/>
  <c r="A351" i="52"/>
  <c r="A319" i="52"/>
  <c r="A287" i="52"/>
  <c r="A255" i="52"/>
  <c r="A577" i="52"/>
  <c r="A540" i="52"/>
  <c r="A508" i="52"/>
  <c r="A476" i="52"/>
  <c r="A444" i="52"/>
  <c r="A412" i="52"/>
  <c r="A380" i="52"/>
  <c r="A348" i="52"/>
  <c r="A316" i="52"/>
  <c r="A284" i="52"/>
  <c r="A252" i="52"/>
  <c r="A575" i="52"/>
  <c r="A533" i="52"/>
  <c r="A501" i="52"/>
  <c r="A469" i="52"/>
  <c r="A437" i="52"/>
  <c r="A405" i="52"/>
  <c r="A373" i="52"/>
  <c r="A341" i="52"/>
  <c r="A309" i="52"/>
  <c r="A277" i="52"/>
  <c r="A245" i="52"/>
  <c r="A237" i="52"/>
  <c r="A229" i="52"/>
  <c r="A221" i="52"/>
  <c r="A213" i="52"/>
  <c r="A595" i="52"/>
  <c r="A550" i="52"/>
  <c r="A518" i="52"/>
  <c r="A486" i="52"/>
  <c r="A454" i="52"/>
  <c r="A434" i="52"/>
  <c r="A410" i="52"/>
  <c r="A390" i="52"/>
  <c r="A370" i="52"/>
  <c r="A346" i="52"/>
  <c r="A326" i="52"/>
  <c r="A306" i="52"/>
  <c r="A282" i="52"/>
  <c r="A262" i="52"/>
  <c r="A24" i="52"/>
  <c r="A48" i="52"/>
  <c r="A68" i="52"/>
  <c r="A84" i="52"/>
  <c r="A100" i="52"/>
  <c r="A116" i="52"/>
  <c r="A132" i="52"/>
  <c r="A148" i="52"/>
  <c r="A163" i="52"/>
  <c r="A171" i="52"/>
  <c r="A179" i="52"/>
  <c r="A85" i="52"/>
  <c r="A974" i="52"/>
  <c r="A920" i="52"/>
  <c r="A914" i="52"/>
  <c r="A774" i="52"/>
  <c r="A919" i="52"/>
  <c r="A759" i="52"/>
  <c r="A894" i="52"/>
  <c r="A768" i="52"/>
  <c r="A702" i="52"/>
  <c r="A633" i="52"/>
  <c r="A662" i="52"/>
  <c r="A683" i="52"/>
  <c r="A619" i="52"/>
  <c r="A640" i="52"/>
  <c r="A576" i="52"/>
  <c r="A557" i="52"/>
  <c r="A495" i="52"/>
  <c r="A431" i="52"/>
  <c r="A399" i="52"/>
  <c r="A367" i="52"/>
  <c r="A335" i="52"/>
  <c r="A303" i="52"/>
  <c r="A271" i="52"/>
  <c r="A603" i="52"/>
  <c r="A558" i="52"/>
  <c r="A524" i="52"/>
  <c r="A492" i="52"/>
  <c r="A460" i="52"/>
  <c r="A428" i="52"/>
  <c r="A396" i="52"/>
  <c r="A364" i="52"/>
  <c r="A332" i="52"/>
  <c r="A300" i="52"/>
  <c r="A268" i="52"/>
  <c r="A594" i="52"/>
  <c r="A549" i="52"/>
  <c r="A517" i="52"/>
  <c r="A485" i="52"/>
  <c r="A453" i="52"/>
  <c r="A421" i="52"/>
  <c r="A389" i="52"/>
  <c r="A357" i="52"/>
  <c r="A325" i="52"/>
  <c r="A293" i="52"/>
  <c r="A261" i="52"/>
  <c r="A241" i="52"/>
  <c r="A233" i="52"/>
  <c r="A225" i="52"/>
  <c r="A217" i="52"/>
  <c r="A209" i="52"/>
  <c r="A569" i="52"/>
  <c r="A534" i="52"/>
  <c r="A502" i="52"/>
  <c r="A470" i="52"/>
  <c r="A442" i="52"/>
  <c r="A422" i="52"/>
  <c r="A402" i="52"/>
  <c r="A378" i="52"/>
  <c r="A358" i="52"/>
  <c r="A338" i="52"/>
  <c r="A314" i="52"/>
  <c r="A294" i="52"/>
  <c r="A274" i="52"/>
  <c r="A250" i="52"/>
  <c r="A36" i="52"/>
  <c r="A56" i="52"/>
  <c r="A76" i="52"/>
  <c r="A92" i="52"/>
  <c r="A108" i="52"/>
  <c r="A124" i="52"/>
  <c r="A140" i="52"/>
  <c r="A156" i="52"/>
  <c r="A167" i="52"/>
  <c r="A175" i="52"/>
  <c r="A183" i="52"/>
  <c r="A191" i="52"/>
  <c r="A199" i="52"/>
  <c r="A207" i="52"/>
  <c r="A35" i="52"/>
  <c r="A51" i="52"/>
  <c r="A67" i="52"/>
  <c r="A83" i="52"/>
  <c r="A206" i="52"/>
  <c r="A198" i="52"/>
  <c r="A190" i="52"/>
  <c r="A182" i="52"/>
  <c r="A174" i="52"/>
  <c r="A166" i="52"/>
  <c r="A154" i="52"/>
  <c r="A138" i="52"/>
  <c r="A122" i="52"/>
  <c r="A106" i="52"/>
  <c r="A90" i="52"/>
  <c r="A74" i="52"/>
  <c r="A58" i="52"/>
  <c r="A42" i="52"/>
  <c r="A26" i="52"/>
  <c r="A155" i="52"/>
  <c r="A139" i="52"/>
  <c r="A123" i="52"/>
  <c r="A107" i="52"/>
  <c r="A79" i="52"/>
  <c r="A47" i="52"/>
  <c r="A205" i="52"/>
  <c r="A189" i="52"/>
  <c r="A165" i="52"/>
  <c r="A104" i="52"/>
  <c r="A32" i="52"/>
  <c r="A322" i="52"/>
  <c r="A406" i="52"/>
  <c r="A514" i="52"/>
  <c r="A220" i="52"/>
  <c r="A273" i="52"/>
  <c r="A401" i="52"/>
  <c r="A529" i="52"/>
  <c r="A312" i="52"/>
  <c r="A440" i="52"/>
  <c r="A574" i="52"/>
  <c r="A347" i="52"/>
  <c r="A511" i="52"/>
  <c r="A635" i="52"/>
  <c r="A707" i="52"/>
  <c r="A204" i="52"/>
  <c r="A196" i="52"/>
  <c r="A188" i="52"/>
  <c r="A180" i="52"/>
  <c r="A172" i="52"/>
  <c r="A164" i="52"/>
  <c r="A150" i="52"/>
  <c r="A134" i="52"/>
  <c r="A118" i="52"/>
  <c r="A102" i="52"/>
  <c r="A86" i="52"/>
  <c r="A70" i="52"/>
  <c r="A54" i="52"/>
  <c r="A38" i="52"/>
  <c r="A22" i="52"/>
  <c r="A151" i="52"/>
  <c r="A135" i="52"/>
  <c r="A119" i="52"/>
  <c r="A99" i="52"/>
  <c r="A75" i="52"/>
  <c r="A43" i="52"/>
  <c r="A203" i="52"/>
  <c r="A187" i="52"/>
  <c r="A152" i="52"/>
  <c r="A88" i="52"/>
  <c r="A258" i="52"/>
  <c r="A342" i="52"/>
  <c r="A426" i="52"/>
  <c r="A546" i="52"/>
  <c r="A228" i="52"/>
  <c r="A305" i="52"/>
  <c r="A433" i="52"/>
  <c r="A565" i="52"/>
  <c r="A344" i="52"/>
  <c r="A472" i="52"/>
  <c r="A251" i="52"/>
  <c r="A379" i="52"/>
  <c r="A583" i="52"/>
  <c r="A614" i="52"/>
  <c r="A800" i="52"/>
  <c r="A806" i="52"/>
  <c r="A247" i="53"/>
  <c r="A170" i="53"/>
  <c r="A82" i="53"/>
  <c r="A223" i="53"/>
  <c r="A123" i="53"/>
  <c r="A250" i="53"/>
  <c r="A132" i="53"/>
  <c r="A360" i="53"/>
  <c r="A379" i="53"/>
  <c r="A550" i="53"/>
  <c r="A535" i="53"/>
  <c r="A850" i="53"/>
  <c r="A234" i="53"/>
  <c r="A146" i="53"/>
  <c r="A62" i="53"/>
  <c r="A203" i="53"/>
  <c r="A91" i="53"/>
  <c r="A228" i="53"/>
  <c r="A100" i="53"/>
  <c r="A429" i="53"/>
  <c r="A346" i="53"/>
  <c r="A369" i="53"/>
  <c r="A718" i="53"/>
  <c r="A653" i="53"/>
  <c r="A210" i="53"/>
  <c r="A126" i="53"/>
  <c r="A42" i="53"/>
  <c r="A179" i="53"/>
  <c r="A59" i="53"/>
  <c r="A196" i="53"/>
  <c r="A68" i="53"/>
  <c r="A271" i="53"/>
  <c r="A422" i="53"/>
  <c r="A532" i="53"/>
  <c r="A465" i="53"/>
  <c r="A23" i="53"/>
  <c r="A25" i="53"/>
  <c r="A41" i="53"/>
  <c r="A57" i="53"/>
  <c r="A73" i="53"/>
  <c r="A89" i="53"/>
  <c r="A105" i="53"/>
  <c r="A121" i="53"/>
  <c r="A137" i="53"/>
  <c r="A153" i="53"/>
  <c r="A169" i="53"/>
  <c r="A185" i="53"/>
  <c r="A201" i="53"/>
  <c r="A217" i="53"/>
  <c r="A233" i="53"/>
  <c r="A977" i="53"/>
  <c r="A974" i="53"/>
  <c r="A973" i="53"/>
  <c r="A957" i="53"/>
  <c r="A959" i="53"/>
  <c r="A946" i="53"/>
  <c r="A942" i="53"/>
  <c r="A938" i="53"/>
  <c r="A934" i="53"/>
  <c r="A930" i="53"/>
  <c r="A926" i="53"/>
  <c r="A922" i="53"/>
  <c r="A918" i="53"/>
  <c r="A914" i="53"/>
  <c r="A910" i="53"/>
  <c r="A906" i="53"/>
  <c r="A27" i="53"/>
  <c r="A33" i="53"/>
  <c r="A49" i="53"/>
  <c r="A65" i="53"/>
  <c r="A81" i="53"/>
  <c r="A97" i="53"/>
  <c r="A113" i="53"/>
  <c r="A129" i="53"/>
  <c r="A145" i="53"/>
  <c r="A161" i="53"/>
  <c r="A177" i="53"/>
  <c r="A193" i="53"/>
  <c r="A209" i="53"/>
  <c r="A225" i="53"/>
  <c r="A965" i="53"/>
  <c r="A949" i="53"/>
  <c r="A967" i="53"/>
  <c r="A951" i="53"/>
  <c r="A944" i="53"/>
  <c r="A940" i="53"/>
  <c r="A936" i="53"/>
  <c r="A932" i="53"/>
  <c r="A928" i="53"/>
  <c r="A924" i="53"/>
  <c r="A920" i="53"/>
  <c r="A916" i="53"/>
  <c r="A912" i="53"/>
  <c r="A908" i="53"/>
  <c r="A904" i="53"/>
  <c r="A972" i="53"/>
  <c r="A964" i="53"/>
  <c r="A956" i="53"/>
  <c r="A948" i="53"/>
  <c r="A893" i="53"/>
  <c r="A37" i="53"/>
  <c r="A69" i="53"/>
  <c r="A101" i="53"/>
  <c r="A133" i="53"/>
  <c r="A165" i="53"/>
  <c r="A197" i="53"/>
  <c r="A229" i="53"/>
  <c r="A963" i="53"/>
  <c r="A943" i="53"/>
  <c r="A935" i="53"/>
  <c r="A927" i="53"/>
  <c r="A919" i="53"/>
  <c r="A911" i="53"/>
  <c r="A903" i="53"/>
  <c r="A976" i="53"/>
  <c r="A962" i="53"/>
  <c r="A952" i="53"/>
  <c r="A889" i="53"/>
  <c r="A873" i="53"/>
  <c r="A857" i="53"/>
  <c r="A841" i="53"/>
  <c r="A886" i="53"/>
  <c r="A867" i="53"/>
  <c r="A848" i="53"/>
  <c r="A826" i="53"/>
  <c r="A810" i="53"/>
  <c r="A794" i="53"/>
  <c r="A778" i="53"/>
  <c r="A890" i="53"/>
  <c r="A871" i="53"/>
  <c r="A852" i="53"/>
  <c r="A831" i="53"/>
  <c r="A815" i="53"/>
  <c r="A799" i="53"/>
  <c r="A783" i="53"/>
  <c r="A767" i="53"/>
  <c r="A751" i="53"/>
  <c r="A735" i="53"/>
  <c r="A878" i="53"/>
  <c r="A859" i="53"/>
  <c r="A840" i="53"/>
  <c r="A824" i="53"/>
  <c r="A808" i="53"/>
  <c r="A792" i="53"/>
  <c r="A776" i="53"/>
  <c r="A760" i="53"/>
  <c r="A744" i="53"/>
  <c r="A728" i="53"/>
  <c r="A712" i="53"/>
  <c r="A699" i="53"/>
  <c r="A695" i="53"/>
  <c r="A691" i="53"/>
  <c r="A687" i="53"/>
  <c r="A683" i="53"/>
  <c r="A679" i="53"/>
  <c r="A675" i="53"/>
  <c r="A671" i="53"/>
  <c r="A667" i="53"/>
  <c r="A45" i="53"/>
  <c r="A77" i="53"/>
  <c r="A109" i="53"/>
  <c r="A141" i="53"/>
  <c r="A173" i="53"/>
  <c r="A205" i="53"/>
  <c r="A969" i="53"/>
  <c r="A955" i="53"/>
  <c r="A941" i="53"/>
  <c r="A933" i="53"/>
  <c r="A925" i="53"/>
  <c r="A917" i="53"/>
  <c r="A909" i="53"/>
  <c r="A970" i="53"/>
  <c r="A960" i="53"/>
  <c r="A950" i="53"/>
  <c r="A975" i="53"/>
  <c r="A885" i="53"/>
  <c r="A869" i="53"/>
  <c r="A853" i="53"/>
  <c r="A902" i="53"/>
  <c r="A883" i="53"/>
  <c r="A864" i="53"/>
  <c r="A838" i="53"/>
  <c r="A822" i="53"/>
  <c r="A806" i="53"/>
  <c r="A790" i="53"/>
  <c r="A53" i="53"/>
  <c r="A117" i="53"/>
  <c r="A181" i="53"/>
  <c r="A978" i="53"/>
  <c r="A961" i="53"/>
  <c r="A947" i="53"/>
  <c r="A931" i="53"/>
  <c r="A915" i="53"/>
  <c r="A968" i="53"/>
  <c r="A881" i="53"/>
  <c r="A849" i="53"/>
  <c r="A880" i="53"/>
  <c r="A834" i="53"/>
  <c r="A802" i="53"/>
  <c r="A884" i="53"/>
  <c r="A855" i="53"/>
  <c r="A827" i="53"/>
  <c r="A807" i="53"/>
  <c r="A787" i="53"/>
  <c r="A763" i="53"/>
  <c r="A743" i="53"/>
  <c r="A888" i="53"/>
  <c r="A856" i="53"/>
  <c r="A832" i="53"/>
  <c r="A812" i="53"/>
  <c r="A788" i="53"/>
  <c r="A768" i="53"/>
  <c r="A748" i="53"/>
  <c r="A724" i="53"/>
  <c r="A704" i="53"/>
  <c r="A696" i="53"/>
  <c r="A690" i="53"/>
  <c r="A685" i="53"/>
  <c r="A680" i="53"/>
  <c r="A674" i="53"/>
  <c r="A669" i="53"/>
  <c r="A664" i="53"/>
  <c r="A660" i="53"/>
  <c r="A656" i="53"/>
  <c r="A652" i="53"/>
  <c r="A648" i="53"/>
  <c r="A644" i="53"/>
  <c r="A640" i="53"/>
  <c r="A636" i="53"/>
  <c r="A632" i="53"/>
  <c r="A628" i="53"/>
  <c r="A624" i="53"/>
  <c r="A620" i="53"/>
  <c r="A616" i="53"/>
  <c r="A612" i="53"/>
  <c r="A608" i="53"/>
  <c r="A604" i="53"/>
  <c r="A892" i="53"/>
  <c r="A866" i="53"/>
  <c r="A847" i="53"/>
  <c r="A829" i="53"/>
  <c r="A813" i="53"/>
  <c r="A797" i="53"/>
  <c r="A781" i="53"/>
  <c r="A765" i="53"/>
  <c r="A749" i="53"/>
  <c r="A733" i="53"/>
  <c r="A717" i="53"/>
  <c r="A701" i="53"/>
  <c r="A731" i="53"/>
  <c r="A715" i="53"/>
  <c r="A597" i="53"/>
  <c r="A581" i="53"/>
  <c r="A565" i="53"/>
  <c r="A549" i="53"/>
  <c r="A61" i="53"/>
  <c r="A125" i="53"/>
  <c r="A189" i="53"/>
  <c r="A953" i="53"/>
  <c r="A945" i="53"/>
  <c r="A929" i="53"/>
  <c r="A913" i="53"/>
  <c r="A966" i="53"/>
  <c r="A877" i="53"/>
  <c r="A845" i="53"/>
  <c r="A870" i="53"/>
  <c r="A830" i="53"/>
  <c r="A798" i="53"/>
  <c r="A980" i="53"/>
  <c r="A874" i="53"/>
  <c r="A842" i="53"/>
  <c r="A823" i="53"/>
  <c r="A803" i="53"/>
  <c r="A779" i="53"/>
  <c r="A759" i="53"/>
  <c r="A739" i="53"/>
  <c r="A875" i="53"/>
  <c r="A846" i="53"/>
  <c r="A828" i="53"/>
  <c r="A804" i="53"/>
  <c r="A784" i="53"/>
  <c r="A764" i="53"/>
  <c r="A740" i="53"/>
  <c r="A720" i="53"/>
  <c r="A700" i="53"/>
  <c r="A694" i="53"/>
  <c r="A689" i="53"/>
  <c r="A684" i="53"/>
  <c r="A678" i="53"/>
  <c r="A673" i="53"/>
  <c r="A668" i="53"/>
  <c r="A663" i="53"/>
  <c r="A659" i="53"/>
  <c r="A655" i="53"/>
  <c r="A651" i="53"/>
  <c r="A647" i="53"/>
  <c r="A643" i="53"/>
  <c r="A639" i="53"/>
  <c r="A635" i="53"/>
  <c r="A631" i="53"/>
  <c r="A627" i="53"/>
  <c r="A623" i="53"/>
  <c r="A619" i="53"/>
  <c r="A615" i="53"/>
  <c r="A611" i="53"/>
  <c r="A607" i="53"/>
  <c r="A603" i="53"/>
  <c r="A882" i="53"/>
  <c r="A863" i="53"/>
  <c r="A844" i="53"/>
  <c r="A825" i="53"/>
  <c r="A809" i="53"/>
  <c r="A793" i="53"/>
  <c r="A777" i="53"/>
  <c r="A761" i="53"/>
  <c r="A745" i="53"/>
  <c r="A729" i="53"/>
  <c r="A713" i="53"/>
  <c r="A774" i="53"/>
  <c r="A727" i="53"/>
  <c r="A711" i="53"/>
  <c r="A593" i="53"/>
  <c r="A577" i="53"/>
  <c r="A237" i="53"/>
  <c r="A85" i="53"/>
  <c r="A149" i="53"/>
  <c r="A213" i="53"/>
  <c r="A939" i="53"/>
  <c r="A923" i="53"/>
  <c r="A907" i="53"/>
  <c r="A958" i="53"/>
  <c r="A901" i="53"/>
  <c r="A865" i="53"/>
  <c r="A899" i="53"/>
  <c r="A854" i="53"/>
  <c r="A818" i="53"/>
  <c r="A786" i="53"/>
  <c r="A900" i="53"/>
  <c r="A868" i="53"/>
  <c r="A839" i="53"/>
  <c r="A819" i="53"/>
  <c r="A795" i="53"/>
  <c r="A775" i="53"/>
  <c r="A755" i="53"/>
  <c r="A894" i="53"/>
  <c r="A872" i="53"/>
  <c r="A843" i="53"/>
  <c r="A820" i="53"/>
  <c r="A800" i="53"/>
  <c r="A780" i="53"/>
  <c r="A756" i="53"/>
  <c r="A736" i="53"/>
  <c r="A716" i="53"/>
  <c r="A698" i="53"/>
  <c r="A693" i="53"/>
  <c r="A688" i="53"/>
  <c r="A682" i="53"/>
  <c r="A677" i="53"/>
  <c r="A672" i="53"/>
  <c r="A666" i="53"/>
  <c r="A662" i="53"/>
  <c r="A658" i="53"/>
  <c r="A654" i="53"/>
  <c r="A650" i="53"/>
  <c r="A646" i="53"/>
  <c r="A642" i="53"/>
  <c r="A638" i="53"/>
  <c r="A634" i="53"/>
  <c r="A630" i="53"/>
  <c r="A626" i="53"/>
  <c r="A622" i="53"/>
  <c r="A618" i="53"/>
  <c r="A614" i="53"/>
  <c r="A610" i="53"/>
  <c r="A606" i="53"/>
  <c r="A602" i="53"/>
  <c r="A898" i="53"/>
  <c r="A879" i="53"/>
  <c r="A860" i="53"/>
  <c r="A837" i="53"/>
  <c r="A821" i="53"/>
  <c r="A805" i="53"/>
  <c r="A789" i="53"/>
  <c r="A773" i="53"/>
  <c r="A757" i="53"/>
  <c r="A741" i="53"/>
  <c r="A725" i="53"/>
  <c r="A709" i="53"/>
  <c r="A758" i="53"/>
  <c r="A723" i="53"/>
  <c r="A707" i="53"/>
  <c r="A589" i="53"/>
  <c r="A573" i="53"/>
  <c r="A557" i="53"/>
  <c r="A541" i="53"/>
  <c r="A525" i="53"/>
  <c r="A509" i="53"/>
  <c r="A493" i="53"/>
  <c r="A477" i="53"/>
  <c r="A461" i="53"/>
  <c r="A762" i="53"/>
  <c r="A590" i="53"/>
  <c r="A574" i="53"/>
  <c r="A750" i="53"/>
  <c r="A722" i="53"/>
  <c r="A706" i="53"/>
  <c r="A591" i="53"/>
  <c r="A575" i="53"/>
  <c r="A559" i="53"/>
  <c r="A543" i="53"/>
  <c r="A527" i="53"/>
  <c r="A511" i="53"/>
  <c r="A495" i="53"/>
  <c r="A479" i="53"/>
  <c r="A463" i="53"/>
  <c r="A447" i="53"/>
  <c r="A600" i="53"/>
  <c r="A584" i="53"/>
  <c r="A568" i="53"/>
  <c r="A552" i="53"/>
  <c r="A536" i="53"/>
  <c r="A520" i="53"/>
  <c r="A504" i="53"/>
  <c r="A409" i="53"/>
  <c r="A393" i="53"/>
  <c r="A377" i="53"/>
  <c r="A361" i="53"/>
  <c r="A345" i="53"/>
  <c r="A329" i="53"/>
  <c r="A313" i="53"/>
  <c r="A297" i="53"/>
  <c r="A542" i="53"/>
  <c r="A510" i="53"/>
  <c r="A490" i="53"/>
  <c r="A482" i="53"/>
  <c r="A474" i="53"/>
  <c r="A466" i="53"/>
  <c r="A458" i="53"/>
  <c r="A450" i="53"/>
  <c r="A442" i="53"/>
  <c r="A434" i="53"/>
  <c r="A426" i="53"/>
  <c r="A418" i="53"/>
  <c r="A406" i="53"/>
  <c r="A390" i="53"/>
  <c r="A374" i="53"/>
  <c r="A358" i="53"/>
  <c r="A342" i="53"/>
  <c r="A326" i="53"/>
  <c r="A310" i="53"/>
  <c r="A294" i="53"/>
  <c r="A399" i="53"/>
  <c r="A383" i="53"/>
  <c r="A367" i="53"/>
  <c r="A351" i="53"/>
  <c r="A335" i="53"/>
  <c r="A319" i="53"/>
  <c r="A303" i="53"/>
  <c r="A290" i="53"/>
  <c r="A286" i="53"/>
  <c r="A282" i="53"/>
  <c r="A278" i="53"/>
  <c r="A274" i="53"/>
  <c r="A270" i="53"/>
  <c r="A562" i="53"/>
  <c r="A530" i="53"/>
  <c r="A498" i="53"/>
  <c r="A439" i="53"/>
  <c r="A431" i="53"/>
  <c r="A423" i="53"/>
  <c r="A415" i="53"/>
  <c r="A400" i="53"/>
  <c r="A384" i="53"/>
  <c r="A368" i="53"/>
  <c r="A352" i="53"/>
  <c r="A336" i="53"/>
  <c r="A320" i="53"/>
  <c r="A304" i="53"/>
  <c r="A24" i="53"/>
  <c r="A157" i="53"/>
  <c r="A905" i="53"/>
  <c r="A897" i="53"/>
  <c r="A814" i="53"/>
  <c r="A835" i="53"/>
  <c r="A747" i="53"/>
  <c r="A816" i="53"/>
  <c r="A732" i="53"/>
  <c r="A686" i="53"/>
  <c r="A665" i="53"/>
  <c r="A649" i="53"/>
  <c r="A633" i="53"/>
  <c r="A617" i="53"/>
  <c r="A601" i="53"/>
  <c r="A833" i="53"/>
  <c r="A769" i="53"/>
  <c r="A705" i="53"/>
  <c r="A585" i="53"/>
  <c r="A545" i="53"/>
  <c r="A521" i="53"/>
  <c r="A501" i="53"/>
  <c r="A481" i="53"/>
  <c r="A457" i="53"/>
  <c r="A598" i="53"/>
  <c r="A578" i="53"/>
  <c r="A734" i="53"/>
  <c r="A714" i="53"/>
  <c r="A595" i="53"/>
  <c r="A571" i="53"/>
  <c r="A551" i="53"/>
  <c r="A531" i="53"/>
  <c r="A507" i="53"/>
  <c r="A487" i="53"/>
  <c r="A467" i="53"/>
  <c r="A770" i="53"/>
  <c r="A592" i="53"/>
  <c r="A572" i="53"/>
  <c r="A548" i="53"/>
  <c r="A528" i="53"/>
  <c r="A508" i="53"/>
  <c r="A405" i="53"/>
  <c r="A385" i="53"/>
  <c r="A365" i="53"/>
  <c r="A341" i="53"/>
  <c r="A321" i="53"/>
  <c r="A301" i="53"/>
  <c r="A534" i="53"/>
  <c r="A494" i="53"/>
  <c r="A484" i="53"/>
  <c r="A472" i="53"/>
  <c r="A462" i="53"/>
  <c r="A452" i="53"/>
  <c r="A440" i="53"/>
  <c r="A430" i="53"/>
  <c r="A420" i="53"/>
  <c r="A402" i="53"/>
  <c r="A382" i="53"/>
  <c r="A362" i="53"/>
  <c r="A338" i="53"/>
  <c r="A318" i="53"/>
  <c r="A298" i="53"/>
  <c r="A395" i="53"/>
  <c r="A375" i="53"/>
  <c r="A355" i="53"/>
  <c r="A331" i="53"/>
  <c r="A311" i="53"/>
  <c r="A291" i="53"/>
  <c r="A285" i="53"/>
  <c r="A280" i="53"/>
  <c r="A275" i="53"/>
  <c r="A269" i="53"/>
  <c r="A546" i="53"/>
  <c r="A506" i="53"/>
  <c r="A437" i="53"/>
  <c r="A427" i="53"/>
  <c r="A417" i="53"/>
  <c r="A396" i="53"/>
  <c r="A376" i="53"/>
  <c r="A356" i="53"/>
  <c r="A332" i="53"/>
  <c r="A312" i="53"/>
  <c r="A292" i="53"/>
  <c r="A40" i="53"/>
  <c r="A56" i="53"/>
  <c r="A72" i="53"/>
  <c r="A88" i="53"/>
  <c r="A104" i="53"/>
  <c r="A120" i="53"/>
  <c r="A136" i="53"/>
  <c r="A152" i="53"/>
  <c r="A168" i="53"/>
  <c r="A184" i="53"/>
  <c r="A200" i="53"/>
  <c r="A216" i="53"/>
  <c r="A232" i="53"/>
  <c r="A244" i="53"/>
  <c r="A252" i="53"/>
  <c r="A260" i="53"/>
  <c r="A31" i="53"/>
  <c r="A47" i="53"/>
  <c r="A63" i="53"/>
  <c r="A79" i="53"/>
  <c r="A95" i="53"/>
  <c r="A111" i="53"/>
  <c r="A127" i="53"/>
  <c r="A143" i="53"/>
  <c r="A159" i="53"/>
  <c r="A221" i="53"/>
  <c r="A971" i="53"/>
  <c r="A861" i="53"/>
  <c r="A782" i="53"/>
  <c r="A811" i="53"/>
  <c r="A891" i="53"/>
  <c r="A796" i="53"/>
  <c r="A708" i="53"/>
  <c r="A681" i="53"/>
  <c r="A661" i="53"/>
  <c r="A645" i="53"/>
  <c r="A629" i="53"/>
  <c r="A613" i="53"/>
  <c r="A895" i="53"/>
  <c r="A817" i="53"/>
  <c r="A753" i="53"/>
  <c r="A742" i="53"/>
  <c r="A569" i="53"/>
  <c r="A537" i="53"/>
  <c r="A517" i="53"/>
  <c r="A497" i="53"/>
  <c r="A473" i="53"/>
  <c r="A453" i="53"/>
  <c r="A594" i="53"/>
  <c r="A570" i="53"/>
  <c r="A730" i="53"/>
  <c r="A710" i="53"/>
  <c r="A587" i="53"/>
  <c r="A567" i="53"/>
  <c r="A547" i="53"/>
  <c r="A523" i="53"/>
  <c r="A503" i="53"/>
  <c r="A483" i="53"/>
  <c r="A459" i="53"/>
  <c r="A754" i="53"/>
  <c r="A588" i="53"/>
  <c r="A564" i="53"/>
  <c r="A544" i="53"/>
  <c r="A524" i="53"/>
  <c r="A500" i="53"/>
  <c r="A401" i="53"/>
  <c r="A381" i="53"/>
  <c r="A357" i="53"/>
  <c r="A337" i="53"/>
  <c r="A317" i="53"/>
  <c r="A293" i="53"/>
  <c r="A526" i="53"/>
  <c r="A492" i="53"/>
  <c r="A480" i="53"/>
  <c r="A470" i="53"/>
  <c r="A460" i="53"/>
  <c r="A448" i="53"/>
  <c r="A438" i="53"/>
  <c r="A428" i="53"/>
  <c r="A416" i="53"/>
  <c r="A398" i="53"/>
  <c r="A378" i="53"/>
  <c r="A354" i="53"/>
  <c r="A334" i="53"/>
  <c r="A314" i="53"/>
  <c r="A411" i="53"/>
  <c r="A391" i="53"/>
  <c r="A371" i="53"/>
  <c r="A347" i="53"/>
  <c r="A327" i="53"/>
  <c r="A307" i="53"/>
  <c r="A289" i="53"/>
  <c r="A284" i="53"/>
  <c r="A279" i="53"/>
  <c r="A273" i="53"/>
  <c r="A268" i="53"/>
  <c r="A538" i="53"/>
  <c r="A445" i="53"/>
  <c r="A435" i="53"/>
  <c r="A425" i="53"/>
  <c r="A412" i="53"/>
  <c r="A392" i="53"/>
  <c r="A372" i="53"/>
  <c r="A348" i="53"/>
  <c r="A328" i="53"/>
  <c r="A308" i="53"/>
  <c r="A28" i="53"/>
  <c r="A29" i="53"/>
  <c r="A937" i="53"/>
  <c r="A979" i="53"/>
  <c r="A896" i="53"/>
  <c r="A887" i="53"/>
  <c r="A791" i="53"/>
  <c r="A862" i="53"/>
  <c r="A772" i="53"/>
  <c r="A697" i="53"/>
  <c r="A676" i="53"/>
  <c r="A657" i="53"/>
  <c r="A641" i="53"/>
  <c r="A625" i="53"/>
  <c r="A609" i="53"/>
  <c r="A876" i="53"/>
  <c r="A801" i="53"/>
  <c r="A737" i="53"/>
  <c r="A719" i="53"/>
  <c r="A561" i="53"/>
  <c r="A533" i="53"/>
  <c r="A513" i="53"/>
  <c r="A489" i="53"/>
  <c r="A469" i="53"/>
  <c r="A449" i="53"/>
  <c r="A586" i="53"/>
  <c r="A566" i="53"/>
  <c r="A726" i="53"/>
  <c r="A702" i="53"/>
  <c r="A583" i="53"/>
  <c r="A563" i="53"/>
  <c r="A539" i="53"/>
  <c r="A519" i="53"/>
  <c r="A499" i="53"/>
  <c r="A475" i="53"/>
  <c r="A455" i="53"/>
  <c r="A738" i="53"/>
  <c r="A580" i="53"/>
  <c r="A560" i="53"/>
  <c r="A540" i="53"/>
  <c r="A516" i="53"/>
  <c r="A496" i="53"/>
  <c r="A397" i="53"/>
  <c r="A373" i="53"/>
  <c r="A353" i="53"/>
  <c r="A333" i="53"/>
  <c r="A309" i="53"/>
  <c r="A558" i="53"/>
  <c r="A518" i="53"/>
  <c r="A488" i="53"/>
  <c r="A478" i="53"/>
  <c r="A468" i="53"/>
  <c r="A456" i="53"/>
  <c r="A446" i="53"/>
  <c r="A436" i="53"/>
  <c r="A424" i="53"/>
  <c r="A414" i="53"/>
  <c r="A394" i="53"/>
  <c r="A370" i="53"/>
  <c r="A350" i="53"/>
  <c r="A330" i="53"/>
  <c r="A306" i="53"/>
  <c r="A407" i="53"/>
  <c r="A387" i="53"/>
  <c r="A363" i="53"/>
  <c r="A343" i="53"/>
  <c r="A323" i="53"/>
  <c r="A299" i="53"/>
  <c r="A288" i="53"/>
  <c r="A283" i="53"/>
  <c r="A277" i="53"/>
  <c r="A272" i="53"/>
  <c r="A267" i="53"/>
  <c r="A522" i="53"/>
  <c r="A443" i="53"/>
  <c r="A433" i="53"/>
  <c r="A421" i="53"/>
  <c r="A408" i="53"/>
  <c r="A388" i="53"/>
  <c r="A364" i="53"/>
  <c r="A344" i="53"/>
  <c r="A324" i="53"/>
  <c r="A300" i="53"/>
  <c r="A32" i="53"/>
  <c r="A48" i="53"/>
  <c r="A64" i="53"/>
  <c r="A80" i="53"/>
  <c r="A96" i="53"/>
  <c r="A112" i="53"/>
  <c r="A128" i="53"/>
  <c r="A144" i="53"/>
  <c r="A160" i="53"/>
  <c r="A176" i="53"/>
  <c r="A192" i="53"/>
  <c r="A208" i="53"/>
  <c r="A224" i="53"/>
  <c r="A240" i="53"/>
  <c r="A248" i="53"/>
  <c r="A256" i="53"/>
  <c r="A264" i="53"/>
  <c r="A39" i="53"/>
  <c r="A55" i="53"/>
  <c r="A71" i="53"/>
  <c r="A87" i="53"/>
  <c r="A103" i="53"/>
  <c r="A119" i="53"/>
  <c r="A135" i="53"/>
  <c r="A151" i="53"/>
  <c r="A167" i="53"/>
  <c r="A183" i="53"/>
  <c r="A199" i="53"/>
  <c r="A215" i="53"/>
  <c r="A231" i="53"/>
  <c r="A22" i="53"/>
  <c r="A38" i="53"/>
  <c r="A54" i="53"/>
  <c r="A70" i="53"/>
  <c r="A86" i="53"/>
  <c r="A102" i="53"/>
  <c r="A118" i="53"/>
  <c r="A134" i="53"/>
  <c r="A150" i="53"/>
  <c r="A166" i="53"/>
  <c r="A182" i="53"/>
  <c r="A198" i="53"/>
  <c r="A214" i="53"/>
  <c r="A230" i="53"/>
  <c r="A243" i="53"/>
  <c r="A251" i="53"/>
  <c r="A259" i="53"/>
  <c r="A265" i="53"/>
  <c r="A255" i="53"/>
  <c r="A245" i="53"/>
  <c r="A226" i="53"/>
  <c r="A206" i="53"/>
  <c r="A186" i="53"/>
  <c r="A162" i="53"/>
  <c r="A142" i="53"/>
  <c r="A122" i="53"/>
  <c r="A98" i="53"/>
  <c r="A78" i="53"/>
  <c r="A58" i="53"/>
  <c r="A34" i="53"/>
  <c r="A239" i="53"/>
  <c r="A219" i="53"/>
  <c r="A195" i="53"/>
  <c r="A175" i="53"/>
  <c r="A147" i="53"/>
  <c r="A115" i="53"/>
  <c r="A83" i="53"/>
  <c r="A51" i="53"/>
  <c r="A262" i="53"/>
  <c r="A246" i="53"/>
  <c r="A220" i="53"/>
  <c r="A188" i="53"/>
  <c r="A156" i="53"/>
  <c r="A124" i="53"/>
  <c r="A92" i="53"/>
  <c r="A60" i="53"/>
  <c r="A296" i="53"/>
  <c r="A380" i="53"/>
  <c r="A441" i="53"/>
  <c r="A276" i="53"/>
  <c r="A315" i="53"/>
  <c r="A403" i="53"/>
  <c r="A366" i="53"/>
  <c r="A432" i="53"/>
  <c r="A476" i="53"/>
  <c r="A305" i="53"/>
  <c r="A389" i="53"/>
  <c r="A556" i="53"/>
  <c r="A471" i="53"/>
  <c r="A555" i="53"/>
  <c r="A766" i="53"/>
  <c r="A485" i="53"/>
  <c r="A703" i="53"/>
  <c r="A605" i="53"/>
  <c r="A670" i="53"/>
  <c r="A771" i="53"/>
  <c r="A921" i="53"/>
  <c r="A93" i="53"/>
  <c r="A263" i="53"/>
  <c r="A253" i="53"/>
  <c r="A241" i="53"/>
  <c r="A222" i="53"/>
  <c r="A202" i="53"/>
  <c r="A178" i="53"/>
  <c r="A158" i="53"/>
  <c r="A138" i="53"/>
  <c r="A114" i="53"/>
  <c r="A94" i="53"/>
  <c r="A74" i="53"/>
  <c r="A50" i="53"/>
  <c r="A30" i="53"/>
  <c r="A235" i="53"/>
  <c r="A211" i="53"/>
  <c r="A191" i="53"/>
  <c r="A171" i="53"/>
  <c r="A139" i="53"/>
  <c r="A107" i="53"/>
  <c r="A75" i="53"/>
  <c r="A43" i="53"/>
  <c r="A258" i="53"/>
  <c r="A242" i="53"/>
  <c r="A212" i="53"/>
  <c r="A180" i="53"/>
  <c r="A148" i="53"/>
  <c r="A116" i="53"/>
  <c r="A84" i="53"/>
  <c r="A52" i="53"/>
  <c r="A316" i="53"/>
  <c r="A404" i="53"/>
  <c r="A514" i="53"/>
  <c r="A281" i="53"/>
  <c r="A339" i="53"/>
  <c r="A302" i="53"/>
  <c r="A386" i="53"/>
  <c r="A444" i="53"/>
  <c r="A486" i="53"/>
  <c r="A325" i="53"/>
  <c r="A413" i="53"/>
  <c r="A576" i="53"/>
  <c r="A491" i="53"/>
  <c r="A579" i="53"/>
  <c r="A582" i="53"/>
  <c r="A505" i="53"/>
  <c r="A721" i="53"/>
  <c r="A621" i="53"/>
  <c r="A692" i="53"/>
  <c r="A858" i="53"/>
  <c r="A261" i="53"/>
  <c r="A249" i="53"/>
  <c r="A238" i="53"/>
  <c r="A218" i="53"/>
  <c r="A194" i="53"/>
  <c r="A174" i="53"/>
  <c r="A154" i="53"/>
  <c r="A130" i="53"/>
  <c r="A110" i="53"/>
  <c r="A90" i="53"/>
  <c r="A66" i="53"/>
  <c r="A46" i="53"/>
  <c r="A26" i="53"/>
  <c r="A227" i="53"/>
  <c r="A207" i="53"/>
  <c r="A187" i="53"/>
  <c r="A163" i="53"/>
  <c r="A131" i="53"/>
  <c r="A99" i="53"/>
  <c r="A67" i="53"/>
  <c r="A35" i="53"/>
  <c r="A254" i="53"/>
  <c r="A236" i="53"/>
  <c r="A204" i="53"/>
  <c r="A172" i="53"/>
  <c r="A140" i="53"/>
  <c r="A108" i="53"/>
  <c r="A76" i="53"/>
  <c r="A44" i="53"/>
  <c r="A340" i="53"/>
  <c r="A419" i="53"/>
  <c r="A554" i="53"/>
  <c r="A287" i="53"/>
  <c r="A359" i="53"/>
  <c r="A322" i="53"/>
  <c r="A410" i="53"/>
  <c r="A454" i="53"/>
  <c r="A502" i="53"/>
  <c r="A349" i="53"/>
  <c r="A512" i="53"/>
  <c r="A596" i="53"/>
  <c r="A515" i="53"/>
  <c r="A599" i="53"/>
  <c r="A746" i="53"/>
  <c r="A529" i="53"/>
  <c r="A785" i="53"/>
  <c r="A637" i="53"/>
  <c r="A752" i="53"/>
  <c r="A851" i="53"/>
  <c r="A198" i="55"/>
  <c r="A362" i="55"/>
  <c r="A89" i="55"/>
  <c r="A247" i="55"/>
  <c r="A39" i="55"/>
  <c r="A422" i="55"/>
  <c r="A178" i="55"/>
  <c r="A55" i="55"/>
  <c r="A254" i="55"/>
  <c r="A151" i="55"/>
  <c r="A281" i="55"/>
  <c r="A457" i="55"/>
  <c r="A120" i="55"/>
  <c r="A71" i="55"/>
  <c r="A286" i="55"/>
  <c r="A183" i="55"/>
  <c r="A323" i="55"/>
  <c r="A360" i="55"/>
  <c r="A126" i="55"/>
  <c r="A23" i="55"/>
  <c r="A99" i="55"/>
  <c r="A318" i="55"/>
  <c r="A215" i="55"/>
  <c r="A463" i="55"/>
  <c r="A673" i="55"/>
  <c r="A148" i="55"/>
  <c r="A105" i="55"/>
  <c r="A210" i="55"/>
  <c r="A144" i="55"/>
  <c r="A27" i="55"/>
  <c r="A43" i="55"/>
  <c r="A59" i="55"/>
  <c r="A75" i="55"/>
  <c r="A115" i="55"/>
  <c r="A230" i="55"/>
  <c r="A262" i="55"/>
  <c r="A294" i="55"/>
  <c r="A326" i="55"/>
  <c r="A394" i="55"/>
  <c r="A159" i="55"/>
  <c r="A191" i="55"/>
  <c r="A223" i="55"/>
  <c r="A255" i="55"/>
  <c r="A291" i="55"/>
  <c r="A398" i="55"/>
  <c r="A527" i="55"/>
  <c r="A486" i="55"/>
  <c r="A521" i="55"/>
  <c r="A432" i="55"/>
  <c r="A724" i="55"/>
  <c r="A94" i="55"/>
  <c r="A180" i="55"/>
  <c r="A121" i="55"/>
  <c r="A88" i="55"/>
  <c r="A176" i="55"/>
  <c r="A31" i="55"/>
  <c r="A47" i="55"/>
  <c r="A63" i="55"/>
  <c r="A79" i="55"/>
  <c r="A134" i="55"/>
  <c r="A238" i="55"/>
  <c r="A270" i="55"/>
  <c r="A302" i="55"/>
  <c r="A334" i="55"/>
  <c r="A135" i="55"/>
  <c r="A167" i="55"/>
  <c r="A199" i="55"/>
  <c r="A231" i="55"/>
  <c r="A263" i="55"/>
  <c r="A301" i="55"/>
  <c r="A355" i="55"/>
  <c r="A562" i="55"/>
  <c r="A329" i="55"/>
  <c r="A559" i="55"/>
  <c r="A691" i="55"/>
  <c r="A110" i="55"/>
  <c r="A212" i="55"/>
  <c r="A146" i="55"/>
  <c r="A104" i="55"/>
  <c r="A208" i="55"/>
  <c r="A35" i="55"/>
  <c r="A51" i="55"/>
  <c r="A67" i="55"/>
  <c r="A83" i="55"/>
  <c r="A166" i="55"/>
  <c r="A246" i="55"/>
  <c r="A278" i="55"/>
  <c r="A310" i="55"/>
  <c r="A342" i="55"/>
  <c r="A143" i="55"/>
  <c r="A175" i="55"/>
  <c r="A207" i="55"/>
  <c r="A239" i="55"/>
  <c r="A271" i="55"/>
  <c r="A313" i="55"/>
  <c r="A399" i="55"/>
  <c r="A594" i="55"/>
  <c r="A393" i="55"/>
  <c r="A591" i="55"/>
  <c r="A641" i="55"/>
  <c r="A971" i="55"/>
  <c r="A966" i="55"/>
  <c r="A960" i="55"/>
  <c r="A955" i="55"/>
  <c r="A950" i="55"/>
  <c r="A944" i="55"/>
  <c r="A939" i="55"/>
  <c r="A934" i="55"/>
  <c r="A928" i="55"/>
  <c r="A923" i="55"/>
  <c r="A918" i="55"/>
  <c r="A912" i="55"/>
  <c r="A907" i="55"/>
  <c r="A902" i="55"/>
  <c r="A896" i="55"/>
  <c r="A891" i="55"/>
  <c r="A886" i="55"/>
  <c r="A880" i="55"/>
  <c r="A875" i="55"/>
  <c r="A870" i="55"/>
  <c r="A864" i="55"/>
  <c r="A859" i="55"/>
  <c r="A854" i="55"/>
  <c r="A848" i="55"/>
  <c r="A843" i="55"/>
  <c r="A838" i="55"/>
  <c r="A832" i="55"/>
  <c r="A827" i="55"/>
  <c r="A975" i="55"/>
  <c r="A819" i="55"/>
  <c r="A815" i="55"/>
  <c r="A811" i="55"/>
  <c r="A807" i="55"/>
  <c r="A803" i="55"/>
  <c r="A799" i="55"/>
  <c r="A795" i="55"/>
  <c r="A791" i="55"/>
  <c r="A787" i="55"/>
  <c r="A783" i="55"/>
  <c r="A779" i="55"/>
  <c r="A775" i="55"/>
  <c r="A771" i="55"/>
  <c r="A767" i="55"/>
  <c r="A763" i="55"/>
  <c r="A970" i="55"/>
  <c r="A964" i="55"/>
  <c r="A959" i="55"/>
  <c r="A954" i="55"/>
  <c r="A948" i="55"/>
  <c r="A943" i="55"/>
  <c r="A938" i="55"/>
  <c r="A932" i="55"/>
  <c r="A927" i="55"/>
  <c r="A922" i="55"/>
  <c r="A916" i="55"/>
  <c r="A911" i="55"/>
  <c r="A906" i="55"/>
  <c r="A900" i="55"/>
  <c r="A895" i="55"/>
  <c r="A890" i="55"/>
  <c r="A884" i="55"/>
  <c r="A879" i="55"/>
  <c r="A874" i="55"/>
  <c r="A868" i="55"/>
  <c r="A863" i="55"/>
  <c r="A858" i="55"/>
  <c r="A852" i="55"/>
  <c r="A847" i="55"/>
  <c r="A842" i="55"/>
  <c r="A836" i="55"/>
  <c r="A831" i="55"/>
  <c r="A826" i="55"/>
  <c r="A976" i="55"/>
  <c r="A822" i="55"/>
  <c r="A818" i="55"/>
  <c r="A814" i="55"/>
  <c r="A810" i="55"/>
  <c r="A806" i="55"/>
  <c r="A802" i="55"/>
  <c r="A798" i="55"/>
  <c r="A794" i="55"/>
  <c r="A968" i="55"/>
  <c r="A958" i="55"/>
  <c r="A947" i="55"/>
  <c r="A936" i="55"/>
  <c r="A926" i="55"/>
  <c r="A915" i="55"/>
  <c r="A904" i="55"/>
  <c r="A894" i="55"/>
  <c r="A883" i="55"/>
  <c r="A872" i="55"/>
  <c r="A862" i="55"/>
  <c r="A851" i="55"/>
  <c r="A840" i="55"/>
  <c r="A830" i="55"/>
  <c r="A979" i="55"/>
  <c r="A980" i="55"/>
  <c r="A817" i="55"/>
  <c r="A809" i="55"/>
  <c r="A801" i="55"/>
  <c r="A793" i="55"/>
  <c r="A788" i="55"/>
  <c r="A782" i="55"/>
  <c r="A777" i="55"/>
  <c r="A772" i="55"/>
  <c r="A766" i="55"/>
  <c r="A761" i="55"/>
  <c r="A757" i="55"/>
  <c r="A752" i="55"/>
  <c r="A736" i="55"/>
  <c r="A720" i="55"/>
  <c r="A704" i="55"/>
  <c r="A688" i="55"/>
  <c r="A741" i="55"/>
  <c r="A725" i="55"/>
  <c r="A709" i="55"/>
  <c r="A693" i="55"/>
  <c r="A742" i="55"/>
  <c r="A726" i="55"/>
  <c r="A710" i="55"/>
  <c r="A694" i="55"/>
  <c r="A684" i="55"/>
  <c r="A680" i="55"/>
  <c r="A676" i="55"/>
  <c r="A672" i="55"/>
  <c r="A668" i="55"/>
  <c r="A664" i="55"/>
  <c r="A660" i="55"/>
  <c r="A656" i="55"/>
  <c r="A652" i="55"/>
  <c r="A648" i="55"/>
  <c r="A644" i="55"/>
  <c r="A640" i="55"/>
  <c r="A636" i="55"/>
  <c r="A632" i="55"/>
  <c r="A628" i="55"/>
  <c r="A751" i="55"/>
  <c r="A735" i="55"/>
  <c r="A719" i="55"/>
  <c r="A703" i="55"/>
  <c r="A687" i="55"/>
  <c r="A609" i="55"/>
  <c r="A520" i="55"/>
  <c r="A504" i="55"/>
  <c r="A488" i="55"/>
  <c r="A472" i="55"/>
  <c r="A456" i="55"/>
  <c r="A440" i="55"/>
  <c r="A424" i="55"/>
  <c r="A408" i="55"/>
  <c r="A967" i="55"/>
  <c r="A956" i="55"/>
  <c r="A946" i="55"/>
  <c r="A935" i="55"/>
  <c r="A924" i="55"/>
  <c r="A914" i="55"/>
  <c r="A903" i="55"/>
  <c r="A892" i="55"/>
  <c r="A882" i="55"/>
  <c r="A871" i="55"/>
  <c r="A860" i="55"/>
  <c r="A850" i="55"/>
  <c r="A839" i="55"/>
  <c r="A828" i="55"/>
  <c r="A978" i="55"/>
  <c r="A816" i="55"/>
  <c r="A808" i="55"/>
  <c r="A800" i="55"/>
  <c r="A792" i="55"/>
  <c r="A786" i="55"/>
  <c r="A781" i="55"/>
  <c r="A776" i="55"/>
  <c r="A770" i="55"/>
  <c r="A765" i="55"/>
  <c r="A760" i="55"/>
  <c r="A756" i="55"/>
  <c r="A748" i="55"/>
  <c r="A732" i="55"/>
  <c r="A716" i="55"/>
  <c r="A700" i="55"/>
  <c r="A753" i="55"/>
  <c r="A737" i="55"/>
  <c r="A721" i="55"/>
  <c r="A705" i="55"/>
  <c r="A689" i="55"/>
  <c r="A738" i="55"/>
  <c r="A722" i="55"/>
  <c r="A706" i="55"/>
  <c r="A690" i="55"/>
  <c r="A683" i="55"/>
  <c r="A679" i="55"/>
  <c r="A675" i="55"/>
  <c r="A671" i="55"/>
  <c r="A667" i="55"/>
  <c r="A663" i="55"/>
  <c r="A659" i="55"/>
  <c r="A655" i="55"/>
  <c r="A651" i="55"/>
  <c r="A647" i="55"/>
  <c r="A643" i="55"/>
  <c r="A639" i="55"/>
  <c r="A635" i="55"/>
  <c r="A631" i="55"/>
  <c r="A627" i="55"/>
  <c r="A747" i="55"/>
  <c r="A731" i="55"/>
  <c r="A715" i="55"/>
  <c r="A699" i="55"/>
  <c r="A621" i="55"/>
  <c r="A532" i="55"/>
  <c r="A516" i="55"/>
  <c r="A500" i="55"/>
  <c r="A484" i="55"/>
  <c r="A468" i="55"/>
  <c r="A452" i="55"/>
  <c r="A977" i="55"/>
  <c r="A963" i="55"/>
  <c r="A952" i="55"/>
  <c r="A942" i="55"/>
  <c r="A931" i="55"/>
  <c r="A920" i="55"/>
  <c r="A910" i="55"/>
  <c r="A899" i="55"/>
  <c r="A888" i="55"/>
  <c r="A878" i="55"/>
  <c r="A867" i="55"/>
  <c r="A856" i="55"/>
  <c r="A846" i="55"/>
  <c r="A835" i="55"/>
  <c r="A824" i="55"/>
  <c r="A821" i="55"/>
  <c r="A813" i="55"/>
  <c r="A805" i="55"/>
  <c r="A797" i="55"/>
  <c r="A790" i="55"/>
  <c r="A785" i="55"/>
  <c r="A780" i="55"/>
  <c r="A774" i="55"/>
  <c r="A769" i="55"/>
  <c r="A764" i="55"/>
  <c r="A759" i="55"/>
  <c r="A755" i="55"/>
  <c r="A744" i="55"/>
  <c r="A728" i="55"/>
  <c r="A712" i="55"/>
  <c r="A696" i="55"/>
  <c r="A749" i="55"/>
  <c r="A733" i="55"/>
  <c r="A717" i="55"/>
  <c r="A701" i="55"/>
  <c r="A750" i="55"/>
  <c r="A734" i="55"/>
  <c r="A718" i="55"/>
  <c r="A702" i="55"/>
  <c r="A686" i="55"/>
  <c r="A682" i="55"/>
  <c r="A951" i="55"/>
  <c r="A908" i="55"/>
  <c r="A866" i="55"/>
  <c r="A823" i="55"/>
  <c r="A804" i="55"/>
  <c r="A778" i="55"/>
  <c r="A758" i="55"/>
  <c r="A708" i="55"/>
  <c r="A713" i="55"/>
  <c r="A714" i="55"/>
  <c r="A678" i="55"/>
  <c r="A670" i="55"/>
  <c r="A662" i="55"/>
  <c r="A654" i="55"/>
  <c r="A646" i="55"/>
  <c r="A638" i="55"/>
  <c r="A630" i="55"/>
  <c r="A743" i="55"/>
  <c r="A711" i="55"/>
  <c r="A617" i="55"/>
  <c r="A512" i="55"/>
  <c r="A480" i="55"/>
  <c r="A448" i="55"/>
  <c r="A428" i="55"/>
  <c r="A404" i="55"/>
  <c r="A388" i="55"/>
  <c r="A372" i="55"/>
  <c r="A356" i="55"/>
  <c r="A618" i="55"/>
  <c r="A605" i="55"/>
  <c r="A597" i="55"/>
  <c r="A589" i="55"/>
  <c r="A581" i="55"/>
  <c r="A573" i="55"/>
  <c r="A565" i="55"/>
  <c r="A557" i="55"/>
  <c r="A549" i="55"/>
  <c r="A541" i="55"/>
  <c r="A533" i="55"/>
  <c r="A517" i="55"/>
  <c r="A501" i="55"/>
  <c r="A485" i="55"/>
  <c r="A469" i="55"/>
  <c r="A453" i="55"/>
  <c r="A437" i="55"/>
  <c r="A421" i="55"/>
  <c r="A405" i="55"/>
  <c r="A389" i="55"/>
  <c r="A373" i="55"/>
  <c r="A357" i="55"/>
  <c r="A341" i="55"/>
  <c r="A623" i="55"/>
  <c r="A530" i="55"/>
  <c r="A514" i="55"/>
  <c r="A498" i="55"/>
  <c r="A482" i="55"/>
  <c r="A466" i="55"/>
  <c r="A450" i="55"/>
  <c r="A434" i="55"/>
  <c r="A418" i="55"/>
  <c r="A624" i="55"/>
  <c r="A608" i="55"/>
  <c r="A600" i="55"/>
  <c r="A592" i="55"/>
  <c r="A584" i="55"/>
  <c r="A576" i="55"/>
  <c r="A568" i="55"/>
  <c r="A560" i="55"/>
  <c r="A552" i="55"/>
  <c r="A544" i="55"/>
  <c r="A536" i="55"/>
  <c r="A523" i="55"/>
  <c r="A507" i="55"/>
  <c r="A491" i="55"/>
  <c r="A475" i="55"/>
  <c r="A459" i="55"/>
  <c r="A443" i="55"/>
  <c r="A427" i="55"/>
  <c r="A411" i="55"/>
  <c r="A395" i="55"/>
  <c r="A379" i="55"/>
  <c r="A363" i="55"/>
  <c r="A347" i="55"/>
  <c r="A331" i="55"/>
  <c r="A382" i="55"/>
  <c r="A350" i="55"/>
  <c r="A319" i="55"/>
  <c r="A311" i="55"/>
  <c r="A303" i="55"/>
  <c r="A295" i="55"/>
  <c r="A287" i="55"/>
  <c r="A279" i="55"/>
  <c r="A940" i="55"/>
  <c r="A898" i="55"/>
  <c r="A855" i="55"/>
  <c r="A796" i="55"/>
  <c r="A773" i="55"/>
  <c r="A754" i="55"/>
  <c r="A692" i="55"/>
  <c r="A697" i="55"/>
  <c r="A698" i="55"/>
  <c r="A677" i="55"/>
  <c r="A669" i="55"/>
  <c r="A661" i="55"/>
  <c r="A653" i="55"/>
  <c r="A645" i="55"/>
  <c r="A637" i="55"/>
  <c r="A629" i="55"/>
  <c r="A739" i="55"/>
  <c r="A707" i="55"/>
  <c r="A613" i="55"/>
  <c r="A508" i="55"/>
  <c r="A476" i="55"/>
  <c r="A444" i="55"/>
  <c r="A420" i="55"/>
  <c r="A400" i="55"/>
  <c r="A384" i="55"/>
  <c r="A368" i="55"/>
  <c r="A352" i="55"/>
  <c r="A614" i="55"/>
  <c r="A603" i="55"/>
  <c r="A595" i="55"/>
  <c r="A587" i="55"/>
  <c r="A579" i="55"/>
  <c r="A571" i="55"/>
  <c r="A563" i="55"/>
  <c r="A555" i="55"/>
  <c r="A547" i="55"/>
  <c r="A539" i="55"/>
  <c r="A529" i="55"/>
  <c r="A513" i="55"/>
  <c r="A497" i="55"/>
  <c r="A481" i="55"/>
  <c r="A465" i="55"/>
  <c r="A449" i="55"/>
  <c r="A433" i="55"/>
  <c r="A417" i="55"/>
  <c r="A401" i="55"/>
  <c r="A385" i="55"/>
  <c r="A369" i="55"/>
  <c r="A353" i="55"/>
  <c r="A337" i="55"/>
  <c r="A619" i="55"/>
  <c r="A526" i="55"/>
  <c r="A510" i="55"/>
  <c r="A494" i="55"/>
  <c r="A478" i="55"/>
  <c r="A462" i="55"/>
  <c r="A446" i="55"/>
  <c r="A430" i="55"/>
  <c r="A414" i="55"/>
  <c r="A620" i="55"/>
  <c r="A606" i="55"/>
  <c r="A598" i="55"/>
  <c r="A590" i="55"/>
  <c r="A582" i="55"/>
  <c r="A574" i="55"/>
  <c r="A566" i="55"/>
  <c r="A558" i="55"/>
  <c r="A550" i="55"/>
  <c r="A542" i="55"/>
  <c r="A534" i="55"/>
  <c r="A519" i="55"/>
  <c r="A503" i="55"/>
  <c r="A487" i="55"/>
  <c r="A471" i="55"/>
  <c r="A455" i="55"/>
  <c r="A439" i="55"/>
  <c r="A423" i="55"/>
  <c r="A407" i="55"/>
  <c r="A391" i="55"/>
  <c r="A375" i="55"/>
  <c r="A359" i="55"/>
  <c r="A343" i="55"/>
  <c r="A327" i="55"/>
  <c r="A374" i="55"/>
  <c r="A325" i="55"/>
  <c r="A972" i="55"/>
  <c r="A930" i="55"/>
  <c r="A887" i="55"/>
  <c r="A844" i="55"/>
  <c r="A820" i="55"/>
  <c r="A789" i="55"/>
  <c r="A768" i="55"/>
  <c r="A740" i="55"/>
  <c r="A745" i="55"/>
  <c r="A746" i="55"/>
  <c r="A685" i="55"/>
  <c r="A674" i="55"/>
  <c r="A666" i="55"/>
  <c r="A658" i="55"/>
  <c r="A650" i="55"/>
  <c r="A642" i="55"/>
  <c r="A634" i="55"/>
  <c r="A626" i="55"/>
  <c r="A727" i="55"/>
  <c r="A695" i="55"/>
  <c r="A528" i="55"/>
  <c r="A496" i="55"/>
  <c r="A464" i="55"/>
  <c r="A436" i="55"/>
  <c r="A416" i="55"/>
  <c r="A396" i="55"/>
  <c r="A380" i="55"/>
  <c r="A364" i="55"/>
  <c r="A348" i="55"/>
  <c r="A610" i="55"/>
  <c r="A601" i="55"/>
  <c r="A593" i="55"/>
  <c r="A585" i="55"/>
  <c r="A577" i="55"/>
  <c r="A569" i="55"/>
  <c r="A561" i="55"/>
  <c r="A553" i="55"/>
  <c r="A545" i="55"/>
  <c r="A537" i="55"/>
  <c r="A525" i="55"/>
  <c r="A509" i="55"/>
  <c r="A493" i="55"/>
  <c r="A477" i="55"/>
  <c r="A461" i="55"/>
  <c r="A445" i="55"/>
  <c r="A429" i="55"/>
  <c r="A413" i="55"/>
  <c r="A397" i="55"/>
  <c r="A381" i="55"/>
  <c r="A365" i="55"/>
  <c r="A349" i="55"/>
  <c r="A333" i="55"/>
  <c r="A615" i="55"/>
  <c r="A522" i="55"/>
  <c r="A506" i="55"/>
  <c r="A490" i="55"/>
  <c r="A474" i="55"/>
  <c r="A458" i="55"/>
  <c r="A442" i="55"/>
  <c r="A426" i="55"/>
  <c r="A410" i="55"/>
  <c r="A616" i="55"/>
  <c r="A604" i="55"/>
  <c r="A596" i="55"/>
  <c r="A588" i="55"/>
  <c r="A580" i="55"/>
  <c r="A572" i="55"/>
  <c r="A564" i="55"/>
  <c r="A556" i="55"/>
  <c r="A548" i="55"/>
  <c r="A540" i="55"/>
  <c r="A531" i="55"/>
  <c r="A515" i="55"/>
  <c r="A499" i="55"/>
  <c r="A483" i="55"/>
  <c r="A467" i="55"/>
  <c r="A451" i="55"/>
  <c r="A435" i="55"/>
  <c r="A419" i="55"/>
  <c r="A403" i="55"/>
  <c r="A387" i="55"/>
  <c r="A98" i="55"/>
  <c r="A114" i="55"/>
  <c r="A130" i="55"/>
  <c r="A156" i="55"/>
  <c r="A188" i="55"/>
  <c r="A220" i="55"/>
  <c r="A93" i="55"/>
  <c r="A109" i="55"/>
  <c r="A125" i="55"/>
  <c r="A154" i="55"/>
  <c r="A186" i="55"/>
  <c r="A218" i="55"/>
  <c r="A92" i="55"/>
  <c r="A108" i="55"/>
  <c r="A124" i="55"/>
  <c r="A152" i="55"/>
  <c r="A184" i="55"/>
  <c r="A216" i="55"/>
  <c r="A24" i="55"/>
  <c r="A28" i="55"/>
  <c r="A32" i="55"/>
  <c r="A36" i="55"/>
  <c r="A40" i="55"/>
  <c r="A44" i="55"/>
  <c r="A48" i="55"/>
  <c r="A52" i="55"/>
  <c r="A56" i="55"/>
  <c r="A60" i="55"/>
  <c r="A64" i="55"/>
  <c r="A68" i="55"/>
  <c r="A72" i="55"/>
  <c r="A76" i="55"/>
  <c r="A80" i="55"/>
  <c r="A87" i="55"/>
  <c r="A103" i="55"/>
  <c r="A119" i="55"/>
  <c r="A142" i="55"/>
  <c r="A174" i="55"/>
  <c r="A206" i="55"/>
  <c r="A232" i="55"/>
  <c r="A240" i="55"/>
  <c r="A248" i="55"/>
  <c r="A256" i="55"/>
  <c r="A264" i="55"/>
  <c r="A272" i="55"/>
  <c r="A280" i="55"/>
  <c r="A288" i="55"/>
  <c r="A296" i="55"/>
  <c r="A304" i="55"/>
  <c r="A312" i="55"/>
  <c r="A320" i="55"/>
  <c r="A328" i="55"/>
  <c r="A336" i="55"/>
  <c r="A344" i="55"/>
  <c r="A370" i="55"/>
  <c r="A402" i="55"/>
  <c r="A137" i="55"/>
  <c r="A145" i="55"/>
  <c r="A153" i="55"/>
  <c r="A161" i="55"/>
  <c r="A169" i="55"/>
  <c r="A177" i="55"/>
  <c r="A185" i="55"/>
  <c r="A193" i="55"/>
  <c r="A201" i="55"/>
  <c r="A209" i="55"/>
  <c r="A217" i="55"/>
  <c r="A225" i="55"/>
  <c r="A233" i="55"/>
  <c r="A241" i="55"/>
  <c r="A249" i="55"/>
  <c r="A257" i="55"/>
  <c r="A265" i="55"/>
  <c r="A273" i="55"/>
  <c r="A283" i="55"/>
  <c r="A293" i="55"/>
  <c r="A305" i="55"/>
  <c r="A315" i="55"/>
  <c r="A358" i="55"/>
  <c r="A335" i="55"/>
  <c r="A367" i="55"/>
  <c r="A415" i="55"/>
  <c r="A479" i="55"/>
  <c r="A538" i="55"/>
  <c r="A570" i="55"/>
  <c r="A602" i="55"/>
  <c r="A438" i="55"/>
  <c r="A502" i="55"/>
  <c r="A345" i="55"/>
  <c r="A409" i="55"/>
  <c r="A473" i="55"/>
  <c r="A535" i="55"/>
  <c r="A567" i="55"/>
  <c r="A599" i="55"/>
  <c r="A376" i="55"/>
  <c r="A460" i="55"/>
  <c r="A723" i="55"/>
  <c r="A649" i="55"/>
  <c r="A681" i="55"/>
  <c r="A762" i="55"/>
  <c r="A834" i="55"/>
  <c r="A86" i="55"/>
  <c r="A102" i="55"/>
  <c r="A118" i="55"/>
  <c r="A132" i="55"/>
  <c r="A164" i="55"/>
  <c r="A196" i="55"/>
  <c r="A228" i="55"/>
  <c r="A97" i="55"/>
  <c r="A113" i="55"/>
  <c r="A129" i="55"/>
  <c r="A162" i="55"/>
  <c r="A194" i="55"/>
  <c r="A226" i="55"/>
  <c r="A96" i="55"/>
  <c r="A112" i="55"/>
  <c r="A128" i="55"/>
  <c r="A160" i="55"/>
  <c r="A192" i="55"/>
  <c r="A224" i="55"/>
  <c r="A25" i="55"/>
  <c r="A29" i="55"/>
  <c r="A33" i="55"/>
  <c r="A37" i="55"/>
  <c r="A41" i="55"/>
  <c r="A45" i="55"/>
  <c r="A49" i="55"/>
  <c r="A53" i="55"/>
  <c r="A57" i="55"/>
  <c r="A61" i="55"/>
  <c r="A65" i="55"/>
  <c r="A69" i="55"/>
  <c r="A73" i="55"/>
  <c r="A77" i="55"/>
  <c r="A81" i="55"/>
  <c r="A91" i="55"/>
  <c r="A107" i="55"/>
  <c r="A123" i="55"/>
  <c r="A150" i="55"/>
  <c r="A182" i="55"/>
  <c r="A214" i="55"/>
  <c r="A234" i="55"/>
  <c r="A242" i="55"/>
  <c r="A250" i="55"/>
  <c r="A258" i="55"/>
  <c r="A266" i="55"/>
  <c r="A274" i="55"/>
  <c r="A282" i="55"/>
  <c r="A290" i="55"/>
  <c r="A298" i="55"/>
  <c r="A306" i="55"/>
  <c r="A314" i="55"/>
  <c r="A322" i="55"/>
  <c r="A330" i="55"/>
  <c r="A338" i="55"/>
  <c r="A346" i="55"/>
  <c r="A378" i="55"/>
  <c r="A131" i="55"/>
  <c r="A139" i="55"/>
  <c r="A147" i="55"/>
  <c r="A155" i="55"/>
  <c r="A163" i="55"/>
  <c r="A171" i="55"/>
  <c r="A179" i="55"/>
  <c r="A187" i="55"/>
  <c r="A195" i="55"/>
  <c r="A203" i="55"/>
  <c r="A211" i="55"/>
  <c r="A219" i="55"/>
  <c r="A227" i="55"/>
  <c r="A235" i="55"/>
  <c r="A243" i="55"/>
  <c r="A251" i="55"/>
  <c r="A259" i="55"/>
  <c r="A267" i="55"/>
  <c r="A275" i="55"/>
  <c r="A285" i="55"/>
  <c r="A297" i="55"/>
  <c r="A307" i="55"/>
  <c r="A317" i="55"/>
  <c r="A366" i="55"/>
  <c r="A339" i="55"/>
  <c r="A371" i="55"/>
  <c r="A431" i="55"/>
  <c r="A495" i="55"/>
  <c r="A546" i="55"/>
  <c r="A578" i="55"/>
  <c r="A612" i="55"/>
  <c r="A454" i="55"/>
  <c r="A518" i="55"/>
  <c r="A361" i="55"/>
  <c r="A425" i="55"/>
  <c r="A489" i="55"/>
  <c r="A543" i="55"/>
  <c r="A575" i="55"/>
  <c r="A607" i="55"/>
  <c r="A392" i="55"/>
  <c r="A492" i="55"/>
  <c r="A625" i="55"/>
  <c r="A657" i="55"/>
  <c r="A730" i="55"/>
  <c r="A784" i="55"/>
  <c r="A876" i="55"/>
  <c r="A90" i="55"/>
  <c r="A106" i="55"/>
  <c r="A122" i="55"/>
  <c r="A140" i="55"/>
  <c r="A172" i="55"/>
  <c r="A204" i="55"/>
  <c r="A85" i="55"/>
  <c r="A101" i="55"/>
  <c r="A117" i="55"/>
  <c r="A138" i="55"/>
  <c r="A170" i="55"/>
  <c r="A202" i="55"/>
  <c r="A84" i="55"/>
  <c r="A100" i="55"/>
  <c r="A116" i="55"/>
  <c r="A136" i="55"/>
  <c r="A168" i="55"/>
  <c r="A200" i="55"/>
  <c r="A22" i="55"/>
  <c r="A26" i="55"/>
  <c r="A30" i="55"/>
  <c r="A34" i="55"/>
  <c r="A38" i="55"/>
  <c r="A42" i="55"/>
  <c r="A46" i="55"/>
  <c r="A50" i="55"/>
  <c r="A54" i="55"/>
  <c r="A58" i="55"/>
  <c r="A62" i="55"/>
  <c r="A66" i="55"/>
  <c r="A70" i="55"/>
  <c r="A74" i="55"/>
  <c r="A78" i="55"/>
  <c r="A82" i="55"/>
  <c r="A95" i="55"/>
  <c r="A111" i="55"/>
  <c r="A127" i="55"/>
  <c r="A158" i="55"/>
  <c r="A190" i="55"/>
  <c r="A222" i="55"/>
  <c r="A236" i="55"/>
  <c r="A244" i="55"/>
  <c r="A252" i="55"/>
  <c r="A260" i="55"/>
  <c r="A268" i="55"/>
  <c r="A276" i="55"/>
  <c r="A284" i="55"/>
  <c r="A292" i="55"/>
  <c r="A300" i="55"/>
  <c r="A308" i="55"/>
  <c r="A316" i="55"/>
  <c r="A324" i="55"/>
  <c r="A332" i="55"/>
  <c r="A340" i="55"/>
  <c r="A354" i="55"/>
  <c r="A386" i="55"/>
  <c r="A133" i="55"/>
  <c r="A141" i="55"/>
  <c r="A149" i="55"/>
  <c r="A157" i="55"/>
  <c r="A165" i="55"/>
  <c r="A173" i="55"/>
  <c r="A181" i="55"/>
  <c r="A189" i="55"/>
  <c r="A197" i="55"/>
  <c r="A205" i="55"/>
  <c r="A213" i="55"/>
  <c r="A221" i="55"/>
  <c r="A229" i="55"/>
  <c r="A237" i="55"/>
  <c r="A245" i="55"/>
  <c r="A253" i="55"/>
  <c r="A261" i="55"/>
  <c r="A269" i="55"/>
  <c r="A277" i="55"/>
  <c r="A289" i="55"/>
  <c r="A299" i="55"/>
  <c r="A309" i="55"/>
  <c r="A321" i="55"/>
  <c r="A390" i="55"/>
  <c r="A351" i="55"/>
  <c r="A383" i="55"/>
  <c r="A447" i="55"/>
  <c r="A511" i="55"/>
  <c r="A554" i="55"/>
  <c r="A586" i="55"/>
  <c r="A406" i="55"/>
  <c r="A470" i="55"/>
  <c r="A611" i="55"/>
  <c r="A377" i="55"/>
  <c r="A441" i="55"/>
  <c r="A505" i="55"/>
  <c r="A551" i="55"/>
  <c r="A583" i="55"/>
  <c r="A622" i="55"/>
  <c r="A412" i="55"/>
  <c r="A524" i="55"/>
  <c r="A633" i="55"/>
  <c r="A665" i="55"/>
  <c r="A729" i="55"/>
  <c r="A812" i="55"/>
  <c r="A919" i="55"/>
  <c r="A973" i="55"/>
  <c r="A969" i="55"/>
  <c r="A965" i="55"/>
  <c r="A961" i="55"/>
  <c r="A957" i="55"/>
  <c r="A953" i="55"/>
  <c r="A949" i="55"/>
  <c r="A945" i="55"/>
  <c r="A941" i="55"/>
  <c r="A937" i="55"/>
  <c r="A933" i="55"/>
  <c r="A929" i="55"/>
  <c r="A925" i="55"/>
  <c r="A921" i="55"/>
  <c r="A917" i="55"/>
  <c r="A913" i="55"/>
  <c r="A909" i="55"/>
  <c r="A905" i="55"/>
  <c r="A901" i="55"/>
  <c r="A897" i="55"/>
  <c r="A893" i="55"/>
  <c r="A889" i="55"/>
  <c r="A885" i="55"/>
  <c r="A881" i="55"/>
  <c r="A877" i="55"/>
  <c r="A873" i="55"/>
  <c r="A869" i="55"/>
  <c r="A865" i="55"/>
  <c r="A861" i="55"/>
  <c r="A857" i="55"/>
  <c r="A853" i="55"/>
  <c r="A849" i="55"/>
  <c r="A845" i="55"/>
  <c r="A841" i="55"/>
  <c r="A837" i="55"/>
  <c r="A833" i="55"/>
  <c r="A829" i="55"/>
  <c r="A825" i="55"/>
  <c r="A974" i="55"/>
  <c r="K5" i="56"/>
  <c r="L5" i="56" s="1"/>
  <c r="J7" i="56"/>
  <c r="K6" i="56"/>
  <c r="L6" i="56" s="1"/>
  <c r="A980" i="54"/>
  <c r="A979" i="54"/>
  <c r="A978" i="54"/>
  <c r="A977" i="54"/>
  <c r="A976" i="54"/>
  <c r="A975" i="54"/>
  <c r="A974" i="54"/>
  <c r="A973" i="54"/>
  <c r="A972" i="54"/>
  <c r="A971" i="54"/>
  <c r="A970" i="54"/>
  <c r="A969" i="54"/>
  <c r="A968" i="54"/>
  <c r="A967" i="54"/>
  <c r="A966" i="54"/>
  <c r="A965" i="54"/>
  <c r="A964" i="54"/>
  <c r="A963" i="54"/>
  <c r="A962" i="54"/>
  <c r="A959" i="54"/>
  <c r="A955" i="54"/>
  <c r="A951" i="54"/>
  <c r="A947" i="54"/>
  <c r="A943" i="54"/>
  <c r="A939" i="54"/>
  <c r="A935" i="54"/>
  <c r="A931" i="54"/>
  <c r="A927" i="54"/>
  <c r="A961" i="54"/>
  <c r="A956" i="54"/>
  <c r="A948" i="54"/>
  <c r="A940" i="54"/>
  <c r="A932" i="54"/>
  <c r="A923" i="54"/>
  <c r="A919" i="54"/>
  <c r="A915" i="54"/>
  <c r="A911" i="54"/>
  <c r="A907" i="54"/>
  <c r="A903" i="54"/>
  <c r="A899" i="54"/>
  <c r="A895" i="54"/>
  <c r="A891" i="54"/>
  <c r="A887" i="54"/>
  <c r="A883" i="54"/>
  <c r="A879" i="54"/>
  <c r="A875" i="54"/>
  <c r="A871" i="54"/>
  <c r="A867" i="54"/>
  <c r="A863" i="54"/>
  <c r="A859" i="54"/>
  <c r="A855" i="54"/>
  <c r="A957" i="54"/>
  <c r="A954" i="54"/>
  <c r="A949" i="54"/>
  <c r="A946" i="54"/>
  <c r="A941" i="54"/>
  <c r="A938" i="54"/>
  <c r="A933" i="54"/>
  <c r="A930" i="54"/>
  <c r="A924" i="54"/>
  <c r="A920" i="54"/>
  <c r="A916" i="54"/>
  <c r="A912" i="54"/>
  <c r="A908" i="54"/>
  <c r="A904" i="54"/>
  <c r="A900" i="54"/>
  <c r="A896" i="54"/>
  <c r="A892" i="54"/>
  <c r="A888" i="54"/>
  <c r="A884" i="54"/>
  <c r="A880" i="54"/>
  <c r="A876" i="54"/>
  <c r="A872" i="54"/>
  <c r="A868" i="54"/>
  <c r="A864" i="54"/>
  <c r="A860" i="54"/>
  <c r="A856" i="54"/>
  <c r="A852" i="54"/>
  <c r="A848" i="54"/>
  <c r="A844" i="54"/>
  <c r="A840" i="54"/>
  <c r="A836" i="54"/>
  <c r="A832" i="54"/>
  <c r="A960" i="54"/>
  <c r="A952" i="54"/>
  <c r="A944" i="54"/>
  <c r="A936" i="54"/>
  <c r="A928" i="54"/>
  <c r="A925" i="54"/>
  <c r="A921" i="54"/>
  <c r="A917" i="54"/>
  <c r="A913" i="54"/>
  <c r="A909" i="54"/>
  <c r="A905" i="54"/>
  <c r="A901" i="54"/>
  <c r="A897" i="54"/>
  <c r="A893" i="54"/>
  <c r="A889" i="54"/>
  <c r="A885" i="54"/>
  <c r="A881" i="54"/>
  <c r="A877" i="54"/>
  <c r="A873" i="54"/>
  <c r="A869" i="54"/>
  <c r="A865" i="54"/>
  <c r="A861" i="54"/>
  <c r="A857" i="54"/>
  <c r="A853" i="54"/>
  <c r="A849" i="54"/>
  <c r="A845" i="54"/>
  <c r="A841" i="54"/>
  <c r="A837" i="54"/>
  <c r="A833" i="54"/>
  <c r="A958" i="54"/>
  <c r="A945" i="54"/>
  <c r="A929" i="54"/>
  <c r="A828" i="54"/>
  <c r="A824" i="54"/>
  <c r="A820" i="54"/>
  <c r="A816" i="54"/>
  <c r="A812" i="54"/>
  <c r="A808" i="54"/>
  <c r="A804" i="54"/>
  <c r="A800" i="54"/>
  <c r="A796" i="54"/>
  <c r="A792" i="54"/>
  <c r="A788" i="54"/>
  <c r="A784" i="54"/>
  <c r="A780" i="54"/>
  <c r="A776" i="54"/>
  <c r="A772" i="54"/>
  <c r="A768" i="54"/>
  <c r="A764" i="54"/>
  <c r="A760" i="54"/>
  <c r="A756" i="54"/>
  <c r="A752" i="54"/>
  <c r="A748" i="54"/>
  <c r="A744" i="54"/>
  <c r="A740" i="54"/>
  <c r="A736" i="54"/>
  <c r="A732" i="54"/>
  <c r="A728" i="54"/>
  <c r="A724" i="54"/>
  <c r="A720" i="54"/>
  <c r="A716" i="54"/>
  <c r="A712" i="54"/>
  <c r="A708" i="54"/>
  <c r="A704" i="54"/>
  <c r="A700" i="54"/>
  <c r="A696" i="54"/>
  <c r="A692" i="54"/>
  <c r="A688" i="54"/>
  <c r="A684" i="54"/>
  <c r="A680" i="54"/>
  <c r="A676" i="54"/>
  <c r="A672" i="54"/>
  <c r="A668" i="54"/>
  <c r="A664" i="54"/>
  <c r="A953" i="54"/>
  <c r="A942" i="54"/>
  <c r="A926" i="54"/>
  <c r="A918" i="54"/>
  <c r="A910" i="54"/>
  <c r="A902" i="54"/>
  <c r="A894" i="54"/>
  <c r="A886" i="54"/>
  <c r="A878" i="54"/>
  <c r="A870" i="54"/>
  <c r="A862" i="54"/>
  <c r="A854" i="54"/>
  <c r="A850" i="54"/>
  <c r="A846" i="54"/>
  <c r="A842" i="54"/>
  <c r="A838" i="54"/>
  <c r="A834" i="54"/>
  <c r="A829" i="54"/>
  <c r="A825" i="54"/>
  <c r="A821" i="54"/>
  <c r="A817" i="54"/>
  <c r="A813" i="54"/>
  <c r="A809" i="54"/>
  <c r="A805" i="54"/>
  <c r="A801" i="54"/>
  <c r="A797" i="54"/>
  <c r="A793" i="54"/>
  <c r="A789" i="54"/>
  <c r="A785" i="54"/>
  <c r="A781" i="54"/>
  <c r="A777" i="54"/>
  <c r="A773" i="54"/>
  <c r="A769" i="54"/>
  <c r="A765" i="54"/>
  <c r="A761" i="54"/>
  <c r="A757" i="54"/>
  <c r="A753" i="54"/>
  <c r="A749" i="54"/>
  <c r="A745" i="54"/>
  <c r="A741" i="54"/>
  <c r="A737" i="54"/>
  <c r="A733" i="54"/>
  <c r="A729" i="54"/>
  <c r="A725" i="54"/>
  <c r="A721" i="54"/>
  <c r="A717" i="54"/>
  <c r="A713" i="54"/>
  <c r="A709" i="54"/>
  <c r="A705" i="54"/>
  <c r="A701" i="54"/>
  <c r="A697" i="54"/>
  <c r="A693" i="54"/>
  <c r="A689" i="54"/>
  <c r="A685" i="54"/>
  <c r="A681" i="54"/>
  <c r="A677" i="54"/>
  <c r="A673" i="54"/>
  <c r="A669" i="54"/>
  <c r="A665" i="54"/>
  <c r="A661" i="54"/>
  <c r="A937" i="54"/>
  <c r="A830" i="54"/>
  <c r="A826" i="54"/>
  <c r="A822" i="54"/>
  <c r="A818" i="54"/>
  <c r="A814" i="54"/>
  <c r="A810" i="54"/>
  <c r="A806" i="54"/>
  <c r="A802" i="54"/>
  <c r="A798" i="54"/>
  <c r="A794" i="54"/>
  <c r="A790" i="54"/>
  <c r="A786" i="54"/>
  <c r="A782" i="54"/>
  <c r="A778" i="54"/>
  <c r="A774" i="54"/>
  <c r="A770" i="54"/>
  <c r="A766" i="54"/>
  <c r="A762" i="54"/>
  <c r="A758" i="54"/>
  <c r="A754" i="54"/>
  <c r="A750" i="54"/>
  <c r="A746" i="54"/>
  <c r="A742" i="54"/>
  <c r="A738" i="54"/>
  <c r="A734" i="54"/>
  <c r="A730" i="54"/>
  <c r="A726" i="54"/>
  <c r="A722" i="54"/>
  <c r="A718" i="54"/>
  <c r="A714" i="54"/>
  <c r="A710" i="54"/>
  <c r="A706" i="54"/>
  <c r="A702" i="54"/>
  <c r="A698" i="54"/>
  <c r="A694" i="54"/>
  <c r="A690" i="54"/>
  <c r="A686" i="54"/>
  <c r="A682" i="54"/>
  <c r="A678" i="54"/>
  <c r="A934" i="54"/>
  <c r="A843" i="54"/>
  <c r="A674" i="54"/>
  <c r="A670" i="54"/>
  <c r="A666" i="54"/>
  <c r="A662" i="54"/>
  <c r="A659" i="54"/>
  <c r="A655" i="54"/>
  <c r="A651" i="54"/>
  <c r="A647" i="54"/>
  <c r="A643" i="54"/>
  <c r="A639" i="54"/>
  <c r="A635" i="54"/>
  <c r="A631" i="54"/>
  <c r="A627" i="54"/>
  <c r="A623" i="54"/>
  <c r="A619" i="54"/>
  <c r="A615" i="54"/>
  <c r="A611" i="54"/>
  <c r="A607" i="54"/>
  <c r="A603" i="54"/>
  <c r="A599" i="54"/>
  <c r="A595" i="54"/>
  <c r="A591" i="54"/>
  <c r="A587" i="54"/>
  <c r="A583" i="54"/>
  <c r="A579" i="54"/>
  <c r="A575" i="54"/>
  <c r="A571" i="54"/>
  <c r="A567" i="54"/>
  <c r="A563" i="54"/>
  <c r="A559" i="54"/>
  <c r="A555" i="54"/>
  <c r="A922" i="54"/>
  <c r="A906" i="54"/>
  <c r="A890" i="54"/>
  <c r="A874" i="54"/>
  <c r="A858" i="54"/>
  <c r="A839" i="54"/>
  <c r="A827" i="54"/>
  <c r="A819" i="54"/>
  <c r="A811" i="54"/>
  <c r="A803" i="54"/>
  <c r="A795" i="54"/>
  <c r="A787" i="54"/>
  <c r="A779" i="54"/>
  <c r="A771" i="54"/>
  <c r="A763" i="54"/>
  <c r="A755" i="54"/>
  <c r="A747" i="54"/>
  <c r="A739" i="54"/>
  <c r="A731" i="54"/>
  <c r="A723" i="54"/>
  <c r="A715" i="54"/>
  <c r="A707" i="54"/>
  <c r="A699" i="54"/>
  <c r="A691" i="54"/>
  <c r="A683" i="54"/>
  <c r="A660" i="54"/>
  <c r="A656" i="54"/>
  <c r="A652" i="54"/>
  <c r="A648" i="54"/>
  <c r="A644" i="54"/>
  <c r="A640" i="54"/>
  <c r="A636" i="54"/>
  <c r="A632" i="54"/>
  <c r="A628" i="54"/>
  <c r="A624" i="54"/>
  <c r="A620" i="54"/>
  <c r="A616" i="54"/>
  <c r="A612" i="54"/>
  <c r="A608" i="54"/>
  <c r="A604" i="54"/>
  <c r="A600" i="54"/>
  <c r="A596" i="54"/>
  <c r="A592" i="54"/>
  <c r="A588" i="54"/>
  <c r="A584" i="54"/>
  <c r="A580" i="54"/>
  <c r="A576" i="54"/>
  <c r="A572" i="54"/>
  <c r="A568" i="54"/>
  <c r="A564" i="54"/>
  <c r="A560" i="54"/>
  <c r="A556" i="54"/>
  <c r="A851" i="54"/>
  <c r="A835" i="54"/>
  <c r="A675" i="54"/>
  <c r="A671" i="54"/>
  <c r="A667" i="54"/>
  <c r="A663" i="54"/>
  <c r="A657" i="54"/>
  <c r="A653" i="54"/>
  <c r="A649" i="54"/>
  <c r="A645" i="54"/>
  <c r="A641" i="54"/>
  <c r="A637" i="54"/>
  <c r="A633" i="54"/>
  <c r="A629" i="54"/>
  <c r="A625" i="54"/>
  <c r="A621" i="54"/>
  <c r="A617" i="54"/>
  <c r="A658" i="54"/>
  <c r="A650" i="54"/>
  <c r="A642" i="54"/>
  <c r="A634" i="54"/>
  <c r="A626" i="54"/>
  <c r="A618" i="54"/>
  <c r="A613" i="54"/>
  <c r="A609" i="54"/>
  <c r="A605" i="54"/>
  <c r="A601" i="54"/>
  <c r="A597" i="54"/>
  <c r="A593" i="54"/>
  <c r="A589" i="54"/>
  <c r="A585" i="54"/>
  <c r="A581" i="54"/>
  <c r="A577" i="54"/>
  <c r="A573" i="54"/>
  <c r="A569" i="54"/>
  <c r="A565" i="54"/>
  <c r="A561" i="54"/>
  <c r="A557" i="54"/>
  <c r="A552" i="54"/>
  <c r="A548" i="54"/>
  <c r="A544" i="54"/>
  <c r="A540" i="54"/>
  <c r="A536" i="54"/>
  <c r="A532" i="54"/>
  <c r="A528" i="54"/>
  <c r="A524" i="54"/>
  <c r="A520" i="54"/>
  <c r="A516" i="54"/>
  <c r="A512" i="54"/>
  <c r="A508" i="54"/>
  <c r="A504" i="54"/>
  <c r="A500" i="54"/>
  <c r="A496" i="54"/>
  <c r="A492" i="54"/>
  <c r="A488" i="54"/>
  <c r="A484" i="54"/>
  <c r="A480" i="54"/>
  <c r="A476" i="54"/>
  <c r="A472" i="54"/>
  <c r="A468" i="54"/>
  <c r="A464" i="54"/>
  <c r="A460" i="54"/>
  <c r="A456" i="54"/>
  <c r="A452" i="54"/>
  <c r="A448" i="54"/>
  <c r="A444" i="54"/>
  <c r="A440" i="54"/>
  <c r="A436" i="54"/>
  <c r="A432" i="54"/>
  <c r="A428" i="54"/>
  <c r="A424" i="54"/>
  <c r="A420" i="54"/>
  <c r="A416" i="54"/>
  <c r="A412" i="54"/>
  <c r="A408" i="54"/>
  <c r="A404" i="54"/>
  <c r="A400" i="54"/>
  <c r="A396" i="54"/>
  <c r="A392" i="54"/>
  <c r="A388" i="54"/>
  <c r="A384" i="54"/>
  <c r="A380" i="54"/>
  <c r="A376" i="54"/>
  <c r="A372" i="54"/>
  <c r="A368" i="54"/>
  <c r="A364" i="54"/>
  <c r="A360" i="54"/>
  <c r="A356" i="54"/>
  <c r="A352" i="54"/>
  <c r="A348" i="54"/>
  <c r="A344" i="54"/>
  <c r="A340" i="54"/>
  <c r="A336" i="54"/>
  <c r="A332" i="54"/>
  <c r="A328" i="54"/>
  <c r="A324" i="54"/>
  <c r="A320" i="54"/>
  <c r="A316" i="54"/>
  <c r="A312" i="54"/>
  <c r="A308" i="54"/>
  <c r="A304" i="54"/>
  <c r="A300" i="54"/>
  <c r="A296" i="54"/>
  <c r="A292" i="54"/>
  <c r="A288" i="54"/>
  <c r="A284" i="54"/>
  <c r="A280" i="54"/>
  <c r="A276" i="54"/>
  <c r="A898" i="54"/>
  <c r="A866" i="54"/>
  <c r="A823" i="54"/>
  <c r="A807" i="54"/>
  <c r="A791" i="54"/>
  <c r="A775" i="54"/>
  <c r="A759" i="54"/>
  <c r="A743" i="54"/>
  <c r="A727" i="54"/>
  <c r="A711" i="54"/>
  <c r="A695" i="54"/>
  <c r="A679" i="54"/>
  <c r="A553" i="54"/>
  <c r="A549" i="54"/>
  <c r="A545" i="54"/>
  <c r="A541" i="54"/>
  <c r="A537" i="54"/>
  <c r="A533" i="54"/>
  <c r="A529" i="54"/>
  <c r="A525" i="54"/>
  <c r="A521" i="54"/>
  <c r="A517" i="54"/>
  <c r="A513" i="54"/>
  <c r="A509" i="54"/>
  <c r="A505" i="54"/>
  <c r="A501" i="54"/>
  <c r="A497" i="54"/>
  <c r="A493" i="54"/>
  <c r="A489" i="54"/>
  <c r="A485" i="54"/>
  <c r="A481" i="54"/>
  <c r="A477" i="54"/>
  <c r="A473" i="54"/>
  <c r="A469" i="54"/>
  <c r="A465" i="54"/>
  <c r="A461" i="54"/>
  <c r="A457" i="54"/>
  <c r="A453" i="54"/>
  <c r="A449" i="54"/>
  <c r="A445" i="54"/>
  <c r="A441" i="54"/>
  <c r="A437" i="54"/>
  <c r="A433" i="54"/>
  <c r="A429" i="54"/>
  <c r="A425" i="54"/>
  <c r="A421" i="54"/>
  <c r="A417" i="54"/>
  <c r="A413" i="54"/>
  <c r="A409" i="54"/>
  <c r="A405" i="54"/>
  <c r="A401" i="54"/>
  <c r="A397" i="54"/>
  <c r="A393" i="54"/>
  <c r="A389" i="54"/>
  <c r="A385" i="54"/>
  <c r="A381" i="54"/>
  <c r="A377" i="54"/>
  <c r="A373" i="54"/>
  <c r="A369" i="54"/>
  <c r="A365" i="54"/>
  <c r="A361" i="54"/>
  <c r="A357" i="54"/>
  <c r="A353" i="54"/>
  <c r="A349" i="54"/>
  <c r="A345" i="54"/>
  <c r="A341" i="54"/>
  <c r="A337" i="54"/>
  <c r="A333" i="54"/>
  <c r="A329" i="54"/>
  <c r="A325" i="54"/>
  <c r="A321" i="54"/>
  <c r="A317" i="54"/>
  <c r="A313" i="54"/>
  <c r="A309" i="54"/>
  <c r="A305" i="54"/>
  <c r="A301" i="54"/>
  <c r="A297" i="54"/>
  <c r="A293" i="54"/>
  <c r="A289" i="54"/>
  <c r="A285" i="54"/>
  <c r="A281" i="54"/>
  <c r="A277" i="54"/>
  <c r="A273" i="54"/>
  <c r="A272" i="54"/>
  <c r="A271" i="54"/>
  <c r="A270" i="54"/>
  <c r="A269" i="54"/>
  <c r="A268" i="54"/>
  <c r="A267" i="54"/>
  <c r="A266" i="54"/>
  <c r="A265" i="54"/>
  <c r="A264" i="54"/>
  <c r="A263" i="54"/>
  <c r="A262" i="54"/>
  <c r="A261" i="54"/>
  <c r="A260" i="54"/>
  <c r="A259" i="54"/>
  <c r="A258" i="54"/>
  <c r="A257" i="54"/>
  <c r="A256" i="54"/>
  <c r="A255" i="54"/>
  <c r="A254" i="54"/>
  <c r="A253" i="54"/>
  <c r="A252" i="54"/>
  <c r="A251" i="54"/>
  <c r="A250" i="54"/>
  <c r="A249" i="54"/>
  <c r="A248" i="54"/>
  <c r="A247" i="54"/>
  <c r="A246" i="54"/>
  <c r="A245" i="54"/>
  <c r="A244" i="54"/>
  <c r="A243" i="54"/>
  <c r="A242" i="54"/>
  <c r="A241" i="54"/>
  <c r="A240" i="54"/>
  <c r="A239" i="54"/>
  <c r="A238" i="54"/>
  <c r="A237" i="54"/>
  <c r="A236" i="54"/>
  <c r="A235" i="54"/>
  <c r="A234" i="54"/>
  <c r="A233" i="54"/>
  <c r="A232" i="54"/>
  <c r="A231" i="54"/>
  <c r="A230" i="54"/>
  <c r="A229" i="54"/>
  <c r="A228" i="54"/>
  <c r="A227" i="54"/>
  <c r="A226" i="54"/>
  <c r="A225" i="54"/>
  <c r="A224" i="54"/>
  <c r="A223" i="54"/>
  <c r="A222" i="54"/>
  <c r="A221" i="54"/>
  <c r="A220" i="54"/>
  <c r="A219" i="54"/>
  <c r="A218" i="54"/>
  <c r="A217" i="54"/>
  <c r="A216" i="54"/>
  <c r="A215" i="54"/>
  <c r="A214" i="54"/>
  <c r="A213" i="54"/>
  <c r="A212" i="54"/>
  <c r="A211" i="54"/>
  <c r="A210" i="54"/>
  <c r="A209" i="54"/>
  <c r="A208" i="54"/>
  <c r="A207" i="54"/>
  <c r="A206" i="54"/>
  <c r="A205" i="54"/>
  <c r="A204" i="54"/>
  <c r="A203" i="54"/>
  <c r="A202" i="54"/>
  <c r="A201" i="54"/>
  <c r="A200" i="54"/>
  <c r="A199" i="54"/>
  <c r="A198" i="54"/>
  <c r="A197" i="54"/>
  <c r="A196" i="54"/>
  <c r="A195" i="54"/>
  <c r="A194" i="54"/>
  <c r="A193" i="54"/>
  <c r="A192" i="54"/>
  <c r="A191" i="54"/>
  <c r="A190" i="54"/>
  <c r="A189" i="54"/>
  <c r="A188" i="54"/>
  <c r="A187" i="54"/>
  <c r="A186" i="54"/>
  <c r="A185" i="54"/>
  <c r="A184" i="54"/>
  <c r="A183" i="54"/>
  <c r="A182" i="54"/>
  <c r="A181" i="54"/>
  <c r="A180" i="54"/>
  <c r="A179" i="54"/>
  <c r="A178" i="54"/>
  <c r="A177" i="54"/>
  <c r="A176" i="54"/>
  <c r="A175" i="54"/>
  <c r="A174" i="54"/>
  <c r="A173" i="54"/>
  <c r="A172" i="54"/>
  <c r="A171" i="54"/>
  <c r="A170" i="54"/>
  <c r="A169" i="54"/>
  <c r="A168" i="54"/>
  <c r="A167" i="54"/>
  <c r="A166" i="54"/>
  <c r="A165" i="54"/>
  <c r="A164" i="54"/>
  <c r="A163" i="54"/>
  <c r="A162" i="54"/>
  <c r="A161" i="54"/>
  <c r="A160" i="54"/>
  <c r="A159" i="54"/>
  <c r="A158" i="54"/>
  <c r="A157" i="54"/>
  <c r="A156" i="54"/>
  <c r="A155" i="54"/>
  <c r="A154" i="54"/>
  <c r="A153" i="54"/>
  <c r="A152" i="54"/>
  <c r="A151" i="54"/>
  <c r="A150" i="54"/>
  <c r="A149" i="54"/>
  <c r="A148" i="54"/>
  <c r="A147" i="54"/>
  <c r="A146" i="54"/>
  <c r="A145" i="54"/>
  <c r="A144" i="54"/>
  <c r="A143" i="54"/>
  <c r="A142" i="54"/>
  <c r="A141" i="54"/>
  <c r="A140" i="54"/>
  <c r="A139" i="54"/>
  <c r="A138" i="54"/>
  <c r="A137" i="54"/>
  <c r="A136" i="54"/>
  <c r="A135" i="54"/>
  <c r="A134" i="54"/>
  <c r="A133" i="54"/>
  <c r="A132" i="54"/>
  <c r="A131" i="54"/>
  <c r="A130" i="54"/>
  <c r="A129" i="54"/>
  <c r="A128" i="54"/>
  <c r="A127" i="54"/>
  <c r="A126" i="54"/>
  <c r="A125" i="54"/>
  <c r="A124" i="54"/>
  <c r="A123" i="54"/>
  <c r="A122" i="54"/>
  <c r="A121" i="54"/>
  <c r="A120" i="54"/>
  <c r="A119" i="54"/>
  <c r="A118" i="54"/>
  <c r="A117" i="54"/>
  <c r="A116" i="54"/>
  <c r="A115" i="54"/>
  <c r="A114" i="54"/>
  <c r="A113" i="54"/>
  <c r="A112" i="54"/>
  <c r="A111" i="54"/>
  <c r="A110" i="54"/>
  <c r="A109" i="54"/>
  <c r="A108" i="54"/>
  <c r="A107" i="54"/>
  <c r="A106" i="54"/>
  <c r="A105" i="54"/>
  <c r="A104" i="54"/>
  <c r="A103" i="54"/>
  <c r="A102" i="54"/>
  <c r="A101" i="54"/>
  <c r="A100" i="54"/>
  <c r="A99" i="54"/>
  <c r="A98" i="54"/>
  <c r="A97" i="54"/>
  <c r="A96" i="54"/>
  <c r="A95" i="54"/>
  <c r="A94" i="54"/>
  <c r="A93" i="54"/>
  <c r="A92" i="54"/>
  <c r="A91" i="54"/>
  <c r="A90" i="54"/>
  <c r="A89" i="54"/>
  <c r="A88" i="54"/>
  <c r="A87" i="54"/>
  <c r="A86" i="54"/>
  <c r="A85" i="54"/>
  <c r="A84" i="54"/>
  <c r="A83" i="54"/>
  <c r="A82" i="54"/>
  <c r="A81" i="54"/>
  <c r="A80" i="54"/>
  <c r="A79" i="54"/>
  <c r="A78" i="54"/>
  <c r="A77" i="54"/>
  <c r="A76" i="54"/>
  <c r="A75" i="54"/>
  <c r="A74" i="54"/>
  <c r="A73" i="54"/>
  <c r="A72" i="54"/>
  <c r="A71" i="54"/>
  <c r="A70" i="54"/>
  <c r="A69" i="54"/>
  <c r="A68" i="54"/>
  <c r="A67" i="54"/>
  <c r="A66" i="54"/>
  <c r="A65" i="54"/>
  <c r="A64" i="54"/>
  <c r="A63" i="54"/>
  <c r="A62" i="54"/>
  <c r="A61" i="54"/>
  <c r="A60" i="54"/>
  <c r="A59" i="54"/>
  <c r="A58" i="54"/>
  <c r="A57" i="54"/>
  <c r="A56" i="54"/>
  <c r="A55" i="54"/>
  <c r="A54" i="54"/>
  <c r="A53" i="54"/>
  <c r="A52" i="54"/>
  <c r="A51" i="54"/>
  <c r="A50" i="54"/>
  <c r="A49" i="54"/>
  <c r="A48" i="54"/>
  <c r="A47" i="54"/>
  <c r="A46" i="54"/>
  <c r="A45" i="54"/>
  <c r="A44" i="54"/>
  <c r="A43" i="54"/>
  <c r="A42" i="54"/>
  <c r="A41" i="54"/>
  <c r="A40" i="54"/>
  <c r="A39" i="54"/>
  <c r="A38" i="54"/>
  <c r="A37" i="54"/>
  <c r="A36" i="54"/>
  <c r="A35" i="54"/>
  <c r="A34" i="54"/>
  <c r="A33" i="54"/>
  <c r="A32" i="54"/>
  <c r="A31" i="54"/>
  <c r="A30" i="54"/>
  <c r="A29" i="54"/>
  <c r="A28" i="54"/>
  <c r="A27" i="54"/>
  <c r="A26" i="54"/>
  <c r="A25" i="54"/>
  <c r="A24" i="54"/>
  <c r="A23" i="54"/>
  <c r="A22" i="54"/>
  <c r="A950" i="54"/>
  <c r="A847" i="54"/>
  <c r="A654" i="54"/>
  <c r="A646" i="54"/>
  <c r="A638" i="54"/>
  <c r="A630" i="54"/>
  <c r="A622" i="54"/>
  <c r="A614" i="54"/>
  <c r="A610" i="54"/>
  <c r="A606" i="54"/>
  <c r="A602" i="54"/>
  <c r="A598" i="54"/>
  <c r="A594" i="54"/>
  <c r="A590" i="54"/>
  <c r="A586" i="54"/>
  <c r="A582" i="54"/>
  <c r="A578" i="54"/>
  <c r="A574" i="54"/>
  <c r="A570" i="54"/>
  <c r="A566" i="54"/>
  <c r="A562" i="54"/>
  <c r="A558" i="54"/>
  <c r="A554" i="54"/>
  <c r="A550" i="54"/>
  <c r="A546" i="54"/>
  <c r="A542" i="54"/>
  <c r="A538" i="54"/>
  <c r="A534" i="54"/>
  <c r="A530" i="54"/>
  <c r="A526" i="54"/>
  <c r="A522" i="54"/>
  <c r="A518" i="54"/>
  <c r="A514" i="54"/>
  <c r="A510" i="54"/>
  <c r="A506" i="54"/>
  <c r="A502" i="54"/>
  <c r="A498" i="54"/>
  <c r="A494" i="54"/>
  <c r="A490" i="54"/>
  <c r="A486" i="54"/>
  <c r="A482" i="54"/>
  <c r="A478" i="54"/>
  <c r="A474" i="54"/>
  <c r="A470" i="54"/>
  <c r="A466" i="54"/>
  <c r="A462" i="54"/>
  <c r="A458" i="54"/>
  <c r="A454" i="54"/>
  <c r="A450" i="54"/>
  <c r="A446" i="54"/>
  <c r="A442" i="54"/>
  <c r="A438" i="54"/>
  <c r="A434" i="54"/>
  <c r="A430" i="54"/>
  <c r="A426" i="54"/>
  <c r="A422" i="54"/>
  <c r="A418" i="54"/>
  <c r="A414" i="54"/>
  <c r="A410" i="54"/>
  <c r="A406" i="54"/>
  <c r="A402" i="54"/>
  <c r="A398" i="54"/>
  <c r="A394" i="54"/>
  <c r="A390" i="54"/>
  <c r="A386" i="54"/>
  <c r="A382" i="54"/>
  <c r="A378" i="54"/>
  <c r="A374" i="54"/>
  <c r="A370" i="54"/>
  <c r="A366" i="54"/>
  <c r="A362" i="54"/>
  <c r="A358" i="54"/>
  <c r="A354" i="54"/>
  <c r="A350" i="54"/>
  <c r="A346" i="54"/>
  <c r="A342" i="54"/>
  <c r="A338" i="54"/>
  <c r="A334" i="54"/>
  <c r="A330" i="54"/>
  <c r="A326" i="54"/>
  <c r="A322" i="54"/>
  <c r="A318" i="54"/>
  <c r="A314" i="54"/>
  <c r="A310" i="54"/>
  <c r="A306" i="54"/>
  <c r="A302" i="54"/>
  <c r="A298" i="54"/>
  <c r="A294" i="54"/>
  <c r="A290" i="54"/>
  <c r="A286" i="54"/>
  <c r="A282" i="54"/>
  <c r="A278" i="54"/>
  <c r="A274" i="54"/>
  <c r="A882" i="54"/>
  <c r="A547" i="54"/>
  <c r="A539" i="54"/>
  <c r="A531" i="54"/>
  <c r="A523" i="54"/>
  <c r="A515" i="54"/>
  <c r="A507" i="54"/>
  <c r="A499" i="54"/>
  <c r="A491" i="54"/>
  <c r="A483" i="54"/>
  <c r="A475" i="54"/>
  <c r="A467" i="54"/>
  <c r="A459" i="54"/>
  <c r="A451" i="54"/>
  <c r="A443" i="54"/>
  <c r="A435" i="54"/>
  <c r="A427" i="54"/>
  <c r="A419" i="54"/>
  <c r="A411" i="54"/>
  <c r="A403" i="54"/>
  <c r="A395" i="54"/>
  <c r="A387" i="54"/>
  <c r="A379" i="54"/>
  <c r="A371" i="54"/>
  <c r="A363" i="54"/>
  <c r="A355" i="54"/>
  <c r="A347" i="54"/>
  <c r="A339" i="54"/>
  <c r="A331" i="54"/>
  <c r="A323" i="54"/>
  <c r="A315" i="54"/>
  <c r="A307" i="54"/>
  <c r="A299" i="54"/>
  <c r="A291" i="54"/>
  <c r="A283" i="54"/>
  <c r="A275" i="54"/>
  <c r="A399" i="54"/>
  <c r="A335" i="54"/>
  <c r="A815" i="54"/>
  <c r="A751" i="54"/>
  <c r="A687" i="54"/>
  <c r="A831" i="54"/>
  <c r="A799" i="54"/>
  <c r="A767" i="54"/>
  <c r="A735" i="54"/>
  <c r="A703" i="54"/>
  <c r="A543" i="54"/>
  <c r="A527" i="54"/>
  <c r="A511" i="54"/>
  <c r="A487" i="54"/>
  <c r="A471" i="54"/>
  <c r="A367" i="54"/>
  <c r="A343" i="54"/>
  <c r="A303" i="54"/>
  <c r="A295" i="54"/>
  <c r="A279" i="54"/>
  <c r="A914" i="54"/>
  <c r="A551" i="54"/>
  <c r="A535" i="54"/>
  <c r="A519" i="54"/>
  <c r="A503" i="54"/>
  <c r="A495" i="54"/>
  <c r="A479" i="54"/>
  <c r="A463" i="54"/>
  <c r="A455" i="54"/>
  <c r="A447" i="54"/>
  <c r="A439" i="54"/>
  <c r="A431" i="54"/>
  <c r="A423" i="54"/>
  <c r="A415" i="54"/>
  <c r="A407" i="54"/>
  <c r="A391" i="54"/>
  <c r="A383" i="54"/>
  <c r="A375" i="54"/>
  <c r="A359" i="54"/>
  <c r="A351" i="54"/>
  <c r="A327" i="54"/>
  <c r="A319" i="54"/>
  <c r="A311" i="54"/>
  <c r="A287" i="54"/>
  <c r="A783" i="54"/>
  <c r="A719" i="54"/>
  <c r="AZ541" i="19"/>
  <c r="AY541" i="19"/>
  <c r="AX541" i="19"/>
  <c r="AR541" i="19"/>
  <c r="AT541" i="19" s="1"/>
  <c r="AS541" i="19" s="1"/>
  <c r="AZ535" i="19"/>
  <c r="AY535" i="19"/>
  <c r="AX535" i="19"/>
  <c r="AR535" i="19"/>
  <c r="AT535" i="19" s="1"/>
  <c r="AZ373" i="19"/>
  <c r="AY373" i="19"/>
  <c r="AX373" i="19"/>
  <c r="AR373" i="19"/>
  <c r="AT373" i="19" s="1"/>
  <c r="AS373" i="19" s="1"/>
  <c r="AZ194" i="19"/>
  <c r="AY194" i="19"/>
  <c r="AX194" i="19"/>
  <c r="AR194" i="19"/>
  <c r="AT194" i="19" s="1"/>
  <c r="B45" i="35" l="1"/>
  <c r="K7" i="56"/>
  <c r="L7" i="56" s="1"/>
  <c r="J8" i="56"/>
  <c r="AS535" i="19"/>
  <c r="AS194" i="19"/>
  <c r="B46" i="35" l="1"/>
  <c r="A22" i="19"/>
  <c r="K8" i="56"/>
  <c r="L8" i="56" s="1"/>
  <c r="J9" i="56"/>
  <c r="B47" i="35" l="1"/>
  <c r="J10" i="56"/>
  <c r="K9" i="56"/>
  <c r="L9" i="56" s="1"/>
  <c r="B48" i="35" l="1"/>
  <c r="J11" i="56"/>
  <c r="K10" i="56"/>
  <c r="L10" i="56" s="1"/>
  <c r="AZ383" i="19"/>
  <c r="AY383" i="19"/>
  <c r="AX383" i="19"/>
  <c r="AR383" i="19"/>
  <c r="AT383" i="19" s="1"/>
  <c r="AS383" i="19" s="1"/>
  <c r="AZ221" i="19"/>
  <c r="AY221" i="19"/>
  <c r="AX221" i="19"/>
  <c r="AR221" i="19"/>
  <c r="AT221" i="19" s="1"/>
  <c r="AS221" i="19" s="1"/>
  <c r="AZ191" i="19"/>
  <c r="AY191" i="19"/>
  <c r="AX191" i="19"/>
  <c r="AR191" i="19"/>
  <c r="AT191" i="19" s="1"/>
  <c r="AZ23" i="19"/>
  <c r="AY23" i="19"/>
  <c r="AX23" i="19"/>
  <c r="AR23" i="19"/>
  <c r="AT23" i="19" s="1"/>
  <c r="B49" i="35" l="1"/>
  <c r="K11" i="56"/>
  <c r="L11" i="56" s="1"/>
  <c r="J12" i="56"/>
  <c r="AS23" i="19"/>
  <c r="AS191" i="19"/>
  <c r="B50" i="35" l="1"/>
  <c r="K12" i="56"/>
  <c r="L12" i="56" s="1"/>
  <c r="J13" i="56"/>
  <c r="J3" i="17"/>
  <c r="J4" i="17" s="1"/>
  <c r="AZ22" i="19"/>
  <c r="AY22" i="19"/>
  <c r="B51" i="35" l="1"/>
  <c r="J14" i="56"/>
  <c r="K13" i="56"/>
  <c r="L13" i="56" s="1"/>
  <c r="K3" i="17"/>
  <c r="L3" i="17" s="1"/>
  <c r="K4" i="17"/>
  <c r="L4" i="17" s="1"/>
  <c r="J5" i="17"/>
  <c r="B52" i="35" l="1"/>
  <c r="J15" i="56"/>
  <c r="K14" i="56"/>
  <c r="L14" i="56" s="1"/>
  <c r="K5" i="17"/>
  <c r="L5" i="17" s="1"/>
  <c r="J6" i="17"/>
  <c r="B53" i="35" l="1"/>
  <c r="K15" i="56"/>
  <c r="L15" i="56" s="1"/>
  <c r="J16" i="56"/>
  <c r="K6" i="17"/>
  <c r="L6" i="17" s="1"/>
  <c r="J7" i="17"/>
  <c r="AX22" i="19"/>
  <c r="AH3" i="42"/>
  <c r="AH4" i="42"/>
  <c r="AH5" i="42"/>
  <c r="AH6" i="42"/>
  <c r="AH7" i="42"/>
  <c r="AH2" i="42"/>
  <c r="N13" i="19"/>
  <c r="N14" i="19"/>
  <c r="N15" i="19"/>
  <c r="N12" i="19"/>
  <c r="B54" i="35" l="1"/>
  <c r="K16" i="56"/>
  <c r="L16" i="56" s="1"/>
  <c r="J17" i="56"/>
  <c r="J8" i="17"/>
  <c r="K7" i="17"/>
  <c r="L7" i="17" s="1"/>
  <c r="B55" i="35" l="1"/>
  <c r="J18" i="56"/>
  <c r="K17" i="56"/>
  <c r="L17" i="56" s="1"/>
  <c r="J9" i="17"/>
  <c r="K8" i="17"/>
  <c r="L8" i="17" s="1"/>
  <c r="B56" i="35" l="1"/>
  <c r="J19" i="56"/>
  <c r="K18" i="56"/>
  <c r="L18" i="56" s="1"/>
  <c r="J10" i="17"/>
  <c r="K9" i="17"/>
  <c r="L9" i="17" s="1"/>
  <c r="B57" i="35" l="1"/>
  <c r="K19" i="56"/>
  <c r="L19" i="56" s="1"/>
  <c r="J20" i="56"/>
  <c r="K10" i="17"/>
  <c r="L10" i="17" s="1"/>
  <c r="J11" i="17"/>
  <c r="B58" i="35" l="1"/>
  <c r="K20" i="56"/>
  <c r="L20" i="56" s="1"/>
  <c r="J21" i="56"/>
  <c r="J12" i="17"/>
  <c r="K11" i="17"/>
  <c r="L11" i="17" s="1"/>
  <c r="B59" i="35" l="1"/>
  <c r="J22" i="56"/>
  <c r="K21" i="56"/>
  <c r="L21" i="56" s="1"/>
  <c r="K12" i="17"/>
  <c r="L12" i="17" s="1"/>
  <c r="J13" i="17"/>
  <c r="AR22" i="19"/>
  <c r="AQ22" i="17"/>
  <c r="X22" i="19"/>
  <c r="B60" i="35" l="1"/>
  <c r="J23" i="56"/>
  <c r="K22" i="56"/>
  <c r="L22" i="56" s="1"/>
  <c r="J14" i="17"/>
  <c r="K13" i="17"/>
  <c r="L13" i="17" s="1"/>
  <c r="B61" i="35" l="1"/>
  <c r="J24" i="56"/>
  <c r="K23" i="56"/>
  <c r="L23" i="56" s="1"/>
  <c r="K14" i="17"/>
  <c r="L14" i="17" s="1"/>
  <c r="J15" i="17"/>
  <c r="B62" i="35" l="1"/>
  <c r="K24" i="56"/>
  <c r="L24" i="56" s="1"/>
  <c r="J25" i="56"/>
  <c r="K15" i="17"/>
  <c r="L15" i="17" s="1"/>
  <c r="J16" i="17"/>
  <c r="N22" i="19"/>
  <c r="O22" i="19"/>
  <c r="L99" i="32"/>
  <c r="J99" i="32"/>
  <c r="H99" i="32"/>
  <c r="C99" i="32"/>
  <c r="B99" i="32"/>
  <c r="E99" i="32"/>
  <c r="G99" i="32"/>
  <c r="I99" i="32"/>
  <c r="K99" i="32"/>
  <c r="BC36" i="42"/>
  <c r="BC37" i="42"/>
  <c r="B63" i="35" l="1"/>
  <c r="W983" i="19"/>
  <c r="W22" i="19"/>
  <c r="W1006" i="19"/>
  <c r="H18" i="19"/>
  <c r="B71" i="43"/>
  <c r="AF18" i="19"/>
  <c r="AG18" i="19"/>
  <c r="AG988" i="19" s="1"/>
  <c r="G19" i="19"/>
  <c r="G18" i="19"/>
  <c r="AH11" i="42"/>
  <c r="AG7" i="42"/>
  <c r="AG9" i="42"/>
  <c r="AH14" i="42"/>
  <c r="AH15" i="42"/>
  <c r="AH10" i="42"/>
  <c r="AH9" i="42"/>
  <c r="AH8" i="42"/>
  <c r="AG15" i="42"/>
  <c r="AG4" i="42"/>
  <c r="AG5" i="42"/>
  <c r="AH12" i="42"/>
  <c r="AG8" i="42"/>
  <c r="AH13" i="42"/>
  <c r="BX8" i="42" s="1"/>
  <c r="CH7" i="42" s="1"/>
  <c r="AG10" i="42"/>
  <c r="AG11" i="42"/>
  <c r="AG13" i="42"/>
  <c r="BW8" i="42" s="1"/>
  <c r="CG7" i="42" s="1"/>
  <c r="AG14" i="42"/>
  <c r="AG3" i="42"/>
  <c r="AG2" i="42"/>
  <c r="AG12" i="42"/>
  <c r="AG6" i="42"/>
  <c r="B91" i="43"/>
  <c r="AC1" i="19"/>
  <c r="AC4" i="19"/>
  <c r="AC5" i="19"/>
  <c r="AC8" i="19"/>
  <c r="AC9" i="19"/>
  <c r="AC10" i="19"/>
  <c r="AC11" i="19"/>
  <c r="AC12" i="19"/>
  <c r="AD17" i="19"/>
  <c r="B13" i="57"/>
  <c r="B8" i="57"/>
  <c r="B6" i="57"/>
  <c r="B5" i="57"/>
  <c r="D989" i="19"/>
  <c r="B88" i="43" s="1"/>
  <c r="AH988" i="19"/>
  <c r="K25" i="56"/>
  <c r="L25" i="56" s="1"/>
  <c r="J26" i="56"/>
  <c r="U19" i="19"/>
  <c r="V18" i="19"/>
  <c r="U18" i="19"/>
  <c r="J17" i="17"/>
  <c r="K16" i="17"/>
  <c r="L16" i="17" s="1"/>
  <c r="L19" i="19"/>
  <c r="L18" i="19"/>
  <c r="L16" i="19"/>
  <c r="B126" i="43"/>
  <c r="B122" i="43"/>
  <c r="B114" i="43"/>
  <c r="B110" i="43"/>
  <c r="B93" i="43"/>
  <c r="B89" i="43"/>
  <c r="B76" i="43"/>
  <c r="B72" i="43"/>
  <c r="B67" i="43"/>
  <c r="B63" i="43"/>
  <c r="B59" i="43"/>
  <c r="B51" i="43"/>
  <c r="B43" i="43"/>
  <c r="B39" i="43"/>
  <c r="B35" i="43"/>
  <c r="B31" i="43"/>
  <c r="B27" i="43"/>
  <c r="B23" i="43"/>
  <c r="B15" i="43"/>
  <c r="B11" i="43"/>
  <c r="B7" i="43"/>
  <c r="B124" i="43"/>
  <c r="B120" i="43"/>
  <c r="B116" i="43"/>
  <c r="B112" i="43"/>
  <c r="B104" i="43"/>
  <c r="B86" i="43"/>
  <c r="B74" i="43"/>
  <c r="B69" i="43"/>
  <c r="B65" i="43"/>
  <c r="B57" i="43"/>
  <c r="B53" i="43"/>
  <c r="B49" i="43"/>
  <c r="B45" i="43"/>
  <c r="B41" i="43"/>
  <c r="B37" i="43"/>
  <c r="B33" i="43"/>
  <c r="B29" i="43"/>
  <c r="B25" i="43"/>
  <c r="B21" i="43"/>
  <c r="B2" i="43"/>
  <c r="B13" i="43"/>
  <c r="B9" i="43"/>
  <c r="B5" i="43"/>
  <c r="B123" i="43"/>
  <c r="B111" i="43"/>
  <c r="B107" i="43"/>
  <c r="B103" i="43"/>
  <c r="B99" i="43"/>
  <c r="B94" i="43"/>
  <c r="B85" i="43"/>
  <c r="B81" i="43"/>
  <c r="B77" i="43"/>
  <c r="B73" i="43"/>
  <c r="B68" i="43"/>
  <c r="B64" i="43"/>
  <c r="B60" i="43"/>
  <c r="B56" i="43"/>
  <c r="B52" i="43"/>
  <c r="B125" i="43"/>
  <c r="B121" i="43"/>
  <c r="B117" i="43"/>
  <c r="B113" i="43"/>
  <c r="B109" i="43"/>
  <c r="B105" i="43"/>
  <c r="B101" i="43"/>
  <c r="B96" i="43"/>
  <c r="B87" i="43"/>
  <c r="B83" i="43"/>
  <c r="B79" i="43"/>
  <c r="B75" i="43"/>
  <c r="B70" i="43"/>
  <c r="B66" i="43"/>
  <c r="B62" i="43"/>
  <c r="B58" i="43"/>
  <c r="B54" i="43"/>
  <c r="B50" i="43"/>
  <c r="B46" i="43"/>
  <c r="B42" i="43"/>
  <c r="B38" i="43"/>
  <c r="B34" i="43"/>
  <c r="B30" i="43"/>
  <c r="B14" i="43"/>
  <c r="B10" i="43"/>
  <c r="B6" i="43"/>
  <c r="B115" i="43"/>
  <c r="B36" i="43"/>
  <c r="B4" i="43"/>
  <c r="B24" i="43"/>
  <c r="B1" i="43"/>
  <c r="B48" i="43"/>
  <c r="B32" i="43"/>
  <c r="B16" i="43"/>
  <c r="B8" i="43"/>
  <c r="B44" i="43"/>
  <c r="B28" i="43"/>
  <c r="B12" i="43"/>
  <c r="B40" i="43"/>
  <c r="B18" i="43"/>
  <c r="B19" i="43"/>
  <c r="B17" i="43"/>
  <c r="B97" i="43"/>
  <c r="A17" i="19"/>
  <c r="D985" i="19"/>
  <c r="D988" i="19"/>
  <c r="D987" i="19"/>
  <c r="AE17" i="19"/>
  <c r="S19" i="19"/>
  <c r="S18" i="19"/>
  <c r="J18" i="19"/>
  <c r="V4" i="19"/>
  <c r="BC29" i="42" s="1"/>
  <c r="E1" i="19"/>
  <c r="AB989" i="19"/>
  <c r="B64" i="35" l="1"/>
  <c r="C16" i="19"/>
  <c r="J27" i="56"/>
  <c r="K26" i="56"/>
  <c r="L26" i="56" s="1"/>
  <c r="K17" i="17"/>
  <c r="L17" i="17" s="1"/>
  <c r="J18" i="17"/>
  <c r="B65" i="35" l="1"/>
  <c r="J28" i="56"/>
  <c r="K27" i="56"/>
  <c r="L27" i="56" s="1"/>
  <c r="K18" i="17"/>
  <c r="L18" i="17" s="1"/>
  <c r="J19" i="17"/>
  <c r="BU14" i="42"/>
  <c r="BV14" i="42"/>
  <c r="BJ43" i="42"/>
  <c r="BJ44" i="42"/>
  <c r="B66" i="35" l="1"/>
  <c r="K28" i="56"/>
  <c r="L28" i="56" s="1"/>
  <c r="J29" i="56"/>
  <c r="K19" i="17"/>
  <c r="L19" i="17" s="1"/>
  <c r="J20" i="17"/>
  <c r="B67" i="35" l="1"/>
  <c r="K29" i="56"/>
  <c r="L29" i="56" s="1"/>
  <c r="J30" i="56"/>
  <c r="K20" i="17"/>
  <c r="L20" i="17" s="1"/>
  <c r="J21" i="17"/>
  <c r="L90" i="32"/>
  <c r="L91" i="32"/>
  <c r="L95" i="32"/>
  <c r="L96" i="32"/>
  <c r="L97" i="32"/>
  <c r="L98" i="32"/>
  <c r="J90" i="32"/>
  <c r="J91" i="32"/>
  <c r="J95" i="32"/>
  <c r="J96" i="32"/>
  <c r="J97" i="32"/>
  <c r="J98" i="32"/>
  <c r="F90" i="32"/>
  <c r="F91" i="32"/>
  <c r="F95" i="32"/>
  <c r="F96" i="32"/>
  <c r="F97" i="32"/>
  <c r="F98" i="32"/>
  <c r="K90" i="32"/>
  <c r="K91" i="32"/>
  <c r="K92" i="32"/>
  <c r="K93" i="32"/>
  <c r="K95" i="32"/>
  <c r="K96" i="32"/>
  <c r="K97" i="32"/>
  <c r="K98" i="32"/>
  <c r="K89" i="32"/>
  <c r="G96" i="32"/>
  <c r="G97" i="32"/>
  <c r="G98" i="32"/>
  <c r="G95" i="32"/>
  <c r="I96" i="32"/>
  <c r="I97" i="32"/>
  <c r="I98" i="32"/>
  <c r="I95" i="32"/>
  <c r="H91" i="32"/>
  <c r="H92" i="32"/>
  <c r="H93" i="32"/>
  <c r="H95" i="32"/>
  <c r="H96" i="32"/>
  <c r="H97" i="32"/>
  <c r="H98" i="32"/>
  <c r="H90" i="32"/>
  <c r="E90" i="32"/>
  <c r="E91" i="32"/>
  <c r="E97" i="32"/>
  <c r="E98" i="32"/>
  <c r="E96" i="32"/>
  <c r="E95" i="32"/>
  <c r="N9" i="19"/>
  <c r="N10" i="19"/>
  <c r="N11" i="19"/>
  <c r="BX4" i="42"/>
  <c r="CF6" i="42" s="1"/>
  <c r="BX5" i="42"/>
  <c r="CF7" i="42" s="1"/>
  <c r="BW6" i="42"/>
  <c r="CG5" i="42" s="1"/>
  <c r="BX7" i="42"/>
  <c r="CH6" i="42" s="1"/>
  <c r="BW7" i="42"/>
  <c r="CG6" i="42" s="1"/>
  <c r="BV3" i="42"/>
  <c r="CB5" i="42" s="1"/>
  <c r="BV4" i="42"/>
  <c r="CB6" i="42" s="1"/>
  <c r="BV5" i="42"/>
  <c r="CB7" i="42" s="1"/>
  <c r="BV6" i="42"/>
  <c r="CD5" i="42" s="1"/>
  <c r="BV7" i="42"/>
  <c r="CD6" i="42" s="1"/>
  <c r="BV8" i="42"/>
  <c r="CD7" i="42" s="1"/>
  <c r="BX3" i="42"/>
  <c r="BX6" i="42"/>
  <c r="CH5" i="42" s="1"/>
  <c r="BU3" i="42"/>
  <c r="CA5" i="42" s="1"/>
  <c r="BU4" i="42"/>
  <c r="CA6" i="42" s="1"/>
  <c r="BU5" i="42"/>
  <c r="CA7" i="42" s="1"/>
  <c r="BU6" i="42"/>
  <c r="CC5" i="42" s="1"/>
  <c r="BU7" i="42"/>
  <c r="CC6" i="42" s="1"/>
  <c r="BU8" i="42"/>
  <c r="CC7" i="42" s="1"/>
  <c r="BW3" i="42"/>
  <c r="CE5" i="42" s="1"/>
  <c r="BW4" i="42"/>
  <c r="CE6" i="42" s="1"/>
  <c r="BW5" i="42"/>
  <c r="CE7" i="42" s="1"/>
  <c r="B68" i="35" l="1"/>
  <c r="J31" i="56"/>
  <c r="K30" i="56"/>
  <c r="L30" i="56" s="1"/>
  <c r="K21" i="17"/>
  <c r="L21" i="17" s="1"/>
  <c r="J22" i="17"/>
  <c r="CF5" i="42"/>
  <c r="M140" i="38"/>
  <c r="L140" i="38"/>
  <c r="M130" i="38"/>
  <c r="L130" i="38"/>
  <c r="M128" i="38"/>
  <c r="L128" i="38"/>
  <c r="M124" i="38"/>
  <c r="L124" i="38"/>
  <c r="M122" i="38"/>
  <c r="L122" i="38"/>
  <c r="M120" i="38"/>
  <c r="L120" i="38"/>
  <c r="M117" i="38"/>
  <c r="L117" i="38"/>
  <c r="M114" i="38"/>
  <c r="L114" i="38"/>
  <c r="M112" i="38"/>
  <c r="L112" i="38"/>
  <c r="M110" i="38"/>
  <c r="L110" i="38"/>
  <c r="M106" i="38"/>
  <c r="L106" i="38"/>
  <c r="M102" i="38"/>
  <c r="L102" i="38"/>
  <c r="M100" i="38"/>
  <c r="L100" i="38"/>
  <c r="M83" i="38"/>
  <c r="L83" i="38"/>
  <c r="M77" i="38"/>
  <c r="L77" i="38"/>
  <c r="M48" i="38"/>
  <c r="L48" i="38"/>
  <c r="M44" i="38"/>
  <c r="L44" i="38"/>
  <c r="M31" i="38"/>
  <c r="L31" i="38"/>
  <c r="C73" i="32"/>
  <c r="D73" i="32"/>
  <c r="E73" i="32"/>
  <c r="F73" i="32"/>
  <c r="G73" i="32"/>
  <c r="H73" i="32"/>
  <c r="I73" i="32"/>
  <c r="J73" i="32"/>
  <c r="K73" i="32"/>
  <c r="L73" i="32"/>
  <c r="M73" i="32"/>
  <c r="B73" i="32"/>
  <c r="B69" i="35" l="1"/>
  <c r="J32" i="56"/>
  <c r="K31" i="56"/>
  <c r="L31" i="56" s="1"/>
  <c r="J23" i="17"/>
  <c r="K22" i="17"/>
  <c r="L22" i="17" s="1"/>
  <c r="E8" i="19"/>
  <c r="B70" i="35" l="1"/>
  <c r="K32" i="56"/>
  <c r="L32" i="56" s="1"/>
  <c r="J33" i="56"/>
  <c r="K23" i="17"/>
  <c r="L23" i="17" s="1"/>
  <c r="J24" i="17"/>
  <c r="G16" i="19"/>
  <c r="AS49" i="42"/>
  <c r="AL2" i="19"/>
  <c r="W5" i="19"/>
  <c r="BE19" i="42" s="1"/>
  <c r="V5" i="19"/>
  <c r="D1000" i="19"/>
  <c r="J1" i="19"/>
  <c r="AG1" i="42" s="1"/>
  <c r="BU2" i="42" s="1"/>
  <c r="AE987" i="19"/>
  <c r="D7" i="19"/>
  <c r="D16" i="19" s="1"/>
  <c r="D13" i="19"/>
  <c r="D10" i="19"/>
  <c r="D9" i="19"/>
  <c r="D11" i="19"/>
  <c r="AP3" i="42"/>
  <c r="D12" i="19"/>
  <c r="F18" i="19"/>
  <c r="E17" i="19"/>
  <c r="V9" i="19"/>
  <c r="AC96" i="19" s="1"/>
  <c r="Q19" i="19"/>
  <c r="F19" i="19"/>
  <c r="V10" i="19"/>
  <c r="R19" i="19"/>
  <c r="D18" i="19"/>
  <c r="Q18" i="19"/>
  <c r="E18" i="19"/>
  <c r="H19" i="19"/>
  <c r="M17" i="19"/>
  <c r="W10" i="19"/>
  <c r="W9" i="19"/>
  <c r="BE20" i="42" s="1"/>
  <c r="W8" i="19"/>
  <c r="W6" i="19"/>
  <c r="W7" i="19"/>
  <c r="BE18" i="42" s="1"/>
  <c r="D1" i="19"/>
  <c r="AA17" i="19"/>
  <c r="AG17" i="19"/>
  <c r="AN17" i="19"/>
  <c r="AH17" i="19"/>
  <c r="AI17" i="19"/>
  <c r="AJ17" i="19"/>
  <c r="AB17" i="19"/>
  <c r="AG990" i="19"/>
  <c r="AN993" i="19" s="1"/>
  <c r="W986" i="19"/>
  <c r="C18" i="19"/>
  <c r="AB987" i="19"/>
  <c r="D990" i="19"/>
  <c r="D993" i="19"/>
  <c r="D994" i="19"/>
  <c r="D984" i="19"/>
  <c r="D991" i="19"/>
  <c r="D992" i="19"/>
  <c r="D1" i="36"/>
  <c r="W21" i="35"/>
  <c r="S18" i="35" s="1"/>
  <c r="AC261" i="19" l="1"/>
  <c r="AC360" i="19"/>
  <c r="AC355" i="19"/>
  <c r="D63" i="35"/>
  <c r="C63" i="35"/>
  <c r="C18" i="35"/>
  <c r="C15" i="35"/>
  <c r="D24" i="35"/>
  <c r="C30" i="35"/>
  <c r="C36" i="35"/>
  <c r="Z701" i="44"/>
  <c r="Z962" i="44"/>
  <c r="Z217" i="44"/>
  <c r="Z431" i="44"/>
  <c r="Z717" i="44"/>
  <c r="Z280" i="44"/>
  <c r="Z270" i="44"/>
  <c r="Z257" i="44"/>
  <c r="Z518" i="44"/>
  <c r="Z780" i="44"/>
  <c r="Z947" i="44"/>
  <c r="Z273" i="44"/>
  <c r="Z559" i="44"/>
  <c r="Z748" i="44"/>
  <c r="Z675" i="44"/>
  <c r="Z913" i="44"/>
  <c r="Z192" i="44"/>
  <c r="Z406" i="44"/>
  <c r="Z704" i="44"/>
  <c r="Z966" i="44"/>
  <c r="Z809" i="44"/>
  <c r="Z87" i="44"/>
  <c r="Z325" i="44"/>
  <c r="Z539" i="44"/>
  <c r="Z825" i="44"/>
  <c r="Z116" i="44"/>
  <c r="Z378" i="44"/>
  <c r="Z221" i="44"/>
  <c r="Z482" i="44"/>
  <c r="Z744" i="44"/>
  <c r="Z958" i="44"/>
  <c r="Z237" i="44"/>
  <c r="Z523" i="44"/>
  <c r="Z904" i="44"/>
  <c r="Z639" i="44"/>
  <c r="Z877" i="44"/>
  <c r="Z156" i="44"/>
  <c r="Z370" i="44"/>
  <c r="Z668" i="44"/>
  <c r="Z930" i="44"/>
  <c r="Z773" i="44"/>
  <c r="Z51" i="44"/>
  <c r="Z289" i="44"/>
  <c r="Z503" i="44"/>
  <c r="Z789" i="44"/>
  <c r="Z80" i="44"/>
  <c r="Z592" i="44"/>
  <c r="Z327" i="44"/>
  <c r="Z565" i="44"/>
  <c r="Z779" i="44"/>
  <c r="Z58" i="44"/>
  <c r="Z356" i="44"/>
  <c r="Z618" i="44"/>
  <c r="Z461" i="44"/>
  <c r="Z722" i="44"/>
  <c r="Z973" i="44"/>
  <c r="Z191" i="44"/>
  <c r="Z593" i="44"/>
  <c r="Z854" i="44"/>
  <c r="Z109" i="44"/>
  <c r="Z323" i="44"/>
  <c r="Z281" i="44"/>
  <c r="Z542" i="44"/>
  <c r="Z804" i="44"/>
  <c r="Z220" i="44"/>
  <c r="Z297" i="44"/>
  <c r="Z583" i="44"/>
  <c r="Z460" i="44"/>
  <c r="Z174" i="44"/>
  <c r="Z594" i="44"/>
  <c r="Z31" i="44"/>
  <c r="Z595" i="44"/>
  <c r="Z56" i="44"/>
  <c r="Z620" i="44"/>
  <c r="Z608" i="44"/>
  <c r="Z488" i="44"/>
  <c r="Z476" i="44"/>
  <c r="Z332" i="44"/>
  <c r="Z344" i="44"/>
  <c r="Z166" i="44"/>
  <c r="D22" i="35"/>
  <c r="C20" i="35"/>
  <c r="C24" i="35"/>
  <c r="D30" i="35"/>
  <c r="D36" i="35"/>
  <c r="Z557" i="44"/>
  <c r="Z818" i="44"/>
  <c r="Z73" i="44"/>
  <c r="Z287" i="44"/>
  <c r="Z573" i="44"/>
  <c r="Z859" i="44"/>
  <c r="Z126" i="44"/>
  <c r="Z113" i="44"/>
  <c r="Z374" i="44"/>
  <c r="Z636" i="44"/>
  <c r="Z850" i="44"/>
  <c r="Z129" i="44"/>
  <c r="Z415" i="44"/>
  <c r="Z724" i="44"/>
  <c r="Z531" i="44"/>
  <c r="Z769" i="44"/>
  <c r="Z48" i="44"/>
  <c r="Z262" i="44"/>
  <c r="Z560" i="44"/>
  <c r="Z822" i="44"/>
  <c r="Z665" i="44"/>
  <c r="Z926" i="44"/>
  <c r="Z181" i="44"/>
  <c r="Z395" i="44"/>
  <c r="Z681" i="44"/>
  <c r="Z967" i="44"/>
  <c r="Z234" i="44"/>
  <c r="Z77" i="44"/>
  <c r="Z338" i="44"/>
  <c r="Z600" i="44"/>
  <c r="Z814" i="44"/>
  <c r="Z93" i="44"/>
  <c r="Z379" i="44"/>
  <c r="Z508" i="44"/>
  <c r="Z495" i="44"/>
  <c r="Z733" i="44"/>
  <c r="Z340" i="44"/>
  <c r="Z226" i="44"/>
  <c r="Z524" i="44"/>
  <c r="Z786" i="44"/>
  <c r="Z629" i="44"/>
  <c r="Z890" i="44"/>
  <c r="Z145" i="44"/>
  <c r="Z359" i="44"/>
  <c r="Z645" i="44"/>
  <c r="Z931" i="44"/>
  <c r="Z905" i="44"/>
  <c r="Z183" i="44"/>
  <c r="Z421" i="44"/>
  <c r="Z635" i="44"/>
  <c r="Z921" i="44"/>
  <c r="Z212" i="44"/>
  <c r="Z474" i="44"/>
  <c r="Z317" i="44"/>
  <c r="Z578" i="44"/>
  <c r="Z840" i="44"/>
  <c r="Z47" i="44"/>
  <c r="Z449" i="44"/>
  <c r="Z710" i="44"/>
  <c r="Z972" i="44"/>
  <c r="Z179" i="44"/>
  <c r="Z137" i="44"/>
  <c r="Z398" i="44"/>
  <c r="Z660" i="44"/>
  <c r="Z874" i="44"/>
  <c r="Z153" i="44"/>
  <c r="Z439" i="44"/>
  <c r="Z723" i="44"/>
  <c r="Z484" i="44"/>
  <c r="Z162" i="44"/>
  <c r="Z582" i="44"/>
  <c r="Z352" i="44"/>
  <c r="Z475" i="44"/>
  <c r="Z44" i="44"/>
  <c r="C19" i="35"/>
  <c r="C21" i="35"/>
  <c r="C25" i="35"/>
  <c r="C31" i="35"/>
  <c r="D37" i="35"/>
  <c r="Z413" i="44"/>
  <c r="Z674" i="44"/>
  <c r="Z936" i="44"/>
  <c r="Z143" i="44"/>
  <c r="Z429" i="44"/>
  <c r="Z715" i="44"/>
  <c r="D39" i="35"/>
  <c r="Z975" i="44"/>
  <c r="Z230" i="44"/>
  <c r="Z492" i="44"/>
  <c r="Z706" i="44"/>
  <c r="Z76" i="44"/>
  <c r="Z271" i="44"/>
  <c r="Z940" i="44"/>
  <c r="Z387" i="44"/>
  <c r="Z625" i="44"/>
  <c r="Z839" i="44"/>
  <c r="Z118" i="44"/>
  <c r="Z416" i="44"/>
  <c r="Z678" i="44"/>
  <c r="Z521" i="44"/>
  <c r="Z782" i="44"/>
  <c r="Z37" i="44"/>
  <c r="Z251" i="44"/>
  <c r="Z537" i="44"/>
  <c r="Z823" i="44"/>
  <c r="Z90" i="44"/>
  <c r="Z939" i="44"/>
  <c r="Z194" i="44"/>
  <c r="Z456" i="44"/>
  <c r="Z670" i="44"/>
  <c r="Z968" i="44"/>
  <c r="Z235" i="44"/>
  <c r="Z736" i="44"/>
  <c r="Z351" i="44"/>
  <c r="Z589" i="44"/>
  <c r="Z803" i="44"/>
  <c r="Z82" i="44"/>
  <c r="Z380" i="44"/>
  <c r="Z642" i="44"/>
  <c r="Z485" i="44"/>
  <c r="Z746" i="44"/>
  <c r="Z268" i="44"/>
  <c r="Z215" i="44"/>
  <c r="Z501" i="44"/>
  <c r="Z787" i="44"/>
  <c r="Z761" i="44"/>
  <c r="Z39" i="44"/>
  <c r="Z277" i="44"/>
  <c r="Z491" i="44"/>
  <c r="Z777" i="44"/>
  <c r="Z68" i="44"/>
  <c r="Z330" i="44"/>
  <c r="Z173" i="44"/>
  <c r="Z434" i="44"/>
  <c r="Z696" i="44"/>
  <c r="Z910" i="44"/>
  <c r="Z305" i="44"/>
  <c r="Z566" i="44"/>
  <c r="Z828" i="44"/>
  <c r="Z35" i="44"/>
  <c r="Z196" i="44"/>
  <c r="Z254" i="44"/>
  <c r="Z516" i="44"/>
  <c r="Z730" i="44"/>
  <c r="Z292" i="44"/>
  <c r="Z295" i="44"/>
  <c r="Z961" i="44"/>
  <c r="Z579" i="44"/>
  <c r="Z652" i="44"/>
  <c r="Z150" i="44"/>
  <c r="D21" i="35"/>
  <c r="D14" i="35"/>
  <c r="D25" i="35"/>
  <c r="D31" i="35"/>
  <c r="C37" i="35"/>
  <c r="Z269" i="44"/>
  <c r="Z530" i="44"/>
  <c r="Z792" i="44"/>
  <c r="Z112" i="44"/>
  <c r="Z285" i="44"/>
  <c r="Z571" i="44"/>
  <c r="Z844" i="44"/>
  <c r="Z831" i="44"/>
  <c r="Z86" i="44"/>
  <c r="Z348" i="44"/>
  <c r="Z562" i="44"/>
  <c r="Z860" i="44"/>
  <c r="Z127" i="44"/>
  <c r="Z965" i="44"/>
  <c r="Z243" i="44"/>
  <c r="Z481" i="44"/>
  <c r="Z695" i="44"/>
  <c r="Z923" i="44"/>
  <c r="Z272" i="44"/>
  <c r="Z534" i="44"/>
  <c r="Z377" i="44"/>
  <c r="Z638" i="44"/>
  <c r="Z900" i="44"/>
  <c r="Z107" i="44"/>
  <c r="Z393" i="44"/>
  <c r="Z679" i="44"/>
  <c r="Z868" i="44"/>
  <c r="Z795" i="44"/>
  <c r="Z50" i="44"/>
  <c r="Z312" i="44"/>
  <c r="Z526" i="44"/>
  <c r="Z824" i="44"/>
  <c r="Z91" i="44"/>
  <c r="Z929" i="44"/>
  <c r="Z207" i="44"/>
  <c r="Z445" i="44"/>
  <c r="Z659" i="44"/>
  <c r="Z945" i="44"/>
  <c r="Z236" i="44"/>
  <c r="Z498" i="44"/>
  <c r="Z341" i="44"/>
  <c r="Z602" i="44"/>
  <c r="Z864" i="44"/>
  <c r="Z71" i="44"/>
  <c r="Z357" i="44"/>
  <c r="Z643" i="44"/>
  <c r="Z617" i="44"/>
  <c r="Z878" i="44"/>
  <c r="Z133" i="44"/>
  <c r="Z347" i="44"/>
  <c r="Z633" i="44"/>
  <c r="Z919" i="44"/>
  <c r="Z186" i="44"/>
  <c r="Z29" i="44"/>
  <c r="D16" i="35"/>
  <c r="D19" i="35"/>
  <c r="C26" i="35"/>
  <c r="C32" i="35"/>
  <c r="C38" i="35"/>
  <c r="Z125" i="44"/>
  <c r="Z386" i="44"/>
  <c r="Z648" i="44"/>
  <c r="Z862" i="44"/>
  <c r="Z141" i="44"/>
  <c r="Z427" i="44"/>
  <c r="Z832" i="44"/>
  <c r="Z687" i="44"/>
  <c r="Z925" i="44"/>
  <c r="Z204" i="44"/>
  <c r="Z418" i="44"/>
  <c r="Z716" i="44"/>
  <c r="Z978" i="44"/>
  <c r="Z821" i="44"/>
  <c r="Z99" i="44"/>
  <c r="Z337" i="44"/>
  <c r="Z551" i="44"/>
  <c r="Z837" i="44"/>
  <c r="Z128" i="44"/>
  <c r="Z390" i="44"/>
  <c r="Z233" i="44"/>
  <c r="Z494" i="44"/>
  <c r="Z756" i="44"/>
  <c r="Z970" i="44"/>
  <c r="Z249" i="44"/>
  <c r="Z535" i="44"/>
  <c r="Z520" i="44"/>
  <c r="Z651" i="44"/>
  <c r="Z889" i="44"/>
  <c r="Z168" i="44"/>
  <c r="Z382" i="44"/>
  <c r="Z680" i="44"/>
  <c r="Z942" i="44"/>
  <c r="Z785" i="44"/>
  <c r="Z63" i="44"/>
  <c r="Z301" i="44"/>
  <c r="Z515" i="44"/>
  <c r="Z801" i="44"/>
  <c r="Z92" i="44"/>
  <c r="Z354" i="44"/>
  <c r="Z197" i="44"/>
  <c r="Z458" i="44"/>
  <c r="Z720" i="44"/>
  <c r="Z934" i="44"/>
  <c r="Z213" i="44"/>
  <c r="Z499" i="44"/>
  <c r="Z473" i="44"/>
  <c r="Z734" i="44"/>
  <c r="Z88" i="44"/>
  <c r="Z203" i="44"/>
  <c r="Z489" i="44"/>
  <c r="Z775" i="44"/>
  <c r="Z42" i="44"/>
  <c r="Z891" i="44"/>
  <c r="Z146" i="44"/>
  <c r="Z408" i="44"/>
  <c r="Z622" i="44"/>
  <c r="Z436" i="44"/>
  <c r="Z278" i="44"/>
  <c r="Z540" i="44"/>
  <c r="Z448" i="44"/>
  <c r="Z711" i="44"/>
  <c r="Z949" i="44"/>
  <c r="Z228" i="44"/>
  <c r="Z442" i="44"/>
  <c r="Z740" i="44"/>
  <c r="Z208" i="44"/>
  <c r="Z610" i="44"/>
  <c r="Z96" i="44"/>
  <c r="Z673" i="44"/>
  <c r="Z291" i="44"/>
  <c r="Z869" i="44"/>
  <c r="Z30" i="44"/>
  <c r="Z450" i="44"/>
  <c r="C22" i="35"/>
  <c r="C14" i="35"/>
  <c r="D26" i="35"/>
  <c r="D32" i="35"/>
  <c r="D38" i="35"/>
  <c r="Z52" i="44"/>
  <c r="Z242" i="44"/>
  <c r="Z504" i="44"/>
  <c r="Z718" i="44"/>
  <c r="Z160" i="44"/>
  <c r="Z283" i="44"/>
  <c r="Z820" i="44"/>
  <c r="Z543" i="44"/>
  <c r="Z781" i="44"/>
  <c r="Z60" i="44"/>
  <c r="Z274" i="44"/>
  <c r="Z572" i="44"/>
  <c r="Z834" i="44"/>
  <c r="Z677" i="44"/>
  <c r="Z938" i="44"/>
  <c r="Z193" i="44"/>
  <c r="Z407" i="44"/>
  <c r="Z693" i="44"/>
  <c r="Z979" i="44"/>
  <c r="Z246" i="44"/>
  <c r="Z89" i="44"/>
  <c r="Z350" i="44"/>
  <c r="Z612" i="44"/>
  <c r="Z826" i="44"/>
  <c r="Z105" i="44"/>
  <c r="Z391" i="44"/>
  <c r="Z568" i="44"/>
  <c r="Z507" i="44"/>
  <c r="Z745" i="44"/>
  <c r="Z24" i="44"/>
  <c r="Z238" i="44"/>
  <c r="Z536" i="44"/>
  <c r="Z798" i="44"/>
  <c r="Z641" i="44"/>
  <c r="Z902" i="44"/>
  <c r="Z157" i="44"/>
  <c r="Z371" i="44"/>
  <c r="Z657" i="44"/>
  <c r="Z943" i="44"/>
  <c r="Z210" i="44"/>
  <c r="Z53" i="44"/>
  <c r="Z314" i="44"/>
  <c r="Z576" i="44"/>
  <c r="Z790" i="44"/>
  <c r="Z69" i="44"/>
  <c r="Z355" i="44"/>
  <c r="Z329" i="44"/>
  <c r="Z590" i="44"/>
  <c r="Z852" i="44"/>
  <c r="Z59" i="44"/>
  <c r="Z345" i="44"/>
  <c r="Z631" i="44"/>
  <c r="Z556" i="44"/>
  <c r="Z747" i="44"/>
  <c r="Z232" i="44"/>
  <c r="Z264" i="44"/>
  <c r="Z478" i="44"/>
  <c r="Z879" i="44"/>
  <c r="Z134" i="44"/>
  <c r="Z396" i="44"/>
  <c r="Z976" i="44"/>
  <c r="Z567" i="44"/>
  <c r="Z805" i="44"/>
  <c r="Z84" i="44"/>
  <c r="Z298" i="44"/>
  <c r="Z596" i="44"/>
  <c r="Z858" i="44"/>
  <c r="Z304" i="44"/>
  <c r="Z598" i="44"/>
  <c r="Z887" i="44"/>
  <c r="D23" i="35"/>
  <c r="I23" i="35" s="1"/>
  <c r="D18" i="35"/>
  <c r="C27" i="35"/>
  <c r="D33" i="35"/>
  <c r="Z952" i="44"/>
  <c r="Z843" i="44"/>
  <c r="Z98" i="44"/>
  <c r="Z360" i="44"/>
  <c r="Z574" i="44"/>
  <c r="Z872" i="44"/>
  <c r="Z139" i="44"/>
  <c r="Z472" i="44"/>
  <c r="Z399" i="44"/>
  <c r="Z637" i="44"/>
  <c r="Z851" i="44"/>
  <c r="Z130" i="44"/>
  <c r="Z428" i="44"/>
  <c r="Z690" i="44"/>
  <c r="Z533" i="44"/>
  <c r="Z794" i="44"/>
  <c r="Z49" i="44"/>
  <c r="Z263" i="44"/>
  <c r="Z549" i="44"/>
  <c r="Z835" i="44"/>
  <c r="Z102" i="44"/>
  <c r="Z951" i="44"/>
  <c r="Z206" i="44"/>
  <c r="Z468" i="44"/>
  <c r="Z682" i="44"/>
  <c r="Z980" i="44"/>
  <c r="Z247" i="44"/>
  <c r="Z796" i="44"/>
  <c r="Z363" i="44"/>
  <c r="Z601" i="44"/>
  <c r="Z815" i="44"/>
  <c r="Z94" i="44"/>
  <c r="Z392" i="44"/>
  <c r="Z654" i="44"/>
  <c r="Z497" i="44"/>
  <c r="Z758" i="44"/>
  <c r="Z412" i="44"/>
  <c r="Z227" i="44"/>
  <c r="Z513" i="44"/>
  <c r="Z799" i="44"/>
  <c r="Z66" i="44"/>
  <c r="Z915" i="44"/>
  <c r="Z170" i="44"/>
  <c r="Z432" i="44"/>
  <c r="Z646" i="44"/>
  <c r="Z944" i="44"/>
  <c r="Z211" i="44"/>
  <c r="Z185" i="44"/>
  <c r="Z446" i="44"/>
  <c r="Z708" i="44"/>
  <c r="Z922" i="44"/>
  <c r="Z201" i="44"/>
  <c r="Z487" i="44"/>
  <c r="Z676" i="44"/>
  <c r="Z603" i="44"/>
  <c r="Z841" i="44"/>
  <c r="Z120" i="44"/>
  <c r="Z532" i="44"/>
  <c r="Z735" i="44"/>
  <c r="Z136" i="44"/>
  <c r="Z252" i="44"/>
  <c r="Z604" i="44"/>
  <c r="Z423" i="44"/>
  <c r="Z661" i="44"/>
  <c r="Z875" i="44"/>
  <c r="Z154" i="44"/>
  <c r="Z452" i="44"/>
  <c r="Z714" i="44"/>
  <c r="Z453" i="44"/>
  <c r="Z909" i="44"/>
  <c r="Z466" i="44"/>
  <c r="Z743" i="44"/>
  <c r="Z385" i="44"/>
  <c r="Z244" i="44"/>
  <c r="Z842" i="44"/>
  <c r="C12" i="35"/>
  <c r="C13" i="35"/>
  <c r="D27" i="35"/>
  <c r="C33" i="35"/>
  <c r="Z916" i="44"/>
  <c r="Z699" i="44"/>
  <c r="Z937" i="44"/>
  <c r="Z216" i="44"/>
  <c r="Z430" i="44"/>
  <c r="Z728" i="44"/>
  <c r="Z40" i="44"/>
  <c r="Z977" i="44"/>
  <c r="Z255" i="44"/>
  <c r="Z493" i="44"/>
  <c r="Z707" i="44"/>
  <c r="Z959" i="44"/>
  <c r="Z284" i="44"/>
  <c r="Z546" i="44"/>
  <c r="Z389" i="44"/>
  <c r="Z650" i="44"/>
  <c r="Z912" i="44"/>
  <c r="Z119" i="44"/>
  <c r="Z405" i="44"/>
  <c r="Z691" i="44"/>
  <c r="Z928" i="44"/>
  <c r="Z807" i="44"/>
  <c r="Z62" i="44"/>
  <c r="Z324" i="44"/>
  <c r="Z538" i="44"/>
  <c r="Z836" i="44"/>
  <c r="Z103" i="44"/>
  <c r="Z941" i="44"/>
  <c r="Z219" i="44"/>
  <c r="Z457" i="44"/>
  <c r="Z671" i="44"/>
  <c r="Z957" i="44"/>
  <c r="Z248" i="44"/>
  <c r="Z510" i="44"/>
  <c r="Z353" i="44"/>
  <c r="Z614" i="44"/>
  <c r="Z876" i="44"/>
  <c r="Z83" i="44"/>
  <c r="Z369" i="44"/>
  <c r="Z655" i="44"/>
  <c r="Z688" i="44"/>
  <c r="Z771" i="44"/>
  <c r="Z26" i="44"/>
  <c r="Z288" i="44"/>
  <c r="Z502" i="44"/>
  <c r="Z800" i="44"/>
  <c r="Z67" i="44"/>
  <c r="Z41" i="44"/>
  <c r="Z302" i="44"/>
  <c r="Z564" i="44"/>
  <c r="Z778" i="44"/>
  <c r="Z57" i="44"/>
  <c r="Z343" i="44"/>
  <c r="Z784" i="44"/>
  <c r="Z459" i="44"/>
  <c r="Z697" i="44"/>
  <c r="Z911" i="44"/>
  <c r="Z580" i="44"/>
  <c r="Z591" i="44"/>
  <c r="Z829" i="44"/>
  <c r="Z108" i="44"/>
  <c r="Z64" i="44"/>
  <c r="Z279" i="44"/>
  <c r="Z517" i="44"/>
  <c r="Z731" i="44"/>
  <c r="Z184" i="44"/>
  <c r="Z308" i="44"/>
  <c r="Z570" i="44"/>
  <c r="Z896" i="44"/>
  <c r="Z333" i="44"/>
  <c r="Z897" i="44"/>
  <c r="Z454" i="44"/>
  <c r="Z599" i="44"/>
  <c r="Z241" i="44"/>
  <c r="Z97" i="44"/>
  <c r="Z960" i="44"/>
  <c r="Z816" i="44"/>
  <c r="Z384" i="44"/>
  <c r="Z316" i="44"/>
  <c r="Z307" i="44"/>
  <c r="Z135" i="52"/>
  <c r="C16" i="35"/>
  <c r="D17" i="35"/>
  <c r="D28" i="35"/>
  <c r="C34" i="35"/>
  <c r="Z892" i="44"/>
  <c r="Z555" i="44"/>
  <c r="Z793" i="44"/>
  <c r="Z72" i="44"/>
  <c r="Z286" i="44"/>
  <c r="Z584" i="44"/>
  <c r="Z846" i="44"/>
  <c r="Z833" i="44"/>
  <c r="Z111" i="44"/>
  <c r="Z349" i="44"/>
  <c r="Z563" i="44"/>
  <c r="Z849" i="44"/>
  <c r="Z140" i="44"/>
  <c r="Z402" i="44"/>
  <c r="Z245" i="44"/>
  <c r="Z506" i="44"/>
  <c r="Z768" i="44"/>
  <c r="Z935" i="44"/>
  <c r="Z261" i="44"/>
  <c r="Z547" i="44"/>
  <c r="Z628" i="44"/>
  <c r="Z663" i="44"/>
  <c r="Z901" i="44"/>
  <c r="Z180" i="44"/>
  <c r="Z394" i="44"/>
  <c r="Z692" i="44"/>
  <c r="Z954" i="44"/>
  <c r="Z797" i="44"/>
  <c r="Z75" i="44"/>
  <c r="Z313" i="44"/>
  <c r="Z527" i="44"/>
  <c r="Z813" i="44"/>
  <c r="Z104" i="44"/>
  <c r="Z366" i="44"/>
  <c r="Z209" i="44"/>
  <c r="Z470" i="44"/>
  <c r="Z732" i="44"/>
  <c r="Z946" i="44"/>
  <c r="Z225" i="44"/>
  <c r="Z511" i="44"/>
  <c r="Z808" i="44"/>
  <c r="Z627" i="44"/>
  <c r="Z865" i="44"/>
  <c r="Z144" i="44"/>
  <c r="Z358" i="44"/>
  <c r="Z656" i="44"/>
  <c r="Z918" i="44"/>
  <c r="Z903" i="44"/>
  <c r="Z158" i="44"/>
  <c r="Z420" i="44"/>
  <c r="Z634" i="44"/>
  <c r="Z932" i="44"/>
  <c r="Z199" i="44"/>
  <c r="Z496" i="44"/>
  <c r="Z315" i="44"/>
  <c r="Z553" i="44"/>
  <c r="Z767" i="44"/>
  <c r="Z700" i="44"/>
  <c r="Z447" i="44"/>
  <c r="Z685" i="44"/>
  <c r="Z899" i="44"/>
  <c r="Z857" i="44"/>
  <c r="Z135" i="44"/>
  <c r="Z373" i="44"/>
  <c r="Z587" i="44"/>
  <c r="Z873" i="44"/>
  <c r="Z164" i="44"/>
  <c r="Z426" i="44"/>
  <c r="Z320" i="44"/>
  <c r="Z776" i="44"/>
  <c r="Z321" i="44"/>
  <c r="D12" i="35"/>
  <c r="D15" i="35"/>
  <c r="C28" i="35"/>
  <c r="D34" i="35"/>
  <c r="Z544" i="44"/>
  <c r="Z411" i="44"/>
  <c r="Z649" i="44"/>
  <c r="Z863" i="44"/>
  <c r="Z142" i="44"/>
  <c r="Z440" i="44"/>
  <c r="Z702" i="44"/>
  <c r="Z689" i="44"/>
  <c r="Z950" i="44"/>
  <c r="Z205" i="44"/>
  <c r="Z419" i="44"/>
  <c r="Z705" i="44"/>
  <c r="Z148" i="44"/>
  <c r="Z258" i="44"/>
  <c r="Z101" i="44"/>
  <c r="Z362" i="44"/>
  <c r="Z624" i="44"/>
  <c r="Z838" i="44"/>
  <c r="Z117" i="44"/>
  <c r="Z403" i="44"/>
  <c r="Z640" i="44"/>
  <c r="Z519" i="44"/>
  <c r="Z757" i="44"/>
  <c r="Z36" i="44"/>
  <c r="Z250" i="44"/>
  <c r="Z548" i="44"/>
  <c r="Z810" i="44"/>
  <c r="Z653" i="44"/>
  <c r="Z914" i="44"/>
  <c r="Z169" i="44"/>
  <c r="Z383" i="44"/>
  <c r="Z669" i="44"/>
  <c r="Z955" i="44"/>
  <c r="Z222" i="44"/>
  <c r="Z65" i="44"/>
  <c r="Z326" i="44"/>
  <c r="Z588" i="44"/>
  <c r="Z802" i="44"/>
  <c r="Z81" i="44"/>
  <c r="Z367" i="44"/>
  <c r="Z964" i="44"/>
  <c r="Z483" i="44"/>
  <c r="Z721" i="44"/>
  <c r="Z172" i="44"/>
  <c r="Z214" i="44"/>
  <c r="Z512" i="44"/>
  <c r="Z616" i="44"/>
  <c r="Z759" i="44"/>
  <c r="Z364" i="44"/>
  <c r="Z276" i="44"/>
  <c r="Z490" i="44"/>
  <c r="Z788" i="44"/>
  <c r="Z55" i="44"/>
  <c r="Z893" i="44"/>
  <c r="Z171" i="44"/>
  <c r="Z409" i="44"/>
  <c r="Z623" i="44"/>
  <c r="Z388" i="44"/>
  <c r="Z303" i="44"/>
  <c r="Z541" i="44"/>
  <c r="Z755" i="44"/>
  <c r="Z713" i="44"/>
  <c r="Z124" i="44"/>
  <c r="Z229" i="44"/>
  <c r="Z443" i="44"/>
  <c r="Z729" i="44"/>
  <c r="Z400" i="44"/>
  <c r="Z282" i="44"/>
  <c r="Z739" i="44"/>
  <c r="Z200" i="44"/>
  <c r="Z764" i="44"/>
  <c r="Z309" i="44"/>
  <c r="Z765" i="44"/>
  <c r="Z322" i="44"/>
  <c r="D13" i="35"/>
  <c r="I13" i="35" s="1"/>
  <c r="D20" i="35"/>
  <c r="D29" i="35"/>
  <c r="D35" i="35"/>
  <c r="Z845" i="44"/>
  <c r="Z123" i="44"/>
  <c r="Z361" i="44"/>
  <c r="Z575" i="44"/>
  <c r="Z861" i="44"/>
  <c r="Z152" i="44"/>
  <c r="Z414" i="44"/>
  <c r="Z401" i="44"/>
  <c r="Z662" i="44"/>
  <c r="Z924" i="44"/>
  <c r="Z131" i="44"/>
  <c r="Z417" i="44"/>
  <c r="Z703" i="44"/>
  <c r="Z712" i="44"/>
  <c r="Z819" i="44"/>
  <c r="Z74" i="44"/>
  <c r="Z336" i="44"/>
  <c r="Z550" i="44"/>
  <c r="Z848" i="44"/>
  <c r="Z115" i="44"/>
  <c r="Z953" i="44"/>
  <c r="Z231" i="44"/>
  <c r="Z469" i="44"/>
  <c r="Z683" i="44"/>
  <c r="Z969" i="44"/>
  <c r="Z260" i="44"/>
  <c r="Z522" i="44"/>
  <c r="Z365" i="44"/>
  <c r="Z626" i="44"/>
  <c r="Z888" i="44"/>
  <c r="Z95" i="44"/>
  <c r="Z381" i="44"/>
  <c r="Z667" i="44"/>
  <c r="Z772" i="44"/>
  <c r="Z783" i="44"/>
  <c r="Z38" i="44"/>
  <c r="Z300" i="44"/>
  <c r="Z514" i="44"/>
  <c r="Z812" i="44"/>
  <c r="Z79" i="44"/>
  <c r="Z917" i="44"/>
  <c r="Z195" i="44"/>
  <c r="Z433" i="44"/>
  <c r="Z647" i="44"/>
  <c r="Z933" i="44"/>
  <c r="Z224" i="44"/>
  <c r="Z856" i="44"/>
  <c r="Z471" i="44"/>
  <c r="Z709" i="44"/>
  <c r="Z28" i="44"/>
  <c r="Z202" i="44"/>
  <c r="Z500" i="44"/>
  <c r="Z762" i="44"/>
  <c r="Z605" i="44"/>
  <c r="Z866" i="44"/>
  <c r="Z121" i="44"/>
  <c r="Z335" i="44"/>
  <c r="Z737" i="44"/>
  <c r="Z376" i="44"/>
  <c r="Z253" i="44"/>
  <c r="Z467" i="44"/>
  <c r="Z425" i="44"/>
  <c r="Z686" i="44"/>
  <c r="Z948" i="44"/>
  <c r="Z155" i="44"/>
  <c r="Z441" i="44"/>
  <c r="Z727" i="44"/>
  <c r="C39" i="35"/>
  <c r="C17" i="35"/>
  <c r="Z806" i="44"/>
  <c r="Z880" i="44"/>
  <c r="Z811" i="44"/>
  <c r="Z70" i="44"/>
  <c r="Z265" i="44"/>
  <c r="Z569" i="44"/>
  <c r="Z138" i="44"/>
  <c r="Z885" i="44"/>
  <c r="Z455" i="44"/>
  <c r="Z870" i="44"/>
  <c r="Z293" i="44"/>
  <c r="Z742" i="44"/>
  <c r="Z464" i="44"/>
  <c r="Z738" i="44"/>
  <c r="Z26" i="52"/>
  <c r="Z43" i="52"/>
  <c r="Z210" i="52"/>
  <c r="Z536" i="52"/>
  <c r="Z574" i="52"/>
  <c r="Z588" i="52"/>
  <c r="Z255" i="52"/>
  <c r="Z903" i="52"/>
  <c r="Z326" i="52"/>
  <c r="Z654" i="52"/>
  <c r="Z165" i="52"/>
  <c r="Z167" i="52"/>
  <c r="Z169" i="52"/>
  <c r="Z911" i="52"/>
  <c r="Z771" i="52"/>
  <c r="Z194" i="52"/>
  <c r="Z522" i="52"/>
  <c r="Z848" i="52"/>
  <c r="Z886" i="52"/>
  <c r="Z900" i="52"/>
  <c r="Z280" i="52"/>
  <c r="Z281" i="52"/>
  <c r="Z485" i="52"/>
  <c r="Z739" i="52"/>
  <c r="Z909" i="52"/>
  <c r="Z52" i="52"/>
  <c r="Z856" i="52"/>
  <c r="Z650" i="52"/>
  <c r="Z319" i="52"/>
  <c r="Z489" i="52"/>
  <c r="Z491" i="52"/>
  <c r="Z493" i="52"/>
  <c r="Z591" i="52"/>
  <c r="Z208" i="52"/>
  <c r="Z126" i="52"/>
  <c r="Z452" i="52"/>
  <c r="Z490" i="52"/>
  <c r="Z292" i="52"/>
  <c r="Z880" i="52"/>
  <c r="Z674" i="52"/>
  <c r="Z343" i="52"/>
  <c r="Z513" i="52"/>
  <c r="Z515" i="52"/>
  <c r="Z517" i="52"/>
  <c r="Z411" i="52"/>
  <c r="Z652" i="52"/>
  <c r="Z677" i="52"/>
  <c r="Z931" i="52"/>
  <c r="Z226" i="52"/>
  <c r="Z240" i="52"/>
  <c r="Z953" i="52"/>
  <c r="Z543" i="52"/>
  <c r="Z712" i="52"/>
  <c r="Z689" i="52"/>
  <c r="Z200" i="52"/>
  <c r="Z238" i="52"/>
  <c r="Z252" i="52"/>
  <c r="Z159" i="52"/>
  <c r="Z209" i="52"/>
  <c r="Z413" i="52"/>
  <c r="Z667" i="52"/>
  <c r="Z837" i="52"/>
  <c r="Z839" i="52"/>
  <c r="Z841" i="52"/>
  <c r="Z735" i="52"/>
  <c r="Z158" i="52"/>
  <c r="Z486" i="52"/>
  <c r="Z812" i="52"/>
  <c r="Z850" i="52"/>
  <c r="Z864" i="52"/>
  <c r="Z273" i="52"/>
  <c r="C23" i="35"/>
  <c r="Z61" i="44"/>
  <c r="Z375" i="44"/>
  <c r="Z78" i="44"/>
  <c r="Z368" i="44"/>
  <c r="Z552" i="44"/>
  <c r="Z855" i="44"/>
  <c r="Z240" i="44"/>
  <c r="Z752" i="44"/>
  <c r="Z753" i="44"/>
  <c r="Z438" i="44"/>
  <c r="Z554" i="44"/>
  <c r="Z34" i="44"/>
  <c r="Z266" i="44"/>
  <c r="Z46" i="44"/>
  <c r="Z579" i="52"/>
  <c r="Z187" i="52"/>
  <c r="Z354" i="52"/>
  <c r="Z680" i="52"/>
  <c r="Z718" i="52"/>
  <c r="Z732" i="52"/>
  <c r="Z68" i="52"/>
  <c r="Z412" i="52"/>
  <c r="Z470" i="52"/>
  <c r="Z798" i="52"/>
  <c r="Z309" i="52"/>
  <c r="Z311" i="52"/>
  <c r="Z313" i="52"/>
  <c r="Z363" i="52"/>
  <c r="Z915" i="52"/>
  <c r="Z338" i="52"/>
  <c r="Z666" i="52"/>
  <c r="Z177" i="52"/>
  <c r="Z179" i="52"/>
  <c r="Z181" i="52"/>
  <c r="Z96" i="52"/>
  <c r="Z316" i="52"/>
  <c r="Z629" i="52"/>
  <c r="Z883" i="52"/>
  <c r="Z178" i="52"/>
  <c r="Z555" i="52"/>
  <c r="Z196" i="52"/>
  <c r="Z794" i="52"/>
  <c r="Z463" i="52"/>
  <c r="Z633" i="52"/>
  <c r="Z635" i="52"/>
  <c r="Z637" i="52"/>
  <c r="Z86" i="52"/>
  <c r="Z103" i="52"/>
  <c r="Z270" i="52"/>
  <c r="Z596" i="52"/>
  <c r="Z634" i="52"/>
  <c r="Z220" i="52"/>
  <c r="Z400" i="52"/>
  <c r="Z818" i="52"/>
  <c r="Z487" i="52"/>
  <c r="Z657" i="52"/>
  <c r="Z659" i="52"/>
  <c r="Z661" i="52"/>
  <c r="Z49" i="52"/>
  <c r="Z78" i="52"/>
  <c r="Z821" i="52"/>
  <c r="Z332" i="52"/>
  <c r="Z370" i="52"/>
  <c r="Z384" i="52"/>
  <c r="Z956" i="52"/>
  <c r="Z61" i="52"/>
  <c r="Z90" i="52"/>
  <c r="Z833" i="52"/>
  <c r="Z344" i="52"/>
  <c r="Z382" i="52"/>
  <c r="Z396" i="52"/>
  <c r="Z24" i="52"/>
  <c r="Z63" i="52"/>
  <c r="Z557" i="52"/>
  <c r="Z811" i="52"/>
  <c r="Z981" i="52"/>
  <c r="Z120" i="52"/>
  <c r="Z970" i="52"/>
  <c r="Z879" i="52"/>
  <c r="Z302" i="52"/>
  <c r="Z630" i="52"/>
  <c r="Z141" i="52"/>
  <c r="Z143" i="52"/>
  <c r="Z145" i="52"/>
  <c r="Z275" i="52"/>
  <c r="Z176" i="52"/>
  <c r="Z937" i="52"/>
  <c r="Z688" i="52"/>
  <c r="Z221" i="52"/>
  <c r="C29" i="35"/>
  <c r="Z275" i="44"/>
  <c r="Z613" i="44"/>
  <c r="Z927" i="44"/>
  <c r="Z760" i="44"/>
  <c r="Z479" i="44"/>
  <c r="Z830" i="44"/>
  <c r="Z163" i="44"/>
  <c r="Z176" i="44"/>
  <c r="Z177" i="44"/>
  <c r="Z437" i="44"/>
  <c r="Z328" i="44"/>
  <c r="Z465" i="44"/>
  <c r="Z672" i="44"/>
  <c r="Z477" i="44"/>
  <c r="Z747" i="52"/>
  <c r="Z170" i="52"/>
  <c r="Z498" i="52"/>
  <c r="Z824" i="52"/>
  <c r="Z862" i="52"/>
  <c r="Z876" i="52"/>
  <c r="Z279" i="52"/>
  <c r="Z820" i="52"/>
  <c r="Z614" i="52"/>
  <c r="Z283" i="52"/>
  <c r="Z453" i="52"/>
  <c r="Z455" i="52"/>
  <c r="Z457" i="52"/>
  <c r="Z80" i="52"/>
  <c r="Z508" i="52"/>
  <c r="Z482" i="52"/>
  <c r="Z810" i="52"/>
  <c r="Z321" i="52"/>
  <c r="Z323" i="52"/>
  <c r="Z325" i="52"/>
  <c r="Z58" i="52"/>
  <c r="Z30" i="52"/>
  <c r="Z773" i="52"/>
  <c r="Z284" i="52"/>
  <c r="Z322" i="52"/>
  <c r="Z71" i="52"/>
  <c r="Z125" i="52"/>
  <c r="Z353" i="52"/>
  <c r="Z607" i="52"/>
  <c r="Z777" i="52"/>
  <c r="Z779" i="52"/>
  <c r="Z781" i="52"/>
  <c r="Z663" i="52"/>
  <c r="Z247" i="52"/>
  <c r="Z414" i="52"/>
  <c r="Z740" i="52"/>
  <c r="Z778" i="52"/>
  <c r="Z95" i="52"/>
  <c r="Z173" i="52"/>
  <c r="Z377" i="52"/>
  <c r="Z631" i="52"/>
  <c r="Z801" i="52"/>
  <c r="Z803" i="52"/>
  <c r="Z805" i="52"/>
  <c r="Z268" i="52"/>
  <c r="Z448" i="52"/>
  <c r="Z150" i="52"/>
  <c r="Z476" i="52"/>
  <c r="Z514" i="52"/>
  <c r="Z528" i="52"/>
  <c r="Z972" i="52"/>
  <c r="Z364" i="52"/>
  <c r="Z556" i="52"/>
  <c r="Z162" i="52"/>
  <c r="Z488" i="52"/>
  <c r="Z526" i="52"/>
  <c r="Z540" i="52"/>
  <c r="Z76" i="52"/>
  <c r="Z29" i="52"/>
  <c r="Z701" i="52"/>
  <c r="Z212" i="52"/>
  <c r="Z250" i="52"/>
  <c r="C35" i="35"/>
  <c r="Z561" i="44"/>
  <c r="Z827" i="44"/>
  <c r="Z182" i="44"/>
  <c r="Z615" i="44"/>
  <c r="Z766" i="44"/>
  <c r="Z110" i="44"/>
  <c r="Z606" i="44"/>
  <c r="Z486" i="44"/>
  <c r="Z463" i="44"/>
  <c r="Z698" i="44"/>
  <c r="Z178" i="44"/>
  <c r="Z908" i="44"/>
  <c r="Z883" i="44"/>
  <c r="Z294" i="44"/>
  <c r="Z891" i="52"/>
  <c r="Z314" i="52"/>
  <c r="Z642" i="52"/>
  <c r="Z153" i="52"/>
  <c r="Z155" i="52"/>
  <c r="Z157" i="52"/>
  <c r="Z195" i="52"/>
  <c r="Z399" i="52"/>
  <c r="Z758" i="52"/>
  <c r="Z427" i="52"/>
  <c r="Z597" i="52"/>
  <c r="Z599" i="52"/>
  <c r="Z601" i="52"/>
  <c r="Z375" i="52"/>
  <c r="Z832" i="52"/>
  <c r="Z626" i="52"/>
  <c r="Z295" i="52"/>
  <c r="Z465" i="52"/>
  <c r="Z467" i="52"/>
  <c r="Z613" i="52"/>
  <c r="Z315" i="52"/>
  <c r="Z567" i="52"/>
  <c r="Z917" i="52"/>
  <c r="Z428" i="52"/>
  <c r="Z466" i="52"/>
  <c r="Z388" i="52"/>
  <c r="Z293" i="52"/>
  <c r="Z497" i="52"/>
  <c r="Z751" i="52"/>
  <c r="Z921" i="52"/>
  <c r="Z923" i="52"/>
  <c r="Z925" i="52"/>
  <c r="Z807" i="52"/>
  <c r="Z230" i="52"/>
  <c r="Z558" i="52"/>
  <c r="Z884" i="52"/>
  <c r="Z922" i="52"/>
  <c r="Z45" i="52"/>
  <c r="Z317" i="52"/>
  <c r="Z521" i="52"/>
  <c r="Z775" i="52"/>
  <c r="Z945" i="52"/>
  <c r="Z947" i="52"/>
  <c r="Z949" i="52"/>
  <c r="Z110" i="52"/>
  <c r="Z127" i="52"/>
  <c r="Z294" i="52"/>
  <c r="Z620" i="52"/>
  <c r="Z658" i="52"/>
  <c r="Z672" i="52"/>
  <c r="Z397" i="52"/>
  <c r="Z99" i="52"/>
  <c r="Z974" i="44"/>
  <c r="Z847" i="44"/>
  <c r="Z106" i="44"/>
  <c r="Z444" i="44"/>
  <c r="Z853" i="44"/>
  <c r="Z881" i="44"/>
  <c r="Z85" i="44"/>
  <c r="Z817" i="44"/>
  <c r="Z54" i="44"/>
  <c r="Z882" i="44"/>
  <c r="Z167" i="44"/>
  <c r="Z609" i="44"/>
  <c r="Z751" i="44"/>
  <c r="Z528" i="44"/>
  <c r="Z123" i="52"/>
  <c r="Z244" i="52"/>
  <c r="Z458" i="52"/>
  <c r="Z786" i="52"/>
  <c r="Z297" i="52"/>
  <c r="Z299" i="52"/>
  <c r="Z301" i="52"/>
  <c r="Z35" i="52"/>
  <c r="Z53" i="52"/>
  <c r="Z902" i="52"/>
  <c r="Z571" i="52"/>
  <c r="Z741" i="52"/>
  <c r="Z743" i="52"/>
  <c r="Z745" i="52"/>
  <c r="Z327" i="52"/>
  <c r="Z519" i="52"/>
  <c r="Z770" i="52"/>
  <c r="Z439" i="52"/>
  <c r="Z609" i="52"/>
  <c r="Z611" i="52"/>
  <c r="Z757" i="52"/>
  <c r="Z62" i="52"/>
  <c r="Z79" i="52"/>
  <c r="Z246" i="52"/>
  <c r="Z572" i="52"/>
  <c r="Z610" i="52"/>
  <c r="Z108" i="52"/>
  <c r="Z424" i="52"/>
  <c r="Z641" i="52"/>
  <c r="Z895" i="52"/>
  <c r="Z190" i="52"/>
  <c r="Z204" i="52"/>
  <c r="Z124" i="52"/>
  <c r="Z951" i="52"/>
  <c r="Z374" i="52"/>
  <c r="Z702" i="52"/>
  <c r="Z213" i="52"/>
  <c r="Z215" i="52"/>
  <c r="Z267" i="52"/>
  <c r="Z604" i="52"/>
  <c r="Z665" i="52"/>
  <c r="Z919" i="52"/>
  <c r="Z214" i="52"/>
  <c r="Z228" i="52"/>
  <c r="Z941" i="52"/>
  <c r="Z687" i="52"/>
  <c r="Z271" i="52"/>
  <c r="Z438" i="52"/>
  <c r="Z764" i="52"/>
  <c r="Z802" i="52"/>
  <c r="Z816" i="52"/>
  <c r="Z685" i="52"/>
  <c r="Z699" i="52"/>
  <c r="Z122" i="52"/>
  <c r="Z450" i="52"/>
  <c r="Z776" i="52"/>
  <c r="Z814" i="52"/>
  <c r="Z828" i="52"/>
  <c r="Z520" i="52"/>
  <c r="Z628" i="52"/>
  <c r="Z174" i="52"/>
  <c r="Z500" i="52"/>
  <c r="Z538" i="52"/>
  <c r="Z552" i="52"/>
  <c r="Z46" i="52"/>
  <c r="Z111" i="52"/>
  <c r="Z734" i="52"/>
  <c r="Z403" i="52"/>
  <c r="Z573" i="52"/>
  <c r="Z267" i="44"/>
  <c r="Z114" i="44"/>
  <c r="Z404" i="44"/>
  <c r="Z658" i="44"/>
  <c r="Z132" i="44"/>
  <c r="Z161" i="44"/>
  <c r="Z372" i="44"/>
  <c r="Z619" i="44"/>
  <c r="Z147" i="44"/>
  <c r="Z581" i="44"/>
  <c r="Z190" i="44"/>
  <c r="Z33" i="44"/>
  <c r="Z175" i="44"/>
  <c r="Z763" i="44"/>
  <c r="Z56" i="52"/>
  <c r="Z808" i="52"/>
  <c r="Z602" i="52"/>
  <c r="Z930" i="52"/>
  <c r="Z441" i="52"/>
  <c r="Z443" i="52"/>
  <c r="Z445" i="52"/>
  <c r="Z40" i="52"/>
  <c r="Z257" i="52"/>
  <c r="Z461" i="52"/>
  <c r="Z715" i="52"/>
  <c r="Z885" i="52"/>
  <c r="Z887" i="52"/>
  <c r="Z889" i="52"/>
  <c r="Z47" i="52"/>
  <c r="Z77" i="52"/>
  <c r="Z914" i="52"/>
  <c r="Z583" i="52"/>
  <c r="Z753" i="52"/>
  <c r="Z755" i="52"/>
  <c r="Z940" i="52"/>
  <c r="Z639" i="52"/>
  <c r="Z223" i="52"/>
  <c r="Z390" i="52"/>
  <c r="Z716" i="52"/>
  <c r="Z754" i="52"/>
  <c r="Z106" i="52"/>
  <c r="Z42" i="52"/>
  <c r="Z785" i="52"/>
  <c r="Z296" i="52"/>
  <c r="Z334" i="52"/>
  <c r="Z348" i="52"/>
  <c r="Z116" i="52"/>
  <c r="Z700" i="52"/>
  <c r="Z518" i="52"/>
  <c r="Z846" i="52"/>
  <c r="Z357" i="52"/>
  <c r="Z359" i="52"/>
  <c r="Z37" i="52"/>
  <c r="Z66" i="52"/>
  <c r="Z809" i="52"/>
  <c r="Z320" i="52"/>
  <c r="Z358" i="52"/>
  <c r="Z372" i="52"/>
  <c r="Z944" i="52"/>
  <c r="Z831" i="52"/>
  <c r="Z254" i="52"/>
  <c r="Z582" i="52"/>
  <c r="Z908" i="52"/>
  <c r="Z946" i="52"/>
  <c r="Z960" i="52"/>
  <c r="Z973" i="52"/>
  <c r="Z843" i="52"/>
  <c r="Z266" i="52"/>
  <c r="Z594" i="52"/>
  <c r="Z920" i="52"/>
  <c r="Z958" i="52"/>
  <c r="Z253" i="52"/>
  <c r="Z231" i="52"/>
  <c r="Z151" i="52"/>
  <c r="Z318" i="52"/>
  <c r="Z505" i="44"/>
  <c r="Z963" i="44"/>
  <c r="Z666" i="44"/>
  <c r="Z956" i="44"/>
  <c r="Z346" i="44"/>
  <c r="Z159" i="44"/>
  <c r="Z299" i="44"/>
  <c r="Z43" i="44"/>
  <c r="Z334" i="44"/>
  <c r="Z311" i="44"/>
  <c r="Z621" i="44"/>
  <c r="Z895" i="44"/>
  <c r="Z630" i="44"/>
  <c r="Z306" i="44"/>
  <c r="Z87" i="52"/>
  <c r="Z243" i="52"/>
  <c r="Z746" i="52"/>
  <c r="Z415" i="52"/>
  <c r="Z585" i="52"/>
  <c r="Z587" i="52"/>
  <c r="Z589" i="52"/>
  <c r="Z72" i="52"/>
  <c r="Z28" i="52"/>
  <c r="Z605" i="52"/>
  <c r="Z859" i="52"/>
  <c r="Z154" i="52"/>
  <c r="Z168" i="52"/>
  <c r="Z974" i="52"/>
  <c r="Z172" i="52"/>
  <c r="Z269" i="52"/>
  <c r="Z473" i="52"/>
  <c r="Z727" i="52"/>
  <c r="Z897" i="52"/>
  <c r="Z899" i="52"/>
  <c r="D40" i="35"/>
  <c r="Z783" i="52"/>
  <c r="Z206" i="52"/>
  <c r="Z534" i="52"/>
  <c r="Z860" i="52"/>
  <c r="Z898" i="52"/>
  <c r="Z447" i="52"/>
  <c r="Z112" i="52"/>
  <c r="Z929" i="52"/>
  <c r="Z440" i="52"/>
  <c r="Z478" i="52"/>
  <c r="Z492" i="52"/>
  <c r="Z160" i="52"/>
  <c r="Z868" i="52"/>
  <c r="Z662" i="52"/>
  <c r="Z331" i="52"/>
  <c r="Z501" i="52"/>
  <c r="Z503" i="52"/>
  <c r="Z148" i="52"/>
  <c r="Z328" i="52"/>
  <c r="Z138" i="52"/>
  <c r="Z464" i="52"/>
  <c r="Z502" i="52"/>
  <c r="Z516" i="52"/>
  <c r="Z352" i="52"/>
  <c r="Z975" i="52"/>
  <c r="Z398" i="52"/>
  <c r="Z726" i="52"/>
  <c r="Z237" i="52"/>
  <c r="Z239" i="52"/>
  <c r="Z241" i="52"/>
  <c r="Z460" i="52"/>
  <c r="Z147" i="52"/>
  <c r="Z410" i="52"/>
  <c r="Z738" i="52"/>
  <c r="Z249" i="52"/>
  <c r="Z251" i="52"/>
  <c r="Z541" i="52"/>
  <c r="Z711" i="52"/>
  <c r="Z134" i="52"/>
  <c r="Z462" i="52"/>
  <c r="Z788" i="52"/>
  <c r="Z826" i="52"/>
  <c r="Z840" i="52"/>
  <c r="Z351" i="52"/>
  <c r="Z233" i="52"/>
  <c r="Z437" i="52"/>
  <c r="Z691" i="52"/>
  <c r="Z861" i="52"/>
  <c r="Z719" i="44"/>
  <c r="Z218" i="44"/>
  <c r="Z509" i="44"/>
  <c r="Z223" i="44"/>
  <c r="Z644" i="44"/>
  <c r="Z422" i="44"/>
  <c r="Z586" i="44"/>
  <c r="Z435" i="44"/>
  <c r="Z189" i="44"/>
  <c r="Z310" i="44"/>
  <c r="Z45" i="44"/>
  <c r="Z319" i="44"/>
  <c r="Z198" i="44"/>
  <c r="Z886" i="44"/>
  <c r="Z82" i="52"/>
  <c r="Z41" i="52"/>
  <c r="Z890" i="52"/>
  <c r="Z559" i="52"/>
  <c r="Z729" i="52"/>
  <c r="Z731" i="52"/>
  <c r="Z733" i="52"/>
  <c r="Z544" i="52"/>
  <c r="Z137" i="52"/>
  <c r="Z749" i="52"/>
  <c r="Z260" i="52"/>
  <c r="Z298" i="52"/>
  <c r="Z312" i="52"/>
  <c r="Z978" i="52"/>
  <c r="Z84" i="52"/>
  <c r="Z184" i="52"/>
  <c r="Z617" i="52"/>
  <c r="Z871" i="52"/>
  <c r="Z166" i="52"/>
  <c r="Z180" i="52"/>
  <c r="Z459" i="52"/>
  <c r="Z927" i="52"/>
  <c r="Z350" i="52"/>
  <c r="Z678" i="52"/>
  <c r="Z189" i="52"/>
  <c r="Z191" i="52"/>
  <c r="Z74" i="52"/>
  <c r="Z91" i="52"/>
  <c r="Z258" i="52"/>
  <c r="Z584" i="52"/>
  <c r="Z622" i="52"/>
  <c r="Z636" i="52"/>
  <c r="Z100" i="52"/>
  <c r="Z304" i="52"/>
  <c r="Z806" i="52"/>
  <c r="Z475" i="52"/>
  <c r="Z645" i="52"/>
  <c r="Z647" i="52"/>
  <c r="Z98" i="52"/>
  <c r="Z115" i="52"/>
  <c r="Z282" i="52"/>
  <c r="Z608" i="52"/>
  <c r="Z646" i="52"/>
  <c r="Z660" i="52"/>
  <c r="Z140" i="52"/>
  <c r="Z748" i="52"/>
  <c r="Z542" i="52"/>
  <c r="Z870" i="52"/>
  <c r="Z381" i="52"/>
  <c r="Z383" i="52"/>
  <c r="Z385" i="52"/>
  <c r="Z152" i="52"/>
  <c r="Z760" i="52"/>
  <c r="Z554" i="52"/>
  <c r="Z882" i="52"/>
  <c r="Z393" i="52"/>
  <c r="Z395" i="52"/>
  <c r="Z829" i="52"/>
  <c r="Z855" i="52"/>
  <c r="Z278" i="52"/>
  <c r="Z606" i="52"/>
  <c r="Z932" i="52"/>
  <c r="Z119" i="52"/>
  <c r="Z121" i="52"/>
  <c r="Z48" i="52"/>
  <c r="Z339" i="52"/>
  <c r="Z581" i="52"/>
  <c r="Z835" i="52"/>
  <c r="Z130" i="52"/>
  <c r="Z144" i="52"/>
  <c r="Z950" i="52"/>
  <c r="Z100" i="44"/>
  <c r="Z480" i="44"/>
  <c r="Z770" i="44"/>
  <c r="Z664" i="44"/>
  <c r="Z906" i="44"/>
  <c r="Z397" i="44"/>
  <c r="Z585" i="44"/>
  <c r="Z188" i="44"/>
  <c r="Z632" i="44"/>
  <c r="Z741" i="44"/>
  <c r="Z907" i="44"/>
  <c r="Z750" i="44"/>
  <c r="Z149" i="44"/>
  <c r="Z597" i="44"/>
  <c r="Z495" i="52"/>
  <c r="Z245" i="52"/>
  <c r="Z449" i="52"/>
  <c r="Z703" i="52"/>
  <c r="Z873" i="52"/>
  <c r="Z875" i="52"/>
  <c r="Z877" i="52"/>
  <c r="Z75" i="52"/>
  <c r="Z303" i="52"/>
  <c r="Z893" i="52"/>
  <c r="Z404" i="52"/>
  <c r="Z442" i="52"/>
  <c r="Z456" i="52"/>
  <c r="Z469" i="52"/>
  <c r="Z69" i="52"/>
  <c r="Z161" i="52"/>
  <c r="Z761" i="52"/>
  <c r="Z272" i="52"/>
  <c r="Z310" i="52"/>
  <c r="Z324" i="52"/>
  <c r="Z92" i="52"/>
  <c r="Z616" i="52"/>
  <c r="Z494" i="52"/>
  <c r="Z822" i="52"/>
  <c r="Z333" i="52"/>
  <c r="Z479" i="52"/>
  <c r="Z651" i="52"/>
  <c r="Z235" i="52"/>
  <c r="Z402" i="52"/>
  <c r="Z728" i="52"/>
  <c r="Z296" i="44"/>
  <c r="Z694" i="44"/>
  <c r="Z25" i="44"/>
  <c r="Z339" i="44"/>
  <c r="Z749" i="44"/>
  <c r="Z684" i="44"/>
  <c r="Z884" i="44"/>
  <c r="Z607" i="44"/>
  <c r="Z894" i="44"/>
  <c r="Z165" i="44"/>
  <c r="Z331" i="44"/>
  <c r="Z318" i="44"/>
  <c r="Z424" i="44"/>
  <c r="Z754" i="44"/>
  <c r="Z60" i="52"/>
  <c r="Z507" i="52"/>
  <c r="Z593" i="52"/>
  <c r="Z847" i="52"/>
  <c r="Z142" i="52"/>
  <c r="Z156" i="52"/>
  <c r="Z962" i="52"/>
  <c r="Z38" i="52"/>
  <c r="Z55" i="52"/>
  <c r="Z222" i="52"/>
  <c r="Z548" i="52"/>
  <c r="Z586" i="52"/>
  <c r="Z600" i="52"/>
  <c r="Z901" i="52"/>
  <c r="Z183" i="52"/>
  <c r="Z423" i="52"/>
  <c r="Z905" i="52"/>
  <c r="Z416" i="52"/>
  <c r="Z454" i="52"/>
  <c r="Z468" i="52"/>
  <c r="Z531" i="52"/>
  <c r="Z844" i="52"/>
  <c r="Z638" i="52"/>
  <c r="Z307" i="52"/>
  <c r="Z477" i="52"/>
  <c r="Z767" i="52"/>
  <c r="Z795" i="52"/>
  <c r="Z218" i="52"/>
  <c r="Z546" i="52"/>
  <c r="Z872" i="52"/>
  <c r="Z910" i="52"/>
  <c r="Z924" i="52"/>
  <c r="Z532" i="52"/>
  <c r="Z305" i="52"/>
  <c r="Z509" i="52"/>
  <c r="Z763" i="52"/>
  <c r="Z933" i="52"/>
  <c r="Z935" i="52"/>
  <c r="Z819" i="52"/>
  <c r="Z242" i="52"/>
  <c r="Z570" i="52"/>
  <c r="Z896" i="52"/>
  <c r="Z934" i="52"/>
  <c r="Z948" i="52"/>
  <c r="Z340" i="52"/>
  <c r="Z472" i="52"/>
  <c r="Z830" i="52"/>
  <c r="Z499" i="52"/>
  <c r="Z669" i="52"/>
  <c r="Z671" i="52"/>
  <c r="Z673" i="52"/>
  <c r="Z484" i="52"/>
  <c r="Z580" i="52"/>
  <c r="Z842" i="52"/>
  <c r="Z511" i="52"/>
  <c r="Z681" i="52"/>
  <c r="Z683" i="52"/>
  <c r="Z164" i="52"/>
  <c r="Z772" i="52"/>
  <c r="Z566" i="52"/>
  <c r="Z894" i="52"/>
  <c r="Z405" i="52"/>
  <c r="Z407" i="52"/>
  <c r="Z409" i="52"/>
  <c r="Z545" i="44"/>
  <c r="Z259" i="44"/>
  <c r="Z525" i="44"/>
  <c r="Z791" i="44"/>
  <c r="Z290" i="44"/>
  <c r="Z898" i="44"/>
  <c r="Z151" i="44"/>
  <c r="Z529" i="44"/>
  <c r="Z725" i="44"/>
  <c r="Z451" i="44"/>
  <c r="Z342" i="44"/>
  <c r="Z122" i="44"/>
  <c r="Z410" i="44"/>
  <c r="Z726" i="44"/>
  <c r="Z109" i="52"/>
  <c r="Z171" i="52"/>
  <c r="Z881" i="52"/>
  <c r="Z392" i="52"/>
  <c r="Z430" i="52"/>
  <c r="Z444" i="52"/>
  <c r="Z623" i="52"/>
  <c r="Z759" i="52"/>
  <c r="Z182" i="52"/>
  <c r="Z510" i="52"/>
  <c r="Z836" i="52"/>
  <c r="Z874" i="52"/>
  <c r="Z888" i="52"/>
  <c r="Z335" i="52"/>
  <c r="Z627" i="52"/>
  <c r="Z211" i="52"/>
  <c r="Z378" i="52"/>
  <c r="Z704" i="52"/>
  <c r="Z742" i="52"/>
  <c r="Z756" i="52"/>
  <c r="Z59" i="52"/>
  <c r="Z101" i="52"/>
  <c r="Z926" i="52"/>
  <c r="Z595" i="52"/>
  <c r="Z765" i="52"/>
  <c r="Z104" i="52"/>
  <c r="Z664" i="52"/>
  <c r="Z506" i="52"/>
  <c r="Z834" i="52"/>
  <c r="Z345" i="52"/>
  <c r="Z347" i="52"/>
  <c r="Z349" i="52"/>
  <c r="Z25" i="52"/>
  <c r="Z54" i="52"/>
  <c r="Z797" i="52"/>
  <c r="Z308" i="52"/>
  <c r="Z346" i="52"/>
  <c r="Z128" i="52"/>
  <c r="Z736" i="52"/>
  <c r="Z530" i="52"/>
  <c r="Z858" i="52"/>
  <c r="Z369" i="52"/>
  <c r="Z371" i="52"/>
  <c r="Z373" i="52"/>
  <c r="Z117" i="52"/>
  <c r="Z329" i="52"/>
  <c r="Z533" i="52"/>
  <c r="Z787" i="52"/>
  <c r="Z957" i="52"/>
  <c r="Z959" i="52"/>
  <c r="Z961" i="52"/>
  <c r="Z94" i="52"/>
  <c r="Z341" i="52"/>
  <c r="Z545" i="52"/>
  <c r="Z799" i="52"/>
  <c r="Z969" i="52"/>
  <c r="Z971" i="52"/>
  <c r="Z33" i="52"/>
  <c r="Z640" i="52"/>
  <c r="Z854" i="52"/>
  <c r="Z523" i="52"/>
  <c r="Z693" i="52"/>
  <c r="Z695" i="52"/>
  <c r="Z697" i="52"/>
  <c r="Z483" i="52"/>
  <c r="Z175" i="52"/>
  <c r="Z342" i="52"/>
  <c r="Z668" i="52"/>
  <c r="Z558" i="44"/>
  <c r="Z920" i="44"/>
  <c r="Z692" i="52"/>
  <c r="Z782" i="52"/>
  <c r="Z83" i="52"/>
  <c r="Z675" i="52"/>
  <c r="Z436" i="52"/>
  <c r="Z529" i="52"/>
  <c r="Z632" i="52"/>
  <c r="Z102" i="52"/>
  <c r="Z263" i="52"/>
  <c r="Z70" i="52"/>
  <c r="Z198" i="52"/>
  <c r="Z562" i="52"/>
  <c r="Z433" i="52"/>
  <c r="Z277" i="52"/>
  <c r="Z504" i="52"/>
  <c r="Z561" i="52"/>
  <c r="Z979" i="52"/>
  <c r="Z207" i="52"/>
  <c r="Z65" i="52"/>
  <c r="Z857" i="52"/>
  <c r="Z656" i="52"/>
  <c r="Z131" i="52"/>
  <c r="C44" i="35"/>
  <c r="D50" i="35"/>
  <c r="C56" i="35"/>
  <c r="D62" i="35"/>
  <c r="C62" i="35"/>
  <c r="Z971" i="44"/>
  <c r="Z187" i="44"/>
  <c r="Z730" i="52"/>
  <c r="Z451" i="52"/>
  <c r="Z51" i="52"/>
  <c r="Z963" i="52"/>
  <c r="Z107" i="52"/>
  <c r="Z817" i="52"/>
  <c r="Z537" i="52"/>
  <c r="Z422" i="52"/>
  <c r="Z551" i="52"/>
  <c r="Z88" i="52"/>
  <c r="Z774" i="52"/>
  <c r="Z706" i="52"/>
  <c r="Z577" i="52"/>
  <c r="Z624" i="52"/>
  <c r="Z217" i="52"/>
  <c r="Z563" i="52"/>
  <c r="Z852" i="52"/>
  <c r="Z569" i="52"/>
  <c r="Z713" i="52"/>
  <c r="Z368" i="52"/>
  <c r="Z694" i="52"/>
  <c r="Z420" i="52"/>
  <c r="C45" i="35"/>
  <c r="C51" i="35"/>
  <c r="C57" i="35"/>
  <c r="C59" i="35"/>
  <c r="D61" i="35"/>
  <c r="Z239" i="44"/>
  <c r="Z376" i="52"/>
  <c r="Z744" i="52"/>
  <c r="Z621" i="52"/>
  <c r="Z149" i="52"/>
  <c r="Z259" i="52"/>
  <c r="Z892" i="52"/>
  <c r="Z568" i="52"/>
  <c r="Z825" i="52"/>
  <c r="Z710" i="52"/>
  <c r="Z264" i="52"/>
  <c r="Z796" i="52"/>
  <c r="Z918" i="52"/>
  <c r="Z287" i="52"/>
  <c r="Z721" i="52"/>
  <c r="Z913" i="52"/>
  <c r="Z793" i="52"/>
  <c r="Z564" i="52"/>
  <c r="Z936" i="52"/>
  <c r="Z823" i="52"/>
  <c r="Z224" i="52"/>
  <c r="Z406" i="52"/>
  <c r="Z336" i="52"/>
  <c r="Z133" i="52"/>
  <c r="D45" i="35"/>
  <c r="D51" i="35"/>
  <c r="D57" i="35"/>
  <c r="D64" i="35"/>
  <c r="Z577" i="44"/>
  <c r="Z113" i="52"/>
  <c r="Z943" i="52"/>
  <c r="Z603" i="52"/>
  <c r="Z496" i="52"/>
  <c r="Z386" i="52"/>
  <c r="Z185" i="52"/>
  <c r="Z27" i="52"/>
  <c r="Z670" i="52"/>
  <c r="Z845" i="52"/>
  <c r="Z408" i="52"/>
  <c r="Z724" i="52"/>
  <c r="Z547" i="52"/>
  <c r="Z431" i="52"/>
  <c r="Z865" i="52"/>
  <c r="Z968" i="52"/>
  <c r="Z955" i="52"/>
  <c r="Z853" i="52"/>
  <c r="Z219" i="52"/>
  <c r="Z118" i="52"/>
  <c r="Z262" i="52"/>
  <c r="Z216" i="52"/>
  <c r="Z912" i="52"/>
  <c r="Z709" i="52"/>
  <c r="D46" i="35"/>
  <c r="C52" i="35"/>
  <c r="C58" i="35"/>
  <c r="C64" i="35"/>
  <c r="Z27" i="44"/>
  <c r="Z737" i="52"/>
  <c r="Z50" i="52"/>
  <c r="Z939" i="52"/>
  <c r="Z365" i="52"/>
  <c r="Z426" i="52"/>
  <c r="Z686" i="52"/>
  <c r="Z904" i="52"/>
  <c r="Z539" i="52"/>
  <c r="Z750" i="52"/>
  <c r="Z696" i="52"/>
  <c r="Z89" i="52"/>
  <c r="Z236" i="52"/>
  <c r="Z575" i="52"/>
  <c r="Z32" i="52"/>
  <c r="Z276" i="52"/>
  <c r="Z967" i="52"/>
  <c r="Z361" i="52"/>
  <c r="Z425" i="52"/>
  <c r="Z132" i="52"/>
  <c r="Z192" i="52"/>
  <c r="Z792" i="52"/>
  <c r="Z625" i="52"/>
  <c r="Z942" i="52"/>
  <c r="C46" i="35"/>
  <c r="D52" i="35"/>
  <c r="D58" i="35"/>
  <c r="D53" i="35"/>
  <c r="Z611" i="44"/>
  <c r="Z248" i="52"/>
  <c r="Z67" i="52"/>
  <c r="Z362" i="52"/>
  <c r="Z653" i="52"/>
  <c r="Z714" i="52"/>
  <c r="Z389" i="52"/>
  <c r="Z197" i="52"/>
  <c r="Z827" i="52"/>
  <c r="Z379" i="52"/>
  <c r="Z265" i="52"/>
  <c r="Z39" i="52"/>
  <c r="Z380" i="52"/>
  <c r="Z719" i="52"/>
  <c r="Z471" i="52"/>
  <c r="Z976" i="52"/>
  <c r="Z337" i="52"/>
  <c r="Z474" i="52"/>
  <c r="Z679" i="52"/>
  <c r="Z708" i="52"/>
  <c r="Z768" i="52"/>
  <c r="Z505" i="52"/>
  <c r="Z965" i="52"/>
  <c r="C41" i="35"/>
  <c r="D47" i="35"/>
  <c r="C53" i="35"/>
  <c r="C61" i="35"/>
  <c r="Z871" i="44"/>
  <c r="Z286" i="52"/>
  <c r="Z234" i="52"/>
  <c r="Z690" i="52"/>
  <c r="Z619" i="52"/>
  <c r="Z752" i="52"/>
  <c r="Z355" i="52"/>
  <c r="Z139" i="52"/>
  <c r="Z684" i="52"/>
  <c r="Z356" i="52"/>
  <c r="Z553" i="52"/>
  <c r="Z31" i="52"/>
  <c r="Z524" i="52"/>
  <c r="Z863" i="52"/>
  <c r="Z434" i="52"/>
  <c r="Z977" i="52"/>
  <c r="Z186" i="52"/>
  <c r="Z93" i="52"/>
  <c r="Z849" i="52"/>
  <c r="Z421" i="52"/>
  <c r="Z481" i="52"/>
  <c r="Z964" i="52"/>
  <c r="Z800" i="52"/>
  <c r="D41" i="35"/>
  <c r="C47" i="35"/>
  <c r="D59" i="35"/>
  <c r="Z256" i="44"/>
  <c r="Z300" i="52"/>
  <c r="Z560" i="52"/>
  <c r="Z201" i="52"/>
  <c r="Z907" i="52"/>
  <c r="Z225" i="52"/>
  <c r="Z643" i="52"/>
  <c r="Z698" i="52"/>
  <c r="Z592" i="52"/>
  <c r="Z644" i="52"/>
  <c r="Z44" i="52"/>
  <c r="Z446" i="52"/>
  <c r="Z285" i="52"/>
  <c r="Z288" i="52"/>
  <c r="Z762" i="52"/>
  <c r="Z784" i="52"/>
  <c r="Z146" i="52"/>
  <c r="Z676" i="52"/>
  <c r="Z851" i="52"/>
  <c r="Z938" i="52"/>
  <c r="Z952" i="52"/>
  <c r="Z81" i="52"/>
  <c r="Z649" i="52"/>
  <c r="C42" i="35"/>
  <c r="D48" i="35"/>
  <c r="C54" i="35"/>
  <c r="D60" i="35"/>
  <c r="Z462" i="44"/>
  <c r="Z966" i="52"/>
  <c r="Z598" i="52"/>
  <c r="Z766" i="52"/>
  <c r="Z789" i="52"/>
  <c r="Z790" i="52"/>
  <c r="Z525" i="52"/>
  <c r="Z401" i="52"/>
  <c r="Z57" i="52"/>
  <c r="Z261" i="52"/>
  <c r="Z188" i="52"/>
  <c r="Z590" i="52"/>
  <c r="Z429" i="52"/>
  <c r="Z432" i="52"/>
  <c r="Z480" i="52"/>
  <c r="Z578" i="52"/>
  <c r="Z105" i="52"/>
  <c r="Z866" i="52"/>
  <c r="Z648" i="52"/>
  <c r="Z980" i="52"/>
  <c r="Z565" i="52"/>
  <c r="Z723" i="52"/>
  <c r="Z867" i="52"/>
  <c r="D42" i="35"/>
  <c r="C48" i="35"/>
  <c r="D54" i="35"/>
  <c r="C60" i="35"/>
  <c r="Z32" i="44"/>
  <c r="Z615" i="52"/>
  <c r="Z612" i="52"/>
  <c r="Z203" i="52"/>
  <c r="Z202" i="52"/>
  <c r="Z227" i="52"/>
  <c r="Z813" i="52"/>
  <c r="Z306" i="52"/>
  <c r="Z73" i="52"/>
  <c r="Z549" i="52"/>
  <c r="Z34" i="52"/>
  <c r="Z878" i="52"/>
  <c r="Z717" i="52"/>
  <c r="Z576" i="52"/>
  <c r="Z193" i="52"/>
  <c r="Z906" i="52"/>
  <c r="Z928" i="52"/>
  <c r="Z535" i="52"/>
  <c r="Z550" i="52"/>
  <c r="Z512" i="52"/>
  <c r="Z838" i="52"/>
  <c r="Z387" i="52"/>
  <c r="Z290" i="52"/>
  <c r="C43" i="35"/>
  <c r="C49" i="35"/>
  <c r="C55" i="35"/>
  <c r="D55" i="35"/>
  <c r="Z774" i="44"/>
  <c r="Z199" i="52"/>
  <c r="Z435" i="52"/>
  <c r="Z780" i="52"/>
  <c r="Z791" i="52"/>
  <c r="Z804" i="52"/>
  <c r="Z527" i="52"/>
  <c r="Z367" i="52"/>
  <c r="Z291" i="52"/>
  <c r="Z394" i="52"/>
  <c r="Z256" i="52"/>
  <c r="Z725" i="52"/>
  <c r="Z274" i="52"/>
  <c r="Z720" i="52"/>
  <c r="Z769" i="52"/>
  <c r="Z417" i="52"/>
  <c r="Z722" i="52"/>
  <c r="Z705" i="52"/>
  <c r="C40" i="35"/>
  <c r="Z360" i="52"/>
  <c r="Z85" i="52"/>
  <c r="Z163" i="52"/>
  <c r="Z618" i="52"/>
  <c r="D43" i="35"/>
  <c r="D49" i="35"/>
  <c r="Z867" i="44"/>
  <c r="Z366" i="52"/>
  <c r="Z64" i="52"/>
  <c r="Z205" i="52"/>
  <c r="Z232" i="52"/>
  <c r="Z229" i="52"/>
  <c r="Z815" i="52"/>
  <c r="Z655" i="52"/>
  <c r="Z916" i="52"/>
  <c r="Z682" i="52"/>
  <c r="Z97" i="52"/>
  <c r="Z869" i="52"/>
  <c r="Z418" i="52"/>
  <c r="Z289" i="52"/>
  <c r="Z954" i="52"/>
  <c r="Z419" i="52"/>
  <c r="Z391" i="52"/>
  <c r="Z707" i="52"/>
  <c r="Z36" i="52"/>
  <c r="Z136" i="52"/>
  <c r="Z114" i="52"/>
  <c r="Z330" i="52"/>
  <c r="Z129" i="52"/>
  <c r="D44" i="35"/>
  <c r="C50" i="35"/>
  <c r="D56" i="35"/>
  <c r="D65" i="35"/>
  <c r="C65" i="35"/>
  <c r="C66" i="35"/>
  <c r="D66" i="35"/>
  <c r="D67" i="35"/>
  <c r="C67" i="35"/>
  <c r="C68" i="35"/>
  <c r="D68" i="35"/>
  <c r="D69" i="35"/>
  <c r="C69" i="35"/>
  <c r="D70" i="35"/>
  <c r="I70" i="35" s="1"/>
  <c r="B71" i="35"/>
  <c r="C70" i="35"/>
  <c r="D11" i="35"/>
  <c r="C11" i="35"/>
  <c r="C6" i="35"/>
  <c r="D6" i="35"/>
  <c r="C7" i="35"/>
  <c r="D7" i="35"/>
  <c r="C8" i="35"/>
  <c r="D8" i="35"/>
  <c r="C9" i="35"/>
  <c r="D9" i="35"/>
  <c r="C10" i="35"/>
  <c r="D10" i="35"/>
  <c r="AQ24" i="42"/>
  <c r="BP42" i="42"/>
  <c r="Z23" i="44"/>
  <c r="Z23" i="52"/>
  <c r="AC337" i="19"/>
  <c r="AC322" i="19"/>
  <c r="AC255" i="19"/>
  <c r="AC351" i="19"/>
  <c r="AC336" i="19"/>
  <c r="AC320" i="19"/>
  <c r="AC280" i="19"/>
  <c r="AC319" i="19"/>
  <c r="AC91" i="19"/>
  <c r="AC331" i="19"/>
  <c r="AC330" i="19"/>
  <c r="AC628" i="19"/>
  <c r="AC329" i="19"/>
  <c r="AC314" i="19"/>
  <c r="AC326" i="19"/>
  <c r="AC571" i="19"/>
  <c r="AC325" i="19"/>
  <c r="AC257" i="19"/>
  <c r="AC709" i="19"/>
  <c r="AC324" i="19"/>
  <c r="AC256" i="19"/>
  <c r="D5" i="35"/>
  <c r="I5" i="35" s="1"/>
  <c r="C5" i="35"/>
  <c r="CM62" i="42"/>
  <c r="AT28" i="42"/>
  <c r="CJ62" i="42"/>
  <c r="AR28" i="42"/>
  <c r="CM61" i="42"/>
  <c r="AM28" i="42"/>
  <c r="CJ61" i="42"/>
  <c r="AJ28" i="42"/>
  <c r="CJ60" i="42"/>
  <c r="CJ59" i="42"/>
  <c r="CJ58" i="42"/>
  <c r="CJ57" i="42"/>
  <c r="AK29" i="42"/>
  <c r="AN29" i="42"/>
  <c r="AU29" i="42"/>
  <c r="AR29" i="42"/>
  <c r="Z22" i="53"/>
  <c r="Z22" i="55"/>
  <c r="Z22" i="52"/>
  <c r="Z22" i="54"/>
  <c r="Z22" i="44"/>
  <c r="K33" i="56"/>
  <c r="L33" i="56" s="1"/>
  <c r="J34" i="56"/>
  <c r="D4" i="35"/>
  <c r="C4" i="35"/>
  <c r="C21" i="36"/>
  <c r="AQ14" i="42"/>
  <c r="K24" i="17"/>
  <c r="L24" i="17" s="1"/>
  <c r="J25" i="17"/>
  <c r="C78" i="42"/>
  <c r="E76" i="42"/>
  <c r="F77" i="42"/>
  <c r="AP5" i="42"/>
  <c r="BW2" i="42"/>
  <c r="CC4" i="42" s="1"/>
  <c r="CE4" i="42" s="1"/>
  <c r="CG4" i="42" s="1"/>
  <c r="CA4" i="42"/>
  <c r="BC71" i="42"/>
  <c r="AR67" i="42"/>
  <c r="BC35" i="42"/>
  <c r="BK49" i="42"/>
  <c r="AL1" i="19"/>
  <c r="BC19" i="42"/>
  <c r="BC30" i="42"/>
  <c r="BC20" i="42"/>
  <c r="BC34" i="42"/>
  <c r="AL49" i="42"/>
  <c r="D999" i="19"/>
  <c r="D997" i="19"/>
  <c r="D995" i="19"/>
  <c r="D998" i="19"/>
  <c r="D996" i="19"/>
  <c r="BP40" i="42"/>
  <c r="BP44" i="42"/>
  <c r="AM24" i="42"/>
  <c r="AN26" i="42"/>
  <c r="AI39" i="35"/>
  <c r="AI38" i="35"/>
  <c r="AI37" i="35"/>
  <c r="AI36" i="35"/>
  <c r="AI35" i="35"/>
  <c r="AI34" i="35"/>
  <c r="AI33" i="35"/>
  <c r="AI32" i="35"/>
  <c r="AI31" i="35"/>
  <c r="AI30" i="35"/>
  <c r="AI29" i="35"/>
  <c r="AI28" i="35"/>
  <c r="AI27" i="35"/>
  <c r="AI26" i="35"/>
  <c r="W19" i="35"/>
  <c r="U19" i="35"/>
  <c r="W18" i="35"/>
  <c r="U18" i="35"/>
  <c r="E44" i="35" l="1"/>
  <c r="F44" i="35" s="1"/>
  <c r="I44" i="35" s="1"/>
  <c r="E21" i="35"/>
  <c r="E36" i="35"/>
  <c r="H36" i="35" s="1"/>
  <c r="E58" i="35"/>
  <c r="H58" i="35" s="1"/>
  <c r="E13" i="35"/>
  <c r="F13" i="35" s="1"/>
  <c r="E23" i="35"/>
  <c r="H23" i="35" s="1"/>
  <c r="E27" i="35"/>
  <c r="H27" i="35" s="1"/>
  <c r="E62" i="35"/>
  <c r="H62" i="35" s="1"/>
  <c r="E69" i="35"/>
  <c r="H69" i="35" s="1"/>
  <c r="E41" i="35"/>
  <c r="I41" i="35"/>
  <c r="E43" i="35"/>
  <c r="I43" i="35"/>
  <c r="I51" i="35"/>
  <c r="E51" i="35"/>
  <c r="I34" i="35"/>
  <c r="E34" i="35"/>
  <c r="I53" i="35"/>
  <c r="E53" i="35"/>
  <c r="I61" i="35"/>
  <c r="E61" i="35"/>
  <c r="I15" i="35"/>
  <c r="E15" i="35"/>
  <c r="E32" i="35"/>
  <c r="I32" i="35"/>
  <c r="J21" i="35"/>
  <c r="E12" i="35"/>
  <c r="I12" i="35"/>
  <c r="E26" i="35"/>
  <c r="I26" i="35"/>
  <c r="I69" i="35"/>
  <c r="I67" i="35"/>
  <c r="E67" i="35"/>
  <c r="E54" i="35"/>
  <c r="I54" i="35"/>
  <c r="E52" i="35"/>
  <c r="I52" i="35"/>
  <c r="E28" i="35"/>
  <c r="I28" i="35"/>
  <c r="I39" i="35"/>
  <c r="E39" i="35"/>
  <c r="I66" i="35"/>
  <c r="E66" i="35"/>
  <c r="I60" i="35"/>
  <c r="E60" i="35"/>
  <c r="J58" i="35"/>
  <c r="J62" i="35"/>
  <c r="I29" i="35"/>
  <c r="E29" i="35"/>
  <c r="I30" i="35"/>
  <c r="E30" i="35"/>
  <c r="J36" i="35"/>
  <c r="E42" i="35"/>
  <c r="I42" i="35"/>
  <c r="E65" i="35"/>
  <c r="I65" i="35"/>
  <c r="E48" i="35"/>
  <c r="I48" i="35"/>
  <c r="I20" i="35"/>
  <c r="E20" i="35"/>
  <c r="I31" i="35"/>
  <c r="E31" i="35"/>
  <c r="I17" i="35"/>
  <c r="E17" i="35"/>
  <c r="E59" i="35"/>
  <c r="I59" i="35"/>
  <c r="E46" i="35"/>
  <c r="I46" i="35"/>
  <c r="J17" i="35"/>
  <c r="I25" i="35"/>
  <c r="E25" i="35"/>
  <c r="I24" i="35"/>
  <c r="E24" i="35"/>
  <c r="F58" i="35"/>
  <c r="I58" i="35" s="1"/>
  <c r="E35" i="35"/>
  <c r="I35" i="35"/>
  <c r="I56" i="35"/>
  <c r="E56" i="35"/>
  <c r="I64" i="35"/>
  <c r="E64" i="35"/>
  <c r="I50" i="35"/>
  <c r="E50" i="35"/>
  <c r="I14" i="35"/>
  <c r="E14" i="35"/>
  <c r="I22" i="35"/>
  <c r="E22" i="35"/>
  <c r="J15" i="35"/>
  <c r="E57" i="35"/>
  <c r="I57" i="35"/>
  <c r="E33" i="35"/>
  <c r="I33" i="35"/>
  <c r="I19" i="35"/>
  <c r="E19" i="35"/>
  <c r="H21" i="35"/>
  <c r="F21" i="35"/>
  <c r="I21" i="35" s="1"/>
  <c r="I37" i="35"/>
  <c r="E37" i="35"/>
  <c r="I49" i="35"/>
  <c r="E49" i="35"/>
  <c r="J44" i="35"/>
  <c r="I55" i="35"/>
  <c r="E55" i="35"/>
  <c r="J27" i="35"/>
  <c r="I16" i="35"/>
  <c r="E16" i="35"/>
  <c r="I68" i="35"/>
  <c r="E68" i="35"/>
  <c r="J55" i="35"/>
  <c r="E47" i="35"/>
  <c r="I47" i="35"/>
  <c r="I45" i="35"/>
  <c r="E45" i="35"/>
  <c r="I40" i="35"/>
  <c r="E40" i="35"/>
  <c r="E18" i="35"/>
  <c r="I18" i="35"/>
  <c r="I38" i="35"/>
  <c r="E38" i="35"/>
  <c r="E63" i="35"/>
  <c r="I63" i="35"/>
  <c r="E70" i="35"/>
  <c r="B72" i="35"/>
  <c r="C71" i="35"/>
  <c r="D71" i="35"/>
  <c r="E10" i="35"/>
  <c r="I10" i="35"/>
  <c r="E6" i="35"/>
  <c r="I6" i="35"/>
  <c r="I11" i="35"/>
  <c r="E11" i="35"/>
  <c r="E9" i="35"/>
  <c r="I9" i="35"/>
  <c r="E8" i="35"/>
  <c r="E7" i="35"/>
  <c r="E5" i="35"/>
  <c r="H5" i="35" s="1"/>
  <c r="A21" i="19"/>
  <c r="J35" i="56"/>
  <c r="K34" i="56"/>
  <c r="L34" i="56" s="1"/>
  <c r="K25" i="17"/>
  <c r="L25" i="17" s="1"/>
  <c r="J26" i="17"/>
  <c r="F36" i="35" l="1"/>
  <c r="I36" i="35" s="1"/>
  <c r="H44" i="35"/>
  <c r="G44" i="35" s="1"/>
  <c r="H13" i="35"/>
  <c r="G13" i="35" s="1"/>
  <c r="J13" i="35" s="1"/>
  <c r="F27" i="35"/>
  <c r="I27" i="35" s="1"/>
  <c r="F23" i="35"/>
  <c r="F62" i="35"/>
  <c r="I62" i="35" s="1"/>
  <c r="G58" i="35"/>
  <c r="F69" i="35"/>
  <c r="G69" i="35" s="1"/>
  <c r="J69" i="35" s="1"/>
  <c r="G36" i="35"/>
  <c r="F40" i="35"/>
  <c r="H40" i="35"/>
  <c r="F55" i="35"/>
  <c r="H55" i="35"/>
  <c r="H33" i="35"/>
  <c r="F33" i="35"/>
  <c r="F64" i="35"/>
  <c r="H64" i="35"/>
  <c r="F25" i="35"/>
  <c r="H25" i="35"/>
  <c r="F30" i="35"/>
  <c r="H30" i="35"/>
  <c r="H53" i="35"/>
  <c r="F53" i="35"/>
  <c r="H29" i="35"/>
  <c r="F29" i="35"/>
  <c r="F39" i="35"/>
  <c r="H39" i="35"/>
  <c r="F26" i="35"/>
  <c r="H26" i="35"/>
  <c r="F34" i="35"/>
  <c r="H34" i="35"/>
  <c r="F57" i="35"/>
  <c r="H57" i="35"/>
  <c r="H56" i="35"/>
  <c r="F56" i="35"/>
  <c r="H49" i="35"/>
  <c r="F49" i="35"/>
  <c r="F45" i="35"/>
  <c r="H45" i="35"/>
  <c r="F46" i="35"/>
  <c r="H46" i="35"/>
  <c r="F48" i="35"/>
  <c r="H48" i="35"/>
  <c r="G23" i="35"/>
  <c r="J23" i="35" s="1"/>
  <c r="H12" i="35"/>
  <c r="F12" i="35"/>
  <c r="F51" i="35"/>
  <c r="H51" i="35"/>
  <c r="H28" i="35"/>
  <c r="F28" i="35"/>
  <c r="H22" i="35"/>
  <c r="F22" i="35"/>
  <c r="H59" i="35"/>
  <c r="F59" i="35"/>
  <c r="F65" i="35"/>
  <c r="H65" i="35"/>
  <c r="F68" i="35"/>
  <c r="H68" i="35"/>
  <c r="F52" i="35"/>
  <c r="H52" i="35"/>
  <c r="F32" i="35"/>
  <c r="H32" i="35"/>
  <c r="F43" i="35"/>
  <c r="H43" i="35"/>
  <c r="H47" i="35"/>
  <c r="F47" i="35"/>
  <c r="F35" i="35"/>
  <c r="H35" i="35"/>
  <c r="H17" i="35"/>
  <c r="F17" i="35"/>
  <c r="F38" i="35"/>
  <c r="H38" i="35"/>
  <c r="G21" i="35"/>
  <c r="H14" i="35"/>
  <c r="F14" i="35"/>
  <c r="F42" i="35"/>
  <c r="H42" i="35"/>
  <c r="H60" i="35"/>
  <c r="F60" i="35"/>
  <c r="H15" i="35"/>
  <c r="F15" i="35"/>
  <c r="F37" i="35"/>
  <c r="H37" i="35"/>
  <c r="F63" i="35"/>
  <c r="H63" i="35"/>
  <c r="H16" i="35"/>
  <c r="F16" i="35"/>
  <c r="F19" i="35"/>
  <c r="H19" i="35"/>
  <c r="F31" i="35"/>
  <c r="H31" i="35"/>
  <c r="G27" i="35"/>
  <c r="H54" i="35"/>
  <c r="F54" i="35"/>
  <c r="F41" i="35"/>
  <c r="H41" i="35"/>
  <c r="H50" i="35"/>
  <c r="F50" i="35"/>
  <c r="F24" i="35"/>
  <c r="H24" i="35"/>
  <c r="H66" i="35"/>
  <c r="F66" i="35"/>
  <c r="F67" i="35"/>
  <c r="H67" i="35"/>
  <c r="F61" i="35"/>
  <c r="H61" i="35"/>
  <c r="H18" i="35"/>
  <c r="F18" i="35"/>
  <c r="F20" i="35"/>
  <c r="H20" i="35"/>
  <c r="E71" i="35"/>
  <c r="H71" i="35" s="1"/>
  <c r="I71" i="35"/>
  <c r="B73" i="35"/>
  <c r="C72" i="35"/>
  <c r="D72" i="35"/>
  <c r="F70" i="35"/>
  <c r="H70" i="35"/>
  <c r="F7" i="35"/>
  <c r="I7" i="35" s="1"/>
  <c r="H7" i="35"/>
  <c r="F11" i="35"/>
  <c r="H11" i="35"/>
  <c r="H6" i="35"/>
  <c r="F6" i="35"/>
  <c r="H9" i="35"/>
  <c r="F9" i="35"/>
  <c r="F10" i="35"/>
  <c r="H10" i="35"/>
  <c r="F8" i="35"/>
  <c r="I8" i="35" s="1"/>
  <c r="F5" i="35"/>
  <c r="G5" i="35" s="1"/>
  <c r="J5" i="35" s="1"/>
  <c r="J36" i="56"/>
  <c r="K35" i="56"/>
  <c r="L35" i="56" s="1"/>
  <c r="J27" i="17"/>
  <c r="K26" i="17"/>
  <c r="L26" i="17" s="1"/>
  <c r="AG992" i="19"/>
  <c r="AN987" i="19"/>
  <c r="AJ987" i="19"/>
  <c r="AI987" i="19"/>
  <c r="AH987" i="19"/>
  <c r="AG987" i="19"/>
  <c r="G62" i="35" l="1"/>
  <c r="G37" i="35"/>
  <c r="J37" i="35" s="1"/>
  <c r="G55" i="35"/>
  <c r="G45" i="35"/>
  <c r="J45" i="35" s="1"/>
  <c r="G18" i="35"/>
  <c r="J18" i="35" s="1"/>
  <c r="G41" i="35"/>
  <c r="J41" i="35" s="1"/>
  <c r="G38" i="35"/>
  <c r="J38" i="35" s="1"/>
  <c r="G54" i="35"/>
  <c r="J54" i="35" s="1"/>
  <c r="G22" i="35"/>
  <c r="J22" i="35" s="1"/>
  <c r="G17" i="35"/>
  <c r="G64" i="35"/>
  <c r="J64" i="35" s="1"/>
  <c r="G52" i="35"/>
  <c r="J52" i="35" s="1"/>
  <c r="G51" i="35"/>
  <c r="J51" i="35" s="1"/>
  <c r="G56" i="35"/>
  <c r="J56" i="35" s="1"/>
  <c r="G50" i="35"/>
  <c r="J50" i="35" s="1"/>
  <c r="G63" i="35"/>
  <c r="J63" i="35" s="1"/>
  <c r="G28" i="35"/>
  <c r="J28" i="35" s="1"/>
  <c r="G31" i="35"/>
  <c r="J31" i="35" s="1"/>
  <c r="G48" i="35"/>
  <c r="J48" i="35" s="1"/>
  <c r="G30" i="35"/>
  <c r="J30" i="35" s="1"/>
  <c r="G66" i="35"/>
  <c r="J66" i="35" s="1"/>
  <c r="G19" i="35"/>
  <c r="J19" i="35" s="1"/>
  <c r="G42" i="35"/>
  <c r="J42" i="35" s="1"/>
  <c r="G47" i="35"/>
  <c r="J47" i="35" s="1"/>
  <c r="G59" i="35"/>
  <c r="J59" i="35" s="1"/>
  <c r="G46" i="35"/>
  <c r="J46" i="35" s="1"/>
  <c r="G25" i="35"/>
  <c r="J25" i="35" s="1"/>
  <c r="G60" i="35"/>
  <c r="J60" i="35" s="1"/>
  <c r="G34" i="35"/>
  <c r="J34" i="35" s="1"/>
  <c r="G24" i="35"/>
  <c r="J24" i="35" s="1"/>
  <c r="G43" i="35"/>
  <c r="J43" i="35" s="1"/>
  <c r="G26" i="35"/>
  <c r="J26" i="35" s="1"/>
  <c r="G20" i="35"/>
  <c r="J20" i="35" s="1"/>
  <c r="G16" i="35"/>
  <c r="J16" i="35" s="1"/>
  <c r="G14" i="35"/>
  <c r="J14" i="35" s="1"/>
  <c r="G32" i="35"/>
  <c r="J32" i="35" s="1"/>
  <c r="G39" i="35"/>
  <c r="J39" i="35" s="1"/>
  <c r="G33" i="35"/>
  <c r="J33" i="35" s="1"/>
  <c r="G49" i="35"/>
  <c r="J49" i="35" s="1"/>
  <c r="G29" i="35"/>
  <c r="J29" i="35" s="1"/>
  <c r="G61" i="35"/>
  <c r="J61" i="35" s="1"/>
  <c r="G68" i="35"/>
  <c r="J68" i="35" s="1"/>
  <c r="G12" i="35"/>
  <c r="J12" i="35" s="1"/>
  <c r="G15" i="35"/>
  <c r="G40" i="35"/>
  <c r="J40" i="35" s="1"/>
  <c r="G67" i="35"/>
  <c r="J67" i="35" s="1"/>
  <c r="G35" i="35"/>
  <c r="J35" i="35" s="1"/>
  <c r="G65" i="35"/>
  <c r="J65" i="35" s="1"/>
  <c r="G57" i="35"/>
  <c r="J57" i="35" s="1"/>
  <c r="G53" i="35"/>
  <c r="J53" i="35" s="1"/>
  <c r="G70" i="35"/>
  <c r="J70" i="35" s="1"/>
  <c r="J72" i="35"/>
  <c r="F71" i="35"/>
  <c r="G71" i="35" s="1"/>
  <c r="J71" i="35" s="1"/>
  <c r="E72" i="35"/>
  <c r="F72" i="35" s="1"/>
  <c r="I72" i="35" s="1"/>
  <c r="B74" i="35"/>
  <c r="C73" i="35"/>
  <c r="D73" i="35"/>
  <c r="I73" i="35" s="1"/>
  <c r="H8" i="35"/>
  <c r="G8" i="35" s="1"/>
  <c r="J8" i="35" s="1"/>
  <c r="G11" i="35"/>
  <c r="J11" i="35" s="1"/>
  <c r="G7" i="35"/>
  <c r="J7" i="35" s="1"/>
  <c r="G9" i="35"/>
  <c r="J9" i="35" s="1"/>
  <c r="G10" i="35"/>
  <c r="J10" i="35" s="1"/>
  <c r="G6" i="35"/>
  <c r="J6" i="35" s="1"/>
  <c r="K36" i="56"/>
  <c r="L36" i="56" s="1"/>
  <c r="J37" i="56"/>
  <c r="K27" i="17"/>
  <c r="L27" i="17" s="1"/>
  <c r="J28" i="17"/>
  <c r="V8" i="19"/>
  <c r="BC33" i="42" s="1"/>
  <c r="V1" i="19"/>
  <c r="BC26" i="42" s="1"/>
  <c r="V2" i="19"/>
  <c r="BC27" i="42" s="1"/>
  <c r="V3" i="19"/>
  <c r="V6" i="19"/>
  <c r="W18" i="19"/>
  <c r="AG19" i="19"/>
  <c r="AH19" i="19"/>
  <c r="AF19" i="19"/>
  <c r="AE988" i="19" s="1"/>
  <c r="AF17" i="19"/>
  <c r="AC282" i="19" l="1"/>
  <c r="AC643" i="19"/>
  <c r="B643" i="19" s="1"/>
  <c r="AQ64" i="19"/>
  <c r="AD64" i="19"/>
  <c r="B64" i="19"/>
  <c r="AQ50" i="19"/>
  <c r="AD50" i="19"/>
  <c r="B50" i="19"/>
  <c r="AC517" i="19"/>
  <c r="B517" i="19" s="1"/>
  <c r="AC456" i="19"/>
  <c r="AC93" i="19"/>
  <c r="AQ93" i="19" s="1"/>
  <c r="AC457" i="19"/>
  <c r="B457" i="19" s="1"/>
  <c r="AC341" i="19"/>
  <c r="B341" i="19" s="1"/>
  <c r="AC340" i="19"/>
  <c r="B340" i="19" s="1"/>
  <c r="AC335" i="19"/>
  <c r="B335" i="19" s="1"/>
  <c r="AC258" i="19"/>
  <c r="AQ258" i="19" s="1"/>
  <c r="B96" i="19"/>
  <c r="AC247" i="19"/>
  <c r="AC51" i="19"/>
  <c r="B51" i="19" s="1"/>
  <c r="AC199" i="19"/>
  <c r="AQ199" i="19" s="1"/>
  <c r="AC471" i="19"/>
  <c r="B471" i="19" s="1"/>
  <c r="AC233" i="19"/>
  <c r="B233" i="19" s="1"/>
  <c r="AC928" i="19"/>
  <c r="B928" i="19" s="1"/>
  <c r="AC327" i="19"/>
  <c r="B327" i="19" s="1"/>
  <c r="AC270" i="19"/>
  <c r="B270" i="19" s="1"/>
  <c r="AC688" i="19"/>
  <c r="B688" i="19" s="1"/>
  <c r="AC397" i="19"/>
  <c r="B397" i="19" s="1"/>
  <c r="AC219" i="19"/>
  <c r="B219" i="19" s="1"/>
  <c r="AC239" i="19"/>
  <c r="B239" i="19" s="1"/>
  <c r="AC102" i="19"/>
  <c r="B102" i="19" s="1"/>
  <c r="AC315" i="19"/>
  <c r="B315" i="19" s="1"/>
  <c r="AC164" i="19"/>
  <c r="B164" i="19" s="1"/>
  <c r="AC303" i="19"/>
  <c r="AQ303" i="19" s="1"/>
  <c r="AC458" i="19"/>
  <c r="B458" i="19" s="1"/>
  <c r="AC195" i="19"/>
  <c r="B195" i="19" s="1"/>
  <c r="B355" i="19"/>
  <c r="AC266" i="19"/>
  <c r="B266" i="19" s="1"/>
  <c r="AC691" i="19"/>
  <c r="B691" i="19" s="1"/>
  <c r="AQ261" i="19"/>
  <c r="AC685" i="19"/>
  <c r="B685" i="19" s="1"/>
  <c r="H72" i="35"/>
  <c r="G72" i="35" s="1"/>
  <c r="E73" i="35"/>
  <c r="B75" i="35"/>
  <c r="C74" i="35"/>
  <c r="D74" i="35"/>
  <c r="B261" i="19"/>
  <c r="AD261" i="19"/>
  <c r="AC900" i="19"/>
  <c r="B900" i="19" s="1"/>
  <c r="AC332" i="19"/>
  <c r="B332" i="19" s="1"/>
  <c r="AC80" i="19"/>
  <c r="B80" i="19" s="1"/>
  <c r="AC439" i="19"/>
  <c r="B439" i="19" s="1"/>
  <c r="AC79" i="19"/>
  <c r="B79" i="19" s="1"/>
  <c r="AC182" i="19"/>
  <c r="B182" i="19" s="1"/>
  <c r="AC396" i="19"/>
  <c r="B396" i="19" s="1"/>
  <c r="AC659" i="19"/>
  <c r="AQ659" i="19" s="1"/>
  <c r="AC249" i="19"/>
  <c r="AQ249" i="19" s="1"/>
  <c r="AC23" i="19"/>
  <c r="B23" i="19" s="1"/>
  <c r="AC246" i="19"/>
  <c r="B246" i="19" s="1"/>
  <c r="AC418" i="19"/>
  <c r="AQ418" i="19" s="1"/>
  <c r="B913" i="19"/>
  <c r="B914" i="19"/>
  <c r="B915" i="19"/>
  <c r="B930" i="19"/>
  <c r="B946" i="19"/>
  <c r="B916" i="19"/>
  <c r="B931" i="19"/>
  <c r="B918" i="19"/>
  <c r="B934" i="19"/>
  <c r="B911" i="19"/>
  <c r="B939" i="19"/>
  <c r="B943" i="19"/>
  <c r="B257" i="19"/>
  <c r="B256" i="19"/>
  <c r="B255" i="19"/>
  <c r="AD983" i="19"/>
  <c r="AE983" i="19" s="1"/>
  <c r="B25" i="19"/>
  <c r="B72" i="19"/>
  <c r="B438" i="19"/>
  <c r="B585" i="19"/>
  <c r="B287" i="19"/>
  <c r="B874" i="19"/>
  <c r="B440" i="19"/>
  <c r="B837" i="19"/>
  <c r="B31" i="19"/>
  <c r="B577" i="19"/>
  <c r="B244" i="19"/>
  <c r="B189" i="19"/>
  <c r="B293" i="19"/>
  <c r="B157" i="19"/>
  <c r="B695" i="19"/>
  <c r="B282" i="19"/>
  <c r="B41" i="19"/>
  <c r="B456" i="19"/>
  <c r="B753" i="19"/>
  <c r="B301" i="19"/>
  <c r="B588" i="19"/>
  <c r="B477" i="19"/>
  <c r="B850" i="19"/>
  <c r="B66" i="19"/>
  <c r="B634" i="19"/>
  <c r="B277" i="19"/>
  <c r="B521" i="19"/>
  <c r="B229" i="19"/>
  <c r="B388" i="19"/>
  <c r="B190" i="19"/>
  <c r="B751" i="19"/>
  <c r="B524" i="19"/>
  <c r="B232" i="19"/>
  <c r="B473" i="19"/>
  <c r="B786" i="19"/>
  <c r="B846" i="19"/>
  <c r="B398" i="19"/>
  <c r="B213" i="19"/>
  <c r="B81" i="19"/>
  <c r="B654" i="19"/>
  <c r="B578" i="19"/>
  <c r="B560" i="19"/>
  <c r="B279" i="19"/>
  <c r="B230" i="19"/>
  <c r="B842" i="19"/>
  <c r="B662" i="19"/>
  <c r="B216" i="19"/>
  <c r="B451" i="19"/>
  <c r="B38" i="19"/>
  <c r="B871" i="19"/>
  <c r="B546" i="19"/>
  <c r="B496" i="19"/>
  <c r="B33" i="19"/>
  <c r="B100" i="19"/>
  <c r="B779" i="19"/>
  <c r="B839" i="19"/>
  <c r="B656" i="19"/>
  <c r="B430" i="19"/>
  <c r="B561" i="19"/>
  <c r="B247" i="19"/>
  <c r="B285" i="19"/>
  <c r="B284" i="19"/>
  <c r="B29" i="19"/>
  <c r="B475" i="19"/>
  <c r="B94" i="19"/>
  <c r="B555" i="19"/>
  <c r="B212" i="19"/>
  <c r="B149" i="19"/>
  <c r="B838" i="19"/>
  <c r="B852" i="19"/>
  <c r="B674" i="19"/>
  <c r="B483" i="19"/>
  <c r="B294" i="19"/>
  <c r="B365" i="19"/>
  <c r="B569" i="19"/>
  <c r="B614" i="19"/>
  <c r="B283" i="19"/>
  <c r="B43" i="19"/>
  <c r="B633" i="19"/>
  <c r="B412" i="19"/>
  <c r="B186" i="19"/>
  <c r="B851" i="19"/>
  <c r="B152" i="19"/>
  <c r="B680" i="19"/>
  <c r="B500" i="19"/>
  <c r="B657" i="19"/>
  <c r="B307" i="19"/>
  <c r="B469" i="19"/>
  <c r="B77" i="19"/>
  <c r="B630" i="19"/>
  <c r="B393" i="19"/>
  <c r="B62" i="19"/>
  <c r="B554" i="19"/>
  <c r="B184" i="19"/>
  <c r="B884" i="19"/>
  <c r="B276" i="19"/>
  <c r="B892" i="19"/>
  <c r="B265" i="19"/>
  <c r="B783" i="19"/>
  <c r="B539" i="19"/>
  <c r="B681" i="19"/>
  <c r="B360" i="19"/>
  <c r="B663" i="19"/>
  <c r="B629" i="19"/>
  <c r="B647" i="19"/>
  <c r="B204" i="19"/>
  <c r="B701" i="19"/>
  <c r="B296" i="19"/>
  <c r="B278" i="19"/>
  <c r="B803" i="19"/>
  <c r="B749" i="19"/>
  <c r="B389" i="19"/>
  <c r="B869" i="19"/>
  <c r="B755" i="19"/>
  <c r="B217" i="19"/>
  <c r="B761" i="19"/>
  <c r="B24" i="19"/>
  <c r="B98" i="19"/>
  <c r="B700" i="19"/>
  <c r="B220" i="19"/>
  <c r="B738" i="19"/>
  <c r="B486" i="19"/>
  <c r="B400" i="19"/>
  <c r="B386" i="19"/>
  <c r="B840" i="19"/>
  <c r="B804" i="19"/>
  <c r="B501" i="19"/>
  <c r="B394" i="19"/>
  <c r="B872" i="19"/>
  <c r="B848" i="19"/>
  <c r="B75" i="19"/>
  <c r="B147" i="19"/>
  <c r="B275" i="19"/>
  <c r="B778" i="19"/>
  <c r="B460" i="19"/>
  <c r="B462" i="19"/>
  <c r="B853" i="19"/>
  <c r="B35" i="19"/>
  <c r="B841" i="19"/>
  <c r="B540" i="19"/>
  <c r="B888" i="19"/>
  <c r="B273" i="19"/>
  <c r="B903" i="19"/>
  <c r="B161" i="19"/>
  <c r="B203" i="19"/>
  <c r="B836" i="19"/>
  <c r="B380" i="19"/>
  <c r="B40" i="19"/>
  <c r="B497" i="19"/>
  <c r="B879" i="19"/>
  <c r="B174" i="19"/>
  <c r="B880" i="19"/>
  <c r="B300" i="19"/>
  <c r="B976" i="19"/>
  <c r="Y976" i="19" s="1"/>
  <c r="B368" i="19"/>
  <c r="B240" i="19"/>
  <c r="B849" i="19"/>
  <c r="B399" i="19"/>
  <c r="B487" i="19"/>
  <c r="B187" i="19"/>
  <c r="B499" i="19"/>
  <c r="B36" i="19"/>
  <c r="B324" i="19"/>
  <c r="B326" i="19"/>
  <c r="B329" i="19"/>
  <c r="B330" i="19"/>
  <c r="B351" i="19"/>
  <c r="B331" i="19"/>
  <c r="B709" i="19"/>
  <c r="B91" i="19"/>
  <c r="B322" i="19"/>
  <c r="B319" i="19"/>
  <c r="B314" i="19"/>
  <c r="B325" i="19"/>
  <c r="B628" i="19"/>
  <c r="B280" i="19"/>
  <c r="B337" i="19"/>
  <c r="B320" i="19"/>
  <c r="B336" i="19"/>
  <c r="B571" i="19"/>
  <c r="AC601" i="19"/>
  <c r="AC548" i="19"/>
  <c r="AC675" i="19"/>
  <c r="AC660" i="19"/>
  <c r="AC974" i="19"/>
  <c r="AC901" i="19"/>
  <c r="AC420" i="19"/>
  <c r="AC406" i="19"/>
  <c r="AC366" i="19"/>
  <c r="AC352" i="19"/>
  <c r="AC241" i="19"/>
  <c r="AC226" i="19"/>
  <c r="AC123" i="19"/>
  <c r="AC53" i="19"/>
  <c r="AC26" i="19"/>
  <c r="AC683" i="19"/>
  <c r="AC650" i="19"/>
  <c r="AC604" i="19"/>
  <c r="AC567" i="19"/>
  <c r="AC404" i="19"/>
  <c r="AC321" i="19"/>
  <c r="AC193" i="19"/>
  <c r="AC178" i="19"/>
  <c r="AC107" i="19"/>
  <c r="AC67" i="19"/>
  <c r="AC941" i="19"/>
  <c r="AC666" i="19"/>
  <c r="AC505" i="19"/>
  <c r="AC417" i="19"/>
  <c r="AC192" i="19"/>
  <c r="AC120" i="19"/>
  <c r="AC106" i="19"/>
  <c r="AC693" i="19"/>
  <c r="AC504" i="19"/>
  <c r="AC416" i="19"/>
  <c r="AC401" i="19"/>
  <c r="AC362" i="19"/>
  <c r="AC334" i="19"/>
  <c r="AC222" i="19"/>
  <c r="AC160" i="19"/>
  <c r="AC925" i="19"/>
  <c r="AC883" i="19"/>
  <c r="AC544" i="19"/>
  <c r="AC348" i="19"/>
  <c r="AC236" i="19"/>
  <c r="AC146" i="19"/>
  <c r="AC118" i="19"/>
  <c r="AC48" i="19"/>
  <c r="AC677" i="19"/>
  <c r="AC464" i="19"/>
  <c r="AC235" i="19"/>
  <c r="AC89" i="19"/>
  <c r="AC731" i="19"/>
  <c r="AC644" i="19"/>
  <c r="AC288" i="19"/>
  <c r="AC74" i="19"/>
  <c r="AC32" i="19"/>
  <c r="AC201" i="19"/>
  <c r="AC171" i="19"/>
  <c r="AC156" i="19"/>
  <c r="AC374" i="19"/>
  <c r="AC356" i="19"/>
  <c r="AC312" i="19"/>
  <c r="AC200" i="19"/>
  <c r="AC155" i="19"/>
  <c r="AC86" i="19"/>
  <c r="AC58" i="19"/>
  <c r="AC311" i="19"/>
  <c r="AC57" i="19"/>
  <c r="AC828" i="19"/>
  <c r="AC745" i="19"/>
  <c r="AC534" i="19"/>
  <c r="AC514" i="19"/>
  <c r="AC509" i="19"/>
  <c r="AC370" i="19"/>
  <c r="AC84" i="19"/>
  <c r="AC743" i="19"/>
  <c r="AC652" i="19"/>
  <c r="AC639" i="19"/>
  <c r="AC584" i="19"/>
  <c r="AC553" i="19"/>
  <c r="AC407" i="19"/>
  <c r="AC151" i="19"/>
  <c r="AC139" i="19"/>
  <c r="AC27" i="19"/>
  <c r="AD489" i="19"/>
  <c r="AQ210" i="19"/>
  <c r="AQ438" i="19"/>
  <c r="AQ596" i="19"/>
  <c r="AQ945" i="19"/>
  <c r="AQ409" i="19"/>
  <c r="AQ767" i="19"/>
  <c r="AQ903" i="19"/>
  <c r="AQ126" i="19"/>
  <c r="AQ510" i="19"/>
  <c r="AQ655" i="19"/>
  <c r="AQ948" i="19"/>
  <c r="AQ231" i="19"/>
  <c r="AQ460" i="19"/>
  <c r="AQ591" i="19"/>
  <c r="AQ101" i="19"/>
  <c r="AQ344" i="19"/>
  <c r="AQ46" i="19"/>
  <c r="AQ445" i="19"/>
  <c r="AQ174" i="19"/>
  <c r="AQ380" i="19"/>
  <c r="AQ542" i="19"/>
  <c r="AQ755" i="19"/>
  <c r="AQ895" i="19"/>
  <c r="AQ159" i="19"/>
  <c r="AQ360" i="19"/>
  <c r="AQ938" i="19"/>
  <c r="AQ190" i="19"/>
  <c r="AQ466" i="19"/>
  <c r="AQ36" i="19"/>
  <c r="AQ252" i="19"/>
  <c r="AQ485" i="19"/>
  <c r="AQ968" i="19"/>
  <c r="Y968" i="19" s="1"/>
  <c r="AQ121" i="19"/>
  <c r="AQ365" i="19"/>
  <c r="AQ550" i="19"/>
  <c r="AQ740" i="19"/>
  <c r="AQ872" i="19"/>
  <c r="AQ68" i="19"/>
  <c r="AQ294" i="19"/>
  <c r="AQ532" i="19"/>
  <c r="AQ684" i="19"/>
  <c r="AQ809" i="19"/>
  <c r="AQ804" i="19"/>
  <c r="AQ961" i="19"/>
  <c r="AQ616" i="19"/>
  <c r="AQ906" i="19"/>
  <c r="Y906" i="19" s="1"/>
  <c r="AQ907" i="19"/>
  <c r="AD946" i="19"/>
  <c r="AQ40" i="19"/>
  <c r="AQ242" i="19"/>
  <c r="AQ472" i="19"/>
  <c r="AQ622" i="19"/>
  <c r="AQ28" i="19"/>
  <c r="AQ212" i="19"/>
  <c r="AQ623" i="19"/>
  <c r="AQ782" i="19"/>
  <c r="AQ931" i="19"/>
  <c r="AQ154" i="19"/>
  <c r="AQ372" i="19"/>
  <c r="AQ521" i="19"/>
  <c r="AQ30" i="19"/>
  <c r="AQ260" i="19"/>
  <c r="AQ611" i="19"/>
  <c r="AQ129" i="19"/>
  <c r="AQ376" i="19"/>
  <c r="AQ539" i="19"/>
  <c r="AQ88" i="19"/>
  <c r="AQ263" i="19"/>
  <c r="AQ480" i="19"/>
  <c r="AQ614" i="19"/>
  <c r="AQ793" i="19"/>
  <c r="AQ203" i="19"/>
  <c r="AQ414" i="19"/>
  <c r="AQ578" i="19"/>
  <c r="AQ924" i="19"/>
  <c r="AQ189" i="19"/>
  <c r="AQ400" i="19"/>
  <c r="AQ663" i="19"/>
  <c r="AQ795" i="19"/>
  <c r="AQ965" i="19"/>
  <c r="Y965" i="19" s="1"/>
  <c r="AQ237" i="19"/>
  <c r="AQ721" i="19"/>
  <c r="AQ857" i="19"/>
  <c r="AQ66" i="19"/>
  <c r="AQ292" i="19"/>
  <c r="AQ694" i="19"/>
  <c r="AQ821" i="19"/>
  <c r="AQ149" i="19"/>
  <c r="AQ435" i="19"/>
  <c r="AQ777" i="19"/>
  <c r="AQ95" i="19"/>
  <c r="AQ389" i="19"/>
  <c r="AQ569" i="19"/>
  <c r="AQ834" i="19"/>
  <c r="AQ971" i="19"/>
  <c r="Y971" i="19" s="1"/>
  <c r="AQ528" i="19"/>
  <c r="AQ830" i="19"/>
  <c r="AQ646" i="19"/>
  <c r="AQ792" i="19"/>
  <c r="AQ950" i="19"/>
  <c r="AQ936" i="19"/>
  <c r="AD932" i="19"/>
  <c r="AD952" i="19"/>
  <c r="AQ54" i="19"/>
  <c r="AQ488" i="19"/>
  <c r="AQ670" i="19"/>
  <c r="AQ827" i="19"/>
  <c r="AQ41" i="19"/>
  <c r="AQ229" i="19"/>
  <c r="AQ640" i="19"/>
  <c r="AQ789" i="19"/>
  <c r="AQ946" i="19"/>
  <c r="AQ167" i="19"/>
  <c r="AQ394" i="19"/>
  <c r="AQ536" i="19"/>
  <c r="AQ687" i="19"/>
  <c r="AQ829" i="19"/>
  <c r="AQ43" i="19"/>
  <c r="AQ274" i="19"/>
  <c r="AQ496" i="19"/>
  <c r="AQ626" i="19"/>
  <c r="AQ143" i="19"/>
  <c r="AQ558" i="19"/>
  <c r="AQ276" i="19"/>
  <c r="AQ629" i="19"/>
  <c r="AQ33" i="19"/>
  <c r="AQ430" i="19"/>
  <c r="AQ937" i="19"/>
  <c r="AQ204" i="19"/>
  <c r="AQ415" i="19"/>
  <c r="AQ678" i="19"/>
  <c r="AQ35" i="19"/>
  <c r="AQ251" i="19"/>
  <c r="AQ501" i="19"/>
  <c r="AQ737" i="19"/>
  <c r="AQ870" i="19"/>
  <c r="AQ305" i="19"/>
  <c r="AQ162" i="19"/>
  <c r="AQ452" i="19"/>
  <c r="AQ594" i="19"/>
  <c r="AQ914" i="19"/>
  <c r="AQ108" i="19"/>
  <c r="AQ436" i="19"/>
  <c r="AQ583" i="19"/>
  <c r="AQ707" i="19"/>
  <c r="AQ848" i="19"/>
  <c r="AQ546" i="19"/>
  <c r="AQ839" i="19"/>
  <c r="AQ662" i="19"/>
  <c r="AQ962" i="19"/>
  <c r="AQ951" i="19"/>
  <c r="AQ196" i="19"/>
  <c r="AQ766" i="19"/>
  <c r="AQ930" i="19"/>
  <c r="AQ271" i="19"/>
  <c r="AQ972" i="19"/>
  <c r="Y972" i="19" s="1"/>
  <c r="AQ244" i="19"/>
  <c r="AQ712" i="19"/>
  <c r="AQ891" i="19"/>
  <c r="AQ215" i="19"/>
  <c r="AQ511" i="19"/>
  <c r="AQ44" i="19"/>
  <c r="AQ300" i="19"/>
  <c r="AQ172" i="19"/>
  <c r="AQ429" i="19"/>
  <c r="AQ979" i="19"/>
  <c r="Y979" i="19" s="1"/>
  <c r="AQ131" i="19"/>
  <c r="AQ399" i="19"/>
  <c r="AQ680" i="19"/>
  <c r="AQ855" i="19"/>
  <c r="AQ175" i="19"/>
  <c r="AQ465" i="19"/>
  <c r="AQ735" i="19"/>
  <c r="AQ953" i="19"/>
  <c r="AQ291" i="19"/>
  <c r="AQ665" i="19"/>
  <c r="AQ844" i="19"/>
  <c r="AQ148" i="19"/>
  <c r="AQ433" i="19"/>
  <c r="AQ871" i="19"/>
  <c r="AQ25" i="19"/>
  <c r="AQ293" i="19"/>
  <c r="AQ620" i="19"/>
  <c r="AQ808" i="19"/>
  <c r="AQ454" i="19"/>
  <c r="AQ621" i="19"/>
  <c r="AQ799" i="19"/>
  <c r="AQ630" i="19"/>
  <c r="AQ852" i="19"/>
  <c r="AQ530" i="19"/>
  <c r="AQ751" i="19"/>
  <c r="AQ976" i="19"/>
  <c r="AQ228" i="19"/>
  <c r="AQ508" i="19"/>
  <c r="AQ779" i="19"/>
  <c r="AQ958" i="19"/>
  <c r="AQ284" i="19"/>
  <c r="AQ554" i="19"/>
  <c r="AQ29" i="19"/>
  <c r="AQ273" i="19"/>
  <c r="AQ515" i="19"/>
  <c r="AQ724" i="19"/>
  <c r="AQ904" i="19"/>
  <c r="AQ245" i="19"/>
  <c r="AQ516" i="19"/>
  <c r="AQ59" i="19"/>
  <c r="AQ357" i="19"/>
  <c r="AQ187" i="19"/>
  <c r="AQ462" i="19"/>
  <c r="AQ690" i="19"/>
  <c r="AQ145" i="19"/>
  <c r="AQ446" i="19"/>
  <c r="AQ868" i="19"/>
  <c r="AQ220" i="19"/>
  <c r="AQ483" i="19"/>
  <c r="AQ758" i="19"/>
  <c r="AQ49" i="19"/>
  <c r="AQ304" i="19"/>
  <c r="AQ884" i="19"/>
  <c r="AQ161" i="19"/>
  <c r="AQ451" i="19"/>
  <c r="AQ704" i="19"/>
  <c r="AQ886" i="19"/>
  <c r="AQ37" i="19"/>
  <c r="AQ306" i="19"/>
  <c r="AQ636" i="19"/>
  <c r="AQ823" i="19"/>
  <c r="AQ38" i="19"/>
  <c r="AQ638" i="19"/>
  <c r="AQ645" i="19"/>
  <c r="AQ864" i="19"/>
  <c r="AQ564" i="19"/>
  <c r="AQ771" i="19"/>
  <c r="AD950" i="19"/>
  <c r="AQ283" i="19"/>
  <c r="AQ513" i="19"/>
  <c r="AQ781" i="19"/>
  <c r="AQ56" i="19"/>
  <c r="AQ296" i="19"/>
  <c r="AQ585" i="19"/>
  <c r="AQ42" i="19"/>
  <c r="AQ285" i="19"/>
  <c r="AQ555" i="19"/>
  <c r="AQ747" i="19"/>
  <c r="AQ920" i="19"/>
  <c r="AQ286" i="19"/>
  <c r="AQ522" i="19"/>
  <c r="AQ73" i="19"/>
  <c r="AQ412" i="19"/>
  <c r="AQ202" i="19"/>
  <c r="AQ498" i="19"/>
  <c r="AQ158" i="19"/>
  <c r="AQ481" i="19"/>
  <c r="AQ881" i="19"/>
  <c r="AQ774" i="19"/>
  <c r="AQ65" i="19"/>
  <c r="AQ349" i="19"/>
  <c r="AQ897" i="19"/>
  <c r="AQ177" i="19"/>
  <c r="AQ467" i="19"/>
  <c r="AQ722" i="19"/>
  <c r="AQ899" i="19"/>
  <c r="AQ52" i="19"/>
  <c r="AQ388" i="19"/>
  <c r="AQ668" i="19"/>
  <c r="AQ833" i="19"/>
  <c r="AQ81" i="19"/>
  <c r="AQ487" i="19"/>
  <c r="AQ651" i="19"/>
  <c r="AQ825" i="19"/>
  <c r="AQ878" i="19"/>
  <c r="AQ580" i="19"/>
  <c r="AQ785" i="19"/>
  <c r="AQ198" i="19"/>
  <c r="AQ863" i="19"/>
  <c r="AQ523" i="19"/>
  <c r="AQ701" i="19"/>
  <c r="AQ634" i="19"/>
  <c r="AQ798" i="19"/>
  <c r="AQ978" i="19"/>
  <c r="Y978" i="19" s="1"/>
  <c r="AQ295" i="19"/>
  <c r="AQ788" i="19"/>
  <c r="AQ70" i="19"/>
  <c r="AQ310" i="19"/>
  <c r="AQ589" i="19"/>
  <c r="AQ802" i="19"/>
  <c r="AQ71" i="19"/>
  <c r="AQ298" i="19"/>
  <c r="AQ573" i="19"/>
  <c r="AQ769" i="19"/>
  <c r="AQ932" i="19"/>
  <c r="AQ299" i="19"/>
  <c r="AQ538" i="19"/>
  <c r="AQ87" i="19"/>
  <c r="AQ427" i="19"/>
  <c r="AQ612" i="19"/>
  <c r="AQ217" i="19"/>
  <c r="AQ188" i="19"/>
  <c r="AQ700" i="19"/>
  <c r="AQ909" i="19"/>
  <c r="AQ265" i="19"/>
  <c r="AQ500" i="19"/>
  <c r="AQ77" i="19"/>
  <c r="AQ384" i="19"/>
  <c r="AQ703" i="19"/>
  <c r="AQ912" i="19"/>
  <c r="AQ207" i="19"/>
  <c r="AQ738" i="19"/>
  <c r="AQ913" i="19"/>
  <c r="AQ469" i="19"/>
  <c r="AQ847" i="19"/>
  <c r="AQ137" i="19"/>
  <c r="AQ492" i="19"/>
  <c r="AQ669" i="19"/>
  <c r="AQ860" i="19"/>
  <c r="AQ714" i="19"/>
  <c r="AQ892" i="19"/>
  <c r="AD758" i="19"/>
  <c r="AD948" i="19"/>
  <c r="AQ386" i="19"/>
  <c r="AQ595" i="19"/>
  <c r="AQ893" i="19"/>
  <c r="AQ309" i="19"/>
  <c r="AQ533" i="19"/>
  <c r="AQ801" i="19"/>
  <c r="AQ98" i="19"/>
  <c r="AQ609" i="19"/>
  <c r="AQ85" i="19"/>
  <c r="AQ355" i="19"/>
  <c r="AQ960" i="19"/>
  <c r="AQ557" i="19"/>
  <c r="AQ114" i="19"/>
  <c r="AQ444" i="19"/>
  <c r="AQ643" i="19"/>
  <c r="AQ247" i="19"/>
  <c r="AQ518" i="19"/>
  <c r="AQ717" i="19"/>
  <c r="AQ248" i="19"/>
  <c r="AQ499" i="19"/>
  <c r="AQ719" i="19"/>
  <c r="AQ952" i="19"/>
  <c r="AQ278" i="19"/>
  <c r="AQ503" i="19"/>
  <c r="Y503" i="19" s="1"/>
  <c r="AQ105" i="19"/>
  <c r="AQ432" i="19"/>
  <c r="AQ760" i="19"/>
  <c r="AQ926" i="19"/>
  <c r="AQ224" i="19"/>
  <c r="AQ549" i="19"/>
  <c r="AQ761" i="19"/>
  <c r="AQ927" i="19"/>
  <c r="AQ94" i="19"/>
  <c r="AQ486" i="19"/>
  <c r="AQ695" i="19"/>
  <c r="AQ859" i="19"/>
  <c r="AQ150" i="19"/>
  <c r="AQ873" i="19"/>
  <c r="AQ726" i="19"/>
  <c r="AQ905" i="19"/>
  <c r="Y905" i="19" s="1"/>
  <c r="AQ812" i="19"/>
  <c r="AQ854" i="19"/>
  <c r="AQ934" i="19"/>
  <c r="AQ275" i="19"/>
  <c r="AQ896" i="19"/>
  <c r="AQ69" i="19"/>
  <c r="AQ339" i="19"/>
  <c r="AQ570" i="19"/>
  <c r="AQ836" i="19"/>
  <c r="AQ110" i="19"/>
  <c r="AQ354" i="19"/>
  <c r="AQ654" i="19"/>
  <c r="AQ837" i="19"/>
  <c r="AQ99" i="19"/>
  <c r="AQ410" i="19"/>
  <c r="AQ590" i="19"/>
  <c r="AQ783" i="19"/>
  <c r="AQ72" i="19"/>
  <c r="AQ342" i="19"/>
  <c r="AQ574" i="19"/>
  <c r="AQ186" i="19"/>
  <c r="AQ461" i="19"/>
  <c r="AQ657" i="19"/>
  <c r="AQ301" i="19"/>
  <c r="AQ524" i="19"/>
  <c r="AQ753" i="19"/>
  <c r="AQ264" i="19"/>
  <c r="AQ733" i="19"/>
  <c r="AQ964" i="19"/>
  <c r="Y964" i="19" s="1"/>
  <c r="AQ290" i="19"/>
  <c r="AQ818" i="19"/>
  <c r="AQ119" i="19"/>
  <c r="AQ449" i="19"/>
  <c r="AQ775" i="19"/>
  <c r="AQ939" i="19"/>
  <c r="AQ565" i="19"/>
  <c r="AQ776" i="19"/>
  <c r="AQ955" i="19"/>
  <c r="AQ136" i="19"/>
  <c r="AQ887" i="19"/>
  <c r="AQ507" i="19"/>
  <c r="AQ696" i="19"/>
  <c r="AQ888" i="19"/>
  <c r="AQ749" i="19"/>
  <c r="AQ921" i="19"/>
  <c r="AQ632" i="19"/>
  <c r="AQ831" i="19"/>
  <c r="AQ867" i="19"/>
  <c r="AQ980" i="19"/>
  <c r="Y980" i="19" s="1"/>
  <c r="AQ697" i="19"/>
  <c r="AQ490" i="19"/>
  <c r="AQ144" i="19"/>
  <c r="AQ431" i="19"/>
  <c r="AQ268" i="19"/>
  <c r="AQ83" i="19"/>
  <c r="AQ353" i="19"/>
  <c r="AQ588" i="19"/>
  <c r="AQ849" i="19"/>
  <c r="AQ125" i="19"/>
  <c r="AQ393" i="19"/>
  <c r="AQ671" i="19"/>
  <c r="AQ850" i="19"/>
  <c r="AQ111" i="19"/>
  <c r="AQ424" i="19"/>
  <c r="AQ790" i="19"/>
  <c r="AQ100" i="19"/>
  <c r="AQ216" i="19"/>
  <c r="AQ478" i="19"/>
  <c r="AQ674" i="19"/>
  <c r="AQ540" i="19"/>
  <c r="AQ772" i="19"/>
  <c r="AQ277" i="19"/>
  <c r="AQ773" i="19"/>
  <c r="AQ34" i="19"/>
  <c r="AQ527" i="19"/>
  <c r="AQ133" i="19"/>
  <c r="AQ484" i="19"/>
  <c r="AQ954" i="19"/>
  <c r="AQ267" i="19"/>
  <c r="AQ581" i="19"/>
  <c r="AQ208" i="19"/>
  <c r="AQ706" i="19"/>
  <c r="AQ179" i="19"/>
  <c r="AQ915" i="19"/>
  <c r="AQ563" i="19"/>
  <c r="AQ770" i="19"/>
  <c r="AQ933" i="19"/>
  <c r="AQ676" i="19"/>
  <c r="AQ840" i="19"/>
  <c r="AQ880" i="19"/>
  <c r="AD934" i="19"/>
  <c r="AQ96" i="19"/>
  <c r="AQ368" i="19"/>
  <c r="AQ608" i="19"/>
  <c r="AQ861" i="19"/>
  <c r="AQ140" i="19"/>
  <c r="AQ422" i="19"/>
  <c r="AQ862" i="19"/>
  <c r="AQ141" i="19"/>
  <c r="AQ440" i="19"/>
  <c r="AQ610" i="19"/>
  <c r="AQ803" i="19"/>
  <c r="AQ113" i="19"/>
  <c r="AQ411" i="19"/>
  <c r="AQ232" i="19"/>
  <c r="AQ60" i="19"/>
  <c r="AQ345" i="19"/>
  <c r="AQ560" i="19"/>
  <c r="AQ786" i="19"/>
  <c r="AQ47" i="19"/>
  <c r="AQ289" i="19"/>
  <c r="AQ519" i="19"/>
  <c r="AQ794" i="19"/>
  <c r="AQ62" i="19"/>
  <c r="AQ317" i="19"/>
  <c r="AQ681" i="19"/>
  <c r="AQ843" i="19"/>
  <c r="AQ147" i="19"/>
  <c r="AQ966" i="19"/>
  <c r="Y966" i="19" s="1"/>
  <c r="AQ335" i="19"/>
  <c r="AQ593" i="19"/>
  <c r="AQ225" i="19"/>
  <c r="AQ506" i="19"/>
  <c r="AQ943" i="19"/>
  <c r="AQ741" i="19"/>
  <c r="AQ929" i="19"/>
  <c r="AQ579" i="19"/>
  <c r="AQ949" i="19"/>
  <c r="AQ689" i="19"/>
  <c r="AQ853" i="19"/>
  <c r="AQ894" i="19"/>
  <c r="AQ169" i="19"/>
  <c r="AQ347" i="19"/>
  <c r="AQ806" i="19"/>
  <c r="AQ531" i="19"/>
  <c r="AQ970" i="19"/>
  <c r="Y970" i="19" s="1"/>
  <c r="AQ715" i="19"/>
  <c r="AQ109" i="19"/>
  <c r="AQ391" i="19"/>
  <c r="AQ874" i="19"/>
  <c r="AQ152" i="19"/>
  <c r="AQ473" i="19"/>
  <c r="AQ686" i="19"/>
  <c r="AQ876" i="19"/>
  <c r="AQ183" i="19"/>
  <c r="AQ624" i="19"/>
  <c r="AQ838" i="19"/>
  <c r="AQ127" i="19"/>
  <c r="AQ426" i="19"/>
  <c r="AQ642" i="19"/>
  <c r="AQ497" i="19"/>
  <c r="AQ115" i="19"/>
  <c r="AQ358" i="19"/>
  <c r="AQ577" i="19"/>
  <c r="AQ61" i="19"/>
  <c r="AQ302" i="19"/>
  <c r="AQ526" i="19"/>
  <c r="AQ76" i="19"/>
  <c r="AQ692" i="19"/>
  <c r="AQ856" i="19"/>
  <c r="AQ176" i="19"/>
  <c r="AQ602" i="19"/>
  <c r="AQ796" i="19"/>
  <c r="AQ982" i="19"/>
  <c r="AQ350" i="19"/>
  <c r="AQ603" i="19"/>
  <c r="AQ797" i="19"/>
  <c r="AQ240" i="19"/>
  <c r="AQ763" i="19"/>
  <c r="AQ956" i="19"/>
  <c r="AQ209" i="19"/>
  <c r="AQ552" i="19"/>
  <c r="AQ764" i="19"/>
  <c r="AQ944" i="19"/>
  <c r="Y944" i="19" s="1"/>
  <c r="AQ784" i="19"/>
  <c r="AQ975" i="19"/>
  <c r="Y975" i="19" s="1"/>
  <c r="AQ866" i="19"/>
  <c r="AQ923" i="19"/>
  <c r="AQ456" i="19"/>
  <c r="AQ494" i="19"/>
  <c r="AQ213" i="19"/>
  <c r="AQ477" i="19"/>
  <c r="AQ598" i="19"/>
  <c r="AQ816" i="19"/>
  <c r="AQ846" i="19"/>
  <c r="AQ282" i="19"/>
  <c r="AQ600" i="19"/>
  <c r="AD936" i="19"/>
  <c r="AQ124" i="19"/>
  <c r="AQ421" i="19"/>
  <c r="AQ889" i="19"/>
  <c r="AQ166" i="19"/>
  <c r="AQ489" i="19"/>
  <c r="AQ698" i="19"/>
  <c r="AQ890" i="19"/>
  <c r="AQ475" i="19"/>
  <c r="AQ641" i="19"/>
  <c r="AQ851" i="19"/>
  <c r="AQ142" i="19"/>
  <c r="AQ442" i="19"/>
  <c r="AQ656" i="19"/>
  <c r="AQ262" i="19"/>
  <c r="AQ130" i="19"/>
  <c r="AQ378" i="19"/>
  <c r="AQ814" i="19"/>
  <c r="AQ75" i="19"/>
  <c r="AQ316" i="19"/>
  <c r="AQ561" i="19"/>
  <c r="AQ90" i="19"/>
  <c r="AQ382" i="19"/>
  <c r="AQ869" i="19"/>
  <c r="AQ205" i="19"/>
  <c r="AQ617" i="19"/>
  <c r="AQ363" i="19"/>
  <c r="AQ618" i="19"/>
  <c r="AQ807" i="19"/>
  <c r="AQ253" i="19"/>
  <c r="AQ969" i="19"/>
  <c r="Y969" i="19" s="1"/>
  <c r="AQ269" i="19"/>
  <c r="AQ587" i="19"/>
  <c r="AQ778" i="19"/>
  <c r="AQ957" i="19"/>
  <c r="AQ791" i="19"/>
  <c r="AQ879" i="19"/>
  <c r="AQ963" i="19"/>
  <c r="AQ981" i="19"/>
  <c r="Y981" i="19" s="1"/>
  <c r="AD931" i="19"/>
  <c r="AQ165" i="19"/>
  <c r="AQ902" i="19"/>
  <c r="AQ918" i="19"/>
  <c r="AQ672" i="19"/>
  <c r="AQ673" i="19"/>
  <c r="AQ103" i="19"/>
  <c r="AQ104" i="19"/>
  <c r="AQ633" i="19"/>
  <c r="AD938" i="19"/>
  <c r="AQ180" i="19"/>
  <c r="AQ493" i="19"/>
  <c r="AQ916" i="19"/>
  <c r="AQ243" i="19"/>
  <c r="AQ711" i="19"/>
  <c r="AQ959" i="19"/>
  <c r="AQ230" i="19"/>
  <c r="AQ495" i="19"/>
  <c r="AQ877" i="19"/>
  <c r="AQ184" i="19"/>
  <c r="AQ31" i="19"/>
  <c r="AQ287" i="19"/>
  <c r="AQ575" i="19"/>
  <c r="AQ157" i="19"/>
  <c r="AQ413" i="19"/>
  <c r="AQ841" i="19"/>
  <c r="AQ116" i="19"/>
  <c r="AQ359" i="19"/>
  <c r="AQ599" i="19"/>
  <c r="AQ842" i="19"/>
  <c r="AQ132" i="19"/>
  <c r="AQ447" i="19"/>
  <c r="AQ720" i="19"/>
  <c r="AQ911" i="19"/>
  <c r="AQ279" i="19"/>
  <c r="AQ647" i="19"/>
  <c r="AQ820" i="19"/>
  <c r="AQ134" i="19"/>
  <c r="AQ403" i="19"/>
  <c r="AQ649" i="19"/>
  <c r="AQ858" i="19"/>
  <c r="AQ281" i="19"/>
  <c r="Y281" i="19" s="1"/>
  <c r="AQ582" i="19"/>
  <c r="AQ307" i="19"/>
  <c r="AQ606" i="19"/>
  <c r="AQ615" i="19"/>
  <c r="AQ728" i="19"/>
  <c r="AQ922" i="19"/>
  <c r="AQ398" i="19"/>
  <c r="AD668" i="19"/>
  <c r="AD963" i="19"/>
  <c r="AD939" i="19"/>
  <c r="AD916" i="19"/>
  <c r="AD890" i="19"/>
  <c r="AD827" i="19"/>
  <c r="AD763" i="19"/>
  <c r="AD733" i="19"/>
  <c r="AD681" i="19"/>
  <c r="AD670" i="19"/>
  <c r="AD596" i="19"/>
  <c r="AD560" i="19"/>
  <c r="AD414" i="19"/>
  <c r="AD357" i="19"/>
  <c r="AD142" i="19"/>
  <c r="AD778" i="19"/>
  <c r="AD924" i="19"/>
  <c r="AD217" i="19"/>
  <c r="AD937" i="19"/>
  <c r="AD753" i="19"/>
  <c r="AD687" i="19"/>
  <c r="AD501" i="19"/>
  <c r="AD460" i="19"/>
  <c r="AD292" i="19"/>
  <c r="AD207" i="19"/>
  <c r="AD136" i="19"/>
  <c r="AD68" i="19"/>
  <c r="AD54" i="19"/>
  <c r="AD912" i="19"/>
  <c r="AD956" i="19"/>
  <c r="AD907" i="19"/>
  <c r="AD887" i="19"/>
  <c r="AD781" i="19"/>
  <c r="AD655" i="19"/>
  <c r="AD558" i="19"/>
  <c r="AD497" i="19"/>
  <c r="AD403" i="19"/>
  <c r="AD293" i="19"/>
  <c r="AD204" i="19"/>
  <c r="AD133" i="19"/>
  <c r="AD60" i="19"/>
  <c r="AD126" i="19"/>
  <c r="AD33" i="19"/>
  <c r="AD110" i="19"/>
  <c r="AD766" i="19"/>
  <c r="AD354" i="19"/>
  <c r="AD962" i="19"/>
  <c r="AD933" i="19"/>
  <c r="AD914" i="19"/>
  <c r="AD878" i="19"/>
  <c r="AD749" i="19"/>
  <c r="AD707" i="19"/>
  <c r="AD647" i="19"/>
  <c r="AD589" i="19"/>
  <c r="AD268" i="19"/>
  <c r="AD125" i="19"/>
  <c r="AD46" i="19"/>
  <c r="AD575" i="19"/>
  <c r="AD945" i="19"/>
  <c r="AD929" i="19"/>
  <c r="AD874" i="19"/>
  <c r="AD782" i="19"/>
  <c r="AD755" i="19"/>
  <c r="AD701" i="19"/>
  <c r="AD689" i="19"/>
  <c r="AD523" i="19"/>
  <c r="AD260" i="19"/>
  <c r="AD188" i="19"/>
  <c r="AD696" i="19"/>
  <c r="AD360" i="19"/>
  <c r="AD741" i="19"/>
  <c r="AD930" i="19"/>
  <c r="AD868" i="19"/>
  <c r="AD804" i="19"/>
  <c r="AD783" i="19"/>
  <c r="AD626" i="19"/>
  <c r="AD451" i="19"/>
  <c r="AD317" i="19"/>
  <c r="AD162" i="19"/>
  <c r="AD895" i="19"/>
  <c r="AD955" i="19"/>
  <c r="AD953" i="19"/>
  <c r="AD926" i="19"/>
  <c r="AD903" i="19"/>
  <c r="AD851" i="19"/>
  <c r="AD774" i="19"/>
  <c r="AD623" i="19"/>
  <c r="AD490" i="19"/>
  <c r="AD445" i="19"/>
  <c r="AD386" i="19"/>
  <c r="AD119" i="19"/>
  <c r="AD108" i="19"/>
  <c r="AD923" i="19"/>
  <c r="AD229" i="19"/>
  <c r="AD508" i="19"/>
  <c r="AD111" i="19"/>
  <c r="AD961" i="19"/>
  <c r="AD951" i="19"/>
  <c r="AD927" i="19"/>
  <c r="AD844" i="19"/>
  <c r="AD788" i="19"/>
  <c r="AD776" i="19"/>
  <c r="AD751" i="19"/>
  <c r="AD617" i="19"/>
  <c r="AD516" i="19"/>
  <c r="AD380" i="19"/>
  <c r="AD305" i="19"/>
  <c r="AD232" i="19"/>
  <c r="AD174" i="19"/>
  <c r="AD113" i="19"/>
  <c r="AD34" i="19"/>
  <c r="AD570" i="19"/>
  <c r="AD958" i="19"/>
  <c r="AD949" i="19"/>
  <c r="AD846" i="19"/>
  <c r="AD772" i="19"/>
  <c r="AD577" i="19"/>
  <c r="AD432" i="19"/>
  <c r="AD368" i="19"/>
  <c r="AD304" i="19"/>
  <c r="AD228" i="19"/>
  <c r="AD161" i="19"/>
  <c r="AD35" i="19"/>
  <c r="AD839" i="19"/>
  <c r="AD430" i="19"/>
  <c r="AD957" i="19"/>
  <c r="AD943" i="19"/>
  <c r="AD918" i="19"/>
  <c r="AD893" i="19"/>
  <c r="AD785" i="19"/>
  <c r="AD747" i="19"/>
  <c r="AD694" i="19"/>
  <c r="AD669" i="19"/>
  <c r="AD564" i="19"/>
  <c r="AD507" i="19"/>
  <c r="AD411" i="19"/>
  <c r="AD286" i="19"/>
  <c r="AD210" i="19"/>
  <c r="AD150" i="19"/>
  <c r="AD72" i="19"/>
  <c r="AD307" i="19"/>
  <c r="AD686" i="19"/>
  <c r="AD24" i="19"/>
  <c r="AD726" i="19"/>
  <c r="AD724" i="19"/>
  <c r="AD954" i="19"/>
  <c r="AQ324" i="19"/>
  <c r="AQ320" i="19"/>
  <c r="AD322" i="19"/>
  <c r="AQ322" i="19"/>
  <c r="AQ330" i="19"/>
  <c r="AQ256" i="19"/>
  <c r="AQ331" i="19"/>
  <c r="AQ336" i="19"/>
  <c r="AQ628" i="19"/>
  <c r="AQ709" i="19"/>
  <c r="AQ326" i="19"/>
  <c r="AQ337" i="19"/>
  <c r="AQ91" i="19"/>
  <c r="AQ351" i="19"/>
  <c r="AD337" i="19"/>
  <c r="AQ257" i="19"/>
  <c r="AQ571" i="19"/>
  <c r="AQ319" i="19"/>
  <c r="AQ325" i="19"/>
  <c r="AQ314" i="19"/>
  <c r="AQ280" i="19"/>
  <c r="AQ255" i="19"/>
  <c r="AD280" i="19"/>
  <c r="AQ329" i="19"/>
  <c r="AQ181" i="19"/>
  <c r="AQ543" i="19"/>
  <c r="AQ405" i="19"/>
  <c r="AQ627" i="19"/>
  <c r="AQ730" i="19"/>
  <c r="AQ371" i="19"/>
  <c r="AQ250" i="19"/>
  <c r="AQ402" i="19"/>
  <c r="AQ716" i="19"/>
  <c r="AQ787" i="19"/>
  <c r="AQ238" i="19"/>
  <c r="AQ667" i="19"/>
  <c r="AQ395" i="19"/>
  <c r="AQ502" i="19"/>
  <c r="AQ455" i="19"/>
  <c r="AQ163" i="19"/>
  <c r="AQ520" i="19"/>
  <c r="AQ491" i="19"/>
  <c r="AQ234" i="19"/>
  <c r="AQ551" i="19"/>
  <c r="AQ765" i="19"/>
  <c r="AQ122" i="19"/>
  <c r="AQ55" i="19"/>
  <c r="AQ346" i="19"/>
  <c r="AQ759" i="19"/>
  <c r="AQ227" i="19"/>
  <c r="AQ92" i="19"/>
  <c r="AQ45" i="19"/>
  <c r="AQ605" i="19"/>
  <c r="AQ607" i="19"/>
  <c r="AQ323" i="19"/>
  <c r="AQ973" i="19"/>
  <c r="AQ723" i="19"/>
  <c r="AQ835" i="19"/>
  <c r="AQ470" i="19"/>
  <c r="AQ361" i="19"/>
  <c r="AQ556" i="19"/>
  <c r="AQ875" i="19"/>
  <c r="AQ297" i="19"/>
  <c r="AQ631" i="19"/>
  <c r="AQ479" i="19"/>
  <c r="AQ197" i="19"/>
  <c r="AQ566" i="19"/>
  <c r="AQ967" i="19"/>
  <c r="AQ882" i="19"/>
  <c r="AQ815" i="19"/>
  <c r="AQ742" i="19"/>
  <c r="AQ780" i="19"/>
  <c r="AQ819" i="19"/>
  <c r="AQ443" i="19"/>
  <c r="AQ664" i="19"/>
  <c r="AQ369" i="19"/>
  <c r="AQ736" i="19"/>
  <c r="AQ822" i="19"/>
  <c r="AQ653" i="19"/>
  <c r="AQ750" i="19"/>
  <c r="AQ826" i="19"/>
  <c r="AQ135" i="19"/>
  <c r="AQ453" i="19"/>
  <c r="AQ718" i="19"/>
  <c r="AQ768" i="19"/>
  <c r="AQ682" i="19"/>
  <c r="AQ744" i="19"/>
  <c r="AQ658" i="19"/>
  <c r="AQ811" i="19"/>
  <c r="AQ39" i="19"/>
  <c r="AQ734" i="19"/>
  <c r="AQ752" i="19"/>
  <c r="AQ908" i="19"/>
  <c r="AQ364" i="19"/>
  <c r="AQ756" i="19"/>
  <c r="AQ138" i="19"/>
  <c r="AQ845" i="19"/>
  <c r="AQ762" i="19"/>
  <c r="AQ441" i="19"/>
  <c r="AQ185" i="19"/>
  <c r="AQ576" i="19"/>
  <c r="AQ425" i="19"/>
  <c r="AQ947" i="19"/>
  <c r="AQ679" i="19"/>
  <c r="AQ757" i="19"/>
  <c r="AQ78" i="19"/>
  <c r="AQ568" i="19"/>
  <c r="AQ805" i="19"/>
  <c r="AQ977" i="19"/>
  <c r="AQ919" i="19"/>
  <c r="AQ272" i="19"/>
  <c r="AQ739" i="19"/>
  <c r="AQ917" i="19"/>
  <c r="AQ910" i="19"/>
  <c r="AQ810" i="19"/>
  <c r="AQ725" i="19"/>
  <c r="AQ813" i="19"/>
  <c r="AQ173" i="19"/>
  <c r="AQ214" i="19"/>
  <c r="AQ390" i="19"/>
  <c r="AQ592" i="19"/>
  <c r="AQ754" i="19"/>
  <c r="AQ935" i="19"/>
  <c r="AQ885" i="19"/>
  <c r="AQ817" i="19"/>
  <c r="AQ800" i="19"/>
  <c r="AQ898" i="19"/>
  <c r="AQ562" i="19"/>
  <c r="AQ586" i="19"/>
  <c r="AQ702" i="19"/>
  <c r="AQ223" i="19"/>
  <c r="AQ547" i="19"/>
  <c r="AQ705" i="19"/>
  <c r="AQ824" i="19"/>
  <c r="AQ343" i="19"/>
  <c r="AQ153" i="19"/>
  <c r="AQ385" i="19"/>
  <c r="AQ259" i="19"/>
  <c r="AQ206" i="19"/>
  <c r="AQ559" i="19"/>
  <c r="AQ729" i="19"/>
  <c r="AQ375" i="19"/>
  <c r="AQ732" i="19"/>
  <c r="AQ387" i="19"/>
  <c r="AQ381" i="19"/>
  <c r="AQ218" i="19"/>
  <c r="AQ537" i="19"/>
  <c r="AQ699" i="19"/>
  <c r="AQ128" i="19"/>
  <c r="AQ367" i="19"/>
  <c r="AQ545" i="19"/>
  <c r="AQ379" i="19"/>
  <c r="AQ727" i="19"/>
  <c r="AQ710" i="19"/>
  <c r="AQ377" i="19"/>
  <c r="AQ713" i="19"/>
  <c r="AQ708" i="19"/>
  <c r="AQ748" i="19"/>
  <c r="AC22" i="19"/>
  <c r="B22" i="19" s="1"/>
  <c r="AD891" i="19"/>
  <c r="AD889" i="19"/>
  <c r="K37" i="56"/>
  <c r="L37" i="56" s="1"/>
  <c r="J38" i="56"/>
  <c r="AQ194" i="19"/>
  <c r="AQ535" i="19"/>
  <c r="AQ541" i="19"/>
  <c r="AQ383" i="19"/>
  <c r="AQ221" i="19"/>
  <c r="AQ191" i="19"/>
  <c r="J29" i="17"/>
  <c r="K28" i="17"/>
  <c r="L28" i="17" s="1"/>
  <c r="AT22" i="19"/>
  <c r="AS22" i="19" s="1"/>
  <c r="AU21" i="19"/>
  <c r="BC28" i="42"/>
  <c r="BC17" i="42"/>
  <c r="BC31" i="42"/>
  <c r="M1" i="19"/>
  <c r="AH1" i="42" s="1"/>
  <c r="BV2" i="42" s="1"/>
  <c r="BE17" i="42"/>
  <c r="V7" i="19"/>
  <c r="BC18" i="42" s="1"/>
  <c r="N3" i="19"/>
  <c r="N4" i="19"/>
  <c r="N5" i="19"/>
  <c r="N6" i="19"/>
  <c r="N7" i="19"/>
  <c r="N8" i="19"/>
  <c r="N2" i="19"/>
  <c r="Y25" i="19" l="1"/>
  <c r="AQ517" i="19"/>
  <c r="B93" i="19"/>
  <c r="AQ928" i="19"/>
  <c r="AQ457" i="19"/>
  <c r="AD457" i="19" s="1"/>
  <c r="AQ327" i="19"/>
  <c r="AD327" i="19" s="1"/>
  <c r="AQ340" i="19"/>
  <c r="AQ688" i="19"/>
  <c r="AD688" i="19" s="1"/>
  <c r="AQ266" i="19"/>
  <c r="AQ270" i="19"/>
  <c r="AQ341" i="19"/>
  <c r="AQ239" i="19"/>
  <c r="AQ51" i="19"/>
  <c r="AQ164" i="19"/>
  <c r="AD199" i="19"/>
  <c r="B199" i="19"/>
  <c r="AQ182" i="19"/>
  <c r="AD182" i="19" s="1"/>
  <c r="B258" i="19"/>
  <c r="AQ219" i="19"/>
  <c r="B303" i="19"/>
  <c r="AQ471" i="19"/>
  <c r="AD471" i="19" s="1"/>
  <c r="AQ233" i="19"/>
  <c r="AQ458" i="19"/>
  <c r="Y283" i="19"/>
  <c r="AP283" i="19" s="1"/>
  <c r="AP281" i="19"/>
  <c r="AK281" i="19"/>
  <c r="AJ281" i="19"/>
  <c r="AI281" i="19"/>
  <c r="AA279" i="44" s="1"/>
  <c r="AM281" i="19"/>
  <c r="AL281" i="19"/>
  <c r="Y287" i="19"/>
  <c r="AI503" i="19"/>
  <c r="AA501" i="44" s="1"/>
  <c r="AK503" i="19"/>
  <c r="AJ503" i="19"/>
  <c r="AP503" i="19"/>
  <c r="AD503" i="19" s="1"/>
  <c r="AM503" i="19"/>
  <c r="AL503" i="19"/>
  <c r="AQ195" i="19"/>
  <c r="AD928" i="19"/>
  <c r="AQ397" i="19"/>
  <c r="AD397" i="19" s="1"/>
  <c r="AQ102" i="19"/>
  <c r="AQ315" i="19"/>
  <c r="AQ691" i="19"/>
  <c r="AQ685" i="19"/>
  <c r="AD685" i="19" s="1"/>
  <c r="B659" i="19"/>
  <c r="AQ396" i="19"/>
  <c r="AD396" i="19" s="1"/>
  <c r="E74" i="35"/>
  <c r="F74" i="35" s="1"/>
  <c r="I74" i="35"/>
  <c r="B76" i="35"/>
  <c r="C75" i="35"/>
  <c r="D75" i="35"/>
  <c r="H73" i="35"/>
  <c r="F73" i="35"/>
  <c r="AQ900" i="19"/>
  <c r="AD900" i="19" s="1"/>
  <c r="AQ439" i="19"/>
  <c r="AD439" i="19" s="1"/>
  <c r="AQ332" i="19"/>
  <c r="AD332" i="19" s="1"/>
  <c r="AQ80" i="19"/>
  <c r="AD80" i="19" s="1"/>
  <c r="AQ79" i="19"/>
  <c r="B418" i="19"/>
  <c r="AQ246" i="19"/>
  <c r="AD246" i="19" s="1"/>
  <c r="B249" i="19"/>
  <c r="AI969" i="19"/>
  <c r="AP969" i="19"/>
  <c r="AD969" i="19" s="1"/>
  <c r="AM969" i="19"/>
  <c r="AL969" i="19"/>
  <c r="AK969" i="19"/>
  <c r="AJ969" i="19"/>
  <c r="AP979" i="19"/>
  <c r="AD979" i="19" s="1"/>
  <c r="AM979" i="19"/>
  <c r="AL979" i="19"/>
  <c r="AK979" i="19"/>
  <c r="AJ979" i="19"/>
  <c r="AI979" i="19"/>
  <c r="AL982" i="19"/>
  <c r="AK982" i="19"/>
  <c r="AJ982" i="19"/>
  <c r="AI982" i="19"/>
  <c r="AP982" i="19"/>
  <c r="AD982" i="19" s="1"/>
  <c r="AM982" i="19"/>
  <c r="AP944" i="19"/>
  <c r="AD944" i="19" s="1"/>
  <c r="AM944" i="19"/>
  <c r="AL944" i="19"/>
  <c r="AK944" i="19"/>
  <c r="AJ944" i="19"/>
  <c r="AI944" i="19"/>
  <c r="AL968" i="19"/>
  <c r="AK968" i="19"/>
  <c r="AJ968" i="19"/>
  <c r="AI968" i="19"/>
  <c r="AP968" i="19"/>
  <c r="AD968" i="19" s="1"/>
  <c r="AM968" i="19"/>
  <c r="AI980" i="19"/>
  <c r="AP980" i="19"/>
  <c r="AD980" i="19" s="1"/>
  <c r="AM980" i="19"/>
  <c r="AL980" i="19"/>
  <c r="AK980" i="19"/>
  <c r="AJ980" i="19"/>
  <c r="AI965" i="19"/>
  <c r="AP965" i="19"/>
  <c r="AD965" i="19" s="1"/>
  <c r="AM965" i="19"/>
  <c r="AL965" i="19"/>
  <c r="AK965" i="19"/>
  <c r="AJ965" i="19"/>
  <c r="AP964" i="19"/>
  <c r="AD964" i="19" s="1"/>
  <c r="AM964" i="19"/>
  <c r="AL964" i="19"/>
  <c r="AK964" i="19"/>
  <c r="AJ964" i="19"/>
  <c r="AI964" i="19"/>
  <c r="AI978" i="19"/>
  <c r="AP978" i="19"/>
  <c r="AD978" i="19" s="1"/>
  <c r="AM978" i="19"/>
  <c r="AL978" i="19"/>
  <c r="AK978" i="19"/>
  <c r="AJ978" i="19"/>
  <c r="AP981" i="19"/>
  <c r="AD981" i="19" s="1"/>
  <c r="AM981" i="19"/>
  <c r="AL981" i="19"/>
  <c r="AK981" i="19"/>
  <c r="AJ981" i="19"/>
  <c r="AI981" i="19"/>
  <c r="AP970" i="19"/>
  <c r="AD970" i="19" s="1"/>
  <c r="AM970" i="19"/>
  <c r="AL970" i="19"/>
  <c r="AK970" i="19"/>
  <c r="AJ970" i="19"/>
  <c r="AI970" i="19"/>
  <c r="AP905" i="19"/>
  <c r="AD905" i="19" s="1"/>
  <c r="AM905" i="19"/>
  <c r="AL905" i="19"/>
  <c r="AK905" i="19"/>
  <c r="AJ905" i="19"/>
  <c r="AI905" i="19"/>
  <c r="AP975" i="19"/>
  <c r="AD975" i="19" s="1"/>
  <c r="AM975" i="19"/>
  <c r="AL975" i="19"/>
  <c r="AK975" i="19"/>
  <c r="AJ975" i="19"/>
  <c r="AI975" i="19"/>
  <c r="AP906" i="19"/>
  <c r="AD906" i="19" s="1"/>
  <c r="AM906" i="19"/>
  <c r="AL906" i="19"/>
  <c r="AK906" i="19"/>
  <c r="AJ906" i="19"/>
  <c r="AI906" i="19"/>
  <c r="AP976" i="19"/>
  <c r="AD976" i="19" s="1"/>
  <c r="AM976" i="19"/>
  <c r="AL976" i="19"/>
  <c r="AK976" i="19"/>
  <c r="AJ976" i="19"/>
  <c r="AI976" i="19"/>
  <c r="AJ971" i="19"/>
  <c r="AI971" i="19"/>
  <c r="AP971" i="19"/>
  <c r="AD971" i="19" s="1"/>
  <c r="AM971" i="19"/>
  <c r="AL971" i="19"/>
  <c r="AK971" i="19"/>
  <c r="AP966" i="19"/>
  <c r="AD966" i="19" s="1"/>
  <c r="AM966" i="19"/>
  <c r="AL966" i="19"/>
  <c r="AK966" i="19"/>
  <c r="AJ966" i="19"/>
  <c r="AI966" i="19"/>
  <c r="AP972" i="19"/>
  <c r="AD972" i="19" s="1"/>
  <c r="AM972" i="19"/>
  <c r="AL972" i="19"/>
  <c r="AK972" i="19"/>
  <c r="AJ972" i="19"/>
  <c r="AI972" i="19"/>
  <c r="AQ883" i="19"/>
  <c r="AD883" i="19" s="1"/>
  <c r="B883" i="19"/>
  <c r="AQ901" i="19"/>
  <c r="AD901" i="19" s="1"/>
  <c r="B901" i="19"/>
  <c r="AQ193" i="19"/>
  <c r="B193" i="19"/>
  <c r="AQ84" i="19"/>
  <c r="AD84" i="19" s="1"/>
  <c r="B84" i="19"/>
  <c r="AQ155" i="19"/>
  <c r="AD155" i="19" s="1"/>
  <c r="B155" i="19"/>
  <c r="AQ348" i="19"/>
  <c r="B348" i="19"/>
  <c r="AQ693" i="19"/>
  <c r="AD693" i="19" s="1"/>
  <c r="B693" i="19"/>
  <c r="AQ178" i="19"/>
  <c r="AD178" i="19" s="1"/>
  <c r="B178" i="19"/>
  <c r="AQ241" i="19"/>
  <c r="B241" i="19"/>
  <c r="AQ200" i="19"/>
  <c r="AD200" i="19" s="1"/>
  <c r="B200" i="19"/>
  <c r="AQ509" i="19"/>
  <c r="AD509" i="19" s="1"/>
  <c r="B509" i="19"/>
  <c r="AQ312" i="19"/>
  <c r="AD312" i="19" s="1"/>
  <c r="B312" i="19"/>
  <c r="AQ731" i="19"/>
  <c r="B731" i="19"/>
  <c r="AQ120" i="19"/>
  <c r="AD120" i="19" s="1"/>
  <c r="B120" i="19"/>
  <c r="AQ321" i="19"/>
  <c r="AD321" i="19" s="1"/>
  <c r="B321" i="19"/>
  <c r="AQ366" i="19"/>
  <c r="AD366" i="19" s="1"/>
  <c r="B366" i="19"/>
  <c r="AQ644" i="19"/>
  <c r="AD644" i="19" s="1"/>
  <c r="B644" i="19"/>
  <c r="AQ27" i="19"/>
  <c r="AD27" i="19" s="1"/>
  <c r="B27" i="19"/>
  <c r="AQ514" i="19"/>
  <c r="AD514" i="19" s="1"/>
  <c r="B514" i="19"/>
  <c r="AQ356" i="19"/>
  <c r="AD356" i="19" s="1"/>
  <c r="B356" i="19"/>
  <c r="AQ89" i="19"/>
  <c r="AD89" i="19" s="1"/>
  <c r="B89" i="19"/>
  <c r="AQ925" i="19"/>
  <c r="AD925" i="19" s="1"/>
  <c r="B925" i="19"/>
  <c r="AQ192" i="19"/>
  <c r="AD192" i="19" s="1"/>
  <c r="B192" i="19"/>
  <c r="AQ404" i="19"/>
  <c r="AD404" i="19" s="1"/>
  <c r="B404" i="19"/>
  <c r="AQ406" i="19"/>
  <c r="B406" i="19"/>
  <c r="AQ106" i="19"/>
  <c r="AD106" i="19" s="1"/>
  <c r="B106" i="19"/>
  <c r="AQ139" i="19"/>
  <c r="B139" i="19"/>
  <c r="AQ534" i="19"/>
  <c r="AD534" i="19" s="1"/>
  <c r="B534" i="19"/>
  <c r="AQ374" i="19"/>
  <c r="B374" i="19"/>
  <c r="AQ235" i="19"/>
  <c r="B235" i="19"/>
  <c r="AQ160" i="19"/>
  <c r="B160" i="19"/>
  <c r="AQ417" i="19"/>
  <c r="B417" i="19"/>
  <c r="AQ567" i="19"/>
  <c r="B567" i="19"/>
  <c r="AQ420" i="19"/>
  <c r="AD420" i="19" s="1"/>
  <c r="B420" i="19"/>
  <c r="AQ151" i="19"/>
  <c r="B151" i="19"/>
  <c r="AQ745" i="19"/>
  <c r="AD745" i="19" s="1"/>
  <c r="B745" i="19"/>
  <c r="AQ156" i="19"/>
  <c r="B156" i="19"/>
  <c r="AQ464" i="19"/>
  <c r="B464" i="19"/>
  <c r="AQ222" i="19"/>
  <c r="B222" i="19"/>
  <c r="AQ505" i="19"/>
  <c r="AD505" i="19" s="1"/>
  <c r="B505" i="19"/>
  <c r="AQ604" i="19"/>
  <c r="B604" i="19"/>
  <c r="AQ407" i="19"/>
  <c r="AD407" i="19" s="1"/>
  <c r="B407" i="19"/>
  <c r="AQ828" i="19"/>
  <c r="B828" i="19"/>
  <c r="AQ171" i="19"/>
  <c r="AD171" i="19" s="1"/>
  <c r="B171" i="19"/>
  <c r="AQ677" i="19"/>
  <c r="B677" i="19"/>
  <c r="AQ334" i="19"/>
  <c r="AD334" i="19" s="1"/>
  <c r="B334" i="19"/>
  <c r="AQ650" i="19"/>
  <c r="AD650" i="19" s="1"/>
  <c r="B650" i="19"/>
  <c r="AQ974" i="19"/>
  <c r="B974" i="19"/>
  <c r="AQ553" i="19"/>
  <c r="AD553" i="19" s="1"/>
  <c r="B553" i="19"/>
  <c r="AQ57" i="19"/>
  <c r="AD57" i="19" s="1"/>
  <c r="B57" i="19"/>
  <c r="AQ201" i="19"/>
  <c r="B201" i="19"/>
  <c r="AQ362" i="19"/>
  <c r="AD362" i="19" s="1"/>
  <c r="B362" i="19"/>
  <c r="AQ683" i="19"/>
  <c r="B683" i="19"/>
  <c r="AQ660" i="19"/>
  <c r="B660" i="19"/>
  <c r="AQ584" i="19"/>
  <c r="AD584" i="19" s="1"/>
  <c r="B584" i="19"/>
  <c r="AQ311" i="19"/>
  <c r="AD311" i="19" s="1"/>
  <c r="B311" i="19"/>
  <c r="AQ48" i="19"/>
  <c r="AD48" i="19" s="1"/>
  <c r="B48" i="19"/>
  <c r="AQ401" i="19"/>
  <c r="AD401" i="19" s="1"/>
  <c r="B401" i="19"/>
  <c r="AQ666" i="19"/>
  <c r="AD666" i="19" s="1"/>
  <c r="B666" i="19"/>
  <c r="AQ26" i="19"/>
  <c r="B26" i="19"/>
  <c r="AQ675" i="19"/>
  <c r="B675" i="19"/>
  <c r="AQ352" i="19"/>
  <c r="B352" i="19"/>
  <c r="AQ639" i="19"/>
  <c r="AD639" i="19" s="1"/>
  <c r="B639" i="19"/>
  <c r="AQ32" i="19"/>
  <c r="AD32" i="19" s="1"/>
  <c r="B32" i="19"/>
  <c r="AQ118" i="19"/>
  <c r="B118" i="19"/>
  <c r="AQ416" i="19"/>
  <c r="B416" i="19"/>
  <c r="AQ941" i="19"/>
  <c r="AD941" i="19" s="1"/>
  <c r="B941" i="19"/>
  <c r="AQ53" i="19"/>
  <c r="B53" i="19"/>
  <c r="AQ548" i="19"/>
  <c r="B548" i="19"/>
  <c r="AQ370" i="19"/>
  <c r="B370" i="19"/>
  <c r="AQ652" i="19"/>
  <c r="B652" i="19"/>
  <c r="AQ58" i="19"/>
  <c r="AD58" i="19" s="1"/>
  <c r="B58" i="19"/>
  <c r="AQ74" i="19"/>
  <c r="AD74" i="19" s="1"/>
  <c r="B74" i="19"/>
  <c r="AQ146" i="19"/>
  <c r="B146" i="19"/>
  <c r="AQ504" i="19"/>
  <c r="AD504" i="19" s="1"/>
  <c r="B504" i="19"/>
  <c r="AQ67" i="19"/>
  <c r="B67" i="19"/>
  <c r="AQ123" i="19"/>
  <c r="AD123" i="19" s="1"/>
  <c r="B123" i="19"/>
  <c r="AQ601" i="19"/>
  <c r="AD601" i="19" s="1"/>
  <c r="B601" i="19"/>
  <c r="AQ544" i="19"/>
  <c r="AD544" i="19" s="1"/>
  <c r="B544" i="19"/>
  <c r="AQ743" i="19"/>
  <c r="AD743" i="19" s="1"/>
  <c r="B743" i="19"/>
  <c r="AQ86" i="19"/>
  <c r="AD86" i="19" s="1"/>
  <c r="B86" i="19"/>
  <c r="AQ288" i="19"/>
  <c r="AD288" i="19" s="1"/>
  <c r="B288" i="19"/>
  <c r="AQ236" i="19"/>
  <c r="B236" i="19"/>
  <c r="AQ107" i="19"/>
  <c r="B107" i="19"/>
  <c r="AQ226" i="19"/>
  <c r="AD226" i="19" s="1"/>
  <c r="B226" i="19"/>
  <c r="AQ419" i="19"/>
  <c r="AQ625" i="19"/>
  <c r="AD91" i="19"/>
  <c r="AQ448" i="19"/>
  <c r="AQ468" i="19"/>
  <c r="AQ328" i="19"/>
  <c r="AQ832" i="19"/>
  <c r="AD31" i="19"/>
  <c r="AD258" i="19"/>
  <c r="AQ637" i="19"/>
  <c r="AQ597" i="19"/>
  <c r="AQ619" i="19"/>
  <c r="AQ529" i="19"/>
  <c r="AQ434" i="19"/>
  <c r="AQ392" i="19"/>
  <c r="AQ211" i="19"/>
  <c r="AQ423" i="19"/>
  <c r="AP423" i="19" s="1"/>
  <c r="AQ572" i="19"/>
  <c r="AQ613" i="19"/>
  <c r="AQ648" i="19"/>
  <c r="AQ333" i="19"/>
  <c r="AQ408" i="19"/>
  <c r="AQ308" i="19"/>
  <c r="AQ746" i="19"/>
  <c r="AQ635" i="19"/>
  <c r="AD583" i="19"/>
  <c r="AD30" i="19"/>
  <c r="AD814" i="19"/>
  <c r="AD444" i="19"/>
  <c r="AQ459" i="19"/>
  <c r="AQ338" i="19"/>
  <c r="AQ437" i="19"/>
  <c r="AQ313" i="19"/>
  <c r="AQ63" i="19"/>
  <c r="AQ661" i="19"/>
  <c r="AD124" i="19"/>
  <c r="AQ82" i="19"/>
  <c r="AQ24" i="19"/>
  <c r="AQ254" i="19"/>
  <c r="AP667" i="19"/>
  <c r="AQ463" i="19"/>
  <c r="AQ428" i="19"/>
  <c r="AQ474" i="19"/>
  <c r="AD279" i="19"/>
  <c r="AQ170" i="19"/>
  <c r="AQ117" i="19"/>
  <c r="AD767" i="19"/>
  <c r="AQ112" i="19"/>
  <c r="AQ482" i="19"/>
  <c r="AD684" i="19"/>
  <c r="AD820" i="19"/>
  <c r="AD960" i="19"/>
  <c r="AD959" i="19"/>
  <c r="AD413" i="19"/>
  <c r="AD247" i="19"/>
  <c r="AD812" i="19"/>
  <c r="AQ476" i="19"/>
  <c r="AD251" i="19"/>
  <c r="AD871" i="19"/>
  <c r="AP395" i="19"/>
  <c r="AD624" i="19"/>
  <c r="AD148" i="19"/>
  <c r="AD630" i="19"/>
  <c r="AD267" i="19"/>
  <c r="AD431" i="19"/>
  <c r="AD114" i="19"/>
  <c r="AD96" i="19"/>
  <c r="AD245" i="19"/>
  <c r="AD802" i="19"/>
  <c r="AP682" i="19"/>
  <c r="AQ450" i="19"/>
  <c r="AD495" i="19"/>
  <c r="AD703" i="19"/>
  <c r="AD176" i="19"/>
  <c r="AD700" i="19"/>
  <c r="AD629" i="19"/>
  <c r="AQ97" i="19"/>
  <c r="AD264" i="19"/>
  <c r="AD888" i="19"/>
  <c r="AD809" i="19"/>
  <c r="AD911" i="19"/>
  <c r="AD879" i="19"/>
  <c r="AD894" i="19"/>
  <c r="AD886" i="19"/>
  <c r="AD873" i="19"/>
  <c r="AD897" i="19"/>
  <c r="AD860" i="19"/>
  <c r="AD262" i="19"/>
  <c r="AD909" i="19"/>
  <c r="AD521" i="19"/>
  <c r="AD709" i="19"/>
  <c r="AD275" i="19"/>
  <c r="AD904" i="19"/>
  <c r="AP882" i="19"/>
  <c r="AD892" i="19"/>
  <c r="AD880" i="19"/>
  <c r="AD899" i="19"/>
  <c r="AD902" i="19"/>
  <c r="AD263" i="19"/>
  <c r="AD913" i="19"/>
  <c r="AQ512" i="19"/>
  <c r="AP112" i="19"/>
  <c r="AD602" i="19"/>
  <c r="AD692" i="19"/>
  <c r="AD243" i="19"/>
  <c r="AD158" i="19"/>
  <c r="AD257" i="19"/>
  <c r="AD603" i="19"/>
  <c r="AD797" i="19"/>
  <c r="AP470" i="19"/>
  <c r="AD249" i="19"/>
  <c r="AD816" i="19"/>
  <c r="AD579" i="19"/>
  <c r="AD511" i="19"/>
  <c r="AD485" i="19"/>
  <c r="AP459" i="19"/>
  <c r="AD299" i="19"/>
  <c r="AD487" i="19"/>
  <c r="AD515" i="19"/>
  <c r="AD274" i="19"/>
  <c r="AD760" i="19"/>
  <c r="AD830" i="19"/>
  <c r="AD831" i="19"/>
  <c r="AQ318" i="19"/>
  <c r="AD296" i="19"/>
  <c r="AD775" i="19"/>
  <c r="AD818" i="19"/>
  <c r="AD842" i="19"/>
  <c r="AP736" i="19"/>
  <c r="AD295" i="19"/>
  <c r="AD526" i="19"/>
  <c r="AD282" i="19"/>
  <c r="AD52" i="19"/>
  <c r="AP705" i="19"/>
  <c r="AD848" i="19"/>
  <c r="AP437" i="19"/>
  <c r="AD836" i="19"/>
  <c r="AD483" i="19"/>
  <c r="AD857" i="19"/>
  <c r="AD488" i="19"/>
  <c r="AD728" i="19"/>
  <c r="AD466" i="19"/>
  <c r="AP562" i="19"/>
  <c r="AD657" i="19"/>
  <c r="AD513" i="19"/>
  <c r="AD786" i="19"/>
  <c r="AQ168" i="19"/>
  <c r="AP390" i="19"/>
  <c r="AP297" i="19"/>
  <c r="AD632" i="19"/>
  <c r="AP679" i="19"/>
  <c r="AD388" i="19"/>
  <c r="AP343" i="19"/>
  <c r="AD799" i="19"/>
  <c r="AD132" i="19"/>
  <c r="AD823" i="19"/>
  <c r="AD256" i="19"/>
  <c r="AP815" i="19"/>
  <c r="AD339" i="19"/>
  <c r="AP153" i="19"/>
  <c r="AD209" i="19"/>
  <c r="AD270" i="19"/>
  <c r="AP63" i="19"/>
  <c r="AD147" i="19"/>
  <c r="AP819" i="19"/>
  <c r="AD697" i="19"/>
  <c r="AP746" i="19"/>
  <c r="AP653" i="19"/>
  <c r="AD266" i="19"/>
  <c r="AP631" i="19"/>
  <c r="AD615" i="19"/>
  <c r="AD642" i="19"/>
  <c r="AD714" i="19"/>
  <c r="AD344" i="19"/>
  <c r="AD779" i="19"/>
  <c r="AD712" i="19"/>
  <c r="AD825" i="19"/>
  <c r="AD858" i="19"/>
  <c r="AQ865" i="19"/>
  <c r="AD571" i="19"/>
  <c r="AP817" i="19"/>
  <c r="AD301" i="19"/>
  <c r="AD44" i="19"/>
  <c r="AD791" i="19"/>
  <c r="AP443" i="19"/>
  <c r="AD662" i="19"/>
  <c r="AD242" i="19"/>
  <c r="AD426" i="19"/>
  <c r="AD372" i="19"/>
  <c r="AD73" i="19"/>
  <c r="AP917" i="19"/>
  <c r="AD920" i="19"/>
  <c r="AP919" i="19"/>
  <c r="AD854" i="19"/>
  <c r="AD855" i="19"/>
  <c r="AD843" i="19"/>
  <c r="AP835" i="19"/>
  <c r="AD840" i="19"/>
  <c r="AP845" i="19"/>
  <c r="AD838" i="19"/>
  <c r="AP811" i="19"/>
  <c r="AD794" i="19"/>
  <c r="AD793" i="19"/>
  <c r="AD789" i="19"/>
  <c r="AD777" i="19"/>
  <c r="AD773" i="19"/>
  <c r="AD769" i="19"/>
  <c r="AP762" i="19"/>
  <c r="AD740" i="19"/>
  <c r="AP739" i="19"/>
  <c r="AP742" i="19"/>
  <c r="AD737" i="19"/>
  <c r="AD690" i="19"/>
  <c r="AD665" i="19"/>
  <c r="AD654" i="19"/>
  <c r="AD636" i="19"/>
  <c r="AD621" i="19"/>
  <c r="AD606" i="19"/>
  <c r="AD591" i="19"/>
  <c r="AP586" i="19"/>
  <c r="AD582" i="19"/>
  <c r="AD585" i="19"/>
  <c r="AD578" i="19"/>
  <c r="AD574" i="19"/>
  <c r="AP576" i="19"/>
  <c r="AD580" i="19"/>
  <c r="AP566" i="19"/>
  <c r="AP568" i="19"/>
  <c r="AD569" i="19"/>
  <c r="AD550" i="19"/>
  <c r="AD552" i="19"/>
  <c r="AD546" i="19"/>
  <c r="AD532" i="19"/>
  <c r="AD517" i="19"/>
  <c r="AD496" i="19"/>
  <c r="AD499" i="19"/>
  <c r="AD493" i="19"/>
  <c r="AD484" i="19"/>
  <c r="AD486" i="19"/>
  <c r="AD480" i="19"/>
  <c r="AP468" i="19"/>
  <c r="AD465" i="19"/>
  <c r="AP448" i="19"/>
  <c r="AP441" i="19"/>
  <c r="AD421" i="19"/>
  <c r="AD412" i="19"/>
  <c r="AP369" i="19"/>
  <c r="AP361" i="19"/>
  <c r="AD365" i="19"/>
  <c r="AD351" i="19"/>
  <c r="AD349" i="19"/>
  <c r="AD342" i="19"/>
  <c r="AP328" i="19"/>
  <c r="AP323" i="19"/>
  <c r="AD324" i="19"/>
  <c r="AD316" i="19"/>
  <c r="AD309" i="19"/>
  <c r="AD284" i="19"/>
  <c r="AD289" i="19"/>
  <c r="AD271" i="19"/>
  <c r="AD276" i="19"/>
  <c r="AP272" i="19"/>
  <c r="AD253" i="19"/>
  <c r="AP197" i="19"/>
  <c r="AP185" i="19"/>
  <c r="AD179" i="19"/>
  <c r="AD177" i="19"/>
  <c r="AD175" i="19"/>
  <c r="AP173" i="19"/>
  <c r="AD166" i="19"/>
  <c r="AD165" i="19"/>
  <c r="AD167" i="19"/>
  <c r="AD154" i="19"/>
  <c r="AD157" i="19"/>
  <c r="AD143" i="19"/>
  <c r="AD137" i="19"/>
  <c r="AP138" i="19"/>
  <c r="AD140" i="19"/>
  <c r="AD130" i="19"/>
  <c r="AD127" i="19"/>
  <c r="AD101" i="19"/>
  <c r="AD105" i="19"/>
  <c r="AD98" i="19"/>
  <c r="AD87" i="19"/>
  <c r="AD90" i="19"/>
  <c r="AD88" i="19"/>
  <c r="AD93" i="19"/>
  <c r="AD83" i="19"/>
  <c r="AD79" i="19"/>
  <c r="AP78" i="19"/>
  <c r="AD65" i="19"/>
  <c r="AD59" i="19"/>
  <c r="AP45" i="19"/>
  <c r="AD47" i="19"/>
  <c r="AD49" i="19"/>
  <c r="AD40" i="19"/>
  <c r="AP39" i="19"/>
  <c r="AD36" i="19"/>
  <c r="AD230" i="19"/>
  <c r="AQ525" i="19"/>
  <c r="AD859" i="19"/>
  <c r="AD834" i="19"/>
  <c r="AD867" i="19"/>
  <c r="AD861" i="19"/>
  <c r="AD442" i="19"/>
  <c r="AD141" i="19"/>
  <c r="AP708" i="19"/>
  <c r="AP206" i="19"/>
  <c r="AD896" i="19"/>
  <c r="AD646" i="19"/>
  <c r="AD330" i="19"/>
  <c r="AD595" i="19"/>
  <c r="AD61" i="19"/>
  <c r="AD680" i="19"/>
  <c r="AD784" i="19"/>
  <c r="AD717" i="19"/>
  <c r="AD265" i="19"/>
  <c r="AD353" i="19"/>
  <c r="AP381" i="19"/>
  <c r="AP367" i="19"/>
  <c r="AD616" i="19"/>
  <c r="AP727" i="19"/>
  <c r="AD706" i="19"/>
  <c r="AD915" i="19"/>
  <c r="AP525" i="19"/>
  <c r="AP379" i="19"/>
  <c r="AD573" i="19"/>
  <c r="AD203" i="19"/>
  <c r="AD350" i="19"/>
  <c r="AD715" i="19"/>
  <c r="AD738" i="19"/>
  <c r="AD921" i="19"/>
  <c r="AP699" i="19"/>
  <c r="AD695" i="19"/>
  <c r="AD473" i="19"/>
  <c r="AD475" i="19"/>
  <c r="AD94" i="19"/>
  <c r="AD43" i="19"/>
  <c r="AD37" i="19"/>
  <c r="AD134" i="19"/>
  <c r="AD462" i="19"/>
  <c r="AD790" i="19"/>
  <c r="AD565" i="19"/>
  <c r="AP383" i="19"/>
  <c r="AP541" i="19"/>
  <c r="AD518" i="19"/>
  <c r="AD427" i="19"/>
  <c r="AQ373" i="19"/>
  <c r="AD345" i="19" s="1"/>
  <c r="AQ23" i="19"/>
  <c r="AD481" i="19"/>
  <c r="J39" i="56"/>
  <c r="K38" i="56"/>
  <c r="L38" i="56" s="1"/>
  <c r="AD440" i="19"/>
  <c r="AD302" i="19"/>
  <c r="AD76" i="19"/>
  <c r="AD255" i="19"/>
  <c r="AP535" i="19"/>
  <c r="AP194" i="19"/>
  <c r="AD213" i="19"/>
  <c r="AD884" i="19"/>
  <c r="AD770" i="19"/>
  <c r="AD821" i="19"/>
  <c r="AD533" i="19"/>
  <c r="K29" i="17"/>
  <c r="L29" i="17" s="1"/>
  <c r="J30" i="17"/>
  <c r="BX2" i="42"/>
  <c r="CD4" i="42" s="1"/>
  <c r="CF4" i="42" s="1"/>
  <c r="CH4" i="42" s="1"/>
  <c r="CB4" i="42"/>
  <c r="BC32" i="42"/>
  <c r="P22" i="19"/>
  <c r="Y26" i="19" l="1"/>
  <c r="AL25" i="19"/>
  <c r="AP25" i="19"/>
  <c r="AD25" i="19" s="1"/>
  <c r="AI25" i="19"/>
  <c r="AA25" i="44" s="1"/>
  <c r="AK25" i="19"/>
  <c r="AJ25" i="19"/>
  <c r="AM25" i="19"/>
  <c r="AM283" i="19"/>
  <c r="AL283" i="19"/>
  <c r="AI283" i="19"/>
  <c r="AA281" i="44" s="1"/>
  <c r="AJ283" i="19"/>
  <c r="AK283" i="19"/>
  <c r="AN281" i="19"/>
  <c r="AN503" i="19"/>
  <c r="AJ287" i="19"/>
  <c r="AI287" i="19"/>
  <c r="AA285" i="44" s="1"/>
  <c r="AL287" i="19"/>
  <c r="AM287" i="19"/>
  <c r="AP287" i="19"/>
  <c r="AD287" i="19" s="1"/>
  <c r="AK287" i="19"/>
  <c r="H74" i="35"/>
  <c r="G74" i="35" s="1"/>
  <c r="J74" i="35" s="1"/>
  <c r="E75" i="35"/>
  <c r="F75" i="35" s="1"/>
  <c r="G73" i="35"/>
  <c r="J73" i="35" s="1"/>
  <c r="I75" i="35"/>
  <c r="B77" i="35"/>
  <c r="D76" i="35"/>
  <c r="I76" i="35" s="1"/>
  <c r="C76" i="35"/>
  <c r="AN966" i="19"/>
  <c r="AN976" i="19"/>
  <c r="AN975" i="19"/>
  <c r="AN970" i="19"/>
  <c r="AN969" i="19"/>
  <c r="AN980" i="19"/>
  <c r="AN944" i="19"/>
  <c r="AN971" i="19"/>
  <c r="AN906" i="19"/>
  <c r="AN905" i="19"/>
  <c r="AN981" i="19"/>
  <c r="AN964" i="19"/>
  <c r="AN979" i="19"/>
  <c r="Y974" i="19"/>
  <c r="AN972" i="19"/>
  <c r="AN978" i="19"/>
  <c r="AN965" i="19"/>
  <c r="AN968" i="19"/>
  <c r="AN982" i="19"/>
  <c r="AD406" i="19"/>
  <c r="AD400" i="19"/>
  <c r="AD673" i="19"/>
  <c r="AD429" i="19"/>
  <c r="AD235" i="19"/>
  <c r="AD567" i="19"/>
  <c r="AD285" i="19"/>
  <c r="AD828" i="19"/>
  <c r="AD290" i="19"/>
  <c r="AD283" i="19"/>
  <c r="AD519" i="19"/>
  <c r="AD118" i="19"/>
  <c r="AD100" i="19"/>
  <c r="AD193" i="19"/>
  <c r="AD358" i="19"/>
  <c r="AD160" i="19"/>
  <c r="AD659" i="19"/>
  <c r="AD139" i="19"/>
  <c r="AD215" i="19"/>
  <c r="AD352" i="19"/>
  <c r="AD67" i="19"/>
  <c r="AD294" i="19"/>
  <c r="AD548" i="19"/>
  <c r="AD236" i="19"/>
  <c r="AD184" i="19"/>
  <c r="AD363" i="19"/>
  <c r="AP613" i="19"/>
  <c r="AD81" i="19"/>
  <c r="AD464" i="19"/>
  <c r="AP832" i="19"/>
  <c r="AD477" i="19"/>
  <c r="AD398" i="19"/>
  <c r="AD146" i="19"/>
  <c r="AD524" i="19"/>
  <c r="AD336" i="19"/>
  <c r="AD651" i="19"/>
  <c r="AD56" i="19"/>
  <c r="AD95" i="19"/>
  <c r="AD359" i="19"/>
  <c r="AD438" i="19"/>
  <c r="AD145" i="19"/>
  <c r="AD169" i="19"/>
  <c r="AD384" i="19"/>
  <c r="AD186" i="19"/>
  <c r="AP787" i="19"/>
  <c r="AD922" i="19"/>
  <c r="AD792" i="19"/>
  <c r="AD298" i="19"/>
  <c r="AD554" i="19"/>
  <c r="AD314" i="19"/>
  <c r="AP572" i="19"/>
  <c r="AD187" i="19"/>
  <c r="AD190" i="19"/>
  <c r="AD341" i="19"/>
  <c r="AD833" i="19"/>
  <c r="AP333" i="19"/>
  <c r="AD492" i="19"/>
  <c r="AP648" i="19"/>
  <c r="AP635" i="19"/>
  <c r="AD252" i="19"/>
  <c r="AD131" i="19"/>
  <c r="AD376" i="19"/>
  <c r="AD331" i="19"/>
  <c r="AP371" i="19"/>
  <c r="AD864" i="19"/>
  <c r="AD530" i="19"/>
  <c r="AP338" i="19"/>
  <c r="AD672" i="19"/>
  <c r="AD216" i="19"/>
  <c r="AP313" i="19"/>
  <c r="AD850" i="19"/>
  <c r="AP238" i="19"/>
  <c r="AP428" i="19"/>
  <c r="AP661" i="19"/>
  <c r="AD683" i="19"/>
  <c r="AD862" i="19"/>
  <c r="AD849" i="19"/>
  <c r="AP463" i="19"/>
  <c r="AP82" i="19"/>
  <c r="AP725" i="19"/>
  <c r="AD837" i="19"/>
  <c r="AP716" i="19"/>
  <c r="AD220" i="19"/>
  <c r="AD498" i="19"/>
  <c r="AD149" i="19"/>
  <c r="AD761" i="19"/>
  <c r="AD634" i="19"/>
  <c r="AD656" i="19"/>
  <c r="AP502" i="19"/>
  <c r="AD156" i="19"/>
  <c r="AD614" i="19"/>
  <c r="AD239" i="19"/>
  <c r="AP474" i="19"/>
  <c r="AD641" i="19"/>
  <c r="AD691" i="19"/>
  <c r="AD590" i="19"/>
  <c r="AD801" i="19"/>
  <c r="AD415" i="19"/>
  <c r="AD195" i="19"/>
  <c r="AP482" i="19"/>
  <c r="AP476" i="19"/>
  <c r="AD219" i="19"/>
  <c r="AD563" i="19"/>
  <c r="AD222" i="19"/>
  <c r="AD198" i="19"/>
  <c r="AD103" i="19"/>
  <c r="AP813" i="19"/>
  <c r="AD310" i="19"/>
  <c r="AD102" i="19"/>
  <c r="AP170" i="19"/>
  <c r="AD66" i="19"/>
  <c r="AD539" i="19"/>
  <c r="AD196" i="19"/>
  <c r="AD278" i="19"/>
  <c r="AD676" i="19"/>
  <c r="AD205" i="19"/>
  <c r="AP875" i="19"/>
  <c r="AD306" i="19"/>
  <c r="AD248" i="19"/>
  <c r="AD719" i="19"/>
  <c r="AD28" i="19"/>
  <c r="AD876" i="19"/>
  <c r="AP547" i="19"/>
  <c r="AD608" i="19"/>
  <c r="AD410" i="19"/>
  <c r="AD202" i="19"/>
  <c r="AD225" i="19"/>
  <c r="AD538" i="19"/>
  <c r="AD70" i="19"/>
  <c r="AD771" i="19"/>
  <c r="AD456" i="19"/>
  <c r="AP625" i="19"/>
  <c r="AD42" i="19"/>
  <c r="AD540" i="19"/>
  <c r="AD866" i="19"/>
  <c r="AP605" i="19"/>
  <c r="AD877" i="19"/>
  <c r="AD870" i="19"/>
  <c r="AD872" i="19"/>
  <c r="AD677" i="19"/>
  <c r="AP702" i="19"/>
  <c r="AP744" i="19"/>
  <c r="AD461" i="19"/>
  <c r="AD378" i="19"/>
  <c r="AD472" i="19"/>
  <c r="AD675" i="19"/>
  <c r="AD374" i="19"/>
  <c r="AD803" i="19"/>
  <c r="AD645" i="19"/>
  <c r="AD416" i="19"/>
  <c r="AD212" i="19"/>
  <c r="AD208" i="19"/>
  <c r="AD435" i="19"/>
  <c r="AD731" i="19"/>
  <c r="AD678" i="19"/>
  <c r="AD201" i="19"/>
  <c r="AD807" i="19"/>
  <c r="AP805" i="19"/>
  <c r="AD510" i="19"/>
  <c r="AD409" i="19"/>
  <c r="AP402" i="19"/>
  <c r="AP627" i="19"/>
  <c r="AP800" i="19"/>
  <c r="AD806" i="19"/>
  <c r="AD303" i="19"/>
  <c r="AP730" i="19"/>
  <c r="AD587" i="19"/>
  <c r="AP734" i="19"/>
  <c r="AD240" i="19"/>
  <c r="AP135" i="19"/>
  <c r="AD300" i="19"/>
  <c r="AP419" i="19"/>
  <c r="AD393" i="19"/>
  <c r="AD721" i="19"/>
  <c r="AD557" i="19"/>
  <c r="AD382" i="19"/>
  <c r="AD115" i="19"/>
  <c r="AD417" i="19"/>
  <c r="AD446" i="19"/>
  <c r="AD233" i="19"/>
  <c r="AD863" i="19"/>
  <c r="AD881" i="19"/>
  <c r="AD640" i="19"/>
  <c r="AD528" i="19"/>
  <c r="AD109" i="19"/>
  <c r="AD399" i="19"/>
  <c r="AD29" i="19"/>
  <c r="AD231" i="19"/>
  <c r="AD600" i="19"/>
  <c r="AD722" i="19"/>
  <c r="AP97" i="19"/>
  <c r="AP408" i="19"/>
  <c r="AD852" i="19"/>
  <c r="AP765" i="19"/>
  <c r="AP658" i="19"/>
  <c r="AD618" i="19"/>
  <c r="AD611" i="19"/>
  <c r="AD609" i="19"/>
  <c r="AD599" i="19"/>
  <c r="AD542" i="19"/>
  <c r="AP543" i="19"/>
  <c r="AD536" i="19"/>
  <c r="AD522" i="19"/>
  <c r="AP520" i="19"/>
  <c r="AD506" i="19"/>
  <c r="AP455" i="19"/>
  <c r="AP227" i="19"/>
  <c r="AP223" i="19"/>
  <c r="AD107" i="19"/>
  <c r="AD85" i="19"/>
  <c r="AP748" i="19"/>
  <c r="AD531" i="19"/>
  <c r="AD674" i="19"/>
  <c r="AD320" i="19"/>
  <c r="AP710" i="19"/>
  <c r="AP218" i="19"/>
  <c r="AD325" i="19"/>
  <c r="AD478" i="19"/>
  <c r="AD394" i="19"/>
  <c r="AD172" i="19"/>
  <c r="AD764" i="19"/>
  <c r="AD869" i="19"/>
  <c r="AD808" i="19"/>
  <c r="AD798" i="19"/>
  <c r="AD796" i="19"/>
  <c r="AD735" i="19"/>
  <c r="AP729" i="19"/>
  <c r="AD720" i="19"/>
  <c r="AP713" i="19"/>
  <c r="AD711" i="19"/>
  <c r="AD652" i="19"/>
  <c r="AD663" i="19"/>
  <c r="AD649" i="19"/>
  <c r="AD638" i="19"/>
  <c r="AD643" i="19"/>
  <c r="AD622" i="19"/>
  <c r="AD598" i="19"/>
  <c r="AD588" i="19"/>
  <c r="AD561" i="19"/>
  <c r="AP559" i="19"/>
  <c r="AP545" i="19"/>
  <c r="AP537" i="19"/>
  <c r="AD467" i="19"/>
  <c r="AD469" i="19"/>
  <c r="AD458" i="19"/>
  <c r="AD449" i="19"/>
  <c r="AD433" i="19"/>
  <c r="AD422" i="19"/>
  <c r="AP387" i="19"/>
  <c r="AP385" i="19"/>
  <c r="AD315" i="19"/>
  <c r="AD277" i="19"/>
  <c r="AD241" i="19"/>
  <c r="AD183" i="19"/>
  <c r="AD144" i="19"/>
  <c r="AD121" i="19"/>
  <c r="AD116" i="19"/>
  <c r="AP732" i="19"/>
  <c r="AD829" i="19"/>
  <c r="AD795" i="19"/>
  <c r="AD454" i="19"/>
  <c r="AD180" i="19"/>
  <c r="AP191" i="19"/>
  <c r="AP375" i="19"/>
  <c r="AD159" i="19"/>
  <c r="AD581" i="19"/>
  <c r="AD452" i="19"/>
  <c r="AP377" i="19"/>
  <c r="AD847" i="19"/>
  <c r="AP221" i="19"/>
  <c r="AP373" i="19"/>
  <c r="AD370" i="19"/>
  <c r="AD527" i="19"/>
  <c r="AD620" i="19"/>
  <c r="AD436" i="19"/>
  <c r="J40" i="56"/>
  <c r="K39" i="56"/>
  <c r="L39" i="56" s="1"/>
  <c r="AD698" i="19"/>
  <c r="AD549" i="19"/>
  <c r="AD447" i="19"/>
  <c r="AD704" i="19"/>
  <c r="AD612" i="19"/>
  <c r="AD418" i="19"/>
  <c r="K30" i="17"/>
  <c r="L30" i="17" s="1"/>
  <c r="J31" i="17"/>
  <c r="AN25" i="19" l="1"/>
  <c r="AJ26" i="19"/>
  <c r="AL26" i="19"/>
  <c r="AM26" i="19"/>
  <c r="AK26" i="19"/>
  <c r="AP26" i="19"/>
  <c r="AD26" i="19" s="1"/>
  <c r="AI26" i="19"/>
  <c r="AA26" i="44" s="1"/>
  <c r="AN283" i="19"/>
  <c r="AN287" i="19"/>
  <c r="J76" i="35"/>
  <c r="H75" i="35"/>
  <c r="G75" i="35" s="1"/>
  <c r="J75" i="35" s="1"/>
  <c r="E76" i="35"/>
  <c r="B78" i="35"/>
  <c r="C77" i="35"/>
  <c r="D77" i="35"/>
  <c r="AJ974" i="19"/>
  <c r="AI974" i="19"/>
  <c r="AP974" i="19"/>
  <c r="AD974" i="19" s="1"/>
  <c r="AM974" i="19"/>
  <c r="AL974" i="19"/>
  <c r="AK974" i="19"/>
  <c r="AP865" i="19"/>
  <c r="AD856" i="19"/>
  <c r="AD853" i="19"/>
  <c r="AD841" i="19"/>
  <c r="AP759" i="19"/>
  <c r="AD671" i="19"/>
  <c r="AD660" i="19"/>
  <c r="AD628" i="19"/>
  <c r="AD593" i="19"/>
  <c r="AD594" i="19"/>
  <c r="AP551" i="19"/>
  <c r="AP491" i="19"/>
  <c r="AD355" i="19"/>
  <c r="AP346" i="19"/>
  <c r="AD348" i="19"/>
  <c r="AD347" i="19"/>
  <c r="AD326" i="19"/>
  <c r="AD329" i="19"/>
  <c r="AD319" i="19"/>
  <c r="AD281" i="19"/>
  <c r="AD291" i="19"/>
  <c r="AD269" i="19"/>
  <c r="AD273" i="19"/>
  <c r="AD244" i="19"/>
  <c r="AP234" i="19"/>
  <c r="AP214" i="19"/>
  <c r="AD189" i="19"/>
  <c r="AD164" i="19"/>
  <c r="AP163" i="19"/>
  <c r="AD151" i="19"/>
  <c r="AD152" i="19"/>
  <c r="AD129" i="19"/>
  <c r="AP122" i="19"/>
  <c r="AD104" i="19"/>
  <c r="AD77" i="19"/>
  <c r="AD62" i="19"/>
  <c r="AD71" i="19"/>
  <c r="AD69" i="19"/>
  <c r="AD75" i="19"/>
  <c r="AP55" i="19"/>
  <c r="AD51" i="19"/>
  <c r="AD38" i="19"/>
  <c r="AD41" i="19"/>
  <c r="AD335" i="19"/>
  <c r="AD237" i="19"/>
  <c r="AD224" i="19"/>
  <c r="AD633" i="19"/>
  <c r="AD610" i="19"/>
  <c r="AD604" i="19"/>
  <c r="AD555" i="19"/>
  <c r="AD500" i="19"/>
  <c r="AD494" i="19"/>
  <c r="AD424" i="19"/>
  <c r="AD389" i="19"/>
  <c r="AD391" i="19"/>
  <c r="AP128" i="19"/>
  <c r="AD99" i="19"/>
  <c r="AD53" i="19"/>
  <c r="AP23" i="19"/>
  <c r="AD23" i="19" s="1"/>
  <c r="K40" i="56"/>
  <c r="L40" i="56" s="1"/>
  <c r="J41" i="56"/>
  <c r="AD340" i="19"/>
  <c r="J32" i="17"/>
  <c r="K31" i="17"/>
  <c r="L31" i="17" s="1"/>
  <c r="AN26" i="19" l="1"/>
  <c r="J77" i="35"/>
  <c r="E77" i="35"/>
  <c r="F77" i="35" s="1"/>
  <c r="I77" i="35" s="1"/>
  <c r="B79" i="35"/>
  <c r="C78" i="35"/>
  <c r="D78" i="35"/>
  <c r="F76" i="35"/>
  <c r="H76" i="35"/>
  <c r="AN974" i="19"/>
  <c r="K41" i="56"/>
  <c r="L41" i="56" s="1"/>
  <c r="J42" i="56"/>
  <c r="J33" i="17"/>
  <c r="K32" i="17"/>
  <c r="L32" i="17" s="1"/>
  <c r="H77" i="35" l="1"/>
  <c r="G77" i="35" s="1"/>
  <c r="E78" i="35"/>
  <c r="F78" i="35" s="1"/>
  <c r="G76" i="35"/>
  <c r="I78" i="35"/>
  <c r="B80" i="35"/>
  <c r="C79" i="35"/>
  <c r="D79" i="35"/>
  <c r="I79" i="35" s="1"/>
  <c r="J43" i="56"/>
  <c r="K42" i="56"/>
  <c r="L42" i="56" s="1"/>
  <c r="K33" i="17"/>
  <c r="L33" i="17" s="1"/>
  <c r="J34" i="17"/>
  <c r="H78" i="35" l="1"/>
  <c r="G78" i="35" s="1"/>
  <c r="J78" i="35" s="1"/>
  <c r="E79" i="35"/>
  <c r="B81" i="35"/>
  <c r="C80" i="35"/>
  <c r="D80" i="35"/>
  <c r="J44" i="56"/>
  <c r="K43" i="56"/>
  <c r="L43" i="56" s="1"/>
  <c r="K34" i="17"/>
  <c r="L34" i="17" s="1"/>
  <c r="J35" i="17"/>
  <c r="E80" i="35" l="1"/>
  <c r="H80" i="35" s="1"/>
  <c r="I80" i="35"/>
  <c r="B82" i="35"/>
  <c r="C81" i="35"/>
  <c r="D81" i="35"/>
  <c r="F79" i="35"/>
  <c r="H79" i="35"/>
  <c r="K44" i="56"/>
  <c r="L44" i="56" s="1"/>
  <c r="J45" i="56"/>
  <c r="J36" i="17"/>
  <c r="K35" i="17"/>
  <c r="L35" i="17" s="1"/>
  <c r="F80" i="35" l="1"/>
  <c r="G80" i="35" s="1"/>
  <c r="J80" i="35" s="1"/>
  <c r="E81" i="35"/>
  <c r="F81" i="35" s="1"/>
  <c r="I81" i="35"/>
  <c r="D82" i="35"/>
  <c r="B83" i="35"/>
  <c r="C82" i="35"/>
  <c r="G79" i="35"/>
  <c r="J79" i="35" s="1"/>
  <c r="C141" i="38"/>
  <c r="L141" i="38"/>
  <c r="F141" i="38"/>
  <c r="H141" i="38"/>
  <c r="G141" i="38"/>
  <c r="K141" i="38"/>
  <c r="J141" i="38"/>
  <c r="B141" i="38"/>
  <c r="E141" i="38"/>
  <c r="D141" i="38"/>
  <c r="M141" i="38"/>
  <c r="I141" i="38"/>
  <c r="K45" i="56"/>
  <c r="L45" i="56" s="1"/>
  <c r="J46" i="56"/>
  <c r="J37" i="17"/>
  <c r="K36" i="17"/>
  <c r="L36" i="17" s="1"/>
  <c r="H81" i="35" l="1"/>
  <c r="G81" i="35" s="1"/>
  <c r="J81" i="35" s="1"/>
  <c r="E82" i="35"/>
  <c r="H82" i="35" s="1"/>
  <c r="I82" i="35"/>
  <c r="B84" i="35"/>
  <c r="C83" i="35"/>
  <c r="D83" i="35"/>
  <c r="B119" i="43"/>
  <c r="J47" i="56"/>
  <c r="K46" i="56"/>
  <c r="L46" i="56" s="1"/>
  <c r="K37" i="17"/>
  <c r="L37" i="17" s="1"/>
  <c r="J38" i="17"/>
  <c r="E83" i="35" l="1"/>
  <c r="F83" i="35" s="1"/>
  <c r="F82" i="35"/>
  <c r="G82" i="35" s="1"/>
  <c r="J82" i="35" s="1"/>
  <c r="I83" i="35"/>
  <c r="B85" i="35"/>
  <c r="C84" i="35"/>
  <c r="D84" i="35"/>
  <c r="J48" i="56"/>
  <c r="K47" i="56"/>
  <c r="L47" i="56" s="1"/>
  <c r="K38" i="17"/>
  <c r="L38" i="17" s="1"/>
  <c r="J39" i="17"/>
  <c r="H83" i="35" l="1"/>
  <c r="G83" i="35" s="1"/>
  <c r="J83" i="35" s="1"/>
  <c r="E84" i="35"/>
  <c r="H84" i="35" s="1"/>
  <c r="I84" i="35"/>
  <c r="B86" i="35"/>
  <c r="C85" i="35"/>
  <c r="D85" i="35"/>
  <c r="K48" i="56"/>
  <c r="L48" i="56" s="1"/>
  <c r="J49" i="56"/>
  <c r="J40" i="17"/>
  <c r="K39" i="17"/>
  <c r="L39" i="17" s="1"/>
  <c r="F84" i="35" l="1"/>
  <c r="G84" i="35" s="1"/>
  <c r="J84" i="35" s="1"/>
  <c r="E85" i="35"/>
  <c r="H85" i="35" s="1"/>
  <c r="I85" i="35"/>
  <c r="B87" i="35"/>
  <c r="C86" i="35"/>
  <c r="D86" i="35"/>
  <c r="I86" i="35" s="1"/>
  <c r="K49" i="56"/>
  <c r="L49" i="56" s="1"/>
  <c r="J50" i="56"/>
  <c r="J41" i="17"/>
  <c r="K40" i="17"/>
  <c r="L40" i="17" s="1"/>
  <c r="F85" i="35" l="1"/>
  <c r="G85" i="35" s="1"/>
  <c r="J85" i="35" s="1"/>
  <c r="E86" i="35"/>
  <c r="B88" i="35"/>
  <c r="C87" i="35"/>
  <c r="D87" i="35"/>
  <c r="J51" i="56"/>
  <c r="K50" i="56"/>
  <c r="L50" i="56" s="1"/>
  <c r="K41" i="17"/>
  <c r="L41" i="17" s="1"/>
  <c r="J42" i="17"/>
  <c r="E87" i="35" l="1"/>
  <c r="F87" i="35" s="1"/>
  <c r="I87" i="35"/>
  <c r="B89" i="35"/>
  <c r="D88" i="35"/>
  <c r="C88" i="35"/>
  <c r="H86" i="35"/>
  <c r="F86" i="35"/>
  <c r="J52" i="56"/>
  <c r="K51" i="56"/>
  <c r="L51" i="56" s="1"/>
  <c r="K42" i="17"/>
  <c r="L42" i="17" s="1"/>
  <c r="J43" i="17"/>
  <c r="H87" i="35" l="1"/>
  <c r="G87" i="35" s="1"/>
  <c r="J87" i="35" s="1"/>
  <c r="E88" i="35"/>
  <c r="F88" i="35" s="1"/>
  <c r="G86" i="35"/>
  <c r="J86" i="35" s="1"/>
  <c r="I88" i="35"/>
  <c r="B90" i="35"/>
  <c r="C89" i="35"/>
  <c r="D89" i="35"/>
  <c r="K52" i="56"/>
  <c r="L52" i="56" s="1"/>
  <c r="J53" i="56"/>
  <c r="J44" i="17"/>
  <c r="K43" i="17"/>
  <c r="L43" i="17" s="1"/>
  <c r="H88" i="35" l="1"/>
  <c r="G88" i="35" s="1"/>
  <c r="J88" i="35" s="1"/>
  <c r="E89" i="35"/>
  <c r="F89" i="35" s="1"/>
  <c r="I89" i="35"/>
  <c r="B91" i="35"/>
  <c r="C90" i="35"/>
  <c r="D90" i="35"/>
  <c r="K53" i="56"/>
  <c r="L53" i="56" s="1"/>
  <c r="J54" i="56"/>
  <c r="J45" i="17"/>
  <c r="K44" i="17"/>
  <c r="L44" i="17" s="1"/>
  <c r="H89" i="35" l="1"/>
  <c r="G89" i="35" s="1"/>
  <c r="J89" i="35" s="1"/>
  <c r="E90" i="35"/>
  <c r="H90" i="35" s="1"/>
  <c r="I90" i="35"/>
  <c r="B92" i="35"/>
  <c r="C91" i="35"/>
  <c r="D91" i="35"/>
  <c r="J55" i="56"/>
  <c r="K54" i="56"/>
  <c r="L54" i="56" s="1"/>
  <c r="K45" i="17"/>
  <c r="L45" i="17" s="1"/>
  <c r="J46" i="17"/>
  <c r="AQ22" i="19"/>
  <c r="Y22" i="19" s="1"/>
  <c r="AM22" i="19" s="1"/>
  <c r="F90" i="35" l="1"/>
  <c r="G90" i="35" s="1"/>
  <c r="J90" i="35" s="1"/>
  <c r="E91" i="35"/>
  <c r="H91" i="35" s="1"/>
  <c r="I91" i="35"/>
  <c r="B93" i="35"/>
  <c r="C92" i="35"/>
  <c r="D92" i="35"/>
  <c r="J56" i="56"/>
  <c r="K55" i="56"/>
  <c r="L55" i="56" s="1"/>
  <c r="K46" i="17"/>
  <c r="L46" i="17" s="1"/>
  <c r="J47" i="17"/>
  <c r="AJ22" i="19"/>
  <c r="AI22" i="19"/>
  <c r="AA22" i="44" s="1"/>
  <c r="AP22" i="19"/>
  <c r="E4" i="35"/>
  <c r="AK22" i="19"/>
  <c r="AL22" i="19"/>
  <c r="F91" i="35" l="1"/>
  <c r="G91" i="35" s="1"/>
  <c r="J91" i="35" s="1"/>
  <c r="J92" i="35"/>
  <c r="E92" i="35"/>
  <c r="H92" i="35" s="1"/>
  <c r="B94" i="35"/>
  <c r="C93" i="35"/>
  <c r="D93" i="35"/>
  <c r="I93" i="35" s="1"/>
  <c r="AD22" i="19"/>
  <c r="K56" i="56"/>
  <c r="L56" i="56" s="1"/>
  <c r="J57" i="56"/>
  <c r="J48" i="17"/>
  <c r="K47" i="17"/>
  <c r="L47" i="17" s="1"/>
  <c r="F4" i="35"/>
  <c r="H4" i="35" s="1"/>
  <c r="AN22" i="19"/>
  <c r="F92" i="35" l="1"/>
  <c r="I92" i="35" s="1"/>
  <c r="E93" i="35"/>
  <c r="D94" i="35"/>
  <c r="B95" i="35"/>
  <c r="C94" i="35"/>
  <c r="K57" i="56"/>
  <c r="L57" i="56" s="1"/>
  <c r="J58" i="56"/>
  <c r="J49" i="17"/>
  <c r="K48" i="17"/>
  <c r="L48" i="17" s="1"/>
  <c r="G4" i="35"/>
  <c r="J4" i="35" s="1"/>
  <c r="G92" i="35" l="1"/>
  <c r="E94" i="35"/>
  <c r="H94" i="35" s="1"/>
  <c r="I94" i="35"/>
  <c r="B96" i="35"/>
  <c r="C95" i="35"/>
  <c r="D95" i="35"/>
  <c r="F93" i="35"/>
  <c r="H93" i="35"/>
  <c r="J59" i="56"/>
  <c r="K58" i="56"/>
  <c r="L58" i="56" s="1"/>
  <c r="K49" i="17"/>
  <c r="L49" i="17" s="1"/>
  <c r="J50" i="17"/>
  <c r="I4" i="35"/>
  <c r="F94" i="35" l="1"/>
  <c r="G94" i="35" s="1"/>
  <c r="J94" i="35" s="1"/>
  <c r="E95" i="35"/>
  <c r="H95" i="35" s="1"/>
  <c r="I95" i="35"/>
  <c r="B97" i="35"/>
  <c r="C96" i="35"/>
  <c r="D96" i="35"/>
  <c r="G93" i="35"/>
  <c r="J93" i="35" s="1"/>
  <c r="J60" i="56"/>
  <c r="K59" i="56"/>
  <c r="L59" i="56" s="1"/>
  <c r="K50" i="17"/>
  <c r="L50" i="17" s="1"/>
  <c r="J51" i="17"/>
  <c r="J96" i="35" l="1"/>
  <c r="F95" i="35"/>
  <c r="G95" i="35" s="1"/>
  <c r="J95" i="35" s="1"/>
  <c r="E96" i="35"/>
  <c r="H96" i="35" s="1"/>
  <c r="I96" i="35"/>
  <c r="B98" i="35"/>
  <c r="C97" i="35"/>
  <c r="D97" i="35"/>
  <c r="K60" i="56"/>
  <c r="L60" i="56" s="1"/>
  <c r="J61" i="56"/>
  <c r="J52" i="17"/>
  <c r="K51" i="17"/>
  <c r="L51" i="17" s="1"/>
  <c r="J97" i="35" l="1"/>
  <c r="E97" i="35"/>
  <c r="F97" i="35" s="1"/>
  <c r="I97" i="35" s="1"/>
  <c r="F96" i="35"/>
  <c r="G96" i="35" s="1"/>
  <c r="B99" i="35"/>
  <c r="C98" i="35"/>
  <c r="D98" i="35"/>
  <c r="K61" i="56"/>
  <c r="L61" i="56" s="1"/>
  <c r="J62" i="56"/>
  <c r="J53" i="17"/>
  <c r="K52" i="17"/>
  <c r="L52" i="17" s="1"/>
  <c r="H97" i="35" l="1"/>
  <c r="G97" i="35" s="1"/>
  <c r="E98" i="35"/>
  <c r="F98" i="35" s="1"/>
  <c r="I98" i="35"/>
  <c r="B100" i="35"/>
  <c r="C99" i="35"/>
  <c r="D99" i="35"/>
  <c r="J63" i="56"/>
  <c r="K62" i="56"/>
  <c r="L62" i="56" s="1"/>
  <c r="K53" i="17"/>
  <c r="L53" i="17" s="1"/>
  <c r="J54" i="17"/>
  <c r="H98" i="35" l="1"/>
  <c r="G98" i="35" s="1"/>
  <c r="J98" i="35" s="1"/>
  <c r="E99" i="35"/>
  <c r="F99" i="35" s="1"/>
  <c r="I99" i="35"/>
  <c r="B101" i="35"/>
  <c r="D100" i="35"/>
  <c r="C100" i="35"/>
  <c r="J64" i="56"/>
  <c r="K63" i="56"/>
  <c r="L63" i="56" s="1"/>
  <c r="K54" i="17"/>
  <c r="L54" i="17" s="1"/>
  <c r="J55" i="17"/>
  <c r="H99" i="35" l="1"/>
  <c r="G99" i="35" s="1"/>
  <c r="J99" i="35" s="1"/>
  <c r="E100" i="35"/>
  <c r="F100" i="35" s="1"/>
  <c r="I100" i="35"/>
  <c r="B102" i="35"/>
  <c r="C101" i="35"/>
  <c r="D101" i="35"/>
  <c r="I101" i="35" s="1"/>
  <c r="K64" i="56"/>
  <c r="L64" i="56" s="1"/>
  <c r="J65" i="56"/>
  <c r="J56" i="17"/>
  <c r="K55" i="17"/>
  <c r="L55" i="17" s="1"/>
  <c r="H100" i="35" l="1"/>
  <c r="G100" i="35" s="1"/>
  <c r="J100" i="35" s="1"/>
  <c r="E101" i="35"/>
  <c r="B103" i="35"/>
  <c r="C102" i="35"/>
  <c r="D102" i="35"/>
  <c r="K65" i="56"/>
  <c r="L65" i="56" s="1"/>
  <c r="J66" i="56"/>
  <c r="J57" i="17"/>
  <c r="K56" i="17"/>
  <c r="L56" i="17" s="1"/>
  <c r="J102" i="35" l="1"/>
  <c r="E102" i="35"/>
  <c r="F102" i="35" s="1"/>
  <c r="I102" i="35" s="1"/>
  <c r="B104" i="35"/>
  <c r="C103" i="35"/>
  <c r="D103" i="35"/>
  <c r="I103" i="35" s="1"/>
  <c r="H101" i="35"/>
  <c r="F101" i="35"/>
  <c r="J67" i="56"/>
  <c r="K66" i="56"/>
  <c r="L66" i="56" s="1"/>
  <c r="K57" i="17"/>
  <c r="L57" i="17" s="1"/>
  <c r="J58" i="17"/>
  <c r="G101" i="35" l="1"/>
  <c r="J101" i="35" s="1"/>
  <c r="H102" i="35"/>
  <c r="G102" i="35" s="1"/>
  <c r="E103" i="35"/>
  <c r="B105" i="35"/>
  <c r="C104" i="35"/>
  <c r="D104" i="35"/>
  <c r="I104" i="35" s="1"/>
  <c r="J68" i="56"/>
  <c r="K67" i="56"/>
  <c r="L67" i="56" s="1"/>
  <c r="K58" i="17"/>
  <c r="L58" i="17" s="1"/>
  <c r="J59" i="17"/>
  <c r="E104" i="35" l="1"/>
  <c r="B106" i="35"/>
  <c r="C105" i="35"/>
  <c r="D105" i="35"/>
  <c r="I105" i="35" s="1"/>
  <c r="H103" i="35"/>
  <c r="F103" i="35"/>
  <c r="K68" i="56"/>
  <c r="L68" i="56" s="1"/>
  <c r="J69" i="56"/>
  <c r="J60" i="17"/>
  <c r="K59" i="17"/>
  <c r="L59" i="17" s="1"/>
  <c r="G103" i="35" l="1"/>
  <c r="J103" i="35" s="1"/>
  <c r="E105" i="35"/>
  <c r="D106" i="35"/>
  <c r="I106" i="35" s="1"/>
  <c r="B107" i="35"/>
  <c r="C106" i="35"/>
  <c r="H104" i="35"/>
  <c r="F104" i="35"/>
  <c r="K69" i="56"/>
  <c r="L69" i="56" s="1"/>
  <c r="J70" i="56"/>
  <c r="J61" i="17"/>
  <c r="K60" i="17"/>
  <c r="L60" i="17" s="1"/>
  <c r="G104" i="35" l="1"/>
  <c r="J104" i="35" s="1"/>
  <c r="E106" i="35"/>
  <c r="B108" i="35"/>
  <c r="C107" i="35"/>
  <c r="D107" i="35"/>
  <c r="F105" i="35"/>
  <c r="H105" i="35"/>
  <c r="J71" i="56"/>
  <c r="K70" i="56"/>
  <c r="L70" i="56" s="1"/>
  <c r="K61" i="17"/>
  <c r="L61" i="17" s="1"/>
  <c r="J62" i="17"/>
  <c r="E107" i="35" l="1"/>
  <c r="H107" i="35" s="1"/>
  <c r="G105" i="35"/>
  <c r="J105" i="35" s="1"/>
  <c r="I107" i="35"/>
  <c r="B109" i="35"/>
  <c r="C108" i="35"/>
  <c r="D108" i="35"/>
  <c r="H106" i="35"/>
  <c r="F106" i="35"/>
  <c r="J72" i="56"/>
  <c r="K71" i="56"/>
  <c r="L71" i="56" s="1"/>
  <c r="K62" i="17"/>
  <c r="L62" i="17" s="1"/>
  <c r="J63" i="17"/>
  <c r="F107" i="35" l="1"/>
  <c r="G107" i="35" s="1"/>
  <c r="J107" i="35" s="1"/>
  <c r="J108" i="35"/>
  <c r="E108" i="35"/>
  <c r="F108" i="35" s="1"/>
  <c r="I108" i="35" s="1"/>
  <c r="G106" i="35"/>
  <c r="J106" i="35" s="1"/>
  <c r="B110" i="35"/>
  <c r="C109" i="35"/>
  <c r="D109" i="35"/>
  <c r="I109" i="35" s="1"/>
  <c r="K72" i="56"/>
  <c r="L72" i="56" s="1"/>
  <c r="J73" i="56"/>
  <c r="J64" i="17"/>
  <c r="K63" i="17"/>
  <c r="L63" i="17" s="1"/>
  <c r="H108" i="35" l="1"/>
  <c r="G108" i="35" s="1"/>
  <c r="E109" i="35"/>
  <c r="B111" i="35"/>
  <c r="C110" i="35"/>
  <c r="D110" i="35"/>
  <c r="K73" i="56"/>
  <c r="L73" i="56" s="1"/>
  <c r="J74" i="56"/>
  <c r="J65" i="17"/>
  <c r="K64" i="17"/>
  <c r="L64" i="17" s="1"/>
  <c r="E110" i="35" l="1"/>
  <c r="F110" i="35" s="1"/>
  <c r="I110" i="35"/>
  <c r="B112" i="35"/>
  <c r="C111" i="35"/>
  <c r="D111" i="35"/>
  <c r="F109" i="35"/>
  <c r="H109" i="35"/>
  <c r="J75" i="56"/>
  <c r="K74" i="56"/>
  <c r="L74" i="56" s="1"/>
  <c r="K65" i="17"/>
  <c r="L65" i="17" s="1"/>
  <c r="J66" i="17"/>
  <c r="H110" i="35" l="1"/>
  <c r="G110" i="35" s="1"/>
  <c r="J110" i="35" s="1"/>
  <c r="G109" i="35"/>
  <c r="J109" i="35" s="1"/>
  <c r="E111" i="35"/>
  <c r="F111" i="35" s="1"/>
  <c r="I111" i="35"/>
  <c r="B113" i="35"/>
  <c r="D112" i="35"/>
  <c r="C112" i="35"/>
  <c r="J76" i="56"/>
  <c r="K75" i="56"/>
  <c r="L75" i="56" s="1"/>
  <c r="K66" i="17"/>
  <c r="L66" i="17" s="1"/>
  <c r="J67" i="17"/>
  <c r="H111" i="35" l="1"/>
  <c r="G111" i="35" s="1"/>
  <c r="J111" i="35" s="1"/>
  <c r="E112" i="35"/>
  <c r="H112" i="35" s="1"/>
  <c r="I112" i="35"/>
  <c r="B114" i="35"/>
  <c r="C113" i="35"/>
  <c r="D113" i="35"/>
  <c r="K76" i="56"/>
  <c r="L76" i="56" s="1"/>
  <c r="J77" i="56"/>
  <c r="J68" i="17"/>
  <c r="K67" i="17"/>
  <c r="L67" i="17" s="1"/>
  <c r="F112" i="35" l="1"/>
  <c r="G112" i="35" s="1"/>
  <c r="J112" i="35" s="1"/>
  <c r="E113" i="35"/>
  <c r="F113" i="35" s="1"/>
  <c r="I113" i="35"/>
  <c r="B115" i="35"/>
  <c r="C114" i="35"/>
  <c r="D114" i="35"/>
  <c r="I114" i="35" s="1"/>
  <c r="K77" i="56"/>
  <c r="L77" i="56" s="1"/>
  <c r="J78" i="56"/>
  <c r="J69" i="17"/>
  <c r="K68" i="17"/>
  <c r="L68" i="17" s="1"/>
  <c r="H113" i="35" l="1"/>
  <c r="G113" i="35" s="1"/>
  <c r="J113" i="35" s="1"/>
  <c r="E114" i="35"/>
  <c r="B116" i="35"/>
  <c r="C115" i="35"/>
  <c r="D115" i="35"/>
  <c r="J79" i="56"/>
  <c r="K78" i="56"/>
  <c r="L78" i="56" s="1"/>
  <c r="K69" i="17"/>
  <c r="L69" i="17" s="1"/>
  <c r="J70" i="17"/>
  <c r="J115" i="35" l="1"/>
  <c r="E115" i="35"/>
  <c r="H115" i="35" s="1"/>
  <c r="B117" i="35"/>
  <c r="C116" i="35"/>
  <c r="D116" i="35"/>
  <c r="F114" i="35"/>
  <c r="H114" i="35"/>
  <c r="J80" i="56"/>
  <c r="K79" i="56"/>
  <c r="L79" i="56" s="1"/>
  <c r="K70" i="17"/>
  <c r="L70" i="17" s="1"/>
  <c r="J71" i="17"/>
  <c r="F115" i="35" l="1"/>
  <c r="I115" i="35" s="1"/>
  <c r="E116" i="35"/>
  <c r="H116" i="35" s="1"/>
  <c r="G114" i="35"/>
  <c r="J114" i="35" s="1"/>
  <c r="I116" i="35"/>
  <c r="B118" i="35"/>
  <c r="C117" i="35"/>
  <c r="D117" i="35"/>
  <c r="K80" i="56"/>
  <c r="L80" i="56" s="1"/>
  <c r="J81" i="56"/>
  <c r="J72" i="17"/>
  <c r="K71" i="17"/>
  <c r="L71" i="17" s="1"/>
  <c r="G115" i="35" l="1"/>
  <c r="F116" i="35"/>
  <c r="E117" i="35"/>
  <c r="H117" i="35" s="1"/>
  <c r="I117" i="35"/>
  <c r="D118" i="35"/>
  <c r="B119" i="35"/>
  <c r="C118" i="35"/>
  <c r="G116" i="35"/>
  <c r="J116" i="35" s="1"/>
  <c r="K81" i="56"/>
  <c r="L81" i="56" s="1"/>
  <c r="J82" i="56"/>
  <c r="J73" i="17"/>
  <c r="K72" i="17"/>
  <c r="L72" i="17" s="1"/>
  <c r="J118" i="35" l="1"/>
  <c r="F117" i="35"/>
  <c r="E118" i="35"/>
  <c r="H118" i="35" s="1"/>
  <c r="B120" i="35"/>
  <c r="C119" i="35"/>
  <c r="D119" i="35"/>
  <c r="G117" i="35"/>
  <c r="J117" i="35" s="1"/>
  <c r="J83" i="56"/>
  <c r="K82" i="56"/>
  <c r="L82" i="56" s="1"/>
  <c r="K73" i="17"/>
  <c r="L73" i="17" s="1"/>
  <c r="J74" i="17"/>
  <c r="E119" i="35" l="1"/>
  <c r="H119" i="35" s="1"/>
  <c r="F118" i="35"/>
  <c r="I118" i="35" s="1"/>
  <c r="I119" i="35"/>
  <c r="B121" i="35"/>
  <c r="C120" i="35"/>
  <c r="D120" i="35"/>
  <c r="G118" i="35"/>
  <c r="J84" i="56"/>
  <c r="K83" i="56"/>
  <c r="L83" i="56" s="1"/>
  <c r="K74" i="17"/>
  <c r="L74" i="17" s="1"/>
  <c r="J75" i="17"/>
  <c r="F119" i="35" l="1"/>
  <c r="G119" i="35" s="1"/>
  <c r="J119" i="35" s="1"/>
  <c r="E120" i="35"/>
  <c r="F120" i="35" s="1"/>
  <c r="I120" i="35"/>
  <c r="B122" i="35"/>
  <c r="C121" i="35"/>
  <c r="D121" i="35"/>
  <c r="I121" i="35" s="1"/>
  <c r="K84" i="56"/>
  <c r="L84" i="56" s="1"/>
  <c r="J85" i="56"/>
  <c r="J76" i="17"/>
  <c r="K75" i="17"/>
  <c r="L75" i="17" s="1"/>
  <c r="H120" i="35" l="1"/>
  <c r="G120" i="35" s="1"/>
  <c r="J120" i="35" s="1"/>
  <c r="E121" i="35"/>
  <c r="B123" i="35"/>
  <c r="C122" i="35"/>
  <c r="D122" i="35"/>
  <c r="K85" i="56"/>
  <c r="L85" i="56" s="1"/>
  <c r="J86" i="56"/>
  <c r="J77" i="17"/>
  <c r="K76" i="17"/>
  <c r="L76" i="17" s="1"/>
  <c r="E122" i="35" l="1"/>
  <c r="H122" i="35" s="1"/>
  <c r="I122" i="35"/>
  <c r="B124" i="35"/>
  <c r="C123" i="35"/>
  <c r="D123" i="35"/>
  <c r="H121" i="35"/>
  <c r="F121" i="35"/>
  <c r="J87" i="56"/>
  <c r="K86" i="56"/>
  <c r="L86" i="56" s="1"/>
  <c r="K77" i="17"/>
  <c r="L77" i="17" s="1"/>
  <c r="J78" i="17"/>
  <c r="F122" i="35" l="1"/>
  <c r="G122" i="35" s="1"/>
  <c r="J122" i="35" s="1"/>
  <c r="G121" i="35"/>
  <c r="J121" i="35" s="1"/>
  <c r="E123" i="35"/>
  <c r="F123" i="35" s="1"/>
  <c r="I123" i="35"/>
  <c r="B125" i="35"/>
  <c r="D124" i="35"/>
  <c r="I124" i="35" s="1"/>
  <c r="C124" i="35"/>
  <c r="J88" i="56"/>
  <c r="K87" i="56"/>
  <c r="L87" i="56" s="1"/>
  <c r="K78" i="17"/>
  <c r="L78" i="17" s="1"/>
  <c r="J79" i="17"/>
  <c r="H123" i="35" l="1"/>
  <c r="G123" i="35" s="1"/>
  <c r="J123" i="35" s="1"/>
  <c r="E124" i="35"/>
  <c r="B126" i="35"/>
  <c r="C125" i="35"/>
  <c r="D125" i="35"/>
  <c r="K88" i="56"/>
  <c r="L88" i="56" s="1"/>
  <c r="J89" i="56"/>
  <c r="J80" i="17"/>
  <c r="K79" i="17"/>
  <c r="L79" i="17" s="1"/>
  <c r="E125" i="35" l="1"/>
  <c r="H125" i="35" s="1"/>
  <c r="I125" i="35"/>
  <c r="B127" i="35"/>
  <c r="C126" i="35"/>
  <c r="D126" i="35"/>
  <c r="H124" i="35"/>
  <c r="F124" i="35"/>
  <c r="K89" i="56"/>
  <c r="L89" i="56" s="1"/>
  <c r="J90" i="56"/>
  <c r="J81" i="17"/>
  <c r="K80" i="17"/>
  <c r="L80" i="17" s="1"/>
  <c r="F125" i="35" l="1"/>
  <c r="G125" i="35" s="1"/>
  <c r="J125" i="35" s="1"/>
  <c r="E126" i="35"/>
  <c r="F126" i="35" s="1"/>
  <c r="G124" i="35"/>
  <c r="J124" i="35" s="1"/>
  <c r="I126" i="35"/>
  <c r="B128" i="35"/>
  <c r="C127" i="35"/>
  <c r="D127" i="35"/>
  <c r="I127" i="35" s="1"/>
  <c r="J91" i="56"/>
  <c r="K90" i="56"/>
  <c r="L90" i="56" s="1"/>
  <c r="K81" i="17"/>
  <c r="L81" i="17" s="1"/>
  <c r="J82" i="17"/>
  <c r="H126" i="35" l="1"/>
  <c r="G126" i="35" s="1"/>
  <c r="J126" i="35" s="1"/>
  <c r="E127" i="35"/>
  <c r="B129" i="35"/>
  <c r="C128" i="35"/>
  <c r="D128" i="35"/>
  <c r="J92" i="56"/>
  <c r="K91" i="56"/>
  <c r="L91" i="56" s="1"/>
  <c r="K82" i="17"/>
  <c r="L82" i="17" s="1"/>
  <c r="J83" i="17"/>
  <c r="E128" i="35" l="1"/>
  <c r="F128" i="35" s="1"/>
  <c r="I128" i="35"/>
  <c r="B130" i="35"/>
  <c r="C129" i="35"/>
  <c r="D129" i="35"/>
  <c r="H127" i="35"/>
  <c r="F127" i="35"/>
  <c r="K92" i="56"/>
  <c r="L92" i="56" s="1"/>
  <c r="J93" i="56"/>
  <c r="J84" i="17"/>
  <c r="K83" i="17"/>
  <c r="L83" i="17" s="1"/>
  <c r="H128" i="35" l="1"/>
  <c r="G128" i="35" s="1"/>
  <c r="J128" i="35" s="1"/>
  <c r="G127" i="35"/>
  <c r="J127" i="35" s="1"/>
  <c r="E129" i="35"/>
  <c r="F129" i="35" s="1"/>
  <c r="I129" i="35"/>
  <c r="D130" i="35"/>
  <c r="B131" i="35"/>
  <c r="C130" i="35"/>
  <c r="K93" i="56"/>
  <c r="L93" i="56" s="1"/>
  <c r="J94" i="56"/>
  <c r="J85" i="17"/>
  <c r="K84" i="17"/>
  <c r="L84" i="17" s="1"/>
  <c r="H129" i="35" l="1"/>
  <c r="G129" i="35" s="1"/>
  <c r="J129" i="35" s="1"/>
  <c r="E130" i="35"/>
  <c r="H130" i="35" s="1"/>
  <c r="I130" i="35"/>
  <c r="B132" i="35"/>
  <c r="C131" i="35"/>
  <c r="D131" i="35"/>
  <c r="I131" i="35" s="1"/>
  <c r="J95" i="56"/>
  <c r="K94" i="56"/>
  <c r="L94" i="56" s="1"/>
  <c r="K85" i="17"/>
  <c r="L85" i="17" s="1"/>
  <c r="J86" i="17"/>
  <c r="F130" i="35" l="1"/>
  <c r="G130" i="35" s="1"/>
  <c r="J130" i="35" s="1"/>
  <c r="E131" i="35"/>
  <c r="B133" i="35"/>
  <c r="C132" i="35"/>
  <c r="D132" i="35"/>
  <c r="J96" i="56"/>
  <c r="K95" i="56"/>
  <c r="L95" i="56" s="1"/>
  <c r="K86" i="17"/>
  <c r="L86" i="17" s="1"/>
  <c r="J87" i="17"/>
  <c r="J132" i="35" l="1"/>
  <c r="E132" i="35"/>
  <c r="F132" i="35" s="1"/>
  <c r="I132" i="35"/>
  <c r="B134" i="35"/>
  <c r="C133" i="35"/>
  <c r="D133" i="35"/>
  <c r="H131" i="35"/>
  <c r="F131" i="35"/>
  <c r="K96" i="56"/>
  <c r="L96" i="56" s="1"/>
  <c r="J97" i="56"/>
  <c r="J88" i="17"/>
  <c r="K87" i="17"/>
  <c r="L87" i="17" s="1"/>
  <c r="J133" i="35" l="1"/>
  <c r="H132" i="35"/>
  <c r="G132" i="35" s="1"/>
  <c r="E133" i="35"/>
  <c r="H133" i="35" s="1"/>
  <c r="G131" i="35"/>
  <c r="J131" i="35" s="1"/>
  <c r="B135" i="35"/>
  <c r="C134" i="35"/>
  <c r="D134" i="35"/>
  <c r="I134" i="35" s="1"/>
  <c r="K97" i="56"/>
  <c r="L97" i="56" s="1"/>
  <c r="J98" i="56"/>
  <c r="J89" i="17"/>
  <c r="K88" i="17"/>
  <c r="L88" i="17" s="1"/>
  <c r="F133" i="35" l="1"/>
  <c r="I133" i="35" s="1"/>
  <c r="E134" i="35"/>
  <c r="B136" i="35"/>
  <c r="C135" i="35"/>
  <c r="D135" i="35"/>
  <c r="J99" i="56"/>
  <c r="K98" i="56"/>
  <c r="L98" i="56" s="1"/>
  <c r="J90" i="17"/>
  <c r="K89" i="17"/>
  <c r="L89" i="17" s="1"/>
  <c r="G133" i="35" l="1"/>
  <c r="E135" i="35"/>
  <c r="F135" i="35" s="1"/>
  <c r="I135" i="35"/>
  <c r="B137" i="35"/>
  <c r="D136" i="35"/>
  <c r="I136" i="35" s="1"/>
  <c r="C136" i="35"/>
  <c r="F134" i="35"/>
  <c r="H134" i="35"/>
  <c r="J100" i="56"/>
  <c r="K99" i="56"/>
  <c r="L99" i="56" s="1"/>
  <c r="K90" i="17"/>
  <c r="L90" i="17" s="1"/>
  <c r="J91" i="17"/>
  <c r="H135" i="35" l="1"/>
  <c r="G135" i="35" s="1"/>
  <c r="J135" i="35" s="1"/>
  <c r="G134" i="35"/>
  <c r="J134" i="35" s="1"/>
  <c r="E136" i="35"/>
  <c r="B138" i="35"/>
  <c r="C137" i="35"/>
  <c r="D137" i="35"/>
  <c r="K100" i="56"/>
  <c r="L100" i="56" s="1"/>
  <c r="J101" i="56"/>
  <c r="J92" i="17"/>
  <c r="K91" i="17"/>
  <c r="L91" i="17" s="1"/>
  <c r="E137" i="35" l="1"/>
  <c r="H137" i="35" s="1"/>
  <c r="I137" i="35"/>
  <c r="B139" i="35"/>
  <c r="C138" i="35"/>
  <c r="D138" i="35"/>
  <c r="F136" i="35"/>
  <c r="H136" i="35"/>
  <c r="K101" i="56"/>
  <c r="L101" i="56" s="1"/>
  <c r="J102" i="56"/>
  <c r="J93" i="17"/>
  <c r="K92" i="17"/>
  <c r="L92" i="17" s="1"/>
  <c r="F137" i="35" l="1"/>
  <c r="G137" i="35" s="1"/>
  <c r="J137" i="35" s="1"/>
  <c r="E138" i="35"/>
  <c r="F138" i="35" s="1"/>
  <c r="I138" i="35"/>
  <c r="B140" i="35"/>
  <c r="C139" i="35"/>
  <c r="D139" i="35"/>
  <c r="G136" i="35"/>
  <c r="J136" i="35" s="1"/>
  <c r="J103" i="56"/>
  <c r="K102" i="56"/>
  <c r="L102" i="56" s="1"/>
  <c r="K93" i="17"/>
  <c r="L93" i="17" s="1"/>
  <c r="J94" i="17"/>
  <c r="H138" i="35" l="1"/>
  <c r="G138" i="35" s="1"/>
  <c r="J138" i="35" s="1"/>
  <c r="E139" i="35"/>
  <c r="F139" i="35" s="1"/>
  <c r="I139" i="35"/>
  <c r="B141" i="35"/>
  <c r="C140" i="35"/>
  <c r="D140" i="35"/>
  <c r="I140" i="35" s="1"/>
  <c r="J104" i="56"/>
  <c r="K103" i="56"/>
  <c r="L103" i="56" s="1"/>
  <c r="K94" i="17"/>
  <c r="L94" i="17" s="1"/>
  <c r="J95" i="17"/>
  <c r="H139" i="35" l="1"/>
  <c r="G139" i="35" s="1"/>
  <c r="J139" i="35" s="1"/>
  <c r="E140" i="35"/>
  <c r="B142" i="35"/>
  <c r="C141" i="35"/>
  <c r="D141" i="35"/>
  <c r="K104" i="56"/>
  <c r="L104" i="56" s="1"/>
  <c r="J105" i="56"/>
  <c r="J96" i="17"/>
  <c r="K95" i="17"/>
  <c r="L95" i="17" s="1"/>
  <c r="E141" i="35" l="1"/>
  <c r="F141" i="35" s="1"/>
  <c r="I141" i="35"/>
  <c r="B143" i="35"/>
  <c r="C142" i="35"/>
  <c r="D142" i="35"/>
  <c r="I142" i="35" s="1"/>
  <c r="H140" i="35"/>
  <c r="F140" i="35"/>
  <c r="K105" i="56"/>
  <c r="L105" i="56" s="1"/>
  <c r="J106" i="56"/>
  <c r="J97" i="17"/>
  <c r="K96" i="17"/>
  <c r="L96" i="17" s="1"/>
  <c r="H141" i="35" l="1"/>
  <c r="G141" i="35" s="1"/>
  <c r="J141" i="35" s="1"/>
  <c r="G140" i="35"/>
  <c r="J140" i="35" s="1"/>
  <c r="E142" i="35"/>
  <c r="B144" i="35"/>
  <c r="C143" i="35"/>
  <c r="D143" i="35"/>
  <c r="J107" i="56"/>
  <c r="K106" i="56"/>
  <c r="L106" i="56" s="1"/>
  <c r="K97" i="17"/>
  <c r="L97" i="17" s="1"/>
  <c r="J98" i="17"/>
  <c r="J143" i="35" l="1"/>
  <c r="E143" i="35"/>
  <c r="F143" i="35" s="1"/>
  <c r="I143" i="35" s="1"/>
  <c r="B145" i="35"/>
  <c r="C144" i="35"/>
  <c r="D144" i="35"/>
  <c r="H142" i="35"/>
  <c r="F142" i="35"/>
  <c r="J108" i="56"/>
  <c r="K107" i="56"/>
  <c r="L107" i="56" s="1"/>
  <c r="K98" i="17"/>
  <c r="L98" i="17" s="1"/>
  <c r="J99" i="17"/>
  <c r="H143" i="35" l="1"/>
  <c r="G143" i="35" s="1"/>
  <c r="E144" i="35"/>
  <c r="F144" i="35" s="1"/>
  <c r="G142" i="35"/>
  <c r="J142" i="35" s="1"/>
  <c r="I144" i="35"/>
  <c r="B146" i="35"/>
  <c r="C145" i="35"/>
  <c r="D145" i="35"/>
  <c r="I145" i="35" s="1"/>
  <c r="K108" i="56"/>
  <c r="L108" i="56" s="1"/>
  <c r="J109" i="56"/>
  <c r="J100" i="17"/>
  <c r="K99" i="17"/>
  <c r="L99" i="17" s="1"/>
  <c r="H144" i="35" l="1"/>
  <c r="G144" i="35" s="1"/>
  <c r="J144" i="35" s="1"/>
  <c r="E145" i="35"/>
  <c r="B147" i="35"/>
  <c r="D146" i="35"/>
  <c r="C146" i="35"/>
  <c r="K109" i="56"/>
  <c r="L109" i="56" s="1"/>
  <c r="J110" i="56"/>
  <c r="J101" i="17"/>
  <c r="K100" i="17"/>
  <c r="L100" i="17" s="1"/>
  <c r="E146" i="35" l="1"/>
  <c r="H146" i="35" s="1"/>
  <c r="I146" i="35"/>
  <c r="B148" i="35"/>
  <c r="C147" i="35"/>
  <c r="D147" i="35"/>
  <c r="H145" i="35"/>
  <c r="F145" i="35"/>
  <c r="J111" i="56"/>
  <c r="K110" i="56"/>
  <c r="L110" i="56" s="1"/>
  <c r="K101" i="17"/>
  <c r="L101" i="17" s="1"/>
  <c r="J102" i="17"/>
  <c r="F146" i="35" l="1"/>
  <c r="G146" i="35" s="1"/>
  <c r="J146" i="35" s="1"/>
  <c r="G145" i="35"/>
  <c r="J145" i="35" s="1"/>
  <c r="E147" i="35"/>
  <c r="I147" i="35"/>
  <c r="B149" i="35"/>
  <c r="C148" i="35"/>
  <c r="D148" i="35"/>
  <c r="J112" i="56"/>
  <c r="K111" i="56"/>
  <c r="L111" i="56" s="1"/>
  <c r="K102" i="17"/>
  <c r="L102" i="17" s="1"/>
  <c r="J103" i="17"/>
  <c r="J148" i="35" l="1"/>
  <c r="E148" i="35"/>
  <c r="F148" i="35" s="1"/>
  <c r="I148" i="35" s="1"/>
  <c r="B150" i="35"/>
  <c r="D149" i="35"/>
  <c r="C149" i="35"/>
  <c r="F147" i="35"/>
  <c r="H147" i="35"/>
  <c r="K112" i="56"/>
  <c r="L112" i="56" s="1"/>
  <c r="J113" i="56"/>
  <c r="J104" i="17"/>
  <c r="K103" i="17"/>
  <c r="L103" i="17" s="1"/>
  <c r="H148" i="35" l="1"/>
  <c r="G148" i="35" s="1"/>
  <c r="G147" i="35"/>
  <c r="J147" i="35" s="1"/>
  <c r="E149" i="35"/>
  <c r="H149" i="35" s="1"/>
  <c r="I149" i="35"/>
  <c r="B151" i="35"/>
  <c r="C150" i="35"/>
  <c r="D150" i="35"/>
  <c r="K113" i="56"/>
  <c r="L113" i="56" s="1"/>
  <c r="J114" i="56"/>
  <c r="J105" i="17"/>
  <c r="K104" i="17"/>
  <c r="L104" i="17" s="1"/>
  <c r="F149" i="35" l="1"/>
  <c r="G149" i="35" s="1"/>
  <c r="J149" i="35" s="1"/>
  <c r="J150" i="35"/>
  <c r="E150" i="35"/>
  <c r="H150" i="35" s="1"/>
  <c r="B152" i="35"/>
  <c r="D151" i="35"/>
  <c r="I151" i="35" s="1"/>
  <c r="C151" i="35"/>
  <c r="J115" i="56"/>
  <c r="K114" i="56"/>
  <c r="L114" i="56" s="1"/>
  <c r="K105" i="17"/>
  <c r="L105" i="17" s="1"/>
  <c r="J106" i="17"/>
  <c r="F150" i="35" l="1"/>
  <c r="I150" i="35" s="1"/>
  <c r="E151" i="35"/>
  <c r="B153" i="35"/>
  <c r="C152" i="35"/>
  <c r="D152" i="35"/>
  <c r="I152" i="35" s="1"/>
  <c r="J116" i="56"/>
  <c r="K115" i="56"/>
  <c r="L115" i="56" s="1"/>
  <c r="K106" i="17"/>
  <c r="L106" i="17" s="1"/>
  <c r="J107" i="17"/>
  <c r="G150" i="35" l="1"/>
  <c r="E152" i="35"/>
  <c r="B154" i="35"/>
  <c r="C153" i="35"/>
  <c r="D153" i="35"/>
  <c r="F151" i="35"/>
  <c r="H151" i="35"/>
  <c r="K116" i="56"/>
  <c r="L116" i="56" s="1"/>
  <c r="J117" i="56"/>
  <c r="J108" i="17"/>
  <c r="K107" i="17"/>
  <c r="L107" i="17" s="1"/>
  <c r="G151" i="35" l="1"/>
  <c r="J151" i="35" s="1"/>
  <c r="J153" i="35"/>
  <c r="E153" i="35"/>
  <c r="F153" i="35" s="1"/>
  <c r="I153" i="35" s="1"/>
  <c r="B155" i="35"/>
  <c r="C154" i="35"/>
  <c r="D154" i="35"/>
  <c r="I154" i="35" s="1"/>
  <c r="F152" i="35"/>
  <c r="H152" i="35"/>
  <c r="K117" i="56"/>
  <c r="L117" i="56" s="1"/>
  <c r="J118" i="56"/>
  <c r="J109" i="17"/>
  <c r="K108" i="17"/>
  <c r="L108" i="17" s="1"/>
  <c r="G152" i="35" l="1"/>
  <c r="J152" i="35" s="1"/>
  <c r="H153" i="35"/>
  <c r="G153" i="35" s="1"/>
  <c r="E154" i="35"/>
  <c r="B156" i="35"/>
  <c r="C155" i="35"/>
  <c r="D155" i="35"/>
  <c r="I155" i="35" s="1"/>
  <c r="J119" i="56"/>
  <c r="K118" i="56"/>
  <c r="L118" i="56" s="1"/>
  <c r="K109" i="17"/>
  <c r="L109" i="17" s="1"/>
  <c r="J110" i="17"/>
  <c r="E155" i="35" l="1"/>
  <c r="B157" i="35"/>
  <c r="C156" i="35"/>
  <c r="D156" i="35"/>
  <c r="I156" i="35" s="1"/>
  <c r="F154" i="35"/>
  <c r="H154" i="35"/>
  <c r="J120" i="56"/>
  <c r="K119" i="56"/>
  <c r="L119" i="56" s="1"/>
  <c r="K110" i="17"/>
  <c r="L110" i="17" s="1"/>
  <c r="J111" i="17"/>
  <c r="G154" i="35" l="1"/>
  <c r="J154" i="35" s="1"/>
  <c r="E156" i="35"/>
  <c r="B158" i="35"/>
  <c r="C157" i="35"/>
  <c r="D157" i="35"/>
  <c r="I157" i="35" s="1"/>
  <c r="F155" i="35"/>
  <c r="H155" i="35"/>
  <c r="K120" i="56"/>
  <c r="L120" i="56" s="1"/>
  <c r="J121" i="56"/>
  <c r="J112" i="17"/>
  <c r="K111" i="17"/>
  <c r="L111" i="17" s="1"/>
  <c r="G155" i="35" l="1"/>
  <c r="J155" i="35" s="1"/>
  <c r="E157" i="35"/>
  <c r="B159" i="35"/>
  <c r="C158" i="35"/>
  <c r="D158" i="35"/>
  <c r="I158" i="35" s="1"/>
  <c r="F156" i="35"/>
  <c r="H156" i="35"/>
  <c r="K121" i="56"/>
  <c r="L121" i="56" s="1"/>
  <c r="J122" i="56"/>
  <c r="J113" i="17"/>
  <c r="K112" i="17"/>
  <c r="L112" i="17" s="1"/>
  <c r="G156" i="35" l="1"/>
  <c r="J156" i="35" s="1"/>
  <c r="E158" i="35"/>
  <c r="B160" i="35"/>
  <c r="C159" i="35"/>
  <c r="D159" i="35"/>
  <c r="F157" i="35"/>
  <c r="H157" i="35"/>
  <c r="J123" i="56"/>
  <c r="K122" i="56"/>
  <c r="L122" i="56" s="1"/>
  <c r="K113" i="17"/>
  <c r="L113" i="17" s="1"/>
  <c r="J114" i="17"/>
  <c r="G157" i="35" l="1"/>
  <c r="J157" i="35" s="1"/>
  <c r="E159" i="35"/>
  <c r="F159" i="35" s="1"/>
  <c r="I159" i="35"/>
  <c r="B161" i="35"/>
  <c r="C160" i="35"/>
  <c r="D160" i="35"/>
  <c r="I160" i="35" s="1"/>
  <c r="H158" i="35"/>
  <c r="F158" i="35"/>
  <c r="J124" i="56"/>
  <c r="K123" i="56"/>
  <c r="L123" i="56" s="1"/>
  <c r="K114" i="17"/>
  <c r="L114" i="17" s="1"/>
  <c r="J115" i="17"/>
  <c r="H159" i="35" l="1"/>
  <c r="G159" i="35" s="1"/>
  <c r="J159" i="35" s="1"/>
  <c r="G158" i="35"/>
  <c r="J158" i="35" s="1"/>
  <c r="E160" i="35"/>
  <c r="B162" i="35"/>
  <c r="C161" i="35"/>
  <c r="D161" i="35"/>
  <c r="K124" i="56"/>
  <c r="L124" i="56" s="1"/>
  <c r="J125" i="56"/>
  <c r="J116" i="17"/>
  <c r="K115" i="17"/>
  <c r="L115" i="17" s="1"/>
  <c r="E161" i="35" l="1"/>
  <c r="J161" i="35"/>
  <c r="B163" i="35"/>
  <c r="C162" i="35"/>
  <c r="D162" i="35"/>
  <c r="I162" i="35" s="1"/>
  <c r="H160" i="35"/>
  <c r="F160" i="35"/>
  <c r="K125" i="56"/>
  <c r="L125" i="56" s="1"/>
  <c r="J126" i="56"/>
  <c r="J117" i="17"/>
  <c r="K116" i="17"/>
  <c r="L116" i="17" s="1"/>
  <c r="G160" i="35" l="1"/>
  <c r="J160" i="35" s="1"/>
  <c r="E162" i="35"/>
  <c r="B164" i="35"/>
  <c r="D163" i="35"/>
  <c r="I163" i="35" s="1"/>
  <c r="C163" i="35"/>
  <c r="F161" i="35"/>
  <c r="I161" i="35" s="1"/>
  <c r="H161" i="35"/>
  <c r="J127" i="56"/>
  <c r="K126" i="56"/>
  <c r="L126" i="56" s="1"/>
  <c r="K117" i="17"/>
  <c r="L117" i="17" s="1"/>
  <c r="J118" i="17"/>
  <c r="G161" i="35" l="1"/>
  <c r="B165" i="35"/>
  <c r="C164" i="35"/>
  <c r="D164" i="35"/>
  <c r="E163" i="35"/>
  <c r="F162" i="35"/>
  <c r="H162" i="35"/>
  <c r="J128" i="56"/>
  <c r="K127" i="56"/>
  <c r="L127" i="56" s="1"/>
  <c r="K118" i="17"/>
  <c r="L118" i="17" s="1"/>
  <c r="J119" i="17"/>
  <c r="J164" i="35" l="1"/>
  <c r="G162" i="35"/>
  <c r="J162" i="35" s="1"/>
  <c r="E164" i="35"/>
  <c r="H164" i="35" s="1"/>
  <c r="H163" i="35"/>
  <c r="F163" i="35"/>
  <c r="I164" i="35"/>
  <c r="B166" i="35"/>
  <c r="D165" i="35"/>
  <c r="C165" i="35"/>
  <c r="K128" i="56"/>
  <c r="L128" i="56" s="1"/>
  <c r="J129" i="56"/>
  <c r="J120" i="17"/>
  <c r="K119" i="17"/>
  <c r="L119" i="17" s="1"/>
  <c r="G163" i="35" l="1"/>
  <c r="J163" i="35" s="1"/>
  <c r="J165" i="35"/>
  <c r="F164" i="35"/>
  <c r="G164" i="35" s="1"/>
  <c r="E165" i="35"/>
  <c r="B167" i="35"/>
  <c r="C166" i="35"/>
  <c r="D166" i="35"/>
  <c r="I166" i="35" s="1"/>
  <c r="K129" i="56"/>
  <c r="L129" i="56" s="1"/>
  <c r="J130" i="56"/>
  <c r="J121" i="17"/>
  <c r="K120" i="17"/>
  <c r="L120" i="17" s="1"/>
  <c r="E166" i="35" l="1"/>
  <c r="B168" i="35"/>
  <c r="C167" i="35"/>
  <c r="D167" i="35"/>
  <c r="I167" i="35" s="1"/>
  <c r="H165" i="35"/>
  <c r="F165" i="35"/>
  <c r="I165" i="35" s="1"/>
  <c r="J131" i="56"/>
  <c r="K130" i="56"/>
  <c r="L130" i="56" s="1"/>
  <c r="K121" i="17"/>
  <c r="L121" i="17" s="1"/>
  <c r="J122" i="17"/>
  <c r="G165" i="35" l="1"/>
  <c r="E167" i="35"/>
  <c r="B169" i="35"/>
  <c r="C168" i="35"/>
  <c r="D168" i="35"/>
  <c r="F166" i="35"/>
  <c r="H166" i="35"/>
  <c r="J132" i="56"/>
  <c r="K131" i="56"/>
  <c r="L131" i="56" s="1"/>
  <c r="K122" i="17"/>
  <c r="L122" i="17" s="1"/>
  <c r="J123" i="17"/>
  <c r="E168" i="35" l="1"/>
  <c r="H168" i="35" s="1"/>
  <c r="G166" i="35"/>
  <c r="J166" i="35" s="1"/>
  <c r="I168" i="35"/>
  <c r="B170" i="35"/>
  <c r="C169" i="35"/>
  <c r="D169" i="35"/>
  <c r="I169" i="35" s="1"/>
  <c r="H167" i="35"/>
  <c r="F167" i="35"/>
  <c r="K132" i="56"/>
  <c r="L132" i="56" s="1"/>
  <c r="J133" i="56"/>
  <c r="J124" i="17"/>
  <c r="K123" i="17"/>
  <c r="L123" i="17" s="1"/>
  <c r="F168" i="35" l="1"/>
  <c r="G168" i="35" s="1"/>
  <c r="J168" i="35" s="1"/>
  <c r="G167" i="35"/>
  <c r="J167" i="35" s="1"/>
  <c r="E169" i="35"/>
  <c r="B171" i="35"/>
  <c r="C170" i="35"/>
  <c r="D170" i="35"/>
  <c r="I170" i="35" s="1"/>
  <c r="K133" i="56"/>
  <c r="L133" i="56" s="1"/>
  <c r="J134" i="56"/>
  <c r="J125" i="17"/>
  <c r="K124" i="17"/>
  <c r="L124" i="17" s="1"/>
  <c r="E170" i="35" l="1"/>
  <c r="B172" i="35"/>
  <c r="C171" i="35"/>
  <c r="D171" i="35"/>
  <c r="H169" i="35"/>
  <c r="F169" i="35"/>
  <c r="J135" i="56"/>
  <c r="K134" i="56"/>
  <c r="L134" i="56" s="1"/>
  <c r="K125" i="17"/>
  <c r="L125" i="17" s="1"/>
  <c r="J126" i="17"/>
  <c r="J171" i="35" l="1"/>
  <c r="G169" i="35"/>
  <c r="J169" i="35" s="1"/>
  <c r="E171" i="35"/>
  <c r="B173" i="35"/>
  <c r="C172" i="35"/>
  <c r="D172" i="35"/>
  <c r="I172" i="35" s="1"/>
  <c r="F170" i="35"/>
  <c r="H170" i="35"/>
  <c r="J136" i="56"/>
  <c r="K135" i="56"/>
  <c r="L135" i="56" s="1"/>
  <c r="K126" i="17"/>
  <c r="L126" i="17" s="1"/>
  <c r="J127" i="17"/>
  <c r="G170" i="35" l="1"/>
  <c r="J170" i="35" s="1"/>
  <c r="E172" i="35"/>
  <c r="B174" i="35"/>
  <c r="D173" i="35"/>
  <c r="I173" i="35" s="1"/>
  <c r="C173" i="35"/>
  <c r="F171" i="35"/>
  <c r="I171" i="35" s="1"/>
  <c r="H171" i="35"/>
  <c r="K136" i="56"/>
  <c r="L136" i="56" s="1"/>
  <c r="J137" i="56"/>
  <c r="J128" i="17"/>
  <c r="K127" i="17"/>
  <c r="L127" i="17" s="1"/>
  <c r="G171" i="35" l="1"/>
  <c r="E173" i="35"/>
  <c r="B175" i="35"/>
  <c r="C174" i="35"/>
  <c r="D174" i="35"/>
  <c r="F172" i="35"/>
  <c r="H172" i="35"/>
  <c r="K137" i="56"/>
  <c r="L137" i="56" s="1"/>
  <c r="J138" i="56"/>
  <c r="J129" i="17"/>
  <c r="K128" i="17"/>
  <c r="L128" i="17" s="1"/>
  <c r="J174" i="35" l="1"/>
  <c r="G172" i="35"/>
  <c r="J172" i="35" s="1"/>
  <c r="E174" i="35"/>
  <c r="F174" i="35" s="1"/>
  <c r="I174" i="35" s="1"/>
  <c r="B176" i="35"/>
  <c r="C175" i="35"/>
  <c r="D175" i="35"/>
  <c r="I175" i="35" s="1"/>
  <c r="H173" i="35"/>
  <c r="F173" i="35"/>
  <c r="J139" i="56"/>
  <c r="K138" i="56"/>
  <c r="L138" i="56" s="1"/>
  <c r="K129" i="17"/>
  <c r="L129" i="17" s="1"/>
  <c r="J130" i="17"/>
  <c r="H174" i="35" l="1"/>
  <c r="G174" i="35" s="1"/>
  <c r="E175" i="35"/>
  <c r="G173" i="35"/>
  <c r="J173" i="35" s="1"/>
  <c r="B177" i="35"/>
  <c r="D176" i="35"/>
  <c r="I176" i="35" s="1"/>
  <c r="C176" i="35"/>
  <c r="J140" i="56"/>
  <c r="K139" i="56"/>
  <c r="L139" i="56" s="1"/>
  <c r="K130" i="17"/>
  <c r="L130" i="17" s="1"/>
  <c r="J131" i="17"/>
  <c r="E176" i="35" l="1"/>
  <c r="B178" i="35"/>
  <c r="D177" i="35"/>
  <c r="C177" i="35"/>
  <c r="F175" i="35"/>
  <c r="H175" i="35"/>
  <c r="K140" i="56"/>
  <c r="L140" i="56" s="1"/>
  <c r="J141" i="56"/>
  <c r="J132" i="17"/>
  <c r="K131" i="17"/>
  <c r="L131" i="17" s="1"/>
  <c r="J177" i="35" l="1"/>
  <c r="E177" i="35"/>
  <c r="H177" i="35" s="1"/>
  <c r="G175" i="35"/>
  <c r="J175" i="35" s="1"/>
  <c r="B179" i="35"/>
  <c r="C178" i="35"/>
  <c r="D178" i="35"/>
  <c r="I178" i="35" s="1"/>
  <c r="H176" i="35"/>
  <c r="F176" i="35"/>
  <c r="K141" i="56"/>
  <c r="L141" i="56" s="1"/>
  <c r="J142" i="56"/>
  <c r="J133" i="17"/>
  <c r="K132" i="17"/>
  <c r="L132" i="17" s="1"/>
  <c r="F177" i="35" l="1"/>
  <c r="I177" i="35" s="1"/>
  <c r="G176" i="35"/>
  <c r="J176" i="35" s="1"/>
  <c r="E178" i="35"/>
  <c r="B180" i="35"/>
  <c r="C179" i="35"/>
  <c r="D179" i="35"/>
  <c r="I179" i="35" s="1"/>
  <c r="J143" i="56"/>
  <c r="K142" i="56"/>
  <c r="L142" i="56" s="1"/>
  <c r="K133" i="17"/>
  <c r="L133" i="17" s="1"/>
  <c r="J134" i="17"/>
  <c r="G177" i="35" l="1"/>
  <c r="E179" i="35"/>
  <c r="F179" i="35" s="1"/>
  <c r="B181" i="35"/>
  <c r="D180" i="35"/>
  <c r="I180" i="35" s="1"/>
  <c r="C180" i="35"/>
  <c r="H178" i="35"/>
  <c r="F178" i="35"/>
  <c r="K143" i="56"/>
  <c r="L143" i="56" s="1"/>
  <c r="J144" i="56"/>
  <c r="K134" i="17"/>
  <c r="L134" i="17" s="1"/>
  <c r="J135" i="17"/>
  <c r="H179" i="35" l="1"/>
  <c r="G179" i="35" s="1"/>
  <c r="J179" i="35" s="1"/>
  <c r="G178" i="35"/>
  <c r="J178" i="35" s="1"/>
  <c r="E180" i="35"/>
  <c r="B182" i="35"/>
  <c r="D181" i="35"/>
  <c r="I181" i="35" s="1"/>
  <c r="C181" i="35"/>
  <c r="J145" i="56"/>
  <c r="K144" i="56"/>
  <c r="L144" i="56" s="1"/>
  <c r="J136" i="17"/>
  <c r="K135" i="17"/>
  <c r="L135" i="17" s="1"/>
  <c r="E181" i="35" l="1"/>
  <c r="B183" i="35"/>
  <c r="C182" i="35"/>
  <c r="D182" i="35"/>
  <c r="H180" i="35"/>
  <c r="F180" i="35"/>
  <c r="J146" i="56"/>
  <c r="K145" i="56"/>
  <c r="L145" i="56" s="1"/>
  <c r="J137" i="17"/>
  <c r="K136" i="17"/>
  <c r="L136" i="17" s="1"/>
  <c r="G180" i="35" l="1"/>
  <c r="J180" i="35" s="1"/>
  <c r="E182" i="35"/>
  <c r="I182" i="35"/>
  <c r="B184" i="35"/>
  <c r="C183" i="35"/>
  <c r="D183" i="35"/>
  <c r="H181" i="35"/>
  <c r="F181" i="35"/>
  <c r="K146" i="56"/>
  <c r="L146" i="56" s="1"/>
  <c r="J147" i="56"/>
  <c r="K137" i="17"/>
  <c r="L137" i="17" s="1"/>
  <c r="J138" i="17"/>
  <c r="G181" i="35" l="1"/>
  <c r="J181" i="35" s="1"/>
  <c r="E183" i="35"/>
  <c r="H183" i="35" s="1"/>
  <c r="I183" i="35"/>
  <c r="B185" i="35"/>
  <c r="C184" i="35"/>
  <c r="D184" i="35"/>
  <c r="I184" i="35" s="1"/>
  <c r="F182" i="35"/>
  <c r="H182" i="35"/>
  <c r="K147" i="56"/>
  <c r="L147" i="56" s="1"/>
  <c r="J148" i="56"/>
  <c r="K138" i="17"/>
  <c r="L138" i="17" s="1"/>
  <c r="J139" i="17"/>
  <c r="F183" i="35" l="1"/>
  <c r="G183" i="35" s="1"/>
  <c r="J183" i="35" s="1"/>
  <c r="G182" i="35"/>
  <c r="J182" i="35" s="1"/>
  <c r="E184" i="35"/>
  <c r="B186" i="35"/>
  <c r="C185" i="35"/>
  <c r="D185" i="35"/>
  <c r="J149" i="56"/>
  <c r="K148" i="56"/>
  <c r="L148" i="56" s="1"/>
  <c r="J140" i="17"/>
  <c r="K139" i="17"/>
  <c r="L139" i="17" s="1"/>
  <c r="E185" i="35" l="1"/>
  <c r="H185" i="35" s="1"/>
  <c r="I185" i="35"/>
  <c r="B187" i="35"/>
  <c r="C186" i="35"/>
  <c r="D186" i="35"/>
  <c r="F184" i="35"/>
  <c r="H184" i="35"/>
  <c r="J150" i="56"/>
  <c r="K149" i="56"/>
  <c r="L149" i="56" s="1"/>
  <c r="J141" i="17"/>
  <c r="K140" i="17"/>
  <c r="L140" i="17" s="1"/>
  <c r="F185" i="35" l="1"/>
  <c r="G185" i="35" s="1"/>
  <c r="J185" i="35" s="1"/>
  <c r="J186" i="35"/>
  <c r="E186" i="35"/>
  <c r="H186" i="35" s="1"/>
  <c r="B188" i="35"/>
  <c r="C187" i="35"/>
  <c r="D187" i="35"/>
  <c r="I187" i="35" s="1"/>
  <c r="G184" i="35"/>
  <c r="J184" i="35" s="1"/>
  <c r="K150" i="56"/>
  <c r="L150" i="56" s="1"/>
  <c r="J151" i="56"/>
  <c r="K141" i="17"/>
  <c r="L141" i="17" s="1"/>
  <c r="J142" i="17"/>
  <c r="F186" i="35" l="1"/>
  <c r="I186" i="35" s="1"/>
  <c r="E187" i="35"/>
  <c r="B189" i="35"/>
  <c r="D188" i="35"/>
  <c r="I188" i="35" s="1"/>
  <c r="C188" i="35"/>
  <c r="K151" i="56"/>
  <c r="L151" i="56" s="1"/>
  <c r="J152" i="56"/>
  <c r="K142" i="17"/>
  <c r="L142" i="17" s="1"/>
  <c r="J143" i="17"/>
  <c r="G186" i="35" l="1"/>
  <c r="E188" i="35"/>
  <c r="B190" i="35"/>
  <c r="D189" i="35"/>
  <c r="C189" i="35"/>
  <c r="F187" i="35"/>
  <c r="H187" i="35"/>
  <c r="J153" i="56"/>
  <c r="K152" i="56"/>
  <c r="L152" i="56" s="1"/>
  <c r="K143" i="17"/>
  <c r="L143" i="17" s="1"/>
  <c r="J144" i="17"/>
  <c r="G187" i="35" l="1"/>
  <c r="J187" i="35" s="1"/>
  <c r="E189" i="35"/>
  <c r="H189" i="35" s="1"/>
  <c r="I189" i="35"/>
  <c r="B191" i="35"/>
  <c r="C190" i="35"/>
  <c r="D190" i="35"/>
  <c r="I190" i="35" s="1"/>
  <c r="H188" i="35"/>
  <c r="F188" i="35"/>
  <c r="J154" i="56"/>
  <c r="K153" i="56"/>
  <c r="L153" i="56" s="1"/>
  <c r="K144" i="17"/>
  <c r="L144" i="17" s="1"/>
  <c r="J145" i="17"/>
  <c r="F189" i="35" l="1"/>
  <c r="G189" i="35" s="1"/>
  <c r="J189" i="35" s="1"/>
  <c r="G188" i="35"/>
  <c r="J188" i="35" s="1"/>
  <c r="E190" i="35"/>
  <c r="B192" i="35"/>
  <c r="C191" i="35"/>
  <c r="D191" i="35"/>
  <c r="K154" i="56"/>
  <c r="L154" i="56" s="1"/>
  <c r="J155" i="56"/>
  <c r="J146" i="17"/>
  <c r="K145" i="17"/>
  <c r="L145" i="17" s="1"/>
  <c r="J191" i="35" l="1"/>
  <c r="B193" i="35"/>
  <c r="D192" i="35"/>
  <c r="I192" i="35" s="1"/>
  <c r="C192" i="35"/>
  <c r="E191" i="35"/>
  <c r="F190" i="35"/>
  <c r="H190" i="35"/>
  <c r="K155" i="56"/>
  <c r="L155" i="56" s="1"/>
  <c r="J156" i="56"/>
  <c r="J147" i="17"/>
  <c r="K146" i="17"/>
  <c r="L146" i="17" s="1"/>
  <c r="G190" i="35" l="1"/>
  <c r="J190" i="35" s="1"/>
  <c r="H191" i="35"/>
  <c r="F191" i="35"/>
  <c r="I191" i="35" s="1"/>
  <c r="E192" i="35"/>
  <c r="B194" i="35"/>
  <c r="C193" i="35"/>
  <c r="D193" i="35"/>
  <c r="I193" i="35" s="1"/>
  <c r="J157" i="56"/>
  <c r="K156" i="56"/>
  <c r="L156" i="56" s="1"/>
  <c r="K147" i="17"/>
  <c r="L147" i="17" s="1"/>
  <c r="J148" i="17"/>
  <c r="E193" i="35" l="1"/>
  <c r="B195" i="35"/>
  <c r="C194" i="35"/>
  <c r="D194" i="35"/>
  <c r="H192" i="35"/>
  <c r="F192" i="35"/>
  <c r="G191" i="35"/>
  <c r="J158" i="56"/>
  <c r="K157" i="56"/>
  <c r="L157" i="56" s="1"/>
  <c r="K148" i="17"/>
  <c r="L148" i="17" s="1"/>
  <c r="J149" i="17"/>
  <c r="J194" i="35" l="1"/>
  <c r="G192" i="35"/>
  <c r="J192" i="35" s="1"/>
  <c r="E194" i="35"/>
  <c r="F194" i="35" s="1"/>
  <c r="I194" i="35" s="1"/>
  <c r="B196" i="35"/>
  <c r="D195" i="35"/>
  <c r="I195" i="35" s="1"/>
  <c r="C195" i="35"/>
  <c r="F193" i="35"/>
  <c r="H193" i="35"/>
  <c r="K158" i="56"/>
  <c r="L158" i="56" s="1"/>
  <c r="J159" i="56"/>
  <c r="J150" i="17"/>
  <c r="K149" i="17"/>
  <c r="L149" i="17" s="1"/>
  <c r="G193" i="35" l="1"/>
  <c r="J193" i="35" s="1"/>
  <c r="H194" i="35"/>
  <c r="E195" i="35"/>
  <c r="B197" i="35"/>
  <c r="C196" i="35"/>
  <c r="D196" i="35"/>
  <c r="I196" i="35" s="1"/>
  <c r="G194" i="35"/>
  <c r="K159" i="56"/>
  <c r="L159" i="56" s="1"/>
  <c r="J160" i="56"/>
  <c r="J151" i="17"/>
  <c r="K150" i="17"/>
  <c r="L150" i="17" s="1"/>
  <c r="E196" i="35" l="1"/>
  <c r="B198" i="35"/>
  <c r="C197" i="35"/>
  <c r="D197" i="35"/>
  <c r="I197" i="35" s="1"/>
  <c r="H195" i="35"/>
  <c r="F195" i="35"/>
  <c r="J161" i="56"/>
  <c r="K160" i="56"/>
  <c r="L160" i="56" s="1"/>
  <c r="K151" i="17"/>
  <c r="L151" i="17" s="1"/>
  <c r="J152" i="17"/>
  <c r="E197" i="35" l="1"/>
  <c r="F197" i="35" s="1"/>
  <c r="G195" i="35"/>
  <c r="J195" i="35" s="1"/>
  <c r="B199" i="35"/>
  <c r="C198" i="35"/>
  <c r="D198" i="35"/>
  <c r="H196" i="35"/>
  <c r="F196" i="35"/>
  <c r="J162" i="56"/>
  <c r="K161" i="56"/>
  <c r="L161" i="56" s="1"/>
  <c r="K152" i="17"/>
  <c r="L152" i="17" s="1"/>
  <c r="J153" i="17"/>
  <c r="E198" i="35" l="1"/>
  <c r="F198" i="35" s="1"/>
  <c r="I198" i="35" s="1"/>
  <c r="J198" i="35"/>
  <c r="H197" i="35"/>
  <c r="G197" i="35" s="1"/>
  <c r="J197" i="35" s="1"/>
  <c r="G196" i="35"/>
  <c r="J196" i="35" s="1"/>
  <c r="B200" i="35"/>
  <c r="C199" i="35"/>
  <c r="D199" i="35"/>
  <c r="I199" i="35" s="1"/>
  <c r="K162" i="56"/>
  <c r="L162" i="56" s="1"/>
  <c r="J163" i="56"/>
  <c r="J154" i="17"/>
  <c r="K153" i="17"/>
  <c r="L153" i="17" s="1"/>
  <c r="H198" i="35" l="1"/>
  <c r="G198" i="35" s="1"/>
  <c r="E199" i="35"/>
  <c r="B201" i="35"/>
  <c r="C200" i="35"/>
  <c r="D200" i="35"/>
  <c r="K163" i="56"/>
  <c r="L163" i="56" s="1"/>
  <c r="J164" i="56"/>
  <c r="J155" i="17"/>
  <c r="K154" i="17"/>
  <c r="L154" i="17" s="1"/>
  <c r="E200" i="35" l="1"/>
  <c r="H200" i="35" s="1"/>
  <c r="I200" i="35"/>
  <c r="B202" i="35"/>
  <c r="C201" i="35"/>
  <c r="D201" i="35"/>
  <c r="H199" i="35"/>
  <c r="F199" i="35"/>
  <c r="J165" i="56"/>
  <c r="K164" i="56"/>
  <c r="L164" i="56" s="1"/>
  <c r="K155" i="17"/>
  <c r="L155" i="17" s="1"/>
  <c r="J156" i="17"/>
  <c r="J201" i="35" l="1"/>
  <c r="F200" i="35"/>
  <c r="G200" i="35" s="1"/>
  <c r="J200" i="35" s="1"/>
  <c r="E201" i="35"/>
  <c r="F201" i="35" s="1"/>
  <c r="I201" i="35" s="1"/>
  <c r="G199" i="35"/>
  <c r="J199" i="35" s="1"/>
  <c r="B203" i="35"/>
  <c r="C202" i="35"/>
  <c r="D202" i="35"/>
  <c r="I202" i="35" s="1"/>
  <c r="J166" i="56"/>
  <c r="K165" i="56"/>
  <c r="L165" i="56" s="1"/>
  <c r="K156" i="17"/>
  <c r="L156" i="17" s="1"/>
  <c r="J157" i="17"/>
  <c r="H201" i="35" l="1"/>
  <c r="G201" i="35" s="1"/>
  <c r="E202" i="35"/>
  <c r="B204" i="35"/>
  <c r="C203" i="35"/>
  <c r="D203" i="35"/>
  <c r="K166" i="56"/>
  <c r="L166" i="56" s="1"/>
  <c r="J167" i="56"/>
  <c r="J158" i="17"/>
  <c r="K157" i="17"/>
  <c r="L157" i="17" s="1"/>
  <c r="E203" i="35" l="1"/>
  <c r="H203" i="35" s="1"/>
  <c r="J203" i="35"/>
  <c r="B205" i="35"/>
  <c r="C204" i="35"/>
  <c r="D204" i="35"/>
  <c r="F202" i="35"/>
  <c r="H202" i="35"/>
  <c r="K167" i="56"/>
  <c r="L167" i="56" s="1"/>
  <c r="J168" i="56"/>
  <c r="J159" i="17"/>
  <c r="K158" i="17"/>
  <c r="L158" i="17" s="1"/>
  <c r="F203" i="35" l="1"/>
  <c r="I203" i="35" s="1"/>
  <c r="E204" i="35"/>
  <c r="H204" i="35" s="1"/>
  <c r="G202" i="35"/>
  <c r="J202" i="35" s="1"/>
  <c r="I204" i="35"/>
  <c r="B206" i="35"/>
  <c r="C205" i="35"/>
  <c r="D205" i="35"/>
  <c r="I205" i="35" s="1"/>
  <c r="J169" i="56"/>
  <c r="K168" i="56"/>
  <c r="L168" i="56" s="1"/>
  <c r="K159" i="17"/>
  <c r="L159" i="17" s="1"/>
  <c r="J160" i="17"/>
  <c r="G203" i="35" l="1"/>
  <c r="F204" i="35"/>
  <c r="G204" i="35" s="1"/>
  <c r="J204" i="35" s="1"/>
  <c r="J205" i="35"/>
  <c r="E205" i="35"/>
  <c r="B207" i="35"/>
  <c r="C206" i="35"/>
  <c r="D206" i="35"/>
  <c r="I206" i="35" s="1"/>
  <c r="J170" i="56"/>
  <c r="K169" i="56"/>
  <c r="L169" i="56" s="1"/>
  <c r="K160" i="17"/>
  <c r="L160" i="17" s="1"/>
  <c r="J161" i="17"/>
  <c r="E206" i="35" l="1"/>
  <c r="B208" i="35"/>
  <c r="C207" i="35"/>
  <c r="D207" i="35"/>
  <c r="F205" i="35"/>
  <c r="H205" i="35"/>
  <c r="K170" i="56"/>
  <c r="L170" i="56" s="1"/>
  <c r="J171" i="56"/>
  <c r="J162" i="17"/>
  <c r="K161" i="17"/>
  <c r="L161" i="17" s="1"/>
  <c r="J207" i="35" l="1"/>
  <c r="G205" i="35"/>
  <c r="E207" i="35"/>
  <c r="B209" i="35"/>
  <c r="C208" i="35"/>
  <c r="D208" i="35"/>
  <c r="I208" i="35" s="1"/>
  <c r="H206" i="35"/>
  <c r="F206" i="35"/>
  <c r="K171" i="56"/>
  <c r="L171" i="56" s="1"/>
  <c r="J172" i="56"/>
  <c r="J163" i="17"/>
  <c r="K162" i="17"/>
  <c r="L162" i="17" s="1"/>
  <c r="G206" i="35" l="1"/>
  <c r="J206" i="35" s="1"/>
  <c r="E208" i="35"/>
  <c r="B210" i="35"/>
  <c r="C209" i="35"/>
  <c r="D209" i="35"/>
  <c r="I209" i="35" s="1"/>
  <c r="H207" i="35"/>
  <c r="F207" i="35"/>
  <c r="I207" i="35" s="1"/>
  <c r="J173" i="56"/>
  <c r="K172" i="56"/>
  <c r="L172" i="56" s="1"/>
  <c r="J164" i="17"/>
  <c r="K163" i="17"/>
  <c r="L163" i="17" s="1"/>
  <c r="G207" i="35" l="1"/>
  <c r="E209" i="35"/>
  <c r="B211" i="35"/>
  <c r="D210" i="35"/>
  <c r="I210" i="35" s="1"/>
  <c r="C210" i="35"/>
  <c r="F208" i="35"/>
  <c r="H208" i="35"/>
  <c r="J174" i="56"/>
  <c r="K173" i="56"/>
  <c r="L173" i="56" s="1"/>
  <c r="K164" i="17"/>
  <c r="L164" i="17" s="1"/>
  <c r="J165" i="17"/>
  <c r="G208" i="35" l="1"/>
  <c r="J208" i="35" s="1"/>
  <c r="E210" i="35"/>
  <c r="B212" i="35"/>
  <c r="C211" i="35"/>
  <c r="D211" i="35"/>
  <c r="I211" i="35" s="1"/>
  <c r="F209" i="35"/>
  <c r="H209" i="35"/>
  <c r="K174" i="56"/>
  <c r="L174" i="56" s="1"/>
  <c r="J175" i="56"/>
  <c r="J166" i="17"/>
  <c r="K165" i="17"/>
  <c r="L165" i="17" s="1"/>
  <c r="G209" i="35" l="1"/>
  <c r="J209" i="35" s="1"/>
  <c r="E211" i="35"/>
  <c r="B213" i="35"/>
  <c r="C212" i="35"/>
  <c r="D212" i="35"/>
  <c r="I212" i="35" s="1"/>
  <c r="F210" i="35"/>
  <c r="H210" i="35"/>
  <c r="K175" i="56"/>
  <c r="L175" i="56" s="1"/>
  <c r="J176" i="56"/>
  <c r="J167" i="17"/>
  <c r="K166" i="17"/>
  <c r="L166" i="17" s="1"/>
  <c r="G210" i="35" l="1"/>
  <c r="J210" i="35" s="1"/>
  <c r="E212" i="35"/>
  <c r="B214" i="35"/>
  <c r="C213" i="35"/>
  <c r="D213" i="35"/>
  <c r="H211" i="35"/>
  <c r="F211" i="35"/>
  <c r="J177" i="56"/>
  <c r="K176" i="56"/>
  <c r="L176" i="56" s="1"/>
  <c r="K167" i="17"/>
  <c r="L167" i="17" s="1"/>
  <c r="J168" i="17"/>
  <c r="E213" i="35" l="1"/>
  <c r="H213" i="35" s="1"/>
  <c r="G211" i="35"/>
  <c r="J211" i="35" s="1"/>
  <c r="I213" i="35"/>
  <c r="B215" i="35"/>
  <c r="C214" i="35"/>
  <c r="D214" i="35"/>
  <c r="F212" i="35"/>
  <c r="H212" i="35"/>
  <c r="J178" i="56"/>
  <c r="K177" i="56"/>
  <c r="L177" i="56" s="1"/>
  <c r="K168" i="17"/>
  <c r="L168" i="17" s="1"/>
  <c r="J169" i="17"/>
  <c r="F213" i="35" l="1"/>
  <c r="G213" i="35" s="1"/>
  <c r="J213" i="35" s="1"/>
  <c r="J214" i="35"/>
  <c r="E214" i="35"/>
  <c r="H214" i="35" s="1"/>
  <c r="B216" i="35"/>
  <c r="D215" i="35"/>
  <c r="I215" i="35" s="1"/>
  <c r="C215" i="35"/>
  <c r="G212" i="35"/>
  <c r="J212" i="35" s="1"/>
  <c r="K178" i="56"/>
  <c r="L178" i="56" s="1"/>
  <c r="J179" i="56"/>
  <c r="J170" i="17"/>
  <c r="K169" i="17"/>
  <c r="L169" i="17" s="1"/>
  <c r="F214" i="35" l="1"/>
  <c r="I214" i="35" s="1"/>
  <c r="E215" i="35"/>
  <c r="F215" i="35" s="1"/>
  <c r="B217" i="35"/>
  <c r="C216" i="35"/>
  <c r="D216" i="35"/>
  <c r="G214" i="35"/>
  <c r="K179" i="56"/>
  <c r="L179" i="56" s="1"/>
  <c r="J180" i="56"/>
  <c r="J171" i="17"/>
  <c r="K170" i="17"/>
  <c r="L170" i="17" s="1"/>
  <c r="H215" i="35" l="1"/>
  <c r="G215" i="35" s="1"/>
  <c r="J215" i="35" s="1"/>
  <c r="E216" i="35"/>
  <c r="I216" i="35"/>
  <c r="B218" i="35"/>
  <c r="C217" i="35"/>
  <c r="D217" i="35"/>
  <c r="I217" i="35" s="1"/>
  <c r="J181" i="56"/>
  <c r="K180" i="56"/>
  <c r="L180" i="56" s="1"/>
  <c r="K171" i="17"/>
  <c r="L171" i="17" s="1"/>
  <c r="J172" i="17"/>
  <c r="E217" i="35" l="1"/>
  <c r="B219" i="35"/>
  <c r="C218" i="35"/>
  <c r="D218" i="35"/>
  <c r="F216" i="35"/>
  <c r="H216" i="35"/>
  <c r="J182" i="56"/>
  <c r="K181" i="56"/>
  <c r="L181" i="56" s="1"/>
  <c r="K172" i="17"/>
  <c r="L172" i="17" s="1"/>
  <c r="J173" i="17"/>
  <c r="G216" i="35" l="1"/>
  <c r="J216" i="35" s="1"/>
  <c r="J218" i="35"/>
  <c r="E218" i="35"/>
  <c r="F218" i="35" s="1"/>
  <c r="I218" i="35" s="1"/>
  <c r="B220" i="35"/>
  <c r="D219" i="35"/>
  <c r="I219" i="35" s="1"/>
  <c r="C219" i="35"/>
  <c r="F217" i="35"/>
  <c r="H217" i="35"/>
  <c r="K182" i="56"/>
  <c r="L182" i="56" s="1"/>
  <c r="J183" i="56"/>
  <c r="J174" i="17"/>
  <c r="K173" i="17"/>
  <c r="L173" i="17" s="1"/>
  <c r="H218" i="35" l="1"/>
  <c r="G217" i="35"/>
  <c r="J217" i="35" s="1"/>
  <c r="G218" i="35"/>
  <c r="E219" i="35"/>
  <c r="B221" i="35"/>
  <c r="D220" i="35"/>
  <c r="I220" i="35" s="1"/>
  <c r="C220" i="35"/>
  <c r="K183" i="56"/>
  <c r="L183" i="56" s="1"/>
  <c r="J184" i="56"/>
  <c r="J175" i="17"/>
  <c r="K174" i="17"/>
  <c r="L174" i="17" s="1"/>
  <c r="E220" i="35" l="1"/>
  <c r="B222" i="35"/>
  <c r="D221" i="35"/>
  <c r="I221" i="35" s="1"/>
  <c r="C221" i="35"/>
  <c r="H219" i="35"/>
  <c r="F219" i="35"/>
  <c r="J185" i="56"/>
  <c r="K184" i="56"/>
  <c r="L184" i="56" s="1"/>
  <c r="K175" i="17"/>
  <c r="L175" i="17" s="1"/>
  <c r="J176" i="17"/>
  <c r="G219" i="35" l="1"/>
  <c r="J219" i="35" s="1"/>
  <c r="E221" i="35"/>
  <c r="B223" i="35"/>
  <c r="D222" i="35"/>
  <c r="I222" i="35" s="1"/>
  <c r="C222" i="35"/>
  <c r="H220" i="35"/>
  <c r="F220" i="35"/>
  <c r="J186" i="56"/>
  <c r="K185" i="56"/>
  <c r="L185" i="56" s="1"/>
  <c r="K176" i="17"/>
  <c r="L176" i="17" s="1"/>
  <c r="J177" i="17"/>
  <c r="G220" i="35" l="1"/>
  <c r="J220" i="35" s="1"/>
  <c r="B224" i="35"/>
  <c r="C223" i="35"/>
  <c r="D223" i="35"/>
  <c r="I223" i="35" s="1"/>
  <c r="E222" i="35"/>
  <c r="H221" i="35"/>
  <c r="F221" i="35"/>
  <c r="K186" i="56"/>
  <c r="L186" i="56" s="1"/>
  <c r="J187" i="56"/>
  <c r="J178" i="17"/>
  <c r="K177" i="17"/>
  <c r="L177" i="17" s="1"/>
  <c r="G221" i="35" l="1"/>
  <c r="J221" i="35" s="1"/>
  <c r="F222" i="35"/>
  <c r="H222" i="35"/>
  <c r="E223" i="35"/>
  <c r="B225" i="35"/>
  <c r="D224" i="35"/>
  <c r="C224" i="35"/>
  <c r="K187" i="56"/>
  <c r="L187" i="56" s="1"/>
  <c r="J188" i="56"/>
  <c r="J179" i="17"/>
  <c r="K178" i="17"/>
  <c r="L178" i="17" s="1"/>
  <c r="G222" i="35" l="1"/>
  <c r="J222" i="35" s="1"/>
  <c r="E224" i="35"/>
  <c r="H224" i="35" s="1"/>
  <c r="I224" i="35"/>
  <c r="B226" i="35"/>
  <c r="C225" i="35"/>
  <c r="D225" i="35"/>
  <c r="F223" i="35"/>
  <c r="H223" i="35"/>
  <c r="J189" i="56"/>
  <c r="K188" i="56"/>
  <c r="L188" i="56" s="1"/>
  <c r="K179" i="17"/>
  <c r="L179" i="17" s="1"/>
  <c r="J180" i="17"/>
  <c r="F224" i="35" l="1"/>
  <c r="G224" i="35" s="1"/>
  <c r="J224" i="35" s="1"/>
  <c r="E225" i="35"/>
  <c r="F225" i="35" s="1"/>
  <c r="I225" i="35"/>
  <c r="B227" i="35"/>
  <c r="C226" i="35"/>
  <c r="D226" i="35"/>
  <c r="I226" i="35" s="1"/>
  <c r="G223" i="35"/>
  <c r="J223" i="35" s="1"/>
  <c r="J190" i="56"/>
  <c r="K189" i="56"/>
  <c r="L189" i="56" s="1"/>
  <c r="K180" i="17"/>
  <c r="L180" i="17" s="1"/>
  <c r="J181" i="17"/>
  <c r="H225" i="35" l="1"/>
  <c r="G225" i="35" s="1"/>
  <c r="J225" i="35" s="1"/>
  <c r="E226" i="35"/>
  <c r="F226" i="35" s="1"/>
  <c r="B228" i="35"/>
  <c r="C227" i="35"/>
  <c r="D227" i="35"/>
  <c r="K190" i="56"/>
  <c r="L190" i="56" s="1"/>
  <c r="J191" i="56"/>
  <c r="J182" i="17"/>
  <c r="K181" i="17"/>
  <c r="L181" i="17" s="1"/>
  <c r="H226" i="35" l="1"/>
  <c r="G226" i="35" s="1"/>
  <c r="J226" i="35" s="1"/>
  <c r="E227" i="35"/>
  <c r="H227" i="35" s="1"/>
  <c r="I227" i="35"/>
  <c r="B229" i="35"/>
  <c r="C228" i="35"/>
  <c r="D228" i="35"/>
  <c r="K191" i="56"/>
  <c r="L191" i="56" s="1"/>
  <c r="J192" i="56"/>
  <c r="J183" i="17"/>
  <c r="K182" i="17"/>
  <c r="L182" i="17" s="1"/>
  <c r="F227" i="35" l="1"/>
  <c r="G227" i="35" s="1"/>
  <c r="J227" i="35" s="1"/>
  <c r="E228" i="35"/>
  <c r="H228" i="35" s="1"/>
  <c r="I228" i="35"/>
  <c r="B230" i="35"/>
  <c r="C229" i="35"/>
  <c r="D229" i="35"/>
  <c r="I229" i="35" s="1"/>
  <c r="J193" i="56"/>
  <c r="K192" i="56"/>
  <c r="L192" i="56" s="1"/>
  <c r="K183" i="17"/>
  <c r="L183" i="17" s="1"/>
  <c r="J184" i="17"/>
  <c r="F228" i="35" l="1"/>
  <c r="G228" i="35" s="1"/>
  <c r="J228" i="35" s="1"/>
  <c r="E229" i="35"/>
  <c r="B231" i="35"/>
  <c r="C230" i="35"/>
  <c r="D230" i="35"/>
  <c r="J194" i="56"/>
  <c r="K193" i="56"/>
  <c r="L193" i="56" s="1"/>
  <c r="K184" i="17"/>
  <c r="L184" i="17" s="1"/>
  <c r="J185" i="17"/>
  <c r="E230" i="35" l="1"/>
  <c r="H230" i="35" s="1"/>
  <c r="J230" i="35"/>
  <c r="B232" i="35"/>
  <c r="C231" i="35"/>
  <c r="D231" i="35"/>
  <c r="F229" i="35"/>
  <c r="H229" i="35"/>
  <c r="K194" i="56"/>
  <c r="L194" i="56" s="1"/>
  <c r="J195" i="56"/>
  <c r="J186" i="17"/>
  <c r="K185" i="17"/>
  <c r="L185" i="17" s="1"/>
  <c r="F230" i="35" l="1"/>
  <c r="I230" i="35" s="1"/>
  <c r="E231" i="35"/>
  <c r="H231" i="35" s="1"/>
  <c r="G229" i="35"/>
  <c r="J229" i="35" s="1"/>
  <c r="B233" i="35"/>
  <c r="C232" i="35"/>
  <c r="D232" i="35"/>
  <c r="I232" i="35" s="1"/>
  <c r="I231" i="35"/>
  <c r="K195" i="56"/>
  <c r="L195" i="56" s="1"/>
  <c r="J196" i="56"/>
  <c r="J187" i="17"/>
  <c r="K186" i="17"/>
  <c r="L186" i="17" s="1"/>
  <c r="G230" i="35" l="1"/>
  <c r="F231" i="35"/>
  <c r="G231" i="35" s="1"/>
  <c r="J231" i="35" s="1"/>
  <c r="E232" i="35"/>
  <c r="B234" i="35"/>
  <c r="C233" i="35"/>
  <c r="D233" i="35"/>
  <c r="J197" i="56"/>
  <c r="K196" i="56"/>
  <c r="L196" i="56" s="1"/>
  <c r="K187" i="17"/>
  <c r="L187" i="17" s="1"/>
  <c r="J188" i="17"/>
  <c r="E233" i="35" l="1"/>
  <c r="H233" i="35" s="1"/>
  <c r="I233" i="35"/>
  <c r="B235" i="35"/>
  <c r="C234" i="35"/>
  <c r="D234" i="35"/>
  <c r="F232" i="35"/>
  <c r="H232" i="35"/>
  <c r="J198" i="56"/>
  <c r="K197" i="56"/>
  <c r="L197" i="56" s="1"/>
  <c r="K188" i="17"/>
  <c r="L188" i="17" s="1"/>
  <c r="J189" i="17"/>
  <c r="G232" i="35" l="1"/>
  <c r="J232" i="35" s="1"/>
  <c r="J234" i="35"/>
  <c r="F233" i="35"/>
  <c r="G233" i="35" s="1"/>
  <c r="J233" i="35" s="1"/>
  <c r="E234" i="35"/>
  <c r="H234" i="35" s="1"/>
  <c r="B236" i="35"/>
  <c r="C235" i="35"/>
  <c r="D235" i="35"/>
  <c r="I235" i="35" s="1"/>
  <c r="K198" i="56"/>
  <c r="L198" i="56" s="1"/>
  <c r="J199" i="56"/>
  <c r="J190" i="17"/>
  <c r="K189" i="17"/>
  <c r="L189" i="17" s="1"/>
  <c r="F234" i="35" l="1"/>
  <c r="I234" i="35" s="1"/>
  <c r="E235" i="35"/>
  <c r="B237" i="35"/>
  <c r="C236" i="35"/>
  <c r="D236" i="35"/>
  <c r="G234" i="35"/>
  <c r="K199" i="56"/>
  <c r="L199" i="56" s="1"/>
  <c r="J200" i="56"/>
  <c r="J191" i="17"/>
  <c r="K190" i="17"/>
  <c r="L190" i="17" s="1"/>
  <c r="E236" i="35" l="1"/>
  <c r="H236" i="35" s="1"/>
  <c r="I236" i="35"/>
  <c r="B238" i="35"/>
  <c r="D237" i="35"/>
  <c r="I237" i="35" s="1"/>
  <c r="C237" i="35"/>
  <c r="F235" i="35"/>
  <c r="H235" i="35"/>
  <c r="J201" i="56"/>
  <c r="K200" i="56"/>
  <c r="L200" i="56" s="1"/>
  <c r="K191" i="17"/>
  <c r="L191" i="17" s="1"/>
  <c r="J192" i="17"/>
  <c r="F236" i="35" l="1"/>
  <c r="G235" i="35"/>
  <c r="J235" i="35" s="1"/>
  <c r="E237" i="35"/>
  <c r="D238" i="35"/>
  <c r="I238" i="35" s="1"/>
  <c r="B239" i="35"/>
  <c r="C238" i="35"/>
  <c r="G236" i="35"/>
  <c r="J236" i="35" s="1"/>
  <c r="J202" i="56"/>
  <c r="K201" i="56"/>
  <c r="L201" i="56" s="1"/>
  <c r="K192" i="17"/>
  <c r="L192" i="17" s="1"/>
  <c r="J193" i="17"/>
  <c r="E238" i="35" l="1"/>
  <c r="H238" i="35" s="1"/>
  <c r="B240" i="35"/>
  <c r="C239" i="35"/>
  <c r="D239" i="35"/>
  <c r="H237" i="35"/>
  <c r="F237" i="35"/>
  <c r="K202" i="56"/>
  <c r="L202" i="56" s="1"/>
  <c r="J203" i="56"/>
  <c r="J194" i="17"/>
  <c r="K193" i="17"/>
  <c r="L193" i="17" s="1"/>
  <c r="J239" i="35" l="1"/>
  <c r="F238" i="35"/>
  <c r="G238" i="35" s="1"/>
  <c r="J238" i="35" s="1"/>
  <c r="E239" i="35"/>
  <c r="H239" i="35" s="1"/>
  <c r="G237" i="35"/>
  <c r="J237" i="35" s="1"/>
  <c r="B241" i="35"/>
  <c r="C240" i="35"/>
  <c r="D240" i="35"/>
  <c r="I240" i="35" s="1"/>
  <c r="K203" i="56"/>
  <c r="L203" i="56" s="1"/>
  <c r="J204" i="56"/>
  <c r="J195" i="17"/>
  <c r="K194" i="17"/>
  <c r="L194" i="17" s="1"/>
  <c r="F239" i="35" l="1"/>
  <c r="I239" i="35" s="1"/>
  <c r="E240" i="35"/>
  <c r="B242" i="35"/>
  <c r="D241" i="35"/>
  <c r="I241" i="35" s="1"/>
  <c r="C241" i="35"/>
  <c r="J205" i="56"/>
  <c r="K204" i="56"/>
  <c r="L204" i="56" s="1"/>
  <c r="K195" i="17"/>
  <c r="L195" i="17" s="1"/>
  <c r="J196" i="17"/>
  <c r="G239" i="35" l="1"/>
  <c r="E241" i="35"/>
  <c r="J241" i="35"/>
  <c r="B243" i="35"/>
  <c r="C242" i="35"/>
  <c r="D242" i="35"/>
  <c r="I242" i="35" s="1"/>
  <c r="F240" i="35"/>
  <c r="H240" i="35"/>
  <c r="J206" i="56"/>
  <c r="K205" i="56"/>
  <c r="L205" i="56" s="1"/>
  <c r="K196" i="17"/>
  <c r="L196" i="17" s="1"/>
  <c r="J197" i="17"/>
  <c r="G240" i="35" l="1"/>
  <c r="J240" i="35" s="1"/>
  <c r="E242" i="35"/>
  <c r="B244" i="35"/>
  <c r="C243" i="35"/>
  <c r="D243" i="35"/>
  <c r="F241" i="35"/>
  <c r="H241" i="35"/>
  <c r="K206" i="56"/>
  <c r="L206" i="56" s="1"/>
  <c r="J207" i="56"/>
  <c r="J198" i="17"/>
  <c r="K197" i="17"/>
  <c r="L197" i="17" s="1"/>
  <c r="G241" i="35" l="1"/>
  <c r="E243" i="35"/>
  <c r="H243" i="35" s="1"/>
  <c r="I243" i="35"/>
  <c r="B245" i="35"/>
  <c r="C244" i="35"/>
  <c r="D244" i="35"/>
  <c r="I244" i="35" s="1"/>
  <c r="H242" i="35"/>
  <c r="F242" i="35"/>
  <c r="K207" i="56"/>
  <c r="L207" i="56" s="1"/>
  <c r="J208" i="56"/>
  <c r="J199" i="17"/>
  <c r="K198" i="17"/>
  <c r="L198" i="17" s="1"/>
  <c r="F243" i="35" l="1"/>
  <c r="G243" i="35" s="1"/>
  <c r="J243" i="35" s="1"/>
  <c r="E244" i="35"/>
  <c r="F244" i="35" s="1"/>
  <c r="G242" i="35"/>
  <c r="J242" i="35" s="1"/>
  <c r="B246" i="35"/>
  <c r="C245" i="35"/>
  <c r="D245" i="35"/>
  <c r="J209" i="56"/>
  <c r="K208" i="56"/>
  <c r="L208" i="56" s="1"/>
  <c r="K199" i="17"/>
  <c r="L199" i="17" s="1"/>
  <c r="J200" i="17"/>
  <c r="H244" i="35" l="1"/>
  <c r="G244" i="35" s="1"/>
  <c r="J244" i="35" s="1"/>
  <c r="E245" i="35"/>
  <c r="H245" i="35" s="1"/>
  <c r="I245" i="35"/>
  <c r="B247" i="35"/>
  <c r="D246" i="35"/>
  <c r="C246" i="35"/>
  <c r="J210" i="56"/>
  <c r="K209" i="56"/>
  <c r="L209" i="56" s="1"/>
  <c r="K200" i="17"/>
  <c r="L200" i="17" s="1"/>
  <c r="J201" i="17"/>
  <c r="F245" i="35" l="1"/>
  <c r="G245" i="35" s="1"/>
  <c r="J245" i="35" s="1"/>
  <c r="E246" i="35"/>
  <c r="I246" i="35"/>
  <c r="B248" i="35"/>
  <c r="C247" i="35"/>
  <c r="D247" i="35"/>
  <c r="I247" i="35" s="1"/>
  <c r="K210" i="56"/>
  <c r="L210" i="56" s="1"/>
  <c r="J211" i="56"/>
  <c r="J202" i="17"/>
  <c r="K201" i="17"/>
  <c r="L201" i="17" s="1"/>
  <c r="E247" i="35" l="1"/>
  <c r="H247" i="35" s="1"/>
  <c r="B249" i="35"/>
  <c r="D248" i="35"/>
  <c r="I248" i="35" s="1"/>
  <c r="C248" i="35"/>
  <c r="H246" i="35"/>
  <c r="F246" i="35"/>
  <c r="K211" i="56"/>
  <c r="L211" i="56" s="1"/>
  <c r="J212" i="56"/>
  <c r="J203" i="17"/>
  <c r="K202" i="17"/>
  <c r="L202" i="17" s="1"/>
  <c r="F247" i="35" l="1"/>
  <c r="G247" i="35" s="1"/>
  <c r="J247" i="35" s="1"/>
  <c r="G246" i="35"/>
  <c r="J246" i="35" s="1"/>
  <c r="B250" i="35"/>
  <c r="C249" i="35"/>
  <c r="D249" i="35"/>
  <c r="I249" i="35" s="1"/>
  <c r="E248" i="35"/>
  <c r="J213" i="56"/>
  <c r="K212" i="56"/>
  <c r="L212" i="56" s="1"/>
  <c r="K203" i="17"/>
  <c r="L203" i="17" s="1"/>
  <c r="J204" i="17"/>
  <c r="H248" i="35" l="1"/>
  <c r="F248" i="35"/>
  <c r="E249" i="35"/>
  <c r="C250" i="35"/>
  <c r="B251" i="35"/>
  <c r="D250" i="35"/>
  <c r="I250" i="35" s="1"/>
  <c r="J214" i="56"/>
  <c r="K213" i="56"/>
  <c r="L213" i="56" s="1"/>
  <c r="K204" i="17"/>
  <c r="L204" i="17" s="1"/>
  <c r="J205" i="17"/>
  <c r="G248" i="35" l="1"/>
  <c r="J248" i="35" s="1"/>
  <c r="B252" i="35"/>
  <c r="C251" i="35"/>
  <c r="D251" i="35"/>
  <c r="I251" i="35" s="1"/>
  <c r="E250" i="35"/>
  <c r="H249" i="35"/>
  <c r="F249" i="35"/>
  <c r="K214" i="56"/>
  <c r="L214" i="56" s="1"/>
  <c r="J215" i="56"/>
  <c r="J206" i="17"/>
  <c r="K205" i="17"/>
  <c r="L205" i="17" s="1"/>
  <c r="G249" i="35" l="1"/>
  <c r="J249" i="35" s="1"/>
  <c r="F250" i="35"/>
  <c r="H250" i="35"/>
  <c r="E251" i="35"/>
  <c r="B253" i="35"/>
  <c r="D252" i="35"/>
  <c r="C252" i="35"/>
  <c r="K215" i="56"/>
  <c r="L215" i="56" s="1"/>
  <c r="J216" i="56"/>
  <c r="J207" i="17"/>
  <c r="K206" i="17"/>
  <c r="L206" i="17" s="1"/>
  <c r="J252" i="35" l="1"/>
  <c r="G250" i="35"/>
  <c r="J250" i="35" s="1"/>
  <c r="E252" i="35"/>
  <c r="B254" i="35"/>
  <c r="C253" i="35"/>
  <c r="D253" i="35"/>
  <c r="I253" i="35" s="1"/>
  <c r="H251" i="35"/>
  <c r="F251" i="35"/>
  <c r="J217" i="56"/>
  <c r="K216" i="56"/>
  <c r="L216" i="56" s="1"/>
  <c r="K207" i="17"/>
  <c r="L207" i="17" s="1"/>
  <c r="J208" i="17"/>
  <c r="G251" i="35" l="1"/>
  <c r="J251" i="35" s="1"/>
  <c r="E253" i="35"/>
  <c r="B255" i="35"/>
  <c r="D254" i="35"/>
  <c r="I254" i="35" s="1"/>
  <c r="C254" i="35"/>
  <c r="H252" i="35"/>
  <c r="F252" i="35"/>
  <c r="I252" i="35" s="1"/>
  <c r="J218" i="56"/>
  <c r="K217" i="56"/>
  <c r="L217" i="56" s="1"/>
  <c r="K208" i="17"/>
  <c r="L208" i="17" s="1"/>
  <c r="J209" i="17"/>
  <c r="G252" i="35" l="1"/>
  <c r="E254" i="35"/>
  <c r="B256" i="35"/>
  <c r="C255" i="35"/>
  <c r="D255" i="35"/>
  <c r="I255" i="35" s="1"/>
  <c r="H253" i="35"/>
  <c r="F253" i="35"/>
  <c r="K218" i="56"/>
  <c r="L218" i="56" s="1"/>
  <c r="J219" i="56"/>
  <c r="J210" i="17"/>
  <c r="K209" i="17"/>
  <c r="L209" i="17" s="1"/>
  <c r="G253" i="35" l="1"/>
  <c r="J253" i="35" s="1"/>
  <c r="E255" i="35"/>
  <c r="B257" i="35"/>
  <c r="C256" i="35"/>
  <c r="D256" i="35"/>
  <c r="I256" i="35" s="1"/>
  <c r="H254" i="35"/>
  <c r="F254" i="35"/>
  <c r="K219" i="56"/>
  <c r="L219" i="56" s="1"/>
  <c r="J220" i="56"/>
  <c r="J211" i="17"/>
  <c r="K210" i="17"/>
  <c r="L210" i="17" s="1"/>
  <c r="G254" i="35" l="1"/>
  <c r="J254" i="35" s="1"/>
  <c r="E256" i="35"/>
  <c r="B258" i="35"/>
  <c r="C257" i="35"/>
  <c r="D257" i="35"/>
  <c r="I257" i="35" s="1"/>
  <c r="F255" i="35"/>
  <c r="H255" i="35"/>
  <c r="J221" i="56"/>
  <c r="K220" i="56"/>
  <c r="L220" i="56" s="1"/>
  <c r="K211" i="17"/>
  <c r="L211" i="17" s="1"/>
  <c r="J212" i="17"/>
  <c r="G255" i="35" l="1"/>
  <c r="J255" i="35" s="1"/>
  <c r="E257" i="35"/>
  <c r="B259" i="35"/>
  <c r="C258" i="35"/>
  <c r="D258" i="35"/>
  <c r="I258" i="35" s="1"/>
  <c r="F256" i="35"/>
  <c r="H256" i="35"/>
  <c r="J222" i="56"/>
  <c r="K221" i="56"/>
  <c r="L221" i="56" s="1"/>
  <c r="K212" i="17"/>
  <c r="L212" i="17" s="1"/>
  <c r="J213" i="17"/>
  <c r="G256" i="35" l="1"/>
  <c r="J256" i="35" s="1"/>
  <c r="E258" i="35"/>
  <c r="B260" i="35"/>
  <c r="C259" i="35"/>
  <c r="D259" i="35"/>
  <c r="I259" i="35" s="1"/>
  <c r="F257" i="35"/>
  <c r="H257" i="35"/>
  <c r="K222" i="56"/>
  <c r="L222" i="56" s="1"/>
  <c r="J223" i="56"/>
  <c r="J214" i="17"/>
  <c r="K213" i="17"/>
  <c r="L213" i="17" s="1"/>
  <c r="G257" i="35" l="1"/>
  <c r="J257" i="35" s="1"/>
  <c r="E259" i="35"/>
  <c r="B261" i="35"/>
  <c r="C260" i="35"/>
  <c r="D260" i="35"/>
  <c r="I260" i="35" s="1"/>
  <c r="F258" i="35"/>
  <c r="H258" i="35"/>
  <c r="K223" i="56"/>
  <c r="L223" i="56" s="1"/>
  <c r="J224" i="56"/>
  <c r="J215" i="17"/>
  <c r="K214" i="17"/>
  <c r="L214" i="17" s="1"/>
  <c r="G258" i="35" l="1"/>
  <c r="J258" i="35" s="1"/>
  <c r="E260" i="35"/>
  <c r="B262" i="35"/>
  <c r="C261" i="35"/>
  <c r="D261" i="35"/>
  <c r="F259" i="35"/>
  <c r="H259" i="35"/>
  <c r="J225" i="56"/>
  <c r="K224" i="56"/>
  <c r="L224" i="56" s="1"/>
  <c r="K215" i="17"/>
  <c r="L215" i="17" s="1"/>
  <c r="J216" i="17"/>
  <c r="E261" i="35" l="1"/>
  <c r="F261" i="35" s="1"/>
  <c r="G259" i="35"/>
  <c r="J259" i="35" s="1"/>
  <c r="I261" i="35"/>
  <c r="B263" i="35"/>
  <c r="C262" i="35"/>
  <c r="D262" i="35"/>
  <c r="I262" i="35" s="1"/>
  <c r="F260" i="35"/>
  <c r="H260" i="35"/>
  <c r="J226" i="56"/>
  <c r="K225" i="56"/>
  <c r="L225" i="56" s="1"/>
  <c r="K216" i="17"/>
  <c r="L216" i="17" s="1"/>
  <c r="J217" i="17"/>
  <c r="H261" i="35" l="1"/>
  <c r="G261" i="35" s="1"/>
  <c r="J261" i="35" s="1"/>
  <c r="G260" i="35"/>
  <c r="J260" i="35" s="1"/>
  <c r="E262" i="35"/>
  <c r="B264" i="35"/>
  <c r="D263" i="35"/>
  <c r="C263" i="35"/>
  <c r="J263" i="35" s="1"/>
  <c r="K226" i="56"/>
  <c r="L226" i="56" s="1"/>
  <c r="J227" i="56"/>
  <c r="J218" i="17"/>
  <c r="K217" i="17"/>
  <c r="L217" i="17" s="1"/>
  <c r="E263" i="35" l="1"/>
  <c r="B265" i="35"/>
  <c r="C264" i="35"/>
  <c r="D264" i="35"/>
  <c r="F262" i="35"/>
  <c r="H262" i="35"/>
  <c r="K227" i="56"/>
  <c r="L227" i="56" s="1"/>
  <c r="J228" i="56"/>
  <c r="J219" i="17"/>
  <c r="K218" i="17"/>
  <c r="L218" i="17" s="1"/>
  <c r="G262" i="35" l="1"/>
  <c r="J262" i="35" s="1"/>
  <c r="E264" i="35"/>
  <c r="I264" i="35"/>
  <c r="B266" i="35"/>
  <c r="D265" i="35"/>
  <c r="C265" i="35"/>
  <c r="H263" i="35"/>
  <c r="F263" i="35"/>
  <c r="I263" i="35" s="1"/>
  <c r="J229" i="56"/>
  <c r="K228" i="56"/>
  <c r="L228" i="56" s="1"/>
  <c r="K219" i="17"/>
  <c r="L219" i="17" s="1"/>
  <c r="J220" i="17"/>
  <c r="E265" i="35" l="1"/>
  <c r="H265" i="35" s="1"/>
  <c r="G263" i="35"/>
  <c r="I265" i="35"/>
  <c r="B267" i="35"/>
  <c r="D266" i="35"/>
  <c r="I266" i="35" s="1"/>
  <c r="C266" i="35"/>
  <c r="H264" i="35"/>
  <c r="F264" i="35"/>
  <c r="J230" i="56"/>
  <c r="K229" i="56"/>
  <c r="L229" i="56" s="1"/>
  <c r="K220" i="17"/>
  <c r="L220" i="17" s="1"/>
  <c r="J221" i="17"/>
  <c r="F265" i="35" l="1"/>
  <c r="G265" i="35" s="1"/>
  <c r="J265" i="35" s="1"/>
  <c r="G264" i="35"/>
  <c r="J264" i="35" s="1"/>
  <c r="E266" i="35"/>
  <c r="B268" i="35"/>
  <c r="C267" i="35"/>
  <c r="D267" i="35"/>
  <c r="K230" i="56"/>
  <c r="L230" i="56" s="1"/>
  <c r="J231" i="56"/>
  <c r="J222" i="17"/>
  <c r="K221" i="17"/>
  <c r="L221" i="17" s="1"/>
  <c r="E267" i="35" l="1"/>
  <c r="F267" i="35" s="1"/>
  <c r="I267" i="35" s="1"/>
  <c r="B269" i="35"/>
  <c r="D268" i="35"/>
  <c r="I268" i="35" s="1"/>
  <c r="C268" i="35"/>
  <c r="H266" i="35"/>
  <c r="F266" i="35"/>
  <c r="K231" i="56"/>
  <c r="L231" i="56" s="1"/>
  <c r="J232" i="56"/>
  <c r="J223" i="17"/>
  <c r="K222" i="17"/>
  <c r="L222" i="17" s="1"/>
  <c r="H267" i="35" l="1"/>
  <c r="G267" i="35" s="1"/>
  <c r="J267" i="35" s="1"/>
  <c r="E268" i="35"/>
  <c r="G266" i="35"/>
  <c r="J266" i="35" s="1"/>
  <c r="B270" i="35"/>
  <c r="C269" i="35"/>
  <c r="D269" i="35"/>
  <c r="I269" i="35" s="1"/>
  <c r="J233" i="56"/>
  <c r="K232" i="56"/>
  <c r="L232" i="56" s="1"/>
  <c r="K223" i="17"/>
  <c r="L223" i="17" s="1"/>
  <c r="J224" i="17"/>
  <c r="E269" i="35" l="1"/>
  <c r="B271" i="35"/>
  <c r="C270" i="35"/>
  <c r="D270" i="35"/>
  <c r="I270" i="35" s="1"/>
  <c r="F268" i="35"/>
  <c r="H268" i="35"/>
  <c r="J234" i="56"/>
  <c r="K233" i="56"/>
  <c r="L233" i="56" s="1"/>
  <c r="K224" i="17"/>
  <c r="L224" i="17" s="1"/>
  <c r="J225" i="17"/>
  <c r="G268" i="35" l="1"/>
  <c r="J268" i="35" s="1"/>
  <c r="E270" i="35"/>
  <c r="B272" i="35"/>
  <c r="C271" i="35"/>
  <c r="D271" i="35"/>
  <c r="F269" i="35"/>
  <c r="H269" i="35"/>
  <c r="K234" i="56"/>
  <c r="L234" i="56" s="1"/>
  <c r="J235" i="56"/>
  <c r="J226" i="17"/>
  <c r="K225" i="17"/>
  <c r="L225" i="17" s="1"/>
  <c r="J271" i="35" l="1"/>
  <c r="G269" i="35"/>
  <c r="J269" i="35" s="1"/>
  <c r="E271" i="35"/>
  <c r="H271" i="35" s="1"/>
  <c r="I271" i="35"/>
  <c r="B273" i="35"/>
  <c r="C272" i="35"/>
  <c r="D272" i="35"/>
  <c r="I272" i="35" s="1"/>
  <c r="H270" i="35"/>
  <c r="F270" i="35"/>
  <c r="K235" i="56"/>
  <c r="L235" i="56" s="1"/>
  <c r="J236" i="56"/>
  <c r="J227" i="17"/>
  <c r="K226" i="17"/>
  <c r="L226" i="17" s="1"/>
  <c r="J272" i="35" l="1"/>
  <c r="F271" i="35"/>
  <c r="G271" i="35" s="1"/>
  <c r="G270" i="35"/>
  <c r="J270" i="35" s="1"/>
  <c r="E272" i="35"/>
  <c r="B274" i="35"/>
  <c r="C273" i="35"/>
  <c r="D273" i="35"/>
  <c r="I273" i="35" s="1"/>
  <c r="J237" i="56"/>
  <c r="K236" i="56"/>
  <c r="L236" i="56" s="1"/>
  <c r="K227" i="17"/>
  <c r="L227" i="17" s="1"/>
  <c r="J228" i="17"/>
  <c r="E273" i="35" l="1"/>
  <c r="F273" i="35" s="1"/>
  <c r="D274" i="35"/>
  <c r="I274" i="35" s="1"/>
  <c r="B275" i="35"/>
  <c r="C274" i="35"/>
  <c r="H272" i="35"/>
  <c r="F272" i="35"/>
  <c r="J238" i="56"/>
  <c r="K237" i="56"/>
  <c r="L237" i="56" s="1"/>
  <c r="K228" i="17"/>
  <c r="L228" i="17" s="1"/>
  <c r="J229" i="17"/>
  <c r="H273" i="35" l="1"/>
  <c r="G273" i="35" s="1"/>
  <c r="J273" i="35" s="1"/>
  <c r="E274" i="35"/>
  <c r="G272" i="35"/>
  <c r="B276" i="35"/>
  <c r="C275" i="35"/>
  <c r="D275" i="35"/>
  <c r="K238" i="56"/>
  <c r="L238" i="56" s="1"/>
  <c r="J239" i="56"/>
  <c r="J230" i="17"/>
  <c r="K229" i="17"/>
  <c r="L229" i="17" s="1"/>
  <c r="E275" i="35" l="1"/>
  <c r="H275" i="35" s="1"/>
  <c r="I275" i="35"/>
  <c r="B277" i="35"/>
  <c r="C276" i="35"/>
  <c r="D276" i="35"/>
  <c r="F274" i="35"/>
  <c r="H274" i="35"/>
  <c r="K239" i="56"/>
  <c r="L239" i="56" s="1"/>
  <c r="J240" i="56"/>
  <c r="J231" i="17"/>
  <c r="K230" i="17"/>
  <c r="L230" i="17" s="1"/>
  <c r="G274" i="35" l="1"/>
  <c r="J274" i="35" s="1"/>
  <c r="F275" i="35"/>
  <c r="G275" i="35" s="1"/>
  <c r="J275" i="35" s="1"/>
  <c r="E276" i="35"/>
  <c r="F276" i="35" s="1"/>
  <c r="I276" i="35"/>
  <c r="B278" i="35"/>
  <c r="C277" i="35"/>
  <c r="D277" i="35"/>
  <c r="J241" i="56"/>
  <c r="K240" i="56"/>
  <c r="L240" i="56" s="1"/>
  <c r="K231" i="17"/>
  <c r="L231" i="17" s="1"/>
  <c r="J232" i="17"/>
  <c r="J277" i="35" l="1"/>
  <c r="H276" i="35"/>
  <c r="G276" i="35" s="1"/>
  <c r="J276" i="35" s="1"/>
  <c r="E277" i="35"/>
  <c r="F277" i="35" s="1"/>
  <c r="I277" i="35" s="1"/>
  <c r="B279" i="35"/>
  <c r="C278" i="35"/>
  <c r="D278" i="35"/>
  <c r="I278" i="35" s="1"/>
  <c r="J242" i="56"/>
  <c r="K241" i="56"/>
  <c r="L241" i="56" s="1"/>
  <c r="K232" i="17"/>
  <c r="L232" i="17" s="1"/>
  <c r="J233" i="17"/>
  <c r="H277" i="35" l="1"/>
  <c r="G277" i="35" s="1"/>
  <c r="E278" i="35"/>
  <c r="B280" i="35"/>
  <c r="D279" i="35"/>
  <c r="C279" i="35"/>
  <c r="K242" i="56"/>
  <c r="L242" i="56" s="1"/>
  <c r="J243" i="56"/>
  <c r="J234" i="17"/>
  <c r="K233" i="17"/>
  <c r="L233" i="17" s="1"/>
  <c r="E279" i="35" l="1"/>
  <c r="H279" i="35" s="1"/>
  <c r="I279" i="35"/>
  <c r="B281" i="35"/>
  <c r="C280" i="35"/>
  <c r="D280" i="35"/>
  <c r="I280" i="35" s="1"/>
  <c r="F278" i="35"/>
  <c r="H278" i="35"/>
  <c r="K243" i="56"/>
  <c r="L243" i="56" s="1"/>
  <c r="J244" i="56"/>
  <c r="J235" i="17"/>
  <c r="K234" i="17"/>
  <c r="L234" i="17" s="1"/>
  <c r="G278" i="35" l="1"/>
  <c r="J278" i="35" s="1"/>
  <c r="F279" i="35"/>
  <c r="G279" i="35" s="1"/>
  <c r="J279" i="35" s="1"/>
  <c r="E280" i="35"/>
  <c r="B282" i="35"/>
  <c r="C281" i="35"/>
  <c r="D281" i="35"/>
  <c r="I281" i="35" s="1"/>
  <c r="J245" i="56"/>
  <c r="K244" i="56"/>
  <c r="L244" i="56" s="1"/>
  <c r="K235" i="17"/>
  <c r="L235" i="17" s="1"/>
  <c r="J236" i="17"/>
  <c r="E281" i="35" l="1"/>
  <c r="B283" i="35"/>
  <c r="D282" i="35"/>
  <c r="C282" i="35"/>
  <c r="F280" i="35"/>
  <c r="H280" i="35"/>
  <c r="J246" i="56"/>
  <c r="K245" i="56"/>
  <c r="L245" i="56" s="1"/>
  <c r="K236" i="17"/>
  <c r="L236" i="17" s="1"/>
  <c r="J237" i="17"/>
  <c r="G280" i="35" l="1"/>
  <c r="J280" i="35" s="1"/>
  <c r="E282" i="35"/>
  <c r="I282" i="35"/>
  <c r="B284" i="35"/>
  <c r="C283" i="35"/>
  <c r="D283" i="35"/>
  <c r="F281" i="35"/>
  <c r="H281" i="35"/>
  <c r="K246" i="56"/>
  <c r="L246" i="56" s="1"/>
  <c r="J247" i="56"/>
  <c r="J238" i="17"/>
  <c r="K237" i="17"/>
  <c r="L237" i="17" s="1"/>
  <c r="G281" i="35" l="1"/>
  <c r="J281" i="35" s="1"/>
  <c r="E283" i="35"/>
  <c r="F283" i="35" s="1"/>
  <c r="I283" i="35"/>
  <c r="B285" i="35"/>
  <c r="D284" i="35"/>
  <c r="I284" i="35" s="1"/>
  <c r="C284" i="35"/>
  <c r="H282" i="35"/>
  <c r="F282" i="35"/>
  <c r="K247" i="56"/>
  <c r="L247" i="56" s="1"/>
  <c r="J248" i="56"/>
  <c r="J239" i="17"/>
  <c r="K238" i="17"/>
  <c r="L238" i="17" s="1"/>
  <c r="H283" i="35" l="1"/>
  <c r="G283" i="35" s="1"/>
  <c r="J283" i="35" s="1"/>
  <c r="G282" i="35"/>
  <c r="J282" i="35" s="1"/>
  <c r="E284" i="35"/>
  <c r="B286" i="35"/>
  <c r="C285" i="35"/>
  <c r="D285" i="35"/>
  <c r="J249" i="56"/>
  <c r="K248" i="56"/>
  <c r="L248" i="56" s="1"/>
  <c r="K239" i="17"/>
  <c r="L239" i="17" s="1"/>
  <c r="J240" i="17"/>
  <c r="E285" i="35" l="1"/>
  <c r="F285" i="35" s="1"/>
  <c r="I285" i="35"/>
  <c r="B287" i="35"/>
  <c r="C286" i="35"/>
  <c r="D286" i="35"/>
  <c r="I286" i="35" s="1"/>
  <c r="H284" i="35"/>
  <c r="F284" i="35"/>
  <c r="J250" i="56"/>
  <c r="K249" i="56"/>
  <c r="L249" i="56" s="1"/>
  <c r="K240" i="17"/>
  <c r="L240" i="17" s="1"/>
  <c r="J241" i="17"/>
  <c r="H285" i="35" l="1"/>
  <c r="G285" i="35" s="1"/>
  <c r="J285" i="35" s="1"/>
  <c r="G284" i="35"/>
  <c r="J284" i="35" s="1"/>
  <c r="E286" i="35"/>
  <c r="B288" i="35"/>
  <c r="D287" i="35"/>
  <c r="I287" i="35" s="1"/>
  <c r="C287" i="35"/>
  <c r="K250" i="56"/>
  <c r="L250" i="56" s="1"/>
  <c r="J251" i="56"/>
  <c r="J242" i="17"/>
  <c r="K241" i="17"/>
  <c r="L241" i="17" s="1"/>
  <c r="E287" i="35" l="1"/>
  <c r="B289" i="35"/>
  <c r="C288" i="35"/>
  <c r="D288" i="35"/>
  <c r="H286" i="35"/>
  <c r="F286" i="35"/>
  <c r="K251" i="56"/>
  <c r="L251" i="56" s="1"/>
  <c r="J252" i="56"/>
  <c r="J243" i="17"/>
  <c r="K242" i="17"/>
  <c r="L242" i="17" s="1"/>
  <c r="J288" i="35" l="1"/>
  <c r="E288" i="35"/>
  <c r="F288" i="35" s="1"/>
  <c r="I288" i="35" s="1"/>
  <c r="G286" i="35"/>
  <c r="J286" i="35" s="1"/>
  <c r="B290" i="35"/>
  <c r="C289" i="35"/>
  <c r="D289" i="35"/>
  <c r="F287" i="35"/>
  <c r="H287" i="35"/>
  <c r="J253" i="56"/>
  <c r="K252" i="56"/>
  <c r="L252" i="56" s="1"/>
  <c r="K243" i="17"/>
  <c r="L243" i="17" s="1"/>
  <c r="J244" i="17"/>
  <c r="J289" i="35" l="1"/>
  <c r="H288" i="35"/>
  <c r="G288" i="35" s="1"/>
  <c r="E289" i="35"/>
  <c r="H289" i="35" s="1"/>
  <c r="I289" i="35"/>
  <c r="B291" i="35"/>
  <c r="C290" i="35"/>
  <c r="D290" i="35"/>
  <c r="G287" i="35"/>
  <c r="J287" i="35" s="1"/>
  <c r="J254" i="56"/>
  <c r="K253" i="56"/>
  <c r="L253" i="56" s="1"/>
  <c r="K244" i="17"/>
  <c r="L244" i="17" s="1"/>
  <c r="J245" i="17"/>
  <c r="F289" i="35" l="1"/>
  <c r="G289" i="35" s="1"/>
  <c r="E290" i="35"/>
  <c r="F290" i="35" s="1"/>
  <c r="J290" i="35"/>
  <c r="I290" i="35"/>
  <c r="B292" i="35"/>
  <c r="C291" i="35"/>
  <c r="D291" i="35"/>
  <c r="K254" i="56"/>
  <c r="L254" i="56" s="1"/>
  <c r="J255" i="56"/>
  <c r="J246" i="17"/>
  <c r="K245" i="17"/>
  <c r="L245" i="17" s="1"/>
  <c r="J291" i="35" l="1"/>
  <c r="E291" i="35"/>
  <c r="F291" i="35" s="1"/>
  <c r="H290" i="35"/>
  <c r="G290" i="35" s="1"/>
  <c r="I291" i="35"/>
  <c r="B293" i="35"/>
  <c r="C292" i="35"/>
  <c r="D292" i="35"/>
  <c r="K255" i="56"/>
  <c r="L255" i="56" s="1"/>
  <c r="J256" i="56"/>
  <c r="J247" i="17"/>
  <c r="K246" i="17"/>
  <c r="L246" i="17" s="1"/>
  <c r="J292" i="35" l="1"/>
  <c r="H291" i="35"/>
  <c r="G291" i="35" s="1"/>
  <c r="E292" i="35"/>
  <c r="I292" i="35"/>
  <c r="B294" i="35"/>
  <c r="C293" i="35"/>
  <c r="D293" i="35"/>
  <c r="J257" i="56"/>
  <c r="K256" i="56"/>
  <c r="L256" i="56" s="1"/>
  <c r="K247" i="17"/>
  <c r="L247" i="17" s="1"/>
  <c r="J248" i="17"/>
  <c r="E293" i="35" l="1"/>
  <c r="F293" i="35" s="1"/>
  <c r="I293" i="35" s="1"/>
  <c r="J293" i="35"/>
  <c r="B295" i="35"/>
  <c r="C294" i="35"/>
  <c r="D294" i="35"/>
  <c r="F292" i="35"/>
  <c r="H292" i="35"/>
  <c r="J258" i="56"/>
  <c r="K257" i="56"/>
  <c r="L257" i="56" s="1"/>
  <c r="K248" i="17"/>
  <c r="L248" i="17" s="1"/>
  <c r="J249" i="17"/>
  <c r="J294" i="35" l="1"/>
  <c r="H293" i="35"/>
  <c r="G293" i="35" s="1"/>
  <c r="G292" i="35"/>
  <c r="E294" i="35"/>
  <c r="I294" i="35"/>
  <c r="B296" i="35"/>
  <c r="D295" i="35"/>
  <c r="C295" i="35"/>
  <c r="K258" i="56"/>
  <c r="L258" i="56" s="1"/>
  <c r="J259" i="56"/>
  <c r="J250" i="17"/>
  <c r="K249" i="17"/>
  <c r="L249" i="17" s="1"/>
  <c r="J295" i="35" l="1"/>
  <c r="E295" i="35"/>
  <c r="F295" i="35" s="1"/>
  <c r="I295" i="35"/>
  <c r="B297" i="35"/>
  <c r="C296" i="35"/>
  <c r="D296" i="35"/>
  <c r="H294" i="35"/>
  <c r="F294" i="35"/>
  <c r="K259" i="56"/>
  <c r="L259" i="56" s="1"/>
  <c r="J260" i="56"/>
  <c r="J251" i="17"/>
  <c r="K250" i="17"/>
  <c r="L250" i="17" s="1"/>
  <c r="J296" i="35" l="1"/>
  <c r="G294" i="35"/>
  <c r="H295" i="35"/>
  <c r="G295" i="35" s="1"/>
  <c r="E296" i="35"/>
  <c r="F296" i="35" s="1"/>
  <c r="I296" i="35"/>
  <c r="B298" i="35"/>
  <c r="C297" i="35"/>
  <c r="D297" i="35"/>
  <c r="I297" i="35" s="1"/>
  <c r="J261" i="56"/>
  <c r="K260" i="56"/>
  <c r="L260" i="56" s="1"/>
  <c r="K251" i="17"/>
  <c r="L251" i="17" s="1"/>
  <c r="J252" i="17"/>
  <c r="H296" i="35" l="1"/>
  <c r="G296" i="35" s="1"/>
  <c r="J297" i="35"/>
  <c r="E297" i="35"/>
  <c r="B299" i="35"/>
  <c r="D298" i="35"/>
  <c r="C298" i="35"/>
  <c r="J262" i="56"/>
  <c r="K261" i="56"/>
  <c r="L261" i="56" s="1"/>
  <c r="K252" i="17"/>
  <c r="L252" i="17" s="1"/>
  <c r="J253" i="17"/>
  <c r="J298" i="35" l="1"/>
  <c r="E298" i="35"/>
  <c r="B300" i="35"/>
  <c r="C299" i="35"/>
  <c r="D299" i="35"/>
  <c r="H297" i="35"/>
  <c r="F297" i="35"/>
  <c r="K262" i="56"/>
  <c r="L262" i="56" s="1"/>
  <c r="J263" i="56"/>
  <c r="J254" i="17"/>
  <c r="K253" i="17"/>
  <c r="L253" i="17" s="1"/>
  <c r="J299" i="35" l="1"/>
  <c r="E299" i="35"/>
  <c r="F299" i="35" s="1"/>
  <c r="G297" i="35"/>
  <c r="I299" i="35"/>
  <c r="B301" i="35"/>
  <c r="C300" i="35"/>
  <c r="D300" i="35"/>
  <c r="H298" i="35"/>
  <c r="F298" i="35"/>
  <c r="I298" i="35" s="1"/>
  <c r="K263" i="56"/>
  <c r="L263" i="56" s="1"/>
  <c r="J264" i="56"/>
  <c r="J255" i="17"/>
  <c r="K254" i="17"/>
  <c r="L254" i="17" s="1"/>
  <c r="J300" i="35" l="1"/>
  <c r="H299" i="35"/>
  <c r="G299" i="35" s="1"/>
  <c r="E300" i="35"/>
  <c r="F300" i="35" s="1"/>
  <c r="G298" i="35"/>
  <c r="I300" i="35"/>
  <c r="B302" i="35"/>
  <c r="C301" i="35"/>
  <c r="D301" i="35"/>
  <c r="J265" i="56"/>
  <c r="K264" i="56"/>
  <c r="L264" i="56" s="1"/>
  <c r="K255" i="17"/>
  <c r="L255" i="17" s="1"/>
  <c r="J256" i="17"/>
  <c r="H300" i="35" l="1"/>
  <c r="G300" i="35" s="1"/>
  <c r="J301" i="35"/>
  <c r="E301" i="35"/>
  <c r="H301" i="35" s="1"/>
  <c r="I301" i="35"/>
  <c r="B303" i="35"/>
  <c r="C302" i="35"/>
  <c r="D302" i="35"/>
  <c r="J266" i="56"/>
  <c r="K265" i="56"/>
  <c r="L265" i="56" s="1"/>
  <c r="K256" i="17"/>
  <c r="L256" i="17" s="1"/>
  <c r="J257" i="17"/>
  <c r="J302" i="35" l="1"/>
  <c r="F301" i="35"/>
  <c r="E302" i="35"/>
  <c r="F302" i="35" s="1"/>
  <c r="I302" i="35"/>
  <c r="B304" i="35"/>
  <c r="C303" i="35"/>
  <c r="D303" i="35"/>
  <c r="G301" i="35"/>
  <c r="K266" i="56"/>
  <c r="L266" i="56" s="1"/>
  <c r="J267" i="56"/>
  <c r="J258" i="17"/>
  <c r="K257" i="17"/>
  <c r="L257" i="17" s="1"/>
  <c r="H302" i="35" l="1"/>
  <c r="G302" i="35" s="1"/>
  <c r="J303" i="35"/>
  <c r="E303" i="35"/>
  <c r="H303" i="35" s="1"/>
  <c r="B305" i="35"/>
  <c r="D304" i="35"/>
  <c r="C304" i="35"/>
  <c r="K267" i="56"/>
  <c r="L267" i="56" s="1"/>
  <c r="J268" i="56"/>
  <c r="J259" i="17"/>
  <c r="K258" i="17"/>
  <c r="L258" i="17" s="1"/>
  <c r="J304" i="35" l="1"/>
  <c r="F303" i="35"/>
  <c r="I303" i="35" s="1"/>
  <c r="E304" i="35"/>
  <c r="H304" i="35" s="1"/>
  <c r="I304" i="35"/>
  <c r="B306" i="35"/>
  <c r="C305" i="35"/>
  <c r="D305" i="35"/>
  <c r="G303" i="35"/>
  <c r="J269" i="56"/>
  <c r="K268" i="56"/>
  <c r="L268" i="56" s="1"/>
  <c r="K259" i="17"/>
  <c r="L259" i="17" s="1"/>
  <c r="J260" i="17"/>
  <c r="J305" i="35" l="1"/>
  <c r="F304" i="35"/>
  <c r="G304" i="35" s="1"/>
  <c r="E305" i="35"/>
  <c r="F305" i="35" s="1"/>
  <c r="I305" i="35"/>
  <c r="B307" i="35"/>
  <c r="C306" i="35"/>
  <c r="D306" i="35"/>
  <c r="J270" i="56"/>
  <c r="K269" i="56"/>
  <c r="L269" i="56" s="1"/>
  <c r="K260" i="17"/>
  <c r="L260" i="17" s="1"/>
  <c r="J261" i="17"/>
  <c r="J306" i="35" l="1"/>
  <c r="H305" i="35"/>
  <c r="G305" i="35" s="1"/>
  <c r="E306" i="35"/>
  <c r="F306" i="35" s="1"/>
  <c r="I306" i="35"/>
  <c r="B308" i="35"/>
  <c r="C307" i="35"/>
  <c r="D307" i="35"/>
  <c r="K270" i="56"/>
  <c r="L270" i="56" s="1"/>
  <c r="J271" i="56"/>
  <c r="J262" i="17"/>
  <c r="K261" i="17"/>
  <c r="L261" i="17" s="1"/>
  <c r="H306" i="35" l="1"/>
  <c r="G306" i="35" s="1"/>
  <c r="J307" i="35"/>
  <c r="E307" i="35"/>
  <c r="F307" i="35" s="1"/>
  <c r="I307" i="35"/>
  <c r="B309" i="35"/>
  <c r="C308" i="35"/>
  <c r="D308" i="35"/>
  <c r="K271" i="56"/>
  <c r="L271" i="56" s="1"/>
  <c r="J272" i="56"/>
  <c r="J263" i="17"/>
  <c r="K262" i="17"/>
  <c r="L262" i="17" s="1"/>
  <c r="J308" i="35" l="1"/>
  <c r="H307" i="35"/>
  <c r="G307" i="35" s="1"/>
  <c r="E308" i="35"/>
  <c r="B310" i="35"/>
  <c r="C309" i="35"/>
  <c r="D309" i="35"/>
  <c r="J273" i="56"/>
  <c r="K272" i="56"/>
  <c r="L272" i="56" s="1"/>
  <c r="K263" i="17"/>
  <c r="L263" i="17" s="1"/>
  <c r="J264" i="17"/>
  <c r="J309" i="35" l="1"/>
  <c r="E309" i="35"/>
  <c r="I309" i="35"/>
  <c r="B311" i="35"/>
  <c r="C310" i="35"/>
  <c r="D310" i="35"/>
  <c r="I310" i="35" s="1"/>
  <c r="F308" i="35"/>
  <c r="I308" i="35" s="1"/>
  <c r="H308" i="35"/>
  <c r="J274" i="56"/>
  <c r="K273" i="56"/>
  <c r="L273" i="56" s="1"/>
  <c r="K264" i="17"/>
  <c r="L264" i="17" s="1"/>
  <c r="J265" i="17"/>
  <c r="G308" i="35" l="1"/>
  <c r="J310" i="35"/>
  <c r="E310" i="35"/>
  <c r="B312" i="35"/>
  <c r="C311" i="35"/>
  <c r="D311" i="35"/>
  <c r="F309" i="35"/>
  <c r="H309" i="35"/>
  <c r="K274" i="56"/>
  <c r="L274" i="56" s="1"/>
  <c r="J275" i="56"/>
  <c r="J266" i="17"/>
  <c r="K265" i="17"/>
  <c r="L265" i="17" s="1"/>
  <c r="J311" i="35" l="1"/>
  <c r="E311" i="35"/>
  <c r="G309" i="35"/>
  <c r="I311" i="35"/>
  <c r="B313" i="35"/>
  <c r="C312" i="35"/>
  <c r="D312" i="35"/>
  <c r="F310" i="35"/>
  <c r="H310" i="35"/>
  <c r="K275" i="56"/>
  <c r="L275" i="56" s="1"/>
  <c r="J276" i="56"/>
  <c r="J267" i="17"/>
  <c r="K266" i="17"/>
  <c r="L266" i="17" s="1"/>
  <c r="G310" i="35" l="1"/>
  <c r="J312" i="35"/>
  <c r="E312" i="35"/>
  <c r="H312" i="35" s="1"/>
  <c r="I312" i="35"/>
  <c r="B314" i="35"/>
  <c r="D313" i="35"/>
  <c r="C313" i="35"/>
  <c r="F311" i="35"/>
  <c r="H311" i="35"/>
  <c r="K276" i="56"/>
  <c r="L276" i="56" s="1"/>
  <c r="J277" i="56"/>
  <c r="K267" i="17"/>
  <c r="L267" i="17" s="1"/>
  <c r="J268" i="17"/>
  <c r="J313" i="35" l="1"/>
  <c r="F312" i="35"/>
  <c r="G312" i="35" s="1"/>
  <c r="G311" i="35"/>
  <c r="E313" i="35"/>
  <c r="F313" i="35" s="1"/>
  <c r="I313" i="35" s="1"/>
  <c r="B315" i="35"/>
  <c r="D314" i="35"/>
  <c r="I314" i="35" s="1"/>
  <c r="C314" i="35"/>
  <c r="J278" i="56"/>
  <c r="K277" i="56"/>
  <c r="L277" i="56" s="1"/>
  <c r="K268" i="17"/>
  <c r="L268" i="17" s="1"/>
  <c r="J269" i="17"/>
  <c r="H313" i="35" l="1"/>
  <c r="G313" i="35" s="1"/>
  <c r="J314" i="35"/>
  <c r="E314" i="35"/>
  <c r="B316" i="35"/>
  <c r="C315" i="35"/>
  <c r="D315" i="35"/>
  <c r="J279" i="56"/>
  <c r="K278" i="56"/>
  <c r="L278" i="56" s="1"/>
  <c r="J270" i="17"/>
  <c r="K269" i="17"/>
  <c r="L269" i="17" s="1"/>
  <c r="J315" i="35" l="1"/>
  <c r="E315" i="35"/>
  <c r="H315" i="35" s="1"/>
  <c r="I315" i="35"/>
  <c r="B317" i="35"/>
  <c r="C316" i="35"/>
  <c r="D316" i="35"/>
  <c r="H314" i="35"/>
  <c r="F314" i="35"/>
  <c r="K279" i="56"/>
  <c r="L279" i="56" s="1"/>
  <c r="J280" i="56"/>
  <c r="J271" i="17"/>
  <c r="K270" i="17"/>
  <c r="L270" i="17" s="1"/>
  <c r="J316" i="35" l="1"/>
  <c r="F315" i="35"/>
  <c r="G315" i="35" s="1"/>
  <c r="E316" i="35"/>
  <c r="F316" i="35" s="1"/>
  <c r="G314" i="35"/>
  <c r="I316" i="35"/>
  <c r="B318" i="35"/>
  <c r="C317" i="35"/>
  <c r="D317" i="35"/>
  <c r="I317" i="35" s="1"/>
  <c r="J281" i="56"/>
  <c r="K280" i="56"/>
  <c r="L280" i="56" s="1"/>
  <c r="K271" i="17"/>
  <c r="L271" i="17" s="1"/>
  <c r="J272" i="17"/>
  <c r="J317" i="35" l="1"/>
  <c r="H316" i="35"/>
  <c r="G316" i="35" s="1"/>
  <c r="E317" i="35"/>
  <c r="B319" i="35"/>
  <c r="C318" i="35"/>
  <c r="D318" i="35"/>
  <c r="J282" i="56"/>
  <c r="K281" i="56"/>
  <c r="L281" i="56" s="1"/>
  <c r="K272" i="17"/>
  <c r="L272" i="17" s="1"/>
  <c r="J273" i="17"/>
  <c r="E318" i="35" l="1"/>
  <c r="F318" i="35" s="1"/>
  <c r="I318" i="35" s="1"/>
  <c r="J318" i="35"/>
  <c r="B320" i="35"/>
  <c r="C319" i="35"/>
  <c r="D319" i="35"/>
  <c r="F317" i="35"/>
  <c r="H317" i="35"/>
  <c r="J283" i="56"/>
  <c r="K282" i="56"/>
  <c r="L282" i="56" s="1"/>
  <c r="J274" i="17"/>
  <c r="K273" i="17"/>
  <c r="L273" i="17" s="1"/>
  <c r="H318" i="35" l="1"/>
  <c r="G318" i="35" s="1"/>
  <c r="J319" i="35"/>
  <c r="E319" i="35"/>
  <c r="F319" i="35" s="1"/>
  <c r="I319" i="35"/>
  <c r="G317" i="35"/>
  <c r="B321" i="35"/>
  <c r="C320" i="35"/>
  <c r="D320" i="35"/>
  <c r="K283" i="56"/>
  <c r="L283" i="56" s="1"/>
  <c r="J284" i="56"/>
  <c r="J275" i="17"/>
  <c r="K274" i="17"/>
  <c r="L274" i="17" s="1"/>
  <c r="J320" i="35" l="1"/>
  <c r="H319" i="35"/>
  <c r="G319" i="35" s="1"/>
  <c r="E320" i="35"/>
  <c r="F320" i="35" s="1"/>
  <c r="I320" i="35"/>
  <c r="B322" i="35"/>
  <c r="C321" i="35"/>
  <c r="D321" i="35"/>
  <c r="I321" i="35" s="1"/>
  <c r="J285" i="56"/>
  <c r="K284" i="56"/>
  <c r="L284" i="56" s="1"/>
  <c r="K275" i="17"/>
  <c r="L275" i="17" s="1"/>
  <c r="J276" i="17"/>
  <c r="J321" i="35" l="1"/>
  <c r="H320" i="35"/>
  <c r="G320" i="35" s="1"/>
  <c r="E321" i="35"/>
  <c r="B323" i="35"/>
  <c r="C322" i="35"/>
  <c r="D322" i="35"/>
  <c r="J286" i="56"/>
  <c r="K285" i="56"/>
  <c r="L285" i="56" s="1"/>
  <c r="K276" i="17"/>
  <c r="L276" i="17" s="1"/>
  <c r="J277" i="17"/>
  <c r="J278" i="17" s="1"/>
  <c r="J279" i="17" s="1"/>
  <c r="J280" i="17" s="1"/>
  <c r="J281" i="17" s="1"/>
  <c r="J282" i="17" s="1"/>
  <c r="J283" i="17" s="1"/>
  <c r="J284" i="17" s="1"/>
  <c r="J285" i="17" s="1"/>
  <c r="J286" i="17" s="1"/>
  <c r="J287" i="17" s="1"/>
  <c r="J288" i="17" s="1"/>
  <c r="J289" i="17" s="1"/>
  <c r="J290" i="17" s="1"/>
  <c r="J291" i="17" s="1"/>
  <c r="J292" i="17" s="1"/>
  <c r="J293" i="17" s="1"/>
  <c r="J294" i="17" s="1"/>
  <c r="J295" i="17" s="1"/>
  <c r="J296" i="17" s="1"/>
  <c r="J297" i="17" s="1"/>
  <c r="J298" i="17" s="1"/>
  <c r="J299" i="17" s="1"/>
  <c r="J300" i="17" s="1"/>
  <c r="J301" i="17" s="1"/>
  <c r="J302" i="17" s="1"/>
  <c r="J303" i="17" s="1"/>
  <c r="J304" i="17" s="1"/>
  <c r="J305" i="17" s="1"/>
  <c r="J306" i="17" s="1"/>
  <c r="J307" i="17" s="1"/>
  <c r="J308" i="17" s="1"/>
  <c r="J309" i="17" s="1"/>
  <c r="J310" i="17" s="1"/>
  <c r="J311" i="17" s="1"/>
  <c r="J312" i="17" s="1"/>
  <c r="J313" i="17" s="1"/>
  <c r="J314" i="17" s="1"/>
  <c r="J315" i="17" s="1"/>
  <c r="J316" i="17" s="1"/>
  <c r="J317" i="17" s="1"/>
  <c r="J318" i="17" s="1"/>
  <c r="J319" i="17" s="1"/>
  <c r="J320" i="17" s="1"/>
  <c r="J321" i="17" s="1"/>
  <c r="J322" i="17" s="1"/>
  <c r="J323" i="17" s="1"/>
  <c r="J324" i="17" s="1"/>
  <c r="J325" i="17" s="1"/>
  <c r="J326" i="17" s="1"/>
  <c r="J327" i="17" s="1"/>
  <c r="J328" i="17" s="1"/>
  <c r="J329" i="17" s="1"/>
  <c r="J330" i="17" s="1"/>
  <c r="J331" i="17" s="1"/>
  <c r="J332" i="17" s="1"/>
  <c r="J333" i="17" s="1"/>
  <c r="J334" i="17" s="1"/>
  <c r="J335" i="17" s="1"/>
  <c r="J336" i="17" s="1"/>
  <c r="J337" i="17" s="1"/>
  <c r="J338" i="17" s="1"/>
  <c r="J339" i="17" s="1"/>
  <c r="J340" i="17" s="1"/>
  <c r="J341" i="17" s="1"/>
  <c r="J342" i="17" s="1"/>
  <c r="J343" i="17" s="1"/>
  <c r="J344" i="17" s="1"/>
  <c r="J345" i="17" s="1"/>
  <c r="J346" i="17" s="1"/>
  <c r="J347" i="17" s="1"/>
  <c r="J348" i="17" s="1"/>
  <c r="J349" i="17" s="1"/>
  <c r="J350" i="17" s="1"/>
  <c r="J351" i="17" s="1"/>
  <c r="J352" i="17" s="1"/>
  <c r="J353" i="17" s="1"/>
  <c r="J354" i="17" s="1"/>
  <c r="J355" i="17" s="1"/>
  <c r="J356" i="17" s="1"/>
  <c r="J357" i="17" s="1"/>
  <c r="J358" i="17" s="1"/>
  <c r="J359" i="17" s="1"/>
  <c r="J360" i="17" s="1"/>
  <c r="J361" i="17" s="1"/>
  <c r="J362" i="17" s="1"/>
  <c r="J363" i="17" s="1"/>
  <c r="J364" i="17" s="1"/>
  <c r="J365" i="17" s="1"/>
  <c r="J366" i="17" s="1"/>
  <c r="J367" i="17" s="1"/>
  <c r="J368" i="17" s="1"/>
  <c r="J369" i="17" s="1"/>
  <c r="J370" i="17" s="1"/>
  <c r="J371" i="17" s="1"/>
  <c r="J372" i="17" s="1"/>
  <c r="J373" i="17" s="1"/>
  <c r="J374" i="17" s="1"/>
  <c r="J375" i="17" s="1"/>
  <c r="J376" i="17" s="1"/>
  <c r="J377" i="17" s="1"/>
  <c r="J378" i="17" s="1"/>
  <c r="J379" i="17" s="1"/>
  <c r="J380" i="17" s="1"/>
  <c r="J381" i="17" s="1"/>
  <c r="J382" i="17" s="1"/>
  <c r="J383" i="17" s="1"/>
  <c r="J384" i="17" s="1"/>
  <c r="J385" i="17" s="1"/>
  <c r="J386" i="17" s="1"/>
  <c r="J387" i="17" s="1"/>
  <c r="J388" i="17" s="1"/>
  <c r="J389" i="17" s="1"/>
  <c r="J390" i="17" s="1"/>
  <c r="J391" i="17" s="1"/>
  <c r="J392" i="17" s="1"/>
  <c r="J393" i="17" s="1"/>
  <c r="J394" i="17" s="1"/>
  <c r="J395" i="17" s="1"/>
  <c r="J396" i="17" s="1"/>
  <c r="J397" i="17" s="1"/>
  <c r="J398" i="17" s="1"/>
  <c r="J399" i="17" s="1"/>
  <c r="J400" i="17" s="1"/>
  <c r="J401" i="17" s="1"/>
  <c r="J402" i="17" s="1"/>
  <c r="J403" i="17" s="1"/>
  <c r="J404" i="17" s="1"/>
  <c r="J405" i="17" s="1"/>
  <c r="J406" i="17" s="1"/>
  <c r="J407" i="17" s="1"/>
  <c r="J408" i="17" s="1"/>
  <c r="J409" i="17" s="1"/>
  <c r="J410" i="17" s="1"/>
  <c r="J411" i="17" s="1"/>
  <c r="J412" i="17" s="1"/>
  <c r="J413" i="17" s="1"/>
  <c r="J414" i="17" s="1"/>
  <c r="J415" i="17" s="1"/>
  <c r="J416" i="17" s="1"/>
  <c r="J417" i="17" s="1"/>
  <c r="J418" i="17" s="1"/>
  <c r="J419" i="17" s="1"/>
  <c r="J420" i="17" s="1"/>
  <c r="J421" i="17" s="1"/>
  <c r="J422" i="17" s="1"/>
  <c r="J423" i="17" s="1"/>
  <c r="J424" i="17" s="1"/>
  <c r="J425" i="17" s="1"/>
  <c r="J426" i="17" s="1"/>
  <c r="J427" i="17" s="1"/>
  <c r="J428" i="17" s="1"/>
  <c r="J429" i="17" s="1"/>
  <c r="J430" i="17" s="1"/>
  <c r="J431" i="17" s="1"/>
  <c r="J432" i="17" s="1"/>
  <c r="J433" i="17" s="1"/>
  <c r="J434" i="17" s="1"/>
  <c r="J435" i="17" s="1"/>
  <c r="J436" i="17" s="1"/>
  <c r="J437" i="17" s="1"/>
  <c r="J438" i="17" s="1"/>
  <c r="J439" i="17" s="1"/>
  <c r="J440" i="17" s="1"/>
  <c r="J441" i="17" s="1"/>
  <c r="J442" i="17" s="1"/>
  <c r="J443" i="17" s="1"/>
  <c r="J444" i="17" s="1"/>
  <c r="J445" i="17" s="1"/>
  <c r="J446" i="17" s="1"/>
  <c r="J447" i="17" s="1"/>
  <c r="J448" i="17" s="1"/>
  <c r="J449" i="17" s="1"/>
  <c r="J450" i="17" s="1"/>
  <c r="J451" i="17" s="1"/>
  <c r="J452" i="17" s="1"/>
  <c r="J453" i="17" s="1"/>
  <c r="J454" i="17" s="1"/>
  <c r="J455" i="17" s="1"/>
  <c r="J456" i="17" s="1"/>
  <c r="J457" i="17" s="1"/>
  <c r="J458" i="17" s="1"/>
  <c r="J459" i="17" s="1"/>
  <c r="J460" i="17" s="1"/>
  <c r="J461" i="17" s="1"/>
  <c r="J462" i="17" s="1"/>
  <c r="J463" i="17" s="1"/>
  <c r="J464" i="17" s="1"/>
  <c r="J465" i="17" s="1"/>
  <c r="J466" i="17" s="1"/>
  <c r="J467" i="17" s="1"/>
  <c r="J468" i="17" s="1"/>
  <c r="J469" i="17" s="1"/>
  <c r="J470" i="17" s="1"/>
  <c r="J471" i="17" s="1"/>
  <c r="J472" i="17" s="1"/>
  <c r="J473" i="17" s="1"/>
  <c r="J474" i="17" s="1"/>
  <c r="J475" i="17" s="1"/>
  <c r="J476" i="17" s="1"/>
  <c r="J477" i="17" s="1"/>
  <c r="J478" i="17" s="1"/>
  <c r="J479" i="17" s="1"/>
  <c r="J480" i="17" s="1"/>
  <c r="J481" i="17" s="1"/>
  <c r="J482" i="17" s="1"/>
  <c r="J483" i="17" s="1"/>
  <c r="J484" i="17" s="1"/>
  <c r="J485" i="17" s="1"/>
  <c r="J486" i="17" s="1"/>
  <c r="J487" i="17" s="1"/>
  <c r="J488" i="17" s="1"/>
  <c r="J489" i="17" s="1"/>
  <c r="J490" i="17" s="1"/>
  <c r="J491" i="17" s="1"/>
  <c r="J492" i="17" s="1"/>
  <c r="J493" i="17" s="1"/>
  <c r="J494" i="17" s="1"/>
  <c r="J495" i="17" s="1"/>
  <c r="J496" i="17" s="1"/>
  <c r="J497" i="17" s="1"/>
  <c r="J498" i="17" s="1"/>
  <c r="J499" i="17" s="1"/>
  <c r="J500" i="17" s="1"/>
  <c r="J501" i="17" s="1"/>
  <c r="J502" i="17" s="1"/>
  <c r="J503" i="17" s="1"/>
  <c r="J504" i="17" s="1"/>
  <c r="J505" i="17" s="1"/>
  <c r="J506" i="17" s="1"/>
  <c r="J507" i="17" s="1"/>
  <c r="J508" i="17" s="1"/>
  <c r="J509" i="17" s="1"/>
  <c r="J510" i="17" s="1"/>
  <c r="J511" i="17" s="1"/>
  <c r="J512" i="17" s="1"/>
  <c r="J513" i="17" s="1"/>
  <c r="J514" i="17" s="1"/>
  <c r="J515" i="17" s="1"/>
  <c r="J516" i="17" s="1"/>
  <c r="J517" i="17" s="1"/>
  <c r="J518" i="17" s="1"/>
  <c r="J519" i="17" s="1"/>
  <c r="J520" i="17" s="1"/>
  <c r="J521" i="17" s="1"/>
  <c r="J522" i="17" s="1"/>
  <c r="J523" i="17" s="1"/>
  <c r="J524" i="17" s="1"/>
  <c r="J525" i="17" s="1"/>
  <c r="J526" i="17" s="1"/>
  <c r="J527" i="17" s="1"/>
  <c r="J528" i="17" s="1"/>
  <c r="J529" i="17" s="1"/>
  <c r="J322" i="35" l="1"/>
  <c r="E322" i="35"/>
  <c r="H322" i="35" s="1"/>
  <c r="I322" i="35"/>
  <c r="B324" i="35"/>
  <c r="C323" i="35"/>
  <c r="D323" i="35"/>
  <c r="F321" i="35"/>
  <c r="H321" i="35"/>
  <c r="K286" i="56"/>
  <c r="L286" i="56" s="1"/>
  <c r="J287" i="56"/>
  <c r="K277" i="17"/>
  <c r="L277" i="17" s="1"/>
  <c r="J323" i="35" l="1"/>
  <c r="G321" i="35"/>
  <c r="F322" i="35"/>
  <c r="G322" i="35" s="1"/>
  <c r="E323" i="35"/>
  <c r="F323" i="35" s="1"/>
  <c r="I323" i="35" s="1"/>
  <c r="B325" i="35"/>
  <c r="C324" i="35"/>
  <c r="D324" i="35"/>
  <c r="K287" i="56"/>
  <c r="L287" i="56" s="1"/>
  <c r="J288" i="56"/>
  <c r="K278" i="17"/>
  <c r="L278" i="17" s="1"/>
  <c r="J324" i="35" l="1"/>
  <c r="H323" i="35"/>
  <c r="G323" i="35" s="1"/>
  <c r="E324" i="35"/>
  <c r="F324" i="35" s="1"/>
  <c r="I324" i="35"/>
  <c r="B326" i="35"/>
  <c r="C325" i="35"/>
  <c r="D325" i="35"/>
  <c r="I325" i="35" s="1"/>
  <c r="K288" i="56"/>
  <c r="L288" i="56" s="1"/>
  <c r="J289" i="56"/>
  <c r="K279" i="17"/>
  <c r="L279" i="17" s="1"/>
  <c r="J325" i="35" l="1"/>
  <c r="H324" i="35"/>
  <c r="G324" i="35" s="1"/>
  <c r="E325" i="35"/>
  <c r="B327" i="35"/>
  <c r="C326" i="35"/>
  <c r="D326" i="35"/>
  <c r="J290" i="56"/>
  <c r="K289" i="56"/>
  <c r="L289" i="56" s="1"/>
  <c r="K280" i="17"/>
  <c r="L280" i="17" s="1"/>
  <c r="J326" i="35" l="1"/>
  <c r="E326" i="35"/>
  <c r="B328" i="35"/>
  <c r="C327" i="35"/>
  <c r="D327" i="35"/>
  <c r="I327" i="35" s="1"/>
  <c r="F325" i="35"/>
  <c r="H325" i="35"/>
  <c r="K290" i="56"/>
  <c r="L290" i="56" s="1"/>
  <c r="J291" i="56"/>
  <c r="K281" i="17"/>
  <c r="L281" i="17" s="1"/>
  <c r="G325" i="35" l="1"/>
  <c r="E327" i="35"/>
  <c r="B329" i="35"/>
  <c r="C328" i="35"/>
  <c r="D328" i="35"/>
  <c r="F326" i="35"/>
  <c r="I326" i="35" s="1"/>
  <c r="H326" i="35"/>
  <c r="K291" i="56"/>
  <c r="L291" i="56" s="1"/>
  <c r="J292" i="56"/>
  <c r="K282" i="17"/>
  <c r="L282" i="17" s="1"/>
  <c r="G326" i="35" l="1"/>
  <c r="J328" i="35"/>
  <c r="E328" i="35"/>
  <c r="H328" i="35" s="1"/>
  <c r="I328" i="35"/>
  <c r="B330" i="35"/>
  <c r="D329" i="35"/>
  <c r="I329" i="35" s="1"/>
  <c r="C329" i="35"/>
  <c r="H327" i="35"/>
  <c r="F327" i="35"/>
  <c r="J293" i="56"/>
  <c r="K292" i="56"/>
  <c r="L292" i="56" s="1"/>
  <c r="K283" i="17"/>
  <c r="L283" i="17" s="1"/>
  <c r="F328" i="35" l="1"/>
  <c r="J329" i="35"/>
  <c r="G327" i="35"/>
  <c r="J327" i="35" s="1"/>
  <c r="E329" i="35"/>
  <c r="B331" i="35"/>
  <c r="C330" i="35"/>
  <c r="D330" i="35"/>
  <c r="I330" i="35" s="1"/>
  <c r="G328" i="35"/>
  <c r="J294" i="56"/>
  <c r="K293" i="56"/>
  <c r="L293" i="56" s="1"/>
  <c r="K284" i="17"/>
  <c r="L284" i="17" s="1"/>
  <c r="J330" i="35" l="1"/>
  <c r="E330" i="35"/>
  <c r="B332" i="35"/>
  <c r="C331" i="35"/>
  <c r="D331" i="35"/>
  <c r="F329" i="35"/>
  <c r="H329" i="35"/>
  <c r="J295" i="56"/>
  <c r="K294" i="56"/>
  <c r="L294" i="56" s="1"/>
  <c r="K285" i="17"/>
  <c r="L285" i="17" s="1"/>
  <c r="J331" i="35" l="1"/>
  <c r="G329" i="35"/>
  <c r="E331" i="35"/>
  <c r="I331" i="35"/>
  <c r="B333" i="35"/>
  <c r="D332" i="35"/>
  <c r="I332" i="35" s="1"/>
  <c r="C332" i="35"/>
  <c r="F330" i="35"/>
  <c r="H330" i="35"/>
  <c r="K295" i="56"/>
  <c r="L295" i="56" s="1"/>
  <c r="J296" i="56"/>
  <c r="K286" i="17"/>
  <c r="L286" i="17" s="1"/>
  <c r="J332" i="35" l="1"/>
  <c r="G330" i="35"/>
  <c r="E332" i="35"/>
  <c r="B334" i="35"/>
  <c r="C333" i="35"/>
  <c r="D333" i="35"/>
  <c r="H331" i="35"/>
  <c r="F331" i="35"/>
  <c r="J297" i="56"/>
  <c r="K296" i="56"/>
  <c r="L296" i="56" s="1"/>
  <c r="K287" i="17"/>
  <c r="L287" i="17" s="1"/>
  <c r="J333" i="35" l="1"/>
  <c r="E333" i="35"/>
  <c r="H333" i="35" s="1"/>
  <c r="G331" i="35"/>
  <c r="I333" i="35"/>
  <c r="B335" i="35"/>
  <c r="C334" i="35"/>
  <c r="D334" i="35"/>
  <c r="I334" i="35" s="1"/>
  <c r="H332" i="35"/>
  <c r="F332" i="35"/>
  <c r="J298" i="56"/>
  <c r="K297" i="56"/>
  <c r="L297" i="56" s="1"/>
  <c r="K288" i="17"/>
  <c r="L288" i="17" s="1"/>
  <c r="J334" i="35" l="1"/>
  <c r="F333" i="35"/>
  <c r="G332" i="35"/>
  <c r="E334" i="35"/>
  <c r="B336" i="35"/>
  <c r="C335" i="35"/>
  <c r="D335" i="35"/>
  <c r="I335" i="35" s="1"/>
  <c r="G333" i="35"/>
  <c r="J299" i="56"/>
  <c r="K298" i="56"/>
  <c r="L298" i="56" s="1"/>
  <c r="K289" i="17"/>
  <c r="L289" i="17" s="1"/>
  <c r="J335" i="35" l="1"/>
  <c r="E335" i="35"/>
  <c r="B337" i="35"/>
  <c r="C336" i="35"/>
  <c r="D336" i="35"/>
  <c r="F334" i="35"/>
  <c r="H334" i="35"/>
  <c r="K299" i="56"/>
  <c r="L299" i="56" s="1"/>
  <c r="J300" i="56"/>
  <c r="K290" i="17"/>
  <c r="L290" i="17" s="1"/>
  <c r="J336" i="35" l="1"/>
  <c r="E336" i="35"/>
  <c r="F336" i="35" s="1"/>
  <c r="G334" i="35"/>
  <c r="I336" i="35"/>
  <c r="B338" i="35"/>
  <c r="D337" i="35"/>
  <c r="C337" i="35"/>
  <c r="J337" i="35" s="1"/>
  <c r="F335" i="35"/>
  <c r="H335" i="35"/>
  <c r="J301" i="56"/>
  <c r="K300" i="56"/>
  <c r="L300" i="56" s="1"/>
  <c r="K291" i="17"/>
  <c r="L291" i="17" s="1"/>
  <c r="H336" i="35" l="1"/>
  <c r="G336" i="35" s="1"/>
  <c r="E337" i="35"/>
  <c r="H337" i="35" s="1"/>
  <c r="G335" i="35"/>
  <c r="I337" i="35"/>
  <c r="B339" i="35"/>
  <c r="C338" i="35"/>
  <c r="D338" i="35"/>
  <c r="J302" i="56"/>
  <c r="K301" i="56"/>
  <c r="L301" i="56" s="1"/>
  <c r="K292" i="17"/>
  <c r="L292" i="17" s="1"/>
  <c r="J338" i="35" l="1"/>
  <c r="F337" i="35"/>
  <c r="G337" i="35" s="1"/>
  <c r="E338" i="35"/>
  <c r="F338" i="35" s="1"/>
  <c r="I338" i="35"/>
  <c r="B340" i="35"/>
  <c r="C339" i="35"/>
  <c r="D339" i="35"/>
  <c r="K302" i="56"/>
  <c r="L302" i="56" s="1"/>
  <c r="J303" i="56"/>
  <c r="K293" i="17"/>
  <c r="L293" i="17" s="1"/>
  <c r="J339" i="35" l="1"/>
  <c r="H338" i="35"/>
  <c r="G338" i="35" s="1"/>
  <c r="E339" i="35"/>
  <c r="I339" i="35"/>
  <c r="B341" i="35"/>
  <c r="C340" i="35"/>
  <c r="D340" i="35"/>
  <c r="K303" i="56"/>
  <c r="L303" i="56" s="1"/>
  <c r="J304" i="56"/>
  <c r="K294" i="17"/>
  <c r="L294" i="17" s="1"/>
  <c r="J340" i="35" l="1"/>
  <c r="E340" i="35"/>
  <c r="H340" i="35" s="1"/>
  <c r="I340" i="35"/>
  <c r="B342" i="35"/>
  <c r="C341" i="35"/>
  <c r="D341" i="35"/>
  <c r="F339" i="35"/>
  <c r="H339" i="35"/>
  <c r="K304" i="56"/>
  <c r="L304" i="56" s="1"/>
  <c r="J305" i="56"/>
  <c r="K295" i="17"/>
  <c r="L295" i="17" s="1"/>
  <c r="F340" i="35" l="1"/>
  <c r="J341" i="35"/>
  <c r="G339" i="35"/>
  <c r="E341" i="35"/>
  <c r="B343" i="35"/>
  <c r="C342" i="35"/>
  <c r="D342" i="35"/>
  <c r="I342" i="35" s="1"/>
  <c r="G340" i="35"/>
  <c r="J306" i="56"/>
  <c r="K305" i="56"/>
  <c r="L305" i="56" s="1"/>
  <c r="K296" i="17"/>
  <c r="L296" i="17" s="1"/>
  <c r="J342" i="35" l="1"/>
  <c r="E342" i="35"/>
  <c r="B344" i="35"/>
  <c r="C343" i="35"/>
  <c r="D343" i="35"/>
  <c r="I343" i="35" s="1"/>
  <c r="F341" i="35"/>
  <c r="I341" i="35" s="1"/>
  <c r="H341" i="35"/>
  <c r="K306" i="56"/>
  <c r="L306" i="56" s="1"/>
  <c r="J307" i="56"/>
  <c r="K297" i="17"/>
  <c r="L297" i="17" s="1"/>
  <c r="G341" i="35" l="1"/>
  <c r="E343" i="35"/>
  <c r="B345" i="35"/>
  <c r="D344" i="35"/>
  <c r="C344" i="35"/>
  <c r="F342" i="35"/>
  <c r="H342" i="35"/>
  <c r="K307" i="56"/>
  <c r="L307" i="56" s="1"/>
  <c r="J308" i="56"/>
  <c r="K298" i="17"/>
  <c r="L298" i="17" s="1"/>
  <c r="J344" i="35" l="1"/>
  <c r="G342" i="35"/>
  <c r="B346" i="35"/>
  <c r="D345" i="35"/>
  <c r="I345" i="35" s="1"/>
  <c r="C345" i="35"/>
  <c r="E344" i="35"/>
  <c r="F343" i="35"/>
  <c r="H343" i="35"/>
  <c r="K308" i="56"/>
  <c r="L308" i="56" s="1"/>
  <c r="J309" i="56"/>
  <c r="K299" i="17"/>
  <c r="L299" i="17" s="1"/>
  <c r="G343" i="35" l="1"/>
  <c r="J343" i="35" s="1"/>
  <c r="F344" i="35"/>
  <c r="I344" i="35" s="1"/>
  <c r="H344" i="35"/>
  <c r="E345" i="35"/>
  <c r="B347" i="35"/>
  <c r="C346" i="35"/>
  <c r="D346" i="35"/>
  <c r="J310" i="56"/>
  <c r="K309" i="56"/>
  <c r="L309" i="56" s="1"/>
  <c r="K300" i="17"/>
  <c r="L300" i="17" s="1"/>
  <c r="G344" i="35" l="1"/>
  <c r="E346" i="35"/>
  <c r="F346" i="35" s="1"/>
  <c r="I346" i="35"/>
  <c r="H345" i="35"/>
  <c r="F345" i="35"/>
  <c r="B348" i="35"/>
  <c r="C347" i="35"/>
  <c r="D347" i="35"/>
  <c r="J311" i="56"/>
  <c r="K310" i="56"/>
  <c r="L310" i="56" s="1"/>
  <c r="K301" i="17"/>
  <c r="L301" i="17" s="1"/>
  <c r="J347" i="35" l="1"/>
  <c r="H346" i="35"/>
  <c r="G346" i="35" s="1"/>
  <c r="J346" i="35" s="1"/>
  <c r="E347" i="35"/>
  <c r="F347" i="35" s="1"/>
  <c r="I347" i="35" s="1"/>
  <c r="B349" i="35"/>
  <c r="D348" i="35"/>
  <c r="I348" i="35" s="1"/>
  <c r="C348" i="35"/>
  <c r="G345" i="35"/>
  <c r="J345" i="35" s="1"/>
  <c r="K311" i="56"/>
  <c r="L311" i="56" s="1"/>
  <c r="J312" i="56"/>
  <c r="K302" i="17"/>
  <c r="L302" i="17" s="1"/>
  <c r="H347" i="35" l="1"/>
  <c r="G347" i="35" s="1"/>
  <c r="E348" i="35"/>
  <c r="B350" i="35"/>
  <c r="D349" i="35"/>
  <c r="C349" i="35"/>
  <c r="J313" i="56"/>
  <c r="K312" i="56"/>
  <c r="L312" i="56" s="1"/>
  <c r="K303" i="17"/>
  <c r="L303" i="17" s="1"/>
  <c r="J349" i="35" l="1"/>
  <c r="E349" i="35"/>
  <c r="F349" i="35" s="1"/>
  <c r="I349" i="35" s="1"/>
  <c r="B351" i="35"/>
  <c r="C350" i="35"/>
  <c r="D350" i="35"/>
  <c r="F348" i="35"/>
  <c r="H348" i="35"/>
  <c r="J314" i="56"/>
  <c r="K313" i="56"/>
  <c r="L313" i="56" s="1"/>
  <c r="K304" i="17"/>
  <c r="L304" i="17" s="1"/>
  <c r="G348" i="35" l="1"/>
  <c r="J348" i="35" s="1"/>
  <c r="H349" i="35"/>
  <c r="G349" i="35" s="1"/>
  <c r="E350" i="35"/>
  <c r="H350" i="35" s="1"/>
  <c r="I350" i="35"/>
  <c r="B352" i="35"/>
  <c r="C351" i="35"/>
  <c r="D351" i="35"/>
  <c r="J315" i="56"/>
  <c r="K314" i="56"/>
  <c r="L314" i="56" s="1"/>
  <c r="K305" i="17"/>
  <c r="L305" i="17" s="1"/>
  <c r="J351" i="35" l="1"/>
  <c r="E351" i="35"/>
  <c r="F351" i="35" s="1"/>
  <c r="I351" i="35" s="1"/>
  <c r="F350" i="35"/>
  <c r="G350" i="35" s="1"/>
  <c r="J350" i="35" s="1"/>
  <c r="B353" i="35"/>
  <c r="C352" i="35"/>
  <c r="D352" i="35"/>
  <c r="K315" i="56"/>
  <c r="L315" i="56" s="1"/>
  <c r="J316" i="56"/>
  <c r="K306" i="17"/>
  <c r="L306" i="17" s="1"/>
  <c r="H351" i="35" l="1"/>
  <c r="G351" i="35" s="1"/>
  <c r="E352" i="35"/>
  <c r="F352" i="35" s="1"/>
  <c r="B354" i="35"/>
  <c r="C353" i="35"/>
  <c r="D353" i="35"/>
  <c r="I352" i="35"/>
  <c r="J317" i="56"/>
  <c r="K316" i="56"/>
  <c r="L316" i="56" s="1"/>
  <c r="K307" i="17"/>
  <c r="L307" i="17" s="1"/>
  <c r="H352" i="35" l="1"/>
  <c r="G352" i="35" s="1"/>
  <c r="J352" i="35" s="1"/>
  <c r="J353" i="35"/>
  <c r="E353" i="35"/>
  <c r="F353" i="35" s="1"/>
  <c r="I353" i="35" s="1"/>
  <c r="B355" i="35"/>
  <c r="C354" i="35"/>
  <c r="D354" i="35"/>
  <c r="J318" i="56"/>
  <c r="K317" i="56"/>
  <c r="L317" i="56" s="1"/>
  <c r="K308" i="17"/>
  <c r="L308" i="17" s="1"/>
  <c r="H353" i="35" l="1"/>
  <c r="G353" i="35" s="1"/>
  <c r="E354" i="35"/>
  <c r="H354" i="35" s="1"/>
  <c r="I354" i="35"/>
  <c r="B356" i="35"/>
  <c r="C355" i="35"/>
  <c r="D355" i="35"/>
  <c r="K318" i="56"/>
  <c r="L318" i="56" s="1"/>
  <c r="J319" i="56"/>
  <c r="K309" i="17"/>
  <c r="L309" i="17" s="1"/>
  <c r="F354" i="35" l="1"/>
  <c r="G354" i="35" s="1"/>
  <c r="J354" i="35" s="1"/>
  <c r="J355" i="35"/>
  <c r="E355" i="35"/>
  <c r="F355" i="35" s="1"/>
  <c r="I355" i="35" s="1"/>
  <c r="B357" i="35"/>
  <c r="C356" i="35"/>
  <c r="D356" i="35"/>
  <c r="I356" i="35" s="1"/>
  <c r="K319" i="56"/>
  <c r="L319" i="56" s="1"/>
  <c r="J320" i="56"/>
  <c r="K310" i="17"/>
  <c r="L310" i="17" s="1"/>
  <c r="H355" i="35" l="1"/>
  <c r="G355" i="35" s="1"/>
  <c r="B358" i="35"/>
  <c r="D357" i="35"/>
  <c r="C357" i="35"/>
  <c r="E356" i="35"/>
  <c r="K320" i="56"/>
  <c r="L320" i="56" s="1"/>
  <c r="J321" i="56"/>
  <c r="K311" i="17"/>
  <c r="L311" i="17" s="1"/>
  <c r="J357" i="35" l="1"/>
  <c r="F356" i="35"/>
  <c r="H356" i="35"/>
  <c r="E357" i="35"/>
  <c r="B359" i="35"/>
  <c r="C358" i="35"/>
  <c r="D358" i="35"/>
  <c r="I358" i="35" s="1"/>
  <c r="J322" i="56"/>
  <c r="K321" i="56"/>
  <c r="L321" i="56" s="1"/>
  <c r="K312" i="17"/>
  <c r="L312" i="17" s="1"/>
  <c r="G356" i="35" l="1"/>
  <c r="J356" i="35" s="1"/>
  <c r="E358" i="35"/>
  <c r="B360" i="35"/>
  <c r="D359" i="35"/>
  <c r="C359" i="35"/>
  <c r="F357" i="35"/>
  <c r="I357" i="35" s="1"/>
  <c r="H357" i="35"/>
  <c r="K322" i="56"/>
  <c r="L322" i="56" s="1"/>
  <c r="J323" i="56"/>
  <c r="K313" i="17"/>
  <c r="L313" i="17" s="1"/>
  <c r="J359" i="35" l="1"/>
  <c r="G357" i="35"/>
  <c r="E359" i="35"/>
  <c r="B361" i="35"/>
  <c r="C360" i="35"/>
  <c r="D360" i="35"/>
  <c r="I360" i="35" s="1"/>
  <c r="H358" i="35"/>
  <c r="F358" i="35"/>
  <c r="G358" i="35" s="1"/>
  <c r="J358" i="35" s="1"/>
  <c r="K323" i="56"/>
  <c r="L323" i="56" s="1"/>
  <c r="J324" i="56"/>
  <c r="K314" i="17"/>
  <c r="L314" i="17" s="1"/>
  <c r="J360" i="35" l="1"/>
  <c r="B362" i="35"/>
  <c r="C361" i="35"/>
  <c r="D361" i="35"/>
  <c r="E360" i="35"/>
  <c r="F359" i="35"/>
  <c r="I359" i="35" s="1"/>
  <c r="H359" i="35"/>
  <c r="J325" i="56"/>
  <c r="K324" i="56"/>
  <c r="L324" i="56" s="1"/>
  <c r="K315" i="17"/>
  <c r="L315" i="17" s="1"/>
  <c r="J361" i="35" l="1"/>
  <c r="E361" i="35"/>
  <c r="H361" i="35" s="1"/>
  <c r="G359" i="35"/>
  <c r="F360" i="35"/>
  <c r="H360" i="35"/>
  <c r="B363" i="35"/>
  <c r="C362" i="35"/>
  <c r="D362" i="35"/>
  <c r="I362" i="35" s="1"/>
  <c r="J326" i="56"/>
  <c r="K325" i="56"/>
  <c r="L325" i="56" s="1"/>
  <c r="K316" i="17"/>
  <c r="L316" i="17" s="1"/>
  <c r="F361" i="35" l="1"/>
  <c r="I361" i="35" s="1"/>
  <c r="G360" i="35"/>
  <c r="E362" i="35"/>
  <c r="B364" i="35"/>
  <c r="D363" i="35"/>
  <c r="C363" i="35"/>
  <c r="G361" i="35"/>
  <c r="K326" i="56"/>
  <c r="L326" i="56" s="1"/>
  <c r="J327" i="56"/>
  <c r="K317" i="17"/>
  <c r="L317" i="17" s="1"/>
  <c r="J363" i="35" l="1"/>
  <c r="E363" i="35"/>
  <c r="F363" i="35" s="1"/>
  <c r="I363" i="35" s="1"/>
  <c r="B365" i="35"/>
  <c r="C364" i="35"/>
  <c r="D364" i="35"/>
  <c r="I364" i="35" s="1"/>
  <c r="H362" i="35"/>
  <c r="F362" i="35"/>
  <c r="K327" i="56"/>
  <c r="L327" i="56" s="1"/>
  <c r="J328" i="56"/>
  <c r="K318" i="17"/>
  <c r="L318" i="17" s="1"/>
  <c r="H363" i="35" l="1"/>
  <c r="G363" i="35" s="1"/>
  <c r="E364" i="35"/>
  <c r="H364" i="35" s="1"/>
  <c r="G362" i="35"/>
  <c r="J362" i="35" s="1"/>
  <c r="B366" i="35"/>
  <c r="D365" i="35"/>
  <c r="C365" i="35"/>
  <c r="K328" i="56"/>
  <c r="L328" i="56" s="1"/>
  <c r="J329" i="56"/>
  <c r="K319" i="17"/>
  <c r="L319" i="17" s="1"/>
  <c r="J365" i="35" l="1"/>
  <c r="F364" i="35"/>
  <c r="G364" i="35" s="1"/>
  <c r="J364" i="35" s="1"/>
  <c r="E365" i="35"/>
  <c r="F365" i="35" s="1"/>
  <c r="I365" i="35" s="1"/>
  <c r="B367" i="35"/>
  <c r="C366" i="35"/>
  <c r="D366" i="35"/>
  <c r="I366" i="35" s="1"/>
  <c r="J330" i="56"/>
  <c r="K329" i="56"/>
  <c r="L329" i="56" s="1"/>
  <c r="K320" i="17"/>
  <c r="L320" i="17" s="1"/>
  <c r="J366" i="35" l="1"/>
  <c r="H365" i="35"/>
  <c r="G365" i="35" s="1"/>
  <c r="B368" i="35"/>
  <c r="C367" i="35"/>
  <c r="D367" i="35"/>
  <c r="E366" i="35"/>
  <c r="J331" i="56"/>
  <c r="K330" i="56"/>
  <c r="L330" i="56" s="1"/>
  <c r="K321" i="17"/>
  <c r="L321" i="17" s="1"/>
  <c r="J367" i="35" l="1"/>
  <c r="E367" i="35"/>
  <c r="H367" i="35" s="1"/>
  <c r="F366" i="35"/>
  <c r="H366" i="35"/>
  <c r="B369" i="35"/>
  <c r="D368" i="35"/>
  <c r="I368" i="35" s="1"/>
  <c r="C368" i="35"/>
  <c r="K331" i="56"/>
  <c r="L331" i="56" s="1"/>
  <c r="J332" i="56"/>
  <c r="K322" i="17"/>
  <c r="L322" i="17" s="1"/>
  <c r="J368" i="35" l="1"/>
  <c r="F367" i="35"/>
  <c r="I367" i="35" s="1"/>
  <c r="E368" i="35"/>
  <c r="B370" i="35"/>
  <c r="D369" i="35"/>
  <c r="C369" i="35"/>
  <c r="J369" i="35" s="1"/>
  <c r="G366" i="35"/>
  <c r="G367" i="35"/>
  <c r="J333" i="56"/>
  <c r="K332" i="56"/>
  <c r="L332" i="56" s="1"/>
  <c r="K323" i="17"/>
  <c r="L323" i="17" s="1"/>
  <c r="E369" i="35" l="1"/>
  <c r="F369" i="35" s="1"/>
  <c r="I369" i="35"/>
  <c r="B371" i="35"/>
  <c r="D370" i="35"/>
  <c r="C370" i="35"/>
  <c r="F368" i="35"/>
  <c r="H368" i="35"/>
  <c r="J334" i="56"/>
  <c r="K333" i="56"/>
  <c r="L333" i="56" s="1"/>
  <c r="K324" i="17"/>
  <c r="L324" i="17" s="1"/>
  <c r="J370" i="35" l="1"/>
  <c r="H369" i="35"/>
  <c r="G369" i="35" s="1"/>
  <c r="E370" i="35"/>
  <c r="H370" i="35" s="1"/>
  <c r="G368" i="35"/>
  <c r="B372" i="35"/>
  <c r="C371" i="35"/>
  <c r="D371" i="35"/>
  <c r="I371" i="35" s="1"/>
  <c r="J335" i="56"/>
  <c r="K334" i="56"/>
  <c r="L334" i="56" s="1"/>
  <c r="K325" i="17"/>
  <c r="L325" i="17" s="1"/>
  <c r="F370" i="35" l="1"/>
  <c r="I370" i="35" s="1"/>
  <c r="B373" i="35"/>
  <c r="C372" i="35"/>
  <c r="D372" i="35"/>
  <c r="E371" i="35"/>
  <c r="G370" i="35"/>
  <c r="K335" i="56"/>
  <c r="L335" i="56" s="1"/>
  <c r="J336" i="56"/>
  <c r="K326" i="17"/>
  <c r="L326" i="17" s="1"/>
  <c r="J372" i="35" l="1"/>
  <c r="E372" i="35"/>
  <c r="F372" i="35" s="1"/>
  <c r="I372" i="35" s="1"/>
  <c r="H371" i="35"/>
  <c r="F371" i="35"/>
  <c r="B374" i="35"/>
  <c r="C373" i="35"/>
  <c r="D373" i="35"/>
  <c r="K336" i="56"/>
  <c r="L336" i="56" s="1"/>
  <c r="J337" i="56"/>
  <c r="K327" i="17"/>
  <c r="L327" i="17" s="1"/>
  <c r="H372" i="35" l="1"/>
  <c r="G372" i="35" s="1"/>
  <c r="E373" i="35"/>
  <c r="G371" i="35"/>
  <c r="J371" i="35" s="1"/>
  <c r="I373" i="35"/>
  <c r="B375" i="35"/>
  <c r="C374" i="35"/>
  <c r="D374" i="35"/>
  <c r="J338" i="56"/>
  <c r="K337" i="56"/>
  <c r="L337" i="56" s="1"/>
  <c r="K328" i="17"/>
  <c r="L328" i="17" s="1"/>
  <c r="E374" i="35" l="1"/>
  <c r="H374" i="35" s="1"/>
  <c r="I374" i="35"/>
  <c r="B376" i="35"/>
  <c r="C375" i="35"/>
  <c r="D375" i="35"/>
  <c r="F373" i="35"/>
  <c r="H373" i="35"/>
  <c r="K338" i="56"/>
  <c r="L338" i="56" s="1"/>
  <c r="J339" i="56"/>
  <c r="K329" i="17"/>
  <c r="L329" i="17" s="1"/>
  <c r="F374" i="35" l="1"/>
  <c r="G374" i="35" s="1"/>
  <c r="J374" i="35" s="1"/>
  <c r="E375" i="35"/>
  <c r="H375" i="35" s="1"/>
  <c r="J375" i="35"/>
  <c r="B377" i="35"/>
  <c r="D376" i="35"/>
  <c r="C376" i="35"/>
  <c r="G373" i="35"/>
  <c r="J373" i="35" s="1"/>
  <c r="K339" i="56"/>
  <c r="L339" i="56" s="1"/>
  <c r="J340" i="56"/>
  <c r="K330" i="17"/>
  <c r="L330" i="17" s="1"/>
  <c r="F375" i="35" l="1"/>
  <c r="I375" i="35" s="1"/>
  <c r="E376" i="35"/>
  <c r="I376" i="35"/>
  <c r="B378" i="35"/>
  <c r="C377" i="35"/>
  <c r="D377" i="35"/>
  <c r="G375" i="35"/>
  <c r="K340" i="56"/>
  <c r="L340" i="56" s="1"/>
  <c r="J341" i="56"/>
  <c r="K331" i="17"/>
  <c r="L331" i="17" s="1"/>
  <c r="E377" i="35" l="1"/>
  <c r="F377" i="35" s="1"/>
  <c r="I377" i="35"/>
  <c r="B379" i="35"/>
  <c r="D378" i="35"/>
  <c r="I378" i="35" s="1"/>
  <c r="C378" i="35"/>
  <c r="H376" i="35"/>
  <c r="F376" i="35"/>
  <c r="J342" i="56"/>
  <c r="K341" i="56"/>
  <c r="L341" i="56" s="1"/>
  <c r="K332" i="17"/>
  <c r="L332" i="17" s="1"/>
  <c r="H377" i="35" l="1"/>
  <c r="G377" i="35" s="1"/>
  <c r="J377" i="35" s="1"/>
  <c r="G376" i="35"/>
  <c r="J376" i="35" s="1"/>
  <c r="E378" i="35"/>
  <c r="B380" i="35"/>
  <c r="D379" i="35"/>
  <c r="I379" i="35" s="1"/>
  <c r="C379" i="35"/>
  <c r="J343" i="56"/>
  <c r="K342" i="56"/>
  <c r="L342" i="56" s="1"/>
  <c r="K333" i="17"/>
  <c r="L333" i="17" s="1"/>
  <c r="E379" i="35" l="1"/>
  <c r="B381" i="35"/>
  <c r="D380" i="35"/>
  <c r="C380" i="35"/>
  <c r="F378" i="35"/>
  <c r="H378" i="35"/>
  <c r="K343" i="56"/>
  <c r="L343" i="56" s="1"/>
  <c r="J344" i="56"/>
  <c r="K334" i="17"/>
  <c r="L334" i="17" s="1"/>
  <c r="G378" i="35" l="1"/>
  <c r="J378" i="35" s="1"/>
  <c r="E380" i="35"/>
  <c r="H380" i="35" s="1"/>
  <c r="I380" i="35"/>
  <c r="B382" i="35"/>
  <c r="C381" i="35"/>
  <c r="D381" i="35"/>
  <c r="I381" i="35" s="1"/>
  <c r="F379" i="35"/>
  <c r="H379" i="35"/>
  <c r="J345" i="56"/>
  <c r="K344" i="56"/>
  <c r="L344" i="56" s="1"/>
  <c r="K335" i="17"/>
  <c r="L335" i="17" s="1"/>
  <c r="F380" i="35" l="1"/>
  <c r="G380" i="35" s="1"/>
  <c r="J380" i="35" s="1"/>
  <c r="G379" i="35"/>
  <c r="J379" i="35" s="1"/>
  <c r="B383" i="35"/>
  <c r="C382" i="35"/>
  <c r="D382" i="35"/>
  <c r="E381" i="35"/>
  <c r="J346" i="56"/>
  <c r="K345" i="56"/>
  <c r="L345" i="56" s="1"/>
  <c r="K336" i="17"/>
  <c r="L336" i="17" s="1"/>
  <c r="J382" i="35" l="1"/>
  <c r="E382" i="35"/>
  <c r="F381" i="35"/>
  <c r="H381" i="35"/>
  <c r="B384" i="35"/>
  <c r="D383" i="35"/>
  <c r="C383" i="35"/>
  <c r="J347" i="56"/>
  <c r="K346" i="56"/>
  <c r="L346" i="56" s="1"/>
  <c r="K337" i="17"/>
  <c r="L337" i="17" s="1"/>
  <c r="G381" i="35" l="1"/>
  <c r="J381" i="35" s="1"/>
  <c r="E383" i="35"/>
  <c r="H383" i="35" s="1"/>
  <c r="I383" i="35"/>
  <c r="B385" i="35"/>
  <c r="D384" i="35"/>
  <c r="I384" i="35" s="1"/>
  <c r="C384" i="35"/>
  <c r="H382" i="35"/>
  <c r="F382" i="35"/>
  <c r="I382" i="35" s="1"/>
  <c r="K347" i="56"/>
  <c r="L347" i="56" s="1"/>
  <c r="J348" i="56"/>
  <c r="K338" i="17"/>
  <c r="L338" i="17" s="1"/>
  <c r="F383" i="35" l="1"/>
  <c r="G383" i="35" s="1"/>
  <c r="J383" i="35" s="1"/>
  <c r="G382" i="35"/>
  <c r="E384" i="35"/>
  <c r="B386" i="35"/>
  <c r="C385" i="35"/>
  <c r="D385" i="35"/>
  <c r="J349" i="56"/>
  <c r="K348" i="56"/>
  <c r="L348" i="56" s="1"/>
  <c r="K339" i="17"/>
  <c r="L339" i="17" s="1"/>
  <c r="J385" i="35" l="1"/>
  <c r="E385" i="35"/>
  <c r="B387" i="35"/>
  <c r="C386" i="35"/>
  <c r="D386" i="35"/>
  <c r="F384" i="35"/>
  <c r="H384" i="35"/>
  <c r="J350" i="56"/>
  <c r="K349" i="56"/>
  <c r="L349" i="56" s="1"/>
  <c r="K340" i="17"/>
  <c r="L340" i="17" s="1"/>
  <c r="G384" i="35" l="1"/>
  <c r="J384" i="35" s="1"/>
  <c r="E386" i="35"/>
  <c r="F386" i="35" s="1"/>
  <c r="B388" i="35"/>
  <c r="D387" i="35"/>
  <c r="I387" i="35" s="1"/>
  <c r="C387" i="35"/>
  <c r="I386" i="35"/>
  <c r="H385" i="35"/>
  <c r="F385" i="35"/>
  <c r="I385" i="35" s="1"/>
  <c r="K350" i="56"/>
  <c r="L350" i="56" s="1"/>
  <c r="J351" i="56"/>
  <c r="K341" i="17"/>
  <c r="L341" i="17" s="1"/>
  <c r="H386" i="35" l="1"/>
  <c r="G386" i="35" s="1"/>
  <c r="J386" i="35" s="1"/>
  <c r="G385" i="35"/>
  <c r="E387" i="35"/>
  <c r="B389" i="35"/>
  <c r="C388" i="35"/>
  <c r="D388" i="35"/>
  <c r="K351" i="56"/>
  <c r="L351" i="56" s="1"/>
  <c r="J352" i="56"/>
  <c r="K342" i="17"/>
  <c r="L342" i="17" s="1"/>
  <c r="J388" i="35" l="1"/>
  <c r="E388" i="35"/>
  <c r="F388" i="35" s="1"/>
  <c r="I388" i="35" s="1"/>
  <c r="B390" i="35"/>
  <c r="C389" i="35"/>
  <c r="D389" i="35"/>
  <c r="F387" i="35"/>
  <c r="H387" i="35"/>
  <c r="K352" i="56"/>
  <c r="L352" i="56" s="1"/>
  <c r="J353" i="56"/>
  <c r="K343" i="17"/>
  <c r="L343" i="17" s="1"/>
  <c r="H388" i="35" l="1"/>
  <c r="G388" i="35" s="1"/>
  <c r="E389" i="35"/>
  <c r="G387" i="35"/>
  <c r="J387" i="35" s="1"/>
  <c r="I389" i="35"/>
  <c r="B391" i="35"/>
  <c r="C390" i="35"/>
  <c r="D390" i="35"/>
  <c r="I390" i="35" s="1"/>
  <c r="J354" i="56"/>
  <c r="K353" i="56"/>
  <c r="L353" i="56" s="1"/>
  <c r="K344" i="17"/>
  <c r="L344" i="17" s="1"/>
  <c r="E390" i="35" l="1"/>
  <c r="B392" i="35"/>
  <c r="D391" i="35"/>
  <c r="I391" i="35" s="1"/>
  <c r="C391" i="35"/>
  <c r="F389" i="35"/>
  <c r="H389" i="35"/>
  <c r="K354" i="56"/>
  <c r="L354" i="56" s="1"/>
  <c r="J355" i="56"/>
  <c r="K345" i="17"/>
  <c r="L345" i="17" s="1"/>
  <c r="G389" i="35" l="1"/>
  <c r="J389" i="35" s="1"/>
  <c r="E391" i="35"/>
  <c r="B393" i="35"/>
  <c r="C392" i="35"/>
  <c r="D392" i="35"/>
  <c r="F390" i="35"/>
  <c r="H390" i="35"/>
  <c r="K355" i="56"/>
  <c r="L355" i="56" s="1"/>
  <c r="J356" i="56"/>
  <c r="K346" i="17"/>
  <c r="L346" i="17" s="1"/>
  <c r="G390" i="35" l="1"/>
  <c r="J390" i="35" s="1"/>
  <c r="E392" i="35"/>
  <c r="F392" i="35" s="1"/>
  <c r="B394" i="35"/>
  <c r="D393" i="35"/>
  <c r="I393" i="35" s="1"/>
  <c r="C393" i="35"/>
  <c r="I392" i="35"/>
  <c r="H392" i="35"/>
  <c r="G392" i="35" s="1"/>
  <c r="J392" i="35" s="1"/>
  <c r="H391" i="35"/>
  <c r="F391" i="35"/>
  <c r="J357" i="56"/>
  <c r="K356" i="56"/>
  <c r="L356" i="56" s="1"/>
  <c r="K347" i="17"/>
  <c r="L347" i="17" s="1"/>
  <c r="G391" i="35" l="1"/>
  <c r="J391" i="35" s="1"/>
  <c r="E393" i="35"/>
  <c r="H393" i="35" s="1"/>
  <c r="B395" i="35"/>
  <c r="D394" i="35"/>
  <c r="C394" i="35"/>
  <c r="J358" i="56"/>
  <c r="K357" i="56"/>
  <c r="L357" i="56" s="1"/>
  <c r="K348" i="17"/>
  <c r="L348" i="17" s="1"/>
  <c r="F393" i="35" l="1"/>
  <c r="G393" i="35" s="1"/>
  <c r="J393" i="35" s="1"/>
  <c r="E394" i="35"/>
  <c r="F394" i="35" s="1"/>
  <c r="I394" i="35"/>
  <c r="B396" i="35"/>
  <c r="D395" i="35"/>
  <c r="C395" i="35"/>
  <c r="J359" i="56"/>
  <c r="K358" i="56"/>
  <c r="L358" i="56" s="1"/>
  <c r="K349" i="17"/>
  <c r="L349" i="17" s="1"/>
  <c r="H394" i="35" l="1"/>
  <c r="E395" i="35"/>
  <c r="H395" i="35" s="1"/>
  <c r="I395" i="35"/>
  <c r="B397" i="35"/>
  <c r="C396" i="35"/>
  <c r="D396" i="35"/>
  <c r="I396" i="35" s="1"/>
  <c r="G394" i="35"/>
  <c r="J394" i="35" s="1"/>
  <c r="K359" i="56"/>
  <c r="L359" i="56" s="1"/>
  <c r="J360" i="56"/>
  <c r="K350" i="17"/>
  <c r="L350" i="17" s="1"/>
  <c r="F395" i="35" l="1"/>
  <c r="G395" i="35" s="1"/>
  <c r="J395" i="35" s="1"/>
  <c r="E396" i="35"/>
  <c r="B398" i="35"/>
  <c r="C397" i="35"/>
  <c r="D397" i="35"/>
  <c r="J361" i="56"/>
  <c r="K360" i="56"/>
  <c r="L360" i="56" s="1"/>
  <c r="K351" i="17"/>
  <c r="L351" i="17" s="1"/>
  <c r="E397" i="35" l="1"/>
  <c r="F397" i="35" s="1"/>
  <c r="I397" i="35"/>
  <c r="B399" i="35"/>
  <c r="D398" i="35"/>
  <c r="I398" i="35" s="1"/>
  <c r="C398" i="35"/>
  <c r="F396" i="35"/>
  <c r="H396" i="35"/>
  <c r="J362" i="56"/>
  <c r="K361" i="56"/>
  <c r="L361" i="56" s="1"/>
  <c r="K352" i="17"/>
  <c r="L352" i="17" s="1"/>
  <c r="H397" i="35" l="1"/>
  <c r="G397" i="35" s="1"/>
  <c r="J397" i="35" s="1"/>
  <c r="G396" i="35"/>
  <c r="J396" i="35" s="1"/>
  <c r="E398" i="35"/>
  <c r="B400" i="35"/>
  <c r="D399" i="35"/>
  <c r="C399" i="35"/>
  <c r="J363" i="56"/>
  <c r="K362" i="56"/>
  <c r="L362" i="56" s="1"/>
  <c r="K353" i="17"/>
  <c r="L353" i="17" s="1"/>
  <c r="E399" i="35" l="1"/>
  <c r="F399" i="35" s="1"/>
  <c r="I399" i="35" s="1"/>
  <c r="J399" i="35"/>
  <c r="B401" i="35"/>
  <c r="D400" i="35"/>
  <c r="I400" i="35" s="1"/>
  <c r="C400" i="35"/>
  <c r="F398" i="35"/>
  <c r="H398" i="35"/>
  <c r="K363" i="56"/>
  <c r="L363" i="56" s="1"/>
  <c r="J364" i="56"/>
  <c r="K354" i="17"/>
  <c r="L354" i="17" s="1"/>
  <c r="G398" i="35" l="1"/>
  <c r="J398" i="35" s="1"/>
  <c r="H399" i="35"/>
  <c r="G399" i="35" s="1"/>
  <c r="E400" i="35"/>
  <c r="B402" i="35"/>
  <c r="D401" i="35"/>
  <c r="I401" i="35" s="1"/>
  <c r="C401" i="35"/>
  <c r="J365" i="56"/>
  <c r="K364" i="56"/>
  <c r="L364" i="56" s="1"/>
  <c r="K355" i="17"/>
  <c r="L355" i="17" s="1"/>
  <c r="E401" i="35" l="1"/>
  <c r="B403" i="35"/>
  <c r="C402" i="35"/>
  <c r="D402" i="35"/>
  <c r="I402" i="35" s="1"/>
  <c r="H400" i="35"/>
  <c r="F400" i="35"/>
  <c r="J366" i="56"/>
  <c r="K365" i="56"/>
  <c r="L365" i="56" s="1"/>
  <c r="K356" i="17"/>
  <c r="L356" i="17" s="1"/>
  <c r="G400" i="35" l="1"/>
  <c r="J400" i="35" s="1"/>
  <c r="E402" i="35"/>
  <c r="B404" i="35"/>
  <c r="D403" i="35"/>
  <c r="C403" i="35"/>
  <c r="F401" i="35"/>
  <c r="H401" i="35"/>
  <c r="K366" i="56"/>
  <c r="L366" i="56" s="1"/>
  <c r="J367" i="56"/>
  <c r="K357" i="17"/>
  <c r="L357" i="17" s="1"/>
  <c r="J403" i="35" l="1"/>
  <c r="G401" i="35"/>
  <c r="J401" i="35" s="1"/>
  <c r="E403" i="35"/>
  <c r="F403" i="35" s="1"/>
  <c r="I403" i="35" s="1"/>
  <c r="B405" i="35"/>
  <c r="C404" i="35"/>
  <c r="D404" i="35"/>
  <c r="F402" i="35"/>
  <c r="H402" i="35"/>
  <c r="K367" i="56"/>
  <c r="L367" i="56" s="1"/>
  <c r="J368" i="56"/>
  <c r="K358" i="17"/>
  <c r="L358" i="17" s="1"/>
  <c r="H403" i="35" l="1"/>
  <c r="G402" i="35"/>
  <c r="J402" i="35" s="1"/>
  <c r="E404" i="35"/>
  <c r="H404" i="35" s="1"/>
  <c r="G403" i="35"/>
  <c r="I404" i="35"/>
  <c r="B406" i="35"/>
  <c r="C405" i="35"/>
  <c r="D405" i="35"/>
  <c r="K368" i="56"/>
  <c r="L368" i="56" s="1"/>
  <c r="J369" i="56"/>
  <c r="K359" i="17"/>
  <c r="L359" i="17" s="1"/>
  <c r="F404" i="35" l="1"/>
  <c r="G404" i="35" s="1"/>
  <c r="J404" i="35" s="1"/>
  <c r="J405" i="35"/>
  <c r="E405" i="35"/>
  <c r="F405" i="35" s="1"/>
  <c r="I405" i="35" s="1"/>
  <c r="B407" i="35"/>
  <c r="C406" i="35"/>
  <c r="D406" i="35"/>
  <c r="J370" i="56"/>
  <c r="K369" i="56"/>
  <c r="L369" i="56" s="1"/>
  <c r="K360" i="17"/>
  <c r="L360" i="17" s="1"/>
  <c r="H405" i="35" l="1"/>
  <c r="G405" i="35" s="1"/>
  <c r="E406" i="35"/>
  <c r="F406" i="35" s="1"/>
  <c r="I406" i="35"/>
  <c r="B408" i="35"/>
  <c r="C407" i="35"/>
  <c r="D407" i="35"/>
  <c r="K370" i="56"/>
  <c r="L370" i="56" s="1"/>
  <c r="J371" i="56"/>
  <c r="K361" i="17"/>
  <c r="L361" i="17" s="1"/>
  <c r="H406" i="35" l="1"/>
  <c r="G406" i="35" s="1"/>
  <c r="J406" i="35" s="1"/>
  <c r="E407" i="35"/>
  <c r="F407" i="35" s="1"/>
  <c r="I407" i="35"/>
  <c r="B409" i="35"/>
  <c r="C408" i="35"/>
  <c r="D408" i="35"/>
  <c r="K371" i="56"/>
  <c r="L371" i="56" s="1"/>
  <c r="J372" i="56"/>
  <c r="K362" i="17"/>
  <c r="L362" i="17" s="1"/>
  <c r="H407" i="35" l="1"/>
  <c r="G407" i="35" s="1"/>
  <c r="J407" i="35" s="1"/>
  <c r="J408" i="35"/>
  <c r="E408" i="35"/>
  <c r="F408" i="35" s="1"/>
  <c r="I408" i="35" s="1"/>
  <c r="B410" i="35"/>
  <c r="C409" i="35"/>
  <c r="D409" i="35"/>
  <c r="I409" i="35" s="1"/>
  <c r="J373" i="56"/>
  <c r="K372" i="56"/>
  <c r="L372" i="56" s="1"/>
  <c r="K363" i="17"/>
  <c r="L363" i="17" s="1"/>
  <c r="H408" i="35" l="1"/>
  <c r="G408" i="35" s="1"/>
  <c r="E409" i="35"/>
  <c r="B411" i="35"/>
  <c r="D410" i="35"/>
  <c r="I410" i="35" s="1"/>
  <c r="C410" i="35"/>
  <c r="J374" i="56"/>
  <c r="K373" i="56"/>
  <c r="L373" i="56" s="1"/>
  <c r="K364" i="17"/>
  <c r="L364" i="17" s="1"/>
  <c r="E410" i="35" l="1"/>
  <c r="B412" i="35"/>
  <c r="C411" i="35"/>
  <c r="D411" i="35"/>
  <c r="I411" i="35" s="1"/>
  <c r="H409" i="35"/>
  <c r="F409" i="35"/>
  <c r="J375" i="56"/>
  <c r="K374" i="56"/>
  <c r="L374" i="56" s="1"/>
  <c r="K365" i="17"/>
  <c r="L365" i="17" s="1"/>
  <c r="G409" i="35" l="1"/>
  <c r="J409" i="35" s="1"/>
  <c r="E411" i="35"/>
  <c r="B413" i="35"/>
  <c r="C412" i="35"/>
  <c r="D412" i="35"/>
  <c r="I412" i="35" s="1"/>
  <c r="F410" i="35"/>
  <c r="H410" i="35"/>
  <c r="K375" i="56"/>
  <c r="L375" i="56" s="1"/>
  <c r="J376" i="56"/>
  <c r="K366" i="17"/>
  <c r="L366" i="17" s="1"/>
  <c r="G410" i="35" l="1"/>
  <c r="J410" i="35" s="1"/>
  <c r="E412" i="35"/>
  <c r="H412" i="35" s="1"/>
  <c r="B414" i="35"/>
  <c r="C413" i="35"/>
  <c r="D413" i="35"/>
  <c r="F411" i="35"/>
  <c r="H411" i="35"/>
  <c r="J377" i="56"/>
  <c r="K376" i="56"/>
  <c r="L376" i="56" s="1"/>
  <c r="K367" i="17"/>
  <c r="L367" i="17" s="1"/>
  <c r="F412" i="35" l="1"/>
  <c r="G412" i="35" s="1"/>
  <c r="J412" i="35" s="1"/>
  <c r="G411" i="35"/>
  <c r="J411" i="35" s="1"/>
  <c r="E413" i="35"/>
  <c r="I413" i="35"/>
  <c r="B415" i="35"/>
  <c r="C414" i="35"/>
  <c r="D414" i="35"/>
  <c r="J378" i="56"/>
  <c r="K377" i="56"/>
  <c r="L377" i="56" s="1"/>
  <c r="K368" i="17"/>
  <c r="L368" i="17" s="1"/>
  <c r="J414" i="35" l="1"/>
  <c r="E414" i="35"/>
  <c r="F414" i="35" s="1"/>
  <c r="I414" i="35" s="1"/>
  <c r="B416" i="35"/>
  <c r="D415" i="35"/>
  <c r="C415" i="35"/>
  <c r="H413" i="35"/>
  <c r="F413" i="35"/>
  <c r="J379" i="56"/>
  <c r="K378" i="56"/>
  <c r="L378" i="56" s="1"/>
  <c r="K369" i="17"/>
  <c r="L369" i="17" s="1"/>
  <c r="H414" i="35" l="1"/>
  <c r="G414" i="35" s="1"/>
  <c r="G413" i="35"/>
  <c r="J413" i="35" s="1"/>
  <c r="E415" i="35"/>
  <c r="I415" i="35"/>
  <c r="B417" i="35"/>
  <c r="C416" i="35"/>
  <c r="D416" i="35"/>
  <c r="K379" i="56"/>
  <c r="L379" i="56" s="1"/>
  <c r="J380" i="56"/>
  <c r="K370" i="17"/>
  <c r="L370" i="17" s="1"/>
  <c r="E416" i="35" l="1"/>
  <c r="F416" i="35" s="1"/>
  <c r="I416" i="35"/>
  <c r="B418" i="35"/>
  <c r="C417" i="35"/>
  <c r="D417" i="35"/>
  <c r="F415" i="35"/>
  <c r="H415" i="35"/>
  <c r="J381" i="56"/>
  <c r="K380" i="56"/>
  <c r="L380" i="56" s="1"/>
  <c r="K371" i="17"/>
  <c r="L371" i="17" s="1"/>
  <c r="G415" i="35" l="1"/>
  <c r="J415" i="35" s="1"/>
  <c r="J417" i="35"/>
  <c r="H416" i="35"/>
  <c r="G416" i="35" s="1"/>
  <c r="J416" i="35" s="1"/>
  <c r="E417" i="35"/>
  <c r="F417" i="35" s="1"/>
  <c r="I417" i="35" s="1"/>
  <c r="B419" i="35"/>
  <c r="D418" i="35"/>
  <c r="I418" i="35" s="1"/>
  <c r="C418" i="35"/>
  <c r="J382" i="56"/>
  <c r="K381" i="56"/>
  <c r="L381" i="56" s="1"/>
  <c r="K372" i="17"/>
  <c r="L372" i="17" s="1"/>
  <c r="H417" i="35" l="1"/>
  <c r="G417" i="35" s="1"/>
  <c r="E418" i="35"/>
  <c r="B420" i="35"/>
  <c r="C419" i="35"/>
  <c r="D419" i="35"/>
  <c r="K382" i="56"/>
  <c r="L382" i="56" s="1"/>
  <c r="J383" i="56"/>
  <c r="K373" i="17"/>
  <c r="L373" i="17" s="1"/>
  <c r="E419" i="35" l="1"/>
  <c r="I419" i="35"/>
  <c r="B421" i="35"/>
  <c r="C420" i="35"/>
  <c r="D420" i="35"/>
  <c r="I420" i="35" s="1"/>
  <c r="H418" i="35"/>
  <c r="F418" i="35"/>
  <c r="K383" i="56"/>
  <c r="L383" i="56" s="1"/>
  <c r="J384" i="56"/>
  <c r="K374" i="17"/>
  <c r="L374" i="17" s="1"/>
  <c r="G418" i="35" l="1"/>
  <c r="J418" i="35" s="1"/>
  <c r="E420" i="35"/>
  <c r="B422" i="35"/>
  <c r="C421" i="35"/>
  <c r="D421" i="35"/>
  <c r="F419" i="35"/>
  <c r="H419" i="35"/>
  <c r="K384" i="56"/>
  <c r="L384" i="56" s="1"/>
  <c r="J385" i="56"/>
  <c r="K375" i="17"/>
  <c r="L375" i="17" s="1"/>
  <c r="G419" i="35" l="1"/>
  <c r="J419" i="35" s="1"/>
  <c r="J421" i="35"/>
  <c r="E421" i="35"/>
  <c r="H421" i="35" s="1"/>
  <c r="B423" i="35"/>
  <c r="C422" i="35"/>
  <c r="D422" i="35"/>
  <c r="F420" i="35"/>
  <c r="H420" i="35"/>
  <c r="J386" i="56"/>
  <c r="K385" i="56"/>
  <c r="L385" i="56" s="1"/>
  <c r="K376" i="17"/>
  <c r="L376" i="17" s="1"/>
  <c r="F421" i="35" l="1"/>
  <c r="I421" i="35" s="1"/>
  <c r="G420" i="35"/>
  <c r="J420" i="35" s="1"/>
  <c r="E422" i="35"/>
  <c r="H422" i="35" s="1"/>
  <c r="I422" i="35"/>
  <c r="B424" i="35"/>
  <c r="D423" i="35"/>
  <c r="C423" i="35"/>
  <c r="K386" i="56"/>
  <c r="L386" i="56" s="1"/>
  <c r="J387" i="56"/>
  <c r="K377" i="17"/>
  <c r="L377" i="17" s="1"/>
  <c r="G421" i="35" l="1"/>
  <c r="F422" i="35"/>
  <c r="G422" i="35" s="1"/>
  <c r="J422" i="35" s="1"/>
  <c r="J423" i="35"/>
  <c r="E423" i="35"/>
  <c r="F423" i="35" s="1"/>
  <c r="I423" i="35" s="1"/>
  <c r="B425" i="35"/>
  <c r="C424" i="35"/>
  <c r="D424" i="35"/>
  <c r="K387" i="56"/>
  <c r="L387" i="56" s="1"/>
  <c r="J388" i="56"/>
  <c r="K378" i="17"/>
  <c r="L378" i="17" s="1"/>
  <c r="H423" i="35" l="1"/>
  <c r="G423" i="35" s="1"/>
  <c r="E424" i="35"/>
  <c r="F424" i="35" s="1"/>
  <c r="I424" i="35"/>
  <c r="B426" i="35"/>
  <c r="C425" i="35"/>
  <c r="D425" i="35"/>
  <c r="J389" i="56"/>
  <c r="K388" i="56"/>
  <c r="L388" i="56" s="1"/>
  <c r="K379" i="17"/>
  <c r="L379" i="17" s="1"/>
  <c r="H424" i="35" l="1"/>
  <c r="G424" i="35" s="1"/>
  <c r="J424" i="35" s="1"/>
  <c r="E425" i="35"/>
  <c r="F425" i="35" s="1"/>
  <c r="I425" i="35"/>
  <c r="B427" i="35"/>
  <c r="D426" i="35"/>
  <c r="I426" i="35" s="1"/>
  <c r="C426" i="35"/>
  <c r="J390" i="56"/>
  <c r="K389" i="56"/>
  <c r="L389" i="56" s="1"/>
  <c r="K380" i="17"/>
  <c r="L380" i="17" s="1"/>
  <c r="H425" i="35" l="1"/>
  <c r="G425" i="35" s="1"/>
  <c r="J425" i="35" s="1"/>
  <c r="E426" i="35"/>
  <c r="B428" i="35"/>
  <c r="C427" i="35"/>
  <c r="D427" i="35"/>
  <c r="I427" i="35" s="1"/>
  <c r="J391" i="56"/>
  <c r="K390" i="56"/>
  <c r="L390" i="56" s="1"/>
  <c r="K381" i="17"/>
  <c r="L381" i="17" s="1"/>
  <c r="E427" i="35" l="1"/>
  <c r="B429" i="35"/>
  <c r="D428" i="35"/>
  <c r="C428" i="35"/>
  <c r="F426" i="35"/>
  <c r="H426" i="35"/>
  <c r="K391" i="56"/>
  <c r="L391" i="56" s="1"/>
  <c r="J392" i="56"/>
  <c r="K382" i="17"/>
  <c r="L382" i="17" s="1"/>
  <c r="J428" i="35" l="1"/>
  <c r="G426" i="35"/>
  <c r="J426" i="35" s="1"/>
  <c r="E428" i="35"/>
  <c r="B430" i="35"/>
  <c r="D429" i="35"/>
  <c r="I429" i="35" s="1"/>
  <c r="C429" i="35"/>
  <c r="H427" i="35"/>
  <c r="F427" i="35"/>
  <c r="J393" i="56"/>
  <c r="K392" i="56"/>
  <c r="L392" i="56" s="1"/>
  <c r="K383" i="17"/>
  <c r="L383" i="17" s="1"/>
  <c r="G427" i="35" l="1"/>
  <c r="J427" i="35" s="1"/>
  <c r="E429" i="35"/>
  <c r="B431" i="35"/>
  <c r="C430" i="35"/>
  <c r="D430" i="35"/>
  <c r="F428" i="35"/>
  <c r="I428" i="35" s="1"/>
  <c r="H428" i="35"/>
  <c r="J394" i="56"/>
  <c r="K393" i="56"/>
  <c r="L393" i="56" s="1"/>
  <c r="K384" i="17"/>
  <c r="L384" i="17" s="1"/>
  <c r="J430" i="35" l="1"/>
  <c r="E430" i="35"/>
  <c r="F430" i="35" s="1"/>
  <c r="I430" i="35" s="1"/>
  <c r="G428" i="35"/>
  <c r="B432" i="35"/>
  <c r="C431" i="35"/>
  <c r="D431" i="35"/>
  <c r="F429" i="35"/>
  <c r="H429" i="35"/>
  <c r="J395" i="56"/>
  <c r="K394" i="56"/>
  <c r="L394" i="56" s="1"/>
  <c r="K385" i="17"/>
  <c r="L385" i="17" s="1"/>
  <c r="H430" i="35" l="1"/>
  <c r="G429" i="35"/>
  <c r="J429" i="35" s="1"/>
  <c r="G430" i="35"/>
  <c r="E431" i="35"/>
  <c r="B433" i="35"/>
  <c r="C432" i="35"/>
  <c r="D432" i="35"/>
  <c r="I432" i="35" s="1"/>
  <c r="I431" i="35"/>
  <c r="K395" i="56"/>
  <c r="L395" i="56" s="1"/>
  <c r="J396" i="56"/>
  <c r="K386" i="17"/>
  <c r="L386" i="17" s="1"/>
  <c r="E432" i="35" l="1"/>
  <c r="B434" i="35"/>
  <c r="D433" i="35"/>
  <c r="C433" i="35"/>
  <c r="H431" i="35"/>
  <c r="F431" i="35"/>
  <c r="J397" i="56"/>
  <c r="K396" i="56"/>
  <c r="L396" i="56" s="1"/>
  <c r="K387" i="17"/>
  <c r="L387" i="17" s="1"/>
  <c r="J433" i="35" l="1"/>
  <c r="E433" i="35"/>
  <c r="G431" i="35"/>
  <c r="J431" i="35" s="1"/>
  <c r="B435" i="35"/>
  <c r="C434" i="35"/>
  <c r="D434" i="35"/>
  <c r="F432" i="35"/>
  <c r="H432" i="35"/>
  <c r="J398" i="56"/>
  <c r="K397" i="56"/>
  <c r="L397" i="56" s="1"/>
  <c r="K388" i="17"/>
  <c r="L388" i="17" s="1"/>
  <c r="G432" i="35" l="1"/>
  <c r="J432" i="35" s="1"/>
  <c r="E434" i="35"/>
  <c r="F434" i="35" s="1"/>
  <c r="I434" i="35"/>
  <c r="B436" i="35"/>
  <c r="C435" i="35"/>
  <c r="D435" i="35"/>
  <c r="F433" i="35"/>
  <c r="I433" i="35" s="1"/>
  <c r="H433" i="35"/>
  <c r="K398" i="56"/>
  <c r="L398" i="56" s="1"/>
  <c r="J399" i="56"/>
  <c r="K389" i="17"/>
  <c r="L389" i="17" s="1"/>
  <c r="J435" i="35" l="1"/>
  <c r="H434" i="35"/>
  <c r="G434" i="35" s="1"/>
  <c r="J434" i="35" s="1"/>
  <c r="G433" i="35"/>
  <c r="E435" i="35"/>
  <c r="F435" i="35" s="1"/>
  <c r="I435" i="35" s="1"/>
  <c r="B437" i="35"/>
  <c r="C436" i="35"/>
  <c r="D436" i="35"/>
  <c r="I436" i="35" s="1"/>
  <c r="K399" i="56"/>
  <c r="L399" i="56" s="1"/>
  <c r="J400" i="56"/>
  <c r="K390" i="17"/>
  <c r="L390" i="17" s="1"/>
  <c r="H435" i="35" l="1"/>
  <c r="G435" i="35" s="1"/>
  <c r="E436" i="35"/>
  <c r="B438" i="35"/>
  <c r="C437" i="35"/>
  <c r="D437" i="35"/>
  <c r="K400" i="56"/>
  <c r="L400" i="56" s="1"/>
  <c r="J401" i="56"/>
  <c r="K391" i="17"/>
  <c r="L391" i="17" s="1"/>
  <c r="E437" i="35" l="1"/>
  <c r="I437" i="35"/>
  <c r="B439" i="35"/>
  <c r="D438" i="35"/>
  <c r="I438" i="35" s="1"/>
  <c r="C438" i="35"/>
  <c r="H436" i="35"/>
  <c r="F436" i="35"/>
  <c r="J402" i="56"/>
  <c r="K401" i="56"/>
  <c r="L401" i="56" s="1"/>
  <c r="K392" i="17"/>
  <c r="L392" i="17" s="1"/>
  <c r="G436" i="35" l="1"/>
  <c r="J436" i="35" s="1"/>
  <c r="E438" i="35"/>
  <c r="F438" i="35" s="1"/>
  <c r="B440" i="35"/>
  <c r="C439" i="35"/>
  <c r="D439" i="35"/>
  <c r="F437" i="35"/>
  <c r="H437" i="35"/>
  <c r="K402" i="56"/>
  <c r="L402" i="56" s="1"/>
  <c r="J403" i="56"/>
  <c r="K393" i="17"/>
  <c r="L393" i="17" s="1"/>
  <c r="H438" i="35" l="1"/>
  <c r="G438" i="35" s="1"/>
  <c r="J438" i="35" s="1"/>
  <c r="J439" i="35"/>
  <c r="E439" i="35"/>
  <c r="F439" i="35" s="1"/>
  <c r="I439" i="35" s="1"/>
  <c r="G437" i="35"/>
  <c r="J437" i="35" s="1"/>
  <c r="B441" i="35"/>
  <c r="C440" i="35"/>
  <c r="D440" i="35"/>
  <c r="K403" i="56"/>
  <c r="L403" i="56" s="1"/>
  <c r="J404" i="56"/>
  <c r="K394" i="17"/>
  <c r="L394" i="17" s="1"/>
  <c r="H439" i="35" l="1"/>
  <c r="G439" i="35" s="1"/>
  <c r="E440" i="35"/>
  <c r="F440" i="35" s="1"/>
  <c r="I440" i="35"/>
  <c r="B442" i="35"/>
  <c r="D441" i="35"/>
  <c r="I441" i="35" s="1"/>
  <c r="C441" i="35"/>
  <c r="K404" i="56"/>
  <c r="L404" i="56" s="1"/>
  <c r="J405" i="56"/>
  <c r="K395" i="17"/>
  <c r="L395" i="17" s="1"/>
  <c r="H440" i="35" l="1"/>
  <c r="G440" i="35" s="1"/>
  <c r="J440" i="35" s="1"/>
  <c r="E441" i="35"/>
  <c r="B443" i="35"/>
  <c r="C442" i="35"/>
  <c r="D442" i="35"/>
  <c r="J406" i="56"/>
  <c r="K405" i="56"/>
  <c r="L405" i="56" s="1"/>
  <c r="K396" i="17"/>
  <c r="L396" i="17" s="1"/>
  <c r="E442" i="35" l="1"/>
  <c r="F442" i="35" s="1"/>
  <c r="I442" i="35"/>
  <c r="B444" i="35"/>
  <c r="C443" i="35"/>
  <c r="D443" i="35"/>
  <c r="F441" i="35"/>
  <c r="H441" i="35"/>
  <c r="J407" i="56"/>
  <c r="K406" i="56"/>
  <c r="L406" i="56" s="1"/>
  <c r="K397" i="17"/>
  <c r="L397" i="17" s="1"/>
  <c r="J443" i="35" l="1"/>
  <c r="H442" i="35"/>
  <c r="G442" i="35" s="1"/>
  <c r="J442" i="35" s="1"/>
  <c r="G441" i="35"/>
  <c r="J441" i="35" s="1"/>
  <c r="E443" i="35"/>
  <c r="F443" i="35" s="1"/>
  <c r="I443" i="35" s="1"/>
  <c r="B445" i="35"/>
  <c r="D444" i="35"/>
  <c r="I444" i="35" s="1"/>
  <c r="C444" i="35"/>
  <c r="K407" i="56"/>
  <c r="L407" i="56" s="1"/>
  <c r="J408" i="56"/>
  <c r="K398" i="17"/>
  <c r="L398" i="17" s="1"/>
  <c r="H443" i="35" l="1"/>
  <c r="G443" i="35" s="1"/>
  <c r="E444" i="35"/>
  <c r="B446" i="35"/>
  <c r="C445" i="35"/>
  <c r="D445" i="35"/>
  <c r="I445" i="35" s="1"/>
  <c r="J409" i="56"/>
  <c r="K408" i="56"/>
  <c r="L408" i="56" s="1"/>
  <c r="K399" i="17"/>
  <c r="L399" i="17" s="1"/>
  <c r="E445" i="35" l="1"/>
  <c r="B447" i="35"/>
  <c r="C446" i="35"/>
  <c r="D446" i="35"/>
  <c r="F444" i="35"/>
  <c r="H444" i="35"/>
  <c r="J410" i="56"/>
  <c r="K409" i="56"/>
  <c r="L409" i="56" s="1"/>
  <c r="K400" i="17"/>
  <c r="L400" i="17" s="1"/>
  <c r="G444" i="35" l="1"/>
  <c r="J444" i="35" s="1"/>
  <c r="E446" i="35"/>
  <c r="F446" i="35" s="1"/>
  <c r="I446" i="35"/>
  <c r="B448" i="35"/>
  <c r="C447" i="35"/>
  <c r="D447" i="35"/>
  <c r="I447" i="35" s="1"/>
  <c r="F445" i="35"/>
  <c r="H445" i="35"/>
  <c r="J411" i="56"/>
  <c r="K410" i="56"/>
  <c r="L410" i="56" s="1"/>
  <c r="K401" i="17"/>
  <c r="L401" i="17" s="1"/>
  <c r="G445" i="35" l="1"/>
  <c r="J445" i="35" s="1"/>
  <c r="H446" i="35"/>
  <c r="G446" i="35" s="1"/>
  <c r="J446" i="35" s="1"/>
  <c r="E447" i="35"/>
  <c r="B449" i="35"/>
  <c r="C448" i="35"/>
  <c r="D448" i="35"/>
  <c r="K411" i="56"/>
  <c r="L411" i="56" s="1"/>
  <c r="J412" i="56"/>
  <c r="K402" i="17"/>
  <c r="L402" i="17" s="1"/>
  <c r="J448" i="35" l="1"/>
  <c r="E448" i="35"/>
  <c r="F448" i="35" s="1"/>
  <c r="I448" i="35" s="1"/>
  <c r="B450" i="35"/>
  <c r="D449" i="35"/>
  <c r="C449" i="35"/>
  <c r="F447" i="35"/>
  <c r="H447" i="35"/>
  <c r="J413" i="56"/>
  <c r="K412" i="56"/>
  <c r="L412" i="56" s="1"/>
  <c r="K403" i="17"/>
  <c r="L403" i="17" s="1"/>
  <c r="G447" i="35" l="1"/>
  <c r="J447" i="35" s="1"/>
  <c r="H448" i="35"/>
  <c r="G448" i="35" s="1"/>
  <c r="E449" i="35"/>
  <c r="I449" i="35"/>
  <c r="B451" i="35"/>
  <c r="D450" i="35"/>
  <c r="C450" i="35"/>
  <c r="J414" i="56"/>
  <c r="K413" i="56"/>
  <c r="L413" i="56" s="1"/>
  <c r="K404" i="17"/>
  <c r="L404" i="17" s="1"/>
  <c r="E450" i="35" l="1"/>
  <c r="F450" i="35" s="1"/>
  <c r="I450" i="35" s="1"/>
  <c r="J450" i="35"/>
  <c r="B452" i="35"/>
  <c r="C451" i="35"/>
  <c r="D451" i="35"/>
  <c r="F449" i="35"/>
  <c r="H449" i="35"/>
  <c r="K414" i="56"/>
  <c r="L414" i="56" s="1"/>
  <c r="J415" i="56"/>
  <c r="K405" i="17"/>
  <c r="L405" i="17" s="1"/>
  <c r="H450" i="35" l="1"/>
  <c r="G450" i="35" s="1"/>
  <c r="E451" i="35"/>
  <c r="I451" i="35"/>
  <c r="B453" i="35"/>
  <c r="D452" i="35"/>
  <c r="I452" i="35" s="1"/>
  <c r="C452" i="35"/>
  <c r="G449" i="35"/>
  <c r="J449" i="35" s="1"/>
  <c r="K415" i="56"/>
  <c r="L415" i="56" s="1"/>
  <c r="J416" i="56"/>
  <c r="K406" i="17"/>
  <c r="L406" i="17" s="1"/>
  <c r="E452" i="35" l="1"/>
  <c r="B454" i="35"/>
  <c r="C453" i="35"/>
  <c r="D453" i="35"/>
  <c r="I453" i="35" s="1"/>
  <c r="F451" i="35"/>
  <c r="H451" i="35"/>
  <c r="J417" i="56"/>
  <c r="K416" i="56"/>
  <c r="L416" i="56" s="1"/>
  <c r="K407" i="17"/>
  <c r="L407" i="17" s="1"/>
  <c r="G451" i="35" l="1"/>
  <c r="J451" i="35" s="1"/>
  <c r="E453" i="35"/>
  <c r="B455" i="35"/>
  <c r="D454" i="35"/>
  <c r="C454" i="35"/>
  <c r="F452" i="35"/>
  <c r="H452" i="35"/>
  <c r="J418" i="56"/>
  <c r="K417" i="56"/>
  <c r="L417" i="56" s="1"/>
  <c r="K408" i="17"/>
  <c r="L408" i="17" s="1"/>
  <c r="J454" i="35" l="1"/>
  <c r="G452" i="35"/>
  <c r="J452" i="35" s="1"/>
  <c r="E454" i="35"/>
  <c r="H454" i="35" s="1"/>
  <c r="B456" i="35"/>
  <c r="C455" i="35"/>
  <c r="D455" i="35"/>
  <c r="F453" i="35"/>
  <c r="H453" i="35"/>
  <c r="K418" i="56"/>
  <c r="L418" i="56" s="1"/>
  <c r="J419" i="56"/>
  <c r="K409" i="17"/>
  <c r="L409" i="17" s="1"/>
  <c r="F454" i="35" l="1"/>
  <c r="I454" i="35" s="1"/>
  <c r="E455" i="35"/>
  <c r="F455" i="35" s="1"/>
  <c r="G453" i="35"/>
  <c r="J453" i="35" s="1"/>
  <c r="I455" i="35"/>
  <c r="B457" i="35"/>
  <c r="C456" i="35"/>
  <c r="D456" i="35"/>
  <c r="K419" i="56"/>
  <c r="L419" i="56" s="1"/>
  <c r="J420" i="56"/>
  <c r="K410" i="17"/>
  <c r="L410" i="17" s="1"/>
  <c r="G454" i="35" l="1"/>
  <c r="H455" i="35"/>
  <c r="G455" i="35" s="1"/>
  <c r="J455" i="35" s="1"/>
  <c r="J456" i="35"/>
  <c r="E456" i="35"/>
  <c r="F456" i="35" s="1"/>
  <c r="I456" i="35" s="1"/>
  <c r="B458" i="35"/>
  <c r="C457" i="35"/>
  <c r="D457" i="35"/>
  <c r="I457" i="35" s="1"/>
  <c r="J421" i="56"/>
  <c r="K420" i="56"/>
  <c r="L420" i="56" s="1"/>
  <c r="K411" i="17"/>
  <c r="L411" i="17" s="1"/>
  <c r="H456" i="35" l="1"/>
  <c r="G456" i="35" s="1"/>
  <c r="E457" i="35"/>
  <c r="B459" i="35"/>
  <c r="C458" i="35"/>
  <c r="D458" i="35"/>
  <c r="J422" i="56"/>
  <c r="K421" i="56"/>
  <c r="L421" i="56" s="1"/>
  <c r="K412" i="17"/>
  <c r="L412" i="17" s="1"/>
  <c r="E458" i="35" l="1"/>
  <c r="F458" i="35" s="1"/>
  <c r="I458" i="35"/>
  <c r="B460" i="35"/>
  <c r="C459" i="35"/>
  <c r="D459" i="35"/>
  <c r="H457" i="35"/>
  <c r="F457" i="35"/>
  <c r="K422" i="56"/>
  <c r="L422" i="56" s="1"/>
  <c r="J423" i="56"/>
  <c r="K413" i="17"/>
  <c r="L413" i="17" s="1"/>
  <c r="H458" i="35" l="1"/>
  <c r="G458" i="35" s="1"/>
  <c r="J458" i="35" s="1"/>
  <c r="J459" i="35"/>
  <c r="G457" i="35"/>
  <c r="J457" i="35" s="1"/>
  <c r="E459" i="35"/>
  <c r="B461" i="35"/>
  <c r="C460" i="35"/>
  <c r="D460" i="35"/>
  <c r="J424" i="56"/>
  <c r="K423" i="56"/>
  <c r="L423" i="56" s="1"/>
  <c r="K414" i="17"/>
  <c r="L414" i="17" s="1"/>
  <c r="E460" i="35" l="1"/>
  <c r="I460" i="35"/>
  <c r="B462" i="35"/>
  <c r="C461" i="35"/>
  <c r="D461" i="35"/>
  <c r="F459" i="35"/>
  <c r="I459" i="35" s="1"/>
  <c r="H459" i="35"/>
  <c r="J425" i="56"/>
  <c r="K424" i="56"/>
  <c r="L424" i="56" s="1"/>
  <c r="K415" i="17"/>
  <c r="L415" i="17" s="1"/>
  <c r="E461" i="35" l="1"/>
  <c r="F461" i="35" s="1"/>
  <c r="G459" i="35"/>
  <c r="I461" i="35"/>
  <c r="B463" i="35"/>
  <c r="C462" i="35"/>
  <c r="D462" i="35"/>
  <c r="H460" i="35"/>
  <c r="F460" i="35"/>
  <c r="J426" i="56"/>
  <c r="K425" i="56"/>
  <c r="L425" i="56" s="1"/>
  <c r="K416" i="17"/>
  <c r="L416" i="17" s="1"/>
  <c r="H461" i="35" l="1"/>
  <c r="G461" i="35" s="1"/>
  <c r="J461" i="35" s="1"/>
  <c r="E462" i="35"/>
  <c r="F462" i="35" s="1"/>
  <c r="I462" i="35" s="1"/>
  <c r="J462" i="35"/>
  <c r="G460" i="35"/>
  <c r="J460" i="35" s="1"/>
  <c r="B464" i="35"/>
  <c r="C463" i="35"/>
  <c r="D463" i="35"/>
  <c r="I463" i="35" s="1"/>
  <c r="K426" i="56"/>
  <c r="L426" i="56" s="1"/>
  <c r="J427" i="56"/>
  <c r="K417" i="17"/>
  <c r="L417" i="17" s="1"/>
  <c r="H462" i="35" l="1"/>
  <c r="G462" i="35" s="1"/>
  <c r="E463" i="35"/>
  <c r="B465" i="35"/>
  <c r="C464" i="35"/>
  <c r="D464" i="35"/>
  <c r="J428" i="56"/>
  <c r="K427" i="56"/>
  <c r="L427" i="56" s="1"/>
  <c r="K418" i="17"/>
  <c r="L418" i="17" s="1"/>
  <c r="E464" i="35" l="1"/>
  <c r="F464" i="35" s="1"/>
  <c r="I464" i="35"/>
  <c r="B466" i="35"/>
  <c r="C465" i="35"/>
  <c r="D465" i="35"/>
  <c r="I465" i="35" s="1"/>
  <c r="H463" i="35"/>
  <c r="F463" i="35"/>
  <c r="J429" i="56"/>
  <c r="K428" i="56"/>
  <c r="L428" i="56" s="1"/>
  <c r="K419" i="17"/>
  <c r="L419" i="17" s="1"/>
  <c r="H464" i="35" l="1"/>
  <c r="G464" i="35" s="1"/>
  <c r="J464" i="35" s="1"/>
  <c r="G463" i="35"/>
  <c r="J463" i="35" s="1"/>
  <c r="E465" i="35"/>
  <c r="B467" i="35"/>
  <c r="C466" i="35"/>
  <c r="D466" i="35"/>
  <c r="I466" i="35" s="1"/>
  <c r="K429" i="56"/>
  <c r="L429" i="56" s="1"/>
  <c r="J430" i="56"/>
  <c r="K420" i="17"/>
  <c r="L420" i="17" s="1"/>
  <c r="E466" i="35" l="1"/>
  <c r="H466" i="35" s="1"/>
  <c r="B468" i="35"/>
  <c r="D467" i="35"/>
  <c r="I467" i="35" s="1"/>
  <c r="C467" i="35"/>
  <c r="F465" i="35"/>
  <c r="H465" i="35"/>
  <c r="K430" i="56"/>
  <c r="L430" i="56" s="1"/>
  <c r="J431" i="56"/>
  <c r="K421" i="17"/>
  <c r="L421" i="17" s="1"/>
  <c r="J467" i="35" l="1"/>
  <c r="F466" i="35"/>
  <c r="G466" i="35" s="1"/>
  <c r="J466" i="35" s="1"/>
  <c r="G465" i="35"/>
  <c r="J465" i="35" s="1"/>
  <c r="E467" i="35"/>
  <c r="B469" i="35"/>
  <c r="D468" i="35"/>
  <c r="I468" i="35" s="1"/>
  <c r="C468" i="35"/>
  <c r="K431" i="56"/>
  <c r="L431" i="56" s="1"/>
  <c r="J432" i="56"/>
  <c r="K422" i="17"/>
  <c r="L422" i="17" s="1"/>
  <c r="E468" i="35" l="1"/>
  <c r="B470" i="35"/>
  <c r="D469" i="35"/>
  <c r="C469" i="35"/>
  <c r="F467" i="35"/>
  <c r="H467" i="35"/>
  <c r="J433" i="56"/>
  <c r="K432" i="56"/>
  <c r="L432" i="56" s="1"/>
  <c r="K423" i="17"/>
  <c r="L423" i="17" s="1"/>
  <c r="G467" i="35" l="1"/>
  <c r="E469" i="35"/>
  <c r="H469" i="35" s="1"/>
  <c r="I469" i="35"/>
  <c r="B471" i="35"/>
  <c r="C470" i="35"/>
  <c r="D470" i="35"/>
  <c r="F468" i="35"/>
  <c r="H468" i="35"/>
  <c r="K433" i="56"/>
  <c r="L433" i="56" s="1"/>
  <c r="J434" i="56"/>
  <c r="K424" i="17"/>
  <c r="L424" i="17" s="1"/>
  <c r="G468" i="35" l="1"/>
  <c r="J468" i="35" s="1"/>
  <c r="F469" i="35"/>
  <c r="G469" i="35" s="1"/>
  <c r="J469" i="35" s="1"/>
  <c r="E470" i="35"/>
  <c r="I470" i="35"/>
  <c r="B472" i="35"/>
  <c r="C471" i="35"/>
  <c r="D471" i="35"/>
  <c r="K434" i="56"/>
  <c r="L434" i="56" s="1"/>
  <c r="J435" i="56"/>
  <c r="K425" i="17"/>
  <c r="L425" i="17" s="1"/>
  <c r="J471" i="35" l="1"/>
  <c r="E471" i="35"/>
  <c r="F471" i="35" s="1"/>
  <c r="I471" i="35" s="1"/>
  <c r="B473" i="35"/>
  <c r="D472" i="35"/>
  <c r="I472" i="35" s="1"/>
  <c r="C472" i="35"/>
  <c r="F470" i="35"/>
  <c r="H470" i="35"/>
  <c r="J436" i="56"/>
  <c r="K435" i="56"/>
  <c r="L435" i="56" s="1"/>
  <c r="K426" i="17"/>
  <c r="L426" i="17" s="1"/>
  <c r="H471" i="35" l="1"/>
  <c r="G471" i="35" s="1"/>
  <c r="G470" i="35"/>
  <c r="J470" i="35" s="1"/>
  <c r="E472" i="35"/>
  <c r="B474" i="35"/>
  <c r="C473" i="35"/>
  <c r="D473" i="35"/>
  <c r="J437" i="56"/>
  <c r="K436" i="56"/>
  <c r="L436" i="56" s="1"/>
  <c r="K427" i="17"/>
  <c r="L427" i="17" s="1"/>
  <c r="E473" i="35" l="1"/>
  <c r="F473" i="35" s="1"/>
  <c r="I473" i="35"/>
  <c r="B475" i="35"/>
  <c r="D474" i="35"/>
  <c r="I474" i="35" s="1"/>
  <c r="C474" i="35"/>
  <c r="H472" i="35"/>
  <c r="F472" i="35"/>
  <c r="J438" i="56"/>
  <c r="K437" i="56"/>
  <c r="L437" i="56" s="1"/>
  <c r="K428" i="17"/>
  <c r="L428" i="17" s="1"/>
  <c r="H473" i="35" l="1"/>
  <c r="G473" i="35" s="1"/>
  <c r="J473" i="35" s="1"/>
  <c r="G472" i="35"/>
  <c r="J472" i="35" s="1"/>
  <c r="E474" i="35"/>
  <c r="B476" i="35"/>
  <c r="C475" i="35"/>
  <c r="D475" i="35"/>
  <c r="I475" i="35" s="1"/>
  <c r="K438" i="56"/>
  <c r="L438" i="56" s="1"/>
  <c r="J439" i="56"/>
  <c r="K429" i="17"/>
  <c r="L429" i="17" s="1"/>
  <c r="E475" i="35" l="1"/>
  <c r="F475" i="35" s="1"/>
  <c r="B477" i="35"/>
  <c r="C476" i="35"/>
  <c r="D476" i="35"/>
  <c r="F474" i="35"/>
  <c r="H474" i="35"/>
  <c r="J440" i="56"/>
  <c r="K439" i="56"/>
  <c r="L439" i="56" s="1"/>
  <c r="K430" i="17"/>
  <c r="L430" i="17" s="1"/>
  <c r="J476" i="35" l="1"/>
  <c r="H475" i="35"/>
  <c r="G475" i="35" s="1"/>
  <c r="J475" i="35" s="1"/>
  <c r="G474" i="35"/>
  <c r="J474" i="35" s="1"/>
  <c r="E476" i="35"/>
  <c r="F476" i="35" s="1"/>
  <c r="I476" i="35"/>
  <c r="B478" i="35"/>
  <c r="D477" i="35"/>
  <c r="I477" i="35" s="1"/>
  <c r="C477" i="35"/>
  <c r="J441" i="56"/>
  <c r="K440" i="56"/>
  <c r="L440" i="56" s="1"/>
  <c r="K431" i="17"/>
  <c r="L431" i="17" s="1"/>
  <c r="J477" i="35" l="1"/>
  <c r="H476" i="35"/>
  <c r="G476" i="35" s="1"/>
  <c r="E477" i="35"/>
  <c r="B479" i="35"/>
  <c r="D478" i="35"/>
  <c r="I478" i="35" s="1"/>
  <c r="C478" i="35"/>
  <c r="J442" i="56"/>
  <c r="K441" i="56"/>
  <c r="L441" i="56" s="1"/>
  <c r="K432" i="17"/>
  <c r="L432" i="17" s="1"/>
  <c r="E478" i="35" l="1"/>
  <c r="B480" i="35"/>
  <c r="C479" i="35"/>
  <c r="D479" i="35"/>
  <c r="I479" i="35" s="1"/>
  <c r="F477" i="35"/>
  <c r="H477" i="35"/>
  <c r="K442" i="56"/>
  <c r="L442" i="56" s="1"/>
  <c r="J443" i="56"/>
  <c r="K433" i="17"/>
  <c r="L433" i="17" s="1"/>
  <c r="J479" i="35" l="1"/>
  <c r="G477" i="35"/>
  <c r="E479" i="35"/>
  <c r="B481" i="35"/>
  <c r="C480" i="35"/>
  <c r="D480" i="35"/>
  <c r="I480" i="35" s="1"/>
  <c r="H478" i="35"/>
  <c r="F478" i="35"/>
  <c r="J444" i="56"/>
  <c r="K443" i="56"/>
  <c r="L443" i="56" s="1"/>
  <c r="K434" i="17"/>
  <c r="L434" i="17" s="1"/>
  <c r="E480" i="35" l="1"/>
  <c r="F480" i="35" s="1"/>
  <c r="G478" i="35"/>
  <c r="J478" i="35" s="1"/>
  <c r="B482" i="35"/>
  <c r="C481" i="35"/>
  <c r="D481" i="35"/>
  <c r="J480" i="35"/>
  <c r="H479" i="35"/>
  <c r="F479" i="35"/>
  <c r="J445" i="56"/>
  <c r="K444" i="56"/>
  <c r="L444" i="56" s="1"/>
  <c r="K435" i="17"/>
  <c r="L435" i="17" s="1"/>
  <c r="J481" i="35" l="1"/>
  <c r="H480" i="35"/>
  <c r="G480" i="35" s="1"/>
  <c r="G479" i="35"/>
  <c r="E481" i="35"/>
  <c r="H481" i="35" s="1"/>
  <c r="I481" i="35"/>
  <c r="B483" i="35"/>
  <c r="D482" i="35"/>
  <c r="C482" i="35"/>
  <c r="K445" i="56"/>
  <c r="L445" i="56" s="1"/>
  <c r="J446" i="56"/>
  <c r="K436" i="17"/>
  <c r="L436" i="17" s="1"/>
  <c r="F481" i="35" l="1"/>
  <c r="G481" i="35" s="1"/>
  <c r="J482" i="35"/>
  <c r="E482" i="35"/>
  <c r="B484" i="35"/>
  <c r="D483" i="35"/>
  <c r="C483" i="35"/>
  <c r="K446" i="56"/>
  <c r="L446" i="56" s="1"/>
  <c r="J447" i="56"/>
  <c r="K437" i="17"/>
  <c r="L437" i="17" s="1"/>
  <c r="E483" i="35" l="1"/>
  <c r="F483" i="35" s="1"/>
  <c r="I483" i="35" s="1"/>
  <c r="B485" i="35"/>
  <c r="C484" i="35"/>
  <c r="D484" i="35"/>
  <c r="I484" i="35" s="1"/>
  <c r="F482" i="35"/>
  <c r="I482" i="35" s="1"/>
  <c r="H482" i="35"/>
  <c r="K447" i="56"/>
  <c r="L447" i="56" s="1"/>
  <c r="J448" i="56"/>
  <c r="K438" i="17"/>
  <c r="L438" i="17" s="1"/>
  <c r="H483" i="35" l="1"/>
  <c r="G483" i="35" s="1"/>
  <c r="J483" i="35" s="1"/>
  <c r="E484" i="35"/>
  <c r="B486" i="35"/>
  <c r="C485" i="35"/>
  <c r="D485" i="35"/>
  <c r="I485" i="35" s="1"/>
  <c r="G482" i="35"/>
  <c r="J449" i="56"/>
  <c r="K448" i="56"/>
  <c r="L448" i="56" s="1"/>
  <c r="K439" i="17"/>
  <c r="L439" i="17" s="1"/>
  <c r="E485" i="35" l="1"/>
  <c r="B487" i="35"/>
  <c r="D486" i="35"/>
  <c r="I486" i="35" s="1"/>
  <c r="C486" i="35"/>
  <c r="H484" i="35"/>
  <c r="F484" i="35"/>
  <c r="K449" i="56"/>
  <c r="L449" i="56" s="1"/>
  <c r="J450" i="56"/>
  <c r="K440" i="17"/>
  <c r="L440" i="17" s="1"/>
  <c r="G484" i="35" l="1"/>
  <c r="J484" i="35" s="1"/>
  <c r="E486" i="35"/>
  <c r="B488" i="35"/>
  <c r="C487" i="35"/>
  <c r="D487" i="35"/>
  <c r="I487" i="35" s="1"/>
  <c r="F485" i="35"/>
  <c r="H485" i="35"/>
  <c r="K450" i="56"/>
  <c r="L450" i="56" s="1"/>
  <c r="J451" i="56"/>
  <c r="K441" i="17"/>
  <c r="L441" i="17" s="1"/>
  <c r="G485" i="35" l="1"/>
  <c r="J485" i="35" s="1"/>
  <c r="E487" i="35"/>
  <c r="B489" i="35"/>
  <c r="C488" i="35"/>
  <c r="D488" i="35"/>
  <c r="H486" i="35"/>
  <c r="F486" i="35"/>
  <c r="J452" i="56"/>
  <c r="K451" i="56"/>
  <c r="L451" i="56" s="1"/>
  <c r="K442" i="17"/>
  <c r="L442" i="17" s="1"/>
  <c r="E488" i="35" l="1"/>
  <c r="F488" i="35" s="1"/>
  <c r="G486" i="35"/>
  <c r="J486" i="35" s="1"/>
  <c r="I488" i="35"/>
  <c r="B490" i="35"/>
  <c r="D489" i="35"/>
  <c r="I489" i="35" s="1"/>
  <c r="C489" i="35"/>
  <c r="H487" i="35"/>
  <c r="F487" i="35"/>
  <c r="J453" i="56"/>
  <c r="K452" i="56"/>
  <c r="L452" i="56" s="1"/>
  <c r="K443" i="17"/>
  <c r="L443" i="17" s="1"/>
  <c r="H488" i="35" l="1"/>
  <c r="G488" i="35" s="1"/>
  <c r="J488" i="35" s="1"/>
  <c r="G487" i="35"/>
  <c r="J487" i="35" s="1"/>
  <c r="E489" i="35"/>
  <c r="B491" i="35"/>
  <c r="C490" i="35"/>
  <c r="D490" i="35"/>
  <c r="J454" i="56"/>
  <c r="K453" i="56"/>
  <c r="L453" i="56" s="1"/>
  <c r="K444" i="17"/>
  <c r="L444" i="17" s="1"/>
  <c r="E490" i="35" l="1"/>
  <c r="H490" i="35" s="1"/>
  <c r="I490" i="35"/>
  <c r="B492" i="35"/>
  <c r="C491" i="35"/>
  <c r="D491" i="35"/>
  <c r="H489" i="35"/>
  <c r="F489" i="35"/>
  <c r="K454" i="56"/>
  <c r="L454" i="56" s="1"/>
  <c r="J455" i="56"/>
  <c r="K445" i="17"/>
  <c r="L445" i="17" s="1"/>
  <c r="F490" i="35" l="1"/>
  <c r="E491" i="35"/>
  <c r="F491" i="35" s="1"/>
  <c r="G489" i="35"/>
  <c r="J489" i="35" s="1"/>
  <c r="I491" i="35"/>
  <c r="B493" i="35"/>
  <c r="C492" i="35"/>
  <c r="D492" i="35"/>
  <c r="G490" i="35"/>
  <c r="J490" i="35" s="1"/>
  <c r="J456" i="56"/>
  <c r="K455" i="56"/>
  <c r="L455" i="56" s="1"/>
  <c r="K446" i="17"/>
  <c r="L446" i="17" s="1"/>
  <c r="H491" i="35" l="1"/>
  <c r="G491" i="35" s="1"/>
  <c r="J491" i="35" s="1"/>
  <c r="E492" i="35"/>
  <c r="F492" i="35" s="1"/>
  <c r="I492" i="35" s="1"/>
  <c r="J492" i="35"/>
  <c r="B494" i="35"/>
  <c r="C493" i="35"/>
  <c r="D493" i="35"/>
  <c r="I493" i="35" s="1"/>
  <c r="J457" i="56"/>
  <c r="K456" i="56"/>
  <c r="L456" i="56" s="1"/>
  <c r="K447" i="17"/>
  <c r="L447" i="17" s="1"/>
  <c r="H492" i="35" l="1"/>
  <c r="G492" i="35" s="1"/>
  <c r="E493" i="35"/>
  <c r="B495" i="35"/>
  <c r="C494" i="35"/>
  <c r="D494" i="35"/>
  <c r="I494" i="35" s="1"/>
  <c r="J458" i="56"/>
  <c r="K457" i="56"/>
  <c r="L457" i="56" s="1"/>
  <c r="K448" i="17"/>
  <c r="L448" i="17" s="1"/>
  <c r="E494" i="35" l="1"/>
  <c r="B496" i="35"/>
  <c r="C495" i="35"/>
  <c r="D495" i="35"/>
  <c r="I495" i="35" s="1"/>
  <c r="F493" i="35"/>
  <c r="H493" i="35"/>
  <c r="K458" i="56"/>
  <c r="L458" i="56" s="1"/>
  <c r="J459" i="56"/>
  <c r="K449" i="17"/>
  <c r="L449" i="17" s="1"/>
  <c r="G493" i="35" l="1"/>
  <c r="J493" i="35" s="1"/>
  <c r="E495" i="35"/>
  <c r="B497" i="35"/>
  <c r="D496" i="35"/>
  <c r="I496" i="35" s="1"/>
  <c r="C496" i="35"/>
  <c r="F494" i="35"/>
  <c r="H494" i="35"/>
  <c r="J460" i="56"/>
  <c r="K459" i="56"/>
  <c r="L459" i="56" s="1"/>
  <c r="K450" i="17"/>
  <c r="L450" i="17" s="1"/>
  <c r="G494" i="35" l="1"/>
  <c r="J494" i="35" s="1"/>
  <c r="E496" i="35"/>
  <c r="B498" i="35"/>
  <c r="C497" i="35"/>
  <c r="D497" i="35"/>
  <c r="I497" i="35" s="1"/>
  <c r="F495" i="35"/>
  <c r="H495" i="35"/>
  <c r="J461" i="56"/>
  <c r="K460" i="56"/>
  <c r="L460" i="56" s="1"/>
  <c r="K451" i="17"/>
  <c r="L451" i="17" s="1"/>
  <c r="G495" i="35" l="1"/>
  <c r="J495" i="35" s="1"/>
  <c r="E497" i="35"/>
  <c r="B499" i="35"/>
  <c r="C498" i="35"/>
  <c r="D498" i="35"/>
  <c r="I498" i="35" s="1"/>
  <c r="F496" i="35"/>
  <c r="H496" i="35"/>
  <c r="K461" i="56"/>
  <c r="L461" i="56" s="1"/>
  <c r="J462" i="56"/>
  <c r="K452" i="17"/>
  <c r="L452" i="17" s="1"/>
  <c r="E498" i="35" l="1"/>
  <c r="F498" i="35" s="1"/>
  <c r="G496" i="35"/>
  <c r="J496" i="35" s="1"/>
  <c r="B500" i="35"/>
  <c r="C499" i="35"/>
  <c r="D499" i="35"/>
  <c r="H497" i="35"/>
  <c r="F497" i="35"/>
  <c r="K462" i="56"/>
  <c r="L462" i="56" s="1"/>
  <c r="J463" i="56"/>
  <c r="K453" i="17"/>
  <c r="L453" i="17" s="1"/>
  <c r="H498" i="35" l="1"/>
  <c r="G498" i="35" s="1"/>
  <c r="J498" i="35" s="1"/>
  <c r="E499" i="35"/>
  <c r="F499" i="35" s="1"/>
  <c r="G497" i="35"/>
  <c r="J497" i="35" s="1"/>
  <c r="I499" i="35"/>
  <c r="B501" i="35"/>
  <c r="C500" i="35"/>
  <c r="D500" i="35"/>
  <c r="K463" i="56"/>
  <c r="L463" i="56" s="1"/>
  <c r="J464" i="56"/>
  <c r="K454" i="17"/>
  <c r="L454" i="17" s="1"/>
  <c r="H499" i="35" l="1"/>
  <c r="G499" i="35" s="1"/>
  <c r="J499" i="35" s="1"/>
  <c r="J500" i="35"/>
  <c r="E500" i="35"/>
  <c r="B502" i="35"/>
  <c r="C501" i="35"/>
  <c r="D501" i="35"/>
  <c r="J465" i="56"/>
  <c r="K464" i="56"/>
  <c r="L464" i="56" s="1"/>
  <c r="K455" i="17"/>
  <c r="L455" i="17" s="1"/>
  <c r="E501" i="35" l="1"/>
  <c r="F501" i="35" s="1"/>
  <c r="B503" i="35"/>
  <c r="C502" i="35"/>
  <c r="D502" i="35"/>
  <c r="I502" i="35" s="1"/>
  <c r="I501" i="35"/>
  <c r="F500" i="35"/>
  <c r="I500" i="35" s="1"/>
  <c r="H500" i="35"/>
  <c r="K465" i="56"/>
  <c r="L465" i="56" s="1"/>
  <c r="J466" i="56"/>
  <c r="K456" i="17"/>
  <c r="L456" i="17" s="1"/>
  <c r="H501" i="35" l="1"/>
  <c r="G501" i="35" s="1"/>
  <c r="J501" i="35" s="1"/>
  <c r="G500" i="35"/>
  <c r="E502" i="35"/>
  <c r="B504" i="35"/>
  <c r="D503" i="35"/>
  <c r="I503" i="35" s="1"/>
  <c r="C503" i="35"/>
  <c r="K466" i="56"/>
  <c r="L466" i="56" s="1"/>
  <c r="J467" i="56"/>
  <c r="K457" i="17"/>
  <c r="L457" i="17" s="1"/>
  <c r="E503" i="35" l="1"/>
  <c r="F503" i="35" s="1"/>
  <c r="B505" i="35"/>
  <c r="C504" i="35"/>
  <c r="D504" i="35"/>
  <c r="F502" i="35"/>
  <c r="H502" i="35"/>
  <c r="J468" i="56"/>
  <c r="K467" i="56"/>
  <c r="L467" i="56" s="1"/>
  <c r="K458" i="17"/>
  <c r="L458" i="17" s="1"/>
  <c r="G502" i="35" l="1"/>
  <c r="J502" i="35" s="1"/>
  <c r="H503" i="35"/>
  <c r="G503" i="35" s="1"/>
  <c r="J503" i="35" s="1"/>
  <c r="E504" i="35"/>
  <c r="F504" i="35" s="1"/>
  <c r="I504" i="35"/>
  <c r="B506" i="35"/>
  <c r="C505" i="35"/>
  <c r="D505" i="35"/>
  <c r="J469" i="56"/>
  <c r="K468" i="56"/>
  <c r="L468" i="56" s="1"/>
  <c r="K459" i="17"/>
  <c r="L459" i="17" s="1"/>
  <c r="H504" i="35" l="1"/>
  <c r="G504" i="35" s="1"/>
  <c r="J504" i="35" s="1"/>
  <c r="J505" i="35"/>
  <c r="E505" i="35"/>
  <c r="H505" i="35" s="1"/>
  <c r="B507" i="35"/>
  <c r="D506" i="35"/>
  <c r="C506" i="35"/>
  <c r="J470" i="56"/>
  <c r="K469" i="56"/>
  <c r="L469" i="56" s="1"/>
  <c r="K460" i="17"/>
  <c r="L460" i="17" s="1"/>
  <c r="F505" i="35" l="1"/>
  <c r="I505" i="35" s="1"/>
  <c r="E506" i="35"/>
  <c r="F506" i="35" s="1"/>
  <c r="I506" i="35"/>
  <c r="B508" i="35"/>
  <c r="D507" i="35"/>
  <c r="I507" i="35" s="1"/>
  <c r="C507" i="35"/>
  <c r="G505" i="35"/>
  <c r="K470" i="56"/>
  <c r="L470" i="56" s="1"/>
  <c r="J471" i="56"/>
  <c r="K461" i="17"/>
  <c r="L461" i="17" s="1"/>
  <c r="H506" i="35" l="1"/>
  <c r="G506" i="35" s="1"/>
  <c r="J506" i="35" s="1"/>
  <c r="E507" i="35"/>
  <c r="B509" i="35"/>
  <c r="C508" i="35"/>
  <c r="D508" i="35"/>
  <c r="J472" i="56"/>
  <c r="K471" i="56"/>
  <c r="L471" i="56" s="1"/>
  <c r="K462" i="17"/>
  <c r="L462" i="17" s="1"/>
  <c r="E508" i="35" l="1"/>
  <c r="F508" i="35" s="1"/>
  <c r="I508" i="35"/>
  <c r="B510" i="35"/>
  <c r="D509" i="35"/>
  <c r="C509" i="35"/>
  <c r="F507" i="35"/>
  <c r="H507" i="35"/>
  <c r="J473" i="56"/>
  <c r="K472" i="56"/>
  <c r="L472" i="56" s="1"/>
  <c r="K463" i="17"/>
  <c r="L463" i="17" s="1"/>
  <c r="J509" i="35" l="1"/>
  <c r="H508" i="35"/>
  <c r="G508" i="35" s="1"/>
  <c r="J508" i="35" s="1"/>
  <c r="G507" i="35"/>
  <c r="J507" i="35" s="1"/>
  <c r="E509" i="35"/>
  <c r="B511" i="35"/>
  <c r="C510" i="35"/>
  <c r="D510" i="35"/>
  <c r="I510" i="35" s="1"/>
  <c r="J474" i="56"/>
  <c r="K473" i="56"/>
  <c r="L473" i="56" s="1"/>
  <c r="K464" i="17"/>
  <c r="L464" i="17" s="1"/>
  <c r="E510" i="35" l="1"/>
  <c r="F510" i="35" s="1"/>
  <c r="B512" i="35"/>
  <c r="D511" i="35"/>
  <c r="C511" i="35"/>
  <c r="F509" i="35"/>
  <c r="I509" i="35" s="1"/>
  <c r="H509" i="35"/>
  <c r="K474" i="56"/>
  <c r="L474" i="56" s="1"/>
  <c r="J475" i="56"/>
  <c r="K465" i="17"/>
  <c r="L465" i="17" s="1"/>
  <c r="H510" i="35" l="1"/>
  <c r="G510" i="35" s="1"/>
  <c r="J510" i="35" s="1"/>
  <c r="G509" i="35"/>
  <c r="E511" i="35"/>
  <c r="F511" i="35" s="1"/>
  <c r="I511" i="35"/>
  <c r="B513" i="35"/>
  <c r="D512" i="35"/>
  <c r="I512" i="35" s="1"/>
  <c r="C512" i="35"/>
  <c r="J476" i="56"/>
  <c r="K475" i="56"/>
  <c r="L475" i="56" s="1"/>
  <c r="K466" i="17"/>
  <c r="L466" i="17" s="1"/>
  <c r="H511" i="35" l="1"/>
  <c r="G511" i="35" s="1"/>
  <c r="J511" i="35" s="1"/>
  <c r="E512" i="35"/>
  <c r="B514" i="35"/>
  <c r="C513" i="35"/>
  <c r="D513" i="35"/>
  <c r="I513" i="35" s="1"/>
  <c r="J477" i="56"/>
  <c r="K476" i="56"/>
  <c r="L476" i="56" s="1"/>
  <c r="K467" i="17"/>
  <c r="L467" i="17" s="1"/>
  <c r="E513" i="35" l="1"/>
  <c r="B515" i="35"/>
  <c r="C514" i="35"/>
  <c r="D514" i="35"/>
  <c r="I514" i="35" s="1"/>
  <c r="F512" i="35"/>
  <c r="H512" i="35"/>
  <c r="K477" i="56"/>
  <c r="L477" i="56" s="1"/>
  <c r="J478" i="56"/>
  <c r="K468" i="17"/>
  <c r="L468" i="17" s="1"/>
  <c r="G512" i="35" l="1"/>
  <c r="J512" i="35" s="1"/>
  <c r="E514" i="35"/>
  <c r="B516" i="35"/>
  <c r="D515" i="35"/>
  <c r="C515" i="35"/>
  <c r="F513" i="35"/>
  <c r="H513" i="35"/>
  <c r="K478" i="56"/>
  <c r="L478" i="56" s="1"/>
  <c r="J479" i="56"/>
  <c r="K469" i="17"/>
  <c r="L469" i="17" s="1"/>
  <c r="J515" i="35" l="1"/>
  <c r="E515" i="35"/>
  <c r="H515" i="35" s="1"/>
  <c r="G513" i="35"/>
  <c r="J513" i="35" s="1"/>
  <c r="B517" i="35"/>
  <c r="D516" i="35"/>
  <c r="I516" i="35" s="1"/>
  <c r="C516" i="35"/>
  <c r="F514" i="35"/>
  <c r="H514" i="35"/>
  <c r="K479" i="56"/>
  <c r="L479" i="56" s="1"/>
  <c r="J480" i="56"/>
  <c r="K470" i="17"/>
  <c r="L470" i="17" s="1"/>
  <c r="G514" i="35" l="1"/>
  <c r="J514" i="35" s="1"/>
  <c r="F515" i="35"/>
  <c r="I515" i="35" s="1"/>
  <c r="E516" i="35"/>
  <c r="F516" i="35" s="1"/>
  <c r="B518" i="35"/>
  <c r="D517" i="35"/>
  <c r="C517" i="35"/>
  <c r="J481" i="56"/>
  <c r="K480" i="56"/>
  <c r="L480" i="56" s="1"/>
  <c r="K471" i="17"/>
  <c r="L471" i="17" s="1"/>
  <c r="G515" i="35" l="1"/>
  <c r="J517" i="35"/>
  <c r="H516" i="35"/>
  <c r="G516" i="35" s="1"/>
  <c r="J516" i="35" s="1"/>
  <c r="E517" i="35"/>
  <c r="B519" i="35"/>
  <c r="C518" i="35"/>
  <c r="D518" i="35"/>
  <c r="K481" i="56"/>
  <c r="L481" i="56" s="1"/>
  <c r="J482" i="56"/>
  <c r="K472" i="17"/>
  <c r="L472" i="17" s="1"/>
  <c r="E518" i="35" l="1"/>
  <c r="H518" i="35" s="1"/>
  <c r="I518" i="35"/>
  <c r="B520" i="35"/>
  <c r="C519" i="35"/>
  <c r="D519" i="35"/>
  <c r="F517" i="35"/>
  <c r="I517" i="35" s="1"/>
  <c r="H517" i="35"/>
  <c r="K482" i="56"/>
  <c r="L482" i="56" s="1"/>
  <c r="J483" i="56"/>
  <c r="K473" i="17"/>
  <c r="L473" i="17" s="1"/>
  <c r="G517" i="35" l="1"/>
  <c r="F518" i="35"/>
  <c r="E519" i="35"/>
  <c r="F519" i="35" s="1"/>
  <c r="I519" i="35"/>
  <c r="B521" i="35"/>
  <c r="C520" i="35"/>
  <c r="D520" i="35"/>
  <c r="G518" i="35"/>
  <c r="J518" i="35" s="1"/>
  <c r="J484" i="56"/>
  <c r="K483" i="56"/>
  <c r="L483" i="56" s="1"/>
  <c r="K474" i="17"/>
  <c r="L474" i="17" s="1"/>
  <c r="H519" i="35" l="1"/>
  <c r="G519" i="35" s="1"/>
  <c r="J519" i="35" s="1"/>
  <c r="E520" i="35"/>
  <c r="H520" i="35" s="1"/>
  <c r="I520" i="35"/>
  <c r="B522" i="35"/>
  <c r="D521" i="35"/>
  <c r="C521" i="35"/>
  <c r="J485" i="56"/>
  <c r="K484" i="56"/>
  <c r="L484" i="56" s="1"/>
  <c r="K475" i="17"/>
  <c r="L475" i="17" s="1"/>
  <c r="F520" i="35" l="1"/>
  <c r="E521" i="35"/>
  <c r="F521" i="35" s="1"/>
  <c r="I521" i="35" s="1"/>
  <c r="J521" i="35"/>
  <c r="B523" i="35"/>
  <c r="C522" i="35"/>
  <c r="D522" i="35"/>
  <c r="G520" i="35"/>
  <c r="J520" i="35" s="1"/>
  <c r="J486" i="56"/>
  <c r="K485" i="56"/>
  <c r="L485" i="56" s="1"/>
  <c r="K476" i="17"/>
  <c r="L476" i="17" s="1"/>
  <c r="H521" i="35" l="1"/>
  <c r="G521" i="35" s="1"/>
  <c r="E522" i="35"/>
  <c r="F522" i="35" s="1"/>
  <c r="I522" i="35"/>
  <c r="B524" i="35"/>
  <c r="D523" i="35"/>
  <c r="C523" i="35"/>
  <c r="K486" i="56"/>
  <c r="L486" i="56" s="1"/>
  <c r="J487" i="56"/>
  <c r="K477" i="17"/>
  <c r="L477" i="17" s="1"/>
  <c r="H522" i="35" l="1"/>
  <c r="G522" i="35" s="1"/>
  <c r="J522" i="35" s="1"/>
  <c r="J523" i="35"/>
  <c r="E523" i="35"/>
  <c r="H523" i="35" s="1"/>
  <c r="B525" i="35"/>
  <c r="D524" i="35"/>
  <c r="C524" i="35"/>
  <c r="J488" i="56"/>
  <c r="K487" i="56"/>
  <c r="L487" i="56" s="1"/>
  <c r="K478" i="17"/>
  <c r="L478" i="17" s="1"/>
  <c r="F523" i="35" l="1"/>
  <c r="I523" i="35" s="1"/>
  <c r="E524" i="35"/>
  <c r="F524" i="35" s="1"/>
  <c r="I524" i="35"/>
  <c r="B526" i="35"/>
  <c r="C525" i="35"/>
  <c r="D525" i="35"/>
  <c r="J489" i="56"/>
  <c r="K488" i="56"/>
  <c r="L488" i="56" s="1"/>
  <c r="K479" i="17"/>
  <c r="L479" i="17" s="1"/>
  <c r="G523" i="35" l="1"/>
  <c r="H524" i="35"/>
  <c r="G524" i="35" s="1"/>
  <c r="J524" i="35" s="1"/>
  <c r="J525" i="35"/>
  <c r="E525" i="35"/>
  <c r="F525" i="35" s="1"/>
  <c r="I525" i="35" s="1"/>
  <c r="B527" i="35"/>
  <c r="C526" i="35"/>
  <c r="D526" i="35"/>
  <c r="I526" i="35" s="1"/>
  <c r="J490" i="56"/>
  <c r="K489" i="56"/>
  <c r="L489" i="56" s="1"/>
  <c r="K480" i="17"/>
  <c r="L480" i="17" s="1"/>
  <c r="H525" i="35" l="1"/>
  <c r="G525" i="35" s="1"/>
  <c r="E526" i="35"/>
  <c r="B528" i="35"/>
  <c r="D527" i="35"/>
  <c r="C527" i="35"/>
  <c r="K490" i="56"/>
  <c r="L490" i="56" s="1"/>
  <c r="J491" i="56"/>
  <c r="K481" i="17"/>
  <c r="L481" i="17" s="1"/>
  <c r="J527" i="35" l="1"/>
  <c r="E527" i="35"/>
  <c r="B529" i="35"/>
  <c r="D528" i="35"/>
  <c r="I528" i="35" s="1"/>
  <c r="C528" i="35"/>
  <c r="H526" i="35"/>
  <c r="F526" i="35"/>
  <c r="J492" i="56"/>
  <c r="K491" i="56"/>
  <c r="L491" i="56" s="1"/>
  <c r="K482" i="17"/>
  <c r="L482" i="17" s="1"/>
  <c r="G526" i="35" l="1"/>
  <c r="J526" i="35" s="1"/>
  <c r="E528" i="35"/>
  <c r="B530" i="35"/>
  <c r="C529" i="35"/>
  <c r="D529" i="35"/>
  <c r="F527" i="35"/>
  <c r="I527" i="35" s="1"/>
  <c r="H527" i="35"/>
  <c r="J493" i="56"/>
  <c r="K492" i="56"/>
  <c r="L492" i="56" s="1"/>
  <c r="K483" i="17"/>
  <c r="L483" i="17" s="1"/>
  <c r="G527" i="35" l="1"/>
  <c r="E529" i="35"/>
  <c r="F529" i="35" s="1"/>
  <c r="I529" i="35"/>
  <c r="B531" i="35"/>
  <c r="C530" i="35"/>
  <c r="D530" i="35"/>
  <c r="I530" i="35" s="1"/>
  <c r="H528" i="35"/>
  <c r="F528" i="35"/>
  <c r="K493" i="56"/>
  <c r="L493" i="56" s="1"/>
  <c r="J494" i="56"/>
  <c r="K484" i="17"/>
  <c r="L484" i="17" s="1"/>
  <c r="H529" i="35" l="1"/>
  <c r="G529" i="35" s="1"/>
  <c r="J529" i="35" s="1"/>
  <c r="G528" i="35"/>
  <c r="J528" i="35" s="1"/>
  <c r="E530" i="35"/>
  <c r="B532" i="35"/>
  <c r="D531" i="35"/>
  <c r="C531" i="35"/>
  <c r="K494" i="56"/>
  <c r="L494" i="56" s="1"/>
  <c r="J495" i="56"/>
  <c r="K485" i="17"/>
  <c r="L485" i="17" s="1"/>
  <c r="J531" i="35" l="1"/>
  <c r="E531" i="35"/>
  <c r="F531" i="35" s="1"/>
  <c r="I531" i="35" s="1"/>
  <c r="B533" i="35"/>
  <c r="D532" i="35"/>
  <c r="I532" i="35" s="1"/>
  <c r="C532" i="35"/>
  <c r="F530" i="35"/>
  <c r="H530" i="35"/>
  <c r="K495" i="56"/>
  <c r="L495" i="56" s="1"/>
  <c r="J496" i="56"/>
  <c r="K486" i="17"/>
  <c r="L486" i="17" s="1"/>
  <c r="G530" i="35" l="1"/>
  <c r="J530" i="35" s="1"/>
  <c r="H531" i="35"/>
  <c r="G531" i="35" s="1"/>
  <c r="E532" i="35"/>
  <c r="H532" i="35" s="1"/>
  <c r="B534" i="35"/>
  <c r="C533" i="35"/>
  <c r="D533" i="35"/>
  <c r="I533" i="35" s="1"/>
  <c r="J497" i="56"/>
  <c r="K496" i="56"/>
  <c r="L496" i="56" s="1"/>
  <c r="K487" i="17"/>
  <c r="L487" i="17" s="1"/>
  <c r="F532" i="35" l="1"/>
  <c r="G532" i="35" s="1"/>
  <c r="J532" i="35" s="1"/>
  <c r="E533" i="35"/>
  <c r="B535" i="35"/>
  <c r="D534" i="35"/>
  <c r="I534" i="35" s="1"/>
  <c r="C534" i="35"/>
  <c r="K497" i="56"/>
  <c r="L497" i="56" s="1"/>
  <c r="J498" i="56"/>
  <c r="K488" i="17"/>
  <c r="L488" i="17" s="1"/>
  <c r="E534" i="35" l="1"/>
  <c r="F534" i="35" s="1"/>
  <c r="B536" i="35"/>
  <c r="C535" i="35"/>
  <c r="D535" i="35"/>
  <c r="H533" i="35"/>
  <c r="F533" i="35"/>
  <c r="K498" i="56"/>
  <c r="L498" i="56" s="1"/>
  <c r="J499" i="56"/>
  <c r="K489" i="17"/>
  <c r="L489" i="17" s="1"/>
  <c r="H534" i="35" l="1"/>
  <c r="G534" i="35" s="1"/>
  <c r="J534" i="35" s="1"/>
  <c r="E535" i="35"/>
  <c r="H535" i="35" s="1"/>
  <c r="G533" i="35"/>
  <c r="J533" i="35" s="1"/>
  <c r="I535" i="35"/>
  <c r="B537" i="35"/>
  <c r="C536" i="35"/>
  <c r="D536" i="35"/>
  <c r="J500" i="56"/>
  <c r="K499" i="56"/>
  <c r="L499" i="56" s="1"/>
  <c r="K490" i="17"/>
  <c r="L490" i="17" s="1"/>
  <c r="F535" i="35" l="1"/>
  <c r="G535" i="35" s="1"/>
  <c r="J535" i="35" s="1"/>
  <c r="J536" i="35"/>
  <c r="E536" i="35"/>
  <c r="B538" i="35"/>
  <c r="C537" i="35"/>
  <c r="D537" i="35"/>
  <c r="I537" i="35" s="1"/>
  <c r="J501" i="56"/>
  <c r="K500" i="56"/>
  <c r="L500" i="56" s="1"/>
  <c r="K491" i="17"/>
  <c r="L491" i="17" s="1"/>
  <c r="E537" i="35" l="1"/>
  <c r="B539" i="35"/>
  <c r="C538" i="35"/>
  <c r="D538" i="35"/>
  <c r="I538" i="35" s="1"/>
  <c r="H536" i="35"/>
  <c r="F536" i="35"/>
  <c r="I536" i="35" s="1"/>
  <c r="J502" i="56"/>
  <c r="K501" i="56"/>
  <c r="L501" i="56" s="1"/>
  <c r="K492" i="17"/>
  <c r="L492" i="17" s="1"/>
  <c r="G536" i="35" l="1"/>
  <c r="E538" i="35"/>
  <c r="B540" i="35"/>
  <c r="C539" i="35"/>
  <c r="D539" i="35"/>
  <c r="F537" i="35"/>
  <c r="H537" i="35"/>
  <c r="K502" i="56"/>
  <c r="L502" i="56" s="1"/>
  <c r="J503" i="56"/>
  <c r="K493" i="17"/>
  <c r="L493" i="17" s="1"/>
  <c r="J539" i="35" l="1"/>
  <c r="G537" i="35"/>
  <c r="J537" i="35" s="1"/>
  <c r="E539" i="35"/>
  <c r="H539" i="35" s="1"/>
  <c r="B541" i="35"/>
  <c r="C540" i="35"/>
  <c r="D540" i="35"/>
  <c r="F538" i="35"/>
  <c r="H538" i="35"/>
  <c r="J504" i="56"/>
  <c r="K503" i="56"/>
  <c r="L503" i="56" s="1"/>
  <c r="K494" i="17"/>
  <c r="L494" i="17" s="1"/>
  <c r="G538" i="35" l="1"/>
  <c r="J538" i="35" s="1"/>
  <c r="F539" i="35"/>
  <c r="I539" i="35" s="1"/>
  <c r="E540" i="35"/>
  <c r="F540" i="35" s="1"/>
  <c r="B542" i="35"/>
  <c r="D541" i="35"/>
  <c r="I541" i="35" s="1"/>
  <c r="C541" i="35"/>
  <c r="I540" i="35"/>
  <c r="G539" i="35"/>
  <c r="J505" i="56"/>
  <c r="K504" i="56"/>
  <c r="L504" i="56" s="1"/>
  <c r="K495" i="17"/>
  <c r="L495" i="17" s="1"/>
  <c r="H540" i="35" l="1"/>
  <c r="G540" i="35" s="1"/>
  <c r="J540" i="35" s="1"/>
  <c r="E541" i="35"/>
  <c r="B543" i="35"/>
  <c r="C542" i="35"/>
  <c r="D542" i="35"/>
  <c r="J506" i="56"/>
  <c r="K505" i="56"/>
  <c r="L505" i="56" s="1"/>
  <c r="K496" i="17"/>
  <c r="L496" i="17" s="1"/>
  <c r="J542" i="35" l="1"/>
  <c r="E542" i="35"/>
  <c r="B544" i="35"/>
  <c r="C543" i="35"/>
  <c r="D543" i="35"/>
  <c r="I543" i="35" s="1"/>
  <c r="H541" i="35"/>
  <c r="F541" i="35"/>
  <c r="K506" i="56"/>
  <c r="L506" i="56" s="1"/>
  <c r="J507" i="56"/>
  <c r="K497" i="17"/>
  <c r="L497" i="17" s="1"/>
  <c r="G541" i="35" l="1"/>
  <c r="J541" i="35" s="1"/>
  <c r="E543" i="35"/>
  <c r="B545" i="35"/>
  <c r="C544" i="35"/>
  <c r="D544" i="35"/>
  <c r="F542" i="35"/>
  <c r="I542" i="35" s="1"/>
  <c r="H542" i="35"/>
  <c r="J508" i="56"/>
  <c r="K507" i="56"/>
  <c r="L507" i="56" s="1"/>
  <c r="K498" i="17"/>
  <c r="L498" i="17" s="1"/>
  <c r="G542" i="35" l="1"/>
  <c r="E544" i="35"/>
  <c r="F544" i="35" s="1"/>
  <c r="I544" i="35"/>
  <c r="B546" i="35"/>
  <c r="C545" i="35"/>
  <c r="D545" i="35"/>
  <c r="F543" i="35"/>
  <c r="H543" i="35"/>
  <c r="J509" i="56"/>
  <c r="K508" i="56"/>
  <c r="L508" i="56" s="1"/>
  <c r="K499" i="17"/>
  <c r="L499" i="17" s="1"/>
  <c r="H544" i="35" l="1"/>
  <c r="G544" i="35" s="1"/>
  <c r="J544" i="35" s="1"/>
  <c r="G543" i="35"/>
  <c r="J543" i="35" s="1"/>
  <c r="E545" i="35"/>
  <c r="H545" i="35" s="1"/>
  <c r="I545" i="35"/>
  <c r="B547" i="35"/>
  <c r="D546" i="35"/>
  <c r="C546" i="35"/>
  <c r="K509" i="56"/>
  <c r="L509" i="56" s="1"/>
  <c r="J510" i="56"/>
  <c r="K500" i="17"/>
  <c r="L500" i="17" s="1"/>
  <c r="F545" i="35" l="1"/>
  <c r="E546" i="35"/>
  <c r="H546" i="35" s="1"/>
  <c r="J546" i="35"/>
  <c r="B548" i="35"/>
  <c r="D547" i="35"/>
  <c r="C547" i="35"/>
  <c r="G545" i="35"/>
  <c r="J545" i="35" s="1"/>
  <c r="K510" i="56"/>
  <c r="L510" i="56" s="1"/>
  <c r="J511" i="56"/>
  <c r="K501" i="17"/>
  <c r="L501" i="17" s="1"/>
  <c r="F546" i="35" l="1"/>
  <c r="I546" i="35" s="1"/>
  <c r="E547" i="35"/>
  <c r="I547" i="35"/>
  <c r="B549" i="35"/>
  <c r="C548" i="35"/>
  <c r="D548" i="35"/>
  <c r="K511" i="56"/>
  <c r="L511" i="56" s="1"/>
  <c r="J512" i="56"/>
  <c r="K502" i="17"/>
  <c r="L502" i="17" s="1"/>
  <c r="G546" i="35" l="1"/>
  <c r="J548" i="35"/>
  <c r="E548" i="35"/>
  <c r="F548" i="35" s="1"/>
  <c r="I548" i="35" s="1"/>
  <c r="B550" i="35"/>
  <c r="C549" i="35"/>
  <c r="D549" i="35"/>
  <c r="F547" i="35"/>
  <c r="H547" i="35"/>
  <c r="J513" i="56"/>
  <c r="K512" i="56"/>
  <c r="L512" i="56" s="1"/>
  <c r="K503" i="17"/>
  <c r="L503" i="17" s="1"/>
  <c r="H548" i="35" l="1"/>
  <c r="G548" i="35" s="1"/>
  <c r="G547" i="35"/>
  <c r="J547" i="35" s="1"/>
  <c r="E549" i="35"/>
  <c r="I549" i="35"/>
  <c r="B551" i="35"/>
  <c r="C550" i="35"/>
  <c r="D550" i="35"/>
  <c r="I550" i="35" s="1"/>
  <c r="K513" i="56"/>
  <c r="L513" i="56" s="1"/>
  <c r="J514" i="56"/>
  <c r="K504" i="17"/>
  <c r="L504" i="17" s="1"/>
  <c r="E550" i="35" l="1"/>
  <c r="B552" i="35"/>
  <c r="C551" i="35"/>
  <c r="D551" i="35"/>
  <c r="I551" i="35" s="1"/>
  <c r="F549" i="35"/>
  <c r="H549" i="35"/>
  <c r="K514" i="56"/>
  <c r="L514" i="56" s="1"/>
  <c r="J515" i="56"/>
  <c r="K505" i="17"/>
  <c r="L505" i="17" s="1"/>
  <c r="G549" i="35" l="1"/>
  <c r="J549" i="35" s="1"/>
  <c r="E551" i="35"/>
  <c r="B553" i="35"/>
  <c r="C552" i="35"/>
  <c r="D552" i="35"/>
  <c r="H550" i="35"/>
  <c r="F550" i="35"/>
  <c r="K515" i="56"/>
  <c r="L515" i="56" s="1"/>
  <c r="J516" i="56"/>
  <c r="K506" i="17"/>
  <c r="L506" i="17" s="1"/>
  <c r="J552" i="35" l="1"/>
  <c r="G550" i="35"/>
  <c r="J550" i="35" s="1"/>
  <c r="E552" i="35"/>
  <c r="B554" i="35"/>
  <c r="C553" i="35"/>
  <c r="D553" i="35"/>
  <c r="I553" i="35" s="1"/>
  <c r="F551" i="35"/>
  <c r="H551" i="35"/>
  <c r="J517" i="56"/>
  <c r="K516" i="56"/>
  <c r="L516" i="56" s="1"/>
  <c r="K507" i="17"/>
  <c r="L507" i="17" s="1"/>
  <c r="G551" i="35" l="1"/>
  <c r="J551" i="35" s="1"/>
  <c r="E553" i="35"/>
  <c r="F553" i="35" s="1"/>
  <c r="B555" i="35"/>
  <c r="C554" i="35"/>
  <c r="D554" i="35"/>
  <c r="I554" i="35" s="1"/>
  <c r="F552" i="35"/>
  <c r="I552" i="35" s="1"/>
  <c r="H552" i="35"/>
  <c r="J518" i="56"/>
  <c r="K517" i="56"/>
  <c r="L517" i="56" s="1"/>
  <c r="K508" i="17"/>
  <c r="L508" i="17" s="1"/>
  <c r="H553" i="35" l="1"/>
  <c r="G553" i="35" s="1"/>
  <c r="J553" i="35" s="1"/>
  <c r="G552" i="35"/>
  <c r="E554" i="35"/>
  <c r="B556" i="35"/>
  <c r="C555" i="35"/>
  <c r="D555" i="35"/>
  <c r="K518" i="56"/>
  <c r="L518" i="56" s="1"/>
  <c r="J519" i="56"/>
  <c r="K509" i="17"/>
  <c r="L509" i="17" s="1"/>
  <c r="E555" i="35" l="1"/>
  <c r="F555" i="35" s="1"/>
  <c r="I555" i="35"/>
  <c r="B557" i="35"/>
  <c r="C556" i="35"/>
  <c r="D556" i="35"/>
  <c r="F554" i="35"/>
  <c r="H554" i="35"/>
  <c r="J520" i="56"/>
  <c r="K519" i="56"/>
  <c r="L519" i="56" s="1"/>
  <c r="K510" i="17"/>
  <c r="L510" i="17" s="1"/>
  <c r="H555" i="35" l="1"/>
  <c r="J556" i="35"/>
  <c r="G555" i="35"/>
  <c r="J555" i="35" s="1"/>
  <c r="E556" i="35"/>
  <c r="H556" i="35" s="1"/>
  <c r="G554" i="35"/>
  <c r="J554" i="35" s="1"/>
  <c r="B558" i="35"/>
  <c r="C557" i="35"/>
  <c r="D557" i="35"/>
  <c r="I557" i="35" s="1"/>
  <c r="J521" i="56"/>
  <c r="K520" i="56"/>
  <c r="L520" i="56" s="1"/>
  <c r="K511" i="17"/>
  <c r="L511" i="17" s="1"/>
  <c r="J557" i="35" l="1"/>
  <c r="F556" i="35"/>
  <c r="I556" i="35" s="1"/>
  <c r="E557" i="35"/>
  <c r="B559" i="35"/>
  <c r="D558" i="35"/>
  <c r="I558" i="35" s="1"/>
  <c r="C558" i="35"/>
  <c r="J522" i="56"/>
  <c r="K521" i="56"/>
  <c r="L521" i="56" s="1"/>
  <c r="K512" i="17"/>
  <c r="L512" i="17" s="1"/>
  <c r="G556" i="35" l="1"/>
  <c r="E558" i="35"/>
  <c r="B560" i="35"/>
  <c r="D559" i="35"/>
  <c r="I559" i="35" s="1"/>
  <c r="C559" i="35"/>
  <c r="F557" i="35"/>
  <c r="H557" i="35"/>
  <c r="K522" i="56"/>
  <c r="L522" i="56" s="1"/>
  <c r="J523" i="56"/>
  <c r="K513" i="17"/>
  <c r="L513" i="17" s="1"/>
  <c r="G557" i="35" l="1"/>
  <c r="E559" i="35"/>
  <c r="B561" i="35"/>
  <c r="C560" i="35"/>
  <c r="D560" i="35"/>
  <c r="H558" i="35"/>
  <c r="F558" i="35"/>
  <c r="J524" i="56"/>
  <c r="K523" i="56"/>
  <c r="L523" i="56" s="1"/>
  <c r="K514" i="17"/>
  <c r="L514" i="17" s="1"/>
  <c r="E560" i="35" l="1"/>
  <c r="F560" i="35" s="1"/>
  <c r="I560" i="35"/>
  <c r="G558" i="35"/>
  <c r="J558" i="35" s="1"/>
  <c r="B562" i="35"/>
  <c r="D561" i="35"/>
  <c r="I561" i="35" s="1"/>
  <c r="C561" i="35"/>
  <c r="H559" i="35"/>
  <c r="F559" i="35"/>
  <c r="J525" i="56"/>
  <c r="K524" i="56"/>
  <c r="L524" i="56" s="1"/>
  <c r="K515" i="17"/>
  <c r="L515" i="17" s="1"/>
  <c r="H560" i="35" l="1"/>
  <c r="G560" i="35" s="1"/>
  <c r="J560" i="35" s="1"/>
  <c r="G559" i="35"/>
  <c r="J559" i="35" s="1"/>
  <c r="E561" i="35"/>
  <c r="B563" i="35"/>
  <c r="D562" i="35"/>
  <c r="C562" i="35"/>
  <c r="K525" i="56"/>
  <c r="L525" i="56" s="1"/>
  <c r="J526" i="56"/>
  <c r="K516" i="17"/>
  <c r="L516" i="17" s="1"/>
  <c r="E562" i="35" l="1"/>
  <c r="F562" i="35" s="1"/>
  <c r="I562" i="35"/>
  <c r="B564" i="35"/>
  <c r="D563" i="35"/>
  <c r="C563" i="35"/>
  <c r="F561" i="35"/>
  <c r="H561" i="35"/>
  <c r="K526" i="56"/>
  <c r="L526" i="56" s="1"/>
  <c r="J527" i="56"/>
  <c r="K517" i="17"/>
  <c r="L517" i="17" s="1"/>
  <c r="H562" i="35" l="1"/>
  <c r="E563" i="35"/>
  <c r="H563" i="35" s="1"/>
  <c r="I563" i="35"/>
  <c r="B565" i="35"/>
  <c r="D564" i="35"/>
  <c r="I564" i="35" s="1"/>
  <c r="C564" i="35"/>
  <c r="G561" i="35"/>
  <c r="J561" i="35" s="1"/>
  <c r="G562" i="35"/>
  <c r="J562" i="35" s="1"/>
  <c r="K527" i="56"/>
  <c r="L527" i="56" s="1"/>
  <c r="J528" i="56"/>
  <c r="K518" i="17"/>
  <c r="L518" i="17" s="1"/>
  <c r="F563" i="35" l="1"/>
  <c r="G563" i="35" s="1"/>
  <c r="J563" i="35" s="1"/>
  <c r="E564" i="35"/>
  <c r="B566" i="35"/>
  <c r="C565" i="35"/>
  <c r="D565" i="35"/>
  <c r="I565" i="35" s="1"/>
  <c r="J529" i="56"/>
  <c r="K529" i="56" s="1"/>
  <c r="L529" i="56" s="1"/>
  <c r="K528" i="56"/>
  <c r="L528" i="56" s="1"/>
  <c r="K519" i="17"/>
  <c r="L519" i="17" s="1"/>
  <c r="E565" i="35" l="1"/>
  <c r="B567" i="35"/>
  <c r="C566" i="35"/>
  <c r="D566" i="35"/>
  <c r="F564" i="35"/>
  <c r="H564" i="35"/>
  <c r="F1" i="56"/>
  <c r="H1" i="56" s="1"/>
  <c r="K520" i="17"/>
  <c r="L520" i="17" s="1"/>
  <c r="J566" i="35" l="1"/>
  <c r="E566" i="35"/>
  <c r="H566" i="35" s="1"/>
  <c r="G564" i="35"/>
  <c r="J564" i="35" s="1"/>
  <c r="B568" i="35"/>
  <c r="C567" i="35"/>
  <c r="D567" i="35"/>
  <c r="F565" i="35"/>
  <c r="H565" i="35"/>
  <c r="K521" i="17"/>
  <c r="L521" i="17" s="1"/>
  <c r="F566" i="35" l="1"/>
  <c r="I566" i="35" s="1"/>
  <c r="G565" i="35"/>
  <c r="J565" i="35" s="1"/>
  <c r="E567" i="35"/>
  <c r="F567" i="35" s="1"/>
  <c r="I567" i="35"/>
  <c r="B569" i="35"/>
  <c r="C568" i="35"/>
  <c r="D568" i="35"/>
  <c r="I568" i="35" s="1"/>
  <c r="G566" i="35"/>
  <c r="K522" i="17"/>
  <c r="L522" i="17" s="1"/>
  <c r="H567" i="35" l="1"/>
  <c r="G567" i="35" s="1"/>
  <c r="J567" i="35" s="1"/>
  <c r="E568" i="35"/>
  <c r="B570" i="35"/>
  <c r="D569" i="35"/>
  <c r="C569" i="35"/>
  <c r="K523" i="17"/>
  <c r="L523" i="17" s="1"/>
  <c r="E569" i="35" l="1"/>
  <c r="F569" i="35" s="1"/>
  <c r="I569" i="35"/>
  <c r="B571" i="35"/>
  <c r="D570" i="35"/>
  <c r="I570" i="35" s="1"/>
  <c r="C570" i="35"/>
  <c r="F568" i="35"/>
  <c r="H568" i="35"/>
  <c r="K524" i="17"/>
  <c r="L524" i="17" s="1"/>
  <c r="G568" i="35" l="1"/>
  <c r="J568" i="35" s="1"/>
  <c r="H569" i="35"/>
  <c r="G569" i="35" s="1"/>
  <c r="J569" i="35" s="1"/>
  <c r="E570" i="35"/>
  <c r="B572" i="35"/>
  <c r="C571" i="35"/>
  <c r="D571" i="35"/>
  <c r="I571" i="35" s="1"/>
  <c r="K525" i="17"/>
  <c r="L525" i="17" s="1"/>
  <c r="E571" i="35" l="1"/>
  <c r="B573" i="35"/>
  <c r="C572" i="35"/>
  <c r="D572" i="35"/>
  <c r="F570" i="35"/>
  <c r="H570" i="35"/>
  <c r="K526" i="17"/>
  <c r="L526" i="17" s="1"/>
  <c r="G570" i="35" l="1"/>
  <c r="J570" i="35" s="1"/>
  <c r="J572" i="35"/>
  <c r="E572" i="35"/>
  <c r="H572" i="35" s="1"/>
  <c r="B574" i="35"/>
  <c r="C573" i="35"/>
  <c r="D573" i="35"/>
  <c r="I573" i="35" s="1"/>
  <c r="F571" i="35"/>
  <c r="H571" i="35"/>
  <c r="K527" i="17"/>
  <c r="L527" i="17" s="1"/>
  <c r="F572" i="35" l="1"/>
  <c r="I572" i="35" s="1"/>
  <c r="G571" i="35"/>
  <c r="J571" i="35" s="1"/>
  <c r="B575" i="35"/>
  <c r="C574" i="35"/>
  <c r="D574" i="35"/>
  <c r="I574" i="35" s="1"/>
  <c r="E573" i="35"/>
  <c r="G572" i="35"/>
  <c r="K529" i="17"/>
  <c r="L529" i="17" s="1"/>
  <c r="K528" i="17"/>
  <c r="L528" i="17" s="1"/>
  <c r="F573" i="35" l="1"/>
  <c r="H573" i="35"/>
  <c r="E574" i="35"/>
  <c r="B576" i="35"/>
  <c r="C575" i="35"/>
  <c r="D575" i="35"/>
  <c r="F1" i="17"/>
  <c r="H1" i="17" s="1"/>
  <c r="F17" i="19" s="1"/>
  <c r="G573" i="35" l="1"/>
  <c r="J573" i="35" s="1"/>
  <c r="E575" i="35"/>
  <c r="H575" i="35" s="1"/>
  <c r="I575" i="35"/>
  <c r="B577" i="35"/>
  <c r="C576" i="35"/>
  <c r="D576" i="35"/>
  <c r="I576" i="35" s="1"/>
  <c r="F574" i="35"/>
  <c r="H574" i="35"/>
  <c r="G983" i="19"/>
  <c r="H983" i="19" s="1"/>
  <c r="D5" i="32"/>
  <c r="H17" i="19" s="1"/>
  <c r="F575" i="35" l="1"/>
  <c r="G574" i="35"/>
  <c r="J574" i="35" s="1"/>
  <c r="E576" i="35"/>
  <c r="B578" i="35"/>
  <c r="C577" i="35"/>
  <c r="D577" i="35"/>
  <c r="G575" i="35"/>
  <c r="J575" i="35" s="1"/>
  <c r="AJ996" i="19"/>
  <c r="AJ998" i="19"/>
  <c r="AC2" i="19"/>
  <c r="J577" i="35" l="1"/>
  <c r="E577" i="35"/>
  <c r="F577" i="35" s="1"/>
  <c r="I577" i="35" s="1"/>
  <c r="B579" i="35"/>
  <c r="C578" i="35"/>
  <c r="D578" i="35"/>
  <c r="I578" i="35" s="1"/>
  <c r="F576" i="35"/>
  <c r="H576" i="35"/>
  <c r="AJ994" i="19"/>
  <c r="P2" i="19"/>
  <c r="P3" i="19" s="1"/>
  <c r="P4" i="19" s="1"/>
  <c r="P5" i="19" s="1"/>
  <c r="P6" i="19" s="1"/>
  <c r="P7" i="19" s="1"/>
  <c r="P8" i="19" s="1"/>
  <c r="P9" i="19" s="1"/>
  <c r="P10" i="19" s="1"/>
  <c r="P11" i="19" s="1"/>
  <c r="P12" i="19" s="1"/>
  <c r="P13" i="19" s="1"/>
  <c r="P14" i="19" s="1"/>
  <c r="G576" i="35" l="1"/>
  <c r="J576" i="35" s="1"/>
  <c r="H577" i="35"/>
  <c r="G577" i="35" s="1"/>
  <c r="E578" i="35"/>
  <c r="B580" i="35"/>
  <c r="C579" i="35"/>
  <c r="D579" i="35"/>
  <c r="I579" i="35" s="1"/>
  <c r="P15" i="19"/>
  <c r="D17" i="19" s="1"/>
  <c r="AC3" i="19"/>
  <c r="E579" i="35" l="1"/>
  <c r="B581" i="35"/>
  <c r="D580" i="35"/>
  <c r="C580" i="35"/>
  <c r="F578" i="35"/>
  <c r="H578" i="35"/>
  <c r="B19" i="19"/>
  <c r="G50" i="19" l="1"/>
  <c r="AF50" i="19" s="1"/>
  <c r="AG50" i="19" s="1"/>
  <c r="G64" i="19"/>
  <c r="AF64" i="19" s="1"/>
  <c r="AG64" i="19" s="1"/>
  <c r="G261" i="19"/>
  <c r="AF261" i="19" s="1"/>
  <c r="AG261" i="19" s="1"/>
  <c r="G256" i="19"/>
  <c r="G258" i="19"/>
  <c r="G257" i="19"/>
  <c r="G578" i="35"/>
  <c r="J578" i="35" s="1"/>
  <c r="E580" i="35"/>
  <c r="I580" i="35"/>
  <c r="B582" i="35"/>
  <c r="C581" i="35"/>
  <c r="D581" i="35"/>
  <c r="F579" i="35"/>
  <c r="H579" i="35"/>
  <c r="H261" i="19"/>
  <c r="AH261" i="19" s="1"/>
  <c r="G521" i="19"/>
  <c r="G507" i="19"/>
  <c r="G472" i="19"/>
  <c r="G812" i="19"/>
  <c r="G692" i="19"/>
  <c r="G531" i="19"/>
  <c r="G495" i="19"/>
  <c r="G484" i="19"/>
  <c r="G471" i="19"/>
  <c r="G407" i="19"/>
  <c r="G296" i="19"/>
  <c r="G244" i="19"/>
  <c r="G239" i="19"/>
  <c r="G201" i="19"/>
  <c r="G195" i="19"/>
  <c r="G164" i="19"/>
  <c r="G149" i="19"/>
  <c r="G134" i="19"/>
  <c r="G119" i="19"/>
  <c r="G108" i="19"/>
  <c r="G94" i="19"/>
  <c r="G89" i="19"/>
  <c r="G85" i="19"/>
  <c r="G80" i="19"/>
  <c r="G75" i="19"/>
  <c r="G71" i="19"/>
  <c r="G67" i="19"/>
  <c r="G61" i="19"/>
  <c r="G57" i="19"/>
  <c r="G52" i="19"/>
  <c r="G47" i="19"/>
  <c r="G42" i="19"/>
  <c r="G37" i="19"/>
  <c r="G33" i="19"/>
  <c r="G29" i="19"/>
  <c r="G25" i="19"/>
  <c r="G775" i="19"/>
  <c r="G640" i="19"/>
  <c r="G616" i="19"/>
  <c r="G570" i="19"/>
  <c r="G327" i="19"/>
  <c r="G650" i="19"/>
  <c r="G600" i="19"/>
  <c r="G594" i="19"/>
  <c r="G460" i="19"/>
  <c r="G433" i="19"/>
  <c r="G363" i="19"/>
  <c r="G305" i="19"/>
  <c r="G273" i="19"/>
  <c r="G262" i="19"/>
  <c r="AF262" i="19" s="1"/>
  <c r="G236" i="19"/>
  <c r="G224" i="19"/>
  <c r="G198" i="19"/>
  <c r="G189" i="19"/>
  <c r="G177" i="19"/>
  <c r="G171" i="19"/>
  <c r="G154" i="19"/>
  <c r="G144" i="19"/>
  <c r="G127" i="19"/>
  <c r="G90" i="19"/>
  <c r="G66" i="19"/>
  <c r="G49" i="19"/>
  <c r="G34" i="19"/>
  <c r="G585" i="19"/>
  <c r="G247" i="19"/>
  <c r="G148" i="19"/>
  <c r="G121" i="19"/>
  <c r="G110" i="19"/>
  <c r="G101" i="19"/>
  <c r="G38" i="19"/>
  <c r="G633" i="19"/>
  <c r="G372" i="19"/>
  <c r="G187" i="19"/>
  <c r="G142" i="19"/>
  <c r="G99" i="19"/>
  <c r="G691" i="19"/>
  <c r="G514" i="19"/>
  <c r="G396" i="19"/>
  <c r="G253" i="19"/>
  <c r="G215" i="19"/>
  <c r="G183" i="19"/>
  <c r="G139" i="19"/>
  <c r="G132" i="19"/>
  <c r="G95" i="19"/>
  <c r="G70" i="19"/>
  <c r="G54" i="19"/>
  <c r="G703" i="19"/>
  <c r="G311" i="19"/>
  <c r="G193" i="19"/>
  <c r="G73" i="19"/>
  <c r="G760" i="19"/>
  <c r="G660" i="19"/>
  <c r="G649" i="19"/>
  <c r="G622" i="19"/>
  <c r="G285" i="19"/>
  <c r="G278" i="19"/>
  <c r="G271" i="19"/>
  <c r="G266" i="19"/>
  <c r="G260" i="19"/>
  <c r="G242" i="19"/>
  <c r="G229" i="19"/>
  <c r="G222" i="19"/>
  <c r="G208" i="19"/>
  <c r="G202" i="19"/>
  <c r="G196" i="19"/>
  <c r="G176" i="19"/>
  <c r="G169" i="19"/>
  <c r="G158" i="19"/>
  <c r="G115" i="19"/>
  <c r="G105" i="19"/>
  <c r="G74" i="19"/>
  <c r="G59" i="19"/>
  <c r="G43" i="19"/>
  <c r="G785" i="19"/>
  <c r="G252" i="19"/>
  <c r="G175" i="19"/>
  <c r="G147" i="19"/>
  <c r="G109" i="19"/>
  <c r="G84" i="19"/>
  <c r="G28" i="19"/>
  <c r="G416" i="19"/>
  <c r="G291" i="19"/>
  <c r="G228" i="19"/>
  <c r="G114" i="19"/>
  <c r="G264" i="19"/>
  <c r="AF264" i="19" s="1"/>
  <c r="G339" i="19"/>
  <c r="G235" i="19"/>
  <c r="G182" i="19"/>
  <c r="G162" i="19"/>
  <c r="G152" i="19"/>
  <c r="G143" i="19"/>
  <c r="G137" i="19"/>
  <c r="G126" i="19"/>
  <c r="G100" i="19"/>
  <c r="G79" i="19"/>
  <c r="G65" i="19"/>
  <c r="G48" i="19"/>
  <c r="G24" i="19"/>
  <c r="G246" i="19"/>
  <c r="G220" i="19"/>
  <c r="G131" i="19"/>
  <c r="G104" i="19"/>
  <c r="G69" i="19"/>
  <c r="G337" i="19"/>
  <c r="G58" i="19"/>
  <c r="G606" i="19"/>
  <c r="G406" i="19"/>
  <c r="G213" i="19"/>
  <c r="G120" i="19"/>
  <c r="G53" i="19"/>
  <c r="G508" i="19"/>
  <c r="G349" i="19"/>
  <c r="G167" i="19"/>
  <c r="G88" i="19"/>
  <c r="G283" i="19"/>
  <c r="G440" i="19"/>
  <c r="G157" i="19"/>
  <c r="G32" i="19"/>
  <c r="G595" i="19"/>
  <c r="G321" i="19"/>
  <c r="G268" i="19"/>
  <c r="G212" i="19"/>
  <c r="G160" i="19"/>
  <c r="G145" i="19"/>
  <c r="G76" i="19"/>
  <c r="G31" i="19"/>
  <c r="G60" i="19"/>
  <c r="G36" i="19"/>
  <c r="G683" i="19"/>
  <c r="G274" i="19"/>
  <c r="G219" i="19"/>
  <c r="G150" i="19"/>
  <c r="G23" i="19"/>
  <c r="G118" i="19"/>
  <c r="G103" i="19"/>
  <c r="G538" i="19"/>
  <c r="G192" i="19"/>
  <c r="G255" i="19"/>
  <c r="G217" i="19"/>
  <c r="G133" i="19"/>
  <c r="G87" i="19"/>
  <c r="G226" i="19"/>
  <c r="G102" i="19"/>
  <c r="G124" i="19"/>
  <c r="G146" i="19"/>
  <c r="G56" i="19"/>
  <c r="G243" i="19"/>
  <c r="G123" i="19"/>
  <c r="G676" i="19"/>
  <c r="G489" i="19"/>
  <c r="G232" i="19"/>
  <c r="G106" i="19"/>
  <c r="G46" i="19"/>
  <c r="G231" i="19"/>
  <c r="G186" i="19"/>
  <c r="G151" i="19"/>
  <c r="G136" i="19"/>
  <c r="G98" i="19"/>
  <c r="G68" i="19"/>
  <c r="G230" i="19"/>
  <c r="G184" i="19"/>
  <c r="G452" i="19"/>
  <c r="G282" i="19"/>
  <c r="G96" i="19"/>
  <c r="G51" i="19"/>
  <c r="G245" i="19"/>
  <c r="G209" i="19"/>
  <c r="G165" i="19"/>
  <c r="G35" i="19"/>
  <c r="G552" i="19"/>
  <c r="G237" i="19"/>
  <c r="G125" i="19"/>
  <c r="G141" i="19"/>
  <c r="G240" i="19"/>
  <c r="G203" i="19"/>
  <c r="G166" i="19"/>
  <c r="G159" i="19"/>
  <c r="G129" i="19"/>
  <c r="G111" i="19"/>
  <c r="G83" i="19"/>
  <c r="G44" i="19"/>
  <c r="G422" i="19"/>
  <c r="G210" i="19"/>
  <c r="G30" i="19"/>
  <c r="G174" i="19"/>
  <c r="G81" i="19"/>
  <c r="G200" i="19"/>
  <c r="G280" i="19"/>
  <c r="G180" i="19"/>
  <c r="G743" i="19"/>
  <c r="G550" i="19"/>
  <c r="G107" i="19"/>
  <c r="G27" i="19"/>
  <c r="G161" i="19"/>
  <c r="G205" i="19"/>
  <c r="G580" i="19"/>
  <c r="G156" i="19"/>
  <c r="G93" i="19"/>
  <c r="G140" i="19"/>
  <c r="G249" i="19"/>
  <c r="G113" i="19"/>
  <c r="G26" i="19"/>
  <c r="G116" i="19"/>
  <c r="G178" i="19"/>
  <c r="G788" i="19"/>
  <c r="G354" i="19"/>
  <c r="G41" i="19"/>
  <c r="G388" i="19"/>
  <c r="G299" i="19"/>
  <c r="G86" i="19"/>
  <c r="G130" i="19"/>
  <c r="G72" i="19"/>
  <c r="G668" i="19"/>
  <c r="G263" i="19"/>
  <c r="AF263" i="19" s="1"/>
  <c r="G269" i="19"/>
  <c r="G77" i="19"/>
  <c r="G590" i="19"/>
  <c r="G563" i="19"/>
  <c r="G199" i="19"/>
  <c r="G62" i="19"/>
  <c r="G40" i="19"/>
  <c r="G155" i="19"/>
  <c r="G91" i="19"/>
  <c r="G400" i="19"/>
  <c r="G781" i="19"/>
  <c r="G601" i="19"/>
  <c r="G526" i="19"/>
  <c r="G480" i="19"/>
  <c r="G656" i="19"/>
  <c r="G292" i="19"/>
  <c r="G611" i="19"/>
  <c r="G544" i="19"/>
  <c r="G329" i="19"/>
  <c r="G365" i="19"/>
  <c r="G796" i="19"/>
  <c r="G896" i="19"/>
  <c r="G886" i="19"/>
  <c r="G706" i="19"/>
  <c r="G747" i="19"/>
  <c r="G841" i="19"/>
  <c r="G842" i="19"/>
  <c r="G843" i="19"/>
  <c r="G862" i="19"/>
  <c r="G878" i="19"/>
  <c r="G722" i="19"/>
  <c r="G901" i="19"/>
  <c r="G913" i="19"/>
  <c r="G914" i="19"/>
  <c r="G414" i="19"/>
  <c r="G248" i="19"/>
  <c r="G347" i="19"/>
  <c r="G779" i="19"/>
  <c r="G398" i="19"/>
  <c r="G784" i="19"/>
  <c r="G469" i="19"/>
  <c r="G530" i="19"/>
  <c r="G302" i="19"/>
  <c r="G404" i="19"/>
  <c r="G279" i="19"/>
  <c r="G612" i="19"/>
  <c r="G380" i="19"/>
  <c r="G382" i="19"/>
  <c r="G701" i="19"/>
  <c r="G836" i="19"/>
  <c r="G912" i="19"/>
  <c r="G720" i="19"/>
  <c r="G766" i="19"/>
  <c r="G809" i="19"/>
  <c r="G863" i="19"/>
  <c r="G920" i="19"/>
  <c r="G866" i="19"/>
  <c r="G855" i="19"/>
  <c r="G873" i="19"/>
  <c r="G900" i="19"/>
  <c r="G733" i="19"/>
  <c r="G924" i="19"/>
  <c r="G925" i="19"/>
  <c r="G936" i="19"/>
  <c r="G251" i="19"/>
  <c r="G462" i="19"/>
  <c r="G275" i="19"/>
  <c r="G503" i="19"/>
  <c r="G435" i="19"/>
  <c r="G204" i="19"/>
  <c r="G241" i="19"/>
  <c r="G527" i="19"/>
  <c r="G359" i="19"/>
  <c r="G316" i="19"/>
  <c r="G674" i="19"/>
  <c r="G665" i="19"/>
  <c r="G431" i="19"/>
  <c r="G397" i="19"/>
  <c r="G738" i="19"/>
  <c r="G884" i="19"/>
  <c r="G939" i="19"/>
  <c r="G745" i="19"/>
  <c r="G712" i="19"/>
  <c r="G879" i="19"/>
  <c r="G922" i="19"/>
  <c r="G895" i="19"/>
  <c r="G846" i="19"/>
  <c r="G731" i="19"/>
  <c r="G923" i="19"/>
  <c r="G767" i="19"/>
  <c r="G946" i="19"/>
  <c r="G948" i="19"/>
  <c r="G949" i="19"/>
  <c r="G478" i="19"/>
  <c r="G447" i="19"/>
  <c r="G320" i="19"/>
  <c r="G276" i="19"/>
  <c r="G466" i="19"/>
  <c r="G336" i="19"/>
  <c r="G326" i="19"/>
  <c r="G657" i="19"/>
  <c r="G598" i="19"/>
  <c r="G647" i="19"/>
  <c r="G540" i="19"/>
  <c r="G444" i="19"/>
  <c r="G446" i="19"/>
  <c r="G758" i="19"/>
  <c r="G953" i="19"/>
  <c r="G838" i="19"/>
  <c r="G764" i="19"/>
  <c r="G852" i="19"/>
  <c r="G893" i="19"/>
  <c r="G934" i="19"/>
  <c r="G894" i="19"/>
  <c r="G918" i="19"/>
  <c r="G854" i="19"/>
  <c r="G876" i="19"/>
  <c r="G856" i="19"/>
  <c r="G749" i="19"/>
  <c r="G933" i="19"/>
  <c r="G778" i="19"/>
  <c r="G957" i="19"/>
  <c r="G968" i="19"/>
  <c r="G969" i="19"/>
  <c r="G334" i="19"/>
  <c r="G567" i="19"/>
  <c r="G413" i="19"/>
  <c r="G499" i="19"/>
  <c r="G265" i="19"/>
  <c r="G672" i="19"/>
  <c r="G704" i="19"/>
  <c r="G698" i="19"/>
  <c r="G532" i="19"/>
  <c r="G741" i="19"/>
  <c r="G506" i="19"/>
  <c r="G772" i="19"/>
  <c r="G740" i="19"/>
  <c r="G717" i="19"/>
  <c r="G849" i="19"/>
  <c r="G776" i="19"/>
  <c r="G808" i="19"/>
  <c r="G930" i="19"/>
  <c r="G753" i="19"/>
  <c r="G974" i="19"/>
  <c r="G950" i="19"/>
  <c r="G871" i="19"/>
  <c r="G905" i="19"/>
  <c r="G929" i="19"/>
  <c r="G864" i="19"/>
  <c r="G888" i="19"/>
  <c r="G877" i="19"/>
  <c r="G777" i="19"/>
  <c r="G956" i="19"/>
  <c r="G979" i="19"/>
  <c r="G980" i="19"/>
  <c r="G859" i="19"/>
  <c r="G172" i="19"/>
  <c r="G412" i="19"/>
  <c r="G603" i="19"/>
  <c r="G628" i="19"/>
  <c r="G634" i="19"/>
  <c r="G350" i="19"/>
  <c r="G680" i="19"/>
  <c r="G294" i="19"/>
  <c r="G790" i="19"/>
  <c r="G662" i="19"/>
  <c r="G352" i="19"/>
  <c r="G558" i="19"/>
  <c r="G497" i="19"/>
  <c r="G773" i="19"/>
  <c r="G724" i="19"/>
  <c r="G872" i="19"/>
  <c r="G945" i="19"/>
  <c r="G700" i="19"/>
  <c r="G860" i="19"/>
  <c r="G883" i="19"/>
  <c r="G928" i="19"/>
  <c r="G952" i="19"/>
  <c r="G887" i="19"/>
  <c r="G909" i="19"/>
  <c r="G899" i="19"/>
  <c r="G786" i="19"/>
  <c r="G978" i="19"/>
  <c r="G932" i="19"/>
  <c r="G564" i="19"/>
  <c r="G465" i="19"/>
  <c r="G225" i="19"/>
  <c r="G685" i="19"/>
  <c r="G389" i="19"/>
  <c r="G737" i="19"/>
  <c r="G690" i="19"/>
  <c r="G304" i="19"/>
  <c r="G286" i="19"/>
  <c r="G673" i="19"/>
  <c r="G362" i="19"/>
  <c r="G188" i="19"/>
  <c r="G549" i="19"/>
  <c r="G782" i="19"/>
  <c r="G783" i="19"/>
  <c r="G761" i="19"/>
  <c r="G941" i="19"/>
  <c r="G807" i="19"/>
  <c r="G851" i="19"/>
  <c r="G769" i="19"/>
  <c r="G735" i="19"/>
  <c r="G714" i="19"/>
  <c r="G881" i="19"/>
  <c r="G904" i="19"/>
  <c r="G951" i="19"/>
  <c r="G972" i="19"/>
  <c r="G907" i="19"/>
  <c r="G931" i="19"/>
  <c r="G911" i="19"/>
  <c r="G791" i="19"/>
  <c r="G858" i="19"/>
  <c r="G481" i="19"/>
  <c r="G179" i="19"/>
  <c r="G322" i="19"/>
  <c r="G581" i="19"/>
  <c r="G829" i="19"/>
  <c r="G303" i="19"/>
  <c r="G420" i="19"/>
  <c r="G216" i="19"/>
  <c r="G417" i="19"/>
  <c r="G207" i="19"/>
  <c r="G617" i="19"/>
  <c r="G797" i="19"/>
  <c r="G966" i="19"/>
  <c r="G818" i="19"/>
  <c r="G874" i="19"/>
  <c r="G770" i="19"/>
  <c r="G795" i="19"/>
  <c r="G755" i="19"/>
  <c r="G903" i="19"/>
  <c r="G927" i="19"/>
  <c r="G961" i="19"/>
  <c r="G921" i="19"/>
  <c r="G944" i="19"/>
  <c r="G816" i="19"/>
  <c r="G233" i="19"/>
  <c r="G461" i="19"/>
  <c r="G451" i="19"/>
  <c r="G577" i="19"/>
  <c r="G728" i="19"/>
  <c r="G687" i="19"/>
  <c r="G301" i="19"/>
  <c r="G314" i="19"/>
  <c r="G774" i="19"/>
  <c r="G432" i="19"/>
  <c r="G575" i="19"/>
  <c r="G267" i="19"/>
  <c r="G430" i="19"/>
  <c r="G281" i="19"/>
  <c r="G629" i="19"/>
  <c r="G632" i="19"/>
  <c r="G789" i="19"/>
  <c r="G839" i="19"/>
  <c r="G889" i="19"/>
  <c r="G793" i="19"/>
  <c r="G915" i="19"/>
  <c r="G938" i="19"/>
  <c r="G943" i="19"/>
  <c r="G964" i="19"/>
  <c r="G955" i="19"/>
  <c r="G814" i="19"/>
  <c r="G837" i="19"/>
  <c r="G401" i="19"/>
  <c r="G642" i="19"/>
  <c r="G726" i="19"/>
  <c r="G386" i="19"/>
  <c r="G345" i="19"/>
  <c r="G719" i="19"/>
  <c r="G360" i="19"/>
  <c r="G500" i="19"/>
  <c r="G358" i="19"/>
  <c r="G287" i="19"/>
  <c r="G288" i="19"/>
  <c r="G677" i="19"/>
  <c r="G828" i="19"/>
  <c r="G799" i="19"/>
  <c r="G850" i="19"/>
  <c r="G802" i="19"/>
  <c r="G794" i="19"/>
  <c r="G804" i="19"/>
  <c r="G937" i="19"/>
  <c r="G960" i="19"/>
  <c r="G963" i="19"/>
  <c r="G965" i="19"/>
  <c r="G830" i="19"/>
  <c r="G848" i="19"/>
  <c r="G798" i="19"/>
  <c r="G644" i="19"/>
  <c r="G518" i="19"/>
  <c r="G578" i="19"/>
  <c r="G519" i="19"/>
  <c r="G771" i="19"/>
  <c r="G376" i="19"/>
  <c r="G560" i="19"/>
  <c r="G697" i="19"/>
  <c r="G330" i="19"/>
  <c r="G306" i="19"/>
  <c r="G763" i="19"/>
  <c r="G833" i="19"/>
  <c r="G834" i="19"/>
  <c r="G821" i="19"/>
  <c r="G803" i="19"/>
  <c r="G959" i="19"/>
  <c r="G982" i="19"/>
  <c r="G975" i="19"/>
  <c r="G847" i="19"/>
  <c r="G868" i="19"/>
  <c r="G869" i="19"/>
  <c r="G880" i="19"/>
  <c r="G190" i="19"/>
  <c r="G693" i="19"/>
  <c r="G614" i="19"/>
  <c r="G289" i="19"/>
  <c r="G332" i="19"/>
  <c r="G454" i="19"/>
  <c r="G801" i="19"/>
  <c r="G487" i="19"/>
  <c r="G429" i="19"/>
  <c r="G593" i="19"/>
  <c r="G485" i="19"/>
  <c r="G342" i="19"/>
  <c r="G317" i="19"/>
  <c r="G344" i="19"/>
  <c r="G976" i="19"/>
  <c r="G857" i="19"/>
  <c r="G707" i="19"/>
  <c r="G823" i="19"/>
  <c r="G825" i="19"/>
  <c r="G970" i="19"/>
  <c r="G867" i="19"/>
  <c r="G711" i="19"/>
  <c r="G890" i="19"/>
  <c r="G891" i="19"/>
  <c r="G892" i="19"/>
  <c r="G958" i="19"/>
  <c r="G902" i="19"/>
  <c r="G806" i="19"/>
  <c r="G954" i="19"/>
  <c r="G897" i="19"/>
  <c r="G971" i="19"/>
  <c r="G916" i="19"/>
  <c r="G981" i="19"/>
  <c r="G926" i="19"/>
  <c r="G870" i="19"/>
  <c r="G906" i="19"/>
  <c r="G675" i="19"/>
  <c r="G615" i="19"/>
  <c r="G579" i="19"/>
  <c r="G694" i="19"/>
  <c r="G670" i="19"/>
  <c r="G652" i="19"/>
  <c r="G638" i="19"/>
  <c r="G620" i="19"/>
  <c r="G609" i="19"/>
  <c r="G588" i="19"/>
  <c r="G583" i="19"/>
  <c r="G573" i="19"/>
  <c r="G554" i="19"/>
  <c r="G534" i="19"/>
  <c r="G516" i="19"/>
  <c r="G510" i="19"/>
  <c r="G493" i="19"/>
  <c r="G475" i="19"/>
  <c r="G457" i="19"/>
  <c r="G438" i="19"/>
  <c r="G426" i="19"/>
  <c r="G410" i="19"/>
  <c r="G393" i="19"/>
  <c r="G368" i="19"/>
  <c r="G356" i="19"/>
  <c r="G341" i="19"/>
  <c r="G325" i="19"/>
  <c r="G309" i="19"/>
  <c r="G853" i="19"/>
  <c r="G751" i="19"/>
  <c r="G624" i="19"/>
  <c r="G523" i="19"/>
  <c r="G709" i="19"/>
  <c r="G689" i="19"/>
  <c r="G678" i="19"/>
  <c r="G663" i="19"/>
  <c r="G646" i="19"/>
  <c r="G630" i="19"/>
  <c r="G618" i="19"/>
  <c r="G602" i="19"/>
  <c r="G582" i="19"/>
  <c r="G565" i="19"/>
  <c r="G548" i="19"/>
  <c r="G528" i="19"/>
  <c r="G505" i="19"/>
  <c r="G501" i="19"/>
  <c r="G492" i="19"/>
  <c r="G486" i="19"/>
  <c r="G467" i="19"/>
  <c r="G449" i="19"/>
  <c r="G436" i="19"/>
  <c r="G418" i="19"/>
  <c r="G403" i="19"/>
  <c r="G384" i="19"/>
  <c r="G366" i="19"/>
  <c r="G351" i="19"/>
  <c r="G335" i="19"/>
  <c r="G319" i="19"/>
  <c r="G307" i="19"/>
  <c r="G293" i="19"/>
  <c r="G840" i="19"/>
  <c r="G820" i="19"/>
  <c r="G792" i="19"/>
  <c r="G721" i="19"/>
  <c r="G681" i="19"/>
  <c r="G669" i="19"/>
  <c r="G651" i="19"/>
  <c r="G636" i="19"/>
  <c r="G623" i="19"/>
  <c r="G608" i="19"/>
  <c r="G596" i="19"/>
  <c r="G587" i="19"/>
  <c r="G571" i="19"/>
  <c r="G553" i="19"/>
  <c r="G533" i="19"/>
  <c r="G522" i="19"/>
  <c r="G515" i="19"/>
  <c r="G509" i="19"/>
  <c r="G496" i="19"/>
  <c r="G490" i="19"/>
  <c r="G473" i="19"/>
  <c r="G456" i="19"/>
  <c r="G442" i="19"/>
  <c r="G424" i="19"/>
  <c r="G409" i="19"/>
  <c r="G391" i="19"/>
  <c r="G374" i="19"/>
  <c r="G355" i="19"/>
  <c r="G340" i="19"/>
  <c r="G324" i="19"/>
  <c r="G312" i="19"/>
  <c r="G298" i="19"/>
  <c r="G284" i="19"/>
  <c r="G270" i="19"/>
  <c r="G861" i="19"/>
  <c r="G684" i="19"/>
  <c r="G641" i="19"/>
  <c r="G591" i="19"/>
  <c r="G539" i="19"/>
  <c r="G831" i="19"/>
  <c r="G688" i="19"/>
  <c r="G645" i="19"/>
  <c r="G546" i="19"/>
  <c r="G504" i="19"/>
  <c r="G696" i="19"/>
  <c r="G655" i="19"/>
  <c r="G557" i="19"/>
  <c r="G715" i="19"/>
  <c r="G695" i="19"/>
  <c r="G666" i="19"/>
  <c r="G654" i="19"/>
  <c r="G639" i="19"/>
  <c r="G621" i="19"/>
  <c r="G604" i="19"/>
  <c r="G589" i="19"/>
  <c r="G584" i="19"/>
  <c r="G569" i="19"/>
  <c r="G555" i="19"/>
  <c r="G536" i="19"/>
  <c r="G513" i="19"/>
  <c r="G511" i="19"/>
  <c r="G494" i="19"/>
  <c r="G488" i="19"/>
  <c r="G477" i="19"/>
  <c r="G458" i="19"/>
  <c r="G439" i="19"/>
  <c r="G421" i="19"/>
  <c r="G411" i="19"/>
  <c r="G394" i="19"/>
  <c r="G370" i="19"/>
  <c r="G353" i="19"/>
  <c r="G310" i="19"/>
  <c r="G295" i="19"/>
  <c r="G962" i="19"/>
  <c r="G844" i="19"/>
  <c r="G827" i="19"/>
  <c r="G686" i="19"/>
  <c r="G671" i="19"/>
  <c r="G659" i="19"/>
  <c r="G643" i="19"/>
  <c r="G626" i="19"/>
  <c r="G610" i="19"/>
  <c r="G599" i="19"/>
  <c r="G574" i="19"/>
  <c r="G561" i="19"/>
  <c r="G542" i="19"/>
  <c r="G524" i="19"/>
  <c r="G517" i="19"/>
  <c r="G498" i="19"/>
  <c r="G483" i="19"/>
  <c r="G464" i="19"/>
  <c r="G445" i="19"/>
  <c r="G427" i="19"/>
  <c r="G415" i="19"/>
  <c r="G399" i="19"/>
  <c r="G378" i="19"/>
  <c r="G357" i="19"/>
  <c r="G348" i="19"/>
  <c r="G331" i="19"/>
  <c r="G315" i="19"/>
  <c r="G300" i="19"/>
  <c r="G290" i="19"/>
  <c r="G277" i="19"/>
  <c r="G22" i="19"/>
  <c r="H22" i="19" s="1"/>
  <c r="AH22" i="19" s="1"/>
  <c r="H50" i="19" l="1"/>
  <c r="AH50" i="19" s="1"/>
  <c r="H64" i="19"/>
  <c r="AH64" i="19" s="1"/>
  <c r="E581" i="35"/>
  <c r="H581" i="35" s="1"/>
  <c r="I581" i="35"/>
  <c r="B583" i="35"/>
  <c r="C582" i="35"/>
  <c r="D582" i="35"/>
  <c r="I582" i="35" s="1"/>
  <c r="H580" i="35"/>
  <c r="F580" i="35"/>
  <c r="G579" i="35"/>
  <c r="J579" i="35" s="1"/>
  <c r="H621" i="19"/>
  <c r="AH621" i="19" s="1"/>
  <c r="AF621" i="19"/>
  <c r="H916" i="19"/>
  <c r="AH916" i="19" s="1"/>
  <c r="AF916" i="19"/>
  <c r="H639" i="19"/>
  <c r="AH639" i="19" s="1"/>
  <c r="AF639" i="19"/>
  <c r="H523" i="19"/>
  <c r="AH523" i="19" s="1"/>
  <c r="AF523" i="19"/>
  <c r="H825" i="19"/>
  <c r="AH825" i="19" s="1"/>
  <c r="AF825" i="19"/>
  <c r="H290" i="19"/>
  <c r="AH290" i="19" s="1"/>
  <c r="AF290" i="19"/>
  <c r="H483" i="19"/>
  <c r="AH483" i="19" s="1"/>
  <c r="AF483" i="19"/>
  <c r="H599" i="19"/>
  <c r="AH599" i="19" s="1"/>
  <c r="AF599" i="19"/>
  <c r="H844" i="19"/>
  <c r="AH844" i="19" s="1"/>
  <c r="AF844" i="19"/>
  <c r="H488" i="19"/>
  <c r="AH488" i="19" s="1"/>
  <c r="AF488" i="19"/>
  <c r="H604" i="19"/>
  <c r="AH604" i="19" s="1"/>
  <c r="AF604" i="19"/>
  <c r="H641" i="19"/>
  <c r="AH641" i="19" s="1"/>
  <c r="AF641" i="19"/>
  <c r="H409" i="19"/>
  <c r="AH409" i="19" s="1"/>
  <c r="AF409" i="19"/>
  <c r="H553" i="19"/>
  <c r="AH553" i="19" s="1"/>
  <c r="AF553" i="19"/>
  <c r="H721" i="19"/>
  <c r="AH721" i="19" s="1"/>
  <c r="AF721" i="19"/>
  <c r="H418" i="19"/>
  <c r="AH418" i="19" s="1"/>
  <c r="AF418" i="19"/>
  <c r="H565" i="19"/>
  <c r="AH565" i="19" s="1"/>
  <c r="AF565" i="19"/>
  <c r="H368" i="19"/>
  <c r="AH368" i="19" s="1"/>
  <c r="AF368" i="19"/>
  <c r="H970" i="19"/>
  <c r="AH970" i="19" s="1"/>
  <c r="AF970" i="19"/>
  <c r="H344" i="19"/>
  <c r="AH344" i="19" s="1"/>
  <c r="AF344" i="19"/>
  <c r="H614" i="19"/>
  <c r="AH614" i="19" s="1"/>
  <c r="AF614" i="19"/>
  <c r="H833" i="19"/>
  <c r="AH833" i="19" s="1"/>
  <c r="AF833" i="19"/>
  <c r="H519" i="19"/>
  <c r="AH519" i="19" s="1"/>
  <c r="AF519" i="19"/>
  <c r="H345" i="19"/>
  <c r="AH345" i="19" s="1"/>
  <c r="AF345" i="19"/>
  <c r="H687" i="19"/>
  <c r="AH687" i="19" s="1"/>
  <c r="AF687" i="19"/>
  <c r="H903" i="19"/>
  <c r="AH903" i="19" s="1"/>
  <c r="AF903" i="19"/>
  <c r="H617" i="19"/>
  <c r="AH617" i="19" s="1"/>
  <c r="AF617" i="19"/>
  <c r="H179" i="19"/>
  <c r="AH179" i="19" s="1"/>
  <c r="AF179" i="19"/>
  <c r="H931" i="19"/>
  <c r="AH931" i="19" s="1"/>
  <c r="AF931" i="19"/>
  <c r="H941" i="19"/>
  <c r="AH941" i="19" s="1"/>
  <c r="AF941" i="19"/>
  <c r="H662" i="19"/>
  <c r="AH662" i="19" s="1"/>
  <c r="AF662" i="19"/>
  <c r="H859" i="19"/>
  <c r="AH859" i="19" s="1"/>
  <c r="AF859" i="19"/>
  <c r="H905" i="19"/>
  <c r="AH905" i="19" s="1"/>
  <c r="AF905" i="19"/>
  <c r="H772" i="19"/>
  <c r="AH772" i="19" s="1"/>
  <c r="AF772" i="19"/>
  <c r="H567" i="19"/>
  <c r="AH567" i="19" s="1"/>
  <c r="AF567" i="19"/>
  <c r="H749" i="19"/>
  <c r="AH749" i="19" s="1"/>
  <c r="AF749" i="19"/>
  <c r="H647" i="19"/>
  <c r="AH647" i="19" s="1"/>
  <c r="AF647" i="19"/>
  <c r="H948" i="19"/>
  <c r="AH948" i="19" s="1"/>
  <c r="AF948" i="19"/>
  <c r="H879" i="19"/>
  <c r="AH879" i="19" s="1"/>
  <c r="AF879" i="19"/>
  <c r="H665" i="19"/>
  <c r="AH665" i="19" s="1"/>
  <c r="AF665" i="19"/>
  <c r="H462" i="19"/>
  <c r="AH462" i="19" s="1"/>
  <c r="AF462" i="19"/>
  <c r="H701" i="19"/>
  <c r="AH701" i="19" s="1"/>
  <c r="AF701" i="19"/>
  <c r="H779" i="19"/>
  <c r="AH779" i="19" s="1"/>
  <c r="AF779" i="19"/>
  <c r="H747" i="19"/>
  <c r="AH747" i="19" s="1"/>
  <c r="AF747" i="19"/>
  <c r="H292" i="19"/>
  <c r="AH292" i="19" s="1"/>
  <c r="AF292" i="19"/>
  <c r="H155" i="19"/>
  <c r="AH155" i="19" s="1"/>
  <c r="AF155" i="19"/>
  <c r="H86" i="19"/>
  <c r="AH86" i="19" s="1"/>
  <c r="AF86" i="19"/>
  <c r="H93" i="19"/>
  <c r="AH93" i="19" s="1"/>
  <c r="AF93" i="19"/>
  <c r="H81" i="19"/>
  <c r="AH81" i="19" s="1"/>
  <c r="AF81" i="19"/>
  <c r="H203" i="19"/>
  <c r="AH203" i="19" s="1"/>
  <c r="AF203" i="19"/>
  <c r="H96" i="19"/>
  <c r="AH96" i="19" s="1"/>
  <c r="AF96" i="19"/>
  <c r="H106" i="19"/>
  <c r="AH106" i="19" s="1"/>
  <c r="AF106" i="19"/>
  <c r="H133" i="19"/>
  <c r="AH133" i="19" s="1"/>
  <c r="AF133" i="19"/>
  <c r="H36" i="19"/>
  <c r="AH36" i="19" s="1"/>
  <c r="AF36" i="19"/>
  <c r="H157" i="19"/>
  <c r="AH157" i="19" s="1"/>
  <c r="AF157" i="19"/>
  <c r="H79" i="19"/>
  <c r="AH79" i="19" s="1"/>
  <c r="AF79" i="19"/>
  <c r="H114" i="19"/>
  <c r="AH114" i="19" s="1"/>
  <c r="AF114" i="19"/>
  <c r="H43" i="19"/>
  <c r="AH43" i="19" s="1"/>
  <c r="AF43" i="19"/>
  <c r="H229" i="19"/>
  <c r="AH229" i="19" s="1"/>
  <c r="AF229" i="19"/>
  <c r="H215" i="19"/>
  <c r="AH215" i="19" s="1"/>
  <c r="AF215" i="19"/>
  <c r="H101" i="19"/>
  <c r="AH101" i="19" s="1"/>
  <c r="AF101" i="19"/>
  <c r="H154" i="19"/>
  <c r="AH154" i="19" s="1"/>
  <c r="AF154" i="19"/>
  <c r="H460" i="19"/>
  <c r="AH460" i="19" s="1"/>
  <c r="AF460" i="19"/>
  <c r="H37" i="19"/>
  <c r="AH37" i="19" s="1"/>
  <c r="AF37" i="19"/>
  <c r="H94" i="19"/>
  <c r="AH94" i="19" s="1"/>
  <c r="AF94" i="19"/>
  <c r="H407" i="19"/>
  <c r="AH407" i="19" s="1"/>
  <c r="AF407" i="19"/>
  <c r="H684" i="19"/>
  <c r="AH684" i="19" s="1"/>
  <c r="AF684" i="19"/>
  <c r="H393" i="19"/>
  <c r="AH393" i="19" s="1"/>
  <c r="AF393" i="19"/>
  <c r="H892" i="19"/>
  <c r="AH892" i="19" s="1"/>
  <c r="AF892" i="19"/>
  <c r="H317" i="19"/>
  <c r="AH317" i="19" s="1"/>
  <c r="AF317" i="19"/>
  <c r="H693" i="19"/>
  <c r="AH693" i="19" s="1"/>
  <c r="AF693" i="19"/>
  <c r="H982" i="19"/>
  <c r="AH982" i="19" s="1"/>
  <c r="AF982" i="19"/>
  <c r="H578" i="19"/>
  <c r="AH578" i="19" s="1"/>
  <c r="AF578" i="19"/>
  <c r="H960" i="19"/>
  <c r="AH960" i="19" s="1"/>
  <c r="AF960" i="19"/>
  <c r="H677" i="19"/>
  <c r="AH677" i="19" s="1"/>
  <c r="AF677" i="19"/>
  <c r="H386" i="19"/>
  <c r="AH386" i="19" s="1"/>
  <c r="AF386" i="19"/>
  <c r="H728" i="19"/>
  <c r="AH728" i="19" s="1"/>
  <c r="AF728" i="19"/>
  <c r="H755" i="19"/>
  <c r="AH755" i="19" s="1"/>
  <c r="AF755" i="19"/>
  <c r="H207" i="19"/>
  <c r="AH207" i="19" s="1"/>
  <c r="AF207" i="19"/>
  <c r="H907" i="19"/>
  <c r="AH907" i="19" s="1"/>
  <c r="AF907" i="19"/>
  <c r="H761" i="19"/>
  <c r="AH761" i="19" s="1"/>
  <c r="AF761" i="19"/>
  <c r="H737" i="19"/>
  <c r="AH737" i="19" s="1"/>
  <c r="AF737" i="19"/>
  <c r="H978" i="19"/>
  <c r="AH978" i="19" s="1"/>
  <c r="AF978" i="19"/>
  <c r="H945" i="19"/>
  <c r="AH945" i="19" s="1"/>
  <c r="AF945" i="19"/>
  <c r="H790" i="19"/>
  <c r="AH790" i="19" s="1"/>
  <c r="AF790" i="19"/>
  <c r="H871" i="19"/>
  <c r="AH871" i="19" s="1"/>
  <c r="AF871" i="19"/>
  <c r="H856" i="19"/>
  <c r="AH856" i="19" s="1"/>
  <c r="AF856" i="19"/>
  <c r="H764" i="19"/>
  <c r="AH764" i="19" s="1"/>
  <c r="AF764" i="19"/>
  <c r="H598" i="19"/>
  <c r="AH598" i="19" s="1"/>
  <c r="AF598" i="19"/>
  <c r="H946" i="19"/>
  <c r="AH946" i="19" s="1"/>
  <c r="AF946" i="19"/>
  <c r="H712" i="19"/>
  <c r="AH712" i="19" s="1"/>
  <c r="AF712" i="19"/>
  <c r="H674" i="19"/>
  <c r="AH674" i="19" s="1"/>
  <c r="AF674" i="19"/>
  <c r="H251" i="19"/>
  <c r="AH251" i="19" s="1"/>
  <c r="AF251" i="19"/>
  <c r="H382" i="19"/>
  <c r="AH382" i="19" s="1"/>
  <c r="AF382" i="19"/>
  <c r="H347" i="19"/>
  <c r="AH347" i="19" s="1"/>
  <c r="AF347" i="19"/>
  <c r="H706" i="19"/>
  <c r="AH706" i="19" s="1"/>
  <c r="AF706" i="19"/>
  <c r="H40" i="19"/>
  <c r="AH40" i="19" s="1"/>
  <c r="AF40" i="19"/>
  <c r="H299" i="19"/>
  <c r="AH299" i="19" s="1"/>
  <c r="AF299" i="19"/>
  <c r="H156" i="19"/>
  <c r="AH156" i="19" s="1"/>
  <c r="AF156" i="19"/>
  <c r="H174" i="19"/>
  <c r="AH174" i="19" s="1"/>
  <c r="AF174" i="19"/>
  <c r="H240" i="19"/>
  <c r="AH240" i="19" s="1"/>
  <c r="AF240" i="19"/>
  <c r="H282" i="19"/>
  <c r="AH282" i="19" s="1"/>
  <c r="AF282" i="19"/>
  <c r="H232" i="19"/>
  <c r="AH232" i="19" s="1"/>
  <c r="AF232" i="19"/>
  <c r="H217" i="19"/>
  <c r="AH217" i="19" s="1"/>
  <c r="AF217" i="19"/>
  <c r="H60" i="19"/>
  <c r="AH60" i="19" s="1"/>
  <c r="AF60" i="19"/>
  <c r="H258" i="19"/>
  <c r="AH258" i="19" s="1"/>
  <c r="AF258" i="19"/>
  <c r="H606" i="19"/>
  <c r="AH606" i="19" s="1"/>
  <c r="AF606" i="19"/>
  <c r="H100" i="19"/>
  <c r="AH100" i="19" s="1"/>
  <c r="AF100" i="19"/>
  <c r="H228" i="19"/>
  <c r="AH228" i="19" s="1"/>
  <c r="AF228" i="19"/>
  <c r="H59" i="19"/>
  <c r="AH59" i="19" s="1"/>
  <c r="AF59" i="19"/>
  <c r="H242" i="19"/>
  <c r="AH242" i="19" s="1"/>
  <c r="AF242" i="19"/>
  <c r="H760" i="19"/>
  <c r="AH760" i="19" s="1"/>
  <c r="AF760" i="19"/>
  <c r="H253" i="19"/>
  <c r="AH253" i="19" s="1"/>
  <c r="AF253" i="19"/>
  <c r="H110" i="19"/>
  <c r="AH110" i="19" s="1"/>
  <c r="AF110" i="19"/>
  <c r="H171" i="19"/>
  <c r="AH171" i="19" s="1"/>
  <c r="AF171" i="19"/>
  <c r="H594" i="19"/>
  <c r="AH594" i="19" s="1"/>
  <c r="AF594" i="19"/>
  <c r="H42" i="19"/>
  <c r="AH42" i="19" s="1"/>
  <c r="AF42" i="19"/>
  <c r="H108" i="19"/>
  <c r="AH108" i="19" s="1"/>
  <c r="AF108" i="19"/>
  <c r="H471" i="19"/>
  <c r="AH471" i="19" s="1"/>
  <c r="AF471" i="19"/>
  <c r="H626" i="19"/>
  <c r="AH626" i="19" s="1"/>
  <c r="AF626" i="19"/>
  <c r="H694" i="19"/>
  <c r="AH694" i="19" s="1"/>
  <c r="AF694" i="19"/>
  <c r="H190" i="19"/>
  <c r="AH190" i="19" s="1"/>
  <c r="AF190" i="19"/>
  <c r="H726" i="19"/>
  <c r="AH726" i="19" s="1"/>
  <c r="AF726" i="19"/>
  <c r="H938" i="19"/>
  <c r="AH938" i="19" s="1"/>
  <c r="AF938" i="19"/>
  <c r="H632" i="19"/>
  <c r="AH632" i="19" s="1"/>
  <c r="AF632" i="19"/>
  <c r="H577" i="19"/>
  <c r="AH577" i="19" s="1"/>
  <c r="AF577" i="19"/>
  <c r="H795" i="19"/>
  <c r="AH795" i="19" s="1"/>
  <c r="AF795" i="19"/>
  <c r="H417" i="19"/>
  <c r="AH417" i="19" s="1"/>
  <c r="AF417" i="19"/>
  <c r="H481" i="19"/>
  <c r="AH481" i="19" s="1"/>
  <c r="AF481" i="19"/>
  <c r="H972" i="19"/>
  <c r="AH972" i="19" s="1"/>
  <c r="AF972" i="19"/>
  <c r="H783" i="19"/>
  <c r="AH783" i="19" s="1"/>
  <c r="AF783" i="19"/>
  <c r="H389" i="19"/>
  <c r="AH389" i="19" s="1"/>
  <c r="AF389" i="19"/>
  <c r="H786" i="19"/>
  <c r="AH786" i="19" s="1"/>
  <c r="AF786" i="19"/>
  <c r="H294" i="19"/>
  <c r="AH294" i="19" s="1"/>
  <c r="AF294" i="19"/>
  <c r="H950" i="19"/>
  <c r="AH950" i="19" s="1"/>
  <c r="AF950" i="19"/>
  <c r="H506" i="19"/>
  <c r="AH506" i="19" s="1"/>
  <c r="AF506" i="19"/>
  <c r="H334" i="19"/>
  <c r="AH334" i="19" s="1"/>
  <c r="AF334" i="19"/>
  <c r="H876" i="19"/>
  <c r="AH876" i="19" s="1"/>
  <c r="AF876" i="19"/>
  <c r="H838" i="19"/>
  <c r="AH838" i="19" s="1"/>
  <c r="AF838" i="19"/>
  <c r="H657" i="19"/>
  <c r="AH657" i="19" s="1"/>
  <c r="AF657" i="19"/>
  <c r="H767" i="19"/>
  <c r="AH767" i="19" s="1"/>
  <c r="AF767" i="19"/>
  <c r="H316" i="19"/>
  <c r="AH316" i="19" s="1"/>
  <c r="AF316" i="19"/>
  <c r="H936" i="19"/>
  <c r="AH936" i="19" s="1"/>
  <c r="AF936" i="19"/>
  <c r="H855" i="19"/>
  <c r="AH855" i="19" s="1"/>
  <c r="AF855" i="19"/>
  <c r="H380" i="19"/>
  <c r="AH380" i="19" s="1"/>
  <c r="AF380" i="19"/>
  <c r="H248" i="19"/>
  <c r="AH248" i="19" s="1"/>
  <c r="AF248" i="19"/>
  <c r="H886" i="19"/>
  <c r="AH886" i="19" s="1"/>
  <c r="AF886" i="19"/>
  <c r="H62" i="19"/>
  <c r="AH62" i="19" s="1"/>
  <c r="AF62" i="19"/>
  <c r="H388" i="19"/>
  <c r="AH388" i="19" s="1"/>
  <c r="AF388" i="19"/>
  <c r="H580" i="19"/>
  <c r="AH580" i="19" s="1"/>
  <c r="AF580" i="19"/>
  <c r="H30" i="19"/>
  <c r="AH30" i="19" s="1"/>
  <c r="AF30" i="19"/>
  <c r="H452" i="19"/>
  <c r="AH452" i="19" s="1"/>
  <c r="AF452" i="19"/>
  <c r="H489" i="19"/>
  <c r="AH489" i="19" s="1"/>
  <c r="AF489" i="19"/>
  <c r="H255" i="19"/>
  <c r="AH255" i="19" s="1"/>
  <c r="AF255" i="19"/>
  <c r="H31" i="19"/>
  <c r="AH31" i="19" s="1"/>
  <c r="AF31" i="19"/>
  <c r="H440" i="19"/>
  <c r="AH440" i="19" s="1"/>
  <c r="AF440" i="19"/>
  <c r="H58" i="19"/>
  <c r="AH58" i="19" s="1"/>
  <c r="AF58" i="19"/>
  <c r="H126" i="19"/>
  <c r="AH126" i="19" s="1"/>
  <c r="AF126" i="19"/>
  <c r="H291" i="19"/>
  <c r="AH291" i="19" s="1"/>
  <c r="AF291" i="19"/>
  <c r="H74" i="19"/>
  <c r="AH74" i="19" s="1"/>
  <c r="AF74" i="19"/>
  <c r="H260" i="19"/>
  <c r="AH260" i="19" s="1"/>
  <c r="AF260" i="19"/>
  <c r="H73" i="19"/>
  <c r="AH73" i="19" s="1"/>
  <c r="AF73" i="19"/>
  <c r="H396" i="19"/>
  <c r="AH396" i="19" s="1"/>
  <c r="AF396" i="19"/>
  <c r="H121" i="19"/>
  <c r="AH121" i="19" s="1"/>
  <c r="AF121" i="19"/>
  <c r="H177" i="19"/>
  <c r="AH177" i="19" s="1"/>
  <c r="AF177" i="19"/>
  <c r="H600" i="19"/>
  <c r="AH600" i="19" s="1"/>
  <c r="AF600" i="19"/>
  <c r="H47" i="19"/>
  <c r="AH47" i="19" s="1"/>
  <c r="AF47" i="19"/>
  <c r="H119" i="19"/>
  <c r="AH119" i="19" s="1"/>
  <c r="AF119" i="19"/>
  <c r="H484" i="19"/>
  <c r="AH484" i="19" s="1"/>
  <c r="AF484" i="19"/>
  <c r="H300" i="19"/>
  <c r="AH300" i="19" s="1"/>
  <c r="AF300" i="19"/>
  <c r="H571" i="19"/>
  <c r="AH571" i="19" s="1"/>
  <c r="AF571" i="19"/>
  <c r="H449" i="19"/>
  <c r="AH449" i="19" s="1"/>
  <c r="AF449" i="19"/>
  <c r="H971" i="19"/>
  <c r="AH971" i="19" s="1"/>
  <c r="AF971" i="19"/>
  <c r="H763" i="19"/>
  <c r="AH763" i="19" s="1"/>
  <c r="AF763" i="19"/>
  <c r="H331" i="19"/>
  <c r="AH331" i="19" s="1"/>
  <c r="AF331" i="19"/>
  <c r="H310" i="19"/>
  <c r="AH310" i="19" s="1"/>
  <c r="AF310" i="19"/>
  <c r="H511" i="19"/>
  <c r="AH511" i="19" s="1"/>
  <c r="AF511" i="19"/>
  <c r="H654" i="19"/>
  <c r="AH654" i="19" s="1"/>
  <c r="AF654" i="19"/>
  <c r="H504" i="19"/>
  <c r="AH504" i="19" s="1"/>
  <c r="AF504" i="19"/>
  <c r="H270" i="19"/>
  <c r="AH270" i="19" s="1"/>
  <c r="AF270" i="19"/>
  <c r="H456" i="19"/>
  <c r="AH456" i="19" s="1"/>
  <c r="AF456" i="19"/>
  <c r="H587" i="19"/>
  <c r="AH587" i="19" s="1"/>
  <c r="AF587" i="19"/>
  <c r="H840" i="19"/>
  <c r="AH840" i="19" s="1"/>
  <c r="AF840" i="19"/>
  <c r="H467" i="19"/>
  <c r="AH467" i="19" s="1"/>
  <c r="AF467" i="19"/>
  <c r="H426" i="19"/>
  <c r="AH426" i="19" s="1"/>
  <c r="AF426" i="19"/>
  <c r="H573" i="19"/>
  <c r="AH573" i="19" s="1"/>
  <c r="AF573" i="19"/>
  <c r="H890" i="19"/>
  <c r="AH890" i="19" s="1"/>
  <c r="AF890" i="19"/>
  <c r="H823" i="19"/>
  <c r="AH823" i="19" s="1"/>
  <c r="AF823" i="19"/>
  <c r="H342" i="19"/>
  <c r="AH342" i="19" s="1"/>
  <c r="AF342" i="19"/>
  <c r="H880" i="19"/>
  <c r="AH880" i="19" s="1"/>
  <c r="AF880" i="19"/>
  <c r="H306" i="19"/>
  <c r="AH306" i="19" s="1"/>
  <c r="AF306" i="19"/>
  <c r="H644" i="19"/>
  <c r="AH644" i="19" s="1"/>
  <c r="AF644" i="19"/>
  <c r="H288" i="19"/>
  <c r="AH288" i="19" s="1"/>
  <c r="AF288" i="19"/>
  <c r="H642" i="19"/>
  <c r="AH642" i="19" s="1"/>
  <c r="AF642" i="19"/>
  <c r="H915" i="19"/>
  <c r="AH915" i="19" s="1"/>
  <c r="AF915" i="19"/>
  <c r="H629" i="19"/>
  <c r="AH629" i="19" s="1"/>
  <c r="AF629" i="19"/>
  <c r="H451" i="19"/>
  <c r="AH451" i="19" s="1"/>
  <c r="AF451" i="19"/>
  <c r="H770" i="19"/>
  <c r="AH770" i="19" s="1"/>
  <c r="AF770" i="19"/>
  <c r="H216" i="19"/>
  <c r="AH216" i="19" s="1"/>
  <c r="AF216" i="19"/>
  <c r="H858" i="19"/>
  <c r="AH858" i="19" s="1"/>
  <c r="AF858" i="19"/>
  <c r="H951" i="19"/>
  <c r="AH951" i="19" s="1"/>
  <c r="AF951" i="19"/>
  <c r="H782" i="19"/>
  <c r="AH782" i="19" s="1"/>
  <c r="AF782" i="19"/>
  <c r="H899" i="19"/>
  <c r="AH899" i="19" s="1"/>
  <c r="AF899" i="19"/>
  <c r="H680" i="19"/>
  <c r="AH680" i="19" s="1"/>
  <c r="AF680" i="19"/>
  <c r="H980" i="19"/>
  <c r="AH980" i="19" s="1"/>
  <c r="AF980" i="19"/>
  <c r="H974" i="19"/>
  <c r="AH974" i="19" s="1"/>
  <c r="AF974" i="19"/>
  <c r="H741" i="19"/>
  <c r="AH741" i="19" s="1"/>
  <c r="AF741" i="19"/>
  <c r="H854" i="19"/>
  <c r="AH854" i="19" s="1"/>
  <c r="AF854" i="19"/>
  <c r="H953" i="19"/>
  <c r="AH953" i="19" s="1"/>
  <c r="AF953" i="19"/>
  <c r="H326" i="19"/>
  <c r="AH326" i="19" s="1"/>
  <c r="AF326" i="19"/>
  <c r="H923" i="19"/>
  <c r="AH923" i="19" s="1"/>
  <c r="AF923" i="19"/>
  <c r="H925" i="19"/>
  <c r="AH925" i="19" s="1"/>
  <c r="AF925" i="19"/>
  <c r="H866" i="19"/>
  <c r="AH866" i="19" s="1"/>
  <c r="AF866" i="19"/>
  <c r="H414" i="19"/>
  <c r="AH414" i="19" s="1"/>
  <c r="AF414" i="19"/>
  <c r="H896" i="19"/>
  <c r="AH896" i="19" s="1"/>
  <c r="AF896" i="19"/>
  <c r="H656" i="19"/>
  <c r="AH656" i="19" s="1"/>
  <c r="AF656" i="19"/>
  <c r="H199" i="19"/>
  <c r="AH199" i="19" s="1"/>
  <c r="AF199" i="19"/>
  <c r="H41" i="19"/>
  <c r="AH41" i="19" s="1"/>
  <c r="AF41" i="19"/>
  <c r="H205" i="19"/>
  <c r="AH205" i="19" s="1"/>
  <c r="AF205" i="19"/>
  <c r="H210" i="19"/>
  <c r="AH210" i="19" s="1"/>
  <c r="AF210" i="19"/>
  <c r="H141" i="19"/>
  <c r="AH141" i="19" s="1"/>
  <c r="AF141" i="19"/>
  <c r="H184" i="19"/>
  <c r="AH184" i="19" s="1"/>
  <c r="AF184" i="19"/>
  <c r="H676" i="19"/>
  <c r="AH676" i="19" s="1"/>
  <c r="AF676" i="19"/>
  <c r="H192" i="19"/>
  <c r="AH192" i="19" s="1"/>
  <c r="AF192" i="19"/>
  <c r="H76" i="19"/>
  <c r="AH76" i="19" s="1"/>
  <c r="AF76" i="19"/>
  <c r="H283" i="19"/>
  <c r="AH283" i="19" s="1"/>
  <c r="AF283" i="19"/>
  <c r="H337" i="19"/>
  <c r="AH337" i="19" s="1"/>
  <c r="AF337" i="19"/>
  <c r="H137" i="19"/>
  <c r="AH137" i="19" s="1"/>
  <c r="AF137" i="19"/>
  <c r="H416" i="19"/>
  <c r="AH416" i="19" s="1"/>
  <c r="AF416" i="19"/>
  <c r="H105" i="19"/>
  <c r="AH105" i="19" s="1"/>
  <c r="AF105" i="19"/>
  <c r="H266" i="19"/>
  <c r="AH266" i="19" s="1"/>
  <c r="AF266" i="19"/>
  <c r="H193" i="19"/>
  <c r="AH193" i="19" s="1"/>
  <c r="AF193" i="19"/>
  <c r="H514" i="19"/>
  <c r="AH514" i="19" s="1"/>
  <c r="AF514" i="19"/>
  <c r="H148" i="19"/>
  <c r="AH148" i="19" s="1"/>
  <c r="AF148" i="19"/>
  <c r="H189" i="19"/>
  <c r="AH189" i="19" s="1"/>
  <c r="AF189" i="19"/>
  <c r="H650" i="19"/>
  <c r="AH650" i="19" s="1"/>
  <c r="AF650" i="19"/>
  <c r="H52" i="19"/>
  <c r="AH52" i="19" s="1"/>
  <c r="AF52" i="19"/>
  <c r="H134" i="19"/>
  <c r="AH134" i="19" s="1"/>
  <c r="AF134" i="19"/>
  <c r="H495" i="19"/>
  <c r="AH495" i="19" s="1"/>
  <c r="AF495" i="19"/>
  <c r="H424" i="19"/>
  <c r="AH424" i="19" s="1"/>
  <c r="AF424" i="19"/>
  <c r="H315" i="19"/>
  <c r="AH315" i="19" s="1"/>
  <c r="AF315" i="19"/>
  <c r="H348" i="19"/>
  <c r="AH348" i="19" s="1"/>
  <c r="AF348" i="19"/>
  <c r="H666" i="19"/>
  <c r="AH666" i="19" s="1"/>
  <c r="AF666" i="19"/>
  <c r="H284" i="19"/>
  <c r="AH284" i="19" s="1"/>
  <c r="AF284" i="19"/>
  <c r="H473" i="19"/>
  <c r="AH473" i="19" s="1"/>
  <c r="AF473" i="19"/>
  <c r="H596" i="19"/>
  <c r="AH596" i="19" s="1"/>
  <c r="AF596" i="19"/>
  <c r="H293" i="19"/>
  <c r="AH293" i="19" s="1"/>
  <c r="AF293" i="19"/>
  <c r="H486" i="19"/>
  <c r="AH486" i="19" s="1"/>
  <c r="AF486" i="19"/>
  <c r="H602" i="19"/>
  <c r="AH602" i="19" s="1"/>
  <c r="AF602" i="19"/>
  <c r="H624" i="19"/>
  <c r="AH624" i="19" s="1"/>
  <c r="AF624" i="19"/>
  <c r="H438" i="19"/>
  <c r="AH438" i="19" s="1"/>
  <c r="AF438" i="19"/>
  <c r="H583" i="19"/>
  <c r="AH583" i="19" s="1"/>
  <c r="AF583" i="19"/>
  <c r="H711" i="19"/>
  <c r="AH711" i="19" s="1"/>
  <c r="AF711" i="19"/>
  <c r="H485" i="19"/>
  <c r="AH485" i="19" s="1"/>
  <c r="AF485" i="19"/>
  <c r="H869" i="19"/>
  <c r="AH869" i="19" s="1"/>
  <c r="AF869" i="19"/>
  <c r="H798" i="19"/>
  <c r="AH798" i="19" s="1"/>
  <c r="AF798" i="19"/>
  <c r="H804" i="19"/>
  <c r="AH804" i="19" s="1"/>
  <c r="AF804" i="19"/>
  <c r="H401" i="19"/>
  <c r="AH401" i="19" s="1"/>
  <c r="AF401" i="19"/>
  <c r="H281" i="19"/>
  <c r="AH281" i="19" s="1"/>
  <c r="AF281" i="19"/>
  <c r="H461" i="19"/>
  <c r="AH461" i="19" s="1"/>
  <c r="AF461" i="19"/>
  <c r="H904" i="19"/>
  <c r="AH904" i="19" s="1"/>
  <c r="AF904" i="19"/>
  <c r="H549" i="19"/>
  <c r="AH549" i="19" s="1"/>
  <c r="AF549" i="19"/>
  <c r="H685" i="19"/>
  <c r="AH685" i="19" s="1"/>
  <c r="AF685" i="19"/>
  <c r="H909" i="19"/>
  <c r="AH909" i="19" s="1"/>
  <c r="AF909" i="19"/>
  <c r="H872" i="19"/>
  <c r="AH872" i="19" s="1"/>
  <c r="AF872" i="19"/>
  <c r="H350" i="19"/>
  <c r="AH350" i="19" s="1"/>
  <c r="AF350" i="19"/>
  <c r="H979" i="19"/>
  <c r="AH979" i="19" s="1"/>
  <c r="AF979" i="19"/>
  <c r="H753" i="19"/>
  <c r="AH753" i="19" s="1"/>
  <c r="AF753" i="19"/>
  <c r="H918" i="19"/>
  <c r="AH918" i="19" s="1"/>
  <c r="AF918" i="19"/>
  <c r="H336" i="19"/>
  <c r="AH336" i="19" s="1"/>
  <c r="AF336" i="19"/>
  <c r="H731" i="19"/>
  <c r="AH731" i="19" s="1"/>
  <c r="AF731" i="19"/>
  <c r="H359" i="19"/>
  <c r="AH359" i="19" s="1"/>
  <c r="AF359" i="19"/>
  <c r="H924" i="19"/>
  <c r="AH924" i="19" s="1"/>
  <c r="AF924" i="19"/>
  <c r="H920" i="19"/>
  <c r="AH920" i="19" s="1"/>
  <c r="AF920" i="19"/>
  <c r="H612" i="19"/>
  <c r="AH612" i="19" s="1"/>
  <c r="AF612" i="19"/>
  <c r="H862" i="19"/>
  <c r="AH862" i="19" s="1"/>
  <c r="AF862" i="19"/>
  <c r="H563" i="19"/>
  <c r="AH563" i="19" s="1"/>
  <c r="AF563" i="19"/>
  <c r="H354" i="19"/>
  <c r="AH354" i="19" s="1"/>
  <c r="AF354" i="19"/>
  <c r="H161" i="19"/>
  <c r="AH161" i="19" s="1"/>
  <c r="AF161" i="19"/>
  <c r="H257" i="19"/>
  <c r="AH257" i="19" s="1"/>
  <c r="AF257" i="19"/>
  <c r="H125" i="19"/>
  <c r="AH125" i="19" s="1"/>
  <c r="AF125" i="19"/>
  <c r="H230" i="19"/>
  <c r="AH230" i="19" s="1"/>
  <c r="AF230" i="19"/>
  <c r="H123" i="19"/>
  <c r="AH123" i="19" s="1"/>
  <c r="AF123" i="19"/>
  <c r="H538" i="19"/>
  <c r="AH538" i="19" s="1"/>
  <c r="AF538" i="19"/>
  <c r="H145" i="19"/>
  <c r="AH145" i="19" s="1"/>
  <c r="AF145" i="19"/>
  <c r="H88" i="19"/>
  <c r="AH88" i="19" s="1"/>
  <c r="AF88" i="19"/>
  <c r="H69" i="19"/>
  <c r="AH69" i="19" s="1"/>
  <c r="AF69" i="19"/>
  <c r="H143" i="19"/>
  <c r="AH143" i="19" s="1"/>
  <c r="AF143" i="19"/>
  <c r="H28" i="19"/>
  <c r="AH28" i="19" s="1"/>
  <c r="AF28" i="19"/>
  <c r="H115" i="19"/>
  <c r="AH115" i="19" s="1"/>
  <c r="AF115" i="19"/>
  <c r="H271" i="19"/>
  <c r="AH271" i="19" s="1"/>
  <c r="AF271" i="19"/>
  <c r="H311" i="19"/>
  <c r="AH311" i="19" s="1"/>
  <c r="AF311" i="19"/>
  <c r="H691" i="19"/>
  <c r="AH691" i="19" s="1"/>
  <c r="AF691" i="19"/>
  <c r="H247" i="19"/>
  <c r="AH247" i="19" s="1"/>
  <c r="AF247" i="19"/>
  <c r="H198" i="19"/>
  <c r="AH198" i="19" s="1"/>
  <c r="AF198" i="19"/>
  <c r="H327" i="19"/>
  <c r="AH327" i="19" s="1"/>
  <c r="AF327" i="19"/>
  <c r="H57" i="19"/>
  <c r="AH57" i="19" s="1"/>
  <c r="AF57" i="19"/>
  <c r="H149" i="19"/>
  <c r="AH149" i="19" s="1"/>
  <c r="AF149" i="19"/>
  <c r="H531" i="19"/>
  <c r="AH531" i="19" s="1"/>
  <c r="AF531" i="19"/>
  <c r="H962" i="19"/>
  <c r="AH962" i="19" s="1"/>
  <c r="AF962" i="19"/>
  <c r="H582" i="19"/>
  <c r="AH582" i="19" s="1"/>
  <c r="AF582" i="19"/>
  <c r="H820" i="19"/>
  <c r="AH820" i="19" s="1"/>
  <c r="AF820" i="19"/>
  <c r="H937" i="19"/>
  <c r="AH937" i="19" s="1"/>
  <c r="AF937" i="19"/>
  <c r="H643" i="19"/>
  <c r="AH643" i="19" s="1"/>
  <c r="AF643" i="19"/>
  <c r="H513" i="19"/>
  <c r="AH513" i="19" s="1"/>
  <c r="AF513" i="19"/>
  <c r="H517" i="19"/>
  <c r="AH517" i="19" s="1"/>
  <c r="AF517" i="19"/>
  <c r="H370" i="19"/>
  <c r="AH370" i="19" s="1"/>
  <c r="AF370" i="19"/>
  <c r="H298" i="19"/>
  <c r="AH298" i="19" s="1"/>
  <c r="AF298" i="19"/>
  <c r="H490" i="19"/>
  <c r="AH490" i="19" s="1"/>
  <c r="AF490" i="19"/>
  <c r="H608" i="19"/>
  <c r="AH608" i="19" s="1"/>
  <c r="AF608" i="19"/>
  <c r="H307" i="19"/>
  <c r="AH307" i="19" s="1"/>
  <c r="AF307" i="19"/>
  <c r="H492" i="19"/>
  <c r="AH492" i="19" s="1"/>
  <c r="AF492" i="19"/>
  <c r="H618" i="19"/>
  <c r="AH618" i="19" s="1"/>
  <c r="AF618" i="19"/>
  <c r="H457" i="19"/>
  <c r="AH457" i="19" s="1"/>
  <c r="AF457" i="19"/>
  <c r="H588" i="19"/>
  <c r="AH588" i="19" s="1"/>
  <c r="AF588" i="19"/>
  <c r="H579" i="19"/>
  <c r="AH579" i="19" s="1"/>
  <c r="AF579" i="19"/>
  <c r="H897" i="19"/>
  <c r="AH897" i="19" s="1"/>
  <c r="AF897" i="19"/>
  <c r="H867" i="19"/>
  <c r="AH867" i="19" s="1"/>
  <c r="AF867" i="19"/>
  <c r="H593" i="19"/>
  <c r="AH593" i="19" s="1"/>
  <c r="AF593" i="19"/>
  <c r="H868" i="19"/>
  <c r="AH868" i="19" s="1"/>
  <c r="AF868" i="19"/>
  <c r="H803" i="19"/>
  <c r="AH803" i="19" s="1"/>
  <c r="AF803" i="19"/>
  <c r="H330" i="19"/>
  <c r="AH330" i="19" s="1"/>
  <c r="AF330" i="19"/>
  <c r="H848" i="19"/>
  <c r="AH848" i="19" s="1"/>
  <c r="AF848" i="19"/>
  <c r="H794" i="19"/>
  <c r="AH794" i="19" s="1"/>
  <c r="AF794" i="19"/>
  <c r="H287" i="19"/>
  <c r="AH287" i="19" s="1"/>
  <c r="AF287" i="19"/>
  <c r="H430" i="19"/>
  <c r="AH430" i="19" s="1"/>
  <c r="AF430" i="19"/>
  <c r="H233" i="19"/>
  <c r="AH233" i="19" s="1"/>
  <c r="AF233" i="19"/>
  <c r="H874" i="19"/>
  <c r="AH874" i="19" s="1"/>
  <c r="AF874" i="19"/>
  <c r="H420" i="19"/>
  <c r="AH420" i="19" s="1"/>
  <c r="AF420" i="19"/>
  <c r="H881" i="19"/>
  <c r="AH881" i="19" s="1"/>
  <c r="AF881" i="19"/>
  <c r="H225" i="19"/>
  <c r="AH225" i="19" s="1"/>
  <c r="AF225" i="19"/>
  <c r="H887" i="19"/>
  <c r="AH887" i="19" s="1"/>
  <c r="AF887" i="19"/>
  <c r="H724" i="19"/>
  <c r="AH724" i="19" s="1"/>
  <c r="AF724" i="19"/>
  <c r="H634" i="19"/>
  <c r="AH634" i="19" s="1"/>
  <c r="AF634" i="19"/>
  <c r="H532" i="19"/>
  <c r="AH532" i="19" s="1"/>
  <c r="AF532" i="19"/>
  <c r="H894" i="19"/>
  <c r="AH894" i="19" s="1"/>
  <c r="AF894" i="19"/>
  <c r="H758" i="19"/>
  <c r="AH758" i="19" s="1"/>
  <c r="AF758" i="19"/>
  <c r="H466" i="19"/>
  <c r="AH466" i="19" s="1"/>
  <c r="AF466" i="19"/>
  <c r="H846" i="19"/>
  <c r="AH846" i="19" s="1"/>
  <c r="AF846" i="19"/>
  <c r="H745" i="19"/>
  <c r="AH745" i="19" s="1"/>
  <c r="AF745" i="19"/>
  <c r="H733" i="19"/>
  <c r="AH733" i="19" s="1"/>
  <c r="AF733" i="19"/>
  <c r="H863" i="19"/>
  <c r="AH863" i="19" s="1"/>
  <c r="AF863" i="19"/>
  <c r="H279" i="19"/>
  <c r="AH279" i="19" s="1"/>
  <c r="AF279" i="19"/>
  <c r="H796" i="19"/>
  <c r="AH796" i="19" s="1"/>
  <c r="AF796" i="19"/>
  <c r="H480" i="19"/>
  <c r="AH480" i="19" s="1"/>
  <c r="AF480" i="19"/>
  <c r="H590" i="19"/>
  <c r="AH590" i="19" s="1"/>
  <c r="AF590" i="19"/>
  <c r="H788" i="19"/>
  <c r="AH788" i="19" s="1"/>
  <c r="AF788" i="19"/>
  <c r="H27" i="19"/>
  <c r="AH27" i="19" s="1"/>
  <c r="AF27" i="19"/>
  <c r="H422" i="19"/>
  <c r="AH422" i="19" s="1"/>
  <c r="AF422" i="19"/>
  <c r="H237" i="19"/>
  <c r="AH237" i="19" s="1"/>
  <c r="AF237" i="19"/>
  <c r="H68" i="19"/>
  <c r="AH68" i="19" s="1"/>
  <c r="AF68" i="19"/>
  <c r="H243" i="19"/>
  <c r="AH243" i="19" s="1"/>
  <c r="AF243" i="19"/>
  <c r="H103" i="19"/>
  <c r="AH103" i="19" s="1"/>
  <c r="AF103" i="19"/>
  <c r="H160" i="19"/>
  <c r="AH160" i="19" s="1"/>
  <c r="AF160" i="19"/>
  <c r="H167" i="19"/>
  <c r="AH167" i="19" s="1"/>
  <c r="AF167" i="19"/>
  <c r="H104" i="19"/>
  <c r="AH104" i="19" s="1"/>
  <c r="AF104" i="19"/>
  <c r="H152" i="19"/>
  <c r="AH152" i="19" s="1"/>
  <c r="AF152" i="19"/>
  <c r="H84" i="19"/>
  <c r="AH84" i="19" s="1"/>
  <c r="AF84" i="19"/>
  <c r="H158" i="19"/>
  <c r="AH158" i="19" s="1"/>
  <c r="AF158" i="19"/>
  <c r="H278" i="19"/>
  <c r="AH278" i="19" s="1"/>
  <c r="AF278" i="19"/>
  <c r="H703" i="19"/>
  <c r="AH703" i="19" s="1"/>
  <c r="AF703" i="19"/>
  <c r="H99" i="19"/>
  <c r="AH99" i="19" s="1"/>
  <c r="AF99" i="19"/>
  <c r="H585" i="19"/>
  <c r="AH585" i="19" s="1"/>
  <c r="AF585" i="19"/>
  <c r="H224" i="19"/>
  <c r="AH224" i="19" s="1"/>
  <c r="AF224" i="19"/>
  <c r="H570" i="19"/>
  <c r="AH570" i="19" s="1"/>
  <c r="AF570" i="19"/>
  <c r="H61" i="19"/>
  <c r="AH61" i="19" s="1"/>
  <c r="AF61" i="19"/>
  <c r="H164" i="19"/>
  <c r="AH164" i="19" s="1"/>
  <c r="AF164" i="19"/>
  <c r="H692" i="19"/>
  <c r="AH692" i="19" s="1"/>
  <c r="AF692" i="19"/>
  <c r="H610" i="19"/>
  <c r="AH610" i="19" s="1"/>
  <c r="AF610" i="19"/>
  <c r="H436" i="19"/>
  <c r="AH436" i="19" s="1"/>
  <c r="AF436" i="19"/>
  <c r="H498" i="19"/>
  <c r="AH498" i="19" s="1"/>
  <c r="AF498" i="19"/>
  <c r="H554" i="19"/>
  <c r="AH554" i="19" s="1"/>
  <c r="AF554" i="19"/>
  <c r="H659" i="19"/>
  <c r="AH659" i="19" s="1"/>
  <c r="AF659" i="19"/>
  <c r="H353" i="19"/>
  <c r="AH353" i="19" s="1"/>
  <c r="AF353" i="19"/>
  <c r="H357" i="19"/>
  <c r="AH357" i="19" s="1"/>
  <c r="AF357" i="19"/>
  <c r="H524" i="19"/>
  <c r="AH524" i="19" s="1"/>
  <c r="AF524" i="19"/>
  <c r="H536" i="19"/>
  <c r="AH536" i="19" s="1"/>
  <c r="AF536" i="19"/>
  <c r="H496" i="19"/>
  <c r="AH496" i="19" s="1"/>
  <c r="AF496" i="19"/>
  <c r="H319" i="19"/>
  <c r="AH319" i="19" s="1"/>
  <c r="AF319" i="19"/>
  <c r="H630" i="19"/>
  <c r="AH630" i="19" s="1"/>
  <c r="AF630" i="19"/>
  <c r="H475" i="19"/>
  <c r="AH475" i="19" s="1"/>
  <c r="AF475" i="19"/>
  <c r="H615" i="19"/>
  <c r="AH615" i="19" s="1"/>
  <c r="AF615" i="19"/>
  <c r="H954" i="19"/>
  <c r="AH954" i="19" s="1"/>
  <c r="AF954" i="19"/>
  <c r="H707" i="19"/>
  <c r="AH707" i="19" s="1"/>
  <c r="AF707" i="19"/>
  <c r="H429" i="19"/>
  <c r="AH429" i="19" s="1"/>
  <c r="AF429" i="19"/>
  <c r="H821" i="19"/>
  <c r="AH821" i="19" s="1"/>
  <c r="AF821" i="19"/>
  <c r="H697" i="19"/>
  <c r="AH697" i="19" s="1"/>
  <c r="AF697" i="19"/>
  <c r="H802" i="19"/>
  <c r="AH802" i="19" s="1"/>
  <c r="AF802" i="19"/>
  <c r="H358" i="19"/>
  <c r="AH358" i="19" s="1"/>
  <c r="AF358" i="19"/>
  <c r="H837" i="19"/>
  <c r="AH837" i="19" s="1"/>
  <c r="AF837" i="19"/>
  <c r="H267" i="19"/>
  <c r="AH267" i="19" s="1"/>
  <c r="AF267" i="19"/>
  <c r="H816" i="19"/>
  <c r="AH816" i="19" s="1"/>
  <c r="AF816" i="19"/>
  <c r="H818" i="19"/>
  <c r="AH818" i="19" s="1"/>
  <c r="AF818" i="19"/>
  <c r="H714" i="19"/>
  <c r="AH714" i="19" s="1"/>
  <c r="AF714" i="19"/>
  <c r="H188" i="19"/>
  <c r="AH188" i="19" s="1"/>
  <c r="AF188" i="19"/>
  <c r="H465" i="19"/>
  <c r="AH465" i="19" s="1"/>
  <c r="AF465" i="19"/>
  <c r="H952" i="19"/>
  <c r="AH952" i="19" s="1"/>
  <c r="AF952" i="19"/>
  <c r="H773" i="19"/>
  <c r="AH773" i="19" s="1"/>
  <c r="AF773" i="19"/>
  <c r="H956" i="19"/>
  <c r="AH956" i="19" s="1"/>
  <c r="AF956" i="19"/>
  <c r="H930" i="19"/>
  <c r="AH930" i="19" s="1"/>
  <c r="AF930" i="19"/>
  <c r="H698" i="19"/>
  <c r="AH698" i="19" s="1"/>
  <c r="AF698" i="19"/>
  <c r="H446" i="19"/>
  <c r="AH446" i="19" s="1"/>
  <c r="AF446" i="19"/>
  <c r="H276" i="19"/>
  <c r="AH276" i="19" s="1"/>
  <c r="AF276" i="19"/>
  <c r="H939" i="19"/>
  <c r="AH939" i="19" s="1"/>
  <c r="AF939" i="19"/>
  <c r="H527" i="19"/>
  <c r="AH527" i="19" s="1"/>
  <c r="AF527" i="19"/>
  <c r="H900" i="19"/>
  <c r="AH900" i="19" s="1"/>
  <c r="AF900" i="19"/>
  <c r="H809" i="19"/>
  <c r="AH809" i="19" s="1"/>
  <c r="AF809" i="19"/>
  <c r="H404" i="19"/>
  <c r="AH404" i="19" s="1"/>
  <c r="AF404" i="19"/>
  <c r="H365" i="19"/>
  <c r="AH365" i="19" s="1"/>
  <c r="AF365" i="19"/>
  <c r="H526" i="19"/>
  <c r="AH526" i="19" s="1"/>
  <c r="AF526" i="19"/>
  <c r="H77" i="19"/>
  <c r="AH77" i="19" s="1"/>
  <c r="AF77" i="19"/>
  <c r="H178" i="19"/>
  <c r="AH178" i="19" s="1"/>
  <c r="AF178" i="19"/>
  <c r="H107" i="19"/>
  <c r="AH107" i="19" s="1"/>
  <c r="AF107" i="19"/>
  <c r="H44" i="19"/>
  <c r="AH44" i="19" s="1"/>
  <c r="AF44" i="19"/>
  <c r="H552" i="19"/>
  <c r="AH552" i="19" s="1"/>
  <c r="AF552" i="19"/>
  <c r="H98" i="19"/>
  <c r="AH98" i="19" s="1"/>
  <c r="AF98" i="19"/>
  <c r="H56" i="19"/>
  <c r="AH56" i="19" s="1"/>
  <c r="AF56" i="19"/>
  <c r="H118" i="19"/>
  <c r="AH118" i="19" s="1"/>
  <c r="AF118" i="19"/>
  <c r="H212" i="19"/>
  <c r="AH212" i="19" s="1"/>
  <c r="AF212" i="19"/>
  <c r="H349" i="19"/>
  <c r="AH349" i="19" s="1"/>
  <c r="AF349" i="19"/>
  <c r="H131" i="19"/>
  <c r="AH131" i="19" s="1"/>
  <c r="AF131" i="19"/>
  <c r="H162" i="19"/>
  <c r="AH162" i="19" s="1"/>
  <c r="AF162" i="19"/>
  <c r="H109" i="19"/>
  <c r="AH109" i="19" s="1"/>
  <c r="AF109" i="19"/>
  <c r="H169" i="19"/>
  <c r="AH169" i="19" s="1"/>
  <c r="AF169" i="19"/>
  <c r="H285" i="19"/>
  <c r="AH285" i="19" s="1"/>
  <c r="AF285" i="19"/>
  <c r="H54" i="19"/>
  <c r="AH54" i="19" s="1"/>
  <c r="AF54" i="19"/>
  <c r="H142" i="19"/>
  <c r="AH142" i="19" s="1"/>
  <c r="AF142" i="19"/>
  <c r="H34" i="19"/>
  <c r="AH34" i="19" s="1"/>
  <c r="AF34" i="19"/>
  <c r="H236" i="19"/>
  <c r="AH236" i="19" s="1"/>
  <c r="AF236" i="19"/>
  <c r="H616" i="19"/>
  <c r="AH616" i="19" s="1"/>
  <c r="AF616" i="19"/>
  <c r="H67" i="19"/>
  <c r="AH67" i="19" s="1"/>
  <c r="AF67" i="19"/>
  <c r="H195" i="19"/>
  <c r="AH195" i="19" s="1"/>
  <c r="AF195" i="19"/>
  <c r="H812" i="19"/>
  <c r="AH812" i="19" s="1"/>
  <c r="AF812" i="19"/>
  <c r="H534" i="19"/>
  <c r="AH534" i="19" s="1"/>
  <c r="AF534" i="19"/>
  <c r="H295" i="19"/>
  <c r="AH295" i="19" s="1"/>
  <c r="AF295" i="19"/>
  <c r="H671" i="19"/>
  <c r="AH671" i="19" s="1"/>
  <c r="AF671" i="19"/>
  <c r="H378" i="19"/>
  <c r="AH378" i="19" s="1"/>
  <c r="AF378" i="19"/>
  <c r="H394" i="19"/>
  <c r="AH394" i="19" s="1"/>
  <c r="AF394" i="19"/>
  <c r="H645" i="19"/>
  <c r="AH645" i="19" s="1"/>
  <c r="AF645" i="19"/>
  <c r="H312" i="19"/>
  <c r="AH312" i="19" s="1"/>
  <c r="AF312" i="19"/>
  <c r="H623" i="19"/>
  <c r="AH623" i="19" s="1"/>
  <c r="AF623" i="19"/>
  <c r="H501" i="19"/>
  <c r="AH501" i="19" s="1"/>
  <c r="AF501" i="19"/>
  <c r="H751" i="19"/>
  <c r="AH751" i="19" s="1"/>
  <c r="AF751" i="19"/>
  <c r="H399" i="19"/>
  <c r="AH399" i="19" s="1"/>
  <c r="AF399" i="19"/>
  <c r="H542" i="19"/>
  <c r="AH542" i="19" s="1"/>
  <c r="AF542" i="19"/>
  <c r="H686" i="19"/>
  <c r="AH686" i="19" s="1"/>
  <c r="AF686" i="19"/>
  <c r="H411" i="19"/>
  <c r="AH411" i="19" s="1"/>
  <c r="AF411" i="19"/>
  <c r="H555" i="19"/>
  <c r="AH555" i="19" s="1"/>
  <c r="AF555" i="19"/>
  <c r="H695" i="19"/>
  <c r="AH695" i="19" s="1"/>
  <c r="AF695" i="19"/>
  <c r="H688" i="19"/>
  <c r="AH688" i="19" s="1"/>
  <c r="AF688" i="19"/>
  <c r="H324" i="19"/>
  <c r="AH324" i="19" s="1"/>
  <c r="AF324" i="19"/>
  <c r="H636" i="19"/>
  <c r="AH636" i="19" s="1"/>
  <c r="AF636" i="19"/>
  <c r="H335" i="19"/>
  <c r="AH335" i="19" s="1"/>
  <c r="AF335" i="19"/>
  <c r="H505" i="19"/>
  <c r="AH505" i="19" s="1"/>
  <c r="AF505" i="19"/>
  <c r="H646" i="19"/>
  <c r="AH646" i="19" s="1"/>
  <c r="AF646" i="19"/>
  <c r="H853" i="19"/>
  <c r="AH853" i="19" s="1"/>
  <c r="AF853" i="19"/>
  <c r="H609" i="19"/>
  <c r="AH609" i="19" s="1"/>
  <c r="AF609" i="19"/>
  <c r="H675" i="19"/>
  <c r="AH675" i="19" s="1"/>
  <c r="AF675" i="19"/>
  <c r="H487" i="19"/>
  <c r="AH487" i="19" s="1"/>
  <c r="AF487" i="19"/>
  <c r="H847" i="19"/>
  <c r="AH847" i="19" s="1"/>
  <c r="AF847" i="19"/>
  <c r="H560" i="19"/>
  <c r="AH560" i="19" s="1"/>
  <c r="AF560" i="19"/>
  <c r="H830" i="19"/>
  <c r="AH830" i="19" s="1"/>
  <c r="AF830" i="19"/>
  <c r="H500" i="19"/>
  <c r="AH500" i="19" s="1"/>
  <c r="AF500" i="19"/>
  <c r="H793" i="19"/>
  <c r="AH793" i="19" s="1"/>
  <c r="AF793" i="19"/>
  <c r="H575" i="19"/>
  <c r="AH575" i="19" s="1"/>
  <c r="AF575" i="19"/>
  <c r="H944" i="19"/>
  <c r="AH944" i="19" s="1"/>
  <c r="AF944" i="19"/>
  <c r="H966" i="19"/>
  <c r="AH966" i="19" s="1"/>
  <c r="AF966" i="19"/>
  <c r="H303" i="19"/>
  <c r="AH303" i="19" s="1"/>
  <c r="AF303" i="19"/>
  <c r="H362" i="19"/>
  <c r="AH362" i="19" s="1"/>
  <c r="AF362" i="19"/>
  <c r="H564" i="19"/>
  <c r="AH564" i="19" s="1"/>
  <c r="AF564" i="19"/>
  <c r="H928" i="19"/>
  <c r="AH928" i="19" s="1"/>
  <c r="AF928" i="19"/>
  <c r="H628" i="19"/>
  <c r="AH628" i="19" s="1"/>
  <c r="AF628" i="19"/>
  <c r="H777" i="19"/>
  <c r="AH777" i="19" s="1"/>
  <c r="AF777" i="19"/>
  <c r="H808" i="19"/>
  <c r="AH808" i="19" s="1"/>
  <c r="AF808" i="19"/>
  <c r="H704" i="19"/>
  <c r="AH704" i="19" s="1"/>
  <c r="AF704" i="19"/>
  <c r="H969" i="19"/>
  <c r="AH969" i="19" s="1"/>
  <c r="AF969" i="19"/>
  <c r="H934" i="19"/>
  <c r="AH934" i="19" s="1"/>
  <c r="AF934" i="19"/>
  <c r="H444" i="19"/>
  <c r="AH444" i="19" s="1"/>
  <c r="AF444" i="19"/>
  <c r="H320" i="19"/>
  <c r="AH320" i="19" s="1"/>
  <c r="AF320" i="19"/>
  <c r="H884" i="19"/>
  <c r="AH884" i="19" s="1"/>
  <c r="AF884" i="19"/>
  <c r="H241" i="19"/>
  <c r="AH241" i="19" s="1"/>
  <c r="AF241" i="19"/>
  <c r="H766" i="19"/>
  <c r="AH766" i="19" s="1"/>
  <c r="AF766" i="19"/>
  <c r="H302" i="19"/>
  <c r="AH302" i="19" s="1"/>
  <c r="AF302" i="19"/>
  <c r="H914" i="19"/>
  <c r="AH914" i="19" s="1"/>
  <c r="AF914" i="19"/>
  <c r="H329" i="19"/>
  <c r="AH329" i="19" s="1"/>
  <c r="AF329" i="19"/>
  <c r="H601" i="19"/>
  <c r="AH601" i="19" s="1"/>
  <c r="AF601" i="19"/>
  <c r="H269" i="19"/>
  <c r="AH269" i="19" s="1"/>
  <c r="AF269" i="19"/>
  <c r="H116" i="19"/>
  <c r="AH116" i="19" s="1"/>
  <c r="AF116" i="19"/>
  <c r="H550" i="19"/>
  <c r="AH550" i="19" s="1"/>
  <c r="AF550" i="19"/>
  <c r="H83" i="19"/>
  <c r="AH83" i="19" s="1"/>
  <c r="AF83" i="19"/>
  <c r="H35" i="19"/>
  <c r="AH35" i="19" s="1"/>
  <c r="AF35" i="19"/>
  <c r="H136" i="19"/>
  <c r="AH136" i="19" s="1"/>
  <c r="AF136" i="19"/>
  <c r="H146" i="19"/>
  <c r="AH146" i="19" s="1"/>
  <c r="AF146" i="19"/>
  <c r="H23" i="19"/>
  <c r="AH23" i="19" s="1"/>
  <c r="AF23" i="19"/>
  <c r="H268" i="19"/>
  <c r="AH268" i="19" s="1"/>
  <c r="AF268" i="19"/>
  <c r="H508" i="19"/>
  <c r="AH508" i="19" s="1"/>
  <c r="AF508" i="19"/>
  <c r="H220" i="19"/>
  <c r="AH220" i="19" s="1"/>
  <c r="AF220" i="19"/>
  <c r="H182" i="19"/>
  <c r="AH182" i="19" s="1"/>
  <c r="AF182" i="19"/>
  <c r="H147" i="19"/>
  <c r="AH147" i="19" s="1"/>
  <c r="AF147" i="19"/>
  <c r="H176" i="19"/>
  <c r="AH176" i="19" s="1"/>
  <c r="AF176" i="19"/>
  <c r="H70" i="19"/>
  <c r="AH70" i="19" s="1"/>
  <c r="AF70" i="19"/>
  <c r="H187" i="19"/>
  <c r="AH187" i="19" s="1"/>
  <c r="AF187" i="19"/>
  <c r="H49" i="19"/>
  <c r="AH49" i="19" s="1"/>
  <c r="AF49" i="19"/>
  <c r="H640" i="19"/>
  <c r="AH640" i="19" s="1"/>
  <c r="AF640" i="19"/>
  <c r="H71" i="19"/>
  <c r="AH71" i="19" s="1"/>
  <c r="AF71" i="19"/>
  <c r="H201" i="19"/>
  <c r="AH201" i="19" s="1"/>
  <c r="AF201" i="19"/>
  <c r="H472" i="19"/>
  <c r="AH472" i="19" s="1"/>
  <c r="AF472" i="19"/>
  <c r="H655" i="19"/>
  <c r="AH655" i="19" s="1"/>
  <c r="AF655" i="19"/>
  <c r="H792" i="19"/>
  <c r="AH792" i="19" s="1"/>
  <c r="AF792" i="19"/>
  <c r="H442" i="19"/>
  <c r="AH442" i="19" s="1"/>
  <c r="AF442" i="19"/>
  <c r="H415" i="19"/>
  <c r="AH415" i="19" s="1"/>
  <c r="AF415" i="19"/>
  <c r="H561" i="19"/>
  <c r="AH561" i="19" s="1"/>
  <c r="AF561" i="19"/>
  <c r="H421" i="19"/>
  <c r="AH421" i="19" s="1"/>
  <c r="AF421" i="19"/>
  <c r="H569" i="19"/>
  <c r="AH569" i="19" s="1"/>
  <c r="AF569" i="19"/>
  <c r="H831" i="19"/>
  <c r="AH831" i="19" s="1"/>
  <c r="AF831" i="19"/>
  <c r="H340" i="19"/>
  <c r="AH340" i="19" s="1"/>
  <c r="AF340" i="19"/>
  <c r="H509" i="19"/>
  <c r="AH509" i="19" s="1"/>
  <c r="AF509" i="19"/>
  <c r="H651" i="19"/>
  <c r="AH651" i="19" s="1"/>
  <c r="AF651" i="19"/>
  <c r="H351" i="19"/>
  <c r="AH351" i="19" s="1"/>
  <c r="AF351" i="19"/>
  <c r="H663" i="19"/>
  <c r="AH663" i="19" s="1"/>
  <c r="AF663" i="19"/>
  <c r="H309" i="19"/>
  <c r="AH309" i="19" s="1"/>
  <c r="AF309" i="19"/>
  <c r="H493" i="19"/>
  <c r="AH493" i="19" s="1"/>
  <c r="AF493" i="19"/>
  <c r="H620" i="19"/>
  <c r="AH620" i="19" s="1"/>
  <c r="AF620" i="19"/>
  <c r="H906" i="19"/>
  <c r="AH906" i="19" s="1"/>
  <c r="AF906" i="19"/>
  <c r="H801" i="19"/>
  <c r="AH801" i="19" s="1"/>
  <c r="AF801" i="19"/>
  <c r="H965" i="19"/>
  <c r="AH965" i="19" s="1"/>
  <c r="AF965" i="19"/>
  <c r="H850" i="19"/>
  <c r="AH850" i="19" s="1"/>
  <c r="AF850" i="19"/>
  <c r="H814" i="19"/>
  <c r="AH814" i="19" s="1"/>
  <c r="AF814" i="19"/>
  <c r="H889" i="19"/>
  <c r="AH889" i="19" s="1"/>
  <c r="AF889" i="19"/>
  <c r="H432" i="19"/>
  <c r="AH432" i="19" s="1"/>
  <c r="AF432" i="19"/>
  <c r="H921" i="19"/>
  <c r="AH921" i="19" s="1"/>
  <c r="AF921" i="19"/>
  <c r="H829" i="19"/>
  <c r="AH829" i="19" s="1"/>
  <c r="AF829" i="19"/>
  <c r="H735" i="19"/>
  <c r="AH735" i="19" s="1"/>
  <c r="AF735" i="19"/>
  <c r="H673" i="19"/>
  <c r="AH673" i="19" s="1"/>
  <c r="AF673" i="19"/>
  <c r="H932" i="19"/>
  <c r="AH932" i="19" s="1"/>
  <c r="AF932" i="19"/>
  <c r="H883" i="19"/>
  <c r="AH883" i="19" s="1"/>
  <c r="AF883" i="19"/>
  <c r="H497" i="19"/>
  <c r="AH497" i="19" s="1"/>
  <c r="AF497" i="19"/>
  <c r="H603" i="19"/>
  <c r="AH603" i="19" s="1"/>
  <c r="AF603" i="19"/>
  <c r="H877" i="19"/>
  <c r="AH877" i="19" s="1"/>
  <c r="AF877" i="19"/>
  <c r="H776" i="19"/>
  <c r="AH776" i="19" s="1"/>
  <c r="AF776" i="19"/>
  <c r="H672" i="19"/>
  <c r="AH672" i="19" s="1"/>
  <c r="AF672" i="19"/>
  <c r="H968" i="19"/>
  <c r="AH968" i="19" s="1"/>
  <c r="AF968" i="19"/>
  <c r="H893" i="19"/>
  <c r="AH893" i="19" s="1"/>
  <c r="AF893" i="19"/>
  <c r="H447" i="19"/>
  <c r="AH447" i="19" s="1"/>
  <c r="AF447" i="19"/>
  <c r="H895" i="19"/>
  <c r="AH895" i="19" s="1"/>
  <c r="AF895" i="19"/>
  <c r="H204" i="19"/>
  <c r="AH204" i="19" s="1"/>
  <c r="AF204" i="19"/>
  <c r="H720" i="19"/>
  <c r="AH720" i="19" s="1"/>
  <c r="AF720" i="19"/>
  <c r="H530" i="19"/>
  <c r="AH530" i="19" s="1"/>
  <c r="AF530" i="19"/>
  <c r="H913" i="19"/>
  <c r="AH913" i="19" s="1"/>
  <c r="AF913" i="19"/>
  <c r="H843" i="19"/>
  <c r="AH843" i="19" s="1"/>
  <c r="AF843" i="19"/>
  <c r="H544" i="19"/>
  <c r="AH544" i="19" s="1"/>
  <c r="AF544" i="19"/>
  <c r="H781" i="19"/>
  <c r="AH781" i="19" s="1"/>
  <c r="AF781" i="19"/>
  <c r="H26" i="19"/>
  <c r="AH26" i="19" s="1"/>
  <c r="AF26" i="19"/>
  <c r="H743" i="19"/>
  <c r="AH743" i="19" s="1"/>
  <c r="AF743" i="19"/>
  <c r="H111" i="19"/>
  <c r="AH111" i="19" s="1"/>
  <c r="AF111" i="19"/>
  <c r="H165" i="19"/>
  <c r="AH165" i="19" s="1"/>
  <c r="AF165" i="19"/>
  <c r="H151" i="19"/>
  <c r="AH151" i="19" s="1"/>
  <c r="AF151" i="19"/>
  <c r="H124" i="19"/>
  <c r="AH124" i="19" s="1"/>
  <c r="AF124" i="19"/>
  <c r="H150" i="19"/>
  <c r="AH150" i="19" s="1"/>
  <c r="AF150" i="19"/>
  <c r="H321" i="19"/>
  <c r="AH321" i="19" s="1"/>
  <c r="AF321" i="19"/>
  <c r="H53" i="19"/>
  <c r="AH53" i="19" s="1"/>
  <c r="AF53" i="19"/>
  <c r="H246" i="19"/>
  <c r="AH246" i="19" s="1"/>
  <c r="AF246" i="19"/>
  <c r="H235" i="19"/>
  <c r="AH235" i="19" s="1"/>
  <c r="AF235" i="19"/>
  <c r="H175" i="19"/>
  <c r="AH175" i="19" s="1"/>
  <c r="AF175" i="19"/>
  <c r="H196" i="19"/>
  <c r="AH196" i="19" s="1"/>
  <c r="AF196" i="19"/>
  <c r="H622" i="19"/>
  <c r="AH622" i="19" s="1"/>
  <c r="AF622" i="19"/>
  <c r="H95" i="19"/>
  <c r="AH95" i="19" s="1"/>
  <c r="AF95" i="19"/>
  <c r="H372" i="19"/>
  <c r="AH372" i="19" s="1"/>
  <c r="AF372" i="19"/>
  <c r="H66" i="19"/>
  <c r="AH66" i="19" s="1"/>
  <c r="AF66" i="19"/>
  <c r="H273" i="19"/>
  <c r="AH273" i="19" s="1"/>
  <c r="AF273" i="19"/>
  <c r="H775" i="19"/>
  <c r="AH775" i="19" s="1"/>
  <c r="AF775" i="19"/>
  <c r="H75" i="19"/>
  <c r="AH75" i="19" s="1"/>
  <c r="AF75" i="19"/>
  <c r="H239" i="19"/>
  <c r="AH239" i="19" s="1"/>
  <c r="AF239" i="19"/>
  <c r="H507" i="19"/>
  <c r="AH507" i="19" s="1"/>
  <c r="AF507" i="19"/>
  <c r="H709" i="19"/>
  <c r="AH709" i="19" s="1"/>
  <c r="AF709" i="19"/>
  <c r="H861" i="19"/>
  <c r="AH861" i="19" s="1"/>
  <c r="AF861" i="19"/>
  <c r="H959" i="19"/>
  <c r="AH959" i="19" s="1"/>
  <c r="AF959" i="19"/>
  <c r="H546" i="19"/>
  <c r="AH546" i="19" s="1"/>
  <c r="AF546" i="19"/>
  <c r="H427" i="19"/>
  <c r="AH427" i="19" s="1"/>
  <c r="AF427" i="19"/>
  <c r="H574" i="19"/>
  <c r="AH574" i="19" s="1"/>
  <c r="AF574" i="19"/>
  <c r="H439" i="19"/>
  <c r="AH439" i="19" s="1"/>
  <c r="AF439" i="19"/>
  <c r="H584" i="19"/>
  <c r="AH584" i="19" s="1"/>
  <c r="AF584" i="19"/>
  <c r="H715" i="19"/>
  <c r="AH715" i="19" s="1"/>
  <c r="AF715" i="19"/>
  <c r="H355" i="19"/>
  <c r="AH355" i="19" s="1"/>
  <c r="AF355" i="19"/>
  <c r="H515" i="19"/>
  <c r="AH515" i="19" s="1"/>
  <c r="AF515" i="19"/>
  <c r="H669" i="19"/>
  <c r="AH669" i="19" s="1"/>
  <c r="AF669" i="19"/>
  <c r="H366" i="19"/>
  <c r="AH366" i="19" s="1"/>
  <c r="AF366" i="19"/>
  <c r="H678" i="19"/>
  <c r="AH678" i="19" s="1"/>
  <c r="AF678" i="19"/>
  <c r="H325" i="19"/>
  <c r="AH325" i="19" s="1"/>
  <c r="AF325" i="19"/>
  <c r="H638" i="19"/>
  <c r="AH638" i="19" s="1"/>
  <c r="AF638" i="19"/>
  <c r="H870" i="19"/>
  <c r="AH870" i="19" s="1"/>
  <c r="AF870" i="19"/>
  <c r="H806" i="19"/>
  <c r="AH806" i="19" s="1"/>
  <c r="AF806" i="19"/>
  <c r="H857" i="19"/>
  <c r="AH857" i="19" s="1"/>
  <c r="AF857" i="19"/>
  <c r="H454" i="19"/>
  <c r="AH454" i="19" s="1"/>
  <c r="AF454" i="19"/>
  <c r="H376" i="19"/>
  <c r="AH376" i="19" s="1"/>
  <c r="AF376" i="19"/>
  <c r="H360" i="19"/>
  <c r="AH360" i="19" s="1"/>
  <c r="AF360" i="19"/>
  <c r="H955" i="19"/>
  <c r="AH955" i="19" s="1"/>
  <c r="AF955" i="19"/>
  <c r="H839" i="19"/>
  <c r="AH839" i="19" s="1"/>
  <c r="AF839" i="19"/>
  <c r="H774" i="19"/>
  <c r="AH774" i="19" s="1"/>
  <c r="AF774" i="19"/>
  <c r="H797" i="19"/>
  <c r="AH797" i="19" s="1"/>
  <c r="AF797" i="19"/>
  <c r="H581" i="19"/>
  <c r="AH581" i="19" s="1"/>
  <c r="AF581" i="19"/>
  <c r="H769" i="19"/>
  <c r="AH769" i="19" s="1"/>
  <c r="AF769" i="19"/>
  <c r="H286" i="19"/>
  <c r="AH286" i="19" s="1"/>
  <c r="AF286" i="19"/>
  <c r="H860" i="19"/>
  <c r="AH860" i="19" s="1"/>
  <c r="AF860" i="19"/>
  <c r="H558" i="19"/>
  <c r="AH558" i="19" s="1"/>
  <c r="AF558" i="19"/>
  <c r="H412" i="19"/>
  <c r="AH412" i="19" s="1"/>
  <c r="AF412" i="19"/>
  <c r="H888" i="19"/>
  <c r="AH888" i="19" s="1"/>
  <c r="AF888" i="19"/>
  <c r="H849" i="19"/>
  <c r="AH849" i="19" s="1"/>
  <c r="AF849" i="19"/>
  <c r="H265" i="19"/>
  <c r="AH265" i="19" s="1"/>
  <c r="AF265" i="19"/>
  <c r="H957" i="19"/>
  <c r="AH957" i="19" s="1"/>
  <c r="AF957" i="19"/>
  <c r="H478" i="19"/>
  <c r="AH478" i="19" s="1"/>
  <c r="AF478" i="19"/>
  <c r="H738" i="19"/>
  <c r="AH738" i="19" s="1"/>
  <c r="AF738" i="19"/>
  <c r="H435" i="19"/>
  <c r="AH435" i="19" s="1"/>
  <c r="AF435" i="19"/>
  <c r="H912" i="19"/>
  <c r="AH912" i="19" s="1"/>
  <c r="AF912" i="19"/>
  <c r="H469" i="19"/>
  <c r="AH469" i="19" s="1"/>
  <c r="AF469" i="19"/>
  <c r="H901" i="19"/>
  <c r="AH901" i="19" s="1"/>
  <c r="AF901" i="19"/>
  <c r="H842" i="19"/>
  <c r="AH842" i="19" s="1"/>
  <c r="AF842" i="19"/>
  <c r="H400" i="19"/>
  <c r="AH400" i="19" s="1"/>
  <c r="AF400" i="19"/>
  <c r="H668" i="19"/>
  <c r="AH668" i="19" s="1"/>
  <c r="AF668" i="19"/>
  <c r="H113" i="19"/>
  <c r="AH113" i="19" s="1"/>
  <c r="AF113" i="19"/>
  <c r="H180" i="19"/>
  <c r="AH180" i="19" s="1"/>
  <c r="AF180" i="19"/>
  <c r="H129" i="19"/>
  <c r="AH129" i="19" s="1"/>
  <c r="AF129" i="19"/>
  <c r="H209" i="19"/>
  <c r="AH209" i="19" s="1"/>
  <c r="AF209" i="19"/>
  <c r="H186" i="19"/>
  <c r="AH186" i="19" s="1"/>
  <c r="AF186" i="19"/>
  <c r="H102" i="19"/>
  <c r="AH102" i="19" s="1"/>
  <c r="AF102" i="19"/>
  <c r="H219" i="19"/>
  <c r="AH219" i="19" s="1"/>
  <c r="AF219" i="19"/>
  <c r="H120" i="19"/>
  <c r="AH120" i="19" s="1"/>
  <c r="AF120" i="19"/>
  <c r="H24" i="19"/>
  <c r="AH24" i="19" s="1"/>
  <c r="AF24" i="19"/>
  <c r="H339" i="19"/>
  <c r="AH339" i="19" s="1"/>
  <c r="AF339" i="19"/>
  <c r="H252" i="19"/>
  <c r="AH252" i="19" s="1"/>
  <c r="AF252" i="19"/>
  <c r="H202" i="19"/>
  <c r="AH202" i="19" s="1"/>
  <c r="AF202" i="19"/>
  <c r="H649" i="19"/>
  <c r="AH649" i="19" s="1"/>
  <c r="AF649" i="19"/>
  <c r="H132" i="19"/>
  <c r="AH132" i="19" s="1"/>
  <c r="AF132" i="19"/>
  <c r="H633" i="19"/>
  <c r="AH633" i="19" s="1"/>
  <c r="AF633" i="19"/>
  <c r="H90" i="19"/>
  <c r="AH90" i="19" s="1"/>
  <c r="AF90" i="19"/>
  <c r="H305" i="19"/>
  <c r="AH305" i="19" s="1"/>
  <c r="AF305" i="19"/>
  <c r="H25" i="19"/>
  <c r="AH25" i="19" s="1"/>
  <c r="AF25" i="19"/>
  <c r="H80" i="19"/>
  <c r="AH80" i="19" s="1"/>
  <c r="AF80" i="19"/>
  <c r="H244" i="19"/>
  <c r="AH244" i="19" s="1"/>
  <c r="AF244" i="19"/>
  <c r="H494" i="19"/>
  <c r="AH494" i="19" s="1"/>
  <c r="AF494" i="19"/>
  <c r="H445" i="19"/>
  <c r="AH445" i="19" s="1"/>
  <c r="AF445" i="19"/>
  <c r="H458" i="19"/>
  <c r="AH458" i="19" s="1"/>
  <c r="AF458" i="19"/>
  <c r="H589" i="19"/>
  <c r="AH589" i="19" s="1"/>
  <c r="AF589" i="19"/>
  <c r="H539" i="19"/>
  <c r="AH539" i="19" s="1"/>
  <c r="AF539" i="19"/>
  <c r="H374" i="19"/>
  <c r="AH374" i="19" s="1"/>
  <c r="AF374" i="19"/>
  <c r="H522" i="19"/>
  <c r="AH522" i="19" s="1"/>
  <c r="AF522" i="19"/>
  <c r="H384" i="19"/>
  <c r="AH384" i="19" s="1"/>
  <c r="AF384" i="19"/>
  <c r="H528" i="19"/>
  <c r="AH528" i="19" s="1"/>
  <c r="AF528" i="19"/>
  <c r="H341" i="19"/>
  <c r="AH341" i="19" s="1"/>
  <c r="AF341" i="19"/>
  <c r="H510" i="19"/>
  <c r="AH510" i="19" s="1"/>
  <c r="AF510" i="19"/>
  <c r="H652" i="19"/>
  <c r="AH652" i="19" s="1"/>
  <c r="AF652" i="19"/>
  <c r="H926" i="19"/>
  <c r="AH926" i="19" s="1"/>
  <c r="AF926" i="19"/>
  <c r="H902" i="19"/>
  <c r="AH902" i="19" s="1"/>
  <c r="AF902" i="19"/>
  <c r="H976" i="19"/>
  <c r="AH976" i="19" s="1"/>
  <c r="AF976" i="19"/>
  <c r="H332" i="19"/>
  <c r="AH332" i="19" s="1"/>
  <c r="AF332" i="19"/>
  <c r="H975" i="19"/>
  <c r="AH975" i="19" s="1"/>
  <c r="AF975" i="19"/>
  <c r="H771" i="19"/>
  <c r="AH771" i="19" s="1"/>
  <c r="AF771" i="19"/>
  <c r="H963" i="19"/>
  <c r="AH963" i="19" s="1"/>
  <c r="AF963" i="19"/>
  <c r="H799" i="19"/>
  <c r="AH799" i="19" s="1"/>
  <c r="AF799" i="19"/>
  <c r="H964" i="19"/>
  <c r="AH964" i="19" s="1"/>
  <c r="AF964" i="19"/>
  <c r="H314" i="19"/>
  <c r="AH314" i="19" s="1"/>
  <c r="AF314" i="19"/>
  <c r="H961" i="19"/>
  <c r="AH961" i="19" s="1"/>
  <c r="AF961" i="19"/>
  <c r="H791" i="19"/>
  <c r="AH791" i="19" s="1"/>
  <c r="AF791" i="19"/>
  <c r="H851" i="19"/>
  <c r="AH851" i="19" s="1"/>
  <c r="AF851" i="19"/>
  <c r="H304" i="19"/>
  <c r="AH304" i="19" s="1"/>
  <c r="AF304" i="19"/>
  <c r="H700" i="19"/>
  <c r="AH700" i="19" s="1"/>
  <c r="AF700" i="19"/>
  <c r="H864" i="19"/>
  <c r="AH864" i="19" s="1"/>
  <c r="AF864" i="19"/>
  <c r="H717" i="19"/>
  <c r="AH717" i="19" s="1"/>
  <c r="AF717" i="19"/>
  <c r="H499" i="19"/>
  <c r="AH499" i="19" s="1"/>
  <c r="AF499" i="19"/>
  <c r="H778" i="19"/>
  <c r="AH778" i="19" s="1"/>
  <c r="AF778" i="19"/>
  <c r="H397" i="19"/>
  <c r="AH397" i="19" s="1"/>
  <c r="AF397" i="19"/>
  <c r="H503" i="19"/>
  <c r="AH503" i="19" s="1"/>
  <c r="AF503" i="19"/>
  <c r="H836" i="19"/>
  <c r="AH836" i="19" s="1"/>
  <c r="AF836" i="19"/>
  <c r="H784" i="19"/>
  <c r="AH784" i="19" s="1"/>
  <c r="AF784" i="19"/>
  <c r="H722" i="19"/>
  <c r="AH722" i="19" s="1"/>
  <c r="AF722" i="19"/>
  <c r="H841" i="19"/>
  <c r="AH841" i="19" s="1"/>
  <c r="AF841" i="19"/>
  <c r="H91" i="19"/>
  <c r="AH91" i="19" s="1"/>
  <c r="AF91" i="19"/>
  <c r="H72" i="19"/>
  <c r="AH72" i="19" s="1"/>
  <c r="AF72" i="19"/>
  <c r="H249" i="19"/>
  <c r="AH249" i="19" s="1"/>
  <c r="AF249" i="19"/>
  <c r="H280" i="19"/>
  <c r="AH280" i="19" s="1"/>
  <c r="AF280" i="19"/>
  <c r="H159" i="19"/>
  <c r="AH159" i="19" s="1"/>
  <c r="AF159" i="19"/>
  <c r="H245" i="19"/>
  <c r="AH245" i="19" s="1"/>
  <c r="AF245" i="19"/>
  <c r="H231" i="19"/>
  <c r="AH231" i="19" s="1"/>
  <c r="AF231" i="19"/>
  <c r="H226" i="19"/>
  <c r="AH226" i="19" s="1"/>
  <c r="AF226" i="19"/>
  <c r="H274" i="19"/>
  <c r="AH274" i="19" s="1"/>
  <c r="AF274" i="19"/>
  <c r="H595" i="19"/>
  <c r="AH595" i="19" s="1"/>
  <c r="AF595" i="19"/>
  <c r="H213" i="19"/>
  <c r="AH213" i="19" s="1"/>
  <c r="AF213" i="19"/>
  <c r="H48" i="19"/>
  <c r="AH48" i="19" s="1"/>
  <c r="AF48" i="19"/>
  <c r="H208" i="19"/>
  <c r="AH208" i="19" s="1"/>
  <c r="AF208" i="19"/>
  <c r="H660" i="19"/>
  <c r="AH660" i="19" s="1"/>
  <c r="AF660" i="19"/>
  <c r="H139" i="19"/>
  <c r="AH139" i="19" s="1"/>
  <c r="AF139" i="19"/>
  <c r="H127" i="19"/>
  <c r="AH127" i="19" s="1"/>
  <c r="AF127" i="19"/>
  <c r="H363" i="19"/>
  <c r="AH363" i="19" s="1"/>
  <c r="AF363" i="19"/>
  <c r="H29" i="19"/>
  <c r="AH29" i="19" s="1"/>
  <c r="AF29" i="19"/>
  <c r="H85" i="19"/>
  <c r="AH85" i="19" s="1"/>
  <c r="AF85" i="19"/>
  <c r="H256" i="19"/>
  <c r="AH256" i="19" s="1"/>
  <c r="AF256" i="19"/>
  <c r="H521" i="19"/>
  <c r="AH521" i="19" s="1"/>
  <c r="AF521" i="19"/>
  <c r="H696" i="19"/>
  <c r="AH696" i="19" s="1"/>
  <c r="AF696" i="19"/>
  <c r="H410" i="19"/>
  <c r="AH410" i="19" s="1"/>
  <c r="AF410" i="19"/>
  <c r="H891" i="19"/>
  <c r="AH891" i="19" s="1"/>
  <c r="AF891" i="19"/>
  <c r="H518" i="19"/>
  <c r="AH518" i="19" s="1"/>
  <c r="AF518" i="19"/>
  <c r="H277" i="19"/>
  <c r="AH277" i="19" s="1"/>
  <c r="AF277" i="19"/>
  <c r="H464" i="19"/>
  <c r="AH464" i="19" s="1"/>
  <c r="AF464" i="19"/>
  <c r="H827" i="19"/>
  <c r="AH827" i="19" s="1"/>
  <c r="AF827" i="19"/>
  <c r="H477" i="19"/>
  <c r="AH477" i="19" s="1"/>
  <c r="AF477" i="19"/>
  <c r="H557" i="19"/>
  <c r="AH557" i="19" s="1"/>
  <c r="AF557" i="19"/>
  <c r="H591" i="19"/>
  <c r="AH591" i="19" s="1"/>
  <c r="AF591" i="19"/>
  <c r="H391" i="19"/>
  <c r="AH391" i="19" s="1"/>
  <c r="AF391" i="19"/>
  <c r="H533" i="19"/>
  <c r="AH533" i="19" s="1"/>
  <c r="AF533" i="19"/>
  <c r="H681" i="19"/>
  <c r="AH681" i="19" s="1"/>
  <c r="AF681" i="19"/>
  <c r="H403" i="19"/>
  <c r="AH403" i="19" s="1"/>
  <c r="AF403" i="19"/>
  <c r="H548" i="19"/>
  <c r="AH548" i="19" s="1"/>
  <c r="AF548" i="19"/>
  <c r="H689" i="19"/>
  <c r="AH689" i="19" s="1"/>
  <c r="AF689" i="19"/>
  <c r="H356" i="19"/>
  <c r="AH356" i="19" s="1"/>
  <c r="AF356" i="19"/>
  <c r="H516" i="19"/>
  <c r="AH516" i="19" s="1"/>
  <c r="AF516" i="19"/>
  <c r="H670" i="19"/>
  <c r="AH670" i="19" s="1"/>
  <c r="AF670" i="19"/>
  <c r="H981" i="19"/>
  <c r="AH981" i="19" s="1"/>
  <c r="AF981" i="19"/>
  <c r="H958" i="19"/>
  <c r="AH958" i="19" s="1"/>
  <c r="AF958" i="19"/>
  <c r="H289" i="19"/>
  <c r="AH289" i="19" s="1"/>
  <c r="AF289" i="19"/>
  <c r="H834" i="19"/>
  <c r="AH834" i="19" s="1"/>
  <c r="AF834" i="19"/>
  <c r="H828" i="19"/>
  <c r="AH828" i="19" s="1"/>
  <c r="AF828" i="19"/>
  <c r="H719" i="19"/>
  <c r="AH719" i="19" s="1"/>
  <c r="AF719" i="19"/>
  <c r="H943" i="19"/>
  <c r="AH943" i="19" s="1"/>
  <c r="AF943" i="19"/>
  <c r="H789" i="19"/>
  <c r="AH789" i="19" s="1"/>
  <c r="AF789" i="19"/>
  <c r="H301" i="19"/>
  <c r="AH301" i="19" s="1"/>
  <c r="AF301" i="19"/>
  <c r="H927" i="19"/>
  <c r="AH927" i="19" s="1"/>
  <c r="AF927" i="19"/>
  <c r="H322" i="19"/>
  <c r="AH322" i="19" s="1"/>
  <c r="AF322" i="19"/>
  <c r="H911" i="19"/>
  <c r="AH911" i="19" s="1"/>
  <c r="AF911" i="19"/>
  <c r="H807" i="19"/>
  <c r="AH807" i="19" s="1"/>
  <c r="AF807" i="19"/>
  <c r="H690" i="19"/>
  <c r="AH690" i="19" s="1"/>
  <c r="AF690" i="19"/>
  <c r="H352" i="19"/>
  <c r="AH352" i="19" s="1"/>
  <c r="AF352" i="19"/>
  <c r="H172" i="19"/>
  <c r="AH172" i="19" s="1"/>
  <c r="AF172" i="19"/>
  <c r="H929" i="19"/>
  <c r="AH929" i="19" s="1"/>
  <c r="AF929" i="19"/>
  <c r="H740" i="19"/>
  <c r="AH740" i="19" s="1"/>
  <c r="AF740" i="19"/>
  <c r="H413" i="19"/>
  <c r="AH413" i="19" s="1"/>
  <c r="AF413" i="19"/>
  <c r="H933" i="19"/>
  <c r="AH933" i="19" s="1"/>
  <c r="AF933" i="19"/>
  <c r="H852" i="19"/>
  <c r="AH852" i="19" s="1"/>
  <c r="AF852" i="19"/>
  <c r="H540" i="19"/>
  <c r="AH540" i="19" s="1"/>
  <c r="AF540" i="19"/>
  <c r="H949" i="19"/>
  <c r="AH949" i="19" s="1"/>
  <c r="AF949" i="19"/>
  <c r="H922" i="19"/>
  <c r="AH922" i="19" s="1"/>
  <c r="AF922" i="19"/>
  <c r="H431" i="19"/>
  <c r="AH431" i="19" s="1"/>
  <c r="AF431" i="19"/>
  <c r="H275" i="19"/>
  <c r="AH275" i="19" s="1"/>
  <c r="AF275" i="19"/>
  <c r="H873" i="19"/>
  <c r="AH873" i="19" s="1"/>
  <c r="AF873" i="19"/>
  <c r="H398" i="19"/>
  <c r="AH398" i="19" s="1"/>
  <c r="AF398" i="19"/>
  <c r="H878" i="19"/>
  <c r="AH878" i="19" s="1"/>
  <c r="AF878" i="19"/>
  <c r="H611" i="19"/>
  <c r="AH611" i="19" s="1"/>
  <c r="AF611" i="19"/>
  <c r="H130" i="19"/>
  <c r="AH130" i="19" s="1"/>
  <c r="AF130" i="19"/>
  <c r="H140" i="19"/>
  <c r="AH140" i="19" s="1"/>
  <c r="AF140" i="19"/>
  <c r="H200" i="19"/>
  <c r="AH200" i="19" s="1"/>
  <c r="AF200" i="19"/>
  <c r="H166" i="19"/>
  <c r="AH166" i="19" s="1"/>
  <c r="AF166" i="19"/>
  <c r="H51" i="19"/>
  <c r="AH51" i="19" s="1"/>
  <c r="AF51" i="19"/>
  <c r="H46" i="19"/>
  <c r="AH46" i="19" s="1"/>
  <c r="AF46" i="19"/>
  <c r="H87" i="19"/>
  <c r="AH87" i="19" s="1"/>
  <c r="AF87" i="19"/>
  <c r="H683" i="19"/>
  <c r="AH683" i="19" s="1"/>
  <c r="AF683" i="19"/>
  <c r="H32" i="19"/>
  <c r="AH32" i="19" s="1"/>
  <c r="AF32" i="19"/>
  <c r="H406" i="19"/>
  <c r="AH406" i="19" s="1"/>
  <c r="AF406" i="19"/>
  <c r="H65" i="19"/>
  <c r="AH65" i="19" s="1"/>
  <c r="AF65" i="19"/>
  <c r="H785" i="19"/>
  <c r="AH785" i="19" s="1"/>
  <c r="AF785" i="19"/>
  <c r="H222" i="19"/>
  <c r="AH222" i="19" s="1"/>
  <c r="AF222" i="19"/>
  <c r="H183" i="19"/>
  <c r="AH183" i="19" s="1"/>
  <c r="AF183" i="19"/>
  <c r="H38" i="19"/>
  <c r="AH38" i="19" s="1"/>
  <c r="AF38" i="19"/>
  <c r="H144" i="19"/>
  <c r="AH144" i="19" s="1"/>
  <c r="AF144" i="19"/>
  <c r="H433" i="19"/>
  <c r="AH433" i="19" s="1"/>
  <c r="AF433" i="19"/>
  <c r="H33" i="19"/>
  <c r="AH33" i="19" s="1"/>
  <c r="AF33" i="19"/>
  <c r="H89" i="19"/>
  <c r="AH89" i="19" s="1"/>
  <c r="AF89" i="19"/>
  <c r="H296" i="19"/>
  <c r="AH296" i="19" s="1"/>
  <c r="AF296" i="19"/>
  <c r="H262" i="19"/>
  <c r="AH262" i="19" s="1"/>
  <c r="AG262" i="19" s="1"/>
  <c r="H263" i="19"/>
  <c r="AH263" i="19" s="1"/>
  <c r="AG263" i="19" s="1"/>
  <c r="H264" i="19"/>
  <c r="AH264" i="19" s="1"/>
  <c r="AG264" i="19" s="1"/>
  <c r="AF22" i="19"/>
  <c r="AG22" i="19" s="1"/>
  <c r="F581" i="35" l="1"/>
  <c r="G580" i="35"/>
  <c r="J580" i="35" s="1"/>
  <c r="E582" i="35"/>
  <c r="B584" i="35"/>
  <c r="C583" i="35"/>
  <c r="D583" i="35"/>
  <c r="G581" i="35"/>
  <c r="J581" i="35" s="1"/>
  <c r="AG368" i="19"/>
  <c r="AG290" i="19"/>
  <c r="AG916" i="19"/>
  <c r="AG144" i="19"/>
  <c r="AG166" i="19"/>
  <c r="AG398" i="19"/>
  <c r="AG540" i="19"/>
  <c r="AG172" i="19"/>
  <c r="AG356" i="19"/>
  <c r="AG391" i="19"/>
  <c r="AG277" i="19"/>
  <c r="AG256" i="19"/>
  <c r="AG660" i="19"/>
  <c r="AG964" i="19"/>
  <c r="AG976" i="19"/>
  <c r="AG528" i="19"/>
  <c r="AG458" i="19"/>
  <c r="AG400" i="19"/>
  <c r="AG738" i="19"/>
  <c r="AG781" i="19"/>
  <c r="AG493" i="19"/>
  <c r="AG136" i="19"/>
  <c r="AG601" i="19"/>
  <c r="AG884" i="19"/>
  <c r="AG808" i="19"/>
  <c r="AG853" i="19"/>
  <c r="AG394" i="19"/>
  <c r="AG54" i="19"/>
  <c r="AG44" i="19"/>
  <c r="AG404" i="19"/>
  <c r="AG446" i="19"/>
  <c r="AG465" i="19"/>
  <c r="AG496" i="19"/>
  <c r="AG554" i="19"/>
  <c r="AG61" i="19"/>
  <c r="AG278" i="19"/>
  <c r="AG160" i="19"/>
  <c r="AG27" i="19"/>
  <c r="AG863" i="19"/>
  <c r="AG894" i="19"/>
  <c r="AG794" i="19"/>
  <c r="AG867" i="19"/>
  <c r="AG492" i="19"/>
  <c r="AG962" i="19"/>
  <c r="AG909" i="19"/>
  <c r="AG596" i="19"/>
  <c r="AG424" i="19"/>
  <c r="AG148" i="19"/>
  <c r="AG137" i="19"/>
  <c r="AG184" i="19"/>
  <c r="AG656" i="19"/>
  <c r="AG326" i="19"/>
  <c r="AG644" i="19"/>
  <c r="AG73" i="19"/>
  <c r="AG876" i="19"/>
  <c r="AG389" i="19"/>
  <c r="AG626" i="19"/>
  <c r="AG100" i="19"/>
  <c r="AG701" i="19"/>
  <c r="AG749" i="19"/>
  <c r="AG38" i="19"/>
  <c r="AG32" i="19"/>
  <c r="AG200" i="19"/>
  <c r="AG852" i="19"/>
  <c r="AG301" i="19"/>
  <c r="AG289" i="19"/>
  <c r="AG689" i="19"/>
  <c r="AG591" i="19"/>
  <c r="AG208" i="19"/>
  <c r="AG231" i="19"/>
  <c r="AG304" i="19"/>
  <c r="AG799" i="19"/>
  <c r="AG339" i="19"/>
  <c r="AG877" i="19"/>
  <c r="AG35" i="19"/>
  <c r="AG329" i="19"/>
  <c r="AG320" i="19"/>
  <c r="AG777" i="19"/>
  <c r="AG966" i="19"/>
  <c r="AG560" i="19"/>
  <c r="AG695" i="19"/>
  <c r="AG378" i="19"/>
  <c r="AG67" i="19"/>
  <c r="AG212" i="19"/>
  <c r="AG954" i="19"/>
  <c r="AG570" i="19"/>
  <c r="AG103" i="19"/>
  <c r="AG420" i="19"/>
  <c r="AG848" i="19"/>
  <c r="AG897" i="19"/>
  <c r="AG307" i="19"/>
  <c r="AG513" i="19"/>
  <c r="AG691" i="19"/>
  <c r="AG125" i="19"/>
  <c r="AG918" i="19"/>
  <c r="AG804" i="19"/>
  <c r="AG438" i="19"/>
  <c r="AG473" i="19"/>
  <c r="AG514" i="19"/>
  <c r="AG337" i="19"/>
  <c r="AG141" i="19"/>
  <c r="AG953" i="19"/>
  <c r="AG899" i="19"/>
  <c r="AG971" i="19"/>
  <c r="AG632" i="19"/>
  <c r="AG240" i="19"/>
  <c r="AG133" i="19"/>
  <c r="AG86" i="19"/>
  <c r="AG931" i="19"/>
  <c r="AG519" i="19"/>
  <c r="AG565" i="19"/>
  <c r="AG296" i="19"/>
  <c r="AG183" i="19"/>
  <c r="AG683" i="19"/>
  <c r="AG275" i="19"/>
  <c r="AG933" i="19"/>
  <c r="AG690" i="19"/>
  <c r="AG789" i="19"/>
  <c r="AG958" i="19"/>
  <c r="AG548" i="19"/>
  <c r="AG557" i="19"/>
  <c r="AG891" i="19"/>
  <c r="AG29" i="19"/>
  <c r="AG48" i="19"/>
  <c r="AG245" i="19"/>
  <c r="AG494" i="19"/>
  <c r="AG129" i="19"/>
  <c r="AG165" i="19"/>
  <c r="AG569" i="19"/>
  <c r="AG508" i="19"/>
  <c r="AG444" i="19"/>
  <c r="AG944" i="19"/>
  <c r="AG847" i="19"/>
  <c r="AG555" i="19"/>
  <c r="AG501" i="19"/>
  <c r="AG616" i="19"/>
  <c r="AG118" i="19"/>
  <c r="AG178" i="19"/>
  <c r="AG930" i="19"/>
  <c r="AG802" i="19"/>
  <c r="AG615" i="19"/>
  <c r="AG224" i="19"/>
  <c r="AG84" i="19"/>
  <c r="AG243" i="19"/>
  <c r="AG590" i="19"/>
  <c r="AG745" i="19"/>
  <c r="AG634" i="19"/>
  <c r="AG874" i="19"/>
  <c r="AG330" i="19"/>
  <c r="AG579" i="19"/>
  <c r="AG608" i="19"/>
  <c r="AG643" i="19"/>
  <c r="AG753" i="19"/>
  <c r="AG624" i="19"/>
  <c r="AG134" i="19"/>
  <c r="AG193" i="19"/>
  <c r="AG283" i="19"/>
  <c r="AG210" i="19"/>
  <c r="AG414" i="19"/>
  <c r="AG854" i="19"/>
  <c r="AG629" i="19"/>
  <c r="AG880" i="19"/>
  <c r="AG600" i="19"/>
  <c r="AG255" i="19"/>
  <c r="AG938" i="19"/>
  <c r="AG760" i="19"/>
  <c r="AG174" i="19"/>
  <c r="AG382" i="19"/>
  <c r="AG737" i="19"/>
  <c r="AG317" i="19"/>
  <c r="AG772" i="19"/>
  <c r="AG488" i="19"/>
  <c r="AG523" i="19"/>
  <c r="AG89" i="19"/>
  <c r="AG222" i="19"/>
  <c r="AG87" i="19"/>
  <c r="AG130" i="19"/>
  <c r="AG431" i="19"/>
  <c r="AG943" i="19"/>
  <c r="AG981" i="19"/>
  <c r="AG477" i="19"/>
  <c r="AG410" i="19"/>
  <c r="AG363" i="19"/>
  <c r="AG213" i="19"/>
  <c r="AG771" i="19"/>
  <c r="AG652" i="19"/>
  <c r="AG374" i="19"/>
  <c r="AG132" i="19"/>
  <c r="AG469" i="19"/>
  <c r="AG893" i="19"/>
  <c r="AG472" i="19"/>
  <c r="AG550" i="19"/>
  <c r="AG302" i="19"/>
  <c r="AG934" i="19"/>
  <c r="AG928" i="19"/>
  <c r="AG575" i="19"/>
  <c r="AG411" i="19"/>
  <c r="AG623" i="19"/>
  <c r="AG295" i="19"/>
  <c r="AG109" i="19"/>
  <c r="AG77" i="19"/>
  <c r="AG527" i="19"/>
  <c r="AG956" i="19"/>
  <c r="AG357" i="19"/>
  <c r="AG610" i="19"/>
  <c r="AG152" i="19"/>
  <c r="AG480" i="19"/>
  <c r="AG846" i="19"/>
  <c r="AG490" i="19"/>
  <c r="AG57" i="19"/>
  <c r="AG145" i="19"/>
  <c r="AG979" i="19"/>
  <c r="AG904" i="19"/>
  <c r="AG869" i="19"/>
  <c r="AG266" i="19"/>
  <c r="AG76" i="19"/>
  <c r="AG741" i="19"/>
  <c r="AG951" i="19"/>
  <c r="AG342" i="19"/>
  <c r="AG840" i="19"/>
  <c r="AG511" i="19"/>
  <c r="AG481" i="19"/>
  <c r="AG856" i="19"/>
  <c r="AG460" i="19"/>
  <c r="AG292" i="19"/>
  <c r="AG879" i="19"/>
  <c r="AG617" i="19"/>
  <c r="AG721" i="19"/>
  <c r="AG33" i="19"/>
  <c r="AG785" i="19"/>
  <c r="AG611" i="19"/>
  <c r="AG922" i="19"/>
  <c r="AG740" i="19"/>
  <c r="AG911" i="19"/>
  <c r="AG670" i="19"/>
  <c r="AG681" i="19"/>
  <c r="AG696" i="19"/>
  <c r="AG127" i="19"/>
  <c r="AG975" i="19"/>
  <c r="AG219" i="19"/>
  <c r="AG530" i="19"/>
  <c r="AG116" i="19"/>
  <c r="AG766" i="19"/>
  <c r="AG969" i="19"/>
  <c r="AG636" i="19"/>
  <c r="AG312" i="19"/>
  <c r="AG534" i="19"/>
  <c r="AG162" i="19"/>
  <c r="AG526" i="19"/>
  <c r="AG939" i="19"/>
  <c r="AG353" i="19"/>
  <c r="AG692" i="19"/>
  <c r="AG99" i="19"/>
  <c r="AG104" i="19"/>
  <c r="AG237" i="19"/>
  <c r="AG796" i="19"/>
  <c r="AG887" i="19"/>
  <c r="AG868" i="19"/>
  <c r="AG457" i="19"/>
  <c r="AG298" i="19"/>
  <c r="AG820" i="19"/>
  <c r="AG359" i="19"/>
  <c r="AG350" i="19"/>
  <c r="AG485" i="19"/>
  <c r="AG348" i="19"/>
  <c r="AG650" i="19"/>
  <c r="AG105" i="19"/>
  <c r="AG192" i="19"/>
  <c r="AG41" i="19"/>
  <c r="AG925" i="19"/>
  <c r="AG974" i="19"/>
  <c r="AG858" i="19"/>
  <c r="AG300" i="19"/>
  <c r="AG126" i="19"/>
  <c r="AG417" i="19"/>
  <c r="AG594" i="19"/>
  <c r="AG217" i="19"/>
  <c r="AG79" i="19"/>
  <c r="AG859" i="19"/>
  <c r="AG344" i="19"/>
  <c r="AG65" i="19"/>
  <c r="AG51" i="19"/>
  <c r="AG878" i="19"/>
  <c r="AG929" i="19"/>
  <c r="AG322" i="19"/>
  <c r="AG828" i="19"/>
  <c r="AG533" i="19"/>
  <c r="AG464" i="19"/>
  <c r="AG521" i="19"/>
  <c r="AG139" i="19"/>
  <c r="AG274" i="19"/>
  <c r="AG249" i="19"/>
  <c r="AG836" i="19"/>
  <c r="AG25" i="19"/>
  <c r="AG888" i="19"/>
  <c r="AG715" i="19"/>
  <c r="AG71" i="19"/>
  <c r="AG146" i="19"/>
  <c r="AG269" i="19"/>
  <c r="AG241" i="19"/>
  <c r="AG704" i="19"/>
  <c r="AG500" i="19"/>
  <c r="AG542" i="19"/>
  <c r="AG142" i="19"/>
  <c r="AG552" i="19"/>
  <c r="AG952" i="19"/>
  <c r="AG267" i="19"/>
  <c r="AG429" i="19"/>
  <c r="AG319" i="19"/>
  <c r="AG703" i="19"/>
  <c r="AG422" i="19"/>
  <c r="AG279" i="19"/>
  <c r="AG758" i="19"/>
  <c r="AG225" i="19"/>
  <c r="AG593" i="19"/>
  <c r="AG618" i="19"/>
  <c r="AG370" i="19"/>
  <c r="AG582" i="19"/>
  <c r="AG198" i="19"/>
  <c r="AG28" i="19"/>
  <c r="AG563" i="19"/>
  <c r="AG872" i="19"/>
  <c r="AG281" i="19"/>
  <c r="AG711" i="19"/>
  <c r="AG293" i="19"/>
  <c r="AG416" i="19"/>
  <c r="AG676" i="19"/>
  <c r="AG199" i="19"/>
  <c r="AG980" i="19"/>
  <c r="AG216" i="19"/>
  <c r="AG456" i="19"/>
  <c r="AG30" i="19"/>
  <c r="AG380" i="19"/>
  <c r="AG712" i="19"/>
  <c r="AG207" i="19"/>
  <c r="AG578" i="19"/>
  <c r="AG684" i="19"/>
  <c r="AG81" i="19"/>
  <c r="AG687" i="19"/>
  <c r="AG409" i="19"/>
  <c r="AG226" i="19"/>
  <c r="AG280" i="19"/>
  <c r="AG433" i="19"/>
  <c r="AG406" i="19"/>
  <c r="AG46" i="19"/>
  <c r="AG140" i="19"/>
  <c r="AG873" i="19"/>
  <c r="AG949" i="19"/>
  <c r="AG413" i="19"/>
  <c r="AG352" i="19"/>
  <c r="AG807" i="19"/>
  <c r="AG927" i="19"/>
  <c r="AG719" i="19"/>
  <c r="AG834" i="19"/>
  <c r="AG516" i="19"/>
  <c r="AG403" i="19"/>
  <c r="AG827" i="19"/>
  <c r="AG518" i="19"/>
  <c r="AG85" i="19"/>
  <c r="AG595" i="19"/>
  <c r="AG159" i="19"/>
  <c r="AG778" i="19"/>
  <c r="AG581" i="19"/>
  <c r="AG839" i="19"/>
  <c r="AG454" i="19"/>
  <c r="AG870" i="19"/>
  <c r="AG678" i="19"/>
  <c r="AG515" i="19"/>
  <c r="AG584" i="19"/>
  <c r="AG427" i="19"/>
  <c r="AG861" i="19"/>
  <c r="AG75" i="19"/>
  <c r="AG372" i="19"/>
  <c r="AG175" i="19"/>
  <c r="AG321" i="19"/>
  <c r="AG932" i="19"/>
  <c r="AG829" i="19"/>
  <c r="AG889" i="19"/>
  <c r="AG965" i="19"/>
  <c r="AG801" i="19"/>
  <c r="AG906" i="19"/>
  <c r="AG663" i="19"/>
  <c r="AG509" i="19"/>
  <c r="AG415" i="19"/>
  <c r="AG655" i="19"/>
  <c r="AG640" i="19"/>
  <c r="AG220" i="19"/>
  <c r="AG628" i="19"/>
  <c r="AG362" i="19"/>
  <c r="AG609" i="19"/>
  <c r="AG505" i="19"/>
  <c r="AG324" i="19"/>
  <c r="AG812" i="19"/>
  <c r="AG236" i="19"/>
  <c r="AG285" i="19"/>
  <c r="AG131" i="19"/>
  <c r="AG56" i="19"/>
  <c r="AG107" i="19"/>
  <c r="AG365" i="19"/>
  <c r="AG809" i="19"/>
  <c r="AG188" i="19"/>
  <c r="AG818" i="19"/>
  <c r="AG837" i="19"/>
  <c r="AG697" i="19"/>
  <c r="AG707" i="19"/>
  <c r="AG475" i="19"/>
  <c r="AG536" i="19"/>
  <c r="AG659" i="19"/>
  <c r="AG498" i="19"/>
  <c r="AG164" i="19"/>
  <c r="AG585" i="19"/>
  <c r="AG158" i="19"/>
  <c r="AG167" i="19"/>
  <c r="AG68" i="19"/>
  <c r="AG788" i="19"/>
  <c r="AG733" i="19"/>
  <c r="AG466" i="19"/>
  <c r="AG532" i="19"/>
  <c r="AG724" i="19"/>
  <c r="AG881" i="19"/>
  <c r="AG233" i="19"/>
  <c r="AG287" i="19"/>
  <c r="AG803" i="19"/>
  <c r="AG841" i="19"/>
  <c r="AG499" i="19"/>
  <c r="AG851" i="19"/>
  <c r="AG961" i="19"/>
  <c r="AG510" i="19"/>
  <c r="AG384" i="19"/>
  <c r="AG539" i="19"/>
  <c r="AG305" i="19"/>
  <c r="AG649" i="19"/>
  <c r="AG24" i="19"/>
  <c r="AG102" i="19"/>
  <c r="AG180" i="19"/>
  <c r="AG912" i="19"/>
  <c r="AG957" i="19"/>
  <c r="AG412" i="19"/>
  <c r="AG286" i="19"/>
  <c r="AG797" i="19"/>
  <c r="AG955" i="19"/>
  <c r="AG376" i="19"/>
  <c r="AG857" i="19"/>
  <c r="AG638" i="19"/>
  <c r="AG355" i="19"/>
  <c r="AG439" i="19"/>
  <c r="AG546" i="19"/>
  <c r="AG709" i="19"/>
  <c r="AG775" i="19"/>
  <c r="AG95" i="19"/>
  <c r="AG235" i="19"/>
  <c r="AG150" i="19"/>
  <c r="AG111" i="19"/>
  <c r="AG544" i="19"/>
  <c r="AG720" i="19"/>
  <c r="AG895" i="19"/>
  <c r="AG968" i="19"/>
  <c r="AG603" i="19"/>
  <c r="AG673" i="19"/>
  <c r="AG814" i="19"/>
  <c r="AG620" i="19"/>
  <c r="AG340" i="19"/>
  <c r="AG421" i="19"/>
  <c r="AG49" i="19"/>
  <c r="AG176" i="19"/>
  <c r="AG335" i="19"/>
  <c r="AG688" i="19"/>
  <c r="AG686" i="19"/>
  <c r="AG751" i="19"/>
  <c r="AG645" i="19"/>
  <c r="AG671" i="19"/>
  <c r="AG195" i="19"/>
  <c r="AG34" i="19"/>
  <c r="AG169" i="19"/>
  <c r="AG349" i="19"/>
  <c r="AG98" i="19"/>
  <c r="AG900" i="19"/>
  <c r="AG276" i="19"/>
  <c r="AG698" i="19"/>
  <c r="AG773" i="19"/>
  <c r="AG714" i="19"/>
  <c r="AG816" i="19"/>
  <c r="AG358" i="19"/>
  <c r="AG821" i="19"/>
  <c r="AG630" i="19"/>
  <c r="AG524" i="19"/>
  <c r="AG436" i="19"/>
  <c r="AG430" i="19"/>
  <c r="AG72" i="19"/>
  <c r="AG722" i="19"/>
  <c r="AG503" i="19"/>
  <c r="AG717" i="19"/>
  <c r="AG700" i="19"/>
  <c r="AG791" i="19"/>
  <c r="AG314" i="19"/>
  <c r="AG902" i="19"/>
  <c r="AG341" i="19"/>
  <c r="AG244" i="19"/>
  <c r="AG90" i="19"/>
  <c r="AG202" i="19"/>
  <c r="AG120" i="19"/>
  <c r="AG186" i="19"/>
  <c r="AG113" i="19"/>
  <c r="AG842" i="19"/>
  <c r="AG478" i="19"/>
  <c r="AG265" i="19"/>
  <c r="AG558" i="19"/>
  <c r="AG769" i="19"/>
  <c r="AG360" i="19"/>
  <c r="AG366" i="19"/>
  <c r="AG507" i="19"/>
  <c r="AG273" i="19"/>
  <c r="AG622" i="19"/>
  <c r="AG246" i="19"/>
  <c r="AG124" i="19"/>
  <c r="AG743" i="19"/>
  <c r="AG843" i="19"/>
  <c r="AG447" i="19"/>
  <c r="AG672" i="19"/>
  <c r="AG497" i="19"/>
  <c r="AG735" i="19"/>
  <c r="AG921" i="19"/>
  <c r="AG351" i="19"/>
  <c r="AG831" i="19"/>
  <c r="AG442" i="19"/>
  <c r="AG201" i="19"/>
  <c r="AG187" i="19"/>
  <c r="AG147" i="19"/>
  <c r="AG268" i="19"/>
  <c r="AG914" i="19"/>
  <c r="AG91" i="19"/>
  <c r="AG784" i="19"/>
  <c r="AG397" i="19"/>
  <c r="AG864" i="19"/>
  <c r="AG963" i="19"/>
  <c r="AG332" i="19"/>
  <c r="AG926" i="19"/>
  <c r="AG522" i="19"/>
  <c r="AG589" i="19"/>
  <c r="AG445" i="19"/>
  <c r="AG80" i="19"/>
  <c r="AG633" i="19"/>
  <c r="AG252" i="19"/>
  <c r="AG209" i="19"/>
  <c r="AG668" i="19"/>
  <c r="AG901" i="19"/>
  <c r="AG435" i="19"/>
  <c r="AG849" i="19"/>
  <c r="AG860" i="19"/>
  <c r="AG774" i="19"/>
  <c r="AG806" i="19"/>
  <c r="AG325" i="19"/>
  <c r="AG669" i="19"/>
  <c r="AG574" i="19"/>
  <c r="AG959" i="19"/>
  <c r="AG239" i="19"/>
  <c r="AG66" i="19"/>
  <c r="AG196" i="19"/>
  <c r="AG53" i="19"/>
  <c r="AG151" i="19"/>
  <c r="AG26" i="19"/>
  <c r="AG913" i="19"/>
  <c r="AG204" i="19"/>
  <c r="AG776" i="19"/>
  <c r="AG883" i="19"/>
  <c r="AG432" i="19"/>
  <c r="AG850" i="19"/>
  <c r="AG309" i="19"/>
  <c r="AG651" i="19"/>
  <c r="AG561" i="19"/>
  <c r="AG792" i="19"/>
  <c r="AG70" i="19"/>
  <c r="AG182" i="19"/>
  <c r="AG23" i="19"/>
  <c r="AG83" i="19"/>
  <c r="AG564" i="19"/>
  <c r="AG303" i="19"/>
  <c r="AG793" i="19"/>
  <c r="AG830" i="19"/>
  <c r="AG487" i="19"/>
  <c r="AG675" i="19"/>
  <c r="AG646" i="19"/>
  <c r="AG399" i="19"/>
  <c r="AG915" i="19"/>
  <c r="AG588" i="19"/>
  <c r="AG327" i="19"/>
  <c r="AG311" i="19"/>
  <c r="AG143" i="19"/>
  <c r="AG538" i="19"/>
  <c r="AG257" i="19"/>
  <c r="AG612" i="19"/>
  <c r="AG685" i="19"/>
  <c r="AG798" i="19"/>
  <c r="AG602" i="19"/>
  <c r="AG495" i="19"/>
  <c r="AG189" i="19"/>
  <c r="AG205" i="19"/>
  <c r="AG896" i="19"/>
  <c r="AG866" i="19"/>
  <c r="AG923" i="19"/>
  <c r="AG680" i="19"/>
  <c r="AG782" i="19"/>
  <c r="AG770" i="19"/>
  <c r="AG642" i="19"/>
  <c r="AG306" i="19"/>
  <c r="AG823" i="19"/>
  <c r="AG573" i="19"/>
  <c r="AG467" i="19"/>
  <c r="AG270" i="19"/>
  <c r="AG310" i="19"/>
  <c r="AG449" i="19"/>
  <c r="AG484" i="19"/>
  <c r="AG177" i="19"/>
  <c r="AG260" i="19"/>
  <c r="AG58" i="19"/>
  <c r="AG489" i="19"/>
  <c r="AG580" i="19"/>
  <c r="AG886" i="19"/>
  <c r="AG855" i="19"/>
  <c r="AG767" i="19"/>
  <c r="AG334" i="19"/>
  <c r="AG294" i="19"/>
  <c r="AG783" i="19"/>
  <c r="AG795" i="19"/>
  <c r="AG726" i="19"/>
  <c r="AG471" i="19"/>
  <c r="AG171" i="19"/>
  <c r="AG242" i="19"/>
  <c r="AG606" i="19"/>
  <c r="AG232" i="19"/>
  <c r="AG156" i="19"/>
  <c r="AG706" i="19"/>
  <c r="AG946" i="19"/>
  <c r="AG790" i="19"/>
  <c r="AG761" i="19"/>
  <c r="AG755" i="19"/>
  <c r="AG386" i="19"/>
  <c r="AG407" i="19"/>
  <c r="AG154" i="19"/>
  <c r="AG229" i="19"/>
  <c r="AG106" i="19"/>
  <c r="AG93" i="19"/>
  <c r="AG747" i="19"/>
  <c r="AG948" i="19"/>
  <c r="AG567" i="19"/>
  <c r="AG662" i="19"/>
  <c r="AG941" i="19"/>
  <c r="AG903" i="19"/>
  <c r="AG345" i="19"/>
  <c r="AG833" i="19"/>
  <c r="AG970" i="19"/>
  <c r="AG418" i="19"/>
  <c r="AG641" i="19"/>
  <c r="AG844" i="19"/>
  <c r="AG825" i="19"/>
  <c r="AG621" i="19"/>
  <c r="AG517" i="19"/>
  <c r="AG937" i="19"/>
  <c r="AG531" i="19"/>
  <c r="AG271" i="19"/>
  <c r="AG69" i="19"/>
  <c r="AG123" i="19"/>
  <c r="AG161" i="19"/>
  <c r="AG920" i="19"/>
  <c r="AG731" i="19"/>
  <c r="AG549" i="19"/>
  <c r="AG401" i="19"/>
  <c r="AG583" i="19"/>
  <c r="AG486" i="19"/>
  <c r="AG284" i="19"/>
  <c r="AG451" i="19"/>
  <c r="AG288" i="19"/>
  <c r="AG890" i="19"/>
  <c r="AG426" i="19"/>
  <c r="AG504" i="19"/>
  <c r="AG331" i="19"/>
  <c r="AG119" i="19"/>
  <c r="AG121" i="19"/>
  <c r="AG74" i="19"/>
  <c r="AG440" i="19"/>
  <c r="AG452" i="19"/>
  <c r="AG388" i="19"/>
  <c r="AG936" i="19"/>
  <c r="AG657" i="19"/>
  <c r="AG506" i="19"/>
  <c r="AG972" i="19"/>
  <c r="AG577" i="19"/>
  <c r="AG190" i="19"/>
  <c r="AG108" i="19"/>
  <c r="AG110" i="19"/>
  <c r="AG59" i="19"/>
  <c r="AG258" i="19"/>
  <c r="AG282" i="19"/>
  <c r="AG299" i="19"/>
  <c r="AG251" i="19"/>
  <c r="AG598" i="19"/>
  <c r="AG945" i="19"/>
  <c r="AG907" i="19"/>
  <c r="AG728" i="19"/>
  <c r="AG677" i="19"/>
  <c r="AG982" i="19"/>
  <c r="AG892" i="19"/>
  <c r="AG94" i="19"/>
  <c r="AG101" i="19"/>
  <c r="AG43" i="19"/>
  <c r="AG157" i="19"/>
  <c r="AG96" i="19"/>
  <c r="AG462" i="19"/>
  <c r="AG647" i="19"/>
  <c r="AG599" i="19"/>
  <c r="AG149" i="19"/>
  <c r="AG247" i="19"/>
  <c r="AG115" i="19"/>
  <c r="AG88" i="19"/>
  <c r="AG230" i="19"/>
  <c r="AG354" i="19"/>
  <c r="AG862" i="19"/>
  <c r="AG924" i="19"/>
  <c r="AG336" i="19"/>
  <c r="AG461" i="19"/>
  <c r="AG666" i="19"/>
  <c r="AG315" i="19"/>
  <c r="AG52" i="19"/>
  <c r="AG587" i="19"/>
  <c r="AG654" i="19"/>
  <c r="AG763" i="19"/>
  <c r="AG571" i="19"/>
  <c r="AG47" i="19"/>
  <c r="AG396" i="19"/>
  <c r="AG291" i="19"/>
  <c r="AG31" i="19"/>
  <c r="AG62" i="19"/>
  <c r="AG248" i="19"/>
  <c r="AG316" i="19"/>
  <c r="AG838" i="19"/>
  <c r="AG950" i="19"/>
  <c r="AG786" i="19"/>
  <c r="AG694" i="19"/>
  <c r="AG42" i="19"/>
  <c r="AG253" i="19"/>
  <c r="AG228" i="19"/>
  <c r="AG60" i="19"/>
  <c r="AG40" i="19"/>
  <c r="AG347" i="19"/>
  <c r="AG674" i="19"/>
  <c r="AG764" i="19"/>
  <c r="AG871" i="19"/>
  <c r="AG978" i="19"/>
  <c r="AG960" i="19"/>
  <c r="AG693" i="19"/>
  <c r="AG393" i="19"/>
  <c r="AG37" i="19"/>
  <c r="AG215" i="19"/>
  <c r="AG114" i="19"/>
  <c r="AG36" i="19"/>
  <c r="AG203" i="19"/>
  <c r="AG155" i="19"/>
  <c r="AG779" i="19"/>
  <c r="AG665" i="19"/>
  <c r="AG905" i="19"/>
  <c r="AG179" i="19"/>
  <c r="AG614" i="19"/>
  <c r="AG553" i="19"/>
  <c r="AG604" i="19"/>
  <c r="AG483" i="19"/>
  <c r="AG639" i="19"/>
  <c r="E583" i="35" l="1"/>
  <c r="F583" i="35" s="1"/>
  <c r="I583" i="35"/>
  <c r="B585" i="35"/>
  <c r="D584" i="35"/>
  <c r="C584" i="35"/>
  <c r="F582" i="35"/>
  <c r="H582" i="35"/>
  <c r="AG989" i="19"/>
  <c r="AB986" i="19"/>
  <c r="AJ986" i="19"/>
  <c r="AS21" i="19"/>
  <c r="AU64" i="19" s="1"/>
  <c r="AV64" i="19" s="1"/>
  <c r="AE64" i="19" s="1"/>
  <c r="AU261" i="19" l="1"/>
  <c r="AV261" i="19" s="1"/>
  <c r="AE261" i="19" s="1"/>
  <c r="AU50" i="19"/>
  <c r="AV50" i="19" s="1"/>
  <c r="AE50" i="19" s="1"/>
  <c r="H583" i="35"/>
  <c r="G583" i="35" s="1"/>
  <c r="J583" i="35" s="1"/>
  <c r="E584" i="35"/>
  <c r="F584" i="35" s="1"/>
  <c r="G582" i="35"/>
  <c r="J582" i="35" s="1"/>
  <c r="I584" i="35"/>
  <c r="B586" i="35"/>
  <c r="C585" i="35"/>
  <c r="D585" i="35"/>
  <c r="AU976" i="19"/>
  <c r="AV976" i="19" s="1"/>
  <c r="AE976" i="19" s="1"/>
  <c r="AU970" i="19"/>
  <c r="AV970" i="19" s="1"/>
  <c r="AE970" i="19" s="1"/>
  <c r="AU921" i="19"/>
  <c r="AV921" i="19" s="1"/>
  <c r="AE921" i="19" s="1"/>
  <c r="AU878" i="19"/>
  <c r="AV878" i="19" s="1"/>
  <c r="AE878" i="19" s="1"/>
  <c r="AU952" i="19"/>
  <c r="AV952" i="19" s="1"/>
  <c r="AE952" i="19" s="1"/>
  <c r="AU930" i="19"/>
  <c r="AV930" i="19" s="1"/>
  <c r="AE930" i="19" s="1"/>
  <c r="AU914" i="19"/>
  <c r="AV914" i="19" s="1"/>
  <c r="AE914" i="19" s="1"/>
  <c r="AU896" i="19"/>
  <c r="AV896" i="19" s="1"/>
  <c r="AE896" i="19" s="1"/>
  <c r="AU887" i="19"/>
  <c r="AV887" i="19" s="1"/>
  <c r="AE887" i="19" s="1"/>
  <c r="AU874" i="19"/>
  <c r="AV874" i="19" s="1"/>
  <c r="AE874" i="19" s="1"/>
  <c r="AU870" i="19"/>
  <c r="AV870" i="19" s="1"/>
  <c r="AE870" i="19" s="1"/>
  <c r="AU866" i="19"/>
  <c r="AV866" i="19" s="1"/>
  <c r="AE866" i="19" s="1"/>
  <c r="AU957" i="19"/>
  <c r="AV957" i="19" s="1"/>
  <c r="AE957" i="19" s="1"/>
  <c r="AU883" i="19"/>
  <c r="AV883" i="19" s="1"/>
  <c r="AE883" i="19" s="1"/>
  <c r="AU958" i="19"/>
  <c r="AV958" i="19" s="1"/>
  <c r="AE958" i="19" s="1"/>
  <c r="AU915" i="19"/>
  <c r="AV915" i="19" s="1"/>
  <c r="AE915" i="19" s="1"/>
  <c r="AU888" i="19"/>
  <c r="AV888" i="19" s="1"/>
  <c r="AE888" i="19" s="1"/>
  <c r="AU902" i="19"/>
  <c r="AV902" i="19" s="1"/>
  <c r="AU895" i="19"/>
  <c r="AV895" i="19" s="1"/>
  <c r="AE895" i="19" s="1"/>
  <c r="AU979" i="19"/>
  <c r="AV979" i="19" s="1"/>
  <c r="AU956" i="19"/>
  <c r="AV956" i="19" s="1"/>
  <c r="AE956" i="19" s="1"/>
  <c r="AU916" i="19"/>
  <c r="AV916" i="19" s="1"/>
  <c r="AE916" i="19" s="1"/>
  <c r="AU881" i="19"/>
  <c r="AV881" i="19" s="1"/>
  <c r="AE881" i="19" s="1"/>
  <c r="AU929" i="19"/>
  <c r="AV929" i="19" s="1"/>
  <c r="AE929" i="19" s="1"/>
  <c r="AU905" i="19"/>
  <c r="AV905" i="19" s="1"/>
  <c r="AE905" i="19" s="1"/>
  <c r="AU964" i="19"/>
  <c r="AV964" i="19" s="1"/>
  <c r="AE964" i="19" s="1"/>
  <c r="AU943" i="19"/>
  <c r="AV943" i="19" s="1"/>
  <c r="AE943" i="19" s="1"/>
  <c r="AU886" i="19"/>
  <c r="AV886" i="19" s="1"/>
  <c r="AE886" i="19" s="1"/>
  <c r="AU862" i="19"/>
  <c r="AV862" i="19" s="1"/>
  <c r="AE862" i="19" s="1"/>
  <c r="AU900" i="19"/>
  <c r="AV900" i="19" s="1"/>
  <c r="AE900" i="19" s="1"/>
  <c r="AU782" i="19"/>
  <c r="AV782" i="19" s="1"/>
  <c r="AU777" i="19"/>
  <c r="AV777" i="19" s="1"/>
  <c r="AE777" i="19" s="1"/>
  <c r="AU771" i="19"/>
  <c r="AV771" i="19" s="1"/>
  <c r="AE771" i="19" s="1"/>
  <c r="AU763" i="19"/>
  <c r="AV763" i="19" s="1"/>
  <c r="AE763" i="19" s="1"/>
  <c r="AU751" i="19"/>
  <c r="AV751" i="19" s="1"/>
  <c r="AE751" i="19" s="1"/>
  <c r="AU740" i="19"/>
  <c r="AV740" i="19" s="1"/>
  <c r="AE740" i="19" s="1"/>
  <c r="AU728" i="19"/>
  <c r="AV728" i="19" s="1"/>
  <c r="AE728" i="19" s="1"/>
  <c r="AU715" i="19"/>
  <c r="AV715" i="19" s="1"/>
  <c r="AE715" i="19" s="1"/>
  <c r="AU706" i="19"/>
  <c r="AV706" i="19" s="1"/>
  <c r="AE706" i="19" s="1"/>
  <c r="AU873" i="19"/>
  <c r="AV873" i="19" s="1"/>
  <c r="AE873" i="19" s="1"/>
  <c r="AU790" i="19"/>
  <c r="AV790" i="19" s="1"/>
  <c r="AE790" i="19" s="1"/>
  <c r="AU696" i="19"/>
  <c r="AV696" i="19" s="1"/>
  <c r="AU690" i="19"/>
  <c r="AV690" i="19" s="1"/>
  <c r="AE690" i="19" s="1"/>
  <c r="AU684" i="19"/>
  <c r="AV684" i="19" s="1"/>
  <c r="AU677" i="19"/>
  <c r="AV677" i="19" s="1"/>
  <c r="AE677" i="19" s="1"/>
  <c r="AU913" i="19"/>
  <c r="AV913" i="19" s="1"/>
  <c r="AE913" i="19" s="1"/>
  <c r="AU907" i="19"/>
  <c r="AV907" i="19" s="1"/>
  <c r="AE907" i="19" s="1"/>
  <c r="AU871" i="19"/>
  <c r="AV871" i="19" s="1"/>
  <c r="AE871" i="19" s="1"/>
  <c r="AU869" i="19"/>
  <c r="AV869" i="19" s="1"/>
  <c r="AE869" i="19" s="1"/>
  <c r="AU829" i="19"/>
  <c r="AV829" i="19" s="1"/>
  <c r="AE829" i="19" s="1"/>
  <c r="AU791" i="19"/>
  <c r="AV791" i="19" s="1"/>
  <c r="AE791" i="19" s="1"/>
  <c r="AU745" i="19"/>
  <c r="AV745" i="19" s="1"/>
  <c r="AE745" i="19" s="1"/>
  <c r="AU735" i="19"/>
  <c r="AV735" i="19" s="1"/>
  <c r="AE735" i="19" s="1"/>
  <c r="AU867" i="19"/>
  <c r="AV867" i="19" s="1"/>
  <c r="AU928" i="19"/>
  <c r="AV928" i="19" s="1"/>
  <c r="AE928" i="19" s="1"/>
  <c r="AU894" i="19"/>
  <c r="AV894" i="19" s="1"/>
  <c r="AE894" i="19" s="1"/>
  <c r="AU864" i="19"/>
  <c r="AV864" i="19" s="1"/>
  <c r="AE864" i="19" s="1"/>
  <c r="AU720" i="19"/>
  <c r="AV720" i="19" s="1"/>
  <c r="AE720" i="19" s="1"/>
  <c r="AU692" i="19"/>
  <c r="AV692" i="19" s="1"/>
  <c r="AE692" i="19" s="1"/>
  <c r="AU673" i="19"/>
  <c r="AV673" i="19" s="1"/>
  <c r="AE673" i="19" s="1"/>
  <c r="AU738" i="19"/>
  <c r="AV738" i="19" s="1"/>
  <c r="AE738" i="19" s="1"/>
  <c r="AU695" i="19"/>
  <c r="AV695" i="19" s="1"/>
  <c r="AE695" i="19" s="1"/>
  <c r="AU687" i="19"/>
  <c r="AV687" i="19" s="1"/>
  <c r="AE687" i="19" s="1"/>
  <c r="AU676" i="19"/>
  <c r="AV676" i="19" s="1"/>
  <c r="AE676" i="19" s="1"/>
  <c r="AU670" i="19"/>
  <c r="AV670" i="19" s="1"/>
  <c r="AE670" i="19" s="1"/>
  <c r="AU666" i="19"/>
  <c r="AV666" i="19" s="1"/>
  <c r="AE666" i="19" s="1"/>
  <c r="AU698" i="19"/>
  <c r="AV698" i="19" s="1"/>
  <c r="AE698" i="19" s="1"/>
  <c r="AU671" i="19"/>
  <c r="AV671" i="19" s="1"/>
  <c r="AE671" i="19" s="1"/>
  <c r="AU726" i="19"/>
  <c r="AV726" i="19" s="1"/>
  <c r="AE726" i="19" s="1"/>
  <c r="AU711" i="19"/>
  <c r="AV711" i="19" s="1"/>
  <c r="AE711" i="19" s="1"/>
  <c r="AU674" i="19"/>
  <c r="AV674" i="19" s="1"/>
  <c r="AE674" i="19" s="1"/>
  <c r="AU681" i="19"/>
  <c r="AV681" i="19" s="1"/>
  <c r="AE681" i="19" s="1"/>
  <c r="AU785" i="19"/>
  <c r="AV785" i="19" s="1"/>
  <c r="AE785" i="19" s="1"/>
  <c r="AU663" i="19"/>
  <c r="AV663" i="19" s="1"/>
  <c r="AE663" i="19" s="1"/>
  <c r="AU876" i="19"/>
  <c r="AV876" i="19" s="1"/>
  <c r="AE876" i="19" s="1"/>
  <c r="AU686" i="19"/>
  <c r="AV686" i="19" s="1"/>
  <c r="AE686" i="19" s="1"/>
  <c r="AU712" i="19"/>
  <c r="AV712" i="19" s="1"/>
  <c r="AE712" i="19" s="1"/>
  <c r="AU701" i="19"/>
  <c r="AV701" i="19" s="1"/>
  <c r="AE701" i="19" s="1"/>
  <c r="AU669" i="19"/>
  <c r="AV669" i="19" s="1"/>
  <c r="AE669" i="19" s="1"/>
  <c r="AU659" i="19"/>
  <c r="AV659" i="19" s="1"/>
  <c r="AE659" i="19" s="1"/>
  <c r="AU689" i="19"/>
  <c r="AV689" i="19" s="1"/>
  <c r="AE689" i="19" s="1"/>
  <c r="AU678" i="19"/>
  <c r="AV678" i="19" s="1"/>
  <c r="AE678" i="19" s="1"/>
  <c r="AU665" i="19"/>
  <c r="AV665" i="19" s="1"/>
  <c r="AE665" i="19" s="1"/>
  <c r="AU655" i="19"/>
  <c r="AV655" i="19" s="1"/>
  <c r="AE655" i="19" s="1"/>
  <c r="AU650" i="19"/>
  <c r="AV650" i="19" s="1"/>
  <c r="AE650" i="19" s="1"/>
  <c r="AU654" i="19"/>
  <c r="AV654" i="19" s="1"/>
  <c r="AE654" i="19" s="1"/>
  <c r="AU600" i="19"/>
  <c r="AV600" i="19" s="1"/>
  <c r="AE600" i="19" s="1"/>
  <c r="AU594" i="19"/>
  <c r="AV594" i="19" s="1"/>
  <c r="AE594" i="19" s="1"/>
  <c r="AU589" i="19"/>
  <c r="AV589" i="19" s="1"/>
  <c r="AE589" i="19" s="1"/>
  <c r="AU585" i="19"/>
  <c r="AV585" i="19" s="1"/>
  <c r="AE585" i="19" s="1"/>
  <c r="AU582" i="19"/>
  <c r="AV582" i="19" s="1"/>
  <c r="AE582" i="19" s="1"/>
  <c r="AU579" i="19"/>
  <c r="AV579" i="19" s="1"/>
  <c r="AE579" i="19" s="1"/>
  <c r="AU555" i="19"/>
  <c r="AV555" i="19" s="1"/>
  <c r="AE555" i="19" s="1"/>
  <c r="AU546" i="19"/>
  <c r="AV546" i="19" s="1"/>
  <c r="AE546" i="19" s="1"/>
  <c r="AU672" i="19"/>
  <c r="AV672" i="19" s="1"/>
  <c r="AE672" i="19" s="1"/>
  <c r="AU571" i="19"/>
  <c r="AV571" i="19" s="1"/>
  <c r="AE571" i="19" s="1"/>
  <c r="AU649" i="19"/>
  <c r="AV649" i="19" s="1"/>
  <c r="AE649" i="19" s="1"/>
  <c r="AU643" i="19"/>
  <c r="AV643" i="19" s="1"/>
  <c r="AE643" i="19" s="1"/>
  <c r="AU620" i="19"/>
  <c r="AV620" i="19" s="1"/>
  <c r="AE620" i="19" s="1"/>
  <c r="AU561" i="19"/>
  <c r="AV561" i="19" s="1"/>
  <c r="AE561" i="19" s="1"/>
  <c r="AU552" i="19"/>
  <c r="AV552" i="19" s="1"/>
  <c r="AE552" i="19" s="1"/>
  <c r="AU657" i="19"/>
  <c r="AV657" i="19" s="1"/>
  <c r="AE657" i="19" s="1"/>
  <c r="AU646" i="19"/>
  <c r="AV646" i="19" s="1"/>
  <c r="AE646" i="19" s="1"/>
  <c r="AU623" i="19"/>
  <c r="AV623" i="19" s="1"/>
  <c r="AE623" i="19" s="1"/>
  <c r="AU601" i="19"/>
  <c r="AV601" i="19" s="1"/>
  <c r="AE601" i="19" s="1"/>
  <c r="AU598" i="19"/>
  <c r="AV598" i="19" s="1"/>
  <c r="AE598" i="19" s="1"/>
  <c r="AU595" i="19"/>
  <c r="AV595" i="19" s="1"/>
  <c r="AE595" i="19" s="1"/>
  <c r="AU590" i="19"/>
  <c r="AV590" i="19" s="1"/>
  <c r="AE590" i="19" s="1"/>
  <c r="AU587" i="19"/>
  <c r="AV587" i="19" s="1"/>
  <c r="AE587" i="19" s="1"/>
  <c r="AU583" i="19"/>
  <c r="AV583" i="19" s="1"/>
  <c r="AE583" i="19" s="1"/>
  <c r="AU580" i="19"/>
  <c r="AV580" i="19" s="1"/>
  <c r="AE580" i="19" s="1"/>
  <c r="AU563" i="19"/>
  <c r="AV563" i="19" s="1"/>
  <c r="AE563" i="19" s="1"/>
  <c r="AU548" i="19"/>
  <c r="AV548" i="19" s="1"/>
  <c r="AE548" i="19" s="1"/>
  <c r="AU683" i="19"/>
  <c r="AV683" i="19" s="1"/>
  <c r="AU536" i="19"/>
  <c r="AV536" i="19" s="1"/>
  <c r="AE536" i="19" s="1"/>
  <c r="AU675" i="19"/>
  <c r="AV675" i="19" s="1"/>
  <c r="AE675" i="19" s="1"/>
  <c r="AU628" i="19"/>
  <c r="AV628" i="19" s="1"/>
  <c r="AE628" i="19" s="1"/>
  <c r="AU604" i="19"/>
  <c r="AV604" i="19" s="1"/>
  <c r="AE604" i="19" s="1"/>
  <c r="AU554" i="19"/>
  <c r="AV554" i="19" s="1"/>
  <c r="AE554" i="19" s="1"/>
  <c r="AU612" i="19"/>
  <c r="AV612" i="19" s="1"/>
  <c r="AE612" i="19" s="1"/>
  <c r="AU496" i="19"/>
  <c r="AV496" i="19" s="1"/>
  <c r="AE496" i="19" s="1"/>
  <c r="AU477" i="19"/>
  <c r="AV477" i="19" s="1"/>
  <c r="AE477" i="19" s="1"/>
  <c r="AU532" i="19"/>
  <c r="AV532" i="19" s="1"/>
  <c r="AE532" i="19" s="1"/>
  <c r="AU426" i="19"/>
  <c r="AV426" i="19" s="1"/>
  <c r="AE426" i="19" s="1"/>
  <c r="AU533" i="19"/>
  <c r="AV533" i="19" s="1"/>
  <c r="AE533" i="19" s="1"/>
  <c r="AU636" i="19"/>
  <c r="AV636" i="19" s="1"/>
  <c r="AE636" i="19" s="1"/>
  <c r="AU565" i="19"/>
  <c r="AV565" i="19" s="1"/>
  <c r="AE565" i="19" s="1"/>
  <c r="AU544" i="19"/>
  <c r="AV544" i="19" s="1"/>
  <c r="AE544" i="19" s="1"/>
  <c r="AU528" i="19"/>
  <c r="AV528" i="19" s="1"/>
  <c r="AE528" i="19" s="1"/>
  <c r="AU517" i="19"/>
  <c r="AV517" i="19" s="1"/>
  <c r="AE517" i="19" s="1"/>
  <c r="AU412" i="19"/>
  <c r="AV412" i="19" s="1"/>
  <c r="AE412" i="19" s="1"/>
  <c r="AU451" i="19"/>
  <c r="AV451" i="19" s="1"/>
  <c r="AE451" i="19" s="1"/>
  <c r="AU523" i="19"/>
  <c r="AV523" i="19" s="1"/>
  <c r="AE523" i="19" s="1"/>
  <c r="AU513" i="19"/>
  <c r="AV513" i="19" s="1"/>
  <c r="AE513" i="19" s="1"/>
  <c r="AU329" i="19"/>
  <c r="AV329" i="19" s="1"/>
  <c r="AE329" i="19" s="1"/>
  <c r="AU303" i="19"/>
  <c r="AV303" i="19" s="1"/>
  <c r="AE303" i="19" s="1"/>
  <c r="AU299" i="19"/>
  <c r="AV299" i="19" s="1"/>
  <c r="AE299" i="19" s="1"/>
  <c r="AU281" i="19"/>
  <c r="AV281" i="19" s="1"/>
  <c r="AE281" i="19" s="1"/>
  <c r="AU246" i="19"/>
  <c r="AV246" i="19" s="1"/>
  <c r="AE246" i="19" s="1"/>
  <c r="AU460" i="19"/>
  <c r="AV460" i="19" s="1"/>
  <c r="AE460" i="19" s="1"/>
  <c r="AU436" i="19"/>
  <c r="AV436" i="19" s="1"/>
  <c r="AE436" i="19" s="1"/>
  <c r="AU363" i="19"/>
  <c r="AV363" i="19" s="1"/>
  <c r="AE363" i="19" s="1"/>
  <c r="AU314" i="19"/>
  <c r="AV314" i="19" s="1"/>
  <c r="AE314" i="19" s="1"/>
  <c r="AU273" i="19"/>
  <c r="AV273" i="19" s="1"/>
  <c r="AE273" i="19" s="1"/>
  <c r="AU624" i="19"/>
  <c r="AV624" i="19" s="1"/>
  <c r="AE624" i="19" s="1"/>
  <c r="AU489" i="19"/>
  <c r="AV489" i="19" s="1"/>
  <c r="AE489" i="19" s="1"/>
  <c r="AU473" i="19"/>
  <c r="AV473" i="19" s="1"/>
  <c r="AE473" i="19" s="1"/>
  <c r="AU539" i="19"/>
  <c r="AV539" i="19" s="1"/>
  <c r="AE539" i="19" s="1"/>
  <c r="AU494" i="19"/>
  <c r="AV494" i="19" s="1"/>
  <c r="AE494" i="19" s="1"/>
  <c r="AU457" i="19"/>
  <c r="AV457" i="19" s="1"/>
  <c r="AE457" i="19" s="1"/>
  <c r="AU403" i="19"/>
  <c r="AV403" i="19" s="1"/>
  <c r="AE403" i="19" s="1"/>
  <c r="AU471" i="19"/>
  <c r="AV471" i="19" s="1"/>
  <c r="AE471" i="19" s="1"/>
  <c r="AU445" i="19"/>
  <c r="AV445" i="19" s="1"/>
  <c r="AE445" i="19" s="1"/>
  <c r="AU417" i="19"/>
  <c r="AV417" i="19" s="1"/>
  <c r="AE417" i="19" s="1"/>
  <c r="AU414" i="19"/>
  <c r="AV414" i="19" s="1"/>
  <c r="AE414" i="19" s="1"/>
  <c r="AU359" i="19"/>
  <c r="AV359" i="19" s="1"/>
  <c r="AE359" i="19" s="1"/>
  <c r="AU331" i="19"/>
  <c r="AV331" i="19" s="1"/>
  <c r="AE331" i="19" s="1"/>
  <c r="AU305" i="19"/>
  <c r="AV305" i="19" s="1"/>
  <c r="AE305" i="19" s="1"/>
  <c r="AU287" i="19"/>
  <c r="AV287" i="19" s="1"/>
  <c r="AE287" i="19" s="1"/>
  <c r="AU248" i="19"/>
  <c r="AV248" i="19" s="1"/>
  <c r="AE248" i="19" s="1"/>
  <c r="AU514" i="19"/>
  <c r="AV514" i="19" s="1"/>
  <c r="AE514" i="19" s="1"/>
  <c r="AU467" i="19"/>
  <c r="AV467" i="19" s="1"/>
  <c r="AE467" i="19" s="1"/>
  <c r="AU522" i="19"/>
  <c r="AV522" i="19" s="1"/>
  <c r="AE522" i="19" s="1"/>
  <c r="AU231" i="19"/>
  <c r="AV231" i="19" s="1"/>
  <c r="AE231" i="19" s="1"/>
  <c r="AU200" i="19"/>
  <c r="AV200" i="19" s="1"/>
  <c r="AE200" i="19" s="1"/>
  <c r="AU505" i="19"/>
  <c r="AV505" i="19" s="1"/>
  <c r="AE505" i="19" s="1"/>
  <c r="AU400" i="19"/>
  <c r="AV400" i="19" s="1"/>
  <c r="AE400" i="19" s="1"/>
  <c r="AU370" i="19"/>
  <c r="AV370" i="19" s="1"/>
  <c r="AE370" i="19" s="1"/>
  <c r="AU396" i="19"/>
  <c r="AV396" i="19" s="1"/>
  <c r="AE396" i="19" s="1"/>
  <c r="AU442" i="19"/>
  <c r="AV442" i="19" s="1"/>
  <c r="AE442" i="19" s="1"/>
  <c r="AU465" i="19"/>
  <c r="AV465" i="19" s="1"/>
  <c r="AE465" i="19" s="1"/>
  <c r="AU376" i="19"/>
  <c r="AV376" i="19" s="1"/>
  <c r="AE376" i="19" s="1"/>
  <c r="AU267" i="19"/>
  <c r="AV267" i="19" s="1"/>
  <c r="AE267" i="19" s="1"/>
  <c r="AU251" i="19"/>
  <c r="AV251" i="19" s="1"/>
  <c r="AE251" i="19" s="1"/>
  <c r="AU485" i="19"/>
  <c r="AV485" i="19" s="1"/>
  <c r="AE485" i="19" s="1"/>
  <c r="AU386" i="19"/>
  <c r="AV386" i="19" s="1"/>
  <c r="AE386" i="19" s="1"/>
  <c r="AU312" i="19"/>
  <c r="AV312" i="19" s="1"/>
  <c r="AE312" i="19" s="1"/>
  <c r="AU550" i="19"/>
  <c r="AV550" i="19" s="1"/>
  <c r="AE550" i="19" s="1"/>
  <c r="AU298" i="19"/>
  <c r="AV298" i="19" s="1"/>
  <c r="AE298" i="19" s="1"/>
  <c r="AU285" i="19"/>
  <c r="AV285" i="19" s="1"/>
  <c r="AE285" i="19" s="1"/>
  <c r="AU280" i="19"/>
  <c r="AV280" i="19" s="1"/>
  <c r="AE280" i="19" s="1"/>
  <c r="AU258" i="19"/>
  <c r="AV258" i="19" s="1"/>
  <c r="AE258" i="19" s="1"/>
  <c r="AU230" i="19"/>
  <c r="AV230" i="19" s="1"/>
  <c r="AE230" i="19" s="1"/>
  <c r="AU143" i="19"/>
  <c r="AV143" i="19" s="1"/>
  <c r="AE143" i="19" s="1"/>
  <c r="AU139" i="19"/>
  <c r="AV139" i="19" s="1"/>
  <c r="AE139" i="19" s="1"/>
  <c r="AU129" i="19"/>
  <c r="AV129" i="19" s="1"/>
  <c r="AE129" i="19" s="1"/>
  <c r="AU124" i="19"/>
  <c r="AV124" i="19" s="1"/>
  <c r="AU289" i="19"/>
  <c r="AV289" i="19" s="1"/>
  <c r="AE289" i="19" s="1"/>
  <c r="AU215" i="19"/>
  <c r="AV215" i="19" s="1"/>
  <c r="AE215" i="19" s="1"/>
  <c r="AU210" i="19"/>
  <c r="AV210" i="19" s="1"/>
  <c r="AE210" i="19" s="1"/>
  <c r="AU198" i="19"/>
  <c r="AV198" i="19" s="1"/>
  <c r="AE198" i="19" s="1"/>
  <c r="AU156" i="19"/>
  <c r="AV156" i="19" s="1"/>
  <c r="AE156" i="19" s="1"/>
  <c r="AU262" i="19"/>
  <c r="AV262" i="19" s="1"/>
  <c r="AE262" i="19" s="1"/>
  <c r="AU320" i="19"/>
  <c r="AV320" i="19" s="1"/>
  <c r="AE320" i="19" s="1"/>
  <c r="AU304" i="19"/>
  <c r="AV304" i="19" s="1"/>
  <c r="AE304" i="19" s="1"/>
  <c r="AU302" i="19"/>
  <c r="AV302" i="19" s="1"/>
  <c r="AE302" i="19" s="1"/>
  <c r="AU276" i="19"/>
  <c r="AV276" i="19" s="1"/>
  <c r="AE276" i="19" s="1"/>
  <c r="AU292" i="19"/>
  <c r="AV292" i="19" s="1"/>
  <c r="AE292" i="19" s="1"/>
  <c r="AU175" i="19"/>
  <c r="AV175" i="19" s="1"/>
  <c r="AU349" i="19"/>
  <c r="AV349" i="19" s="1"/>
  <c r="AE349" i="19" s="1"/>
  <c r="AU344" i="19"/>
  <c r="AV344" i="19" s="1"/>
  <c r="AE344" i="19" s="1"/>
  <c r="AU216" i="19"/>
  <c r="AV216" i="19" s="1"/>
  <c r="AE216" i="19" s="1"/>
  <c r="AU192" i="19"/>
  <c r="AV192" i="19" s="1"/>
  <c r="AE192" i="19" s="1"/>
  <c r="AU183" i="19"/>
  <c r="AV183" i="19" s="1"/>
  <c r="AE183" i="19" s="1"/>
  <c r="AU149" i="19"/>
  <c r="AV149" i="19" s="1"/>
  <c r="AE149" i="19" s="1"/>
  <c r="AU145" i="19"/>
  <c r="AV145" i="19" s="1"/>
  <c r="AE145" i="19" s="1"/>
  <c r="AU136" i="19"/>
  <c r="AV136" i="19" s="1"/>
  <c r="AE136" i="19" s="1"/>
  <c r="AU131" i="19"/>
  <c r="AV131" i="19" s="1"/>
  <c r="AE131" i="19" s="1"/>
  <c r="AU121" i="19"/>
  <c r="AV121" i="19" s="1"/>
  <c r="AE121" i="19" s="1"/>
  <c r="AU116" i="19"/>
  <c r="AV116" i="19" s="1"/>
  <c r="AU107" i="19"/>
  <c r="AV107" i="19" s="1"/>
  <c r="AE107" i="19" s="1"/>
  <c r="AU103" i="19"/>
  <c r="AV103" i="19" s="1"/>
  <c r="AE103" i="19" s="1"/>
  <c r="AU94" i="19"/>
  <c r="AV94" i="19" s="1"/>
  <c r="AE94" i="19" s="1"/>
  <c r="AU89" i="19"/>
  <c r="AV89" i="19" s="1"/>
  <c r="AE89" i="19" s="1"/>
  <c r="AU226" i="19"/>
  <c r="AV226" i="19" s="1"/>
  <c r="AE226" i="19" s="1"/>
  <c r="AU366" i="19"/>
  <c r="AV366" i="19" s="1"/>
  <c r="AE366" i="19" s="1"/>
  <c r="AU236" i="19"/>
  <c r="AV236" i="19" s="1"/>
  <c r="AE236" i="19" s="1"/>
  <c r="AU293" i="19"/>
  <c r="AV293" i="19" s="1"/>
  <c r="AE293" i="19" s="1"/>
  <c r="AU391" i="19"/>
  <c r="AV391" i="19" s="1"/>
  <c r="AE391" i="19" s="1"/>
  <c r="AU75" i="19"/>
  <c r="AV75" i="19" s="1"/>
  <c r="AE75" i="19" s="1"/>
  <c r="AU105" i="19"/>
  <c r="AV105" i="19" s="1"/>
  <c r="AE105" i="19" s="1"/>
  <c r="AU77" i="19"/>
  <c r="AV77" i="19" s="1"/>
  <c r="AE77" i="19" s="1"/>
  <c r="AU48" i="19"/>
  <c r="AV48" i="19" s="1"/>
  <c r="AE48" i="19" s="1"/>
  <c r="AU27" i="19"/>
  <c r="AV27" i="19" s="1"/>
  <c r="AE27" i="19" s="1"/>
  <c r="AU101" i="19"/>
  <c r="AV101" i="19" s="1"/>
  <c r="AE101" i="19" s="1"/>
  <c r="AU54" i="19"/>
  <c r="AV54" i="19" s="1"/>
  <c r="AE54" i="19" s="1"/>
  <c r="AU284" i="19"/>
  <c r="AV284" i="19" s="1"/>
  <c r="AE284" i="19" s="1"/>
  <c r="AU96" i="19"/>
  <c r="AV96" i="19" s="1"/>
  <c r="AE96" i="19" s="1"/>
  <c r="AU73" i="19"/>
  <c r="AV73" i="19" s="1"/>
  <c r="AE73" i="19" s="1"/>
  <c r="AU59" i="19"/>
  <c r="AV59" i="19" s="1"/>
  <c r="AE59" i="19" s="1"/>
  <c r="AU41" i="19"/>
  <c r="AV41" i="19" s="1"/>
  <c r="AE41" i="19" s="1"/>
  <c r="AU33" i="19"/>
  <c r="AV33" i="19" s="1"/>
  <c r="AE33" i="19" s="1"/>
  <c r="AU190" i="19"/>
  <c r="AV190" i="19" s="1"/>
  <c r="AE190" i="19" s="1"/>
  <c r="AU69" i="19"/>
  <c r="AV69" i="19" s="1"/>
  <c r="AU67" i="19"/>
  <c r="AV67" i="19" s="1"/>
  <c r="AU40" i="19"/>
  <c r="AV40" i="19" s="1"/>
  <c r="AE40" i="19" s="1"/>
  <c r="AU57" i="19"/>
  <c r="AV57" i="19" s="1"/>
  <c r="AE57" i="19" s="1"/>
  <c r="AU161" i="19"/>
  <c r="AV161" i="19" s="1"/>
  <c r="AE161" i="19" s="1"/>
  <c r="AU114" i="19"/>
  <c r="AV114" i="19" s="1"/>
  <c r="AE114" i="19" s="1"/>
  <c r="AU203" i="19"/>
  <c r="AV203" i="19" s="1"/>
  <c r="AE203" i="19" s="1"/>
  <c r="AU87" i="19"/>
  <c r="AV87" i="19" s="1"/>
  <c r="AE87" i="19" s="1"/>
  <c r="AU61" i="19"/>
  <c r="AV61" i="19" s="1"/>
  <c r="AE61" i="19" s="1"/>
  <c r="AU109" i="19"/>
  <c r="AV109" i="19" s="1"/>
  <c r="AE109" i="19" s="1"/>
  <c r="AU83" i="19"/>
  <c r="AV83" i="19" s="1"/>
  <c r="AE83" i="19" s="1"/>
  <c r="AU240" i="19"/>
  <c r="AV240" i="19" s="1"/>
  <c r="AE240" i="19" s="1"/>
  <c r="AU80" i="19"/>
  <c r="AV80" i="19" s="1"/>
  <c r="AE80" i="19" s="1"/>
  <c r="AU186" i="19"/>
  <c r="AV186" i="19" s="1"/>
  <c r="AE186" i="19" s="1"/>
  <c r="AU30" i="19"/>
  <c r="AV30" i="19" s="1"/>
  <c r="AE30" i="19" s="1"/>
  <c r="AU99" i="19"/>
  <c r="AV99" i="19" s="1"/>
  <c r="AE99" i="19" s="1"/>
  <c r="AU207" i="19"/>
  <c r="AV207" i="19" s="1"/>
  <c r="AE207" i="19" s="1"/>
  <c r="AU311" i="19"/>
  <c r="AV311" i="19" s="1"/>
  <c r="AE311" i="19" s="1"/>
  <c r="AU123" i="19"/>
  <c r="AV123" i="19" s="1"/>
  <c r="AE123" i="19" s="1"/>
  <c r="AU171" i="19"/>
  <c r="AV171" i="19" s="1"/>
  <c r="AE171" i="19" s="1"/>
  <c r="AU310" i="19"/>
  <c r="AV310" i="19" s="1"/>
  <c r="AE310" i="19" s="1"/>
  <c r="AU56" i="19"/>
  <c r="AV56" i="19" s="1"/>
  <c r="AE56" i="19" s="1"/>
  <c r="AU110" i="19"/>
  <c r="AV110" i="19" s="1"/>
  <c r="AE110" i="19" s="1"/>
  <c r="AU296" i="19"/>
  <c r="AV296" i="19" s="1"/>
  <c r="AE296" i="19" s="1"/>
  <c r="AU340" i="19"/>
  <c r="AV340" i="19" s="1"/>
  <c r="AU193" i="19"/>
  <c r="AV193" i="19" s="1"/>
  <c r="AE193" i="19" s="1"/>
  <c r="AU342" i="19"/>
  <c r="AV342" i="19" s="1"/>
  <c r="AE342" i="19" s="1"/>
  <c r="AU241" i="19"/>
  <c r="AV241" i="19" s="1"/>
  <c r="AE241" i="19" s="1"/>
  <c r="AU353" i="19"/>
  <c r="AV353" i="19" s="1"/>
  <c r="AE353" i="19" s="1"/>
  <c r="AU309" i="19"/>
  <c r="AV309" i="19" s="1"/>
  <c r="AE309" i="19" s="1"/>
  <c r="AU315" i="19"/>
  <c r="AV315" i="19" s="1"/>
  <c r="AE315" i="19" s="1"/>
  <c r="AU524" i="19"/>
  <c r="AV524" i="19" s="1"/>
  <c r="AE524" i="19" s="1"/>
  <c r="AU464" i="19"/>
  <c r="AV464" i="19" s="1"/>
  <c r="AE464" i="19" s="1"/>
  <c r="AU427" i="19"/>
  <c r="AV427" i="19" s="1"/>
  <c r="AE427" i="19" s="1"/>
  <c r="AU263" i="19"/>
  <c r="AV263" i="19" s="1"/>
  <c r="AE263" i="19" s="1"/>
  <c r="AU510" i="19"/>
  <c r="AV510" i="19" s="1"/>
  <c r="AE510" i="19" s="1"/>
  <c r="AU483" i="19"/>
  <c r="AV483" i="19" s="1"/>
  <c r="AE483" i="19" s="1"/>
  <c r="AU644" i="19"/>
  <c r="AV644" i="19" s="1"/>
  <c r="AE644" i="19" s="1"/>
  <c r="AU651" i="19"/>
  <c r="AV651" i="19" s="1"/>
  <c r="AE651" i="19" s="1"/>
  <c r="AU610" i="19"/>
  <c r="AV610" i="19" s="1"/>
  <c r="AE610" i="19" s="1"/>
  <c r="AU703" i="19"/>
  <c r="AV703" i="19" s="1"/>
  <c r="AE703" i="19" s="1"/>
  <c r="AU769" i="19"/>
  <c r="AV769" i="19" s="1"/>
  <c r="AE769" i="19" s="1"/>
  <c r="AU937" i="19"/>
  <c r="AV937" i="19" s="1"/>
  <c r="AE937" i="19" s="1"/>
  <c r="AU29" i="19"/>
  <c r="AV29" i="19" s="1"/>
  <c r="AE29" i="19" s="1"/>
  <c r="AU65" i="19"/>
  <c r="AV65" i="19" s="1"/>
  <c r="AE65" i="19" s="1"/>
  <c r="AU179" i="19"/>
  <c r="AV179" i="19" s="1"/>
  <c r="AE179" i="19" s="1"/>
  <c r="AU43" i="19"/>
  <c r="AV43" i="19" s="1"/>
  <c r="AE43" i="19" s="1"/>
  <c r="AU132" i="19"/>
  <c r="AV132" i="19" s="1"/>
  <c r="AE132" i="19" s="1"/>
  <c r="AU176" i="19"/>
  <c r="AV176" i="19" s="1"/>
  <c r="AE176" i="19" s="1"/>
  <c r="AU429" i="19"/>
  <c r="AV429" i="19" s="1"/>
  <c r="AE429" i="19" s="1"/>
  <c r="AU127" i="19"/>
  <c r="AV127" i="19" s="1"/>
  <c r="AE127" i="19" s="1"/>
  <c r="AU182" i="19"/>
  <c r="AV182" i="19" s="1"/>
  <c r="AE182" i="19" s="1"/>
  <c r="AU60" i="19"/>
  <c r="AV60" i="19" s="1"/>
  <c r="AE60" i="19" s="1"/>
  <c r="AU115" i="19"/>
  <c r="AV115" i="19" s="1"/>
  <c r="AE115" i="19" s="1"/>
  <c r="AU306" i="19"/>
  <c r="AV306" i="19" s="1"/>
  <c r="AE306" i="19" s="1"/>
  <c r="AU242" i="19"/>
  <c r="AV242" i="19" s="1"/>
  <c r="AE242" i="19" s="1"/>
  <c r="AU213" i="19"/>
  <c r="AV213" i="19" s="1"/>
  <c r="AE213" i="19" s="1"/>
  <c r="AU237" i="19"/>
  <c r="AV237" i="19" s="1"/>
  <c r="AE237" i="19" s="1"/>
  <c r="AU360" i="19"/>
  <c r="AV360" i="19" s="1"/>
  <c r="AE360" i="19" s="1"/>
  <c r="AU509" i="19"/>
  <c r="AV509" i="19" s="1"/>
  <c r="AE509" i="19" s="1"/>
  <c r="AU352" i="19"/>
  <c r="AV352" i="19" s="1"/>
  <c r="AE352" i="19" s="1"/>
  <c r="AU518" i="19"/>
  <c r="AV518" i="19" s="1"/>
  <c r="AE518" i="19" s="1"/>
  <c r="AU549" i="19"/>
  <c r="AV549" i="19" s="1"/>
  <c r="AE549" i="19" s="1"/>
  <c r="AU415" i="19"/>
  <c r="AV415" i="19" s="1"/>
  <c r="AE415" i="19" s="1"/>
  <c r="AU581" i="19"/>
  <c r="AV581" i="19" s="1"/>
  <c r="AE581" i="19" s="1"/>
  <c r="AU609" i="19"/>
  <c r="AV609" i="19" s="1"/>
  <c r="AE609" i="19" s="1"/>
  <c r="AU521" i="19"/>
  <c r="AV521" i="19" s="1"/>
  <c r="AE521" i="19" s="1"/>
  <c r="AU526" i="19"/>
  <c r="AV526" i="19" s="1"/>
  <c r="AE526" i="19" s="1"/>
  <c r="AU668" i="19"/>
  <c r="AV668" i="19" s="1"/>
  <c r="AE668" i="19" s="1"/>
  <c r="AU694" i="19"/>
  <c r="AV694" i="19" s="1"/>
  <c r="AE694" i="19" s="1"/>
  <c r="AU755" i="19"/>
  <c r="AV755" i="19" s="1"/>
  <c r="AE755" i="19" s="1"/>
  <c r="AU707" i="19"/>
  <c r="AV707" i="19" s="1"/>
  <c r="AE707" i="19" s="1"/>
  <c r="AU779" i="19"/>
  <c r="AV779" i="19" s="1"/>
  <c r="AE779" i="19" s="1"/>
  <c r="AU749" i="19"/>
  <c r="AV749" i="19" s="1"/>
  <c r="AE749" i="19" s="1"/>
  <c r="AU228" i="19"/>
  <c r="AV228" i="19" s="1"/>
  <c r="AE228" i="19" s="1"/>
  <c r="AU146" i="19"/>
  <c r="AV146" i="19" s="1"/>
  <c r="AE146" i="19" s="1"/>
  <c r="AU196" i="19"/>
  <c r="AV196" i="19" s="1"/>
  <c r="AE196" i="19" s="1"/>
  <c r="AU26" i="19"/>
  <c r="AV26" i="19" s="1"/>
  <c r="AE26" i="19" s="1"/>
  <c r="AU141" i="19"/>
  <c r="AV141" i="19" s="1"/>
  <c r="AE141" i="19" s="1"/>
  <c r="AU42" i="19"/>
  <c r="AV42" i="19" s="1"/>
  <c r="AE42" i="19" s="1"/>
  <c r="AU126" i="19"/>
  <c r="AV126" i="19" s="1"/>
  <c r="AE126" i="19" s="1"/>
  <c r="AU44" i="19"/>
  <c r="AV44" i="19" s="1"/>
  <c r="AE44" i="19" s="1"/>
  <c r="AU90" i="19"/>
  <c r="AV90" i="19" s="1"/>
  <c r="AE90" i="19" s="1"/>
  <c r="AU394" i="19"/>
  <c r="AV394" i="19" s="1"/>
  <c r="AE394" i="19" s="1"/>
  <c r="AU257" i="19"/>
  <c r="AV257" i="19" s="1"/>
  <c r="AE257" i="19" s="1"/>
  <c r="AU142" i="19"/>
  <c r="AV142" i="19" s="1"/>
  <c r="AE142" i="19" s="1"/>
  <c r="AU205" i="19"/>
  <c r="AV205" i="19" s="1"/>
  <c r="AE205" i="19" s="1"/>
  <c r="AU438" i="19"/>
  <c r="AV438" i="19" s="1"/>
  <c r="AE438" i="19" s="1"/>
  <c r="AU212" i="19"/>
  <c r="AV212" i="19" s="1"/>
  <c r="AE212" i="19" s="1"/>
  <c r="AU413" i="19"/>
  <c r="AV413" i="19" s="1"/>
  <c r="AE413" i="19" s="1"/>
  <c r="AU70" i="19"/>
  <c r="AV70" i="19" s="1"/>
  <c r="AE70" i="19" s="1"/>
  <c r="AU125" i="19"/>
  <c r="AV125" i="19" s="1"/>
  <c r="AE125" i="19" s="1"/>
  <c r="AU204" i="19"/>
  <c r="AV204" i="19" s="1"/>
  <c r="AE204" i="19" s="1"/>
  <c r="AU177" i="19"/>
  <c r="AV177" i="19" s="1"/>
  <c r="AE177" i="19" s="1"/>
  <c r="AU348" i="19"/>
  <c r="AV348" i="19" s="1"/>
  <c r="AE348" i="19" s="1"/>
  <c r="AU321" i="19"/>
  <c r="AV321" i="19" s="1"/>
  <c r="AE321" i="19" s="1"/>
  <c r="AU492" i="19"/>
  <c r="AV492" i="19" s="1"/>
  <c r="AE492" i="19" s="1"/>
  <c r="AU389" i="19"/>
  <c r="AV389" i="19" s="1"/>
  <c r="AE389" i="19" s="1"/>
  <c r="AU527" i="19"/>
  <c r="AV527" i="19" s="1"/>
  <c r="AE527" i="19" s="1"/>
  <c r="AU493" i="19"/>
  <c r="AV493" i="19" s="1"/>
  <c r="AE493" i="19" s="1"/>
  <c r="AU345" i="19"/>
  <c r="AV345" i="19" s="1"/>
  <c r="AE345" i="19" s="1"/>
  <c r="AU354" i="19"/>
  <c r="AV354" i="19" s="1"/>
  <c r="AE354" i="19" s="1"/>
  <c r="AU516" i="19"/>
  <c r="AV516" i="19" s="1"/>
  <c r="AE516" i="19" s="1"/>
  <c r="AU656" i="19"/>
  <c r="AV656" i="19" s="1"/>
  <c r="AE656" i="19" s="1"/>
  <c r="AU573" i="19"/>
  <c r="AV573" i="19" s="1"/>
  <c r="AE573" i="19" s="1"/>
  <c r="AU603" i="19"/>
  <c r="AV603" i="19" s="1"/>
  <c r="AE603" i="19" s="1"/>
  <c r="AU633" i="19"/>
  <c r="AV633" i="19" s="1"/>
  <c r="AE633" i="19" s="1"/>
  <c r="AU616" i="19"/>
  <c r="AV616" i="19" s="1"/>
  <c r="AE616" i="19" s="1"/>
  <c r="AU691" i="19"/>
  <c r="AV691" i="19" s="1"/>
  <c r="AE691" i="19" s="1"/>
  <c r="AU760" i="19"/>
  <c r="AV760" i="19" s="1"/>
  <c r="AE760" i="19" s="1"/>
  <c r="AU714" i="19"/>
  <c r="AV714" i="19" s="1"/>
  <c r="AE714" i="19" s="1"/>
  <c r="AU157" i="19"/>
  <c r="AV157" i="19" s="1"/>
  <c r="AE157" i="19" s="1"/>
  <c r="AU36" i="19"/>
  <c r="AV36" i="19" s="1"/>
  <c r="AE36" i="19" s="1"/>
  <c r="AU180" i="19"/>
  <c r="AV180" i="19" s="1"/>
  <c r="AE180" i="19" s="1"/>
  <c r="AU461" i="19"/>
  <c r="AV461" i="19" s="1"/>
  <c r="AE461" i="19" s="1"/>
  <c r="AU58" i="19"/>
  <c r="AV58" i="19" s="1"/>
  <c r="AE58" i="19" s="1"/>
  <c r="AU150" i="19"/>
  <c r="AV150" i="19" s="1"/>
  <c r="AE150" i="19" s="1"/>
  <c r="AU269" i="19"/>
  <c r="AV269" i="19" s="1"/>
  <c r="AE269" i="19" s="1"/>
  <c r="AU202" i="19"/>
  <c r="AV202" i="19" s="1"/>
  <c r="AE202" i="19" s="1"/>
  <c r="AU247" i="19"/>
  <c r="AV247" i="19" s="1"/>
  <c r="AE247" i="19" s="1"/>
  <c r="AU74" i="19"/>
  <c r="AV74" i="19" s="1"/>
  <c r="AE74" i="19" s="1"/>
  <c r="AU130" i="19"/>
  <c r="AV130" i="19" s="1"/>
  <c r="AE130" i="19" s="1"/>
  <c r="AU208" i="19"/>
  <c r="AV208" i="19" s="1"/>
  <c r="AE208" i="19" s="1"/>
  <c r="AU478" i="19"/>
  <c r="AV478" i="19" s="1"/>
  <c r="AE478" i="19" s="1"/>
  <c r="AU217" i="19"/>
  <c r="AV217" i="19" s="1"/>
  <c r="AE217" i="19" s="1"/>
  <c r="AU244" i="19"/>
  <c r="AV244" i="19" s="1"/>
  <c r="AE244" i="19" s="1"/>
  <c r="AU378" i="19"/>
  <c r="AV378" i="19" s="1"/>
  <c r="AE378" i="19" s="1"/>
  <c r="AU252" i="19"/>
  <c r="AV252" i="19" s="1"/>
  <c r="AE252" i="19" s="1"/>
  <c r="AU382" i="19"/>
  <c r="AV382" i="19" s="1"/>
  <c r="AE382" i="19" s="1"/>
  <c r="AU324" i="19"/>
  <c r="AV324" i="19" s="1"/>
  <c r="AE324" i="19" s="1"/>
  <c r="AU439" i="19"/>
  <c r="AV439" i="19" s="1"/>
  <c r="AE439" i="19" s="1"/>
  <c r="AU347" i="19"/>
  <c r="AV347" i="19" s="1"/>
  <c r="AE347" i="19" s="1"/>
  <c r="AU431" i="19"/>
  <c r="AV431" i="19" s="1"/>
  <c r="AE431" i="19" s="1"/>
  <c r="AU274" i="19"/>
  <c r="AV274" i="19" s="1"/>
  <c r="AE274" i="19" s="1"/>
  <c r="AU484" i="19"/>
  <c r="AV484" i="19" s="1"/>
  <c r="AE484" i="19" s="1"/>
  <c r="AU420" i="19"/>
  <c r="AV420" i="19" s="1"/>
  <c r="AE420" i="19" s="1"/>
  <c r="AU357" i="19"/>
  <c r="AV357" i="19" s="1"/>
  <c r="AE357" i="19" s="1"/>
  <c r="AU641" i="19"/>
  <c r="AV641" i="19" s="1"/>
  <c r="AE641" i="19" s="1"/>
  <c r="AU618" i="19"/>
  <c r="AV618" i="19" s="1"/>
  <c r="AE618" i="19" s="1"/>
  <c r="AU540" i="19"/>
  <c r="AV540" i="19" s="1"/>
  <c r="AE540" i="19" s="1"/>
  <c r="AU567" i="19"/>
  <c r="AV567" i="19" s="1"/>
  <c r="AE567" i="19" s="1"/>
  <c r="AU617" i="19"/>
  <c r="AV617" i="19" s="1"/>
  <c r="AE617" i="19" s="1"/>
  <c r="AU575" i="19"/>
  <c r="AV575" i="19" s="1"/>
  <c r="AE575" i="19" s="1"/>
  <c r="AU662" i="19"/>
  <c r="AV662" i="19" s="1"/>
  <c r="AE662" i="19" s="1"/>
  <c r="AU721" i="19"/>
  <c r="AV721" i="19" s="1"/>
  <c r="AE721" i="19" s="1"/>
  <c r="AU796" i="19"/>
  <c r="AV796" i="19" s="1"/>
  <c r="AE796" i="19" s="1"/>
  <c r="AU803" i="19"/>
  <c r="AV803" i="19" s="1"/>
  <c r="AE803" i="19" s="1"/>
  <c r="AU95" i="19"/>
  <c r="AV95" i="19" s="1"/>
  <c r="AE95" i="19" s="1"/>
  <c r="AU172" i="19"/>
  <c r="AV172" i="19" s="1"/>
  <c r="AE172" i="19" s="1"/>
  <c r="AU147" i="19"/>
  <c r="AV147" i="19" s="1"/>
  <c r="AE147" i="19" s="1"/>
  <c r="AU52" i="19"/>
  <c r="AV52" i="19" s="1"/>
  <c r="AE52" i="19" s="1"/>
  <c r="AU316" i="19"/>
  <c r="AV316" i="19" s="1"/>
  <c r="AE316" i="19" s="1"/>
  <c r="AU162" i="19"/>
  <c r="AV162" i="19" s="1"/>
  <c r="AE162" i="19" s="1"/>
  <c r="AU184" i="19"/>
  <c r="AV184" i="19" s="1"/>
  <c r="AE184" i="19" s="1"/>
  <c r="AU68" i="19"/>
  <c r="AV68" i="19" s="1"/>
  <c r="AE68" i="19" s="1"/>
  <c r="AU155" i="19"/>
  <c r="AV155" i="19" s="1"/>
  <c r="AE155" i="19" s="1"/>
  <c r="AU25" i="19"/>
  <c r="AV25" i="19" s="1"/>
  <c r="AE25" i="19" s="1"/>
  <c r="AU32" i="19"/>
  <c r="AV32" i="19" s="1"/>
  <c r="AE32" i="19" s="1"/>
  <c r="AU265" i="19"/>
  <c r="AV265" i="19" s="1"/>
  <c r="AE265" i="19" s="1"/>
  <c r="AU72" i="19"/>
  <c r="AV72" i="19" s="1"/>
  <c r="AE72" i="19" s="1"/>
  <c r="AU158" i="19"/>
  <c r="AV158" i="19" s="1"/>
  <c r="AE158" i="19" s="1"/>
  <c r="AU288" i="19"/>
  <c r="AV288" i="19" s="1"/>
  <c r="AE288" i="19" s="1"/>
  <c r="AU235" i="19"/>
  <c r="AV235" i="19" s="1"/>
  <c r="AE235" i="19" s="1"/>
  <c r="AU332" i="19"/>
  <c r="AV332" i="19" s="1"/>
  <c r="AE332" i="19" s="1"/>
  <c r="AU229" i="19"/>
  <c r="AV229" i="19" s="1"/>
  <c r="AE229" i="19" s="1"/>
  <c r="AU84" i="19"/>
  <c r="AV84" i="19" s="1"/>
  <c r="AE84" i="19" s="1"/>
  <c r="AU140" i="19"/>
  <c r="AV140" i="19" s="1"/>
  <c r="AE140" i="19" s="1"/>
  <c r="AU220" i="19"/>
  <c r="AV220" i="19" s="1"/>
  <c r="AE220" i="19" s="1"/>
  <c r="AU275" i="19"/>
  <c r="AV275" i="19" s="1"/>
  <c r="AE275" i="19" s="1"/>
  <c r="AU290" i="19"/>
  <c r="AV290" i="19" s="1"/>
  <c r="AE290" i="19" s="1"/>
  <c r="AU264" i="19"/>
  <c r="AV264" i="19" s="1"/>
  <c r="AE264" i="19" s="1"/>
  <c r="AU503" i="19"/>
  <c r="AV503" i="19" s="1"/>
  <c r="AE503" i="19" s="1"/>
  <c r="AU507" i="19"/>
  <c r="AV507" i="19" s="1"/>
  <c r="AE507" i="19" s="1"/>
  <c r="AU362" i="19"/>
  <c r="AV362" i="19" s="1"/>
  <c r="AE362" i="19" s="1"/>
  <c r="AU593" i="19"/>
  <c r="AV593" i="19" s="1"/>
  <c r="AE593" i="19" s="1"/>
  <c r="AU499" i="19"/>
  <c r="AV499" i="19" s="1"/>
  <c r="AE499" i="19" s="1"/>
  <c r="AU433" i="19"/>
  <c r="AV433" i="19" s="1"/>
  <c r="AE433" i="19" s="1"/>
  <c r="AU506" i="19"/>
  <c r="AV506" i="19" s="1"/>
  <c r="AE506" i="19" s="1"/>
  <c r="AU397" i="19"/>
  <c r="AV397" i="19" s="1"/>
  <c r="AE397" i="19" s="1"/>
  <c r="AU49" i="19"/>
  <c r="AV49" i="19" s="1"/>
  <c r="AE49" i="19" s="1"/>
  <c r="AU85" i="19"/>
  <c r="AV85" i="19" s="1"/>
  <c r="AE85" i="19" s="1"/>
  <c r="AU28" i="19"/>
  <c r="AV28" i="19" s="1"/>
  <c r="AE28" i="19" s="1"/>
  <c r="AU62" i="19"/>
  <c r="AV62" i="19" s="1"/>
  <c r="AE62" i="19" s="1"/>
  <c r="AU167" i="19"/>
  <c r="AV167" i="19" s="1"/>
  <c r="AE167" i="19" s="1"/>
  <c r="AU35" i="19"/>
  <c r="AV35" i="19" s="1"/>
  <c r="AE35" i="19" s="1"/>
  <c r="AU222" i="19"/>
  <c r="AV222" i="19" s="1"/>
  <c r="AE222" i="19" s="1"/>
  <c r="AU81" i="19"/>
  <c r="AV81" i="19" s="1"/>
  <c r="AE81" i="19" s="1"/>
  <c r="AU449" i="19"/>
  <c r="AV449" i="19" s="1"/>
  <c r="AE449" i="19" s="1"/>
  <c r="AU232" i="19"/>
  <c r="AV232" i="19" s="1"/>
  <c r="AE232" i="19" s="1"/>
  <c r="AU294" i="19"/>
  <c r="AV294" i="19" s="1"/>
  <c r="AE294" i="19" s="1"/>
  <c r="AU249" i="19"/>
  <c r="AV249" i="19" s="1"/>
  <c r="AE249" i="19" s="1"/>
  <c r="AU164" i="19"/>
  <c r="AV164" i="19" s="1"/>
  <c r="AE164" i="19" s="1"/>
  <c r="AU76" i="19"/>
  <c r="AV76" i="19" s="1"/>
  <c r="AE76" i="19" s="1"/>
  <c r="AU37" i="19"/>
  <c r="AV37" i="19" s="1"/>
  <c r="AE37" i="19" s="1"/>
  <c r="AU133" i="19"/>
  <c r="AV133" i="19" s="1"/>
  <c r="AE133" i="19" s="1"/>
  <c r="AU118" i="19"/>
  <c r="AV118" i="19" s="1"/>
  <c r="AE118" i="19" s="1"/>
  <c r="AU295" i="19"/>
  <c r="AV295" i="19" s="1"/>
  <c r="AE295" i="19" s="1"/>
  <c r="AU401" i="19"/>
  <c r="AV401" i="19" s="1"/>
  <c r="AE401" i="19" s="1"/>
  <c r="AU86" i="19"/>
  <c r="AV86" i="19" s="1"/>
  <c r="AE86" i="19" s="1"/>
  <c r="AU166" i="19"/>
  <c r="AV166" i="19" s="1"/>
  <c r="AE166" i="19" s="1"/>
  <c r="AU253" i="19"/>
  <c r="AV253" i="19" s="1"/>
  <c r="AE253" i="19" s="1"/>
  <c r="AU243" i="19"/>
  <c r="AV243" i="19" s="1"/>
  <c r="AE243" i="19" s="1"/>
  <c r="AU490" i="19"/>
  <c r="AV490" i="19" s="1"/>
  <c r="AE490" i="19" s="1"/>
  <c r="AU93" i="19"/>
  <c r="AV93" i="19" s="1"/>
  <c r="AE93" i="19" s="1"/>
  <c r="AU148" i="19"/>
  <c r="AV148" i="19" s="1"/>
  <c r="AE148" i="19" s="1"/>
  <c r="AU266" i="19"/>
  <c r="AV266" i="19" s="1"/>
  <c r="AE266" i="19" s="1"/>
  <c r="AU325" i="19"/>
  <c r="AV325" i="19" s="1"/>
  <c r="AE325" i="19" s="1"/>
  <c r="AU497" i="19"/>
  <c r="AV497" i="19" s="1"/>
  <c r="AE497" i="19" s="1"/>
  <c r="AU407" i="19"/>
  <c r="AV407" i="19" s="1"/>
  <c r="AE407" i="19" s="1"/>
  <c r="AU339" i="19"/>
  <c r="AV339" i="19" s="1"/>
  <c r="AE339" i="19" s="1"/>
  <c r="AU159" i="19"/>
  <c r="AV159" i="19" s="1"/>
  <c r="AE159" i="19" s="1"/>
  <c r="AU169" i="19"/>
  <c r="AV169" i="19" s="1"/>
  <c r="AE169" i="19" s="1"/>
  <c r="AU31" i="19"/>
  <c r="AV31" i="19" s="1"/>
  <c r="AE31" i="19" s="1"/>
  <c r="AU46" i="19"/>
  <c r="AV46" i="19" s="1"/>
  <c r="AE46" i="19" s="1"/>
  <c r="AU91" i="19"/>
  <c r="AV91" i="19" s="1"/>
  <c r="AE91" i="19" s="1"/>
  <c r="AU71" i="19"/>
  <c r="AV71" i="19" s="1"/>
  <c r="AE71" i="19" s="1"/>
  <c r="AU178" i="19"/>
  <c r="AV178" i="19" s="1"/>
  <c r="AE178" i="19" s="1"/>
  <c r="AU458" i="19"/>
  <c r="AV458" i="19" s="1"/>
  <c r="AE458" i="19" s="1"/>
  <c r="AU260" i="19"/>
  <c r="AV260" i="19" s="1"/>
  <c r="AE260" i="19" s="1"/>
  <c r="AU100" i="19"/>
  <c r="AV100" i="19" s="1"/>
  <c r="AE100" i="19" s="1"/>
  <c r="AU278" i="19"/>
  <c r="AV278" i="19" s="1"/>
  <c r="AE278" i="19" s="1"/>
  <c r="AU98" i="19"/>
  <c r="AV98" i="19" s="1"/>
  <c r="AE98" i="19" s="1"/>
  <c r="AU152" i="19"/>
  <c r="AV152" i="19" s="1"/>
  <c r="AE152" i="19" s="1"/>
  <c r="AU233" i="19"/>
  <c r="AV233" i="19" s="1"/>
  <c r="AE233" i="19" s="1"/>
  <c r="AU282" i="19"/>
  <c r="AV282" i="19" s="1"/>
  <c r="AE282" i="19" s="1"/>
  <c r="AU330" i="19"/>
  <c r="AV330" i="19" s="1"/>
  <c r="AE330" i="19" s="1"/>
  <c r="AU416" i="19"/>
  <c r="AV416" i="19" s="1"/>
  <c r="AE416" i="19" s="1"/>
  <c r="AU279" i="19"/>
  <c r="AV279" i="19" s="1"/>
  <c r="AE279" i="19" s="1"/>
  <c r="AU335" i="19"/>
  <c r="AV335" i="19" s="1"/>
  <c r="AE335" i="19" s="1"/>
  <c r="AU398" i="19"/>
  <c r="AV398" i="19" s="1"/>
  <c r="AE398" i="19" s="1"/>
  <c r="AU452" i="19"/>
  <c r="AV452" i="19" s="1"/>
  <c r="AE452" i="19" s="1"/>
  <c r="AU351" i="19"/>
  <c r="AV351" i="19" s="1"/>
  <c r="AE351" i="19" s="1"/>
  <c r="AU508" i="19"/>
  <c r="AV508" i="19" s="1"/>
  <c r="AE508" i="19" s="1"/>
  <c r="AU422" i="19"/>
  <c r="AV422" i="19" s="1"/>
  <c r="AE422" i="19" s="1"/>
  <c r="AU435" i="19"/>
  <c r="AV435" i="19" s="1"/>
  <c r="AE435" i="19" s="1"/>
  <c r="AU588" i="19"/>
  <c r="AV588" i="19" s="1"/>
  <c r="AE588" i="19" s="1"/>
  <c r="AU530" i="19"/>
  <c r="AV530" i="19" s="1"/>
  <c r="AE530" i="19" s="1"/>
  <c r="AU47" i="19"/>
  <c r="AV47" i="19" s="1"/>
  <c r="AE47" i="19" s="1"/>
  <c r="AU53" i="19"/>
  <c r="AV53" i="19" s="1"/>
  <c r="AE53" i="19" s="1"/>
  <c r="AU51" i="19"/>
  <c r="AV51" i="19" s="1"/>
  <c r="AE51" i="19" s="1"/>
  <c r="AU301" i="19"/>
  <c r="AV301" i="19" s="1"/>
  <c r="AE301" i="19" s="1"/>
  <c r="AU151" i="19"/>
  <c r="AV151" i="19" s="1"/>
  <c r="AE151" i="19" s="1"/>
  <c r="AU108" i="19"/>
  <c r="AV108" i="19" s="1"/>
  <c r="AE108" i="19" s="1"/>
  <c r="AU355" i="19"/>
  <c r="AV355" i="19" s="1"/>
  <c r="AE355" i="19" s="1"/>
  <c r="AU165" i="19"/>
  <c r="AV165" i="19" s="1"/>
  <c r="AE165" i="19" s="1"/>
  <c r="AU102" i="19"/>
  <c r="AV102" i="19" s="1"/>
  <c r="AE102" i="19" s="1"/>
  <c r="AU160" i="19"/>
  <c r="AV160" i="19" s="1"/>
  <c r="AE160" i="19" s="1"/>
  <c r="AU337" i="19"/>
  <c r="AV337" i="19" s="1"/>
  <c r="AE337" i="19" s="1"/>
  <c r="AU334" i="19"/>
  <c r="AV334" i="19" s="1"/>
  <c r="AE334" i="19" s="1"/>
  <c r="AU341" i="19"/>
  <c r="AV341" i="19" s="1"/>
  <c r="AE341" i="19" s="1"/>
  <c r="AU454" i="19"/>
  <c r="AV454" i="19" s="1"/>
  <c r="AE454" i="19" s="1"/>
  <c r="AU239" i="19"/>
  <c r="AV239" i="19" s="1"/>
  <c r="AE239" i="19" s="1"/>
  <c r="AU487" i="19"/>
  <c r="AV487" i="19" s="1"/>
  <c r="AE487" i="19" s="1"/>
  <c r="AU358" i="19"/>
  <c r="AV358" i="19" s="1"/>
  <c r="AE358" i="19" s="1"/>
  <c r="AU444" i="19"/>
  <c r="AV444" i="19" s="1"/>
  <c r="AE444" i="19" s="1"/>
  <c r="AU538" i="19"/>
  <c r="AV538" i="19" s="1"/>
  <c r="AE538" i="19" s="1"/>
  <c r="AU456" i="19"/>
  <c r="AV456" i="19" s="1"/>
  <c r="AE456" i="19" s="1"/>
  <c r="AU406" i="19"/>
  <c r="AV406" i="19" s="1"/>
  <c r="AE406" i="19" s="1"/>
  <c r="AU574" i="19"/>
  <c r="AV574" i="19" s="1"/>
  <c r="AE574" i="19" s="1"/>
  <c r="AU632" i="19"/>
  <c r="AV632" i="19" s="1"/>
  <c r="AE632" i="19" s="1"/>
  <c r="AU511" i="19"/>
  <c r="AV511" i="19" s="1"/>
  <c r="AE511" i="19" s="1"/>
  <c r="AU553" i="19"/>
  <c r="AV553" i="19" s="1"/>
  <c r="AE553" i="19" s="1"/>
  <c r="AU634" i="19"/>
  <c r="AV634" i="19" s="1"/>
  <c r="AE634" i="19" s="1"/>
  <c r="AU577" i="19"/>
  <c r="AV577" i="19" s="1"/>
  <c r="AE577" i="19" s="1"/>
  <c r="AU557" i="19"/>
  <c r="AV557" i="19" s="1"/>
  <c r="AU743" i="19"/>
  <c r="AV743" i="19" s="1"/>
  <c r="AE743" i="19" s="1"/>
  <c r="AU700" i="19"/>
  <c r="AV700" i="19" s="1"/>
  <c r="AE700" i="19" s="1"/>
  <c r="AU758" i="19"/>
  <c r="AV758" i="19" s="1"/>
  <c r="AE758" i="19" s="1"/>
  <c r="AU645" i="19"/>
  <c r="AV645" i="19" s="1"/>
  <c r="AE645" i="19" s="1"/>
  <c r="AU34" i="19"/>
  <c r="AV34" i="19" s="1"/>
  <c r="AE34" i="19" s="1"/>
  <c r="AU111" i="19"/>
  <c r="AV111" i="19" s="1"/>
  <c r="AE111" i="19" s="1"/>
  <c r="AU104" i="19"/>
  <c r="AV104" i="19" s="1"/>
  <c r="AE104" i="19" s="1"/>
  <c r="AU119" i="19"/>
  <c r="AV119" i="19" s="1"/>
  <c r="AE119" i="19" s="1"/>
  <c r="AU38" i="19"/>
  <c r="AV38" i="19" s="1"/>
  <c r="AE38" i="19" s="1"/>
  <c r="AU154" i="19"/>
  <c r="AV154" i="19" s="1"/>
  <c r="AE154" i="19" s="1"/>
  <c r="AU188" i="19"/>
  <c r="AV188" i="19" s="1"/>
  <c r="AE188" i="19" s="1"/>
  <c r="AU201" i="19"/>
  <c r="AV201" i="19" s="1"/>
  <c r="AE201" i="19" s="1"/>
  <c r="AU144" i="19"/>
  <c r="AV144" i="19" s="1"/>
  <c r="AE144" i="19" s="1"/>
  <c r="AU421" i="19"/>
  <c r="AV421" i="19" s="1"/>
  <c r="AE421" i="19" s="1"/>
  <c r="AU542" i="19"/>
  <c r="AV542" i="19" s="1"/>
  <c r="AE542" i="19" s="1"/>
  <c r="AU515" i="19"/>
  <c r="AV515" i="19" s="1"/>
  <c r="AE515" i="19" s="1"/>
  <c r="AU776" i="19"/>
  <c r="AV776" i="19" s="1"/>
  <c r="AE776" i="19" s="1"/>
  <c r="AU680" i="19"/>
  <c r="AV680" i="19" s="1"/>
  <c r="AE680" i="19" s="1"/>
  <c r="AU733" i="19"/>
  <c r="AV733" i="19" s="1"/>
  <c r="AE733" i="19" s="1"/>
  <c r="AU798" i="19"/>
  <c r="AV798" i="19" s="1"/>
  <c r="AE798" i="19" s="1"/>
  <c r="AU827" i="19"/>
  <c r="AV827" i="19" s="1"/>
  <c r="AE827" i="19" s="1"/>
  <c r="AU784" i="19"/>
  <c r="AV784" i="19" s="1"/>
  <c r="AE784" i="19" s="1"/>
  <c r="AU842" i="19"/>
  <c r="AV842" i="19" s="1"/>
  <c r="AE842" i="19" s="1"/>
  <c r="AU806" i="19"/>
  <c r="AV806" i="19" s="1"/>
  <c r="AE806" i="19" s="1"/>
  <c r="AU783" i="19"/>
  <c r="AV783" i="19" s="1"/>
  <c r="AE783" i="19" s="1"/>
  <c r="AU834" i="19"/>
  <c r="AV834" i="19" s="1"/>
  <c r="AE834" i="19" s="1"/>
  <c r="AU854" i="19"/>
  <c r="AV854" i="19" s="1"/>
  <c r="AE854" i="19" s="1"/>
  <c r="AU926" i="19"/>
  <c r="AV926" i="19" s="1"/>
  <c r="AE926" i="19" s="1"/>
  <c r="AU889" i="19"/>
  <c r="AV889" i="19" s="1"/>
  <c r="AE889" i="19" s="1"/>
  <c r="AU927" i="19"/>
  <c r="AV927" i="19" s="1"/>
  <c r="AE927" i="19" s="1"/>
  <c r="AU219" i="19"/>
  <c r="AV219" i="19" s="1"/>
  <c r="AE219" i="19" s="1"/>
  <c r="AU174" i="19"/>
  <c r="AV174" i="19" s="1"/>
  <c r="AE174" i="19" s="1"/>
  <c r="AU368" i="19"/>
  <c r="AV368" i="19" s="1"/>
  <c r="AE368" i="19" s="1"/>
  <c r="AU626" i="19"/>
  <c r="AV626" i="19" s="1"/>
  <c r="AE626" i="19" s="1"/>
  <c r="AU629" i="19"/>
  <c r="AV629" i="19" s="1"/>
  <c r="AE629" i="19" s="1"/>
  <c r="AU775" i="19"/>
  <c r="AV775" i="19" s="1"/>
  <c r="AE775" i="19" s="1"/>
  <c r="AU789" i="19"/>
  <c r="AV789" i="19" s="1"/>
  <c r="AE789" i="19" s="1"/>
  <c r="AU786" i="19"/>
  <c r="AV786" i="19" s="1"/>
  <c r="AE786" i="19" s="1"/>
  <c r="AU821" i="19"/>
  <c r="AV821" i="19" s="1"/>
  <c r="AE821" i="19" s="1"/>
  <c r="AU904" i="19"/>
  <c r="AV904" i="19" s="1"/>
  <c r="AE904" i="19" s="1"/>
  <c r="AU944" i="19"/>
  <c r="AV944" i="19" s="1"/>
  <c r="AE944" i="19" s="1"/>
  <c r="AU946" i="19"/>
  <c r="AV946" i="19" s="1"/>
  <c r="AE946" i="19" s="1"/>
  <c r="AU861" i="19"/>
  <c r="AV861" i="19" s="1"/>
  <c r="AE861" i="19" s="1"/>
  <c r="AU936" i="19"/>
  <c r="AV936" i="19" s="1"/>
  <c r="AE936" i="19" s="1"/>
  <c r="AU948" i="19"/>
  <c r="AV948" i="19" s="1"/>
  <c r="AE948" i="19" s="1"/>
  <c r="AU224" i="19"/>
  <c r="AV224" i="19" s="1"/>
  <c r="AE224" i="19" s="1"/>
  <c r="AU356" i="19"/>
  <c r="AV356" i="19" s="1"/>
  <c r="AE356" i="19" s="1"/>
  <c r="AU319" i="19"/>
  <c r="AV319" i="19" s="1"/>
  <c r="AE319" i="19" s="1"/>
  <c r="AU384" i="19"/>
  <c r="AV384" i="19" s="1"/>
  <c r="AE384" i="19" s="1"/>
  <c r="AU268" i="19"/>
  <c r="AV268" i="19" s="1"/>
  <c r="AE268" i="19" s="1"/>
  <c r="AU410" i="19"/>
  <c r="AV410" i="19" s="1"/>
  <c r="AE410" i="19" s="1"/>
  <c r="AU374" i="19"/>
  <c r="AV374" i="19" s="1"/>
  <c r="AE374" i="19" s="1"/>
  <c r="AU462" i="19"/>
  <c r="AV462" i="19" s="1"/>
  <c r="AE462" i="19" s="1"/>
  <c r="AU519" i="19"/>
  <c r="AV519" i="19" s="1"/>
  <c r="AE519" i="19" s="1"/>
  <c r="AU640" i="19"/>
  <c r="AV640" i="19" s="1"/>
  <c r="AE640" i="19" s="1"/>
  <c r="AU774" i="19"/>
  <c r="AV774" i="19" s="1"/>
  <c r="AE774" i="19" s="1"/>
  <c r="AU764" i="19"/>
  <c r="AV764" i="19" s="1"/>
  <c r="AE764" i="19" s="1"/>
  <c r="AU844" i="19"/>
  <c r="AV844" i="19" s="1"/>
  <c r="AE844" i="19" s="1"/>
  <c r="AU853" i="19"/>
  <c r="AV853" i="19" s="1"/>
  <c r="AE853" i="19" s="1"/>
  <c r="AU825" i="19"/>
  <c r="AV825" i="19" s="1"/>
  <c r="AE825" i="19" s="1"/>
  <c r="AU828" i="19"/>
  <c r="AV828" i="19" s="1"/>
  <c r="AE828" i="19" s="1"/>
  <c r="AU830" i="19"/>
  <c r="AV830" i="19" s="1"/>
  <c r="AE830" i="19" s="1"/>
  <c r="AU846" i="19"/>
  <c r="AV846" i="19" s="1"/>
  <c r="AE846" i="19" s="1"/>
  <c r="AU863" i="19"/>
  <c r="AV863" i="19" s="1"/>
  <c r="AE863" i="19" s="1"/>
  <c r="AU955" i="19"/>
  <c r="AV955" i="19" s="1"/>
  <c r="AE955" i="19" s="1"/>
  <c r="AU980" i="19"/>
  <c r="AV980" i="19" s="1"/>
  <c r="AE980" i="19" s="1"/>
  <c r="AU959" i="19"/>
  <c r="AV959" i="19" s="1"/>
  <c r="AE959" i="19" s="1"/>
  <c r="AU893" i="19"/>
  <c r="AV893" i="19" s="1"/>
  <c r="AE893" i="19" s="1"/>
  <c r="AU954" i="19"/>
  <c r="AV954" i="19" s="1"/>
  <c r="AE954" i="19" s="1"/>
  <c r="AU271" i="19"/>
  <c r="AV271" i="19" s="1"/>
  <c r="AE271" i="19" s="1"/>
  <c r="AU245" i="19"/>
  <c r="AV245" i="19" s="1"/>
  <c r="AE245" i="19" s="1"/>
  <c r="AU409" i="19"/>
  <c r="AV409" i="19" s="1"/>
  <c r="AE409" i="19" s="1"/>
  <c r="AU255" i="19"/>
  <c r="AV255" i="19" s="1"/>
  <c r="AE255" i="19" s="1"/>
  <c r="AU350" i="19"/>
  <c r="AV350" i="19" s="1"/>
  <c r="AE350" i="19" s="1"/>
  <c r="AU404" i="19"/>
  <c r="AV404" i="19" s="1"/>
  <c r="AE404" i="19" s="1"/>
  <c r="AU596" i="19"/>
  <c r="AV596" i="19" s="1"/>
  <c r="AE596" i="19" s="1"/>
  <c r="AU602" i="19"/>
  <c r="AV602" i="19" s="1"/>
  <c r="AE602" i="19" s="1"/>
  <c r="AU560" i="19"/>
  <c r="AV560" i="19" s="1"/>
  <c r="AE560" i="19" s="1"/>
  <c r="AU621" i="19"/>
  <c r="AV621" i="19" s="1"/>
  <c r="AE621" i="19" s="1"/>
  <c r="AU614" i="19"/>
  <c r="AV614" i="19" s="1"/>
  <c r="AE614" i="19" s="1"/>
  <c r="AU778" i="19"/>
  <c r="AV778" i="19" s="1"/>
  <c r="AE778" i="19" s="1"/>
  <c r="AU773" i="19"/>
  <c r="AV773" i="19" s="1"/>
  <c r="AE773" i="19" s="1"/>
  <c r="AU814" i="19"/>
  <c r="AV814" i="19" s="1"/>
  <c r="AE814" i="19" s="1"/>
  <c r="AU833" i="19"/>
  <c r="AV833" i="19" s="1"/>
  <c r="AE833" i="19" s="1"/>
  <c r="AU818" i="19"/>
  <c r="AV818" i="19" s="1"/>
  <c r="AE818" i="19" s="1"/>
  <c r="AU808" i="19"/>
  <c r="AV808" i="19" s="1"/>
  <c r="AE808" i="19" s="1"/>
  <c r="AU837" i="19"/>
  <c r="AV837" i="19" s="1"/>
  <c r="AE837" i="19" s="1"/>
  <c r="AU856" i="19"/>
  <c r="AV856" i="19" s="1"/>
  <c r="AE856" i="19" s="1"/>
  <c r="AU809" i="19"/>
  <c r="AV809" i="19" s="1"/>
  <c r="AE809" i="19" s="1"/>
  <c r="AU884" i="19"/>
  <c r="AV884" i="19" s="1"/>
  <c r="AE884" i="19" s="1"/>
  <c r="AU960" i="19"/>
  <c r="AV960" i="19" s="1"/>
  <c r="AE960" i="19" s="1"/>
  <c r="AU307" i="19"/>
  <c r="AV307" i="19" s="1"/>
  <c r="AE307" i="19" s="1"/>
  <c r="AU189" i="19"/>
  <c r="AV189" i="19" s="1"/>
  <c r="AE189" i="19" s="1"/>
  <c r="AU327" i="19"/>
  <c r="AV327" i="19" s="1"/>
  <c r="AE327" i="19" s="1"/>
  <c r="AU388" i="19"/>
  <c r="AV388" i="19" s="1"/>
  <c r="AE388" i="19" s="1"/>
  <c r="AU719" i="19"/>
  <c r="AV719" i="19" s="1"/>
  <c r="AE719" i="19" s="1"/>
  <c r="AU693" i="19"/>
  <c r="AV693" i="19" s="1"/>
  <c r="AE693" i="19" s="1"/>
  <c r="AU709" i="19"/>
  <c r="AV709" i="19" s="1"/>
  <c r="AE709" i="19" s="1"/>
  <c r="AU899" i="19"/>
  <c r="AV899" i="19" s="1"/>
  <c r="AE899" i="19" s="1"/>
  <c r="AU855" i="19"/>
  <c r="AV855" i="19" s="1"/>
  <c r="AE855" i="19" s="1"/>
  <c r="AU848" i="19"/>
  <c r="AV848" i="19" s="1"/>
  <c r="AE848" i="19" s="1"/>
  <c r="AU909" i="19"/>
  <c r="AV909" i="19" s="1"/>
  <c r="AE909" i="19" s="1"/>
  <c r="AU872" i="19"/>
  <c r="AV872" i="19" s="1"/>
  <c r="AE872" i="19" s="1"/>
  <c r="AU879" i="19"/>
  <c r="AV879" i="19" s="1"/>
  <c r="AE879" i="19" s="1"/>
  <c r="AU906" i="19"/>
  <c r="AV906" i="19" s="1"/>
  <c r="AE906" i="19" s="1"/>
  <c r="AU966" i="19"/>
  <c r="AV966" i="19" s="1"/>
  <c r="AE966" i="19" s="1"/>
  <c r="AU225" i="19"/>
  <c r="AV225" i="19" s="1"/>
  <c r="AE225" i="19" s="1"/>
  <c r="AU432" i="19"/>
  <c r="AV432" i="19" s="1"/>
  <c r="AE432" i="19" s="1"/>
  <c r="AU469" i="19"/>
  <c r="AV469" i="19" s="1"/>
  <c r="AE469" i="19" s="1"/>
  <c r="AU642" i="19"/>
  <c r="AV642" i="19" s="1"/>
  <c r="AE642" i="19" s="1"/>
  <c r="AU611" i="19"/>
  <c r="AV611" i="19" s="1"/>
  <c r="AE611" i="19" s="1"/>
  <c r="AU722" i="19"/>
  <c r="AV722" i="19" s="1"/>
  <c r="AE722" i="19" s="1"/>
  <c r="AU781" i="19"/>
  <c r="AV781" i="19" s="1"/>
  <c r="AE781" i="19" s="1"/>
  <c r="AU717" i="19"/>
  <c r="AV717" i="19" s="1"/>
  <c r="AE717" i="19" s="1"/>
  <c r="AU741" i="19"/>
  <c r="AV741" i="19" s="1"/>
  <c r="AE741" i="19" s="1"/>
  <c r="AU697" i="19"/>
  <c r="AV697" i="19" s="1"/>
  <c r="AE697" i="19" s="1"/>
  <c r="AU836" i="19"/>
  <c r="AV836" i="19" s="1"/>
  <c r="AE836" i="19" s="1"/>
  <c r="AU788" i="19"/>
  <c r="AV788" i="19" s="1"/>
  <c r="AE788" i="19" s="1"/>
  <c r="AU797" i="19"/>
  <c r="AV797" i="19" s="1"/>
  <c r="AE797" i="19" s="1"/>
  <c r="AU801" i="19"/>
  <c r="AV801" i="19" s="1"/>
  <c r="AE801" i="19" s="1"/>
  <c r="AU971" i="19"/>
  <c r="AV971" i="19" s="1"/>
  <c r="AE971" i="19" s="1"/>
  <c r="AU941" i="19"/>
  <c r="AV941" i="19" s="1"/>
  <c r="AE941" i="19" s="1"/>
  <c r="AU951" i="19"/>
  <c r="AV951" i="19" s="1"/>
  <c r="AE951" i="19" s="1"/>
  <c r="AU877" i="19"/>
  <c r="AV877" i="19" s="1"/>
  <c r="AE877" i="19" s="1"/>
  <c r="AU963" i="19"/>
  <c r="AV963" i="19" s="1"/>
  <c r="AE963" i="19" s="1"/>
  <c r="AU912" i="19"/>
  <c r="AV912" i="19" s="1"/>
  <c r="AE912" i="19" s="1"/>
  <c r="AU978" i="19"/>
  <c r="AV978" i="19" s="1"/>
  <c r="AE978" i="19" s="1"/>
  <c r="AU949" i="19"/>
  <c r="AV949" i="19" s="1"/>
  <c r="AE949" i="19" s="1"/>
  <c r="AU974" i="19"/>
  <c r="AV974" i="19" s="1"/>
  <c r="AE974" i="19" s="1"/>
  <c r="AU317" i="19"/>
  <c r="AV317" i="19" s="1"/>
  <c r="AE317" i="19" s="1"/>
  <c r="AU66" i="19"/>
  <c r="AV66" i="19" s="1"/>
  <c r="AE66" i="19" s="1"/>
  <c r="AU336" i="19"/>
  <c r="AV336" i="19" s="1"/>
  <c r="AE336" i="19" s="1"/>
  <c r="AU480" i="19"/>
  <c r="AV480" i="19" s="1"/>
  <c r="AE480" i="19" s="1"/>
  <c r="AU365" i="19"/>
  <c r="AV365" i="19" s="1"/>
  <c r="AE365" i="19" s="1"/>
  <c r="AU380" i="19"/>
  <c r="AV380" i="19" s="1"/>
  <c r="AE380" i="19" s="1"/>
  <c r="AU578" i="19"/>
  <c r="AV578" i="19" s="1"/>
  <c r="AE578" i="19" s="1"/>
  <c r="AU638" i="19"/>
  <c r="AV638" i="19" s="1"/>
  <c r="AE638" i="19" s="1"/>
  <c r="AU766" i="19"/>
  <c r="AV766" i="19" s="1"/>
  <c r="AE766" i="19" s="1"/>
  <c r="AU608" i="19"/>
  <c r="AV608" i="19" s="1"/>
  <c r="AE608" i="19" s="1"/>
  <c r="AU807" i="19"/>
  <c r="AV807" i="19" s="1"/>
  <c r="AE807" i="19" s="1"/>
  <c r="AU950" i="19"/>
  <c r="AV950" i="19" s="1"/>
  <c r="AE950" i="19" s="1"/>
  <c r="AU847" i="19"/>
  <c r="AV847" i="19" s="1"/>
  <c r="AE847" i="19" s="1"/>
  <c r="AU857" i="19"/>
  <c r="AV857" i="19" s="1"/>
  <c r="AE857" i="19" s="1"/>
  <c r="AU799" i="19"/>
  <c r="AV799" i="19" s="1"/>
  <c r="AE799" i="19" s="1"/>
  <c r="AU839" i="19"/>
  <c r="AV839" i="19" s="1"/>
  <c r="AE839" i="19" s="1"/>
  <c r="AU858" i="19"/>
  <c r="AV858" i="19" s="1"/>
  <c r="AE858" i="19" s="1"/>
  <c r="AU880" i="19"/>
  <c r="AV880" i="19" s="1"/>
  <c r="AE880" i="19" s="1"/>
  <c r="AU931" i="19"/>
  <c r="AV931" i="19" s="1"/>
  <c r="AE931" i="19" s="1"/>
  <c r="AU969" i="19"/>
  <c r="AV969" i="19" s="1"/>
  <c r="AE969" i="19" s="1"/>
  <c r="AU982" i="19"/>
  <c r="AV982" i="19" s="1"/>
  <c r="AE982" i="19" s="1"/>
  <c r="AU890" i="19"/>
  <c r="AV890" i="19" s="1"/>
  <c r="AE890" i="19" s="1"/>
  <c r="AU932" i="19"/>
  <c r="AV932" i="19" s="1"/>
  <c r="AE932" i="19" s="1"/>
  <c r="AU981" i="19"/>
  <c r="AV981" i="19" s="1"/>
  <c r="AE981" i="19" s="1"/>
  <c r="AU209" i="19"/>
  <c r="AV209" i="19" s="1"/>
  <c r="AE209" i="19" s="1"/>
  <c r="AU488" i="19"/>
  <c r="AV488" i="19" s="1"/>
  <c r="AE488" i="19" s="1"/>
  <c r="AU79" i="19"/>
  <c r="AV79" i="19" s="1"/>
  <c r="AE79" i="19" s="1"/>
  <c r="AU591" i="19"/>
  <c r="AV591" i="19" s="1"/>
  <c r="AE591" i="19" s="1"/>
  <c r="AU372" i="19"/>
  <c r="AV372" i="19" s="1"/>
  <c r="AE372" i="19" s="1"/>
  <c r="AU447" i="19"/>
  <c r="AV447" i="19" s="1"/>
  <c r="AE447" i="19" s="1"/>
  <c r="AU472" i="19"/>
  <c r="AV472" i="19" s="1"/>
  <c r="AE472" i="19" s="1"/>
  <c r="AU647" i="19"/>
  <c r="AV647" i="19" s="1"/>
  <c r="AE647" i="19" s="1"/>
  <c r="AU704" i="19"/>
  <c r="AV704" i="19" s="1"/>
  <c r="AE704" i="19" s="1"/>
  <c r="AU615" i="19"/>
  <c r="AV615" i="19" s="1"/>
  <c r="AE615" i="19" s="1"/>
  <c r="AU831" i="19"/>
  <c r="AV831" i="19" s="1"/>
  <c r="AE831" i="19" s="1"/>
  <c r="AU838" i="19"/>
  <c r="AV838" i="19" s="1"/>
  <c r="AE838" i="19" s="1"/>
  <c r="AU795" i="19"/>
  <c r="AV795" i="19" s="1"/>
  <c r="AE795" i="19" s="1"/>
  <c r="AU850" i="19"/>
  <c r="AV850" i="19" s="1"/>
  <c r="AE850" i="19" s="1"/>
  <c r="AU892" i="19"/>
  <c r="AV892" i="19" s="1"/>
  <c r="AE892" i="19" s="1"/>
  <c r="AU920" i="19"/>
  <c r="AV920" i="19" s="1"/>
  <c r="AE920" i="19" s="1"/>
  <c r="AU965" i="19"/>
  <c r="AV965" i="19" s="1"/>
  <c r="AE965" i="19" s="1"/>
  <c r="AU911" i="19"/>
  <c r="AV911" i="19" s="1"/>
  <c r="AE911" i="19" s="1"/>
  <c r="AU903" i="19"/>
  <c r="AV903" i="19" s="1"/>
  <c r="AE903" i="19" s="1"/>
  <c r="AU322" i="19"/>
  <c r="AV322" i="19" s="1"/>
  <c r="AE322" i="19" s="1"/>
  <c r="AU88" i="19"/>
  <c r="AV88" i="19" s="1"/>
  <c r="AE88" i="19" s="1"/>
  <c r="AU270" i="19"/>
  <c r="AV270" i="19" s="1"/>
  <c r="AE270" i="19" s="1"/>
  <c r="AU256" i="19"/>
  <c r="AV256" i="19" s="1"/>
  <c r="AE256" i="19" s="1"/>
  <c r="AU300" i="19"/>
  <c r="AV300" i="19" s="1"/>
  <c r="AE300" i="19" s="1"/>
  <c r="AU411" i="19"/>
  <c r="AV411" i="19" s="1"/>
  <c r="AE411" i="19" s="1"/>
  <c r="AU424" i="19"/>
  <c r="AV424" i="19" s="1"/>
  <c r="AE424" i="19" s="1"/>
  <c r="AU440" i="19"/>
  <c r="AV440" i="19" s="1"/>
  <c r="AE440" i="19" s="1"/>
  <c r="AU495" i="19"/>
  <c r="AV495" i="19" s="1"/>
  <c r="AE495" i="19" s="1"/>
  <c r="AU564" i="19"/>
  <c r="AV564" i="19" s="1"/>
  <c r="AE564" i="19" s="1"/>
  <c r="AU486" i="19"/>
  <c r="AV486" i="19" s="1"/>
  <c r="AE486" i="19" s="1"/>
  <c r="AU430" i="19"/>
  <c r="AV430" i="19" s="1"/>
  <c r="AE430" i="19" s="1"/>
  <c r="AU599" i="19"/>
  <c r="AV599" i="19" s="1"/>
  <c r="AE599" i="19" s="1"/>
  <c r="AU570" i="19"/>
  <c r="AV570" i="19" s="1"/>
  <c r="AE570" i="19" s="1"/>
  <c r="AU770" i="19"/>
  <c r="AV770" i="19" s="1"/>
  <c r="AE770" i="19" s="1"/>
  <c r="AU731" i="19"/>
  <c r="AV731" i="19" s="1"/>
  <c r="AE731" i="19" s="1"/>
  <c r="AU622" i="19"/>
  <c r="AV622" i="19" s="1"/>
  <c r="AE622" i="19" s="1"/>
  <c r="AU924" i="19"/>
  <c r="AV924" i="19" s="1"/>
  <c r="AE924" i="19" s="1"/>
  <c r="AU849" i="19"/>
  <c r="AV849" i="19" s="1"/>
  <c r="AE849" i="19" s="1"/>
  <c r="AU891" i="19"/>
  <c r="AV891" i="19" s="1"/>
  <c r="AE891" i="19" s="1"/>
  <c r="AU925" i="19"/>
  <c r="AV925" i="19" s="1"/>
  <c r="AE925" i="19" s="1"/>
  <c r="AU841" i="19"/>
  <c r="AV841" i="19" s="1"/>
  <c r="AE841" i="19" s="1"/>
  <c r="AU860" i="19"/>
  <c r="AV860" i="19" s="1"/>
  <c r="AE860" i="19" s="1"/>
  <c r="AU934" i="19"/>
  <c r="AV934" i="19" s="1"/>
  <c r="AE934" i="19" s="1"/>
  <c r="AU923" i="19"/>
  <c r="AV923" i="19" s="1"/>
  <c r="AE923" i="19" s="1"/>
  <c r="AU897" i="19"/>
  <c r="AV897" i="19" s="1"/>
  <c r="AE897" i="19" s="1"/>
  <c r="AU962" i="19"/>
  <c r="AV962" i="19" s="1"/>
  <c r="AE962" i="19" s="1"/>
  <c r="AU187" i="19"/>
  <c r="AV187" i="19" s="1"/>
  <c r="AE187" i="19" s="1"/>
  <c r="AU106" i="19"/>
  <c r="AV106" i="19" s="1"/>
  <c r="AE106" i="19" s="1"/>
  <c r="AU475" i="19"/>
  <c r="AV475" i="19" s="1"/>
  <c r="AE475" i="19" s="1"/>
  <c r="AU291" i="19"/>
  <c r="AV291" i="19" s="1"/>
  <c r="AE291" i="19" s="1"/>
  <c r="AU283" i="19"/>
  <c r="AV283" i="19" s="1"/>
  <c r="AE283" i="19" s="1"/>
  <c r="AU498" i="19"/>
  <c r="AV498" i="19" s="1"/>
  <c r="AE498" i="19" s="1"/>
  <c r="AU418" i="19"/>
  <c r="AV418" i="19" s="1"/>
  <c r="AE418" i="19" s="1"/>
  <c r="AU531" i="19"/>
  <c r="AV531" i="19" s="1"/>
  <c r="AE531" i="19" s="1"/>
  <c r="AU558" i="19"/>
  <c r="AV558" i="19" s="1"/>
  <c r="AE558" i="19" s="1"/>
  <c r="AU466" i="19"/>
  <c r="AV466" i="19" s="1"/>
  <c r="AE466" i="19" s="1"/>
  <c r="AU652" i="19"/>
  <c r="AV652" i="19" s="1"/>
  <c r="AE652" i="19" s="1"/>
  <c r="AU753" i="19"/>
  <c r="AV753" i="19" s="1"/>
  <c r="AE753" i="19" s="1"/>
  <c r="AU630" i="19"/>
  <c r="AV630" i="19" s="1"/>
  <c r="AE630" i="19" s="1"/>
  <c r="AU820" i="19"/>
  <c r="AV820" i="19" s="1"/>
  <c r="AE820" i="19" s="1"/>
  <c r="AU968" i="19"/>
  <c r="AV968" i="19" s="1"/>
  <c r="AE968" i="19" s="1"/>
  <c r="AU804" i="19"/>
  <c r="AV804" i="19" s="1"/>
  <c r="AE804" i="19" s="1"/>
  <c r="AU792" i="19"/>
  <c r="AV792" i="19" s="1"/>
  <c r="AE792" i="19" s="1"/>
  <c r="AU812" i="19"/>
  <c r="AV812" i="19" s="1"/>
  <c r="AE812" i="19" s="1"/>
  <c r="AU972" i="19"/>
  <c r="AV972" i="19" s="1"/>
  <c r="AE972" i="19" s="1"/>
  <c r="AU945" i="19"/>
  <c r="AV945" i="19" s="1"/>
  <c r="AE945" i="19" s="1"/>
  <c r="AU901" i="19"/>
  <c r="AV901" i="19" s="1"/>
  <c r="AE901" i="19" s="1"/>
  <c r="AU113" i="19"/>
  <c r="AV113" i="19" s="1"/>
  <c r="AE113" i="19" s="1"/>
  <c r="AU120" i="19"/>
  <c r="AV120" i="19" s="1"/>
  <c r="AE120" i="19" s="1"/>
  <c r="AU277" i="19"/>
  <c r="AV277" i="19" s="1"/>
  <c r="AE277" i="19" s="1"/>
  <c r="AU399" i="19"/>
  <c r="AV399" i="19" s="1"/>
  <c r="AE399" i="19" s="1"/>
  <c r="AU286" i="19"/>
  <c r="AV286" i="19" s="1"/>
  <c r="AE286" i="19" s="1"/>
  <c r="AU481" i="19"/>
  <c r="AV481" i="19" s="1"/>
  <c r="AE481" i="19" s="1"/>
  <c r="AU534" i="19"/>
  <c r="AV534" i="19" s="1"/>
  <c r="AE534" i="19" s="1"/>
  <c r="AU500" i="19"/>
  <c r="AV500" i="19" s="1"/>
  <c r="AE500" i="19" s="1"/>
  <c r="AU584" i="19"/>
  <c r="AV584" i="19" s="1"/>
  <c r="AE584" i="19" s="1"/>
  <c r="AU606" i="19"/>
  <c r="AV606" i="19" s="1"/>
  <c r="AE606" i="19" s="1"/>
  <c r="AU737" i="19"/>
  <c r="AV737" i="19" s="1"/>
  <c r="AE737" i="19" s="1"/>
  <c r="AU685" i="19"/>
  <c r="AV685" i="19" s="1"/>
  <c r="AE685" i="19" s="1"/>
  <c r="AU767" i="19"/>
  <c r="AV767" i="19" s="1"/>
  <c r="AE767" i="19" s="1"/>
  <c r="AU639" i="19"/>
  <c r="AV639" i="19" s="1"/>
  <c r="AE639" i="19" s="1"/>
  <c r="AU724" i="19"/>
  <c r="AV724" i="19" s="1"/>
  <c r="AE724" i="19" s="1"/>
  <c r="AU840" i="19"/>
  <c r="AV840" i="19" s="1"/>
  <c r="AE840" i="19" s="1"/>
  <c r="AU851" i="19"/>
  <c r="AV851" i="19" s="1"/>
  <c r="AE851" i="19" s="1"/>
  <c r="AU859" i="19"/>
  <c r="AV859" i="19" s="1"/>
  <c r="AE859" i="19" s="1"/>
  <c r="AU852" i="19"/>
  <c r="AV852" i="19" s="1"/>
  <c r="AE852" i="19" s="1"/>
  <c r="AU953" i="19"/>
  <c r="AV953" i="19" s="1"/>
  <c r="AE953" i="19" s="1"/>
  <c r="AU933" i="19"/>
  <c r="AV933" i="19" s="1"/>
  <c r="AE933" i="19" s="1"/>
  <c r="AU918" i="19"/>
  <c r="AV918" i="19" s="1"/>
  <c r="AE918" i="19" s="1"/>
  <c r="AU137" i="19"/>
  <c r="AV137" i="19" s="1"/>
  <c r="AE137" i="19" s="1"/>
  <c r="AU195" i="19"/>
  <c r="AV195" i="19" s="1"/>
  <c r="AE195" i="19" s="1"/>
  <c r="AU199" i="19"/>
  <c r="AV199" i="19" s="1"/>
  <c r="AE199" i="19" s="1"/>
  <c r="AU134" i="19"/>
  <c r="AV134" i="19" s="1"/>
  <c r="AE134" i="19" s="1"/>
  <c r="AU393" i="19"/>
  <c r="AV393" i="19" s="1"/>
  <c r="AE393" i="19" s="1"/>
  <c r="AU326" i="19"/>
  <c r="AV326" i="19" s="1"/>
  <c r="AE326" i="19" s="1"/>
  <c r="AU501" i="19"/>
  <c r="AV501" i="19" s="1"/>
  <c r="AE501" i="19" s="1"/>
  <c r="AU446" i="19"/>
  <c r="AV446" i="19" s="1"/>
  <c r="AE446" i="19" s="1"/>
  <c r="AU504" i="19"/>
  <c r="AV504" i="19" s="1"/>
  <c r="AE504" i="19" s="1"/>
  <c r="AU569" i="19"/>
  <c r="AV569" i="19" s="1"/>
  <c r="AE569" i="19" s="1"/>
  <c r="AU747" i="19"/>
  <c r="AV747" i="19" s="1"/>
  <c r="AE747" i="19" s="1"/>
  <c r="AU688" i="19"/>
  <c r="AV688" i="19" s="1"/>
  <c r="AE688" i="19" s="1"/>
  <c r="AU772" i="19"/>
  <c r="AV772" i="19" s="1"/>
  <c r="AE772" i="19" s="1"/>
  <c r="AU761" i="19"/>
  <c r="AV761" i="19" s="1"/>
  <c r="AE761" i="19" s="1"/>
  <c r="AU660" i="19"/>
  <c r="AV660" i="19" s="1"/>
  <c r="AE660" i="19" s="1"/>
  <c r="AU823" i="19"/>
  <c r="AV823" i="19" s="1"/>
  <c r="AE823" i="19" s="1"/>
  <c r="AU793" i="19"/>
  <c r="AV793" i="19" s="1"/>
  <c r="AE793" i="19" s="1"/>
  <c r="AU802" i="19"/>
  <c r="AV802" i="19" s="1"/>
  <c r="AE802" i="19" s="1"/>
  <c r="AU938" i="19"/>
  <c r="AV938" i="19" s="1"/>
  <c r="AE938" i="19" s="1"/>
  <c r="AU794" i="19"/>
  <c r="AV794" i="19" s="1"/>
  <c r="AE794" i="19" s="1"/>
  <c r="AU816" i="19"/>
  <c r="AV816" i="19" s="1"/>
  <c r="AE816" i="19" s="1"/>
  <c r="AU843" i="19"/>
  <c r="AV843" i="19" s="1"/>
  <c r="AE843" i="19" s="1"/>
  <c r="AU868" i="19"/>
  <c r="AV868" i="19" s="1"/>
  <c r="AE868" i="19" s="1"/>
  <c r="AU975" i="19"/>
  <c r="AV975" i="19" s="1"/>
  <c r="AE975" i="19" s="1"/>
  <c r="AU939" i="19"/>
  <c r="AV939" i="19" s="1"/>
  <c r="AE939" i="19" s="1"/>
  <c r="AU922" i="19"/>
  <c r="AV922" i="19" s="1"/>
  <c r="AE922" i="19" s="1"/>
  <c r="AU961" i="19"/>
  <c r="AV961" i="19" s="1"/>
  <c r="AE961" i="19" s="1"/>
  <c r="AU297" i="19"/>
  <c r="AV297" i="19" s="1"/>
  <c r="AE867" i="19"/>
  <c r="AU434" i="19"/>
  <c r="AV434" i="19" s="1"/>
  <c r="AU551" i="19"/>
  <c r="AV551" i="19" s="1"/>
  <c r="AU254" i="19"/>
  <c r="AV254" i="19" s="1"/>
  <c r="AU377" i="19"/>
  <c r="AV377" i="19" s="1"/>
  <c r="AU661" i="19"/>
  <c r="AV661" i="19" s="1"/>
  <c r="AU832" i="19"/>
  <c r="AV832" i="19" s="1"/>
  <c r="AU710" i="19"/>
  <c r="AV710" i="19" s="1"/>
  <c r="AU882" i="19"/>
  <c r="AV882" i="19" s="1"/>
  <c r="AU194" i="19"/>
  <c r="AV194" i="19" s="1"/>
  <c r="AU92" i="19"/>
  <c r="AV92" i="19" s="1"/>
  <c r="AU138" i="19"/>
  <c r="AV138" i="19" s="1"/>
  <c r="AU800" i="19"/>
  <c r="AV800" i="19" s="1"/>
  <c r="AU482" i="19"/>
  <c r="AV482" i="19" s="1"/>
  <c r="AU723" i="19"/>
  <c r="AV723" i="19" s="1"/>
  <c r="AU441" i="19"/>
  <c r="AV441" i="19" s="1"/>
  <c r="AU117" i="19"/>
  <c r="AV117" i="19" s="1"/>
  <c r="AU713" i="19"/>
  <c r="AV713" i="19" s="1"/>
  <c r="AU787" i="19"/>
  <c r="AV787" i="19" s="1"/>
  <c r="AU705" i="19"/>
  <c r="AV705" i="19" s="1"/>
  <c r="AU428" i="19"/>
  <c r="AV428" i="19" s="1"/>
  <c r="AU568" i="19"/>
  <c r="AV568" i="19" s="1"/>
  <c r="AU765" i="19"/>
  <c r="AV765" i="19" s="1"/>
  <c r="AU450" i="19"/>
  <c r="AV450" i="19" s="1"/>
  <c r="AU754" i="19"/>
  <c r="AV754" i="19" s="1"/>
  <c r="AU586" i="19"/>
  <c r="AV586" i="19" s="1"/>
  <c r="AU364" i="19"/>
  <c r="AV364" i="19" s="1"/>
  <c r="AU762" i="19"/>
  <c r="AV762" i="19" s="1"/>
  <c r="AU805" i="19"/>
  <c r="AV805" i="19" s="1"/>
  <c r="AU607" i="19"/>
  <c r="AV607" i="19" s="1"/>
  <c r="AU333" i="19"/>
  <c r="AV333" i="19" s="1"/>
  <c r="AU757" i="19"/>
  <c r="AV757" i="19" s="1"/>
  <c r="AU361" i="19"/>
  <c r="AV361" i="19" s="1"/>
  <c r="AU822" i="19"/>
  <c r="AV822" i="19" s="1"/>
  <c r="AU259" i="19"/>
  <c r="AV259" i="19" s="1"/>
  <c r="AU122" i="19"/>
  <c r="AV122" i="19" s="1"/>
  <c r="AU625" i="19"/>
  <c r="AV625" i="19" s="1"/>
  <c r="AU973" i="19"/>
  <c r="AV973" i="19" s="1"/>
  <c r="AU55" i="19"/>
  <c r="AV55" i="19" s="1"/>
  <c r="AU520" i="19"/>
  <c r="AV520" i="19" s="1"/>
  <c r="AU218" i="19"/>
  <c r="AV218" i="19" s="1"/>
  <c r="AU381" i="19"/>
  <c r="AV381" i="19" s="1"/>
  <c r="AU525" i="19"/>
  <c r="AV525" i="19" s="1"/>
  <c r="AU556" i="19"/>
  <c r="AV556" i="19" s="1"/>
  <c r="AU730" i="19"/>
  <c r="AV730" i="19" s="1"/>
  <c r="AU502" i="19"/>
  <c r="AV502" i="19" s="1"/>
  <c r="AU817" i="19"/>
  <c r="AV817" i="19" s="1"/>
  <c r="AU562" i="19"/>
  <c r="AV562" i="19" s="1"/>
  <c r="AE902" i="19"/>
  <c r="AU667" i="19"/>
  <c r="AV667" i="19" s="1"/>
  <c r="AU702" i="19"/>
  <c r="AV702" i="19" s="1"/>
  <c r="AE979" i="19"/>
  <c r="AU572" i="19"/>
  <c r="AV572" i="19" s="1"/>
  <c r="AU425" i="19"/>
  <c r="AV425" i="19" s="1"/>
  <c r="AU250" i="19"/>
  <c r="AV250" i="19" s="1"/>
  <c r="AU375" i="19"/>
  <c r="AV375" i="19" s="1"/>
  <c r="AU658" i="19"/>
  <c r="AV658" i="19" s="1"/>
  <c r="AU819" i="19"/>
  <c r="AV819" i="19" s="1"/>
  <c r="AU908" i="19"/>
  <c r="AV908" i="19" s="1"/>
  <c r="AU173" i="19"/>
  <c r="AV173" i="19" s="1"/>
  <c r="AE67" i="19"/>
  <c r="AE782" i="19"/>
  <c r="AU135" i="19"/>
  <c r="AV135" i="19" s="1"/>
  <c r="AU725" i="19"/>
  <c r="AV725" i="19" s="1"/>
  <c r="AU597" i="19"/>
  <c r="AV597" i="19" s="1"/>
  <c r="AU318" i="19"/>
  <c r="AV318" i="19" s="1"/>
  <c r="AU576" i="19"/>
  <c r="AV576" i="19" s="1"/>
  <c r="AU811" i="19"/>
  <c r="AV811" i="19" s="1"/>
  <c r="AU756" i="19"/>
  <c r="AV756" i="19" s="1"/>
  <c r="AU23" i="19"/>
  <c r="AV23" i="19" s="1"/>
  <c r="AE23" i="19" s="1"/>
  <c r="AU185" i="19"/>
  <c r="AV185" i="19" s="1"/>
  <c r="AU453" i="19"/>
  <c r="AV453" i="19" s="1"/>
  <c r="AU919" i="19"/>
  <c r="AV919" i="19" s="1"/>
  <c r="AE69" i="19"/>
  <c r="AE683" i="19"/>
  <c r="AU221" i="19"/>
  <c r="AV221" i="19" s="1"/>
  <c r="AU402" i="19"/>
  <c r="AV402" i="19" s="1"/>
  <c r="AU875" i="19"/>
  <c r="AV875" i="19" s="1"/>
  <c r="AU112" i="19"/>
  <c r="AV112" i="19" s="1"/>
  <c r="AU437" i="19"/>
  <c r="AV437" i="19" s="1"/>
  <c r="AU181" i="19"/>
  <c r="AV181" i="19" s="1"/>
  <c r="AU476" i="19"/>
  <c r="AV476" i="19" s="1"/>
  <c r="AU729" i="19"/>
  <c r="AV729" i="19" s="1"/>
  <c r="AE340" i="19"/>
  <c r="AU865" i="19"/>
  <c r="AV865" i="19" s="1"/>
  <c r="AU491" i="19"/>
  <c r="AV491" i="19" s="1"/>
  <c r="AU826" i="19"/>
  <c r="AV826" i="19" s="1"/>
  <c r="AU699" i="19"/>
  <c r="AV699" i="19" s="1"/>
  <c r="AU479" i="19"/>
  <c r="AV479" i="19" s="1"/>
  <c r="AU824" i="19"/>
  <c r="AV824" i="19" s="1"/>
  <c r="AU405" i="19"/>
  <c r="AV405" i="19" s="1"/>
  <c r="AU736" i="19"/>
  <c r="AV736" i="19" s="1"/>
  <c r="AU835" i="19"/>
  <c r="AV835" i="19" s="1"/>
  <c r="AU419" i="19"/>
  <c r="AV419" i="19" s="1"/>
  <c r="AU917" i="19"/>
  <c r="AV917" i="19" s="1"/>
  <c r="AU367" i="19"/>
  <c r="AV367" i="19" s="1"/>
  <c r="AU234" i="19"/>
  <c r="AV234" i="19" s="1"/>
  <c r="AU443" i="19"/>
  <c r="AV443" i="19" s="1"/>
  <c r="AU373" i="19"/>
  <c r="AV373" i="19" s="1"/>
  <c r="AU635" i="19"/>
  <c r="AV635" i="19" s="1"/>
  <c r="AU379" i="19"/>
  <c r="AV379" i="19" s="1"/>
  <c r="AU708" i="19"/>
  <c r="AV708" i="19" s="1"/>
  <c r="AU935" i="19"/>
  <c r="AV935" i="19" s="1"/>
  <c r="AU910" i="19"/>
  <c r="AV910" i="19" s="1"/>
  <c r="AU619" i="19"/>
  <c r="AV619" i="19" s="1"/>
  <c r="AU653" i="19"/>
  <c r="AV653" i="19" s="1"/>
  <c r="AE124" i="19"/>
  <c r="AU408" i="19"/>
  <c r="AV408" i="19" s="1"/>
  <c r="AU82" i="19"/>
  <c r="AV82" i="19" s="1"/>
  <c r="AU24" i="19"/>
  <c r="AV24" i="19" s="1"/>
  <c r="AE24" i="19" s="1"/>
  <c r="AU385" i="19"/>
  <c r="AV385" i="19" s="1"/>
  <c r="AU463" i="19"/>
  <c r="AV463" i="19" s="1"/>
  <c r="AU197" i="19"/>
  <c r="AV197" i="19" s="1"/>
  <c r="AU768" i="19"/>
  <c r="AV768" i="19" s="1"/>
  <c r="AU383" i="19"/>
  <c r="AV383" i="19" s="1"/>
  <c r="AU63" i="19"/>
  <c r="AV63" i="19" s="1"/>
  <c r="AU39" i="19"/>
  <c r="AV39" i="19" s="1"/>
  <c r="AU898" i="19"/>
  <c r="AV898" i="19" s="1"/>
  <c r="AU815" i="19"/>
  <c r="AV815" i="19" s="1"/>
  <c r="AU682" i="19"/>
  <c r="AV682" i="19" s="1"/>
  <c r="AU742" i="19"/>
  <c r="AV742" i="19" s="1"/>
  <c r="AU168" i="19"/>
  <c r="AV168" i="19" s="1"/>
  <c r="AU748" i="19"/>
  <c r="AV748" i="19" s="1"/>
  <c r="AU512" i="19"/>
  <c r="AV512" i="19" s="1"/>
  <c r="AU845" i="19"/>
  <c r="AV845" i="19" s="1"/>
  <c r="AU631" i="19"/>
  <c r="AV631" i="19" s="1"/>
  <c r="AU613" i="19"/>
  <c r="AV613" i="19" s="1"/>
  <c r="AU547" i="19"/>
  <c r="AV547" i="19" s="1"/>
  <c r="AU163" i="19"/>
  <c r="AV163" i="19" s="1"/>
  <c r="AE696" i="19"/>
  <c r="AU170" i="19"/>
  <c r="AV170" i="19" s="1"/>
  <c r="AU214" i="19"/>
  <c r="AV214" i="19" s="1"/>
  <c r="AU541" i="19"/>
  <c r="AV541" i="19" s="1"/>
  <c r="AU627" i="19"/>
  <c r="AV627" i="19" s="1"/>
  <c r="AU566" i="19"/>
  <c r="AV566" i="19" s="1"/>
  <c r="AU759" i="19"/>
  <c r="AV759" i="19" s="1"/>
  <c r="AU716" i="19"/>
  <c r="AV716" i="19" s="1"/>
  <c r="AU734" i="19"/>
  <c r="AV734" i="19" s="1"/>
  <c r="AU272" i="19"/>
  <c r="AV272" i="19" s="1"/>
  <c r="AU529" i="19"/>
  <c r="AV529" i="19" s="1"/>
  <c r="AU459" i="19"/>
  <c r="AV459" i="19" s="1"/>
  <c r="AU977" i="19"/>
  <c r="AV977" i="19" s="1"/>
  <c r="AU371" i="19"/>
  <c r="AV371" i="19" s="1"/>
  <c r="AU448" i="19"/>
  <c r="AV448" i="19" s="1"/>
  <c r="AU45" i="19"/>
  <c r="AV45" i="19" s="1"/>
  <c r="AU744" i="19"/>
  <c r="AV744" i="19" s="1"/>
  <c r="AU211" i="19"/>
  <c r="AV211" i="19" s="1"/>
  <c r="AU664" i="19"/>
  <c r="AV664" i="19" s="1"/>
  <c r="AU223" i="19"/>
  <c r="AV223" i="19" s="1"/>
  <c r="AU605" i="19"/>
  <c r="AV605" i="19" s="1"/>
  <c r="AU752" i="19"/>
  <c r="AV752" i="19" s="1"/>
  <c r="AE557" i="19"/>
  <c r="AU423" i="19"/>
  <c r="AV423" i="19" s="1"/>
  <c r="AU395" i="19"/>
  <c r="AV395" i="19" s="1"/>
  <c r="AU637" i="19"/>
  <c r="AV637" i="19" s="1"/>
  <c r="AU97" i="19"/>
  <c r="AV97" i="19" s="1"/>
  <c r="AU885" i="19"/>
  <c r="AV885" i="19" s="1"/>
  <c r="AU732" i="19"/>
  <c r="AV732" i="19" s="1"/>
  <c r="AU750" i="19"/>
  <c r="AV750" i="19" s="1"/>
  <c r="AU545" i="19"/>
  <c r="AV545" i="19" s="1"/>
  <c r="AU780" i="19"/>
  <c r="AV780" i="19" s="1"/>
  <c r="AU718" i="19"/>
  <c r="AV718" i="19" s="1"/>
  <c r="AU343" i="19"/>
  <c r="AV343" i="19" s="1"/>
  <c r="AE175" i="19"/>
  <c r="AU739" i="19"/>
  <c r="AV739" i="19" s="1"/>
  <c r="AU468" i="19"/>
  <c r="AV468" i="19" s="1"/>
  <c r="AU967" i="19"/>
  <c r="AV967" i="19" s="1"/>
  <c r="AU592" i="19"/>
  <c r="AV592" i="19" s="1"/>
  <c r="AU328" i="19"/>
  <c r="AV328" i="19" s="1"/>
  <c r="AU559" i="19"/>
  <c r="AV559" i="19" s="1"/>
  <c r="AU206" i="19"/>
  <c r="AV206" i="19" s="1"/>
  <c r="AU323" i="19"/>
  <c r="AV323" i="19" s="1"/>
  <c r="AU810" i="19"/>
  <c r="AV810" i="19" s="1"/>
  <c r="AU346" i="19"/>
  <c r="AV346" i="19" s="1"/>
  <c r="AE116" i="19"/>
  <c r="AU535" i="19"/>
  <c r="AV535" i="19" s="1"/>
  <c r="AU308" i="19"/>
  <c r="AV308" i="19" s="1"/>
  <c r="AE684" i="19"/>
  <c r="AU153" i="19"/>
  <c r="AV153" i="19" s="1"/>
  <c r="AU191" i="19"/>
  <c r="AV191" i="19" s="1"/>
  <c r="AU543" i="19"/>
  <c r="AV543" i="19" s="1"/>
  <c r="AU455" i="19"/>
  <c r="AV455" i="19" s="1"/>
  <c r="AU313" i="19"/>
  <c r="AV313" i="19" s="1"/>
  <c r="AU78" i="19"/>
  <c r="AV78" i="19" s="1"/>
  <c r="AU369" i="19"/>
  <c r="AV369" i="19" s="1"/>
  <c r="AU813" i="19"/>
  <c r="AV813" i="19" s="1"/>
  <c r="AU22" i="19"/>
  <c r="AV22" i="19" s="1"/>
  <c r="AE22" i="19" s="1"/>
  <c r="AU238" i="19"/>
  <c r="AV238" i="19" s="1"/>
  <c r="AU390" i="19"/>
  <c r="AV390" i="19" s="1"/>
  <c r="AU470" i="19"/>
  <c r="AV470" i="19" s="1"/>
  <c r="AU679" i="19"/>
  <c r="AV679" i="19" s="1"/>
  <c r="AU746" i="19"/>
  <c r="AV746" i="19" s="1"/>
  <c r="AU227" i="19"/>
  <c r="AV227" i="19" s="1"/>
  <c r="AU387" i="19"/>
  <c r="AV387" i="19" s="1"/>
  <c r="AU392" i="19"/>
  <c r="AV392" i="19" s="1"/>
  <c r="AU727" i="19"/>
  <c r="AV727" i="19" s="1"/>
  <c r="AU128" i="19"/>
  <c r="AV128" i="19" s="1"/>
  <c r="AM986" i="19"/>
  <c r="AL986" i="19"/>
  <c r="AH986" i="19"/>
  <c r="AI986" i="19"/>
  <c r="AU947" i="19"/>
  <c r="AV947" i="19" s="1"/>
  <c r="AU648" i="19"/>
  <c r="AV648" i="19" s="1"/>
  <c r="AU537" i="19"/>
  <c r="AV537" i="19" s="1"/>
  <c r="AU338" i="19"/>
  <c r="AV338" i="19" s="1"/>
  <c r="AU474" i="19"/>
  <c r="AV474" i="19" s="1"/>
  <c r="H584" i="35" l="1"/>
  <c r="G584" i="35" s="1"/>
  <c r="J584" i="35" s="1"/>
  <c r="J585" i="35"/>
  <c r="E585" i="35"/>
  <c r="F585" i="35" s="1"/>
  <c r="I585" i="35" s="1"/>
  <c r="B587" i="35"/>
  <c r="C586" i="35"/>
  <c r="D586" i="35"/>
  <c r="I586" i="35" s="1"/>
  <c r="AM990" i="19"/>
  <c r="AN998" i="19" s="1"/>
  <c r="AL998" i="19"/>
  <c r="AG986" i="19"/>
  <c r="AE986" i="19"/>
  <c r="AJ984" i="19" s="1"/>
  <c r="AN986" i="19"/>
  <c r="AK986" i="19"/>
  <c r="AL996" i="19"/>
  <c r="AL990" i="19"/>
  <c r="AN996" i="19" s="1"/>
  <c r="H585" i="35" l="1"/>
  <c r="G585" i="35" s="1"/>
  <c r="E586" i="35"/>
  <c r="B588" i="35"/>
  <c r="C587" i="35"/>
  <c r="D587" i="35"/>
  <c r="AL994" i="19"/>
  <c r="AK990" i="19"/>
  <c r="J587" i="35" l="1"/>
  <c r="E587" i="35"/>
  <c r="F587" i="35" s="1"/>
  <c r="I587" i="35" s="1"/>
  <c r="B589" i="35"/>
  <c r="C588" i="35"/>
  <c r="D588" i="35"/>
  <c r="I588" i="35" s="1"/>
  <c r="H586" i="35"/>
  <c r="F586" i="35"/>
  <c r="AN990" i="19"/>
  <c r="AN994" i="19"/>
  <c r="H587" i="35" l="1"/>
  <c r="G587" i="35" s="1"/>
  <c r="E588" i="35"/>
  <c r="F588" i="35" s="1"/>
  <c r="G586" i="35"/>
  <c r="J586" i="35" s="1"/>
  <c r="B590" i="35"/>
  <c r="C589" i="35"/>
  <c r="D589" i="35"/>
  <c r="I589" i="35" s="1"/>
  <c r="AB990" i="19"/>
  <c r="AE991" i="19"/>
  <c r="H588" i="35" l="1"/>
  <c r="G588" i="35" s="1"/>
  <c r="J588" i="35" s="1"/>
  <c r="E589" i="35"/>
  <c r="B591" i="35"/>
  <c r="D590" i="35"/>
  <c r="I590" i="35" s="1"/>
  <c r="C590" i="35"/>
  <c r="AA23" i="52"/>
  <c r="E590" i="35" l="1"/>
  <c r="B592" i="35"/>
  <c r="C591" i="35"/>
  <c r="D591" i="35"/>
  <c r="I591" i="35" s="1"/>
  <c r="H589" i="35"/>
  <c r="F589" i="35"/>
  <c r="W16" i="52"/>
  <c r="W15" i="52"/>
  <c r="G589" i="35" l="1"/>
  <c r="J589" i="35" s="1"/>
  <c r="E591" i="35"/>
  <c r="B593" i="35"/>
  <c r="D592" i="35"/>
  <c r="I592" i="35" s="1"/>
  <c r="C592" i="35"/>
  <c r="H590" i="35"/>
  <c r="F590" i="35"/>
  <c r="G590" i="35" l="1"/>
  <c r="J590" i="35" s="1"/>
  <c r="E592" i="35"/>
  <c r="B594" i="35"/>
  <c r="C593" i="35"/>
  <c r="D593" i="35"/>
  <c r="H591" i="35"/>
  <c r="F591" i="35"/>
  <c r="J593" i="35" l="1"/>
  <c r="E593" i="35"/>
  <c r="F593" i="35" s="1"/>
  <c r="I593" i="35" s="1"/>
  <c r="G591" i="35"/>
  <c r="J591" i="35" s="1"/>
  <c r="B595" i="35"/>
  <c r="C594" i="35"/>
  <c r="D594" i="35"/>
  <c r="I594" i="35" s="1"/>
  <c r="F592" i="35"/>
  <c r="H592" i="35"/>
  <c r="G592" i="35" l="1"/>
  <c r="J592" i="35" s="1"/>
  <c r="H593" i="35"/>
  <c r="G593" i="35" s="1"/>
  <c r="E594" i="35"/>
  <c r="B596" i="35"/>
  <c r="D595" i="35"/>
  <c r="I595" i="35" s="1"/>
  <c r="C595" i="35"/>
  <c r="E595" i="35" l="1"/>
  <c r="B597" i="35"/>
  <c r="D596" i="35"/>
  <c r="I596" i="35" s="1"/>
  <c r="C596" i="35"/>
  <c r="F594" i="35"/>
  <c r="H594" i="35"/>
  <c r="G594" i="35" l="1"/>
  <c r="J594" i="35" s="1"/>
  <c r="E596" i="35"/>
  <c r="B598" i="35"/>
  <c r="C597" i="35"/>
  <c r="D597" i="35"/>
  <c r="I597" i="35" s="1"/>
  <c r="F595" i="35"/>
  <c r="H595" i="35"/>
  <c r="G595" i="35" l="1"/>
  <c r="J595" i="35" s="1"/>
  <c r="E597" i="35"/>
  <c r="B599" i="35"/>
  <c r="C598" i="35"/>
  <c r="D598" i="35"/>
  <c r="I598" i="35" s="1"/>
  <c r="F596" i="35"/>
  <c r="H596" i="35"/>
  <c r="G596" i="35" l="1"/>
  <c r="J596" i="35" s="1"/>
  <c r="E598" i="35"/>
  <c r="B600" i="35"/>
  <c r="C599" i="35"/>
  <c r="D599" i="35"/>
  <c r="H597" i="35"/>
  <c r="F597" i="35"/>
  <c r="J599" i="35" l="1"/>
  <c r="E599" i="35"/>
  <c r="F599" i="35" s="1"/>
  <c r="I599" i="35" s="1"/>
  <c r="G597" i="35"/>
  <c r="J597" i="35" s="1"/>
  <c r="B601" i="35"/>
  <c r="C600" i="35"/>
  <c r="D600" i="35"/>
  <c r="I600" i="35" s="1"/>
  <c r="F598" i="35"/>
  <c r="H598" i="35"/>
  <c r="H599" i="35" l="1"/>
  <c r="G599" i="35" s="1"/>
  <c r="E600" i="35"/>
  <c r="B602" i="35"/>
  <c r="C601" i="35"/>
  <c r="D601" i="35"/>
  <c r="I601" i="35" s="1"/>
  <c r="G598" i="35"/>
  <c r="J598" i="35" s="1"/>
  <c r="E601" i="35" l="1"/>
  <c r="B603" i="35"/>
  <c r="C602" i="35"/>
  <c r="D602" i="35"/>
  <c r="H600" i="35"/>
  <c r="F600" i="35"/>
  <c r="E602" i="35" l="1"/>
  <c r="H602" i="35" s="1"/>
  <c r="G600" i="35"/>
  <c r="J600" i="35" s="1"/>
  <c r="I602" i="35"/>
  <c r="B604" i="35"/>
  <c r="C603" i="35"/>
  <c r="D603" i="35"/>
  <c r="I603" i="35" s="1"/>
  <c r="H601" i="35"/>
  <c r="F601" i="35"/>
  <c r="F602" i="35" l="1"/>
  <c r="G601" i="35"/>
  <c r="J601" i="35" s="1"/>
  <c r="E603" i="35"/>
  <c r="B605" i="35"/>
  <c r="C604" i="35"/>
  <c r="D604" i="35"/>
  <c r="I604" i="35" s="1"/>
  <c r="G602" i="35"/>
  <c r="J602" i="35" s="1"/>
  <c r="E604" i="35" l="1"/>
  <c r="B606" i="35"/>
  <c r="C605" i="35"/>
  <c r="D605" i="35"/>
  <c r="H603" i="35"/>
  <c r="F603" i="35"/>
  <c r="J605" i="35" l="1"/>
  <c r="E605" i="35"/>
  <c r="F605" i="35" s="1"/>
  <c r="I605" i="35" s="1"/>
  <c r="G603" i="35"/>
  <c r="J603" i="35" s="1"/>
  <c r="B607" i="35"/>
  <c r="D606" i="35"/>
  <c r="I606" i="35" s="1"/>
  <c r="C606" i="35"/>
  <c r="F604" i="35"/>
  <c r="H604" i="35"/>
  <c r="H605" i="35" l="1"/>
  <c r="G605" i="35" s="1"/>
  <c r="G604" i="35"/>
  <c r="J604" i="35" s="1"/>
  <c r="E606" i="35"/>
  <c r="H606" i="35" s="1"/>
  <c r="B608" i="35"/>
  <c r="D607" i="35"/>
  <c r="C607" i="35"/>
  <c r="J607" i="35" l="1"/>
  <c r="F606" i="35"/>
  <c r="G606" i="35" s="1"/>
  <c r="J606" i="35" s="1"/>
  <c r="E607" i="35"/>
  <c r="F607" i="35" s="1"/>
  <c r="I607" i="35" s="1"/>
  <c r="B609" i="35"/>
  <c r="D608" i="35"/>
  <c r="C608" i="35"/>
  <c r="H607" i="35" l="1"/>
  <c r="G607" i="35" s="1"/>
  <c r="I608" i="35"/>
  <c r="E608" i="35"/>
  <c r="B610" i="35"/>
  <c r="C609" i="35"/>
  <c r="D609" i="35"/>
  <c r="I609" i="35" s="1"/>
  <c r="E609" i="35" l="1"/>
  <c r="B611" i="35"/>
  <c r="C610" i="35"/>
  <c r="D610" i="35"/>
  <c r="F608" i="35"/>
  <c r="H608" i="35"/>
  <c r="G608" i="35" l="1"/>
  <c r="J608" i="35" s="1"/>
  <c r="E610" i="35"/>
  <c r="I610" i="35"/>
  <c r="B612" i="35"/>
  <c r="D611" i="35"/>
  <c r="C611" i="35"/>
  <c r="H609" i="35"/>
  <c r="F609" i="35"/>
  <c r="J611" i="35" l="1"/>
  <c r="E611" i="35"/>
  <c r="H611" i="35" s="1"/>
  <c r="G609" i="35"/>
  <c r="J609" i="35" s="1"/>
  <c r="B613" i="35"/>
  <c r="D612" i="35"/>
  <c r="I612" i="35" s="1"/>
  <c r="C612" i="35"/>
  <c r="F610" i="35"/>
  <c r="H610" i="35"/>
  <c r="F611" i="35" l="1"/>
  <c r="I611" i="35" s="1"/>
  <c r="G610" i="35"/>
  <c r="J610" i="35" s="1"/>
  <c r="E612" i="35"/>
  <c r="B614" i="35"/>
  <c r="C613" i="35"/>
  <c r="D613" i="35"/>
  <c r="I613" i="35" s="1"/>
  <c r="G611" i="35"/>
  <c r="E613" i="35" l="1"/>
  <c r="B615" i="35"/>
  <c r="D614" i="35"/>
  <c r="C614" i="35"/>
  <c r="H612" i="35"/>
  <c r="F612" i="35"/>
  <c r="E614" i="35" l="1"/>
  <c r="H614" i="35" s="1"/>
  <c r="I614" i="35"/>
  <c r="B616" i="35"/>
  <c r="C615" i="35"/>
  <c r="D615" i="35"/>
  <c r="G612" i="35"/>
  <c r="J612" i="35" s="1"/>
  <c r="H613" i="35"/>
  <c r="F613" i="35"/>
  <c r="F614" i="35" l="1"/>
  <c r="G614" i="35" s="1"/>
  <c r="J614" i="35" s="1"/>
  <c r="J615" i="35"/>
  <c r="G613" i="35"/>
  <c r="J613" i="35" s="1"/>
  <c r="E615" i="35"/>
  <c r="B617" i="35"/>
  <c r="C616" i="35"/>
  <c r="D616" i="35"/>
  <c r="I616" i="35" s="1"/>
  <c r="E616" i="35" l="1"/>
  <c r="B618" i="35"/>
  <c r="C617" i="35"/>
  <c r="D617" i="35"/>
  <c r="H615" i="35"/>
  <c r="F615" i="35"/>
  <c r="I615" i="35" s="1"/>
  <c r="J617" i="35" l="1"/>
  <c r="E617" i="35"/>
  <c r="F617" i="35" s="1"/>
  <c r="I617" i="35" s="1"/>
  <c r="G615" i="35"/>
  <c r="B619" i="35"/>
  <c r="C618" i="35"/>
  <c r="D618" i="35"/>
  <c r="I618" i="35" s="1"/>
  <c r="F616" i="35"/>
  <c r="H616" i="35"/>
  <c r="G616" i="35" l="1"/>
  <c r="J616" i="35" s="1"/>
  <c r="H617" i="35"/>
  <c r="G617" i="35" s="1"/>
  <c r="B620" i="35"/>
  <c r="C619" i="35"/>
  <c r="D619" i="35"/>
  <c r="I619" i="35" s="1"/>
  <c r="E618" i="35"/>
  <c r="H618" i="35" l="1"/>
  <c r="F618" i="35"/>
  <c r="E619" i="35"/>
  <c r="B621" i="35"/>
  <c r="C620" i="35"/>
  <c r="D620" i="35"/>
  <c r="G618" i="35" l="1"/>
  <c r="J618" i="35" s="1"/>
  <c r="E620" i="35"/>
  <c r="F620" i="35" s="1"/>
  <c r="I620" i="35"/>
  <c r="B622" i="35"/>
  <c r="C621" i="35"/>
  <c r="D621" i="35"/>
  <c r="I621" i="35" s="1"/>
  <c r="H619" i="35"/>
  <c r="F619" i="35"/>
  <c r="H620" i="35" l="1"/>
  <c r="G620" i="35" s="1"/>
  <c r="J620" i="35" s="1"/>
  <c r="G619" i="35"/>
  <c r="J619" i="35" s="1"/>
  <c r="E621" i="35"/>
  <c r="B623" i="35"/>
  <c r="C622" i="35"/>
  <c r="D622" i="35"/>
  <c r="I622" i="35" s="1"/>
  <c r="E622" i="35" l="1"/>
  <c r="B624" i="35"/>
  <c r="C623" i="35"/>
  <c r="D623" i="35"/>
  <c r="H621" i="35"/>
  <c r="F621" i="35"/>
  <c r="E623" i="35" l="1"/>
  <c r="F623" i="35" s="1"/>
  <c r="I623" i="35"/>
  <c r="G621" i="35"/>
  <c r="J621" i="35" s="1"/>
  <c r="B625" i="35"/>
  <c r="C624" i="35"/>
  <c r="D624" i="35"/>
  <c r="I624" i="35" s="1"/>
  <c r="F622" i="35"/>
  <c r="H622" i="35"/>
  <c r="H623" i="35" l="1"/>
  <c r="G623" i="35" s="1"/>
  <c r="J623" i="35" s="1"/>
  <c r="E624" i="35"/>
  <c r="B626" i="35"/>
  <c r="D625" i="35"/>
  <c r="I625" i="35" s="1"/>
  <c r="C625" i="35"/>
  <c r="G622" i="35"/>
  <c r="J622" i="35" s="1"/>
  <c r="E625" i="35" l="1"/>
  <c r="B627" i="35"/>
  <c r="C626" i="35"/>
  <c r="D626" i="35"/>
  <c r="H624" i="35"/>
  <c r="F624" i="35"/>
  <c r="E626" i="35" l="1"/>
  <c r="H626" i="35" s="1"/>
  <c r="G624" i="35"/>
  <c r="J624" i="35" s="1"/>
  <c r="I626" i="35"/>
  <c r="B628" i="35"/>
  <c r="C627" i="35"/>
  <c r="D627" i="35"/>
  <c r="I627" i="35" s="1"/>
  <c r="F625" i="35"/>
  <c r="H625" i="35"/>
  <c r="F626" i="35" l="1"/>
  <c r="G626" i="35" s="1"/>
  <c r="J626" i="35" s="1"/>
  <c r="E627" i="35"/>
  <c r="B629" i="35"/>
  <c r="C628" i="35"/>
  <c r="D628" i="35"/>
  <c r="G625" i="35"/>
  <c r="J625" i="35" s="1"/>
  <c r="J628" i="35" l="1"/>
  <c r="E628" i="35"/>
  <c r="H628" i="35" s="1"/>
  <c r="B630" i="35"/>
  <c r="D629" i="35"/>
  <c r="I629" i="35" s="1"/>
  <c r="C629" i="35"/>
  <c r="H627" i="35"/>
  <c r="F627" i="35"/>
  <c r="F628" i="35" l="1"/>
  <c r="I628" i="35" s="1"/>
  <c r="G627" i="35"/>
  <c r="J627" i="35" s="1"/>
  <c r="E629" i="35"/>
  <c r="B631" i="35"/>
  <c r="D630" i="35"/>
  <c r="I630" i="35" s="1"/>
  <c r="C630" i="35"/>
  <c r="G628" i="35"/>
  <c r="B632" i="35" l="1"/>
  <c r="C631" i="35"/>
  <c r="D631" i="35"/>
  <c r="I631" i="35" s="1"/>
  <c r="E630" i="35"/>
  <c r="F629" i="35"/>
  <c r="H629" i="35"/>
  <c r="G629" i="35" l="1"/>
  <c r="J629" i="35" s="1"/>
  <c r="H630" i="35"/>
  <c r="F630" i="35"/>
  <c r="E631" i="35"/>
  <c r="B633" i="35"/>
  <c r="C632" i="35"/>
  <c r="D632" i="35"/>
  <c r="E632" i="35" l="1"/>
  <c r="F632" i="35" s="1"/>
  <c r="I632" i="35"/>
  <c r="B634" i="35"/>
  <c r="C633" i="35"/>
  <c r="D633" i="35"/>
  <c r="H631" i="35"/>
  <c r="F631" i="35"/>
  <c r="G630" i="35"/>
  <c r="J630" i="35" s="1"/>
  <c r="H632" i="35" l="1"/>
  <c r="J633" i="35"/>
  <c r="E633" i="35"/>
  <c r="F633" i="35" s="1"/>
  <c r="I633" i="35" s="1"/>
  <c r="G631" i="35"/>
  <c r="J631" i="35" s="1"/>
  <c r="B635" i="35"/>
  <c r="C634" i="35"/>
  <c r="D634" i="35"/>
  <c r="G632" i="35"/>
  <c r="J632" i="35" s="1"/>
  <c r="H633" i="35" l="1"/>
  <c r="G633" i="35" s="1"/>
  <c r="E634" i="35"/>
  <c r="F634" i="35" s="1"/>
  <c r="J634" i="35"/>
  <c r="I634" i="35"/>
  <c r="H634" i="35"/>
  <c r="B636" i="35"/>
  <c r="D635" i="35"/>
  <c r="C635" i="35"/>
  <c r="G634" i="35" l="1"/>
  <c r="E635" i="35"/>
  <c r="F635" i="35" s="1"/>
  <c r="I635" i="35"/>
  <c r="B637" i="35"/>
  <c r="C636" i="35"/>
  <c r="D636" i="35"/>
  <c r="I636" i="35" s="1"/>
  <c r="H635" i="35" l="1"/>
  <c r="G635" i="35" s="1"/>
  <c r="J635" i="35" s="1"/>
  <c r="E636" i="35"/>
  <c r="B638" i="35"/>
  <c r="C637" i="35"/>
  <c r="D637" i="35"/>
  <c r="I637" i="35" s="1"/>
  <c r="E637" i="35" l="1"/>
  <c r="B639" i="35"/>
  <c r="D638" i="35"/>
  <c r="C638" i="35"/>
  <c r="F636" i="35"/>
  <c r="H636" i="35"/>
  <c r="J638" i="35" l="1"/>
  <c r="G636" i="35"/>
  <c r="J636" i="35" s="1"/>
  <c r="E638" i="35"/>
  <c r="F638" i="35" s="1"/>
  <c r="I638" i="35" s="1"/>
  <c r="B640" i="35"/>
  <c r="C639" i="35"/>
  <c r="D639" i="35"/>
  <c r="I639" i="35" s="1"/>
  <c r="F637" i="35"/>
  <c r="H637" i="35"/>
  <c r="H638" i="35" l="1"/>
  <c r="G638" i="35" s="1"/>
  <c r="E639" i="35"/>
  <c r="G637" i="35"/>
  <c r="J637" i="35" s="1"/>
  <c r="B641" i="35"/>
  <c r="D640" i="35"/>
  <c r="C640" i="35"/>
  <c r="E640" i="35" l="1"/>
  <c r="F640" i="35" s="1"/>
  <c r="I640" i="35"/>
  <c r="B642" i="35"/>
  <c r="C641" i="35"/>
  <c r="D641" i="35"/>
  <c r="H639" i="35"/>
  <c r="F639" i="35"/>
  <c r="H640" i="35" l="1"/>
  <c r="G640" i="35" s="1"/>
  <c r="J640" i="35" s="1"/>
  <c r="J641" i="35"/>
  <c r="G639" i="35"/>
  <c r="J639" i="35" s="1"/>
  <c r="E641" i="35"/>
  <c r="H641" i="35" s="1"/>
  <c r="B643" i="35"/>
  <c r="C642" i="35"/>
  <c r="D642" i="35"/>
  <c r="I642" i="35" s="1"/>
  <c r="F641" i="35" l="1"/>
  <c r="I641" i="35" s="1"/>
  <c r="E642" i="35"/>
  <c r="B644" i="35"/>
  <c r="C643" i="35"/>
  <c r="D643" i="35"/>
  <c r="G641" i="35" l="1"/>
  <c r="E643" i="35"/>
  <c r="H643" i="35" s="1"/>
  <c r="I643" i="35"/>
  <c r="B645" i="35"/>
  <c r="C644" i="35"/>
  <c r="D644" i="35"/>
  <c r="F642" i="35"/>
  <c r="H642" i="35"/>
  <c r="J644" i="35" l="1"/>
  <c r="G642" i="35"/>
  <c r="J642" i="35" s="1"/>
  <c r="F643" i="35"/>
  <c r="G643" i="35" s="1"/>
  <c r="J643" i="35" s="1"/>
  <c r="E644" i="35"/>
  <c r="F644" i="35" s="1"/>
  <c r="I644" i="35" s="1"/>
  <c r="B646" i="35"/>
  <c r="C645" i="35"/>
  <c r="D645" i="35"/>
  <c r="I645" i="35" s="1"/>
  <c r="H644" i="35" l="1"/>
  <c r="G644" i="35" s="1"/>
  <c r="E645" i="35"/>
  <c r="B647" i="35"/>
  <c r="D646" i="35"/>
  <c r="I646" i="35" s="1"/>
  <c r="C646" i="35"/>
  <c r="B648" i="35" l="1"/>
  <c r="C647" i="35"/>
  <c r="D647" i="35"/>
  <c r="E646" i="35"/>
  <c r="H645" i="35"/>
  <c r="F645" i="35"/>
  <c r="J647" i="35" l="1"/>
  <c r="E647" i="35"/>
  <c r="F647" i="35" s="1"/>
  <c r="I647" i="35" s="1"/>
  <c r="G645" i="35"/>
  <c r="J645" i="35" s="1"/>
  <c r="F646" i="35"/>
  <c r="H646" i="35"/>
  <c r="B649" i="35"/>
  <c r="C648" i="35"/>
  <c r="D648" i="35"/>
  <c r="I648" i="35" s="1"/>
  <c r="G646" i="35" l="1"/>
  <c r="J646" i="35" s="1"/>
  <c r="H647" i="35"/>
  <c r="G647" i="35" s="1"/>
  <c r="E648" i="35"/>
  <c r="B650" i="35"/>
  <c r="D649" i="35"/>
  <c r="C649" i="35"/>
  <c r="E649" i="35" l="1"/>
  <c r="F649" i="35" s="1"/>
  <c r="I649" i="35"/>
  <c r="B651" i="35"/>
  <c r="C650" i="35"/>
  <c r="D650" i="35"/>
  <c r="H648" i="35"/>
  <c r="F648" i="35"/>
  <c r="H649" i="35" l="1"/>
  <c r="G649" i="35" s="1"/>
  <c r="J649" i="35" s="1"/>
  <c r="E650" i="35"/>
  <c r="H650" i="35" s="1"/>
  <c r="G648" i="35"/>
  <c r="J648" i="35" s="1"/>
  <c r="I650" i="35"/>
  <c r="B652" i="35"/>
  <c r="D651" i="35"/>
  <c r="I651" i="35" s="1"/>
  <c r="C651" i="35"/>
  <c r="F650" i="35" l="1"/>
  <c r="G650" i="35" s="1"/>
  <c r="J650" i="35" s="1"/>
  <c r="E651" i="35"/>
  <c r="B653" i="35"/>
  <c r="C652" i="35"/>
  <c r="D652" i="35"/>
  <c r="I652" i="35" s="1"/>
  <c r="E652" i="35" l="1"/>
  <c r="B654" i="35"/>
  <c r="D653" i="35"/>
  <c r="C653" i="35"/>
  <c r="F651" i="35"/>
  <c r="H651" i="35"/>
  <c r="G651" i="35" l="1"/>
  <c r="J651" i="35" s="1"/>
  <c r="E653" i="35"/>
  <c r="F653" i="35" s="1"/>
  <c r="I653" i="35"/>
  <c r="B655" i="35"/>
  <c r="C654" i="35"/>
  <c r="D654" i="35"/>
  <c r="I654" i="35" s="1"/>
  <c r="F652" i="35"/>
  <c r="H652" i="35"/>
  <c r="H653" i="35" l="1"/>
  <c r="G653" i="35" s="1"/>
  <c r="J653" i="35" s="1"/>
  <c r="G652" i="35"/>
  <c r="J652" i="35" s="1"/>
  <c r="E654" i="35"/>
  <c r="B656" i="35"/>
  <c r="C655" i="35"/>
  <c r="D655" i="35"/>
  <c r="E655" i="35" l="1"/>
  <c r="F655" i="35" s="1"/>
  <c r="I655" i="35"/>
  <c r="B657" i="35"/>
  <c r="C656" i="35"/>
  <c r="D656" i="35"/>
  <c r="H654" i="35"/>
  <c r="F654" i="35"/>
  <c r="H655" i="35" l="1"/>
  <c r="G655" i="35" s="1"/>
  <c r="J655" i="35" s="1"/>
  <c r="G654" i="35"/>
  <c r="J654" i="35" s="1"/>
  <c r="E656" i="35"/>
  <c r="H656" i="35" s="1"/>
  <c r="I656" i="35"/>
  <c r="B658" i="35"/>
  <c r="C657" i="35"/>
  <c r="D657" i="35"/>
  <c r="I657" i="35" s="1"/>
  <c r="F656" i="35" l="1"/>
  <c r="E657" i="35"/>
  <c r="B659" i="35"/>
  <c r="D658" i="35"/>
  <c r="I658" i="35" s="1"/>
  <c r="C658" i="35"/>
  <c r="G656" i="35"/>
  <c r="J656" i="35" s="1"/>
  <c r="E658" i="35" l="1"/>
  <c r="B660" i="35"/>
  <c r="C659" i="35"/>
  <c r="D659" i="35"/>
  <c r="F657" i="35"/>
  <c r="H657" i="35"/>
  <c r="J659" i="35" l="1"/>
  <c r="E659" i="35"/>
  <c r="F659" i="35" s="1"/>
  <c r="I659" i="35" s="1"/>
  <c r="G657" i="35"/>
  <c r="J657" i="35" s="1"/>
  <c r="B661" i="35"/>
  <c r="C660" i="35"/>
  <c r="D660" i="35"/>
  <c r="I660" i="35" s="1"/>
  <c r="F658" i="35"/>
  <c r="H658" i="35"/>
  <c r="G658" i="35" l="1"/>
  <c r="J658" i="35" s="1"/>
  <c r="H659" i="35"/>
  <c r="G659" i="35" s="1"/>
  <c r="B662" i="35"/>
  <c r="C661" i="35"/>
  <c r="D661" i="35"/>
  <c r="E660" i="35"/>
  <c r="E661" i="35" l="1"/>
  <c r="H661" i="35" s="1"/>
  <c r="H660" i="35"/>
  <c r="F660" i="35"/>
  <c r="I661" i="35"/>
  <c r="B663" i="35"/>
  <c r="C662" i="35"/>
  <c r="D662" i="35"/>
  <c r="F661" i="35" l="1"/>
  <c r="G661" i="35" s="1"/>
  <c r="J661" i="35" s="1"/>
  <c r="J662" i="35"/>
  <c r="E662" i="35"/>
  <c r="H662" i="35" s="1"/>
  <c r="B664" i="35"/>
  <c r="D663" i="35"/>
  <c r="I663" i="35" s="1"/>
  <c r="C663" i="35"/>
  <c r="G660" i="35"/>
  <c r="J660" i="35" s="1"/>
  <c r="F662" i="35" l="1"/>
  <c r="I662" i="35" s="1"/>
  <c r="B665" i="35"/>
  <c r="D664" i="35"/>
  <c r="C664" i="35"/>
  <c r="E663" i="35"/>
  <c r="G662" i="35"/>
  <c r="E664" i="35" l="1"/>
  <c r="F664" i="35" s="1"/>
  <c r="H663" i="35"/>
  <c r="F663" i="35"/>
  <c r="I664" i="35"/>
  <c r="B666" i="35"/>
  <c r="C665" i="35"/>
  <c r="D665" i="35"/>
  <c r="G663" i="35" l="1"/>
  <c r="J663" i="35" s="1"/>
  <c r="H664" i="35"/>
  <c r="G664" i="35" s="1"/>
  <c r="J664" i="35" s="1"/>
  <c r="E665" i="35"/>
  <c r="H665" i="35" s="1"/>
  <c r="I665" i="35"/>
  <c r="B667" i="35"/>
  <c r="C666" i="35"/>
  <c r="D666" i="35"/>
  <c r="I666" i="35" s="1"/>
  <c r="F665" i="35" l="1"/>
  <c r="E666" i="35"/>
  <c r="B668" i="35"/>
  <c r="C667" i="35"/>
  <c r="D667" i="35"/>
  <c r="G665" i="35"/>
  <c r="J665" i="35" s="1"/>
  <c r="E667" i="35" l="1"/>
  <c r="F667" i="35" s="1"/>
  <c r="I667" i="35"/>
  <c r="B669" i="35"/>
  <c r="C668" i="35"/>
  <c r="D668" i="35"/>
  <c r="F666" i="35"/>
  <c r="H666" i="35"/>
  <c r="H667" i="35" l="1"/>
  <c r="G667" i="35" s="1"/>
  <c r="J667" i="35" s="1"/>
  <c r="E668" i="35"/>
  <c r="H668" i="35" s="1"/>
  <c r="I668" i="35"/>
  <c r="B670" i="35"/>
  <c r="D669" i="35"/>
  <c r="I669" i="35" s="1"/>
  <c r="C669" i="35"/>
  <c r="G666" i="35"/>
  <c r="J666" i="35" s="1"/>
  <c r="F668" i="35" l="1"/>
  <c r="E669" i="35"/>
  <c r="B671" i="35"/>
  <c r="C670" i="35"/>
  <c r="D670" i="35"/>
  <c r="I670" i="35" s="1"/>
  <c r="G668" i="35"/>
  <c r="J668" i="35" s="1"/>
  <c r="E670" i="35" l="1"/>
  <c r="B672" i="35"/>
  <c r="C671" i="35"/>
  <c r="D671" i="35"/>
  <c r="H669" i="35"/>
  <c r="F669" i="35"/>
  <c r="E671" i="35" l="1"/>
  <c r="F671" i="35" s="1"/>
  <c r="G669" i="35"/>
  <c r="J669" i="35" s="1"/>
  <c r="I671" i="35"/>
  <c r="B673" i="35"/>
  <c r="C672" i="35"/>
  <c r="D672" i="35"/>
  <c r="I672" i="35" s="1"/>
  <c r="H670" i="35"/>
  <c r="F670" i="35"/>
  <c r="H671" i="35" l="1"/>
  <c r="G671" i="35" s="1"/>
  <c r="J671" i="35" s="1"/>
  <c r="G670" i="35"/>
  <c r="J670" i="35" s="1"/>
  <c r="E672" i="35"/>
  <c r="B674" i="35"/>
  <c r="D673" i="35"/>
  <c r="C673" i="35"/>
  <c r="E673" i="35" l="1"/>
  <c r="F673" i="35" s="1"/>
  <c r="I673" i="35"/>
  <c r="B675" i="35"/>
  <c r="C674" i="35"/>
  <c r="D674" i="35"/>
  <c r="I674" i="35" s="1"/>
  <c r="H672" i="35"/>
  <c r="F672" i="35"/>
  <c r="H673" i="35" l="1"/>
  <c r="G673" i="35" s="1"/>
  <c r="J673" i="35" s="1"/>
  <c r="G672" i="35"/>
  <c r="J672" i="35" s="1"/>
  <c r="E674" i="35"/>
  <c r="B676" i="35"/>
  <c r="C675" i="35"/>
  <c r="D675" i="35"/>
  <c r="I675" i="35" s="1"/>
  <c r="E675" i="35" l="1"/>
  <c r="B677" i="35"/>
  <c r="C676" i="35"/>
  <c r="D676" i="35"/>
  <c r="H674" i="35"/>
  <c r="F674" i="35"/>
  <c r="E676" i="35" l="1"/>
  <c r="F676" i="35" s="1"/>
  <c r="G674" i="35"/>
  <c r="J674" i="35" s="1"/>
  <c r="I676" i="35"/>
  <c r="B678" i="35"/>
  <c r="C677" i="35"/>
  <c r="D677" i="35"/>
  <c r="F675" i="35"/>
  <c r="H675" i="35"/>
  <c r="H676" i="35" l="1"/>
  <c r="G676" i="35" s="1"/>
  <c r="J676" i="35" s="1"/>
  <c r="G675" i="35"/>
  <c r="J675" i="35" s="1"/>
  <c r="E677" i="35"/>
  <c r="H677" i="35" s="1"/>
  <c r="I677" i="35"/>
  <c r="B679" i="35"/>
  <c r="C678" i="35"/>
  <c r="D678" i="35"/>
  <c r="I678" i="35" s="1"/>
  <c r="F677" i="35" l="1"/>
  <c r="E678" i="35"/>
  <c r="B680" i="35"/>
  <c r="D679" i="35"/>
  <c r="C679" i="35"/>
  <c r="G677" i="35"/>
  <c r="J677" i="35" s="1"/>
  <c r="J679" i="35" l="1"/>
  <c r="E679" i="35"/>
  <c r="F679" i="35" s="1"/>
  <c r="I679" i="35" s="1"/>
  <c r="B681" i="35"/>
  <c r="C680" i="35"/>
  <c r="D680" i="35"/>
  <c r="F678" i="35"/>
  <c r="H678" i="35"/>
  <c r="E680" i="35" l="1"/>
  <c r="F680" i="35" s="1"/>
  <c r="H679" i="35"/>
  <c r="G679" i="35" s="1"/>
  <c r="I680" i="35"/>
  <c r="G678" i="35"/>
  <c r="J678" i="35" s="1"/>
  <c r="B682" i="35"/>
  <c r="C681" i="35"/>
  <c r="D681" i="35"/>
  <c r="I681" i="35" s="1"/>
  <c r="H680" i="35" l="1"/>
  <c r="G680" i="35" s="1"/>
  <c r="J680" i="35" s="1"/>
  <c r="E681" i="35"/>
  <c r="B683" i="35"/>
  <c r="C682" i="35"/>
  <c r="D682" i="35"/>
  <c r="J682" i="35" l="1"/>
  <c r="E682" i="35"/>
  <c r="F682" i="35" s="1"/>
  <c r="I682" i="35" s="1"/>
  <c r="B684" i="35"/>
  <c r="C683" i="35"/>
  <c r="D683" i="35"/>
  <c r="I683" i="35" s="1"/>
  <c r="H681" i="35"/>
  <c r="F681" i="35"/>
  <c r="H682" i="35" l="1"/>
  <c r="G682" i="35" s="1"/>
  <c r="E683" i="35"/>
  <c r="G681" i="35"/>
  <c r="J681" i="35" s="1"/>
  <c r="B685" i="35"/>
  <c r="D684" i="35"/>
  <c r="I684" i="35" s="1"/>
  <c r="C684" i="35"/>
  <c r="E684" i="35" l="1"/>
  <c r="B686" i="35"/>
  <c r="C685" i="35"/>
  <c r="D685" i="35"/>
  <c r="H683" i="35"/>
  <c r="F683" i="35"/>
  <c r="J685" i="35" l="1"/>
  <c r="E685" i="35"/>
  <c r="F685" i="35" s="1"/>
  <c r="I685" i="35" s="1"/>
  <c r="G683" i="35"/>
  <c r="J683" i="35" s="1"/>
  <c r="B687" i="35"/>
  <c r="D686" i="35"/>
  <c r="C686" i="35"/>
  <c r="H684" i="35"/>
  <c r="F684" i="35"/>
  <c r="H685" i="35" l="1"/>
  <c r="G685" i="35" s="1"/>
  <c r="G684" i="35"/>
  <c r="J684" i="35" s="1"/>
  <c r="E686" i="35"/>
  <c r="F686" i="35" s="1"/>
  <c r="I686" i="35"/>
  <c r="B688" i="35"/>
  <c r="C687" i="35"/>
  <c r="D687" i="35"/>
  <c r="I687" i="35" s="1"/>
  <c r="H686" i="35" l="1"/>
  <c r="G686" i="35" s="1"/>
  <c r="J686" i="35" s="1"/>
  <c r="E687" i="35"/>
  <c r="B689" i="35"/>
  <c r="C688" i="35"/>
  <c r="D688" i="35"/>
  <c r="J688" i="35" l="1"/>
  <c r="E688" i="35"/>
  <c r="F688" i="35" s="1"/>
  <c r="I688" i="35" s="1"/>
  <c r="B690" i="35"/>
  <c r="C689" i="35"/>
  <c r="D689" i="35"/>
  <c r="H687" i="35"/>
  <c r="F687" i="35"/>
  <c r="H688" i="35" l="1"/>
  <c r="G688" i="35" s="1"/>
  <c r="E689" i="35"/>
  <c r="F689" i="35" s="1"/>
  <c r="G687" i="35"/>
  <c r="J687" i="35" s="1"/>
  <c r="I689" i="35"/>
  <c r="B691" i="35"/>
  <c r="D690" i="35"/>
  <c r="C690" i="35"/>
  <c r="J690" i="35" l="1"/>
  <c r="H689" i="35"/>
  <c r="G689" i="35" s="1"/>
  <c r="J689" i="35" s="1"/>
  <c r="E690" i="35"/>
  <c r="B692" i="35"/>
  <c r="D691" i="35"/>
  <c r="I691" i="35" s="1"/>
  <c r="C691" i="35"/>
  <c r="E691" i="35" l="1"/>
  <c r="H690" i="35"/>
  <c r="F690" i="35"/>
  <c r="I690" i="35" s="1"/>
  <c r="B693" i="35"/>
  <c r="C692" i="35"/>
  <c r="D692" i="35"/>
  <c r="I692" i="35" s="1"/>
  <c r="E692" i="35" l="1"/>
  <c r="B694" i="35"/>
  <c r="C693" i="35"/>
  <c r="D693" i="35"/>
  <c r="G690" i="35"/>
  <c r="H691" i="35"/>
  <c r="F691" i="35"/>
  <c r="J693" i="35" l="1"/>
  <c r="E693" i="35"/>
  <c r="H693" i="35" s="1"/>
  <c r="G691" i="35"/>
  <c r="J691" i="35" s="1"/>
  <c r="B695" i="35"/>
  <c r="D694" i="35"/>
  <c r="I694" i="35" s="1"/>
  <c r="C694" i="35"/>
  <c r="H692" i="35"/>
  <c r="F692" i="35"/>
  <c r="F693" i="35" l="1"/>
  <c r="I693" i="35" s="1"/>
  <c r="E694" i="35"/>
  <c r="B696" i="35"/>
  <c r="C695" i="35"/>
  <c r="D695" i="35"/>
  <c r="I695" i="35" s="1"/>
  <c r="G692" i="35"/>
  <c r="J692" i="35" s="1"/>
  <c r="G693" i="35" l="1"/>
  <c r="E695" i="35"/>
  <c r="B697" i="35"/>
  <c r="C696" i="35"/>
  <c r="D696" i="35"/>
  <c r="F694" i="35"/>
  <c r="H694" i="35"/>
  <c r="J696" i="35" l="1"/>
  <c r="G694" i="35"/>
  <c r="J694" i="35" s="1"/>
  <c r="E696" i="35"/>
  <c r="F696" i="35" s="1"/>
  <c r="I696" i="35" s="1"/>
  <c r="B698" i="35"/>
  <c r="C697" i="35"/>
  <c r="D697" i="35"/>
  <c r="I697" i="35" s="1"/>
  <c r="F695" i="35"/>
  <c r="H695" i="35"/>
  <c r="G695" i="35" l="1"/>
  <c r="J695" i="35" s="1"/>
  <c r="H696" i="35"/>
  <c r="G696" i="35" s="1"/>
  <c r="E697" i="35"/>
  <c r="B699" i="35"/>
  <c r="C698" i="35"/>
  <c r="D698" i="35"/>
  <c r="J698" i="35" l="1"/>
  <c r="E698" i="35"/>
  <c r="F698" i="35" s="1"/>
  <c r="I698" i="35" s="1"/>
  <c r="B700" i="35"/>
  <c r="D699" i="35"/>
  <c r="I699" i="35" s="1"/>
  <c r="C699" i="35"/>
  <c r="F697" i="35"/>
  <c r="H697" i="35"/>
  <c r="H698" i="35" l="1"/>
  <c r="G698" i="35" s="1"/>
  <c r="E699" i="35"/>
  <c r="G697" i="35"/>
  <c r="J697" i="35" s="1"/>
  <c r="B701" i="35"/>
  <c r="C700" i="35"/>
  <c r="D700" i="35"/>
  <c r="E700" i="35" l="1"/>
  <c r="H700" i="35" s="1"/>
  <c r="I700" i="35"/>
  <c r="B702" i="35"/>
  <c r="C701" i="35"/>
  <c r="D701" i="35"/>
  <c r="F699" i="35"/>
  <c r="H699" i="35"/>
  <c r="F700" i="35" l="1"/>
  <c r="G700" i="35" s="1"/>
  <c r="J700" i="35" s="1"/>
  <c r="E701" i="35"/>
  <c r="F701" i="35" s="1"/>
  <c r="I701" i="35"/>
  <c r="B703" i="35"/>
  <c r="C702" i="35"/>
  <c r="D702" i="35"/>
  <c r="G699" i="35"/>
  <c r="J699" i="35" s="1"/>
  <c r="H701" i="35" l="1"/>
  <c r="G701" i="35" s="1"/>
  <c r="J701" i="35" s="1"/>
  <c r="E702" i="35"/>
  <c r="H702" i="35" s="1"/>
  <c r="I702" i="35"/>
  <c r="B704" i="35"/>
  <c r="D703" i="35"/>
  <c r="C703" i="35"/>
  <c r="F702" i="35" l="1"/>
  <c r="G702" i="35" s="1"/>
  <c r="J702" i="35" s="1"/>
  <c r="J703" i="35"/>
  <c r="E703" i="35"/>
  <c r="F703" i="35" s="1"/>
  <c r="I703" i="35" s="1"/>
  <c r="B705" i="35"/>
  <c r="C704" i="35"/>
  <c r="D704" i="35"/>
  <c r="H703" i="35" l="1"/>
  <c r="G703" i="35" s="1"/>
  <c r="E704" i="35"/>
  <c r="I704" i="35"/>
  <c r="B706" i="35"/>
  <c r="C705" i="35"/>
  <c r="D705" i="35"/>
  <c r="J705" i="35" l="1"/>
  <c r="E705" i="35"/>
  <c r="F705" i="35" s="1"/>
  <c r="I705" i="35" s="1"/>
  <c r="B707" i="35"/>
  <c r="C706" i="35"/>
  <c r="D706" i="35"/>
  <c r="H704" i="35"/>
  <c r="F704" i="35"/>
  <c r="H705" i="35" l="1"/>
  <c r="G705" i="35" s="1"/>
  <c r="E706" i="35"/>
  <c r="H706" i="35" s="1"/>
  <c r="G704" i="35"/>
  <c r="J704" i="35" s="1"/>
  <c r="I706" i="35"/>
  <c r="B708" i="35"/>
  <c r="C707" i="35"/>
  <c r="D707" i="35"/>
  <c r="E707" i="35" l="1"/>
  <c r="F707" i="35" s="1"/>
  <c r="I707" i="35" s="1"/>
  <c r="F706" i="35"/>
  <c r="J707" i="35"/>
  <c r="B709" i="35"/>
  <c r="D708" i="35"/>
  <c r="I708" i="35" s="1"/>
  <c r="C708" i="35"/>
  <c r="G706" i="35"/>
  <c r="J706" i="35" s="1"/>
  <c r="H707" i="35" l="1"/>
  <c r="G707" i="35" s="1"/>
  <c r="E708" i="35"/>
  <c r="B710" i="35"/>
  <c r="C709" i="35"/>
  <c r="D709" i="35"/>
  <c r="J709" i="35" l="1"/>
  <c r="E709" i="35"/>
  <c r="B711" i="35"/>
  <c r="C710" i="35"/>
  <c r="D710" i="35"/>
  <c r="F708" i="35"/>
  <c r="H708" i="35"/>
  <c r="J710" i="35" l="1"/>
  <c r="G708" i="35"/>
  <c r="J708" i="35" s="1"/>
  <c r="E710" i="35"/>
  <c r="B712" i="35"/>
  <c r="C711" i="35"/>
  <c r="D711" i="35"/>
  <c r="I711" i="35" s="1"/>
  <c r="H709" i="35"/>
  <c r="F709" i="35"/>
  <c r="I709" i="35" s="1"/>
  <c r="G709" i="35" l="1"/>
  <c r="E711" i="35"/>
  <c r="B713" i="35"/>
  <c r="C712" i="35"/>
  <c r="D712" i="35"/>
  <c r="H710" i="35"/>
  <c r="F710" i="35"/>
  <c r="J712" i="35" l="1"/>
  <c r="E712" i="35"/>
  <c r="G710" i="35"/>
  <c r="I710" i="35"/>
  <c r="B714" i="35"/>
  <c r="D713" i="35"/>
  <c r="C713" i="35"/>
  <c r="H711" i="35"/>
  <c r="F711" i="35"/>
  <c r="G711" i="35" l="1"/>
  <c r="J711" i="35" s="1"/>
  <c r="E713" i="35"/>
  <c r="B715" i="35"/>
  <c r="D714" i="35"/>
  <c r="C714" i="35"/>
  <c r="I713" i="35"/>
  <c r="F712" i="35"/>
  <c r="I712" i="35" s="1"/>
  <c r="H712" i="35"/>
  <c r="J714" i="35" l="1"/>
  <c r="G712" i="35"/>
  <c r="E714" i="35"/>
  <c r="F714" i="35" s="1"/>
  <c r="I714" i="35" s="1"/>
  <c r="B716" i="35"/>
  <c r="C715" i="35"/>
  <c r="D715" i="35"/>
  <c r="H713" i="35"/>
  <c r="F713" i="35"/>
  <c r="H714" i="35" l="1"/>
  <c r="G714" i="35" s="1"/>
  <c r="E715" i="35"/>
  <c r="H715" i="35" s="1"/>
  <c r="I715" i="35"/>
  <c r="G713" i="35"/>
  <c r="J713" i="35" s="1"/>
  <c r="B717" i="35"/>
  <c r="D716" i="35"/>
  <c r="C716" i="35"/>
  <c r="F715" i="35" l="1"/>
  <c r="G715" i="35" s="1"/>
  <c r="J715" i="35" s="1"/>
  <c r="J716" i="35"/>
  <c r="E716" i="35"/>
  <c r="H716" i="35" s="1"/>
  <c r="B718" i="35"/>
  <c r="C717" i="35"/>
  <c r="D717" i="35"/>
  <c r="I717" i="35" s="1"/>
  <c r="F716" i="35" l="1"/>
  <c r="G716" i="35" s="1"/>
  <c r="E717" i="35"/>
  <c r="B719" i="35"/>
  <c r="C718" i="35"/>
  <c r="D718" i="35"/>
  <c r="I718" i="35" s="1"/>
  <c r="I716" i="35" l="1"/>
  <c r="E718" i="35"/>
  <c r="B720" i="35"/>
  <c r="C719" i="35"/>
  <c r="D719" i="35"/>
  <c r="F717" i="35"/>
  <c r="H717" i="35"/>
  <c r="J719" i="35" l="1"/>
  <c r="G717" i="35"/>
  <c r="J717" i="35" s="1"/>
  <c r="E719" i="35"/>
  <c r="H719" i="35" s="1"/>
  <c r="B721" i="35"/>
  <c r="D720" i="35"/>
  <c r="I720" i="35" s="1"/>
  <c r="C720" i="35"/>
  <c r="H718" i="35"/>
  <c r="F718" i="35"/>
  <c r="F719" i="35" l="1"/>
  <c r="I719" i="35" s="1"/>
  <c r="G718" i="35"/>
  <c r="J718" i="35" s="1"/>
  <c r="E720" i="35"/>
  <c r="B722" i="35"/>
  <c r="C721" i="35"/>
  <c r="D721" i="35"/>
  <c r="I721" i="35" s="1"/>
  <c r="G719" i="35"/>
  <c r="E721" i="35" l="1"/>
  <c r="B723" i="35"/>
  <c r="C722" i="35"/>
  <c r="D722" i="35"/>
  <c r="F720" i="35"/>
  <c r="H720" i="35"/>
  <c r="G720" i="35" l="1"/>
  <c r="J720" i="35" s="1"/>
  <c r="J722" i="35"/>
  <c r="E722" i="35"/>
  <c r="H722" i="35" s="1"/>
  <c r="B724" i="35"/>
  <c r="C723" i="35"/>
  <c r="D723" i="35"/>
  <c r="I723" i="35" s="1"/>
  <c r="F721" i="35"/>
  <c r="H721" i="35"/>
  <c r="F722" i="35" l="1"/>
  <c r="I722" i="35" s="1"/>
  <c r="G721" i="35"/>
  <c r="J721" i="35" s="1"/>
  <c r="E723" i="35"/>
  <c r="B725" i="35"/>
  <c r="C724" i="35"/>
  <c r="D724" i="35"/>
  <c r="G722" i="35" l="1"/>
  <c r="J724" i="35"/>
  <c r="E724" i="35"/>
  <c r="H724" i="35" s="1"/>
  <c r="B726" i="35"/>
  <c r="C725" i="35"/>
  <c r="D725" i="35"/>
  <c r="I725" i="35" s="1"/>
  <c r="H723" i="35"/>
  <c r="F723" i="35"/>
  <c r="F724" i="35" l="1"/>
  <c r="I724" i="35" s="1"/>
  <c r="G723" i="35"/>
  <c r="J723" i="35" s="1"/>
  <c r="E725" i="35"/>
  <c r="B727" i="35"/>
  <c r="D726" i="35"/>
  <c r="C726" i="35"/>
  <c r="G724" i="35"/>
  <c r="J726" i="35" l="1"/>
  <c r="B728" i="35"/>
  <c r="D727" i="35"/>
  <c r="I727" i="35" s="1"/>
  <c r="C727" i="35"/>
  <c r="E726" i="35"/>
  <c r="H725" i="35"/>
  <c r="F725" i="35"/>
  <c r="G725" i="35" l="1"/>
  <c r="J725" i="35" s="1"/>
  <c r="F726" i="35"/>
  <c r="I726" i="35" s="1"/>
  <c r="H726" i="35"/>
  <c r="E727" i="35"/>
  <c r="B729" i="35"/>
  <c r="C728" i="35"/>
  <c r="D728" i="35"/>
  <c r="G726" i="35" l="1"/>
  <c r="J728" i="35"/>
  <c r="E728" i="35"/>
  <c r="F728" i="35" s="1"/>
  <c r="I728" i="35" s="1"/>
  <c r="F727" i="35"/>
  <c r="H727" i="35"/>
  <c r="B730" i="35"/>
  <c r="C729" i="35"/>
  <c r="D729" i="35"/>
  <c r="I729" i="35" s="1"/>
  <c r="J729" i="35" l="1"/>
  <c r="G727" i="35"/>
  <c r="J727" i="35" s="1"/>
  <c r="H728" i="35"/>
  <c r="G728" i="35" s="1"/>
  <c r="E729" i="35"/>
  <c r="B731" i="35"/>
  <c r="C730" i="35"/>
  <c r="D730" i="35"/>
  <c r="J730" i="35" l="1"/>
  <c r="E730" i="35"/>
  <c r="B732" i="35"/>
  <c r="C731" i="35"/>
  <c r="D731" i="35"/>
  <c r="F729" i="35"/>
  <c r="H729" i="35"/>
  <c r="G729" i="35" l="1"/>
  <c r="E731" i="35"/>
  <c r="F731" i="35" s="1"/>
  <c r="I731" i="35"/>
  <c r="B733" i="35"/>
  <c r="D732" i="35"/>
  <c r="C732" i="35"/>
  <c r="H730" i="35"/>
  <c r="F730" i="35"/>
  <c r="I730" i="35" s="1"/>
  <c r="H731" i="35" l="1"/>
  <c r="G731" i="35" s="1"/>
  <c r="J731" i="35" s="1"/>
  <c r="E732" i="35"/>
  <c r="F732" i="35" s="1"/>
  <c r="I732" i="35" s="1"/>
  <c r="G730" i="35"/>
  <c r="J732" i="35"/>
  <c r="B734" i="35"/>
  <c r="C733" i="35"/>
  <c r="D733" i="35"/>
  <c r="J733" i="35" l="1"/>
  <c r="H732" i="35"/>
  <c r="G732" i="35" s="1"/>
  <c r="E733" i="35"/>
  <c r="H733" i="35" s="1"/>
  <c r="I733" i="35"/>
  <c r="B735" i="35"/>
  <c r="C734" i="35"/>
  <c r="D734" i="35"/>
  <c r="F733" i="35" l="1"/>
  <c r="G733" i="35" s="1"/>
  <c r="J734" i="35"/>
  <c r="E734" i="35"/>
  <c r="F734" i="35" s="1"/>
  <c r="I734" i="35" s="1"/>
  <c r="B736" i="35"/>
  <c r="D735" i="35"/>
  <c r="I735" i="35" s="1"/>
  <c r="C735" i="35"/>
  <c r="J735" i="35" s="1"/>
  <c r="H734" i="35" l="1"/>
  <c r="G734" i="35" s="1"/>
  <c r="E735" i="35"/>
  <c r="B737" i="35"/>
  <c r="D736" i="35"/>
  <c r="C736" i="35"/>
  <c r="J736" i="35" l="1"/>
  <c r="E736" i="35"/>
  <c r="F736" i="35" s="1"/>
  <c r="I736" i="35" s="1"/>
  <c r="B738" i="35"/>
  <c r="C737" i="35"/>
  <c r="D737" i="35"/>
  <c r="F735" i="35"/>
  <c r="H735" i="35"/>
  <c r="H736" i="35" l="1"/>
  <c r="G736" i="35" s="1"/>
  <c r="J737" i="35"/>
  <c r="G735" i="35"/>
  <c r="E737" i="35"/>
  <c r="F737" i="35" s="1"/>
  <c r="I737" i="35" s="1"/>
  <c r="B739" i="35"/>
  <c r="C738" i="35"/>
  <c r="D738" i="35"/>
  <c r="I738" i="35" s="1"/>
  <c r="H737" i="35" l="1"/>
  <c r="G737" i="35" s="1"/>
  <c r="E738" i="35"/>
  <c r="B740" i="35"/>
  <c r="C739" i="35"/>
  <c r="D739" i="35"/>
  <c r="J739" i="35" l="1"/>
  <c r="E739" i="35"/>
  <c r="H739" i="35" s="1"/>
  <c r="B741" i="35"/>
  <c r="D740" i="35"/>
  <c r="C740" i="35"/>
  <c r="F738" i="35"/>
  <c r="H738" i="35"/>
  <c r="G738" i="35" l="1"/>
  <c r="J738" i="35" s="1"/>
  <c r="E740" i="35"/>
  <c r="F739" i="35"/>
  <c r="I739" i="35" s="1"/>
  <c r="F740" i="35"/>
  <c r="H740" i="35"/>
  <c r="I740" i="35"/>
  <c r="B742" i="35"/>
  <c r="C741" i="35"/>
  <c r="D741" i="35"/>
  <c r="I741" i="35" s="1"/>
  <c r="G739" i="35" l="1"/>
  <c r="G740" i="35"/>
  <c r="J740" i="35" s="1"/>
  <c r="E741" i="35"/>
  <c r="B743" i="35"/>
  <c r="C742" i="35"/>
  <c r="D742" i="35"/>
  <c r="J742" i="35" l="1"/>
  <c r="E742" i="35"/>
  <c r="F742" i="35" s="1"/>
  <c r="I742" i="35" s="1"/>
  <c r="B744" i="35"/>
  <c r="C743" i="35"/>
  <c r="D743" i="35"/>
  <c r="I743" i="35" s="1"/>
  <c r="F741" i="35"/>
  <c r="H741" i="35"/>
  <c r="H742" i="35" l="1"/>
  <c r="G742" i="35" s="1"/>
  <c r="G741" i="35"/>
  <c r="J741" i="35" s="1"/>
  <c r="E743" i="35"/>
  <c r="B745" i="35"/>
  <c r="D744" i="35"/>
  <c r="I744" i="35" s="1"/>
  <c r="C744" i="35"/>
  <c r="E744" i="35" l="1"/>
  <c r="B746" i="35"/>
  <c r="D745" i="35"/>
  <c r="C745" i="35"/>
  <c r="F743" i="35"/>
  <c r="H743" i="35"/>
  <c r="G743" i="35" l="1"/>
  <c r="J743" i="35" s="1"/>
  <c r="J745" i="35"/>
  <c r="E745" i="35"/>
  <c r="H745" i="35" s="1"/>
  <c r="B747" i="35"/>
  <c r="C746" i="35"/>
  <c r="D746" i="35"/>
  <c r="F744" i="35"/>
  <c r="H744" i="35"/>
  <c r="F745" i="35" l="1"/>
  <c r="I745" i="35" s="1"/>
  <c r="E746" i="35"/>
  <c r="F746" i="35" s="1"/>
  <c r="I746" i="35"/>
  <c r="B748" i="35"/>
  <c r="C747" i="35"/>
  <c r="D747" i="35"/>
  <c r="I747" i="35" s="1"/>
  <c r="G744" i="35"/>
  <c r="J744" i="35" s="1"/>
  <c r="H746" i="35" l="1"/>
  <c r="G746" i="35" s="1"/>
  <c r="J746" i="35" s="1"/>
  <c r="G745" i="35"/>
  <c r="E747" i="35"/>
  <c r="B749" i="35"/>
  <c r="C748" i="35"/>
  <c r="D748" i="35"/>
  <c r="J748" i="35" l="1"/>
  <c r="E748" i="35"/>
  <c r="F748" i="35" s="1"/>
  <c r="I748" i="35" s="1"/>
  <c r="B750" i="35"/>
  <c r="C749" i="35"/>
  <c r="D749" i="35"/>
  <c r="F747" i="35"/>
  <c r="H747" i="35"/>
  <c r="H748" i="35" l="1"/>
  <c r="G748" i="35" s="1"/>
  <c r="E749" i="35"/>
  <c r="F749" i="35" s="1"/>
  <c r="I749" i="35"/>
  <c r="G747" i="35"/>
  <c r="J747" i="35" s="1"/>
  <c r="B751" i="35"/>
  <c r="D750" i="35"/>
  <c r="I750" i="35" s="1"/>
  <c r="C750" i="35"/>
  <c r="H749" i="35" l="1"/>
  <c r="G749" i="35" s="1"/>
  <c r="J749" i="35" s="1"/>
  <c r="E750" i="35"/>
  <c r="B752" i="35"/>
  <c r="C751" i="35"/>
  <c r="D751" i="35"/>
  <c r="I751" i="35" s="1"/>
  <c r="E751" i="35" l="1"/>
  <c r="B753" i="35"/>
  <c r="C752" i="35"/>
  <c r="D752" i="35"/>
  <c r="F750" i="35"/>
  <c r="H750" i="35"/>
  <c r="G750" i="35" l="1"/>
  <c r="J750" i="35" s="1"/>
  <c r="E752" i="35"/>
  <c r="F752" i="35" s="1"/>
  <c r="I752" i="35"/>
  <c r="B754" i="35"/>
  <c r="C753" i="35"/>
  <c r="D753" i="35"/>
  <c r="I753" i="35" s="1"/>
  <c r="H751" i="35"/>
  <c r="F751" i="35"/>
  <c r="H752" i="35" l="1"/>
  <c r="G752" i="35" s="1"/>
  <c r="J752" i="35" s="1"/>
  <c r="G751" i="35"/>
  <c r="J751" i="35" s="1"/>
  <c r="E753" i="35"/>
  <c r="B755" i="35"/>
  <c r="C754" i="35"/>
  <c r="D754" i="35"/>
  <c r="I754" i="35" s="1"/>
  <c r="E754" i="35" l="1"/>
  <c r="B756" i="35"/>
  <c r="D755" i="35"/>
  <c r="C755" i="35"/>
  <c r="F753" i="35"/>
  <c r="H753" i="35"/>
  <c r="G753" i="35" l="1"/>
  <c r="J753" i="35" s="1"/>
  <c r="E755" i="35"/>
  <c r="H755" i="35" s="1"/>
  <c r="I755" i="35"/>
  <c r="B757" i="35"/>
  <c r="C756" i="35"/>
  <c r="D756" i="35"/>
  <c r="I756" i="35" s="1"/>
  <c r="F754" i="35"/>
  <c r="H754" i="35"/>
  <c r="F755" i="35" l="1"/>
  <c r="E756" i="35"/>
  <c r="G754" i="35"/>
  <c r="J754" i="35" s="1"/>
  <c r="B758" i="35"/>
  <c r="D757" i="35"/>
  <c r="C757" i="35"/>
  <c r="G755" i="35"/>
  <c r="J755" i="35" s="1"/>
  <c r="E757" i="35" l="1"/>
  <c r="F757" i="35" s="1"/>
  <c r="I757" i="35"/>
  <c r="B759" i="35"/>
  <c r="C758" i="35"/>
  <c r="D758" i="35"/>
  <c r="I758" i="35" s="1"/>
  <c r="F756" i="35"/>
  <c r="H756" i="35"/>
  <c r="J758" i="35" l="1"/>
  <c r="H757" i="35"/>
  <c r="G757" i="35" s="1"/>
  <c r="J757" i="35" s="1"/>
  <c r="G756" i="35"/>
  <c r="J756" i="35" s="1"/>
  <c r="E758" i="35"/>
  <c r="B760" i="35"/>
  <c r="C759" i="35"/>
  <c r="D759" i="35"/>
  <c r="I759" i="35" s="1"/>
  <c r="J759" i="35" l="1"/>
  <c r="E759" i="35"/>
  <c r="B761" i="35"/>
  <c r="C760" i="35"/>
  <c r="D760" i="35"/>
  <c r="F758" i="35"/>
  <c r="H758" i="35"/>
  <c r="G758" i="35" l="1"/>
  <c r="J760" i="35"/>
  <c r="E760" i="35"/>
  <c r="F760" i="35" s="1"/>
  <c r="I760" i="35" s="1"/>
  <c r="B762" i="35"/>
  <c r="D761" i="35"/>
  <c r="C761" i="35"/>
  <c r="F759" i="35"/>
  <c r="H759" i="35"/>
  <c r="H760" i="35" l="1"/>
  <c r="G760" i="35" s="1"/>
  <c r="E761" i="35"/>
  <c r="H761" i="35" s="1"/>
  <c r="G759" i="35"/>
  <c r="I761" i="35"/>
  <c r="B763" i="35"/>
  <c r="C762" i="35"/>
  <c r="D762" i="35"/>
  <c r="I762" i="35" s="1"/>
  <c r="F761" i="35" l="1"/>
  <c r="E762" i="35"/>
  <c r="B764" i="35"/>
  <c r="C763" i="35"/>
  <c r="D763" i="35"/>
  <c r="I763" i="35" s="1"/>
  <c r="G761" i="35"/>
  <c r="J761" i="35" s="1"/>
  <c r="E763" i="35" l="1"/>
  <c r="B765" i="35"/>
  <c r="C764" i="35"/>
  <c r="D764" i="35"/>
  <c r="F762" i="35"/>
  <c r="H762" i="35"/>
  <c r="G762" i="35" l="1"/>
  <c r="J762" i="35" s="1"/>
  <c r="E764" i="35"/>
  <c r="H764" i="35" s="1"/>
  <c r="I764" i="35"/>
  <c r="B766" i="35"/>
  <c r="C765" i="35"/>
  <c r="D765" i="35"/>
  <c r="I765" i="35" s="1"/>
  <c r="F763" i="35"/>
  <c r="H763" i="35"/>
  <c r="F764" i="35" l="1"/>
  <c r="G763" i="35"/>
  <c r="J763" i="35" s="1"/>
  <c r="E765" i="35"/>
  <c r="B767" i="35"/>
  <c r="D766" i="35"/>
  <c r="I766" i="35" s="1"/>
  <c r="C766" i="35"/>
  <c r="J766" i="35" s="1"/>
  <c r="G764" i="35"/>
  <c r="J764" i="35" s="1"/>
  <c r="E766" i="35" l="1"/>
  <c r="B768" i="35"/>
  <c r="C767" i="35"/>
  <c r="D767" i="35"/>
  <c r="F765" i="35"/>
  <c r="H765" i="35"/>
  <c r="J767" i="35" l="1"/>
  <c r="G765" i="35"/>
  <c r="J765" i="35" s="1"/>
  <c r="E767" i="35"/>
  <c r="H767" i="35" s="1"/>
  <c r="B769" i="35"/>
  <c r="D768" i="35"/>
  <c r="I768" i="35" s="1"/>
  <c r="C768" i="35"/>
  <c r="F766" i="35"/>
  <c r="H766" i="35"/>
  <c r="F767" i="35" l="1"/>
  <c r="I767" i="35" s="1"/>
  <c r="G766" i="35"/>
  <c r="E768" i="35"/>
  <c r="B770" i="35"/>
  <c r="C769" i="35"/>
  <c r="D769" i="35"/>
  <c r="I769" i="35" s="1"/>
  <c r="G767" i="35"/>
  <c r="E769" i="35" l="1"/>
  <c r="B771" i="35"/>
  <c r="C770" i="35"/>
  <c r="D770" i="35"/>
  <c r="F768" i="35"/>
  <c r="H768" i="35"/>
  <c r="G768" i="35" l="1"/>
  <c r="J768" i="35" s="1"/>
  <c r="E770" i="35"/>
  <c r="F770" i="35" s="1"/>
  <c r="I770" i="35"/>
  <c r="B772" i="35"/>
  <c r="C771" i="35"/>
  <c r="D771" i="35"/>
  <c r="I771" i="35" s="1"/>
  <c r="H769" i="35"/>
  <c r="F769" i="35"/>
  <c r="H770" i="35" l="1"/>
  <c r="G770" i="35" s="1"/>
  <c r="J770" i="35" s="1"/>
  <c r="G769" i="35"/>
  <c r="J769" i="35" s="1"/>
  <c r="E771" i="35"/>
  <c r="B773" i="35"/>
  <c r="D772" i="35"/>
  <c r="I772" i="35" s="1"/>
  <c r="C772" i="35"/>
  <c r="E772" i="35" l="1"/>
  <c r="B774" i="35"/>
  <c r="C773" i="35"/>
  <c r="D773" i="35"/>
  <c r="F771" i="35"/>
  <c r="H771" i="35"/>
  <c r="G771" i="35" l="1"/>
  <c r="J771" i="35" s="1"/>
  <c r="E773" i="35"/>
  <c r="F773" i="35" s="1"/>
  <c r="I773" i="35"/>
  <c r="B775" i="35"/>
  <c r="C774" i="35"/>
  <c r="D774" i="35"/>
  <c r="I774" i="35" s="1"/>
  <c r="F772" i="35"/>
  <c r="H772" i="35"/>
  <c r="H773" i="35" l="1"/>
  <c r="G773" i="35" s="1"/>
  <c r="J773" i="35" s="1"/>
  <c r="G772" i="35"/>
  <c r="J772" i="35" s="1"/>
  <c r="E774" i="35"/>
  <c r="B776" i="35"/>
  <c r="C775" i="35"/>
  <c r="D775" i="35"/>
  <c r="E775" i="35" l="1"/>
  <c r="H775" i="35" s="1"/>
  <c r="I775" i="35"/>
  <c r="B777" i="35"/>
  <c r="C776" i="35"/>
  <c r="D776" i="35"/>
  <c r="F774" i="35"/>
  <c r="H774" i="35"/>
  <c r="F775" i="35" l="1"/>
  <c r="G775" i="35" s="1"/>
  <c r="J775" i="35" s="1"/>
  <c r="E776" i="35"/>
  <c r="H776" i="35" s="1"/>
  <c r="G774" i="35"/>
  <c r="J774" i="35" s="1"/>
  <c r="I776" i="35"/>
  <c r="B778" i="35"/>
  <c r="D777" i="35"/>
  <c r="I777" i="35" s="1"/>
  <c r="C777" i="35"/>
  <c r="F776" i="35" l="1"/>
  <c r="E777" i="35"/>
  <c r="B779" i="35"/>
  <c r="C778" i="35"/>
  <c r="D778" i="35"/>
  <c r="G776" i="35"/>
  <c r="J776" i="35" s="1"/>
  <c r="E778" i="35" l="1"/>
  <c r="F778" i="35" s="1"/>
  <c r="I778" i="35"/>
  <c r="B780" i="35"/>
  <c r="C779" i="35"/>
  <c r="D779" i="35"/>
  <c r="I779" i="35" s="1"/>
  <c r="F777" i="35"/>
  <c r="H777" i="35"/>
  <c r="H778" i="35" l="1"/>
  <c r="G778" i="35" s="1"/>
  <c r="J778" i="35" s="1"/>
  <c r="G777" i="35"/>
  <c r="J777" i="35" s="1"/>
  <c r="E779" i="35"/>
  <c r="B781" i="35"/>
  <c r="C780" i="35"/>
  <c r="D780" i="35"/>
  <c r="J780" i="35" l="1"/>
  <c r="E780" i="35"/>
  <c r="F780" i="35" s="1"/>
  <c r="I780" i="35" s="1"/>
  <c r="B782" i="35"/>
  <c r="D781" i="35"/>
  <c r="I781" i="35" s="1"/>
  <c r="C781" i="35"/>
  <c r="H779" i="35"/>
  <c r="F779" i="35"/>
  <c r="H780" i="35" l="1"/>
  <c r="G780" i="35" s="1"/>
  <c r="G779" i="35"/>
  <c r="J779" i="35" s="1"/>
  <c r="B783" i="35"/>
  <c r="C782" i="35"/>
  <c r="D782" i="35"/>
  <c r="I782" i="35" s="1"/>
  <c r="E781" i="35"/>
  <c r="J782" i="35" l="1"/>
  <c r="H781" i="35"/>
  <c r="F781" i="35"/>
  <c r="E782" i="35"/>
  <c r="B784" i="35"/>
  <c r="C783" i="35"/>
  <c r="D783" i="35"/>
  <c r="I783" i="35" s="1"/>
  <c r="J783" i="35" l="1"/>
  <c r="E783" i="35"/>
  <c r="B785" i="35"/>
  <c r="D784" i="35"/>
  <c r="I784" i="35" s="1"/>
  <c r="C784" i="35"/>
  <c r="F782" i="35"/>
  <c r="H782" i="35"/>
  <c r="G781" i="35"/>
  <c r="J781" i="35" s="1"/>
  <c r="J784" i="35" l="1"/>
  <c r="G782" i="35"/>
  <c r="E784" i="35"/>
  <c r="B786" i="35"/>
  <c r="C785" i="35"/>
  <c r="D785" i="35"/>
  <c r="H783" i="35"/>
  <c r="F783" i="35"/>
  <c r="J785" i="35" l="1"/>
  <c r="E785" i="35"/>
  <c r="F785" i="35" s="1"/>
  <c r="I785" i="35" s="1"/>
  <c r="G783" i="35"/>
  <c r="B787" i="35"/>
  <c r="C786" i="35"/>
  <c r="D786" i="35"/>
  <c r="I786" i="35" s="1"/>
  <c r="H784" i="35"/>
  <c r="F784" i="35"/>
  <c r="H785" i="35" l="1"/>
  <c r="G785" i="35" s="1"/>
  <c r="G784" i="35"/>
  <c r="E786" i="35"/>
  <c r="B788" i="35"/>
  <c r="C787" i="35"/>
  <c r="D787" i="35"/>
  <c r="I787" i="35" s="1"/>
  <c r="E787" i="35" l="1"/>
  <c r="B789" i="35"/>
  <c r="C788" i="35"/>
  <c r="D788" i="35"/>
  <c r="F786" i="35"/>
  <c r="H786" i="35"/>
  <c r="E788" i="35" l="1"/>
  <c r="H788" i="35" s="1"/>
  <c r="G786" i="35"/>
  <c r="J786" i="35" s="1"/>
  <c r="I788" i="35"/>
  <c r="B790" i="35"/>
  <c r="C789" i="35"/>
  <c r="D789" i="35"/>
  <c r="I789" i="35" s="1"/>
  <c r="H787" i="35"/>
  <c r="F787" i="35"/>
  <c r="F788" i="35" l="1"/>
  <c r="G787" i="35"/>
  <c r="J787" i="35" s="1"/>
  <c r="E789" i="35"/>
  <c r="B791" i="35"/>
  <c r="C790" i="35"/>
  <c r="D790" i="35"/>
  <c r="G788" i="35"/>
  <c r="J788" i="35" s="1"/>
  <c r="J790" i="35" l="1"/>
  <c r="E790" i="35"/>
  <c r="B792" i="35"/>
  <c r="D791" i="35"/>
  <c r="C791" i="35"/>
  <c r="J791" i="35" s="1"/>
  <c r="H789" i="35"/>
  <c r="F789" i="35"/>
  <c r="G789" i="35" l="1"/>
  <c r="J789" i="35" s="1"/>
  <c r="E791" i="35"/>
  <c r="F791" i="35" s="1"/>
  <c r="I791" i="35" s="1"/>
  <c r="B793" i="35"/>
  <c r="C792" i="35"/>
  <c r="D792" i="35"/>
  <c r="I792" i="35" s="1"/>
  <c r="H790" i="35"/>
  <c r="F790" i="35"/>
  <c r="I790" i="35" s="1"/>
  <c r="H791" i="35" l="1"/>
  <c r="G791" i="35" s="1"/>
  <c r="G790" i="35"/>
  <c r="B794" i="35"/>
  <c r="D793" i="35"/>
  <c r="C793" i="35"/>
  <c r="E792" i="35"/>
  <c r="E793" i="35" l="1"/>
  <c r="F793" i="35" s="1"/>
  <c r="I793" i="35" s="1"/>
  <c r="J793" i="35"/>
  <c r="H792" i="35"/>
  <c r="F792" i="35"/>
  <c r="B795" i="35"/>
  <c r="C794" i="35"/>
  <c r="D794" i="35"/>
  <c r="H793" i="35" l="1"/>
  <c r="G793" i="35" s="1"/>
  <c r="E794" i="35"/>
  <c r="H794" i="35" s="1"/>
  <c r="G792" i="35"/>
  <c r="J792" i="35" s="1"/>
  <c r="I794" i="35"/>
  <c r="B796" i="35"/>
  <c r="C795" i="35"/>
  <c r="D795" i="35"/>
  <c r="F794" i="35" l="1"/>
  <c r="G794" i="35" s="1"/>
  <c r="J794" i="35" s="1"/>
  <c r="J795" i="35"/>
  <c r="E795" i="35"/>
  <c r="F795" i="35" s="1"/>
  <c r="I795" i="35" s="1"/>
  <c r="B797" i="35"/>
  <c r="D796" i="35"/>
  <c r="I796" i="35" s="1"/>
  <c r="C796" i="35"/>
  <c r="H795" i="35" l="1"/>
  <c r="G795" i="35" s="1"/>
  <c r="E796" i="35"/>
  <c r="B798" i="35"/>
  <c r="C797" i="35"/>
  <c r="D797" i="35"/>
  <c r="J797" i="35" l="1"/>
  <c r="E797" i="35"/>
  <c r="F797" i="35" s="1"/>
  <c r="I797" i="35" s="1"/>
  <c r="B799" i="35"/>
  <c r="D798" i="35"/>
  <c r="I798" i="35" s="1"/>
  <c r="C798" i="35"/>
  <c r="F796" i="35"/>
  <c r="H796" i="35"/>
  <c r="G796" i="35" l="1"/>
  <c r="J796" i="35" s="1"/>
  <c r="H797" i="35"/>
  <c r="G797" i="35" s="1"/>
  <c r="B800" i="35"/>
  <c r="C799" i="35"/>
  <c r="D799" i="35"/>
  <c r="E798" i="35"/>
  <c r="J799" i="35" l="1"/>
  <c r="E799" i="35"/>
  <c r="H799" i="35" s="1"/>
  <c r="H798" i="35"/>
  <c r="F798" i="35"/>
  <c r="B801" i="35"/>
  <c r="C800" i="35"/>
  <c r="D800" i="35"/>
  <c r="I800" i="35" s="1"/>
  <c r="F799" i="35" l="1"/>
  <c r="G799" i="35" s="1"/>
  <c r="E800" i="35"/>
  <c r="B802" i="35"/>
  <c r="C801" i="35"/>
  <c r="D801" i="35"/>
  <c r="I801" i="35" s="1"/>
  <c r="I799" i="35"/>
  <c r="G798" i="35"/>
  <c r="J798" i="35" s="1"/>
  <c r="E801" i="35" l="1"/>
  <c r="B803" i="35"/>
  <c r="D802" i="35"/>
  <c r="C802" i="35"/>
  <c r="F800" i="35"/>
  <c r="H800" i="35"/>
  <c r="J802" i="35" l="1"/>
  <c r="G800" i="35"/>
  <c r="J800" i="35" s="1"/>
  <c r="E802" i="35"/>
  <c r="B804" i="35"/>
  <c r="C803" i="35"/>
  <c r="D803" i="35"/>
  <c r="F801" i="35"/>
  <c r="H801" i="35"/>
  <c r="E803" i="35" l="1"/>
  <c r="F803" i="35" s="1"/>
  <c r="I803" i="35"/>
  <c r="B805" i="35"/>
  <c r="C804" i="35"/>
  <c r="D804" i="35"/>
  <c r="H802" i="35"/>
  <c r="F802" i="35"/>
  <c r="I802" i="35" s="1"/>
  <c r="G801" i="35"/>
  <c r="J801" i="35" s="1"/>
  <c r="J804" i="35" l="1"/>
  <c r="H803" i="35"/>
  <c r="G803" i="35" s="1"/>
  <c r="J803" i="35" s="1"/>
  <c r="E804" i="35"/>
  <c r="H804" i="35" s="1"/>
  <c r="B806" i="35"/>
  <c r="D805" i="35"/>
  <c r="C805" i="35"/>
  <c r="G802" i="35"/>
  <c r="F804" i="35" l="1"/>
  <c r="I804" i="35" s="1"/>
  <c r="E805" i="35"/>
  <c r="F805" i="35" s="1"/>
  <c r="I805" i="35"/>
  <c r="B807" i="35"/>
  <c r="C806" i="35"/>
  <c r="D806" i="35"/>
  <c r="G804" i="35"/>
  <c r="H805" i="35" l="1"/>
  <c r="G805" i="35" s="1"/>
  <c r="J805" i="35" s="1"/>
  <c r="E806" i="35"/>
  <c r="H806" i="35" s="1"/>
  <c r="J806" i="35"/>
  <c r="B808" i="35"/>
  <c r="C807" i="35"/>
  <c r="D807" i="35"/>
  <c r="I807" i="35" s="1"/>
  <c r="F806" i="35" l="1"/>
  <c r="I806" i="35" s="1"/>
  <c r="E807" i="35"/>
  <c r="B809" i="35"/>
  <c r="D808" i="35"/>
  <c r="C808" i="35"/>
  <c r="G806" i="35"/>
  <c r="E808" i="35" l="1"/>
  <c r="F808" i="35" s="1"/>
  <c r="I808" i="35"/>
  <c r="B810" i="35"/>
  <c r="C809" i="35"/>
  <c r="D809" i="35"/>
  <c r="H807" i="35"/>
  <c r="F807" i="35"/>
  <c r="H808" i="35" l="1"/>
  <c r="G808" i="35" s="1"/>
  <c r="J808" i="35" s="1"/>
  <c r="E809" i="35"/>
  <c r="H809" i="35" s="1"/>
  <c r="B811" i="35"/>
  <c r="C810" i="35"/>
  <c r="D810" i="35"/>
  <c r="I810" i="35" s="1"/>
  <c r="I809" i="35"/>
  <c r="G807" i="35"/>
  <c r="J807" i="35" s="1"/>
  <c r="F809" i="35" l="1"/>
  <c r="E810" i="35"/>
  <c r="B812" i="35"/>
  <c r="D811" i="35"/>
  <c r="I811" i="35" s="1"/>
  <c r="C811" i="35"/>
  <c r="G809" i="35"/>
  <c r="J809" i="35" s="1"/>
  <c r="E811" i="35" l="1"/>
  <c r="B813" i="35"/>
  <c r="C812" i="35"/>
  <c r="D812" i="35"/>
  <c r="F810" i="35"/>
  <c r="H810" i="35"/>
  <c r="J812" i="35" l="1"/>
  <c r="G810" i="35"/>
  <c r="J810" i="35" s="1"/>
  <c r="E812" i="35"/>
  <c r="F812" i="35" s="1"/>
  <c r="I812" i="35" s="1"/>
  <c r="B814" i="35"/>
  <c r="D813" i="35"/>
  <c r="C813" i="35"/>
  <c r="H811" i="35"/>
  <c r="F811" i="35"/>
  <c r="H812" i="35" l="1"/>
  <c r="G812" i="35" s="1"/>
  <c r="E813" i="35"/>
  <c r="F813" i="35" s="1"/>
  <c r="I813" i="35"/>
  <c r="B815" i="35"/>
  <c r="C814" i="35"/>
  <c r="D814" i="35"/>
  <c r="I814" i="35" s="1"/>
  <c r="G811" i="35"/>
  <c r="J811" i="35" s="1"/>
  <c r="H813" i="35" l="1"/>
  <c r="G813" i="35" s="1"/>
  <c r="J813" i="35" s="1"/>
  <c r="E814" i="35"/>
  <c r="B816" i="35"/>
  <c r="C815" i="35"/>
  <c r="D815" i="35"/>
  <c r="J815" i="35" l="1"/>
  <c r="E815" i="35"/>
  <c r="F815" i="35" s="1"/>
  <c r="I815" i="35" s="1"/>
  <c r="B817" i="35"/>
  <c r="D816" i="35"/>
  <c r="C816" i="35"/>
  <c r="H814" i="35"/>
  <c r="F814" i="35"/>
  <c r="J816" i="35" l="1"/>
  <c r="H815" i="35"/>
  <c r="G815" i="35" s="1"/>
  <c r="E816" i="35"/>
  <c r="H816" i="35" s="1"/>
  <c r="I816" i="35"/>
  <c r="B818" i="35"/>
  <c r="C817" i="35"/>
  <c r="D817" i="35"/>
  <c r="I817" i="35" s="1"/>
  <c r="G814" i="35"/>
  <c r="J814" i="35" s="1"/>
  <c r="J817" i="35" l="1"/>
  <c r="F816" i="35"/>
  <c r="E817" i="35"/>
  <c r="B819" i="35"/>
  <c r="C818" i="35"/>
  <c r="D818" i="35"/>
  <c r="G816" i="35"/>
  <c r="J818" i="35" l="1"/>
  <c r="E818" i="35"/>
  <c r="F818" i="35" s="1"/>
  <c r="I818" i="35"/>
  <c r="B820" i="35"/>
  <c r="D819" i="35"/>
  <c r="C819" i="35"/>
  <c r="J819" i="35" s="1"/>
  <c r="H817" i="35"/>
  <c r="F817" i="35"/>
  <c r="H818" i="35" l="1"/>
  <c r="G818" i="35" s="1"/>
  <c r="E819" i="35"/>
  <c r="F819" i="35" s="1"/>
  <c r="I819" i="35"/>
  <c r="B821" i="35"/>
  <c r="C820" i="35"/>
  <c r="D820" i="35"/>
  <c r="I820" i="35" s="1"/>
  <c r="G817" i="35"/>
  <c r="J820" i="35" l="1"/>
  <c r="H819" i="35"/>
  <c r="G819" i="35" s="1"/>
  <c r="E820" i="35"/>
  <c r="B822" i="35"/>
  <c r="C821" i="35"/>
  <c r="D821" i="35"/>
  <c r="J821" i="35" l="1"/>
  <c r="E821" i="35"/>
  <c r="F821" i="35" s="1"/>
  <c r="I821" i="35"/>
  <c r="B823" i="35"/>
  <c r="D822" i="35"/>
  <c r="C822" i="35"/>
  <c r="F820" i="35"/>
  <c r="H820" i="35"/>
  <c r="H821" i="35" l="1"/>
  <c r="J822" i="35"/>
  <c r="G820" i="35"/>
  <c r="E822" i="35"/>
  <c r="H822" i="35" s="1"/>
  <c r="G821" i="35"/>
  <c r="I822" i="35"/>
  <c r="B824" i="35"/>
  <c r="C823" i="35"/>
  <c r="D823" i="35"/>
  <c r="I823" i="35" s="1"/>
  <c r="F822" i="35" l="1"/>
  <c r="G822" i="35" s="1"/>
  <c r="E823" i="35"/>
  <c r="B825" i="35"/>
  <c r="C824" i="35"/>
  <c r="D824" i="35"/>
  <c r="E824" i="35" l="1"/>
  <c r="F824" i="35" s="1"/>
  <c r="I824" i="35"/>
  <c r="B826" i="35"/>
  <c r="D825" i="35"/>
  <c r="C825" i="35"/>
  <c r="F823" i="35"/>
  <c r="H823" i="35"/>
  <c r="H824" i="35" l="1"/>
  <c r="G824" i="35" s="1"/>
  <c r="J824" i="35" s="1"/>
  <c r="J825" i="35"/>
  <c r="G823" i="35"/>
  <c r="J823" i="35" s="1"/>
  <c r="E825" i="35"/>
  <c r="H825" i="35" s="1"/>
  <c r="B827" i="35"/>
  <c r="C826" i="35"/>
  <c r="D826" i="35"/>
  <c r="I826" i="35" s="1"/>
  <c r="J826" i="35" l="1"/>
  <c r="F825" i="35"/>
  <c r="I825" i="35" s="1"/>
  <c r="E826" i="35"/>
  <c r="B828" i="35"/>
  <c r="C827" i="35"/>
  <c r="D827" i="35"/>
  <c r="G825" i="35" l="1"/>
  <c r="E827" i="35"/>
  <c r="F827" i="35" s="1"/>
  <c r="I827" i="35"/>
  <c r="B829" i="35"/>
  <c r="D828" i="35"/>
  <c r="I828" i="35" s="1"/>
  <c r="C828" i="35"/>
  <c r="F826" i="35"/>
  <c r="H826" i="35"/>
  <c r="J828" i="35" l="1"/>
  <c r="H827" i="35"/>
  <c r="G827" i="35" s="1"/>
  <c r="J827" i="35" s="1"/>
  <c r="G826" i="35"/>
  <c r="E828" i="35"/>
  <c r="B830" i="35"/>
  <c r="C829" i="35"/>
  <c r="D829" i="35"/>
  <c r="I829" i="35" s="1"/>
  <c r="J829" i="35" l="1"/>
  <c r="E829" i="35"/>
  <c r="B831" i="35"/>
  <c r="C830" i="35"/>
  <c r="D830" i="35"/>
  <c r="F828" i="35"/>
  <c r="H828" i="35"/>
  <c r="J830" i="35" l="1"/>
  <c r="G828" i="35"/>
  <c r="E830" i="35"/>
  <c r="F830" i="35" s="1"/>
  <c r="I830" i="35"/>
  <c r="B832" i="35"/>
  <c r="D831" i="35"/>
  <c r="C831" i="35"/>
  <c r="J831" i="35" s="1"/>
  <c r="H829" i="35"/>
  <c r="F829" i="35"/>
  <c r="H830" i="35" l="1"/>
  <c r="G830" i="35" s="1"/>
  <c r="E831" i="35"/>
  <c r="F831" i="35" s="1"/>
  <c r="I831" i="35"/>
  <c r="B833" i="35"/>
  <c r="C832" i="35"/>
  <c r="D832" i="35"/>
  <c r="I832" i="35" s="1"/>
  <c r="G829" i="35"/>
  <c r="H831" i="35" l="1"/>
  <c r="G831" i="35" s="1"/>
  <c r="J832" i="35"/>
  <c r="E832" i="35"/>
  <c r="B834" i="35"/>
  <c r="C833" i="35"/>
  <c r="D833" i="35"/>
  <c r="J833" i="35" l="1"/>
  <c r="E833" i="35"/>
  <c r="F833" i="35" s="1"/>
  <c r="I833" i="35"/>
  <c r="B835" i="35"/>
  <c r="D834" i="35"/>
  <c r="C834" i="35"/>
  <c r="F832" i="35"/>
  <c r="H832" i="35"/>
  <c r="G832" i="35" l="1"/>
  <c r="H833" i="35"/>
  <c r="G833" i="35" s="1"/>
  <c r="E834" i="35"/>
  <c r="H834" i="35" s="1"/>
  <c r="I834" i="35"/>
  <c r="B836" i="35"/>
  <c r="C835" i="35"/>
  <c r="D835" i="35"/>
  <c r="F834" i="35" l="1"/>
  <c r="G834" i="35" s="1"/>
  <c r="J834" i="35" s="1"/>
  <c r="E835" i="35"/>
  <c r="H835" i="35" s="1"/>
  <c r="I835" i="35"/>
  <c r="B837" i="35"/>
  <c r="C836" i="35"/>
  <c r="D836" i="35"/>
  <c r="F835" i="35" l="1"/>
  <c r="E836" i="35"/>
  <c r="F836" i="35" s="1"/>
  <c r="I836" i="35"/>
  <c r="B838" i="35"/>
  <c r="D837" i="35"/>
  <c r="C837" i="35"/>
  <c r="G835" i="35"/>
  <c r="J835" i="35" s="1"/>
  <c r="H836" i="35" l="1"/>
  <c r="G836" i="35" s="1"/>
  <c r="J836" i="35" s="1"/>
  <c r="E837" i="35"/>
  <c r="H837" i="35" s="1"/>
  <c r="I837" i="35"/>
  <c r="B839" i="35"/>
  <c r="C838" i="35"/>
  <c r="D838" i="35"/>
  <c r="I838" i="35" s="1"/>
  <c r="J838" i="35" l="1"/>
  <c r="F837" i="35"/>
  <c r="E838" i="35"/>
  <c r="B840" i="35"/>
  <c r="C839" i="35"/>
  <c r="D839" i="35"/>
  <c r="G837" i="35"/>
  <c r="J837" i="35" s="1"/>
  <c r="E839" i="35" l="1"/>
  <c r="F839" i="35" s="1"/>
  <c r="I839" i="35"/>
  <c r="B841" i="35"/>
  <c r="D840" i="35"/>
  <c r="C840" i="35"/>
  <c r="H838" i="35"/>
  <c r="F838" i="35"/>
  <c r="H839" i="35" l="1"/>
  <c r="G839" i="35" s="1"/>
  <c r="J839" i="35" s="1"/>
  <c r="E840" i="35"/>
  <c r="F840" i="35" s="1"/>
  <c r="I840" i="35"/>
  <c r="B842" i="35"/>
  <c r="C841" i="35"/>
  <c r="D841" i="35"/>
  <c r="I841" i="35" s="1"/>
  <c r="G838" i="35"/>
  <c r="H840" i="35" l="1"/>
  <c r="G840" i="35" s="1"/>
  <c r="J840" i="35" s="1"/>
  <c r="E841" i="35"/>
  <c r="B843" i="35"/>
  <c r="C842" i="35"/>
  <c r="D842" i="35"/>
  <c r="E842" i="35" l="1"/>
  <c r="F842" i="35" s="1"/>
  <c r="I842" i="35"/>
  <c r="B844" i="35"/>
  <c r="D843" i="35"/>
  <c r="I843" i="35" s="1"/>
  <c r="C843" i="35"/>
  <c r="H841" i="35"/>
  <c r="F841" i="35"/>
  <c r="H842" i="35" l="1"/>
  <c r="G842" i="35" s="1"/>
  <c r="J842" i="35" s="1"/>
  <c r="E843" i="35"/>
  <c r="B845" i="35"/>
  <c r="C844" i="35"/>
  <c r="D844" i="35"/>
  <c r="I844" i="35" s="1"/>
  <c r="G841" i="35"/>
  <c r="J841" i="35" s="1"/>
  <c r="E844" i="35" l="1"/>
  <c r="B846" i="35"/>
  <c r="C845" i="35"/>
  <c r="D845" i="35"/>
  <c r="F843" i="35"/>
  <c r="H843" i="35"/>
  <c r="G843" i="35" l="1"/>
  <c r="J843" i="35" s="1"/>
  <c r="J845" i="35"/>
  <c r="E845" i="35"/>
  <c r="H845" i="35" s="1"/>
  <c r="B847" i="35"/>
  <c r="D846" i="35"/>
  <c r="C846" i="35"/>
  <c r="H844" i="35"/>
  <c r="F844" i="35"/>
  <c r="F845" i="35" l="1"/>
  <c r="I845" i="35" s="1"/>
  <c r="E846" i="35"/>
  <c r="F846" i="35" s="1"/>
  <c r="I846" i="35"/>
  <c r="B848" i="35"/>
  <c r="C847" i="35"/>
  <c r="D847" i="35"/>
  <c r="I847" i="35" s="1"/>
  <c r="G844" i="35"/>
  <c r="J844" i="35" s="1"/>
  <c r="G845" i="35"/>
  <c r="H846" i="35" l="1"/>
  <c r="G846" i="35" s="1"/>
  <c r="J846" i="35" s="1"/>
  <c r="E847" i="35"/>
  <c r="B849" i="35"/>
  <c r="C848" i="35"/>
  <c r="D848" i="35"/>
  <c r="E848" i="35" l="1"/>
  <c r="F848" i="35" s="1"/>
  <c r="I848" i="35"/>
  <c r="B850" i="35"/>
  <c r="D849" i="35"/>
  <c r="C849" i="35"/>
  <c r="H847" i="35"/>
  <c r="F847" i="35"/>
  <c r="H848" i="35" l="1"/>
  <c r="G848" i="35" s="1"/>
  <c r="J848" i="35" s="1"/>
  <c r="E849" i="35"/>
  <c r="F849" i="35" s="1"/>
  <c r="I849" i="35"/>
  <c r="B851" i="35"/>
  <c r="C850" i="35"/>
  <c r="D850" i="35"/>
  <c r="I850" i="35" s="1"/>
  <c r="G847" i="35"/>
  <c r="J847" i="35" s="1"/>
  <c r="H849" i="35" l="1"/>
  <c r="G849" i="35" s="1"/>
  <c r="J849" i="35" s="1"/>
  <c r="E850" i="35"/>
  <c r="B852" i="35"/>
  <c r="C851" i="35"/>
  <c r="D851" i="35"/>
  <c r="J851" i="35" l="1"/>
  <c r="E851" i="35"/>
  <c r="F851" i="35" s="1"/>
  <c r="I851" i="35"/>
  <c r="B853" i="35"/>
  <c r="D852" i="35"/>
  <c r="C852" i="35"/>
  <c r="J852" i="35" s="1"/>
  <c r="H850" i="35"/>
  <c r="F850" i="35"/>
  <c r="H851" i="35" l="1"/>
  <c r="G851" i="35" s="1"/>
  <c r="E852" i="35"/>
  <c r="H852" i="35" s="1"/>
  <c r="I852" i="35"/>
  <c r="B854" i="35"/>
  <c r="C853" i="35"/>
  <c r="D853" i="35"/>
  <c r="I853" i="35" s="1"/>
  <c r="G850" i="35"/>
  <c r="J850" i="35" s="1"/>
  <c r="J853" i="35" l="1"/>
  <c r="F852" i="35"/>
  <c r="G852" i="35" s="1"/>
  <c r="E853" i="35"/>
  <c r="B855" i="35"/>
  <c r="C854" i="35"/>
  <c r="D854" i="35"/>
  <c r="J854" i="35" l="1"/>
  <c r="E854" i="35"/>
  <c r="F854" i="35" s="1"/>
  <c r="I854" i="35"/>
  <c r="B856" i="35"/>
  <c r="D855" i="35"/>
  <c r="C855" i="35"/>
  <c r="H853" i="35"/>
  <c r="F853" i="35"/>
  <c r="J855" i="35" l="1"/>
  <c r="H854" i="35"/>
  <c r="E855" i="35"/>
  <c r="F855" i="35" s="1"/>
  <c r="I855" i="35" s="1"/>
  <c r="G854" i="35"/>
  <c r="B857" i="35"/>
  <c r="C856" i="35"/>
  <c r="D856" i="35"/>
  <c r="I856" i="35" s="1"/>
  <c r="G853" i="35"/>
  <c r="H855" i="35" l="1"/>
  <c r="G855" i="35" s="1"/>
  <c r="E856" i="35"/>
  <c r="B858" i="35"/>
  <c r="C857" i="35"/>
  <c r="D857" i="35"/>
  <c r="E857" i="35" l="1"/>
  <c r="F857" i="35" s="1"/>
  <c r="I857" i="35"/>
  <c r="B859" i="35"/>
  <c r="D858" i="35"/>
  <c r="C858" i="35"/>
  <c r="F856" i="35"/>
  <c r="H856" i="35"/>
  <c r="H857" i="35" l="1"/>
  <c r="G857" i="35" s="1"/>
  <c r="J857" i="35" s="1"/>
  <c r="G856" i="35"/>
  <c r="J856" i="35" s="1"/>
  <c r="E858" i="35"/>
  <c r="H858" i="35" s="1"/>
  <c r="I858" i="35"/>
  <c r="B860" i="35"/>
  <c r="C859" i="35"/>
  <c r="D859" i="35"/>
  <c r="I859" i="35" s="1"/>
  <c r="F858" i="35" l="1"/>
  <c r="G858" i="35" s="1"/>
  <c r="J858" i="35" s="1"/>
  <c r="E859" i="35"/>
  <c r="B861" i="35"/>
  <c r="C860" i="35"/>
  <c r="D860" i="35"/>
  <c r="E860" i="35" l="1"/>
  <c r="F860" i="35" s="1"/>
  <c r="I860" i="35"/>
  <c r="B862" i="35"/>
  <c r="D861" i="35"/>
  <c r="C861" i="35"/>
  <c r="F859" i="35"/>
  <c r="H859" i="35"/>
  <c r="H860" i="35" l="1"/>
  <c r="G859" i="35"/>
  <c r="J859" i="35" s="1"/>
  <c r="E861" i="35"/>
  <c r="F861" i="35" s="1"/>
  <c r="G860" i="35"/>
  <c r="J860" i="35" s="1"/>
  <c r="H861" i="35"/>
  <c r="I861" i="35"/>
  <c r="B863" i="35"/>
  <c r="C862" i="35"/>
  <c r="D862" i="35"/>
  <c r="J862" i="35" l="1"/>
  <c r="G861" i="35"/>
  <c r="J861" i="35" s="1"/>
  <c r="E862" i="35"/>
  <c r="H862" i="35" s="1"/>
  <c r="B864" i="35"/>
  <c r="C863" i="35"/>
  <c r="D863" i="35"/>
  <c r="F862" i="35" l="1"/>
  <c r="I862" i="35" s="1"/>
  <c r="E863" i="35"/>
  <c r="F863" i="35" s="1"/>
  <c r="I863" i="35"/>
  <c r="B865" i="35"/>
  <c r="D864" i="35"/>
  <c r="C864" i="35"/>
  <c r="G862" i="35" l="1"/>
  <c r="H863" i="35"/>
  <c r="G863" i="35" s="1"/>
  <c r="J863" i="35" s="1"/>
  <c r="E864" i="35"/>
  <c r="F864" i="35" s="1"/>
  <c r="I864" i="35"/>
  <c r="B866" i="35"/>
  <c r="C865" i="35"/>
  <c r="D865" i="35"/>
  <c r="J865" i="35" l="1"/>
  <c r="H864" i="35"/>
  <c r="G864" i="35" s="1"/>
  <c r="J864" i="35" s="1"/>
  <c r="E865" i="35"/>
  <c r="H865" i="35" s="1"/>
  <c r="B867" i="35"/>
  <c r="C866" i="35"/>
  <c r="D866" i="35"/>
  <c r="F865" i="35" l="1"/>
  <c r="I865" i="35" s="1"/>
  <c r="E866" i="35"/>
  <c r="F866" i="35" s="1"/>
  <c r="I866" i="35"/>
  <c r="B868" i="35"/>
  <c r="D867" i="35"/>
  <c r="C867" i="35"/>
  <c r="G865" i="35" l="1"/>
  <c r="H866" i="35"/>
  <c r="G866" i="35" s="1"/>
  <c r="J866" i="35" s="1"/>
  <c r="E867" i="35"/>
  <c r="F867" i="35" s="1"/>
  <c r="I867" i="35"/>
  <c r="B869" i="35"/>
  <c r="C868" i="35"/>
  <c r="D868" i="35"/>
  <c r="I868" i="35" s="1"/>
  <c r="H867" i="35" l="1"/>
  <c r="G867" i="35" s="1"/>
  <c r="J867" i="35" s="1"/>
  <c r="E868" i="35"/>
  <c r="B870" i="35"/>
  <c r="C869" i="35"/>
  <c r="D869" i="35"/>
  <c r="E869" i="35" l="1"/>
  <c r="F869" i="35" s="1"/>
  <c r="I869" i="35"/>
  <c r="B871" i="35"/>
  <c r="D870" i="35"/>
  <c r="C870" i="35"/>
  <c r="H868" i="35"/>
  <c r="F868" i="35"/>
  <c r="H869" i="35" l="1"/>
  <c r="G869" i="35" s="1"/>
  <c r="J869" i="35" s="1"/>
  <c r="E870" i="35"/>
  <c r="F870" i="35" s="1"/>
  <c r="I870" i="35"/>
  <c r="B872" i="35"/>
  <c r="C871" i="35"/>
  <c r="D871" i="35"/>
  <c r="I871" i="35" s="1"/>
  <c r="G868" i="35"/>
  <c r="J868" i="35" s="1"/>
  <c r="H870" i="35" l="1"/>
  <c r="G870" i="35"/>
  <c r="J870" i="35" s="1"/>
  <c r="E871" i="35"/>
  <c r="B873" i="35"/>
  <c r="C872" i="35"/>
  <c r="D872" i="35"/>
  <c r="E872" i="35" l="1"/>
  <c r="F872" i="35" s="1"/>
  <c r="I872" i="35"/>
  <c r="B874" i="35"/>
  <c r="D873" i="35"/>
  <c r="C873" i="35"/>
  <c r="H871" i="35"/>
  <c r="F871" i="35"/>
  <c r="H872" i="35" l="1"/>
  <c r="G872" i="35" s="1"/>
  <c r="J872" i="35" s="1"/>
  <c r="E873" i="35"/>
  <c r="F873" i="35" s="1"/>
  <c r="I873" i="35"/>
  <c r="B875" i="35"/>
  <c r="C874" i="35"/>
  <c r="D874" i="35"/>
  <c r="I874" i="35" s="1"/>
  <c r="G871" i="35"/>
  <c r="J871" i="35" s="1"/>
  <c r="H873" i="35" l="1"/>
  <c r="G873" i="35" s="1"/>
  <c r="J873" i="35" s="1"/>
  <c r="E874" i="35"/>
  <c r="B876" i="35"/>
  <c r="C875" i="35"/>
  <c r="D875" i="35"/>
  <c r="E875" i="35" l="1"/>
  <c r="F875" i="35" s="1"/>
  <c r="I875" i="35"/>
  <c r="B877" i="35"/>
  <c r="D876" i="35"/>
  <c r="C876" i="35"/>
  <c r="H874" i="35"/>
  <c r="F874" i="35"/>
  <c r="H875" i="35" l="1"/>
  <c r="G875" i="35" s="1"/>
  <c r="J875" i="35" s="1"/>
  <c r="E876" i="35"/>
  <c r="F876" i="35" s="1"/>
  <c r="I876" i="35"/>
  <c r="B878" i="35"/>
  <c r="C877" i="35"/>
  <c r="D877" i="35"/>
  <c r="I877" i="35" s="1"/>
  <c r="G874" i="35"/>
  <c r="J874" i="35" s="1"/>
  <c r="H876" i="35" l="1"/>
  <c r="G876" i="35" s="1"/>
  <c r="J876" i="35" s="1"/>
  <c r="E877" i="35"/>
  <c r="B879" i="35"/>
  <c r="C878" i="35"/>
  <c r="D878" i="35"/>
  <c r="J878" i="35" l="1"/>
  <c r="E878" i="35"/>
  <c r="F878" i="35" s="1"/>
  <c r="I878" i="35" s="1"/>
  <c r="B880" i="35"/>
  <c r="D879" i="35"/>
  <c r="C879" i="35"/>
  <c r="H877" i="35"/>
  <c r="F877" i="35"/>
  <c r="H878" i="35" l="1"/>
  <c r="E879" i="35"/>
  <c r="F879" i="35" s="1"/>
  <c r="G878" i="35"/>
  <c r="I879" i="35"/>
  <c r="B881" i="35"/>
  <c r="C880" i="35"/>
  <c r="D880" i="35"/>
  <c r="I880" i="35" s="1"/>
  <c r="G877" i="35"/>
  <c r="J877" i="35" s="1"/>
  <c r="H879" i="35" l="1"/>
  <c r="G879" i="35" s="1"/>
  <c r="J879" i="35" s="1"/>
  <c r="E880" i="35"/>
  <c r="B882" i="35"/>
  <c r="C881" i="35"/>
  <c r="D881" i="35"/>
  <c r="E881" i="35" l="1"/>
  <c r="F881" i="35" s="1"/>
  <c r="I881" i="35"/>
  <c r="B883" i="35"/>
  <c r="D882" i="35"/>
  <c r="C882" i="35"/>
  <c r="H880" i="35"/>
  <c r="F880" i="35"/>
  <c r="H881" i="35" l="1"/>
  <c r="G881" i="35" s="1"/>
  <c r="J881" i="35" s="1"/>
  <c r="E882" i="35"/>
  <c r="F882" i="35" s="1"/>
  <c r="I882" i="35"/>
  <c r="B884" i="35"/>
  <c r="C883" i="35"/>
  <c r="D883" i="35"/>
  <c r="I883" i="35" s="1"/>
  <c r="G880" i="35"/>
  <c r="J880" i="35" s="1"/>
  <c r="H882" i="35" l="1"/>
  <c r="G882" i="35" s="1"/>
  <c r="J882" i="35" s="1"/>
  <c r="E883" i="35"/>
  <c r="B885" i="35"/>
  <c r="C884" i="35"/>
  <c r="D884" i="35"/>
  <c r="E884" i="35" l="1"/>
  <c r="F884" i="35" s="1"/>
  <c r="I884" i="35"/>
  <c r="B886" i="35"/>
  <c r="D885" i="35"/>
  <c r="I885" i="35" s="1"/>
  <c r="C885" i="35"/>
  <c r="H883" i="35"/>
  <c r="F883" i="35"/>
  <c r="H884" i="35" l="1"/>
  <c r="G884" i="35" s="1"/>
  <c r="J884" i="35" s="1"/>
  <c r="E885" i="35"/>
  <c r="B887" i="35"/>
  <c r="C886" i="35"/>
  <c r="D886" i="35"/>
  <c r="I886" i="35" s="1"/>
  <c r="G883" i="35"/>
  <c r="J883" i="35" s="1"/>
  <c r="E886" i="35" l="1"/>
  <c r="B888" i="35"/>
  <c r="C887" i="35"/>
  <c r="D887" i="35"/>
  <c r="F885" i="35"/>
  <c r="H885" i="35"/>
  <c r="E887" i="35" l="1"/>
  <c r="F887" i="35" s="1"/>
  <c r="G885" i="35"/>
  <c r="J885" i="35" s="1"/>
  <c r="I887" i="35"/>
  <c r="B889" i="35"/>
  <c r="D888" i="35"/>
  <c r="C888" i="35"/>
  <c r="H886" i="35"/>
  <c r="F886" i="35"/>
  <c r="H887" i="35" l="1"/>
  <c r="G887" i="35" s="1"/>
  <c r="J887" i="35" s="1"/>
  <c r="J888" i="35"/>
  <c r="E888" i="35"/>
  <c r="B890" i="35"/>
  <c r="C889" i="35"/>
  <c r="D889" i="35"/>
  <c r="I889" i="35" s="1"/>
  <c r="G886" i="35"/>
  <c r="J886" i="35" s="1"/>
  <c r="E889" i="35" l="1"/>
  <c r="B891" i="35"/>
  <c r="C890" i="35"/>
  <c r="D890" i="35"/>
  <c r="F888" i="35"/>
  <c r="I888" i="35" s="1"/>
  <c r="H888" i="35"/>
  <c r="J890" i="35" l="1"/>
  <c r="E890" i="35"/>
  <c r="F890" i="35" s="1"/>
  <c r="I890" i="35" s="1"/>
  <c r="G888" i="35"/>
  <c r="B892" i="35"/>
  <c r="D891" i="35"/>
  <c r="I891" i="35" s="1"/>
  <c r="C891" i="35"/>
  <c r="H889" i="35"/>
  <c r="F889" i="35"/>
  <c r="H890" i="35" l="1"/>
  <c r="G890" i="35" s="1"/>
  <c r="E891" i="35"/>
  <c r="B893" i="35"/>
  <c r="C892" i="35"/>
  <c r="D892" i="35"/>
  <c r="I892" i="35" s="1"/>
  <c r="G889" i="35"/>
  <c r="J889" i="35" s="1"/>
  <c r="E892" i="35" l="1"/>
  <c r="B894" i="35"/>
  <c r="C893" i="35"/>
  <c r="D893" i="35"/>
  <c r="H891" i="35"/>
  <c r="F891" i="35"/>
  <c r="E893" i="35" l="1"/>
  <c r="F893" i="35" s="1"/>
  <c r="G891" i="35"/>
  <c r="J891" i="35" s="1"/>
  <c r="I893" i="35"/>
  <c r="B895" i="35"/>
  <c r="D894" i="35"/>
  <c r="C894" i="35"/>
  <c r="H892" i="35"/>
  <c r="F892" i="35"/>
  <c r="H893" i="35" l="1"/>
  <c r="G893" i="35" s="1"/>
  <c r="J893" i="35" s="1"/>
  <c r="E894" i="35"/>
  <c r="F894" i="35" s="1"/>
  <c r="I894" i="35"/>
  <c r="B896" i="35"/>
  <c r="C895" i="35"/>
  <c r="D895" i="35"/>
  <c r="I895" i="35" s="1"/>
  <c r="G892" i="35"/>
  <c r="J892" i="35" s="1"/>
  <c r="H894" i="35" l="1"/>
  <c r="G894" i="35" s="1"/>
  <c r="J894" i="35" s="1"/>
  <c r="E895" i="35"/>
  <c r="B897" i="35"/>
  <c r="C896" i="35"/>
  <c r="D896" i="35"/>
  <c r="E896" i="35" l="1"/>
  <c r="F896" i="35" s="1"/>
  <c r="I896" i="35"/>
  <c r="B898" i="35"/>
  <c r="D897" i="35"/>
  <c r="C897" i="35"/>
  <c r="F895" i="35"/>
  <c r="H895" i="35"/>
  <c r="G895" i="35" l="1"/>
  <c r="J895" i="35" s="1"/>
  <c r="H896" i="35"/>
  <c r="J897" i="35"/>
  <c r="E897" i="35"/>
  <c r="H897" i="35" s="1"/>
  <c r="G896" i="35"/>
  <c r="J896" i="35" s="1"/>
  <c r="B899" i="35"/>
  <c r="C898" i="35"/>
  <c r="D898" i="35"/>
  <c r="F897" i="35" l="1"/>
  <c r="I897" i="35" s="1"/>
  <c r="E898" i="35"/>
  <c r="F898" i="35" s="1"/>
  <c r="I898" i="35"/>
  <c r="B900" i="35"/>
  <c r="C899" i="35"/>
  <c r="D899" i="35"/>
  <c r="G897" i="35"/>
  <c r="H898" i="35" l="1"/>
  <c r="E899" i="35"/>
  <c r="F899" i="35" s="1"/>
  <c r="I899" i="35" s="1"/>
  <c r="J899" i="35"/>
  <c r="G898" i="35"/>
  <c r="J898" i="35" s="1"/>
  <c r="H899" i="35"/>
  <c r="B901" i="35"/>
  <c r="D900" i="35"/>
  <c r="C900" i="35"/>
  <c r="G899" i="35" l="1"/>
  <c r="E900" i="35"/>
  <c r="F900" i="35" s="1"/>
  <c r="B902" i="35"/>
  <c r="C901" i="35"/>
  <c r="D901" i="35"/>
  <c r="I901" i="35" s="1"/>
  <c r="I900" i="35"/>
  <c r="H900" i="35" l="1"/>
  <c r="G900" i="35" s="1"/>
  <c r="J900" i="35" s="1"/>
  <c r="E901" i="35"/>
  <c r="B903" i="35"/>
  <c r="C902" i="35"/>
  <c r="D902" i="35"/>
  <c r="E902" i="35" l="1"/>
  <c r="F902" i="35" s="1"/>
  <c r="I902" i="35"/>
  <c r="B904" i="35"/>
  <c r="D903" i="35"/>
  <c r="C903" i="35"/>
  <c r="H901" i="35"/>
  <c r="F901" i="35"/>
  <c r="H902" i="35" l="1"/>
  <c r="G902" i="35" s="1"/>
  <c r="J902" i="35" s="1"/>
  <c r="E903" i="35"/>
  <c r="F903" i="35" s="1"/>
  <c r="I903" i="35"/>
  <c r="B905" i="35"/>
  <c r="C904" i="35"/>
  <c r="D904" i="35"/>
  <c r="I904" i="35" s="1"/>
  <c r="G901" i="35"/>
  <c r="J901" i="35" s="1"/>
  <c r="H903" i="35" l="1"/>
  <c r="G903" i="35" s="1"/>
  <c r="J903" i="35" s="1"/>
  <c r="E904" i="35"/>
  <c r="B906" i="35"/>
  <c r="C905" i="35"/>
  <c r="D905" i="35"/>
  <c r="E905" i="35" l="1"/>
  <c r="F905" i="35" s="1"/>
  <c r="I905" i="35"/>
  <c r="B907" i="35"/>
  <c r="D906" i="35"/>
  <c r="C906" i="35"/>
  <c r="H904" i="35"/>
  <c r="F904" i="35"/>
  <c r="H905" i="35" l="1"/>
  <c r="G905" i="35" s="1"/>
  <c r="J905" i="35" s="1"/>
  <c r="E906" i="35"/>
  <c r="F906" i="35" s="1"/>
  <c r="I906" i="35"/>
  <c r="B908" i="35"/>
  <c r="C907" i="35"/>
  <c r="D907" i="35"/>
  <c r="G904" i="35"/>
  <c r="J904" i="35" s="1"/>
  <c r="H906" i="35" l="1"/>
  <c r="G906" i="35" s="1"/>
  <c r="J906" i="35" s="1"/>
  <c r="E907" i="35"/>
  <c r="H907" i="35" s="1"/>
  <c r="I907" i="35"/>
  <c r="B909" i="35"/>
  <c r="C908" i="35"/>
  <c r="D908" i="35"/>
  <c r="F907" i="35" l="1"/>
  <c r="E908" i="35"/>
  <c r="F908" i="35" s="1"/>
  <c r="I908" i="35"/>
  <c r="B910" i="35"/>
  <c r="D909" i="35"/>
  <c r="C909" i="35"/>
  <c r="G907" i="35"/>
  <c r="J907" i="35" s="1"/>
  <c r="H908" i="35" l="1"/>
  <c r="G908" i="35" s="1"/>
  <c r="J908" i="35" s="1"/>
  <c r="E909" i="35"/>
  <c r="H909" i="35" s="1"/>
  <c r="I909" i="35"/>
  <c r="B911" i="35"/>
  <c r="C910" i="35"/>
  <c r="D910" i="35"/>
  <c r="I910" i="35" s="1"/>
  <c r="F909" i="35" l="1"/>
  <c r="G909" i="35" s="1"/>
  <c r="J909" i="35" s="1"/>
  <c r="E910" i="35"/>
  <c r="B912" i="35"/>
  <c r="C911" i="35"/>
  <c r="D911" i="35"/>
  <c r="I911" i="35" s="1"/>
  <c r="E911" i="35" l="1"/>
  <c r="B913" i="35"/>
  <c r="D912" i="35"/>
  <c r="I912" i="35" s="1"/>
  <c r="C912" i="35"/>
  <c r="H910" i="35"/>
  <c r="F910" i="35"/>
  <c r="G910" i="35" l="1"/>
  <c r="J910" i="35" s="1"/>
  <c r="E912" i="35"/>
  <c r="B914" i="35"/>
  <c r="C913" i="35"/>
  <c r="D913" i="35"/>
  <c r="I913" i="35" s="1"/>
  <c r="F911" i="35"/>
  <c r="H911" i="35"/>
  <c r="E913" i="35" l="1"/>
  <c r="B915" i="35"/>
  <c r="C914" i="35"/>
  <c r="D914" i="35"/>
  <c r="F912" i="35"/>
  <c r="H912" i="35"/>
  <c r="G911" i="35"/>
  <c r="J911" i="35" s="1"/>
  <c r="E914" i="35" l="1"/>
  <c r="F914" i="35" s="1"/>
  <c r="I914" i="35"/>
  <c r="B916" i="35"/>
  <c r="D915" i="35"/>
  <c r="C915" i="35"/>
  <c r="H913" i="35"/>
  <c r="F913" i="35"/>
  <c r="G912" i="35"/>
  <c r="J912" i="35" s="1"/>
  <c r="H914" i="35" l="1"/>
  <c r="G914" i="35" s="1"/>
  <c r="J914" i="35" s="1"/>
  <c r="J915" i="35"/>
  <c r="E915" i="35"/>
  <c r="B917" i="35"/>
  <c r="C916" i="35"/>
  <c r="D916" i="35"/>
  <c r="I916" i="35" s="1"/>
  <c r="G913" i="35"/>
  <c r="J913" i="35" s="1"/>
  <c r="E916" i="35" l="1"/>
  <c r="B918" i="35"/>
  <c r="C917" i="35"/>
  <c r="D917" i="35"/>
  <c r="F915" i="35"/>
  <c r="I915" i="35" s="1"/>
  <c r="H915" i="35"/>
  <c r="E917" i="35" l="1"/>
  <c r="F917" i="35" s="1"/>
  <c r="I917" i="35"/>
  <c r="B919" i="35"/>
  <c r="D918" i="35"/>
  <c r="I918" i="35" s="1"/>
  <c r="C918" i="35"/>
  <c r="F916" i="35"/>
  <c r="H916" i="35"/>
  <c r="G915" i="35"/>
  <c r="H917" i="35" l="1"/>
  <c r="G917" i="35" s="1"/>
  <c r="J917" i="35" s="1"/>
  <c r="G916" i="35"/>
  <c r="J916" i="35" s="1"/>
  <c r="E918" i="35"/>
  <c r="B920" i="35"/>
  <c r="C919" i="35"/>
  <c r="D919" i="35"/>
  <c r="I919" i="35" s="1"/>
  <c r="E919" i="35" l="1"/>
  <c r="B921" i="35"/>
  <c r="C920" i="35"/>
  <c r="D920" i="35"/>
  <c r="F918" i="35"/>
  <c r="H918" i="35"/>
  <c r="J920" i="35" l="1"/>
  <c r="E920" i="35"/>
  <c r="H920" i="35" s="1"/>
  <c r="B922" i="35"/>
  <c r="D921" i="35"/>
  <c r="C921" i="35"/>
  <c r="H919" i="35"/>
  <c r="F919" i="35"/>
  <c r="G918" i="35"/>
  <c r="J918" i="35" s="1"/>
  <c r="F920" i="35" l="1"/>
  <c r="I920" i="35" s="1"/>
  <c r="E921" i="35"/>
  <c r="F921" i="35" s="1"/>
  <c r="I921" i="35"/>
  <c r="B923" i="35"/>
  <c r="C922" i="35"/>
  <c r="D922" i="35"/>
  <c r="G919" i="35"/>
  <c r="J919" i="35" s="1"/>
  <c r="G920" i="35"/>
  <c r="H921" i="35" l="1"/>
  <c r="G921" i="35" s="1"/>
  <c r="J921" i="35" s="1"/>
  <c r="J922" i="35"/>
  <c r="E922" i="35"/>
  <c r="B924" i="35"/>
  <c r="C923" i="35"/>
  <c r="D923" i="35"/>
  <c r="I923" i="35" s="1"/>
  <c r="E923" i="35" l="1"/>
  <c r="B925" i="35"/>
  <c r="D924" i="35"/>
  <c r="C924" i="35"/>
  <c r="H922" i="35"/>
  <c r="F922" i="35"/>
  <c r="I922" i="35" s="1"/>
  <c r="E924" i="35" l="1"/>
  <c r="F924" i="35" s="1"/>
  <c r="I924" i="35"/>
  <c r="G922" i="35"/>
  <c r="B926" i="35"/>
  <c r="C925" i="35"/>
  <c r="D925" i="35"/>
  <c r="I925" i="35" s="1"/>
  <c r="F923" i="35"/>
  <c r="H923" i="35"/>
  <c r="G923" i="35" l="1"/>
  <c r="J923" i="35" s="1"/>
  <c r="H924" i="35"/>
  <c r="G924" i="35" s="1"/>
  <c r="J924" i="35" s="1"/>
  <c r="E925" i="35"/>
  <c r="B927" i="35"/>
  <c r="C926" i="35"/>
  <c r="D926" i="35"/>
  <c r="E926" i="35" l="1"/>
  <c r="H926" i="35" s="1"/>
  <c r="I926" i="35"/>
  <c r="B928" i="35"/>
  <c r="C927" i="35"/>
  <c r="D927" i="35"/>
  <c r="H925" i="35"/>
  <c r="F925" i="35"/>
  <c r="F926" i="35" l="1"/>
  <c r="J927" i="35"/>
  <c r="E927" i="35"/>
  <c r="F927" i="35" s="1"/>
  <c r="I927" i="35" s="1"/>
  <c r="B929" i="35"/>
  <c r="C928" i="35"/>
  <c r="J928" i="35" s="1"/>
  <c r="D928" i="35"/>
  <c r="G925" i="35"/>
  <c r="J925" i="35" s="1"/>
  <c r="G926" i="35"/>
  <c r="J926" i="35" s="1"/>
  <c r="H927" i="35" l="1"/>
  <c r="E928" i="35"/>
  <c r="F928" i="35" s="1"/>
  <c r="G927" i="35"/>
  <c r="I928" i="35"/>
  <c r="B930" i="35"/>
  <c r="D929" i="35"/>
  <c r="C929" i="35"/>
  <c r="H928" i="35" l="1"/>
  <c r="G928" i="35" s="1"/>
  <c r="E929" i="35"/>
  <c r="F929" i="35" s="1"/>
  <c r="I929" i="35"/>
  <c r="B931" i="35"/>
  <c r="C930" i="35"/>
  <c r="D930" i="35"/>
  <c r="I930" i="35" s="1"/>
  <c r="H929" i="35" l="1"/>
  <c r="G929" i="35" s="1"/>
  <c r="J929" i="35" s="1"/>
  <c r="E930" i="35"/>
  <c r="B932" i="35"/>
  <c r="C931" i="35"/>
  <c r="D931" i="35"/>
  <c r="E931" i="35" l="1"/>
  <c r="H931" i="35" s="1"/>
  <c r="I931" i="35"/>
  <c r="B933" i="35"/>
  <c r="D932" i="35"/>
  <c r="C932" i="35"/>
  <c r="F930" i="35"/>
  <c r="H930" i="35"/>
  <c r="F931" i="35" l="1"/>
  <c r="G930" i="35"/>
  <c r="J930" i="35" s="1"/>
  <c r="E932" i="35"/>
  <c r="F932" i="35" s="1"/>
  <c r="I932" i="35"/>
  <c r="B934" i="35"/>
  <c r="C933" i="35"/>
  <c r="D933" i="35"/>
  <c r="G931" i="35"/>
  <c r="J931" i="35" s="1"/>
  <c r="H932" i="35" l="1"/>
  <c r="G932" i="35" s="1"/>
  <c r="J932" i="35" s="1"/>
  <c r="E933" i="35"/>
  <c r="F933" i="35" s="1"/>
  <c r="I933" i="35"/>
  <c r="B935" i="35"/>
  <c r="C934" i="35"/>
  <c r="D934" i="35"/>
  <c r="H933" i="35" l="1"/>
  <c r="G933" i="35" s="1"/>
  <c r="J933" i="35" s="1"/>
  <c r="E934" i="35"/>
  <c r="F934" i="35" s="1"/>
  <c r="I934" i="35"/>
  <c r="B936" i="35"/>
  <c r="C935" i="35"/>
  <c r="D935" i="35"/>
  <c r="I935" i="35" s="1"/>
  <c r="H934" i="35" l="1"/>
  <c r="G934" i="35" s="1"/>
  <c r="J934" i="35" s="1"/>
  <c r="E935" i="35"/>
  <c r="B937" i="35"/>
  <c r="C936" i="35"/>
  <c r="D936" i="35"/>
  <c r="E936" i="35" l="1"/>
  <c r="F936" i="35" s="1"/>
  <c r="I936" i="35"/>
  <c r="B938" i="35"/>
  <c r="C937" i="35"/>
  <c r="D937" i="35"/>
  <c r="F935" i="35"/>
  <c r="H935" i="35"/>
  <c r="G935" i="35" l="1"/>
  <c r="J935" i="35" s="1"/>
  <c r="H936" i="35"/>
  <c r="G936" i="35" s="1"/>
  <c r="J936" i="35" s="1"/>
  <c r="E937" i="35"/>
  <c r="F937" i="35" s="1"/>
  <c r="I937" i="35"/>
  <c r="B939" i="35"/>
  <c r="C938" i="35"/>
  <c r="D938" i="35"/>
  <c r="H937" i="35" l="1"/>
  <c r="G937" i="35" s="1"/>
  <c r="J937" i="35" s="1"/>
  <c r="E938" i="35"/>
  <c r="H938" i="35" s="1"/>
  <c r="B940" i="35"/>
  <c r="C939" i="35"/>
  <c r="D939" i="35"/>
  <c r="I938" i="35"/>
  <c r="F938" i="35" l="1"/>
  <c r="E939" i="35"/>
  <c r="F939" i="35" s="1"/>
  <c r="I939" i="35"/>
  <c r="B941" i="35"/>
  <c r="C940" i="35"/>
  <c r="D940" i="35"/>
  <c r="G938" i="35"/>
  <c r="J938" i="35" s="1"/>
  <c r="H939" i="35" l="1"/>
  <c r="G939" i="35" s="1"/>
  <c r="J939" i="35" s="1"/>
  <c r="E940" i="35"/>
  <c r="F940" i="35" s="1"/>
  <c r="I940" i="35"/>
  <c r="B942" i="35"/>
  <c r="C941" i="35"/>
  <c r="D941" i="35"/>
  <c r="I941" i="35" s="1"/>
  <c r="H940" i="35" l="1"/>
  <c r="G940" i="35" s="1"/>
  <c r="J940" i="35" s="1"/>
  <c r="E941" i="35"/>
  <c r="B943" i="35"/>
  <c r="C942" i="35"/>
  <c r="D942" i="35"/>
  <c r="E942" i="35" l="1"/>
  <c r="H942" i="35" s="1"/>
  <c r="I942" i="35"/>
  <c r="B944" i="35"/>
  <c r="C943" i="35"/>
  <c r="D943" i="35"/>
  <c r="F941" i="35"/>
  <c r="H941" i="35"/>
  <c r="G941" i="35" l="1"/>
  <c r="J941" i="35" s="1"/>
  <c r="F942" i="35"/>
  <c r="G942" i="35" s="1"/>
  <c r="J942" i="35" s="1"/>
  <c r="E943" i="35"/>
  <c r="H943" i="35" s="1"/>
  <c r="I943" i="35"/>
  <c r="B945" i="35"/>
  <c r="C944" i="35"/>
  <c r="D944" i="35"/>
  <c r="I944" i="35" s="1"/>
  <c r="F943" i="35" l="1"/>
  <c r="G943" i="35" s="1"/>
  <c r="J943" i="35" s="1"/>
  <c r="E944" i="35"/>
  <c r="B946" i="35"/>
  <c r="C945" i="35"/>
  <c r="D945" i="35"/>
  <c r="E945" i="35" l="1"/>
  <c r="F945" i="35" s="1"/>
  <c r="I945" i="35"/>
  <c r="B947" i="35"/>
  <c r="C946" i="35"/>
  <c r="D946" i="35"/>
  <c r="F944" i="35"/>
  <c r="H944" i="35"/>
  <c r="H945" i="35" l="1"/>
  <c r="G945" i="35" s="1"/>
  <c r="J945" i="35" s="1"/>
  <c r="G944" i="35"/>
  <c r="J944" i="35" s="1"/>
  <c r="E946" i="35"/>
  <c r="F946" i="35" s="1"/>
  <c r="I946" i="35"/>
  <c r="B948" i="35"/>
  <c r="C947" i="35"/>
  <c r="D947" i="35"/>
  <c r="H946" i="35" l="1"/>
  <c r="G946" i="35" s="1"/>
  <c r="J946" i="35" s="1"/>
  <c r="J947" i="35"/>
  <c r="E947" i="35"/>
  <c r="H947" i="35" s="1"/>
  <c r="B949" i="35"/>
  <c r="C948" i="35"/>
  <c r="D948" i="35"/>
  <c r="J948" i="35" l="1"/>
  <c r="F947" i="35"/>
  <c r="I947" i="35" s="1"/>
  <c r="E948" i="35"/>
  <c r="F948" i="35" s="1"/>
  <c r="I948" i="35"/>
  <c r="B950" i="35"/>
  <c r="C949" i="35"/>
  <c r="D949" i="35"/>
  <c r="G947" i="35"/>
  <c r="J949" i="35" l="1"/>
  <c r="H948" i="35"/>
  <c r="G948" i="35" s="1"/>
  <c r="E949" i="35"/>
  <c r="H949" i="35" s="1"/>
  <c r="I949" i="35"/>
  <c r="B951" i="35"/>
  <c r="C950" i="35"/>
  <c r="D950" i="35"/>
  <c r="I950" i="35" s="1"/>
  <c r="J950" i="35" l="1"/>
  <c r="F949" i="35"/>
  <c r="G949" i="35" s="1"/>
  <c r="E950" i="35"/>
  <c r="B952" i="35"/>
  <c r="C951" i="35"/>
  <c r="D951" i="35"/>
  <c r="J951" i="35" l="1"/>
  <c r="E951" i="35"/>
  <c r="F951" i="35" s="1"/>
  <c r="I951" i="35"/>
  <c r="B953" i="35"/>
  <c r="C952" i="35"/>
  <c r="J952" i="35" s="1"/>
  <c r="D952" i="35"/>
  <c r="F950" i="35"/>
  <c r="H950" i="35"/>
  <c r="G950" i="35" l="1"/>
  <c r="H951" i="35"/>
  <c r="G951" i="35" s="1"/>
  <c r="E952" i="35"/>
  <c r="F952" i="35" s="1"/>
  <c r="I952" i="35"/>
  <c r="B954" i="35"/>
  <c r="C953" i="35"/>
  <c r="D953" i="35"/>
  <c r="J953" i="35" l="1"/>
  <c r="H952" i="35"/>
  <c r="E953" i="35"/>
  <c r="B955" i="35"/>
  <c r="C954" i="35"/>
  <c r="D954" i="35"/>
  <c r="G952" i="35"/>
  <c r="E954" i="35" l="1"/>
  <c r="F954" i="35" s="1"/>
  <c r="I954" i="35"/>
  <c r="B956" i="35"/>
  <c r="C955" i="35"/>
  <c r="D955" i="35"/>
  <c r="F953" i="35"/>
  <c r="I953" i="35" s="1"/>
  <c r="H953" i="35"/>
  <c r="G953" i="35" l="1"/>
  <c r="H954" i="35"/>
  <c r="G954" i="35" s="1"/>
  <c r="J954" i="35" s="1"/>
  <c r="E955" i="35"/>
  <c r="F955" i="35" s="1"/>
  <c r="I955" i="35"/>
  <c r="B957" i="35"/>
  <c r="C956" i="35"/>
  <c r="D956" i="35"/>
  <c r="H955" i="35" l="1"/>
  <c r="G955" i="35" s="1"/>
  <c r="J955" i="35" s="1"/>
  <c r="E956" i="35"/>
  <c r="H956" i="35" s="1"/>
  <c r="I956" i="35"/>
  <c r="B958" i="35"/>
  <c r="C957" i="35"/>
  <c r="D957" i="35"/>
  <c r="F956" i="35" l="1"/>
  <c r="J957" i="35"/>
  <c r="E957" i="35"/>
  <c r="F957" i="35" s="1"/>
  <c r="I957" i="35" s="1"/>
  <c r="B959" i="35"/>
  <c r="C958" i="35"/>
  <c r="D958" i="35"/>
  <c r="G956" i="35"/>
  <c r="J956" i="35" s="1"/>
  <c r="H957" i="35" l="1"/>
  <c r="G957" i="35" s="1"/>
  <c r="E958" i="35"/>
  <c r="F958" i="35" s="1"/>
  <c r="I958" i="35"/>
  <c r="B960" i="35"/>
  <c r="C959" i="35"/>
  <c r="D959" i="35"/>
  <c r="I959" i="35" s="1"/>
  <c r="H958" i="35" l="1"/>
  <c r="G958" i="35" s="1"/>
  <c r="J958" i="35" s="1"/>
  <c r="E959" i="35"/>
  <c r="B961" i="35"/>
  <c r="C960" i="35"/>
  <c r="D960" i="35"/>
  <c r="E960" i="35" l="1"/>
  <c r="H960" i="35" s="1"/>
  <c r="I960" i="35"/>
  <c r="B962" i="35"/>
  <c r="C961" i="35"/>
  <c r="D961" i="35"/>
  <c r="F959" i="35"/>
  <c r="H959" i="35"/>
  <c r="F960" i="35" l="1"/>
  <c r="G959" i="35"/>
  <c r="J959" i="35" s="1"/>
  <c r="E961" i="35"/>
  <c r="H961" i="35" s="1"/>
  <c r="G960" i="35"/>
  <c r="J960" i="35" s="1"/>
  <c r="I961" i="35"/>
  <c r="B963" i="35"/>
  <c r="C962" i="35"/>
  <c r="D962" i="35"/>
  <c r="F961" i="35" l="1"/>
  <c r="G961" i="35" s="1"/>
  <c r="J961" i="35" s="1"/>
  <c r="E962" i="35"/>
  <c r="F962" i="35" s="1"/>
  <c r="I962" i="35" s="1"/>
  <c r="B964" i="35"/>
  <c r="C963" i="35"/>
  <c r="D963" i="35"/>
  <c r="E963" i="35"/>
  <c r="F963" i="35"/>
  <c r="G963" i="35"/>
  <c r="H963" i="35"/>
  <c r="J963" i="35"/>
  <c r="I963" i="35"/>
  <c r="H962" i="35" l="1"/>
  <c r="G962" i="35" s="1"/>
  <c r="J962" i="35" s="1"/>
  <c r="B965" i="35"/>
  <c r="C964" i="35"/>
  <c r="D964" i="35"/>
  <c r="J964" i="35" l="1"/>
  <c r="E964" i="35"/>
  <c r="F964" i="35" s="1"/>
  <c r="I964" i="35" s="1"/>
  <c r="B966" i="35"/>
  <c r="C965" i="35"/>
  <c r="D965" i="35"/>
  <c r="I965" i="35" s="1"/>
  <c r="H964" i="35" l="1"/>
  <c r="G964" i="35" s="1"/>
  <c r="E965" i="35"/>
  <c r="B967" i="35"/>
  <c r="C966" i="35"/>
  <c r="D966" i="35"/>
  <c r="J966" i="35" l="1"/>
  <c r="E966" i="35"/>
  <c r="F966" i="35" s="1"/>
  <c r="I966" i="35" s="1"/>
  <c r="B968" i="35"/>
  <c r="C967" i="35"/>
  <c r="D967" i="35"/>
  <c r="H965" i="35"/>
  <c r="F965" i="35"/>
  <c r="J967" i="35" l="1"/>
  <c r="H966" i="35"/>
  <c r="G966" i="35" s="1"/>
  <c r="E967" i="35"/>
  <c r="H967" i="35" s="1"/>
  <c r="B969" i="35"/>
  <c r="C968" i="35"/>
  <c r="D968" i="35"/>
  <c r="G965" i="35"/>
  <c r="J965" i="35" s="1"/>
  <c r="J968" i="35" l="1"/>
  <c r="F967" i="35"/>
  <c r="I967" i="35" s="1"/>
  <c r="E968" i="35"/>
  <c r="F968" i="35" s="1"/>
  <c r="I968" i="35" s="1"/>
  <c r="B970" i="35"/>
  <c r="C969" i="35"/>
  <c r="D969" i="35"/>
  <c r="G967" i="35"/>
  <c r="H968" i="35" l="1"/>
  <c r="G968" i="35" s="1"/>
  <c r="J969" i="35"/>
  <c r="E969" i="35"/>
  <c r="F969" i="35" s="1"/>
  <c r="I969" i="35" s="1"/>
  <c r="B971" i="35"/>
  <c r="C970" i="35"/>
  <c r="D970" i="35"/>
  <c r="E970" i="35" l="1"/>
  <c r="F970" i="35" s="1"/>
  <c r="I970" i="35" s="1"/>
  <c r="H969" i="35"/>
  <c r="G969" i="35" s="1"/>
  <c r="J970" i="35"/>
  <c r="B972" i="35"/>
  <c r="C971" i="35"/>
  <c r="D971" i="35"/>
  <c r="H970" i="35" l="1"/>
  <c r="G970" i="35" s="1"/>
  <c r="J971" i="35"/>
  <c r="E971" i="35"/>
  <c r="B973" i="35"/>
  <c r="C972" i="35"/>
  <c r="D972" i="35"/>
  <c r="J972" i="35" l="1"/>
  <c r="E972" i="35"/>
  <c r="H972" i="35" s="1"/>
  <c r="B974" i="35"/>
  <c r="C973" i="35"/>
  <c r="D973" i="35"/>
  <c r="H971" i="35"/>
  <c r="F971" i="35"/>
  <c r="I971" i="35" s="1"/>
  <c r="J973" i="35" l="1"/>
  <c r="F972" i="35"/>
  <c r="I972" i="35" s="1"/>
  <c r="E973" i="35"/>
  <c r="F973" i="35" s="1"/>
  <c r="I973" i="35" s="1"/>
  <c r="B975" i="35"/>
  <c r="C974" i="35"/>
  <c r="D974" i="35"/>
  <c r="G971" i="35"/>
  <c r="G972" i="35"/>
  <c r="E974" i="35" l="1"/>
  <c r="F974" i="35" s="1"/>
  <c r="I974" i="35" s="1"/>
  <c r="J974" i="35"/>
  <c r="H973" i="35"/>
  <c r="G973" i="35" s="1"/>
  <c r="B976" i="35"/>
  <c r="C975" i="35"/>
  <c r="D975" i="35"/>
  <c r="H974" i="35" l="1"/>
  <c r="G974" i="35" s="1"/>
  <c r="J975" i="35"/>
  <c r="E975" i="35"/>
  <c r="F975" i="35" s="1"/>
  <c r="I975" i="35" s="1"/>
  <c r="B977" i="35"/>
  <c r="C976" i="35"/>
  <c r="D976" i="35"/>
  <c r="J976" i="35" l="1"/>
  <c r="H975" i="35"/>
  <c r="G975" i="35" s="1"/>
  <c r="E976" i="35"/>
  <c r="B978" i="35"/>
  <c r="C977" i="35"/>
  <c r="D977" i="35"/>
  <c r="J977" i="35" l="1"/>
  <c r="E977" i="35"/>
  <c r="B979" i="35"/>
  <c r="C978" i="35"/>
  <c r="D978" i="35"/>
  <c r="F976" i="35"/>
  <c r="I976" i="35" s="1"/>
  <c r="H976" i="35"/>
  <c r="J978" i="35" l="1"/>
  <c r="E978" i="35"/>
  <c r="F978" i="35" s="1"/>
  <c r="I978" i="35" s="1"/>
  <c r="H977" i="35"/>
  <c r="F977" i="35"/>
  <c r="I977" i="35" s="1"/>
  <c r="B980" i="35"/>
  <c r="C979" i="35"/>
  <c r="D979" i="35"/>
  <c r="G976" i="35"/>
  <c r="J979" i="35" l="1"/>
  <c r="H978" i="35"/>
  <c r="G978" i="35" s="1"/>
  <c r="E979" i="35"/>
  <c r="B981" i="35"/>
  <c r="C980" i="35"/>
  <c r="D980" i="35"/>
  <c r="G977" i="35"/>
  <c r="J980" i="35" l="1"/>
  <c r="E980" i="35"/>
  <c r="H980" i="35" s="1"/>
  <c r="H979" i="35"/>
  <c r="F979" i="35"/>
  <c r="I979" i="35" s="1"/>
  <c r="B982" i="35"/>
  <c r="C981" i="35"/>
  <c r="D981" i="35"/>
  <c r="F980" i="35" l="1"/>
  <c r="I980" i="35" s="1"/>
  <c r="J981" i="35"/>
  <c r="B983" i="35"/>
  <c r="C982" i="35"/>
  <c r="D982" i="35"/>
  <c r="G979" i="35"/>
  <c r="E981" i="35"/>
  <c r="G980" i="35"/>
  <c r="J982" i="35" l="1"/>
  <c r="E982" i="35"/>
  <c r="F982" i="35" s="1"/>
  <c r="I982" i="35" s="1"/>
  <c r="F981" i="35"/>
  <c r="I981" i="35" s="1"/>
  <c r="H981" i="35"/>
  <c r="B984" i="35"/>
  <c r="C983" i="35"/>
  <c r="D983" i="35"/>
  <c r="J983" i="35" l="1"/>
  <c r="H982" i="35"/>
  <c r="G982" i="35" s="1"/>
  <c r="G981" i="35"/>
  <c r="E983" i="35"/>
  <c r="F983" i="35" s="1"/>
  <c r="I983" i="35" s="1"/>
  <c r="B985" i="35"/>
  <c r="C984" i="35"/>
  <c r="D984" i="35"/>
  <c r="J984" i="35" l="1"/>
  <c r="H983" i="35"/>
  <c r="G983" i="35" s="1"/>
  <c r="E984" i="35"/>
  <c r="F984" i="35" s="1"/>
  <c r="I984" i="35" s="1"/>
  <c r="B986" i="35"/>
  <c r="C985" i="35"/>
  <c r="D985" i="35"/>
  <c r="H984" i="35" l="1"/>
  <c r="J985" i="35"/>
  <c r="G984" i="35"/>
  <c r="E985" i="35"/>
  <c r="H985" i="35" s="1"/>
  <c r="B987" i="35"/>
  <c r="C986" i="35"/>
  <c r="D986" i="35"/>
  <c r="F985" i="35" l="1"/>
  <c r="I985" i="35" s="1"/>
  <c r="J986" i="35"/>
  <c r="E986" i="35"/>
  <c r="F986" i="35" s="1"/>
  <c r="I986" i="35" s="1"/>
  <c r="B988" i="35"/>
  <c r="C987" i="35"/>
  <c r="D987" i="35"/>
  <c r="G985" i="35" l="1"/>
  <c r="J987" i="35"/>
  <c r="H986" i="35"/>
  <c r="E987" i="35"/>
  <c r="F987" i="35" s="1"/>
  <c r="I987" i="35" s="1"/>
  <c r="B989" i="35"/>
  <c r="C988" i="35"/>
  <c r="D988" i="35"/>
  <c r="G986" i="35"/>
  <c r="E988" i="35" l="1"/>
  <c r="F988" i="35" s="1"/>
  <c r="I988" i="35" s="1"/>
  <c r="J988" i="35"/>
  <c r="H987" i="35"/>
  <c r="G987" i="35" s="1"/>
  <c r="B990" i="35"/>
  <c r="C989" i="35"/>
  <c r="D989" i="35"/>
  <c r="H988" i="35" l="1"/>
  <c r="J989" i="35"/>
  <c r="G988" i="35"/>
  <c r="E989" i="35"/>
  <c r="B991" i="35"/>
  <c r="C990" i="35"/>
  <c r="D990" i="35"/>
  <c r="J990" i="35" l="1"/>
  <c r="E990" i="35"/>
  <c r="F990" i="35" s="1"/>
  <c r="I990" i="35" s="1"/>
  <c r="B992" i="35"/>
  <c r="C991" i="35"/>
  <c r="D991" i="35"/>
  <c r="H989" i="35"/>
  <c r="F989" i="35"/>
  <c r="I989" i="35" s="1"/>
  <c r="J991" i="35" l="1"/>
  <c r="H990" i="35"/>
  <c r="G990" i="35" s="1"/>
  <c r="E991" i="35"/>
  <c r="B993" i="35"/>
  <c r="C992" i="35"/>
  <c r="D992" i="35"/>
  <c r="G989" i="35"/>
  <c r="J992" i="35" l="1"/>
  <c r="E992" i="35"/>
  <c r="B994" i="35"/>
  <c r="C993" i="35"/>
  <c r="D993" i="35"/>
  <c r="F991" i="35"/>
  <c r="I991" i="35" s="1"/>
  <c r="H991" i="35"/>
  <c r="J993" i="35" l="1"/>
  <c r="E993" i="35"/>
  <c r="F993" i="35" s="1"/>
  <c r="I993" i="35" s="1"/>
  <c r="F992" i="35"/>
  <c r="I992" i="35" s="1"/>
  <c r="H992" i="35"/>
  <c r="B995" i="35"/>
  <c r="C994" i="35"/>
  <c r="D994" i="35"/>
  <c r="G991" i="35"/>
  <c r="J994" i="35" l="1"/>
  <c r="H993" i="35"/>
  <c r="G993" i="35" s="1"/>
  <c r="G992" i="35"/>
  <c r="E994" i="35"/>
  <c r="B996" i="35"/>
  <c r="C995" i="35"/>
  <c r="D995" i="35"/>
  <c r="J995" i="35" l="1"/>
  <c r="E995" i="35"/>
  <c r="B997" i="35"/>
  <c r="C996" i="35"/>
  <c r="D996" i="35"/>
  <c r="F994" i="35"/>
  <c r="I994" i="35" s="1"/>
  <c r="H994" i="35"/>
  <c r="J996" i="35" l="1"/>
  <c r="E996" i="35"/>
  <c r="F996" i="35" s="1"/>
  <c r="I996" i="35" s="1"/>
  <c r="H995" i="35"/>
  <c r="F995" i="35"/>
  <c r="I995" i="35" s="1"/>
  <c r="B998" i="35"/>
  <c r="C997" i="35"/>
  <c r="D997" i="35"/>
  <c r="G994" i="35"/>
  <c r="H996" i="35" l="1"/>
  <c r="J997" i="35"/>
  <c r="G996" i="35"/>
  <c r="E997" i="35"/>
  <c r="B999" i="35"/>
  <c r="C998" i="35"/>
  <c r="D998" i="35"/>
  <c r="G995" i="35"/>
  <c r="J998" i="35" l="1"/>
  <c r="E998" i="35"/>
  <c r="B1000" i="35"/>
  <c r="C999" i="35"/>
  <c r="D999" i="35"/>
  <c r="F997" i="35"/>
  <c r="I997" i="35" s="1"/>
  <c r="H997" i="35"/>
  <c r="J999" i="35" l="1"/>
  <c r="E999" i="35"/>
  <c r="H999" i="35" s="1"/>
  <c r="H998" i="35"/>
  <c r="F998" i="35"/>
  <c r="I998" i="35" s="1"/>
  <c r="B1001" i="35"/>
  <c r="C1000" i="35"/>
  <c r="D1000" i="35"/>
  <c r="G997" i="35"/>
  <c r="F999" i="35" l="1"/>
  <c r="I999" i="35" s="1"/>
  <c r="J1000" i="35"/>
  <c r="G998" i="35"/>
  <c r="E1000" i="35"/>
  <c r="B1002" i="35"/>
  <c r="C1001" i="35"/>
  <c r="D1001" i="35"/>
  <c r="G999" i="35"/>
  <c r="J1001" i="35" l="1"/>
  <c r="E1001" i="35"/>
  <c r="B1003" i="35"/>
  <c r="C1002" i="35"/>
  <c r="D1002" i="35"/>
  <c r="F1000" i="35"/>
  <c r="I1000" i="35" s="1"/>
  <c r="H1000" i="35"/>
  <c r="J1002" i="35" l="1"/>
  <c r="E1002" i="35"/>
  <c r="H1002" i="35" s="1"/>
  <c r="H1001" i="35"/>
  <c r="F1001" i="35"/>
  <c r="I1001" i="35" s="1"/>
  <c r="B1004" i="35"/>
  <c r="C1003" i="35"/>
  <c r="D1003" i="35"/>
  <c r="G1000" i="35"/>
  <c r="F1002" i="35" l="1"/>
  <c r="I1002" i="35" s="1"/>
  <c r="J1003" i="35"/>
  <c r="E1003" i="35"/>
  <c r="B1005" i="35"/>
  <c r="C1004" i="35"/>
  <c r="D1004" i="35"/>
  <c r="G1001" i="35"/>
  <c r="G1002" i="35"/>
  <c r="J1004" i="35" l="1"/>
  <c r="E1004" i="35"/>
  <c r="H1004" i="35" s="1"/>
  <c r="B1006" i="35"/>
  <c r="C1005" i="35"/>
  <c r="D1005" i="35"/>
  <c r="F1003" i="35"/>
  <c r="I1003" i="35" s="1"/>
  <c r="H1003" i="35"/>
  <c r="F1004" i="35" l="1"/>
  <c r="I1004" i="35" s="1"/>
  <c r="J1005" i="35"/>
  <c r="G1003" i="35"/>
  <c r="E1005" i="35"/>
  <c r="F1005" i="35" s="1"/>
  <c r="I1005" i="35" s="1"/>
  <c r="B1007" i="35"/>
  <c r="C1006" i="35"/>
  <c r="D1006" i="35"/>
  <c r="G1004" i="35"/>
  <c r="H1005" i="35" l="1"/>
  <c r="J1006" i="35"/>
  <c r="G1005" i="35"/>
  <c r="E1006" i="35"/>
  <c r="F1006" i="35" s="1"/>
  <c r="I1006" i="35" s="1"/>
  <c r="B1008" i="35"/>
  <c r="C1007" i="35"/>
  <c r="D1007" i="35"/>
  <c r="H1006" i="35" l="1"/>
  <c r="G1006" i="35" s="1"/>
  <c r="J1007" i="35"/>
  <c r="E1007" i="35"/>
  <c r="B1009" i="35"/>
  <c r="C1008" i="35"/>
  <c r="D1008" i="35"/>
  <c r="E1008" i="35" l="1"/>
  <c r="H1008" i="35" s="1"/>
  <c r="J1008" i="35"/>
  <c r="B1010" i="35"/>
  <c r="C1009" i="35"/>
  <c r="D1009" i="35"/>
  <c r="H1007" i="35"/>
  <c r="F1007" i="35"/>
  <c r="I1007" i="35" s="1"/>
  <c r="F1008" i="35" l="1"/>
  <c r="I1008" i="35" s="1"/>
  <c r="E1009" i="35"/>
  <c r="F1009" i="35" s="1"/>
  <c r="I1009" i="35" s="1"/>
  <c r="J1009" i="35"/>
  <c r="B1011" i="35"/>
  <c r="C1010" i="35"/>
  <c r="D1010" i="35"/>
  <c r="G1007" i="35"/>
  <c r="G1008" i="35" l="1"/>
  <c r="H1009" i="35"/>
  <c r="G1009" i="35" s="1"/>
  <c r="J1010" i="35"/>
  <c r="E1010" i="35"/>
  <c r="B1012" i="35"/>
  <c r="C1011" i="35"/>
  <c r="D1011" i="35"/>
  <c r="J1011" i="35" l="1"/>
  <c r="E1011" i="35"/>
  <c r="H1011" i="35" s="1"/>
  <c r="B1013" i="35"/>
  <c r="C1012" i="35"/>
  <c r="D1012" i="35"/>
  <c r="F1010" i="35"/>
  <c r="I1010" i="35" s="1"/>
  <c r="H1010" i="35"/>
  <c r="J1012" i="35" l="1"/>
  <c r="F1011" i="35"/>
  <c r="I1011" i="35" s="1"/>
  <c r="G1010" i="35"/>
  <c r="E1012" i="35"/>
  <c r="B1014" i="35"/>
  <c r="C1013" i="35"/>
  <c r="D1013" i="35"/>
  <c r="G1011" i="35"/>
  <c r="J1013" i="35" l="1"/>
  <c r="E1013" i="35"/>
  <c r="B1015" i="35"/>
  <c r="C1014" i="35"/>
  <c r="D1014" i="35"/>
  <c r="F1012" i="35"/>
  <c r="I1012" i="35" s="1"/>
  <c r="H1012" i="35"/>
  <c r="J1014" i="35" l="1"/>
  <c r="E1014" i="35"/>
  <c r="H1014" i="35" s="1"/>
  <c r="H1013" i="35"/>
  <c r="F1013" i="35"/>
  <c r="I1013" i="35" s="1"/>
  <c r="B1016" i="35"/>
  <c r="C1015" i="35"/>
  <c r="D1015" i="35"/>
  <c r="G1012" i="35"/>
  <c r="F1014" i="35" l="1"/>
  <c r="I1014" i="35" s="1"/>
  <c r="J1015" i="35"/>
  <c r="E1015" i="35"/>
  <c r="F1015" i="35" s="1"/>
  <c r="I1015" i="35" s="1"/>
  <c r="B1017" i="35"/>
  <c r="C1016" i="35"/>
  <c r="D1016" i="35"/>
  <c r="G1013" i="35"/>
  <c r="G1014" i="35" l="1"/>
  <c r="H1015" i="35"/>
  <c r="G1015" i="35" s="1"/>
  <c r="J1016" i="35"/>
  <c r="E1016" i="35"/>
  <c r="F1016" i="35" s="1"/>
  <c r="I1016" i="35" s="1"/>
  <c r="B1018" i="35"/>
  <c r="C1017" i="35"/>
  <c r="D1017" i="35"/>
  <c r="H1016" i="35" l="1"/>
  <c r="G1016" i="35" s="1"/>
  <c r="J1017" i="35"/>
  <c r="E1017" i="35"/>
  <c r="F1017" i="35" s="1"/>
  <c r="I1017" i="35" s="1"/>
  <c r="B1019" i="35"/>
  <c r="C1018" i="35"/>
  <c r="D1018" i="35"/>
  <c r="H1017" i="35" l="1"/>
  <c r="G1017" i="35" s="1"/>
  <c r="J1018" i="35"/>
  <c r="E1018" i="35"/>
  <c r="B1020" i="35"/>
  <c r="C1019" i="35"/>
  <c r="D1019" i="35"/>
  <c r="J1019" i="35" l="1"/>
  <c r="B1021" i="35"/>
  <c r="C1020" i="35"/>
  <c r="D1020" i="35"/>
  <c r="E1019" i="35"/>
  <c r="F1018" i="35"/>
  <c r="I1018" i="35" s="1"/>
  <c r="H1018" i="35"/>
  <c r="J1020" i="35" l="1"/>
  <c r="E1020" i="35"/>
  <c r="F1020" i="35" s="1"/>
  <c r="I1020" i="35" s="1"/>
  <c r="H1019" i="35"/>
  <c r="F1019" i="35"/>
  <c r="I1019" i="35" s="1"/>
  <c r="B1022" i="35"/>
  <c r="C1021" i="35"/>
  <c r="D1021" i="35"/>
  <c r="G1018" i="35"/>
  <c r="H1020" i="35" l="1"/>
  <c r="J1021" i="35"/>
  <c r="E1021" i="35"/>
  <c r="F1021" i="35" s="1"/>
  <c r="I1021" i="35" s="1"/>
  <c r="G1020" i="35"/>
  <c r="B1023" i="35"/>
  <c r="D1022" i="35"/>
  <c r="C1022" i="35"/>
  <c r="G1019" i="35"/>
  <c r="H1021" i="35" l="1"/>
  <c r="J1022" i="35"/>
  <c r="G1021" i="35"/>
  <c r="E1022" i="35"/>
  <c r="H1022" i="35" s="1"/>
  <c r="B1024" i="35"/>
  <c r="C1023" i="35"/>
  <c r="D1023" i="35"/>
  <c r="J1023" i="35" l="1"/>
  <c r="F1022" i="35"/>
  <c r="I1022" i="35" s="1"/>
  <c r="E1023" i="35"/>
  <c r="H1023" i="35" s="1"/>
  <c r="B1025" i="35"/>
  <c r="C1024" i="35"/>
  <c r="D1024" i="35"/>
  <c r="G1022" i="35" l="1"/>
  <c r="F1023" i="35"/>
  <c r="I1023" i="35" s="1"/>
  <c r="J1024" i="35"/>
  <c r="E1024" i="35"/>
  <c r="F1024" i="35" s="1"/>
  <c r="I1024" i="35" s="1"/>
  <c r="B1026" i="35"/>
  <c r="D1025" i="35"/>
  <c r="C1025" i="35"/>
  <c r="G1023" i="35" l="1"/>
  <c r="H1024" i="35"/>
  <c r="G1024" i="35" s="1"/>
  <c r="E1025" i="35"/>
  <c r="H1025" i="35" s="1"/>
  <c r="J1025" i="35"/>
  <c r="B1027" i="35"/>
  <c r="C1026" i="35"/>
  <c r="D1026" i="35"/>
  <c r="F1025" i="35" l="1"/>
  <c r="I1025" i="35" s="1"/>
  <c r="E1026" i="35"/>
  <c r="F1026" i="35" s="1"/>
  <c r="I1026" i="35" s="1"/>
  <c r="J1026" i="35"/>
  <c r="B1028" i="35"/>
  <c r="C1027" i="35"/>
  <c r="D1027" i="35"/>
  <c r="G1025" i="35"/>
  <c r="H1026" i="35" l="1"/>
  <c r="G1026" i="35" s="1"/>
  <c r="J1027" i="35"/>
  <c r="E1027" i="35"/>
  <c r="B1029" i="35"/>
  <c r="D1028" i="35"/>
  <c r="C1028" i="35"/>
  <c r="J1028" i="35" l="1"/>
  <c r="E1028" i="35"/>
  <c r="H1028" i="35" s="1"/>
  <c r="B1030" i="35"/>
  <c r="C1029" i="35"/>
  <c r="D1029" i="35"/>
  <c r="F1027" i="35"/>
  <c r="I1027" i="35" s="1"/>
  <c r="H1027" i="35"/>
  <c r="J1029" i="35" l="1"/>
  <c r="G1027" i="35"/>
  <c r="F1028" i="35"/>
  <c r="I1028" i="35" s="1"/>
  <c r="E1029" i="35"/>
  <c r="H1029" i="35" s="1"/>
  <c r="B1031" i="35"/>
  <c r="C1030" i="35"/>
  <c r="D1030" i="35"/>
  <c r="G1028" i="35"/>
  <c r="F1029" i="35" l="1"/>
  <c r="I1029" i="35" s="1"/>
  <c r="J1030" i="35"/>
  <c r="E1030" i="35"/>
  <c r="B1032" i="35"/>
  <c r="D1031" i="35"/>
  <c r="C1031" i="35"/>
  <c r="G1029" i="35" l="1"/>
  <c r="J1031" i="35"/>
  <c r="E1031" i="35"/>
  <c r="B1033" i="35"/>
  <c r="C1032" i="35"/>
  <c r="D1032" i="35"/>
  <c r="F1030" i="35"/>
  <c r="I1030" i="35" s="1"/>
  <c r="H1030" i="35"/>
  <c r="J1032" i="35" l="1"/>
  <c r="E1032" i="35"/>
  <c r="H1032" i="35" s="1"/>
  <c r="H1031" i="35"/>
  <c r="F1031" i="35"/>
  <c r="I1031" i="35" s="1"/>
  <c r="B1034" i="35"/>
  <c r="C1033" i="35"/>
  <c r="D1033" i="35"/>
  <c r="G1030" i="35"/>
  <c r="F1032" i="35" l="1"/>
  <c r="I1032" i="35" s="1"/>
  <c r="E1033" i="35"/>
  <c r="F1033" i="35" s="1"/>
  <c r="I1033" i="35" s="1"/>
  <c r="J1033" i="35"/>
  <c r="B1035" i="35"/>
  <c r="D1034" i="35"/>
  <c r="C1034" i="35"/>
  <c r="G1031" i="35"/>
  <c r="G1032" i="35" l="1"/>
  <c r="H1033" i="35"/>
  <c r="G1033" i="35" s="1"/>
  <c r="J1034" i="35"/>
  <c r="E1034" i="35"/>
  <c r="B1036" i="35"/>
  <c r="C1035" i="35"/>
  <c r="D1035" i="35"/>
  <c r="J1035" i="35" l="1"/>
  <c r="E1035" i="35"/>
  <c r="H1035" i="35" s="1"/>
  <c r="B1037" i="35"/>
  <c r="C1036" i="35"/>
  <c r="D1036" i="35"/>
  <c r="H1034" i="35"/>
  <c r="F1034" i="35"/>
  <c r="I1034" i="35" s="1"/>
  <c r="F1035" i="35" l="1"/>
  <c r="I1035" i="35" s="1"/>
  <c r="J1036" i="35"/>
  <c r="E1036" i="35"/>
  <c r="B1038" i="35"/>
  <c r="D1037" i="35"/>
  <c r="C1037" i="35"/>
  <c r="G1034" i="35"/>
  <c r="G1035" i="35"/>
  <c r="J1037" i="35" l="1"/>
  <c r="F1036" i="35"/>
  <c r="I1036" i="35" s="1"/>
  <c r="H1036" i="35"/>
  <c r="E1037" i="35"/>
  <c r="B1039" i="35"/>
  <c r="C1038" i="35"/>
  <c r="D1038" i="35"/>
  <c r="G1036" i="35" l="1"/>
  <c r="J1038" i="35"/>
  <c r="E1038" i="35"/>
  <c r="F1038" i="35" s="1"/>
  <c r="I1038" i="35" s="1"/>
  <c r="H1037" i="35"/>
  <c r="F1037" i="35"/>
  <c r="I1037" i="35" s="1"/>
  <c r="B1040" i="35"/>
  <c r="C1039" i="35"/>
  <c r="D1039" i="35"/>
  <c r="H1038" i="35" l="1"/>
  <c r="E1039" i="35"/>
  <c r="F1039" i="35" s="1"/>
  <c r="I1039" i="35" s="1"/>
  <c r="G1038" i="35"/>
  <c r="J1039" i="35"/>
  <c r="B1041" i="35"/>
  <c r="D1040" i="35"/>
  <c r="C1040" i="35"/>
  <c r="G1037" i="35"/>
  <c r="J1040" i="35" l="1"/>
  <c r="H1039" i="35"/>
  <c r="G1039" i="35" s="1"/>
  <c r="E1040" i="35"/>
  <c r="B1042" i="35"/>
  <c r="C1041" i="35"/>
  <c r="D1041" i="35"/>
  <c r="J1041" i="35" l="1"/>
  <c r="E1041" i="35"/>
  <c r="H1041" i="35" s="1"/>
  <c r="B1043" i="35"/>
  <c r="C1042" i="35"/>
  <c r="D1042" i="35"/>
  <c r="F1040" i="35"/>
  <c r="I1040" i="35" s="1"/>
  <c r="H1040" i="35"/>
  <c r="G1040" i="35" l="1"/>
  <c r="J1042" i="35"/>
  <c r="F1041" i="35"/>
  <c r="I1041" i="35" s="1"/>
  <c r="E1042" i="35"/>
  <c r="B1044" i="35"/>
  <c r="D1043" i="35"/>
  <c r="C1043" i="35"/>
  <c r="G1041" i="35"/>
  <c r="J1043" i="35" l="1"/>
  <c r="E1043" i="35"/>
  <c r="H1043" i="35" s="1"/>
  <c r="B1045" i="35"/>
  <c r="C1044" i="35"/>
  <c r="D1044" i="35"/>
  <c r="F1042" i="35"/>
  <c r="I1042" i="35" s="1"/>
  <c r="H1042" i="35"/>
  <c r="J1044" i="35" l="1"/>
  <c r="F1043" i="35"/>
  <c r="I1043" i="35" s="1"/>
  <c r="E1044" i="35"/>
  <c r="H1044" i="35" s="1"/>
  <c r="B1046" i="35"/>
  <c r="C1045" i="35"/>
  <c r="D1045" i="35"/>
  <c r="G1042" i="35"/>
  <c r="G1043" i="35"/>
  <c r="F1044" i="35" l="1"/>
  <c r="I1044" i="35" s="1"/>
  <c r="J1045" i="35"/>
  <c r="E1045" i="35"/>
  <c r="B1047" i="35"/>
  <c r="D1046" i="35"/>
  <c r="C1046" i="35"/>
  <c r="G1044" i="35"/>
  <c r="E1046" i="35" l="1"/>
  <c r="H1046" i="35" s="1"/>
  <c r="J1046" i="35"/>
  <c r="B1048" i="35"/>
  <c r="C1047" i="35"/>
  <c r="D1047" i="35"/>
  <c r="F1045" i="35"/>
  <c r="I1045" i="35" s="1"/>
  <c r="H1045" i="35"/>
  <c r="F1046" i="35" l="1"/>
  <c r="I1046" i="35" s="1"/>
  <c r="J1047" i="35"/>
  <c r="G1045" i="35"/>
  <c r="E1047" i="35"/>
  <c r="H1047" i="35" s="1"/>
  <c r="B1049" i="35"/>
  <c r="C1048" i="35"/>
  <c r="D1048" i="35"/>
  <c r="G1046" i="35" l="1"/>
  <c r="J1048" i="35"/>
  <c r="F1047" i="35"/>
  <c r="I1047" i="35" s="1"/>
  <c r="E1048" i="35"/>
  <c r="F1048" i="35" s="1"/>
  <c r="I1048" i="35" s="1"/>
  <c r="B1050" i="35"/>
  <c r="D1049" i="35"/>
  <c r="C1049" i="35"/>
  <c r="J1049" i="35" s="1"/>
  <c r="G1047" i="35"/>
  <c r="H1048" i="35" l="1"/>
  <c r="G1048" i="35" s="1"/>
  <c r="E1049" i="35"/>
  <c r="H1049" i="35" s="1"/>
  <c r="B1051" i="35"/>
  <c r="C1050" i="35"/>
  <c r="D1050" i="35"/>
  <c r="J1050" i="35" l="1"/>
  <c r="F1049" i="35"/>
  <c r="I1049" i="35" s="1"/>
  <c r="E1050" i="35"/>
  <c r="H1050" i="35" s="1"/>
  <c r="B1052" i="35"/>
  <c r="C1051" i="35"/>
  <c r="D1051" i="35"/>
  <c r="G1049" i="35"/>
  <c r="F1050" i="35" l="1"/>
  <c r="I1050" i="35" s="1"/>
  <c r="J1051" i="35"/>
  <c r="E1051" i="35"/>
  <c r="B1053" i="35"/>
  <c r="D1052" i="35"/>
  <c r="C1052" i="35"/>
  <c r="G1050" i="35" l="1"/>
  <c r="J1052" i="35"/>
  <c r="E1052" i="35"/>
  <c r="B1054" i="35"/>
  <c r="C1053" i="35"/>
  <c r="D1053" i="35"/>
  <c r="F1051" i="35"/>
  <c r="I1051" i="35" s="1"/>
  <c r="H1051" i="35"/>
  <c r="J1053" i="35" l="1"/>
  <c r="E1053" i="35"/>
  <c r="H1053" i="35" s="1"/>
  <c r="H1052" i="35"/>
  <c r="F1052" i="35"/>
  <c r="I1052" i="35" s="1"/>
  <c r="B1055" i="35"/>
  <c r="C1054" i="35"/>
  <c r="D1054" i="35"/>
  <c r="G1051" i="35"/>
  <c r="F1053" i="35" l="1"/>
  <c r="I1053" i="35" s="1"/>
  <c r="E1054" i="35"/>
  <c r="F1054" i="35" s="1"/>
  <c r="I1054" i="35" s="1"/>
  <c r="J1054" i="35"/>
  <c r="B1056" i="35"/>
  <c r="D1055" i="35"/>
  <c r="C1055" i="35"/>
  <c r="G1052" i="35"/>
  <c r="G1053" i="35"/>
  <c r="H1054" i="35" l="1"/>
  <c r="J1055" i="35"/>
  <c r="G1054" i="35"/>
  <c r="E1055" i="35"/>
  <c r="B1057" i="35"/>
  <c r="C1056" i="35"/>
  <c r="D1056" i="35"/>
  <c r="J1056" i="35" l="1"/>
  <c r="E1056" i="35"/>
  <c r="H1056" i="35" s="1"/>
  <c r="H1055" i="35"/>
  <c r="F1055" i="35"/>
  <c r="I1055" i="35" s="1"/>
  <c r="B1058" i="35"/>
  <c r="C1057" i="35"/>
  <c r="D1057" i="35"/>
  <c r="F1056" i="35" l="1"/>
  <c r="I1056" i="35" s="1"/>
  <c r="J1057" i="35"/>
  <c r="E1057" i="35"/>
  <c r="F1057" i="35" s="1"/>
  <c r="I1057" i="35" s="1"/>
  <c r="B1059" i="35"/>
  <c r="C1058" i="35"/>
  <c r="D1058" i="35"/>
  <c r="G1055" i="35"/>
  <c r="G1056" i="35"/>
  <c r="H1057" i="35" l="1"/>
  <c r="G1057" i="35" s="1"/>
  <c r="J1058" i="35"/>
  <c r="E1058" i="35"/>
  <c r="B1060" i="35"/>
  <c r="C1059" i="35"/>
  <c r="D1059" i="35"/>
  <c r="E1059" i="35" l="1"/>
  <c r="H1059" i="35" s="1"/>
  <c r="J1059" i="35"/>
  <c r="B1061" i="35"/>
  <c r="C1060" i="35"/>
  <c r="D1060" i="35"/>
  <c r="F1058" i="35"/>
  <c r="I1058" i="35" s="1"/>
  <c r="H1058" i="35"/>
  <c r="F1059" i="35" l="1"/>
  <c r="I1059" i="35" s="1"/>
  <c r="G1058" i="35"/>
  <c r="J1060" i="35"/>
  <c r="E1060" i="35"/>
  <c r="B1062" i="35"/>
  <c r="C1061" i="35"/>
  <c r="D1061" i="35"/>
  <c r="G1059" i="35"/>
  <c r="J1061" i="35" l="1"/>
  <c r="E1061" i="35"/>
  <c r="H1061" i="35" s="1"/>
  <c r="B1063" i="35"/>
  <c r="C1062" i="35"/>
  <c r="D1062" i="35"/>
  <c r="F1060" i="35"/>
  <c r="I1060" i="35" s="1"/>
  <c r="H1060" i="35"/>
  <c r="J1062" i="35" l="1"/>
  <c r="F1061" i="35"/>
  <c r="I1061" i="35" s="1"/>
  <c r="E1062" i="35"/>
  <c r="F1062" i="35" s="1"/>
  <c r="I1062" i="35" s="1"/>
  <c r="G1060" i="35"/>
  <c r="B1064" i="35"/>
  <c r="C1063" i="35"/>
  <c r="D1063" i="35"/>
  <c r="G1061" i="35"/>
  <c r="H1062" i="35" l="1"/>
  <c r="G1062" i="35" s="1"/>
  <c r="J1063" i="35"/>
  <c r="E1063" i="35"/>
  <c r="F1063" i="35" s="1"/>
  <c r="I1063" i="35" s="1"/>
  <c r="B1065" i="35"/>
  <c r="C1064" i="35"/>
  <c r="D1064" i="35"/>
  <c r="H1063" i="35" l="1"/>
  <c r="J1064" i="35"/>
  <c r="G1063" i="35"/>
  <c r="E1064" i="35"/>
  <c r="F1064" i="35" s="1"/>
  <c r="I1064" i="35" s="1"/>
  <c r="B1066" i="35"/>
  <c r="C1065" i="35"/>
  <c r="D1065" i="35"/>
  <c r="H1064" i="35" l="1"/>
  <c r="J1065" i="35"/>
  <c r="E1065" i="35"/>
  <c r="F1065" i="35" s="1"/>
  <c r="I1065" i="35" s="1"/>
  <c r="G1064" i="35"/>
  <c r="B1067" i="35"/>
  <c r="C1066" i="35"/>
  <c r="D1066" i="35"/>
  <c r="H1065" i="35" l="1"/>
  <c r="G1065" i="35" s="1"/>
  <c r="E1066" i="35"/>
  <c r="F1066" i="35" s="1"/>
  <c r="I1066" i="35" s="1"/>
  <c r="J1066" i="35"/>
  <c r="B1068" i="35"/>
  <c r="C1067" i="35"/>
  <c r="D1067" i="35"/>
  <c r="H1066" i="35" l="1"/>
  <c r="G1066" i="35" s="1"/>
  <c r="J1067" i="35"/>
  <c r="E1067" i="35"/>
  <c r="F1067" i="35" s="1"/>
  <c r="I1067" i="35" s="1"/>
  <c r="B1069" i="35"/>
  <c r="C1068" i="35"/>
  <c r="D1068" i="35"/>
  <c r="H1067" i="35" l="1"/>
  <c r="E1068" i="35"/>
  <c r="F1068" i="35" s="1"/>
  <c r="I1068" i="35" s="1"/>
  <c r="G1067" i="35"/>
  <c r="J1068" i="35"/>
  <c r="B1070" i="35"/>
  <c r="C1069" i="35"/>
  <c r="D1069" i="35"/>
  <c r="H1068" i="35" l="1"/>
  <c r="G1068" i="35" s="1"/>
  <c r="J1069" i="35"/>
  <c r="E1069" i="35"/>
  <c r="B1071" i="35"/>
  <c r="C1070" i="35"/>
  <c r="D1070" i="35"/>
  <c r="J1070" i="35" l="1"/>
  <c r="E1070" i="35"/>
  <c r="F1070" i="35" s="1"/>
  <c r="I1070" i="35" s="1"/>
  <c r="B1072" i="35"/>
  <c r="C1071" i="35"/>
  <c r="D1071" i="35"/>
  <c r="F1069" i="35"/>
  <c r="I1069" i="35" s="1"/>
  <c r="H1069" i="35"/>
  <c r="G1069" i="35" l="1"/>
  <c r="J1071" i="35"/>
  <c r="H1070" i="35"/>
  <c r="G1070" i="35" s="1"/>
  <c r="E1071" i="35"/>
  <c r="B1073" i="35"/>
  <c r="C1072" i="35"/>
  <c r="D1072" i="35"/>
  <c r="J1072" i="35" l="1"/>
  <c r="E1072" i="35"/>
  <c r="B1074" i="35"/>
  <c r="C1073" i="35"/>
  <c r="D1073" i="35"/>
  <c r="H1071" i="35"/>
  <c r="F1071" i="35"/>
  <c r="I1071" i="35" s="1"/>
  <c r="J1073" i="35" l="1"/>
  <c r="G1071" i="35"/>
  <c r="E1073" i="35"/>
  <c r="H1073" i="35" s="1"/>
  <c r="B1075" i="35"/>
  <c r="C1074" i="35"/>
  <c r="D1074" i="35"/>
  <c r="F1072" i="35"/>
  <c r="I1072" i="35" s="1"/>
  <c r="H1072" i="35"/>
  <c r="G1072" i="35" l="1"/>
  <c r="J1074" i="35"/>
  <c r="E1074" i="35"/>
  <c r="H1074" i="35" s="1"/>
  <c r="F1073" i="35"/>
  <c r="I1073" i="35" s="1"/>
  <c r="B1076" i="35"/>
  <c r="C1075" i="35"/>
  <c r="D1075" i="35"/>
  <c r="G1073" i="35"/>
  <c r="F1074" i="35" l="1"/>
  <c r="I1074" i="35" s="1"/>
  <c r="J1075" i="35"/>
  <c r="E1075" i="35"/>
  <c r="B1077" i="35"/>
  <c r="C1076" i="35"/>
  <c r="D1076" i="35"/>
  <c r="G1074" i="35"/>
  <c r="J1076" i="35" l="1"/>
  <c r="E1076" i="35"/>
  <c r="B1078" i="35"/>
  <c r="D1077" i="35"/>
  <c r="C1077" i="35"/>
  <c r="F1075" i="35"/>
  <c r="I1075" i="35" s="1"/>
  <c r="H1075" i="35"/>
  <c r="J1077" i="35" l="1"/>
  <c r="E1077" i="35"/>
  <c r="F1077" i="35" s="1"/>
  <c r="I1077" i="35" s="1"/>
  <c r="H1076" i="35"/>
  <c r="F1076" i="35"/>
  <c r="I1076" i="35" s="1"/>
  <c r="B1079" i="35"/>
  <c r="C1078" i="35"/>
  <c r="D1078" i="35"/>
  <c r="G1075" i="35"/>
  <c r="H1077" i="35" l="1"/>
  <c r="G1077" i="35" s="1"/>
  <c r="J1078" i="35"/>
  <c r="E1078" i="35"/>
  <c r="B1080" i="35"/>
  <c r="D1079" i="35"/>
  <c r="C1079" i="35"/>
  <c r="G1076" i="35"/>
  <c r="J1079" i="35" l="1"/>
  <c r="E1079" i="35"/>
  <c r="B1081" i="35"/>
  <c r="C1080" i="35"/>
  <c r="D1080" i="35"/>
  <c r="H1078" i="35"/>
  <c r="F1078" i="35"/>
  <c r="I1078" i="35" s="1"/>
  <c r="J1080" i="35" l="1"/>
  <c r="G1078" i="35"/>
  <c r="E1080" i="35"/>
  <c r="B1082" i="35"/>
  <c r="C1081" i="35"/>
  <c r="D1081" i="35"/>
  <c r="H1079" i="35"/>
  <c r="F1079" i="35"/>
  <c r="I1079" i="35" s="1"/>
  <c r="J1081" i="35" l="1"/>
  <c r="G1079" i="35"/>
  <c r="E1081" i="35"/>
  <c r="B1083" i="35"/>
  <c r="C1082" i="35"/>
  <c r="D1082" i="35"/>
  <c r="H1080" i="35"/>
  <c r="F1080" i="35"/>
  <c r="I1080" i="35" s="1"/>
  <c r="J1082" i="35" l="1"/>
  <c r="G1080" i="35"/>
  <c r="E1082" i="35"/>
  <c r="B1084" i="35"/>
  <c r="C1083" i="35"/>
  <c r="D1083" i="35"/>
  <c r="F1081" i="35"/>
  <c r="I1081" i="35" s="1"/>
  <c r="H1081" i="35"/>
  <c r="J1083" i="35" l="1"/>
  <c r="E1083" i="35"/>
  <c r="F1083" i="35" s="1"/>
  <c r="I1083" i="35" s="1"/>
  <c r="F1082" i="35"/>
  <c r="I1082" i="35" s="1"/>
  <c r="H1082" i="35"/>
  <c r="B1085" i="35"/>
  <c r="C1084" i="35"/>
  <c r="D1084" i="35"/>
  <c r="G1081" i="35"/>
  <c r="G1082" i="35" l="1"/>
  <c r="H1083" i="35"/>
  <c r="G1083" i="35" s="1"/>
  <c r="J1084" i="35"/>
  <c r="E1084" i="35"/>
  <c r="F1084" i="35" s="1"/>
  <c r="I1084" i="35" s="1"/>
  <c r="B1086" i="35"/>
  <c r="C1085" i="35"/>
  <c r="D1085" i="35"/>
  <c r="J1085" i="35" l="1"/>
  <c r="H1084" i="35"/>
  <c r="G1084" i="35" s="1"/>
  <c r="E1085" i="35"/>
  <c r="F1085" i="35" s="1"/>
  <c r="I1085" i="35" s="1"/>
  <c r="B1087" i="35"/>
  <c r="C1086" i="35"/>
  <c r="D1086" i="35"/>
  <c r="J1086" i="35" l="1"/>
  <c r="H1085" i="35"/>
  <c r="E1086" i="35"/>
  <c r="F1086" i="35" s="1"/>
  <c r="I1086" i="35" s="1"/>
  <c r="G1085" i="35"/>
  <c r="B1088" i="35"/>
  <c r="C1087" i="35"/>
  <c r="D1087" i="35"/>
  <c r="H1086" i="35" l="1"/>
  <c r="G1086" i="35" s="1"/>
  <c r="E1087" i="35"/>
  <c r="H1087" i="35" s="1"/>
  <c r="J1087" i="35"/>
  <c r="B1089" i="35"/>
  <c r="D1088" i="35"/>
  <c r="C1088" i="35"/>
  <c r="F1087" i="35" l="1"/>
  <c r="I1087" i="35" s="1"/>
  <c r="J1088" i="35"/>
  <c r="E1088" i="35"/>
  <c r="B1090" i="35"/>
  <c r="C1089" i="35"/>
  <c r="D1089" i="35"/>
  <c r="G1087" i="35"/>
  <c r="J1089" i="35" l="1"/>
  <c r="E1089" i="35"/>
  <c r="F1089" i="35" s="1"/>
  <c r="I1089" i="35" s="1"/>
  <c r="B1091" i="35"/>
  <c r="C1090" i="35"/>
  <c r="D1090" i="35"/>
  <c r="H1088" i="35"/>
  <c r="F1088" i="35"/>
  <c r="I1088" i="35" s="1"/>
  <c r="J1090" i="35" l="1"/>
  <c r="H1089" i="35"/>
  <c r="G1089" i="35" s="1"/>
  <c r="E1090" i="35"/>
  <c r="F1090" i="35" s="1"/>
  <c r="I1090" i="35" s="1"/>
  <c r="B1092" i="35"/>
  <c r="C1091" i="35"/>
  <c r="D1091" i="35"/>
  <c r="G1088" i="35"/>
  <c r="J1091" i="35" l="1"/>
  <c r="H1090" i="35"/>
  <c r="G1090" i="35" s="1"/>
  <c r="E1091" i="35"/>
  <c r="F1091" i="35" s="1"/>
  <c r="I1091" i="35" s="1"/>
  <c r="B1093" i="35"/>
  <c r="C1092" i="35"/>
  <c r="D1092" i="35"/>
  <c r="H1091" i="35" l="1"/>
  <c r="J1092" i="35"/>
  <c r="G1091" i="35"/>
  <c r="E1092" i="35"/>
  <c r="F1092" i="35" s="1"/>
  <c r="I1092" i="35" s="1"/>
  <c r="B1094" i="35"/>
  <c r="C1093" i="35"/>
  <c r="D1093" i="35"/>
  <c r="J1093" i="35" l="1"/>
  <c r="H1092" i="35"/>
  <c r="G1092" i="35" s="1"/>
  <c r="E1093" i="35"/>
  <c r="H1093" i="35" s="1"/>
  <c r="B1095" i="35"/>
  <c r="C1094" i="35"/>
  <c r="D1094" i="35"/>
  <c r="F1093" i="35" l="1"/>
  <c r="I1093" i="35" s="1"/>
  <c r="E1094" i="35"/>
  <c r="F1094" i="35" s="1"/>
  <c r="I1094" i="35" s="1"/>
  <c r="J1094" i="35"/>
  <c r="B1096" i="35"/>
  <c r="D1095" i="35"/>
  <c r="C1095" i="35"/>
  <c r="G1093" i="35"/>
  <c r="J1095" i="35" l="1"/>
  <c r="H1094" i="35"/>
  <c r="G1094" i="35" s="1"/>
  <c r="E1095" i="35"/>
  <c r="B1097" i="35"/>
  <c r="C1096" i="35"/>
  <c r="D1096" i="35"/>
  <c r="J1096" i="35" l="1"/>
  <c r="E1096" i="35"/>
  <c r="B1098" i="35"/>
  <c r="C1097" i="35"/>
  <c r="D1097" i="35"/>
  <c r="F1095" i="35"/>
  <c r="I1095" i="35" s="1"/>
  <c r="H1095" i="35"/>
  <c r="J1097" i="35" l="1"/>
  <c r="E1097" i="35"/>
  <c r="F1097" i="35" s="1"/>
  <c r="I1097" i="35" s="1"/>
  <c r="F1096" i="35"/>
  <c r="I1096" i="35" s="1"/>
  <c r="H1096" i="35"/>
  <c r="B1099" i="35"/>
  <c r="C1098" i="35"/>
  <c r="D1098" i="35"/>
  <c r="G1095" i="35"/>
  <c r="H1097" i="35" l="1"/>
  <c r="J1098" i="35"/>
  <c r="E1098" i="35"/>
  <c r="H1098" i="35" s="1"/>
  <c r="G1097" i="35"/>
  <c r="G1096" i="35"/>
  <c r="B1100" i="35"/>
  <c r="C1099" i="35"/>
  <c r="D1099" i="35"/>
  <c r="F1098" i="35" l="1"/>
  <c r="I1098" i="35" s="1"/>
  <c r="J1099" i="35"/>
  <c r="E1099" i="35"/>
  <c r="F1099" i="35" s="1"/>
  <c r="I1099" i="35" s="1"/>
  <c r="C1100" i="35"/>
  <c r="D1100" i="35"/>
  <c r="G1098" i="35" l="1"/>
  <c r="J1100" i="35"/>
  <c r="N4" i="35" s="1"/>
  <c r="O4" i="35" s="1"/>
  <c r="M5" i="35" s="1"/>
  <c r="H1099" i="35"/>
  <c r="G1099" i="35" s="1"/>
  <c r="M8" i="35"/>
  <c r="W12" i="35" s="1"/>
  <c r="M6" i="35"/>
  <c r="E1100" i="35"/>
  <c r="H1100" i="35" l="1"/>
  <c r="F1100" i="35"/>
  <c r="I1100" i="35" s="1"/>
  <c r="M4" i="35" s="1"/>
  <c r="U13" i="35" s="1"/>
  <c r="AL39" i="35"/>
  <c r="AL28" i="35"/>
  <c r="AL35" i="35"/>
  <c r="AL27" i="35"/>
  <c r="AL25" i="35"/>
  <c r="AL30" i="35"/>
  <c r="AL38" i="35"/>
  <c r="AL37" i="35"/>
  <c r="AL33" i="35"/>
  <c r="AL29" i="35"/>
  <c r="AL34" i="35"/>
  <c r="AT38" i="35"/>
  <c r="AL26" i="35"/>
  <c r="AL31" i="35"/>
  <c r="X12" i="35"/>
  <c r="AL36" i="35"/>
  <c r="AL32" i="35"/>
  <c r="AU38" i="35" l="1"/>
  <c r="U12" i="35"/>
  <c r="V13" i="35"/>
  <c r="AK25" i="35" s="1"/>
  <c r="AR39" i="35"/>
  <c r="P4" i="35"/>
  <c r="Q4" i="35" s="1"/>
  <c r="G1100" i="35"/>
  <c r="AB993" i="19" l="1"/>
  <c r="T24" i="35"/>
  <c r="M7" i="35"/>
  <c r="W13" i="35" s="1"/>
  <c r="AC993" i="19"/>
  <c r="AB983" i="19"/>
  <c r="W985" i="19"/>
  <c r="AK31" i="35"/>
  <c r="AK26" i="35"/>
  <c r="AS39" i="35" s="1"/>
  <c r="AK37" i="35"/>
  <c r="AK38" i="35"/>
  <c r="AK32" i="35"/>
  <c r="AK39" i="35"/>
  <c r="AK36" i="35"/>
  <c r="AK27" i="35"/>
  <c r="AK28" i="35"/>
  <c r="AK34" i="35"/>
  <c r="AK29" i="35"/>
  <c r="AK35" i="35"/>
  <c r="AK30" i="35"/>
  <c r="AK33" i="35"/>
  <c r="V12" i="35"/>
  <c r="AJ25" i="35" s="1"/>
  <c r="AR38" i="35"/>
  <c r="Y981" i="55" l="1"/>
  <c r="W981" i="55" s="1"/>
  <c r="W20" i="55" s="1"/>
  <c r="W21" i="55" s="1"/>
  <c r="Y981" i="53"/>
  <c r="W981" i="53" s="1"/>
  <c r="W20" i="53" s="1"/>
  <c r="W21" i="53" s="1"/>
  <c r="Y981" i="54"/>
  <c r="W981" i="54" s="1"/>
  <c r="W20" i="54" s="1"/>
  <c r="W21" i="54" s="1"/>
  <c r="Y981" i="44"/>
  <c r="W981" i="44" s="1"/>
  <c r="W20" i="44" s="1"/>
  <c r="Y981" i="52"/>
  <c r="W981" i="52" s="1"/>
  <c r="W20" i="52" s="1"/>
  <c r="W21" i="52" s="1"/>
  <c r="X983" i="19"/>
  <c r="Y983" i="19" s="1"/>
  <c r="AF983" i="19" s="1"/>
  <c r="AM37" i="35"/>
  <c r="AM38" i="35"/>
  <c r="AM33" i="35"/>
  <c r="AM29" i="35"/>
  <c r="AM27" i="35"/>
  <c r="AM28" i="35"/>
  <c r="AM30" i="35"/>
  <c r="X13" i="35"/>
  <c r="AM36" i="35"/>
  <c r="AM32" i="35"/>
  <c r="AM35" i="35"/>
  <c r="AM34" i="35"/>
  <c r="AM25" i="35"/>
  <c r="AT39" i="35"/>
  <c r="AU39" i="35" s="1"/>
  <c r="AM26" i="35"/>
  <c r="AM31" i="35"/>
  <c r="AM39" i="35"/>
  <c r="AJ37" i="35"/>
  <c r="AJ32" i="35"/>
  <c r="AJ33" i="35"/>
  <c r="AJ26" i="35"/>
  <c r="AJ35" i="35"/>
  <c r="AJ38" i="35"/>
  <c r="AJ36" i="35"/>
  <c r="AJ30" i="35"/>
  <c r="AJ39" i="35"/>
  <c r="AJ29" i="35"/>
  <c r="V18" i="35" s="1"/>
  <c r="AJ31" i="35"/>
  <c r="AJ27" i="35"/>
  <c r="AJ34" i="35"/>
  <c r="AJ28" i="35"/>
  <c r="V19" i="35"/>
  <c r="AK983" i="19" l="1"/>
  <c r="AM983" i="19"/>
  <c r="AI983" i="19"/>
  <c r="AJ983" i="19"/>
  <c r="AH983" i="19"/>
  <c r="AL983" i="19"/>
  <c r="AS38" i="35"/>
  <c r="X981" i="44"/>
  <c r="Z981" i="44" s="1"/>
  <c r="AG983" i="19"/>
  <c r="W19" i="44"/>
  <c r="AE1006" i="19"/>
  <c r="AE1003" i="19"/>
  <c r="P6" i="44"/>
  <c r="A981" i="53"/>
  <c r="A981" i="55"/>
  <c r="A981" i="54"/>
  <c r="X18" i="35"/>
  <c r="X19" i="35"/>
  <c r="A981" i="52"/>
  <c r="AN983" i="19"/>
  <c r="AA981" i="44" l="1"/>
  <c r="P7" i="44"/>
  <c r="V3" i="44"/>
  <c r="AE1005" i="19"/>
  <c r="AG1005" i="19"/>
  <c r="AE1002" i="19"/>
  <c r="AF1005" i="19"/>
  <c r="AE1004" i="19"/>
  <c r="AH1004" i="19"/>
  <c r="AH1006" i="19"/>
  <c r="AF1006" i="19"/>
  <c r="AE1007" i="19"/>
  <c r="AG1006" i="19"/>
  <c r="Q6" i="44"/>
  <c r="T6" i="44"/>
  <c r="W16" i="44"/>
  <c r="W15" i="44"/>
  <c r="A981" i="44"/>
  <c r="S6" i="44" l="1"/>
  <c r="T7" i="44"/>
  <c r="V7" i="44"/>
  <c r="AG1007" i="19"/>
  <c r="AF1007" i="19"/>
  <c r="AH1007" i="19"/>
  <c r="V4" i="44"/>
  <c r="Q7" i="44"/>
  <c r="V6" i="44" l="1"/>
  <c r="S7" i="44"/>
  <c r="R6" i="44"/>
  <c r="V5" i="44" l="1"/>
  <c r="R7" i="44"/>
  <c r="O7" i="44" s="1"/>
  <c r="AE1008" i="19" l="1"/>
  <c r="AE1010" i="19"/>
  <c r="AE1009" i="19"/>
  <c r="W21" i="44"/>
  <c r="AH1010" i="19" l="1"/>
  <c r="AF1010" i="19"/>
  <c r="AG1010" i="19"/>
  <c r="E21" i="44"/>
  <c r="F21" i="44"/>
  <c r="G19" i="44"/>
  <c r="D20" i="44"/>
  <c r="E19" i="44"/>
  <c r="C19" i="44"/>
  <c r="G20" i="44"/>
  <c r="E20" i="44"/>
  <c r="C21" i="44"/>
  <c r="F20" i="44"/>
  <c r="G21" i="44"/>
  <c r="F19" i="44"/>
  <c r="D19" i="44"/>
  <c r="D21" i="44"/>
  <c r="AF1009" i="19"/>
  <c r="AG1009" i="19"/>
  <c r="AH1009" i="19"/>
  <c r="AF1008" i="19"/>
  <c r="AH1008" i="19"/>
  <c r="AG1008" i="19"/>
  <c r="E20" i="55" l="1"/>
  <c r="E20" i="54"/>
  <c r="E20" i="52"/>
  <c r="E20" i="53"/>
  <c r="D19" i="53"/>
  <c r="D19" i="55"/>
  <c r="D19" i="52"/>
  <c r="D19" i="54"/>
  <c r="C21" i="52"/>
  <c r="C21" i="53"/>
  <c r="C21" i="55"/>
  <c r="C21" i="54"/>
  <c r="E17" i="44"/>
  <c r="G20" i="54"/>
  <c r="G20" i="52"/>
  <c r="G20" i="53"/>
  <c r="G20" i="55"/>
  <c r="D20" i="55"/>
  <c r="D20" i="53"/>
  <c r="D20" i="54"/>
  <c r="D20" i="52"/>
  <c r="F21" i="53"/>
  <c r="F21" i="52"/>
  <c r="F21" i="54"/>
  <c r="F21" i="55"/>
  <c r="C19" i="54"/>
  <c r="C19" i="55"/>
  <c r="C19" i="53"/>
  <c r="C19" i="52"/>
  <c r="G19" i="53"/>
  <c r="G19" i="55"/>
  <c r="G19" i="54"/>
  <c r="G19" i="52"/>
  <c r="D21" i="55"/>
  <c r="D21" i="53"/>
  <c r="D21" i="52"/>
  <c r="D21" i="54"/>
  <c r="E21" i="52"/>
  <c r="E21" i="54"/>
  <c r="E21" i="55"/>
  <c r="E21" i="53"/>
  <c r="G21" i="54"/>
  <c r="G21" i="53"/>
  <c r="G21" i="55"/>
  <c r="G21" i="52"/>
  <c r="E19" i="54"/>
  <c r="E19" i="53"/>
  <c r="E19" i="52"/>
  <c r="E19" i="55"/>
  <c r="F19" i="54"/>
  <c r="F19" i="52"/>
  <c r="F19" i="55"/>
  <c r="F19" i="53"/>
  <c r="F20" i="54"/>
  <c r="F20" i="55"/>
  <c r="F20" i="52"/>
  <c r="F20" i="53"/>
  <c r="E17" i="52" l="1"/>
  <c r="X949" i="55"/>
  <c r="X46" i="55"/>
  <c r="X511" i="55"/>
  <c r="X242" i="55"/>
  <c r="X145" i="55"/>
  <c r="X865" i="55"/>
  <c r="X276" i="55"/>
  <c r="X925" i="55"/>
  <c r="X919" i="55"/>
  <c r="X290" i="55"/>
  <c r="X91" i="55"/>
  <c r="X611" i="55"/>
  <c r="X897" i="55"/>
  <c r="X366" i="55"/>
  <c r="X142" i="55"/>
  <c r="X414" i="55"/>
  <c r="X758" i="55"/>
  <c r="X726" i="55"/>
  <c r="X691" i="55"/>
  <c r="X119" i="55"/>
  <c r="X430" i="55"/>
  <c r="X778" i="55"/>
  <c r="X742" i="55"/>
  <c r="X559" i="55"/>
  <c r="X103" i="55"/>
  <c r="X446" i="55"/>
  <c r="X804" i="55"/>
  <c r="X693" i="55"/>
  <c r="X329" i="55"/>
  <c r="X375" i="55"/>
  <c r="X356" i="55"/>
  <c r="X703" i="55"/>
  <c r="X399" i="55"/>
  <c r="X367" i="55"/>
  <c r="X626" i="55"/>
  <c r="X341" i="55"/>
  <c r="X839" i="55"/>
  <c r="X875" i="55"/>
  <c r="X138" i="55"/>
  <c r="X30" i="55"/>
  <c r="X335" i="55"/>
  <c r="X634" i="55"/>
  <c r="X357" i="55"/>
  <c r="X850" i="55"/>
  <c r="X880" i="55"/>
  <c r="X57" i="55"/>
  <c r="X26" i="55"/>
  <c r="X358" i="55"/>
  <c r="X844" i="55"/>
  <c r="X549" i="55"/>
  <c r="X424" i="55"/>
  <c r="X950" i="55"/>
  <c r="X123" i="55"/>
  <c r="X483" i="55"/>
  <c r="X629" i="55"/>
  <c r="X931" i="55"/>
  <c r="X814" i="55"/>
  <c r="X59" i="55"/>
  <c r="X188" i="55"/>
  <c r="X352" i="55"/>
  <c r="X821" i="55"/>
  <c r="X915" i="55"/>
  <c r="X255" i="55"/>
  <c r="X515" i="55"/>
  <c r="X645" i="55"/>
  <c r="X952" i="55"/>
  <c r="X822" i="55"/>
  <c r="X27" i="55"/>
  <c r="X206" i="55"/>
  <c r="X606" i="55"/>
  <c r="X713" i="55"/>
  <c r="X694" i="55"/>
  <c r="X212" i="55"/>
  <c r="X845" i="55"/>
  <c r="X543" i="55"/>
  <c r="X312" i="55"/>
  <c r="X503" i="55"/>
  <c r="X617" i="55"/>
  <c r="X644" i="55"/>
  <c r="X310" i="55"/>
  <c r="X877" i="55"/>
  <c r="X84" i="55"/>
  <c r="X253" i="55"/>
  <c r="X65" i="55"/>
  <c r="X280" i="55"/>
  <c r="X583" i="55"/>
  <c r="X412" i="55"/>
  <c r="X973" i="55"/>
  <c r="X309" i="55"/>
  <c r="X107" i="55"/>
  <c r="X37" i="55"/>
  <c r="X197" i="55"/>
  <c r="X945" i="55"/>
  <c r="X219" i="55"/>
  <c r="X48" i="55"/>
  <c r="X385" i="55"/>
  <c r="X750" i="55"/>
  <c r="X761" i="55"/>
  <c r="X302" i="55"/>
  <c r="X44" i="55"/>
  <c r="X401" i="55"/>
  <c r="X701" i="55"/>
  <c r="X766" i="55"/>
  <c r="X270" i="55"/>
  <c r="X40" i="55"/>
  <c r="X417" i="55"/>
  <c r="X717" i="55"/>
  <c r="X772" i="55"/>
  <c r="X238" i="55"/>
  <c r="X550" i="55"/>
  <c r="X638" i="55"/>
  <c r="X660" i="55"/>
  <c r="X83" i="55"/>
  <c r="X233" i="55"/>
  <c r="X789" i="55"/>
  <c r="X533" i="55"/>
  <c r="X967" i="55"/>
  <c r="X939" i="55"/>
  <c r="X322" i="55"/>
  <c r="X117" i="55"/>
  <c r="X225" i="55"/>
  <c r="X820" i="55"/>
  <c r="X541" i="55"/>
  <c r="X408" i="55"/>
  <c r="X944" i="55"/>
  <c r="X132" i="55"/>
  <c r="X101" i="55"/>
  <c r="X217" i="55"/>
  <c r="X423" i="55"/>
  <c r="X404" i="55"/>
  <c r="X751" i="55"/>
  <c r="X239" i="55"/>
  <c r="X45" i="55"/>
  <c r="X604" i="55"/>
  <c r="X796" i="55"/>
  <c r="X699" i="55"/>
  <c r="X868" i="55"/>
  <c r="X55" i="55"/>
  <c r="X499" i="55"/>
  <c r="X637" i="55"/>
  <c r="X942" i="55"/>
  <c r="X818" i="55"/>
  <c r="X43" i="55"/>
  <c r="X410" i="55"/>
  <c r="X898" i="55"/>
  <c r="X731" i="55"/>
  <c r="X879" i="55"/>
  <c r="X360" i="55"/>
  <c r="X56" i="55"/>
  <c r="X353" i="55"/>
  <c r="X718" i="55"/>
  <c r="X752" i="55"/>
  <c r="X135" i="55"/>
  <c r="X893" i="55"/>
  <c r="X339" i="55"/>
  <c r="X174" i="55"/>
  <c r="X620" i="55"/>
  <c r="X708" i="55"/>
  <c r="X710" i="55"/>
  <c r="X110" i="55"/>
  <c r="X377" i="55"/>
  <c r="X90" i="55"/>
  <c r="X157" i="55"/>
  <c r="X192" i="55"/>
  <c r="X87" i="55"/>
  <c r="X141" i="55"/>
  <c r="X957" i="55"/>
  <c r="X441" i="55"/>
  <c r="X205" i="55"/>
  <c r="X881" i="55"/>
  <c r="X162" i="55"/>
  <c r="X168" i="55"/>
  <c r="X633" i="55"/>
  <c r="X378" i="55"/>
  <c r="X92" i="55"/>
  <c r="X555" i="55"/>
  <c r="X769" i="55"/>
  <c r="X830" i="55"/>
  <c r="X94" i="55"/>
  <c r="X218" i="55"/>
  <c r="X563" i="55"/>
  <c r="X774" i="55"/>
  <c r="X840" i="55"/>
  <c r="X724" i="55"/>
  <c r="X186" i="55"/>
  <c r="X571" i="55"/>
  <c r="X780" i="55"/>
  <c r="X851" i="55"/>
  <c r="X432" i="55"/>
  <c r="X462" i="55"/>
  <c r="X823" i="55"/>
  <c r="X709" i="55"/>
  <c r="X562" i="55"/>
  <c r="X137" i="55"/>
  <c r="X391" i="55"/>
  <c r="X372" i="55"/>
  <c r="X719" i="55"/>
  <c r="X313" i="55"/>
  <c r="X974" i="55"/>
  <c r="X657" i="55"/>
  <c r="X402" i="55"/>
  <c r="X407" i="55"/>
  <c r="X388" i="55"/>
  <c r="X735" i="55"/>
  <c r="X271" i="55"/>
  <c r="X825" i="55"/>
  <c r="X625" i="55"/>
  <c r="X370" i="55"/>
  <c r="X574" i="55"/>
  <c r="X662" i="55"/>
  <c r="X672" i="55"/>
  <c r="X35" i="55"/>
  <c r="X226" i="55"/>
  <c r="X349" i="55"/>
  <c r="X331" i="55"/>
  <c r="X659" i="55"/>
  <c r="X932" i="55"/>
  <c r="X41" i="55"/>
  <c r="X616" i="55"/>
  <c r="X855" i="55"/>
  <c r="X715" i="55"/>
  <c r="X874" i="55"/>
  <c r="X126" i="55"/>
  <c r="X381" i="55"/>
  <c r="X363" i="55"/>
  <c r="X667" i="55"/>
  <c r="X943" i="55"/>
  <c r="X422" i="55"/>
  <c r="X124" i="55"/>
  <c r="X539" i="55"/>
  <c r="X759" i="55"/>
  <c r="X980" i="55"/>
  <c r="X121" i="55"/>
  <c r="X941" i="55"/>
  <c r="X227" i="55"/>
  <c r="X52" i="55"/>
  <c r="X369" i="55"/>
  <c r="X734" i="55"/>
  <c r="X757" i="55"/>
  <c r="X334" i="55"/>
  <c r="X665" i="55"/>
  <c r="X547" i="55"/>
  <c r="X979" i="55"/>
  <c r="X180" i="55"/>
  <c r="X940" i="55"/>
  <c r="X77" i="55"/>
  <c r="X540" i="55"/>
  <c r="X826" i="55"/>
  <c r="X922" i="55"/>
  <c r="X259" i="55"/>
  <c r="X526" i="55"/>
  <c r="X704" i="55"/>
  <c r="X231" i="55"/>
  <c r="X240" i="55"/>
  <c r="X678" i="55"/>
  <c r="X702" i="55"/>
  <c r="X437" i="55"/>
  <c r="X54" i="55"/>
  <c r="X482" i="55"/>
  <c r="X812" i="55"/>
  <c r="X425" i="55"/>
  <c r="X292" i="55"/>
  <c r="X196" i="55"/>
  <c r="X36" i="55"/>
  <c r="X905" i="55"/>
  <c r="X784" i="55"/>
  <c r="X321" i="55"/>
  <c r="X340" i="55"/>
  <c r="X933" i="55"/>
  <c r="X762" i="55"/>
  <c r="X841" i="55"/>
  <c r="X586" i="55"/>
  <c r="X258" i="55"/>
  <c r="X98" i="55"/>
  <c r="X420" i="55"/>
  <c r="X856" i="55"/>
  <c r="X958" i="55"/>
  <c r="X394" i="55"/>
  <c r="X387" i="55"/>
  <c r="X444" i="55"/>
  <c r="X867" i="55"/>
  <c r="X968" i="55"/>
  <c r="X326" i="55"/>
  <c r="X403" i="55"/>
  <c r="X476" i="55"/>
  <c r="X878" i="55"/>
  <c r="X794" i="55"/>
  <c r="X294" i="55"/>
  <c r="X433" i="55"/>
  <c r="X733" i="55"/>
  <c r="X777" i="55"/>
  <c r="X134" i="55"/>
  <c r="X272" i="55"/>
  <c r="X558" i="55"/>
  <c r="X646" i="55"/>
  <c r="X664" i="55"/>
  <c r="X67" i="55"/>
  <c r="X869" i="55"/>
  <c r="X612" i="55"/>
  <c r="X264" i="55"/>
  <c r="X566" i="55"/>
  <c r="X654" i="55"/>
  <c r="X668" i="55"/>
  <c r="X51" i="55"/>
  <c r="X873" i="55"/>
  <c r="X578" i="55"/>
  <c r="X256" i="55"/>
  <c r="X510" i="55"/>
  <c r="X951" i="55"/>
  <c r="X688" i="55"/>
  <c r="X263" i="55"/>
  <c r="X86" i="55"/>
  <c r="X537" i="55"/>
  <c r="X523" i="55"/>
  <c r="X705" i="55"/>
  <c r="X779" i="55"/>
  <c r="X194" i="55"/>
  <c r="X365" i="55"/>
  <c r="X347" i="55"/>
  <c r="X663" i="55"/>
  <c r="X938" i="55"/>
  <c r="X178" i="55"/>
  <c r="X553" i="55"/>
  <c r="X544" i="55"/>
  <c r="X737" i="55"/>
  <c r="X787" i="55"/>
  <c r="X575" i="55"/>
  <c r="X130" i="55"/>
  <c r="X384" i="55"/>
  <c r="X835" i="55"/>
  <c r="X936" i="55"/>
  <c r="X191" i="55"/>
  <c r="X131" i="55"/>
  <c r="X108" i="55"/>
  <c r="X764" i="55"/>
  <c r="X323" i="55"/>
  <c r="X661" i="55"/>
  <c r="X151" i="55"/>
  <c r="X680" i="55"/>
  <c r="X903" i="55"/>
  <c r="X607" i="55"/>
  <c r="X317" i="55"/>
  <c r="X111" i="55"/>
  <c r="X376" i="55"/>
  <c r="X154" i="55"/>
  <c r="X861" i="55"/>
  <c r="X195" i="55"/>
  <c r="X213" i="55"/>
  <c r="X244" i="55"/>
  <c r="X299" i="55"/>
  <c r="X901" i="55"/>
  <c r="X937" i="55"/>
  <c r="X269" i="55"/>
  <c r="X73" i="55"/>
  <c r="X548" i="55"/>
  <c r="X669" i="55"/>
  <c r="X452" i="55"/>
  <c r="X831" i="55"/>
  <c r="X105" i="55"/>
  <c r="X556" i="55"/>
  <c r="X677" i="55"/>
  <c r="X468" i="55"/>
  <c r="X836" i="55"/>
  <c r="X148" i="55"/>
  <c r="X564" i="55"/>
  <c r="X698" i="55"/>
  <c r="X484" i="55"/>
  <c r="X842" i="55"/>
  <c r="X673" i="55"/>
  <c r="X579" i="55"/>
  <c r="X785" i="55"/>
  <c r="X862" i="55"/>
  <c r="X521" i="55"/>
  <c r="X80" i="55"/>
  <c r="X478" i="55"/>
  <c r="X866" i="55"/>
  <c r="X725" i="55"/>
  <c r="X355" i="55"/>
  <c r="X917" i="55"/>
  <c r="X275" i="55"/>
  <c r="X76" i="55"/>
  <c r="X494" i="55"/>
  <c r="X908" i="55"/>
  <c r="X741" i="55"/>
  <c r="X301" i="55"/>
  <c r="X921" i="55"/>
  <c r="X267" i="55"/>
  <c r="X72" i="55"/>
  <c r="X481" i="55"/>
  <c r="X712" i="55"/>
  <c r="X793" i="55"/>
  <c r="X47" i="55"/>
  <c r="X409" i="55"/>
  <c r="X380" i="55"/>
  <c r="X418" i="55"/>
  <c r="X776" i="55"/>
  <c r="X827" i="55"/>
  <c r="X834" i="55"/>
  <c r="X545" i="55"/>
  <c r="X536" i="55"/>
  <c r="X721" i="55"/>
  <c r="X783" i="55"/>
  <c r="X502" i="55"/>
  <c r="X416" i="55"/>
  <c r="X450" i="55"/>
  <c r="X786" i="55"/>
  <c r="X838" i="55"/>
  <c r="X235" i="55"/>
  <c r="X531" i="55"/>
  <c r="X653" i="55"/>
  <c r="X963" i="55"/>
  <c r="X976" i="55"/>
  <c r="X144" i="55"/>
  <c r="X406" i="55"/>
  <c r="X266" i="55"/>
  <c r="X114" i="55"/>
  <c r="X400" i="55"/>
  <c r="X846" i="55"/>
  <c r="X947" i="55"/>
  <c r="X159" i="55"/>
  <c r="X315" i="55"/>
  <c r="X892" i="55"/>
  <c r="X139" i="55"/>
  <c r="X747" i="55"/>
  <c r="X277" i="55"/>
  <c r="X977" i="55"/>
  <c r="X525" i="55"/>
  <c r="X104" i="55"/>
  <c r="X907" i="55"/>
  <c r="X848" i="55"/>
  <c r="X470" i="55"/>
  <c r="X211" i="55"/>
  <c r="X42" i="55"/>
  <c r="X953" i="55"/>
  <c r="X419" i="55"/>
  <c r="X447" i="55"/>
  <c r="X234" i="55"/>
  <c r="X354" i="55"/>
  <c r="X66" i="55"/>
  <c r="X236" i="55"/>
  <c r="X929" i="55"/>
  <c r="X289" i="55"/>
  <c r="X173" i="55"/>
  <c r="X25" i="55"/>
  <c r="X458" i="55"/>
  <c r="X287" i="55"/>
  <c r="X631" i="55"/>
  <c r="X895" i="55"/>
  <c r="X286" i="55"/>
  <c r="X474" i="55"/>
  <c r="X295" i="55"/>
  <c r="X635" i="55"/>
  <c r="X900" i="55"/>
  <c r="X71" i="55"/>
  <c r="X490" i="55"/>
  <c r="X303" i="55"/>
  <c r="X639" i="55"/>
  <c r="X906" i="55"/>
  <c r="X120" i="55"/>
  <c r="X508" i="55"/>
  <c r="X888" i="55"/>
  <c r="X798" i="55"/>
  <c r="X262" i="55"/>
  <c r="X32" i="55"/>
  <c r="X449" i="55"/>
  <c r="X749" i="55"/>
  <c r="X782" i="55"/>
  <c r="X79" i="55"/>
  <c r="X965" i="55"/>
  <c r="X179" i="55"/>
  <c r="X28" i="55"/>
  <c r="X465" i="55"/>
  <c r="X696" i="55"/>
  <c r="X788" i="55"/>
  <c r="X63" i="55"/>
  <c r="X969" i="55"/>
  <c r="X171" i="55"/>
  <c r="X93" i="55"/>
  <c r="X603" i="55"/>
  <c r="X805" i="55"/>
  <c r="X894" i="55"/>
  <c r="X398" i="55"/>
  <c r="X650" i="55"/>
  <c r="X389" i="55"/>
  <c r="X871" i="55"/>
  <c r="X891" i="55"/>
  <c r="X345" i="55"/>
  <c r="X396" i="55"/>
  <c r="X434" i="55"/>
  <c r="X781" i="55"/>
  <c r="X832" i="55"/>
  <c r="X293" i="55"/>
  <c r="X666" i="55"/>
  <c r="X421" i="55"/>
  <c r="X902" i="55"/>
  <c r="X426" i="55"/>
  <c r="X884" i="55"/>
  <c r="X210" i="55"/>
  <c r="X775" i="55"/>
  <c r="X283" i="55"/>
  <c r="X602" i="55"/>
  <c r="X160" i="55"/>
  <c r="X251" i="55"/>
  <c r="X833" i="55"/>
  <c r="X106" i="55"/>
  <c r="X327" i="55"/>
  <c r="X524" i="55"/>
  <c r="X346" i="55"/>
  <c r="X202" i="55"/>
  <c r="X909" i="55"/>
  <c r="X572" i="55"/>
  <c r="X149" i="55"/>
  <c r="X61" i="55"/>
  <c r="X252" i="55"/>
  <c r="X200" i="55"/>
  <c r="X62" i="55"/>
  <c r="X885" i="55"/>
  <c r="X189" i="55"/>
  <c r="X308" i="55"/>
  <c r="X97" i="55"/>
  <c r="X429" i="55"/>
  <c r="X411" i="55"/>
  <c r="X679" i="55"/>
  <c r="X959" i="55"/>
  <c r="X89" i="55"/>
  <c r="X445" i="55"/>
  <c r="X427" i="55"/>
  <c r="X683" i="55"/>
  <c r="X964" i="55"/>
  <c r="X362" i="55"/>
  <c r="X461" i="55"/>
  <c r="X443" i="55"/>
  <c r="X690" i="55"/>
  <c r="X970" i="55"/>
  <c r="X198" i="55"/>
  <c r="X697" i="55"/>
  <c r="X500" i="55"/>
  <c r="X847" i="55"/>
  <c r="X463" i="55"/>
  <c r="X125" i="55"/>
  <c r="X587" i="55"/>
  <c r="X790" i="55"/>
  <c r="X872" i="55"/>
  <c r="X486" i="55"/>
  <c r="X551" i="55"/>
  <c r="X314" i="55"/>
  <c r="X109" i="55"/>
  <c r="X595" i="55"/>
  <c r="X797" i="55"/>
  <c r="X883" i="55"/>
  <c r="X527" i="55"/>
  <c r="X505" i="55"/>
  <c r="X306" i="55"/>
  <c r="X467" i="55"/>
  <c r="X739" i="55"/>
  <c r="X920" i="55"/>
  <c r="X810" i="55"/>
  <c r="X75" i="55"/>
  <c r="X209" i="55"/>
  <c r="X887" i="55"/>
  <c r="X557" i="55"/>
  <c r="X440" i="55"/>
  <c r="X955" i="55"/>
  <c r="X305" i="55"/>
  <c r="X658" i="55"/>
  <c r="X405" i="55"/>
  <c r="X882" i="55"/>
  <c r="X896" i="55"/>
  <c r="X193" i="55"/>
  <c r="X972" i="55"/>
  <c r="X573" i="55"/>
  <c r="X472" i="55"/>
  <c r="X966" i="55"/>
  <c r="X81" i="55"/>
  <c r="X397" i="55"/>
  <c r="X379" i="55"/>
  <c r="X671" i="55"/>
  <c r="X948" i="55"/>
  <c r="X39" i="55"/>
  <c r="X181" i="55"/>
  <c r="X29" i="55"/>
  <c r="X442" i="55"/>
  <c r="X279" i="55"/>
  <c r="X627" i="55"/>
  <c r="X890" i="55"/>
  <c r="X183" i="55"/>
  <c r="X791" i="55"/>
  <c r="X413" i="55"/>
  <c r="X675" i="55"/>
  <c r="X247" i="55"/>
  <c r="X560" i="55"/>
  <c r="X795" i="55"/>
  <c r="X133" i="55"/>
  <c r="X337" i="55"/>
  <c r="X554" i="55"/>
  <c r="X250" i="55"/>
  <c r="X876" i="55"/>
  <c r="X245" i="55"/>
  <c r="X622" i="55"/>
  <c r="X95" i="55"/>
  <c r="X241" i="55"/>
  <c r="X70" i="55"/>
  <c r="X204" i="55"/>
  <c r="X172" i="55"/>
  <c r="X332" i="55"/>
  <c r="X222" i="55"/>
  <c r="X158" i="55"/>
  <c r="X723" i="55"/>
  <c r="X577" i="55"/>
  <c r="X568" i="55"/>
  <c r="X716" i="55"/>
  <c r="X799" i="55"/>
  <c r="X460" i="55"/>
  <c r="X585" i="55"/>
  <c r="X576" i="55"/>
  <c r="X732" i="55"/>
  <c r="X803" i="55"/>
  <c r="X962" i="55"/>
  <c r="X593" i="55"/>
  <c r="X584" i="55"/>
  <c r="X748" i="55"/>
  <c r="X807" i="55"/>
  <c r="X506" i="55"/>
  <c r="X311" i="55"/>
  <c r="X643" i="55"/>
  <c r="X911" i="55"/>
  <c r="X457" i="55"/>
  <c r="X435" i="55"/>
  <c r="X613" i="55"/>
  <c r="X899" i="55"/>
  <c r="X802" i="55"/>
  <c r="X230" i="55"/>
  <c r="X351" i="55"/>
  <c r="X182" i="55"/>
  <c r="X451" i="55"/>
  <c r="X707" i="55"/>
  <c r="X910" i="55"/>
  <c r="X806" i="55"/>
  <c r="X115" i="55"/>
  <c r="X390" i="55"/>
  <c r="X150" i="55"/>
  <c r="X596" i="55"/>
  <c r="X773" i="55"/>
  <c r="X621" i="55"/>
  <c r="X863" i="55"/>
  <c r="X99" i="55"/>
  <c r="X344" i="55"/>
  <c r="X439" i="55"/>
  <c r="X428" i="55"/>
  <c r="X628" i="55"/>
  <c r="X207" i="55"/>
  <c r="X201" i="55"/>
  <c r="X930" i="55"/>
  <c r="X565" i="55"/>
  <c r="X456" i="55"/>
  <c r="X960" i="55"/>
  <c r="X328" i="55"/>
  <c r="X471" i="55"/>
  <c r="X480" i="55"/>
  <c r="X636" i="55"/>
  <c r="X143" i="55"/>
  <c r="X33" i="55"/>
  <c r="X561" i="55"/>
  <c r="X552" i="55"/>
  <c r="X753" i="55"/>
  <c r="X324" i="55"/>
  <c r="X316" i="55"/>
  <c r="X113" i="55"/>
  <c r="X395" i="55"/>
  <c r="X954" i="55"/>
  <c r="X649" i="55"/>
  <c r="X700" i="55"/>
  <c r="X112" i="55"/>
  <c r="X682" i="55"/>
  <c r="X590" i="55"/>
  <c r="X60" i="55"/>
  <c r="X167" i="55"/>
  <c r="X371" i="55"/>
  <c r="X800" i="55"/>
  <c r="X261" i="55"/>
  <c r="X69" i="55"/>
  <c r="X361" i="55"/>
  <c r="X518" i="55"/>
  <c r="X284" i="55"/>
  <c r="X38" i="55"/>
  <c r="X961" i="55"/>
  <c r="X85" i="55"/>
  <c r="X392" i="55"/>
  <c r="X431" i="55"/>
  <c r="X889" i="55"/>
  <c r="X58" i="55"/>
  <c r="X50" i="55"/>
  <c r="X570" i="55"/>
  <c r="X496" i="55"/>
  <c r="X498" i="55"/>
  <c r="X808" i="55"/>
  <c r="X854" i="55"/>
  <c r="X538" i="55"/>
  <c r="X528" i="55"/>
  <c r="X514" i="55"/>
  <c r="X816" i="55"/>
  <c r="X859" i="55"/>
  <c r="X479" i="55"/>
  <c r="X695" i="55"/>
  <c r="X530" i="55"/>
  <c r="X978" i="55"/>
  <c r="X864" i="55"/>
  <c r="X477" i="55"/>
  <c r="X459" i="55"/>
  <c r="X706" i="55"/>
  <c r="X763" i="55"/>
  <c r="X454" i="55"/>
  <c r="X580" i="55"/>
  <c r="X692" i="55"/>
  <c r="X516" i="55"/>
  <c r="X852" i="55"/>
  <c r="X215" i="55"/>
  <c r="X229" i="55"/>
  <c r="X53" i="55"/>
  <c r="X588" i="55"/>
  <c r="X754" i="55"/>
  <c r="X532" i="55"/>
  <c r="X858" i="55"/>
  <c r="X318" i="55"/>
  <c r="X221" i="55"/>
  <c r="X49" i="55"/>
  <c r="X333" i="55"/>
  <c r="X382" i="55"/>
  <c r="X655" i="55"/>
  <c r="X927" i="55"/>
  <c r="X254" i="55"/>
  <c r="X248" i="55"/>
  <c r="X582" i="55"/>
  <c r="X670" i="55"/>
  <c r="X676" i="55"/>
  <c r="X208" i="55"/>
  <c r="X336" i="55"/>
  <c r="X455" i="55"/>
  <c r="X448" i="55"/>
  <c r="X632" i="55"/>
  <c r="X175" i="55"/>
  <c r="X232" i="55"/>
  <c r="X598" i="55"/>
  <c r="X714" i="55"/>
  <c r="X684" i="55"/>
  <c r="X146" i="55"/>
  <c r="X438" i="55"/>
  <c r="X436" i="55"/>
  <c r="X466" i="55"/>
  <c r="X792" i="55"/>
  <c r="X843" i="55"/>
  <c r="X136" i="55"/>
  <c r="X190" i="55"/>
  <c r="X569" i="55"/>
  <c r="X165" i="55"/>
  <c r="X224" i="55"/>
  <c r="X307" i="55"/>
  <c r="X330" i="55"/>
  <c r="X170" i="55"/>
  <c r="X599" i="55"/>
  <c r="X237" i="55"/>
  <c r="X492" i="55"/>
  <c r="X495" i="55"/>
  <c r="X243" i="55"/>
  <c r="X729" i="55"/>
  <c r="X140" i="55"/>
  <c r="X100" i="55"/>
  <c r="X265" i="55"/>
  <c r="X746" i="55"/>
  <c r="X469" i="55"/>
  <c r="X924" i="55"/>
  <c r="X918" i="55"/>
  <c r="X257" i="55"/>
  <c r="X745" i="55"/>
  <c r="X485" i="55"/>
  <c r="X935" i="55"/>
  <c r="X923" i="55"/>
  <c r="X249" i="55"/>
  <c r="X740" i="55"/>
  <c r="X501" i="55"/>
  <c r="X946" i="55"/>
  <c r="X928" i="55"/>
  <c r="X601" i="55"/>
  <c r="X592" i="55"/>
  <c r="X756" i="55"/>
  <c r="X811" i="55"/>
  <c r="X187" i="55"/>
  <c r="X522" i="55"/>
  <c r="X319" i="55"/>
  <c r="X647" i="55"/>
  <c r="X916" i="55"/>
  <c r="X281" i="55"/>
  <c r="X615" i="55"/>
  <c r="X350" i="55"/>
  <c r="X651" i="55"/>
  <c r="X386" i="55"/>
  <c r="X96" i="55"/>
  <c r="X507" i="55"/>
  <c r="X68" i="55"/>
  <c r="X736" i="55"/>
  <c r="X127" i="55"/>
  <c r="X853" i="55"/>
  <c r="X338" i="55"/>
  <c r="X415" i="55"/>
  <c r="X164" i="55"/>
  <c r="X383" i="55"/>
  <c r="X829" i="55"/>
  <c r="X857" i="55"/>
  <c r="X155" i="55"/>
  <c r="X282" i="55"/>
  <c r="X837" i="55"/>
  <c r="X849" i="55"/>
  <c r="X489" i="55"/>
  <c r="X304" i="55"/>
  <c r="X519" i="55"/>
  <c r="X711" i="55"/>
  <c r="X648" i="55"/>
  <c r="X278" i="55"/>
  <c r="X296" i="55"/>
  <c r="X534" i="55"/>
  <c r="X743" i="55"/>
  <c r="X652" i="55"/>
  <c r="X246" i="55"/>
  <c r="X288" i="55"/>
  <c r="X542" i="55"/>
  <c r="X630" i="55"/>
  <c r="X656" i="55"/>
  <c r="X166" i="55"/>
  <c r="X768" i="55"/>
  <c r="X517" i="55"/>
  <c r="X956" i="55"/>
  <c r="X934" i="55"/>
  <c r="X567" i="55"/>
  <c r="X610" i="55"/>
  <c r="X600" i="55"/>
  <c r="X760" i="55"/>
  <c r="X815" i="55"/>
  <c r="X34" i="55"/>
  <c r="X78" i="55"/>
  <c r="X535" i="55"/>
  <c r="X348" i="55"/>
  <c r="X608" i="55"/>
  <c r="X765" i="55"/>
  <c r="X819" i="55"/>
  <c r="X214" i="55"/>
  <c r="X74" i="55"/>
  <c r="X473" i="55"/>
  <c r="X642" i="55"/>
  <c r="X373" i="55"/>
  <c r="X860" i="55"/>
  <c r="X886" i="55"/>
  <c r="X298" i="55"/>
  <c r="X220" i="55"/>
  <c r="X614" i="55"/>
  <c r="X813" i="55"/>
  <c r="X904" i="55"/>
  <c r="X291" i="55"/>
  <c r="X184" i="55"/>
  <c r="X513" i="55"/>
  <c r="X744" i="55"/>
  <c r="X809" i="55"/>
  <c r="X176" i="55"/>
  <c r="X156" i="55"/>
  <c r="X368" i="55"/>
  <c r="X824" i="55"/>
  <c r="X926" i="55"/>
  <c r="X223" i="55"/>
  <c r="X320" i="55"/>
  <c r="X487" i="55"/>
  <c r="X512" i="55"/>
  <c r="X640" i="55"/>
  <c r="X342" i="55"/>
  <c r="X129" i="55"/>
  <c r="X122" i="55"/>
  <c r="X177" i="55"/>
  <c r="X374" i="55"/>
  <c r="X589" i="55"/>
  <c r="X504" i="55"/>
  <c r="X641" i="55"/>
  <c r="X689" i="55"/>
  <c r="X674" i="55"/>
  <c r="X464" i="55"/>
  <c r="X297" i="55"/>
  <c r="X546" i="55"/>
  <c r="X147" i="55"/>
  <c r="X681" i="55"/>
  <c r="X169" i="55"/>
  <c r="X597" i="55"/>
  <c r="X300" i="55"/>
  <c r="X153" i="55"/>
  <c r="X722" i="55"/>
  <c r="X364" i="55"/>
  <c r="X686" i="55"/>
  <c r="X971" i="55"/>
  <c r="X116" i="55"/>
  <c r="X268" i="55"/>
  <c r="X152" i="55"/>
  <c r="X273" i="55"/>
  <c r="X509" i="55"/>
  <c r="X453" i="55"/>
  <c r="X817" i="55"/>
  <c r="X728" i="55"/>
  <c r="X870" i="55"/>
  <c r="X31" i="55"/>
  <c r="X581" i="55"/>
  <c r="X475" i="55"/>
  <c r="X228" i="55"/>
  <c r="X359" i="55"/>
  <c r="X767" i="55"/>
  <c r="X624" i="55"/>
  <c r="X720" i="55"/>
  <c r="X274" i="55"/>
  <c r="X163" i="55"/>
  <c r="X216" i="55"/>
  <c r="X491" i="55"/>
  <c r="X738" i="55"/>
  <c r="X801" i="55"/>
  <c r="X605" i="55"/>
  <c r="X203" i="55"/>
  <c r="X618" i="55"/>
  <c r="X82" i="55"/>
  <c r="X770" i="55"/>
  <c r="X199" i="55"/>
  <c r="X529" i="55"/>
  <c r="X520" i="55"/>
  <c r="X755" i="55"/>
  <c r="X497" i="55"/>
  <c r="X914" i="55"/>
  <c r="X161" i="55"/>
  <c r="X128" i="55"/>
  <c r="X260" i="55"/>
  <c r="X619" i="55"/>
  <c r="X488" i="55"/>
  <c r="X913" i="55"/>
  <c r="X687" i="55"/>
  <c r="X975" i="55"/>
  <c r="X623" i="55"/>
  <c r="X828" i="55"/>
  <c r="X912" i="55"/>
  <c r="X771" i="55"/>
  <c r="X185" i="55"/>
  <c r="X285" i="55"/>
  <c r="X609" i="55"/>
  <c r="X730" i="55"/>
  <c r="X594" i="55"/>
  <c r="X118" i="55"/>
  <c r="X685" i="55"/>
  <c r="X591" i="55"/>
  <c r="X88" i="55"/>
  <c r="X343" i="55"/>
  <c r="X325" i="55"/>
  <c r="X64" i="55"/>
  <c r="X102" i="55"/>
  <c r="X727" i="55"/>
  <c r="X393" i="55"/>
  <c r="X493" i="55"/>
  <c r="X981" i="55"/>
  <c r="X95" i="54"/>
  <c r="X167" i="54"/>
  <c r="X602" i="54"/>
  <c r="X383" i="54"/>
  <c r="X558" i="54"/>
  <c r="X144" i="54"/>
  <c r="X333" i="54"/>
  <c r="X581" i="54"/>
  <c r="X786" i="54"/>
  <c r="X944" i="54"/>
  <c r="X931" i="54"/>
  <c r="X514" i="54"/>
  <c r="X133" i="54"/>
  <c r="X289" i="54"/>
  <c r="X536" i="54"/>
  <c r="X742" i="54"/>
  <c r="X893" i="54"/>
  <c r="X837" i="54"/>
  <c r="X614" i="54"/>
  <c r="X158" i="54"/>
  <c r="X389" i="54"/>
  <c r="X658" i="54"/>
  <c r="X665" i="54"/>
  <c r="X876" i="54"/>
  <c r="X551" i="54"/>
  <c r="X622" i="54"/>
  <c r="X159" i="54"/>
  <c r="X393" i="54"/>
  <c r="X617" i="54"/>
  <c r="X669" i="54"/>
  <c r="X880" i="54"/>
  <c r="X735" i="54"/>
  <c r="X28" i="54"/>
  <c r="X172" i="54"/>
  <c r="X445" i="54"/>
  <c r="X671" i="54"/>
  <c r="X721" i="54"/>
  <c r="X933" i="54"/>
  <c r="X279" i="54"/>
  <c r="X638" i="54"/>
  <c r="X161" i="54"/>
  <c r="X401" i="54"/>
  <c r="X625" i="54"/>
  <c r="X677" i="54"/>
  <c r="X888" i="54"/>
  <c r="X311" i="54"/>
  <c r="X534" i="54"/>
  <c r="X138" i="54"/>
  <c r="X309" i="54"/>
  <c r="X557" i="54"/>
  <c r="X762" i="54"/>
  <c r="X913" i="54"/>
  <c r="X978" i="54"/>
  <c r="X490" i="54"/>
  <c r="X127" i="54"/>
  <c r="X271" i="54"/>
  <c r="X512" i="54"/>
  <c r="X718" i="54"/>
  <c r="X869" i="54"/>
  <c r="X936" i="54"/>
  <c r="X32" i="54"/>
  <c r="X176" i="54"/>
  <c r="X461" i="54"/>
  <c r="X556" i="54"/>
  <c r="X737" i="54"/>
  <c r="X949" i="54"/>
  <c r="X751" i="54"/>
  <c r="X33" i="54"/>
  <c r="X177" i="54"/>
  <c r="X465" i="54"/>
  <c r="X560" i="54"/>
  <c r="X741" i="54"/>
  <c r="X954" i="54"/>
  <c r="X463" i="54"/>
  <c r="X454" i="54"/>
  <c r="X130" i="54"/>
  <c r="X277" i="54"/>
  <c r="X524" i="54"/>
  <c r="X730" i="54"/>
  <c r="X881" i="54"/>
  <c r="X377" i="54"/>
  <c r="X744" i="54"/>
  <c r="X190" i="54"/>
  <c r="X899" i="54"/>
  <c r="X660" i="54"/>
  <c r="X335" i="54"/>
  <c r="X495" i="54"/>
  <c r="X47" i="54"/>
  <c r="X503" i="54"/>
  <c r="X606" i="54"/>
  <c r="X156" i="54"/>
  <c r="X381" i="54"/>
  <c r="X642" i="54"/>
  <c r="X937" i="54"/>
  <c r="X868" i="54"/>
  <c r="X391" i="54"/>
  <c r="X562" i="54"/>
  <c r="X145" i="54"/>
  <c r="X337" i="54"/>
  <c r="X585" i="54"/>
  <c r="X790" i="54"/>
  <c r="X952" i="54"/>
  <c r="X535" i="54"/>
  <c r="X26" i="54"/>
  <c r="X170" i="54"/>
  <c r="X437" i="54"/>
  <c r="X663" i="54"/>
  <c r="X713" i="54"/>
  <c r="X924" i="54"/>
  <c r="X703" i="54"/>
  <c r="X27" i="54"/>
  <c r="X171" i="54"/>
  <c r="X441" i="54"/>
  <c r="X667" i="54"/>
  <c r="X717" i="54"/>
  <c r="X930" i="54"/>
  <c r="X299" i="54"/>
  <c r="X40" i="54"/>
  <c r="X184" i="54"/>
  <c r="X493" i="54"/>
  <c r="X588" i="54"/>
  <c r="X769" i="54"/>
  <c r="X875" i="54"/>
  <c r="X767" i="54"/>
  <c r="X29" i="54"/>
  <c r="X173" i="54"/>
  <c r="X449" i="54"/>
  <c r="X675" i="54"/>
  <c r="X725" i="54"/>
  <c r="X938" i="54"/>
  <c r="X439" i="54"/>
  <c r="X582" i="54"/>
  <c r="X150" i="54"/>
  <c r="X357" i="54"/>
  <c r="X605" i="54"/>
  <c r="X810" i="54"/>
  <c r="X844" i="54"/>
  <c r="X319" i="54"/>
  <c r="X538" i="54"/>
  <c r="X139" i="54"/>
  <c r="X313" i="54"/>
  <c r="X561" i="54"/>
  <c r="X766" i="54"/>
  <c r="X917" i="54"/>
  <c r="X687" i="54"/>
  <c r="X44" i="54"/>
  <c r="X188" i="54"/>
  <c r="X509" i="54"/>
  <c r="X604" i="54"/>
  <c r="X785" i="54"/>
  <c r="X891" i="54"/>
  <c r="X339" i="54"/>
  <c r="X45" i="54"/>
  <c r="X189" i="54"/>
  <c r="X513" i="54"/>
  <c r="X608" i="54"/>
  <c r="X789" i="54"/>
  <c r="X895" i="54"/>
  <c r="X367" i="54"/>
  <c r="X502" i="54"/>
  <c r="X142" i="54"/>
  <c r="X325" i="54"/>
  <c r="X573" i="54"/>
  <c r="X778" i="54"/>
  <c r="X928" i="54"/>
  <c r="X679" i="54"/>
  <c r="X435" i="54"/>
  <c r="X57" i="54"/>
  <c r="X695" i="54"/>
  <c r="X656" i="54"/>
  <c r="X961" i="54"/>
  <c r="X359" i="54"/>
  <c r="X550" i="54"/>
  <c r="X373" i="54"/>
  <c r="X626" i="54"/>
  <c r="X826" i="54"/>
  <c r="X860" i="54"/>
  <c r="X131" i="54"/>
  <c r="X314" i="54"/>
  <c r="X83" i="54"/>
  <c r="X511" i="54"/>
  <c r="X24" i="54"/>
  <c r="X168" i="54"/>
  <c r="X429" i="54"/>
  <c r="X653" i="54"/>
  <c r="X705" i="54"/>
  <c r="X916" i="54"/>
  <c r="X519" i="54"/>
  <c r="X610" i="54"/>
  <c r="X157" i="54"/>
  <c r="X385" i="54"/>
  <c r="X650" i="54"/>
  <c r="X661" i="54"/>
  <c r="X872" i="54"/>
  <c r="X283" i="54"/>
  <c r="X38" i="54"/>
  <c r="X182" i="54"/>
  <c r="X485" i="54"/>
  <c r="X580" i="54"/>
  <c r="X761" i="54"/>
  <c r="X867" i="54"/>
  <c r="X291" i="54"/>
  <c r="X39" i="54"/>
  <c r="X183" i="54"/>
  <c r="X489" i="54"/>
  <c r="X584" i="54"/>
  <c r="X765" i="54"/>
  <c r="X871" i="54"/>
  <c r="X395" i="54"/>
  <c r="X52" i="54"/>
  <c r="X196" i="54"/>
  <c r="X541" i="54"/>
  <c r="X636" i="54"/>
  <c r="X817" i="54"/>
  <c r="X923" i="54"/>
  <c r="X307" i="54"/>
  <c r="X41" i="54"/>
  <c r="X185" i="54"/>
  <c r="X497" i="54"/>
  <c r="X592" i="54"/>
  <c r="X773" i="54"/>
  <c r="X879" i="54"/>
  <c r="X295" i="54"/>
  <c r="X646" i="54"/>
  <c r="X162" i="54"/>
  <c r="X405" i="54"/>
  <c r="X629" i="54"/>
  <c r="X681" i="54"/>
  <c r="X892" i="54"/>
  <c r="X447" i="54"/>
  <c r="X586" i="54"/>
  <c r="X151" i="54"/>
  <c r="X361" i="54"/>
  <c r="X609" i="54"/>
  <c r="X814" i="54"/>
  <c r="X848" i="54"/>
  <c r="X427" i="54"/>
  <c r="X56" i="54"/>
  <c r="X200" i="54"/>
  <c r="X652" i="54"/>
  <c r="X834" i="54"/>
  <c r="X956" i="54"/>
  <c r="X201" i="54"/>
  <c r="X838" i="54"/>
  <c r="X154" i="54"/>
  <c r="X918" i="54"/>
  <c r="X479" i="54"/>
  <c r="X598" i="54"/>
  <c r="X421" i="54"/>
  <c r="X645" i="54"/>
  <c r="X697" i="54"/>
  <c r="X355" i="54"/>
  <c r="X107" i="54"/>
  <c r="X203" i="54"/>
  <c r="X399" i="54"/>
  <c r="X36" i="54"/>
  <c r="X180" i="54"/>
  <c r="X477" i="54"/>
  <c r="X572" i="54"/>
  <c r="X753" i="54"/>
  <c r="X859" i="54"/>
  <c r="X527" i="54"/>
  <c r="X25" i="54"/>
  <c r="X169" i="54"/>
  <c r="X433" i="54"/>
  <c r="X657" i="54"/>
  <c r="X709" i="54"/>
  <c r="X920" i="54"/>
  <c r="X379" i="54"/>
  <c r="X50" i="54"/>
  <c r="X194" i="54"/>
  <c r="X533" i="54"/>
  <c r="X628" i="54"/>
  <c r="X809" i="54"/>
  <c r="X915" i="54"/>
  <c r="X387" i="54"/>
  <c r="X51" i="54"/>
  <c r="X195" i="54"/>
  <c r="X537" i="54"/>
  <c r="X632" i="54"/>
  <c r="X813" i="54"/>
  <c r="X919" i="54"/>
  <c r="X491" i="54"/>
  <c r="X64" i="54"/>
  <c r="X208" i="54"/>
  <c r="X807" i="54"/>
  <c r="X723" i="54"/>
  <c r="X878" i="54"/>
  <c r="X951" i="54"/>
  <c r="X403" i="54"/>
  <c r="X53" i="54"/>
  <c r="X197" i="54"/>
  <c r="X545" i="54"/>
  <c r="X640" i="54"/>
  <c r="X821" i="54"/>
  <c r="X932" i="54"/>
  <c r="X799" i="54"/>
  <c r="X30" i="54"/>
  <c r="X174" i="54"/>
  <c r="X453" i="54"/>
  <c r="X835" i="54"/>
  <c r="X729" i="54"/>
  <c r="X941" i="54"/>
  <c r="X303" i="54"/>
  <c r="X654" i="54"/>
  <c r="X163" i="54"/>
  <c r="X409" i="54"/>
  <c r="X633" i="54"/>
  <c r="X685" i="54"/>
  <c r="X896" i="54"/>
  <c r="X523" i="54"/>
  <c r="X68" i="54"/>
  <c r="X212" i="54"/>
  <c r="X276" i="54"/>
  <c r="X755" i="54"/>
  <c r="X910" i="54"/>
  <c r="X963" i="54"/>
  <c r="X531" i="54"/>
  <c r="X69" i="54"/>
  <c r="X213" i="54"/>
  <c r="X280" i="54"/>
  <c r="X763" i="54"/>
  <c r="X964" i="54"/>
  <c r="X166" i="54"/>
  <c r="X908" i="54"/>
  <c r="X376" i="54"/>
  <c r="X815" i="54"/>
  <c r="X793" i="54"/>
  <c r="X202" i="54"/>
  <c r="X842" i="54"/>
  <c r="X120" i="54"/>
  <c r="X841" i="54"/>
  <c r="X418" i="54"/>
  <c r="X109" i="54"/>
  <c r="X440" i="54"/>
  <c r="X655" i="54"/>
  <c r="X649" i="54"/>
  <c r="X134" i="54"/>
  <c r="X540" i="54"/>
  <c r="X135" i="54"/>
  <c r="X297" i="54"/>
  <c r="X750" i="54"/>
  <c r="X148" i="54"/>
  <c r="X802" i="54"/>
  <c r="X137" i="54"/>
  <c r="X438" i="54"/>
  <c r="X155" i="54"/>
  <c r="X375" i="54"/>
  <c r="X554" i="54"/>
  <c r="X363" i="54"/>
  <c r="X48" i="54"/>
  <c r="X192" i="54"/>
  <c r="X525" i="54"/>
  <c r="X620" i="54"/>
  <c r="X801" i="54"/>
  <c r="X907" i="54"/>
  <c r="X275" i="54"/>
  <c r="X37" i="54"/>
  <c r="X181" i="54"/>
  <c r="X481" i="54"/>
  <c r="X576" i="54"/>
  <c r="X757" i="54"/>
  <c r="X863" i="54"/>
  <c r="X475" i="54"/>
  <c r="X62" i="54"/>
  <c r="X206" i="54"/>
  <c r="X775" i="54"/>
  <c r="X707" i="54"/>
  <c r="X862" i="54"/>
  <c r="X943" i="54"/>
  <c r="X483" i="54"/>
  <c r="X63" i="54"/>
  <c r="X207" i="54"/>
  <c r="X791" i="54"/>
  <c r="X715" i="54"/>
  <c r="X870" i="54"/>
  <c r="X947" i="54"/>
  <c r="X286" i="54"/>
  <c r="X76" i="54"/>
  <c r="X220" i="54"/>
  <c r="X308" i="54"/>
  <c r="X819" i="54"/>
  <c r="X676" i="54"/>
  <c r="X971" i="54"/>
  <c r="X499" i="54"/>
  <c r="X65" i="54"/>
  <c r="X209" i="54"/>
  <c r="X823" i="54"/>
  <c r="X731" i="54"/>
  <c r="X886" i="54"/>
  <c r="X955" i="54"/>
  <c r="X315" i="54"/>
  <c r="X42" i="54"/>
  <c r="X186" i="54"/>
  <c r="X501" i="54"/>
  <c r="X596" i="54"/>
  <c r="X777" i="54"/>
  <c r="X883" i="54"/>
  <c r="X831" i="54"/>
  <c r="X31" i="54"/>
  <c r="X175" i="54"/>
  <c r="X457" i="54"/>
  <c r="X851" i="54"/>
  <c r="X733" i="54"/>
  <c r="X946" i="54"/>
  <c r="X302" i="54"/>
  <c r="X80" i="54"/>
  <c r="X224" i="54"/>
  <c r="X324" i="54"/>
  <c r="X874" i="54"/>
  <c r="X692" i="54"/>
  <c r="X975" i="54"/>
  <c r="X306" i="54"/>
  <c r="X81" i="54"/>
  <c r="X225" i="54"/>
  <c r="X328" i="54"/>
  <c r="X890" i="54"/>
  <c r="X696" i="54"/>
  <c r="X976" i="54"/>
  <c r="X471" i="54"/>
  <c r="X34" i="54"/>
  <c r="X178" i="54"/>
  <c r="X469" i="54"/>
  <c r="X564" i="54"/>
  <c r="X745" i="54"/>
  <c r="X957" i="54"/>
  <c r="X236" i="54"/>
  <c r="X237" i="54"/>
  <c r="X227" i="54"/>
  <c r="X46" i="54"/>
  <c r="X612" i="54"/>
  <c r="X711" i="54"/>
  <c r="X451" i="54"/>
  <c r="X458" i="54"/>
  <c r="X59" i="54"/>
  <c r="X459" i="54"/>
  <c r="X60" i="54"/>
  <c r="X204" i="54"/>
  <c r="X743" i="54"/>
  <c r="X691" i="54"/>
  <c r="X850" i="54"/>
  <c r="X935" i="54"/>
  <c r="X371" i="54"/>
  <c r="X49" i="54"/>
  <c r="X193" i="54"/>
  <c r="X529" i="54"/>
  <c r="X624" i="54"/>
  <c r="X805" i="54"/>
  <c r="X911" i="54"/>
  <c r="X278" i="54"/>
  <c r="X74" i="54"/>
  <c r="X218" i="54"/>
  <c r="X300" i="54"/>
  <c r="X803" i="54"/>
  <c r="X668" i="54"/>
  <c r="X969" i="54"/>
  <c r="X282" i="54"/>
  <c r="X75" i="54"/>
  <c r="X219" i="54"/>
  <c r="X304" i="54"/>
  <c r="X811" i="54"/>
  <c r="X672" i="54"/>
  <c r="X970" i="54"/>
  <c r="X334" i="54"/>
  <c r="X88" i="54"/>
  <c r="X232" i="54"/>
  <c r="X356" i="54"/>
  <c r="X571" i="54"/>
  <c r="X724" i="54"/>
  <c r="X473" i="54"/>
  <c r="X290" i="54"/>
  <c r="X77" i="54"/>
  <c r="X221" i="54"/>
  <c r="X312" i="54"/>
  <c r="X827" i="54"/>
  <c r="X680" i="54"/>
  <c r="X972" i="54"/>
  <c r="X411" i="54"/>
  <c r="X54" i="54"/>
  <c r="X198" i="54"/>
  <c r="X549" i="54"/>
  <c r="X644" i="54"/>
  <c r="X825" i="54"/>
  <c r="X940" i="54"/>
  <c r="X323" i="54"/>
  <c r="X43" i="54"/>
  <c r="X187" i="54"/>
  <c r="X505" i="54"/>
  <c r="X600" i="54"/>
  <c r="X781" i="54"/>
  <c r="X887" i="54"/>
  <c r="X350" i="54"/>
  <c r="X92" i="54"/>
  <c r="X372" i="54"/>
  <c r="X587" i="54"/>
  <c r="X740" i="54"/>
  <c r="X354" i="54"/>
  <c r="X93" i="54"/>
  <c r="X591" i="54"/>
  <c r="X517" i="54"/>
  <c r="X484" i="54"/>
  <c r="X179" i="54"/>
  <c r="X143" i="54"/>
  <c r="X119" i="54"/>
  <c r="X882" i="54"/>
  <c r="X72" i="54"/>
  <c r="X216" i="54"/>
  <c r="X292" i="54"/>
  <c r="X787" i="54"/>
  <c r="X953" i="54"/>
  <c r="X967" i="54"/>
  <c r="X467" i="54"/>
  <c r="X61" i="54"/>
  <c r="X205" i="54"/>
  <c r="X759" i="54"/>
  <c r="X699" i="54"/>
  <c r="X854" i="54"/>
  <c r="X939" i="54"/>
  <c r="X326" i="54"/>
  <c r="X86" i="54"/>
  <c r="X230" i="54"/>
  <c r="X348" i="54"/>
  <c r="X563" i="54"/>
  <c r="X716" i="54"/>
  <c r="X329" i="54"/>
  <c r="X330" i="54"/>
  <c r="X87" i="54"/>
  <c r="X231" i="54"/>
  <c r="X352" i="54"/>
  <c r="X567" i="54"/>
  <c r="X720" i="54"/>
  <c r="X616" i="54"/>
  <c r="X382" i="54"/>
  <c r="X100" i="54"/>
  <c r="X244" i="54"/>
  <c r="X404" i="54"/>
  <c r="X619" i="54"/>
  <c r="X772" i="54"/>
  <c r="X432" i="54"/>
  <c r="X338" i="54"/>
  <c r="X89" i="54"/>
  <c r="X233" i="54"/>
  <c r="X360" i="54"/>
  <c r="X575" i="54"/>
  <c r="X728" i="54"/>
  <c r="X251" i="54"/>
  <c r="X507" i="54"/>
  <c r="X66" i="54"/>
  <c r="X210" i="54"/>
  <c r="X866" i="54"/>
  <c r="X739" i="54"/>
  <c r="X894" i="54"/>
  <c r="X959" i="54"/>
  <c r="X419" i="54"/>
  <c r="X55" i="54"/>
  <c r="X199" i="54"/>
  <c r="X553" i="54"/>
  <c r="X648" i="54"/>
  <c r="X829" i="54"/>
  <c r="X948" i="54"/>
  <c r="X398" i="54"/>
  <c r="X104" i="54"/>
  <c r="X248" i="54"/>
  <c r="X420" i="54"/>
  <c r="X635" i="54"/>
  <c r="X788" i="54"/>
  <c r="X528" i="54"/>
  <c r="X402" i="54"/>
  <c r="X105" i="54"/>
  <c r="X249" i="54"/>
  <c r="X424" i="54"/>
  <c r="X639" i="54"/>
  <c r="X792" i="54"/>
  <c r="X384" i="54"/>
  <c r="X347" i="54"/>
  <c r="X58" i="54"/>
  <c r="X927" i="54"/>
  <c r="X264" i="54"/>
  <c r="X407" i="54"/>
  <c r="X423" i="54"/>
  <c r="X287" i="54"/>
  <c r="X903" i="54"/>
  <c r="X258" i="54"/>
  <c r="X547" i="54"/>
  <c r="X487" i="54"/>
  <c r="X239" i="54"/>
  <c r="X318" i="54"/>
  <c r="X84" i="54"/>
  <c r="X228" i="54"/>
  <c r="X340" i="54"/>
  <c r="X555" i="54"/>
  <c r="X708" i="54"/>
  <c r="X979" i="54"/>
  <c r="X274" i="54"/>
  <c r="X73" i="54"/>
  <c r="X217" i="54"/>
  <c r="X296" i="54"/>
  <c r="X795" i="54"/>
  <c r="X664" i="54"/>
  <c r="X968" i="54"/>
  <c r="X374" i="54"/>
  <c r="X98" i="54"/>
  <c r="X242" i="54"/>
  <c r="X396" i="54"/>
  <c r="X611" i="54"/>
  <c r="X764" i="54"/>
  <c r="X577" i="54"/>
  <c r="X378" i="54"/>
  <c r="X99" i="54"/>
  <c r="X243" i="54"/>
  <c r="X400" i="54"/>
  <c r="X615" i="54"/>
  <c r="X768" i="54"/>
  <c r="X749" i="54"/>
  <c r="X430" i="54"/>
  <c r="X112" i="54"/>
  <c r="X256" i="54"/>
  <c r="X452" i="54"/>
  <c r="X666" i="54"/>
  <c r="X820" i="54"/>
  <c r="X782" i="54"/>
  <c r="X386" i="54"/>
  <c r="X101" i="54"/>
  <c r="X245" i="54"/>
  <c r="X408" i="54"/>
  <c r="X623" i="54"/>
  <c r="X776" i="54"/>
  <c r="X336" i="54"/>
  <c r="X294" i="54"/>
  <c r="X78" i="54"/>
  <c r="X222" i="54"/>
  <c r="X316" i="54"/>
  <c r="X839" i="54"/>
  <c r="X684" i="54"/>
  <c r="X973" i="54"/>
  <c r="X515" i="54"/>
  <c r="X67" i="54"/>
  <c r="X211" i="54"/>
  <c r="X898" i="54"/>
  <c r="X747" i="54"/>
  <c r="X902" i="54"/>
  <c r="X962" i="54"/>
  <c r="X446" i="54"/>
  <c r="X116" i="54"/>
  <c r="X260" i="54"/>
  <c r="X468" i="54"/>
  <c r="X934" i="54"/>
  <c r="X945" i="54"/>
  <c r="X734" i="54"/>
  <c r="X450" i="54"/>
  <c r="X117" i="54"/>
  <c r="X261" i="54"/>
  <c r="X472" i="54"/>
  <c r="X678" i="54"/>
  <c r="X958" i="54"/>
  <c r="X683" i="54"/>
  <c r="X443" i="54"/>
  <c r="X70" i="54"/>
  <c r="X214" i="54"/>
  <c r="X284" i="54"/>
  <c r="X771" i="54"/>
  <c r="X926" i="54"/>
  <c r="X965" i="54"/>
  <c r="X906" i="54"/>
  <c r="X977" i="54"/>
  <c r="X595" i="54"/>
  <c r="X215" i="54"/>
  <c r="X506" i="54"/>
  <c r="X288" i="54"/>
  <c r="X366" i="54"/>
  <c r="X96" i="54"/>
  <c r="X240" i="54"/>
  <c r="X388" i="54"/>
  <c r="X603" i="54"/>
  <c r="X756" i="54"/>
  <c r="X425" i="54"/>
  <c r="X322" i="54"/>
  <c r="X85" i="54"/>
  <c r="X229" i="54"/>
  <c r="X344" i="54"/>
  <c r="X559" i="54"/>
  <c r="X712" i="54"/>
  <c r="X980" i="54"/>
  <c r="X422" i="54"/>
  <c r="X110" i="54"/>
  <c r="X254" i="54"/>
  <c r="X444" i="54"/>
  <c r="X659" i="54"/>
  <c r="X812" i="54"/>
  <c r="X686" i="54"/>
  <c r="X426" i="54"/>
  <c r="X111" i="54"/>
  <c r="X255" i="54"/>
  <c r="X448" i="54"/>
  <c r="X662" i="54"/>
  <c r="X816" i="54"/>
  <c r="X966" i="54"/>
  <c r="X478" i="54"/>
  <c r="X124" i="54"/>
  <c r="X268" i="54"/>
  <c r="X500" i="54"/>
  <c r="X706" i="54"/>
  <c r="X857" i="54"/>
  <c r="X855" i="54"/>
  <c r="X434" i="54"/>
  <c r="X113" i="54"/>
  <c r="X257" i="54"/>
  <c r="X456" i="54"/>
  <c r="X670" i="54"/>
  <c r="X824" i="54"/>
  <c r="X779" i="54"/>
  <c r="X342" i="54"/>
  <c r="X90" i="54"/>
  <c r="X234" i="54"/>
  <c r="X364" i="54"/>
  <c r="X579" i="54"/>
  <c r="X732" i="54"/>
  <c r="X521" i="54"/>
  <c r="X298" i="54"/>
  <c r="X79" i="54"/>
  <c r="X223" i="54"/>
  <c r="X320" i="54"/>
  <c r="X858" i="54"/>
  <c r="X688" i="54"/>
  <c r="X974" i="54"/>
  <c r="X494" i="54"/>
  <c r="X128" i="54"/>
  <c r="X272" i="54"/>
  <c r="X516" i="54"/>
  <c r="X722" i="54"/>
  <c r="X873" i="54"/>
  <c r="X864" i="54"/>
  <c r="X498" i="54"/>
  <c r="X129" i="54"/>
  <c r="X273" i="54"/>
  <c r="X520" i="54"/>
  <c r="X726" i="54"/>
  <c r="X877" i="54"/>
  <c r="X797" i="54"/>
  <c r="X539" i="54"/>
  <c r="X82" i="54"/>
  <c r="X226" i="54"/>
  <c r="X332" i="54"/>
  <c r="X700" i="54"/>
  <c r="X727" i="54"/>
  <c r="X746" i="54"/>
  <c r="X349" i="54"/>
  <c r="X552" i="54"/>
  <c r="X362" i="54"/>
  <c r="X35" i="54"/>
  <c r="X922" i="54"/>
  <c r="X414" i="54"/>
  <c r="X108" i="54"/>
  <c r="X252" i="54"/>
  <c r="X436" i="54"/>
  <c r="X651" i="54"/>
  <c r="X804" i="54"/>
  <c r="X480" i="54"/>
  <c r="X370" i="54"/>
  <c r="X97" i="54"/>
  <c r="X241" i="54"/>
  <c r="X392" i="54"/>
  <c r="X607" i="54"/>
  <c r="X760" i="54"/>
  <c r="X281" i="54"/>
  <c r="X470" i="54"/>
  <c r="X122" i="54"/>
  <c r="X266" i="54"/>
  <c r="X492" i="54"/>
  <c r="X698" i="54"/>
  <c r="X849" i="54"/>
  <c r="X885" i="54"/>
  <c r="X474" i="54"/>
  <c r="X123" i="54"/>
  <c r="X267" i="54"/>
  <c r="X496" i="54"/>
  <c r="X702" i="54"/>
  <c r="X853" i="54"/>
  <c r="X783" i="54"/>
  <c r="X526" i="54"/>
  <c r="X136" i="54"/>
  <c r="X301" i="54"/>
  <c r="X548" i="54"/>
  <c r="X754" i="54"/>
  <c r="X905" i="54"/>
  <c r="X719" i="54"/>
  <c r="X482" i="54"/>
  <c r="X125" i="54"/>
  <c r="X269" i="54"/>
  <c r="X504" i="54"/>
  <c r="X710" i="54"/>
  <c r="X861" i="54"/>
  <c r="X942" i="54"/>
  <c r="X390" i="54"/>
  <c r="X102" i="54"/>
  <c r="X246" i="54"/>
  <c r="X412" i="54"/>
  <c r="X627" i="54"/>
  <c r="X780" i="54"/>
  <c r="X568" i="54"/>
  <c r="X346" i="54"/>
  <c r="X91" i="54"/>
  <c r="X235" i="54"/>
  <c r="X368" i="54"/>
  <c r="X583" i="54"/>
  <c r="X736" i="54"/>
  <c r="X263" i="54"/>
  <c r="X542" i="54"/>
  <c r="X140" i="54"/>
  <c r="X317" i="54"/>
  <c r="X565" i="54"/>
  <c r="X770" i="54"/>
  <c r="X921" i="54"/>
  <c r="X327" i="54"/>
  <c r="X546" i="54"/>
  <c r="X141" i="54"/>
  <c r="X321" i="54"/>
  <c r="X569" i="54"/>
  <c r="X774" i="54"/>
  <c r="X925" i="54"/>
  <c r="X800" i="54"/>
  <c r="X310" i="54"/>
  <c r="X94" i="54"/>
  <c r="X238" i="54"/>
  <c r="X380" i="54"/>
  <c r="X748" i="54"/>
  <c r="X71" i="54"/>
  <c r="X830" i="54"/>
  <c r="X253" i="54"/>
  <c r="X808" i="54"/>
  <c r="X518" i="54"/>
  <c r="X293" i="54"/>
  <c r="X522" i="54"/>
  <c r="X544" i="54"/>
  <c r="X574" i="54"/>
  <c r="X597" i="54"/>
  <c r="X530" i="54"/>
  <c r="X758" i="54"/>
  <c r="X114" i="54"/>
  <c r="X828" i="54"/>
  <c r="X410" i="54"/>
  <c r="X191" i="54"/>
  <c r="X912" i="54"/>
  <c r="X510" i="54"/>
  <c r="X132" i="54"/>
  <c r="X285" i="54"/>
  <c r="X532" i="54"/>
  <c r="X738" i="54"/>
  <c r="X889" i="54"/>
  <c r="X752" i="54"/>
  <c r="X466" i="54"/>
  <c r="X121" i="54"/>
  <c r="X265" i="54"/>
  <c r="X488" i="54"/>
  <c r="X694" i="54"/>
  <c r="X845" i="54"/>
  <c r="X647" i="54"/>
  <c r="X566" i="54"/>
  <c r="X146" i="54"/>
  <c r="X341" i="54"/>
  <c r="X589" i="54"/>
  <c r="X794" i="54"/>
  <c r="X960" i="54"/>
  <c r="X415" i="54"/>
  <c r="X570" i="54"/>
  <c r="X147" i="54"/>
  <c r="X345" i="54"/>
  <c r="X593" i="54"/>
  <c r="X798" i="54"/>
  <c r="X832" i="54"/>
  <c r="X914" i="54"/>
  <c r="X630" i="54"/>
  <c r="X160" i="54"/>
  <c r="X397" i="54"/>
  <c r="X621" i="54"/>
  <c r="X673" i="54"/>
  <c r="X884" i="54"/>
  <c r="X431" i="54"/>
  <c r="X578" i="54"/>
  <c r="X149" i="54"/>
  <c r="X353" i="54"/>
  <c r="X601" i="54"/>
  <c r="X806" i="54"/>
  <c r="X840" i="54"/>
  <c r="X543" i="54"/>
  <c r="X486" i="54"/>
  <c r="X126" i="54"/>
  <c r="X270" i="54"/>
  <c r="X508" i="54"/>
  <c r="X714" i="54"/>
  <c r="X865" i="54"/>
  <c r="X704" i="54"/>
  <c r="X442" i="54"/>
  <c r="X115" i="54"/>
  <c r="X259" i="54"/>
  <c r="X464" i="54"/>
  <c r="X843" i="54"/>
  <c r="X929" i="54"/>
  <c r="X599" i="54"/>
  <c r="X847" i="54"/>
  <c r="X164" i="54"/>
  <c r="X413" i="54"/>
  <c r="X637" i="54"/>
  <c r="X689" i="54"/>
  <c r="X900" i="54"/>
  <c r="X351" i="54"/>
  <c r="X950" i="54"/>
  <c r="X165" i="54"/>
  <c r="X417" i="54"/>
  <c r="X641" i="54"/>
  <c r="X693" i="54"/>
  <c r="X904" i="54"/>
  <c r="X331" i="54"/>
  <c r="X406" i="54"/>
  <c r="X118" i="54"/>
  <c r="X262" i="54"/>
  <c r="X476" i="54"/>
  <c r="X682" i="54"/>
  <c r="X833" i="54"/>
  <c r="X690" i="54"/>
  <c r="X897" i="54"/>
  <c r="X901" i="54"/>
  <c r="X836" i="54"/>
  <c r="X909" i="54"/>
  <c r="X846" i="54"/>
  <c r="X634" i="54"/>
  <c r="X822" i="54"/>
  <c r="X856" i="54"/>
  <c r="X152" i="54"/>
  <c r="X455" i="54"/>
  <c r="X460" i="54"/>
  <c r="X365" i="54"/>
  <c r="X613" i="54"/>
  <c r="X106" i="54"/>
  <c r="X818" i="54"/>
  <c r="X394" i="54"/>
  <c r="X343" i="54"/>
  <c r="X631" i="54"/>
  <c r="X462" i="54"/>
  <c r="X590" i="54"/>
  <c r="X674" i="54"/>
  <c r="X701" i="54"/>
  <c r="X250" i="54"/>
  <c r="X428" i="54"/>
  <c r="X103" i="54"/>
  <c r="X594" i="54"/>
  <c r="X416" i="54"/>
  <c r="X784" i="54"/>
  <c r="X305" i="54"/>
  <c r="X852" i="54"/>
  <c r="X643" i="54"/>
  <c r="X796" i="54"/>
  <c r="X153" i="54"/>
  <c r="X618" i="54"/>
  <c r="X358" i="54"/>
  <c r="X247" i="54"/>
  <c r="X369" i="54"/>
  <c r="X981" i="54"/>
  <c r="X163" i="53"/>
  <c r="X170" i="53"/>
  <c r="X897" i="53"/>
  <c r="X799" i="53"/>
  <c r="X780" i="53"/>
  <c r="X207" i="53"/>
  <c r="X491" i="53"/>
  <c r="X935" i="53"/>
  <c r="X238" i="53"/>
  <c r="X262" i="53"/>
  <c r="X862" i="53"/>
  <c r="X452" i="53"/>
  <c r="X725" i="53"/>
  <c r="X797" i="53"/>
  <c r="X948" i="53"/>
  <c r="X576" i="53"/>
  <c r="X343" i="53"/>
  <c r="X861" i="53"/>
  <c r="X390" i="53"/>
  <c r="X627" i="53"/>
  <c r="X671" i="53"/>
  <c r="X234" i="53"/>
  <c r="X363" i="53"/>
  <c r="X971" i="53"/>
  <c r="X406" i="53"/>
  <c r="X631" i="53"/>
  <c r="X675" i="53"/>
  <c r="X295" i="53"/>
  <c r="X540" i="53"/>
  <c r="X56" i="53"/>
  <c r="X591" i="53"/>
  <c r="X966" i="53"/>
  <c r="X873" i="53"/>
  <c r="X261" i="53"/>
  <c r="X443" i="53"/>
  <c r="X629" i="53"/>
  <c r="X367" i="53"/>
  <c r="X844" i="53"/>
  <c r="X955" i="53"/>
  <c r="X369" i="53"/>
  <c r="X248" i="53"/>
  <c r="X754" i="53"/>
  <c r="X320" i="53"/>
  <c r="X865" i="53"/>
  <c r="X978" i="53"/>
  <c r="X153" i="53"/>
  <c r="X236" i="53"/>
  <c r="X167" i="53"/>
  <c r="X293" i="53"/>
  <c r="X686" i="53"/>
  <c r="X755" i="53"/>
  <c r="X884" i="53"/>
  <c r="X946" i="53"/>
  <c r="X621" i="53"/>
  <c r="X32" i="53"/>
  <c r="X497" i="53"/>
  <c r="X274" i="53"/>
  <c r="X774" i="53"/>
  <c r="X975" i="53"/>
  <c r="X68" i="53"/>
  <c r="X339" i="53"/>
  <c r="X277" i="53"/>
  <c r="X708" i="53"/>
  <c r="X310" i="53"/>
  <c r="X607" i="53"/>
  <c r="X141" i="53"/>
  <c r="X228" i="53"/>
  <c r="X670" i="53"/>
  <c r="X499" i="53"/>
  <c r="X376" i="53"/>
  <c r="X495" i="53"/>
  <c r="X980" i="53"/>
  <c r="X826" i="53"/>
  <c r="X599" i="53"/>
  <c r="X251" i="53"/>
  <c r="X307" i="53"/>
  <c r="X571" i="53"/>
  <c r="X650" i="53"/>
  <c r="X674" i="53"/>
  <c r="X161" i="53"/>
  <c r="X705" i="53"/>
  <c r="X856" i="53"/>
  <c r="X914" i="53"/>
  <c r="X974" i="53"/>
  <c r="X388" i="53"/>
  <c r="X190" i="53"/>
  <c r="X610" i="53"/>
  <c r="X227" i="53"/>
  <c r="X838" i="53"/>
  <c r="X140" i="53"/>
  <c r="X230" i="53"/>
  <c r="X84" i="53"/>
  <c r="X249" i="53"/>
  <c r="X98" i="53"/>
  <c r="X392" i="53"/>
  <c r="X508" i="53"/>
  <c r="X606" i="53"/>
  <c r="X628" i="53"/>
  <c r="X936" i="53"/>
  <c r="X52" i="53"/>
  <c r="X446" i="53"/>
  <c r="X260" i="53"/>
  <c r="X510" i="53"/>
  <c r="X678" i="53"/>
  <c r="X776" i="53"/>
  <c r="X247" i="53"/>
  <c r="X456" i="53"/>
  <c r="X252" i="53"/>
  <c r="X542" i="53"/>
  <c r="X684" i="53"/>
  <c r="X792" i="53"/>
  <c r="X471" i="53"/>
  <c r="X726" i="53"/>
  <c r="X546" i="53"/>
  <c r="X541" i="53"/>
  <c r="X715" i="53"/>
  <c r="X229" i="53"/>
  <c r="X148" i="53"/>
  <c r="X407" i="53"/>
  <c r="X159" i="53"/>
  <c r="X426" i="53"/>
  <c r="X639" i="53"/>
  <c r="X683" i="53"/>
  <c r="X550" i="53"/>
  <c r="X64" i="53"/>
  <c r="X453" i="53"/>
  <c r="X562" i="53"/>
  <c r="X711" i="53"/>
  <c r="X869" i="53"/>
  <c r="X422" i="53"/>
  <c r="X66" i="53"/>
  <c r="X240" i="53"/>
  <c r="X459" i="53"/>
  <c r="X336" i="53"/>
  <c r="X901" i="53"/>
  <c r="X181" i="53"/>
  <c r="X137" i="53"/>
  <c r="X302" i="53"/>
  <c r="X272" i="53"/>
  <c r="X681" i="53"/>
  <c r="X294" i="53"/>
  <c r="X603" i="53"/>
  <c r="X173" i="53"/>
  <c r="X100" i="53"/>
  <c r="X258" i="53"/>
  <c r="X370" i="53"/>
  <c r="X95" i="53"/>
  <c r="X458" i="53"/>
  <c r="X655" i="53"/>
  <c r="X699" i="53"/>
  <c r="X250" i="53"/>
  <c r="X366" i="53"/>
  <c r="X513" i="53"/>
  <c r="X311" i="53"/>
  <c r="X762" i="53"/>
  <c r="X125" i="53"/>
  <c r="X911" i="53"/>
  <c r="X419" i="53"/>
  <c r="X70" i="53"/>
  <c r="X428" i="53"/>
  <c r="X736" i="53"/>
  <c r="X347" i="53"/>
  <c r="X276" i="53"/>
  <c r="X632" i="53"/>
  <c r="X139" i="53"/>
  <c r="X349" i="53"/>
  <c r="X485" i="53"/>
  <c r="X753" i="53"/>
  <c r="X211" i="53"/>
  <c r="X515" i="53"/>
  <c r="X243" i="53"/>
  <c r="X327" i="53"/>
  <c r="X595" i="53"/>
  <c r="X654" i="53"/>
  <c r="X680" i="53"/>
  <c r="X145" i="53"/>
  <c r="X171" i="53"/>
  <c r="X496" i="53"/>
  <c r="X88" i="53"/>
  <c r="X536" i="53"/>
  <c r="X875" i="53"/>
  <c r="X815" i="53"/>
  <c r="X954" i="53"/>
  <c r="X516" i="53"/>
  <c r="X72" i="53"/>
  <c r="X552" i="53"/>
  <c r="X739" i="53"/>
  <c r="X831" i="53"/>
  <c r="X296" i="53"/>
  <c r="X876" i="53"/>
  <c r="X318" i="53"/>
  <c r="X789" i="53"/>
  <c r="X866" i="53"/>
  <c r="X904" i="53"/>
  <c r="X235" i="53"/>
  <c r="X478" i="53"/>
  <c r="X232" i="53"/>
  <c r="X313" i="53"/>
  <c r="X694" i="53"/>
  <c r="X824" i="53"/>
  <c r="X257" i="53"/>
  <c r="X522" i="53"/>
  <c r="X645" i="53"/>
  <c r="X383" i="53"/>
  <c r="X863" i="53"/>
  <c r="X969" i="53"/>
  <c r="X346" i="53"/>
  <c r="X692" i="53"/>
  <c r="X48" i="53"/>
  <c r="X473" i="53"/>
  <c r="X270" i="53"/>
  <c r="X727" i="53"/>
  <c r="X885" i="53"/>
  <c r="X271" i="53"/>
  <c r="X242" i="53"/>
  <c r="X350" i="53"/>
  <c r="X111" i="53"/>
  <c r="X450" i="53"/>
  <c r="X651" i="53"/>
  <c r="X695" i="53"/>
  <c r="X132" i="53"/>
  <c r="X94" i="53"/>
  <c r="X309" i="53"/>
  <c r="X168" i="53"/>
  <c r="X377" i="53"/>
  <c r="X764" i="53"/>
  <c r="X735" i="53"/>
  <c r="X164" i="53"/>
  <c r="X220" i="53"/>
  <c r="X697" i="53"/>
  <c r="X430" i="53"/>
  <c r="X758" i="53"/>
  <c r="X765" i="53"/>
  <c r="X37" i="53"/>
  <c r="X99" i="53"/>
  <c r="X103" i="53"/>
  <c r="X381" i="53"/>
  <c r="X835" i="53"/>
  <c r="X839" i="53"/>
  <c r="X849" i="53"/>
  <c r="X475" i="53"/>
  <c r="X172" i="53"/>
  <c r="X348" i="53"/>
  <c r="X385" i="53"/>
  <c r="X620" i="53"/>
  <c r="X928" i="53"/>
  <c r="X176" i="53"/>
  <c r="X547" i="53"/>
  <c r="X400" i="53"/>
  <c r="X806" i="53"/>
  <c r="X73" i="53"/>
  <c r="X585" i="53"/>
  <c r="X288" i="53"/>
  <c r="X891" i="53"/>
  <c r="X77" i="53"/>
  <c r="X528" i="53"/>
  <c r="X144" i="53"/>
  <c r="X940" i="53"/>
  <c r="X397" i="53"/>
  <c r="X851" i="53"/>
  <c r="X323" i="53"/>
  <c r="X423" i="53"/>
  <c r="X596" i="53"/>
  <c r="X340" i="53"/>
  <c r="X54" i="53"/>
  <c r="X438" i="53"/>
  <c r="X769" i="53"/>
  <c r="X756" i="53"/>
  <c r="X888" i="53"/>
  <c r="X918" i="53"/>
  <c r="X202" i="53"/>
  <c r="X583" i="53"/>
  <c r="X437" i="53"/>
  <c r="X559" i="53"/>
  <c r="X845" i="53"/>
  <c r="X841" i="53"/>
  <c r="X836" i="53"/>
  <c r="X702" i="53"/>
  <c r="X506" i="53"/>
  <c r="X575" i="53"/>
  <c r="X877" i="53"/>
  <c r="X857" i="53"/>
  <c r="X147" i="53"/>
  <c r="X979" i="53"/>
  <c r="X494" i="53"/>
  <c r="X622" i="53"/>
  <c r="X644" i="53"/>
  <c r="X967" i="53"/>
  <c r="X253" i="53"/>
  <c r="X560" i="53"/>
  <c r="X40" i="53"/>
  <c r="X584" i="53"/>
  <c r="X779" i="53"/>
  <c r="X871" i="53"/>
  <c r="X858" i="53"/>
  <c r="X306" i="53"/>
  <c r="X143" i="53"/>
  <c r="X434" i="53"/>
  <c r="X643" i="53"/>
  <c r="X687" i="53"/>
  <c r="X379" i="53"/>
  <c r="X386" i="53"/>
  <c r="X267" i="53"/>
  <c r="X661" i="53"/>
  <c r="X399" i="53"/>
  <c r="X882" i="53"/>
  <c r="X205" i="53"/>
  <c r="X429" i="53"/>
  <c r="X74" i="53"/>
  <c r="X558" i="53"/>
  <c r="X184" i="53"/>
  <c r="X361" i="53"/>
  <c r="X740" i="53"/>
  <c r="X878" i="53"/>
  <c r="X451" i="53"/>
  <c r="X771" i="53"/>
  <c r="X356" i="53"/>
  <c r="X479" i="53"/>
  <c r="X874" i="53"/>
  <c r="X810" i="53"/>
  <c r="X58" i="53"/>
  <c r="X898" i="53"/>
  <c r="X154" i="53"/>
  <c r="X939" i="53"/>
  <c r="X514" i="53"/>
  <c r="X203" i="53"/>
  <c r="X900" i="53"/>
  <c r="X782" i="53"/>
  <c r="X191" i="53"/>
  <c r="X500" i="53"/>
  <c r="X316" i="53"/>
  <c r="X587" i="53"/>
  <c r="X658" i="53"/>
  <c r="X178" i="53"/>
  <c r="X131" i="53"/>
  <c r="X87" i="53"/>
  <c r="X401" i="53"/>
  <c r="X814" i="53"/>
  <c r="X868" i="53"/>
  <c r="X881" i="53"/>
  <c r="X977" i="53"/>
  <c r="X766" i="53"/>
  <c r="X737" i="53"/>
  <c r="X395" i="53"/>
  <c r="X509" i="53"/>
  <c r="X581" i="53"/>
  <c r="X943" i="53"/>
  <c r="X380" i="53"/>
  <c r="X801" i="53"/>
  <c r="X298" i="53"/>
  <c r="X525" i="53"/>
  <c r="X597" i="53"/>
  <c r="X963" i="53"/>
  <c r="X186" i="53"/>
  <c r="X445" i="53"/>
  <c r="X592" i="53"/>
  <c r="X672" i="53"/>
  <c r="X704" i="53"/>
  <c r="X81" i="53"/>
  <c r="X556" i="53"/>
  <c r="X566" i="53"/>
  <c r="X269" i="53"/>
  <c r="X706" i="53"/>
  <c r="X913" i="53"/>
  <c r="X889" i="53"/>
  <c r="X180" i="53"/>
  <c r="X488" i="53"/>
  <c r="X216" i="53"/>
  <c r="X329" i="53"/>
  <c r="X700" i="53"/>
  <c r="X840" i="53"/>
  <c r="X553" i="53"/>
  <c r="X212" i="53"/>
  <c r="X330" i="53"/>
  <c r="X127" i="53"/>
  <c r="X442" i="53"/>
  <c r="X647" i="53"/>
  <c r="X691" i="53"/>
  <c r="X360" i="53"/>
  <c r="X921" i="53"/>
  <c r="X455" i="53"/>
  <c r="X332" i="53"/>
  <c r="X463" i="53"/>
  <c r="X842" i="53"/>
  <c r="X794" i="53"/>
  <c r="X116" i="53"/>
  <c r="X432" i="53"/>
  <c r="X489" i="53"/>
  <c r="X291" i="53"/>
  <c r="X590" i="53"/>
  <c r="X189" i="53"/>
  <c r="X903" i="53"/>
  <c r="X746" i="53"/>
  <c r="X259" i="53"/>
  <c r="X289" i="53"/>
  <c r="X551" i="53"/>
  <c r="X646" i="53"/>
  <c r="X669" i="53"/>
  <c r="X177" i="53"/>
  <c r="X582" i="53"/>
  <c r="X344" i="53"/>
  <c r="X569" i="53"/>
  <c r="X286" i="53"/>
  <c r="X745" i="53"/>
  <c r="X970" i="53"/>
  <c r="X179" i="53"/>
  <c r="X832" i="53"/>
  <c r="X342" i="53"/>
  <c r="X685" i="53"/>
  <c r="X520" i="53"/>
  <c r="X222" i="53"/>
  <c r="X104" i="53"/>
  <c r="X122" i="53"/>
  <c r="X31" i="53"/>
  <c r="X149" i="53"/>
  <c r="X51" i="53"/>
  <c r="X174" i="53"/>
  <c r="X160" i="53"/>
  <c r="X567" i="53"/>
  <c r="X415" i="53"/>
  <c r="X213" i="53"/>
  <c r="X822" i="53"/>
  <c r="X57" i="53"/>
  <c r="X441" i="53"/>
  <c r="X887" i="53"/>
  <c r="X472" i="53"/>
  <c r="X757" i="53"/>
  <c r="X829" i="53"/>
  <c r="X964" i="53"/>
  <c r="X115" i="53"/>
  <c r="X896" i="53"/>
  <c r="X484" i="53"/>
  <c r="X773" i="53"/>
  <c r="X847" i="53"/>
  <c r="X972" i="53"/>
  <c r="X182" i="53"/>
  <c r="X411" i="53"/>
  <c r="X598" i="53"/>
  <c r="X843" i="53"/>
  <c r="X807" i="53"/>
  <c r="X934" i="53"/>
  <c r="X60" i="53"/>
  <c r="X609" i="53"/>
  <c r="X338" i="53"/>
  <c r="X557" i="53"/>
  <c r="X731" i="53"/>
  <c r="X197" i="53"/>
  <c r="X30" i="53"/>
  <c r="X580" i="53"/>
  <c r="X292" i="53"/>
  <c r="X600" i="53"/>
  <c r="X803" i="53"/>
  <c r="X890" i="53"/>
  <c r="X241" i="53"/>
  <c r="X50" i="53"/>
  <c r="X518" i="53"/>
  <c r="X200" i="53"/>
  <c r="X345" i="53"/>
  <c r="X720" i="53"/>
  <c r="X859" i="53"/>
  <c r="X36" i="53"/>
  <c r="X476" i="53"/>
  <c r="X469" i="53"/>
  <c r="X285" i="53"/>
  <c r="X574" i="53"/>
  <c r="X953" i="53"/>
  <c r="X976" i="53"/>
  <c r="X486" i="53"/>
  <c r="X188" i="53"/>
  <c r="X676" i="53"/>
  <c r="X420" i="53"/>
  <c r="X723" i="53"/>
  <c r="X749" i="53"/>
  <c r="X69" i="53"/>
  <c r="X554" i="53"/>
  <c r="X86" i="53"/>
  <c r="X416" i="53"/>
  <c r="X716" i="53"/>
  <c r="X910" i="53"/>
  <c r="X615" i="53"/>
  <c r="X968" i="53"/>
  <c r="X623" i="53"/>
  <c r="X555" i="53"/>
  <c r="X543" i="53"/>
  <c r="X38" i="53"/>
  <c r="X490" i="53"/>
  <c r="X956" i="53"/>
  <c r="X71" i="53"/>
  <c r="X579" i="53"/>
  <c r="X364" i="53"/>
  <c r="X742" i="53"/>
  <c r="X290" i="53"/>
  <c r="X761" i="53"/>
  <c r="X909" i="53"/>
  <c r="X42" i="53"/>
  <c r="X83" i="53"/>
  <c r="X425" i="53"/>
  <c r="X548" i="53"/>
  <c r="X614" i="53"/>
  <c r="X636" i="53"/>
  <c r="X944" i="53"/>
  <c r="X162" i="53"/>
  <c r="X435" i="53"/>
  <c r="X572" i="53"/>
  <c r="X618" i="53"/>
  <c r="X640" i="53"/>
  <c r="X951" i="53"/>
  <c r="X215" i="53"/>
  <c r="X480" i="53"/>
  <c r="X633" i="53"/>
  <c r="X854" i="53"/>
  <c r="X947" i="53"/>
  <c r="X185" i="53"/>
  <c r="X175" i="53"/>
  <c r="X937" i="53"/>
  <c r="X534" i="53"/>
  <c r="X805" i="53"/>
  <c r="X892" i="53"/>
  <c r="X908" i="53"/>
  <c r="X263" i="53"/>
  <c r="X586" i="53"/>
  <c r="X275" i="53"/>
  <c r="X722" i="53"/>
  <c r="X929" i="53"/>
  <c r="X952" i="53"/>
  <c r="X26" i="53"/>
  <c r="X93" i="53"/>
  <c r="X738" i="53"/>
  <c r="X312" i="53"/>
  <c r="X447" i="53"/>
  <c r="X823" i="53"/>
  <c r="X778" i="53"/>
  <c r="X752" i="53"/>
  <c r="X156" i="53"/>
  <c r="X657" i="53"/>
  <c r="X402" i="53"/>
  <c r="X707" i="53"/>
  <c r="X733" i="53"/>
  <c r="X101" i="53"/>
  <c r="X46" i="53"/>
  <c r="X34" i="53"/>
  <c r="X328" i="53"/>
  <c r="X365" i="53"/>
  <c r="X879" i="53"/>
  <c r="X616" i="53"/>
  <c r="X924" i="53"/>
  <c r="X67" i="53"/>
  <c r="X119" i="53"/>
  <c r="X357" i="53"/>
  <c r="X747" i="53"/>
  <c r="X819" i="53"/>
  <c r="X880" i="53"/>
  <c r="X973" i="53"/>
  <c r="X75" i="53"/>
  <c r="X414" i="53"/>
  <c r="X63" i="53"/>
  <c r="X474" i="53"/>
  <c r="X663" i="53"/>
  <c r="X728" i="53"/>
  <c r="X223" i="53"/>
  <c r="X280" i="53"/>
  <c r="X612" i="53"/>
  <c r="X529" i="53"/>
  <c r="X284" i="53"/>
  <c r="X531" i="53"/>
  <c r="X667" i="53"/>
  <c r="X886" i="53"/>
  <c r="X194" i="53"/>
  <c r="X673" i="53"/>
  <c r="X412" i="53"/>
  <c r="X870" i="53"/>
  <c r="X502" i="53"/>
  <c r="X448" i="53"/>
  <c r="X404" i="53"/>
  <c r="X299" i="53"/>
  <c r="X811" i="53"/>
  <c r="X358" i="53"/>
  <c r="X619" i="53"/>
  <c r="X45" i="53"/>
  <c r="X62" i="53"/>
  <c r="X142" i="53"/>
  <c r="X371" i="53"/>
  <c r="X734" i="53"/>
  <c r="X662" i="53"/>
  <c r="X690" i="53"/>
  <c r="X113" i="53"/>
  <c r="X198" i="53"/>
  <c r="X391" i="53"/>
  <c r="X578" i="53"/>
  <c r="X666" i="53"/>
  <c r="X696" i="53"/>
  <c r="X97" i="53"/>
  <c r="X264" i="53"/>
  <c r="X564" i="53"/>
  <c r="X498" i="53"/>
  <c r="X577" i="53"/>
  <c r="X902" i="53"/>
  <c r="X465" i="53"/>
  <c r="X206" i="53"/>
  <c r="X538" i="53"/>
  <c r="X770" i="53"/>
  <c r="X626" i="53"/>
  <c r="X648" i="53"/>
  <c r="X949" i="53"/>
  <c r="X92" i="53"/>
  <c r="X625" i="53"/>
  <c r="X362" i="53"/>
  <c r="X573" i="53"/>
  <c r="X701" i="53"/>
  <c r="X165" i="53"/>
  <c r="X410" i="53"/>
  <c r="X305" i="53"/>
  <c r="X449" i="53"/>
  <c r="X750" i="53"/>
  <c r="X945" i="53"/>
  <c r="X962" i="53"/>
  <c r="X444" i="53"/>
  <c r="X239" i="53"/>
  <c r="X308" i="53"/>
  <c r="X341" i="53"/>
  <c r="X860" i="53"/>
  <c r="X920" i="53"/>
  <c r="X265" i="53"/>
  <c r="X233" i="53"/>
  <c r="X512" i="53"/>
  <c r="X791" i="53"/>
  <c r="X917" i="53"/>
  <c r="X462" i="53"/>
  <c r="X743" i="53"/>
  <c r="X563" i="53"/>
  <c r="X375" i="53"/>
  <c r="X107" i="53"/>
  <c r="X424" i="53"/>
  <c r="X47" i="53"/>
  <c r="X482" i="53"/>
  <c r="X668" i="53"/>
  <c r="X744" i="53"/>
  <c r="X82" i="53"/>
  <c r="X214" i="53"/>
  <c r="X460" i="53"/>
  <c r="X601" i="53"/>
  <c r="X800" i="53"/>
  <c r="X763" i="53"/>
  <c r="X926" i="53"/>
  <c r="X231" i="53"/>
  <c r="X470" i="53"/>
  <c r="X617" i="53"/>
  <c r="X820" i="53"/>
  <c r="X787" i="53"/>
  <c r="X930" i="53"/>
  <c r="X96" i="53"/>
  <c r="X570" i="53"/>
  <c r="X351" i="53"/>
  <c r="X825" i="53"/>
  <c r="X941" i="53"/>
  <c r="X718" i="53"/>
  <c r="X166" i="53"/>
  <c r="X314" i="53"/>
  <c r="X457" i="53"/>
  <c r="X677" i="53"/>
  <c r="X724" i="53"/>
  <c r="X65" i="53"/>
  <c r="X195" i="53"/>
  <c r="X29" i="53"/>
  <c r="X301" i="53"/>
  <c r="X821" i="53"/>
  <c r="X604" i="53"/>
  <c r="X912" i="53"/>
  <c r="X204" i="53"/>
  <c r="X124" i="53"/>
  <c r="X641" i="53"/>
  <c r="X382" i="53"/>
  <c r="X589" i="53"/>
  <c r="X717" i="53"/>
  <c r="X133" i="53"/>
  <c r="X785" i="53"/>
  <c r="X255" i="53"/>
  <c r="X279" i="53"/>
  <c r="X507" i="53"/>
  <c r="X638" i="53"/>
  <c r="X660" i="53"/>
  <c r="X209" i="53"/>
  <c r="X287" i="53"/>
  <c r="X102" i="53"/>
  <c r="X398" i="53"/>
  <c r="X545" i="53"/>
  <c r="X41" i="53"/>
  <c r="X76" i="53"/>
  <c r="X427" i="53"/>
  <c r="X413" i="53"/>
  <c r="X303" i="53"/>
  <c r="X129" i="53"/>
  <c r="X833" i="53"/>
  <c r="X741" i="53"/>
  <c r="X158" i="53"/>
  <c r="X373" i="53"/>
  <c r="X120" i="53"/>
  <c r="X504" i="53"/>
  <c r="X828" i="53"/>
  <c r="X783" i="53"/>
  <c r="X266" i="53"/>
  <c r="X55" i="53"/>
  <c r="X524" i="53"/>
  <c r="X905" i="53"/>
  <c r="X786" i="53"/>
  <c r="X915" i="53"/>
  <c r="X217" i="53"/>
  <c r="X39" i="53"/>
  <c r="X544" i="53"/>
  <c r="X157" i="53"/>
  <c r="X818" i="53"/>
  <c r="X931" i="53"/>
  <c r="X201" i="53"/>
  <c r="X433" i="53"/>
  <c r="X613" i="53"/>
  <c r="X418" i="53"/>
  <c r="X635" i="53"/>
  <c r="X679" i="53"/>
  <c r="X535" i="53"/>
  <c r="X199" i="53"/>
  <c r="X492" i="53"/>
  <c r="X649" i="53"/>
  <c r="X872" i="53"/>
  <c r="X827" i="53"/>
  <c r="X938" i="53"/>
  <c r="X226" i="53"/>
  <c r="X268" i="53"/>
  <c r="X467" i="53"/>
  <c r="X630" i="53"/>
  <c r="X652" i="53"/>
  <c r="X965" i="53"/>
  <c r="X389" i="53"/>
  <c r="X219" i="53"/>
  <c r="X28" i="53"/>
  <c r="X321" i="53"/>
  <c r="X837" i="53"/>
  <c r="X608" i="53"/>
  <c r="X916" i="53"/>
  <c r="X359" i="53"/>
  <c r="X118" i="53"/>
  <c r="X378" i="53"/>
  <c r="X521" i="53"/>
  <c r="X693" i="53"/>
  <c r="X788" i="53"/>
  <c r="X27" i="53"/>
  <c r="X35" i="53"/>
  <c r="X135" i="53"/>
  <c r="X337" i="53"/>
  <c r="X816" i="53"/>
  <c r="X795" i="53"/>
  <c r="X834" i="53"/>
  <c r="X957" i="53"/>
  <c r="X281" i="53"/>
  <c r="X283" i="53"/>
  <c r="X796" i="53"/>
  <c r="X326" i="53"/>
  <c r="X611" i="53"/>
  <c r="X109" i="53"/>
  <c r="X91" i="53"/>
  <c r="X403" i="53"/>
  <c r="X533" i="53"/>
  <c r="X331" i="53"/>
  <c r="X461" i="53"/>
  <c r="X61" i="53"/>
  <c r="X919" i="53"/>
  <c r="X126" i="53"/>
  <c r="X44" i="53"/>
  <c r="X374" i="53"/>
  <c r="X719" i="53"/>
  <c r="X777" i="53"/>
  <c r="X108" i="53"/>
  <c r="X493" i="53"/>
  <c r="X565" i="53"/>
  <c r="X703" i="53"/>
  <c r="X539" i="53"/>
  <c r="X417" i="53"/>
  <c r="X527" i="53"/>
  <c r="X830" i="53"/>
  <c r="X867" i="53"/>
  <c r="X187" i="53"/>
  <c r="X128" i="53"/>
  <c r="X710" i="53"/>
  <c r="X431" i="53"/>
  <c r="X85" i="53"/>
  <c r="X864" i="53"/>
  <c r="X25" i="53"/>
  <c r="X112" i="53"/>
  <c r="X730" i="53"/>
  <c r="X439" i="53"/>
  <c r="X237" i="53"/>
  <c r="X883" i="53"/>
  <c r="X653" i="53"/>
  <c r="X387" i="53"/>
  <c r="X221" i="53"/>
  <c r="X297" i="53"/>
  <c r="X689" i="53"/>
  <c r="X808" i="53"/>
  <c r="X155" i="53"/>
  <c r="X256" i="53"/>
  <c r="X588" i="53"/>
  <c r="X304" i="53"/>
  <c r="X899" i="53"/>
  <c r="X961" i="53"/>
  <c r="X169" i="53"/>
  <c r="X150" i="53"/>
  <c r="X334" i="53"/>
  <c r="X481" i="53"/>
  <c r="X682" i="53"/>
  <c r="X748" i="53"/>
  <c r="X49" i="53"/>
  <c r="X637" i="53"/>
  <c r="X245" i="53"/>
  <c r="X273" i="53"/>
  <c r="X487" i="53"/>
  <c r="X634" i="53"/>
  <c r="X656" i="53"/>
  <c r="X225" i="53"/>
  <c r="X254" i="53"/>
  <c r="X151" i="53"/>
  <c r="X317" i="53"/>
  <c r="X732" i="53"/>
  <c r="X775" i="53"/>
  <c r="X802" i="53"/>
  <c r="X959" i="53"/>
  <c r="X110" i="53"/>
  <c r="X208" i="53"/>
  <c r="X503" i="53"/>
  <c r="X368" i="53"/>
  <c r="X907" i="53"/>
  <c r="X53" i="53"/>
  <c r="X105" i="53"/>
  <c r="X43" i="53"/>
  <c r="X394" i="53"/>
  <c r="X79" i="53"/>
  <c r="X466" i="53"/>
  <c r="X659" i="53"/>
  <c r="X712" i="53"/>
  <c r="X123" i="53"/>
  <c r="X246" i="53"/>
  <c r="X146" i="53"/>
  <c r="X549" i="53"/>
  <c r="X809" i="53"/>
  <c r="X593" i="53"/>
  <c r="X501" i="53"/>
  <c r="X300" i="53"/>
  <c r="X130" i="53"/>
  <c r="X923" i="53"/>
  <c r="X353" i="53"/>
  <c r="X804" i="53"/>
  <c r="X853" i="53"/>
  <c r="X517" i="53"/>
  <c r="X729" i="53"/>
  <c r="X519" i="53"/>
  <c r="X798" i="53"/>
  <c r="X784" i="53"/>
  <c r="X781" i="53"/>
  <c r="X183" i="53"/>
  <c r="X713" i="53"/>
  <c r="X848" i="53"/>
  <c r="X483" i="53"/>
  <c r="X523" i="53"/>
  <c r="X925" i="53"/>
  <c r="X561" i="53"/>
  <c r="X436" i="53"/>
  <c r="X927" i="53"/>
  <c r="X933" i="53"/>
  <c r="X688" i="53"/>
  <c r="X505" i="53"/>
  <c r="X642" i="53"/>
  <c r="X624" i="53"/>
  <c r="X136" i="53"/>
  <c r="X665" i="53"/>
  <c r="X396" i="53"/>
  <c r="X894" i="53"/>
  <c r="X664" i="53"/>
  <c r="X893" i="53"/>
  <c r="X852" i="53"/>
  <c r="X405" i="53"/>
  <c r="X950" i="53"/>
  <c r="X80" i="53"/>
  <c r="X511" i="53"/>
  <c r="X906" i="53"/>
  <c r="X846" i="53"/>
  <c r="X218" i="53"/>
  <c r="X850" i="53"/>
  <c r="X532" i="53"/>
  <c r="X768" i="53"/>
  <c r="X278" i="53"/>
  <c r="X114" i="53"/>
  <c r="X772" i="53"/>
  <c r="X192" i="53"/>
  <c r="X372" i="53"/>
  <c r="X960" i="53"/>
  <c r="X224" i="53"/>
  <c r="X751" i="53"/>
  <c r="X759" i="53"/>
  <c r="X89" i="53"/>
  <c r="X855" i="53"/>
  <c r="X537" i="53"/>
  <c r="X942" i="53"/>
  <c r="X464" i="53"/>
  <c r="X193" i="53"/>
  <c r="X594" i="53"/>
  <c r="X282" i="53"/>
  <c r="X335" i="53"/>
  <c r="X78" i="53"/>
  <c r="X714" i="53"/>
  <c r="X408" i="53"/>
  <c r="X468" i="53"/>
  <c r="X33" i="53"/>
  <c r="X790" i="53"/>
  <c r="X813" i="53"/>
  <c r="X352" i="53"/>
  <c r="X454" i="53"/>
  <c r="X409" i="53"/>
  <c r="X384" i="53"/>
  <c r="X134" i="53"/>
  <c r="X605" i="53"/>
  <c r="X530" i="53"/>
  <c r="X196" i="53"/>
  <c r="X922" i="53"/>
  <c r="X817" i="53"/>
  <c r="X244" i="53"/>
  <c r="X526" i="53"/>
  <c r="X90" i="53"/>
  <c r="X698" i="53"/>
  <c r="X324" i="53"/>
  <c r="X767" i="53"/>
  <c r="X793" i="53"/>
  <c r="X440" i="53"/>
  <c r="X812" i="53"/>
  <c r="X932" i="53"/>
  <c r="X152" i="53"/>
  <c r="X421" i="53"/>
  <c r="X138" i="53"/>
  <c r="X121" i="53"/>
  <c r="X709" i="53"/>
  <c r="X477" i="53"/>
  <c r="X602" i="53"/>
  <c r="X325" i="53"/>
  <c r="X319" i="53"/>
  <c r="X568" i="53"/>
  <c r="X333" i="53"/>
  <c r="X958" i="53"/>
  <c r="X117" i="53"/>
  <c r="X895" i="53"/>
  <c r="X354" i="53"/>
  <c r="X721" i="53"/>
  <c r="X760" i="53"/>
  <c r="X59" i="53"/>
  <c r="X315" i="53"/>
  <c r="X210" i="53"/>
  <c r="X106" i="53"/>
  <c r="X393" i="53"/>
  <c r="X322" i="53"/>
  <c r="X355" i="53"/>
  <c r="X981" i="53"/>
  <c r="E17" i="55"/>
  <c r="X24" i="55"/>
  <c r="X23" i="55"/>
  <c r="E17" i="54"/>
  <c r="X23" i="54"/>
  <c r="X23" i="53"/>
  <c r="X24" i="53"/>
  <c r="E17" i="53"/>
  <c r="AA591" i="55" l="1"/>
  <c r="Z591" i="55"/>
  <c r="AA975" i="55"/>
  <c r="Z975" i="55"/>
  <c r="Z529" i="55"/>
  <c r="AA529" i="55"/>
  <c r="Z274" i="55"/>
  <c r="AA274" i="55"/>
  <c r="Z453" i="55"/>
  <c r="AA453" i="55"/>
  <c r="Z597" i="55"/>
  <c r="AA597" i="55"/>
  <c r="Z374" i="55"/>
  <c r="AA374" i="55"/>
  <c r="Z368" i="55"/>
  <c r="AA368" i="55"/>
  <c r="Z298" i="55"/>
  <c r="AA298" i="55"/>
  <c r="Z535" i="55"/>
  <c r="AA535" i="55"/>
  <c r="Z166" i="55"/>
  <c r="AA166" i="55"/>
  <c r="Z711" i="55"/>
  <c r="AA711" i="55"/>
  <c r="AA415" i="55"/>
  <c r="Z415" i="55"/>
  <c r="Z281" i="55"/>
  <c r="AA281" i="55"/>
  <c r="Z501" i="55"/>
  <c r="AA501" i="55"/>
  <c r="AA265" i="55"/>
  <c r="Z265" i="55"/>
  <c r="Z224" i="55"/>
  <c r="AA224" i="55"/>
  <c r="Z714" i="55"/>
  <c r="AA714" i="55"/>
  <c r="Z248" i="55"/>
  <c r="AA248" i="55"/>
  <c r="Z588" i="55"/>
  <c r="AA588" i="55"/>
  <c r="Z477" i="55"/>
  <c r="AA477" i="55"/>
  <c r="AA808" i="55"/>
  <c r="Z808" i="55"/>
  <c r="Z284" i="55"/>
  <c r="AA284" i="55"/>
  <c r="Z700" i="55"/>
  <c r="AA700" i="55"/>
  <c r="Z636" i="55"/>
  <c r="AA636" i="55"/>
  <c r="AA439" i="55"/>
  <c r="Z439" i="55"/>
  <c r="AA707" i="55"/>
  <c r="Z707" i="55"/>
  <c r="AA311" i="55"/>
  <c r="Z311" i="55"/>
  <c r="Z799" i="55"/>
  <c r="AA799" i="55"/>
  <c r="Z95" i="55"/>
  <c r="AA95" i="55"/>
  <c r="Z413" i="55"/>
  <c r="AA413" i="55"/>
  <c r="AA379" i="55"/>
  <c r="Z379" i="55"/>
  <c r="Z305" i="55"/>
  <c r="AA305" i="55"/>
  <c r="Z505" i="55"/>
  <c r="AA505" i="55"/>
  <c r="AA125" i="55"/>
  <c r="Z125" i="55"/>
  <c r="AA683" i="55"/>
  <c r="Z683" i="55"/>
  <c r="Z62" i="55"/>
  <c r="AA62" i="55"/>
  <c r="AA833" i="55"/>
  <c r="Z833" i="55"/>
  <c r="Z293" i="55"/>
  <c r="AA293" i="55"/>
  <c r="Z805" i="55"/>
  <c r="AA805" i="55"/>
  <c r="Z79" i="55"/>
  <c r="AA79" i="55"/>
  <c r="Z303" i="55"/>
  <c r="AA303" i="55"/>
  <c r="Z25" i="55"/>
  <c r="AA25" i="55"/>
  <c r="Z211" i="55"/>
  <c r="AA211" i="55"/>
  <c r="Z159" i="55"/>
  <c r="AA159" i="55"/>
  <c r="Z235" i="55"/>
  <c r="AA235" i="55"/>
  <c r="AA776" i="55"/>
  <c r="Z776" i="55"/>
  <c r="Z741" i="55"/>
  <c r="AA741" i="55"/>
  <c r="Z862" i="55"/>
  <c r="AA862" i="55"/>
  <c r="AA556" i="55"/>
  <c r="Z556" i="55"/>
  <c r="Z213" i="55"/>
  <c r="AA213" i="55"/>
  <c r="AA323" i="55"/>
  <c r="Z323" i="55"/>
  <c r="Z544" i="55"/>
  <c r="AA544" i="55"/>
  <c r="Z86" i="55"/>
  <c r="AA86" i="55"/>
  <c r="Z264" i="55"/>
  <c r="AA264" i="55"/>
  <c r="AA294" i="55"/>
  <c r="Z294" i="55"/>
  <c r="AA856" i="55"/>
  <c r="Z856" i="55"/>
  <c r="Z36" i="55"/>
  <c r="AA36" i="55"/>
  <c r="Z704" i="55"/>
  <c r="AA704" i="55"/>
  <c r="Z334" i="55"/>
  <c r="AA334" i="55"/>
  <c r="Z422" i="55"/>
  <c r="AA422" i="55"/>
  <c r="Z659" i="55"/>
  <c r="AA659" i="55"/>
  <c r="Z735" i="55"/>
  <c r="AA735" i="55"/>
  <c r="Z709" i="55"/>
  <c r="AA709" i="55"/>
  <c r="Z218" i="55"/>
  <c r="AA218" i="55"/>
  <c r="Z441" i="55"/>
  <c r="AA441" i="55"/>
  <c r="Z174" i="55"/>
  <c r="AA174" i="55"/>
  <c r="Z410" i="55"/>
  <c r="AA410" i="55"/>
  <c r="Z239" i="55"/>
  <c r="AA239" i="55"/>
  <c r="Z117" i="55"/>
  <c r="AA117" i="55"/>
  <c r="AA772" i="55"/>
  <c r="Z772" i="55"/>
  <c r="Z385" i="55"/>
  <c r="AA385" i="55"/>
  <c r="AA65" i="55"/>
  <c r="Z65" i="55"/>
  <c r="AA694" i="55"/>
  <c r="Z694" i="55"/>
  <c r="Z352" i="55"/>
  <c r="AA352" i="55"/>
  <c r="Z358" i="55"/>
  <c r="AA358" i="55"/>
  <c r="Z341" i="55"/>
  <c r="AA341" i="55"/>
  <c r="Z559" i="55"/>
  <c r="AA559" i="55"/>
  <c r="Z611" i="55"/>
  <c r="AA611" i="55"/>
  <c r="Z685" i="55"/>
  <c r="AA685" i="55"/>
  <c r="Z687" i="55"/>
  <c r="AA687" i="55"/>
  <c r="Z199" i="55"/>
  <c r="AA199" i="55"/>
  <c r="Z720" i="55"/>
  <c r="AA720" i="55"/>
  <c r="Z509" i="55"/>
  <c r="AA509" i="55"/>
  <c r="AA169" i="55"/>
  <c r="Z169" i="55"/>
  <c r="Z177" i="55"/>
  <c r="AA177" i="55"/>
  <c r="AA156" i="55"/>
  <c r="Z156" i="55"/>
  <c r="Z886" i="55"/>
  <c r="AA886" i="55"/>
  <c r="Z78" i="55"/>
  <c r="AA78" i="55"/>
  <c r="AA656" i="55"/>
  <c r="Z656" i="55"/>
  <c r="AA519" i="55"/>
  <c r="Z519" i="55"/>
  <c r="Z338" i="55"/>
  <c r="AA338" i="55"/>
  <c r="AA916" i="55"/>
  <c r="Z916" i="55"/>
  <c r="Z740" i="55"/>
  <c r="AA740" i="55"/>
  <c r="Z100" i="55"/>
  <c r="AA100" i="55"/>
  <c r="Z165" i="55"/>
  <c r="AA165" i="55"/>
  <c r="AA598" i="55"/>
  <c r="Z598" i="55"/>
  <c r="Z254" i="55"/>
  <c r="AA254" i="55"/>
  <c r="AA53" i="55"/>
  <c r="Z53" i="55"/>
  <c r="Z864" i="55"/>
  <c r="AA864" i="55"/>
  <c r="Z498" i="55"/>
  <c r="AA498" i="55"/>
  <c r="Z518" i="55"/>
  <c r="AA518" i="55"/>
  <c r="Z649" i="55"/>
  <c r="AA649" i="55"/>
  <c r="Z480" i="55"/>
  <c r="AA480" i="55"/>
  <c r="Z344" i="55"/>
  <c r="AA344" i="55"/>
  <c r="AA451" i="55"/>
  <c r="Z451" i="55"/>
  <c r="Z506" i="55"/>
  <c r="AA506" i="55"/>
  <c r="Z716" i="55"/>
  <c r="AA716" i="55"/>
  <c r="Z622" i="55"/>
  <c r="AA622" i="55"/>
  <c r="Z791" i="55"/>
  <c r="AA791" i="55"/>
  <c r="Z397" i="55"/>
  <c r="AA397" i="55"/>
  <c r="AA955" i="55"/>
  <c r="Z955" i="55"/>
  <c r="AA527" i="55"/>
  <c r="Z527" i="55"/>
  <c r="AA463" i="55"/>
  <c r="Z463" i="55"/>
  <c r="AA427" i="55"/>
  <c r="Z427" i="55"/>
  <c r="Z200" i="55"/>
  <c r="AA200" i="55"/>
  <c r="Z251" i="55"/>
  <c r="AA251" i="55"/>
  <c r="AA832" i="55"/>
  <c r="Z832" i="55"/>
  <c r="AA603" i="55"/>
  <c r="Z603" i="55"/>
  <c r="AA782" i="55"/>
  <c r="Z782" i="55"/>
  <c r="Z490" i="55"/>
  <c r="AA490" i="55"/>
  <c r="AA173" i="55"/>
  <c r="Z173" i="55"/>
  <c r="Z470" i="55"/>
  <c r="AA470" i="55"/>
  <c r="Z947" i="55"/>
  <c r="AA947" i="55"/>
  <c r="AA838" i="55"/>
  <c r="Z838" i="55"/>
  <c r="Z418" i="55"/>
  <c r="AA418" i="55"/>
  <c r="Z908" i="55"/>
  <c r="AA908" i="55"/>
  <c r="AA785" i="55"/>
  <c r="Z785" i="55"/>
  <c r="Z105" i="55"/>
  <c r="AA105" i="55"/>
  <c r="Z195" i="55"/>
  <c r="AA195" i="55"/>
  <c r="AA764" i="55"/>
  <c r="Z764" i="55"/>
  <c r="Z553" i="55"/>
  <c r="AA553" i="55"/>
  <c r="Z263" i="55"/>
  <c r="AA263" i="55"/>
  <c r="Z612" i="55"/>
  <c r="AA612" i="55"/>
  <c r="AA794" i="55"/>
  <c r="Z794" i="55"/>
  <c r="Z420" i="55"/>
  <c r="AA420" i="55"/>
  <c r="Z196" i="55"/>
  <c r="AA196" i="55"/>
  <c r="Z526" i="55"/>
  <c r="AA526" i="55"/>
  <c r="Z757" i="55"/>
  <c r="AA757" i="55"/>
  <c r="AA943" i="55"/>
  <c r="Z943" i="55"/>
  <c r="Z331" i="55"/>
  <c r="AA331" i="55"/>
  <c r="Z388" i="55"/>
  <c r="AA388" i="55"/>
  <c r="Z823" i="55"/>
  <c r="AA823" i="55"/>
  <c r="Z94" i="55"/>
  <c r="AA94" i="55"/>
  <c r="Z957" i="55"/>
  <c r="AA957" i="55"/>
  <c r="Z339" i="55"/>
  <c r="AA339" i="55"/>
  <c r="Z43" i="55"/>
  <c r="AA43" i="55"/>
  <c r="Z751" i="55"/>
  <c r="AA751" i="55"/>
  <c r="Z322" i="55"/>
  <c r="AA322" i="55"/>
  <c r="Z717" i="55"/>
  <c r="AA717" i="55"/>
  <c r="Z48" i="55"/>
  <c r="AA48" i="55"/>
  <c r="AA253" i="55"/>
  <c r="Z253" i="55"/>
  <c r="AA713" i="55"/>
  <c r="Z713" i="55"/>
  <c r="Z188" i="55"/>
  <c r="AA188" i="55"/>
  <c r="Z26" i="55"/>
  <c r="AA26" i="55"/>
  <c r="Z626" i="55"/>
  <c r="AA626" i="55"/>
  <c r="AA742" i="55"/>
  <c r="Z742" i="55"/>
  <c r="Z91" i="55"/>
  <c r="AA91" i="55"/>
  <c r="Z981" i="55"/>
  <c r="AA981" i="55"/>
  <c r="Z118" i="55"/>
  <c r="AA118" i="55"/>
  <c r="Z913" i="55"/>
  <c r="AA913" i="55"/>
  <c r="AA770" i="55"/>
  <c r="Z770" i="55"/>
  <c r="Z624" i="55"/>
  <c r="AA624" i="55"/>
  <c r="Z273" i="55"/>
  <c r="AA273" i="55"/>
  <c r="Z681" i="55"/>
  <c r="AA681" i="55"/>
  <c r="Z122" i="55"/>
  <c r="AA122" i="55"/>
  <c r="Z176" i="55"/>
  <c r="AA176" i="55"/>
  <c r="Z860" i="55"/>
  <c r="AA860" i="55"/>
  <c r="Z34" i="55"/>
  <c r="AA34" i="55"/>
  <c r="AA630" i="55"/>
  <c r="Z630" i="55"/>
  <c r="Z304" i="55"/>
  <c r="AA304" i="55"/>
  <c r="Z853" i="55"/>
  <c r="AA853" i="55"/>
  <c r="Z647" i="55"/>
  <c r="AA647" i="55"/>
  <c r="AA249" i="55"/>
  <c r="Z249" i="55"/>
  <c r="Z140" i="55"/>
  <c r="AA140" i="55"/>
  <c r="Z569" i="55"/>
  <c r="AA569" i="55"/>
  <c r="Z232" i="55"/>
  <c r="AA232" i="55"/>
  <c r="AA927" i="55"/>
  <c r="Z927" i="55"/>
  <c r="AA229" i="55"/>
  <c r="Z229" i="55"/>
  <c r="Z978" i="55"/>
  <c r="AA978" i="55"/>
  <c r="Z496" i="55"/>
  <c r="AA496" i="55"/>
  <c r="Z361" i="55"/>
  <c r="AA361" i="55"/>
  <c r="Z954" i="55"/>
  <c r="AA954" i="55"/>
  <c r="Z471" i="55"/>
  <c r="AA471" i="55"/>
  <c r="Z99" i="55"/>
  <c r="AA99" i="55"/>
  <c r="Z182" i="55"/>
  <c r="AA182" i="55"/>
  <c r="Z807" i="55"/>
  <c r="AA807" i="55"/>
  <c r="AA568" i="55"/>
  <c r="Z568" i="55"/>
  <c r="AA245" i="55"/>
  <c r="Z245" i="55"/>
  <c r="Z183" i="55"/>
  <c r="AA183" i="55"/>
  <c r="Z81" i="55"/>
  <c r="AA81" i="55"/>
  <c r="Z440" i="55"/>
  <c r="AA440" i="55"/>
  <c r="Z883" i="55"/>
  <c r="AA883" i="55"/>
  <c r="Z847" i="55"/>
  <c r="AA847" i="55"/>
  <c r="Z445" i="55"/>
  <c r="AA445" i="55"/>
  <c r="AA252" i="55"/>
  <c r="Z252" i="55"/>
  <c r="Z160" i="55"/>
  <c r="AA160" i="55"/>
  <c r="Z781" i="55"/>
  <c r="AA781" i="55"/>
  <c r="Z93" i="55"/>
  <c r="AA93" i="55"/>
  <c r="AA749" i="55"/>
  <c r="Z749" i="55"/>
  <c r="Z71" i="55"/>
  <c r="AA71" i="55"/>
  <c r="Z289" i="55"/>
  <c r="AA289" i="55"/>
  <c r="Z848" i="55"/>
  <c r="AA848" i="55"/>
  <c r="AA846" i="55"/>
  <c r="Z846" i="55"/>
  <c r="Z786" i="55"/>
  <c r="AA786" i="55"/>
  <c r="AA380" i="55"/>
  <c r="Z380" i="55"/>
  <c r="Z494" i="55"/>
  <c r="AA494" i="55"/>
  <c r="AA579" i="55"/>
  <c r="Z579" i="55"/>
  <c r="Z831" i="55"/>
  <c r="AA831" i="55"/>
  <c r="Z861" i="55"/>
  <c r="AA861" i="55"/>
  <c r="Z108" i="55"/>
  <c r="AA108" i="55"/>
  <c r="Z178" i="55"/>
  <c r="AA178" i="55"/>
  <c r="Z688" i="55"/>
  <c r="AA688" i="55"/>
  <c r="Z869" i="55"/>
  <c r="AA869" i="55"/>
  <c r="Z878" i="55"/>
  <c r="AA878" i="55"/>
  <c r="Z98" i="55"/>
  <c r="AA98" i="55"/>
  <c r="Z292" i="55"/>
  <c r="AA292" i="55"/>
  <c r="Z259" i="55"/>
  <c r="AA259" i="55"/>
  <c r="AA734" i="55"/>
  <c r="Z734" i="55"/>
  <c r="Z667" i="55"/>
  <c r="AA667" i="55"/>
  <c r="Z349" i="55"/>
  <c r="AA349" i="55"/>
  <c r="AA407" i="55"/>
  <c r="Z407" i="55"/>
  <c r="Z462" i="55"/>
  <c r="AA462" i="55"/>
  <c r="Z830" i="55"/>
  <c r="AA830" i="55"/>
  <c r="Z141" i="55"/>
  <c r="AA141" i="55"/>
  <c r="Z893" i="55"/>
  <c r="AA893" i="55"/>
  <c r="AA818" i="55"/>
  <c r="Z818" i="55"/>
  <c r="Z404" i="55"/>
  <c r="AA404" i="55"/>
  <c r="AA939" i="55"/>
  <c r="Z939" i="55"/>
  <c r="Z417" i="55"/>
  <c r="AA417" i="55"/>
  <c r="Z219" i="55"/>
  <c r="AA219" i="55"/>
  <c r="Z84" i="55"/>
  <c r="AA84" i="55"/>
  <c r="Z606" i="55"/>
  <c r="AA606" i="55"/>
  <c r="Z59" i="55"/>
  <c r="AA59" i="55"/>
  <c r="Z57" i="55"/>
  <c r="AA57" i="55"/>
  <c r="AA367" i="55"/>
  <c r="Z367" i="55"/>
  <c r="AA778" i="55"/>
  <c r="Z778" i="55"/>
  <c r="Z290" i="55"/>
  <c r="AA290" i="55"/>
  <c r="Z594" i="55"/>
  <c r="AA594" i="55"/>
  <c r="Z488" i="55"/>
  <c r="AA488" i="55"/>
  <c r="Z82" i="55"/>
  <c r="AA82" i="55"/>
  <c r="Z767" i="55"/>
  <c r="AA767" i="55"/>
  <c r="Z152" i="55"/>
  <c r="AA152" i="55"/>
  <c r="Z147" i="55"/>
  <c r="AA147" i="55"/>
  <c r="Z129" i="55"/>
  <c r="AA129" i="55"/>
  <c r="AA809" i="55"/>
  <c r="Z809" i="55"/>
  <c r="Z373" i="55"/>
  <c r="AA373" i="55"/>
  <c r="Z815" i="55"/>
  <c r="AA815" i="55"/>
  <c r="Z542" i="55"/>
  <c r="AA542" i="55"/>
  <c r="Z489" i="55"/>
  <c r="AA489" i="55"/>
  <c r="Z127" i="55"/>
  <c r="AA127" i="55"/>
  <c r="Z319" i="55"/>
  <c r="AA319" i="55"/>
  <c r="Z923" i="55"/>
  <c r="AA923" i="55"/>
  <c r="Z729" i="55"/>
  <c r="AA729" i="55"/>
  <c r="Z190" i="55"/>
  <c r="AA190" i="55"/>
  <c r="Z175" i="55"/>
  <c r="AA175" i="55"/>
  <c r="Z655" i="55"/>
  <c r="AA655" i="55"/>
  <c r="Z215" i="55"/>
  <c r="AA215" i="55"/>
  <c r="Z530" i="55"/>
  <c r="AA530" i="55"/>
  <c r="Z570" i="55"/>
  <c r="AA570" i="55"/>
  <c r="Z69" i="55"/>
  <c r="AA69" i="55"/>
  <c r="AA395" i="55"/>
  <c r="Z395" i="55"/>
  <c r="Z328" i="55"/>
  <c r="AA328" i="55"/>
  <c r="Z863" i="55"/>
  <c r="AA863" i="55"/>
  <c r="Z351" i="55"/>
  <c r="AA351" i="55"/>
  <c r="Z748" i="55"/>
  <c r="AA748" i="55"/>
  <c r="Z577" i="55"/>
  <c r="AA577" i="55"/>
  <c r="Z876" i="55"/>
  <c r="AA876" i="55"/>
  <c r="Z890" i="55"/>
  <c r="AA890" i="55"/>
  <c r="Z966" i="55"/>
  <c r="AA966" i="55"/>
  <c r="Z557" i="55"/>
  <c r="AA557" i="55"/>
  <c r="AA797" i="55"/>
  <c r="Z797" i="55"/>
  <c r="AA500" i="55"/>
  <c r="Z500" i="55"/>
  <c r="AA89" i="55"/>
  <c r="Z89" i="55"/>
  <c r="Z61" i="55"/>
  <c r="AA61" i="55"/>
  <c r="Z602" i="55"/>
  <c r="AA602" i="55"/>
  <c r="Z434" i="55"/>
  <c r="AA434" i="55"/>
  <c r="Z171" i="55"/>
  <c r="AA171" i="55"/>
  <c r="Z449" i="55"/>
  <c r="AA449" i="55"/>
  <c r="Z900" i="55"/>
  <c r="AA900" i="55"/>
  <c r="Z929" i="55"/>
  <c r="AA929" i="55"/>
  <c r="Z907" i="55"/>
  <c r="AA907" i="55"/>
  <c r="Z400" i="55"/>
  <c r="AA400" i="55"/>
  <c r="Z450" i="55"/>
  <c r="AA450" i="55"/>
  <c r="Z409" i="55"/>
  <c r="AA409" i="55"/>
  <c r="Z76" i="55"/>
  <c r="AA76" i="55"/>
  <c r="Z673" i="55"/>
  <c r="AA673" i="55"/>
  <c r="Z452" i="55"/>
  <c r="AA452" i="55"/>
  <c r="Z154" i="55"/>
  <c r="AA154" i="55"/>
  <c r="Z131" i="55"/>
  <c r="AA131" i="55"/>
  <c r="Z938" i="55"/>
  <c r="AA938" i="55"/>
  <c r="AA951" i="55"/>
  <c r="Z951" i="55"/>
  <c r="Z67" i="55"/>
  <c r="AA67" i="55"/>
  <c r="Z476" i="55"/>
  <c r="AA476" i="55"/>
  <c r="Z258" i="55"/>
  <c r="AA258" i="55"/>
  <c r="Z425" i="55"/>
  <c r="AA425" i="55"/>
  <c r="Z922" i="55"/>
  <c r="AA922" i="55"/>
  <c r="Z369" i="55"/>
  <c r="AA369" i="55"/>
  <c r="Z363" i="55"/>
  <c r="AA363" i="55"/>
  <c r="Z226" i="55"/>
  <c r="AA226" i="55"/>
  <c r="Z402" i="55"/>
  <c r="AA402" i="55"/>
  <c r="Z432" i="55"/>
  <c r="AA432" i="55"/>
  <c r="Z769" i="55"/>
  <c r="AA769" i="55"/>
  <c r="Z87" i="55"/>
  <c r="AA87" i="55"/>
  <c r="Z135" i="55"/>
  <c r="AA135" i="55"/>
  <c r="Z942" i="55"/>
  <c r="AA942" i="55"/>
  <c r="Z423" i="55"/>
  <c r="AA423" i="55"/>
  <c r="AA967" i="55"/>
  <c r="Z967" i="55"/>
  <c r="Z40" i="55"/>
  <c r="AA40" i="55"/>
  <c r="Z945" i="55"/>
  <c r="AA945" i="55"/>
  <c r="Z877" i="55"/>
  <c r="AA877" i="55"/>
  <c r="Z206" i="55"/>
  <c r="AA206" i="55"/>
  <c r="AA814" i="55"/>
  <c r="Z814" i="55"/>
  <c r="AA880" i="55"/>
  <c r="Z880" i="55"/>
  <c r="Z399" i="55"/>
  <c r="AA399" i="55"/>
  <c r="Z430" i="55"/>
  <c r="AA430" i="55"/>
  <c r="Z919" i="55"/>
  <c r="AA919" i="55"/>
  <c r="Z493" i="55"/>
  <c r="AA493" i="55"/>
  <c r="AA730" i="55"/>
  <c r="Z730" i="55"/>
  <c r="Z619" i="55"/>
  <c r="AA619" i="55"/>
  <c r="Z618" i="55"/>
  <c r="AA618" i="55"/>
  <c r="AA359" i="55"/>
  <c r="Z359" i="55"/>
  <c r="Z268" i="55"/>
  <c r="AA268" i="55"/>
  <c r="Z546" i="55"/>
  <c r="AA546" i="55"/>
  <c r="AA342" i="55"/>
  <c r="Z342" i="55"/>
  <c r="Z744" i="55"/>
  <c r="AA744" i="55"/>
  <c r="AA642" i="55"/>
  <c r="Z642" i="55"/>
  <c r="Z760" i="55"/>
  <c r="AA760" i="55"/>
  <c r="Z288" i="55"/>
  <c r="AA288" i="55"/>
  <c r="Z849" i="55"/>
  <c r="AA849" i="55"/>
  <c r="Z736" i="55"/>
  <c r="AA736" i="55"/>
  <c r="Z522" i="55"/>
  <c r="AA522" i="55"/>
  <c r="AA935" i="55"/>
  <c r="Z935" i="55"/>
  <c r="Z243" i="55"/>
  <c r="AA243" i="55"/>
  <c r="Z136" i="55"/>
  <c r="AA136" i="55"/>
  <c r="AA632" i="55"/>
  <c r="Z632" i="55"/>
  <c r="Z382" i="55"/>
  <c r="AA382" i="55"/>
  <c r="Z852" i="55"/>
  <c r="AA852" i="55"/>
  <c r="AA695" i="55"/>
  <c r="Z695" i="55"/>
  <c r="Z50" i="55"/>
  <c r="AA50" i="55"/>
  <c r="Z261" i="55"/>
  <c r="AA261" i="55"/>
  <c r="AA113" i="55"/>
  <c r="Z113" i="55"/>
  <c r="Z960" i="55"/>
  <c r="AA960" i="55"/>
  <c r="Z621" i="55"/>
  <c r="AA621" i="55"/>
  <c r="Z230" i="55"/>
  <c r="AA230" i="55"/>
  <c r="AA584" i="55"/>
  <c r="Z584" i="55"/>
  <c r="Z723" i="55"/>
  <c r="AA723" i="55"/>
  <c r="Z250" i="55"/>
  <c r="AA250" i="55"/>
  <c r="AA627" i="55"/>
  <c r="Z627" i="55"/>
  <c r="Z472" i="55"/>
  <c r="AA472" i="55"/>
  <c r="Z887" i="55"/>
  <c r="AA887" i="55"/>
  <c r="Z595" i="55"/>
  <c r="AA595" i="55"/>
  <c r="Z697" i="55"/>
  <c r="AA697" i="55"/>
  <c r="AA959" i="55"/>
  <c r="Z959" i="55"/>
  <c r="AA149" i="55"/>
  <c r="Z149" i="55"/>
  <c r="Z283" i="55"/>
  <c r="AA283" i="55"/>
  <c r="Z396" i="55"/>
  <c r="AA396" i="55"/>
  <c r="Z969" i="55"/>
  <c r="AA969" i="55"/>
  <c r="Z32" i="55"/>
  <c r="AA32" i="55"/>
  <c r="Z635" i="55"/>
  <c r="AA635" i="55"/>
  <c r="Z236" i="55"/>
  <c r="AA236" i="55"/>
  <c r="Z104" i="55"/>
  <c r="AA104" i="55"/>
  <c r="Z114" i="55"/>
  <c r="AA114" i="55"/>
  <c r="Z416" i="55"/>
  <c r="AA416" i="55"/>
  <c r="Z47" i="55"/>
  <c r="AA47" i="55"/>
  <c r="Z275" i="55"/>
  <c r="AA275" i="55"/>
  <c r="AA842" i="55"/>
  <c r="Z842" i="55"/>
  <c r="AA669" i="55"/>
  <c r="Z669" i="55"/>
  <c r="Z376" i="55"/>
  <c r="AA376" i="55"/>
  <c r="Z191" i="55"/>
  <c r="AA191" i="55"/>
  <c r="AA663" i="55"/>
  <c r="Z663" i="55"/>
  <c r="Z510" i="55"/>
  <c r="AA510" i="55"/>
  <c r="AA664" i="55"/>
  <c r="Z664" i="55"/>
  <c r="AA403" i="55"/>
  <c r="Z403" i="55"/>
  <c r="AA586" i="55"/>
  <c r="Z586" i="55"/>
  <c r="AA812" i="55"/>
  <c r="Z812" i="55"/>
  <c r="AA826" i="55"/>
  <c r="Z826" i="55"/>
  <c r="Z52" i="55"/>
  <c r="AA52" i="55"/>
  <c r="Z381" i="55"/>
  <c r="AA381" i="55"/>
  <c r="Z35" i="55"/>
  <c r="AA35" i="55"/>
  <c r="Z657" i="55"/>
  <c r="AA657" i="55"/>
  <c r="Z851" i="55"/>
  <c r="AA851" i="55"/>
  <c r="AA555" i="55"/>
  <c r="Z555" i="55"/>
  <c r="Z192" i="55"/>
  <c r="AA192" i="55"/>
  <c r="AA752" i="55"/>
  <c r="Z752" i="55"/>
  <c r="Z637" i="55"/>
  <c r="AA637" i="55"/>
  <c r="AA217" i="55"/>
  <c r="Z217" i="55"/>
  <c r="Z533" i="55"/>
  <c r="AA533" i="55"/>
  <c r="Z270" i="55"/>
  <c r="AA270" i="55"/>
  <c r="AA197" i="55"/>
  <c r="Z197" i="55"/>
  <c r="Z310" i="55"/>
  <c r="AA310" i="55"/>
  <c r="Z27" i="55"/>
  <c r="AA27" i="55"/>
  <c r="AA931" i="55"/>
  <c r="Z931" i="55"/>
  <c r="AA850" i="55"/>
  <c r="Z850" i="55"/>
  <c r="Z703" i="55"/>
  <c r="AA703" i="55"/>
  <c r="Z119" i="55"/>
  <c r="AA119" i="55"/>
  <c r="Z925" i="55"/>
  <c r="AA925" i="55"/>
  <c r="Z393" i="55"/>
  <c r="AA393" i="55"/>
  <c r="Z609" i="55"/>
  <c r="AA609" i="55"/>
  <c r="Z260" i="55"/>
  <c r="AA260" i="55"/>
  <c r="Z203" i="55"/>
  <c r="AA203" i="55"/>
  <c r="Z228" i="55"/>
  <c r="AA228" i="55"/>
  <c r="Z116" i="55"/>
  <c r="AA116" i="55"/>
  <c r="Z297" i="55"/>
  <c r="AA297" i="55"/>
  <c r="AA640" i="55"/>
  <c r="Z640" i="55"/>
  <c r="Z513" i="55"/>
  <c r="AA513" i="55"/>
  <c r="Z473" i="55"/>
  <c r="AA473" i="55"/>
  <c r="Z600" i="55"/>
  <c r="AA600" i="55"/>
  <c r="Z246" i="55"/>
  <c r="AA246" i="55"/>
  <c r="Z837" i="55"/>
  <c r="AA837" i="55"/>
  <c r="Z68" i="55"/>
  <c r="AA68" i="55"/>
  <c r="Z187" i="55"/>
  <c r="AA187" i="55"/>
  <c r="Z485" i="55"/>
  <c r="AA485" i="55"/>
  <c r="Z495" i="55"/>
  <c r="AA495" i="55"/>
  <c r="Z843" i="55"/>
  <c r="AA843" i="55"/>
  <c r="Z448" i="55"/>
  <c r="AA448" i="55"/>
  <c r="Z333" i="55"/>
  <c r="AA333" i="55"/>
  <c r="Z516" i="55"/>
  <c r="AA516" i="55"/>
  <c r="AA479" i="55"/>
  <c r="Z479" i="55"/>
  <c r="Z58" i="55"/>
  <c r="AA58" i="55"/>
  <c r="AA800" i="55"/>
  <c r="Z800" i="55"/>
  <c r="Z316" i="55"/>
  <c r="AA316" i="55"/>
  <c r="Z456" i="55"/>
  <c r="AA456" i="55"/>
  <c r="AA773" i="55"/>
  <c r="Z773" i="55"/>
  <c r="AA802" i="55"/>
  <c r="Z802" i="55"/>
  <c r="Z593" i="55"/>
  <c r="AA593" i="55"/>
  <c r="Z158" i="55"/>
  <c r="AA158" i="55"/>
  <c r="Z554" i="55"/>
  <c r="AA554" i="55"/>
  <c r="Z279" i="55"/>
  <c r="AA279" i="55"/>
  <c r="Z573" i="55"/>
  <c r="AA573" i="55"/>
  <c r="AA209" i="55"/>
  <c r="Z209" i="55"/>
  <c r="Z109" i="55"/>
  <c r="AA109" i="55"/>
  <c r="Z198" i="55"/>
  <c r="AA198" i="55"/>
  <c r="Z679" i="55"/>
  <c r="AA679" i="55"/>
  <c r="AA572" i="55"/>
  <c r="Z572" i="55"/>
  <c r="Z775" i="55"/>
  <c r="AA775" i="55"/>
  <c r="Z345" i="55"/>
  <c r="AA345" i="55"/>
  <c r="Z63" i="55"/>
  <c r="AA63" i="55"/>
  <c r="Z262" i="55"/>
  <c r="AA262" i="55"/>
  <c r="Z295" i="55"/>
  <c r="AA295" i="55"/>
  <c r="Z66" i="55"/>
  <c r="AA66" i="55"/>
  <c r="Z525" i="55"/>
  <c r="AA525" i="55"/>
  <c r="Z266" i="55"/>
  <c r="AA266" i="55"/>
  <c r="Z502" i="55"/>
  <c r="AA502" i="55"/>
  <c r="Z793" i="55"/>
  <c r="AA793" i="55"/>
  <c r="Z917" i="55"/>
  <c r="AA917" i="55"/>
  <c r="Z484" i="55"/>
  <c r="AA484" i="55"/>
  <c r="AA548" i="55"/>
  <c r="Z548" i="55"/>
  <c r="Z111" i="55"/>
  <c r="AA111" i="55"/>
  <c r="Z936" i="55"/>
  <c r="AA936" i="55"/>
  <c r="AA347" i="55"/>
  <c r="Z347" i="55"/>
  <c r="Z256" i="55"/>
  <c r="AA256" i="55"/>
  <c r="Z646" i="55"/>
  <c r="AA646" i="55"/>
  <c r="Z326" i="55"/>
  <c r="AA326" i="55"/>
  <c r="Z841" i="55"/>
  <c r="AA841" i="55"/>
  <c r="AA482" i="55"/>
  <c r="Z482" i="55"/>
  <c r="Z540" i="55"/>
  <c r="AA540" i="55"/>
  <c r="Z227" i="55"/>
  <c r="AA227" i="55"/>
  <c r="Z126" i="55"/>
  <c r="AA126" i="55"/>
  <c r="Z672" i="55"/>
  <c r="AA672" i="55"/>
  <c r="Z974" i="55"/>
  <c r="AA974" i="55"/>
  <c r="Z780" i="55"/>
  <c r="AA780" i="55"/>
  <c r="Z92" i="55"/>
  <c r="AA92" i="55"/>
  <c r="Z157" i="55"/>
  <c r="AA157" i="55"/>
  <c r="AA718" i="55"/>
  <c r="Z718" i="55"/>
  <c r="Z499" i="55"/>
  <c r="AA499" i="55"/>
  <c r="AA101" i="55"/>
  <c r="Z101" i="55"/>
  <c r="Z789" i="55"/>
  <c r="AA789" i="55"/>
  <c r="AA766" i="55"/>
  <c r="Z766" i="55"/>
  <c r="Z37" i="55"/>
  <c r="AA37" i="55"/>
  <c r="AA644" i="55"/>
  <c r="Z644" i="55"/>
  <c r="Z822" i="55"/>
  <c r="AA822" i="55"/>
  <c r="Z629" i="55"/>
  <c r="AA629" i="55"/>
  <c r="Z357" i="55"/>
  <c r="AA357" i="55"/>
  <c r="Z356" i="55"/>
  <c r="AA356" i="55"/>
  <c r="Z691" i="55"/>
  <c r="AA691" i="55"/>
  <c r="Z276" i="55"/>
  <c r="AA276" i="55"/>
  <c r="Z727" i="55"/>
  <c r="AA727" i="55"/>
  <c r="Z285" i="55"/>
  <c r="AA285" i="55"/>
  <c r="Z128" i="55"/>
  <c r="AA128" i="55"/>
  <c r="AA605" i="55"/>
  <c r="Z605" i="55"/>
  <c r="Z475" i="55"/>
  <c r="AA475" i="55"/>
  <c r="Z971" i="55"/>
  <c r="AA971" i="55"/>
  <c r="Z464" i="55"/>
  <c r="AA464" i="55"/>
  <c r="AA512" i="55"/>
  <c r="Z512" i="55"/>
  <c r="Z184" i="55"/>
  <c r="AA184" i="55"/>
  <c r="Z74" i="55"/>
  <c r="AA74" i="55"/>
  <c r="Z610" i="55"/>
  <c r="AA610" i="55"/>
  <c r="AA652" i="55"/>
  <c r="Z652" i="55"/>
  <c r="AA282" i="55"/>
  <c r="Z282" i="55"/>
  <c r="AA507" i="55"/>
  <c r="Z507" i="55"/>
  <c r="Z811" i="55"/>
  <c r="AA811" i="55"/>
  <c r="Z745" i="55"/>
  <c r="AA745" i="55"/>
  <c r="AA492" i="55"/>
  <c r="Z492" i="55"/>
  <c r="Z792" i="55"/>
  <c r="AA792" i="55"/>
  <c r="AA455" i="55"/>
  <c r="Z455" i="55"/>
  <c r="Z49" i="55"/>
  <c r="AA49" i="55"/>
  <c r="Z692" i="55"/>
  <c r="AA692" i="55"/>
  <c r="Z859" i="55"/>
  <c r="AA859" i="55"/>
  <c r="Z889" i="55"/>
  <c r="AA889" i="55"/>
  <c r="AA371" i="55"/>
  <c r="Z371" i="55"/>
  <c r="Z324" i="55"/>
  <c r="AA324" i="55"/>
  <c r="Z565" i="55"/>
  <c r="AA565" i="55"/>
  <c r="AA596" i="55"/>
  <c r="Z596" i="55"/>
  <c r="Z899" i="55"/>
  <c r="AA899" i="55"/>
  <c r="Z962" i="55"/>
  <c r="AA962" i="55"/>
  <c r="Z222" i="55"/>
  <c r="AA222" i="55"/>
  <c r="Z337" i="55"/>
  <c r="AA337" i="55"/>
  <c r="Z442" i="55"/>
  <c r="AA442" i="55"/>
  <c r="Z972" i="55"/>
  <c r="AA972" i="55"/>
  <c r="Z75" i="55"/>
  <c r="AA75" i="55"/>
  <c r="Z314" i="55"/>
  <c r="AA314" i="55"/>
  <c r="Z970" i="55"/>
  <c r="AA970" i="55"/>
  <c r="Z411" i="55"/>
  <c r="AA411" i="55"/>
  <c r="Z909" i="55"/>
  <c r="AA909" i="55"/>
  <c r="Z210" i="55"/>
  <c r="AA210" i="55"/>
  <c r="AA891" i="55"/>
  <c r="Z891" i="55"/>
  <c r="AA788" i="55"/>
  <c r="Z788" i="55"/>
  <c r="Z798" i="55"/>
  <c r="AA798" i="55"/>
  <c r="AA474" i="55"/>
  <c r="Z474" i="55"/>
  <c r="AA354" i="55"/>
  <c r="Z354" i="55"/>
  <c r="Z977" i="55"/>
  <c r="AA977" i="55"/>
  <c r="Z406" i="55"/>
  <c r="AA406" i="55"/>
  <c r="Z783" i="55"/>
  <c r="AA783" i="55"/>
  <c r="Z712" i="55"/>
  <c r="AA712" i="55"/>
  <c r="AA355" i="55"/>
  <c r="Z355" i="55"/>
  <c r="AA698" i="55"/>
  <c r="Z698" i="55"/>
  <c r="Z73" i="55"/>
  <c r="AA73" i="55"/>
  <c r="Z317" i="55"/>
  <c r="AA317" i="55"/>
  <c r="Z835" i="55"/>
  <c r="AA835" i="55"/>
  <c r="Z365" i="55"/>
  <c r="AA365" i="55"/>
  <c r="Z578" i="55"/>
  <c r="AA578" i="55"/>
  <c r="Z558" i="55"/>
  <c r="AA558" i="55"/>
  <c r="Z968" i="55"/>
  <c r="AA968" i="55"/>
  <c r="Z762" i="55"/>
  <c r="AA762" i="55"/>
  <c r="Z54" i="55"/>
  <c r="AA54" i="55"/>
  <c r="AA77" i="55"/>
  <c r="Z77" i="55"/>
  <c r="Z941" i="55"/>
  <c r="AA941" i="55"/>
  <c r="AA874" i="55"/>
  <c r="Z874" i="55"/>
  <c r="Z662" i="55"/>
  <c r="AA662" i="55"/>
  <c r="Z313" i="55"/>
  <c r="AA313" i="55"/>
  <c r="Z571" i="55"/>
  <c r="AA571" i="55"/>
  <c r="Z378" i="55"/>
  <c r="AA378" i="55"/>
  <c r="Z90" i="55"/>
  <c r="AA90" i="55"/>
  <c r="Z353" i="55"/>
  <c r="AA353" i="55"/>
  <c r="Z55" i="55"/>
  <c r="AA55" i="55"/>
  <c r="Z132" i="55"/>
  <c r="AA132" i="55"/>
  <c r="AA233" i="55"/>
  <c r="Z233" i="55"/>
  <c r="AA701" i="55"/>
  <c r="Z701" i="55"/>
  <c r="Z107" i="55"/>
  <c r="AA107" i="55"/>
  <c r="Z617" i="55"/>
  <c r="AA617" i="55"/>
  <c r="AA952" i="55"/>
  <c r="Z952" i="55"/>
  <c r="Z483" i="55"/>
  <c r="AA483" i="55"/>
  <c r="AA634" i="55"/>
  <c r="Z634" i="55"/>
  <c r="Z375" i="55"/>
  <c r="AA375" i="55"/>
  <c r="Z726" i="55"/>
  <c r="AA726" i="55"/>
  <c r="Z865" i="55"/>
  <c r="AA865" i="55"/>
  <c r="Z102" i="55"/>
  <c r="AA102" i="55"/>
  <c r="AA185" i="55"/>
  <c r="Z185" i="55"/>
  <c r="AA161" i="55"/>
  <c r="Z161" i="55"/>
  <c r="Z801" i="55"/>
  <c r="AA801" i="55"/>
  <c r="Z581" i="55"/>
  <c r="AA581" i="55"/>
  <c r="AA686" i="55"/>
  <c r="Z686" i="55"/>
  <c r="Z674" i="55"/>
  <c r="AA674" i="55"/>
  <c r="AA487" i="55"/>
  <c r="Z487" i="55"/>
  <c r="Z291" i="55"/>
  <c r="AA291" i="55"/>
  <c r="Z214" i="55"/>
  <c r="AA214" i="55"/>
  <c r="AA567" i="55"/>
  <c r="Z567" i="55"/>
  <c r="AA743" i="55"/>
  <c r="Z743" i="55"/>
  <c r="Z155" i="55"/>
  <c r="AA155" i="55"/>
  <c r="Z96" i="55"/>
  <c r="AA96" i="55"/>
  <c r="Z756" i="55"/>
  <c r="AA756" i="55"/>
  <c r="AA257" i="55"/>
  <c r="Z257" i="55"/>
  <c r="Z237" i="55"/>
  <c r="AA237" i="55"/>
  <c r="Z466" i="55"/>
  <c r="AA466" i="55"/>
  <c r="Z336" i="55"/>
  <c r="AA336" i="55"/>
  <c r="AA221" i="55"/>
  <c r="Z221" i="55"/>
  <c r="AA580" i="55"/>
  <c r="Z580" i="55"/>
  <c r="Z816" i="55"/>
  <c r="AA816" i="55"/>
  <c r="AA431" i="55"/>
  <c r="Z431" i="55"/>
  <c r="Z167" i="55"/>
  <c r="AA167" i="55"/>
  <c r="Z753" i="55"/>
  <c r="AA753" i="55"/>
  <c r="Z930" i="55"/>
  <c r="AA930" i="55"/>
  <c r="Z150" i="55"/>
  <c r="AA150" i="55"/>
  <c r="Z613" i="55"/>
  <c r="AA613" i="55"/>
  <c r="AA803" i="55"/>
  <c r="Z803" i="55"/>
  <c r="Z332" i="55"/>
  <c r="AA332" i="55"/>
  <c r="Z133" i="55"/>
  <c r="AA133" i="55"/>
  <c r="AA29" i="55"/>
  <c r="Z29" i="55"/>
  <c r="AA193" i="55"/>
  <c r="Z193" i="55"/>
  <c r="AA810" i="55"/>
  <c r="Z810" i="55"/>
  <c r="Z551" i="55"/>
  <c r="AA551" i="55"/>
  <c r="Z690" i="55"/>
  <c r="AA690" i="55"/>
  <c r="Z429" i="55"/>
  <c r="AA429" i="55"/>
  <c r="Z202" i="55"/>
  <c r="AA202" i="55"/>
  <c r="Z884" i="55"/>
  <c r="AA884" i="55"/>
  <c r="Z871" i="55"/>
  <c r="AA871" i="55"/>
  <c r="Z696" i="55"/>
  <c r="AA696" i="55"/>
  <c r="Z888" i="55"/>
  <c r="AA888" i="55"/>
  <c r="Z286" i="55"/>
  <c r="AA286" i="55"/>
  <c r="Z234" i="55"/>
  <c r="AA234" i="55"/>
  <c r="AA277" i="55"/>
  <c r="Z277" i="55"/>
  <c r="Z144" i="55"/>
  <c r="AA144" i="55"/>
  <c r="Z721" i="55"/>
  <c r="AA721" i="55"/>
  <c r="Z481" i="55"/>
  <c r="AA481" i="55"/>
  <c r="AA725" i="55"/>
  <c r="Z725" i="55"/>
  <c r="Z564" i="55"/>
  <c r="AA564" i="55"/>
  <c r="AA269" i="55"/>
  <c r="Z269" i="55"/>
  <c r="Z607" i="55"/>
  <c r="AA607" i="55"/>
  <c r="Z384" i="55"/>
  <c r="AA384" i="55"/>
  <c r="Z194" i="55"/>
  <c r="AA194" i="55"/>
  <c r="Z873" i="55"/>
  <c r="AA873" i="55"/>
  <c r="Z272" i="55"/>
  <c r="AA272" i="55"/>
  <c r="Z867" i="55"/>
  <c r="AA867" i="55"/>
  <c r="Z933" i="55"/>
  <c r="AA933" i="55"/>
  <c r="Z437" i="55"/>
  <c r="AA437" i="55"/>
  <c r="AA940" i="55"/>
  <c r="Z940" i="55"/>
  <c r="Z121" i="55"/>
  <c r="AA121" i="55"/>
  <c r="Z715" i="55"/>
  <c r="AA715" i="55"/>
  <c r="AA574" i="55"/>
  <c r="Z574" i="55"/>
  <c r="AA719" i="55"/>
  <c r="Z719" i="55"/>
  <c r="Z186" i="55"/>
  <c r="AA186" i="55"/>
  <c r="Z633" i="55"/>
  <c r="AA633" i="55"/>
  <c r="Z377" i="55"/>
  <c r="AA377" i="55"/>
  <c r="Z56" i="55"/>
  <c r="AA56" i="55"/>
  <c r="AA868" i="55"/>
  <c r="Z868" i="55"/>
  <c r="Z944" i="55"/>
  <c r="AA944" i="55"/>
  <c r="Z83" i="55"/>
  <c r="AA83" i="55"/>
  <c r="Z401" i="55"/>
  <c r="AA401" i="55"/>
  <c r="Z309" i="55"/>
  <c r="AA309" i="55"/>
  <c r="Z503" i="55"/>
  <c r="AA503" i="55"/>
  <c r="Z645" i="55"/>
  <c r="AA645" i="55"/>
  <c r="Z123" i="55"/>
  <c r="AA123" i="55"/>
  <c r="AA335" i="55"/>
  <c r="Z335" i="55"/>
  <c r="Z329" i="55"/>
  <c r="AA329" i="55"/>
  <c r="AA758" i="55"/>
  <c r="Z758" i="55"/>
  <c r="Z145" i="55"/>
  <c r="AA145" i="55"/>
  <c r="Z64" i="55"/>
  <c r="AA64" i="55"/>
  <c r="Z771" i="55"/>
  <c r="AA771" i="55"/>
  <c r="Z914" i="55"/>
  <c r="AA914" i="55"/>
  <c r="Z738" i="55"/>
  <c r="AA738" i="55"/>
  <c r="Z31" i="55"/>
  <c r="AA31" i="55"/>
  <c r="Z364" i="55"/>
  <c r="AA364" i="55"/>
  <c r="AA689" i="55"/>
  <c r="Z689" i="55"/>
  <c r="Z320" i="55"/>
  <c r="AA320" i="55"/>
  <c r="AA904" i="55"/>
  <c r="Z904" i="55"/>
  <c r="Z819" i="55"/>
  <c r="AA819" i="55"/>
  <c r="Z934" i="55"/>
  <c r="AA934" i="55"/>
  <c r="Z534" i="55"/>
  <c r="AA534" i="55"/>
  <c r="Z857" i="55"/>
  <c r="AA857" i="55"/>
  <c r="Z386" i="55"/>
  <c r="AA386" i="55"/>
  <c r="AA592" i="55"/>
  <c r="Z592" i="55"/>
  <c r="Z918" i="55"/>
  <c r="AA918" i="55"/>
  <c r="Z599" i="55"/>
  <c r="AA599" i="55"/>
  <c r="Z436" i="55"/>
  <c r="AA436" i="55"/>
  <c r="Z208" i="55"/>
  <c r="AA208" i="55"/>
  <c r="AA318" i="55"/>
  <c r="Z318" i="55"/>
  <c r="Z454" i="55"/>
  <c r="AA454" i="55"/>
  <c r="Z514" i="55"/>
  <c r="AA514" i="55"/>
  <c r="Z392" i="55"/>
  <c r="AA392" i="55"/>
  <c r="Z60" i="55"/>
  <c r="AA60" i="55"/>
  <c r="Z552" i="55"/>
  <c r="AA552" i="55"/>
  <c r="Z201" i="55"/>
  <c r="AA201" i="55"/>
  <c r="Z390" i="55"/>
  <c r="AA390" i="55"/>
  <c r="Z435" i="55"/>
  <c r="AA435" i="55"/>
  <c r="Z732" i="55"/>
  <c r="AA732" i="55"/>
  <c r="Z172" i="55"/>
  <c r="AA172" i="55"/>
  <c r="Z795" i="55"/>
  <c r="AA795" i="55"/>
  <c r="AA181" i="55"/>
  <c r="Z181" i="55"/>
  <c r="Z896" i="55"/>
  <c r="AA896" i="55"/>
  <c r="Z920" i="55"/>
  <c r="AA920" i="55"/>
  <c r="Z486" i="55"/>
  <c r="AA486" i="55"/>
  <c r="AA443" i="55"/>
  <c r="Z443" i="55"/>
  <c r="Z97" i="55"/>
  <c r="AA97" i="55"/>
  <c r="Z346" i="55"/>
  <c r="AA346" i="55"/>
  <c r="Z426" i="55"/>
  <c r="AA426" i="55"/>
  <c r="Z389" i="55"/>
  <c r="AA389" i="55"/>
  <c r="Z465" i="55"/>
  <c r="AA465" i="55"/>
  <c r="Z508" i="55"/>
  <c r="AA508" i="55"/>
  <c r="Z895" i="55"/>
  <c r="AA895" i="55"/>
  <c r="Z447" i="55"/>
  <c r="AA447" i="55"/>
  <c r="Z747" i="55"/>
  <c r="AA747" i="55"/>
  <c r="AA976" i="55"/>
  <c r="Z976" i="55"/>
  <c r="AA536" i="55"/>
  <c r="Z536" i="55"/>
  <c r="Z72" i="55"/>
  <c r="AA72" i="55"/>
  <c r="Z866" i="55"/>
  <c r="AA866" i="55"/>
  <c r="Z148" i="55"/>
  <c r="AA148" i="55"/>
  <c r="Z937" i="55"/>
  <c r="AA937" i="55"/>
  <c r="AA903" i="55"/>
  <c r="Z903" i="55"/>
  <c r="Z130" i="55"/>
  <c r="AA130" i="55"/>
  <c r="Z779" i="55"/>
  <c r="AA779" i="55"/>
  <c r="Z51" i="55"/>
  <c r="AA51" i="55"/>
  <c r="Z134" i="55"/>
  <c r="AA134" i="55"/>
  <c r="Z444" i="55"/>
  <c r="AA444" i="55"/>
  <c r="Z340" i="55"/>
  <c r="AA340" i="55"/>
  <c r="Z702" i="55"/>
  <c r="AA702" i="55"/>
  <c r="Z180" i="55"/>
  <c r="AA180" i="55"/>
  <c r="Z980" i="55"/>
  <c r="AA980" i="55"/>
  <c r="Z855" i="55"/>
  <c r="AA855" i="55"/>
  <c r="Z370" i="55"/>
  <c r="AA370" i="55"/>
  <c r="Z372" i="55"/>
  <c r="AA372" i="55"/>
  <c r="Z724" i="55"/>
  <c r="AA724" i="55"/>
  <c r="AA168" i="55"/>
  <c r="Z168" i="55"/>
  <c r="Z110" i="55"/>
  <c r="AA110" i="55"/>
  <c r="Z360" i="55"/>
  <c r="AA360" i="55"/>
  <c r="Z699" i="55"/>
  <c r="AA699" i="55"/>
  <c r="Z408" i="55"/>
  <c r="AA408" i="55"/>
  <c r="Z660" i="55"/>
  <c r="AA660" i="55"/>
  <c r="Z44" i="55"/>
  <c r="AA44" i="55"/>
  <c r="Z973" i="55"/>
  <c r="AA973" i="55"/>
  <c r="Z312" i="55"/>
  <c r="AA312" i="55"/>
  <c r="AA515" i="55"/>
  <c r="Z515" i="55"/>
  <c r="Z950" i="55"/>
  <c r="AA950" i="55"/>
  <c r="Z30" i="55"/>
  <c r="AA30" i="55"/>
  <c r="Z693" i="55"/>
  <c r="AA693" i="55"/>
  <c r="Z414" i="55"/>
  <c r="AA414" i="55"/>
  <c r="AA242" i="55"/>
  <c r="Z242" i="55"/>
  <c r="Z325" i="55"/>
  <c r="AA325" i="55"/>
  <c r="Z912" i="55"/>
  <c r="AA912" i="55"/>
  <c r="Z497" i="55"/>
  <c r="AA497" i="55"/>
  <c r="AA491" i="55"/>
  <c r="Z491" i="55"/>
  <c r="Z870" i="55"/>
  <c r="AA870" i="55"/>
  <c r="AA722" i="55"/>
  <c r="Z722" i="55"/>
  <c r="AA641" i="55"/>
  <c r="Z641" i="55"/>
  <c r="Z223" i="55"/>
  <c r="AA223" i="55"/>
  <c r="Z813" i="55"/>
  <c r="AA813" i="55"/>
  <c r="Z765" i="55"/>
  <c r="AA765" i="55"/>
  <c r="Z956" i="55"/>
  <c r="AA956" i="55"/>
  <c r="Z296" i="55"/>
  <c r="AA296" i="55"/>
  <c r="Z829" i="55"/>
  <c r="AA829" i="55"/>
  <c r="AA651" i="55"/>
  <c r="Z651" i="55"/>
  <c r="Z601" i="55"/>
  <c r="AA601" i="55"/>
  <c r="Z924" i="55"/>
  <c r="AA924" i="55"/>
  <c r="Z170" i="55"/>
  <c r="AA170" i="55"/>
  <c r="Z438" i="55"/>
  <c r="AA438" i="55"/>
  <c r="Z676" i="55"/>
  <c r="AA676" i="55"/>
  <c r="AA858" i="55"/>
  <c r="Z858" i="55"/>
  <c r="Z763" i="55"/>
  <c r="AA763" i="55"/>
  <c r="Z528" i="55"/>
  <c r="AA528" i="55"/>
  <c r="Z85" i="55"/>
  <c r="AA85" i="55"/>
  <c r="Z590" i="55"/>
  <c r="AA590" i="55"/>
  <c r="Z561" i="55"/>
  <c r="AA561" i="55"/>
  <c r="Z207" i="55"/>
  <c r="AA207" i="55"/>
  <c r="Z115" i="55"/>
  <c r="AA115" i="55"/>
  <c r="Z457" i="55"/>
  <c r="AA457" i="55"/>
  <c r="Z576" i="55"/>
  <c r="AA576" i="55"/>
  <c r="AA204" i="55"/>
  <c r="Z204" i="55"/>
  <c r="AA560" i="55"/>
  <c r="Z560" i="55"/>
  <c r="Z39" i="55"/>
  <c r="AA39" i="55"/>
  <c r="Z882" i="55"/>
  <c r="AA882" i="55"/>
  <c r="Z739" i="55"/>
  <c r="AA739" i="55"/>
  <c r="Z872" i="55"/>
  <c r="AA872" i="55"/>
  <c r="Z461" i="55"/>
  <c r="AA461" i="55"/>
  <c r="Z308" i="55"/>
  <c r="AA308" i="55"/>
  <c r="AA524" i="55"/>
  <c r="Z524" i="55"/>
  <c r="Z902" i="55"/>
  <c r="AA902" i="55"/>
  <c r="Z650" i="55"/>
  <c r="AA650" i="55"/>
  <c r="Z28" i="55"/>
  <c r="AA28" i="55"/>
  <c r="Z120" i="55"/>
  <c r="AA120" i="55"/>
  <c r="Z631" i="55"/>
  <c r="AA631" i="55"/>
  <c r="AA419" i="55"/>
  <c r="Z419" i="55"/>
  <c r="Z139" i="55"/>
  <c r="AA139" i="55"/>
  <c r="AA963" i="55"/>
  <c r="Z963" i="55"/>
  <c r="Z545" i="55"/>
  <c r="AA545" i="55"/>
  <c r="Z267" i="55"/>
  <c r="AA267" i="55"/>
  <c r="Z478" i="55"/>
  <c r="AA478" i="55"/>
  <c r="AA836" i="55"/>
  <c r="Z836" i="55"/>
  <c r="Z901" i="55"/>
  <c r="AA901" i="55"/>
  <c r="Z680" i="55"/>
  <c r="AA680" i="55"/>
  <c r="Z575" i="55"/>
  <c r="AA575" i="55"/>
  <c r="Z705" i="55"/>
  <c r="AA705" i="55"/>
  <c r="Z668" i="55"/>
  <c r="AA668" i="55"/>
  <c r="Z777" i="55"/>
  <c r="AA777" i="55"/>
  <c r="Z387" i="55"/>
  <c r="AA387" i="55"/>
  <c r="Z321" i="55"/>
  <c r="AA321" i="55"/>
  <c r="Z678" i="55"/>
  <c r="AA678" i="55"/>
  <c r="AA979" i="55"/>
  <c r="Z979" i="55"/>
  <c r="Z759" i="55"/>
  <c r="AA759" i="55"/>
  <c r="AA616" i="55"/>
  <c r="Z616" i="55"/>
  <c r="Z625" i="55"/>
  <c r="AA625" i="55"/>
  <c r="AA391" i="55"/>
  <c r="Z391" i="55"/>
  <c r="Z840" i="55"/>
  <c r="AA840" i="55"/>
  <c r="Z162" i="55"/>
  <c r="AA162" i="55"/>
  <c r="AA710" i="55"/>
  <c r="Z710" i="55"/>
  <c r="Z879" i="55"/>
  <c r="AA879" i="55"/>
  <c r="AA796" i="55"/>
  <c r="Z796" i="55"/>
  <c r="Z541" i="55"/>
  <c r="AA541" i="55"/>
  <c r="Z638" i="55"/>
  <c r="AA638" i="55"/>
  <c r="Z302" i="55"/>
  <c r="AA302" i="55"/>
  <c r="Z412" i="55"/>
  <c r="AA412" i="55"/>
  <c r="AA543" i="55"/>
  <c r="Z543" i="55"/>
  <c r="Z255" i="55"/>
  <c r="AA255" i="55"/>
  <c r="Z424" i="55"/>
  <c r="AA424" i="55"/>
  <c r="Z138" i="55"/>
  <c r="AA138" i="55"/>
  <c r="Z804" i="55"/>
  <c r="AA804" i="55"/>
  <c r="Z142" i="55"/>
  <c r="AA142" i="55"/>
  <c r="Z511" i="55"/>
  <c r="AA511" i="55"/>
  <c r="Z343" i="55"/>
  <c r="AA343" i="55"/>
  <c r="Z828" i="55"/>
  <c r="AA828" i="55"/>
  <c r="AA755" i="55"/>
  <c r="Z755" i="55"/>
  <c r="AA216" i="55"/>
  <c r="Z216" i="55"/>
  <c r="Z728" i="55"/>
  <c r="AA728" i="55"/>
  <c r="Z153" i="55"/>
  <c r="AA153" i="55"/>
  <c r="Z504" i="55"/>
  <c r="AA504" i="55"/>
  <c r="Z926" i="55"/>
  <c r="AA926" i="55"/>
  <c r="Z614" i="55"/>
  <c r="AA614" i="55"/>
  <c r="AA608" i="55"/>
  <c r="Z608" i="55"/>
  <c r="Z517" i="55"/>
  <c r="AA517" i="55"/>
  <c r="Z278" i="55"/>
  <c r="AA278" i="55"/>
  <c r="AA383" i="55"/>
  <c r="Z383" i="55"/>
  <c r="Z350" i="55"/>
  <c r="AA350" i="55"/>
  <c r="AA928" i="55"/>
  <c r="Z928" i="55"/>
  <c r="Z469" i="55"/>
  <c r="AA469" i="55"/>
  <c r="AA330" i="55"/>
  <c r="Z330" i="55"/>
  <c r="Z146" i="55"/>
  <c r="AA146" i="55"/>
  <c r="AA670" i="55"/>
  <c r="Z670" i="55"/>
  <c r="Z532" i="55"/>
  <c r="AA532" i="55"/>
  <c r="AA706" i="55"/>
  <c r="Z706" i="55"/>
  <c r="Z538" i="55"/>
  <c r="AA538" i="55"/>
  <c r="Z961" i="55"/>
  <c r="AA961" i="55"/>
  <c r="AA682" i="55"/>
  <c r="Z682" i="55"/>
  <c r="Z33" i="55"/>
  <c r="AA33" i="55"/>
  <c r="AA628" i="55"/>
  <c r="Z628" i="55"/>
  <c r="AA806" i="55"/>
  <c r="Z806" i="55"/>
  <c r="AA911" i="55"/>
  <c r="Z911" i="55"/>
  <c r="Z585" i="55"/>
  <c r="AA585" i="55"/>
  <c r="Z70" i="55"/>
  <c r="AA70" i="55"/>
  <c r="Z247" i="55"/>
  <c r="AA247" i="55"/>
  <c r="Z948" i="55"/>
  <c r="AA948" i="55"/>
  <c r="Z405" i="55"/>
  <c r="AA405" i="55"/>
  <c r="AA467" i="55"/>
  <c r="Z467" i="55"/>
  <c r="AA790" i="55"/>
  <c r="Z790" i="55"/>
  <c r="Z362" i="55"/>
  <c r="AA362" i="55"/>
  <c r="Z189" i="55"/>
  <c r="AA189" i="55"/>
  <c r="Z327" i="55"/>
  <c r="AA327" i="55"/>
  <c r="Z421" i="55"/>
  <c r="AA421" i="55"/>
  <c r="Z398" i="55"/>
  <c r="AA398" i="55"/>
  <c r="Z179" i="55"/>
  <c r="AA179" i="55"/>
  <c r="Z906" i="55"/>
  <c r="AA906" i="55"/>
  <c r="AA287" i="55"/>
  <c r="Z287" i="55"/>
  <c r="Z953" i="55"/>
  <c r="AA953" i="55"/>
  <c r="AA892" i="55"/>
  <c r="Z892" i="55"/>
  <c r="AA653" i="55"/>
  <c r="Z653" i="55"/>
  <c r="Z834" i="55"/>
  <c r="AA834" i="55"/>
  <c r="Z921" i="55"/>
  <c r="AA921" i="55"/>
  <c r="Z80" i="55"/>
  <c r="AA80" i="55"/>
  <c r="Z468" i="55"/>
  <c r="AA468" i="55"/>
  <c r="AA299" i="55"/>
  <c r="Z299" i="55"/>
  <c r="Z151" i="55"/>
  <c r="AA151" i="55"/>
  <c r="Z787" i="55"/>
  <c r="AA787" i="55"/>
  <c r="Z523" i="55"/>
  <c r="AA523" i="55"/>
  <c r="AA654" i="55"/>
  <c r="Z654" i="55"/>
  <c r="Z733" i="55"/>
  <c r="AA733" i="55"/>
  <c r="Z394" i="55"/>
  <c r="AA394" i="55"/>
  <c r="AA784" i="55"/>
  <c r="Z784" i="55"/>
  <c r="Z240" i="55"/>
  <c r="AA240" i="55"/>
  <c r="Z547" i="55"/>
  <c r="AA547" i="55"/>
  <c r="AA539" i="55"/>
  <c r="Z539" i="55"/>
  <c r="AA41" i="55"/>
  <c r="Z41" i="55"/>
  <c r="Z825" i="55"/>
  <c r="AA825" i="55"/>
  <c r="AA137" i="55"/>
  <c r="Z137" i="55"/>
  <c r="Z774" i="55"/>
  <c r="AA774" i="55"/>
  <c r="Z881" i="55"/>
  <c r="AA881" i="55"/>
  <c r="Z708" i="55"/>
  <c r="AA708" i="55"/>
  <c r="AA731" i="55"/>
  <c r="Z731" i="55"/>
  <c r="AA604" i="55"/>
  <c r="Z604" i="55"/>
  <c r="AA820" i="55"/>
  <c r="Z820" i="55"/>
  <c r="Z550" i="55"/>
  <c r="AA550" i="55"/>
  <c r="AA761" i="55"/>
  <c r="Z761" i="55"/>
  <c r="Z583" i="55"/>
  <c r="AA583" i="55"/>
  <c r="AA845" i="55"/>
  <c r="Z845" i="55"/>
  <c r="AA915" i="55"/>
  <c r="Z915" i="55"/>
  <c r="Z549" i="55"/>
  <c r="AA549" i="55"/>
  <c r="Z875" i="55"/>
  <c r="AA875" i="55"/>
  <c r="Z446" i="55"/>
  <c r="AA446" i="55"/>
  <c r="Z366" i="55"/>
  <c r="AA366" i="55"/>
  <c r="Z46" i="55"/>
  <c r="AA46" i="55"/>
  <c r="Z88" i="55"/>
  <c r="AA88" i="55"/>
  <c r="AA623" i="55"/>
  <c r="Z623" i="55"/>
  <c r="Z520" i="55"/>
  <c r="AA520" i="55"/>
  <c r="Z163" i="55"/>
  <c r="AA163" i="55"/>
  <c r="Z817" i="55"/>
  <c r="AA817" i="55"/>
  <c r="Z300" i="55"/>
  <c r="AA300" i="55"/>
  <c r="Z589" i="55"/>
  <c r="AA589" i="55"/>
  <c r="AA824" i="55"/>
  <c r="Z824" i="55"/>
  <c r="Z220" i="55"/>
  <c r="AA220" i="55"/>
  <c r="Z348" i="55"/>
  <c r="AA348" i="55"/>
  <c r="Z768" i="55"/>
  <c r="AA768" i="55"/>
  <c r="Z648" i="55"/>
  <c r="AA648" i="55"/>
  <c r="AA164" i="55"/>
  <c r="Z164" i="55"/>
  <c r="AA615" i="55"/>
  <c r="Z615" i="55"/>
  <c r="Z946" i="55"/>
  <c r="AA946" i="55"/>
  <c r="AA746" i="55"/>
  <c r="Z746" i="55"/>
  <c r="Z307" i="55"/>
  <c r="AA307" i="55"/>
  <c r="Z684" i="55"/>
  <c r="AA684" i="55"/>
  <c r="Z582" i="55"/>
  <c r="AA582" i="55"/>
  <c r="AA754" i="55"/>
  <c r="Z754" i="55"/>
  <c r="Z459" i="55"/>
  <c r="AA459" i="55"/>
  <c r="Z854" i="55"/>
  <c r="AA854" i="55"/>
  <c r="Z38" i="55"/>
  <c r="AA38" i="55"/>
  <c r="Z112" i="55"/>
  <c r="AA112" i="55"/>
  <c r="Z143" i="55"/>
  <c r="AA143" i="55"/>
  <c r="Z428" i="55"/>
  <c r="AA428" i="55"/>
  <c r="Z910" i="55"/>
  <c r="AA910" i="55"/>
  <c r="Z643" i="55"/>
  <c r="AA643" i="55"/>
  <c r="Z460" i="55"/>
  <c r="AA460" i="55"/>
  <c r="AA241" i="55"/>
  <c r="Z241" i="55"/>
  <c r="Z675" i="55"/>
  <c r="AA675" i="55"/>
  <c r="AA671" i="55"/>
  <c r="Z671" i="55"/>
  <c r="Z658" i="55"/>
  <c r="AA658" i="55"/>
  <c r="AA306" i="55"/>
  <c r="Z306" i="55"/>
  <c r="Z587" i="55"/>
  <c r="AA587" i="55"/>
  <c r="AA964" i="55"/>
  <c r="Z964" i="55"/>
  <c r="Z885" i="55"/>
  <c r="AA885" i="55"/>
  <c r="Z106" i="55"/>
  <c r="AA106" i="55"/>
  <c r="Z666" i="55"/>
  <c r="AA666" i="55"/>
  <c r="Z894" i="55"/>
  <c r="AA894" i="55"/>
  <c r="Z965" i="55"/>
  <c r="AA965" i="55"/>
  <c r="Z639" i="55"/>
  <c r="AA639" i="55"/>
  <c r="Z458" i="55"/>
  <c r="AA458" i="55"/>
  <c r="Z42" i="55"/>
  <c r="AA42" i="55"/>
  <c r="Z315" i="55"/>
  <c r="AA315" i="55"/>
  <c r="AA531" i="55"/>
  <c r="Z531" i="55"/>
  <c r="Z827" i="55"/>
  <c r="AA827" i="55"/>
  <c r="Z301" i="55"/>
  <c r="AA301" i="55"/>
  <c r="Z521" i="55"/>
  <c r="AA521" i="55"/>
  <c r="AA677" i="55"/>
  <c r="Z677" i="55"/>
  <c r="Z244" i="55"/>
  <c r="AA244" i="55"/>
  <c r="Z661" i="55"/>
  <c r="AA661" i="55"/>
  <c r="AA737" i="55"/>
  <c r="Z737" i="55"/>
  <c r="Z537" i="55"/>
  <c r="AA537" i="55"/>
  <c r="Z566" i="55"/>
  <c r="AA566" i="55"/>
  <c r="Z433" i="55"/>
  <c r="AA433" i="55"/>
  <c r="Z958" i="55"/>
  <c r="AA958" i="55"/>
  <c r="Z905" i="55"/>
  <c r="AA905" i="55"/>
  <c r="Z231" i="55"/>
  <c r="AA231" i="55"/>
  <c r="Z665" i="55"/>
  <c r="AA665" i="55"/>
  <c r="Z124" i="55"/>
  <c r="AA124" i="55"/>
  <c r="Z932" i="55"/>
  <c r="AA932" i="55"/>
  <c r="Z271" i="55"/>
  <c r="AA271" i="55"/>
  <c r="Z562" i="55"/>
  <c r="AA562" i="55"/>
  <c r="Z563" i="55"/>
  <c r="AA563" i="55"/>
  <c r="AA205" i="55"/>
  <c r="Z205" i="55"/>
  <c r="AA620" i="55"/>
  <c r="Z620" i="55"/>
  <c r="Z898" i="55"/>
  <c r="AA898" i="55"/>
  <c r="Z45" i="55"/>
  <c r="AA45" i="55"/>
  <c r="Z225" i="55"/>
  <c r="AA225" i="55"/>
  <c r="Z238" i="55"/>
  <c r="AA238" i="55"/>
  <c r="Z750" i="55"/>
  <c r="AA750" i="55"/>
  <c r="Z280" i="55"/>
  <c r="AA280" i="55"/>
  <c r="AA212" i="55"/>
  <c r="Z212" i="55"/>
  <c r="AA821" i="55"/>
  <c r="Z821" i="55"/>
  <c r="Z844" i="55"/>
  <c r="AA844" i="55"/>
  <c r="Z839" i="55"/>
  <c r="AA839" i="55"/>
  <c r="Z103" i="55"/>
  <c r="AA103" i="55"/>
  <c r="Z897" i="55"/>
  <c r="AA897" i="55"/>
  <c r="Z949" i="55"/>
  <c r="AA949" i="55"/>
  <c r="Z784" i="54"/>
  <c r="AA784" i="54"/>
  <c r="Z394" i="54"/>
  <c r="AA394" i="54"/>
  <c r="AA909" i="54"/>
  <c r="Z909" i="54"/>
  <c r="Z904" i="54"/>
  <c r="AA904" i="54"/>
  <c r="Z847" i="54"/>
  <c r="AA847" i="54"/>
  <c r="Z270" i="54"/>
  <c r="AA270" i="54"/>
  <c r="Z673" i="54"/>
  <c r="AA673" i="54"/>
  <c r="Z415" i="54"/>
  <c r="AA415" i="54"/>
  <c r="Z121" i="54"/>
  <c r="AA121" i="54"/>
  <c r="Z828" i="54"/>
  <c r="AA828" i="54"/>
  <c r="Z830" i="54"/>
  <c r="AA830" i="54"/>
  <c r="Z141" i="54"/>
  <c r="AA141" i="54"/>
  <c r="Z368" i="54"/>
  <c r="AA368" i="54"/>
  <c r="AA861" i="54"/>
  <c r="Z861" i="54"/>
  <c r="Z526" i="54"/>
  <c r="AA526" i="54"/>
  <c r="Z266" i="54"/>
  <c r="AA266" i="54"/>
  <c r="Z651" i="54"/>
  <c r="AA651" i="54"/>
  <c r="Z700" i="54"/>
  <c r="AA700" i="54"/>
  <c r="Z864" i="54"/>
  <c r="AA864" i="54"/>
  <c r="Z79" i="54"/>
  <c r="AA79" i="54"/>
  <c r="Z456" i="54"/>
  <c r="AA456" i="54"/>
  <c r="Z816" i="54"/>
  <c r="AA816" i="54"/>
  <c r="Z422" i="54"/>
  <c r="AA422" i="54"/>
  <c r="AA240" i="54"/>
  <c r="Z240" i="54"/>
  <c r="Z284" i="54"/>
  <c r="AA284" i="54"/>
  <c r="Z945" i="54"/>
  <c r="AA945" i="54"/>
  <c r="AA515" i="54"/>
  <c r="Z515" i="54"/>
  <c r="Z245" i="54"/>
  <c r="AA245" i="54"/>
  <c r="Z615" i="54"/>
  <c r="AA615" i="54"/>
  <c r="Z968" i="54"/>
  <c r="AA968" i="54"/>
  <c r="Z84" i="54"/>
  <c r="AA84" i="54"/>
  <c r="Z58" i="54"/>
  <c r="AA58" i="54"/>
  <c r="Z420" i="54"/>
  <c r="AA420" i="54"/>
  <c r="Z894" i="54"/>
  <c r="AA894" i="54"/>
  <c r="Z338" i="54"/>
  <c r="AA338" i="54"/>
  <c r="Z231" i="54"/>
  <c r="AA231" i="54"/>
  <c r="Z699" i="54"/>
  <c r="AA699" i="54"/>
  <c r="Z119" i="54"/>
  <c r="AA119" i="54"/>
  <c r="Z350" i="54"/>
  <c r="AA350" i="54"/>
  <c r="Z198" i="54"/>
  <c r="AA198" i="54"/>
  <c r="Z571" i="54"/>
  <c r="AA571" i="54"/>
  <c r="Z969" i="54"/>
  <c r="AA969" i="54"/>
  <c r="Z49" i="54"/>
  <c r="AA49" i="54"/>
  <c r="Z711" i="54"/>
  <c r="AA711" i="54"/>
  <c r="AA471" i="54"/>
  <c r="Z471" i="54"/>
  <c r="Z224" i="54"/>
  <c r="AA224" i="54"/>
  <c r="AA596" i="54"/>
  <c r="Z596" i="54"/>
  <c r="Z971" i="54"/>
  <c r="AA971" i="54"/>
  <c r="Z63" i="54"/>
  <c r="AA63" i="54"/>
  <c r="Z481" i="54"/>
  <c r="AA481" i="54"/>
  <c r="AA375" i="54"/>
  <c r="Z375" i="54"/>
  <c r="Z655" i="54"/>
  <c r="AA655" i="54"/>
  <c r="Z166" i="54"/>
  <c r="AA166" i="54"/>
  <c r="Z68" i="54"/>
  <c r="AA68" i="54"/>
  <c r="AA453" i="54"/>
  <c r="Z453" i="54"/>
  <c r="Z878" i="54"/>
  <c r="AA878" i="54"/>
  <c r="AA387" i="54"/>
  <c r="Z387" i="54"/>
  <c r="Z169" i="54"/>
  <c r="AA169" i="54"/>
  <c r="Z355" i="54"/>
  <c r="AA355" i="54"/>
  <c r="Z652" i="54"/>
  <c r="AA652" i="54"/>
  <c r="AA681" i="54"/>
  <c r="Z681" i="54"/>
  <c r="Z307" i="54"/>
  <c r="AA307" i="54"/>
  <c r="Z183" i="54"/>
  <c r="AA183" i="54"/>
  <c r="AA650" i="54"/>
  <c r="Z650" i="54"/>
  <c r="Z83" i="54"/>
  <c r="AA83" i="54"/>
  <c r="Z57" i="54"/>
  <c r="AA57" i="54"/>
  <c r="AA608" i="54"/>
  <c r="Z608" i="54"/>
  <c r="Z917" i="54"/>
  <c r="AA917" i="54"/>
  <c r="Z582" i="54"/>
  <c r="AA582" i="54"/>
  <c r="Z493" i="54"/>
  <c r="AA493" i="54"/>
  <c r="Z713" i="54"/>
  <c r="AA713" i="54"/>
  <c r="Z391" i="54"/>
  <c r="AA391" i="54"/>
  <c r="Z899" i="54"/>
  <c r="AA899" i="54"/>
  <c r="AA741" i="54"/>
  <c r="Z741" i="54"/>
  <c r="Z936" i="54"/>
  <c r="AA936" i="54"/>
  <c r="Z138" i="54"/>
  <c r="AA138" i="54"/>
  <c r="AA671" i="54"/>
  <c r="Z671" i="54"/>
  <c r="Z876" i="54"/>
  <c r="AA876" i="54"/>
  <c r="Z514" i="54"/>
  <c r="AA514" i="54"/>
  <c r="Z981" i="54"/>
  <c r="AA981" i="54"/>
  <c r="Z416" i="54"/>
  <c r="AA416" i="54"/>
  <c r="Z818" i="54"/>
  <c r="AA818" i="54"/>
  <c r="Z836" i="54"/>
  <c r="AA836" i="54"/>
  <c r="AA693" i="54"/>
  <c r="Z693" i="54"/>
  <c r="AA599" i="54"/>
  <c r="Z599" i="54"/>
  <c r="Z126" i="54"/>
  <c r="AA126" i="54"/>
  <c r="Z621" i="54"/>
  <c r="AA621" i="54"/>
  <c r="Z960" i="54"/>
  <c r="AA960" i="54"/>
  <c r="Z466" i="54"/>
  <c r="AA466" i="54"/>
  <c r="Z114" i="54"/>
  <c r="AA114" i="54"/>
  <c r="Z71" i="54"/>
  <c r="AA71" i="54"/>
  <c r="Z546" i="54"/>
  <c r="AA546" i="54"/>
  <c r="Z235" i="54"/>
  <c r="AA235" i="54"/>
  <c r="Z710" i="54"/>
  <c r="AA710" i="54"/>
  <c r="Z783" i="54"/>
  <c r="AA783" i="54"/>
  <c r="Z122" i="54"/>
  <c r="AA122" i="54"/>
  <c r="Z436" i="54"/>
  <c r="AA436" i="54"/>
  <c r="Z332" i="54"/>
  <c r="AA332" i="54"/>
  <c r="AA873" i="54"/>
  <c r="Z873" i="54"/>
  <c r="Z298" i="54"/>
  <c r="AA298" i="54"/>
  <c r="Z257" i="54"/>
  <c r="AA257" i="54"/>
  <c r="Z662" i="54"/>
  <c r="AA662" i="54"/>
  <c r="Z980" i="54"/>
  <c r="AA980" i="54"/>
  <c r="Z96" i="54"/>
  <c r="AA96" i="54"/>
  <c r="Z214" i="54"/>
  <c r="AA214" i="54"/>
  <c r="AA934" i="54"/>
  <c r="Z934" i="54"/>
  <c r="Z973" i="54"/>
  <c r="AA973" i="54"/>
  <c r="Z101" i="54"/>
  <c r="AA101" i="54"/>
  <c r="Z400" i="54"/>
  <c r="AA400" i="54"/>
  <c r="AA664" i="54"/>
  <c r="Z664" i="54"/>
  <c r="Z318" i="54"/>
  <c r="AA318" i="54"/>
  <c r="Z347" i="54"/>
  <c r="AA347" i="54"/>
  <c r="Z248" i="54"/>
  <c r="AA248" i="54"/>
  <c r="Z739" i="54"/>
  <c r="AA739" i="54"/>
  <c r="Z432" i="54"/>
  <c r="AA432" i="54"/>
  <c r="Z87" i="54"/>
  <c r="AA87" i="54"/>
  <c r="Z759" i="54"/>
  <c r="AA759" i="54"/>
  <c r="Z143" i="54"/>
  <c r="AA143" i="54"/>
  <c r="Z887" i="54"/>
  <c r="AA887" i="54"/>
  <c r="Z54" i="54"/>
  <c r="AA54" i="54"/>
  <c r="Z356" i="54"/>
  <c r="AA356" i="54"/>
  <c r="Z668" i="54"/>
  <c r="AA668" i="54"/>
  <c r="Z371" i="54"/>
  <c r="AA371" i="54"/>
  <c r="Z612" i="54"/>
  <c r="AA612" i="54"/>
  <c r="Z976" i="54"/>
  <c r="AA976" i="54"/>
  <c r="Z80" i="54"/>
  <c r="AA80" i="54"/>
  <c r="Z501" i="54"/>
  <c r="AA501" i="54"/>
  <c r="Z676" i="54"/>
  <c r="AA676" i="54"/>
  <c r="Z483" i="54"/>
  <c r="AA483" i="54"/>
  <c r="Z181" i="54"/>
  <c r="AA181" i="54"/>
  <c r="Z155" i="54"/>
  <c r="AA155" i="54"/>
  <c r="Z440" i="54"/>
  <c r="AA440" i="54"/>
  <c r="Z964" i="54"/>
  <c r="AA964" i="54"/>
  <c r="Z523" i="54"/>
  <c r="AA523" i="54"/>
  <c r="Z174" i="54"/>
  <c r="AA174" i="54"/>
  <c r="Z723" i="54"/>
  <c r="AA723" i="54"/>
  <c r="AA915" i="54"/>
  <c r="Z915" i="54"/>
  <c r="Z25" i="54"/>
  <c r="AA25" i="54"/>
  <c r="Z697" i="54"/>
  <c r="AA697" i="54"/>
  <c r="Z200" i="54"/>
  <c r="AA200" i="54"/>
  <c r="Z629" i="54"/>
  <c r="AA629" i="54"/>
  <c r="Z923" i="54"/>
  <c r="AA923" i="54"/>
  <c r="Z39" i="54"/>
  <c r="AA39" i="54"/>
  <c r="Z385" i="54"/>
  <c r="AA385" i="54"/>
  <c r="Z314" i="54"/>
  <c r="AA314" i="54"/>
  <c r="AA435" i="54"/>
  <c r="Z435" i="54"/>
  <c r="Z513" i="54"/>
  <c r="AA513" i="54"/>
  <c r="Z766" i="54"/>
  <c r="AA766" i="54"/>
  <c r="Z439" i="54"/>
  <c r="AA439" i="54"/>
  <c r="AA184" i="54"/>
  <c r="Z184" i="54"/>
  <c r="Z663" i="54"/>
  <c r="AA663" i="54"/>
  <c r="Z868" i="54"/>
  <c r="AA868" i="54"/>
  <c r="Z190" i="54"/>
  <c r="AA190" i="54"/>
  <c r="Z560" i="54"/>
  <c r="AA560" i="54"/>
  <c r="AA869" i="54"/>
  <c r="Z869" i="54"/>
  <c r="Z534" i="54"/>
  <c r="AA534" i="54"/>
  <c r="Z445" i="54"/>
  <c r="AA445" i="54"/>
  <c r="Z665" i="54"/>
  <c r="AA665" i="54"/>
  <c r="Z931" i="54"/>
  <c r="AA931" i="54"/>
  <c r="Z594" i="54"/>
  <c r="AA594" i="54"/>
  <c r="Z106" i="54"/>
  <c r="AA106" i="54"/>
  <c r="Z901" i="54"/>
  <c r="AA901" i="54"/>
  <c r="Z641" i="54"/>
  <c r="AA641" i="54"/>
  <c r="Z929" i="54"/>
  <c r="AA929" i="54"/>
  <c r="Z486" i="54"/>
  <c r="AA486" i="54"/>
  <c r="Z397" i="54"/>
  <c r="AA397" i="54"/>
  <c r="Z794" i="54"/>
  <c r="AA794" i="54"/>
  <c r="Z752" i="54"/>
  <c r="AA752" i="54"/>
  <c r="Z758" i="54"/>
  <c r="AA758" i="54"/>
  <c r="Z748" i="54"/>
  <c r="AA748" i="54"/>
  <c r="Z327" i="54"/>
  <c r="AA327" i="54"/>
  <c r="Z91" i="54"/>
  <c r="AA91" i="54"/>
  <c r="Z504" i="54"/>
  <c r="AA504" i="54"/>
  <c r="Z853" i="54"/>
  <c r="AA853" i="54"/>
  <c r="Z470" i="54"/>
  <c r="AA470" i="54"/>
  <c r="AA252" i="54"/>
  <c r="Z252" i="54"/>
  <c r="Z226" i="54"/>
  <c r="AA226" i="54"/>
  <c r="Z722" i="54"/>
  <c r="AA722" i="54"/>
  <c r="Z521" i="54"/>
  <c r="AA521" i="54"/>
  <c r="Z113" i="54"/>
  <c r="AA113" i="54"/>
  <c r="AA448" i="54"/>
  <c r="Z448" i="54"/>
  <c r="Z712" i="54"/>
  <c r="AA712" i="54"/>
  <c r="AA366" i="54"/>
  <c r="Z366" i="54"/>
  <c r="Z70" i="54"/>
  <c r="AA70" i="54"/>
  <c r="Z468" i="54"/>
  <c r="AA468" i="54"/>
  <c r="Z684" i="54"/>
  <c r="AA684" i="54"/>
  <c r="Z386" i="54"/>
  <c r="AA386" i="54"/>
  <c r="Z243" i="54"/>
  <c r="AA243" i="54"/>
  <c r="Z795" i="54"/>
  <c r="AA795" i="54"/>
  <c r="Z239" i="54"/>
  <c r="AA239" i="54"/>
  <c r="Z384" i="54"/>
  <c r="AA384" i="54"/>
  <c r="Z104" i="54"/>
  <c r="AA104" i="54"/>
  <c r="Z866" i="54"/>
  <c r="AA866" i="54"/>
  <c r="Z772" i="54"/>
  <c r="AA772" i="54"/>
  <c r="Z330" i="54"/>
  <c r="AA330" i="54"/>
  <c r="Z205" i="54"/>
  <c r="AA205" i="54"/>
  <c r="Z179" i="54"/>
  <c r="AA179" i="54"/>
  <c r="Z781" i="54"/>
  <c r="AA781" i="54"/>
  <c r="AA411" i="54"/>
  <c r="Z411" i="54"/>
  <c r="AA232" i="54"/>
  <c r="Z232" i="54"/>
  <c r="AA803" i="54"/>
  <c r="Z803" i="54"/>
  <c r="Z935" i="54"/>
  <c r="AA935" i="54"/>
  <c r="Z46" i="54"/>
  <c r="AA46" i="54"/>
  <c r="Z696" i="54"/>
  <c r="AA696" i="54"/>
  <c r="Z302" i="54"/>
  <c r="AA302" i="54"/>
  <c r="Z186" i="54"/>
  <c r="AA186" i="54"/>
  <c r="Z819" i="54"/>
  <c r="AA819" i="54"/>
  <c r="Z943" i="54"/>
  <c r="AA943" i="54"/>
  <c r="Z37" i="54"/>
  <c r="AA37" i="54"/>
  <c r="Z438" i="54"/>
  <c r="AA438" i="54"/>
  <c r="Z109" i="54"/>
  <c r="AA109" i="54"/>
  <c r="Z763" i="54"/>
  <c r="AA763" i="54"/>
  <c r="Z896" i="54"/>
  <c r="AA896" i="54"/>
  <c r="Z30" i="54"/>
  <c r="AA30" i="54"/>
  <c r="Z807" i="54"/>
  <c r="AA807" i="54"/>
  <c r="AA809" i="54"/>
  <c r="Z809" i="54"/>
  <c r="AA527" i="54"/>
  <c r="Z527" i="54"/>
  <c r="Z645" i="54"/>
  <c r="AA645" i="54"/>
  <c r="Z56" i="54"/>
  <c r="AA56" i="54"/>
  <c r="AA405" i="54"/>
  <c r="Z405" i="54"/>
  <c r="Z817" i="54"/>
  <c r="AA817" i="54"/>
  <c r="Z291" i="54"/>
  <c r="AA291" i="54"/>
  <c r="Z157" i="54"/>
  <c r="AA157" i="54"/>
  <c r="Z131" i="54"/>
  <c r="AA131" i="54"/>
  <c r="Z679" i="54"/>
  <c r="AA679" i="54"/>
  <c r="Z189" i="54"/>
  <c r="AA189" i="54"/>
  <c r="Z561" i="54"/>
  <c r="AA561" i="54"/>
  <c r="Z938" i="54"/>
  <c r="AA938" i="54"/>
  <c r="AA40" i="54"/>
  <c r="Z40" i="54"/>
  <c r="Z437" i="54"/>
  <c r="AA437" i="54"/>
  <c r="Z937" i="54"/>
  <c r="AA937" i="54"/>
  <c r="Z744" i="54"/>
  <c r="AA744" i="54"/>
  <c r="AA465" i="54"/>
  <c r="Z465" i="54"/>
  <c r="Z718" i="54"/>
  <c r="AA718" i="54"/>
  <c r="Z311" i="54"/>
  <c r="AA311" i="54"/>
  <c r="AA172" i="54"/>
  <c r="Z172" i="54"/>
  <c r="Z658" i="54"/>
  <c r="AA658" i="54"/>
  <c r="Z944" i="54"/>
  <c r="AA944" i="54"/>
  <c r="AA369" i="54"/>
  <c r="Z369" i="54"/>
  <c r="Z103" i="54"/>
  <c r="AA103" i="54"/>
  <c r="Z613" i="54"/>
  <c r="AA613" i="54"/>
  <c r="AA897" i="54"/>
  <c r="Z897" i="54"/>
  <c r="AA417" i="54"/>
  <c r="Z417" i="54"/>
  <c r="Z843" i="54"/>
  <c r="AA843" i="54"/>
  <c r="Z543" i="54"/>
  <c r="AA543" i="54"/>
  <c r="AA160" i="54"/>
  <c r="Z160" i="54"/>
  <c r="Z589" i="54"/>
  <c r="AA589" i="54"/>
  <c r="Z889" i="54"/>
  <c r="AA889" i="54"/>
  <c r="Z530" i="54"/>
  <c r="AA530" i="54"/>
  <c r="Z380" i="54"/>
  <c r="AA380" i="54"/>
  <c r="Z921" i="54"/>
  <c r="AA921" i="54"/>
  <c r="Z346" i="54"/>
  <c r="AA346" i="54"/>
  <c r="Z269" i="54"/>
  <c r="AA269" i="54"/>
  <c r="Z702" i="54"/>
  <c r="AA702" i="54"/>
  <c r="Z281" i="54"/>
  <c r="AA281" i="54"/>
  <c r="Z108" i="54"/>
  <c r="AA108" i="54"/>
  <c r="Z82" i="54"/>
  <c r="AA82" i="54"/>
  <c r="Z516" i="54"/>
  <c r="AA516" i="54"/>
  <c r="Z732" i="54"/>
  <c r="AA732" i="54"/>
  <c r="Z434" i="54"/>
  <c r="AA434" i="54"/>
  <c r="Z255" i="54"/>
  <c r="AA255" i="54"/>
  <c r="Z559" i="54"/>
  <c r="AA559" i="54"/>
  <c r="Z288" i="54"/>
  <c r="AA288" i="54"/>
  <c r="Z443" i="54"/>
  <c r="AA443" i="54"/>
  <c r="Z260" i="54"/>
  <c r="AA260" i="54"/>
  <c r="AA839" i="54"/>
  <c r="Z839" i="54"/>
  <c r="Z782" i="54"/>
  <c r="AA782" i="54"/>
  <c r="Z99" i="54"/>
  <c r="AA99" i="54"/>
  <c r="Z296" i="54"/>
  <c r="AA296" i="54"/>
  <c r="Z487" i="54"/>
  <c r="AA487" i="54"/>
  <c r="Z792" i="54"/>
  <c r="AA792" i="54"/>
  <c r="Z398" i="54"/>
  <c r="AA398" i="54"/>
  <c r="Z210" i="54"/>
  <c r="AA210" i="54"/>
  <c r="Z619" i="54"/>
  <c r="AA619" i="54"/>
  <c r="Z329" i="54"/>
  <c r="AA329" i="54"/>
  <c r="Z61" i="54"/>
  <c r="AA61" i="54"/>
  <c r="Z484" i="54"/>
  <c r="AA484" i="54"/>
  <c r="Z600" i="54"/>
  <c r="AA600" i="54"/>
  <c r="Z972" i="54"/>
  <c r="AA972" i="54"/>
  <c r="AA88" i="54"/>
  <c r="Z88" i="54"/>
  <c r="Z300" i="54"/>
  <c r="AA300" i="54"/>
  <c r="Z850" i="54"/>
  <c r="AA850" i="54"/>
  <c r="Z227" i="54"/>
  <c r="AA227" i="54"/>
  <c r="Z890" i="54"/>
  <c r="AA890" i="54"/>
  <c r="AA946" i="54"/>
  <c r="Z946" i="54"/>
  <c r="Z42" i="54"/>
  <c r="AA42" i="54"/>
  <c r="Z308" i="54"/>
  <c r="AA308" i="54"/>
  <c r="Z862" i="54"/>
  <c r="AA862" i="54"/>
  <c r="Z275" i="54"/>
  <c r="AA275" i="54"/>
  <c r="Z137" i="54"/>
  <c r="AA137" i="54"/>
  <c r="Z418" i="54"/>
  <c r="AA418" i="54"/>
  <c r="Z280" i="54"/>
  <c r="AA280" i="54"/>
  <c r="Z685" i="54"/>
  <c r="AA685" i="54"/>
  <c r="Z799" i="54"/>
  <c r="AA799" i="54"/>
  <c r="AA208" i="54"/>
  <c r="Z208" i="54"/>
  <c r="Z628" i="54"/>
  <c r="AA628" i="54"/>
  <c r="Z859" i="54"/>
  <c r="AA859" i="54"/>
  <c r="Z421" i="54"/>
  <c r="AA421" i="54"/>
  <c r="Z427" i="54"/>
  <c r="AA427" i="54"/>
  <c r="Z162" i="54"/>
  <c r="AA162" i="54"/>
  <c r="Z636" i="54"/>
  <c r="AA636" i="54"/>
  <c r="Z867" i="54"/>
  <c r="AA867" i="54"/>
  <c r="Z610" i="54"/>
  <c r="AA610" i="54"/>
  <c r="Z860" i="54"/>
  <c r="AA860" i="54"/>
  <c r="Z928" i="54"/>
  <c r="AA928" i="54"/>
  <c r="Z45" i="54"/>
  <c r="AA45" i="54"/>
  <c r="Z313" i="54"/>
  <c r="AA313" i="54"/>
  <c r="Z725" i="54"/>
  <c r="AA725" i="54"/>
  <c r="Z299" i="54"/>
  <c r="AA299" i="54"/>
  <c r="Z170" i="54"/>
  <c r="AA170" i="54"/>
  <c r="Z642" i="54"/>
  <c r="AA642" i="54"/>
  <c r="AA377" i="54"/>
  <c r="Z377" i="54"/>
  <c r="Z177" i="54"/>
  <c r="AA177" i="54"/>
  <c r="Z512" i="54"/>
  <c r="AA512" i="54"/>
  <c r="Z888" i="54"/>
  <c r="AA888" i="54"/>
  <c r="AA28" i="54"/>
  <c r="Z28" i="54"/>
  <c r="AA389" i="54"/>
  <c r="Z389" i="54"/>
  <c r="Z786" i="54"/>
  <c r="AA786" i="54"/>
  <c r="Z247" i="54"/>
  <c r="AA247" i="54"/>
  <c r="Z428" i="54"/>
  <c r="AA428" i="54"/>
  <c r="Z365" i="54"/>
  <c r="AA365" i="54"/>
  <c r="Z690" i="54"/>
  <c r="AA690" i="54"/>
  <c r="Z165" i="54"/>
  <c r="AA165" i="54"/>
  <c r="Z464" i="54"/>
  <c r="AA464" i="54"/>
  <c r="AA840" i="54"/>
  <c r="Z840" i="54"/>
  <c r="Z630" i="54"/>
  <c r="AA630" i="54"/>
  <c r="Z341" i="54"/>
  <c r="AA341" i="54"/>
  <c r="Z738" i="54"/>
  <c r="AA738" i="54"/>
  <c r="Z597" i="54"/>
  <c r="AA597" i="54"/>
  <c r="AA238" i="54"/>
  <c r="Z238" i="54"/>
  <c r="Z770" i="54"/>
  <c r="AA770" i="54"/>
  <c r="Z568" i="54"/>
  <c r="AA568" i="54"/>
  <c r="Z125" i="54"/>
  <c r="AA125" i="54"/>
  <c r="Z496" i="54"/>
  <c r="AA496" i="54"/>
  <c r="Z760" i="54"/>
  <c r="AA760" i="54"/>
  <c r="Z414" i="54"/>
  <c r="AA414" i="54"/>
  <c r="AA539" i="54"/>
  <c r="Z539" i="54"/>
  <c r="Z272" i="54"/>
  <c r="AA272" i="54"/>
  <c r="Z579" i="54"/>
  <c r="AA579" i="54"/>
  <c r="Z855" i="54"/>
  <c r="AA855" i="54"/>
  <c r="Z111" i="54"/>
  <c r="AA111" i="54"/>
  <c r="Z344" i="54"/>
  <c r="AA344" i="54"/>
  <c r="Z506" i="54"/>
  <c r="AA506" i="54"/>
  <c r="Z683" i="54"/>
  <c r="AA683" i="54"/>
  <c r="Z116" i="54"/>
  <c r="AA116" i="54"/>
  <c r="Z316" i="54"/>
  <c r="AA316" i="54"/>
  <c r="Z820" i="54"/>
  <c r="AA820" i="54"/>
  <c r="Z378" i="54"/>
  <c r="AA378" i="54"/>
  <c r="Z217" i="54"/>
  <c r="AA217" i="54"/>
  <c r="Z547" i="54"/>
  <c r="AA547" i="54"/>
  <c r="Z639" i="54"/>
  <c r="AA639" i="54"/>
  <c r="Z948" i="54"/>
  <c r="AA948" i="54"/>
  <c r="Z66" i="54"/>
  <c r="AA66" i="54"/>
  <c r="Z404" i="54"/>
  <c r="AA404" i="54"/>
  <c r="Z716" i="54"/>
  <c r="AA716" i="54"/>
  <c r="Z467" i="54"/>
  <c r="AA467" i="54"/>
  <c r="Z517" i="54"/>
  <c r="AA517" i="54"/>
  <c r="Z505" i="54"/>
  <c r="AA505" i="54"/>
  <c r="Z680" i="54"/>
  <c r="AA680" i="54"/>
  <c r="Z334" i="54"/>
  <c r="AA334" i="54"/>
  <c r="Z218" i="54"/>
  <c r="AA218" i="54"/>
  <c r="Z691" i="54"/>
  <c r="AA691" i="54"/>
  <c r="Z237" i="54"/>
  <c r="AA237" i="54"/>
  <c r="Z328" i="54"/>
  <c r="AA328" i="54"/>
  <c r="Z733" i="54"/>
  <c r="AA733" i="54"/>
  <c r="Z315" i="54"/>
  <c r="AA315" i="54"/>
  <c r="AA220" i="54"/>
  <c r="Z220" i="54"/>
  <c r="Z707" i="54"/>
  <c r="AA707" i="54"/>
  <c r="AA907" i="54"/>
  <c r="Z907" i="54"/>
  <c r="Z802" i="54"/>
  <c r="AA802" i="54"/>
  <c r="Z841" i="54"/>
  <c r="AA841" i="54"/>
  <c r="Z213" i="54"/>
  <c r="AA213" i="54"/>
  <c r="Z633" i="54"/>
  <c r="AA633" i="54"/>
  <c r="Z932" i="54"/>
  <c r="AA932" i="54"/>
  <c r="AA64" i="54"/>
  <c r="Z64" i="54"/>
  <c r="Z533" i="54"/>
  <c r="AA533" i="54"/>
  <c r="AA753" i="54"/>
  <c r="Z753" i="54"/>
  <c r="Z598" i="54"/>
  <c r="AA598" i="54"/>
  <c r="Z848" i="54"/>
  <c r="AA848" i="54"/>
  <c r="Z646" i="54"/>
  <c r="AA646" i="54"/>
  <c r="Z541" i="54"/>
  <c r="AA541" i="54"/>
  <c r="Z761" i="54"/>
  <c r="AA761" i="54"/>
  <c r="Z519" i="54"/>
  <c r="AA519" i="54"/>
  <c r="Z826" i="54"/>
  <c r="AA826" i="54"/>
  <c r="Z778" i="54"/>
  <c r="AA778" i="54"/>
  <c r="Z339" i="54"/>
  <c r="AA339" i="54"/>
  <c r="Z139" i="54"/>
  <c r="AA139" i="54"/>
  <c r="Z675" i="54"/>
  <c r="AA675" i="54"/>
  <c r="Z930" i="54"/>
  <c r="AA930" i="54"/>
  <c r="Z26" i="54"/>
  <c r="AA26" i="54"/>
  <c r="AA381" i="54"/>
  <c r="Z381" i="54"/>
  <c r="AA881" i="54"/>
  <c r="Z881" i="54"/>
  <c r="Z33" i="54"/>
  <c r="AA33" i="54"/>
  <c r="Z271" i="54"/>
  <c r="AA271" i="54"/>
  <c r="Z677" i="54"/>
  <c r="AA677" i="54"/>
  <c r="Z735" i="54"/>
  <c r="AA735" i="54"/>
  <c r="Z158" i="54"/>
  <c r="AA158" i="54"/>
  <c r="Z581" i="54"/>
  <c r="AA581" i="54"/>
  <c r="Z358" i="54"/>
  <c r="AA358" i="54"/>
  <c r="AA250" i="54"/>
  <c r="Z250" i="54"/>
  <c r="Z460" i="54"/>
  <c r="AA460" i="54"/>
  <c r="AA833" i="54"/>
  <c r="Z833" i="54"/>
  <c r="Z950" i="54"/>
  <c r="AA950" i="54"/>
  <c r="Z259" i="54"/>
  <c r="AA259" i="54"/>
  <c r="Z806" i="54"/>
  <c r="AA806" i="54"/>
  <c r="Z914" i="54"/>
  <c r="AA914" i="54"/>
  <c r="Z146" i="54"/>
  <c r="AA146" i="54"/>
  <c r="Z532" i="54"/>
  <c r="AA532" i="54"/>
  <c r="Z574" i="54"/>
  <c r="AA574" i="54"/>
  <c r="Z94" i="54"/>
  <c r="AA94" i="54"/>
  <c r="Z565" i="54"/>
  <c r="AA565" i="54"/>
  <c r="Z780" i="54"/>
  <c r="AA780" i="54"/>
  <c r="Z482" i="54"/>
  <c r="AA482" i="54"/>
  <c r="Z267" i="54"/>
  <c r="AA267" i="54"/>
  <c r="Z607" i="54"/>
  <c r="AA607" i="54"/>
  <c r="AA922" i="54"/>
  <c r="Z922" i="54"/>
  <c r="AA797" i="54"/>
  <c r="Z797" i="54"/>
  <c r="Z128" i="54"/>
  <c r="AA128" i="54"/>
  <c r="Z364" i="54"/>
  <c r="AA364" i="54"/>
  <c r="AA857" i="54"/>
  <c r="Z857" i="54"/>
  <c r="Z426" i="54"/>
  <c r="AA426" i="54"/>
  <c r="AA229" i="54"/>
  <c r="Z229" i="54"/>
  <c r="Z215" i="54"/>
  <c r="AA215" i="54"/>
  <c r="AA958" i="54"/>
  <c r="Z958" i="54"/>
  <c r="Z446" i="54"/>
  <c r="AA446" i="54"/>
  <c r="Z222" i="54"/>
  <c r="AA222" i="54"/>
  <c r="Z666" i="54"/>
  <c r="AA666" i="54"/>
  <c r="Z577" i="54"/>
  <c r="AA577" i="54"/>
  <c r="Z73" i="54"/>
  <c r="AA73" i="54"/>
  <c r="Z258" i="54"/>
  <c r="AA258" i="54"/>
  <c r="Z424" i="54"/>
  <c r="AA424" i="54"/>
  <c r="Z829" i="54"/>
  <c r="AA829" i="54"/>
  <c r="Z507" i="54"/>
  <c r="AA507" i="54"/>
  <c r="AA244" i="54"/>
  <c r="Z244" i="54"/>
  <c r="AA563" i="54"/>
  <c r="Z563" i="54"/>
  <c r="Z967" i="54"/>
  <c r="AA967" i="54"/>
  <c r="Z591" i="54"/>
  <c r="AA591" i="54"/>
  <c r="Z187" i="54"/>
  <c r="AA187" i="54"/>
  <c r="AA827" i="54"/>
  <c r="Z827" i="54"/>
  <c r="AA970" i="54"/>
  <c r="Z970" i="54"/>
  <c r="Z74" i="54"/>
  <c r="AA74" i="54"/>
  <c r="Z743" i="54"/>
  <c r="AA743" i="54"/>
  <c r="Z236" i="54"/>
  <c r="AA236" i="54"/>
  <c r="Z225" i="54"/>
  <c r="AA225" i="54"/>
  <c r="AA851" i="54"/>
  <c r="Z851" i="54"/>
  <c r="Z955" i="54"/>
  <c r="AA955" i="54"/>
  <c r="AA76" i="54"/>
  <c r="Z76" i="54"/>
  <c r="Z775" i="54"/>
  <c r="AA775" i="54"/>
  <c r="AA801" i="54"/>
  <c r="Z801" i="54"/>
  <c r="AA148" i="54"/>
  <c r="Z148" i="54"/>
  <c r="Z120" i="54"/>
  <c r="AA120" i="54"/>
  <c r="Z69" i="54"/>
  <c r="AA69" i="54"/>
  <c r="Z409" i="54"/>
  <c r="AA409" i="54"/>
  <c r="AA821" i="54"/>
  <c r="Z821" i="54"/>
  <c r="AA491" i="54"/>
  <c r="Z491" i="54"/>
  <c r="Z194" i="54"/>
  <c r="AA194" i="54"/>
  <c r="Z572" i="54"/>
  <c r="AA572" i="54"/>
  <c r="Z479" i="54"/>
  <c r="AA479" i="54"/>
  <c r="Z814" i="54"/>
  <c r="AA814" i="54"/>
  <c r="Z295" i="54"/>
  <c r="AA295" i="54"/>
  <c r="AA196" i="54"/>
  <c r="Z196" i="54"/>
  <c r="Z580" i="54"/>
  <c r="AA580" i="54"/>
  <c r="Z916" i="54"/>
  <c r="AA916" i="54"/>
  <c r="AA626" i="54"/>
  <c r="Z626" i="54"/>
  <c r="Z573" i="54"/>
  <c r="AA573" i="54"/>
  <c r="Z891" i="54"/>
  <c r="AA891" i="54"/>
  <c r="Z538" i="54"/>
  <c r="AA538" i="54"/>
  <c r="Z449" i="54"/>
  <c r="AA449" i="54"/>
  <c r="AA717" i="54"/>
  <c r="Z717" i="54"/>
  <c r="Z535" i="54"/>
  <c r="AA535" i="54"/>
  <c r="Z156" i="54"/>
  <c r="AA156" i="54"/>
  <c r="Z730" i="54"/>
  <c r="AA730" i="54"/>
  <c r="Z751" i="54"/>
  <c r="AA751" i="54"/>
  <c r="Z127" i="54"/>
  <c r="AA127" i="54"/>
  <c r="Z625" i="54"/>
  <c r="AA625" i="54"/>
  <c r="Z880" i="54"/>
  <c r="AA880" i="54"/>
  <c r="AA614" i="54"/>
  <c r="Z614" i="54"/>
  <c r="AA333" i="54"/>
  <c r="Z333" i="54"/>
  <c r="Z618" i="54"/>
  <c r="AA618" i="54"/>
  <c r="Z701" i="54"/>
  <c r="AA701" i="54"/>
  <c r="Z455" i="54"/>
  <c r="AA455" i="54"/>
  <c r="Z682" i="54"/>
  <c r="AA682" i="54"/>
  <c r="Z351" i="54"/>
  <c r="AA351" i="54"/>
  <c r="Z115" i="54"/>
  <c r="AA115" i="54"/>
  <c r="Z601" i="54"/>
  <c r="AA601" i="54"/>
  <c r="Z832" i="54"/>
  <c r="AA832" i="54"/>
  <c r="Z566" i="54"/>
  <c r="AA566" i="54"/>
  <c r="AA285" i="54"/>
  <c r="Z285" i="54"/>
  <c r="Z544" i="54"/>
  <c r="AA544" i="54"/>
  <c r="Z310" i="54"/>
  <c r="AA310" i="54"/>
  <c r="Z317" i="54"/>
  <c r="AA317" i="54"/>
  <c r="Z627" i="54"/>
  <c r="AA627" i="54"/>
  <c r="Z719" i="54"/>
  <c r="AA719" i="54"/>
  <c r="Z123" i="54"/>
  <c r="AA123" i="54"/>
  <c r="Z392" i="54"/>
  <c r="AA392" i="54"/>
  <c r="Z35" i="54"/>
  <c r="AA35" i="54"/>
  <c r="Z877" i="54"/>
  <c r="AA877" i="54"/>
  <c r="Z494" i="54"/>
  <c r="AA494" i="54"/>
  <c r="Z234" i="54"/>
  <c r="AA234" i="54"/>
  <c r="Z706" i="54"/>
  <c r="AA706" i="54"/>
  <c r="Z686" i="54"/>
  <c r="AA686" i="54"/>
  <c r="Z85" i="54"/>
  <c r="AA85" i="54"/>
  <c r="Z595" i="54"/>
  <c r="AA595" i="54"/>
  <c r="Z678" i="54"/>
  <c r="AA678" i="54"/>
  <c r="Z962" i="54"/>
  <c r="AA962" i="54"/>
  <c r="Z78" i="54"/>
  <c r="AA78" i="54"/>
  <c r="Z452" i="54"/>
  <c r="AA452" i="54"/>
  <c r="Z764" i="54"/>
  <c r="AA764" i="54"/>
  <c r="AA274" i="54"/>
  <c r="Z274" i="54"/>
  <c r="Z903" i="54"/>
  <c r="AA903" i="54"/>
  <c r="Z249" i="54"/>
  <c r="AA249" i="54"/>
  <c r="Z648" i="54"/>
  <c r="AA648" i="54"/>
  <c r="Z251" i="54"/>
  <c r="AA251" i="54"/>
  <c r="AA100" i="54"/>
  <c r="Z100" i="54"/>
  <c r="Z348" i="54"/>
  <c r="AA348" i="54"/>
  <c r="Z953" i="54"/>
  <c r="AA953" i="54"/>
  <c r="Z93" i="54"/>
  <c r="AA93" i="54"/>
  <c r="Z43" i="54"/>
  <c r="AA43" i="54"/>
  <c r="Z312" i="54"/>
  <c r="AA312" i="54"/>
  <c r="Z672" i="54"/>
  <c r="AA672" i="54"/>
  <c r="Z278" i="54"/>
  <c r="AA278" i="54"/>
  <c r="AA204" i="54"/>
  <c r="Z204" i="54"/>
  <c r="Z957" i="54"/>
  <c r="AA957" i="54"/>
  <c r="Z81" i="54"/>
  <c r="AA81" i="54"/>
  <c r="Z457" i="54"/>
  <c r="AA457" i="54"/>
  <c r="Z886" i="54"/>
  <c r="AA886" i="54"/>
  <c r="Z286" i="54"/>
  <c r="AA286" i="54"/>
  <c r="Z206" i="54"/>
  <c r="AA206" i="54"/>
  <c r="AA620" i="54"/>
  <c r="Z620" i="54"/>
  <c r="Z750" i="54"/>
  <c r="AA750" i="54"/>
  <c r="Z842" i="54"/>
  <c r="AA842" i="54"/>
  <c r="Z531" i="54"/>
  <c r="AA531" i="54"/>
  <c r="Z163" i="54"/>
  <c r="AA163" i="54"/>
  <c r="Z640" i="54"/>
  <c r="AA640" i="54"/>
  <c r="Z919" i="54"/>
  <c r="AA919" i="54"/>
  <c r="Z50" i="54"/>
  <c r="AA50" i="54"/>
  <c r="AA477" i="54"/>
  <c r="Z477" i="54"/>
  <c r="Z918" i="54"/>
  <c r="AA918" i="54"/>
  <c r="Z609" i="54"/>
  <c r="AA609" i="54"/>
  <c r="Z879" i="54"/>
  <c r="AA879" i="54"/>
  <c r="AA52" i="54"/>
  <c r="Z52" i="54"/>
  <c r="Z485" i="54"/>
  <c r="AA485" i="54"/>
  <c r="AA705" i="54"/>
  <c r="Z705" i="54"/>
  <c r="Z373" i="54"/>
  <c r="AA373" i="54"/>
  <c r="Z325" i="54"/>
  <c r="AA325" i="54"/>
  <c r="Z785" i="54"/>
  <c r="AA785" i="54"/>
  <c r="Z319" i="54"/>
  <c r="AA319" i="54"/>
  <c r="Z173" i="54"/>
  <c r="AA173" i="54"/>
  <c r="AA667" i="54"/>
  <c r="Z667" i="54"/>
  <c r="Z952" i="54"/>
  <c r="AA952" i="54"/>
  <c r="Z606" i="54"/>
  <c r="AA606" i="54"/>
  <c r="Z524" i="54"/>
  <c r="AA524" i="54"/>
  <c r="Z949" i="54"/>
  <c r="AA949" i="54"/>
  <c r="Z490" i="54"/>
  <c r="AA490" i="54"/>
  <c r="AA401" i="54"/>
  <c r="Z401" i="54"/>
  <c r="Z669" i="54"/>
  <c r="AA669" i="54"/>
  <c r="AA837" i="54"/>
  <c r="Z837" i="54"/>
  <c r="Z144" i="54"/>
  <c r="AA144" i="54"/>
  <c r="Z153" i="54"/>
  <c r="AA153" i="54"/>
  <c r="Z674" i="54"/>
  <c r="AA674" i="54"/>
  <c r="Z152" i="54"/>
  <c r="AA152" i="54"/>
  <c r="Z476" i="54"/>
  <c r="AA476" i="54"/>
  <c r="Z900" i="54"/>
  <c r="AA900" i="54"/>
  <c r="Z442" i="54"/>
  <c r="AA442" i="54"/>
  <c r="Z353" i="54"/>
  <c r="AA353" i="54"/>
  <c r="Z798" i="54"/>
  <c r="AA798" i="54"/>
  <c r="AA647" i="54"/>
  <c r="Z647" i="54"/>
  <c r="Z132" i="54"/>
  <c r="AA132" i="54"/>
  <c r="Z522" i="54"/>
  <c r="AA522" i="54"/>
  <c r="Z800" i="54"/>
  <c r="AA800" i="54"/>
  <c r="Z140" i="54"/>
  <c r="AA140" i="54"/>
  <c r="Z412" i="54"/>
  <c r="AA412" i="54"/>
  <c r="AA905" i="54"/>
  <c r="Z905" i="54"/>
  <c r="Z474" i="54"/>
  <c r="AA474" i="54"/>
  <c r="Z241" i="54"/>
  <c r="AA241" i="54"/>
  <c r="Z362" i="54"/>
  <c r="AA362" i="54"/>
  <c r="Z726" i="54"/>
  <c r="AA726" i="54"/>
  <c r="Z974" i="54"/>
  <c r="AA974" i="54"/>
  <c r="Z90" i="54"/>
  <c r="AA90" i="54"/>
  <c r="Z500" i="54"/>
  <c r="AA500" i="54"/>
  <c r="Z812" i="54"/>
  <c r="AA812" i="54"/>
  <c r="Z322" i="54"/>
  <c r="AA322" i="54"/>
  <c r="Z977" i="54"/>
  <c r="AA977" i="54"/>
  <c r="Z472" i="54"/>
  <c r="AA472" i="54"/>
  <c r="Z902" i="54"/>
  <c r="AA902" i="54"/>
  <c r="Z294" i="54"/>
  <c r="AA294" i="54"/>
  <c r="AA256" i="54"/>
  <c r="Z256" i="54"/>
  <c r="AA611" i="54"/>
  <c r="Z611" i="54"/>
  <c r="Z979" i="54"/>
  <c r="AA979" i="54"/>
  <c r="Z287" i="54"/>
  <c r="AA287" i="54"/>
  <c r="Z105" i="54"/>
  <c r="AA105" i="54"/>
  <c r="Z553" i="54"/>
  <c r="AA553" i="54"/>
  <c r="Z728" i="54"/>
  <c r="AA728" i="54"/>
  <c r="Z382" i="54"/>
  <c r="AA382" i="54"/>
  <c r="Z230" i="54"/>
  <c r="AA230" i="54"/>
  <c r="Z787" i="54"/>
  <c r="AA787" i="54"/>
  <c r="Z354" i="54"/>
  <c r="AA354" i="54"/>
  <c r="Z323" i="54"/>
  <c r="AA323" i="54"/>
  <c r="Z221" i="54"/>
  <c r="AA221" i="54"/>
  <c r="Z811" i="54"/>
  <c r="AA811" i="54"/>
  <c r="Z911" i="54"/>
  <c r="AA911" i="54"/>
  <c r="Z60" i="54"/>
  <c r="AA60" i="54"/>
  <c r="Z745" i="54"/>
  <c r="AA745" i="54"/>
  <c r="Z306" i="54"/>
  <c r="AA306" i="54"/>
  <c r="Z175" i="54"/>
  <c r="AA175" i="54"/>
  <c r="Z731" i="54"/>
  <c r="AA731" i="54"/>
  <c r="Z947" i="54"/>
  <c r="AA947" i="54"/>
  <c r="Z62" i="54"/>
  <c r="AA62" i="54"/>
  <c r="Z525" i="54"/>
  <c r="AA525" i="54"/>
  <c r="AA297" i="54"/>
  <c r="Z297" i="54"/>
  <c r="Z202" i="54"/>
  <c r="AA202" i="54"/>
  <c r="AA963" i="54"/>
  <c r="Z963" i="54"/>
  <c r="Z654" i="54"/>
  <c r="AA654" i="54"/>
  <c r="Z545" i="54"/>
  <c r="AA545" i="54"/>
  <c r="AA813" i="54"/>
  <c r="Z813" i="54"/>
  <c r="Z379" i="54"/>
  <c r="AA379" i="54"/>
  <c r="AA180" i="54"/>
  <c r="Z180" i="54"/>
  <c r="Z154" i="54"/>
  <c r="AA154" i="54"/>
  <c r="Z361" i="54"/>
  <c r="AA361" i="54"/>
  <c r="Z773" i="54"/>
  <c r="AA773" i="54"/>
  <c r="AA395" i="54"/>
  <c r="Z395" i="54"/>
  <c r="Z182" i="54"/>
  <c r="AA182" i="54"/>
  <c r="Z653" i="54"/>
  <c r="AA653" i="54"/>
  <c r="Z550" i="54"/>
  <c r="AA550" i="54"/>
  <c r="Z142" i="54"/>
  <c r="AA142" i="54"/>
  <c r="Z604" i="54"/>
  <c r="AA604" i="54"/>
  <c r="Z844" i="54"/>
  <c r="AA844" i="54"/>
  <c r="Z29" i="54"/>
  <c r="AA29" i="54"/>
  <c r="AA441" i="54"/>
  <c r="Z441" i="54"/>
  <c r="Z790" i="54"/>
  <c r="AA790" i="54"/>
  <c r="AA503" i="54"/>
  <c r="Z503" i="54"/>
  <c r="Z277" i="54"/>
  <c r="AA277" i="54"/>
  <c r="Z737" i="54"/>
  <c r="AA737" i="54"/>
  <c r="Z978" i="54"/>
  <c r="AA978" i="54"/>
  <c r="Z161" i="54"/>
  <c r="AA161" i="54"/>
  <c r="Z617" i="54"/>
  <c r="AA617" i="54"/>
  <c r="AA893" i="54"/>
  <c r="Z893" i="54"/>
  <c r="Z558" i="54"/>
  <c r="AA558" i="54"/>
  <c r="Z796" i="54"/>
  <c r="AA796" i="54"/>
  <c r="AA590" i="54"/>
  <c r="Z590" i="54"/>
  <c r="Z856" i="54"/>
  <c r="AA856" i="54"/>
  <c r="AA262" i="54"/>
  <c r="Z262" i="54"/>
  <c r="Z689" i="54"/>
  <c r="AA689" i="54"/>
  <c r="Z704" i="54"/>
  <c r="AA704" i="54"/>
  <c r="Z149" i="54"/>
  <c r="AA149" i="54"/>
  <c r="Z593" i="54"/>
  <c r="AA593" i="54"/>
  <c r="AA845" i="54"/>
  <c r="Z845" i="54"/>
  <c r="Z510" i="54"/>
  <c r="AA510" i="54"/>
  <c r="Z293" i="54"/>
  <c r="AA293" i="54"/>
  <c r="Z925" i="54"/>
  <c r="AA925" i="54"/>
  <c r="Z542" i="54"/>
  <c r="AA542" i="54"/>
  <c r="Z246" i="54"/>
  <c r="AA246" i="54"/>
  <c r="Z754" i="54"/>
  <c r="AA754" i="54"/>
  <c r="AA885" i="54"/>
  <c r="Z885" i="54"/>
  <c r="Z97" i="54"/>
  <c r="AA97" i="54"/>
  <c r="Z552" i="54"/>
  <c r="AA552" i="54"/>
  <c r="Z520" i="54"/>
  <c r="AA520" i="54"/>
  <c r="Z688" i="54"/>
  <c r="AA688" i="54"/>
  <c r="Z342" i="54"/>
  <c r="AA342" i="54"/>
  <c r="AA268" i="54"/>
  <c r="Z268" i="54"/>
  <c r="AA659" i="54"/>
  <c r="Z659" i="54"/>
  <c r="AA425" i="54"/>
  <c r="Z425" i="54"/>
  <c r="Z906" i="54"/>
  <c r="AA906" i="54"/>
  <c r="Z261" i="54"/>
  <c r="AA261" i="54"/>
  <c r="Z747" i="54"/>
  <c r="AA747" i="54"/>
  <c r="Z336" i="54"/>
  <c r="AA336" i="54"/>
  <c r="AA112" i="54"/>
  <c r="Z112" i="54"/>
  <c r="Z396" i="54"/>
  <c r="AA396" i="54"/>
  <c r="Z708" i="54"/>
  <c r="AA708" i="54"/>
  <c r="AA423" i="54"/>
  <c r="Z423" i="54"/>
  <c r="Z402" i="54"/>
  <c r="AA402" i="54"/>
  <c r="Z199" i="54"/>
  <c r="AA199" i="54"/>
  <c r="AA575" i="54"/>
  <c r="Z575" i="54"/>
  <c r="Z616" i="54"/>
  <c r="AA616" i="54"/>
  <c r="Z86" i="54"/>
  <c r="AA86" i="54"/>
  <c r="Z292" i="54"/>
  <c r="AA292" i="54"/>
  <c r="Z740" i="54"/>
  <c r="AA740" i="54"/>
  <c r="Z940" i="54"/>
  <c r="AA940" i="54"/>
  <c r="Z77" i="54"/>
  <c r="AA77" i="54"/>
  <c r="Z304" i="54"/>
  <c r="AA304" i="54"/>
  <c r="Z805" i="54"/>
  <c r="AA805" i="54"/>
  <c r="AA459" i="54"/>
  <c r="Z459" i="54"/>
  <c r="Z564" i="54"/>
  <c r="AA564" i="54"/>
  <c r="AA975" i="54"/>
  <c r="Z975" i="54"/>
  <c r="Z31" i="54"/>
  <c r="AA31" i="54"/>
  <c r="Z823" i="54"/>
  <c r="AA823" i="54"/>
  <c r="Z870" i="54"/>
  <c r="AA870" i="54"/>
  <c r="Z475" i="54"/>
  <c r="AA475" i="54"/>
  <c r="AA192" i="54"/>
  <c r="Z192" i="54"/>
  <c r="Z135" i="54"/>
  <c r="AA135" i="54"/>
  <c r="Z793" i="54"/>
  <c r="AA793" i="54"/>
  <c r="Z910" i="54"/>
  <c r="AA910" i="54"/>
  <c r="Z303" i="54"/>
  <c r="AA303" i="54"/>
  <c r="Z197" i="54"/>
  <c r="AA197" i="54"/>
  <c r="AA632" i="54"/>
  <c r="Z632" i="54"/>
  <c r="Z920" i="54"/>
  <c r="AA920" i="54"/>
  <c r="Z36" i="54"/>
  <c r="AA36" i="54"/>
  <c r="Z838" i="54"/>
  <c r="AA838" i="54"/>
  <c r="Z151" i="54"/>
  <c r="AA151" i="54"/>
  <c r="Z592" i="54"/>
  <c r="AA592" i="54"/>
  <c r="Z871" i="54"/>
  <c r="AA871" i="54"/>
  <c r="Z38" i="54"/>
  <c r="AA38" i="54"/>
  <c r="AA429" i="54"/>
  <c r="Z429" i="54"/>
  <c r="Z359" i="54"/>
  <c r="AA359" i="54"/>
  <c r="Z502" i="54"/>
  <c r="AA502" i="54"/>
  <c r="Z509" i="54"/>
  <c r="AA509" i="54"/>
  <c r="Z810" i="54"/>
  <c r="AA810" i="54"/>
  <c r="Z767" i="54"/>
  <c r="AA767" i="54"/>
  <c r="Z171" i="54"/>
  <c r="AA171" i="54"/>
  <c r="Z585" i="54"/>
  <c r="AA585" i="54"/>
  <c r="Z47" i="54"/>
  <c r="AA47" i="54"/>
  <c r="Z130" i="54"/>
  <c r="AA130" i="54"/>
  <c r="Z556" i="54"/>
  <c r="AA556" i="54"/>
  <c r="Z913" i="54"/>
  <c r="AA913" i="54"/>
  <c r="AA638" i="54"/>
  <c r="Z638" i="54"/>
  <c r="AA393" i="54"/>
  <c r="Z393" i="54"/>
  <c r="Z742" i="54"/>
  <c r="AA742" i="54"/>
  <c r="AA383" i="54"/>
  <c r="Z383" i="54"/>
  <c r="Z643" i="54"/>
  <c r="AA643" i="54"/>
  <c r="Z462" i="54"/>
  <c r="AA462" i="54"/>
  <c r="Z822" i="54"/>
  <c r="AA822" i="54"/>
  <c r="Z118" i="54"/>
  <c r="AA118" i="54"/>
  <c r="Z637" i="54"/>
  <c r="AA637" i="54"/>
  <c r="Z865" i="54"/>
  <c r="AA865" i="54"/>
  <c r="Z578" i="54"/>
  <c r="AA578" i="54"/>
  <c r="AA345" i="54"/>
  <c r="Z345" i="54"/>
  <c r="Z694" i="54"/>
  <c r="AA694" i="54"/>
  <c r="Z912" i="54"/>
  <c r="AA912" i="54"/>
  <c r="Z518" i="54"/>
  <c r="AA518" i="54"/>
  <c r="Z774" i="54"/>
  <c r="AA774" i="54"/>
  <c r="Z263" i="54"/>
  <c r="AA263" i="54"/>
  <c r="Z102" i="54"/>
  <c r="AA102" i="54"/>
  <c r="Z548" i="54"/>
  <c r="AA548" i="54"/>
  <c r="AA849" i="54"/>
  <c r="Z849" i="54"/>
  <c r="Z370" i="54"/>
  <c r="AA370" i="54"/>
  <c r="Z349" i="54"/>
  <c r="AA349" i="54"/>
  <c r="Z273" i="54"/>
  <c r="AA273" i="54"/>
  <c r="AA858" i="54"/>
  <c r="Z858" i="54"/>
  <c r="Z779" i="54"/>
  <c r="AA779" i="54"/>
  <c r="AA124" i="54"/>
  <c r="Z124" i="54"/>
  <c r="Z444" i="54"/>
  <c r="AA444" i="54"/>
  <c r="Z756" i="54"/>
  <c r="AA756" i="54"/>
  <c r="Z965" i="54"/>
  <c r="AA965" i="54"/>
  <c r="Z117" i="54"/>
  <c r="AA117" i="54"/>
  <c r="Z898" i="54"/>
  <c r="AA898" i="54"/>
  <c r="Z776" i="54"/>
  <c r="AA776" i="54"/>
  <c r="Z430" i="54"/>
  <c r="AA430" i="54"/>
  <c r="Z242" i="54"/>
  <c r="AA242" i="54"/>
  <c r="Z555" i="54"/>
  <c r="AA555" i="54"/>
  <c r="AA407" i="54"/>
  <c r="Z407" i="54"/>
  <c r="Z528" i="54"/>
  <c r="AA528" i="54"/>
  <c r="Z55" i="54"/>
  <c r="AA55" i="54"/>
  <c r="Z360" i="54"/>
  <c r="AA360" i="54"/>
  <c r="Z720" i="54"/>
  <c r="AA720" i="54"/>
  <c r="Z326" i="54"/>
  <c r="AA326" i="54"/>
  <c r="AA216" i="54"/>
  <c r="Z216" i="54"/>
  <c r="AA587" i="54"/>
  <c r="Z587" i="54"/>
  <c r="AA825" i="54"/>
  <c r="Z825" i="54"/>
  <c r="Z290" i="54"/>
  <c r="AA290" i="54"/>
  <c r="Z219" i="54"/>
  <c r="AA219" i="54"/>
  <c r="Z624" i="54"/>
  <c r="AA624" i="54"/>
  <c r="Z59" i="54"/>
  <c r="AA59" i="54"/>
  <c r="Z469" i="54"/>
  <c r="AA469" i="54"/>
  <c r="Z692" i="54"/>
  <c r="AA692" i="54"/>
  <c r="Z831" i="54"/>
  <c r="AA831" i="54"/>
  <c r="Z209" i="54"/>
  <c r="AA209" i="54"/>
  <c r="Z715" i="54"/>
  <c r="AA715" i="54"/>
  <c r="AA863" i="54"/>
  <c r="Z863" i="54"/>
  <c r="Z48" i="54"/>
  <c r="AA48" i="54"/>
  <c r="Z540" i="54"/>
  <c r="AA540" i="54"/>
  <c r="AA815" i="54"/>
  <c r="Z815" i="54"/>
  <c r="Z755" i="54"/>
  <c r="AA755" i="54"/>
  <c r="Z941" i="54"/>
  <c r="AA941" i="54"/>
  <c r="Z53" i="54"/>
  <c r="AA53" i="54"/>
  <c r="Z537" i="54"/>
  <c r="AA537" i="54"/>
  <c r="Z709" i="54"/>
  <c r="AA709" i="54"/>
  <c r="AA399" i="54"/>
  <c r="Z399" i="54"/>
  <c r="Z201" i="54"/>
  <c r="AA201" i="54"/>
  <c r="Z586" i="54"/>
  <c r="AA586" i="54"/>
  <c r="Z497" i="54"/>
  <c r="AA497" i="54"/>
  <c r="AA765" i="54"/>
  <c r="Z765" i="54"/>
  <c r="Z283" i="54"/>
  <c r="AA283" i="54"/>
  <c r="AA168" i="54"/>
  <c r="Z168" i="54"/>
  <c r="Z961" i="54"/>
  <c r="AA961" i="54"/>
  <c r="Z367" i="54"/>
  <c r="AA367" i="54"/>
  <c r="Z188" i="54"/>
  <c r="AA188" i="54"/>
  <c r="Z605" i="54"/>
  <c r="AA605" i="54"/>
  <c r="AA875" i="54"/>
  <c r="Z875" i="54"/>
  <c r="Z27" i="54"/>
  <c r="AA27" i="54"/>
  <c r="Z337" i="54"/>
  <c r="AA337" i="54"/>
  <c r="Z495" i="54"/>
  <c r="AA495" i="54"/>
  <c r="Z454" i="54"/>
  <c r="AA454" i="54"/>
  <c r="Z461" i="54"/>
  <c r="AA461" i="54"/>
  <c r="Z762" i="54"/>
  <c r="AA762" i="54"/>
  <c r="Z279" i="54"/>
  <c r="AA279" i="54"/>
  <c r="Z159" i="54"/>
  <c r="AA159" i="54"/>
  <c r="Z536" i="54"/>
  <c r="AA536" i="54"/>
  <c r="AA602" i="54"/>
  <c r="Z602" i="54"/>
  <c r="Z852" i="54"/>
  <c r="AA852" i="54"/>
  <c r="Z631" i="54"/>
  <c r="AA631" i="54"/>
  <c r="Z634" i="54"/>
  <c r="AA634" i="54"/>
  <c r="Z406" i="54"/>
  <c r="AA406" i="54"/>
  <c r="AA413" i="54"/>
  <c r="Z413" i="54"/>
  <c r="Z714" i="54"/>
  <c r="AA714" i="54"/>
  <c r="Z431" i="54"/>
  <c r="AA431" i="54"/>
  <c r="Z147" i="54"/>
  <c r="AA147" i="54"/>
  <c r="Z488" i="54"/>
  <c r="AA488" i="54"/>
  <c r="Z191" i="54"/>
  <c r="AA191" i="54"/>
  <c r="Z808" i="54"/>
  <c r="AA808" i="54"/>
  <c r="Z569" i="54"/>
  <c r="AA569" i="54"/>
  <c r="Z736" i="54"/>
  <c r="AA736" i="54"/>
  <c r="Z390" i="54"/>
  <c r="AA390" i="54"/>
  <c r="Z301" i="54"/>
  <c r="AA301" i="54"/>
  <c r="Z698" i="54"/>
  <c r="AA698" i="54"/>
  <c r="Z480" i="54"/>
  <c r="AA480" i="54"/>
  <c r="Z746" i="54"/>
  <c r="AA746" i="54"/>
  <c r="Z129" i="54"/>
  <c r="AA129" i="54"/>
  <c r="Z320" i="54"/>
  <c r="AA320" i="54"/>
  <c r="Z824" i="54"/>
  <c r="AA824" i="54"/>
  <c r="Z478" i="54"/>
  <c r="AA478" i="54"/>
  <c r="Z254" i="54"/>
  <c r="AA254" i="54"/>
  <c r="Z603" i="54"/>
  <c r="AA603" i="54"/>
  <c r="Z926" i="54"/>
  <c r="AA926" i="54"/>
  <c r="Z450" i="54"/>
  <c r="AA450" i="54"/>
  <c r="Z211" i="54"/>
  <c r="AA211" i="54"/>
  <c r="AA623" i="54"/>
  <c r="Z623" i="54"/>
  <c r="Z749" i="54"/>
  <c r="AA749" i="54"/>
  <c r="Z98" i="54"/>
  <c r="AA98" i="54"/>
  <c r="Z340" i="54"/>
  <c r="AA340" i="54"/>
  <c r="AA264" i="54"/>
  <c r="Z264" i="54"/>
  <c r="Z788" i="54"/>
  <c r="AA788" i="54"/>
  <c r="AA419" i="54"/>
  <c r="Z419" i="54"/>
  <c r="Z233" i="54"/>
  <c r="AA233" i="54"/>
  <c r="Z567" i="54"/>
  <c r="AA567" i="54"/>
  <c r="AA939" i="54"/>
  <c r="Z939" i="54"/>
  <c r="Z72" i="54"/>
  <c r="AA72" i="54"/>
  <c r="AA372" i="54"/>
  <c r="Z372" i="54"/>
  <c r="AA644" i="54"/>
  <c r="Z644" i="54"/>
  <c r="Z473" i="54"/>
  <c r="AA473" i="54"/>
  <c r="Z75" i="54"/>
  <c r="AA75" i="54"/>
  <c r="Z529" i="54"/>
  <c r="AA529" i="54"/>
  <c r="Z458" i="54"/>
  <c r="AA458" i="54"/>
  <c r="Z178" i="54"/>
  <c r="AA178" i="54"/>
  <c r="Z874" i="54"/>
  <c r="AA874" i="54"/>
  <c r="Z883" i="54"/>
  <c r="AA883" i="54"/>
  <c r="Z65" i="54"/>
  <c r="AA65" i="54"/>
  <c r="Z791" i="54"/>
  <c r="AA791" i="54"/>
  <c r="Z757" i="54"/>
  <c r="AA757" i="54"/>
  <c r="Z363" i="54"/>
  <c r="AA363" i="54"/>
  <c r="Z134" i="54"/>
  <c r="AA134" i="54"/>
  <c r="Z376" i="54"/>
  <c r="AA376" i="54"/>
  <c r="AA276" i="54"/>
  <c r="Z276" i="54"/>
  <c r="AA729" i="54"/>
  <c r="Z729" i="54"/>
  <c r="Z403" i="54"/>
  <c r="AA403" i="54"/>
  <c r="Z195" i="54"/>
  <c r="AA195" i="54"/>
  <c r="Z657" i="54"/>
  <c r="AA657" i="54"/>
  <c r="Z203" i="54"/>
  <c r="AA203" i="54"/>
  <c r="Z956" i="54"/>
  <c r="AA956" i="54"/>
  <c r="AA447" i="54"/>
  <c r="Z447" i="54"/>
  <c r="Z185" i="54"/>
  <c r="AA185" i="54"/>
  <c r="AA584" i="54"/>
  <c r="Z584" i="54"/>
  <c r="Z872" i="54"/>
  <c r="AA872" i="54"/>
  <c r="Z24" i="54"/>
  <c r="AA24" i="54"/>
  <c r="Z656" i="54"/>
  <c r="AA656" i="54"/>
  <c r="Z895" i="54"/>
  <c r="AA895" i="54"/>
  <c r="Z44" i="54"/>
  <c r="AA44" i="54"/>
  <c r="AA357" i="54"/>
  <c r="Z357" i="54"/>
  <c r="Z769" i="54"/>
  <c r="AA769" i="54"/>
  <c r="Z703" i="54"/>
  <c r="AA703" i="54"/>
  <c r="Z145" i="54"/>
  <c r="AA145" i="54"/>
  <c r="Z335" i="54"/>
  <c r="AA335" i="54"/>
  <c r="Z463" i="54"/>
  <c r="AA463" i="54"/>
  <c r="Z176" i="54"/>
  <c r="AA176" i="54"/>
  <c r="Z557" i="54"/>
  <c r="AA557" i="54"/>
  <c r="Z933" i="54"/>
  <c r="AA933" i="54"/>
  <c r="Z622" i="54"/>
  <c r="AA622" i="54"/>
  <c r="Z289" i="54"/>
  <c r="AA289" i="54"/>
  <c r="Z167" i="54"/>
  <c r="AA167" i="54"/>
  <c r="Z305" i="54"/>
  <c r="AA305" i="54"/>
  <c r="Z343" i="54"/>
  <c r="AA343" i="54"/>
  <c r="Z846" i="54"/>
  <c r="AA846" i="54"/>
  <c r="Z331" i="54"/>
  <c r="AA331" i="54"/>
  <c r="Z164" i="54"/>
  <c r="AA164" i="54"/>
  <c r="Z508" i="54"/>
  <c r="AA508" i="54"/>
  <c r="Z884" i="54"/>
  <c r="AA884" i="54"/>
  <c r="Z570" i="54"/>
  <c r="AA570" i="54"/>
  <c r="AA265" i="54"/>
  <c r="Z265" i="54"/>
  <c r="Z410" i="54"/>
  <c r="AA410" i="54"/>
  <c r="Z253" i="54"/>
  <c r="AA253" i="54"/>
  <c r="AA321" i="54"/>
  <c r="Z321" i="54"/>
  <c r="Z583" i="54"/>
  <c r="AA583" i="54"/>
  <c r="Z942" i="54"/>
  <c r="AA942" i="54"/>
  <c r="AA136" i="54"/>
  <c r="Z136" i="54"/>
  <c r="Z492" i="54"/>
  <c r="AA492" i="54"/>
  <c r="AA804" i="54"/>
  <c r="Z804" i="54"/>
  <c r="Z727" i="54"/>
  <c r="AA727" i="54"/>
  <c r="Z498" i="54"/>
  <c r="AA498" i="54"/>
  <c r="Z223" i="54"/>
  <c r="AA223" i="54"/>
  <c r="Z670" i="54"/>
  <c r="AA670" i="54"/>
  <c r="Z966" i="54"/>
  <c r="AA966" i="54"/>
  <c r="Z110" i="54"/>
  <c r="AA110" i="54"/>
  <c r="Z388" i="54"/>
  <c r="AA388" i="54"/>
  <c r="Z771" i="54"/>
  <c r="AA771" i="54"/>
  <c r="Z734" i="54"/>
  <c r="AA734" i="54"/>
  <c r="Z67" i="54"/>
  <c r="AA67" i="54"/>
  <c r="Z408" i="54"/>
  <c r="AA408" i="54"/>
  <c r="Z768" i="54"/>
  <c r="AA768" i="54"/>
  <c r="Z374" i="54"/>
  <c r="AA374" i="54"/>
  <c r="AA228" i="54"/>
  <c r="Z228" i="54"/>
  <c r="AA927" i="54"/>
  <c r="Z927" i="54"/>
  <c r="AA635" i="54"/>
  <c r="Z635" i="54"/>
  <c r="Z959" i="54"/>
  <c r="AA959" i="54"/>
  <c r="Z89" i="54"/>
  <c r="AA89" i="54"/>
  <c r="Z352" i="54"/>
  <c r="AA352" i="54"/>
  <c r="Z854" i="54"/>
  <c r="AA854" i="54"/>
  <c r="Z882" i="54"/>
  <c r="AA882" i="54"/>
  <c r="Z92" i="54"/>
  <c r="AA92" i="54"/>
  <c r="Z549" i="54"/>
  <c r="AA549" i="54"/>
  <c r="Z724" i="54"/>
  <c r="AA724" i="54"/>
  <c r="Z282" i="54"/>
  <c r="AA282" i="54"/>
  <c r="Z193" i="54"/>
  <c r="AA193" i="54"/>
  <c r="Z451" i="54"/>
  <c r="AA451" i="54"/>
  <c r="Z34" i="54"/>
  <c r="AA34" i="54"/>
  <c r="Z324" i="54"/>
  <c r="AA324" i="54"/>
  <c r="AA777" i="54"/>
  <c r="Z777" i="54"/>
  <c r="Z499" i="54"/>
  <c r="AA499" i="54"/>
  <c r="Z207" i="54"/>
  <c r="AA207" i="54"/>
  <c r="Z576" i="54"/>
  <c r="AA576" i="54"/>
  <c r="Z554" i="54"/>
  <c r="AA554" i="54"/>
  <c r="Z649" i="54"/>
  <c r="AA649" i="54"/>
  <c r="Z908" i="54"/>
  <c r="AA908" i="54"/>
  <c r="Z212" i="54"/>
  <c r="AA212" i="54"/>
  <c r="Z835" i="54"/>
  <c r="AA835" i="54"/>
  <c r="AA951" i="54"/>
  <c r="Z951" i="54"/>
  <c r="Z51" i="54"/>
  <c r="AA51" i="54"/>
  <c r="Z433" i="54"/>
  <c r="AA433" i="54"/>
  <c r="Z107" i="54"/>
  <c r="AA107" i="54"/>
  <c r="Z834" i="54"/>
  <c r="AA834" i="54"/>
  <c r="Z892" i="54"/>
  <c r="AA892" i="54"/>
  <c r="Z41" i="54"/>
  <c r="AA41" i="54"/>
  <c r="Z489" i="54"/>
  <c r="AA489" i="54"/>
  <c r="Z661" i="54"/>
  <c r="AA661" i="54"/>
  <c r="Z511" i="54"/>
  <c r="AA511" i="54"/>
  <c r="Z695" i="54"/>
  <c r="AA695" i="54"/>
  <c r="AA789" i="54"/>
  <c r="Z789" i="54"/>
  <c r="Z687" i="54"/>
  <c r="AA687" i="54"/>
  <c r="Z150" i="54"/>
  <c r="AA150" i="54"/>
  <c r="Z588" i="54"/>
  <c r="AA588" i="54"/>
  <c r="Z924" i="54"/>
  <c r="AA924" i="54"/>
  <c r="Z562" i="54"/>
  <c r="AA562" i="54"/>
  <c r="Z660" i="54"/>
  <c r="AA660" i="54"/>
  <c r="Z954" i="54"/>
  <c r="AA954" i="54"/>
  <c r="Z32" i="54"/>
  <c r="AA32" i="54"/>
  <c r="AA309" i="54"/>
  <c r="Z309" i="54"/>
  <c r="Z721" i="54"/>
  <c r="AA721" i="54"/>
  <c r="AA551" i="54"/>
  <c r="Z551" i="54"/>
  <c r="Z133" i="54"/>
  <c r="AA133" i="54"/>
  <c r="Z95" i="54"/>
  <c r="AA95" i="54"/>
  <c r="Z46" i="53"/>
  <c r="AA46" i="53"/>
  <c r="Z738" i="53"/>
  <c r="AA738" i="53"/>
  <c r="Z534" i="53"/>
  <c r="AA534" i="53"/>
  <c r="Z572" i="53"/>
  <c r="AA572" i="53"/>
  <c r="Z290" i="53"/>
  <c r="AA290" i="53"/>
  <c r="Z615" i="53"/>
  <c r="AA615" i="53"/>
  <c r="Z486" i="53"/>
  <c r="AA486" i="53"/>
  <c r="AA518" i="53"/>
  <c r="Z518" i="53"/>
  <c r="Z338" i="53"/>
  <c r="AA338" i="53"/>
  <c r="Z484" i="53"/>
  <c r="AA484" i="53"/>
  <c r="Z415" i="53"/>
  <c r="AA415" i="53"/>
  <c r="Z342" i="53"/>
  <c r="AA342" i="53"/>
  <c r="Z551" i="53"/>
  <c r="AA551" i="53"/>
  <c r="AA842" i="53"/>
  <c r="Z842" i="53"/>
  <c r="Z553" i="53"/>
  <c r="AA553" i="53"/>
  <c r="Z556" i="53"/>
  <c r="AA556" i="53"/>
  <c r="Z380" i="53"/>
  <c r="AA380" i="53"/>
  <c r="Z87" i="53"/>
  <c r="AA87" i="53"/>
  <c r="Z939" i="53"/>
  <c r="AA939" i="53"/>
  <c r="Z361" i="53"/>
  <c r="AA361" i="53"/>
  <c r="Z687" i="53"/>
  <c r="AA687" i="53"/>
  <c r="Z967" i="53"/>
  <c r="AA967" i="53"/>
  <c r="Z841" i="53"/>
  <c r="AA841" i="53"/>
  <c r="Z340" i="53"/>
  <c r="AA340" i="53"/>
  <c r="Z585" i="53"/>
  <c r="AA585" i="53"/>
  <c r="AA849" i="53"/>
  <c r="Z849" i="53"/>
  <c r="Z164" i="53"/>
  <c r="AA164" i="53"/>
  <c r="Z350" i="53"/>
  <c r="AA350" i="53"/>
  <c r="Z383" i="53"/>
  <c r="AA383" i="53"/>
  <c r="Z789" i="53"/>
  <c r="AA789" i="53"/>
  <c r="Z536" i="53"/>
  <c r="AA536" i="53"/>
  <c r="Z753" i="53"/>
  <c r="AA753" i="53"/>
  <c r="AA125" i="53"/>
  <c r="Z125" i="53"/>
  <c r="Z100" i="53"/>
  <c r="AA100" i="53"/>
  <c r="Z240" i="53"/>
  <c r="AA240" i="53"/>
  <c r="Z159" i="53"/>
  <c r="AA159" i="53"/>
  <c r="Z252" i="53"/>
  <c r="AA252" i="53"/>
  <c r="Z508" i="53"/>
  <c r="AA508" i="53"/>
  <c r="Z974" i="53"/>
  <c r="AA974" i="53"/>
  <c r="Z980" i="53"/>
  <c r="AA980" i="53"/>
  <c r="Z68" i="53"/>
  <c r="AA68" i="53"/>
  <c r="Z167" i="53"/>
  <c r="AA167" i="53"/>
  <c r="Z629" i="53"/>
  <c r="AA629" i="53"/>
  <c r="AA971" i="53"/>
  <c r="Z971" i="53"/>
  <c r="Z452" i="53"/>
  <c r="AA452" i="53"/>
  <c r="Z721" i="53"/>
  <c r="AA721" i="53"/>
  <c r="Z813" i="53"/>
  <c r="AA813" i="53"/>
  <c r="Z893" i="53"/>
  <c r="AA893" i="53"/>
  <c r="Z146" i="53"/>
  <c r="AA146" i="53"/>
  <c r="Z169" i="53"/>
  <c r="AA169" i="53"/>
  <c r="Z187" i="53"/>
  <c r="AA187" i="53"/>
  <c r="Z326" i="53"/>
  <c r="AA326" i="53"/>
  <c r="Z788" i="53"/>
  <c r="AA788" i="53"/>
  <c r="Z199" i="53"/>
  <c r="AA199" i="53"/>
  <c r="Z39" i="53"/>
  <c r="AA39" i="53"/>
  <c r="Z373" i="53"/>
  <c r="AA373" i="53"/>
  <c r="Z102" i="53"/>
  <c r="AA102" i="53"/>
  <c r="AA382" i="53"/>
  <c r="Z382" i="53"/>
  <c r="Z677" i="53"/>
  <c r="AA677" i="53"/>
  <c r="Z820" i="53"/>
  <c r="AA820" i="53"/>
  <c r="AA668" i="53"/>
  <c r="Z668" i="53"/>
  <c r="AA233" i="53"/>
  <c r="Z233" i="53"/>
  <c r="Z305" i="53"/>
  <c r="AA305" i="53"/>
  <c r="Z538" i="53"/>
  <c r="AA538" i="53"/>
  <c r="Z880" i="53"/>
  <c r="AA880" i="53"/>
  <c r="Z354" i="53"/>
  <c r="AA354" i="53"/>
  <c r="Z138" i="53"/>
  <c r="AA138" i="53"/>
  <c r="Z244" i="53"/>
  <c r="AA244" i="53"/>
  <c r="Z790" i="53"/>
  <c r="AA790" i="53"/>
  <c r="Z537" i="53"/>
  <c r="AA537" i="53"/>
  <c r="Z768" i="53"/>
  <c r="AA768" i="53"/>
  <c r="Z664" i="53"/>
  <c r="AA664" i="53"/>
  <c r="Z561" i="53"/>
  <c r="AA561" i="53"/>
  <c r="Z517" i="53"/>
  <c r="AA517" i="53"/>
  <c r="Z246" i="53"/>
  <c r="AA246" i="53"/>
  <c r="Z503" i="53"/>
  <c r="AA503" i="53"/>
  <c r="Z634" i="53"/>
  <c r="AA634" i="53"/>
  <c r="Z961" i="53"/>
  <c r="AA961" i="53"/>
  <c r="Z883" i="53"/>
  <c r="AA883" i="53"/>
  <c r="AA867" i="53"/>
  <c r="Z867" i="53"/>
  <c r="Z44" i="53"/>
  <c r="AA44" i="53"/>
  <c r="Z796" i="53"/>
  <c r="AA796" i="53"/>
  <c r="Z693" i="53"/>
  <c r="AA693" i="53"/>
  <c r="Z965" i="53"/>
  <c r="AA965" i="53"/>
  <c r="Z535" i="53"/>
  <c r="AA535" i="53"/>
  <c r="Z217" i="53"/>
  <c r="AA217" i="53"/>
  <c r="Z158" i="53"/>
  <c r="AA158" i="53"/>
  <c r="Z287" i="53"/>
  <c r="AA287" i="53"/>
  <c r="Z641" i="53"/>
  <c r="AA641" i="53"/>
  <c r="Z457" i="53"/>
  <c r="AA457" i="53"/>
  <c r="Z617" i="53"/>
  <c r="AA617" i="53"/>
  <c r="AA482" i="53"/>
  <c r="Z482" i="53"/>
  <c r="Z265" i="53"/>
  <c r="AA265" i="53"/>
  <c r="Z410" i="53"/>
  <c r="AA410" i="53"/>
  <c r="Z206" i="53"/>
  <c r="AA206" i="53"/>
  <c r="Z198" i="53"/>
  <c r="AA198" i="53"/>
  <c r="Z299" i="53"/>
  <c r="AA299" i="53"/>
  <c r="Z529" i="53"/>
  <c r="AA529" i="53"/>
  <c r="Z819" i="53"/>
  <c r="AA819" i="53"/>
  <c r="AA101" i="53"/>
  <c r="Z101" i="53"/>
  <c r="Z93" i="53"/>
  <c r="AA93" i="53"/>
  <c r="Z937" i="53"/>
  <c r="AA937" i="53"/>
  <c r="AA435" i="53"/>
  <c r="Z435" i="53"/>
  <c r="Z742" i="53"/>
  <c r="AA742" i="53"/>
  <c r="Z910" i="53"/>
  <c r="AA910" i="53"/>
  <c r="Z976" i="53"/>
  <c r="AA976" i="53"/>
  <c r="Z50" i="53"/>
  <c r="AA50" i="53"/>
  <c r="Z609" i="53"/>
  <c r="AA609" i="53"/>
  <c r="Z896" i="53"/>
  <c r="AA896" i="53"/>
  <c r="Z567" i="53"/>
  <c r="AA567" i="53"/>
  <c r="AA832" i="53"/>
  <c r="Z832" i="53"/>
  <c r="Z289" i="53"/>
  <c r="AA289" i="53"/>
  <c r="Z463" i="53"/>
  <c r="AA463" i="53"/>
  <c r="Z840" i="53"/>
  <c r="AA840" i="53"/>
  <c r="Z81" i="53"/>
  <c r="AA81" i="53"/>
  <c r="Z943" i="53"/>
  <c r="AA943" i="53"/>
  <c r="Z131" i="53"/>
  <c r="AA131" i="53"/>
  <c r="Z154" i="53"/>
  <c r="AA154" i="53"/>
  <c r="Z184" i="53"/>
  <c r="AA184" i="53"/>
  <c r="Z643" i="53"/>
  <c r="AA643" i="53"/>
  <c r="AA644" i="53"/>
  <c r="Z644" i="53"/>
  <c r="Z845" i="53"/>
  <c r="AA845" i="53"/>
  <c r="Z596" i="53"/>
  <c r="AA596" i="53"/>
  <c r="Z73" i="53"/>
  <c r="AA73" i="53"/>
  <c r="AA839" i="53"/>
  <c r="Z839" i="53"/>
  <c r="Z735" i="53"/>
  <c r="AA735" i="53"/>
  <c r="AA242" i="53"/>
  <c r="Z242" i="53"/>
  <c r="Z645" i="53"/>
  <c r="AA645" i="53"/>
  <c r="Z318" i="53"/>
  <c r="AA318" i="53"/>
  <c r="Z88" i="53"/>
  <c r="AA88" i="53"/>
  <c r="Z485" i="53"/>
  <c r="AA485" i="53"/>
  <c r="Z762" i="53"/>
  <c r="AA762" i="53"/>
  <c r="AA173" i="53"/>
  <c r="Z173" i="53"/>
  <c r="Z66" i="53"/>
  <c r="AA66" i="53"/>
  <c r="Z407" i="53"/>
  <c r="AA407" i="53"/>
  <c r="Z456" i="53"/>
  <c r="AA456" i="53"/>
  <c r="Z392" i="53"/>
  <c r="AA392" i="53"/>
  <c r="Z914" i="53"/>
  <c r="AA914" i="53"/>
  <c r="Z495" i="53"/>
  <c r="AA495" i="53"/>
  <c r="Z975" i="53"/>
  <c r="AA975" i="53"/>
  <c r="Z236" i="53"/>
  <c r="AA236" i="53"/>
  <c r="Z443" i="53"/>
  <c r="AA443" i="53"/>
  <c r="AA363" i="53"/>
  <c r="Z363" i="53"/>
  <c r="Z862" i="53"/>
  <c r="AA862" i="53"/>
  <c r="Z121" i="53"/>
  <c r="AA121" i="53"/>
  <c r="AA942" i="53"/>
  <c r="Z942" i="53"/>
  <c r="Z436" i="53"/>
  <c r="AA436" i="53"/>
  <c r="Z368" i="53"/>
  <c r="AA368" i="53"/>
  <c r="Z374" i="53"/>
  <c r="AA374" i="53"/>
  <c r="Z391" i="53"/>
  <c r="AA391" i="53"/>
  <c r="Z895" i="53"/>
  <c r="AA895" i="53"/>
  <c r="Z421" i="53"/>
  <c r="AA421" i="53"/>
  <c r="Z817" i="53"/>
  <c r="AA817" i="53"/>
  <c r="Z33" i="53"/>
  <c r="AA33" i="53"/>
  <c r="AA855" i="53"/>
  <c r="Z855" i="53"/>
  <c r="Z532" i="53"/>
  <c r="AA532" i="53"/>
  <c r="AA894" i="53"/>
  <c r="Z894" i="53"/>
  <c r="Z925" i="53"/>
  <c r="AA925" i="53"/>
  <c r="Z853" i="53"/>
  <c r="AA853" i="53"/>
  <c r="Z123" i="53"/>
  <c r="AA123" i="53"/>
  <c r="Z208" i="53"/>
  <c r="AA208" i="53"/>
  <c r="Z487" i="53"/>
  <c r="AA487" i="53"/>
  <c r="AA899" i="53"/>
  <c r="Z899" i="53"/>
  <c r="Z237" i="53"/>
  <c r="AA237" i="53"/>
  <c r="AA830" i="53"/>
  <c r="Z830" i="53"/>
  <c r="Z126" i="53"/>
  <c r="AA126" i="53"/>
  <c r="Z283" i="53"/>
  <c r="AA283" i="53"/>
  <c r="Z521" i="53"/>
  <c r="AA521" i="53"/>
  <c r="Z652" i="53"/>
  <c r="AA652" i="53"/>
  <c r="Z679" i="53"/>
  <c r="AA679" i="53"/>
  <c r="Z915" i="53"/>
  <c r="AA915" i="53"/>
  <c r="Z741" i="53"/>
  <c r="AA741" i="53"/>
  <c r="AA209" i="53"/>
  <c r="Z209" i="53"/>
  <c r="Z124" i="53"/>
  <c r="AA124" i="53"/>
  <c r="Z314" i="53"/>
  <c r="AA314" i="53"/>
  <c r="AA470" i="53"/>
  <c r="Z470" i="53"/>
  <c r="Z47" i="53"/>
  <c r="AA47" i="53"/>
  <c r="Z920" i="53"/>
  <c r="AA920" i="53"/>
  <c r="Z165" i="53"/>
  <c r="AA165" i="53"/>
  <c r="Z465" i="53"/>
  <c r="AA465" i="53"/>
  <c r="AA113" i="53"/>
  <c r="Z113" i="53"/>
  <c r="Z404" i="53"/>
  <c r="AA404" i="53"/>
  <c r="Z612" i="53"/>
  <c r="AA612" i="53"/>
  <c r="Z747" i="53"/>
  <c r="AA747" i="53"/>
  <c r="Z733" i="53"/>
  <c r="AA733" i="53"/>
  <c r="Z26" i="53"/>
  <c r="AA26" i="53"/>
  <c r="Z175" i="53"/>
  <c r="AA175" i="53"/>
  <c r="Z162" i="53"/>
  <c r="AA162" i="53"/>
  <c r="Z364" i="53"/>
  <c r="AA364" i="53"/>
  <c r="Z716" i="53"/>
  <c r="AA716" i="53"/>
  <c r="Z953" i="53"/>
  <c r="AA953" i="53"/>
  <c r="Z241" i="53"/>
  <c r="AA241" i="53"/>
  <c r="AA60" i="53"/>
  <c r="Z60" i="53"/>
  <c r="Z115" i="53"/>
  <c r="AA115" i="53"/>
  <c r="Z160" i="53"/>
  <c r="AA160" i="53"/>
  <c r="Z179" i="53"/>
  <c r="AA179" i="53"/>
  <c r="Z259" i="53"/>
  <c r="AA259" i="53"/>
  <c r="Z332" i="53"/>
  <c r="AA332" i="53"/>
  <c r="Z700" i="53"/>
  <c r="AA700" i="53"/>
  <c r="Z704" i="53"/>
  <c r="AA704" i="53"/>
  <c r="Z581" i="53"/>
  <c r="AA581" i="53"/>
  <c r="Z178" i="53"/>
  <c r="AA178" i="53"/>
  <c r="Z898" i="53"/>
  <c r="AA898" i="53"/>
  <c r="Z558" i="53"/>
  <c r="AA558" i="53"/>
  <c r="AA434" i="53"/>
  <c r="Z434" i="53"/>
  <c r="Z622" i="53"/>
  <c r="AA622" i="53"/>
  <c r="Z559" i="53"/>
  <c r="AA559" i="53"/>
  <c r="AA423" i="53"/>
  <c r="Z423" i="53"/>
  <c r="AA806" i="53"/>
  <c r="Z806" i="53"/>
  <c r="Z835" i="53"/>
  <c r="AA835" i="53"/>
  <c r="Z764" i="53"/>
  <c r="AA764" i="53"/>
  <c r="AA271" i="53"/>
  <c r="Z271" i="53"/>
  <c r="Z522" i="53"/>
  <c r="AA522" i="53"/>
  <c r="Z876" i="53"/>
  <c r="AA876" i="53"/>
  <c r="Z496" i="53"/>
  <c r="AA496" i="53"/>
  <c r="Z349" i="53"/>
  <c r="AA349" i="53"/>
  <c r="Z311" i="53"/>
  <c r="AA311" i="53"/>
  <c r="Z603" i="53"/>
  <c r="AA603" i="53"/>
  <c r="AA422" i="53"/>
  <c r="Z422" i="53"/>
  <c r="Z148" i="53"/>
  <c r="AA148" i="53"/>
  <c r="Z247" i="53"/>
  <c r="AA247" i="53"/>
  <c r="Z98" i="53"/>
  <c r="AA98" i="53"/>
  <c r="Z856" i="53"/>
  <c r="AA856" i="53"/>
  <c r="Z376" i="53"/>
  <c r="AA376" i="53"/>
  <c r="Z774" i="53"/>
  <c r="AA774" i="53"/>
  <c r="Z153" i="53"/>
  <c r="AA153" i="53"/>
  <c r="Z261" i="53"/>
  <c r="AA261" i="53"/>
  <c r="Z234" i="53"/>
  <c r="AA234" i="53"/>
  <c r="Z262" i="53"/>
  <c r="AA262" i="53"/>
  <c r="Z811" i="53"/>
  <c r="AA811" i="53"/>
  <c r="Z981" i="53"/>
  <c r="AA981" i="53"/>
  <c r="Z117" i="53"/>
  <c r="AA117" i="53"/>
  <c r="Z152" i="53"/>
  <c r="AA152" i="53"/>
  <c r="Z922" i="53"/>
  <c r="AA922" i="53"/>
  <c r="Z468" i="53"/>
  <c r="AA468" i="53"/>
  <c r="AA89" i="53"/>
  <c r="Z89" i="53"/>
  <c r="AA850" i="53"/>
  <c r="Z850" i="53"/>
  <c r="Z396" i="53"/>
  <c r="AA396" i="53"/>
  <c r="Z523" i="53"/>
  <c r="AA523" i="53"/>
  <c r="Z804" i="53"/>
  <c r="AA804" i="53"/>
  <c r="Z712" i="53"/>
  <c r="AA712" i="53"/>
  <c r="Z110" i="53"/>
  <c r="AA110" i="53"/>
  <c r="Z273" i="53"/>
  <c r="AA273" i="53"/>
  <c r="Z304" i="53"/>
  <c r="AA304" i="53"/>
  <c r="Z439" i="53"/>
  <c r="AA439" i="53"/>
  <c r="Z527" i="53"/>
  <c r="AA527" i="53"/>
  <c r="Z919" i="53"/>
  <c r="AA919" i="53"/>
  <c r="Z281" i="53"/>
  <c r="AA281" i="53"/>
  <c r="Z378" i="53"/>
  <c r="AA378" i="53"/>
  <c r="Z630" i="53"/>
  <c r="AA630" i="53"/>
  <c r="Z635" i="53"/>
  <c r="AA635" i="53"/>
  <c r="Z786" i="53"/>
  <c r="AA786" i="53"/>
  <c r="Z833" i="53"/>
  <c r="AA833" i="53"/>
  <c r="Z660" i="53"/>
  <c r="AA660" i="53"/>
  <c r="Z204" i="53"/>
  <c r="AA204" i="53"/>
  <c r="Z166" i="53"/>
  <c r="AA166" i="53"/>
  <c r="Z231" i="53"/>
  <c r="AA231" i="53"/>
  <c r="Z424" i="53"/>
  <c r="AA424" i="53"/>
  <c r="Z860" i="53"/>
  <c r="AA860" i="53"/>
  <c r="Z701" i="53"/>
  <c r="AA701" i="53"/>
  <c r="Z902" i="53"/>
  <c r="AA902" i="53"/>
  <c r="Z690" i="53"/>
  <c r="AA690" i="53"/>
  <c r="Z448" i="53"/>
  <c r="AA448" i="53"/>
  <c r="Z280" i="53"/>
  <c r="AA280" i="53"/>
  <c r="Z357" i="53"/>
  <c r="AA357" i="53"/>
  <c r="Z707" i="53"/>
  <c r="AA707" i="53"/>
  <c r="Z952" i="53"/>
  <c r="AA952" i="53"/>
  <c r="AA185" i="53"/>
  <c r="Z185" i="53"/>
  <c r="Z944" i="53"/>
  <c r="AA944" i="53"/>
  <c r="Z579" i="53"/>
  <c r="AA579" i="53"/>
  <c r="Z416" i="53"/>
  <c r="AA416" i="53"/>
  <c r="Z574" i="53"/>
  <c r="AA574" i="53"/>
  <c r="Z890" i="53"/>
  <c r="AA890" i="53"/>
  <c r="Z934" i="53"/>
  <c r="AA934" i="53"/>
  <c r="Z964" i="53"/>
  <c r="AA964" i="53"/>
  <c r="Z174" i="53"/>
  <c r="AA174" i="53"/>
  <c r="Z970" i="53"/>
  <c r="AA970" i="53"/>
  <c r="AA746" i="53"/>
  <c r="Z746" i="53"/>
  <c r="Z455" i="53"/>
  <c r="AA455" i="53"/>
  <c r="Z329" i="53"/>
  <c r="AA329" i="53"/>
  <c r="Z672" i="53"/>
  <c r="AA672" i="53"/>
  <c r="Z509" i="53"/>
  <c r="AA509" i="53"/>
  <c r="Z658" i="53"/>
  <c r="AA658" i="53"/>
  <c r="Z58" i="53"/>
  <c r="AA58" i="53"/>
  <c r="Z74" i="53"/>
  <c r="AA74" i="53"/>
  <c r="Z143" i="53"/>
  <c r="AA143" i="53"/>
  <c r="AA494" i="53"/>
  <c r="Z494" i="53"/>
  <c r="AA437" i="53"/>
  <c r="Z437" i="53"/>
  <c r="Z323" i="53"/>
  <c r="AA323" i="53"/>
  <c r="Z400" i="53"/>
  <c r="AA400" i="53"/>
  <c r="Z381" i="53"/>
  <c r="AA381" i="53"/>
  <c r="Z377" i="53"/>
  <c r="AA377" i="53"/>
  <c r="Z885" i="53"/>
  <c r="AA885" i="53"/>
  <c r="AA257" i="53"/>
  <c r="Z257" i="53"/>
  <c r="Z296" i="53"/>
  <c r="AA296" i="53"/>
  <c r="Z171" i="53"/>
  <c r="AA171" i="53"/>
  <c r="Z139" i="53"/>
  <c r="AA139" i="53"/>
  <c r="Z513" i="53"/>
  <c r="AA513" i="53"/>
  <c r="Z294" i="53"/>
  <c r="AA294" i="53"/>
  <c r="Z869" i="53"/>
  <c r="AA869" i="53"/>
  <c r="Z229" i="53"/>
  <c r="AA229" i="53"/>
  <c r="Z776" i="53"/>
  <c r="AA776" i="53"/>
  <c r="Z249" i="53"/>
  <c r="AA249" i="53"/>
  <c r="Z705" i="53"/>
  <c r="AA705" i="53"/>
  <c r="Z499" i="53"/>
  <c r="AA499" i="53"/>
  <c r="Z274" i="53"/>
  <c r="AA274" i="53"/>
  <c r="AA978" i="53"/>
  <c r="Z978" i="53"/>
  <c r="Z873" i="53"/>
  <c r="AA873" i="53"/>
  <c r="Z671" i="53"/>
  <c r="AA671" i="53"/>
  <c r="Z238" i="53"/>
  <c r="AA238" i="53"/>
  <c r="Z526" i="53"/>
  <c r="AA526" i="53"/>
  <c r="Z278" i="53"/>
  <c r="AA278" i="53"/>
  <c r="Z729" i="53"/>
  <c r="AA729" i="53"/>
  <c r="AA656" i="53"/>
  <c r="Z656" i="53"/>
  <c r="Z653" i="53"/>
  <c r="AA653" i="53"/>
  <c r="Z389" i="53"/>
  <c r="AA389" i="53"/>
  <c r="Z284" i="53"/>
  <c r="AA284" i="53"/>
  <c r="Z355" i="53"/>
  <c r="AA355" i="53"/>
  <c r="Z958" i="53"/>
  <c r="AA958" i="53"/>
  <c r="Z932" i="53"/>
  <c r="AA932" i="53"/>
  <c r="Z196" i="53"/>
  <c r="AA196" i="53"/>
  <c r="Z408" i="53"/>
  <c r="AA408" i="53"/>
  <c r="Z759" i="53"/>
  <c r="AA759" i="53"/>
  <c r="AA218" i="53"/>
  <c r="Z218" i="53"/>
  <c r="Z665" i="53"/>
  <c r="AA665" i="53"/>
  <c r="Z483" i="53"/>
  <c r="AA483" i="53"/>
  <c r="Z353" i="53"/>
  <c r="AA353" i="53"/>
  <c r="Z659" i="53"/>
  <c r="AA659" i="53"/>
  <c r="AA959" i="53"/>
  <c r="Z959" i="53"/>
  <c r="AA245" i="53"/>
  <c r="Z245" i="53"/>
  <c r="Z588" i="53"/>
  <c r="AA588" i="53"/>
  <c r="Z730" i="53"/>
  <c r="AA730" i="53"/>
  <c r="Z417" i="53"/>
  <c r="AA417" i="53"/>
  <c r="Z61" i="53"/>
  <c r="AA61" i="53"/>
  <c r="Z957" i="53"/>
  <c r="AA957" i="53"/>
  <c r="Z118" i="53"/>
  <c r="AA118" i="53"/>
  <c r="Z467" i="53"/>
  <c r="AA467" i="53"/>
  <c r="Z418" i="53"/>
  <c r="AA418" i="53"/>
  <c r="Z905" i="53"/>
  <c r="AA905" i="53"/>
  <c r="Z129" i="53"/>
  <c r="AA129" i="53"/>
  <c r="AA638" i="53"/>
  <c r="Z638" i="53"/>
  <c r="Z912" i="53"/>
  <c r="AA912" i="53"/>
  <c r="Z718" i="53"/>
  <c r="AA718" i="53"/>
  <c r="Z926" i="53"/>
  <c r="AA926" i="53"/>
  <c r="Z107" i="53"/>
  <c r="AA107" i="53"/>
  <c r="Z341" i="53"/>
  <c r="AA341" i="53"/>
  <c r="Z573" i="53"/>
  <c r="AA573" i="53"/>
  <c r="Z577" i="53"/>
  <c r="AA577" i="53"/>
  <c r="AA662" i="53"/>
  <c r="Z662" i="53"/>
  <c r="Z502" i="53"/>
  <c r="AA502" i="53"/>
  <c r="Z223" i="53"/>
  <c r="AA223" i="53"/>
  <c r="Z119" i="53"/>
  <c r="AA119" i="53"/>
  <c r="Z402" i="53"/>
  <c r="AA402" i="53"/>
  <c r="Z929" i="53"/>
  <c r="AA929" i="53"/>
  <c r="AA947" i="53"/>
  <c r="Z947" i="53"/>
  <c r="Z636" i="53"/>
  <c r="AA636" i="53"/>
  <c r="Z71" i="53"/>
  <c r="AA71" i="53"/>
  <c r="Z86" i="53"/>
  <c r="AA86" i="53"/>
  <c r="Z285" i="53"/>
  <c r="AA285" i="53"/>
  <c r="Z803" i="53"/>
  <c r="AA803" i="53"/>
  <c r="Z807" i="53"/>
  <c r="AA807" i="53"/>
  <c r="Z829" i="53"/>
  <c r="AA829" i="53"/>
  <c r="Z51" i="53"/>
  <c r="AA51" i="53"/>
  <c r="Z745" i="53"/>
  <c r="AA745" i="53"/>
  <c r="Z903" i="53"/>
  <c r="AA903" i="53"/>
  <c r="Z921" i="53"/>
  <c r="AA921" i="53"/>
  <c r="Z216" i="53"/>
  <c r="AA216" i="53"/>
  <c r="Z592" i="53"/>
  <c r="AA592" i="53"/>
  <c r="Z395" i="53"/>
  <c r="AA395" i="53"/>
  <c r="Z587" i="53"/>
  <c r="AA587" i="53"/>
  <c r="AA810" i="53"/>
  <c r="Z810" i="53"/>
  <c r="Z429" i="53"/>
  <c r="AA429" i="53"/>
  <c r="Z306" i="53"/>
  <c r="AA306" i="53"/>
  <c r="Z979" i="53"/>
  <c r="AA979" i="53"/>
  <c r="Z583" i="53"/>
  <c r="AA583" i="53"/>
  <c r="Z851" i="53"/>
  <c r="AA851" i="53"/>
  <c r="Z547" i="53"/>
  <c r="AA547" i="53"/>
  <c r="Z103" i="53"/>
  <c r="AA103" i="53"/>
  <c r="Z168" i="53"/>
  <c r="AA168" i="53"/>
  <c r="Z727" i="53"/>
  <c r="AA727" i="53"/>
  <c r="Z824" i="53"/>
  <c r="AA824" i="53"/>
  <c r="Z831" i="53"/>
  <c r="AA831" i="53"/>
  <c r="Z145" i="53"/>
  <c r="AA145" i="53"/>
  <c r="Z632" i="53"/>
  <c r="AA632" i="53"/>
  <c r="Z366" i="53"/>
  <c r="AA366" i="53"/>
  <c r="Z681" i="53"/>
  <c r="AA681" i="53"/>
  <c r="Z711" i="53"/>
  <c r="AA711" i="53"/>
  <c r="Z715" i="53"/>
  <c r="AA715" i="53"/>
  <c r="Z678" i="53"/>
  <c r="AA678" i="53"/>
  <c r="AA84" i="53"/>
  <c r="Z84" i="53"/>
  <c r="AA161" i="53"/>
  <c r="Z161" i="53"/>
  <c r="Z670" i="53"/>
  <c r="AA670" i="53"/>
  <c r="Z497" i="53"/>
  <c r="AA497" i="53"/>
  <c r="Z865" i="53"/>
  <c r="AA865" i="53"/>
  <c r="AA966" i="53"/>
  <c r="Z966" i="53"/>
  <c r="Z627" i="53"/>
  <c r="AA627" i="53"/>
  <c r="AA935" i="53"/>
  <c r="Z935" i="53"/>
  <c r="AA322" i="53"/>
  <c r="Z322" i="53"/>
  <c r="Z333" i="53"/>
  <c r="AA333" i="53"/>
  <c r="Z812" i="53"/>
  <c r="AA812" i="53"/>
  <c r="AA530" i="53"/>
  <c r="Z530" i="53"/>
  <c r="Z714" i="53"/>
  <c r="AA714" i="53"/>
  <c r="Z751" i="53"/>
  <c r="AA751" i="53"/>
  <c r="AA846" i="53"/>
  <c r="Z846" i="53"/>
  <c r="Z136" i="53"/>
  <c r="AA136" i="53"/>
  <c r="Z848" i="53"/>
  <c r="AA848" i="53"/>
  <c r="AA923" i="53"/>
  <c r="Z923" i="53"/>
  <c r="Z466" i="53"/>
  <c r="AA466" i="53"/>
  <c r="AA802" i="53"/>
  <c r="Z802" i="53"/>
  <c r="Z637" i="53"/>
  <c r="AA637" i="53"/>
  <c r="Z256" i="53"/>
  <c r="AA256" i="53"/>
  <c r="Z112" i="53"/>
  <c r="AA112" i="53"/>
  <c r="Z539" i="53"/>
  <c r="AA539" i="53"/>
  <c r="Z461" i="53"/>
  <c r="AA461" i="53"/>
  <c r="Z834" i="53"/>
  <c r="AA834" i="53"/>
  <c r="Z359" i="53"/>
  <c r="AA359" i="53"/>
  <c r="AA268" i="53"/>
  <c r="Z268" i="53"/>
  <c r="Z613" i="53"/>
  <c r="AA613" i="53"/>
  <c r="Z524" i="53"/>
  <c r="AA524" i="53"/>
  <c r="AA303" i="53"/>
  <c r="Z303" i="53"/>
  <c r="Z507" i="53"/>
  <c r="AA507" i="53"/>
  <c r="Z604" i="53"/>
  <c r="AA604" i="53"/>
  <c r="Z941" i="53"/>
  <c r="AA941" i="53"/>
  <c r="Z763" i="53"/>
  <c r="AA763" i="53"/>
  <c r="AA375" i="53"/>
  <c r="Z375" i="53"/>
  <c r="Z308" i="53"/>
  <c r="AA308" i="53"/>
  <c r="Z362" i="53"/>
  <c r="AA362" i="53"/>
  <c r="Z498" i="53"/>
  <c r="AA498" i="53"/>
  <c r="AA734" i="53"/>
  <c r="Z734" i="53"/>
  <c r="Z870" i="53"/>
  <c r="AA870" i="53"/>
  <c r="Z728" i="53"/>
  <c r="AA728" i="53"/>
  <c r="Z67" i="53"/>
  <c r="AA67" i="53"/>
  <c r="Z657" i="53"/>
  <c r="AA657" i="53"/>
  <c r="AA722" i="53"/>
  <c r="Z722" i="53"/>
  <c r="Z854" i="53"/>
  <c r="AA854" i="53"/>
  <c r="AA614" i="53"/>
  <c r="Z614" i="53"/>
  <c r="Z956" i="53"/>
  <c r="AA956" i="53"/>
  <c r="AA554" i="53"/>
  <c r="Z554" i="53"/>
  <c r="Z469" i="53"/>
  <c r="AA469" i="53"/>
  <c r="Z600" i="53"/>
  <c r="AA600" i="53"/>
  <c r="Z843" i="53"/>
  <c r="AA843" i="53"/>
  <c r="Z757" i="53"/>
  <c r="AA757" i="53"/>
  <c r="AA149" i="53"/>
  <c r="Z149" i="53"/>
  <c r="AA286" i="53"/>
  <c r="Z286" i="53"/>
  <c r="Z189" i="53"/>
  <c r="AA189" i="53"/>
  <c r="Z360" i="53"/>
  <c r="AA360" i="53"/>
  <c r="Z488" i="53"/>
  <c r="AA488" i="53"/>
  <c r="Z445" i="53"/>
  <c r="AA445" i="53"/>
  <c r="Z737" i="53"/>
  <c r="AA737" i="53"/>
  <c r="Z316" i="53"/>
  <c r="AA316" i="53"/>
  <c r="Z874" i="53"/>
  <c r="AA874" i="53"/>
  <c r="Z205" i="53"/>
  <c r="AA205" i="53"/>
  <c r="Z858" i="53"/>
  <c r="AA858" i="53"/>
  <c r="Z147" i="53"/>
  <c r="AA147" i="53"/>
  <c r="Z202" i="53"/>
  <c r="AA202" i="53"/>
  <c r="Z397" i="53"/>
  <c r="AA397" i="53"/>
  <c r="Z176" i="53"/>
  <c r="AA176" i="53"/>
  <c r="Z99" i="53"/>
  <c r="AA99" i="53"/>
  <c r="Z309" i="53"/>
  <c r="AA309" i="53"/>
  <c r="Z270" i="53"/>
  <c r="AA270" i="53"/>
  <c r="Z694" i="53"/>
  <c r="AA694" i="53"/>
  <c r="Z739" i="53"/>
  <c r="AA739" i="53"/>
  <c r="Z680" i="53"/>
  <c r="AA680" i="53"/>
  <c r="Z276" i="53"/>
  <c r="AA276" i="53"/>
  <c r="Z250" i="53"/>
  <c r="AA250" i="53"/>
  <c r="Z272" i="53"/>
  <c r="AA272" i="53"/>
  <c r="Z562" i="53"/>
  <c r="AA562" i="53"/>
  <c r="Z541" i="53"/>
  <c r="AA541" i="53"/>
  <c r="Z510" i="53"/>
  <c r="AA510" i="53"/>
  <c r="Z230" i="53"/>
  <c r="AA230" i="53"/>
  <c r="AA674" i="53"/>
  <c r="Z674" i="53"/>
  <c r="Z228" i="53"/>
  <c r="AA228" i="53"/>
  <c r="Z32" i="53"/>
  <c r="AA32" i="53"/>
  <c r="Z320" i="53"/>
  <c r="AA320" i="53"/>
  <c r="Z591" i="53"/>
  <c r="AA591" i="53"/>
  <c r="Z390" i="53"/>
  <c r="AA390" i="53"/>
  <c r="Z491" i="53"/>
  <c r="AA491" i="53"/>
  <c r="Z393" i="53"/>
  <c r="AA393" i="53"/>
  <c r="Z568" i="53"/>
  <c r="AA568" i="53"/>
  <c r="Z440" i="53"/>
  <c r="AA440" i="53"/>
  <c r="Z605" i="53"/>
  <c r="AA605" i="53"/>
  <c r="Z78" i="53"/>
  <c r="AA78" i="53"/>
  <c r="Z224" i="53"/>
  <c r="AA224" i="53"/>
  <c r="AA906" i="53"/>
  <c r="Z906" i="53"/>
  <c r="Z624" i="53"/>
  <c r="AA624" i="53"/>
  <c r="Z713" i="53"/>
  <c r="AA713" i="53"/>
  <c r="Z130" i="53"/>
  <c r="AA130" i="53"/>
  <c r="Z79" i="53"/>
  <c r="AA79" i="53"/>
  <c r="Z775" i="53"/>
  <c r="AA775" i="53"/>
  <c r="Z49" i="53"/>
  <c r="AA49" i="53"/>
  <c r="Z155" i="53"/>
  <c r="AA155" i="53"/>
  <c r="Z25" i="53"/>
  <c r="AA25" i="53"/>
  <c r="Z703" i="53"/>
  <c r="AA703" i="53"/>
  <c r="Z331" i="53"/>
  <c r="AA331" i="53"/>
  <c r="Z795" i="53"/>
  <c r="AA795" i="53"/>
  <c r="Z916" i="53"/>
  <c r="AA916" i="53"/>
  <c r="Z226" i="53"/>
  <c r="AA226" i="53"/>
  <c r="Z433" i="53"/>
  <c r="AA433" i="53"/>
  <c r="Z55" i="53"/>
  <c r="AA55" i="53"/>
  <c r="Z413" i="53"/>
  <c r="AA413" i="53"/>
  <c r="AA279" i="53"/>
  <c r="Z279" i="53"/>
  <c r="Z821" i="53"/>
  <c r="AA821" i="53"/>
  <c r="Z825" i="53"/>
  <c r="AA825" i="53"/>
  <c r="Z800" i="53"/>
  <c r="AA800" i="53"/>
  <c r="Z563" i="53"/>
  <c r="AA563" i="53"/>
  <c r="AA239" i="53"/>
  <c r="Z239" i="53"/>
  <c r="Z625" i="53"/>
  <c r="AA625" i="53"/>
  <c r="Z564" i="53"/>
  <c r="AA564" i="53"/>
  <c r="Z371" i="53"/>
  <c r="AA371" i="53"/>
  <c r="Z412" i="53"/>
  <c r="AA412" i="53"/>
  <c r="Z663" i="53"/>
  <c r="AA663" i="53"/>
  <c r="Z924" i="53"/>
  <c r="AA924" i="53"/>
  <c r="AA156" i="53"/>
  <c r="Z156" i="53"/>
  <c r="Z275" i="53"/>
  <c r="AA275" i="53"/>
  <c r="Z633" i="53"/>
  <c r="AA633" i="53"/>
  <c r="Z548" i="53"/>
  <c r="AA548" i="53"/>
  <c r="Z490" i="53"/>
  <c r="AA490" i="53"/>
  <c r="Z69" i="53"/>
  <c r="AA69" i="53"/>
  <c r="Z476" i="53"/>
  <c r="AA476" i="53"/>
  <c r="Z292" i="53"/>
  <c r="AA292" i="53"/>
  <c r="Z598" i="53"/>
  <c r="AA598" i="53"/>
  <c r="Z472" i="53"/>
  <c r="AA472" i="53"/>
  <c r="Z31" i="53"/>
  <c r="AA31" i="53"/>
  <c r="Z569" i="53"/>
  <c r="AA569" i="53"/>
  <c r="AA590" i="53"/>
  <c r="Z590" i="53"/>
  <c r="Z691" i="53"/>
  <c r="AA691" i="53"/>
  <c r="AA180" i="53"/>
  <c r="Z180" i="53"/>
  <c r="Z186" i="53"/>
  <c r="AA186" i="53"/>
  <c r="Z766" i="53"/>
  <c r="AA766" i="53"/>
  <c r="Z500" i="53"/>
  <c r="AA500" i="53"/>
  <c r="Z479" i="53"/>
  <c r="AA479" i="53"/>
  <c r="AA882" i="53"/>
  <c r="Z882" i="53"/>
  <c r="AA871" i="53"/>
  <c r="Z871" i="53"/>
  <c r="Z857" i="53"/>
  <c r="AA857" i="53"/>
  <c r="AA918" i="53"/>
  <c r="Z918" i="53"/>
  <c r="Z940" i="53"/>
  <c r="AA940" i="53"/>
  <c r="Z928" i="53"/>
  <c r="AA928" i="53"/>
  <c r="Z37" i="53"/>
  <c r="AA37" i="53"/>
  <c r="Z94" i="53"/>
  <c r="AA94" i="53"/>
  <c r="Z473" i="53"/>
  <c r="AA473" i="53"/>
  <c r="Z313" i="53"/>
  <c r="AA313" i="53"/>
  <c r="Z552" i="53"/>
  <c r="AA552" i="53"/>
  <c r="Z654" i="53"/>
  <c r="AA654" i="53"/>
  <c r="Z347" i="53"/>
  <c r="AA347" i="53"/>
  <c r="Z699" i="53"/>
  <c r="AA699" i="53"/>
  <c r="Z302" i="53"/>
  <c r="AA302" i="53"/>
  <c r="Z453" i="53"/>
  <c r="AA453" i="53"/>
  <c r="Z546" i="53"/>
  <c r="AA546" i="53"/>
  <c r="Z260" i="53"/>
  <c r="AA260" i="53"/>
  <c r="Z140" i="53"/>
  <c r="AA140" i="53"/>
  <c r="AA650" i="53"/>
  <c r="Z650" i="53"/>
  <c r="Z141" i="53"/>
  <c r="AA141" i="53"/>
  <c r="Z621" i="53"/>
  <c r="AA621" i="53"/>
  <c r="Z754" i="53"/>
  <c r="AA754" i="53"/>
  <c r="Z56" i="53"/>
  <c r="AA56" i="53"/>
  <c r="AA861" i="53"/>
  <c r="Z861" i="53"/>
  <c r="Z207" i="53"/>
  <c r="AA207" i="53"/>
  <c r="AA232" i="53"/>
  <c r="Z232" i="53"/>
  <c r="AA72" i="53"/>
  <c r="Z72" i="53"/>
  <c r="Z595" i="53"/>
  <c r="AA595" i="53"/>
  <c r="Z736" i="53"/>
  <c r="AA736" i="53"/>
  <c r="Z655" i="53"/>
  <c r="AA655" i="53"/>
  <c r="AA137" i="53"/>
  <c r="Z137" i="53"/>
  <c r="Z64" i="53"/>
  <c r="AA64" i="53"/>
  <c r="Z726" i="53"/>
  <c r="AA726" i="53"/>
  <c r="AA446" i="53"/>
  <c r="Z446" i="53"/>
  <c r="AA838" i="53"/>
  <c r="Z838" i="53"/>
  <c r="Z571" i="53"/>
  <c r="AA571" i="53"/>
  <c r="Z607" i="53"/>
  <c r="AA607" i="53"/>
  <c r="Z946" i="53"/>
  <c r="AA946" i="53"/>
  <c r="Z248" i="53"/>
  <c r="AA248" i="53"/>
  <c r="Z540" i="53"/>
  <c r="AA540" i="53"/>
  <c r="Z343" i="53"/>
  <c r="AA343" i="53"/>
  <c r="Z780" i="53"/>
  <c r="AA780" i="53"/>
  <c r="Z793" i="53"/>
  <c r="AA793" i="53"/>
  <c r="Z511" i="53"/>
  <c r="AA511" i="53"/>
  <c r="Z300" i="53"/>
  <c r="AA300" i="53"/>
  <c r="Z748" i="53"/>
  <c r="AA748" i="53"/>
  <c r="Z816" i="53"/>
  <c r="AA816" i="53"/>
  <c r="Z201" i="53"/>
  <c r="AA201" i="53"/>
  <c r="Z427" i="53"/>
  <c r="AA427" i="53"/>
  <c r="AA351" i="53"/>
  <c r="Z351" i="53"/>
  <c r="AA444" i="53"/>
  <c r="Z444" i="53"/>
  <c r="Z142" i="53"/>
  <c r="AA142" i="53"/>
  <c r="Z616" i="53"/>
  <c r="AA616" i="53"/>
  <c r="Z480" i="53"/>
  <c r="AA480" i="53"/>
  <c r="Z38" i="53"/>
  <c r="AA38" i="53"/>
  <c r="Z580" i="53"/>
  <c r="AA580" i="53"/>
  <c r="AA887" i="53"/>
  <c r="Z887" i="53"/>
  <c r="AA291" i="53"/>
  <c r="Z291" i="53"/>
  <c r="Z963" i="53"/>
  <c r="AA963" i="53"/>
  <c r="AA399" i="53"/>
  <c r="Z399" i="53"/>
  <c r="Z765" i="53"/>
  <c r="AA765" i="53"/>
  <c r="Z210" i="53"/>
  <c r="AA210" i="53"/>
  <c r="Z325" i="53"/>
  <c r="AA325" i="53"/>
  <c r="Z767" i="53"/>
  <c r="AA767" i="53"/>
  <c r="Z384" i="53"/>
  <c r="AA384" i="53"/>
  <c r="Z282" i="53"/>
  <c r="AA282" i="53"/>
  <c r="Z372" i="53"/>
  <c r="AA372" i="53"/>
  <c r="Z80" i="53"/>
  <c r="AA80" i="53"/>
  <c r="Z505" i="53"/>
  <c r="AA505" i="53"/>
  <c r="Z781" i="53"/>
  <c r="AA781" i="53"/>
  <c r="Z501" i="53"/>
  <c r="AA501" i="53"/>
  <c r="Z43" i="53"/>
  <c r="AA43" i="53"/>
  <c r="Z317" i="53"/>
  <c r="AA317" i="53"/>
  <c r="Z682" i="53"/>
  <c r="AA682" i="53"/>
  <c r="Z689" i="53"/>
  <c r="AA689" i="53"/>
  <c r="Z85" i="53"/>
  <c r="AA85" i="53"/>
  <c r="Z493" i="53"/>
  <c r="AA493" i="53"/>
  <c r="Z403" i="53"/>
  <c r="AA403" i="53"/>
  <c r="Z337" i="53"/>
  <c r="AA337" i="53"/>
  <c r="Z837" i="53"/>
  <c r="AA837" i="53"/>
  <c r="Z827" i="53"/>
  <c r="AA827" i="53"/>
  <c r="Z931" i="53"/>
  <c r="AA931" i="53"/>
  <c r="Z783" i="53"/>
  <c r="AA783" i="53"/>
  <c r="Z76" i="53"/>
  <c r="AA76" i="53"/>
  <c r="Z785" i="53"/>
  <c r="AA785" i="53"/>
  <c r="AA29" i="53"/>
  <c r="Z29" i="53"/>
  <c r="Z570" i="53"/>
  <c r="AA570" i="53"/>
  <c r="Z460" i="53"/>
  <c r="AA460" i="53"/>
  <c r="Z462" i="53"/>
  <c r="AA462" i="53"/>
  <c r="Z962" i="53"/>
  <c r="AA962" i="53"/>
  <c r="Z949" i="53"/>
  <c r="AA949" i="53"/>
  <c r="Z97" i="53"/>
  <c r="AA97" i="53"/>
  <c r="Z62" i="53"/>
  <c r="AA62" i="53"/>
  <c r="Z194" i="53"/>
  <c r="AA194" i="53"/>
  <c r="Z63" i="53"/>
  <c r="AA63" i="53"/>
  <c r="Z879" i="53"/>
  <c r="AA879" i="53"/>
  <c r="Z778" i="53"/>
  <c r="AA778" i="53"/>
  <c r="Z263" i="53"/>
  <c r="AA263" i="53"/>
  <c r="AA215" i="53"/>
  <c r="Z215" i="53"/>
  <c r="Z83" i="53"/>
  <c r="AA83" i="53"/>
  <c r="Z543" i="53"/>
  <c r="AA543" i="53"/>
  <c r="Z723" i="53"/>
  <c r="AA723" i="53"/>
  <c r="AA859" i="53"/>
  <c r="Z859" i="53"/>
  <c r="Z30" i="53"/>
  <c r="AA30" i="53"/>
  <c r="Z182" i="53"/>
  <c r="AA182" i="53"/>
  <c r="Z441" i="53"/>
  <c r="AA441" i="53"/>
  <c r="Z104" i="53"/>
  <c r="AA104" i="53"/>
  <c r="Z582" i="53"/>
  <c r="AA582" i="53"/>
  <c r="Z489" i="53"/>
  <c r="AA489" i="53"/>
  <c r="Z442" i="53"/>
  <c r="AA442" i="53"/>
  <c r="Z913" i="53"/>
  <c r="AA913" i="53"/>
  <c r="Z597" i="53"/>
  <c r="AA597" i="53"/>
  <c r="Z881" i="53"/>
  <c r="AA881" i="53"/>
  <c r="AA782" i="53"/>
  <c r="Z782" i="53"/>
  <c r="Z771" i="53"/>
  <c r="AA771" i="53"/>
  <c r="Z661" i="53"/>
  <c r="AA661" i="53"/>
  <c r="Z584" i="53"/>
  <c r="AA584" i="53"/>
  <c r="Z575" i="53"/>
  <c r="AA575" i="53"/>
  <c r="Z756" i="53"/>
  <c r="AA756" i="53"/>
  <c r="Z528" i="53"/>
  <c r="AA528" i="53"/>
  <c r="Z385" i="53"/>
  <c r="AA385" i="53"/>
  <c r="AA758" i="53"/>
  <c r="Z758" i="53"/>
  <c r="Z695" i="53"/>
  <c r="AA695" i="53"/>
  <c r="Z692" i="53"/>
  <c r="AA692" i="53"/>
  <c r="Z478" i="53"/>
  <c r="AA478" i="53"/>
  <c r="Z516" i="53"/>
  <c r="AA516" i="53"/>
  <c r="AA327" i="53"/>
  <c r="Z327" i="53"/>
  <c r="Z428" i="53"/>
  <c r="AA428" i="53"/>
  <c r="AA458" i="53"/>
  <c r="Z458" i="53"/>
  <c r="Z181" i="53"/>
  <c r="AA181" i="53"/>
  <c r="Z550" i="53"/>
  <c r="AA550" i="53"/>
  <c r="Z471" i="53"/>
  <c r="AA471" i="53"/>
  <c r="Z52" i="53"/>
  <c r="AA52" i="53"/>
  <c r="Z227" i="53"/>
  <c r="AA227" i="53"/>
  <c r="Z307" i="53"/>
  <c r="AA307" i="53"/>
  <c r="AA310" i="53"/>
  <c r="Z310" i="53"/>
  <c r="Z884" i="53"/>
  <c r="AA884" i="53"/>
  <c r="Z369" i="53"/>
  <c r="AA369" i="53"/>
  <c r="Z295" i="53"/>
  <c r="AA295" i="53"/>
  <c r="Z576" i="53"/>
  <c r="AA576" i="53"/>
  <c r="Z799" i="53"/>
  <c r="AA799" i="53"/>
  <c r="Z889" i="53"/>
  <c r="AA889" i="53"/>
  <c r="AA315" i="53"/>
  <c r="Z315" i="53"/>
  <c r="AA602" i="53"/>
  <c r="Z602" i="53"/>
  <c r="Z324" i="53"/>
  <c r="AA324" i="53"/>
  <c r="Z409" i="53"/>
  <c r="AA409" i="53"/>
  <c r="Z594" i="53"/>
  <c r="AA594" i="53"/>
  <c r="AA192" i="53"/>
  <c r="Z192" i="53"/>
  <c r="Z950" i="53"/>
  <c r="AA950" i="53"/>
  <c r="Z688" i="53"/>
  <c r="AA688" i="53"/>
  <c r="Z784" i="53"/>
  <c r="AA784" i="53"/>
  <c r="Z593" i="53"/>
  <c r="AA593" i="53"/>
  <c r="Z105" i="53"/>
  <c r="AA105" i="53"/>
  <c r="Z151" i="53"/>
  <c r="AA151" i="53"/>
  <c r="Z481" i="53"/>
  <c r="AA481" i="53"/>
  <c r="Z297" i="53"/>
  <c r="AA297" i="53"/>
  <c r="Z431" i="53"/>
  <c r="AA431" i="53"/>
  <c r="Z108" i="53"/>
  <c r="AA108" i="53"/>
  <c r="Z91" i="53"/>
  <c r="AA91" i="53"/>
  <c r="Z135" i="53"/>
  <c r="AA135" i="53"/>
  <c r="Z321" i="53"/>
  <c r="AA321" i="53"/>
  <c r="Z872" i="53"/>
  <c r="AA872" i="53"/>
  <c r="AA818" i="53"/>
  <c r="Z818" i="53"/>
  <c r="Z828" i="53"/>
  <c r="AA828" i="53"/>
  <c r="AA41" i="53"/>
  <c r="Z41" i="53"/>
  <c r="Z133" i="53"/>
  <c r="AA133" i="53"/>
  <c r="Z195" i="53"/>
  <c r="AA195" i="53"/>
  <c r="Z96" i="53"/>
  <c r="AA96" i="53"/>
  <c r="Z214" i="53"/>
  <c r="AA214" i="53"/>
  <c r="Z917" i="53"/>
  <c r="AA917" i="53"/>
  <c r="Z945" i="53"/>
  <c r="AA945" i="53"/>
  <c r="Z648" i="53"/>
  <c r="AA648" i="53"/>
  <c r="Z696" i="53"/>
  <c r="AA696" i="53"/>
  <c r="Z45" i="53"/>
  <c r="AA45" i="53"/>
  <c r="Z886" i="53"/>
  <c r="AA886" i="53"/>
  <c r="Z414" i="53"/>
  <c r="AA414" i="53"/>
  <c r="Z365" i="53"/>
  <c r="AA365" i="53"/>
  <c r="Z823" i="53"/>
  <c r="AA823" i="53"/>
  <c r="Z908" i="53"/>
  <c r="AA908" i="53"/>
  <c r="Z951" i="53"/>
  <c r="AA951" i="53"/>
  <c r="Z42" i="53"/>
  <c r="AA42" i="53"/>
  <c r="Z555" i="53"/>
  <c r="AA555" i="53"/>
  <c r="Z420" i="53"/>
  <c r="AA420" i="53"/>
  <c r="Z720" i="53"/>
  <c r="AA720" i="53"/>
  <c r="AA197" i="53"/>
  <c r="Z197" i="53"/>
  <c r="Z972" i="53"/>
  <c r="AA972" i="53"/>
  <c r="Z57" i="53"/>
  <c r="AA57" i="53"/>
  <c r="Z222" i="53"/>
  <c r="AA222" i="53"/>
  <c r="AA177" i="53"/>
  <c r="Z177" i="53"/>
  <c r="Z432" i="53"/>
  <c r="AA432" i="53"/>
  <c r="Z127" i="53"/>
  <c r="AA127" i="53"/>
  <c r="Z706" i="53"/>
  <c r="AA706" i="53"/>
  <c r="Z525" i="53"/>
  <c r="AA525" i="53"/>
  <c r="Z868" i="53"/>
  <c r="AA868" i="53"/>
  <c r="Z900" i="53"/>
  <c r="AA900" i="53"/>
  <c r="Z451" i="53"/>
  <c r="AA451" i="53"/>
  <c r="Z267" i="53"/>
  <c r="AA267" i="53"/>
  <c r="Z40" i="53"/>
  <c r="AA40" i="53"/>
  <c r="AA506" i="53"/>
  <c r="Z506" i="53"/>
  <c r="Z769" i="53"/>
  <c r="AA769" i="53"/>
  <c r="AA77" i="53"/>
  <c r="Z77" i="53"/>
  <c r="Z348" i="53"/>
  <c r="AA348" i="53"/>
  <c r="Z430" i="53"/>
  <c r="AA430" i="53"/>
  <c r="Z651" i="53"/>
  <c r="AA651" i="53"/>
  <c r="AA346" i="53"/>
  <c r="Z346" i="53"/>
  <c r="AA235" i="53"/>
  <c r="Z235" i="53"/>
  <c r="Z954" i="53"/>
  <c r="AA954" i="53"/>
  <c r="Z243" i="53"/>
  <c r="AA243" i="53"/>
  <c r="Z70" i="53"/>
  <c r="AA70" i="53"/>
  <c r="Z95" i="53"/>
  <c r="AA95" i="53"/>
  <c r="Z901" i="53"/>
  <c r="AA901" i="53"/>
  <c r="Z683" i="53"/>
  <c r="AA683" i="53"/>
  <c r="Z792" i="53"/>
  <c r="AA792" i="53"/>
  <c r="Z936" i="53"/>
  <c r="AA936" i="53"/>
  <c r="Z610" i="53"/>
  <c r="AA610" i="53"/>
  <c r="Z251" i="53"/>
  <c r="AA251" i="53"/>
  <c r="Z708" i="53"/>
  <c r="AA708" i="53"/>
  <c r="Z755" i="53"/>
  <c r="AA755" i="53"/>
  <c r="Z955" i="53"/>
  <c r="AA955" i="53"/>
  <c r="Z675" i="53"/>
  <c r="AA675" i="53"/>
  <c r="Z948" i="53"/>
  <c r="AA948" i="53"/>
  <c r="Z897" i="53"/>
  <c r="AA897" i="53"/>
  <c r="Z319" i="53"/>
  <c r="AA319" i="53"/>
  <c r="Z134" i="53"/>
  <c r="AA134" i="53"/>
  <c r="Z960" i="53"/>
  <c r="AA960" i="53"/>
  <c r="Z183" i="53"/>
  <c r="AA183" i="53"/>
  <c r="Z732" i="53"/>
  <c r="AA732" i="53"/>
  <c r="Z864" i="53"/>
  <c r="AA864" i="53"/>
  <c r="Z565" i="53"/>
  <c r="AA565" i="53"/>
  <c r="Z608" i="53"/>
  <c r="AA608" i="53"/>
  <c r="Z266" i="53"/>
  <c r="AA266" i="53"/>
  <c r="Z301" i="53"/>
  <c r="AA301" i="53"/>
  <c r="Z743" i="53"/>
  <c r="AA743" i="53"/>
  <c r="Z264" i="53"/>
  <c r="AA264" i="53"/>
  <c r="Z474" i="53"/>
  <c r="AA474" i="53"/>
  <c r="Z586" i="53"/>
  <c r="AA586" i="53"/>
  <c r="Z749" i="53"/>
  <c r="AA749" i="53"/>
  <c r="AA411" i="53"/>
  <c r="Z411" i="53"/>
  <c r="Z344" i="53"/>
  <c r="AA344" i="53"/>
  <c r="Z977" i="53"/>
  <c r="AA977" i="53"/>
  <c r="Z356" i="53"/>
  <c r="AA356" i="53"/>
  <c r="Z779" i="53"/>
  <c r="AA779" i="53"/>
  <c r="Z888" i="53"/>
  <c r="AA888" i="53"/>
  <c r="Z144" i="53"/>
  <c r="AA144" i="53"/>
  <c r="Z620" i="53"/>
  <c r="AA620" i="53"/>
  <c r="Z132" i="53"/>
  <c r="AA132" i="53"/>
  <c r="Z59" i="53"/>
  <c r="AA59" i="53"/>
  <c r="Z477" i="53"/>
  <c r="AA477" i="53"/>
  <c r="AA698" i="53"/>
  <c r="Z698" i="53"/>
  <c r="Z454" i="53"/>
  <c r="AA454" i="53"/>
  <c r="Z193" i="53"/>
  <c r="AA193" i="53"/>
  <c r="Z772" i="53"/>
  <c r="AA772" i="53"/>
  <c r="AA405" i="53"/>
  <c r="Z405" i="53"/>
  <c r="Z933" i="53"/>
  <c r="AA933" i="53"/>
  <c r="Z798" i="53"/>
  <c r="AA798" i="53"/>
  <c r="Z809" i="53"/>
  <c r="AA809" i="53"/>
  <c r="AA53" i="53"/>
  <c r="Z53" i="53"/>
  <c r="Z254" i="53"/>
  <c r="AA254" i="53"/>
  <c r="AA334" i="53"/>
  <c r="Z334" i="53"/>
  <c r="AA221" i="53"/>
  <c r="Z221" i="53"/>
  <c r="AA710" i="53"/>
  <c r="Z710" i="53"/>
  <c r="Z777" i="53"/>
  <c r="AA777" i="53"/>
  <c r="Z109" i="53"/>
  <c r="AA109" i="53"/>
  <c r="Z35" i="53"/>
  <c r="AA35" i="53"/>
  <c r="Z28" i="53"/>
  <c r="AA28" i="53"/>
  <c r="Z649" i="53"/>
  <c r="AA649" i="53"/>
  <c r="Z157" i="53"/>
  <c r="AA157" i="53"/>
  <c r="Z504" i="53"/>
  <c r="AA504" i="53"/>
  <c r="Z545" i="53"/>
  <c r="AA545" i="53"/>
  <c r="Z717" i="53"/>
  <c r="AA717" i="53"/>
  <c r="AA65" i="53"/>
  <c r="Z65" i="53"/>
  <c r="AA930" i="53"/>
  <c r="Z930" i="53"/>
  <c r="Z82" i="53"/>
  <c r="AA82" i="53"/>
  <c r="Z791" i="53"/>
  <c r="AA791" i="53"/>
  <c r="Z750" i="53"/>
  <c r="AA750" i="53"/>
  <c r="AA626" i="53"/>
  <c r="Z626" i="53"/>
  <c r="AA666" i="53"/>
  <c r="Z666" i="53"/>
  <c r="Z619" i="53"/>
  <c r="AA619" i="53"/>
  <c r="Z667" i="53"/>
  <c r="AA667" i="53"/>
  <c r="Z75" i="53"/>
  <c r="AA75" i="53"/>
  <c r="Z328" i="53"/>
  <c r="AA328" i="53"/>
  <c r="AA447" i="53"/>
  <c r="Z447" i="53"/>
  <c r="Z892" i="53"/>
  <c r="AA892" i="53"/>
  <c r="Z640" i="53"/>
  <c r="AA640" i="53"/>
  <c r="Z909" i="53"/>
  <c r="AA909" i="53"/>
  <c r="Z623" i="53"/>
  <c r="AA623" i="53"/>
  <c r="Z676" i="53"/>
  <c r="AA676" i="53"/>
  <c r="Z345" i="53"/>
  <c r="AA345" i="53"/>
  <c r="Z731" i="53"/>
  <c r="AA731" i="53"/>
  <c r="AA847" i="53"/>
  <c r="Z847" i="53"/>
  <c r="AA822" i="53"/>
  <c r="Z822" i="53"/>
  <c r="Z520" i="53"/>
  <c r="AA520" i="53"/>
  <c r="Z669" i="53"/>
  <c r="AA669" i="53"/>
  <c r="Z116" i="53"/>
  <c r="AA116" i="53"/>
  <c r="Z330" i="53"/>
  <c r="AA330" i="53"/>
  <c r="AA269" i="53"/>
  <c r="Z269" i="53"/>
  <c r="AA298" i="53"/>
  <c r="Z298" i="53"/>
  <c r="AA814" i="53"/>
  <c r="Z814" i="53"/>
  <c r="Z203" i="53"/>
  <c r="AA203" i="53"/>
  <c r="Z878" i="53"/>
  <c r="AA878" i="53"/>
  <c r="Z386" i="53"/>
  <c r="AA386" i="53"/>
  <c r="Z560" i="53"/>
  <c r="AA560" i="53"/>
  <c r="Z702" i="53"/>
  <c r="AA702" i="53"/>
  <c r="AA438" i="53"/>
  <c r="Z438" i="53"/>
  <c r="Z891" i="53"/>
  <c r="AA891" i="53"/>
  <c r="AA172" i="53"/>
  <c r="Z172" i="53"/>
  <c r="Z697" i="53"/>
  <c r="AA697" i="53"/>
  <c r="AA450" i="53"/>
  <c r="Z450" i="53"/>
  <c r="Z969" i="53"/>
  <c r="AA969" i="53"/>
  <c r="Z904" i="53"/>
  <c r="AA904" i="53"/>
  <c r="Z815" i="53"/>
  <c r="AA815" i="53"/>
  <c r="Z515" i="53"/>
  <c r="AA515" i="53"/>
  <c r="Z419" i="53"/>
  <c r="AA419" i="53"/>
  <c r="AA370" i="53"/>
  <c r="Z370" i="53"/>
  <c r="Z336" i="53"/>
  <c r="AA336" i="53"/>
  <c r="Z639" i="53"/>
  <c r="AA639" i="53"/>
  <c r="Z684" i="53"/>
  <c r="AA684" i="53"/>
  <c r="Z628" i="53"/>
  <c r="AA628" i="53"/>
  <c r="Z190" i="53"/>
  <c r="AA190" i="53"/>
  <c r="Z599" i="53"/>
  <c r="AA599" i="53"/>
  <c r="Z277" i="53"/>
  <c r="AA277" i="53"/>
  <c r="AA686" i="53"/>
  <c r="Z686" i="53"/>
  <c r="Z844" i="53"/>
  <c r="AA844" i="53"/>
  <c r="Z631" i="53"/>
  <c r="AA631" i="53"/>
  <c r="Z797" i="53"/>
  <c r="AA797" i="53"/>
  <c r="Z170" i="53"/>
  <c r="AA170" i="53"/>
  <c r="Z106" i="53"/>
  <c r="AA106" i="53"/>
  <c r="Z335" i="53"/>
  <c r="AA335" i="53"/>
  <c r="Z642" i="53"/>
  <c r="AA642" i="53"/>
  <c r="AA394" i="53"/>
  <c r="Z394" i="53"/>
  <c r="Z808" i="53"/>
  <c r="AA808" i="53"/>
  <c r="Z533" i="53"/>
  <c r="AA533" i="53"/>
  <c r="Z938" i="53"/>
  <c r="AA938" i="53"/>
  <c r="Z255" i="53"/>
  <c r="AA255" i="53"/>
  <c r="Z601" i="53"/>
  <c r="AA601" i="53"/>
  <c r="Z92" i="53"/>
  <c r="AA92" i="53"/>
  <c r="Z673" i="53"/>
  <c r="AA673" i="53"/>
  <c r="Z752" i="53"/>
  <c r="AA752" i="53"/>
  <c r="Z425" i="53"/>
  <c r="AA425" i="53"/>
  <c r="AA36" i="53"/>
  <c r="Z36" i="53"/>
  <c r="Z122" i="53"/>
  <c r="AA122" i="53"/>
  <c r="Z647" i="53"/>
  <c r="AA647" i="53"/>
  <c r="Z191" i="53"/>
  <c r="AA191" i="53"/>
  <c r="Z877" i="53"/>
  <c r="AA877" i="53"/>
  <c r="AA48" i="53"/>
  <c r="Z48" i="53"/>
  <c r="Z760" i="53"/>
  <c r="AA760" i="53"/>
  <c r="Z709" i="53"/>
  <c r="AA709" i="53"/>
  <c r="Z90" i="53"/>
  <c r="AA90" i="53"/>
  <c r="Z352" i="53"/>
  <c r="AA352" i="53"/>
  <c r="Z464" i="53"/>
  <c r="AA464" i="53"/>
  <c r="Z114" i="53"/>
  <c r="AA114" i="53"/>
  <c r="Z852" i="53"/>
  <c r="AA852" i="53"/>
  <c r="Z927" i="53"/>
  <c r="AA927" i="53"/>
  <c r="Z519" i="53"/>
  <c r="AA519" i="53"/>
  <c r="AA549" i="53"/>
  <c r="Z549" i="53"/>
  <c r="Z907" i="53"/>
  <c r="AA907" i="53"/>
  <c r="Z225" i="53"/>
  <c r="AA225" i="53"/>
  <c r="Z150" i="53"/>
  <c r="AA150" i="53"/>
  <c r="AA387" i="53"/>
  <c r="Z387" i="53"/>
  <c r="Z128" i="53"/>
  <c r="AA128" i="53"/>
  <c r="Z719" i="53"/>
  <c r="AA719" i="53"/>
  <c r="Z611" i="53"/>
  <c r="AA611" i="53"/>
  <c r="Z27" i="53"/>
  <c r="AA27" i="53"/>
  <c r="Z219" i="53"/>
  <c r="AA219" i="53"/>
  <c r="Z492" i="53"/>
  <c r="AA492" i="53"/>
  <c r="Z544" i="53"/>
  <c r="AA544" i="53"/>
  <c r="Z120" i="53"/>
  <c r="AA120" i="53"/>
  <c r="Z398" i="53"/>
  <c r="AA398" i="53"/>
  <c r="Z589" i="53"/>
  <c r="AA589" i="53"/>
  <c r="Z724" i="53"/>
  <c r="AA724" i="53"/>
  <c r="Z787" i="53"/>
  <c r="AA787" i="53"/>
  <c r="Z744" i="53"/>
  <c r="AA744" i="53"/>
  <c r="Z512" i="53"/>
  <c r="AA512" i="53"/>
  <c r="Z449" i="53"/>
  <c r="AA449" i="53"/>
  <c r="AA770" i="53"/>
  <c r="Z770" i="53"/>
  <c r="AA578" i="53"/>
  <c r="Z578" i="53"/>
  <c r="AA358" i="53"/>
  <c r="Z358" i="53"/>
  <c r="Z531" i="53"/>
  <c r="AA531" i="53"/>
  <c r="Z973" i="53"/>
  <c r="AA973" i="53"/>
  <c r="Z34" i="53"/>
  <c r="AA34" i="53"/>
  <c r="Z312" i="53"/>
  <c r="AA312" i="53"/>
  <c r="Z805" i="53"/>
  <c r="AA805" i="53"/>
  <c r="Z618" i="53"/>
  <c r="AA618" i="53"/>
  <c r="Z761" i="53"/>
  <c r="AA761" i="53"/>
  <c r="Z968" i="53"/>
  <c r="AA968" i="53"/>
  <c r="Z188" i="53"/>
  <c r="AA188" i="53"/>
  <c r="Z200" i="53"/>
  <c r="AA200" i="53"/>
  <c r="Z557" i="53"/>
  <c r="AA557" i="53"/>
  <c r="Z773" i="53"/>
  <c r="AA773" i="53"/>
  <c r="Z213" i="53"/>
  <c r="AA213" i="53"/>
  <c r="Z685" i="53"/>
  <c r="AA685" i="53"/>
  <c r="Z646" i="53"/>
  <c r="AA646" i="53"/>
  <c r="AA794" i="53"/>
  <c r="Z794" i="53"/>
  <c r="Z212" i="53"/>
  <c r="AA212" i="53"/>
  <c r="AA566" i="53"/>
  <c r="Z566" i="53"/>
  <c r="Z801" i="53"/>
  <c r="AA801" i="53"/>
  <c r="Z401" i="53"/>
  <c r="AA401" i="53"/>
  <c r="Z514" i="53"/>
  <c r="AA514" i="53"/>
  <c r="Z740" i="53"/>
  <c r="AA740" i="53"/>
  <c r="Z379" i="53"/>
  <c r="AA379" i="53"/>
  <c r="Z253" i="53"/>
  <c r="AA253" i="53"/>
  <c r="Z836" i="53"/>
  <c r="AA836" i="53"/>
  <c r="Z54" i="53"/>
  <c r="AA54" i="53"/>
  <c r="Z288" i="53"/>
  <c r="AA288" i="53"/>
  <c r="Z475" i="53"/>
  <c r="AA475" i="53"/>
  <c r="Z220" i="53"/>
  <c r="AA220" i="53"/>
  <c r="Z111" i="53"/>
  <c r="AA111" i="53"/>
  <c r="Z863" i="53"/>
  <c r="AA863" i="53"/>
  <c r="Z866" i="53"/>
  <c r="AA866" i="53"/>
  <c r="AA875" i="53"/>
  <c r="Z875" i="53"/>
  <c r="AA211" i="53"/>
  <c r="Z211" i="53"/>
  <c r="AA911" i="53"/>
  <c r="Z911" i="53"/>
  <c r="Z258" i="53"/>
  <c r="AA258" i="53"/>
  <c r="Z459" i="53"/>
  <c r="AA459" i="53"/>
  <c r="Z426" i="53"/>
  <c r="AA426" i="53"/>
  <c r="AA542" i="53"/>
  <c r="Z542" i="53"/>
  <c r="Z606" i="53"/>
  <c r="AA606" i="53"/>
  <c r="Z388" i="53"/>
  <c r="AA388" i="53"/>
  <c r="AA826" i="53"/>
  <c r="Z826" i="53"/>
  <c r="AA339" i="53"/>
  <c r="Z339" i="53"/>
  <c r="Z293" i="53"/>
  <c r="AA293" i="53"/>
  <c r="Z367" i="53"/>
  <c r="AA367" i="53"/>
  <c r="AA406" i="53"/>
  <c r="Z406" i="53"/>
  <c r="Z725" i="53"/>
  <c r="AA725" i="53"/>
  <c r="Z163" i="53"/>
  <c r="AA163" i="53"/>
  <c r="AA24" i="55"/>
  <c r="Z24" i="55"/>
  <c r="AA23" i="55"/>
  <c r="Z23" i="55"/>
  <c r="AA24" i="53"/>
  <c r="Z24" i="53"/>
  <c r="AA23" i="53"/>
  <c r="Z23" i="53"/>
  <c r="Z23" i="54"/>
  <c r="AA23" i="54"/>
  <c r="W16" i="54" l="1"/>
  <c r="W16" i="53"/>
  <c r="W16" i="55"/>
  <c r="W15" i="55"/>
  <c r="W15" i="54"/>
  <c r="W15"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AC3" authorId="0" shapeId="0" xr:uid="{210BB595-D894-422C-A98E-B14C85C59A5F}">
      <text>
        <r>
          <rPr>
            <b/>
            <sz val="9"/>
            <color indexed="81"/>
            <rFont val="Tahoma"/>
            <family val="2"/>
            <charset val="238"/>
          </rPr>
          <t>Jan Bilík:</t>
        </r>
        <r>
          <rPr>
            <sz val="9"/>
            <color indexed="81"/>
            <rFont val="Tahoma"/>
            <family val="2"/>
            <charset val="238"/>
          </rPr>
          <t xml:space="preserve">
Výpočet slevy</t>
        </r>
      </text>
    </comment>
    <comment ref="AR3" authorId="0" shapeId="0" xr:uid="{823B2097-2ECE-49EB-A3B5-6C2740BCF376}">
      <text>
        <r>
          <rPr>
            <b/>
            <sz val="9"/>
            <color indexed="81"/>
            <rFont val="Tahoma"/>
            <family val="2"/>
            <charset val="238"/>
          </rPr>
          <t>Jan Bilík:</t>
        </r>
        <r>
          <rPr>
            <sz val="9"/>
            <color indexed="81"/>
            <rFont val="Tahoma"/>
            <family val="2"/>
            <charset val="238"/>
          </rPr>
          <t xml:space="preserve">
ASI NEPOTŘEBNÝ VZOREC
</t>
        </r>
      </text>
    </comment>
    <comment ref="AR4" authorId="0" shapeId="0" xr:uid="{96CC470F-4E29-486E-B0B3-F0041A87D420}">
      <text>
        <r>
          <rPr>
            <b/>
            <sz val="9"/>
            <color indexed="81"/>
            <rFont val="Tahoma"/>
            <family val="2"/>
            <charset val="238"/>
          </rPr>
          <t>Výsledná měna pro PL ceník</t>
        </r>
        <r>
          <rPr>
            <sz val="9"/>
            <color indexed="81"/>
            <rFont val="Tahoma"/>
            <family val="2"/>
            <charset val="238"/>
          </rPr>
          <t xml:space="preserve">
</t>
        </r>
      </text>
    </comment>
    <comment ref="AC6" authorId="0" shapeId="0" xr:uid="{BA62F81E-5206-43CF-A3A1-2CDC7EB09203}">
      <text>
        <r>
          <rPr>
            <b/>
            <sz val="9"/>
            <color indexed="81"/>
            <rFont val="Tahoma"/>
            <family val="2"/>
            <charset val="238"/>
          </rPr>
          <t>Jan Bilík:</t>
        </r>
        <r>
          <rPr>
            <sz val="9"/>
            <color indexed="81"/>
            <rFont val="Tahoma"/>
            <family val="2"/>
            <charset val="238"/>
          </rPr>
          <t xml:space="preserve">
Palety / VK</t>
        </r>
      </text>
    </comment>
    <comment ref="AC7" authorId="0" shapeId="0" xr:uid="{4F7F030C-C497-4269-850F-CB58FB945EF4}">
      <text>
        <r>
          <rPr>
            <b/>
            <sz val="9"/>
            <color indexed="81"/>
            <rFont val="Tahoma"/>
            <family val="2"/>
            <charset val="238"/>
          </rPr>
          <t>Jan Bilík:</t>
        </r>
        <r>
          <rPr>
            <sz val="9"/>
            <color indexed="81"/>
            <rFont val="Tahoma"/>
            <family val="2"/>
            <charset val="238"/>
          </rPr>
          <t xml:space="preserve">
Volba jazyka</t>
        </r>
      </text>
    </comment>
    <comment ref="P15" authorId="0" shapeId="0" xr:uid="{6DFD518D-1D3F-4330-8D1F-FE4C360372DC}">
      <text>
        <r>
          <rPr>
            <b/>
            <sz val="9"/>
            <color indexed="81"/>
            <rFont val="Tahoma"/>
            <family val="2"/>
            <charset val="238"/>
          </rPr>
          <t>Jan Bilík:</t>
        </r>
        <r>
          <rPr>
            <sz val="9"/>
            <color indexed="81"/>
            <rFont val="Tahoma"/>
            <family val="2"/>
            <charset val="238"/>
          </rPr>
          <t xml:space="preserve">
Výsledná množstevní sleva</t>
        </r>
      </text>
    </comment>
    <comment ref="F22" authorId="0" shapeId="0" xr:uid="{E68D58DC-AAA3-4F2E-B6F0-9362FEA69674}">
      <text/>
    </comment>
    <comment ref="C23" authorId="0" shapeId="0" xr:uid="{4EE65525-8D37-4123-A468-3AB6D9DE0343}">
      <text>
        <r>
          <rPr>
            <b/>
            <sz val="12"/>
            <color indexed="81"/>
            <rFont val="Arial Black"/>
            <family val="2"/>
            <charset val="238"/>
          </rPr>
          <t>NEW ARTICLE!</t>
        </r>
      </text>
    </comment>
    <comment ref="F23" authorId="0" shapeId="0" xr:uid="{B50A1ECF-AC66-40D1-9652-44580D644164}">
      <text/>
    </comment>
    <comment ref="C29" authorId="0" shapeId="0" xr:uid="{C3032D88-0B02-495B-B415-7E78D8070005}">
      <text>
        <r>
          <rPr>
            <b/>
            <sz val="12"/>
            <color indexed="81"/>
            <rFont val="Arial Black"/>
            <family val="2"/>
            <charset val="238"/>
          </rPr>
          <t>NEW ARTICLE!</t>
        </r>
      </text>
    </comment>
    <comment ref="C31" authorId="0" shapeId="0" xr:uid="{82386569-5A4A-4786-9522-FA765CA123B7}">
      <text>
        <r>
          <rPr>
            <b/>
            <sz val="12"/>
            <color indexed="81"/>
            <rFont val="Arial Black"/>
            <family val="2"/>
            <charset val="238"/>
          </rPr>
          <t>NEW ARTICLE!</t>
        </r>
      </text>
    </comment>
    <comment ref="C33" authorId="0" shapeId="0" xr:uid="{D86B4C67-C285-4C4E-86EA-B7FD64B00605}">
      <text>
        <r>
          <rPr>
            <b/>
            <sz val="12"/>
            <color indexed="81"/>
            <rFont val="Arial Black"/>
            <family val="2"/>
            <charset val="238"/>
          </rPr>
          <t>NEW ARTICLE!</t>
        </r>
      </text>
    </comment>
    <comment ref="C35" authorId="0" shapeId="0" xr:uid="{0EFA1CBB-B706-48C4-8AC9-41B225755AA2}">
      <text>
        <r>
          <rPr>
            <b/>
            <sz val="12"/>
            <color indexed="81"/>
            <rFont val="Arial Black"/>
            <family val="2"/>
            <charset val="238"/>
          </rPr>
          <t>NEW ARTICLE!</t>
        </r>
      </text>
    </comment>
    <comment ref="C36" authorId="0" shapeId="0" xr:uid="{1BE78984-2B91-4EAE-AB92-757CDB32B8FC}">
      <text>
        <r>
          <rPr>
            <b/>
            <sz val="12"/>
            <color indexed="81"/>
            <rFont val="Arial Black"/>
            <family val="2"/>
            <charset val="238"/>
          </rPr>
          <t>NEW DESIGN</t>
        </r>
      </text>
    </comment>
    <comment ref="C38" authorId="0" shapeId="0" xr:uid="{D53B3046-D36D-4431-ADE6-5794EAF3C300}">
      <text>
        <r>
          <rPr>
            <b/>
            <sz val="12"/>
            <color indexed="81"/>
            <rFont val="Arial Black"/>
            <family val="2"/>
            <charset val="238"/>
          </rPr>
          <t>NEW ARTICLE!</t>
        </r>
      </text>
    </comment>
    <comment ref="C50" authorId="0" shapeId="0" xr:uid="{3ABD39C3-371A-4666-A498-A7046CC79D66}">
      <text>
        <r>
          <rPr>
            <b/>
            <sz val="12"/>
            <color indexed="81"/>
            <rFont val="Arial Black"/>
            <family val="2"/>
            <charset val="238"/>
          </rPr>
          <t>NEW ARTICLE!</t>
        </r>
      </text>
    </comment>
    <comment ref="C62" authorId="0" shapeId="0" xr:uid="{8E4BC6C5-B264-4C33-95C7-5BF17EC58E50}">
      <text>
        <r>
          <rPr>
            <b/>
            <sz val="12"/>
            <color indexed="81"/>
            <rFont val="Arial Black"/>
            <family val="2"/>
            <charset val="238"/>
          </rPr>
          <t>NEW DESIGN</t>
        </r>
      </text>
    </comment>
    <comment ref="C64" authorId="0" shapeId="0" xr:uid="{57B5BAA6-D420-4EA8-BDAC-23E1B8A0A900}">
      <text>
        <r>
          <rPr>
            <b/>
            <sz val="12"/>
            <color indexed="81"/>
            <rFont val="Arial Black"/>
            <family val="2"/>
            <charset val="238"/>
          </rPr>
          <t>NEW ARTICLE!</t>
        </r>
      </text>
    </comment>
    <comment ref="F83" authorId="0" shapeId="0" xr:uid="{EE3A9F7B-B0FF-459A-AB40-A73AF6A5050D}">
      <text/>
    </comment>
    <comment ref="F84" authorId="0" shapeId="0" xr:uid="{F21D67AC-172E-43A4-B70A-35DAADC61A45}">
      <text/>
    </comment>
    <comment ref="F86" authorId="0" shapeId="0" xr:uid="{8ADE489F-F30D-4AE5-B251-EDEC604C7E23}">
      <text/>
    </comment>
    <comment ref="F89" authorId="0" shapeId="0" xr:uid="{A5D42811-58F3-496E-848D-24F113AB1F1E}">
      <text/>
    </comment>
    <comment ref="F93" authorId="0" shapeId="0" xr:uid="{90521AF7-026C-47FC-A0D3-153F26258C79}">
      <text/>
    </comment>
    <comment ref="F94" authorId="0" shapeId="0" xr:uid="{130D81B7-AB0C-4AD2-8A64-F073C24895E2}">
      <text/>
    </comment>
    <comment ref="F96" authorId="0" shapeId="0" xr:uid="{8DFFA901-0B2E-4B76-B917-F696CE6D9191}">
      <text>
        <r>
          <rPr>
            <sz val="9"/>
            <color indexed="81"/>
            <rFont val="Tahoma"/>
            <family val="2"/>
            <charset val="238"/>
          </rPr>
          <t xml:space="preserve">
</t>
        </r>
      </text>
    </comment>
    <comment ref="F116" authorId="0" shapeId="0" xr:uid="{80C16D4B-5802-4EB5-97EB-C3550BAF3131}">
      <text>
        <r>
          <rPr>
            <sz val="9"/>
            <color indexed="81"/>
            <rFont val="Tahoma"/>
            <family val="2"/>
            <charset val="238"/>
          </rPr>
          <t xml:space="preserve">
</t>
        </r>
      </text>
    </comment>
    <comment ref="F118" authorId="0" shapeId="0" xr:uid="{74D06C3F-3730-4D53-A535-D028830D0166}">
      <text>
        <r>
          <rPr>
            <sz val="9"/>
            <color indexed="81"/>
            <rFont val="Tahoma"/>
            <family val="2"/>
            <charset val="238"/>
          </rPr>
          <t xml:space="preserve">
</t>
        </r>
      </text>
    </comment>
    <comment ref="F119" authorId="0" shapeId="0" xr:uid="{803542E1-6C55-40D6-9297-EFA218A425D7}">
      <text>
        <r>
          <rPr>
            <sz val="9"/>
            <color indexed="81"/>
            <rFont val="Tahoma"/>
            <family val="2"/>
            <charset val="238"/>
          </rPr>
          <t xml:space="preserve">
</t>
        </r>
      </text>
    </comment>
    <comment ref="F120" authorId="0" shapeId="0" xr:uid="{12C81B6A-5D1B-4313-9258-09ECDA9279DB}">
      <text>
        <r>
          <rPr>
            <sz val="9"/>
            <color indexed="81"/>
            <rFont val="Tahoma"/>
            <family val="2"/>
            <charset val="238"/>
          </rPr>
          <t xml:space="preserve">
</t>
        </r>
      </text>
    </comment>
    <comment ref="F121" authorId="0" shapeId="0" xr:uid="{38C8EEAF-DA2A-4CA7-AAD3-6FEEB7CB958C}">
      <text>
        <r>
          <rPr>
            <sz val="9"/>
            <color indexed="81"/>
            <rFont val="Tahoma"/>
            <family val="2"/>
            <charset val="238"/>
          </rPr>
          <t xml:space="preserve">
</t>
        </r>
      </text>
    </comment>
    <comment ref="F133" authorId="0" shapeId="0" xr:uid="{9A747A31-485A-4A01-9EDF-61A4B68C63AF}">
      <text/>
    </comment>
    <comment ref="F149" authorId="0" shapeId="0" xr:uid="{1A5A75C7-CE1E-439B-A224-5E9DC06AA110}">
      <text/>
    </comment>
    <comment ref="C152" authorId="0" shapeId="0" xr:uid="{BF3274BC-C179-436C-A7E5-DFC230FD1957}">
      <text>
        <r>
          <rPr>
            <b/>
            <sz val="12"/>
            <color indexed="81"/>
            <rFont val="Arial Black"/>
            <family val="2"/>
            <charset val="238"/>
          </rPr>
          <t>NEW ARTICLE!</t>
        </r>
      </text>
    </comment>
    <comment ref="F152" authorId="0" shapeId="0" xr:uid="{48B59F54-1868-4A49-A7D5-EE87C1031FCE}">
      <text/>
    </comment>
    <comment ref="F154" authorId="0" shapeId="0" xr:uid="{1F671188-507C-4987-A60F-B34A228871FA}">
      <text/>
    </comment>
    <comment ref="F155" authorId="0" shapeId="0" xr:uid="{4541B0D9-74AD-4A6B-AD81-CD1AA5762229}">
      <text/>
    </comment>
    <comment ref="F156" authorId="0" shapeId="0" xr:uid="{543E5C51-FFE9-484E-85F2-C0308A6E5C22}">
      <text/>
    </comment>
    <comment ref="F157" authorId="0" shapeId="0" xr:uid="{23143117-11B2-4756-AB0F-AF9B66C05711}">
      <text/>
    </comment>
    <comment ref="F159" authorId="0" shapeId="0" xr:uid="{676E69D4-10C2-4602-B291-78334D9F75CC}">
      <text/>
    </comment>
    <comment ref="F160" authorId="0" shapeId="0" xr:uid="{D209F88E-6875-4242-9D13-1F76BCB44F7A}">
      <text/>
    </comment>
    <comment ref="F161" authorId="0" shapeId="0" xr:uid="{5CDBF781-B3F4-4048-9034-3CA42C359E47}">
      <text/>
    </comment>
    <comment ref="F162" authorId="0" shapeId="0" xr:uid="{D7A40AEF-F1C8-44D5-BFA3-9DB2ADD99A70}">
      <text/>
    </comment>
    <comment ref="F164" authorId="0" shapeId="0" xr:uid="{004F4E77-646D-4CA5-BD0A-EB7F0C754F71}">
      <text>
        <r>
          <rPr>
            <sz val="9"/>
            <color indexed="81"/>
            <rFont val="Tahoma"/>
            <family val="2"/>
            <charset val="238"/>
          </rPr>
          <t xml:space="preserve">
</t>
        </r>
      </text>
    </comment>
    <comment ref="F166" authorId="0" shapeId="0" xr:uid="{F0914A87-33CF-4A98-A94F-0066340C71DA}">
      <text/>
    </comment>
    <comment ref="F171" authorId="0" shapeId="0" xr:uid="{92B876E2-8DDA-4336-8AAA-19D79B8127F9}">
      <text/>
    </comment>
    <comment ref="F175" authorId="0" shapeId="0" xr:uid="{C7C3F849-90A2-4948-A3B5-EC43B206BCB2}">
      <text/>
    </comment>
    <comment ref="F176" authorId="0" shapeId="0" xr:uid="{BA299347-CCD7-4729-B214-88CE423D1511}">
      <text/>
    </comment>
    <comment ref="F177" authorId="0" shapeId="0" xr:uid="{CFF146A6-6461-46A4-A3A0-DE8DF98830A8}">
      <text/>
    </comment>
    <comment ref="F178" authorId="0" shapeId="0" xr:uid="{031A2BBD-0B9C-4E24-B614-791666A9AB32}">
      <text/>
    </comment>
    <comment ref="C184" authorId="0" shapeId="0" xr:uid="{22336167-A4C5-4737-91A7-F9B7262D1E78}">
      <text>
        <r>
          <rPr>
            <b/>
            <sz val="12"/>
            <color indexed="81"/>
            <rFont val="Arial Black"/>
            <family val="2"/>
            <charset val="238"/>
          </rPr>
          <t>NEW ARTICLE!</t>
        </r>
      </text>
    </comment>
    <comment ref="F195" authorId="0" shapeId="0" xr:uid="{0B8A751F-4351-4BF8-B446-698E6DB4A323}">
      <text/>
    </comment>
    <comment ref="C203" authorId="0" shapeId="0" xr:uid="{D24BC1D1-87AA-44EA-92EE-BFD0C2C8E872}">
      <text>
        <r>
          <rPr>
            <b/>
            <sz val="12"/>
            <color indexed="81"/>
            <rFont val="Arial Black"/>
            <family val="2"/>
            <charset val="238"/>
          </rPr>
          <t>NEW ARTICLE!</t>
        </r>
      </text>
    </comment>
    <comment ref="C204" authorId="0" shapeId="0" xr:uid="{D6D9EF6D-BCF3-414E-AC55-155F02C5F5C5}">
      <text>
        <r>
          <rPr>
            <b/>
            <sz val="12"/>
            <color indexed="81"/>
            <rFont val="Arial Black"/>
            <family val="2"/>
            <charset val="238"/>
          </rPr>
          <t>NEW ARTICLE!</t>
        </r>
      </text>
    </comment>
    <comment ref="C212" authorId="0" shapeId="0" xr:uid="{52338F14-595A-47D2-BF05-FECB909D65A1}">
      <text>
        <r>
          <rPr>
            <b/>
            <sz val="12"/>
            <color indexed="81"/>
            <rFont val="Arial Black"/>
            <family val="2"/>
            <charset val="238"/>
          </rPr>
          <t>NEW ARTICLE!</t>
        </r>
      </text>
    </comment>
    <comment ref="C213" authorId="0" shapeId="0" xr:uid="{4315BC8C-E12B-4C9C-9EE5-C309C4F62345}">
      <text>
        <r>
          <rPr>
            <b/>
            <sz val="12"/>
            <color indexed="81"/>
            <rFont val="Arial Black"/>
            <family val="2"/>
            <charset val="238"/>
          </rPr>
          <t>NEW ARTICLE!</t>
        </r>
      </text>
    </comment>
    <comment ref="C217" authorId="0" shapeId="0" xr:uid="{B56E245A-920E-444F-8AE6-0BA6A7E72184}">
      <text>
        <r>
          <rPr>
            <b/>
            <sz val="12"/>
            <color indexed="81"/>
            <rFont val="Arial Black"/>
            <family val="2"/>
            <charset val="238"/>
          </rPr>
          <t>NEW ARTICLE!</t>
        </r>
      </text>
    </comment>
    <comment ref="F244" authorId="0" shapeId="0" xr:uid="{2EC400B1-3CB1-4661-8D66-E1A8ACCA8293}">
      <text/>
    </comment>
    <comment ref="F255" authorId="0" shapeId="0" xr:uid="{D82C6711-F50A-44B0-99E5-15A0680B8EBD}">
      <text/>
    </comment>
    <comment ref="F256" authorId="0" shapeId="0" xr:uid="{90255786-0D22-4CEB-AFA3-0B99EF36EC7F}">
      <text/>
    </comment>
    <comment ref="F257" authorId="0" shapeId="0" xr:uid="{BEF50989-3E56-4BF0-BDDA-94DCABE66377}">
      <text/>
    </comment>
    <comment ref="F258" authorId="0" shapeId="0" xr:uid="{3D545780-2BF7-42E0-86AA-B1469AEAA8BA}">
      <text/>
    </comment>
    <comment ref="C261" authorId="0" shapeId="0" xr:uid="{87DC4E02-D4B1-4314-977D-3F335F791233}">
      <text>
        <r>
          <rPr>
            <b/>
            <sz val="12"/>
            <color indexed="81"/>
            <rFont val="Arial Black"/>
            <family val="2"/>
            <charset val="238"/>
          </rPr>
          <t>NEW ARTICLE!</t>
        </r>
      </text>
    </comment>
    <comment ref="C266" authorId="0" shapeId="0" xr:uid="{0FB2ECC3-EC16-4749-B93D-FE40B6F143D2}">
      <text>
        <r>
          <rPr>
            <b/>
            <sz val="12"/>
            <color indexed="81"/>
            <rFont val="Arial Black"/>
            <family val="2"/>
            <charset val="238"/>
          </rPr>
          <t>NEW ARTICLE!</t>
        </r>
      </text>
    </comment>
    <comment ref="F270" authorId="0" shapeId="0" xr:uid="{5CF6B227-BA51-4F45-A4A6-B87FB8817410}">
      <text/>
    </comment>
    <comment ref="F280" authorId="0" shapeId="0" xr:uid="{BE34C1B6-15C4-401B-84B2-A9CB9491BE4F}">
      <text/>
    </comment>
    <comment ref="C283" authorId="0" shapeId="0" xr:uid="{C767C70B-E25A-4370-8F05-A3108EE09F86}">
      <text>
        <r>
          <rPr>
            <b/>
            <sz val="12"/>
            <color indexed="81"/>
            <rFont val="Arial Black"/>
            <family val="2"/>
            <charset val="238"/>
          </rPr>
          <t>NEW ARTICLE!</t>
        </r>
      </text>
    </comment>
    <comment ref="F283" authorId="0" shapeId="0" xr:uid="{440CAE94-6A04-4434-B92E-F028A87452CF}">
      <text/>
    </comment>
    <comment ref="F348" authorId="0" shapeId="0" xr:uid="{813869A0-2B5D-48C6-AEAB-F6E1F1E6699D}">
      <text>
        <r>
          <rPr>
            <sz val="9"/>
            <color indexed="81"/>
            <rFont val="Tahoma"/>
            <family val="2"/>
            <charset val="238"/>
          </rPr>
          <t xml:space="preserve">
</t>
        </r>
      </text>
    </comment>
    <comment ref="F349" authorId="0" shapeId="0" xr:uid="{CE193082-89C5-4BAD-916C-AAFED86E2171}">
      <text>
        <r>
          <rPr>
            <sz val="9"/>
            <color indexed="81"/>
            <rFont val="Tahoma"/>
            <family val="2"/>
            <charset val="238"/>
          </rPr>
          <t xml:space="preserve">
</t>
        </r>
      </text>
    </comment>
    <comment ref="C360" authorId="0" shapeId="0" xr:uid="{D03A0320-9EBB-4006-9DDE-82307DE8AE69}">
      <text>
        <r>
          <rPr>
            <b/>
            <sz val="12"/>
            <color indexed="81"/>
            <rFont val="Arial Black"/>
            <family val="2"/>
            <charset val="238"/>
          </rPr>
          <t>NEW ARTICLE!</t>
        </r>
      </text>
    </comment>
    <comment ref="C380" authorId="0" shapeId="0" xr:uid="{1A634FBC-67E7-4CAE-A930-7F1735D25A8D}">
      <text>
        <r>
          <rPr>
            <b/>
            <sz val="12"/>
            <color indexed="81"/>
            <rFont val="Arial Black"/>
            <family val="2"/>
            <charset val="238"/>
          </rPr>
          <t>NEW ARTICLE!</t>
        </r>
      </text>
    </comment>
    <comment ref="C386" authorId="0" shapeId="0" xr:uid="{94B00F7F-4CB8-49AD-AADD-625735A9A574}">
      <text>
        <r>
          <rPr>
            <b/>
            <sz val="12"/>
            <color indexed="81"/>
            <rFont val="Arial Black"/>
            <family val="2"/>
            <charset val="238"/>
          </rPr>
          <t>NEW ARTICLE!</t>
        </r>
      </text>
    </comment>
    <comment ref="C388" authorId="0" shapeId="0" xr:uid="{6992B943-EED0-43B9-8375-6F7482409C52}">
      <text>
        <r>
          <rPr>
            <b/>
            <sz val="12"/>
            <color indexed="81"/>
            <rFont val="Arial Black"/>
            <family val="2"/>
            <charset val="238"/>
          </rPr>
          <t>NEW ARTICLE!</t>
        </r>
      </text>
    </comment>
    <comment ref="C389" authorId="0" shapeId="0" xr:uid="{08A54CB3-9384-40C4-B3CF-44D2B0E13FD6}">
      <text>
        <r>
          <rPr>
            <b/>
            <sz val="12"/>
            <color indexed="81"/>
            <rFont val="Arial Black"/>
            <family val="2"/>
            <charset val="238"/>
          </rPr>
          <t>NEW ARTICLE!</t>
        </r>
      </text>
    </comment>
    <comment ref="F393" authorId="0" shapeId="0" xr:uid="{EC1A5105-B05E-4288-8EA0-0377A107B098}">
      <text/>
    </comment>
    <comment ref="F394" authorId="0" shapeId="0" xr:uid="{78219ECD-E1A0-4032-9BAE-EBEDAFB728D9}">
      <text/>
    </comment>
    <comment ref="F398" authorId="0" shapeId="0" xr:uid="{70F3D146-A123-459E-B860-96E5FEB55B99}">
      <text/>
    </comment>
    <comment ref="F399" authorId="0" shapeId="0" xr:uid="{3083B966-684A-49B1-9CDD-41576D1E6A8F}">
      <text/>
    </comment>
    <comment ref="C400" authorId="0" shapeId="0" xr:uid="{179F982F-9F21-457F-9448-66A962755F09}">
      <text>
        <r>
          <rPr>
            <b/>
            <sz val="12"/>
            <color indexed="81"/>
            <rFont val="Arial Black"/>
            <family val="2"/>
            <charset val="238"/>
          </rPr>
          <t>NEW DESIGN</t>
        </r>
      </text>
    </comment>
    <comment ref="F400" authorId="0" shapeId="0" xr:uid="{CF07897A-2EDB-4646-9DD1-F37660EBAAC1}">
      <text/>
    </comment>
    <comment ref="F401" authorId="0" shapeId="0" xr:uid="{955CEC8D-C78C-48CC-BE26-A89CC3770B1C}">
      <text/>
    </comment>
    <comment ref="F403" authorId="0" shapeId="0" xr:uid="{2C74E218-4626-4D18-A8F4-AA2EDD7843FD}">
      <text/>
    </comment>
    <comment ref="F404" authorId="0" shapeId="0" xr:uid="{A9ECBFF2-BC03-4A3C-A89A-ABC1FEC5E275}">
      <text/>
    </comment>
    <comment ref="F409" authorId="0" shapeId="0" xr:uid="{A5A1A041-D9FB-43FB-8EB0-CE66BC9F0531}">
      <text/>
    </comment>
    <comment ref="F411" authorId="0" shapeId="0" xr:uid="{664CA585-D486-45FC-897F-BA57568C432C}">
      <text/>
    </comment>
    <comment ref="F412" authorId="0" shapeId="0" xr:uid="{00C0E0D2-E3F3-4B59-B863-D73107FE3562}">
      <text/>
    </comment>
    <comment ref="F413" authorId="0" shapeId="0" xr:uid="{3B75DB69-3E29-47DA-A92C-6152B05C7C5F}">
      <text/>
    </comment>
    <comment ref="F414" authorId="0" shapeId="0" xr:uid="{479F62C0-C03D-49CD-AC40-F529909F082C}">
      <text/>
    </comment>
    <comment ref="F415" authorId="0" shapeId="0" xr:uid="{FAAD8FD8-6DEE-4FA1-9D63-31EFE8A4BCFC}">
      <text/>
    </comment>
    <comment ref="F416" authorId="0" shapeId="0" xr:uid="{24A5B3C7-CE42-4D9F-A1AF-B0078B506EED}">
      <text/>
    </comment>
    <comment ref="F417" authorId="0" shapeId="0" xr:uid="{380BEC1A-0712-481A-B68B-9B592ED1835A}">
      <text/>
    </comment>
    <comment ref="F418" authorId="0" shapeId="0" xr:uid="{E1FD8CE0-9F41-4C12-B4BF-7A526F58426C}">
      <text/>
    </comment>
    <comment ref="F420" authorId="0" shapeId="0" xr:uid="{FBFDDC59-B8E5-4C6D-8AC9-8BCAD5816724}">
      <text/>
    </comment>
    <comment ref="F421" authorId="0" shapeId="0" xr:uid="{C5566125-6F95-497A-A2DB-E7353B90C0C1}">
      <text/>
    </comment>
    <comment ref="F422" authorId="0" shapeId="0" xr:uid="{83D29AB7-0AD4-415F-B358-A70EC8C10063}">
      <text/>
    </comment>
    <comment ref="F424" authorId="0" shapeId="0" xr:uid="{A077E09B-57FA-40C8-A558-1F9153B90324}">
      <text/>
    </comment>
    <comment ref="F426" authorId="0" shapeId="0" xr:uid="{DFD0BEB3-DA59-4032-8321-0687761ABBA5}">
      <text/>
    </comment>
    <comment ref="F429" authorId="0" shapeId="0" xr:uid="{9E3740EA-49F2-49AA-99A9-025839F62359}">
      <text/>
    </comment>
    <comment ref="F431" authorId="0" shapeId="0" xr:uid="{204AC79D-0707-45D4-B52C-817566861B1D}">
      <text/>
    </comment>
    <comment ref="F432" authorId="0" shapeId="0" xr:uid="{52A1C429-C303-4127-8800-5A2FAF332E2D}">
      <text/>
    </comment>
    <comment ref="F433" authorId="0" shapeId="0" xr:uid="{74AC0F5D-A6E5-447E-B8CA-FB3328309D9C}">
      <text/>
    </comment>
    <comment ref="F435" authorId="0" shapeId="0" xr:uid="{37D7FD68-C99C-4AAD-B9D5-29E0CD41EC06}">
      <text/>
    </comment>
    <comment ref="F436" authorId="0" shapeId="0" xr:uid="{A6E9E329-7ABE-4195-8A4D-B3BA2FFD456B}">
      <text/>
    </comment>
    <comment ref="F438" authorId="0" shapeId="0" xr:uid="{7329C6D2-12DB-44C1-9C0E-8A0B4F7A5087}">
      <text/>
    </comment>
    <comment ref="F439" authorId="0" shapeId="0" xr:uid="{A51A183E-EB97-4369-B0E6-522B82F137C8}">
      <text/>
    </comment>
    <comment ref="F440" authorId="0" shapeId="0" xr:uid="{4B7ACFCE-635D-4B10-97B7-1D3AA412139C}">
      <text/>
    </comment>
    <comment ref="F442" authorId="0" shapeId="0" xr:uid="{68D322AC-F2DF-43C2-8D36-1EC5EB7DE5A2}">
      <text/>
    </comment>
    <comment ref="F444" authorId="0" shapeId="0" xr:uid="{40E3058D-2781-45EF-BD42-5E0174987557}">
      <text/>
    </comment>
    <comment ref="F445" authorId="0" shapeId="0" xr:uid="{75B56D26-2BF4-4D33-A9B5-FF12AE82EF9A}">
      <text/>
    </comment>
    <comment ref="F446" authorId="0" shapeId="0" xr:uid="{50D7EDEA-A027-475C-909A-B0D22D6F75E0}">
      <text/>
    </comment>
    <comment ref="F447" authorId="0" shapeId="0" xr:uid="{8CB7991B-AAD9-4790-A68E-C4386C1CB263}">
      <text/>
    </comment>
    <comment ref="F449" authorId="0" shapeId="0" xr:uid="{DAEE4BF5-D527-4957-9393-49D70777CFA7}">
      <text/>
    </comment>
    <comment ref="F457" authorId="0" shapeId="0" xr:uid="{E03A6A25-F5F0-46AE-B06D-62A596256B0D}">
      <text/>
    </comment>
    <comment ref="F458" authorId="0" shapeId="0" xr:uid="{A475839D-FFCF-4354-9534-9CDD7EA525AE}">
      <text/>
    </comment>
    <comment ref="F460" authorId="0" shapeId="0" xr:uid="{6C63CB84-B9E7-4F89-A970-8FCB4D08AF46}">
      <text/>
    </comment>
    <comment ref="F461" authorId="0" shapeId="0" xr:uid="{3EDB18F0-FC58-49CF-8843-6E38060E39F5}">
      <text/>
    </comment>
    <comment ref="F462" authorId="0" shapeId="0" xr:uid="{CB68446B-D766-4F55-AD5D-110CEEC7373E}">
      <text/>
    </comment>
    <comment ref="F469" authorId="0" shapeId="0" xr:uid="{AC590650-5F69-4BFA-AEA2-B33A46A5223E}">
      <text/>
    </comment>
    <comment ref="F471" authorId="0" shapeId="0" xr:uid="{9095FBD8-2E44-4FC0-916B-C5CF78B5A166}">
      <text/>
    </comment>
    <comment ref="F472" authorId="0" shapeId="0" xr:uid="{1CB51B8D-6BD2-4CB0-B59C-CC26E32412EE}">
      <text/>
    </comment>
    <comment ref="F473" authorId="0" shapeId="0" xr:uid="{7923425A-F75A-4FA0-8392-61CCA5F4E77B}">
      <text/>
    </comment>
    <comment ref="F477" authorId="0" shapeId="0" xr:uid="{BA9942AF-4043-461B-8D3D-5E52EAB624DF}">
      <text/>
    </comment>
    <comment ref="F478" authorId="0" shapeId="0" xr:uid="{297A5BB9-4857-4414-827F-B06489C51B1D}">
      <text/>
    </comment>
    <comment ref="C487" authorId="0" shapeId="0" xr:uid="{3257857F-07C5-4D87-AB71-E0C0EC83C872}">
      <text>
        <r>
          <rPr>
            <b/>
            <sz val="12"/>
            <color indexed="81"/>
            <rFont val="Arial Black"/>
            <family val="2"/>
            <charset val="238"/>
          </rPr>
          <t>NEW ARTICLE!</t>
        </r>
      </text>
    </comment>
    <comment ref="F487" authorId="0" shapeId="0" xr:uid="{85D24FE4-6657-4F67-B020-7D2964BE5FF7}">
      <text/>
    </comment>
    <comment ref="C496" authorId="0" shapeId="0" xr:uid="{21B8BBA6-E846-41B5-92A9-16A3AF00ABA3}">
      <text>
        <r>
          <rPr>
            <b/>
            <sz val="12"/>
            <color indexed="81"/>
            <rFont val="Arial Black"/>
            <family val="2"/>
            <charset val="238"/>
          </rPr>
          <t>NEW ARTICLE!</t>
        </r>
      </text>
    </comment>
    <comment ref="F496" authorId="0" shapeId="0" xr:uid="{04FD66AF-6FCA-4651-A0F4-AF3427BA1A65}">
      <text/>
    </comment>
    <comment ref="C497" authorId="0" shapeId="0" xr:uid="{C6875059-FDED-435A-973C-574EF54144FF}">
      <text>
        <r>
          <rPr>
            <b/>
            <sz val="12"/>
            <color indexed="81"/>
            <rFont val="Arial Black"/>
            <family val="2"/>
            <charset val="238"/>
          </rPr>
          <t>NEW ARTICLE!</t>
        </r>
      </text>
    </comment>
    <comment ref="F497" authorId="0" shapeId="0" xr:uid="{1969B7C4-0067-4934-A310-4791AF4AA3E4}">
      <text/>
    </comment>
    <comment ref="C499" authorId="0" shapeId="0" xr:uid="{06FBBEB5-816D-40A6-9E0C-DE36FCAC8A93}">
      <text>
        <r>
          <rPr>
            <b/>
            <sz val="12"/>
            <color indexed="81"/>
            <rFont val="Arial Black"/>
            <family val="2"/>
            <charset val="238"/>
          </rPr>
          <t>NEW ARTICLE!</t>
        </r>
      </text>
    </comment>
    <comment ref="C500" authorId="0" shapeId="0" xr:uid="{5FEF3E5D-6F2D-4DA9-B2C5-C2B04EA7A384}">
      <text>
        <r>
          <rPr>
            <b/>
            <sz val="12"/>
            <color indexed="81"/>
            <rFont val="Arial Black"/>
            <family val="2"/>
            <charset val="238"/>
          </rPr>
          <t>NEW ARTICLE!</t>
        </r>
      </text>
    </comment>
    <comment ref="C501" authorId="0" shapeId="0" xr:uid="{A16172D3-5DF4-4D3D-88F0-3191BE4E28A1}">
      <text>
        <r>
          <rPr>
            <b/>
            <sz val="12"/>
            <color indexed="81"/>
            <rFont val="Arial Black"/>
            <family val="2"/>
            <charset val="238"/>
          </rPr>
          <t>NEW ARTICLE!</t>
        </r>
      </text>
    </comment>
    <comment ref="F501" authorId="0" shapeId="0" xr:uid="{A352F711-2B76-4488-AEB0-6FF890E3AC62}">
      <text/>
    </comment>
    <comment ref="F521" authorId="0" shapeId="0" xr:uid="{18E1CE76-72B3-4856-BB98-CCEF4EB50AAA}">
      <text/>
    </comment>
    <comment ref="F522" authorId="0" shapeId="0" xr:uid="{C6C90398-A033-4934-B2A1-FA4B240613C2}">
      <text/>
    </comment>
    <comment ref="F523" authorId="0" shapeId="0" xr:uid="{59E25470-FF2D-4F89-9BEC-D8D07766101E}">
      <text/>
    </comment>
    <comment ref="F524" authorId="0" shapeId="0" xr:uid="{44A3B017-D628-4DBC-9672-1B7C353BB0EA}">
      <text/>
    </comment>
    <comment ref="C526" authorId="0" shapeId="0" xr:uid="{FBF905CE-D613-4A1E-BF6A-3214D28A1ED3}">
      <text>
        <r>
          <rPr>
            <b/>
            <sz val="12"/>
            <color indexed="81"/>
            <rFont val="Arial Black"/>
            <family val="2"/>
            <charset val="238"/>
          </rPr>
          <t>NEW ARTICLE!</t>
        </r>
      </text>
    </comment>
    <comment ref="F527" authorId="0" shapeId="0" xr:uid="{CACCAD1B-4EF3-4BEE-AE59-2181CB8BFAA7}">
      <text/>
    </comment>
    <comment ref="F528" authorId="0" shapeId="0" xr:uid="{8CBD2D64-6EE9-4B32-9887-C6FBB5B8E873}">
      <text/>
    </comment>
    <comment ref="F530" authorId="0" shapeId="0" xr:uid="{783FBCAD-474F-4D14-B084-8C66BCEFFE0F}">
      <text/>
    </comment>
    <comment ref="F533" authorId="0" shapeId="0" xr:uid="{BEEDCDE0-6799-4214-AE3A-8903BB2348BB}">
      <text/>
    </comment>
    <comment ref="F534" authorId="0" shapeId="0" xr:uid="{F0FE37BA-21BC-48F8-BC47-3F23BE6A73EF}">
      <text/>
    </comment>
    <comment ref="F538" authorId="0" shapeId="0" xr:uid="{8939C35F-C5FF-4A9B-A90F-70412A03F648}">
      <text/>
    </comment>
    <comment ref="F539" authorId="0" shapeId="0" xr:uid="{C56CBE92-B40C-41B2-A118-7046EBFCFB2D}">
      <text/>
    </comment>
    <comment ref="F540" authorId="0" shapeId="0" xr:uid="{31C84559-4288-4D6C-90FA-C245DD2B5741}">
      <text/>
    </comment>
    <comment ref="F542" authorId="0" shapeId="0" xr:uid="{9BE6A330-26A0-417C-92F3-2CF55E935203}">
      <text/>
    </comment>
    <comment ref="F544" authorId="0" shapeId="0" xr:uid="{ED99A0E6-463A-4DCC-936A-32FFECDC1196}">
      <text/>
    </comment>
    <comment ref="C546" authorId="0" shapeId="0" xr:uid="{C6721485-742F-484E-89C6-FC12CE0FBF1F}">
      <text>
        <r>
          <rPr>
            <b/>
            <sz val="12"/>
            <color indexed="81"/>
            <rFont val="Arial Black"/>
            <family val="2"/>
            <charset val="238"/>
          </rPr>
          <t>NEW DESIGN</t>
        </r>
      </text>
    </comment>
    <comment ref="F548" authorId="0" shapeId="0" xr:uid="{A761CD5D-0079-4B32-AEC8-9ACF7A31357D}">
      <text/>
    </comment>
    <comment ref="F549" authorId="0" shapeId="0" xr:uid="{6CB00960-3BAF-4EE9-8E6B-FCFEA2A4A2A5}">
      <text/>
    </comment>
    <comment ref="F550" authorId="0" shapeId="0" xr:uid="{55E594B2-012A-4361-93C9-32F9940F27AD}">
      <text/>
    </comment>
    <comment ref="F552" authorId="0" shapeId="0" xr:uid="{F583929E-3F89-45F3-9C1F-98A1B14AD50C}">
      <text/>
    </comment>
    <comment ref="F554" authorId="0" shapeId="0" xr:uid="{BEE84F6A-E993-4B59-99D6-DC67C0F64F34}">
      <text/>
    </comment>
    <comment ref="C555" authorId="0" shapeId="0" xr:uid="{755B24FA-1757-4102-B59B-F28F76C82197}">
      <text>
        <r>
          <rPr>
            <b/>
            <sz val="12"/>
            <color indexed="81"/>
            <rFont val="Arial Black"/>
            <family val="2"/>
            <charset val="238"/>
          </rPr>
          <t>NEW ARTICLE!</t>
        </r>
      </text>
    </comment>
    <comment ref="C560" authorId="0" shapeId="0" xr:uid="{E436E6D9-0E2D-499E-9AC7-017FC18ADCB9}">
      <text>
        <r>
          <rPr>
            <b/>
            <sz val="12"/>
            <color indexed="81"/>
            <rFont val="Arial Black"/>
            <family val="2"/>
            <charset val="238"/>
          </rPr>
          <t>NEW ARTICLE!</t>
        </r>
      </text>
    </comment>
    <comment ref="F560" authorId="0" shapeId="0" xr:uid="{8410EF17-63A4-4BE9-B147-4ABB10CA1AB8}">
      <text/>
    </comment>
    <comment ref="C561" authorId="0" shapeId="0" xr:uid="{DA6A05B7-5592-4FFE-9A5A-BACD36BADA1A}">
      <text>
        <r>
          <rPr>
            <b/>
            <sz val="12"/>
            <color indexed="81"/>
            <rFont val="Arial Black"/>
            <family val="2"/>
            <charset val="238"/>
          </rPr>
          <t>NEW ARTICLE!</t>
        </r>
      </text>
    </comment>
    <comment ref="F561" authorId="0" shapeId="0" xr:uid="{F16CBB55-34C8-4023-9540-54D0FA78FDBA}">
      <text/>
    </comment>
    <comment ref="F563" authorId="0" shapeId="0" xr:uid="{F9AB6243-BB7E-4FBD-ACDB-230AA595439E}">
      <text/>
    </comment>
    <comment ref="F565" authorId="0" shapeId="0" xr:uid="{C1645E62-DB01-46C0-A820-DE0183DBCBEC}">
      <text/>
    </comment>
    <comment ref="F569" authorId="0" shapeId="0" xr:uid="{BBA9FE9E-AD56-4A52-A7E1-5299A0BCB44C}">
      <text/>
    </comment>
    <comment ref="F570" authorId="0" shapeId="0" xr:uid="{5120D5AB-8D6C-4117-8AA7-0D9B654B1C80}">
      <text/>
    </comment>
    <comment ref="F571" authorId="0" shapeId="0" xr:uid="{F62ACD6E-0F2F-460D-87C5-D967FD697913}">
      <text/>
    </comment>
    <comment ref="F573" authorId="0" shapeId="0" xr:uid="{56A8439C-0049-439F-8FEE-A37C8B26685A}">
      <text/>
    </comment>
    <comment ref="F574" authorId="0" shapeId="0" xr:uid="{EDBBF3C0-E4EF-4047-B693-90ABCA070A98}">
      <text/>
    </comment>
    <comment ref="F575" authorId="0" shapeId="0" xr:uid="{072A4B5B-5F74-43FF-B7FC-4457CBF1AFBA}">
      <text/>
    </comment>
    <comment ref="C577" authorId="0" shapeId="0" xr:uid="{9740FFF2-BE56-4184-BA80-47B3494EBEFA}">
      <text>
        <r>
          <rPr>
            <b/>
            <sz val="12"/>
            <color indexed="81"/>
            <rFont val="Arial Black"/>
            <family val="2"/>
            <charset val="238"/>
          </rPr>
          <t>NEW ARTICLE!</t>
        </r>
      </text>
    </comment>
    <comment ref="C581" authorId="0" shapeId="0" xr:uid="{92EACAD8-A52B-4CC8-9F4A-6C8941184E2B}">
      <text>
        <r>
          <rPr>
            <b/>
            <sz val="12"/>
            <color indexed="81"/>
            <rFont val="Arial Black"/>
            <family val="2"/>
            <charset val="238"/>
          </rPr>
          <t>NEW DESIGN</t>
        </r>
      </text>
    </comment>
    <comment ref="F581" authorId="0" shapeId="0" xr:uid="{8B886B4E-7509-4686-B311-740DFEF4CB9D}">
      <text/>
    </comment>
    <comment ref="C585" authorId="0" shapeId="0" xr:uid="{A451F87A-01A2-4CA1-B2E1-DE93860CF061}">
      <text>
        <r>
          <rPr>
            <b/>
            <sz val="12"/>
            <color indexed="81"/>
            <rFont val="Arial Black"/>
            <family val="2"/>
            <charset val="238"/>
          </rPr>
          <t>NEW ARTICLE!</t>
        </r>
      </text>
    </comment>
    <comment ref="F591" authorId="0" shapeId="0" xr:uid="{559DC716-CA9F-47B4-BB1D-DF6DAB2FD3BB}">
      <text/>
    </comment>
    <comment ref="F594" authorId="0" shapeId="0" xr:uid="{399BADCF-2E88-485B-A79D-68E04AFE4949}">
      <text/>
    </comment>
    <comment ref="F595" authorId="0" shapeId="0" xr:uid="{FB82ACDB-F5A3-4070-8522-EE59E0AA8EE5}">
      <text/>
    </comment>
    <comment ref="F598" authorId="0" shapeId="0" xr:uid="{8965ACBA-1AD7-473F-BE22-A101DBF0CAC8}">
      <text/>
    </comment>
    <comment ref="F600" authorId="0" shapeId="0" xr:uid="{5A74F919-11EC-4746-A781-E81ECD900D24}">
      <text/>
    </comment>
    <comment ref="F601" authorId="0" shapeId="0" xr:uid="{1CA99AA5-675C-4CE2-AA6E-BFF1A2FF1970}">
      <text/>
    </comment>
    <comment ref="F602" authorId="0" shapeId="0" xr:uid="{2BA17035-2E12-4BB9-AF04-B10847BDA43E}">
      <text/>
    </comment>
    <comment ref="F603" authorId="0" shapeId="0" xr:uid="{A437EF25-CB2B-4442-8135-4F83398486DB}">
      <text/>
    </comment>
    <comment ref="F604" authorId="0" shapeId="0" xr:uid="{D4ABD8DB-8355-4E5A-A426-BFDE2FE3F19D}">
      <text/>
    </comment>
    <comment ref="F606" authorId="0" shapeId="0" xr:uid="{B6F03710-4425-4030-AFF4-C9F15D3EC076}">
      <text/>
    </comment>
    <comment ref="C608" authorId="0" shapeId="0" xr:uid="{E19F7958-9A3A-492C-A438-B38304412D82}">
      <text>
        <r>
          <rPr>
            <b/>
            <sz val="12"/>
            <color indexed="81"/>
            <rFont val="Arial Black"/>
            <family val="2"/>
            <charset val="238"/>
          </rPr>
          <t>NEW DESIGN</t>
        </r>
      </text>
    </comment>
    <comment ref="F608" authorId="0" shapeId="0" xr:uid="{856302EE-E095-4CD7-A676-149E427503C5}">
      <text/>
    </comment>
    <comment ref="F609" authorId="0" shapeId="0" xr:uid="{916BB6C1-988F-4A58-A18D-1ADB6DC49CAC}">
      <text/>
    </comment>
    <comment ref="F610" authorId="0" shapeId="0" xr:uid="{B77ACD78-10C3-46A7-8AD2-CC27FA4A236A}">
      <text/>
    </comment>
    <comment ref="F611" authorId="0" shapeId="0" xr:uid="{C0F8B82D-575A-4F41-8517-72CD9C835C5D}">
      <text/>
    </comment>
    <comment ref="F612" authorId="0" shapeId="0" xr:uid="{ED4975DF-9831-40AE-ACDB-067EAECD18B0}">
      <text/>
    </comment>
    <comment ref="F616" authorId="0" shapeId="0" xr:uid="{7FD4C646-A61C-495F-8EAA-179EEC72441D}">
      <text/>
    </comment>
    <comment ref="F617" authorId="0" shapeId="0" xr:uid="{8DAAA2BB-A330-4461-B125-C8DF2EA3028B}">
      <text/>
    </comment>
    <comment ref="F620" authorId="0" shapeId="0" xr:uid="{9F0365CB-AA70-480C-8D15-6A5971394C10}">
      <text/>
    </comment>
    <comment ref="F622" authorId="0" shapeId="0" xr:uid="{5EE79F4D-DC86-4F95-9CBD-93E6BDC2075B}">
      <text/>
    </comment>
    <comment ref="F623" authorId="0" shapeId="0" xr:uid="{44C4F3DE-664C-401A-9576-77606297C71D}">
      <text/>
    </comment>
    <comment ref="F624" authorId="0" shapeId="0" xr:uid="{C9D4A0D6-B9A3-4720-A440-0696852A333D}">
      <text/>
    </comment>
    <comment ref="F626" authorId="0" shapeId="0" xr:uid="{084E58CC-5541-4789-86C2-F5A2FC0BEA7F}">
      <text/>
    </comment>
    <comment ref="F628" authorId="0" shapeId="0" xr:uid="{FC9B1F32-C529-4CEB-AA55-02EDDBC1459F}">
      <text/>
    </comment>
    <comment ref="F629" authorId="0" shapeId="0" xr:uid="{DD4835A8-3151-4FD1-B18D-8D13229DAC67}">
      <text/>
    </comment>
    <comment ref="C630" authorId="0" shapeId="0" xr:uid="{10B0093A-116B-42E5-B877-254F78652EB1}">
      <text>
        <r>
          <rPr>
            <b/>
            <sz val="12"/>
            <color indexed="81"/>
            <rFont val="Arial Black"/>
            <family val="2"/>
            <charset val="238"/>
          </rPr>
          <t>NEW DESIGN</t>
        </r>
      </text>
    </comment>
    <comment ref="F630" authorId="0" shapeId="0" xr:uid="{78105164-47FD-4434-8450-1D120522D564}">
      <text/>
    </comment>
    <comment ref="F632" authorId="0" shapeId="0" xr:uid="{E3B37CBB-03EB-468C-9D08-BF7CB1AEB4D9}">
      <text/>
    </comment>
    <comment ref="F633" authorId="0" shapeId="0" xr:uid="{E8FE5838-ED98-4528-B031-61469E01A9EC}">
      <text/>
    </comment>
    <comment ref="F634" authorId="0" shapeId="0" xr:uid="{57B3B73F-679D-42B5-A11C-7842F6410E57}">
      <text/>
    </comment>
    <comment ref="F636" authorId="0" shapeId="0" xr:uid="{6EE89671-0A49-4236-AA03-DD29E4AD12A8}">
      <text/>
    </comment>
    <comment ref="F638" authorId="0" shapeId="0" xr:uid="{96B103B5-5A2A-459C-9BC2-795304B96AB4}">
      <text/>
    </comment>
    <comment ref="F639" authorId="0" shapeId="0" xr:uid="{91315D92-9727-49E4-8445-DA81F0B5E2AD}">
      <text/>
    </comment>
    <comment ref="F640" authorId="0" shapeId="0" xr:uid="{783169DD-5A4F-4928-BB68-B4C2704C6373}">
      <text/>
    </comment>
    <comment ref="F641" authorId="0" shapeId="0" xr:uid="{87ABEC0F-4337-428F-AC5F-A3F5DE5205A8}">
      <text/>
    </comment>
    <comment ref="F642" authorId="0" shapeId="0" xr:uid="{964F54AC-680B-4A72-A19C-46DBF7BEE0F5}">
      <text/>
    </comment>
    <comment ref="F644" authorId="0" shapeId="0" xr:uid="{36A297BE-7783-40E7-8528-9A37B47C4105}">
      <text/>
    </comment>
    <comment ref="F645" authorId="0" shapeId="0" xr:uid="{CD5CD2F0-C604-4554-8B8F-651103A84B5B}">
      <text/>
    </comment>
    <comment ref="F646" authorId="0" shapeId="0" xr:uid="{F388571E-AE88-45DF-B2D7-A66F619EB5E4}">
      <text/>
    </comment>
    <comment ref="F647" authorId="0" shapeId="0" xr:uid="{97F7B9E3-65CE-4B62-8322-17C6FC4E9FAE}">
      <text/>
    </comment>
    <comment ref="F649" authorId="0" shapeId="0" xr:uid="{67D6A9E3-AFE8-4F6C-9C2B-3288A3687CE3}">
      <text/>
    </comment>
    <comment ref="F650" authorId="0" shapeId="0" xr:uid="{C0B2F818-06ED-4689-A3D5-F06CE268889A}">
      <text/>
    </comment>
    <comment ref="F651" authorId="0" shapeId="0" xr:uid="{020CE581-8C9E-4DD1-AB2D-D9C85783EE54}">
      <text/>
    </comment>
    <comment ref="F652" authorId="0" shapeId="0" xr:uid="{5C61FD34-85D1-4D3A-BCA8-B7688016EC6B}">
      <text/>
    </comment>
    <comment ref="F655" authorId="0" shapeId="0" xr:uid="{49BAD65B-D92C-49B7-BA1D-D1CB7988EA92}">
      <text/>
    </comment>
    <comment ref="F656" authorId="0" shapeId="0" xr:uid="{F6FE89B9-A286-4664-80C6-2B6782F89969}">
      <text/>
    </comment>
    <comment ref="F657" authorId="0" shapeId="0" xr:uid="{88857B2D-9B9F-4CC2-A2BF-149A0BC30D77}">
      <text/>
    </comment>
    <comment ref="F659" authorId="0" shapeId="0" xr:uid="{BECF2FEE-385A-4F29-A66E-1F00C056D1A1}">
      <text/>
    </comment>
    <comment ref="F660" authorId="0" shapeId="0" xr:uid="{EB08B067-B627-4F22-B566-8F11FC3D0A52}">
      <text/>
    </comment>
    <comment ref="F662" authorId="0" shapeId="0" xr:uid="{F243AEC3-5A89-485A-947A-D057989CC154}">
      <text/>
    </comment>
    <comment ref="F663" authorId="0" shapeId="0" xr:uid="{506DB61D-6AE0-451B-AFC5-97181B5A1C48}">
      <text/>
    </comment>
    <comment ref="F673" authorId="0" shapeId="0" xr:uid="{F6C96C40-7125-48EB-80E4-0BF25AE8E0E9}">
      <text/>
    </comment>
    <comment ref="C674" authorId="0" shapeId="0" xr:uid="{887C9B7F-B01B-4978-A483-3AE3F2A05E42}">
      <text>
        <r>
          <rPr>
            <b/>
            <sz val="12"/>
            <color indexed="81"/>
            <rFont val="Arial Black"/>
            <family val="2"/>
            <charset val="238"/>
          </rPr>
          <t>NEW ARTICLE!</t>
        </r>
      </text>
    </comment>
    <comment ref="F675" authorId="0" shapeId="0" xr:uid="{CA91D7B4-A9DC-4EE3-86DB-B152A17022D4}">
      <text/>
    </comment>
    <comment ref="C677" authorId="0" shapeId="0" xr:uid="{E22F1918-DD0F-4B55-A459-7621D13C1363}">
      <text>
        <r>
          <rPr>
            <b/>
            <sz val="12"/>
            <color indexed="81"/>
            <rFont val="Arial Black"/>
            <family val="2"/>
            <charset val="238"/>
          </rPr>
          <t>NEW DESIGN</t>
        </r>
      </text>
    </comment>
    <comment ref="C680" authorId="0" shapeId="0" xr:uid="{2DB7751B-CB2B-4877-8DDD-74BF97C19397}">
      <text>
        <r>
          <rPr>
            <b/>
            <sz val="12"/>
            <color indexed="81"/>
            <rFont val="Arial Black"/>
            <family val="2"/>
            <charset val="238"/>
          </rPr>
          <t>NEW ARTICLE!</t>
        </r>
      </text>
    </comment>
    <comment ref="F680" authorId="0" shapeId="0" xr:uid="{1EE0A98C-0E9D-4F06-B4B5-B30C49AEC8FF}">
      <text/>
    </comment>
    <comment ref="C681" authorId="0" shapeId="0" xr:uid="{57E81C89-98C6-4919-BCCB-18F58DD49DC6}">
      <text>
        <r>
          <rPr>
            <b/>
            <sz val="12"/>
            <color indexed="81"/>
            <rFont val="Arial Black"/>
            <family val="2"/>
            <charset val="238"/>
          </rPr>
          <t>NEW ARTICLE!</t>
        </r>
      </text>
    </comment>
    <comment ref="F681" authorId="0" shapeId="0" xr:uid="{6C9E32D5-190B-49FD-9495-24FAF7345576}">
      <text/>
    </comment>
    <comment ref="F683" authorId="0" shapeId="0" xr:uid="{32716CF5-03A2-46B6-8A03-B83E6246FF9B}">
      <text/>
    </comment>
    <comment ref="F684" authorId="0" shapeId="0" xr:uid="{F8DE432E-E650-4A53-A41B-4D4DC29983CB}">
      <text/>
    </comment>
    <comment ref="F685" authorId="0" shapeId="0" xr:uid="{1E275DBA-9AA2-49F9-AF4D-503B74A52696}">
      <text/>
    </comment>
    <comment ref="F686" authorId="0" shapeId="0" xr:uid="{6FFEE916-6BAB-4829-8090-BC5A68F90004}">
      <text/>
    </comment>
    <comment ref="F691" authorId="0" shapeId="0" xr:uid="{21096DA8-42DA-4180-AA13-87145E0D17BD}">
      <text/>
    </comment>
    <comment ref="F692" authorId="0" shapeId="0" xr:uid="{37CD4935-A928-4788-865B-B43DFF5B2013}">
      <text/>
    </comment>
    <comment ref="C694" authorId="0" shapeId="0" xr:uid="{961E7C02-CD17-46F8-B4AC-71C83DBED9D0}">
      <text>
        <r>
          <rPr>
            <b/>
            <sz val="12"/>
            <color indexed="81"/>
            <rFont val="Arial Black"/>
            <family val="2"/>
            <charset val="238"/>
          </rPr>
          <t>NEW DESIGN</t>
        </r>
      </text>
    </comment>
    <comment ref="F694" authorId="0" shapeId="0" xr:uid="{5B5D6ECD-02C5-4CE6-A761-4E536CA1C7DD}">
      <text/>
    </comment>
    <comment ref="F695" authorId="0" shapeId="0" xr:uid="{1AEDA8AB-930E-4DE1-8CE3-E727A6EA0838}">
      <text/>
    </comment>
    <comment ref="C696" authorId="0" shapeId="0" xr:uid="{3F85038B-3A62-4B60-9712-6837564B5DBB}">
      <text>
        <r>
          <rPr>
            <b/>
            <sz val="12"/>
            <color indexed="81"/>
            <rFont val="Arial Black"/>
            <family val="2"/>
            <charset val="238"/>
          </rPr>
          <t>NEW DESIGN</t>
        </r>
      </text>
    </comment>
    <comment ref="F696" authorId="0" shapeId="0" xr:uid="{F820FCD1-BE44-4B10-8B6D-A1924B4C8E88}">
      <text/>
    </comment>
    <comment ref="C700" authorId="0" shapeId="0" xr:uid="{295F3CA3-A98F-424A-A1B5-23AF97ABCF53}">
      <text>
        <r>
          <rPr>
            <b/>
            <sz val="12"/>
            <color indexed="81"/>
            <rFont val="Arial Black"/>
            <family val="2"/>
            <charset val="238"/>
          </rPr>
          <t>NEW ARTICLE!</t>
        </r>
      </text>
    </comment>
    <comment ref="C701" authorId="0" shapeId="0" xr:uid="{1484ABA8-2CBA-4B8F-B1EB-D6162B911B18}">
      <text>
        <r>
          <rPr>
            <b/>
            <sz val="12"/>
            <color indexed="81"/>
            <rFont val="Arial Black"/>
            <family val="2"/>
            <charset val="238"/>
          </rPr>
          <t>NEW ARTICLE!</t>
        </r>
      </text>
    </comment>
    <comment ref="C749" authorId="0" shapeId="0" xr:uid="{FE1BA9CA-E5F1-43E9-977D-3BB17C5B0D5A}">
      <text>
        <r>
          <rPr>
            <b/>
            <sz val="12"/>
            <color indexed="81"/>
            <rFont val="Arial Black"/>
            <family val="2"/>
            <charset val="238"/>
          </rPr>
          <t>NEW ARTICLE!</t>
        </r>
      </text>
    </comment>
    <comment ref="C753" authorId="0" shapeId="0" xr:uid="{EFCF20DB-4110-46F0-9211-5501D0F4294A}">
      <text>
        <r>
          <rPr>
            <b/>
            <sz val="12"/>
            <color indexed="81"/>
            <rFont val="Arial Black"/>
            <family val="2"/>
            <charset val="238"/>
          </rPr>
          <t>NEW ARTICLE!</t>
        </r>
      </text>
    </comment>
    <comment ref="C755" authorId="0" shapeId="0" xr:uid="{A0FAEE49-43CA-4714-A75A-98D621B0726B}">
      <text>
        <r>
          <rPr>
            <b/>
            <sz val="12"/>
            <color indexed="81"/>
            <rFont val="Arial Black"/>
            <family val="2"/>
            <charset val="238"/>
          </rPr>
          <t>NEW ARTICLE!</t>
        </r>
      </text>
    </comment>
    <comment ref="C778" authorId="0" shapeId="0" xr:uid="{46BBCC66-B616-49C0-9BFF-87C964C9DF57}">
      <text>
        <r>
          <rPr>
            <b/>
            <sz val="12"/>
            <color indexed="81"/>
            <rFont val="Arial Black"/>
            <family val="2"/>
            <charset val="238"/>
          </rPr>
          <t>NEW ARTICLE!</t>
        </r>
      </text>
    </comment>
    <comment ref="C779" authorId="0" shapeId="0" xr:uid="{D0E11983-C862-4F04-A005-E16E66218050}">
      <text>
        <r>
          <rPr>
            <b/>
            <sz val="12"/>
            <color indexed="81"/>
            <rFont val="Arial Black"/>
            <family val="2"/>
            <charset val="238"/>
          </rPr>
          <t>NEW ARTICLE!</t>
        </r>
      </text>
    </comment>
    <comment ref="C786" authorId="0" shapeId="0" xr:uid="{E9205B54-A237-4BA6-A77B-BC85FC85469F}">
      <text>
        <r>
          <rPr>
            <b/>
            <sz val="12"/>
            <color indexed="81"/>
            <rFont val="Arial Black"/>
            <family val="2"/>
            <charset val="238"/>
          </rPr>
          <t>NEW ARTICLE!</t>
        </r>
      </text>
    </comment>
    <comment ref="C804" authorId="0" shapeId="0" xr:uid="{0FB436CA-516D-4E61-89CA-4C3178D6674E}">
      <text>
        <r>
          <rPr>
            <b/>
            <sz val="12"/>
            <color indexed="81"/>
            <rFont val="Arial Black"/>
            <family val="2"/>
            <charset val="238"/>
          </rPr>
          <t>NEW ARTICLE!</t>
        </r>
      </text>
    </comment>
    <comment ref="C836" authorId="0" shapeId="0" xr:uid="{020E8DFD-6E6A-4726-9A33-207E9E5F73D0}">
      <text>
        <r>
          <rPr>
            <b/>
            <sz val="12"/>
            <color indexed="81"/>
            <rFont val="Arial Black"/>
            <family val="2"/>
            <charset val="238"/>
          </rPr>
          <t>NEW ARTICLE!</t>
        </r>
      </text>
    </comment>
    <comment ref="F836" authorId="0" shapeId="0" xr:uid="{AFC01CB6-4AE5-4429-AD37-BC3C59C9C973}">
      <text/>
    </comment>
    <comment ref="C837" authorId="0" shapeId="0" xr:uid="{8496AFA0-FDEC-4232-9B45-51C403880DC9}">
      <text>
        <r>
          <rPr>
            <b/>
            <sz val="12"/>
            <color indexed="81"/>
            <rFont val="Arial Black"/>
            <family val="2"/>
            <charset val="238"/>
          </rPr>
          <t>NEW ARTICLE!</t>
        </r>
      </text>
    </comment>
    <comment ref="F837" authorId="0" shapeId="0" xr:uid="{78BCD85B-4BF7-4BAB-9846-5ED97A38354C}">
      <text/>
    </comment>
    <comment ref="C838" authorId="0" shapeId="0" xr:uid="{F51CB4DE-54F8-494E-B798-5BDF812E80AE}">
      <text>
        <r>
          <rPr>
            <b/>
            <sz val="12"/>
            <color indexed="81"/>
            <rFont val="Arial Black"/>
            <family val="2"/>
            <charset val="238"/>
          </rPr>
          <t>NEW ARTICLE!</t>
        </r>
      </text>
    </comment>
    <comment ref="F838" authorId="0" shapeId="0" xr:uid="{1CEFB1F7-7517-4D39-BC38-CCA856137D38}">
      <text/>
    </comment>
    <comment ref="C839" authorId="0" shapeId="0" xr:uid="{8CE15841-0F90-460E-B7EF-D3BEBBD9DF0E}">
      <text>
        <r>
          <rPr>
            <b/>
            <sz val="12"/>
            <color indexed="81"/>
            <rFont val="Arial Black"/>
            <family val="2"/>
            <charset val="238"/>
          </rPr>
          <t>NEW ARTICLE!</t>
        </r>
      </text>
    </comment>
    <comment ref="F839" authorId="0" shapeId="0" xr:uid="{801FA0EE-5F52-4783-8618-8636EF92D8CB}">
      <text/>
    </comment>
    <comment ref="C840" authorId="0" shapeId="0" xr:uid="{97808CED-D4F4-4F8E-A3A1-68519C770A8C}">
      <text>
        <r>
          <rPr>
            <b/>
            <sz val="12"/>
            <color indexed="81"/>
            <rFont val="Arial Black"/>
            <family val="2"/>
            <charset val="238"/>
          </rPr>
          <t>NEW ARTICLE!</t>
        </r>
      </text>
    </comment>
    <comment ref="F840" authorId="0" shapeId="0" xr:uid="{317F3467-8FD7-438E-9899-22E88CCC49D5}">
      <text/>
    </comment>
    <comment ref="C841" authorId="0" shapeId="0" xr:uid="{3C00B2BD-9980-43C8-A979-B5A318D6F814}">
      <text>
        <r>
          <rPr>
            <b/>
            <sz val="12"/>
            <color indexed="81"/>
            <rFont val="Arial Black"/>
            <family val="2"/>
            <charset val="238"/>
          </rPr>
          <t>NEW ARTICLE!</t>
        </r>
      </text>
    </comment>
    <comment ref="F841" authorId="0" shapeId="0" xr:uid="{78AE3B14-CB85-4DE1-A85B-0985FDDA4C2B}">
      <text/>
    </comment>
    <comment ref="C842" authorId="0" shapeId="0" xr:uid="{FB54FD3A-2631-4ADE-B800-549541BFDC3C}">
      <text>
        <r>
          <rPr>
            <b/>
            <sz val="12"/>
            <color indexed="81"/>
            <rFont val="Arial Black"/>
            <family val="2"/>
            <charset val="238"/>
          </rPr>
          <t>NEW ARTICLE!</t>
        </r>
      </text>
    </comment>
    <comment ref="F842" authorId="0" shapeId="0" xr:uid="{9ED19E0B-1CF9-467B-8ED4-8145C08BD709}">
      <text/>
    </comment>
    <comment ref="F843" authorId="0" shapeId="0" xr:uid="{46CD6863-F087-4391-970E-C085E606DF0D}">
      <text/>
    </comment>
    <comment ref="F844" authorId="0" shapeId="0" xr:uid="{3045EF70-B822-46F6-BCCA-8CE817A1A325}">
      <text/>
    </comment>
    <comment ref="C846" authorId="0" shapeId="0" xr:uid="{361C5295-4256-4650-97FB-8720E6E26ECD}">
      <text>
        <r>
          <rPr>
            <b/>
            <sz val="12"/>
            <color indexed="81"/>
            <rFont val="Arial Black"/>
            <family val="2"/>
            <charset val="238"/>
          </rPr>
          <t>NEW ARTICLE!</t>
        </r>
      </text>
    </comment>
    <comment ref="F846" authorId="0" shapeId="0" xr:uid="{81D35843-1E90-4A47-9A46-780948DD9B26}">
      <text/>
    </comment>
    <comment ref="F847" authorId="0" shapeId="0" xr:uid="{0F666658-CE7D-4665-8F0B-BD2DBE29DD4D}">
      <text/>
    </comment>
    <comment ref="C848" authorId="0" shapeId="0" xr:uid="{F9BB7A1B-FC20-4554-B97F-99F3647ED2A1}">
      <text>
        <r>
          <rPr>
            <b/>
            <sz val="12"/>
            <color indexed="81"/>
            <rFont val="Arial Black"/>
            <family val="2"/>
            <charset val="238"/>
          </rPr>
          <t>NEW ARTICLE!</t>
        </r>
      </text>
    </comment>
    <comment ref="F848" authorId="0" shapeId="0" xr:uid="{0D959650-9437-4223-8D01-0C72EC1408FB}">
      <text/>
    </comment>
    <comment ref="C849" authorId="0" shapeId="0" xr:uid="{94184C2F-765E-4898-BB4D-B6FBA9E7E221}">
      <text>
        <r>
          <rPr>
            <b/>
            <sz val="12"/>
            <color indexed="81"/>
            <rFont val="Arial Black"/>
            <family val="2"/>
            <charset val="238"/>
          </rPr>
          <t>NEW ARTICLE!</t>
        </r>
      </text>
    </comment>
    <comment ref="F849" authorId="0" shapeId="0" xr:uid="{7B425DC7-9982-44B0-A39C-E3629FD043B7}">
      <text/>
    </comment>
    <comment ref="C850" authorId="0" shapeId="0" xr:uid="{9DDF3426-98A2-415E-B5E4-B4230CAB884E}">
      <text>
        <r>
          <rPr>
            <b/>
            <sz val="12"/>
            <color indexed="81"/>
            <rFont val="Arial Black"/>
            <family val="2"/>
            <charset val="238"/>
          </rPr>
          <t>NEW ARTICLE!</t>
        </r>
      </text>
    </comment>
    <comment ref="F850" authorId="0" shapeId="0" xr:uid="{C4550EB2-B4B7-423F-9301-8C8FAC559996}">
      <text/>
    </comment>
    <comment ref="C851" authorId="0" shapeId="0" xr:uid="{C4CAC345-C6BF-46C2-BE0D-81FEAC60EF86}">
      <text>
        <r>
          <rPr>
            <b/>
            <sz val="12"/>
            <color indexed="81"/>
            <rFont val="Arial Black"/>
            <family val="2"/>
            <charset val="238"/>
          </rPr>
          <t>NEW ARTICLE!</t>
        </r>
      </text>
    </comment>
    <comment ref="F851" authorId="0" shapeId="0" xr:uid="{F6E19F30-202D-4B36-8724-F9B1A37AB8D5}">
      <text/>
    </comment>
    <comment ref="C852" authorId="0" shapeId="0" xr:uid="{D9D3DB93-D8A1-456D-88AB-BE0464694461}">
      <text>
        <r>
          <rPr>
            <b/>
            <sz val="12"/>
            <color indexed="81"/>
            <rFont val="Arial Black"/>
            <family val="2"/>
            <charset val="238"/>
          </rPr>
          <t>NEW ARTICLE!</t>
        </r>
      </text>
    </comment>
    <comment ref="F852" authorId="0" shapeId="0" xr:uid="{3BFECCBE-B57E-408F-862C-30AFA176D8F1}">
      <text/>
    </comment>
    <comment ref="C853" authorId="0" shapeId="0" xr:uid="{8AEADACE-80DB-43EB-8274-9B1E0FFC7F9F}">
      <text>
        <r>
          <rPr>
            <b/>
            <sz val="12"/>
            <color indexed="81"/>
            <rFont val="Arial Black"/>
            <family val="2"/>
            <charset val="238"/>
          </rPr>
          <t>NEW ARTICLE!</t>
        </r>
      </text>
    </comment>
    <comment ref="F853" authorId="0" shapeId="0" xr:uid="{984E4477-58C2-40F7-A854-2D0D6E9F246B}">
      <text/>
    </comment>
    <comment ref="F854" authorId="0" shapeId="0" xr:uid="{6C5681B8-BF14-46E7-B24C-85525F00B332}">
      <text/>
    </comment>
    <comment ref="F855" authorId="0" shapeId="0" xr:uid="{4793D255-EA38-47F2-80C2-13E67B10E7AA}">
      <text/>
    </comment>
    <comment ref="F856" authorId="0" shapeId="0" xr:uid="{055833B1-9505-4AEF-8D51-5416CFFD9737}">
      <text/>
    </comment>
    <comment ref="F857" authorId="0" shapeId="0" xr:uid="{9B0CFF20-4146-4063-BA95-3099CAF665FF}">
      <text/>
    </comment>
    <comment ref="F858" authorId="0" shapeId="0" xr:uid="{5BBB55A8-A110-4AAB-A250-1F4A971BF2E2}">
      <text/>
    </comment>
    <comment ref="F859" authorId="0" shapeId="0" xr:uid="{74EBC1E8-0866-4CD2-8ED6-2047875B0A76}">
      <text/>
    </comment>
    <comment ref="F860" authorId="0" shapeId="0" xr:uid="{621C0963-AC6E-48F4-BF48-4ECE407FDE57}">
      <text/>
    </comment>
    <comment ref="F861" authorId="0" shapeId="0" xr:uid="{42415DE1-571E-47DC-8B13-68911613EF66}">
      <text/>
    </comment>
    <comment ref="F862" authorId="0" shapeId="0" xr:uid="{F3E17804-7B17-4E45-B568-D9ECDAD6F215}">
      <text/>
    </comment>
    <comment ref="F863" authorId="0" shapeId="0" xr:uid="{3DFFC743-4D10-4D9E-8AFF-C747EAC6D9C7}">
      <text/>
    </comment>
    <comment ref="F864" authorId="0" shapeId="0" xr:uid="{7F4843C8-BA43-4DA5-B8B7-10C631C83DED}">
      <text/>
    </comment>
    <comment ref="F866" authorId="0" shapeId="0" xr:uid="{70E48B5C-03B0-4816-BFB7-B3CA4DAF1954}">
      <text/>
    </comment>
    <comment ref="F867" authorId="0" shapeId="0" xr:uid="{6F4118BF-26A3-41AC-84E9-DB2E27AFC68B}">
      <text/>
    </comment>
    <comment ref="F868" authorId="0" shapeId="0" xr:uid="{B70CC32A-6822-41D0-9E41-8BC87B5C49DA}">
      <text/>
    </comment>
    <comment ref="F869" authorId="0" shapeId="0" xr:uid="{7A5F9598-B93A-4171-9C02-8BB23E195495}">
      <text/>
    </comment>
    <comment ref="F870" authorId="0" shapeId="0" xr:uid="{5E618AD1-28D6-4AAE-8369-7B2F1136A809}">
      <text/>
    </comment>
    <comment ref="C871" authorId="0" shapeId="0" xr:uid="{CEAA0407-B340-463C-9B0F-2AF28AF7278B}">
      <text>
        <r>
          <rPr>
            <b/>
            <sz val="12"/>
            <color indexed="81"/>
            <rFont val="Arial Black"/>
            <family val="2"/>
            <charset val="238"/>
          </rPr>
          <t>NEW ARTICLE!</t>
        </r>
      </text>
    </comment>
    <comment ref="F871" authorId="0" shapeId="0" xr:uid="{83B2E449-B08B-4213-8A25-F08BF60704FD}">
      <text/>
    </comment>
    <comment ref="C872" authorId="0" shapeId="0" xr:uid="{C1C4EBBD-51E0-4D97-8B80-8E216115AF5D}">
      <text>
        <r>
          <rPr>
            <b/>
            <sz val="12"/>
            <color indexed="81"/>
            <rFont val="Arial Black"/>
            <family val="2"/>
            <charset val="238"/>
          </rPr>
          <t>NEW ARTICLE!</t>
        </r>
      </text>
    </comment>
    <comment ref="F872" authorId="0" shapeId="0" xr:uid="{21D50E3C-4ED6-4ACB-8475-F11F36AB2CDB}">
      <text/>
    </comment>
    <comment ref="F873" authorId="0" shapeId="0" xr:uid="{8AD51CCC-407C-4AEA-959C-330381354720}">
      <text/>
    </comment>
    <comment ref="F874" authorId="0" shapeId="0" xr:uid="{E67EFAE5-B2FD-4097-A1B0-21076E75FC2A}">
      <text/>
    </comment>
    <comment ref="C915" authorId="0" shapeId="0" xr:uid="{2B0676F7-EBFD-45B3-8DAB-CC75DD02F61E}">
      <text>
        <r>
          <rPr>
            <b/>
            <sz val="12"/>
            <color indexed="81"/>
            <rFont val="Arial Black"/>
            <family val="2"/>
            <charset val="238"/>
          </rPr>
          <t>NEW ARTICLE!</t>
        </r>
      </text>
    </comment>
    <comment ref="F941" authorId="0" shapeId="0" xr:uid="{82DABAE3-A36F-4381-B550-EC677AE7BE67}">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B1" authorId="0" shapeId="0" xr:uid="{2BA3572D-20F7-4F36-B8DC-600699D78222}">
      <text>
        <r>
          <rPr>
            <b/>
            <sz val="9"/>
            <color indexed="81"/>
            <rFont val="Tahoma"/>
            <family val="2"/>
            <charset val="238"/>
          </rPr>
          <t>Jan Bilík:</t>
        </r>
        <r>
          <rPr>
            <sz val="9"/>
            <color indexed="81"/>
            <rFont val="Tahoma"/>
            <family val="2"/>
            <charset val="238"/>
          </rPr>
          <t xml:space="preserve">
mezery před kategorie</t>
        </r>
      </text>
    </comment>
    <comment ref="C1" authorId="0" shapeId="0" xr:uid="{A8FF0424-83AD-4BBD-A38E-4A8B38BD4EEF}">
      <text>
        <r>
          <rPr>
            <b/>
            <sz val="9"/>
            <color indexed="81"/>
            <rFont val="Tahoma"/>
            <family val="2"/>
            <charset val="238"/>
          </rPr>
          <t>Jan Bilík:</t>
        </r>
        <r>
          <rPr>
            <sz val="9"/>
            <color indexed="81"/>
            <rFont val="Tahoma"/>
            <family val="2"/>
            <charset val="238"/>
          </rPr>
          <t xml:space="preserve">
mezery před velkou kat. </t>
        </r>
        <r>
          <rPr>
            <b/>
            <sz val="9"/>
            <color indexed="81"/>
            <rFont val="Tahoma"/>
            <family val="2"/>
            <charset val="238"/>
          </rPr>
          <t xml:space="preserve">(Profesionální pyrotechnika a Dummies)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E87" authorId="0" shapeId="0" xr:uid="{19ED7471-C613-49D1-B71B-E71F3818CD04}">
      <text>
        <r>
          <rPr>
            <sz val="9"/>
            <color indexed="81"/>
            <rFont val="Tahoma"/>
            <family val="2"/>
            <charset val="23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D2" authorId="0" shapeId="0" xr:uid="{5ABD2632-A58C-4A67-B174-26D64B8810D1}">
      <text>
        <r>
          <rPr>
            <b/>
            <sz val="9"/>
            <color indexed="81"/>
            <rFont val="Tahoma"/>
            <family val="2"/>
            <charset val="238"/>
          </rPr>
          <t>Jan Bilík:</t>
        </r>
        <r>
          <rPr>
            <sz val="9"/>
            <color indexed="81"/>
            <rFont val="Tahoma"/>
            <family val="2"/>
            <charset val="238"/>
          </rPr>
          <t xml:space="preserve">
směnný kurz pro zlote</t>
        </r>
      </text>
    </comment>
    <comment ref="A84" authorId="0" shapeId="0" xr:uid="{836BC1B9-C821-4A78-BB43-73DE95229B71}">
      <text>
        <r>
          <rPr>
            <b/>
            <sz val="9"/>
            <color indexed="81"/>
            <rFont val="Tahoma"/>
            <family val="2"/>
            <charset val="238"/>
          </rPr>
          <t>Jan Bilík:</t>
        </r>
        <r>
          <rPr>
            <sz val="9"/>
            <color indexed="81"/>
            <rFont val="Tahoma"/>
            <family val="2"/>
            <charset val="238"/>
          </rPr>
          <t xml:space="preserve">
Hlavička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AI21" authorId="0" shapeId="0" xr:uid="{B1ED9326-21EF-43B3-B6C1-D9A052E84F02}">
      <text>
        <r>
          <rPr>
            <b/>
            <sz val="9"/>
            <color indexed="81"/>
            <rFont val="Tahoma"/>
            <family val="2"/>
            <charset val="238"/>
          </rPr>
          <t>Jan Bilík:</t>
        </r>
        <r>
          <rPr>
            <sz val="9"/>
            <color indexed="81"/>
            <rFont val="Tahoma"/>
            <family val="2"/>
            <charset val="238"/>
          </rPr>
          <t xml:space="preserve">
1 = 100% výkon
0,8 = 80% atd…
Ovlivní to výpočet časů</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F125" authorId="0" shapeId="0" xr:uid="{CA5ABE1A-C3D2-4700-B690-C38084EE54D4}">
      <text>
        <r>
          <rPr>
            <b/>
            <sz val="9"/>
            <color indexed="81"/>
            <rFont val="Tahoma"/>
            <family val="2"/>
            <charset val="238"/>
          </rPr>
          <t>Jan Bilík:</t>
        </r>
        <r>
          <rPr>
            <sz val="9"/>
            <color indexed="81"/>
            <rFont val="Tahoma"/>
            <family val="2"/>
            <charset val="238"/>
          </rPr>
          <t xml:space="preserve">
</t>
        </r>
      </text>
    </comment>
    <comment ref="F126" authorId="0" shapeId="0" xr:uid="{93E9E466-9CC5-42BC-9C2E-A278704B86D2}">
      <text>
        <r>
          <rPr>
            <b/>
            <sz val="9"/>
            <color indexed="81"/>
            <rFont val="Tahoma"/>
            <family val="2"/>
            <charset val="238"/>
          </rPr>
          <t>Jan Bilík:</t>
        </r>
        <r>
          <rPr>
            <sz val="9"/>
            <color indexed="81"/>
            <rFont val="Tahoma"/>
            <family val="2"/>
            <charset val="23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Jan Bilík</author>
  </authors>
  <commentList>
    <comment ref="F125" authorId="0" shapeId="0" xr:uid="{1F154C3C-B4B7-4136-B1F7-01A292DEFCFE}">
      <text>
        <r>
          <rPr>
            <b/>
            <sz val="9"/>
            <color indexed="81"/>
            <rFont val="Tahoma"/>
            <family val="2"/>
            <charset val="238"/>
          </rPr>
          <t>Jan Bilík:</t>
        </r>
        <r>
          <rPr>
            <sz val="9"/>
            <color indexed="81"/>
            <rFont val="Tahoma"/>
            <family val="2"/>
            <charset val="238"/>
          </rPr>
          <t xml:space="preserve">
</t>
        </r>
      </text>
    </comment>
    <comment ref="F126" authorId="0" shapeId="0" xr:uid="{8769B3B4-A4D3-4725-B723-7B448C914D0C}">
      <text>
        <r>
          <rPr>
            <b/>
            <sz val="9"/>
            <color indexed="81"/>
            <rFont val="Tahoma"/>
            <family val="2"/>
            <charset val="238"/>
          </rPr>
          <t>Jan Bilík:</t>
        </r>
        <r>
          <rPr>
            <sz val="9"/>
            <color indexed="81"/>
            <rFont val="Tahoma"/>
            <family val="2"/>
            <charset val="238"/>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D94B3A-CD58-483E-85A6-F0424F268025}" name="KB-libry" type="4" refreshedVersion="8" refreshOnLoad="1" saveData="1">
    <webPr sourceData="1" parsePre="1" consecutive="1" xl2000="1" url="https://www.kb.cz/cs/kurzovni-listek/detail-kurzovniho-listku?curr=GBP"/>
  </connection>
  <connection id="2" xr16:uid="{00000000-0015-0000-FFFF-FFFF00000000}" name="Připojení" type="4" refreshedVersion="8" refreshOnLoad="1" saveData="1">
    <webPr sourceData="1" parsePre="1" consecutive="1" xl2000="1" url="https://www.kb.cz/cs/kurzovni-listek/detail-kurzu?curr=eur"/>
  </connection>
</connections>
</file>

<file path=xl/sharedStrings.xml><?xml version="1.0" encoding="utf-8"?>
<sst xmlns="http://schemas.openxmlformats.org/spreadsheetml/2006/main" count="35633" uniqueCount="15114">
  <si>
    <t xml:space="preserve">Catalog </t>
  </si>
  <si>
    <t>Product name</t>
  </si>
  <si>
    <t>CBM</t>
  </si>
  <si>
    <t>Language</t>
  </si>
  <si>
    <t>Video</t>
  </si>
  <si>
    <t>Descriptiong of effect</t>
  </si>
  <si>
    <t>Popis efektu</t>
  </si>
  <si>
    <t>Beschreibung effekte</t>
  </si>
  <si>
    <t>1.1 G</t>
  </si>
  <si>
    <t>1.3 G</t>
  </si>
  <si>
    <t>1.4 G</t>
  </si>
  <si>
    <t>total</t>
  </si>
  <si>
    <t>pokud položka není skladem</t>
  </si>
  <si>
    <t>number</t>
  </si>
  <si>
    <t>v Německu</t>
  </si>
  <si>
    <t>CZ</t>
  </si>
  <si>
    <t>SK</t>
  </si>
  <si>
    <t>DP1R</t>
  </si>
  <si>
    <t>Rotáček</t>
  </si>
  <si>
    <t>F1</t>
  </si>
  <si>
    <t/>
  </si>
  <si>
    <t>1.4G</t>
  </si>
  <si>
    <t>rotating red/green/yellow-ground effect</t>
  </si>
  <si>
    <t>rotující červeno/zeleno/žlutý efekt-přízemní efekt</t>
  </si>
  <si>
    <t>Rotierender rot-grün-gelber Effekt - Bodeneffekt</t>
  </si>
  <si>
    <t>DP1R(1)</t>
  </si>
  <si>
    <t>DP1VR</t>
  </si>
  <si>
    <t>Velký Rotáček</t>
  </si>
  <si>
    <t>big rotating red/green/yellow-ground effect</t>
  </si>
  <si>
    <t>velký rotující červeno/zeleno/žlutý efekt-přízemní efekt</t>
  </si>
  <si>
    <t>Größe rotierender rot-grün-gelber Effekt - Bodeneffekt</t>
  </si>
  <si>
    <t>DP1T</t>
  </si>
  <si>
    <t>Tazmánia</t>
  </si>
  <si>
    <t>big rotating tube red+crackling-ground effect</t>
  </si>
  <si>
    <t>rotující červeno-práskající efekt - přízemní efekt</t>
  </si>
  <si>
    <t>Rotierender roter knallender Effekt - Bodeneffekt</t>
  </si>
  <si>
    <t>DP1T SK</t>
  </si>
  <si>
    <t>DP1Z20</t>
  </si>
  <si>
    <t>4/20/12</t>
  </si>
  <si>
    <t>F2</t>
  </si>
  <si>
    <t>DP1VC</t>
  </si>
  <si>
    <t>gold flying bee</t>
  </si>
  <si>
    <t>zlatá létající včela</t>
  </si>
  <si>
    <t>Goldene fliegende Biene</t>
  </si>
  <si>
    <t>DP1VC SK</t>
  </si>
  <si>
    <t>LM4O</t>
  </si>
  <si>
    <t>Obří motýl</t>
  </si>
  <si>
    <t>red tail to red wave w.crackling</t>
  </si>
  <si>
    <t>červená stopa s červenou vlnou a práskajícím středem</t>
  </si>
  <si>
    <t>Rote Spur mit der roten Welle und mit der knallenden Mitte</t>
  </si>
  <si>
    <t>LM3T</t>
  </si>
  <si>
    <t>silver rotating tail to white strobe w.red pearl</t>
  </si>
  <si>
    <t>stříbrná rotující stopa +červené perly s bílým blikajícím středem</t>
  </si>
  <si>
    <t>Silberne rotierende Spur + rote Perlen mit der weißen blinkenden Mitte</t>
  </si>
  <si>
    <t>LM2V</t>
  </si>
  <si>
    <t>Vampír</t>
  </si>
  <si>
    <t>silver rotating tail  to crackling</t>
  </si>
  <si>
    <t>stříbrná rotující stopa s práskajícími hvězdami</t>
  </si>
  <si>
    <t>Silberne rotierende Spur mit knallenden Sternen</t>
  </si>
  <si>
    <t>LM2C</t>
  </si>
  <si>
    <t>Čmelák</t>
  </si>
  <si>
    <t>green rotating tail to green strobe</t>
  </si>
  <si>
    <t>zelená rotující stopa se zelenými blikajícími hvězdami</t>
  </si>
  <si>
    <t>Grüne rotierende Spur mit grünen blinkenden Sternen</t>
  </si>
  <si>
    <t>LM1O</t>
  </si>
  <si>
    <t>Ohnivý motýl</t>
  </si>
  <si>
    <t>silver rotating tail</t>
  </si>
  <si>
    <t>stříbrná rotující stopa</t>
  </si>
  <si>
    <t>Silberne rotierende Spur</t>
  </si>
  <si>
    <t>DP1M</t>
  </si>
  <si>
    <t>Meteorit</t>
  </si>
  <si>
    <t>10/40/12</t>
  </si>
  <si>
    <t>crackling granules</t>
  </si>
  <si>
    <t>práskající barevné granule</t>
  </si>
  <si>
    <t>Knallende Farbkerne</t>
  </si>
  <si>
    <t>DP1CB</t>
  </si>
  <si>
    <t>crackling ball 1g, diameter 23mm</t>
  </si>
  <si>
    <t>práskající balónky 1g, průměr 23mm</t>
  </si>
  <si>
    <t>Knallende Ballone 1 g, Durchmesser 23mm</t>
  </si>
  <si>
    <t>DP1CB(1)</t>
  </si>
  <si>
    <t>EB15</t>
  </si>
  <si>
    <t>crackling ball 15g, diameter 38mm</t>
  </si>
  <si>
    <t>práskající balónky 15g, průměr 38mm</t>
  </si>
  <si>
    <t>Knallende Ballone 15 g, Durchmesser 38mm</t>
  </si>
  <si>
    <t>DP1P</t>
  </si>
  <si>
    <t>whistling tube</t>
  </si>
  <si>
    <t>pískající trubička</t>
  </si>
  <si>
    <t>Pfeifendes Röhrchen</t>
  </si>
  <si>
    <t>DP1P(1)</t>
  </si>
  <si>
    <t>DP1BP</t>
  </si>
  <si>
    <t>banging strings</t>
  </si>
  <si>
    <t>bouchající provázky</t>
  </si>
  <si>
    <t>Knallende Schnuren</t>
  </si>
  <si>
    <t>DP1BP(1)</t>
  </si>
  <si>
    <t>color fountain with crackling stars</t>
  </si>
  <si>
    <t>barevná fontána s práskajícími hvězdami</t>
  </si>
  <si>
    <t>Farbfontäne mit knallenden Sternen</t>
  </si>
  <si>
    <t>DP1FR</t>
  </si>
  <si>
    <t>S12S</t>
  </si>
  <si>
    <t>Stroboskop malý</t>
  </si>
  <si>
    <t>small white strobo</t>
  </si>
  <si>
    <t>malý bílý stroboskop</t>
  </si>
  <si>
    <t>Kleines weißes Stroboskop</t>
  </si>
  <si>
    <t>S12S(1)</t>
  </si>
  <si>
    <t>color throwdowns (diameter 9mm)</t>
  </si>
  <si>
    <t xml:space="preserve">barevné bouchací kuličky(průměr 9mm) </t>
  </si>
  <si>
    <t xml:space="preserve">Farbige Knallkugeln (Durchmesser 9 mm) </t>
  </si>
  <si>
    <t>BK1P</t>
  </si>
  <si>
    <t>Pekelné bouchací kuličky</t>
  </si>
  <si>
    <t>6/50/50</t>
  </si>
  <si>
    <t>BK1P(1)</t>
  </si>
  <si>
    <t>BK2V</t>
  </si>
  <si>
    <t>BK2V(1)</t>
  </si>
  <si>
    <t>F3</t>
  </si>
  <si>
    <t>1.3G</t>
  </si>
  <si>
    <t>DS1</t>
  </si>
  <si>
    <t>Dětská sada</t>
  </si>
  <si>
    <t>sada obsahuje: DP1FD- 1x,DP1FR-1x,DP1BP- 3x,BK1B-1x,BK1P-1x,DP1CB-1x,DP1B-1x,DP1R-2x, S12S-1x</t>
  </si>
  <si>
    <t>Der Satz enthält: DP1FD- 1x,DP1FR-1x,DP1BP- 3x,BK1B-1x,BK1P-1x,DP1CB-1x,DP1B-1x,DP1R-2x, S12S-1x</t>
  </si>
  <si>
    <t>RB1</t>
  </si>
  <si>
    <t>Rodinné balení</t>
  </si>
  <si>
    <t>sada obsahuje: 4 rakety,DP1BP-2x,DP1B-1x,S12S-1x,P1-1x,BK1B-1x,DP1R-1x,DP1VC-1x,DP1CB-1x,K01M-1x,R4420B- 2x</t>
  </si>
  <si>
    <t>Der Satz enthält: 4 raketen,DP1BP-2x,DP1B-1x,S12S-1x,P1-1x,BK1B-1x,DP1R-1x,DP1VC-1x,DP1CB-1x,K01M-1x,R4420B- 2x</t>
  </si>
  <si>
    <t>RB1(1)</t>
  </si>
  <si>
    <t>VP70E</t>
  </si>
  <si>
    <t>golden sparklers, lenght 70cm, lenght of sparkling material 55cm, diameter sparkler mass 4,5mm</t>
  </si>
  <si>
    <t>Goldene Wunderkerzen, Länge 70cm, Länge der platzenden Masse 55 cm, Durchmesser der platzenden Masse 4,5 mm</t>
  </si>
  <si>
    <t>VP40E</t>
  </si>
  <si>
    <t>golden sparklers, lenght 40cm, lenght of sparkling material 32,5cm, diameter sparkler mass 3,7mm</t>
  </si>
  <si>
    <t>zlaté prskavky,  délka 40cm, délka prskací hmoty 32,5cm, průměr prskací hmoty 3,7mm</t>
  </si>
  <si>
    <t>Goldene Wunderkerzen, Länge 40cm, Länge der platzenden Masse 32,5 cm, Durchmesser der platzenden Masse 3,7 mm</t>
  </si>
  <si>
    <t>VP28E</t>
  </si>
  <si>
    <t>golden sparklers, lenght 28cm, lenght of sparkling material 20,5cm, diameter sparkler mass 3mm</t>
  </si>
  <si>
    <t>zlaté prskavky,  délka 28cm, délka prskací hmoty 20,5cm, průměr prskací hmoty  3mm</t>
  </si>
  <si>
    <t>Goldene Wunderkerzen, Länge 28cm, Länge der platzenden Masse 20,5 cm, Durchmesser der platzenden Masse 3 mm</t>
  </si>
  <si>
    <t>VP90</t>
  </si>
  <si>
    <t>Prskavky 90cm</t>
  </si>
  <si>
    <t>golden sparklers, lenght 90cm, lenght of sparkling material 61cm, diameter sparkler mass 4,8mm</t>
  </si>
  <si>
    <t>zlaté prskavky, délka 90cm, délka prskací hmoty 61cm,  průměr prskací hmoty 4,8mm</t>
  </si>
  <si>
    <t>Goldene Wunderkerzen, Länge 90cm, Länge der platzenden Masse 61 cm, Durchmesser der platzenden Masse 4,8 mm</t>
  </si>
  <si>
    <t>VP90/9</t>
  </si>
  <si>
    <t>VP70</t>
  </si>
  <si>
    <t>Prskavky 70cm</t>
  </si>
  <si>
    <t>golden sparklers, lenght 70cm, lenght of sparkling material 45cm, diameter sparkler mass 4,5mm</t>
  </si>
  <si>
    <t>zlaté prskavky,  délka 70cm, délka prskací hmoty 45cm, průměr prskací hmoty 4,5mm</t>
  </si>
  <si>
    <t>Goldene Wunderkerzen, Länge 70cm, Länge der platzenden Masse 45cm, Durchmesser der platzenden Masse 4,5 mm</t>
  </si>
  <si>
    <t>VP40</t>
  </si>
  <si>
    <t>Prskavky 40cm</t>
  </si>
  <si>
    <t>golden sparklers, lenght 40cm, lenght of sparkling material 26cm, diameter sparkler mass 3,7mm</t>
  </si>
  <si>
    <t>zlaté prskavky,  délka 40cm, délka prskací hmoty 26cm, průměr prskací hmoty 3,7mm</t>
  </si>
  <si>
    <t>Goldene Wunderkerzen, Länge 40cm, Länge der platzenden Masse 26 cm, Durchmesser der platzenden Masse 3,7 mm</t>
  </si>
  <si>
    <t>VP40/20</t>
  </si>
  <si>
    <t>VP28</t>
  </si>
  <si>
    <t>Prskavky 28cm</t>
  </si>
  <si>
    <t>golden sparklers, lenght 28cm, lenght of sparkling material 17cm, diameter sparkler mass 3mm</t>
  </si>
  <si>
    <t>zlaté prskavky,  délka 28cm, délka prskací hmoty 17cm, průměr prskací hmoty 3mm</t>
  </si>
  <si>
    <t>Goldene Wunderkerzen, Länge 28cm, Länge der platzenden Masse 17 cm, Durchmesser der platzenden Masse 3 mm</t>
  </si>
  <si>
    <t>VP16A</t>
  </si>
  <si>
    <t>Prskavky 16cm</t>
  </si>
  <si>
    <t>golden sparklers, lenght 16cm, lenght of sparkling material 8,5cm, diameter sparkler mass 2,5mm</t>
  </si>
  <si>
    <t>zlaté prskavky,  délka 16cm, délka prskací hmoty 8,5cm, průměr prskací hmoty 2,5mm</t>
  </si>
  <si>
    <t>Goldene Wunderkerzen, Länge 16cm, Länge der platzenden Masse 8,5 cm, Durchmesser der platzenden Masse 2,5 mm</t>
  </si>
  <si>
    <t>VP16A(1)</t>
  </si>
  <si>
    <t>VP28N</t>
  </si>
  <si>
    <t>Neon sparklers 28cm</t>
  </si>
  <si>
    <t>VP40N</t>
  </si>
  <si>
    <t>Neon sparklers 40cm</t>
  </si>
  <si>
    <t>neon sparklers(red,yelow,green,blue), lenght 40cm, lenght of sparkling material 26cm, diameter sparkler mass 3,7mm</t>
  </si>
  <si>
    <t>neonové prskavky(červená,žlutá,zelelná,modrá),  délka 40cm, délka prskací hmoty 26cm, průměr prskací hmoty 3,7mm</t>
  </si>
  <si>
    <t>Neon Wunderkerzen(rot, gelb, grün, blau), Länge 40cm, Länge der platzenden Masse 26cm, Durchmesser der platzenden Masse 3,7mm</t>
  </si>
  <si>
    <t>VP40P</t>
  </si>
  <si>
    <t>crackling golden sparklers, lenght 40cm, lenght of sparkling material 26cm, diameter sparkler mass 3,7mm</t>
  </si>
  <si>
    <t>práskající zlaté prskavky,  délka 40cm, délka prskací hmoty 26cm, průměr prskací hmoty 3,7mm</t>
  </si>
  <si>
    <t>Knallende Goldene Wunderkerzen, Länge 40cm, Länge der platzenden Masse 26 cm, Durchmesser der platzenden Masse 3,7 mm</t>
  </si>
  <si>
    <t>VP12T1</t>
  </si>
  <si>
    <t>golden sparkler in the shape of the number 1</t>
  </si>
  <si>
    <t>zlatá prskavka ve tvaru čísla 1</t>
  </si>
  <si>
    <t>Goldene Wunderkerze in Form der Nummer 1</t>
  </si>
  <si>
    <t>VP12TS</t>
  </si>
  <si>
    <t>golden sparkler in the shape of the heart</t>
  </si>
  <si>
    <t>zlatá prskavka ve tvaru srdce</t>
  </si>
  <si>
    <t>Goldene Wunderkerze in Form der Herz</t>
  </si>
  <si>
    <t>VP12TH</t>
  </si>
  <si>
    <t>golden sparkler in the shape of the star</t>
  </si>
  <si>
    <t>zlatá prskavka ve tvaru hvězdy</t>
  </si>
  <si>
    <t>Goldene Wunderkerze in Form der Stern</t>
  </si>
  <si>
    <t>VP12MIX</t>
  </si>
  <si>
    <t>Prskavky(mix tvarů)</t>
  </si>
  <si>
    <t>golden sparkler(mix of numbers 0-9,heart,star)</t>
  </si>
  <si>
    <t>zlatá prskavka(mix čísel 0-9, srdce, hvězda)</t>
  </si>
  <si>
    <t>Goldene Wunderkerze(mix aus Zahlen 0-9,Herz,Stern)</t>
  </si>
  <si>
    <t>D1D</t>
  </si>
  <si>
    <t>Dýmovničky</t>
  </si>
  <si>
    <t>T1</t>
  </si>
  <si>
    <t>round color smoke(red,green,yellow,blue,white,pink)</t>
  </si>
  <si>
    <t>barevné kulaté dýmovnice(červená,zelená,žlutá,modrá,bílá,fialová)</t>
  </si>
  <si>
    <t>Farbige runde Rauchröhren (rot, grün, gelb, blau, weiß, lila)</t>
  </si>
  <si>
    <t>D2C</t>
  </si>
  <si>
    <t>Čmoudík</t>
  </si>
  <si>
    <t>smoke tube(blue,red,yellow,green)</t>
  </si>
  <si>
    <t>dýmovnice(tuba)-modrá,červená,žlutá,zelená</t>
  </si>
  <si>
    <t>Rauchröhren (Tube) - blau, rot, gelb, grün</t>
  </si>
  <si>
    <t>D2CN</t>
  </si>
  <si>
    <t>smoke tube(orange,violet,white,black)</t>
  </si>
  <si>
    <t>dýmovnice(tuba)-oranžová,fialová,bílá,černá</t>
  </si>
  <si>
    <t>smoke tube(orange,lila,weiß,schwarz)</t>
  </si>
  <si>
    <t>RDG1B</t>
  </si>
  <si>
    <t>RDG1-bílá</t>
  </si>
  <si>
    <t>P1</t>
  </si>
  <si>
    <t>smoke tube- white color</t>
  </si>
  <si>
    <t>dýmovnice(tuba)-bílá barva</t>
  </si>
  <si>
    <t>Rauchröhre (Tube) - weiße Farbe</t>
  </si>
  <si>
    <t>RDG1B(1)</t>
  </si>
  <si>
    <t>RDG1C</t>
  </si>
  <si>
    <t>RDG1-červená</t>
  </si>
  <si>
    <t>smoke tube- red color</t>
  </si>
  <si>
    <t>dýmovnice(tuba) červená barva</t>
  </si>
  <si>
    <t>Rauchröhre (Tube) - rote Farbe</t>
  </si>
  <si>
    <t>RDG1C(1)</t>
  </si>
  <si>
    <t>RDG1M</t>
  </si>
  <si>
    <t>RDG1-modrá</t>
  </si>
  <si>
    <t>smoke tube- blue color</t>
  </si>
  <si>
    <t>dýmovnice(tuba) modrá barva</t>
  </si>
  <si>
    <t>Rauchröhre (Tube) - blaue Farbe</t>
  </si>
  <si>
    <t>RDG1M(1)</t>
  </si>
  <si>
    <t>RDG1ZL</t>
  </si>
  <si>
    <t>RDG1- žlutá</t>
  </si>
  <si>
    <t>smoke tube- yellow color</t>
  </si>
  <si>
    <t>dýmovnice(tuba)-žlutá barva</t>
  </si>
  <si>
    <t>Rauchröhre (Tube) - gelbe Farbe</t>
  </si>
  <si>
    <t>RDG1ZL(1)</t>
  </si>
  <si>
    <t>RDG1ZE</t>
  </si>
  <si>
    <t>RDG1-zelená</t>
  </si>
  <si>
    <t>smoke tube- green color</t>
  </si>
  <si>
    <t>dýmovnice(tuba)-zelená barva</t>
  </si>
  <si>
    <t>Rauchröhre (Tube) - grüne Farbe</t>
  </si>
  <si>
    <t>RDG1ZE(1)</t>
  </si>
  <si>
    <t>RDG1O</t>
  </si>
  <si>
    <t>RDG1-oranžová</t>
  </si>
  <si>
    <t>smoke tube- orange color</t>
  </si>
  <si>
    <t>dýmovnice(tuba)-oranžová barva</t>
  </si>
  <si>
    <t>Rauchröhre (Tube) - orange Farbe</t>
  </si>
  <si>
    <t>RDG1O(1)</t>
  </si>
  <si>
    <t>RDG2B</t>
  </si>
  <si>
    <t>RDG2-bílá</t>
  </si>
  <si>
    <t>smoke tube(smoke from two sides)-white color</t>
  </si>
  <si>
    <t>dýmovnice(tuba dýmící ze dvou stran)-bílá barva</t>
  </si>
  <si>
    <t>Rauchröhre (rauchende Tube von zwei Seiten) - weiße Farbe</t>
  </si>
  <si>
    <t>RDG2C</t>
  </si>
  <si>
    <t>RDG2-červená</t>
  </si>
  <si>
    <t>smoke tube(smoke from two sides)-red color</t>
  </si>
  <si>
    <t>dýmovnice(tuba dýmící ze dvou stran)-červená barva</t>
  </si>
  <si>
    <t>Rauchröhre (rauchende Tube von zwei Seiten) - rote Farbe</t>
  </si>
  <si>
    <t>RDG2M</t>
  </si>
  <si>
    <t>RDG2-modrá</t>
  </si>
  <si>
    <t>smoke tube(smoke from two sides)-blue color</t>
  </si>
  <si>
    <t>dýmovnice(tuba dýmící ze dvou stran)-modrá barva</t>
  </si>
  <si>
    <t>Rauchröhre (rauchende Tube von zwei Seiten) - blaue Farbe</t>
  </si>
  <si>
    <t>smoke tube with pulling initiate system - white color</t>
  </si>
  <si>
    <t>dýmovnice(tuba) s trhací pojistkou-bílá barva</t>
  </si>
  <si>
    <t>Rauchröhre (Tube) Zuginitiatorsystem - weiße Farbe</t>
  </si>
  <si>
    <t>smoke tube with pulling initiate system - red color</t>
  </si>
  <si>
    <t>dýmovnice(tuba) s trhací pojistkou-červená barva</t>
  </si>
  <si>
    <t>Rauchröhre (Tube) Zuginitiatorsystem - rote Farbe</t>
  </si>
  <si>
    <t>smoke tube with pulling initiate system - blue color</t>
  </si>
  <si>
    <t>dýmovnice(tuba) s trhací pojistkou-modrá barva</t>
  </si>
  <si>
    <t>Rauchröhre (Tube) Zuginitiatorsystem - blaue Farbe</t>
  </si>
  <si>
    <t>smoke tube with pulling initiate system - yelow color</t>
  </si>
  <si>
    <t>dýmovnice(tuba) s trhací pojistkou-žlutá barva</t>
  </si>
  <si>
    <t>Rauchröhre (Tube) Zuginitiatorsystem - gelbe Farbe</t>
  </si>
  <si>
    <t>smoke tube with pulling initiate system - green color</t>
  </si>
  <si>
    <t>dýmovnice(tuba) s trhací pojistkou-zelená barva</t>
  </si>
  <si>
    <t>Rauchröhre (Tube) Zuginitiatorsystem -  grüne Farbe</t>
  </si>
  <si>
    <t>smoke tube with pulling initiate system - orange color</t>
  </si>
  <si>
    <t>dýmovnice(tuba) s trhací pojistkou-oranžová barva</t>
  </si>
  <si>
    <t>Rauchröhre (Tube) Zuginitiatorsystem - orange Farbe</t>
  </si>
  <si>
    <t>smoke tube with pulling initiate system - black color</t>
  </si>
  <si>
    <t>dýmovnice(tuba) s trhací pojistkou-černá barva</t>
  </si>
  <si>
    <t>Rauchröhre (Tube) Zuginitiatorsystem - schwarze Farbe</t>
  </si>
  <si>
    <t>smoke tube(smoke from two sides) with pulling initiate system - white color</t>
  </si>
  <si>
    <t>dýmovnice(tuba dýmící ze dvou stran) s trhací pojistkou-bílá barva</t>
  </si>
  <si>
    <t>Rauchröhre (rauchende Tube von zwei Seiten) Zuginitiatorsystem - weiße Farbe</t>
  </si>
  <si>
    <t>smoke tube(smoke from two sides) with pulling initiate system - red color</t>
  </si>
  <si>
    <t>dýmovnice(tuba dýmící ze dvou stran) s trhací pojistkou-červená barva</t>
  </si>
  <si>
    <t>Rauchröhre (rauchende Tube von zwei Seiten) Zuginitiatorsystem - rote Farbe</t>
  </si>
  <si>
    <t>smoke tube(smoke from two sides) with pulling initiate system - blue color</t>
  </si>
  <si>
    <t>dýmovnice(tuba dýmící ze dvou stran) s trhací pojistkou-modrá barva</t>
  </si>
  <si>
    <t>Rauchröhre (rauchende Tube von zwei Seiten) Zuginitiatorsystem - blaue Farbe</t>
  </si>
  <si>
    <t>smoke tube(smoke from two sides) with pulling initiate system - yelow color</t>
  </si>
  <si>
    <t>dýmovnice(tuba dýmící ze dvou stran) s trhací pojistkou-žlutá barva</t>
  </si>
  <si>
    <t>Rauchröhre (rauchende Tube von zwei Seiten) Zuginitiatorsystem - gelbe Farbe</t>
  </si>
  <si>
    <t>smoke tube(smoke from two sides) with pulling initiate system - green color</t>
  </si>
  <si>
    <t>Rauchröhre (rauchende Tube von zwei Seiten) Zuginitiatorsystem -  grüne Farbe</t>
  </si>
  <si>
    <t>smoke tube(smoke from two sides) with pulling initiate system - orange color</t>
  </si>
  <si>
    <t>dýmovnice(tuba dýmící ze dvou stran) s trhací pojistkou-oranžová barva</t>
  </si>
  <si>
    <t>Rauchröhre (rauchende Tube von zwei Seiten) Zuginitiatorsystem - orange Farbe</t>
  </si>
  <si>
    <t>smoke tube(smoke from two sides) with pulling initiate system - black color</t>
  </si>
  <si>
    <t>dýmovnice(tuba dýmící ze dvou stran) s trhací pojistkou-černá barva</t>
  </si>
  <si>
    <t>Rauchröhre (rauchende Tube von zwei Seiten) Zuginitiatorsystem - schwarze Farbe</t>
  </si>
  <si>
    <t>hand held smoke with pulling initiate system - yelow color</t>
  </si>
  <si>
    <t>ruční dýmová pochodeň s trhací pojistkou-žlutá barva</t>
  </si>
  <si>
    <t>Handrauchfackel mit Zuginitiatorsystem - gelbe Farbe</t>
  </si>
  <si>
    <t>hand held smoke with pulling initiate system - green color</t>
  </si>
  <si>
    <t>ruční dýmová pochodeň s trhací pojistkou-zelená barva</t>
  </si>
  <si>
    <t>Handrauchfackel mit Zuginitiatorsystem -  grüne Farbe</t>
  </si>
  <si>
    <t>hand held smoke with pulling initiate system - orange color</t>
  </si>
  <si>
    <t>ruční dýmová pochodeň s trhací pojistkou-oranžová barva</t>
  </si>
  <si>
    <t>Handrauchfackel mit Zuginitiatorsystem - orange Farbe</t>
  </si>
  <si>
    <t>hand held smoke with pulling initiate system - black color</t>
  </si>
  <si>
    <t>ruční dýmová pochodeň s trhací pojistkou-černá barva</t>
  </si>
  <si>
    <t>Handrauchfackel mit Zuginitiatorsystem - schwarze Farbe</t>
  </si>
  <si>
    <t>RDG1B-P</t>
  </si>
  <si>
    <t>smoke tube with lever ignitor-white color</t>
  </si>
  <si>
    <t>dýmovnice s pákovou roznětkou-bílá barva</t>
  </si>
  <si>
    <t>Rauchröhre mit der Hebel-Zündkapsel - weiße Farbe</t>
  </si>
  <si>
    <t>RDG1B-P(1)</t>
  </si>
  <si>
    <t>RDG1C-P</t>
  </si>
  <si>
    <t>smoke tube with lever ignitor- red color</t>
  </si>
  <si>
    <t>dýmovnice s pákovou roznětkou-červená barva</t>
  </si>
  <si>
    <t>Rauchröhre mit der Hebel-Zündkapsel - rote Farbe</t>
  </si>
  <si>
    <t>RDG1M-P</t>
  </si>
  <si>
    <t>smoke tube with lever ignitor- blue color</t>
  </si>
  <si>
    <t>dýmovnice s pákovou roznětkou-modrá barva</t>
  </si>
  <si>
    <t>Rauchröhre mit der Hebel-Zündkapsel - blaue Farbe</t>
  </si>
  <si>
    <t>RDG1M-P(1)</t>
  </si>
  <si>
    <t>RDG1ZL-P</t>
  </si>
  <si>
    <t>smoke tube with lever ignitor- yellow color</t>
  </si>
  <si>
    <t>dýmovnice s pákovou roznětkou-žlutá barva</t>
  </si>
  <si>
    <t>Rauchröhre mit der Hebel-Zündkapsel - gelbe Farbe</t>
  </si>
  <si>
    <t>RDG1ZL-P(1)</t>
  </si>
  <si>
    <t>RDG1ZE-P</t>
  </si>
  <si>
    <t>smoke tube with lever ignitor- green color</t>
  </si>
  <si>
    <t>dýmovnice s pákovou roznětkou-zelená barva</t>
  </si>
  <si>
    <t>Rauchröhre mit der Hebel-Zündkapsel - grüne Farbe</t>
  </si>
  <si>
    <t>RDG1ZE-P(1)</t>
  </si>
  <si>
    <t>RDG1O-P</t>
  </si>
  <si>
    <t>smoke tube with lever ignitor- orange color</t>
  </si>
  <si>
    <t>dýmovnice s pákovou roznětkou-oranžová barva</t>
  </si>
  <si>
    <t>Rauchröhre mit der Hebel-Zündkapsel - orange Farbe</t>
  </si>
  <si>
    <t>RDG1O-P(1)</t>
  </si>
  <si>
    <t>F1M</t>
  </si>
  <si>
    <t>Fontánový mix</t>
  </si>
  <si>
    <t xml:space="preserve">fountain mix, packing including 2 pieces F1U and 2 pieces F1K, </t>
  </si>
  <si>
    <t>fontánový mix, balení obsahuje po 2ks F1U,F1K</t>
  </si>
  <si>
    <t>Fontänen-Mix, Verpackung enthält je 2 Stk. F1U, F1K</t>
  </si>
  <si>
    <t>F2M</t>
  </si>
  <si>
    <t>fountain mix, packing including 2 pieces F2DF and 2 pieces F2DD</t>
  </si>
  <si>
    <t>fontánový mix, balení obsahuje po 2ks F2DF,F2DD</t>
  </si>
  <si>
    <t>Fontänen-Mix, Verpackung enthält je 2 Stk. F2DF,F2DD</t>
  </si>
  <si>
    <t>F4V</t>
  </si>
  <si>
    <t>color star,crackling star,whistling comet</t>
  </si>
  <si>
    <t>barevná hvězdy, práskající hvězdy a pískající komety</t>
  </si>
  <si>
    <t>Farbige Sterne, knallende Sterne und pfeifende Kometen</t>
  </si>
  <si>
    <t>F6K</t>
  </si>
  <si>
    <t>King fountain</t>
  </si>
  <si>
    <t>6 different color effects</t>
  </si>
  <si>
    <t>6 různobarevných efektů</t>
  </si>
  <si>
    <t>6 verschiedenfarbige Effekte</t>
  </si>
  <si>
    <t>4 different color effects</t>
  </si>
  <si>
    <t>4 různobarevné efekty</t>
  </si>
  <si>
    <t>4 verschiedenfarbige Effekte</t>
  </si>
  <si>
    <t>F8B</t>
  </si>
  <si>
    <t>Barevné fontány</t>
  </si>
  <si>
    <t>color effects+crackling stars</t>
  </si>
  <si>
    <t>barevný efekt+práskající hvězdy</t>
  </si>
  <si>
    <t>Farbeffekt + knallende Sterne</t>
  </si>
  <si>
    <t>F9P</t>
  </si>
  <si>
    <t>multi-effects</t>
  </si>
  <si>
    <t xml:space="preserve">multiefektní </t>
  </si>
  <si>
    <t>Multieffekt-Fontäne</t>
  </si>
  <si>
    <t>F11M</t>
  </si>
  <si>
    <t>F14R</t>
  </si>
  <si>
    <t>Rotate fountain</t>
  </si>
  <si>
    <t>rotate fountain</t>
  </si>
  <si>
    <t>Rotierender Fountain</t>
  </si>
  <si>
    <t>F100C</t>
  </si>
  <si>
    <t xml:space="preserve">barevné hvězdy, 4m výška efektu, </t>
  </si>
  <si>
    <t xml:space="preserve">Farbsterne, 4 m Effekthöhe, </t>
  </si>
  <si>
    <t>F100DC</t>
  </si>
  <si>
    <t>F250SS</t>
  </si>
  <si>
    <t>silver stars,  4m effect height</t>
  </si>
  <si>
    <t xml:space="preserve">stříbrné hvězdy, 4m výška efektu, </t>
  </si>
  <si>
    <t>Silbersterne, 4 m Effekthöhe,</t>
  </si>
  <si>
    <t>F250SC</t>
  </si>
  <si>
    <t>silver crackling stars, 4m effect height</t>
  </si>
  <si>
    <t xml:space="preserve">stříbrné práskající hvězdy, 4m výška efektu, </t>
  </si>
  <si>
    <t xml:space="preserve">Knallende Silbersterne, 4 m Effekthöhe, </t>
  </si>
  <si>
    <t>F250C</t>
  </si>
  <si>
    <t>color stars, 4m effect height</t>
  </si>
  <si>
    <t>F500SIG</t>
  </si>
  <si>
    <t>crackling+red,green,blue star,5m effect height</t>
  </si>
  <si>
    <t xml:space="preserve">práskajíci hvězdy+barevné hvězdy, 5m výška efektu, </t>
  </si>
  <si>
    <t xml:space="preserve">starrende Sterne+bunte Sterne, 5 m Effekthöhe, </t>
  </si>
  <si>
    <t>F500SC</t>
  </si>
  <si>
    <t>silver crackling stars, 5m effect height</t>
  </si>
  <si>
    <t xml:space="preserve">stříbrné práskající hvězdy, 5m výška efektu, </t>
  </si>
  <si>
    <t xml:space="preserve">Knallende Silbersterne, 5 m Effekthöhe, </t>
  </si>
  <si>
    <t>F500SS</t>
  </si>
  <si>
    <t>silver stars, 5m effect height</t>
  </si>
  <si>
    <t xml:space="preserve">stříbrné hvězdy, 5m výška efektu, </t>
  </si>
  <si>
    <t>Silbersterne, 5 m Effekthöhe,</t>
  </si>
  <si>
    <t>F500C</t>
  </si>
  <si>
    <t>color stars, 5m effect height</t>
  </si>
  <si>
    <t xml:space="preserve">barevné hvězdy, 5m výška efektu, </t>
  </si>
  <si>
    <t xml:space="preserve">Farbsterne, 5 m Effekthöhe, </t>
  </si>
  <si>
    <t>F1000SC</t>
  </si>
  <si>
    <t>silver crackling stars,  6m effect height</t>
  </si>
  <si>
    <t>stříbrné práskající hvězdy, 6m výška efektu</t>
  </si>
  <si>
    <t xml:space="preserve">Knallende Silbersterne, 6 m Effekthöhe, </t>
  </si>
  <si>
    <t>F1000SS</t>
  </si>
  <si>
    <t>silver stars,  6m effect height</t>
  </si>
  <si>
    <t xml:space="preserve">stříbrné hvězdy, 6m výška efektu, </t>
  </si>
  <si>
    <t>Silbersterne, 6 m Effekthöhe,</t>
  </si>
  <si>
    <t>F1000C</t>
  </si>
  <si>
    <t>color stars, 6m effect height</t>
  </si>
  <si>
    <t xml:space="preserve">barevné hvězdy, 6m výška efektu, </t>
  </si>
  <si>
    <t xml:space="preserve">Farbsterne, 6 m Effekthöhe, </t>
  </si>
  <si>
    <t>F1500SS</t>
  </si>
  <si>
    <t>silver stars, 7m effect height</t>
  </si>
  <si>
    <t>Silbersterne, 7 m Effekthöhe,</t>
  </si>
  <si>
    <t>F1500C</t>
  </si>
  <si>
    <t>color stars, 7m effect height</t>
  </si>
  <si>
    <t xml:space="preserve">barevné hvězdy, 7m výška efektu, </t>
  </si>
  <si>
    <t xml:space="preserve">Farbsterne, 7 m Effekthöhe, </t>
  </si>
  <si>
    <t>F3N</t>
  </si>
  <si>
    <t>Narozeninová svíce s melodií</t>
  </si>
  <si>
    <t xml:space="preserve">indoor fountain, burning and whirling candle + playing the Happy birthday song </t>
  </si>
  <si>
    <t>interierová fontána, hořící a točící se svíčky+současně hraje písničku Happy birthay</t>
  </si>
  <si>
    <t>Interieur-Fontäne, brennende und sich drehende Kerzen+gleichzeitig wird das Lied Happy birthay gespielt</t>
  </si>
  <si>
    <t>DF10CM</t>
  </si>
  <si>
    <t>Dortová fontána 10cm</t>
  </si>
  <si>
    <t>silver stars(cold fire), lenght 10cm, hygienic certificate!</t>
  </si>
  <si>
    <t>stříbrné hvězdy(studený oheň), délka 10cm, potravinářský atest!</t>
  </si>
  <si>
    <t>Silberne Sterne (kaltes Feuer), Länge 10 cm, Lebensmittelattest!</t>
  </si>
  <si>
    <t>DF20CM</t>
  </si>
  <si>
    <t>Dortová fontána 20cm</t>
  </si>
  <si>
    <t>silver stars(cold fire), lenght 20cm, hygienic certificate! Silver paper for single pc</t>
  </si>
  <si>
    <t>stříbrné hvězdy(studený oheň), délka 20cm, potravinářský atest!stříbrný papír pro 1ks</t>
  </si>
  <si>
    <t>Silberne Sterne (kaltes Feuer), Länge 20 cm, Lebensmittelattest! Silbernes Papier für 1 Stk.</t>
  </si>
  <si>
    <t>silver stars(cold fire), lenght 20cm, hygienic certificate! Golden paper for single pc</t>
  </si>
  <si>
    <t>stříbrné hvězdy(studený oheň), délka 20cm, potravinářský atest!zlatý papír pro 1ks</t>
  </si>
  <si>
    <t>DF30CM</t>
  </si>
  <si>
    <t>Dortová fontána 30cm</t>
  </si>
  <si>
    <t>silver stars(cold fire), lenght 30cm, hygienic certificate! Golden paper for single pc</t>
  </si>
  <si>
    <t>stříbrné hvězdy(studený oheň), délka 30cm, potravinářský atest!zlatý papír pro 1ks</t>
  </si>
  <si>
    <t>Silberne Sterne (kaltes Feuer), Länge 30 cm, Lebensmittelattest! Golden Papier für 1 Stk.</t>
  </si>
  <si>
    <t>DF12CM</t>
  </si>
  <si>
    <t>silver stars(cold fire), lenght 12cm, hygienic certificate! Golden paper for single pc</t>
  </si>
  <si>
    <t>stříbrné hvězdy(studený oheň), délka 12cm, potravinářský atest!zlatý papír pro 1ks</t>
  </si>
  <si>
    <t>Silberne Sterne (kaltes Feuer), Länge 12 cm, Lebensmittelattest! Golden Papier für 1 Stk.</t>
  </si>
  <si>
    <t>DF20CM1Z</t>
  </si>
  <si>
    <t>Silberne Sterne (kaltes Feuer), Länge 20 cm, Lebensmittelattest! Golden Papier für 1 Stk.</t>
  </si>
  <si>
    <t>DF20CM1S</t>
  </si>
  <si>
    <t>DF12CM0</t>
  </si>
  <si>
    <t>silver stars(cold fire), lenght 12cm, hygienic certificate! Packing contains number 0</t>
  </si>
  <si>
    <t>stříbrné hvězdy(studený oheň), délka 12cm, potravinářský atest! Balení obsahuje číslo 0</t>
  </si>
  <si>
    <t>DF12CM1</t>
  </si>
  <si>
    <t>silver stars(cold fire), lenght 12cm, hygienic certificate! Packing contains number 1</t>
  </si>
  <si>
    <t>stříbrné hvězdy(studený oheň), délka 12cm, potravinářský atest! Balení obsahuje číslo 1</t>
  </si>
  <si>
    <t>DF12CM2</t>
  </si>
  <si>
    <t>silver stars(cold fire), lenght 12cm, hygienic certificate! Packing contains number 2</t>
  </si>
  <si>
    <t>stříbrné hvězdy(studený oheň), délka 12cm, potravinářský atest! Balení obsahuje číslo 2</t>
  </si>
  <si>
    <t>DF12CM3</t>
  </si>
  <si>
    <t>silver stars(cold fire), lenght 12cm, hygienic certificate! Packing contains number 3</t>
  </si>
  <si>
    <t>stříbrné hvězdy(studený oheň), délka 12cm, potravinářský atest! Balení obsahuje číslo 3</t>
  </si>
  <si>
    <t>DF12CM4</t>
  </si>
  <si>
    <t>silver stars(cold fire), lenght 12cm, hygienic certificate! Packing contains number 4</t>
  </si>
  <si>
    <t>stříbrné hvězdy(studený oheň), délka 12cm, potravinářský atest! Balení obsahuje číslo 4</t>
  </si>
  <si>
    <t>DF12CM5</t>
  </si>
  <si>
    <t>silver stars(cold fire), lenght 12cm, hygienic certificate! Packing contains number 5</t>
  </si>
  <si>
    <t>stříbrné hvězdy(studený oheň), délka 12cm, potravinářský atest! Balení obsahuje číslo 5</t>
  </si>
  <si>
    <t>DF12CM6</t>
  </si>
  <si>
    <t>silver stars(cold fire), lenght 12cm, hygienic certificate! Packing contains number 6</t>
  </si>
  <si>
    <t>DF12CM7</t>
  </si>
  <si>
    <t>silver stars(cold fire), lenght 12cm, hygienic certificate! Packing contains number 7</t>
  </si>
  <si>
    <t>stříbrné hvězdy(studený oheň), délka 12cm, potravinářský atest! Balení obsahuje číslo 7</t>
  </si>
  <si>
    <t>DF12CM8</t>
  </si>
  <si>
    <t>silver stars(cold fire), lenght 12cm, hygienic certificate! Packing contains number 8</t>
  </si>
  <si>
    <t>stříbrné hvězdy(studený oheň), délka 12cm, potravinářský atest! Balení obsahuje číslo 8</t>
  </si>
  <si>
    <t>DF12CM9</t>
  </si>
  <si>
    <t>silver stars(cold fire), lenght 12cm, hygienic certificate! Packing contains number 9</t>
  </si>
  <si>
    <t>stříbrné hvězdy(studený oheň), délka 12cm, potravinářský atest! Balení obsahuje číslo 9</t>
  </si>
  <si>
    <t>DF12CM0-9</t>
  </si>
  <si>
    <t>silver stars(cold fire), lenght 12cm, hygienic certificate! Packing contains mix number 0-9</t>
  </si>
  <si>
    <t>stříbrné hvězdy(studený oheň), délka 12cm, potravinářský atest! Balení obsahuje mix čísel 0-9</t>
  </si>
  <si>
    <t>CON40P</t>
  </si>
  <si>
    <t>lenght 40cm,shining color papers</t>
  </si>
  <si>
    <t>40cm délka,lesklé barevné papírky</t>
  </si>
  <si>
    <t>40 cm Länge, glänzende farbige Papierstücke</t>
  </si>
  <si>
    <t>CON40S</t>
  </si>
  <si>
    <t>lenght 40cm,silver hearts + rose leaves</t>
  </si>
  <si>
    <t>40cm délka,stříbrné srdíčka+lístky růže</t>
  </si>
  <si>
    <t>40 cm Länge, silberne Herzen + Rosenblättchen</t>
  </si>
  <si>
    <t>CON40F</t>
  </si>
  <si>
    <t>lenght 40cm,EUR banknotes</t>
  </si>
  <si>
    <t>40cm délka,eurové bankovky</t>
  </si>
  <si>
    <t>40 cm Länge, Euro-Banknoten</t>
  </si>
  <si>
    <t>CON80P</t>
  </si>
  <si>
    <t>Párty konfety 80cm</t>
  </si>
  <si>
    <t>lenght 80cm,shining color papers</t>
  </si>
  <si>
    <t>80cm délka,lesklé barevné papírky</t>
  </si>
  <si>
    <t>80 cm Länge, glänzende farbige Papierstücke</t>
  </si>
  <si>
    <t>lenght 80cm,shining golden papers</t>
  </si>
  <si>
    <t>80cm délka,lesklé zlaté papírky</t>
  </si>
  <si>
    <t>80 cm Länge, glänzende goldene Papierstücke</t>
  </si>
  <si>
    <t>CON80F</t>
  </si>
  <si>
    <t>lenght 80cm,EUR banknotes</t>
  </si>
  <si>
    <t>80cm délka,eurové bankovky</t>
  </si>
  <si>
    <t>80 cm Länge, Euro-Banknoten</t>
  </si>
  <si>
    <t>R4420B</t>
  </si>
  <si>
    <t>Color balls 20ran</t>
  </si>
  <si>
    <t xml:space="preserve">20sh color tail, 44cm lenght </t>
  </si>
  <si>
    <t>20ran barevné světlice, 44cm délka</t>
  </si>
  <si>
    <t>20 schuss farbige Leuchtgeschosse, 44 cm Länge</t>
  </si>
  <si>
    <t>36/12</t>
  </si>
  <si>
    <t>Color balls 40ran</t>
  </si>
  <si>
    <t>40ran barevné světlice, 70cm délka</t>
  </si>
  <si>
    <t>40 schuss farbige Leuchtgeschosse, 70 cm Länge</t>
  </si>
  <si>
    <t>R5410B</t>
  </si>
  <si>
    <t>Římská svíce 10ran</t>
  </si>
  <si>
    <t xml:space="preserve">10sh color tail, 54cm lenght </t>
  </si>
  <si>
    <t>10ran barevné světlice, 54cm délka</t>
  </si>
  <si>
    <t>10 schuss farbige Leuchtgeschosse, 54 cm Länge</t>
  </si>
  <si>
    <t>R5420K</t>
  </si>
  <si>
    <t>Práskající komety</t>
  </si>
  <si>
    <t>20sh crackling comets, 54cm lenght</t>
  </si>
  <si>
    <t>20ran práskající komety, 54cm délka</t>
  </si>
  <si>
    <t>20 schuss knallende Kometen, 54 cm Länge</t>
  </si>
  <si>
    <t>R7020K</t>
  </si>
  <si>
    <t>20sh crackling comets, 70cm lenght</t>
  </si>
  <si>
    <t>20ran práskající komety, 70cm délka</t>
  </si>
  <si>
    <t>20 schuss knallende Kometen, 70 cm Länge</t>
  </si>
  <si>
    <t>R6020B</t>
  </si>
  <si>
    <t>Římská svíce 20ran</t>
  </si>
  <si>
    <t>20sh color tail, 60cm lenght</t>
  </si>
  <si>
    <t>20ran barevné světlice, 60cm délka</t>
  </si>
  <si>
    <t>20 schuss farbige Leuchtgeschosse, 60 cm Länge</t>
  </si>
  <si>
    <t>10sh color tail + 10sh crackling comet, 65cm lenght</t>
  </si>
  <si>
    <t>10ran barevné světlice+10 ran práskající komety, 65cm délka</t>
  </si>
  <si>
    <t>10 schuss farbige Leuchtgeschosse + 10 schuss knallende kometen, 65 cm Länge</t>
  </si>
  <si>
    <t>R6520BK/2</t>
  </si>
  <si>
    <t>Nad Tatrou sa blýska</t>
  </si>
  <si>
    <t>R6020M</t>
  </si>
  <si>
    <t>Mix římských svící 20ran</t>
  </si>
  <si>
    <t>Mixed package contains 20sh Roman candles, length 60cm (including of R5420K-2pc, R6020B, R6520BK, R7020BK-2pc)</t>
  </si>
  <si>
    <t>mix 20ran řím. svící (R5420K-2ks,R6020B,R6520BK,R7020BK-2ks), délka 60cm</t>
  </si>
  <si>
    <t>Mix 20 schuss römische Kerzen (R5420K-2stk,R6020B,R6520BK,R7020BK-2stk), 60cm Länge</t>
  </si>
  <si>
    <t>R7020M</t>
  </si>
  <si>
    <t>Mixed package contains 20sh Roman candles, lenght 70cm(including 3pc of R7020K, R6020B, R6520BK,R7020BK)</t>
  </si>
  <si>
    <t>mix 20ran řím. svící (po 3ks-R7020K,R6020B,R6520BK,R7020BK), délka 70cm</t>
  </si>
  <si>
    <t>Mix 20 schuss römische Kerzen (3stk-R7020K,R6020B,R6520BK,R7020BK), 70cm Länge</t>
  </si>
  <si>
    <t>R7040B</t>
  </si>
  <si>
    <t>40sh color tail, 70cm lenght</t>
  </si>
  <si>
    <t>R5808D</t>
  </si>
  <si>
    <t>1.1G</t>
  </si>
  <si>
    <t>8sh silver tail+titanium salute with crackling, 58cm lenght</t>
  </si>
  <si>
    <t>8ran stříbrná stop+titanová detonace s práskajícími hvězdami, 58cm délka</t>
  </si>
  <si>
    <t>8 schuss Silber spur+titanische Detonation mit staubenden Sternen, 58 cm Länge</t>
  </si>
  <si>
    <t>R6008E</t>
  </si>
  <si>
    <t>Římská svíce 8ran</t>
  </si>
  <si>
    <t>8sh 3 different color effects, 60cm lenght</t>
  </si>
  <si>
    <t>8ran, 3 různé efekty střídající se po každé ráně, 60cm délka</t>
  </si>
  <si>
    <t>8 schuss, 3 verschiedene Effekte, welche nach jedem Schuss wechseln, 60 cm Länge</t>
  </si>
  <si>
    <t>R6008M</t>
  </si>
  <si>
    <t>Mix římských svící 8ran</t>
  </si>
  <si>
    <t>Mixed package contains 8sh roman candle including: R5808D, R6008E, R6008K,R7508E</t>
  </si>
  <si>
    <t>Mix 8 schuss römische Kerzenpo (1stk R5808D, R6008E, R6008K,R7508E), 60cm Länge</t>
  </si>
  <si>
    <t>R7508E</t>
  </si>
  <si>
    <t>8sh 3 diferrent color effects, 75cm lenght</t>
  </si>
  <si>
    <t>8ran, 3 různé efekty střídající se po každé ráně, 75cm délka</t>
  </si>
  <si>
    <t>8 schuss, 3 verschiedene Effekte, welche nach jedem Schuss wechseln, 75cm Länge</t>
  </si>
  <si>
    <t>R7538S</t>
  </si>
  <si>
    <t>Signature range Roman candle</t>
  </si>
  <si>
    <t>8sh,4 different color effects,75cm lenght</t>
  </si>
  <si>
    <t>8 ran,4 různobarevné efekty,75cm délka</t>
  </si>
  <si>
    <t>8 schuss, 4 verschiedenfarbige, 75cm Länge</t>
  </si>
  <si>
    <t>R7538E</t>
  </si>
  <si>
    <t>R7538I</t>
  </si>
  <si>
    <t>8sh,brocade tail+brocade crown,75cm lenght</t>
  </si>
  <si>
    <t>8ran brokátová stopa+brokátová koruna,75cm délka</t>
  </si>
  <si>
    <t>8 schuss Brokatspur+Brokatkrone, 75cm Länge</t>
  </si>
  <si>
    <t>R100M</t>
  </si>
  <si>
    <t>roman candle 91sh, 4 different colors</t>
  </si>
  <si>
    <t>římská svíce 91ran, 4 různobarevné efekty</t>
  </si>
  <si>
    <t>91 Schuss Römische Kerze, 4 verschiedenfarbige Effekte</t>
  </si>
  <si>
    <t>SS20D</t>
  </si>
  <si>
    <t>Dumbum single shot 20mm</t>
  </si>
  <si>
    <t>silver mine to red tail to titanium salute</t>
  </si>
  <si>
    <t>stříbrný výmet+červená stopa a titanová detonace</t>
  </si>
  <si>
    <t>silberne Treibladung+rote Spur und titanische Detonation</t>
  </si>
  <si>
    <t>SS20DI14</t>
  </si>
  <si>
    <t>SS25P</t>
  </si>
  <si>
    <t>2 different colour parachute</t>
  </si>
  <si>
    <t>barevné světlo na padáčku(2ks)</t>
  </si>
  <si>
    <t>Farbiges Licht auf dem Paddel (2 Stück)</t>
  </si>
  <si>
    <t>SS30SIGF2</t>
  </si>
  <si>
    <t>Signature range single shot F2</t>
  </si>
  <si>
    <t>SS30NO</t>
  </si>
  <si>
    <t>4 different color effects-no noise</t>
  </si>
  <si>
    <t>4 různobarevné efekty-bez hluku</t>
  </si>
  <si>
    <t>4 verschiedenfarbige Effekte-ohne Lärm</t>
  </si>
  <si>
    <t>SS30D</t>
  </si>
  <si>
    <t>Dumbum shot tube 30mm</t>
  </si>
  <si>
    <t>SS30A</t>
  </si>
  <si>
    <t>XXL Thunder 30mm</t>
  </si>
  <si>
    <t xml:space="preserve"> </t>
  </si>
  <si>
    <t>SS37K</t>
  </si>
  <si>
    <t>Kulovky v moždíři 37mm</t>
  </si>
  <si>
    <t>SS50K</t>
  </si>
  <si>
    <t>FM50A</t>
  </si>
  <si>
    <t xml:space="preserve">whistling+fountain+mine </t>
  </si>
  <si>
    <t>pískot+fontána+mina</t>
  </si>
  <si>
    <t>Pfeifen+Fontäne+Mine</t>
  </si>
  <si>
    <t>S2MM</t>
  </si>
  <si>
    <t>F4</t>
  </si>
  <si>
    <t>6 different effects, diametr 50mm(top quality)</t>
  </si>
  <si>
    <t>6 verschiedenfarbige Effekte, Durchmesser 50 mm(Top Qualität)</t>
  </si>
  <si>
    <t>Big King</t>
  </si>
  <si>
    <t>K0203</t>
  </si>
  <si>
    <t>scatcher petard, sound power 116dB from 8m</t>
  </si>
  <si>
    <t>škrtací petarda velká, síla výbuchu 116dB z 8m</t>
  </si>
  <si>
    <t>Großer Reibkopfknaller, Explosionskraft 116dB von 8m</t>
  </si>
  <si>
    <t>sound power 114dB from 8m</t>
  </si>
  <si>
    <t>síla výbuchu 114dB z 8m</t>
  </si>
  <si>
    <t>Explosionskraft 114dB von 8m</t>
  </si>
  <si>
    <t>P1D</t>
  </si>
  <si>
    <t>Dumbum nano</t>
  </si>
  <si>
    <t>P2D</t>
  </si>
  <si>
    <t>sound power 117dB from 8m</t>
  </si>
  <si>
    <t>síla výbuchu 117dB z 8m</t>
  </si>
  <si>
    <t>Explosionskraft 117dB von 8m</t>
  </si>
  <si>
    <t>P2DB</t>
  </si>
  <si>
    <t>K0203K</t>
  </si>
  <si>
    <t>sound power 119dB from 8m</t>
  </si>
  <si>
    <t>síla výbuchu 119dB z 8m</t>
  </si>
  <si>
    <t>Explosionskraft 119dB von 8m</t>
  </si>
  <si>
    <t>P05D</t>
  </si>
  <si>
    <t>sound power 120dB form 8m, made in Europe, plastic seal</t>
  </si>
  <si>
    <t>síla výbuchu 120dB z 8m, vyrobeno v Evropě, plastová ucpávka</t>
  </si>
  <si>
    <t>PB120D</t>
  </si>
  <si>
    <t>Dumbum black edition 120db</t>
  </si>
  <si>
    <t xml:space="preserve">sound power 120dB from 8m(black powder) </t>
  </si>
  <si>
    <t xml:space="preserve">Explosionskraft 120dB von 8m(schwarz powder) </t>
  </si>
  <si>
    <t>P066D20</t>
  </si>
  <si>
    <t>sound power 120dB form 15m, made in Europe, plastic seal</t>
  </si>
  <si>
    <t>síla výbuchu 120dB z 15m, vyrobeno v Evropě, plastová ucpávka</t>
  </si>
  <si>
    <t>Explosionskraft 120dB von 15m, lHergestellt in Europa,Plastikdichtung</t>
  </si>
  <si>
    <t>P10D20</t>
  </si>
  <si>
    <t>sound power 120dB from 15m</t>
  </si>
  <si>
    <t>síla výbuchu 120dB z 15m</t>
  </si>
  <si>
    <t>Explosionskraft 120dB von 15m</t>
  </si>
  <si>
    <t>P4A(1)</t>
  </si>
  <si>
    <t>P4B</t>
  </si>
  <si>
    <t>P5DU13</t>
  </si>
  <si>
    <t>Dumbum 2G+</t>
  </si>
  <si>
    <t>sound power 120dB from 15m with green light on the start</t>
  </si>
  <si>
    <t>síla výbuchu 120dB z 15m se zeleným světlem na začátku</t>
  </si>
  <si>
    <t>Explosionskraft 120dB von 15m mit grünes Licht</t>
  </si>
  <si>
    <t>P5DU</t>
  </si>
  <si>
    <t>P5A13</t>
  </si>
  <si>
    <t>Bomb</t>
  </si>
  <si>
    <t>P5D13</t>
  </si>
  <si>
    <t>Viper 1</t>
  </si>
  <si>
    <t>Dumbum</t>
  </si>
  <si>
    <t>P6AE</t>
  </si>
  <si>
    <t>5g zábleskové slože, 130dB z 15m, vyrobeno v Evropě, plastová ucpávka</t>
  </si>
  <si>
    <t>T2</t>
  </si>
  <si>
    <t>P30D</t>
  </si>
  <si>
    <t>30g flash powder,sound power 142dB from 15m, made in Europe</t>
  </si>
  <si>
    <t>30g zábleskové slože, 142dB z 15m, vyrobeno v Evropě</t>
  </si>
  <si>
    <t>30g Blitzsatz, 142dB von 15m, Hergestellt in Europa</t>
  </si>
  <si>
    <t>P50D</t>
  </si>
  <si>
    <t>50g flash powder, sound power 159dB from 15m, made in Europe</t>
  </si>
  <si>
    <t>50g zábleskové slože, 159dB z 15m, vyrobeno v Evropě</t>
  </si>
  <si>
    <t>50g Blitzsatz, 159dB von 15m, Hergestellt in Europa</t>
  </si>
  <si>
    <t>P60V</t>
  </si>
  <si>
    <t>60g flash powder, sound power 160dB from 15m, made in Europe</t>
  </si>
  <si>
    <t>60g zábleskové slože, 160dB z 15m, vyrobeno v Evropě</t>
  </si>
  <si>
    <t>60g Blitzsatz, 160dB von 15m, Hergestellt in Europa</t>
  </si>
  <si>
    <t>K20K</t>
  </si>
  <si>
    <t>K60K</t>
  </si>
  <si>
    <t>K01M</t>
  </si>
  <si>
    <t>70sh,lenght 16cm,celebration crackers from small petards</t>
  </si>
  <si>
    <t>70 schuss, Länge 16cm, Teppich besteht aus kleinen Knallkörpern</t>
  </si>
  <si>
    <t>K200R</t>
  </si>
  <si>
    <t>200sh,lenght 62cm,celebration crackers from middle petards</t>
  </si>
  <si>
    <t>200ran,délka 62cm,bouchající koberec ze středních petard</t>
  </si>
  <si>
    <t>200 schuss, Länge 62cm, Knallteppich aus mittleren Knallkörpern</t>
  </si>
  <si>
    <t>K500R</t>
  </si>
  <si>
    <t>500sh,lenght 155cm,celebration crackers from middle petards</t>
  </si>
  <si>
    <t>500ran,délka 155cm,bouchající koberec ze středních petard</t>
  </si>
  <si>
    <t>500 schuss, Länge 155cm, Knallteppich aus großen Knallkörpern</t>
  </si>
  <si>
    <t>K1000R</t>
  </si>
  <si>
    <t>1000sh,lenght 310cm,celebration crackers from middle petards</t>
  </si>
  <si>
    <t>1000ran,délka 310cm,bouchající koberec ze středních petard</t>
  </si>
  <si>
    <t>1000 schuss, Länge 310cm, Knallteppich aus großen Knallkörpern</t>
  </si>
  <si>
    <t>1750sh small crackers+200sh midle crackers+19sh big crackers,lenght 5,25m</t>
  </si>
  <si>
    <t>1750ran malé petardy+200ran střední petardy+19 ran velké petardy,délka 5,25m</t>
  </si>
  <si>
    <t>1750 schuss kleine Knallkörper + 200schuss midlle Knallkörper+ 19schuss große Knallkörper, 5,25m Länge</t>
  </si>
  <si>
    <t>K1969R</t>
  </si>
  <si>
    <t>Dračí ocas 5m</t>
  </si>
  <si>
    <t>K10M</t>
  </si>
  <si>
    <t>Dračí ocas střední</t>
  </si>
  <si>
    <t>3500sh small crackers+400sh midle crackers+19sh big crackers,lenght 10,5m</t>
  </si>
  <si>
    <t>3500ran malé petardy+400ran střední petardy+19 ran velké petardy,délka 10,5m</t>
  </si>
  <si>
    <t>3500 schuss kleine Knallkörper + 400schuss midlle Knallkörper+ 19schuss große Knallkörper,10,5m Länge</t>
  </si>
  <si>
    <t>5 different color effects</t>
  </si>
  <si>
    <t>5 různobarevných efektů</t>
  </si>
  <si>
    <t>5 verschiedenfarbige Effekte</t>
  </si>
  <si>
    <t>RS1</t>
  </si>
  <si>
    <t>whistling+salute</t>
  </si>
  <si>
    <t>pískající raketa s explozí</t>
  </si>
  <si>
    <t>Pfeifende Rakete mit der Explosion</t>
  </si>
  <si>
    <t>RS6P</t>
  </si>
  <si>
    <t>Padáčková raketa</t>
  </si>
  <si>
    <t>small size parachute rocket</t>
  </si>
  <si>
    <t>Fallschirmrakete</t>
  </si>
  <si>
    <t>RS6O</t>
  </si>
  <si>
    <t>Ohnivý déšť</t>
  </si>
  <si>
    <t>whistling tail + color star</t>
  </si>
  <si>
    <t>pískající stopa+barevné světlice</t>
  </si>
  <si>
    <t>Pfeifende spur + farbige Leuchtgeschosse</t>
  </si>
  <si>
    <t>RS6S</t>
  </si>
  <si>
    <t>Scream rocket-mini</t>
  </si>
  <si>
    <t>whistling tail to silver glitter</t>
  </si>
  <si>
    <t>pískající stopa+stříbrné blikající hvězdy</t>
  </si>
  <si>
    <t>Pfeifende spur + silberne blinkende Sterne</t>
  </si>
  <si>
    <t>R12T1</t>
  </si>
  <si>
    <t>Tomahawk rocket 1</t>
  </si>
  <si>
    <t>42cm height of rocket, color stars</t>
  </si>
  <si>
    <t>42cm výška,barevné světlice</t>
  </si>
  <si>
    <t>42 cm Höhe, farbige Leuchtgeschosse</t>
  </si>
  <si>
    <t>RS6XS</t>
  </si>
  <si>
    <t xml:space="preserve">whistling tail to titanium salute with crackling </t>
  </si>
  <si>
    <t>velká pískající raketa s explozí a práskajícími hvězdami</t>
  </si>
  <si>
    <t>große pfeifende Rakete+titanium salute mit crackling</t>
  </si>
  <si>
    <t>RS6NO14</t>
  </si>
  <si>
    <t>6 different colour effects-no noise</t>
  </si>
  <si>
    <t>6 různobarevných efektů-bez hluku</t>
  </si>
  <si>
    <t>6 verschiedenfarbige Effekte-ohne Lärm</t>
  </si>
  <si>
    <t>RS4H14</t>
  </si>
  <si>
    <t>RS7MD14</t>
  </si>
  <si>
    <t>Devil rocket</t>
  </si>
  <si>
    <t>7 different color effects</t>
  </si>
  <si>
    <t>7 různobarevných efektů</t>
  </si>
  <si>
    <t xml:space="preserve">7 verschiedenfarbige Effekte </t>
  </si>
  <si>
    <t>RS7T14</t>
  </si>
  <si>
    <t>9 different color effects</t>
  </si>
  <si>
    <t>9 různobarevných efektů</t>
  </si>
  <si>
    <t xml:space="preserve">9 verschiedenfarbige Effekte </t>
  </si>
  <si>
    <t>RS9T14</t>
  </si>
  <si>
    <t>Troll</t>
  </si>
  <si>
    <t>RS9P14</t>
  </si>
  <si>
    <t>Pyro show rocket</t>
  </si>
  <si>
    <t>12 different color effects</t>
  </si>
  <si>
    <t>12 různobarevných efektů</t>
  </si>
  <si>
    <t xml:space="preserve">12 verschiedenfarbige Effekte </t>
  </si>
  <si>
    <t>11 different color effects</t>
  </si>
  <si>
    <t>11 různobarevných efektů</t>
  </si>
  <si>
    <t xml:space="preserve">11 verschiedenfarbige Effekte </t>
  </si>
  <si>
    <t>Happy New Year</t>
  </si>
  <si>
    <t>Mach one</t>
  </si>
  <si>
    <t>Tiger rocket</t>
  </si>
  <si>
    <t>18 different color effects</t>
  </si>
  <si>
    <t>18 různobarevných efektů</t>
  </si>
  <si>
    <t xml:space="preserve">18 verschiedenfarbige Effekte </t>
  </si>
  <si>
    <t>Storm rocket</t>
  </si>
  <si>
    <t>33 different color effects</t>
  </si>
  <si>
    <t>33 různobarevných efektů</t>
  </si>
  <si>
    <t xml:space="preserve">33 verschiedenfarbige Effekte </t>
  </si>
  <si>
    <t>RSSF2</t>
  </si>
  <si>
    <t>Signature range rocket F2</t>
  </si>
  <si>
    <t>5 různobarevné efekty</t>
  </si>
  <si>
    <t>RS4D</t>
  </si>
  <si>
    <t>Dumbum rakety</t>
  </si>
  <si>
    <t>silver tail to titanium salute with crackling(5g flash powder)</t>
  </si>
  <si>
    <t>stříbrná stopa s titanovou detonací a práskajícími hvězdami(5g zábleskové slože)</t>
  </si>
  <si>
    <t>silberne spur mit der titanischen detonation+crackling (5g flash sprengsatz)</t>
  </si>
  <si>
    <t>RS11H</t>
  </si>
  <si>
    <t>SP3C</t>
  </si>
  <si>
    <t>RS18T</t>
  </si>
  <si>
    <t>RS18S</t>
  </si>
  <si>
    <t>RS33R</t>
  </si>
  <si>
    <t>RSS100</t>
  </si>
  <si>
    <t>Signature range rocket 100</t>
  </si>
  <si>
    <t>R170B</t>
  </si>
  <si>
    <t>Brocade war rocket</t>
  </si>
  <si>
    <t>170cm height, top quality chrome rocket, 2 different color effects</t>
  </si>
  <si>
    <t>170cm Höhe, chromraketen der höchsten qualität, 2 verschiedenfarbige Effekte</t>
  </si>
  <si>
    <t>RSSF3</t>
  </si>
  <si>
    <t>Signature range rocket F3</t>
  </si>
  <si>
    <t>S90S</t>
  </si>
  <si>
    <t>Stroboskop bílý 90sec</t>
  </si>
  <si>
    <t>white strobo</t>
  </si>
  <si>
    <t>bílý stroboskop</t>
  </si>
  <si>
    <t>weißes Stroboskop</t>
  </si>
  <si>
    <t>S60S</t>
  </si>
  <si>
    <t>Stroboskop bílý 60sec</t>
  </si>
  <si>
    <t>S60SC</t>
  </si>
  <si>
    <t>red strobo+smoke</t>
  </si>
  <si>
    <t>silné červené blikající světlo+bílá dýmovnice</t>
  </si>
  <si>
    <t>Starkes rotes Blinklicht + weiße Rauchröhre</t>
  </si>
  <si>
    <t>red torch+white smoke</t>
  </si>
  <si>
    <t>pochodeň červené světlo+ bílý dým</t>
  </si>
  <si>
    <t>Fackel rotes Licht + weißer Rauch</t>
  </si>
  <si>
    <t>green torch+white smoke</t>
  </si>
  <si>
    <t>pochodeň zelenéné světlo+ bílý dým</t>
  </si>
  <si>
    <t>Fackel grünes Licht + weißer Rauch</t>
  </si>
  <si>
    <t>yellow torch+white smoke</t>
  </si>
  <si>
    <t>Fackel gelbes Licht + weißer Rauch</t>
  </si>
  <si>
    <t>P40C25</t>
  </si>
  <si>
    <t>P40Z25</t>
  </si>
  <si>
    <t>P40ZL25</t>
  </si>
  <si>
    <t>RP2</t>
  </si>
  <si>
    <t>red torch</t>
  </si>
  <si>
    <t>červená pochodeň</t>
  </si>
  <si>
    <t>Rote Fackel</t>
  </si>
  <si>
    <t>T-shirt Dumbum, 180g</t>
  </si>
  <si>
    <t>tričko Dumbum, gramáž 180g</t>
  </si>
  <si>
    <t>Trikot Dumbum, gewicht 180g</t>
  </si>
  <si>
    <t>TD1L</t>
  </si>
  <si>
    <t>TD1XL</t>
  </si>
  <si>
    <t>TIDC1M</t>
  </si>
  <si>
    <t>TIDC1L</t>
  </si>
  <si>
    <t>TIDC1XL</t>
  </si>
  <si>
    <t>TIDC1XXL</t>
  </si>
  <si>
    <t>TIDB1M</t>
  </si>
  <si>
    <t>TIDB1L</t>
  </si>
  <si>
    <t>TIDB1XXL</t>
  </si>
  <si>
    <t>TPD1M</t>
  </si>
  <si>
    <t>T-shirt POLO Dumbum, 225g</t>
  </si>
  <si>
    <t>polo triko Dumbum, gramáž 225g</t>
  </si>
  <si>
    <t>Polo-Trikot Dumbum, gewicht 225g</t>
  </si>
  <si>
    <t>TPD1L</t>
  </si>
  <si>
    <t>TPD1XL</t>
  </si>
  <si>
    <t>BD1L</t>
  </si>
  <si>
    <t>fleece-coat Dumbum, 600g</t>
  </si>
  <si>
    <t>bunda fleece Dumbum, gramáž 600g</t>
  </si>
  <si>
    <t>Jacke fleece Dumbum, Gewicht 600g</t>
  </si>
  <si>
    <t>BD1XL</t>
  </si>
  <si>
    <t>BD1XXL</t>
  </si>
  <si>
    <t>KD1</t>
  </si>
  <si>
    <t>baseball cap Dumbum</t>
  </si>
  <si>
    <t>kšiltovka Dumbum</t>
  </si>
  <si>
    <t>Schirmmütze Dumbum</t>
  </si>
  <si>
    <t>CD1</t>
  </si>
  <si>
    <t>winter hat Dumbum, Beanie</t>
  </si>
  <si>
    <t>zimní čepice Dumbum</t>
  </si>
  <si>
    <t>Wintermütze Dumbum</t>
  </si>
  <si>
    <t>N1</t>
  </si>
  <si>
    <t>Dumbum explosive drink</t>
  </si>
  <si>
    <t>energy drink 250ml, made in EU</t>
  </si>
  <si>
    <t>energetický nápoj 250ml, vyrobeno v EU</t>
  </si>
  <si>
    <t>Energiegetränk 250ml, made in EU</t>
  </si>
  <si>
    <t>SAMD02</t>
  </si>
  <si>
    <t>champagne Dumbum(Bohemia sekt)- 0,2l, made in Czech republic</t>
  </si>
  <si>
    <t>šampaňské Dumbum(Bohemia sekt)- 0,2l</t>
  </si>
  <si>
    <t>Champagner Dumbum(Bohemia sekt)- 0,2l, made in Czech republic</t>
  </si>
  <si>
    <t>RUD1</t>
  </si>
  <si>
    <t>roll-up Dumbum, size 200x85cm</t>
  </si>
  <si>
    <t>rozměr 200x85cm(Roll up Dumbum)- samostatně stojící</t>
  </si>
  <si>
    <t>Abmessungen 200 x 85cm (Roll up Dumbum) - alleinstehend</t>
  </si>
  <si>
    <t>RUN1</t>
  </si>
  <si>
    <t>Vysunovací reklama No sound fireworks</t>
  </si>
  <si>
    <t>roll-up No sound fireworks, size 200x85cm</t>
  </si>
  <si>
    <t>rozměr 200x85cm(Roll up No sound fireworks)- samostatně stojící</t>
  </si>
  <si>
    <t>Abmessungen 200 x 85cm (Roll up No sound fireworks) - alleinstehend</t>
  </si>
  <si>
    <t>RUSIG1</t>
  </si>
  <si>
    <t>roll-up Signature range , size 200x85cm</t>
  </si>
  <si>
    <t>rozměr 200x85cm(Roll up Signature range )- samostatně stojící</t>
  </si>
  <si>
    <t>Abmessungen 200 x 85cm (Roll up Signature range ) - alleinstehend</t>
  </si>
  <si>
    <t>RT1CZE</t>
  </si>
  <si>
    <t>display Stand A1, size 84x60cm, for outside use</t>
  </si>
  <si>
    <t>rozměr 84x60cm- samostatně stojící venkovní reklama</t>
  </si>
  <si>
    <t>Abmessungen 84x60cm - alleinstehende Freiluftwerbung</t>
  </si>
  <si>
    <t>RT1SK</t>
  </si>
  <si>
    <t>PL1CZE</t>
  </si>
  <si>
    <t>poster, size 84x60cm, vertical</t>
  </si>
  <si>
    <t>rozměr 84x60cm(na výšku)</t>
  </si>
  <si>
    <t>Abmessungen 84x60cm, auf höhe</t>
  </si>
  <si>
    <t>PL2CZE</t>
  </si>
  <si>
    <t>poster, size 98x68cm, width</t>
  </si>
  <si>
    <t>rozměr 98x68cm(na šířku)</t>
  </si>
  <si>
    <t>Abmessungen 84x60cm, auf breite</t>
  </si>
  <si>
    <t>PL1SVK</t>
  </si>
  <si>
    <t>PL2SVK</t>
  </si>
  <si>
    <t>PL1DU</t>
  </si>
  <si>
    <t>Plakát Dumbum</t>
  </si>
  <si>
    <t>poster Dumbum, size 84x60cm, vertical</t>
  </si>
  <si>
    <t>ZD1</t>
  </si>
  <si>
    <t>Zapalovač Dumbum s turboplamenem</t>
  </si>
  <si>
    <t>turboflame lighter Dumbum</t>
  </si>
  <si>
    <t>zapalovač s turboplamenem Dumbum</t>
  </si>
  <si>
    <t>Feuerzeug mit der Turboflamme Dumbum</t>
  </si>
  <si>
    <t>UZD2</t>
  </si>
  <si>
    <t>USB Zapalovač Dumbum</t>
  </si>
  <si>
    <t>USB Lighter Dumbum</t>
  </si>
  <si>
    <t>USB Feuerzeug Dumbum</t>
  </si>
  <si>
    <t>ND1</t>
  </si>
  <si>
    <t>Samolepka Dumbum</t>
  </si>
  <si>
    <t>sticker Dumbum, size 17x15cm</t>
  </si>
  <si>
    <t>samolepka Dumbum rozměr 17x15cm</t>
  </si>
  <si>
    <t>Aufkleber Dumbum Abmessungen 17x15cm</t>
  </si>
  <si>
    <t>shopping bag Klásek/Dumbum, size 50x40cm</t>
  </si>
  <si>
    <t>nákupní taška Klásek/Dumbum, rozměr 50x40cm</t>
  </si>
  <si>
    <t>Einkaufstasche Klásek/Dumbum, Abmessungen 50x40cm</t>
  </si>
  <si>
    <t>Taška Dumbum</t>
  </si>
  <si>
    <t>shopping bag Dumbum, size 45x34cm</t>
  </si>
  <si>
    <t>nákupní taška Dumbum, rozměr 45x34cm</t>
  </si>
  <si>
    <t>Einkaufstasche Dumbum, Abmessungen 45x34cm</t>
  </si>
  <si>
    <t>HD1</t>
  </si>
  <si>
    <t>Keramický hrnek Dumbum</t>
  </si>
  <si>
    <t>ceramic mug Dumbum</t>
  </si>
  <si>
    <t>keramický hrnek Dumbum</t>
  </si>
  <si>
    <t>Keramik-Becher Dumbum</t>
  </si>
  <si>
    <t>PPMD1</t>
  </si>
  <si>
    <t>Podložka pod myš Dumbum</t>
  </si>
  <si>
    <t>mouse pad Dumbum</t>
  </si>
  <si>
    <t>podložka pod myš Dumbum</t>
  </si>
  <si>
    <t>Mousepad Dumbum</t>
  </si>
  <si>
    <t>DD1</t>
  </si>
  <si>
    <t>Deštník Dumbum</t>
  </si>
  <si>
    <t>umbrella Dumbum</t>
  </si>
  <si>
    <t>deštník Dumbum</t>
  </si>
  <si>
    <t>Regenschirm Dumbum</t>
  </si>
  <si>
    <t>SD2</t>
  </si>
  <si>
    <t>car parfume Dumbum, with the aroma of Invictus</t>
  </si>
  <si>
    <t>Auto Parfüm Dumbum, mit dem Aroma von Invictus</t>
  </si>
  <si>
    <t>OZ4</t>
  </si>
  <si>
    <t>Odpalovací zařízení Professionál</t>
  </si>
  <si>
    <t>firing machine with 4 positions, remote control, 4pcs electric ignitors</t>
  </si>
  <si>
    <t>odpalovací zařízení na dálkový odpal(4 pozice)+ dálkový ovladač+4ks el.palníku</t>
  </si>
  <si>
    <t>Abfeuereinrichtung für die Fernabfeuerung (4 Positionen) + Fernbediengerät + 4 Stk. Elektrische Zünder</t>
  </si>
  <si>
    <t>ZS5M</t>
  </si>
  <si>
    <t>Zápalná šňůra 2mm</t>
  </si>
  <si>
    <t>package contains 5m of 2mm green fuse</t>
  </si>
  <si>
    <t>2mm zelená zápalná šnůra, baleno po 5m</t>
  </si>
  <si>
    <t>2 mm grüne Yündschnur, je 5m verpackt</t>
  </si>
  <si>
    <t>10 different color effects</t>
  </si>
  <si>
    <t>9 verschiedenfarbige Effekte</t>
  </si>
  <si>
    <t>C2508R</t>
  </si>
  <si>
    <t xml:space="preserve">silver whistling tail to salute </t>
  </si>
  <si>
    <t>stříbrné pískající komety s explozí</t>
  </si>
  <si>
    <t>Silberne pfeifende Kometen mit der Explosion</t>
  </si>
  <si>
    <t>C10008R</t>
  </si>
  <si>
    <t>silver whistling tail to salute</t>
  </si>
  <si>
    <t>C30008R</t>
  </si>
  <si>
    <t>C100008R</t>
  </si>
  <si>
    <t>Edwin</t>
  </si>
  <si>
    <t>C1614E14</t>
  </si>
  <si>
    <t>C10014A</t>
  </si>
  <si>
    <t>American dream</t>
  </si>
  <si>
    <t>10 různobarevných efektů</t>
  </si>
  <si>
    <t>10 verschiedenfarbige Effekte</t>
  </si>
  <si>
    <t>C920L</t>
  </si>
  <si>
    <t>3 different color effects</t>
  </si>
  <si>
    <t>3 různobarevné efekty</t>
  </si>
  <si>
    <t>3 verschiedenfarbige Effekte</t>
  </si>
  <si>
    <t>C920M</t>
  </si>
  <si>
    <t>Major</t>
  </si>
  <si>
    <t>C1620DU</t>
  </si>
  <si>
    <t>stříbrná mina s červenou stopou a titanovou detonací</t>
  </si>
  <si>
    <t>Silberne Mine mit der roten Spur und mit der titanischen Detonation</t>
  </si>
  <si>
    <t>C1620BPF</t>
  </si>
  <si>
    <t>C1620H</t>
  </si>
  <si>
    <t>Hnusák</t>
  </si>
  <si>
    <t>C1620N</t>
  </si>
  <si>
    <t>Nuclear attack</t>
  </si>
  <si>
    <t>C1620M</t>
  </si>
  <si>
    <t>C1620F</t>
  </si>
  <si>
    <t>Frankinson Harley</t>
  </si>
  <si>
    <t>C1620DUI14(1)</t>
  </si>
  <si>
    <t>C1620H14</t>
  </si>
  <si>
    <t>C1620N14</t>
  </si>
  <si>
    <t>C1620M14</t>
  </si>
  <si>
    <t>C1620F14</t>
  </si>
  <si>
    <t>C2520BP</t>
  </si>
  <si>
    <t>C2520SIG</t>
  </si>
  <si>
    <t>C2520Z</t>
  </si>
  <si>
    <t>Želvoun</t>
  </si>
  <si>
    <t>C2520P</t>
  </si>
  <si>
    <t>C2520DI</t>
  </si>
  <si>
    <t>Dinomit</t>
  </si>
  <si>
    <t>C2520T</t>
  </si>
  <si>
    <t>Turtle Burger</t>
  </si>
  <si>
    <t>C2520SE</t>
  </si>
  <si>
    <t>Senior</t>
  </si>
  <si>
    <t>C2520DI14</t>
  </si>
  <si>
    <t>C2520T14</t>
  </si>
  <si>
    <t>C2520SE14</t>
  </si>
  <si>
    <t>C2520ST</t>
  </si>
  <si>
    <t>Střelmistr</t>
  </si>
  <si>
    <t>red wave w.crackling pistil, silver mine to red tail to titanium salute</t>
  </si>
  <si>
    <t>červená vlna s práskajícím středem, stříbrná mina s červenou stopou a titanovou detonací</t>
  </si>
  <si>
    <t>Rote Welle mit der knallenden Mitte, silberne Mine mit der roten Spur und der titanischen Detonation</t>
  </si>
  <si>
    <t>C2520SL</t>
  </si>
  <si>
    <t>Slet čarodejnic</t>
  </si>
  <si>
    <t>silver wave to green w.glittering pistil, orange tail to orange pearl to chrysanthemum</t>
  </si>
  <si>
    <t>stříbrná vlna se zelenými konci a blikajícím středem, oranžová stopa s oranžovými perlami s práskajícími hvězdami</t>
  </si>
  <si>
    <t>Silberne Welle mit grünen Enden und mit der blinkenden Mitte, orangenfarbige Spur mit orangenfarbigen Perlen und mit knallenden Sternen</t>
  </si>
  <si>
    <t>C2520R</t>
  </si>
  <si>
    <t>Radiation</t>
  </si>
  <si>
    <t>brocade crown to purple</t>
  </si>
  <si>
    <t>brokátová koruna s fialovými konci</t>
  </si>
  <si>
    <t>Brokatkrone mit violetten Enden</t>
  </si>
  <si>
    <t>VIP</t>
  </si>
  <si>
    <t>blue palm with gold flashing middle</t>
  </si>
  <si>
    <t>modrá palma se zlatým blikajícím středem</t>
  </si>
  <si>
    <t>Blaue Palme mit der goldenen blinkenden Mitte</t>
  </si>
  <si>
    <t>C2520VI</t>
  </si>
  <si>
    <t>Brokatkrone mit violetten enden</t>
  </si>
  <si>
    <t>C4920BPF</t>
  </si>
  <si>
    <t>7 verschiedenfarbige Effekte</t>
  </si>
  <si>
    <t>C4920NID</t>
  </si>
  <si>
    <t>C4920SIG</t>
  </si>
  <si>
    <t>C4920DR</t>
  </si>
  <si>
    <t>Dragon army</t>
  </si>
  <si>
    <t>C4920K</t>
  </si>
  <si>
    <t>C4920S</t>
  </si>
  <si>
    <t>Šašek</t>
  </si>
  <si>
    <t>C4920SIG14</t>
  </si>
  <si>
    <t>C4920DR14</t>
  </si>
  <si>
    <t>C4920K14</t>
  </si>
  <si>
    <t>C4920S14</t>
  </si>
  <si>
    <t>CF4920G</t>
  </si>
  <si>
    <t>Goldman</t>
  </si>
  <si>
    <t>CF4920J</t>
  </si>
  <si>
    <t>Jaga</t>
  </si>
  <si>
    <t>CF4920A</t>
  </si>
  <si>
    <t>CF4920G14</t>
  </si>
  <si>
    <t>CF4920VIP</t>
  </si>
  <si>
    <t xml:space="preserve">brocade crown to purple </t>
  </si>
  <si>
    <t>C6420B</t>
  </si>
  <si>
    <t>Breakboo</t>
  </si>
  <si>
    <t>8 different color effects</t>
  </si>
  <si>
    <t>8 různobarevných efektů</t>
  </si>
  <si>
    <t>8 verschiedenfarbige Effekte</t>
  </si>
  <si>
    <t>C6420G</t>
  </si>
  <si>
    <t>Grouch</t>
  </si>
  <si>
    <t>C6420D</t>
  </si>
  <si>
    <t>Devil</t>
  </si>
  <si>
    <t>C6420G14</t>
  </si>
  <si>
    <t>C6420D14</t>
  </si>
  <si>
    <t>C6620SIG</t>
  </si>
  <si>
    <t>9 different color effects with titanium salute like final</t>
  </si>
  <si>
    <t>9 různobarevných efektů se salvou titanium salute na závěr</t>
  </si>
  <si>
    <t>9 verschiedenfarbige Effekte mit Titan Salute wie Finale</t>
  </si>
  <si>
    <t>C6620P</t>
  </si>
  <si>
    <t>Pyromaster</t>
  </si>
  <si>
    <t>C6620L</t>
  </si>
  <si>
    <t>Luxury pyro</t>
  </si>
  <si>
    <t>C6620SIGI14</t>
  </si>
  <si>
    <t>C6620P14</t>
  </si>
  <si>
    <t>C6620L14</t>
  </si>
  <si>
    <t>C9020SIG</t>
  </si>
  <si>
    <t>C9020V</t>
  </si>
  <si>
    <t>Válka světů</t>
  </si>
  <si>
    <t>C9020X</t>
  </si>
  <si>
    <t>Xmas dream</t>
  </si>
  <si>
    <t>C10020BP14</t>
  </si>
  <si>
    <t>C10020BPF14</t>
  </si>
  <si>
    <t>C10020NID14</t>
  </si>
  <si>
    <t>CF10020P</t>
  </si>
  <si>
    <t>Platinium serie</t>
  </si>
  <si>
    <t>5 different color effects(salvo 10sh together)</t>
  </si>
  <si>
    <t>5 různobarevných efektů(salvy po 10ran)</t>
  </si>
  <si>
    <t>5 verschiedenfarbige Effekte (Salven je 10 Schuss)</t>
  </si>
  <si>
    <t>CF10020G</t>
  </si>
  <si>
    <t>C13020M</t>
  </si>
  <si>
    <t>Mr.Boom</t>
  </si>
  <si>
    <t>13 different color effects</t>
  </si>
  <si>
    <t>13 různobarevných efektů</t>
  </si>
  <si>
    <t>13 verschiedenfarbige Effekte</t>
  </si>
  <si>
    <t>C13020B</t>
  </si>
  <si>
    <t>C13420B</t>
  </si>
  <si>
    <t>16 different color effects, 64sh(standard mortar), 40sh(fan shape), 18sh(W mortar), 12sh(V mortar)</t>
  </si>
  <si>
    <t>16 různobarevných efektů, 64ran(rovný moždíř), 40ran(šikmý moždíř), 18ran(W moždíř), 12ran(v moždíř)</t>
  </si>
  <si>
    <t>16 verschiedenfarbige Effekte, 64 Schuss (gerader Mörser), 40 Schuss (schräger Mörser), 18 Schuss (W Mörser), 12 Schuss (V Mörser)</t>
  </si>
  <si>
    <t>C13420H</t>
  </si>
  <si>
    <t>Hell</t>
  </si>
  <si>
    <t>Storm new age</t>
  </si>
  <si>
    <t>C20020BP</t>
  </si>
  <si>
    <t>20 different color effects</t>
  </si>
  <si>
    <t>20 různobarevných efektů</t>
  </si>
  <si>
    <t>20 verschiedenfarbige Effekte</t>
  </si>
  <si>
    <t>C20020BPF</t>
  </si>
  <si>
    <t>C6420DU/IC14(1)</t>
  </si>
  <si>
    <t>C12820F/C14</t>
  </si>
  <si>
    <t>16 different color effects</t>
  </si>
  <si>
    <t>16 různobarevných efektů</t>
  </si>
  <si>
    <t>16 verschiedenfarbige Effekte</t>
  </si>
  <si>
    <t>C13220B/C14</t>
  </si>
  <si>
    <t>Big and Bad</t>
  </si>
  <si>
    <t>18 verschiedenfarbige Effekte</t>
  </si>
  <si>
    <t>C19220F/C14</t>
  </si>
  <si>
    <t>24 different color effects</t>
  </si>
  <si>
    <t>24 různobarevných efektů</t>
  </si>
  <si>
    <t>24 verschiedenfarbige Effekte</t>
  </si>
  <si>
    <t>C25620F/C14</t>
  </si>
  <si>
    <t>Fireworks show 256</t>
  </si>
  <si>
    <t>32 different color effects</t>
  </si>
  <si>
    <t>32 různobarevných efektů</t>
  </si>
  <si>
    <t>32 verschiedenfarbige Effekte</t>
  </si>
  <si>
    <t>C26420N/C14</t>
  </si>
  <si>
    <t>Neverending Sky</t>
  </si>
  <si>
    <t>C6420DU/C</t>
  </si>
  <si>
    <t>C12820F/C</t>
  </si>
  <si>
    <t>C12820NID/C</t>
  </si>
  <si>
    <t>C13220B/C</t>
  </si>
  <si>
    <t>C19220F/C</t>
  </si>
  <si>
    <t>C19620SIG/C</t>
  </si>
  <si>
    <t>C25620F/C</t>
  </si>
  <si>
    <t>C26420N/C</t>
  </si>
  <si>
    <t>Fireworks show 260</t>
  </si>
  <si>
    <t>26 different color effects</t>
  </si>
  <si>
    <t>26 různobarevných efektů</t>
  </si>
  <si>
    <t>26 verschiedenfarbige Effekte</t>
  </si>
  <si>
    <t>Fireworks show 390</t>
  </si>
  <si>
    <t>39 different color effects</t>
  </si>
  <si>
    <t>39 různobarevných efektů</t>
  </si>
  <si>
    <t>39 verschiedenfarbige Effekte</t>
  </si>
  <si>
    <t>Fireworks show 520</t>
  </si>
  <si>
    <t>52 different color effects</t>
  </si>
  <si>
    <t>52 verschiedenfarbige Effekte</t>
  </si>
  <si>
    <t>C18020SIG/C</t>
  </si>
  <si>
    <t>C26020F/C</t>
  </si>
  <si>
    <t>C26020NID/C</t>
  </si>
  <si>
    <t>C26820F/C</t>
  </si>
  <si>
    <t>C39020F/C</t>
  </si>
  <si>
    <t>C52020F/C</t>
  </si>
  <si>
    <t>C53620F/C</t>
  </si>
  <si>
    <t>C1625BPF</t>
  </si>
  <si>
    <t>C1625B</t>
  </si>
  <si>
    <t>Helloween</t>
  </si>
  <si>
    <t>C1625D</t>
  </si>
  <si>
    <t>Kamikadze</t>
  </si>
  <si>
    <t>C1625F</t>
  </si>
  <si>
    <t>Poker</t>
  </si>
  <si>
    <t>C1625G</t>
  </si>
  <si>
    <t>C1625B14</t>
  </si>
  <si>
    <t>C1625D14</t>
  </si>
  <si>
    <t>C1625F14</t>
  </si>
  <si>
    <t>C2525SIG</t>
  </si>
  <si>
    <t>C2525DU</t>
  </si>
  <si>
    <t>Dumbum micro</t>
  </si>
  <si>
    <t>C2525C</t>
  </si>
  <si>
    <t>Casper</t>
  </si>
  <si>
    <t>C2525L</t>
  </si>
  <si>
    <t>Loď Duchů</t>
  </si>
  <si>
    <t>CF2525D</t>
  </si>
  <si>
    <t>Dracco</t>
  </si>
  <si>
    <t>CF2525O</t>
  </si>
  <si>
    <t>Ostrov pokladů</t>
  </si>
  <si>
    <t>CF2525S</t>
  </si>
  <si>
    <t>Skřeti</t>
  </si>
  <si>
    <t>C4825MP</t>
  </si>
  <si>
    <t>Pearates</t>
  </si>
  <si>
    <t>C4925G</t>
  </si>
  <si>
    <t>Gas Man</t>
  </si>
  <si>
    <t>C4925P</t>
  </si>
  <si>
    <t>C4925V</t>
  </si>
  <si>
    <t>Viking</t>
  </si>
  <si>
    <t>C4925BP14</t>
  </si>
  <si>
    <t>C4925NO14</t>
  </si>
  <si>
    <t>No sound Fireworks</t>
  </si>
  <si>
    <t>7 different color effects - No noise</t>
  </si>
  <si>
    <t>7 verschiedenfarbige Effekte - ohne Lärm</t>
  </si>
  <si>
    <t>C4925V14</t>
  </si>
  <si>
    <t>C4925SIG</t>
  </si>
  <si>
    <t>C4925D</t>
  </si>
  <si>
    <t>C4925VS</t>
  </si>
  <si>
    <t>Vše nejlepší k narozeninám</t>
  </si>
  <si>
    <t>7 different color effects(Signature quality), carton contains stickers with different ages</t>
  </si>
  <si>
    <t>7 různobarevných efektu(Signature kvalita), karton obsahuje nálepky s různým věkem</t>
  </si>
  <si>
    <t>7 verschiedenfarbige Effekte(Signature quality) Karton enthält Aufkleber mit verschiedenen Alters</t>
  </si>
  <si>
    <t>CF4925D</t>
  </si>
  <si>
    <t>CF4925B</t>
  </si>
  <si>
    <t>28sh golden brocade crown to red/blue, 21sh silver mine to red tail to titanium salute</t>
  </si>
  <si>
    <t>28ran zlatá brokátová koruna s červenými/modrými konci, 21ran stříbrná mina s červenovu stopou+titanová exploze</t>
  </si>
  <si>
    <t>28 Schuss goldene Brokatkrone mit roten/blauen Enden, 21 Schuss silberne Mine mit der roten Spur + titanische Explosion</t>
  </si>
  <si>
    <t>11 verschiedenfarbige Effekte</t>
  </si>
  <si>
    <t>C8825M</t>
  </si>
  <si>
    <t>C8825G</t>
  </si>
  <si>
    <t>Graffiti</t>
  </si>
  <si>
    <t>11 different color effects(effect change every shot)</t>
  </si>
  <si>
    <t>11 různobarevných efektů měnících se po každé ráně</t>
  </si>
  <si>
    <t>11 verschiedenfarbige wechselnde Effekte nach jedem Schuss</t>
  </si>
  <si>
    <t>C8825PA</t>
  </si>
  <si>
    <t>Partička</t>
  </si>
  <si>
    <t>C8825BR</t>
  </si>
  <si>
    <t>Brocade war</t>
  </si>
  <si>
    <t>40sh golden brocade crown to red/blue, 48sh silver mine to red tail to titanium salute</t>
  </si>
  <si>
    <t>40ran zlatá brokátová koruna s červenými/modrými konci, 48ran stříbrná mina s červenovu stopou+titanová exploze</t>
  </si>
  <si>
    <t>40 Schuss goldene Brokatkrone mit roten/blauen Enden, 48 Schuss silberne Mine mit der roten Spur + titanische Explosion</t>
  </si>
  <si>
    <t>C8925B</t>
  </si>
  <si>
    <t>6 different blue effects + 3 row silver mine to red tail to titanium salute</t>
  </si>
  <si>
    <t>6různých modrých efektů + 3 řady stříbrná mina s červenou stopou a titanovou explozí</t>
  </si>
  <si>
    <t>6 verschiedene blue Effekte + 3 Serie Silbermine mit der roten Markierung und Titan Explosion</t>
  </si>
  <si>
    <t>C8925N</t>
  </si>
  <si>
    <t>C10025BP</t>
  </si>
  <si>
    <t>C10025S</t>
  </si>
  <si>
    <t>C10025I</t>
  </si>
  <si>
    <t>Indian scream</t>
  </si>
  <si>
    <t>C9625MF/C14</t>
  </si>
  <si>
    <t>C9825C/C14</t>
  </si>
  <si>
    <t>Crazy Night</t>
  </si>
  <si>
    <t>14 different color effects</t>
  </si>
  <si>
    <t>14 různobarevných efektů</t>
  </si>
  <si>
    <t>14 verschiedenfarbige Effekte</t>
  </si>
  <si>
    <t>C19225MF/C14</t>
  </si>
  <si>
    <t>C19625/C14</t>
  </si>
  <si>
    <t>Fireworks show 196</t>
  </si>
  <si>
    <t>28 different color effects</t>
  </si>
  <si>
    <t>28 různobarevných efektů</t>
  </si>
  <si>
    <t>28 verschiedenfarbige Effekte</t>
  </si>
  <si>
    <t>C9825C/C</t>
  </si>
  <si>
    <t>C19625F/C</t>
  </si>
  <si>
    <t>War of worlds</t>
  </si>
  <si>
    <t>Fireworks show 300</t>
  </si>
  <si>
    <t>30 different color effects</t>
  </si>
  <si>
    <t>30 různobarevných efektů</t>
  </si>
  <si>
    <t>30 verschiedenfarbige Effekte</t>
  </si>
  <si>
    <t>Fireworks show 400</t>
  </si>
  <si>
    <t>40 different color effects</t>
  </si>
  <si>
    <t>40 různobarevných efektů</t>
  </si>
  <si>
    <t>40 verschiedenfarbige Effekte</t>
  </si>
  <si>
    <t>C9825SIG/C</t>
  </si>
  <si>
    <t>C17825W/C</t>
  </si>
  <si>
    <t>C20025F/C</t>
  </si>
  <si>
    <t>C30025F/C</t>
  </si>
  <si>
    <t>C40025F/C</t>
  </si>
  <si>
    <t>22 different color effects</t>
  </si>
  <si>
    <t>22 různobarevných efektů</t>
  </si>
  <si>
    <t>22 verschiedenfarbige Effekte</t>
  </si>
  <si>
    <t>C163BP</t>
  </si>
  <si>
    <t>C163SIG</t>
  </si>
  <si>
    <t>C163A</t>
  </si>
  <si>
    <t>Orcs pyro</t>
  </si>
  <si>
    <t>C163B</t>
  </si>
  <si>
    <t>Zlobr</t>
  </si>
  <si>
    <t>C163S</t>
  </si>
  <si>
    <t>C163L</t>
  </si>
  <si>
    <t>Trolice</t>
  </si>
  <si>
    <t>4 different color effects(effect change every shot)</t>
  </si>
  <si>
    <t>4 různobarevné efekty měnící se po každé ráně</t>
  </si>
  <si>
    <t>4 verschiedenfarbige wechselnde Effekte nach jedem schuss</t>
  </si>
  <si>
    <t>C163A14</t>
  </si>
  <si>
    <t>colorful dahlia</t>
  </si>
  <si>
    <t>C163E</t>
  </si>
  <si>
    <t>brocade tail to brocade crown w.crackers</t>
  </si>
  <si>
    <t>brokátová stopa+brokátová koruna s práskajícími hvězdami</t>
  </si>
  <si>
    <t>Brokatspur + Brokatkrone mit knallenden Sternen</t>
  </si>
  <si>
    <t>C163K</t>
  </si>
  <si>
    <t>Kung-fu morče</t>
  </si>
  <si>
    <t>silver mine to red tail to silver chrysanthemum</t>
  </si>
  <si>
    <t>stříbrná mina s červenou stopou+stříbrná chryzantéma</t>
  </si>
  <si>
    <t xml:space="preserve">Silberne Mine mit der roten Spur + silberne Chrysantheme </t>
  </si>
  <si>
    <t>C163E14</t>
  </si>
  <si>
    <t>C193BP</t>
  </si>
  <si>
    <t>C193C</t>
  </si>
  <si>
    <t>Radar</t>
  </si>
  <si>
    <t>C193D</t>
  </si>
  <si>
    <t>Super Chip</t>
  </si>
  <si>
    <t>C193J</t>
  </si>
  <si>
    <t>Kerberos</t>
  </si>
  <si>
    <t>C193F</t>
  </si>
  <si>
    <t>silver tail to silver palm to purple</t>
  </si>
  <si>
    <t>stříbrná stopa+stříbrná palma s fialovým středem</t>
  </si>
  <si>
    <t>Silberne Spur + silberne Palme mit der violetten Mitte</t>
  </si>
  <si>
    <t>C193I</t>
  </si>
  <si>
    <t>Dragon</t>
  </si>
  <si>
    <t>color pearls to chrysanthemum</t>
  </si>
  <si>
    <t>plnobarevná kytice s práskajícími hvězdami</t>
  </si>
  <si>
    <t>Vollfarbiger Blumenstrauß mit knallenden Sternen</t>
  </si>
  <si>
    <t>C193I14</t>
  </si>
  <si>
    <t>5 různobarevných efektu</t>
  </si>
  <si>
    <t>C253SIG</t>
  </si>
  <si>
    <t>Frankenstein</t>
  </si>
  <si>
    <t>5 different color effects(effect change every shot)</t>
  </si>
  <si>
    <t>5 různobarevných efektů měnících se po každé ráně</t>
  </si>
  <si>
    <t>5 verschiedenfarbige wechselnde Effekte nach jedem schuss</t>
  </si>
  <si>
    <t>The Fire Lion</t>
  </si>
  <si>
    <t>brocade crown</t>
  </si>
  <si>
    <t>C253FR</t>
  </si>
  <si>
    <t>C253MY</t>
  </si>
  <si>
    <t>C253BP14</t>
  </si>
  <si>
    <t>C253BPF14</t>
  </si>
  <si>
    <t>C253NO14</t>
  </si>
  <si>
    <t>5 different color effects - No noise</t>
  </si>
  <si>
    <t>5 různobarevných efektů - bez hluku</t>
  </si>
  <si>
    <t>5 verschiedenfarbige Effekte - ohne Lärm</t>
  </si>
  <si>
    <t>C253B14</t>
  </si>
  <si>
    <t>C253TH14</t>
  </si>
  <si>
    <t>C253E14</t>
  </si>
  <si>
    <t>C253SK14</t>
  </si>
  <si>
    <t>C253DU</t>
  </si>
  <si>
    <t>stříbrné miny s červenou stopou a titanovou detonací</t>
  </si>
  <si>
    <t>Silberne Minen mit der roten Spur und mit der titanischen Detonation</t>
  </si>
  <si>
    <t>silver tail to titanium salute</t>
  </si>
  <si>
    <t>Horda</t>
  </si>
  <si>
    <t>blue tail to white flashing willow</t>
  </si>
  <si>
    <t>modrá stopa s bílou blikající vrbou</t>
  </si>
  <si>
    <t>Blaue spur mit der weißen blinkenden weide</t>
  </si>
  <si>
    <t>gold coconut + green strobe</t>
  </si>
  <si>
    <t>C253F14</t>
  </si>
  <si>
    <t>C253G14</t>
  </si>
  <si>
    <t>Rarach</t>
  </si>
  <si>
    <t>Klaun</t>
  </si>
  <si>
    <t>CF253R14</t>
  </si>
  <si>
    <t>CF253D14</t>
  </si>
  <si>
    <t>CF253K14</t>
  </si>
  <si>
    <t>7 různobarevných efektu</t>
  </si>
  <si>
    <t>6 different color effects(effect change every shot)</t>
  </si>
  <si>
    <t>6 verschiedenfarbige wechselnde Effekte nach jedem schuss</t>
  </si>
  <si>
    <t>Panda Killer</t>
  </si>
  <si>
    <t>6 různobarevných efektu</t>
  </si>
  <si>
    <t>Drevokocur</t>
  </si>
  <si>
    <t>C363BPF</t>
  </si>
  <si>
    <t>C363PL</t>
  </si>
  <si>
    <t>C363PA</t>
  </si>
  <si>
    <t>C363DR</t>
  </si>
  <si>
    <t>CF363S</t>
  </si>
  <si>
    <t>Stalinovy varhany</t>
  </si>
  <si>
    <t>CF363H</t>
  </si>
  <si>
    <t>C493BP</t>
  </si>
  <si>
    <t>C493BPF</t>
  </si>
  <si>
    <t>Merry Christmas</t>
  </si>
  <si>
    <t>7 different color effects(effect change every shot)</t>
  </si>
  <si>
    <t>7 různobarevných efektů měnících se po každé ráně</t>
  </si>
  <si>
    <t>7 verschiedenfarbige wechselnde Effekte nach jedem schuss</t>
  </si>
  <si>
    <t>Lion</t>
  </si>
  <si>
    <t>C493RU</t>
  </si>
  <si>
    <t>Rusbaby</t>
  </si>
  <si>
    <t>C493MA</t>
  </si>
  <si>
    <t>C493CR</t>
  </si>
  <si>
    <t>C493DU</t>
  </si>
  <si>
    <t>C493SW</t>
  </si>
  <si>
    <t xml:space="preserve">red tailt to super white strobe </t>
  </si>
  <si>
    <t>červená stopa s bílými blikajícími hvězdami</t>
  </si>
  <si>
    <t>Rote Spur mit weißen blinkenden Sternen</t>
  </si>
  <si>
    <t>C493GH</t>
  </si>
  <si>
    <t xml:space="preserve">colour tail to colour pearl with red/golden ghost </t>
  </si>
  <si>
    <t>barevná stopa s barevnými perlami a červeno/zlatým opožděným středem</t>
  </si>
  <si>
    <t>Farbspur mit farbigen Perlen und rot/gold verzögerten Mitte</t>
  </si>
  <si>
    <t>C493RG</t>
  </si>
  <si>
    <t>Red glittering wilow</t>
  </si>
  <si>
    <t>red glittering wilow</t>
  </si>
  <si>
    <t>červená blikající vrba</t>
  </si>
  <si>
    <t>Rot blinkende Weide</t>
  </si>
  <si>
    <t>CF493ST</t>
  </si>
  <si>
    <t>CF493SA</t>
  </si>
  <si>
    <t>Samuraj</t>
  </si>
  <si>
    <t>CF493W</t>
  </si>
  <si>
    <t>World</t>
  </si>
  <si>
    <t>CF493ME</t>
  </si>
  <si>
    <t>Mechanic</t>
  </si>
  <si>
    <t>C503SIGA</t>
  </si>
  <si>
    <t>C503RA</t>
  </si>
  <si>
    <t>Ratman</t>
  </si>
  <si>
    <t>C503RO</t>
  </si>
  <si>
    <t>Royal</t>
  </si>
  <si>
    <t>C503WI</t>
  </si>
  <si>
    <t>C503BI</t>
  </si>
  <si>
    <t>C503ME</t>
  </si>
  <si>
    <t>C643BPF</t>
  </si>
  <si>
    <t>C643BI</t>
  </si>
  <si>
    <t>Ho Chi Minh</t>
  </si>
  <si>
    <t>8 different color effects(effect change every shot)</t>
  </si>
  <si>
    <t>8 různobarevných efektů měnících se po každé ráně</t>
  </si>
  <si>
    <t>8 verschiedenfarbige wechselnde Effekte nach jedem schuss</t>
  </si>
  <si>
    <t>C643H</t>
  </si>
  <si>
    <t>C643M</t>
  </si>
  <si>
    <t>C643ZO</t>
  </si>
  <si>
    <t>Mutant</t>
  </si>
  <si>
    <t>Tiger</t>
  </si>
  <si>
    <t>CF643BP</t>
  </si>
  <si>
    <t>CF643M</t>
  </si>
  <si>
    <t>CF643T</t>
  </si>
  <si>
    <t>C643MN</t>
  </si>
  <si>
    <t>C643XMO</t>
  </si>
  <si>
    <t>Only for the best</t>
  </si>
  <si>
    <t>C643XMS</t>
  </si>
  <si>
    <t>Show must go on</t>
  </si>
  <si>
    <t>C503RO/C14</t>
  </si>
  <si>
    <t>Royal F2</t>
  </si>
  <si>
    <t>C503F/C14</t>
  </si>
  <si>
    <t>Fireworks show 50</t>
  </si>
  <si>
    <t>C503SIG/C14</t>
  </si>
  <si>
    <t>C503NID/C14</t>
  </si>
  <si>
    <t>C583MN/C14</t>
  </si>
  <si>
    <t>C1003B/C14</t>
  </si>
  <si>
    <t>C1003NO/C14</t>
  </si>
  <si>
    <t>C1163MB/C14</t>
  </si>
  <si>
    <t>Best pyro in town</t>
  </si>
  <si>
    <t>Big Brother</t>
  </si>
  <si>
    <t>Big sellers</t>
  </si>
  <si>
    <t>15 different color effects</t>
  </si>
  <si>
    <t>15 různobarevných efektů</t>
  </si>
  <si>
    <t>15 verschiedenfarbige Effekte</t>
  </si>
  <si>
    <t>Fireworks show 200</t>
  </si>
  <si>
    <t>C1003BP/C</t>
  </si>
  <si>
    <t>C1003BPF/C</t>
  </si>
  <si>
    <t>C1003NID/C</t>
  </si>
  <si>
    <t>C1003BB/C</t>
  </si>
  <si>
    <t>C1003SIG/C</t>
  </si>
  <si>
    <t>C1003DU/C</t>
  </si>
  <si>
    <t>C1003VS/C</t>
  </si>
  <si>
    <t>10 different color effects,carton contains stickers with different ages</t>
  </si>
  <si>
    <t>10 verschiedenfarbige Effekte, Karton enthält Aufkleber mit verschiedenen Alters</t>
  </si>
  <si>
    <t>CF1003P/C</t>
  </si>
  <si>
    <t>C128XMB/C</t>
  </si>
  <si>
    <t>C1503X/C</t>
  </si>
  <si>
    <t>C1503BPF/C</t>
  </si>
  <si>
    <t>C2003BP/C</t>
  </si>
  <si>
    <t>C2003U/C</t>
  </si>
  <si>
    <t>C2003F/C</t>
  </si>
  <si>
    <t>C2003SIG/C</t>
  </si>
  <si>
    <t>C2563XMF/C</t>
  </si>
  <si>
    <t>5 různobarevných efektů střídajících se po každé ráně</t>
  </si>
  <si>
    <t>C165JA</t>
  </si>
  <si>
    <t>Jánošík</t>
  </si>
  <si>
    <t>C165P</t>
  </si>
  <si>
    <t>Pandora</t>
  </si>
  <si>
    <t>C255BP</t>
  </si>
  <si>
    <t>Diktátor</t>
  </si>
  <si>
    <t>C365DU</t>
  </si>
  <si>
    <t>Dumbum big</t>
  </si>
  <si>
    <t>stříbrná stopa s titanovou explozí</t>
  </si>
  <si>
    <t>Silberne Spur mit der titanischen Explosion</t>
  </si>
  <si>
    <t>Baracuda</t>
  </si>
  <si>
    <t>C505X/C</t>
  </si>
  <si>
    <t>C505V/C</t>
  </si>
  <si>
    <t>C755R/C</t>
  </si>
  <si>
    <t>C2505D</t>
  </si>
  <si>
    <t>Dumbum 250</t>
  </si>
  <si>
    <t>Wite mine+red tail to titanium salute(each tube contains 10sh)</t>
  </si>
  <si>
    <t>Bílá mina s červenou stopou a titanovou explozí(každý moždíř obsahuje 10ran)</t>
  </si>
  <si>
    <t>Weiß Mine mit der roten Spur und mit der titanischen Detonation(each tube contains 10sh)</t>
  </si>
  <si>
    <t>C2463A</t>
  </si>
  <si>
    <t>C2463B</t>
  </si>
  <si>
    <t>Big Show</t>
  </si>
  <si>
    <t>C4963V</t>
  </si>
  <si>
    <t>C1675V</t>
  </si>
  <si>
    <t>C2575C</t>
  </si>
  <si>
    <t>Baterie 25ran,75mm</t>
  </si>
  <si>
    <t>C23MO</t>
  </si>
  <si>
    <t>Obelix</t>
  </si>
  <si>
    <t>C24MH</t>
  </si>
  <si>
    <t>Hluk</t>
  </si>
  <si>
    <t>C36MH</t>
  </si>
  <si>
    <t>silver crackling fountain+ 8 different color effects</t>
  </si>
  <si>
    <t>stříbrná práskající fontána+8 různobarevných efektů</t>
  </si>
  <si>
    <t>Silberne knallende Fontäne + 8 verschiedenfarbige Effekte</t>
  </si>
  <si>
    <t>C40FMH</t>
  </si>
  <si>
    <t>Heroes</t>
  </si>
  <si>
    <t>C41MSIG</t>
  </si>
  <si>
    <t>7 different color effects with titanium salute like final</t>
  </si>
  <si>
    <t>7 různobarevných efektů se salvou titanium salute na závěr</t>
  </si>
  <si>
    <t>7 verschiedenfarbige Effekte mit Titan Salute wie Finale</t>
  </si>
  <si>
    <t>C41MSIGI14</t>
  </si>
  <si>
    <t>C42MM</t>
  </si>
  <si>
    <t>Magor</t>
  </si>
  <si>
    <t>C47MB</t>
  </si>
  <si>
    <t>Big Boss</t>
  </si>
  <si>
    <t>C47MI</t>
  </si>
  <si>
    <t>Tomato killer</t>
  </si>
  <si>
    <t>C47XMT</t>
  </si>
  <si>
    <t>C47XMA</t>
  </si>
  <si>
    <t>C50MO</t>
  </si>
  <si>
    <t>Ogre</t>
  </si>
  <si>
    <t>C50MCH</t>
  </si>
  <si>
    <t>Cheers</t>
  </si>
  <si>
    <t>C50MO14</t>
  </si>
  <si>
    <t>C62SMT</t>
  </si>
  <si>
    <t>The Sky Breaker</t>
  </si>
  <si>
    <t>C63MM</t>
  </si>
  <si>
    <t>Myslivec</t>
  </si>
  <si>
    <t>Texas Holdem</t>
  </si>
  <si>
    <t>Profesionál</t>
  </si>
  <si>
    <t>C64MT</t>
  </si>
  <si>
    <t>C64MP</t>
  </si>
  <si>
    <t>C64MT14</t>
  </si>
  <si>
    <t>C66SMMO</t>
  </si>
  <si>
    <t>Moon Destroyer</t>
  </si>
  <si>
    <t>C78FMK</t>
  </si>
  <si>
    <t>2x fountains+25 different color effects</t>
  </si>
  <si>
    <t>2xfontána+25 různobarevných efektů</t>
  </si>
  <si>
    <t>2xFontäne+25 verschiedenfarbige Effekte</t>
  </si>
  <si>
    <t>C100MB</t>
  </si>
  <si>
    <t>C100MN</t>
  </si>
  <si>
    <t>Night breaker</t>
  </si>
  <si>
    <t>C106MH</t>
  </si>
  <si>
    <t>Hamster</t>
  </si>
  <si>
    <t>C106MB</t>
  </si>
  <si>
    <t>Bad boy</t>
  </si>
  <si>
    <t>C109MG</t>
  </si>
  <si>
    <t>Grand prix</t>
  </si>
  <si>
    <t>C109MM</t>
  </si>
  <si>
    <t>Mexico</t>
  </si>
  <si>
    <t>C128MS/C14</t>
  </si>
  <si>
    <t>Silver Sky</t>
  </si>
  <si>
    <t>C150MF/C14</t>
  </si>
  <si>
    <t>21 different color effects</t>
  </si>
  <si>
    <t>21 různobarevných efektů</t>
  </si>
  <si>
    <t>21 verschiedenfarbige Effekte</t>
  </si>
  <si>
    <t>C200MF/C14</t>
  </si>
  <si>
    <t>C150MF/C</t>
  </si>
  <si>
    <t>C200MF/C</t>
  </si>
  <si>
    <t>C212MF/C</t>
  </si>
  <si>
    <t>C223MF/C</t>
  </si>
  <si>
    <t>C239MSIG/C</t>
  </si>
  <si>
    <t>C446MM/C</t>
  </si>
  <si>
    <t>C84MC/C</t>
  </si>
  <si>
    <t>C111MF/C</t>
  </si>
  <si>
    <t>C168MF/C</t>
  </si>
  <si>
    <t>C175MF/C</t>
  </si>
  <si>
    <t>C175MSIG/C</t>
  </si>
  <si>
    <t>C222MF/C</t>
  </si>
  <si>
    <t>11 různobarevné efekty</t>
  </si>
  <si>
    <t>C84ME</t>
  </si>
  <si>
    <t>17 different color effects</t>
  </si>
  <si>
    <t>17 různobarevné efekty</t>
  </si>
  <si>
    <t>17 verschiedenfarbige Effekte</t>
  </si>
  <si>
    <t>C96MB</t>
  </si>
  <si>
    <t>C180MA</t>
  </si>
  <si>
    <t>38 different color effects</t>
  </si>
  <si>
    <t>38 různobarevné efekty</t>
  </si>
  <si>
    <t>38 verschiedenfarbige Effekte</t>
  </si>
  <si>
    <t>C304MK</t>
  </si>
  <si>
    <t>King fireworks 304</t>
  </si>
  <si>
    <t>40 různobarevné efekty</t>
  </si>
  <si>
    <t>R7538A</t>
  </si>
  <si>
    <t>red tail</t>
  </si>
  <si>
    <t>R7538B</t>
  </si>
  <si>
    <t xml:space="preserve">green tail   </t>
  </si>
  <si>
    <t>R7538C</t>
  </si>
  <si>
    <t>yellow tail</t>
  </si>
  <si>
    <t>R7538D</t>
  </si>
  <si>
    <t xml:space="preserve">golden tail </t>
  </si>
  <si>
    <t>R7538F</t>
  </si>
  <si>
    <t>red glitter willow tail</t>
  </si>
  <si>
    <t>R7538G</t>
  </si>
  <si>
    <t>green glitter willow tail</t>
  </si>
  <si>
    <t>R7538H</t>
  </si>
  <si>
    <t>silver glitter willow tail</t>
  </si>
  <si>
    <t>R7538CH</t>
  </si>
  <si>
    <t>crackling tail</t>
  </si>
  <si>
    <t>SS30G</t>
  </si>
  <si>
    <t>SS30CH</t>
  </si>
  <si>
    <t>SS50F</t>
  </si>
  <si>
    <t>sea blue+red glitter mine</t>
  </si>
  <si>
    <t>CX1352X1</t>
  </si>
  <si>
    <t>Storm new age-X type</t>
  </si>
  <si>
    <t>blue to red crossette+red to purple crossete</t>
  </si>
  <si>
    <t>CX1352X2</t>
  </si>
  <si>
    <t>red tail up to white glitter+green tail up to white glitter</t>
  </si>
  <si>
    <t>Storm new age-S type</t>
  </si>
  <si>
    <t>CS1352X5</t>
  </si>
  <si>
    <t>color stars+crackling tail</t>
  </si>
  <si>
    <t>CF1352X6</t>
  </si>
  <si>
    <t>Storm new age-Fan shape</t>
  </si>
  <si>
    <t>red tail up to delay cracker</t>
  </si>
  <si>
    <t>CF1352X7</t>
  </si>
  <si>
    <t>five lines: whistle tail eject red glitter,white glitter,blue star</t>
  </si>
  <si>
    <t>CS1352X9</t>
  </si>
  <si>
    <t>white strobe mine red/green/blue/purple/lemon tail</t>
  </si>
  <si>
    <t>CS1352X10</t>
  </si>
  <si>
    <t>white strobe tail to purple tip</t>
  </si>
  <si>
    <t>CX1352X11</t>
  </si>
  <si>
    <t>red&amp;green time rain+comet</t>
  </si>
  <si>
    <t>CS1352X13</t>
  </si>
  <si>
    <t>silver chrys.mine red/green/blue/purple tail up to white strobe</t>
  </si>
  <si>
    <t>CS1352X14</t>
  </si>
  <si>
    <t>big gold palm comet +blue pearl</t>
  </si>
  <si>
    <t>C253CH</t>
  </si>
  <si>
    <t>Meteor 25ran</t>
  </si>
  <si>
    <t>white flashing fountain</t>
  </si>
  <si>
    <t>C253O</t>
  </si>
  <si>
    <t>golden crown w.golden shining pistil</t>
  </si>
  <si>
    <t>silver wave to red</t>
  </si>
  <si>
    <t>violet flower with brocade crown</t>
  </si>
  <si>
    <t>C503CH</t>
  </si>
  <si>
    <t>golden sparkling crackers</t>
  </si>
  <si>
    <t>C503I</t>
  </si>
  <si>
    <t>delay crackle willow, color falling leaves with blue</t>
  </si>
  <si>
    <t>C503L</t>
  </si>
  <si>
    <t>brocade crown to red + white strobe</t>
  </si>
  <si>
    <t>C503M</t>
  </si>
  <si>
    <t>purple green dahlia + time rain</t>
  </si>
  <si>
    <t>C503O</t>
  </si>
  <si>
    <t>C503S</t>
  </si>
  <si>
    <t>red coconut + white strobe</t>
  </si>
  <si>
    <t>C503T</t>
  </si>
  <si>
    <t>CF503X2</t>
  </si>
  <si>
    <t>white glitter/orange wave+green glitter- salvo 10sh together</t>
  </si>
  <si>
    <t>CF503X3</t>
  </si>
  <si>
    <t>red tail up to brocade crown+blue- salvo 10sh together</t>
  </si>
  <si>
    <t>CF503X4</t>
  </si>
  <si>
    <t>two side: star middle: gold willow+crackling chry- salvo 10sh together</t>
  </si>
  <si>
    <t>CF503X5</t>
  </si>
  <si>
    <t>CF503X6</t>
  </si>
  <si>
    <t>crackling+blue star mine up to orange wave+green glitter- salvo 10sh together</t>
  </si>
  <si>
    <t>CF503X7</t>
  </si>
  <si>
    <t>crackling tail up to red tail red dahlia with chrysanthemum- salvo 10sh together</t>
  </si>
  <si>
    <t>CF503X8</t>
  </si>
  <si>
    <t>blue tail up to flower crown- salvo 10sh together</t>
  </si>
  <si>
    <t>CF503X11</t>
  </si>
  <si>
    <t>crackling chry. mine tail up to brocade crown +glitter star- salvo 10sh together</t>
  </si>
  <si>
    <t>CF503X12</t>
  </si>
  <si>
    <t>blue+red glitter mine up to chrysanthemum- salvo 10sh together</t>
  </si>
  <si>
    <t>CF503X13</t>
  </si>
  <si>
    <t>brocade crown king, green, purple- salvo 10sh together</t>
  </si>
  <si>
    <t>CF503X14</t>
  </si>
  <si>
    <t>blue tail up to eject horse tail- salvo 10sh together</t>
  </si>
  <si>
    <t>CF503X15</t>
  </si>
  <si>
    <t>silver glitter bouquet up to eject silver glitter- salvo 10sh together</t>
  </si>
  <si>
    <t>CF503X16</t>
  </si>
  <si>
    <t>crackling willow + peach red - salvo 10sh together</t>
  </si>
  <si>
    <t>crackling willow+peach red - salvo 10sh together</t>
  </si>
  <si>
    <t>CF503X17</t>
  </si>
  <si>
    <t>red tip crackling willow - salvo 10sh together</t>
  </si>
  <si>
    <t>CF503X18</t>
  </si>
  <si>
    <t>titanium gold coconut + green strobe - salvo 10sh together</t>
  </si>
  <si>
    <t>titanium gold coconut+green strobe - salvo 10sh together</t>
  </si>
  <si>
    <t>CF503X19</t>
  </si>
  <si>
    <t>red crackling coconut + white strobe - salvo 10sh together</t>
  </si>
  <si>
    <t>red crackling coconut+white strobe - salvo 10sh together</t>
  </si>
  <si>
    <t>CF503X21</t>
  </si>
  <si>
    <t>purple lemon dahlia+silver chrys- salvo 10sh together</t>
  </si>
  <si>
    <t>CF503X22</t>
  </si>
  <si>
    <t>green glittering willow+golden strobe- salvo 10sh together</t>
  </si>
  <si>
    <t>CF503X23</t>
  </si>
  <si>
    <t>white strobe mine to red strobe- salvo 10sh together</t>
  </si>
  <si>
    <t>CF503X24</t>
  </si>
  <si>
    <t>brocade+white strobe- salvo 10sh together</t>
  </si>
  <si>
    <t>CF503X25</t>
  </si>
  <si>
    <t>king brocade pistil + purple - salvo 10sh together</t>
  </si>
  <si>
    <t>CF503X27</t>
  </si>
  <si>
    <t>red green blue + time rain - salvo 10sh together</t>
  </si>
  <si>
    <t>red green blue+time rain - salvo 10sh together</t>
  </si>
  <si>
    <t>CF503X28</t>
  </si>
  <si>
    <t>red coconut + green+silver chrys - salvo 10sh together</t>
  </si>
  <si>
    <t>red coconut+green+silver chrys - salvo 10sh together</t>
  </si>
  <si>
    <t>CF503X29</t>
  </si>
  <si>
    <t>king brocade + orange pearl- salvo 10sh together</t>
  </si>
  <si>
    <t>CF503X30</t>
  </si>
  <si>
    <t>red comet tail, red tail to red wave white strobing - salvo 10sh together</t>
  </si>
  <si>
    <t>CF503X31</t>
  </si>
  <si>
    <t>brocade king w/crackling- salvo 10sh together</t>
  </si>
  <si>
    <t>CF503X32</t>
  </si>
  <si>
    <t>sunflower w/red blue, red strobing tail - salvo 10sh together</t>
  </si>
  <si>
    <t>CF503X48</t>
  </si>
  <si>
    <t>purple crossette + and purple tail to brocade crown with purple dahlia - salvo 10sh together</t>
  </si>
  <si>
    <t>CF503X54</t>
  </si>
  <si>
    <t>purple tail to purple crossette(C type-open on midlle)</t>
  </si>
  <si>
    <t>CS503X8</t>
  </si>
  <si>
    <t>blue tail up to flower crown</t>
  </si>
  <si>
    <t>CS503X9</t>
  </si>
  <si>
    <t>cracking chry + blue mine tail up to gold comet</t>
  </si>
  <si>
    <t>cracking chry+blue mine tail up to gold comet</t>
  </si>
  <si>
    <t>CS503X10</t>
  </si>
  <si>
    <t>silver tail up to red wave with cracker</t>
  </si>
  <si>
    <t>CS503X11</t>
  </si>
  <si>
    <t>crackling chry. mine tail up to brocade crown +glitter star</t>
  </si>
  <si>
    <t>CS503X12</t>
  </si>
  <si>
    <t>blue+red glitter mine up to chrysanthemum</t>
  </si>
  <si>
    <t>CS503X13</t>
  </si>
  <si>
    <t>brocade crown king, green, purple</t>
  </si>
  <si>
    <t>CS503X14</t>
  </si>
  <si>
    <t>blue tail up to eject horse tail</t>
  </si>
  <si>
    <t>CS503X15</t>
  </si>
  <si>
    <t>silver glitter bouquet up to eject silver glitter</t>
  </si>
  <si>
    <t>CS503X16</t>
  </si>
  <si>
    <t xml:space="preserve">crackling willow + peach red </t>
  </si>
  <si>
    <t xml:space="preserve">crackling willow+peach red </t>
  </si>
  <si>
    <t>CS503X17</t>
  </si>
  <si>
    <t xml:space="preserve">red tip crackling willow </t>
  </si>
  <si>
    <t>CS503X18</t>
  </si>
  <si>
    <t xml:space="preserve">titanium gold coconut + green strobe </t>
  </si>
  <si>
    <t xml:space="preserve">titanium gold coconut+green strobe </t>
  </si>
  <si>
    <t>CS503X19</t>
  </si>
  <si>
    <t xml:space="preserve">red crackling coconut + white strobe </t>
  </si>
  <si>
    <t xml:space="preserve">red crackling coconut+white strobe </t>
  </si>
  <si>
    <t>CS503X20</t>
  </si>
  <si>
    <t>brocade crackling flower+blue pearl</t>
  </si>
  <si>
    <t>CS503X21</t>
  </si>
  <si>
    <t>purple lemon dahlia + silver chrysanthemum</t>
  </si>
  <si>
    <t>purple lemon dahlia+silver chrys.</t>
  </si>
  <si>
    <t>CS503X22</t>
  </si>
  <si>
    <t>green glittering willow + green strobe</t>
  </si>
  <si>
    <t>green glittering willow+green strobe</t>
  </si>
  <si>
    <t>CS503X23</t>
  </si>
  <si>
    <t>white strobe mine to red strobe</t>
  </si>
  <si>
    <t>CS503X25</t>
  </si>
  <si>
    <t xml:space="preserve">king brocade pistil + purple </t>
  </si>
  <si>
    <t xml:space="preserve">king brocade pistil+purple </t>
  </si>
  <si>
    <t>CS503X26</t>
  </si>
  <si>
    <t xml:space="preserve">pink+time rain </t>
  </si>
  <si>
    <t>CS503X27</t>
  </si>
  <si>
    <t xml:space="preserve">red green blue + time rain </t>
  </si>
  <si>
    <t xml:space="preserve">red green blue+time rain </t>
  </si>
  <si>
    <t>CS503X28</t>
  </si>
  <si>
    <t>red coconut + green + silver chrysanthemum</t>
  </si>
  <si>
    <t>red coconut+green+silver chrys.</t>
  </si>
  <si>
    <t>CS503X29</t>
  </si>
  <si>
    <t>king brocade + orange pearl</t>
  </si>
  <si>
    <t>CS503X32</t>
  </si>
  <si>
    <t xml:space="preserve">sunflower w/red blue, red strobing tail </t>
  </si>
  <si>
    <t>CS503X33</t>
  </si>
  <si>
    <t>blue mine tail up to red comet star</t>
  </si>
  <si>
    <t>CS503X35</t>
  </si>
  <si>
    <t>red comet rain</t>
  </si>
  <si>
    <t>CS503X36</t>
  </si>
  <si>
    <t>red,green,yellow,white,purple mine</t>
  </si>
  <si>
    <t>CS503X37</t>
  </si>
  <si>
    <t>gold glitter willow with blue bouquet</t>
  </si>
  <si>
    <t>CS503X38</t>
  </si>
  <si>
    <t>brocade crown bouquet tup to brocade crown king</t>
  </si>
  <si>
    <t>CS503X55</t>
  </si>
  <si>
    <t>golden brocade mine</t>
  </si>
  <si>
    <t>CV503X40</t>
  </si>
  <si>
    <t>1-20sh crackling willow tail+red strobe mine, 21-50sh crackling willow+red strobe</t>
  </si>
  <si>
    <t>CV503X41</t>
  </si>
  <si>
    <t xml:space="preserve">blue pistil silver fish </t>
  </si>
  <si>
    <t>CV503X42</t>
  </si>
  <si>
    <t>green time rain</t>
  </si>
  <si>
    <t>CV503X43</t>
  </si>
  <si>
    <t>red coconut+crackling one side/ green coconut+crackling one side</t>
  </si>
  <si>
    <t>CV503X44</t>
  </si>
  <si>
    <t xml:space="preserve">red wave tail </t>
  </si>
  <si>
    <t>CV503X45</t>
  </si>
  <si>
    <t>lemon tail+lemon coconut+silver chrysanthemum</t>
  </si>
  <si>
    <t>lemon tail+lemon coconut+silver chrys.</t>
  </si>
  <si>
    <t>CW503X14</t>
  </si>
  <si>
    <t>CW503X47</t>
  </si>
  <si>
    <t>two sides:silver tail up to flower crown with green glitter,middle:red tail up to red plam tree with cracker</t>
  </si>
  <si>
    <t>CX503X46</t>
  </si>
  <si>
    <t xml:space="preserve">blue tail to blue stars white strobing, red stars white strobing </t>
  </si>
  <si>
    <t>CX503X49</t>
  </si>
  <si>
    <t>red green crossette</t>
  </si>
  <si>
    <t>silver flashing fountain</t>
  </si>
  <si>
    <t>CSS8C</t>
  </si>
  <si>
    <t>golden tail to golden crossette-8sh salvo together</t>
  </si>
  <si>
    <t>CSS13A</t>
  </si>
  <si>
    <t>brocade crown mine-13sh salvo together</t>
  </si>
  <si>
    <t>CSS13B</t>
  </si>
  <si>
    <t>golden tail to horse tail-13sh salvo together</t>
  </si>
  <si>
    <t>CSS13D</t>
  </si>
  <si>
    <t>silver tail to silver crackling willow-13sh salvo together</t>
  </si>
  <si>
    <t>CSS13E</t>
  </si>
  <si>
    <t>red tail with wave and flashing center-13sh salvo together</t>
  </si>
  <si>
    <t>CSS13F</t>
  </si>
  <si>
    <t>golden tail with golden crossette (C mortar)</t>
  </si>
  <si>
    <t>SR1930A</t>
  </si>
  <si>
    <t>brocade crown tail up to brocade crown-19sh salvo together</t>
  </si>
  <si>
    <t>SR1930B</t>
  </si>
  <si>
    <t>silver tail up to silver crackling willow-19sh salvo together</t>
  </si>
  <si>
    <t>SR1930D</t>
  </si>
  <si>
    <t>golden/brocade crown mine-19sh salvo together</t>
  </si>
  <si>
    <t>SR1930E</t>
  </si>
  <si>
    <t>red glittering mine to red comet-19sh salvo together</t>
  </si>
  <si>
    <t>SR1930G</t>
  </si>
  <si>
    <t>silver glittering mine w.green glittering comet-19sh salvo together</t>
  </si>
  <si>
    <t>SR1930H</t>
  </si>
  <si>
    <t>silver glittering mine to red crossette-19sh salvo together</t>
  </si>
  <si>
    <t>SR1930CH</t>
  </si>
  <si>
    <t>silver glittering mine to green crossette-19sh salvo together</t>
  </si>
  <si>
    <t>SR1930I</t>
  </si>
  <si>
    <t>lemon,pink,sea blue w.silver glittering mine-19sh salvo together</t>
  </si>
  <si>
    <t>SR1930J</t>
  </si>
  <si>
    <t>silver comet w.red tip-19sh salvo together</t>
  </si>
  <si>
    <t>SR1930K</t>
  </si>
  <si>
    <t>blue mine w.green comet-19sh salvo together</t>
  </si>
  <si>
    <t>SR1930L</t>
  </si>
  <si>
    <t>red glittering mine to golden glittering comet w.red glittering tip-19sh salvo together</t>
  </si>
  <si>
    <t>SR1930M</t>
  </si>
  <si>
    <t>silver glittering mine w.purple comet-19sh salvo together</t>
  </si>
  <si>
    <t>SR1930O</t>
  </si>
  <si>
    <t>red glittering tail to silver glittering waterfall-19sh salvo together</t>
  </si>
  <si>
    <t>SR1930R</t>
  </si>
  <si>
    <t>whistling tail w.red mine -19sh salvo together</t>
  </si>
  <si>
    <t>SR1930S</t>
  </si>
  <si>
    <t>silver tiger tail and red crossette-19sh salvo together</t>
  </si>
  <si>
    <t>SR550A</t>
  </si>
  <si>
    <t>red strobing tail to red strobing willow-5sh salvo together</t>
  </si>
  <si>
    <t>SR550C</t>
  </si>
  <si>
    <t>crackling tail-5sh salvo together</t>
  </si>
  <si>
    <t>SR550F</t>
  </si>
  <si>
    <t>green crossette mine-5sh salvo together</t>
  </si>
  <si>
    <t>SR550G</t>
  </si>
  <si>
    <t>brocade tail-5sh salvo together</t>
  </si>
  <si>
    <t>SR550H</t>
  </si>
  <si>
    <t>purple red lemon green white crossette mine-5sh salvo together</t>
  </si>
  <si>
    <t>SR550CH</t>
  </si>
  <si>
    <t>crackling crossette mine-5sh salvo together</t>
  </si>
  <si>
    <t>S2A</t>
  </si>
  <si>
    <t>delay cracker willow</t>
  </si>
  <si>
    <t>S2B</t>
  </si>
  <si>
    <t>red chrysanthemum</t>
  </si>
  <si>
    <t>S2E</t>
  </si>
  <si>
    <t>silver strobe willow</t>
  </si>
  <si>
    <t>S2G</t>
  </si>
  <si>
    <t>S2H</t>
  </si>
  <si>
    <t>green tail to green wave w.crackling</t>
  </si>
  <si>
    <t>S2CH</t>
  </si>
  <si>
    <t>S2J</t>
  </si>
  <si>
    <t>silver tail to silver palm tree</t>
  </si>
  <si>
    <t>S2K</t>
  </si>
  <si>
    <t>golden Ti-willow</t>
  </si>
  <si>
    <t>S2N</t>
  </si>
  <si>
    <t>silver tail to silver strobe</t>
  </si>
  <si>
    <t>S2T</t>
  </si>
  <si>
    <t>S2M</t>
  </si>
  <si>
    <t>Shell 50mm mix carton</t>
  </si>
  <si>
    <t>Mixed carton contains 1pack of S2A,B,D,E,F,G,H,CH,J,L,N,O</t>
  </si>
  <si>
    <t>silver tail to red wave w.crackling</t>
  </si>
  <si>
    <t>red peony w.silver palm core</t>
  </si>
  <si>
    <t>Shell 75mm delay cracker wilow</t>
  </si>
  <si>
    <t>water color peony w.brocade crown pistil</t>
  </si>
  <si>
    <t>chrysanthemum to purple</t>
  </si>
  <si>
    <t>Shell 75mm golden ti wilow</t>
  </si>
  <si>
    <t>Shell 75mm brocade crown crossete</t>
  </si>
  <si>
    <t>brocade crown crossette</t>
  </si>
  <si>
    <t>purple wave with green glitter</t>
  </si>
  <si>
    <t>pink dahlia w.pink pistil</t>
  </si>
  <si>
    <t>S3O</t>
  </si>
  <si>
    <t>brocade crown w.white glitter</t>
  </si>
  <si>
    <t>purple ring with chrysanthemum pistil</t>
  </si>
  <si>
    <t>Shell 75mm blood red+silver strobe</t>
  </si>
  <si>
    <t>blood red + silver strobe</t>
  </si>
  <si>
    <t>blood red+silver strobe</t>
  </si>
  <si>
    <t>S3U</t>
  </si>
  <si>
    <t>colorful chrysanthemum</t>
  </si>
  <si>
    <t>red coco w.silver strobing pistil</t>
  </si>
  <si>
    <t>red wave crossette</t>
  </si>
  <si>
    <t>S3T</t>
  </si>
  <si>
    <t>S3A/P</t>
  </si>
  <si>
    <t>S3B/P</t>
  </si>
  <si>
    <t>S3C/P</t>
  </si>
  <si>
    <t>crown chrysanthemum to blue</t>
  </si>
  <si>
    <t>S3D/P</t>
  </si>
  <si>
    <t>S3E/P</t>
  </si>
  <si>
    <t>S3F/P</t>
  </si>
  <si>
    <t>S3G/P</t>
  </si>
  <si>
    <t>S3H/P</t>
  </si>
  <si>
    <t>S3IA/P</t>
  </si>
  <si>
    <t>S3J/P</t>
  </si>
  <si>
    <t>S3L/P</t>
  </si>
  <si>
    <t>S3N/P</t>
  </si>
  <si>
    <t>S3P/P</t>
  </si>
  <si>
    <t>S3K/P</t>
  </si>
  <si>
    <t>S3R/P</t>
  </si>
  <si>
    <t>S3S/P</t>
  </si>
  <si>
    <t>S3V/P</t>
  </si>
  <si>
    <t>S3W/P</t>
  </si>
  <si>
    <t>lemon crossette+purple crossette</t>
  </si>
  <si>
    <t>S3X/P</t>
  </si>
  <si>
    <t>S3M/P</t>
  </si>
  <si>
    <t>Shell 75mm mix karton-premiun quality</t>
  </si>
  <si>
    <t>Mixed carton contains-premiun quality(each box including: silver tail to red wave w.crackling, flower crown chrysant.to blue, silver tail to silver strobe, delay cracker willow, golden ti willow, silver tail to silver palm tree)</t>
  </si>
  <si>
    <t>red/lemon dahlia</t>
  </si>
  <si>
    <t>red wave w.crackling</t>
  </si>
  <si>
    <t>Shell 100mm glitter.palm tree</t>
  </si>
  <si>
    <t>glitter.palm tree</t>
  </si>
  <si>
    <t>gold titanium willow w.assorted color glitter</t>
  </si>
  <si>
    <t>titanium chrysanthemum crackling to titanium crackling palm</t>
  </si>
  <si>
    <t>flower crown with red glitter pistil</t>
  </si>
  <si>
    <t>half red/green crossette</t>
  </si>
  <si>
    <t>Shell 100mm crackling nishiki kamuro</t>
  </si>
  <si>
    <t>crackling nishiki kamuro</t>
  </si>
  <si>
    <t>Shell 100mm silver crown w.red pistil</t>
  </si>
  <si>
    <t>silver crown w.red pistil</t>
  </si>
  <si>
    <t>Shell 100mm blood red+silver strobe</t>
  </si>
  <si>
    <t>Shell 100mm golden ti wilow</t>
  </si>
  <si>
    <t>Shell 100mm silver strobe</t>
  </si>
  <si>
    <t>silver strobe</t>
  </si>
  <si>
    <t>Shell 100mm silver tail to silver palm tree</t>
  </si>
  <si>
    <t>Shell 100mm special strobe red</t>
  </si>
  <si>
    <t>special strobe red</t>
  </si>
  <si>
    <t>green peony with corrola pistil with brocade trunk</t>
  </si>
  <si>
    <t>Shell 100mm silver wave to blue w.crackling</t>
  </si>
  <si>
    <t>silver wave to blue w.crackling</t>
  </si>
  <si>
    <t>purple crossette</t>
  </si>
  <si>
    <t>Shell 100mm golden wave to red</t>
  </si>
  <si>
    <t>golden wave to red</t>
  </si>
  <si>
    <t>silver willow w.red pistil</t>
  </si>
  <si>
    <t>silver tail to red peony w.silver palm pistil</t>
  </si>
  <si>
    <t xml:space="preserve">red gamboge to red to blue chrys.to red spider ring </t>
  </si>
  <si>
    <t>red peony to brocade</t>
  </si>
  <si>
    <t>palm pistil with water peony</t>
  </si>
  <si>
    <t>blue ring with chrysanthemum pistil</t>
  </si>
  <si>
    <t>Shell 100mm red strobe willow</t>
  </si>
  <si>
    <t>red strobe willow</t>
  </si>
  <si>
    <t>Shell 100mm red three swords man</t>
  </si>
  <si>
    <t>red three swords man</t>
  </si>
  <si>
    <t>orange wave to green</t>
  </si>
  <si>
    <t>Shell 100mm brocade crown to color</t>
  </si>
  <si>
    <t>brocade crown to color</t>
  </si>
  <si>
    <t>S4T</t>
  </si>
  <si>
    <t>Shell 100mm silver tail to titanium salute</t>
  </si>
  <si>
    <t>S4MB</t>
  </si>
  <si>
    <t>Mixed carton contains:  S4W golden wave to red,  S4N/A golden ti willow, S4R green peony with corrola pistil with brocade trunk,  S4C glitter.palm tree</t>
  </si>
  <si>
    <t>S4A/P</t>
  </si>
  <si>
    <t>S4B/P</t>
  </si>
  <si>
    <t>S4C/P</t>
  </si>
  <si>
    <t>S4D/P</t>
  </si>
  <si>
    <t>S4E/P</t>
  </si>
  <si>
    <t>S4F/P</t>
  </si>
  <si>
    <t>S4H/P</t>
  </si>
  <si>
    <t>S4CH/P</t>
  </si>
  <si>
    <t>S4I/P</t>
  </si>
  <si>
    <t>S4J/P</t>
  </si>
  <si>
    <t>S4K/P</t>
  </si>
  <si>
    <t>S4L/P</t>
  </si>
  <si>
    <t>S4NA/P</t>
  </si>
  <si>
    <t>S4O/P</t>
  </si>
  <si>
    <t>S4P/P</t>
  </si>
  <si>
    <t>S4Q/P</t>
  </si>
  <si>
    <t>S4R/P</t>
  </si>
  <si>
    <t>S4S/P</t>
  </si>
  <si>
    <t>S4U/P</t>
  </si>
  <si>
    <t>S4V/P</t>
  </si>
  <si>
    <t>S4W/P</t>
  </si>
  <si>
    <t>S4X/P</t>
  </si>
  <si>
    <t>S4Y/P</t>
  </si>
  <si>
    <t>S4Z/P</t>
  </si>
  <si>
    <t>S4Z1/P</t>
  </si>
  <si>
    <t>S4Z2/P</t>
  </si>
  <si>
    <t>S4Z3/P</t>
  </si>
  <si>
    <t>S4Z4/P</t>
  </si>
  <si>
    <t>S4Z5/P</t>
  </si>
  <si>
    <t>S4Z6/P</t>
  </si>
  <si>
    <t>S4Z7/P</t>
  </si>
  <si>
    <t>S4Z8/P</t>
  </si>
  <si>
    <t>S4M/P</t>
  </si>
  <si>
    <t>Shell 100mm mix carton-premium quality</t>
  </si>
  <si>
    <t>Mixed carton contains-premium quality-each box including: S4L blood red+silver strobe, S4CH flower crown with red glitter pistil, S4Z/8 brocade crown to color, S4Z/7 orange wave to green</t>
  </si>
  <si>
    <t xml:space="preserve">crackling crossette </t>
  </si>
  <si>
    <t xml:space="preserve">golden Ti-willow </t>
  </si>
  <si>
    <t>silver glittering</t>
  </si>
  <si>
    <t>Shell 125mm brocade crown</t>
  </si>
  <si>
    <t>blue pistil silver ring to brocade crown with ring chrysanthemum pistil</t>
  </si>
  <si>
    <t>brocade delay cracker to blue with green glitter pistil</t>
  </si>
  <si>
    <t>Mixed carton contains: S5K brocade crown(3pc), S5Q brocade crown with eight angle chrysanthemum(3pc), S5N blue pistil silver ring to brocade crown with ring chrysanthemum pistil(3pc), S5O brocade delay cracker to blue with green glitter pistil(3pc), S5P silver to red swimming stars w/blue pistil (2pc), S5B Crackling crosette(2pc)</t>
  </si>
  <si>
    <t>S5B/P</t>
  </si>
  <si>
    <t>S5C/P</t>
  </si>
  <si>
    <t xml:space="preserve">silver spider w.strobe pistil </t>
  </si>
  <si>
    <t>S5E/P</t>
  </si>
  <si>
    <t xml:space="preserve">silver glittering red coco crossette </t>
  </si>
  <si>
    <t>S5F/P</t>
  </si>
  <si>
    <t>S5G/P</t>
  </si>
  <si>
    <t>S5I/P</t>
  </si>
  <si>
    <t>S5K/P</t>
  </si>
  <si>
    <t>S5N/P</t>
  </si>
  <si>
    <t>S5O/P</t>
  </si>
  <si>
    <t>S5M/P</t>
  </si>
  <si>
    <t>Shell 125mm mix carton-premium quality</t>
  </si>
  <si>
    <t>green ring w.chry crackling crossette</t>
  </si>
  <si>
    <t>red green yellow falling leaves</t>
  </si>
  <si>
    <t>chrysanthemum to red wandering star</t>
  </si>
  <si>
    <t>super horse tail</t>
  </si>
  <si>
    <t>time rain willow fountain</t>
  </si>
  <si>
    <t>Shell 150mm ghost silver to red</t>
  </si>
  <si>
    <t>ghost silver to red</t>
  </si>
  <si>
    <t>color chrysanthemum</t>
  </si>
  <si>
    <t>Shell 150mm golden ti wilow</t>
  </si>
  <si>
    <t>red glitter w.brocade crown</t>
  </si>
  <si>
    <t>silver tail to thousand red waves</t>
  </si>
  <si>
    <t>Shell 150mm silver glittering red coco crossettte</t>
  </si>
  <si>
    <t>silver glittering red coco crossettte</t>
  </si>
  <si>
    <t xml:space="preserve">silver tail to silver palm </t>
  </si>
  <si>
    <t>nishiki kamuro flash pistil</t>
  </si>
  <si>
    <t>Shell 150mm mix carton</t>
  </si>
  <si>
    <t>S6C/P</t>
  </si>
  <si>
    <t>S6E/P</t>
  </si>
  <si>
    <t>S6F/P</t>
  </si>
  <si>
    <t>gold titanium willow with crackling pistil</t>
  </si>
  <si>
    <t>S6H/P</t>
  </si>
  <si>
    <t xml:space="preserve">golden wave w.purple peony double rings to special orange strobing pistil </t>
  </si>
  <si>
    <t>S6K/P</t>
  </si>
  <si>
    <t>S6S/P</t>
  </si>
  <si>
    <t>S6T/P</t>
  </si>
  <si>
    <t>S6X/P</t>
  </si>
  <si>
    <t>S6B/P(9)</t>
  </si>
  <si>
    <t>S6G/P(9)</t>
  </si>
  <si>
    <t>S6I/P(9)</t>
  </si>
  <si>
    <t>S6R/P(9)</t>
  </si>
  <si>
    <t>M2</t>
  </si>
  <si>
    <t>indestructible, thin mortar, height 38cm, thickness 2,2mm</t>
  </si>
  <si>
    <t>nezničitelný, tenkostěnný moždíř, výška 38cm,síla stěny 2,2mm</t>
  </si>
  <si>
    <t>Unverwüstlich, dünnwandig mörser, höhe 38cm, wandstärke 2,2mm</t>
  </si>
  <si>
    <t>M25</t>
  </si>
  <si>
    <t>indestructible, thin mortar, height 40cm, thickness 2,5mm</t>
  </si>
  <si>
    <t>nezničitelný, tenkostěnný moždíř, výška 40cm,síla stěny 2,5mm</t>
  </si>
  <si>
    <t>Unverwüstlich, dünnwandig mörser, höhe 40cm, wandstärke 2,5mm</t>
  </si>
  <si>
    <t>M3</t>
  </si>
  <si>
    <t>3“ Fabric glass mortar</t>
  </si>
  <si>
    <t>indestructible, thin mortar, height 50cm, thickness 3mm</t>
  </si>
  <si>
    <t>nezničitelný, tenkostěnný moždíř, výška 48cm,síla stěny 2,5mm</t>
  </si>
  <si>
    <t>Unverwüstlich, dünnwandig mörser, höhe 48cm, wandstärke 2,5mm</t>
  </si>
  <si>
    <t>M4</t>
  </si>
  <si>
    <t>4“ Fabric glass mortar</t>
  </si>
  <si>
    <t>indestructible, thin mortar, height 60cm, thickness 3,5mm</t>
  </si>
  <si>
    <t>Unverwüstlich, dünnwandig mörser, höhe 58cm, wandstärke 3mm</t>
  </si>
  <si>
    <t>M5</t>
  </si>
  <si>
    <t>5" Fabric glass mortar</t>
  </si>
  <si>
    <t>indestructible, thin mortar, height 80cm, thickness 4mm</t>
  </si>
  <si>
    <t>nezničitelný, tenkostěnný moždíř, výška 80cm, síla stěny 4mm</t>
  </si>
  <si>
    <t>Unverwüstlich, dünnwandig mörser, höhe 80cm, wandstärke 4mm</t>
  </si>
  <si>
    <t>M6</t>
  </si>
  <si>
    <t>6“ Fabric glass mortar</t>
  </si>
  <si>
    <t>indestructible, thin mortar, height 90cm, thickness 4mm</t>
  </si>
  <si>
    <t>nezničitelný, tenkostěnný moždíř, výška 90cm, síla stěny 4mm</t>
  </si>
  <si>
    <t>Unverwüstlich, dünnwandig mörser, höhe 90cm, wandstärke 4mm</t>
  </si>
  <si>
    <t>IV5M</t>
  </si>
  <si>
    <t xml:space="preserve">silver fire 5m-electric iniciation </t>
  </si>
  <si>
    <t>stříbrný výstřik 5m- elektrický odpal</t>
  </si>
  <si>
    <t>Silberne spritzen 5m - elektrisch Abschuss</t>
  </si>
  <si>
    <t>IV8M</t>
  </si>
  <si>
    <t>silver fire 8m-electric iniciation</t>
  </si>
  <si>
    <t>stříbrný výstřik 8m- elektrický odpal</t>
  </si>
  <si>
    <t>Silberne spritzen 8m - elektrisch Abschuss</t>
  </si>
  <si>
    <t>IF220A</t>
  </si>
  <si>
    <t>Interiérová fontána 2m,20sec</t>
  </si>
  <si>
    <t>silver fountain-without smoke, effect high 2m,electric iniciation</t>
  </si>
  <si>
    <t>stříbrná fontána-bez kouře, 2m výška efektu,elektrický odpal</t>
  </si>
  <si>
    <t>Silberne fontäne-ohne rauch, 2m höhe effekte, elektrisch Abschuss</t>
  </si>
  <si>
    <t>IF3MA</t>
  </si>
  <si>
    <t>Interiérová fontána 3m,30sec</t>
  </si>
  <si>
    <t>silver fountain-without smoke, effect high 3m,electric iniciation</t>
  </si>
  <si>
    <t>stříbrná fontána-bez kouře, 3m výška efektu,elektrický odpal</t>
  </si>
  <si>
    <t>Silberne fontäne-ohne rauch, 3m höhe effekte, elektrisch Abschuss</t>
  </si>
  <si>
    <t>silver fountain-without smoke, effect high 5m,electric iniciation</t>
  </si>
  <si>
    <t>stříbrná fontána-bez kouře, 5m výška efektu,elektrický odpal</t>
  </si>
  <si>
    <t>Silberne fontäne-ohne rauch, 5m höhe effekte, elektrisch Abschuss</t>
  </si>
  <si>
    <t>IF560B</t>
  </si>
  <si>
    <t>Interiérová fontána 5m,60sec</t>
  </si>
  <si>
    <t>IS60S</t>
  </si>
  <si>
    <t>double heart with 8 pcs silver fountain</t>
  </si>
  <si>
    <t>dvojité srdce s 8 fontánami</t>
  </si>
  <si>
    <t>Doppelte herze mit 8 fontänen</t>
  </si>
  <si>
    <t>VV9M</t>
  </si>
  <si>
    <t>Outdoor waterfall 20m lenght,silver color(9m effect height)</t>
  </si>
  <si>
    <t>venkovní vodopád 20m délka, stříbrná barva(výška efektu 9m)</t>
  </si>
  <si>
    <t>Außen wasserfall 20m länge, silberne farbe, 9m höhe effekte</t>
  </si>
  <si>
    <t>EP03M</t>
  </si>
  <si>
    <t>Elektrický palník 30cm</t>
  </si>
  <si>
    <t>electric ignitor, lenght 30cm</t>
  </si>
  <si>
    <t>elektrický palník, délka 30cm</t>
  </si>
  <si>
    <t>elektrische anzünder, 30cm länge</t>
  </si>
  <si>
    <t>EP1M</t>
  </si>
  <si>
    <t>Elektrický palník 100cm</t>
  </si>
  <si>
    <t>electric ignitor, lenght 100cm</t>
  </si>
  <si>
    <t>elektrický palník, délka 100cm</t>
  </si>
  <si>
    <t>elektrische anzünder, 100cm länge</t>
  </si>
  <si>
    <t>EP2M</t>
  </si>
  <si>
    <t>electric ignitor, lenght 200cm</t>
  </si>
  <si>
    <t>elektrický palník, délka 200cm</t>
  </si>
  <si>
    <t>elektrische anzünder, 200cm länge</t>
  </si>
  <si>
    <t>EP3M</t>
  </si>
  <si>
    <t>electric ignitor, lenght 300cm</t>
  </si>
  <si>
    <t>elektrický palník, délka 300cm</t>
  </si>
  <si>
    <t>elektrische anzünder, 300cm länge</t>
  </si>
  <si>
    <t>EP5M</t>
  </si>
  <si>
    <t>electric ignitor, lenght 500cm</t>
  </si>
  <si>
    <t>elektrický palník, délka 500cm</t>
  </si>
  <si>
    <t>elektrische anzünder, 500cm länge</t>
  </si>
  <si>
    <t>PK1</t>
  </si>
  <si>
    <t>black plastic connector-pin, made as a link between products</t>
  </si>
  <si>
    <t xml:space="preserve">černý plastový konektor- samec, slouží pro sériové propojení výrobků </t>
  </si>
  <si>
    <t>schwarz Kunststoff-Stecker-männchen, für serielle verbindung</t>
  </si>
  <si>
    <t>PK2</t>
  </si>
  <si>
    <t>black plastic connector-socket, made as a link between products</t>
  </si>
  <si>
    <t xml:space="preserve">červený plastový konektor- samice, slouží pro sériové propojení výrobků  </t>
  </si>
  <si>
    <t>roten Kunststoff-Stecker-weibchen, für serielle verbindung</t>
  </si>
  <si>
    <t>ED500M</t>
  </si>
  <si>
    <t>Cu twin cable 0,6mm inner diameter, 1,1mm outer diameter, for electric fireworks firing</t>
  </si>
  <si>
    <t>měděná dvojlinka 0,6mm vnitřní průměr, 1,1mm venmkovní průměr, pro elektrický odpal ohňostrojů</t>
  </si>
  <si>
    <t xml:space="preserve">Kupferpaar 0,6mm, innen durchmesser, 1,1mm außen durchmesser, für elektrische Detonation von Feuerwerk </t>
  </si>
  <si>
    <t>DF10CM E</t>
  </si>
  <si>
    <t>C2520VI E</t>
  </si>
  <si>
    <t>C4920SIG E</t>
  </si>
  <si>
    <t>CF4920J E</t>
  </si>
  <si>
    <t>C9020X E</t>
  </si>
  <si>
    <t>CF10020G E</t>
  </si>
  <si>
    <t>C13020B E</t>
  </si>
  <si>
    <t>C13420B E</t>
  </si>
  <si>
    <t>C13420H E</t>
  </si>
  <si>
    <t>C26820F/C E</t>
  </si>
  <si>
    <t>C8825M E</t>
  </si>
  <si>
    <t>C8825PA E</t>
  </si>
  <si>
    <t>C8925N E</t>
  </si>
  <si>
    <t>C10025S E</t>
  </si>
  <si>
    <t>C9825SIG/C E</t>
  </si>
  <si>
    <t>C493RU E</t>
  </si>
  <si>
    <t>CF493ME E</t>
  </si>
  <si>
    <t>C503RA E</t>
  </si>
  <si>
    <t>C643BI E</t>
  </si>
  <si>
    <t>CF643M E</t>
  </si>
  <si>
    <t>C643MN E</t>
  </si>
  <si>
    <t>C165P E</t>
  </si>
  <si>
    <t>C365DU E</t>
  </si>
  <si>
    <t>C36MH E</t>
  </si>
  <si>
    <t>C47MB E</t>
  </si>
  <si>
    <t>C62SMT E</t>
  </si>
  <si>
    <t>C63MP E</t>
  </si>
  <si>
    <t>C106MH E</t>
  </si>
  <si>
    <t>C106MB E</t>
  </si>
  <si>
    <t>C223MF/C E</t>
  </si>
  <si>
    <t>Cena v CZK</t>
  </si>
  <si>
    <t>před slevou</t>
  </si>
  <si>
    <t>pro přepočet</t>
  </si>
  <si>
    <t xml:space="preserve">Skladová </t>
  </si>
  <si>
    <t>dostupnost</t>
  </si>
  <si>
    <t>celkem</t>
  </si>
  <si>
    <t>Postup při zasílání objednávky:</t>
  </si>
  <si>
    <t>Nemůžeme zaručit, že doobjednané zboží bude zasláno společně s prvotně objednaným zbožím!</t>
  </si>
  <si>
    <t xml:space="preserve">Návod k použití elektronického ceníku </t>
  </si>
  <si>
    <t>Po ukončení objednávky uvidíte v následujících sloupcích tyto informace :</t>
  </si>
  <si>
    <t>cena celkem v CZK bez DPH</t>
  </si>
  <si>
    <t>cena celkem v CZK s DPH</t>
  </si>
  <si>
    <t>cena celkem v EUR bez DPH</t>
  </si>
  <si>
    <t xml:space="preserve">celkový objem v m3 </t>
  </si>
  <si>
    <t>celková váha v kg</t>
  </si>
  <si>
    <t>Zasíláme Vám postup při řešení reklamace nevystřílených kompaktů. Těmto reklamacím se bohužel i přes kontrolu kvality nedá v rámci velkého objemu zabránit.</t>
  </si>
  <si>
    <t>Chceme tímto vnést pořádek to řešení reklamací, kdy se nám stává, že zákazník například donese 100 ran kompakt, z kterého je 90 ran vystřílených a chce nový kus.</t>
  </si>
  <si>
    <t>Rezervace zboží</t>
  </si>
  <si>
    <t>Níže jsou pravidla, za kterých je možno si zboží na našem skladu rezervovat:</t>
  </si>
  <si>
    <t>Pravidla:</t>
  </si>
  <si>
    <t>Prodej po baleních</t>
  </si>
  <si>
    <t>Palety</t>
  </si>
  <si>
    <t>of big packing</t>
  </si>
  <si>
    <t>of small packing</t>
  </si>
  <si>
    <t>po slevě</t>
  </si>
  <si>
    <t>Cena EUR</t>
  </si>
  <si>
    <t>Kurz</t>
  </si>
  <si>
    <t>Není možné reklamovat poškozené exportní kartony u složených ohňostrojů. Barevný exportní karton nemá na funkci výrobku vliv a slouží jen pro ochranu výrobku během přepravy</t>
  </si>
  <si>
    <t>Reklamace</t>
  </si>
  <si>
    <t>Cena dopravy</t>
  </si>
  <si>
    <t>Katalogové</t>
  </si>
  <si>
    <t>číslo</t>
  </si>
  <si>
    <t>Název produktu</t>
  </si>
  <si>
    <t>objem m3</t>
  </si>
  <si>
    <t>kartonu</t>
  </si>
  <si>
    <t>kartonu GW</t>
  </si>
  <si>
    <t>Jazykové mutace</t>
  </si>
  <si>
    <t>velkého balení</t>
  </si>
  <si>
    <t>malého balení</t>
  </si>
  <si>
    <t>Certifikát skladování</t>
  </si>
  <si>
    <t>Občané</t>
  </si>
  <si>
    <t>Účty</t>
  </si>
  <si>
    <t>Karty</t>
  </si>
  <si>
    <t>Půjčky</t>
  </si>
  <si>
    <t>Spoření</t>
  </si>
  <si>
    <t>Investice</t>
  </si>
  <si>
    <t>Pojištění</t>
  </si>
  <si>
    <t>Kontakty</t>
  </si>
  <si>
    <t>Kurzovní lístek</t>
  </si>
  <si>
    <t>Detail kurzu</t>
  </si>
  <si>
    <t>EUR</t>
  </si>
  <si>
    <t>Střed</t>
  </si>
  <si>
    <t>Valuty</t>
  </si>
  <si>
    <t>Devizy</t>
  </si>
  <si>
    <t>čas</t>
  </si>
  <si>
    <t>Často hledané výrazy</t>
  </si>
  <si>
    <t>Ztráta karty</t>
  </si>
  <si>
    <t>Katalognummer</t>
  </si>
  <si>
    <t>Produktname</t>
  </si>
  <si>
    <t>Preis in CZK</t>
  </si>
  <si>
    <t>vor dem Rabatt</t>
  </si>
  <si>
    <t>nach dem Rabatt</t>
  </si>
  <si>
    <t>Preis in EUR</t>
  </si>
  <si>
    <t>Verpackung im Karton</t>
  </si>
  <si>
    <t>Sprachmutation Anwiesung</t>
  </si>
  <si>
    <t>an der grosser Pack</t>
  </si>
  <si>
    <t>an der kleiner Pack</t>
  </si>
  <si>
    <t>Foto</t>
  </si>
  <si>
    <t>Price in CZK</t>
  </si>
  <si>
    <t>before discount</t>
  </si>
  <si>
    <t>after discount</t>
  </si>
  <si>
    <t>Price in EUR</t>
  </si>
  <si>
    <t>If the result is less than 1000, that means it is a under-limit transportation without ADR car.</t>
  </si>
  <si>
    <t>Regeln:</t>
  </si>
  <si>
    <t>Paletten</t>
  </si>
  <si>
    <t>Beschwerdeverfahren</t>
  </si>
  <si>
    <t>Gebrauchsanweisung der elektronischen Preisliste</t>
  </si>
  <si>
    <t>(vyplňuje se automaticky)</t>
  </si>
  <si>
    <t>(wird automatisch ausgefüllt)</t>
  </si>
  <si>
    <t>(to be filled in automatically)</t>
  </si>
  <si>
    <t>Kurs</t>
  </si>
  <si>
    <t>Als Mehrwertsteuerzahler berechnen wir 21% Mehrwertsteuer auf die oben genannten Preise.</t>
  </si>
  <si>
    <t>Für den Kauf von KAT F4 und T2 ist eine Lizenz einer fachkundigen Person erforderlich!</t>
  </si>
  <si>
    <t>Für Kunden mit einem Rabatt von mehr als 50% beträgt der Mindesteinkauf 10.000 CZK.</t>
  </si>
  <si>
    <t>Alle Preise in dieser Preisliste verstehen sich ohne Versand (EXW Incoterms 2010), dh der Kunde muss den Transport selbst bezahlen.</t>
  </si>
  <si>
    <t>Es können nur ganze Exportkartons bestellt werden.</t>
  </si>
  <si>
    <t>As a VAT payer, we charge 21% VAT on the above prices.</t>
  </si>
  <si>
    <t>For the purchase of KAT F4 and T2 a license of a qualified person is required!</t>
  </si>
  <si>
    <t>For customers with a discount of more than 50%, the minimum purchase is CZK 10,000.</t>
  </si>
  <si>
    <t>All prices in this price list are without shipping (EXW Incoterms 2010), ie the customer must pay for the transport himself.</t>
  </si>
  <si>
    <t>Only whole export cartons can be ordered.</t>
  </si>
  <si>
    <t>https://www.kb.cz/en/exchange-rates</t>
  </si>
  <si>
    <t>After you place an order, you'll see this information in the following columns:</t>
  </si>
  <si>
    <t>In column J you will find information about the danger category to which the product belongs.</t>
  </si>
  <si>
    <t>In column Z write your order - write only a number expressing the number of ordered cartons.</t>
  </si>
  <si>
    <t>Slouží pro aktualizaci kurzu v ceníku, nezasahovat!</t>
  </si>
  <si>
    <t>Es wird verwendet, um den Preis in der Preisliste zu aktualisieren, nicht eingreifen!</t>
  </si>
  <si>
    <t>It is used to update the rate in the price list, do not intervene!</t>
  </si>
  <si>
    <t xml:space="preserve">chcete objednat 5 balení položky DP1R, která je balená 25/20/6 tak si objednáte 0,2 kartonu </t>
  </si>
  <si>
    <t xml:space="preserve">chcete objednat 1 ks položky C1625B, která je balená 12/1 tak si objednáte 0,0833 kartonu </t>
  </si>
  <si>
    <t>C493LI</t>
  </si>
  <si>
    <t>DP1TA</t>
  </si>
  <si>
    <t>Tank</t>
  </si>
  <si>
    <t>DP1BS</t>
  </si>
  <si>
    <t>Baby shark</t>
  </si>
  <si>
    <t>DP1EM</t>
  </si>
  <si>
    <t>LM5W</t>
  </si>
  <si>
    <t>Whistling Airplane</t>
  </si>
  <si>
    <t>LM6M</t>
  </si>
  <si>
    <t>Medusa</t>
  </si>
  <si>
    <t>LM7S</t>
  </si>
  <si>
    <t>Scream UFO</t>
  </si>
  <si>
    <t>EB9</t>
  </si>
  <si>
    <t>BP30S</t>
  </si>
  <si>
    <t>Childrens party torch with shining bracelet</t>
  </si>
  <si>
    <t>FPS1</t>
  </si>
  <si>
    <t>Family packing(small)</t>
  </si>
  <si>
    <t>D3SK</t>
  </si>
  <si>
    <t>Dýmovnice proti krtkům</t>
  </si>
  <si>
    <t>F10E</t>
  </si>
  <si>
    <t>Explosive fountain</t>
  </si>
  <si>
    <t>CON80P (G)</t>
  </si>
  <si>
    <t>R7040C</t>
  </si>
  <si>
    <t>R6508S</t>
  </si>
  <si>
    <t>Scream 8sh</t>
  </si>
  <si>
    <t>SS25SC</t>
  </si>
  <si>
    <t>Scream single shot</t>
  </si>
  <si>
    <t>CS2BB</t>
  </si>
  <si>
    <t>RP5DU14</t>
  </si>
  <si>
    <t>Rotate Dumbum</t>
  </si>
  <si>
    <t>K0203(1)</t>
  </si>
  <si>
    <t>K0203/2</t>
  </si>
  <si>
    <t>K0203/2(1)</t>
  </si>
  <si>
    <t>PS05D</t>
  </si>
  <si>
    <t>PS10D10</t>
  </si>
  <si>
    <t>P5D13(W)</t>
  </si>
  <si>
    <t>P6A14</t>
  </si>
  <si>
    <t>P170</t>
  </si>
  <si>
    <t>R12T3</t>
  </si>
  <si>
    <t>Tomahawk rocket 3</t>
  </si>
  <si>
    <t>RS5DU</t>
  </si>
  <si>
    <t>RS9BP14</t>
  </si>
  <si>
    <t>RS21Z14</t>
  </si>
  <si>
    <t>Zoombie invasion</t>
  </si>
  <si>
    <t>RS33R14</t>
  </si>
  <si>
    <t>Rocket Land</t>
  </si>
  <si>
    <t>RS21Z</t>
  </si>
  <si>
    <t>R170X</t>
  </si>
  <si>
    <t>XXXL rocket</t>
  </si>
  <si>
    <t>R170M</t>
  </si>
  <si>
    <t>Big mix rocket</t>
  </si>
  <si>
    <t>P40MO25</t>
  </si>
  <si>
    <t>BP60S</t>
  </si>
  <si>
    <t>Barevná pochodeň 60sec</t>
  </si>
  <si>
    <t>Profi show 208</t>
  </si>
  <si>
    <t>C20814XPR14</t>
  </si>
  <si>
    <t>C320DI14</t>
  </si>
  <si>
    <t>CX1620D</t>
  </si>
  <si>
    <t>Dumbum 16sh X shape</t>
  </si>
  <si>
    <t>CX1620X</t>
  </si>
  <si>
    <t>X Show</t>
  </si>
  <si>
    <t>C6420BPW</t>
  </si>
  <si>
    <t>C10020XBPW14</t>
  </si>
  <si>
    <t>C10020XBP14</t>
  </si>
  <si>
    <t>C10020XPR14</t>
  </si>
  <si>
    <t>C13020BP</t>
  </si>
  <si>
    <t>C20020PR</t>
  </si>
  <si>
    <t>C20020XBP</t>
  </si>
  <si>
    <t>C20020XBPW</t>
  </si>
  <si>
    <t>C20020XPR</t>
  </si>
  <si>
    <t>C20020XPR/C14</t>
  </si>
  <si>
    <t>C25220XFS/C14</t>
  </si>
  <si>
    <t>C40020XPR/C14</t>
  </si>
  <si>
    <t>C25220XFS/C</t>
  </si>
  <si>
    <t>C80020XPR/C</t>
  </si>
  <si>
    <t>C2525BPW</t>
  </si>
  <si>
    <t>C2525SC14</t>
  </si>
  <si>
    <t>CF4925S</t>
  </si>
  <si>
    <t>Super fast gun</t>
  </si>
  <si>
    <t>C6425XPT</t>
  </si>
  <si>
    <t>C10025PR1</t>
  </si>
  <si>
    <t>Profi show no.1</t>
  </si>
  <si>
    <t>C10025PR2</t>
  </si>
  <si>
    <t>C10025BPW/C14</t>
  </si>
  <si>
    <t>C14025XFS/C14</t>
  </si>
  <si>
    <t>C14025XFS/C</t>
  </si>
  <si>
    <t>C30025BPW/C</t>
  </si>
  <si>
    <t>C330D</t>
  </si>
  <si>
    <t>C493PR</t>
  </si>
  <si>
    <t>Profi show 49</t>
  </si>
  <si>
    <t>C493BW</t>
  </si>
  <si>
    <t>C503BW/C14</t>
  </si>
  <si>
    <t>Brocade War 50</t>
  </si>
  <si>
    <t>C1003F/C14</t>
  </si>
  <si>
    <t>C10030XF/C14</t>
  </si>
  <si>
    <t>C12230XPT/C14</t>
  </si>
  <si>
    <t>C128XMPT/C</t>
  </si>
  <si>
    <t>C256XMPT/C</t>
  </si>
  <si>
    <t>C2545NO</t>
  </si>
  <si>
    <t>C2545DI</t>
  </si>
  <si>
    <t>C2545MA</t>
  </si>
  <si>
    <t>C3545MF</t>
  </si>
  <si>
    <t>Max Force 35</t>
  </si>
  <si>
    <t>C3545NO</t>
  </si>
  <si>
    <t>C3645BA</t>
  </si>
  <si>
    <t>C3645SE</t>
  </si>
  <si>
    <t>C10545GI/C</t>
  </si>
  <si>
    <t>Gigant 105</t>
  </si>
  <si>
    <t>C39MPT</t>
  </si>
  <si>
    <t>C39MPT14</t>
  </si>
  <si>
    <t>C68XMPT</t>
  </si>
  <si>
    <t>C68XMCS</t>
  </si>
  <si>
    <t>C68XMPT14</t>
  </si>
  <si>
    <t>C68XMCS14</t>
  </si>
  <si>
    <t>C100MPT</t>
  </si>
  <si>
    <t>C132XMPT/C14</t>
  </si>
  <si>
    <t>C204XMPT/C14</t>
  </si>
  <si>
    <t>C216XMFS/C14</t>
  </si>
  <si>
    <t>C223XMK/C14</t>
  </si>
  <si>
    <t>King fireworks 223</t>
  </si>
  <si>
    <t>C132XMPT/C</t>
  </si>
  <si>
    <t>C150MPT/C</t>
  </si>
  <si>
    <t>C204XMPT/C</t>
  </si>
  <si>
    <t>C216XMFS/C</t>
  </si>
  <si>
    <t>C223XMK/C</t>
  </si>
  <si>
    <t>C219XMPT/C</t>
  </si>
  <si>
    <t>C253XMPT/C</t>
  </si>
  <si>
    <t>C379XMK/C</t>
  </si>
  <si>
    <t>King fireworks 379</t>
  </si>
  <si>
    <t>C63MP</t>
  </si>
  <si>
    <t>C84M12F/C</t>
  </si>
  <si>
    <t>Fireworks show 84</t>
  </si>
  <si>
    <t>C84M12S/C</t>
  </si>
  <si>
    <t>C222MNPT/C</t>
  </si>
  <si>
    <t>SS30F</t>
  </si>
  <si>
    <t>SS30H</t>
  </si>
  <si>
    <t>SS50A</t>
  </si>
  <si>
    <t>SS50C</t>
  </si>
  <si>
    <t>SS50CH</t>
  </si>
  <si>
    <t>SS50M</t>
  </si>
  <si>
    <t>S4Z9/P</t>
  </si>
  <si>
    <t>S4Z10/P</t>
  </si>
  <si>
    <t>S4Z11/P</t>
  </si>
  <si>
    <t>Shell 100mm crackling waterfall</t>
  </si>
  <si>
    <t>S4Z12/P</t>
  </si>
  <si>
    <t>S4Z13/P</t>
  </si>
  <si>
    <t>S4Z14/P</t>
  </si>
  <si>
    <t>S5R/P</t>
  </si>
  <si>
    <t>S6M</t>
  </si>
  <si>
    <t>S6D/P(9)</t>
  </si>
  <si>
    <t>S6F/P(9)</t>
  </si>
  <si>
    <t>S6CH/P(9)</t>
  </si>
  <si>
    <t>S6N/P(9)</t>
  </si>
  <si>
    <t>S6S/P(9)</t>
  </si>
  <si>
    <t>S6Z1/P(9)</t>
  </si>
  <si>
    <t>S6Z2/P(9)</t>
  </si>
  <si>
    <t>S6Z3/P(9)</t>
  </si>
  <si>
    <t>PB120D E</t>
  </si>
  <si>
    <t>C1614E14 E</t>
  </si>
  <si>
    <t>Datum aktualizace ceníku:</t>
  </si>
  <si>
    <t>Aktualisierungsdatum der Preisliste:</t>
  </si>
  <si>
    <t>C128XMB/C(T)</t>
  </si>
  <si>
    <t>C2563XMF/C(T)</t>
  </si>
  <si>
    <t>C150MF/C(T)</t>
  </si>
  <si>
    <t>C175MSIG/C(T)</t>
  </si>
  <si>
    <t>DP1TA(1)</t>
  </si>
  <si>
    <t>DP1BS(1)</t>
  </si>
  <si>
    <t>K0201(2)</t>
  </si>
  <si>
    <t>TDLE1M</t>
  </si>
  <si>
    <t>Dumbum tričko M - limited edition</t>
  </si>
  <si>
    <t>TDLE1L</t>
  </si>
  <si>
    <t>Dumbum tričko L - limited edition</t>
  </si>
  <si>
    <t>TDLE1XL</t>
  </si>
  <si>
    <t>Dumbum tričko XL - limited edition</t>
  </si>
  <si>
    <t>TDLE1XXL</t>
  </si>
  <si>
    <t>Dumbum tričko XXL - limited edition</t>
  </si>
  <si>
    <t>TPDLE1M</t>
  </si>
  <si>
    <t>Dumbum tričko polo  M - limited edition</t>
  </si>
  <si>
    <t>TPDLE1L</t>
  </si>
  <si>
    <t>Dumbum tričko polo  L- limited edition</t>
  </si>
  <si>
    <t>TPDLE1XL</t>
  </si>
  <si>
    <t>Dumbum tričko polo  XL - limited edition</t>
  </si>
  <si>
    <t>TPDLE1XXL</t>
  </si>
  <si>
    <t>Dumbum tričko polo  XXL - limited edition</t>
  </si>
  <si>
    <t>VDLE1M</t>
  </si>
  <si>
    <t>Dumbum vesta softshell M-limited edition</t>
  </si>
  <si>
    <t>VDLE1L</t>
  </si>
  <si>
    <t>Dumbum vesta softshell L-limited edition</t>
  </si>
  <si>
    <t>VDLE1XL</t>
  </si>
  <si>
    <t>Dumbum vesta softshell XL -limited edition</t>
  </si>
  <si>
    <t>VDLE1XXL</t>
  </si>
  <si>
    <t>Dumbum vesta softshell XXL -limited edition</t>
  </si>
  <si>
    <t>BDLE1M</t>
  </si>
  <si>
    <t>Dumbum bunda fleece M -limited edition</t>
  </si>
  <si>
    <t>BDLE1L</t>
  </si>
  <si>
    <t>Dumbum bunda fleece L -limited edition</t>
  </si>
  <si>
    <t>BDLE1XL</t>
  </si>
  <si>
    <t>Dumbum bunda fleece XL -limited edition</t>
  </si>
  <si>
    <t>BDLE1XXL</t>
  </si>
  <si>
    <t>Dumbum bunda fleece XXL -limited edition</t>
  </si>
  <si>
    <t>MDLE1M</t>
  </si>
  <si>
    <t>Dumbum mikina s kapucí M -limited edition</t>
  </si>
  <si>
    <t>MDLE1L</t>
  </si>
  <si>
    <t>Dumbum mikina s kapucí L -limited edition</t>
  </si>
  <si>
    <t>MDLE1XL</t>
  </si>
  <si>
    <t>Dumbum mikina s kapucí XL -limited edition</t>
  </si>
  <si>
    <t>MDLE1XXL</t>
  </si>
  <si>
    <t>Dumbum mikina s kapucí XXL -limited edition</t>
  </si>
  <si>
    <t>KDLE1</t>
  </si>
  <si>
    <t>Dumbum kšiltovka - limited edition</t>
  </si>
  <si>
    <t>CDLE1</t>
  </si>
  <si>
    <t>Dumbum zimní čepice - limited edition</t>
  </si>
  <si>
    <t>C12820F/C14(T)</t>
  </si>
  <si>
    <t>C13220B/C14(T)</t>
  </si>
  <si>
    <t>C20020XPR/C14(T)</t>
  </si>
  <si>
    <t>C25220XFS/C14(T)</t>
  </si>
  <si>
    <t>C40020XPR/C14(T)</t>
  </si>
  <si>
    <t>C12820F/C(T)</t>
  </si>
  <si>
    <t>C19220F/C(T)</t>
  </si>
  <si>
    <t>C25220XFS/C(T)</t>
  </si>
  <si>
    <t>C25620F/C(T)</t>
  </si>
  <si>
    <t>C26420N/C(T)</t>
  </si>
  <si>
    <t>C18020SIG/C(T)</t>
  </si>
  <si>
    <t>C26020F/C(T)</t>
  </si>
  <si>
    <t>C39020F/C(T)</t>
  </si>
  <si>
    <t>C52020F/C(T)</t>
  </si>
  <si>
    <t>C53620F/C(T)</t>
  </si>
  <si>
    <t>C9625MF/C14(T)</t>
  </si>
  <si>
    <t>C9825C/C14(T)</t>
  </si>
  <si>
    <t>C14025XFS/C14(T)</t>
  </si>
  <si>
    <t>C19225MF/C14(T)</t>
  </si>
  <si>
    <t>C9825C/C(T)</t>
  </si>
  <si>
    <t>C14025XFS/C(T)</t>
  </si>
  <si>
    <t>C20025F/C(T)</t>
  </si>
  <si>
    <t>C30025F/C(T)</t>
  </si>
  <si>
    <t>C30025BPW/C(T)</t>
  </si>
  <si>
    <t>C40025F/C(T)</t>
  </si>
  <si>
    <t>C503BW/C14(T)</t>
  </si>
  <si>
    <t>C503RO/C14(T)</t>
  </si>
  <si>
    <t>C503F/C14(T)</t>
  </si>
  <si>
    <t>C503NID/C14(T)</t>
  </si>
  <si>
    <t>C503SIG/C14(T)</t>
  </si>
  <si>
    <t>C583MN/C14(T)</t>
  </si>
  <si>
    <t>C1003B/C14(T)</t>
  </si>
  <si>
    <t>C1003NO/C14(T)</t>
  </si>
  <si>
    <t>C10030XF/C14(T)</t>
  </si>
  <si>
    <t>C1163MB/C14(T)</t>
  </si>
  <si>
    <t>C12230XPT/C14(T)</t>
  </si>
  <si>
    <t>C1003BP/C(T)</t>
  </si>
  <si>
    <t>C1003BPF/C(T)</t>
  </si>
  <si>
    <t>C1003BB/C(T)</t>
  </si>
  <si>
    <t>C1003SIG/C(T)</t>
  </si>
  <si>
    <t>C1003VS/C(T)</t>
  </si>
  <si>
    <t>C128XMPT/C(T)</t>
  </si>
  <si>
    <t>C1503X/C(T)</t>
  </si>
  <si>
    <t>C1503BPF/C(T)</t>
  </si>
  <si>
    <t>C2003BP/C(T)</t>
  </si>
  <si>
    <t>C2003U/C(T)</t>
  </si>
  <si>
    <t>C256XMPT/C(T)</t>
  </si>
  <si>
    <t>C505X/C(T)</t>
  </si>
  <si>
    <t>C505V/C(T)</t>
  </si>
  <si>
    <t>C755R/C(T)</t>
  </si>
  <si>
    <t>C10545GI/C(T)</t>
  </si>
  <si>
    <t>C132XMPT/C14(T)</t>
  </si>
  <si>
    <t>C200MF/C14(T)</t>
  </si>
  <si>
    <t>C204XMPT/C14(T)</t>
  </si>
  <si>
    <t>C216XMFS/C14(T)</t>
  </si>
  <si>
    <t>C223XMK/C14(T)</t>
  </si>
  <si>
    <t>C132XMPT/C(T)</t>
  </si>
  <si>
    <t>C150MPT/C(T)</t>
  </si>
  <si>
    <t>C200MF/C(T)</t>
  </si>
  <si>
    <t>C204XMPT/C(T)</t>
  </si>
  <si>
    <t>C216XMFS/C(T)</t>
  </si>
  <si>
    <t>C223XMK/C(T)</t>
  </si>
  <si>
    <t>C212MF/C(T)</t>
  </si>
  <si>
    <t>C219XMPT/C(T)</t>
  </si>
  <si>
    <t>C253XMPT/C(T)</t>
  </si>
  <si>
    <t>C379XMK/C(T)</t>
  </si>
  <si>
    <t>C84M12F/C(T)</t>
  </si>
  <si>
    <t>C84M12S/C(T)</t>
  </si>
  <si>
    <t>C84MC/C(T)</t>
  </si>
  <si>
    <t>C222MNPT/C(T)</t>
  </si>
  <si>
    <t>C222MF/C(T)</t>
  </si>
  <si>
    <t>PL</t>
  </si>
  <si>
    <t>EN</t>
  </si>
  <si>
    <t>jezdící+pískající tank(fontána+práskající salva z děla)</t>
  </si>
  <si>
    <t>baby shark s fontánou, karton obsahuje 3 ruzně barevné žraloky(zelený,žlutý,fialový)</t>
  </si>
  <si>
    <t>rotující barevné a práskající kolečko s dýmovým efektem na konci</t>
  </si>
  <si>
    <t xml:space="preserve">práskající efekt, délka 20cm, </t>
  </si>
  <si>
    <t>dětská party pochodeň(barevná) se svítícím náramkem</t>
  </si>
  <si>
    <t>pískající letadlo s červeným světlem a práskajícími hvězdami(2ks)+pískající letadlo s zeleným světlem a práskajícími+blikajícími hvězdami(2ks)</t>
  </si>
  <si>
    <t>létající/pulzující barevný efekt s brokátovou korunou(1ks) , létající/pulzující barevný efekt s práskajícími hvězdami(1ks)</t>
  </si>
  <si>
    <t>pískající létající talíř se zeleným světlem</t>
  </si>
  <si>
    <t>sada obsahuje:1 balení-VP16A,DP1VC, LM2V 1ks, R4420B 2ks, R12T1 4ks</t>
  </si>
  <si>
    <t>zlaté prskavky,  délka 70cm, délka prskací hmoty 55cm, průměr prskací hmoty 4,5mm</t>
  </si>
  <si>
    <t>neonové prskavky(růžová,žlutá,zelelná,modrá),  délka 28cm, délka prskací hmoty 17cm, průměr prskací hmoty 3mm</t>
  </si>
  <si>
    <t>dýmovnice odpuzující krtky(dým+zápach)</t>
  </si>
  <si>
    <t>dýmovnice(tuba dýmící ze dvou stran) s trhací pojistkou-zelená barva</t>
  </si>
  <si>
    <t>práskající fontána</t>
  </si>
  <si>
    <t>rotáční fontána</t>
  </si>
  <si>
    <t xml:space="preserve">barevné hvězdy, 3m výška efektu, </t>
  </si>
  <si>
    <t xml:space="preserve">dvopjité práskající hvězdy, 3m výška efektu, </t>
  </si>
  <si>
    <t xml:space="preserve">stříbrné hvězdy, 7m výška efektu, </t>
  </si>
  <si>
    <t>stříbrné hvězdy(studený oheň), délka 12cm, potravinářský atest! Balení obsahuje číslo 6</t>
  </si>
  <si>
    <t>mix římských svící 8ran(po 1ks R5808D, R6008E, R6008K,R7508E), 60cm délka</t>
  </si>
  <si>
    <t>8ran stříbrná pískající stopa, 65cm délka</t>
  </si>
  <si>
    <t>pískající stopa</t>
  </si>
  <si>
    <t xml:space="preserve">6 různobarevných efektů, průměr 50 mm(top kvalita) </t>
  </si>
  <si>
    <t>18 různobarevných 50mm efektů(válcová puma)-profesionální kvalita</t>
  </si>
  <si>
    <t>zelená rotující fontána s práskajícími hvězdami</t>
  </si>
  <si>
    <t>škrtací petarda malá, síla výbuchu 112dB z 8m</t>
  </si>
  <si>
    <t>škrtací petarda velká(dvě rány), síla výbuchu 116+116dB z 8m</t>
  </si>
  <si>
    <t>škrtací petarda, síla výbuchu 119dB z 15m,vyrobeno v Evropě, plastová ucpávka</t>
  </si>
  <si>
    <t>škrtací petarda, síla výbuchu 120dB z 15m,vyrobeno v Evropě, plastová ucpávka</t>
  </si>
  <si>
    <t xml:space="preserve">síla výbuchu 120dB z 8m(černoprachová petarda) </t>
  </si>
  <si>
    <t>100g zábleskové slože, 170dB z 15m, vyrobeno v Evropě</t>
  </si>
  <si>
    <t>70ran,délka 16cm,kobereček se skládá z malých petard</t>
  </si>
  <si>
    <t>padáčková raketa</t>
  </si>
  <si>
    <t>72cm výška,barevné světice</t>
  </si>
  <si>
    <t>stříbrná stopa s titanovou detonací a práskajícími hvězdami(2g zábleskové slože)</t>
  </si>
  <si>
    <t>170cm výška, chromové rakety najvyšší kvality, 2 různobarevné efekty</t>
  </si>
  <si>
    <t>170cm výška, chromové rakety najvyšší kvality, 3 různobarevné efekty</t>
  </si>
  <si>
    <t>pochodeň žluté světlo+ bílý dým</t>
  </si>
  <si>
    <t>pochodeň modré světlo+ bílý dým</t>
  </si>
  <si>
    <t>barevná pochodeň(červená,zelená,bílá,fialová,žlutá)</t>
  </si>
  <si>
    <t>voňavka do auta Dumbum,  s vůní Invictus</t>
  </si>
  <si>
    <t>4 různobarevných efektů</t>
  </si>
  <si>
    <t>52 různobarevných efektů</t>
  </si>
  <si>
    <t>80 různobarevných efektů</t>
  </si>
  <si>
    <t xml:space="preserve">pískající kometa  </t>
  </si>
  <si>
    <t>7 různobarevných efektů - bez hluku</t>
  </si>
  <si>
    <t>6 různobarevných efektů měnících se po každé ráně</t>
  </si>
  <si>
    <t>zlatá blikajiící vrba</t>
  </si>
  <si>
    <t>10 různobarevných efektů, karton obsahuje nálepky s různým věkem</t>
  </si>
  <si>
    <t>42 různobarevných efektů</t>
  </si>
  <si>
    <t>19 různobarevných efektů</t>
  </si>
  <si>
    <t>white glitter mine</t>
  </si>
  <si>
    <t>red tail up to green glitter mine</t>
  </si>
  <si>
    <t>silver glittering mine w/ green comet</t>
  </si>
  <si>
    <t>special color strobing mine</t>
  </si>
  <si>
    <t>two sides:silver, middle:silver palm to orange+brocade willow flower star- salvo 10sh together</t>
  </si>
  <si>
    <t>crackling wave to red</t>
  </si>
  <si>
    <t>silver coco w/crackling rain pistil</t>
  </si>
  <si>
    <t>crackling waterfall</t>
  </si>
  <si>
    <t>crackling willow crossette</t>
  </si>
  <si>
    <t>silver dragon ring+red crossette(cylinder)</t>
  </si>
  <si>
    <t>silver crackling coco w/red strobe up silver crackling tiger tail</t>
  </si>
  <si>
    <t>crackling coco w/color strobe pistil</t>
  </si>
  <si>
    <t>Mixed carton contains: S6CH gold wave w.purple peony double rings to special orange strobing pistil(2pc), S6H color chrysanthemum(2pc), S6S silver tail to silver palm(2pc), S6O colorfull dahlia(1pc), S6K red glitter w.brocade crown(2pc)</t>
  </si>
  <si>
    <t>color dahlia w/strobe pistil</t>
  </si>
  <si>
    <t>brocade coco w/strobe pistil</t>
  </si>
  <si>
    <t>brocade crown to blue to red strobe w/red strobe pistil</t>
  </si>
  <si>
    <t>nezničitelný, tenkostěnný moždíř, výška 58cm,síla stěny 3mm</t>
  </si>
  <si>
    <t>stříbrná fontána-bez kouře, 6m výška efektu,elektrický odpal</t>
  </si>
  <si>
    <t>C320D</t>
  </si>
  <si>
    <t>IF660B</t>
  </si>
  <si>
    <t>ANO</t>
  </si>
  <si>
    <t>Pro zákazníky, kteří mají slevu více než 50% platí minimální jednorázový odběr 10.000Kč</t>
  </si>
  <si>
    <t>Jako plátci DPH účtujeme k uvedeným cenám 21% DPH.</t>
  </si>
  <si>
    <t>Pro nákup KAT. F4 a T2 je potřebný průkaz osoby odborně způsobilé, resp. odpalovače ohňostrojů!</t>
  </si>
  <si>
    <t>Všechny ceny uvedené v tomto ceníku jsou bez dopravy (EXW Incoterms 2010) tzn., že si zákazník dopravu musí uhradit sám.</t>
  </si>
  <si>
    <t>Je možno objednávat pouze celé exportní kartony.</t>
  </si>
  <si>
    <t>Položky, které nejsou aktuálně skladem, nelze objednat. Objednací pole je podbarveno černě.</t>
  </si>
  <si>
    <t>34 různobarevných efektů</t>
  </si>
  <si>
    <t>[kg]</t>
  </si>
  <si>
    <t>celkem [kg]</t>
  </si>
  <si>
    <t>(bez DPH)</t>
  </si>
  <si>
    <t>CZK</t>
  </si>
  <si>
    <t>(vč.DPH)</t>
  </si>
  <si>
    <t>NA PALETÁCH</t>
  </si>
  <si>
    <t>Zákazníkům, kteří nebudou postupovat při objednávce v souladu s výše napsaným a přijedou si pro zboží bez potvrzení našeho pracovníka, nebude zboží naloženo.</t>
  </si>
  <si>
    <t>○        zboží bude fyzicky nachystáno na palety o rozměru 120x80cm a výška 180cm a váha do 750kg a to tak, aby rezervované zboží bylo na co nejmenším množství palet, ale za dodržení výše uvedených rozměrů. Pokud bude objednáno malé množství např. 2 kartony, tak budou umístěny na euro paletu a bude účtován níže uvedený poplatek.</t>
  </si>
  <si>
    <t>○        zákazník pošle objednávku pouze na zboží, které chce rezervovat (lze rezervovat jen zboží, které je aktuálně skladem)</t>
  </si>
  <si>
    <t>○        v den expedice bude spočteno, kolik dní byla paleta skladována a částka za skladné, bude přičtena na konečnou fakturu za zboží</t>
  </si>
  <si>
    <t>○        každá rezervace musí být expedována vcelku (nelze si vzít jen část rezervovaného zboží) tzn. veškeré rezervované euro palety, budou odebrány najednou</t>
  </si>
  <si>
    <t>○        rezervované zboží bude expedováno pouze na paletách</t>
  </si>
  <si>
    <t>Do sloupce Z napište Vaši objednávku – pište pouze číslici vyjadřující počet objednaných kartonů. Výjimkou jsou položky označené "ANO" ve sloupci A (podmínky uvedeny výše).</t>
  </si>
  <si>
    <t>celkový NEC - čistá váha pyrotechnických složí rozdělena podle ADR tříd</t>
  </si>
  <si>
    <t>celkový NEC - čistá váha pyrotechnických složí za všechny ADR třídy</t>
  </si>
  <si>
    <t>KLIKNUTÍM ZDE VYBERTE MOŽNOST!</t>
  </si>
  <si>
    <t>total [kg]</t>
  </si>
  <si>
    <t>Date of the price list update:</t>
  </si>
  <si>
    <t>riding+whistling tank (fountain+crackling salvo from cannon)</t>
  </si>
  <si>
    <t>baby shark with fountain, carton contains 3 different colored sharks(green,yelow, pink)</t>
  </si>
  <si>
    <t>rotating colored and crackling wheel with smoke effect at the end</t>
  </si>
  <si>
    <t>crackling effect, lenght 20cm</t>
  </si>
  <si>
    <t>childrens party torch(colour) with shining bracelet</t>
  </si>
  <si>
    <t>whistling plane with red light and cracking stars (2pcs) + whistling plane with green light and cracking+strobe stars (2pcs)</t>
  </si>
  <si>
    <t>flying/pulsate color effect with brocade crown(1pc), flying/pulsate color effect with cracking stars(1pc)</t>
  </si>
  <si>
    <t>whistling flying saucer with green light</t>
  </si>
  <si>
    <t>Kids package contains:DP1FD- 1x,DP1FR-1x,DP1BP- 3x,BK1B-1x,BK1P-1x,DP1CB-1x,DP1B-1x,DP1R-2x, S12S-1x</t>
  </si>
  <si>
    <t>Family package contains:4 rocket,DP1BP-2x,DP1B-1x,S12S-1x,P1-1x,BK1B-1x,DP1R-1x,DP1VC-1x,DP1CB-1x,K01M-1x,R4420B- 2x</t>
  </si>
  <si>
    <t xml:space="preserve">Family package contains:1x-VP16A,DP1VC, LM2V 1 single pc, R4420B 2 single pc, R12T1 4 sinlge pc, </t>
  </si>
  <si>
    <t>neon sparklers(pink,yelow,green,blue), lenght 28cm, lenght of sparkling material 17cm, diameter sparkler mass 3mm</t>
  </si>
  <si>
    <t>repelling moles smoke (smoke + smell)</t>
  </si>
  <si>
    <t>crackling fountain</t>
  </si>
  <si>
    <t>color star, 3m effect height</t>
  </si>
  <si>
    <t>double crackling star, 3m effect height</t>
  </si>
  <si>
    <t xml:space="preserve">40sh color tail, 70cm lenght </t>
  </si>
  <si>
    <t>8sh silver whistling tail, 65cm lenght</t>
  </si>
  <si>
    <t>whistling tail</t>
  </si>
  <si>
    <t>18 differently colored 50mm effects (cylindrical bomb) -professional quality</t>
  </si>
  <si>
    <t>green rotate with crackling</t>
  </si>
  <si>
    <t>scatcher small petard, sound power 112dB from 8m</t>
  </si>
  <si>
    <t>scatcher petard(double), sound power 116+116dB from 8m</t>
  </si>
  <si>
    <t>scatcher petard, sound power 119dB from 15m, made in Europe, plastic seal</t>
  </si>
  <si>
    <t>scatcher petard, sound power 120dB from 15m, made in Europe, plastic seal</t>
  </si>
  <si>
    <t>100g flash powder, sound power 170dB from 15m, made in Europe</t>
  </si>
  <si>
    <t>72cm height of rocket, color stars</t>
  </si>
  <si>
    <t>silver tail to titanium salute with crackling(2g flash powder)</t>
  </si>
  <si>
    <t>170cm height, top quality chrome rocket, 3 different color effects</t>
  </si>
  <si>
    <t>blue torch+white smoke</t>
  </si>
  <si>
    <t>color torch(red,green,white,purple,yelow)</t>
  </si>
  <si>
    <t>Dumbum T-shirt M - limited edition</t>
  </si>
  <si>
    <t>Dumbum T-shirt L - limited edition</t>
  </si>
  <si>
    <t>Dumbum T-shirt XL - limited edition</t>
  </si>
  <si>
    <t>Dumbum T-shirt XXL - limited edition</t>
  </si>
  <si>
    <t>Dumbum T-shirt polo  M - limited edition</t>
  </si>
  <si>
    <t>Dumbum T-shirt polo  L - limited edition</t>
  </si>
  <si>
    <t>Dumbum T-shirt polo  XL - limited edition</t>
  </si>
  <si>
    <t>Dumbum T-shirt polo  XXL - limited edition</t>
  </si>
  <si>
    <t>Dumbum waistcoat softshell M-limited edition</t>
  </si>
  <si>
    <t>Dumbum waistcoat softshell L-limited edition</t>
  </si>
  <si>
    <t>Dumbum waistcoat softshell XL-limited edition</t>
  </si>
  <si>
    <t>Dumbum waistcoat softshell XXL-limited edition</t>
  </si>
  <si>
    <t>Dumbum fleece coat M -limited edition</t>
  </si>
  <si>
    <t>Dumbum fleece coat L -limited edition</t>
  </si>
  <si>
    <t>Dumbum fleece coat XL -limited edition</t>
  </si>
  <si>
    <t>Dumbum fleece coat XXL -limited edition</t>
  </si>
  <si>
    <t>Dumbum hoodie M -limited edition</t>
  </si>
  <si>
    <t>Dumbum hoodie L -limited edition</t>
  </si>
  <si>
    <t>Dumbum hoodie XL -limited edition</t>
  </si>
  <si>
    <t>Dumbum hoodie XXL -limited edition</t>
  </si>
  <si>
    <t>baseball cap Dumbum-limited edition</t>
  </si>
  <si>
    <t>winter hat Dumbum -limited edition</t>
  </si>
  <si>
    <t>80 different color effects</t>
  </si>
  <si>
    <t xml:space="preserve">whistling tail  </t>
  </si>
  <si>
    <t>ti-gold willow</t>
  </si>
  <si>
    <t>42 different color effects</t>
  </si>
  <si>
    <t>19 different color effects</t>
  </si>
  <si>
    <t>34 different color effects</t>
  </si>
  <si>
    <t>silver fountain-without smoke, effect high 6m,electric iniciation</t>
  </si>
  <si>
    <t>ON PALLETS</t>
  </si>
  <si>
    <t>CLICK HERE TO SELECT AN OPTION!</t>
  </si>
  <si>
    <t>Výpočet bodů podle ADR:</t>
  </si>
  <si>
    <t>SPRS1E</t>
  </si>
  <si>
    <t>Stojan na prskavky-prázdný</t>
  </si>
  <si>
    <t>Prezentační stojan na prskavky(prázdný)</t>
  </si>
  <si>
    <t>→</t>
  </si>
  <si>
    <t>← OBJEMY A HMOTNOSTI ZDE</t>
  </si>
  <si>
    <t>xkonec</t>
  </si>
  <si>
    <t>Pokud je výsledek větší než 1000 jedná se o přepravu s nutností využití ADR vozidla.</t>
  </si>
  <si>
    <t>Položky označené ve sloupci A jako ANO - je možno objednávat také po baleních za příplatek 20%</t>
  </si>
  <si>
    <t>Elements marked in column A like YES - it is possible to order for additional 20% even after packing.</t>
  </si>
  <si>
    <t>Items that are not currently in stock cannot be ordered. The order field is highlighted in black.</t>
  </si>
  <si>
    <t>Presentation stand for sparklers (empty)</t>
  </si>
  <si>
    <t>Calculation of points according to ADR:</t>
  </si>
  <si>
    <t>SKLADEM</t>
  </si>
  <si>
    <t>(ohne MWSt.)</t>
  </si>
  <si>
    <t>(mit MWSt.)</t>
  </si>
  <si>
    <t>Number of cartons on a palette</t>
  </si>
  <si>
    <t>Reiten + Pfeifpanzer (Springbrunnen + knallende Kanonensalve</t>
  </si>
  <si>
    <t>Babyhai mit Brunnen, karton enthält 3 verschiedenfarbige Haie(green, gelb,violett)</t>
  </si>
  <si>
    <t>Farbiges crackling Rad mit Raucheffekt im Finale</t>
  </si>
  <si>
    <t xml:space="preserve">Knallender Effekt, Länge 20 cm, </t>
  </si>
  <si>
    <t>Kinderpartyfackel (farbig) mit leuchtendem Armband</t>
  </si>
  <si>
    <t>Der Satz enthält:1x-VP16A,DP1VC, LM2V 1Stück, R4420B 2Stück, R12T1 4Stück</t>
  </si>
  <si>
    <t>Neon Wunderkerzen(pink, gelb, grün, blau), Länge 28cm, Länge der platzenden Masse 17 cm, Durchmesser der platzenden Masse 3 mm</t>
  </si>
  <si>
    <t>Mole abweisender Rauch (Rauch + Geruch)</t>
  </si>
  <si>
    <t>Knisternde Fontäne</t>
  </si>
  <si>
    <t xml:space="preserve">Farbsterne, 3m Effekthöhe, </t>
  </si>
  <si>
    <t xml:space="preserve">Knallende Doppelsterne, 3m Effekthöhe, </t>
  </si>
  <si>
    <t>8 Schüsse Silberpfeife, 65cm lang</t>
  </si>
  <si>
    <t xml:space="preserve">Pfeifende Spur </t>
  </si>
  <si>
    <t>18 verschiedenfarbige 50mm Effekte (zylindrische Bombe) - professionelle Qualität</t>
  </si>
  <si>
    <t>Drehender grüner Effekt mit Crackling</t>
  </si>
  <si>
    <t>Kleine Reibkopfknaller, Explosionskraft 112dB von 8m</t>
  </si>
  <si>
    <t>Großer Reibkopfknaller(zwei Explosionen), Explosionskraft 116+116dB von 8m</t>
  </si>
  <si>
    <t>Reibkopfknaller, Explosionskraft 119dB von 15m, Hergestellt in Europa,Plastikdichtung</t>
  </si>
  <si>
    <t>Reibkopfknaller, Explosionskraft 120dB von 15m, Hergestellt in Europa,Plastikdichtung</t>
  </si>
  <si>
    <t>Explosionskraft 120dB von 8m, Hergestellt in Europa,Plastikdichtung</t>
  </si>
  <si>
    <t>100g Blitzsatz, 170dB von 15m, Hergestellt in Europa</t>
  </si>
  <si>
    <t>72 cm Höhe, farbige Leuchtgeschosse</t>
  </si>
  <si>
    <t>silberne spur mit der titanischen detonation+crackling (2g flash sprengsatz)</t>
  </si>
  <si>
    <t xml:space="preserve">21 verschiedenfarbige Effekte </t>
  </si>
  <si>
    <t>170cm Höhe, chromraketen der höchsten qualität, 3 verschiedenfarbige Effekte</t>
  </si>
  <si>
    <t>Fackel blau Licht + weißer Rauch</t>
  </si>
  <si>
    <t>Farbige Fackel(rot, grün, weiß, lila,gelb)</t>
  </si>
  <si>
    <t>Präsentationsstand für Wunderkerzen(leer)</t>
  </si>
  <si>
    <t>80 verschiedenfarbige Effekte</t>
  </si>
  <si>
    <t>pfeifender Komet</t>
  </si>
  <si>
    <t>goldene funkelnde Weide</t>
  </si>
  <si>
    <t>42 verschiedenfarbige Effekte</t>
  </si>
  <si>
    <t>19 verschiedenfarbige Effekte</t>
  </si>
  <si>
    <t>34 verschiedenfarbige Effekte</t>
  </si>
  <si>
    <t>33 verschiedenfarbige Effekte</t>
  </si>
  <si>
    <t>Silberne fontäne-ohne rauch, 6m höhe effekte, elektrisch Abschuss</t>
  </si>
  <si>
    <t>Artikel, die derzeit nicht auf Lager sind, können nicht bestellt werden. Das Bestellfeld ist schwarz hervorgehoben.</t>
  </si>
  <si>
    <t>Artikel, die in Spalte A mit JA gekennzeichnet sind, können gegen einen Aufpreis von 20% auch in Paketen bestellt werden.</t>
  </si>
  <si>
    <t>KLICKEN UM EINE OPTION AUSZUWÄHLEN!</t>
  </si>
  <si>
    <t>AUF PALETTEN</t>
  </si>
  <si>
    <t>DOCHÁZÍ</t>
  </si>
  <si>
    <t>VYPRODÁNO</t>
  </si>
  <si>
    <t>ON STOCK</t>
  </si>
  <si>
    <t>LAST PIECES</t>
  </si>
  <si>
    <t>SOLD OUT</t>
  </si>
  <si>
    <t>AUF LAGER</t>
  </si>
  <si>
    <t>LETZTE STÜCKE</t>
  </si>
  <si>
    <t>Punkteberechnung nach ADR:</t>
  </si>
  <si>
    <t>Wenn das Ergebnis größer als 1000 ist, muss ein ADR-Fahrzeug verwendet werden.</t>
  </si>
  <si>
    <t>Pokud není položka, kterou chcete, skladem je možné si pomoci filtru vyhledat ve sloupci AC podobné položky, kdy všechny podobné položky jsou označeny stejným číslem.</t>
  </si>
  <si>
    <t>Vorgehensweise beim Versenden von Bestellungen:</t>
  </si>
  <si>
    <t>Kunden, die die Bestellung nicht in Übereinstimmung mit den oben genannten Angaben ausführen und die Ware ohne Bestätigung unseres Mitarbeiters abholen, wird die Ware nicht verladen.</t>
  </si>
  <si>
    <t>Ihre Bestellung wird nach Erhalt zur sofortigen Vorbereitung an das Lager übergeben, und es ist nicht mehr möglich, der Bestellung in irgendeiner Form etwas hinzuzufügen. Wenn der Kunde die Bestellung (oder einen Teil davon) storniert, wird ihm eine Bearbeitungsgebühr von 50% des Wertes der stornierten Ware berechnet.</t>
  </si>
  <si>
    <t>Wenn Sie Waren bestellen möchten, müssen Sie eine neue Bestellung in unserer elektronischen Preisliste erstellen und diese erneut per E-Mail senden. Schreiben Sie nur die Waren, die Sie bestellen möchten, in diese Bestellung.</t>
  </si>
  <si>
    <t>Wir können nicht garantieren, dass die bestellte Ware zusammen mit der ursprünglich bestellten Ware verschickt wird!</t>
  </si>
  <si>
    <t>Warenreservierung</t>
  </si>
  <si>
    <t>Aufgrund zahlreicher Kundenwünsche haben wir uns entschlossen, das Buchungssystem in unserem Lager zur Verfügung zu stellen. Für eine bessere Idee werde ich ein System vorstellen, das von unseren ausländischen Kunden weit verbreitet ist.</t>
  </si>
  <si>
    <t>Händler, die über eigene Geschäfte verfügen, bestellen beispielsweise bei uns Waren unmittelbar im September nach Erscheinen der Preisliste und möchten die Waren am 15. Dezember ausliefern.</t>
  </si>
  <si>
    <t>Dies garantiert, dass sie alles bekommen, was sie wollen, und die Waren nirgendwo aufbewahren müssen oder sich Sorgen machen müssen, ob der Artikel, auf den sie zählen, zum Beispiel in der Packungsbeilage, nicht ausverkauft ist. Am vereinbarten Tag erhält der Kunde die von ihm bestellte Ware…</t>
  </si>
  <si>
    <t>Nachfolgend finden Sie die Regeln, nach denen Waren in unserem Lager gebucht werden können:</t>
  </si>
  <si>
    <t>Dies ist ein Verfahren zur Lösung der Beschwerde über ungebrannte Presslinge. Leider können diese Beschwerden trotz Qualitätskontrolle nicht in großem Umfang verhindert werden.</t>
  </si>
  <si>
    <t>Wenn weniger als 30% des Produkts gebrannt werden, ersetzen wir das Produkt durch ein neues für den Kunden, bringen das ungebrannte Teil zu uns und es wird ersetzt.</t>
  </si>
  <si>
    <t xml:space="preserve">
Wenn 30-50% des Produkts abgefeuert werden, wird es dem Kunden durch ein neues Stück mit einem Zuschlag von 30-50% des Kaufpreises ersetzt, je nachdem, wie viele Schüsse der Kunde abgefeuert hat.</t>
  </si>
  <si>
    <t>Wenn 50-80% des Produkts abgefeuert werden, wird es dem Kunden durch ein neues Stück mit einem Zuschlag von 50-80% des Kaufpreises ersetzt, je nachdem, wie viele Schüsse der Kunde abgefeuert hat.</t>
  </si>
  <si>
    <t>Wir wollen Ordnung in die Beschwerdelösung bringen, wenn es uns passiert, dass der Kunde zum Beispiel 100 Schüsse kompakt bringt, von denen 90 Schüsse abgefeuert werden und ein neues Stück wollen.</t>
  </si>
  <si>
    <t>Konische Vulkane (F100, F250, F500, F1000, F1500) können nicht als Teil der Rückgabe nach der Saison beansprucht oder zurückgegeben werden - die in der E-Mail vom 28.1.2019 beschriebenen Gründe.</t>
  </si>
  <si>
    <t>Beschädigte Exportkartons für gefaltete Feuerwerkskörper können nicht beansprucht werden. Farbiger Exportkarton beeinträchtigt die Funktion des Produkts nicht und dient nur zum Schutz des Produkts während des Transports.</t>
  </si>
  <si>
    <t>Der Kunde, der nur perfekte Kartons haben möchte, muss Produkte kaufen, die in einem Schutzkarton verpackt sind (Produktcode endet (T)) oder dafür sorgen, dass die Waren bei uns abgeholt werden, wenn sie aus unserem Lager entnommen werden. Nachfolgende Beschwerden werden nicht gestellt berücksichtigt.</t>
  </si>
  <si>
    <t>Preisliste ist interaktiv, dh. dass es den Rabatt neu berechnet (es ist notwendig, seinen Betrag in das entsprechende Feld einzugeben), die Preisinformationen in CZK und EUR, berechnet auch das Gewicht in kg, das Warenvolumen in m3 und das Nettogewicht pyrotechnischer Zusammensetzungen.</t>
  </si>
  <si>
    <t>Wenn der gewünschte Artikel nicht auf Lager ist, können Sie den Filter verwenden, um ähnliche Artikel in Spalte C zu finden, in der alle ähnlichen Artikel mit derselben Nummer gekennzeichnet sind.</t>
  </si>
  <si>
    <t>Diese Spalte ist die Grundlage für Berechnungen in EUR.</t>
  </si>
  <si>
    <t>Gesamtpreis in CZK exkl. MwSt.</t>
  </si>
  <si>
    <t>Gesamtpreis in CZK inkl. Gesetzl. MwSt.</t>
  </si>
  <si>
    <t>Gesamtpreis in EUR exkl. MwSt.</t>
  </si>
  <si>
    <t>Gesamtvolumen in m3.</t>
  </si>
  <si>
    <t>Gesamtgewicht in kg.</t>
  </si>
  <si>
    <t>Gesamt-NEC-Nettogewicht der pyrotechnischen Zusammensetzungen geteilt durch ADR-Klassen.</t>
  </si>
  <si>
    <t>Das Gesamt-NEC-Nettogewicht der pyrotechnischen Zusammensetzung für alle ADR-Klassen.</t>
  </si>
  <si>
    <t>Transport</t>
  </si>
  <si>
    <t>UNAVAILABLE!</t>
  </si>
  <si>
    <t>NELZE OBJEDNAT!</t>
  </si>
  <si>
    <t>UNMÖGLICH!</t>
  </si>
  <si>
    <t>Karton menge
pro
Palette</t>
  </si>
  <si>
    <t>C2520ST E</t>
  </si>
  <si>
    <t>CX1352X3</t>
  </si>
  <si>
    <t>red tail up to crackling tail+green tail up to crackling tail</t>
  </si>
  <si>
    <t>Katalogové číslo</t>
  </si>
  <si>
    <t>Balení v kartonu</t>
  </si>
  <si>
    <t>Kat.</t>
  </si>
  <si>
    <t>celkem [m3]</t>
  </si>
  <si>
    <t>total [m3]</t>
  </si>
  <si>
    <t>Cena EUR po slevě</t>
  </si>
  <si>
    <t>ADR certifikát</t>
  </si>
  <si>
    <t>Objednáno kartonů</t>
  </si>
  <si>
    <t>Skladová dostupnost</t>
  </si>
  <si>
    <t>Počet kartonů na paletě</t>
  </si>
  <si>
    <t>čeština</t>
  </si>
  <si>
    <t>english</t>
  </si>
  <si>
    <t>deutsch</t>
  </si>
  <si>
    <t>Lietuvis</t>
  </si>
  <si>
    <t>Tiếng Việt</t>
  </si>
  <si>
    <t>BAM certifikát</t>
  </si>
  <si>
    <t>Packing in carton</t>
  </si>
  <si>
    <t>ADR certificate</t>
  </si>
  <si>
    <t>BAM certificate</t>
  </si>
  <si>
    <t>ADR Einordnung</t>
  </si>
  <si>
    <t>Price in EUR after discount</t>
  </si>
  <si>
    <t>Preis in EUR nach dem Rabatt</t>
  </si>
  <si>
    <t>Catalog number</t>
  </si>
  <si>
    <t>Ex.rate</t>
  </si>
  <si>
    <t>Sale is possible per packing</t>
  </si>
  <si>
    <t>Verkauf pro Verpackung</t>
  </si>
  <si>
    <t>Class danger</t>
  </si>
  <si>
    <t>BAM Zertifikat</t>
  </si>
  <si>
    <t>insgesamt</t>
  </si>
  <si>
    <t>insgesamt [kg]</t>
  </si>
  <si>
    <t>Description of effect</t>
  </si>
  <si>
    <t>Effekte Beschreibung</t>
  </si>
  <si>
    <t>3D model</t>
  </si>
  <si>
    <t>(vč. DPH)</t>
  </si>
  <si>
    <t>Celkem
NEM [kg]</t>
  </si>
  <si>
    <t>Ordered cartons</t>
  </si>
  <si>
    <t>Bestellte Kartons</t>
  </si>
  <si>
    <t>Situation in stock</t>
  </si>
  <si>
    <t>Verfügbar im Lager</t>
  </si>
  <si>
    <t>total
NEM [kg]</t>
  </si>
  <si>
    <t>insgesamt
NEM [kg]</t>
  </si>
  <si>
    <t>(without VAT)</t>
  </si>
  <si>
    <t>(included VAT)</t>
  </si>
  <si>
    <t>AUSVERKAUFT</t>
  </si>
  <si>
    <t>POSLEDNÍCH</t>
  </si>
  <si>
    <t>VK</t>
  </si>
  <si>
    <t>MÉNĚ NEŽ 1 VK!</t>
  </si>
  <si>
    <t>LAST</t>
  </si>
  <si>
    <t>LETZTE</t>
  </si>
  <si>
    <t>CTN</t>
  </si>
  <si>
    <t>KTN</t>
  </si>
  <si>
    <t>LESS THAN 1 CTN!</t>
  </si>
  <si>
    <t>WENIGER ALS 1 KTN!</t>
  </si>
  <si>
    <t>NEM  [kg]</t>
  </si>
  <si>
    <t>1.1G
NEM  [kg]</t>
  </si>
  <si>
    <t>1.3G
NEM  [kg]</t>
  </si>
  <si>
    <t>1.4G
NEM  [kg]</t>
  </si>
  <si>
    <t>Zvolte způsob přepravy</t>
  </si>
  <si>
    <t>Choose the method of transport</t>
  </si>
  <si>
    <t>Verpackungsmethode wählen</t>
  </si>
  <si>
    <t>které nejsou skladem, ostraňte je z objednávky!</t>
  </si>
  <si>
    <t>na volno</t>
  </si>
  <si>
    <t>.</t>
  </si>
  <si>
    <t>Máte objednáno</t>
  </si>
  <si>
    <t>kartonů, které zabalíme na palety.</t>
  </si>
  <si>
    <t>kartonů zboží s nakládkou na volno.</t>
  </si>
  <si>
    <t>cartons, which we will pack on pallets.</t>
  </si>
  <si>
    <t>cartons of goods with free loading.</t>
  </si>
  <si>
    <t>You have ordered</t>
  </si>
  <si>
    <t>Warenkartons mit lose verlegt Einladung bestellt.</t>
  </si>
  <si>
    <t>Warenkartons, die wir auf Paletten verpacken.</t>
  </si>
  <si>
    <t>Sie bestellen</t>
  </si>
  <si>
    <t>Objednáváte položky</t>
  </si>
  <si>
    <t>±</t>
  </si>
  <si>
    <t>Opis efekta</t>
  </si>
  <si>
    <t>Descrizione dell'effetto</t>
  </si>
  <si>
    <t>Opis efektu</t>
  </si>
  <si>
    <t>Mô tả hiệu ứng</t>
  </si>
  <si>
    <t>Efekto aprašymas</t>
  </si>
  <si>
    <t xml:space="preserve">tenk(vožnja +zviždanje)/fontana+pucketanje </t>
  </si>
  <si>
    <t>movimento+fischiare serbatoio (fontana+crepitio salvo da cannone)</t>
  </si>
  <si>
    <t>jadący czołg z  gwizdem (fontanna + trzaskająca salwa z armaty)</t>
  </si>
  <si>
    <t>kotrljanje i zvižduk (fontana + pucketanje salve iz topa)</t>
  </si>
  <si>
    <t>sáo kỵ binh + xe tăng huýt (vòi phun lửa + dạn bán từ daị bác)</t>
  </si>
  <si>
    <t>žeme judantis ir švilpiantis fejerverkas (fontanas + spragsėjimas iš patrankos)</t>
  </si>
  <si>
    <t>fontana, karton sadrži tri različite boje proizvoda (zelena, žuta, roza)</t>
  </si>
  <si>
    <t>cucciolo di squalo-  fontana squali,3 effetti  di colore diverso (verde, giallo, rosa)</t>
  </si>
  <si>
    <t>rekinek z fontanną, karton zawiera 3 różne kolory rekinków (zielony, żółty, różowy)</t>
  </si>
  <si>
    <t>dečja ajkula s fontanom, pakovanje sadrži 3 različite boje morskih pasa (zelena, žuta, ružičasta)</t>
  </si>
  <si>
    <t>cá mập non với vòi phun lửa, bìa cứng chứa 3 con cá mập màu khác nhau (xanh lá cây, vàng, tím)</t>
  </si>
  <si>
    <t>kūdikio ryklio fejerverkas su fontanu, dėžutėje yra 3 skirtingų spalvų rykliai (žalias, geltonas ir rožinis)</t>
  </si>
  <si>
    <t>rotacija crvena/zelena/žuta - podni efekt</t>
  </si>
  <si>
    <t>effetto rotante rosso/verde/giallo-terra</t>
  </si>
  <si>
    <t>wirujący po ziemi bączek, czerwony / zielony / żółty</t>
  </si>
  <si>
    <t>rotirajući crveni/zeleni/žuti efekat</t>
  </si>
  <si>
    <t xml:space="preserve">hiệu ứng xoay màu đỏ / xanh lá cây / vàng - hiệu ứng ở mặt đất </t>
  </si>
  <si>
    <t>besisukantis ant žemės fejerverkas - raudonos, žalios, geltonos spalvos efektai</t>
  </si>
  <si>
    <t>rotirajući kotač-u boji+pucketanje sa dimnim efektom na kraju</t>
  </si>
  <si>
    <t>ruota rotante colorata e scoppiettante con effetto fumo alla fine</t>
  </si>
  <si>
    <t>obracające się kolorowe i trzaskające koło z efektem dymu na końcu</t>
  </si>
  <si>
    <t>rotirajući dimni i svetlosni efekat</t>
  </si>
  <si>
    <t>Vồng tròn - quay có màu và tiếng nổ lách tách với hiệu ứng khói ở cuối</t>
  </si>
  <si>
    <t>besisukantis spalvotas ir traškantis ratas su dūmų efektu gale</t>
  </si>
  <si>
    <t>velika rotacija crvena/zelena/žuta - podni efekt</t>
  </si>
  <si>
    <t>obracające się kolorowe i trzaskające duże koło</t>
  </si>
  <si>
    <t>veliki spiner crveni/zeleni/žuti efekat</t>
  </si>
  <si>
    <t xml:space="preserve">Vồng tròn to - hiệu ứng xoay màu đỏ / xanh lá cây / vàng - hiệu ứng ở mặt đất </t>
  </si>
  <si>
    <t>didelis besisukantis ant žemės fejerverkas - raudonos, žalios, geltonos spalvos efektai</t>
  </si>
  <si>
    <t>DP1SW</t>
  </si>
  <si>
    <t>Scream wheel</t>
  </si>
  <si>
    <t>whistling rotate effect with crackling star</t>
  </si>
  <si>
    <t>pískající rotující efekt s práskajícími hvězdami</t>
  </si>
  <si>
    <t xml:space="preserve">Pfeifender Rotationseffekt mit knisternden Sternen </t>
  </si>
  <si>
    <t>zviždeći rotirajući efekt sa pucketajućim zvjezdicama</t>
  </si>
  <si>
    <t>fischi effetto ruotare con stella scoppiettante</t>
  </si>
  <si>
    <t>gwiżdżąco kręcące się z trzeczącymi gwiazdkami</t>
  </si>
  <si>
    <t>rotirajuži zemni spiner sa zviždukom</t>
  </si>
  <si>
    <t>Dấu vết quây mau bac - những ngôi sao nổ nứt</t>
  </si>
  <si>
    <t>švilpiantis besisukantis efektas su traškančia žvaigžde</t>
  </si>
  <si>
    <t>velika rotirajuća cijev crvena+pucketanje - podni efekt</t>
  </si>
  <si>
    <t xml:space="preserve">grande tubo rotante effetto rosso+scoppiettante a terra  </t>
  </si>
  <si>
    <t>duża wirujący bączek czerwona + efekt trzaskania ziemi</t>
  </si>
  <si>
    <t>velika rotirajuća prizma crvena+krekling</t>
  </si>
  <si>
    <t>didelis besisukantis ant žemės vamzdis - raudonos spalvos efektas su traškesiu</t>
  </si>
  <si>
    <t>pucketajući efekt, dužina 20cm</t>
  </si>
  <si>
    <t>effetto crepitio, lunghezza 20cm</t>
  </si>
  <si>
    <t>efekt trzeszczący, długość 20cm</t>
  </si>
  <si>
    <t>krekling efekat dužine 20cm</t>
  </si>
  <si>
    <t>hiệu ứng nứt, chiều dài 20 cm</t>
  </si>
  <si>
    <t>traškantis efektas, 20cm ilgio</t>
  </si>
  <si>
    <t>pucketajuća zrnca</t>
  </si>
  <si>
    <t xml:space="preserve">effetto scoppiettante </t>
  </si>
  <si>
    <t>trzeszczące granulki</t>
  </si>
  <si>
    <t>krekling granule</t>
  </si>
  <si>
    <t>hạt màu - nổ nứt</t>
  </si>
  <si>
    <t>traškančios granulės</t>
  </si>
  <si>
    <t>pucketajuća kuglica 1g, promjer 23mm</t>
  </si>
  <si>
    <t>palla scoppiettante 1g, diametro 23mm</t>
  </si>
  <si>
    <t>trzeszczące kulki 1g, średnica 23mm</t>
  </si>
  <si>
    <t>krekling kugla 1g, prečnik 23mm</t>
  </si>
  <si>
    <t>bong bóng nổ 1g, dấu vết kính 23mm</t>
  </si>
  <si>
    <t>traškantis kamuoliukas 1g, 23mm skersmens</t>
  </si>
  <si>
    <t>zviždeća cjevčica</t>
  </si>
  <si>
    <t>tubo fischiettante</t>
  </si>
  <si>
    <t>gwiżdżąca rurka</t>
  </si>
  <si>
    <t>zviždeća tuba</t>
  </si>
  <si>
    <t>ống - huýt sáo</t>
  </si>
  <si>
    <t>švilpiantis vamzdis</t>
  </si>
  <si>
    <t>DP2W</t>
  </si>
  <si>
    <t>pucketajuće trake</t>
  </si>
  <si>
    <t xml:space="preserve">tirare le corde </t>
  </si>
  <si>
    <t>strzelające sznurki</t>
  </si>
  <si>
    <t xml:space="preserve">pucanj na potez </t>
  </si>
  <si>
    <t>Dây - Giật nổ</t>
  </si>
  <si>
    <t>sproginėjanti virvutė</t>
  </si>
  <si>
    <t>fontana u boji sa pucketajućim zvjezdicama</t>
  </si>
  <si>
    <t>fontana a colore con stelle scoppiettanti</t>
  </si>
  <si>
    <t>kolorowa fontanna z trzaskającymi gwiazdami</t>
  </si>
  <si>
    <t>krekling fontana sa zvezdama u boji</t>
  </si>
  <si>
    <t>vòi phun lửa màu - Ngôi sao nổ nứt</t>
  </si>
  <si>
    <t>spalvotas fontanas su traškančiomis žvaigždėmis</t>
  </si>
  <si>
    <t>mala bijela bljeskalica</t>
  </si>
  <si>
    <t>piccolo strobo bianco</t>
  </si>
  <si>
    <t>mały stroboskop biały</t>
  </si>
  <si>
    <t>mali beli strob</t>
  </si>
  <si>
    <t>ánh sáng trắng "rực rỡ" nhấp nháy</t>
  </si>
  <si>
    <t>mažas baltas mirksiukas</t>
  </si>
  <si>
    <t>dječja baklja u boji sa svjetlećom narukvicom</t>
  </si>
  <si>
    <t>colpo  di colore (diametro 9mm)</t>
  </si>
  <si>
    <t>mini fontanna</t>
  </si>
  <si>
    <t>dečja party baklja sa srebrnim iskrama</t>
  </si>
  <si>
    <t>ngọn đuốc màu trẻ em va một chiếc vòng tay tỏa sáng</t>
  </si>
  <si>
    <t>spalvotas fontanas vaikų šventėms su šviečiančia apyranke</t>
  </si>
  <si>
    <t>bombice za bacanje u boji (promjer 9mm)</t>
  </si>
  <si>
    <t>kolorowe diabełki 9mm</t>
  </si>
  <si>
    <t>pucajuće kuglice na udar u boji prečnika 9mm</t>
  </si>
  <si>
    <t xml:space="preserve">bong bóng đốt - hiệu ứng "nổ nứt" (dấu vết kính 9mm) </t>
  </si>
  <si>
    <t>spalvotas metamas ant žemės sprogus kamuoliukas 9mm skersmens</t>
  </si>
  <si>
    <t>Dumbum velké bouchací kuličky</t>
  </si>
  <si>
    <t>black throwdowns (diameter 14mm)</t>
  </si>
  <si>
    <t xml:space="preserve">černé bouchací kuličky(průměr 14mm) </t>
  </si>
  <si>
    <t>Schwarze Knallkugeln (Durchmesser 14 mm)</t>
  </si>
  <si>
    <t>bombice za bacanje u boji (promjer 14mm)</t>
  </si>
  <si>
    <t>colpo di colore (diametro 14 mm)</t>
  </si>
  <si>
    <t>kolorowe diabełki 14mm</t>
  </si>
  <si>
    <t>pucajuće kuglice na udar u boji prečnika 14mm</t>
  </si>
  <si>
    <t>spalvotas metamas ant žemės sprogus kamuoliukas 14mm skersmens</t>
  </si>
  <si>
    <t xml:space="preserve">bong bóng đốt - hiệu ứng "nổ nứt" (dấu vết kính 14mm) </t>
  </si>
  <si>
    <t>zlatne leteće pčele</t>
  </si>
  <si>
    <t>ape volante d'oro</t>
  </si>
  <si>
    <t>złote latające pszczółki</t>
  </si>
  <si>
    <t>zlatna leteća pčela</t>
  </si>
  <si>
    <t>ong bay với lửa vàng</t>
  </si>
  <si>
    <t>auksinė skraidanti bitė</t>
  </si>
  <si>
    <t>LM0SW</t>
  </si>
  <si>
    <t>Scream Wasp</t>
  </si>
  <si>
    <t>whistling wasp</t>
  </si>
  <si>
    <t>pískající vosa</t>
  </si>
  <si>
    <t>Pfeifende Wespe</t>
  </si>
  <si>
    <t>zviždeće ose</t>
  </si>
  <si>
    <t>fischi vespa</t>
  </si>
  <si>
    <t>Gwiżdżący bączek</t>
  </si>
  <si>
    <t>zvižduk osa</t>
  </si>
  <si>
    <t>ong bay với hiệu ứng huýt sáo</t>
  </si>
  <si>
    <t>švilpianti vapsva</t>
  </si>
  <si>
    <t>srebrni rotirajući rep</t>
  </si>
  <si>
    <t>coda rotante argento</t>
  </si>
  <si>
    <t>kręcący się srebrny motylek</t>
  </si>
  <si>
    <t>srebrni rotirajući trag</t>
  </si>
  <si>
    <t>con bướm lửa - mau bac cung dấu vết vòng quay</t>
  </si>
  <si>
    <t>sidabrinė besisukanti uodega</t>
  </si>
  <si>
    <t>zeleni rotirajući rep-zeleni bljesak</t>
  </si>
  <si>
    <t>coda rotante verde a strobo verde</t>
  </si>
  <si>
    <t>motylki – zielony wirujący ogon przechodzący w zielony stroboskop</t>
  </si>
  <si>
    <t>zlatni rotirajući trag do zelenog stroba</t>
  </si>
  <si>
    <t>Dấu vết quây xanh với những ngôi sao xanh lấp lánh</t>
  </si>
  <si>
    <t>žalia besisukanti uodega su žaliu mirksėjimu</t>
  </si>
  <si>
    <t>srebrni rotirajući rep i pucketanje</t>
  </si>
  <si>
    <t>coda rotante argento a crepitio</t>
  </si>
  <si>
    <t>motylki - srebrny wirujący ogon z trzeszczeniem</t>
  </si>
  <si>
    <t>drebrni rotirajući trag sa krekerima</t>
  </si>
  <si>
    <t>sidabrinė besisukanti uodega su traškesiu</t>
  </si>
  <si>
    <t>srebrni rotirajući rep sa bijelim bljeskom i crvenim pucketanjem</t>
  </si>
  <si>
    <t>coda rotante argento a strobo bianco w.perla rossa</t>
  </si>
  <si>
    <t>motylki - srebrny wirujący ogon przechodzący w biały stroboskop z czerwonym</t>
  </si>
  <si>
    <t>srebrni rotirajući trag do belog stroba sa crvenim biserima</t>
  </si>
  <si>
    <t>Dấu vết quây mau bac + ngọc trai đỏ với tâm trắng nhấp nháy</t>
  </si>
  <si>
    <t>sidabrinė besisukanti uodega su baltu mirksėjimu ir raudonu perlu</t>
  </si>
  <si>
    <t>crveni rep i crvena rotacija s pucketanjem</t>
  </si>
  <si>
    <t>coda rossa a onda rossa w.crepitio</t>
  </si>
  <si>
    <t>motylki - czerwony ogon przechodzący w czerwoną falę z trzeszczeniem</t>
  </si>
  <si>
    <t>crveni trag do crvenog snopa sa krekerima</t>
  </si>
  <si>
    <t>Dấu vết đỏ - dấu vết đỏ với sóng đỏ và trung tâm nứt nẻ</t>
  </si>
  <si>
    <t>raudona uodega su raudona banga ir traškesiu</t>
  </si>
  <si>
    <t>zviždeći avion sa crvenim svjetlom i pucketajućim zvjezdicama(2kom) i 
zviždeći avion sa zelenim svijetlom i pucketajućim bljeskajućim zvjezdicama(2kom)</t>
  </si>
  <si>
    <t>aereo  fischiettante con luce rossa e stelle scoppiettanti (2 pezzi) + piano fischiettante con luce verde e stelle cracking +stroboscopiche (2 pezzi)</t>
  </si>
  <si>
    <t>gwiżdżący samolot z czerwonym światłem i trzaskającymi gwiazdami (2 szt.) + świszczący samolot z zielonym światłem i trzaskaniem + stroboskop (2 szt.)</t>
  </si>
  <si>
    <t>zvuk aviona sa crvenim(2kom) i zelenim (2kom) krekerima</t>
  </si>
  <si>
    <t>máy bay huýt sáo với ánh sáng đỏ và những ngôi sao lạch cạch (2 chiếc) + máy bay huýt sáo với ánh sáng xanh và tiếng lách tách + những ngôi sao lấp lánh (2 chiếc)</t>
  </si>
  <si>
    <t>švilpiantis lėktuvas su raudona šviesa ir traškančiom žvaigždėm (2 vienetai) + švilpiantis lėktuvas su žalia šviesa ir traškesiu + mirksinčios žvaigždės (2 vienetai)</t>
  </si>
  <si>
    <t>leteći efekt u boji sa zlatnom kišom(1kom), leteći efekt u boji sa pucketajućim zvjezdicama</t>
  </si>
  <si>
    <t>effetto colore volante/pulsato con corona di broccato(1 pz), effetto colore volante/pulsante con stelle di cracking(1pz)</t>
  </si>
  <si>
    <t>latający / pulsujący kolor z brokatoem (1 szt.), latający / pulsujący kolor z trzeszczącymi gwiazdami (1 szt.)</t>
  </si>
  <si>
    <t>leteće/pulsirajuće boje s brokatnom krunom (1 kom), leteće/pulsirajuće boje sa zezdama koje pucaju (1 kom)</t>
  </si>
  <si>
    <t>hiệu ứng màu bay / rung động với vương miện (brocade) (1pc), hiệu ứng màu bay / rung chuyển với các ngôi sao lấp lánh (1pc)</t>
  </si>
  <si>
    <t xml:space="preserve">skraidantis/pulsuojantis efektas su brokato vainiku (1 vienetas), skraidantis/pulsuojantis spalvų efektas su traškančiomis žvaigždėmis (1 vienetas) </t>
  </si>
  <si>
    <t>zviždeći leteći tanjur sa zelenim svjetlom</t>
  </si>
  <si>
    <t>effetto volante fischiettante con luce verde</t>
  </si>
  <si>
    <t>gwiżdżący latający spodek z zielonym światłem</t>
  </si>
  <si>
    <t>zviždeći leteći tanjir sa zelenim svetlom</t>
  </si>
  <si>
    <t>đĩa bay huýt sáo với ánh sáng xanh</t>
  </si>
  <si>
    <t>švilpianti skraidanti lėkštė su žalia šviesa</t>
  </si>
  <si>
    <t>LM7S(1)</t>
  </si>
  <si>
    <t>švilpianti, skrendanti lėkštė su žalia šviesa</t>
  </si>
  <si>
    <t>SU45B</t>
  </si>
  <si>
    <t>Scream UFO 45 with brocade shell</t>
  </si>
  <si>
    <t>whistling flying saucer with tail+brocade crown, height of effect 45m</t>
  </si>
  <si>
    <t>pískající létající talíř s chvostem+brokátová koruna, výška efektu 45m</t>
  </si>
  <si>
    <t>zviždeći leteći tanjur sa tragom + zlatna kiša, visina efekta 45m</t>
  </si>
  <si>
    <t>piattino volante fischiettante con corona coda+broccato, altezza dell'effetto 45m</t>
  </si>
  <si>
    <t>gwiżdżący latający spodek z ogonem + brokatowa korona, wysokość efektu 45m</t>
  </si>
  <si>
    <t>zviždeći leteći tanjir s repom + brokatna kruna, visina efekta 45m</t>
  </si>
  <si>
    <t>Đĩa bay huýt sáo với dấu vết + vương miện thổ cẩm, chiều cao hiệu ứng 45m</t>
  </si>
  <si>
    <t>švilpianti skrendanti lėkštė su uodega ir brokato karūna, efekto aukštis 45m</t>
  </si>
  <si>
    <t>Dječji set sadrži:DP1FD- 1x,DP1FR-1x,DP1BP- 3x,BK1B-1x,BK1P-1x,DP1CB-1x,DP1B-1x,
DP1R-2x, S12S-1x</t>
  </si>
  <si>
    <t>Il pacchetto per bambini contiene:DP1FD- 1x,DP1FR-1x,DP1BP- 3x,BK1B-1x,BK1P-1x,DP1CB-1x,DP1B-1x,DP1R-2x, S12S-1x</t>
  </si>
  <si>
    <t>Pakiet różności : DP1FD- 1x, DP1FR-1x, DP1BP- 3x, BK1B-1x, BK1P-1x, DP1CB-1x, DP1B-1x, DP1R-2x, S12S-1x</t>
  </si>
  <si>
    <t>sadrži:DP1FD- 1x,DP1FR-1x,DP1BP- 3x,BK1B-1x,BK1P-1x,DP1CB-1x,DP1B-1x,DP1R-2x, S12S-1x</t>
  </si>
  <si>
    <t>bộ chứa: DP1FD- 1x, DP1FR-1x, DP1BP- 3x, BK1B-1x, BK1P-1x, DP1CB-1x, DP1B-1x, DP1R-2x, S12S-1x</t>
  </si>
  <si>
    <t>vaikų rinkinys, sudarytas iš: DP1FD- 1x,DP1FR-1x,DP1BP- 3x,BK1B-1x,BK1P-1x,DP1CB-1x,DP1B-1x,DP1R-2x, S12S-1x</t>
  </si>
  <si>
    <t>P8DCH</t>
  </si>
  <si>
    <t>peel-off children's calendar with 8 windows on 24.12-31.12</t>
  </si>
  <si>
    <t>vylupovací dětský kalendář s 8 okýnky na 24.12-31.12</t>
  </si>
  <si>
    <t>Peel-Off-Kinderkalender mit 8 Fenstern am 24.12.-31.12</t>
  </si>
  <si>
    <t>dječji adventski kalendar sa 8 prozora od 24.12.-31.12.</t>
  </si>
  <si>
    <t>calendario per bambini con 8 finestre il 24.12-31.12</t>
  </si>
  <si>
    <t>Dečji kalendar sa odlepljivanjem, 8 prozora od 24,12 do 31,12</t>
  </si>
  <si>
    <t>mở lịch "quà" trẻ em với 8 cửa sổ vào ngày 24.12-31.12</t>
  </si>
  <si>
    <t>nulupamas vaikų kalendorius su 8 langeliais gruodžio 24-31 dienoms</t>
  </si>
  <si>
    <t>Obiteljski set sadrži:4 rocket,DP1BP-2x,DP1B-1x,S12S-1x,P1-1x,BK1B-1x,DP1R-1x,DP1VC-1x,
DP1CB-1x,K01M-1x,R4420B- 2x</t>
  </si>
  <si>
    <t>Il pacchetto famiglia contiene:razzo 4,DP1BP-2x,DP1B-1x,S12S-1x,P1-1x,BK1B-1x,DP1R-1x,DP1VC-1x,DP1CB-1x,K01M-1x,R4420B- 2x</t>
  </si>
  <si>
    <t>Pakiet rodzinny zawiera: 4 rakiety, DP1BP-2x, DP1B-1x, S12S-1x, P1-1x, BK1B-1x, DP1R-1x, DP1VC-1x, DP1CB-1x, K01M-1x, R4420B- 2x</t>
  </si>
  <si>
    <t>sadrži:4 rocket,DP1BP-2x,DP1B-1x,S12S-1x,P1-1x,BK1B-1x,DP1R-1x,DP1VC-1x,DP1CB-1x,K01M-1x,R4420B- 2x</t>
  </si>
  <si>
    <t>bộ chứa: 4 tên lửa, DP1BP-2x, DP1B-1x, S12S-1x, P1-1x, BK1B-1x, DP1R-1x, DP1VC-1x, DP1CB-1x, K01M-1x, R4420B-2x</t>
  </si>
  <si>
    <t>šeimos rinkinys, sudarytas iš: 4 raketų,DP1BP-2x,DP1B-1x,S12S-1x,P1-1x,BK1B-1x,DP1R-1x,DP1VC-1x,DP1CB-1x,K01M-1x,R4420B- 2x</t>
  </si>
  <si>
    <t xml:space="preserve">Obiteljski set sadrži:1x-VP16A,DP1VC, LM2V 1 single pc, R4420B 2 single pc, R12T1 4 sinlge pc, </t>
  </si>
  <si>
    <t>Il pacchetto famiglia contiene:1x-VP16A,DP1VC, LM2V 1 singolo pc, R4420B 2 singolo pc, R12T1 4 sinlge pc</t>
  </si>
  <si>
    <t>Pakiet rodzinny zawiera: 1x-VP16A, DP1VC, LM2V 1 szt., R4420B 2 szt., R12T1 4 szt.,</t>
  </si>
  <si>
    <t xml:space="preserve">sadrži:1x-VP16A,DP1VC, LM2V 1 single pc, R4420B 2 single pc, R12T1 4 sinlge pc, </t>
  </si>
  <si>
    <t>bộ chứa: 1 gói-VP16A, DP1VC, LM2V 1pc, R4420B 2pcs, R12T1 4pcs</t>
  </si>
  <si>
    <t xml:space="preserve">šeimos rinkinys, sudarytas iš: 1x-VP16A,DP1VC, LM2V 1 vienetas, R4420B 2 vienetai, R12T1 4 vienetai </t>
  </si>
  <si>
    <t>zlatne prskalice, dužina 70cm, dužina gorivog dijela 55cm, promjer gorivog dijela 4,5mm</t>
  </si>
  <si>
    <t>scintille dorate, lunghezza 70cm, lunghezza del materiale frizzante 55cm, diametro massa scintilla 4,5mm</t>
  </si>
  <si>
    <t>zimne ognie złote, długość 70cm, długość paląca się 55cm, średnica 4,5mm</t>
  </si>
  <si>
    <t>prskalice dužine 70 cm, aktivna dužina 55 cm, prečnik mase 4,5 mm</t>
  </si>
  <si>
    <t>tia lửa vàng, chiều dài 70cm, chiều dài khối bắn 55cm, dấu vết kính khối bắn 4,5mm</t>
  </si>
  <si>
    <t>auksinė bengališka ugnelė, 70cm ilgio, 55cm kibirkščiuojančios medžiagos, 4.5mm skersmens</t>
  </si>
  <si>
    <t>zlatne prskalice, dužina 40cm, dužina gorivog dijela 32,5cm, promjer gorivog dijela 3,7mm</t>
  </si>
  <si>
    <t>scintille dorate, lunghezza 40cm, lunghezza del materiale frizzante 32,5 cm, diametro massa scintilla 3,7mm</t>
  </si>
  <si>
    <t>zimne ognie złote, długość 40cm, długość paląca się 32,5cm, średnica 3,7mm</t>
  </si>
  <si>
    <t>prskalice dužine 40 cm, aktivna dužina 32,5 cm, prečnik mase 3,7 mm</t>
  </si>
  <si>
    <t>tia lửa vàng, chiều dài 40cm, chiều dài vật liệu bắn ra 32,5cm, dấu vết kính vật liệu bắn tung toé 3,7mm</t>
  </si>
  <si>
    <t>auksinė bengališka ugnelė, 40cm ilgio, 32.6cm kibirkščiuojančios medžiagos, 3.7mm skersmens</t>
  </si>
  <si>
    <t>zlatne prskalice, dužina 28cm, dužina gorivog dijela 20,5cm, promjer gorivog dijela 3mm</t>
  </si>
  <si>
    <t>scintille dorate, lunghezza 28 cm, lunghezza del materiale frizzante 20,5 cm, diametro massa scintilla 3mm</t>
  </si>
  <si>
    <t>zimne ognie złote, długość 28cm, długość paląca się 20,5cm, średnica 3mm</t>
  </si>
  <si>
    <t>prskalice dužine 28 cm, aktivna dužina 20,5 cm, prečnik mase 3 mm</t>
  </si>
  <si>
    <t>tia lửa vàng, dài 28cm, dài khối phun 20,5cm, dấu vết kính khối phun 3mm</t>
  </si>
  <si>
    <t>auksinė bengališka ugnelė, 28cm ilgio, 20.5cm kibirkščiuojančios medžiagos, 3mm skersmens</t>
  </si>
  <si>
    <t>zlatne prskalice, dužina 90cm, dužina gorivog dijela 61cm, promjer gorivog dijela 4,8mm</t>
  </si>
  <si>
    <t>scintille dorate, lunghezza 90cm, lunghezza del materiale frizzante 61cm, diametro massa scintilla 4,8mm</t>
  </si>
  <si>
    <t>zimne ognie złote, długość 90cm, długość paląca się 61cm, średnica 4,8mm</t>
  </si>
  <si>
    <t>prskalice dužine 90cm, aktivna dužina 61cm, prečnik mase 4,8mm</t>
  </si>
  <si>
    <t>tia lửa vàng, chiều dài 90cm, chiều dài khối bắn 61cm, dấu vết kính khối bắn 4,8mm</t>
  </si>
  <si>
    <t>auksinė bengališka ugnelė, 90cm ilgio, 61cm kibirkščiuojančios medžiagos, 4.8mm skersmens</t>
  </si>
  <si>
    <t>golden sparklers, lenght 90cm, lenght of sparkling material 55cm, diameter sparkler mass 4,8mm</t>
  </si>
  <si>
    <t>zlaté prskavky, délka 90cm, délka prskací hmoty 55cm,  průměr prskací hmoty 4,8mm</t>
  </si>
  <si>
    <t>Goldene Wunderkerzen, Länge 90cm, Länge der platzenden Masse 55 cm, Durchmesser der platzenden Masse 4,8 mm</t>
  </si>
  <si>
    <t>zlatne prskalice, dužina 90cm, dužina gorivog dijela 55cm, promjer gorivog dijela 4,8mm</t>
  </si>
  <si>
    <t>scintille dorate, lunghezza 90cm, lunghezza del materiale frizzante 55cm, diametro massa scintilla 4,8mm</t>
  </si>
  <si>
    <t>zimne ognie złote, długość 90cm, długość paląca się 55cm, średnica 4,8mm</t>
  </si>
  <si>
    <t>prskalice dužine 90cm, aktivna dužina 55cm, prečnik mase 4,8mm</t>
  </si>
  <si>
    <t>tia lửa vàng, chiều dài 90cm, chiều dài khối bắn 55cm, dấu vết kính khối bắn 4,8mm</t>
  </si>
  <si>
    <t>auksinė bengališka ugnelė, 90cm ilgio, 55cm kibirkščiuojančios medžiagos, 4.8mm skersmens</t>
  </si>
  <si>
    <t>zlatne prskalice, dužina 70cm, dužina gorivog dijela 45cm, promjer gorivog dijela 4,5mm</t>
  </si>
  <si>
    <t>scintille dorate, lunghezza 70cm, lunghezza del materiale frizzante 45cm, diametro massa scintilla 4,5mm</t>
  </si>
  <si>
    <t>prskalice dužine 70cm, aktivna dužina 61cm, prečnik mase 4,8mm</t>
  </si>
  <si>
    <t>tia lửa vàng, chiều dài 70cm, chiều dài vật liệu bắn ra 45cm, dấu vết kính vật liệu bắn tung toé 4,5mm</t>
  </si>
  <si>
    <t>auksinė bengališka ugnelė, 70cm ilgio, 45cm kibirkščiuojančios medžiagos, 4.5mm skersmens</t>
  </si>
  <si>
    <t>zlatne prskalice, dužina 40cm, dužina gorivog dijela 26cm, promjer gorivog dijela 3,7mm</t>
  </si>
  <si>
    <t>scintille dorate, lunghezza 40cm, lunghezza del materiale frizzante 26cm, diametro massa scintilla 3,7mm</t>
  </si>
  <si>
    <t>zimne ognie złote, długość 40cm, długość paląca się 26cm, średnica 3,7mm</t>
  </si>
  <si>
    <t>prskalice dužine 40cm, aktivna dužina 26cm, prečnik mase 3,7mm</t>
  </si>
  <si>
    <t>tia lửa vàng, chiều dài 40cm, chiều dài khối bắn 26cm, dấu vết kính khối bắn 3,7mm</t>
  </si>
  <si>
    <t>auksinė bengališka ugnelė, 40cm ilgio, 26cm kibirkščiuojančios medžiagos, 3.7mm skersmens</t>
  </si>
  <si>
    <t>zlatne prskalice, dužina 28cm, dužina gorivog dijela 17cm, promjer gorivog dijela 3mm</t>
  </si>
  <si>
    <t>scintille dorate, lunghezza 28cm, lunghezza del materiale frizzante 17cm, diametro sparkler massa 3mm</t>
  </si>
  <si>
    <t>zimne ognie złote, długość 28cm, długość paląca się 17cm, średnica 3mm</t>
  </si>
  <si>
    <t>prskalice dužine 28cm, aktivna dužin 17cm, prečnik mase 3mm</t>
  </si>
  <si>
    <t>tia lửa vàng, chiều dài 28cm, chiều dài vật liệu phun 17cm, dấu vết kính vật liệu phun 3mm</t>
  </si>
  <si>
    <t>auksinė bengališka ugnelė, 28cm ilgio, 17cm kibirkščiuojančios medžiagos, 3mm skersmens</t>
  </si>
  <si>
    <t>zlatne prskalice, dužina 16cm, dužina gorivog dijela 8,5cm, promjer gorivog dijela 2,5mm</t>
  </si>
  <si>
    <t>scintille dorate, lunghezza 16 cm, lunghezza del materiale frizzante 8,5 cm, diametro massa scintilla 2,5mm</t>
  </si>
  <si>
    <t>zimne ognie złote, długość 16cm, długość paląca się 8,5cm, średnica 2,5mm</t>
  </si>
  <si>
    <t>prskalice dužine 16cm, aktivna dužin 8,5cm, prečnik mase 2,5mm</t>
  </si>
  <si>
    <t>tia lửa vàng, dài 16cm, chiều dài khối bắn 8,5cm, dấu vết kính khối bắn 2,5mm</t>
  </si>
  <si>
    <t>auksinė bengališka ugnelė, 16cm ilgio, 8.5cm kibirkščiuojančios medžiagos, 2.5mm skersmens</t>
  </si>
  <si>
    <t>neonske prskalice(roza, žuta,zelena, plava), dužina 28cm, dužina gorivog dijela 17cm, 
promjer gorivog dijela 3mm</t>
  </si>
  <si>
    <t>scintille al neon (rosa, giallo, verde, blu), lunghezza 28 cm, lunghezza del materiale scintillante 17 cm, diametro massa scintilla 3mm</t>
  </si>
  <si>
    <t>zimne ognie neonowe (różowy, żółty, zielony, niebieski), długość 28cm, długość paląca się 17cm, średnica 3mm</t>
  </si>
  <si>
    <t>neonske prskalice (ružičasta, žuta, zelena, plava) 28cm, aktivna dužina 17cm, prečnik mase 3mm</t>
  </si>
  <si>
    <t>tia lửa neon (hồng, vàng, xanh lá, xanh dương), chiều dài 28cm, chiều dài vật liệu phun 17cm, dấu vết kính vật liệu phun 3mm</t>
  </si>
  <si>
    <t>neoninė bengališka ugnelė (rožinės, geltonos, žalios ir mėlynos spalvų), 28cm ilgio, 17cm kibirkščiuojančios medžiagos, 3mm skersmens</t>
  </si>
  <si>
    <t>neonske prskalice(crvena, žuta,zelena, plava), dužina 40cm, dužina gorivog dijela 26cm, 
promjer gorivog dijela 3,7mm</t>
  </si>
  <si>
    <t>scintille al neon (rosso, yelow, verde, blu), lunghezza 40 cm, lunghezza del materiale scintillante 26 cm, diametro massa scintilla 3,7mm</t>
  </si>
  <si>
    <t>Zimne ognie neonowe (czerwony, żółty, zielony, niebieski), długość 40cm, długość paląca się 26cm, średnica 3,7mm</t>
  </si>
  <si>
    <t>neonske prskalice (crvena, žuta, zelena, plava) 40cm, aktivna dužina 26cm, prečnik mase 3,7mm</t>
  </si>
  <si>
    <t>tia lửa neon (đỏ, vàng, xanh lá, xanh dương), chiều dài 40cm, chiều dài khối bắn 26cm, dấu vết kính khối bắn 3,7mm</t>
  </si>
  <si>
    <t>neoninė bengališka ugnelė (rožinės, geltonos, žalios ir mėlynos spalvų), 40cm ilgio, 26cm kibirkščiuojančios medžiagos, 3.7mm skersmens</t>
  </si>
  <si>
    <t>pucketajuće zlatne prskalice, dužina 40cm, dužina gorivog dijela 26cm, promjer gorivog dijela 3,7mm</t>
  </si>
  <si>
    <t>scintille dorate scoppiettanti, lunghezza 40 cm, lunghezza del materiale frizzante 26 cm, diametro massa scintillio 3,7mm</t>
  </si>
  <si>
    <t>trzeszczące złote zimne ognie, długość 40cm, długość paląca się 26cm, średnica 3,7mm</t>
  </si>
  <si>
    <t>pucketave prskalice dužine 40cm, aktivna dužina 26cm, prečnik mase 3,7mm</t>
  </si>
  <si>
    <t>tia lửa vàng nổ lách tách, dài 40cm, chiều dài khối bắn 26cm, dấu vết kính khối bắn 3,7mm</t>
  </si>
  <si>
    <t>traškanti auksinė bengališka ugnelė, 40cm ilgio, 26cm kibirkščiuojančios medžiagos, 3.7mm skersmens</t>
  </si>
  <si>
    <t>zlatna prskalica u obliku broja 1</t>
  </si>
  <si>
    <t>scintille d'oro a forma di numero 1</t>
  </si>
  <si>
    <t>zimne ognie złote  w kształcie cyfry 1</t>
  </si>
  <si>
    <t>prskalica u obliku broja 1</t>
  </si>
  <si>
    <t>tia lửa vàng ​​lấp lánh có hình số 1</t>
  </si>
  <si>
    <t>auksinė bengališka ugnelė numerio 1 formos</t>
  </si>
  <si>
    <t>zlatna prskalica u obliku srca</t>
  </si>
  <si>
    <t>scintille d'oro a forma di cuore</t>
  </si>
  <si>
    <t>zimne ognie złote  w kształcie serca</t>
  </si>
  <si>
    <t>prskalica u obliku srca</t>
  </si>
  <si>
    <t>tia lửa vàng hình trái tim</t>
  </si>
  <si>
    <t>auksinė bengališka ugnelė širdies formos</t>
  </si>
  <si>
    <t>zlatna prskalica u obliku zvijezde</t>
  </si>
  <si>
    <t>scintille d'oro a forma di stella</t>
  </si>
  <si>
    <t>zimne ognie złote  w kształcie gwiazdki</t>
  </si>
  <si>
    <t>prskalica u obliku zvezde</t>
  </si>
  <si>
    <t>tia lửa vàng hình ngôi sao</t>
  </si>
  <si>
    <t>auksinė bengališka ugnelė žvaigždės formos</t>
  </si>
  <si>
    <t>zlatne prskalice (set brojeva od 0-9, srce, zvijezda)</t>
  </si>
  <si>
    <t>scintille d'oro (mix di numeri 0-9,cuore,stella)</t>
  </si>
  <si>
    <t>zimne ognie złote  w mix cyfr od 0 do 9, serce, gwiazdka</t>
  </si>
  <si>
    <t>asortiman prskalica (brojevi od 0-9, srce i zvezda)</t>
  </si>
  <si>
    <t>tia lửa vàng (kết hợp các số 0-9, trái tim, ngôi sao)</t>
  </si>
  <si>
    <t>auksinė bengališka ugnelė (numerių 0-9, širdies ir žvaigždės formų rinkinys)</t>
  </si>
  <si>
    <t>dimne kuglice(crvena, zelena, žuta, plava, bijela, roza)</t>
  </si>
  <si>
    <t>fumo colore rotondo(rosso,verde,giallo,blu,bianco,rosa)</t>
  </si>
  <si>
    <t>kulki dymne mix kolor (czerwony, zielony, żółty, niebieski, biały, różowy)</t>
  </si>
  <si>
    <t>boje: crvena, zelena, žuta, plava, bela, ružičasta</t>
  </si>
  <si>
    <t>khói tròn màu (đỏ, xanh lá, vàng, xanh dương, trắng, tím)</t>
  </si>
  <si>
    <t>spalvoti apvalūs dūmai (raudonos, žalios, geltonos, mėlynos ir rožinės spalvų)</t>
  </si>
  <si>
    <t>dim (plavi, crveni, žuti, zeleni)</t>
  </si>
  <si>
    <t>tubo di fumo (blu, rosso, giallo, verde)</t>
  </si>
  <si>
    <t>świece dymne mix kolor (niebieska, czerwona, żółta, zielona)</t>
  </si>
  <si>
    <t>boje: plava, crvena, žuta, zelena</t>
  </si>
  <si>
    <t>khói (ống) -xanh, đỏ, vàng, xanh lá cây</t>
  </si>
  <si>
    <t>dūmų vamzdis (mėlynos, raudonos, geltonos ir žalios spalvų)</t>
  </si>
  <si>
    <t>dim (narančasti, ljubičasti, bijeli, crni)</t>
  </si>
  <si>
    <t>tubo di fumo (arancione, viola, bianco, nero)</t>
  </si>
  <si>
    <t>świece dymne mix kolor (pomarańczowa, fioletowa, biała, czarna)</t>
  </si>
  <si>
    <t>boje: narandžasta, ljubičasta, bela, crna</t>
  </si>
  <si>
    <t>khói (ống) -orange, tím, trắng, đen</t>
  </si>
  <si>
    <t>dūmų vamzdis (oranžinės, violetinės, baltos ir juodos spalvų)</t>
  </si>
  <si>
    <t>D2C(1)</t>
  </si>
  <si>
    <t>D2CN(1)</t>
  </si>
  <si>
    <t>dim za odbijanje krtica (dim + miris)</t>
  </si>
  <si>
    <t>respingere il fumo delle talpe (fumo + odore)</t>
  </si>
  <si>
    <t>odstraszacz kretów (dym + intensywny zapach)</t>
  </si>
  <si>
    <t>khói đuổi ruồi (khói + mùi)</t>
  </si>
  <si>
    <t>dūmai atbaidantys kurmius (dūmai + kvapas)</t>
  </si>
  <si>
    <t>dim - bijela boja</t>
  </si>
  <si>
    <t>tubo fumo- colore bianco</t>
  </si>
  <si>
    <t>świeca dymna - kolor biały</t>
  </si>
  <si>
    <t>dimna baklja - Bela</t>
  </si>
  <si>
    <t>khói (ống) -màu trắng</t>
  </si>
  <si>
    <t>dūmų vamzdis baltos spalvos</t>
  </si>
  <si>
    <t xml:space="preserve">dim - crvena boja </t>
  </si>
  <si>
    <t xml:space="preserve">tubo di fumo- colore rosso </t>
  </si>
  <si>
    <t>świeca dymna – kolor czerwony</t>
  </si>
  <si>
    <t>dimna baklja - Crvena</t>
  </si>
  <si>
    <t>khói (ống) màu đỏ</t>
  </si>
  <si>
    <t>dūmų vamzdis raudonos spalvos</t>
  </si>
  <si>
    <t>tubo di fumo- colore rosso</t>
  </si>
  <si>
    <t>dim - plava boja</t>
  </si>
  <si>
    <t>tubo fumo- colore blu</t>
  </si>
  <si>
    <t>świeca dymna – kolor niebieski</t>
  </si>
  <si>
    <t>dimna baklja - Plava</t>
  </si>
  <si>
    <t>khói (ống) màu xanh lam</t>
  </si>
  <si>
    <t>dūmų vamzdis mėlynos spalvos</t>
  </si>
  <si>
    <t>dim - žuta boja</t>
  </si>
  <si>
    <t>tubo fumo- colore giallo</t>
  </si>
  <si>
    <t>świeca dymna – kolor żółty</t>
  </si>
  <si>
    <t>dimna baklja - Žuta</t>
  </si>
  <si>
    <t>khói (ống) -màu vàng</t>
  </si>
  <si>
    <t>dūmų vamzdis geltonos spalvos</t>
  </si>
  <si>
    <t xml:space="preserve">tubo fumo- colore giallo  </t>
  </si>
  <si>
    <t>dim - zelena boja</t>
  </si>
  <si>
    <t>tubo di fumo- colore verde</t>
  </si>
  <si>
    <t>świeca dymna – kolor zielony</t>
  </si>
  <si>
    <t>dimna baklja - Zelena</t>
  </si>
  <si>
    <t>khói (ống) -màu xanh lục</t>
  </si>
  <si>
    <t>dūmų vamzdis žalios spalvos</t>
  </si>
  <si>
    <t>dim - narančasta boja</t>
  </si>
  <si>
    <t>tubo fumo- colore arancione</t>
  </si>
  <si>
    <t>świeca dymna – kolor pomarańczowy</t>
  </si>
  <si>
    <t>dimna baklja - Narandžasta</t>
  </si>
  <si>
    <t>khói (ống) -quay màu</t>
  </si>
  <si>
    <t>dūmų vamzdis oranžinės spalvos</t>
  </si>
  <si>
    <t xml:space="preserve">dim (dim sa obje strane) - bijela boja </t>
  </si>
  <si>
    <t>tubo di fumo (fumo da due lati)colore bianco</t>
  </si>
  <si>
    <t>świeca dymna – dym z dwóch stron - kolor biały</t>
  </si>
  <si>
    <t>dimna baklja sa obostranim efektom - Bela</t>
  </si>
  <si>
    <t>ống khói (ống hút từ hai bên) -màu trắng</t>
  </si>
  <si>
    <t>dūmų vamzdis (iš abiejų pusių) baltos spalvos</t>
  </si>
  <si>
    <t xml:space="preserve">dim (dim sa obje strane) - crvena boja </t>
  </si>
  <si>
    <t>tubo di fumo (fumo da due lati)-colore rosso</t>
  </si>
  <si>
    <t>świeca dymna – dym z dwóch stron - kolor czerwony</t>
  </si>
  <si>
    <t>dimna baklja sa obostranim efektom - Crvena</t>
  </si>
  <si>
    <t>khói (ống khoí từ hai phía) màu khói</t>
  </si>
  <si>
    <t>dūmų vamzdis (iš abiejų pusių) raudonos spalvos</t>
  </si>
  <si>
    <t xml:space="preserve">dim (dim sa obje strane) - plava boja </t>
  </si>
  <si>
    <t>tubo di fumo (fumo da due lati)-colore blu</t>
  </si>
  <si>
    <t>świeca dymna – dym z dwóch stron – kolor niebieski</t>
  </si>
  <si>
    <t>dimna baklja sa obostranim efektom - Plava</t>
  </si>
  <si>
    <t>ống khói (ống khoí từ hai phía) -màu xanh</t>
  </si>
  <si>
    <t>dūmų vamzdis (iš abiejų pusių) mėlynos spalvos</t>
  </si>
  <si>
    <t>dim - aktivacija povlačenjem - bijela boja</t>
  </si>
  <si>
    <t>tubo di fumo con sistema di avvio di trazione - colore bianco</t>
  </si>
  <si>
    <t>świeca dymna odpalana ręcznie - kolor biały</t>
  </si>
  <si>
    <t>Dimna Baklja sa aktiviranjem na potez BELA</t>
  </si>
  <si>
    <t>ống khói (ống) có nổ cầu chì màu trắng</t>
  </si>
  <si>
    <t>dūmų vamzdis su istraukiamu ziedu arba uzdegamu fitiliu, baltos spalvos</t>
  </si>
  <si>
    <t>dim - aktivacija povlačenjem - crvena boja</t>
  </si>
  <si>
    <t>tubo di fumo con sistema di avvio di trazione - colore rosso</t>
  </si>
  <si>
    <t>świeca dymna odpalana ręcznie - kolor czerwony</t>
  </si>
  <si>
    <t>Dimna Baklja sa aktiviranjem na potez CRVENA</t>
  </si>
  <si>
    <t>ống khói (ống) có ngòi nổ màu đỏ</t>
  </si>
  <si>
    <t>dūmų vamzdis su istraukiamu ziedu arba uzdegamu fitiliu, raudonos spalvos</t>
  </si>
  <si>
    <t>dim - aktivacija povlačenjem - plava boja</t>
  </si>
  <si>
    <t>tubo di fumo con sistema di avvio di trazione - colore blu</t>
  </si>
  <si>
    <t>świeca dymna odpalana ręcznie - kolor niebieski</t>
  </si>
  <si>
    <t>Dimna Baklja sa aktiviranjem na potez PLAVA</t>
  </si>
  <si>
    <t>ống khói (ống) có ngòi nổ màu xanh lam</t>
  </si>
  <si>
    <t>dūmų vamzdis su istraukiamu ziedu arba uzdegamu fitiliu, mėlynos spalvos</t>
  </si>
  <si>
    <t>dim - aktivacija povlačenjem - žuta boja</t>
  </si>
  <si>
    <t>tubo di fumo con sistema di avvio di trazione - colore yelow</t>
  </si>
  <si>
    <t>świeca dymna odpalana ręcznie - kolor żółty</t>
  </si>
  <si>
    <t>Dimna Baklja sa aktiviranjem na potez ŽUTA</t>
  </si>
  <si>
    <t>ống khói (ống) có ngòi nổ - màu vàng</t>
  </si>
  <si>
    <t>dūmų vamzdis su istraukiamu ziedu arba uzdegamu fitiliu, geltonos spalvos</t>
  </si>
  <si>
    <t>dim - aktivacija povlačenjem - zelena boja</t>
  </si>
  <si>
    <t>tubo di fumo con sistema di avvio di trazione - colore verde</t>
  </si>
  <si>
    <t>świeca dymna odpalana ręcznie – kolor zielony</t>
  </si>
  <si>
    <t>Dimna Baklja sa aktiviranjem na potez ZELENA</t>
  </si>
  <si>
    <t>ống khói (ống) có ngòi nổ màu xanh lục</t>
  </si>
  <si>
    <t>dūmų vamzdis su istraukiamu ziedu arba uzdegamu fitiliu, žalios spalvos</t>
  </si>
  <si>
    <t>dim - aktivacija povlačenjem - narančasta boja</t>
  </si>
  <si>
    <t>tubo di fumo con sistema di avvio di trazione - colore arancione</t>
  </si>
  <si>
    <t>świeca dymna odpalana ręcznie - kolor pomarańczowy</t>
  </si>
  <si>
    <t>Dimna Baklja sa aktiviranjem na potez ORANŽ</t>
  </si>
  <si>
    <t>ống khói (ống) có nổ cầu chì màu cam</t>
  </si>
  <si>
    <t>dūmų vamzdis su istraukiamu ziedu arba uzdegamu fitiliu, oranžinės spalvos</t>
  </si>
  <si>
    <t>tubo di fumo con sistema di avvio di trazione - colore nero</t>
  </si>
  <si>
    <t>świeca dymna odpalana na zawleczkę - kolor czarny</t>
  </si>
  <si>
    <t>Dimna Baklja sa aktiviranjem na potez CRNA</t>
  </si>
  <si>
    <t>ống khói (ống) có nổ cầu chì màu đen</t>
  </si>
  <si>
    <t>dūmų vamzdis su istraukiamu ziedu arba uzdegamu fitiliu, juodos spalvos</t>
  </si>
  <si>
    <t xml:space="preserve">dim (dim sa obje strane) - aktivacija povlačenjem - bijela boja </t>
  </si>
  <si>
    <t>tubo di fumo (fumo da due lati) con sistema di avvio di trazione - colore bianco</t>
  </si>
  <si>
    <t>świeca dymna – dym z dwóch stron -odpalana ręcznie – kolor biały</t>
  </si>
  <si>
    <t>Dimna Dvostrana Baklja na potez BELA</t>
  </si>
  <si>
    <t>ống khói (ống khoí từ hai phía) có ngòi nổ - màu trắng</t>
  </si>
  <si>
    <t>dūmų vamzdis (iš abiejų pusių) su istraukiamu ziedu arba uzdegamu fitiliu, baltos spalvos</t>
  </si>
  <si>
    <t xml:space="preserve">dim (dim sa obje strane) - aktivacija povlačenjem - crvena boja </t>
  </si>
  <si>
    <t>tubo di fumo (fumo da due lati) con sistema di avvio di trazione - colore rosso</t>
  </si>
  <si>
    <t>świeca dymna – dym z dwóch stron -odpalana ręcznie – kolor czerwony</t>
  </si>
  <si>
    <t>Dimna Baklja na potez sa obostranim efektom CRVENA</t>
  </si>
  <si>
    <t>ống khói (ống khoí từ hai phía) có ngòi nổ màu đỏ</t>
  </si>
  <si>
    <t>dūmų vamzdis (iš abiejų pusių) su istraukiamu ziedu arba uzdegamu fitiliu, raudonos spalvos</t>
  </si>
  <si>
    <t xml:space="preserve">dim (dim sa obje strane) - aktivacija povlačenjem - plava boja </t>
  </si>
  <si>
    <t>tubo di fumo (fumo da due lati) con sistema di avvio di trazione - colore blu</t>
  </si>
  <si>
    <t>świeca dymna – dym z dwóch stron -odpalana ręcznie – kolor niebieski</t>
  </si>
  <si>
    <t>Dimna Baklja na potez sa obostranim efektom PLAVA</t>
  </si>
  <si>
    <t>ống khói (ống khoí từ hai phía) với ngòi nổ màu xanh lam</t>
  </si>
  <si>
    <t>dūmų vamzdis (iš abiejų pusių) su istraukiamu ziedu arba uzdegamu fitiliu, mėlynos spalvos</t>
  </si>
  <si>
    <t xml:space="preserve">dim (dim sa obje strane) - aktivacija povlačenjem - žuta boja </t>
  </si>
  <si>
    <t>tubo di fumo (fumo da due lati) con sistema di avvio di trazione - colore yelow</t>
  </si>
  <si>
    <t>świeca dymna – dym z dwóch stron -odpalana ręcznie – kolor żółty</t>
  </si>
  <si>
    <t>Dimna Baklja na potez sa obostranim efektom ŽUTA</t>
  </si>
  <si>
    <t>ống khói (ống khoí từ hai phía) có ngòi nổ - màu vàng</t>
  </si>
  <si>
    <t>dūmų vamzdis (iš abiejų pusių) su istraukiamu ziedu arba uzdegamu fitiliu, geltonos spalvos</t>
  </si>
  <si>
    <t xml:space="preserve">dim (dim sa obje strane) - aktivacija povlačenjem - zelena boja </t>
  </si>
  <si>
    <t>tubo di fumo (fumo da due lati) con sistema di avvio di trazione - colore verde</t>
  </si>
  <si>
    <t>świeca dymna – dym z dwóch stron -odpalana ręcznie – kolor zielony</t>
  </si>
  <si>
    <t>Dimna Baklja na potez sa obostranim efektom ZELENA</t>
  </si>
  <si>
    <t>ống khói (ống khoí từ hai phía) có ngòi nổ màu xanh lục</t>
  </si>
  <si>
    <t>dūmų vamzdis (iš abiejų pusių) su istraukiamu ziedu arba uzdegamu fitiliu, žalios spalvos</t>
  </si>
  <si>
    <t xml:space="preserve">dim (dim sa obje strane) - aktivacija povlačenjem - narančasta boja </t>
  </si>
  <si>
    <t>tubo di fumo (fumo da due lati) con sistema di avvio di trazione - colore arancione</t>
  </si>
  <si>
    <t>świeca dymna – dym z dwóch stron -odpalana ręcznie – kolor pomarańczowy</t>
  </si>
  <si>
    <t>Dimna Baklja na potez sa obostranim efektom ORANŽ</t>
  </si>
  <si>
    <t>ống khói (ống khoí từ hai phía) với ngòi nổ màu cam</t>
  </si>
  <si>
    <t>dūmų vamzdis (iš abiejų pusių) su istraukiamu ziedu arba uzdegamu fitiliu, oranžinės spalvos</t>
  </si>
  <si>
    <t xml:space="preserve">dim (dim sa obje strane) - aktivacija povlačenjem - crna boja </t>
  </si>
  <si>
    <t>tubo di fumo (fumo da due lati) con sistema di avvio di trazione - colore nero</t>
  </si>
  <si>
    <t>świeca dymna – dym z dwóch stron -odpalana ręcznie – kolor czarny</t>
  </si>
  <si>
    <t>Dimna Baklja na potez sa obostranim efektom CRNA</t>
  </si>
  <si>
    <t>ống khói (ống hút từ hai bên) có ngòi nổ - màu đen</t>
  </si>
  <si>
    <t>dūmų vamzdis (iš abiejų pusių) su istraukiamu ziedu arba uzdegamu fitiliu, juodos spalvos</t>
  </si>
  <si>
    <t>RDG60B(SH)</t>
  </si>
  <si>
    <t>Bílá dýmovnice-škrtací</t>
  </si>
  <si>
    <t>smoke tube with scratcher head-white color</t>
  </si>
  <si>
    <t>dýmovnice škrtací-bílá barva</t>
  </si>
  <si>
    <t>Rauchkörper mit Reibkopfzündung-weiße Farbe</t>
  </si>
  <si>
    <t>dim, aktivacija kresom - bijela boja</t>
  </si>
  <si>
    <t>tubo di fumo con graffiatore testa-bianco colore</t>
  </si>
  <si>
    <t>świece dymne na draskę – białe</t>
  </si>
  <si>
    <t>Dimna baklja, aktivacija trenjem - bela boja</t>
  </si>
  <si>
    <t>khói quẹt - trắng</t>
  </si>
  <si>
    <t>dūmų vamzdis su nukrapštoma galva, baltos spalvos</t>
  </si>
  <si>
    <t>RDG60C(SH)</t>
  </si>
  <si>
    <t>smoke tube with scratcher head- red color</t>
  </si>
  <si>
    <t>dýmovnice škrtací-červená barva</t>
  </si>
  <si>
    <t>Rauchkörper mit Reibkopfzündung-rote Farbe</t>
  </si>
  <si>
    <t>dim, aktivacija kresom - crvena boja</t>
  </si>
  <si>
    <t>tubo di fumo con testa graffiante- colore rosso</t>
  </si>
  <si>
    <t>świece dymne na draskę – czerwone</t>
  </si>
  <si>
    <t>Dimna baklja, aktivacija trenjem - crvena boja</t>
  </si>
  <si>
    <t>khói quẹt - đỏ</t>
  </si>
  <si>
    <t>dūmų vamzdis su nukrapštoma galva, raudonos spalvos</t>
  </si>
  <si>
    <t>RDG60M(SH)</t>
  </si>
  <si>
    <t>smoke tube with scratcher head- blue color</t>
  </si>
  <si>
    <t>dýmovnice škrtací-modrá barva</t>
  </si>
  <si>
    <t>Rauchkörper mit Reibkopfzündung-blaue Farbe</t>
  </si>
  <si>
    <t>dim, aktivacija kresom  - plava boja</t>
  </si>
  <si>
    <t>tubo di fumo con testa graffiante- colore blu</t>
  </si>
  <si>
    <t>świece dymne na draskę – niebieskie</t>
  </si>
  <si>
    <t>Dimna baklja, aktivacija trenjem - plava boja</t>
  </si>
  <si>
    <t>khói quẹt - xanh</t>
  </si>
  <si>
    <t>dūmų vamzdis su nukrapštoma galva, mėlynos spalvos</t>
  </si>
  <si>
    <t>RDG60ZL(SH)</t>
  </si>
  <si>
    <t>Žlutá dýmovnice-škrtací</t>
  </si>
  <si>
    <t>smoke tube with scratcher head- yellow color</t>
  </si>
  <si>
    <t>dýmovnice škrtací-žlutá barva</t>
  </si>
  <si>
    <t>Rauchkörper mit Reibkopfzündung-gelb Farbe</t>
  </si>
  <si>
    <t>dim, aktivacija kresom - žuta boja</t>
  </si>
  <si>
    <t>tubo di fumo con testa graffiante- colore giallo</t>
  </si>
  <si>
    <t>świece dymne na draskę – żółte</t>
  </si>
  <si>
    <t>Dimna baklja, aktivacija trenjem - žuta boja</t>
  </si>
  <si>
    <t>khói quẹt - vàng</t>
  </si>
  <si>
    <t>dūmų vamzdis su nukrapštoma galva, geltonos spalvos</t>
  </si>
  <si>
    <t>RDG60ZE(SH)</t>
  </si>
  <si>
    <t>smoke tube with scratcher head- green color</t>
  </si>
  <si>
    <t>dýmovnice škrtací-zelená barva</t>
  </si>
  <si>
    <t>Rauchkörper mit Reibkopfzündung-grüne Farbe</t>
  </si>
  <si>
    <t>dim, aktivacija kresom - zelena boja</t>
  </si>
  <si>
    <t>tubo di fumo con testa graffiante- colore verde</t>
  </si>
  <si>
    <t>świece dymne na draskę – zielone</t>
  </si>
  <si>
    <t>Dimna baklja, aktivacija trenjem - zelena boja</t>
  </si>
  <si>
    <t>khói quẹt - mau xanh lá cây</t>
  </si>
  <si>
    <t>dūmų vamzdis su nukrapštoma galva, žalios spalvos</t>
  </si>
  <si>
    <t>RDG60O(SH)</t>
  </si>
  <si>
    <t>smoke tube with scratcher head- orange color</t>
  </si>
  <si>
    <t>dýmovnice škrtací-oranžová barva</t>
  </si>
  <si>
    <t>Rauchkörper mit Reibkopfzündung-orange Farbe</t>
  </si>
  <si>
    <t>dim, aktivacija kresom - narančasta boja</t>
  </si>
  <si>
    <t>tubo di fumo con testa graffiante- colore arancione</t>
  </si>
  <si>
    <t>świece dymne na draskę – pomarańczowe</t>
  </si>
  <si>
    <t>Dimna baklja, aktivacija trenjem - narandžasta boja</t>
  </si>
  <si>
    <t>khói quẹt - cam</t>
  </si>
  <si>
    <t>dūmų vamzdis su nukrapštoma galva, oranžinės spalvos</t>
  </si>
  <si>
    <t>RDG60CER(SH)</t>
  </si>
  <si>
    <t>smoke tube with scratcher head- black color</t>
  </si>
  <si>
    <t>dýmovnice škrtací-černá barva</t>
  </si>
  <si>
    <t>Rauchkörper mit Reibkopfzündung-schwarze Farbe</t>
  </si>
  <si>
    <t>dim, aktivacija kresom - crna boja</t>
  </si>
  <si>
    <t>tubo fumo con testa graffiante- colore nero</t>
  </si>
  <si>
    <t>świece dymne na draskę – czarne</t>
  </si>
  <si>
    <t>Dimna baklja, aktivacija trenjem - crna boja</t>
  </si>
  <si>
    <t>khói quẹt - đen</t>
  </si>
  <si>
    <t>dūmų vamzdis su nukrapštoma galva, juodos spalvos</t>
  </si>
  <si>
    <t>RDG60R(SH)</t>
  </si>
  <si>
    <t>Růžová dýmovnice-škrtací</t>
  </si>
  <si>
    <t>smoke tube with scratcher head- pink color</t>
  </si>
  <si>
    <t>dýmovnice škrtací-růžová barva</t>
  </si>
  <si>
    <t>Rauchkörper mit Reibkopfzündung-pinke Farbe</t>
  </si>
  <si>
    <t>dim, aktivacija kresom - roza boja</t>
  </si>
  <si>
    <t>tubo di fumo con testa graffiante- colore rosa</t>
  </si>
  <si>
    <t>świece dymne na draskę – różowe</t>
  </si>
  <si>
    <t>Dimna baklja, aktivacija trenjem - pink boja</t>
  </si>
  <si>
    <t>khói quẹt - hồng</t>
  </si>
  <si>
    <t>dūmų vamzdis su nukrapštoma galva, rožinės spalvos</t>
  </si>
  <si>
    <t>dim sa aktivacijom pomoću poluge - bijela boja</t>
  </si>
  <si>
    <t>tubo di fumo con leva ignitor-bianco colore</t>
  </si>
  <si>
    <t>świeca dymna z zawleczką – kolor biały</t>
  </si>
  <si>
    <t>Beli dim sa polugom za aktiviranje</t>
  </si>
  <si>
    <t>khói có cần đánh lửa - màu trắng</t>
  </si>
  <si>
    <t>dūmų vamzdis, uzsidegantis istraukus zieda is svirties,  baltos spalvos</t>
  </si>
  <si>
    <t>dūmų vamzdis,  uzsidegantis istraukus zieda is svirties, baltos spalvos</t>
  </si>
  <si>
    <t>dim sa aktivacijom pomoću poluge - crvena boja</t>
  </si>
  <si>
    <t>tubo di fumo con levetta ignitore- colore rosso</t>
  </si>
  <si>
    <t>świeca dymna z zawleczką – kolor czerwony</t>
  </si>
  <si>
    <t>Crveni dim sa polugom za aktiviranje</t>
  </si>
  <si>
    <t xml:space="preserve"> khói có cần đánh lửa - màu đỏ</t>
  </si>
  <si>
    <t>dūmų vamzdis,  uzsidegantis istraukus zieda is svirties, raudonos spalvos</t>
  </si>
  <si>
    <t>dim sa aktivacijom pomoću poluge - plava boja</t>
  </si>
  <si>
    <t>tubo fumo con levetta ignitore- colore blu</t>
  </si>
  <si>
    <t>świeca dymna z zawleczką – kolor niebieski</t>
  </si>
  <si>
    <t>Plavi dim sa polugom za aktiviranje</t>
  </si>
  <si>
    <t>khói có cần gạt lửa - màu xanh lam</t>
  </si>
  <si>
    <t>dūmų vamzdis,  uzsidegantis istraukus zieda is svirties, mėlynos spalvos</t>
  </si>
  <si>
    <t xml:space="preserve"> khói có cần gạt lửa - màu xanh lam</t>
  </si>
  <si>
    <t>dūmų vamzdis,   uzsidegantis istraukus zieda is svirties,mėlynos spalvos</t>
  </si>
  <si>
    <t>dim sa aktivacijom pomoću poluge - žuta boja</t>
  </si>
  <si>
    <t>tubo di fumo con ignitore a leva- colore giallo</t>
  </si>
  <si>
    <t>świeca dymna z zawleczką – kolor żółty</t>
  </si>
  <si>
    <t>Žuti dim sa polugom za aktiviranje</t>
  </si>
  <si>
    <t>khói có cần đánh lửa - màu vàng</t>
  </si>
  <si>
    <t>dūmų vamzdis,  uzsidegantis istraukus zieda is svirties, geltonos spalvos</t>
  </si>
  <si>
    <t>dim sa aktivacijom pomoću poluge - zelena boja</t>
  </si>
  <si>
    <t>tubo fumo con levetta ignitore-colore verde</t>
  </si>
  <si>
    <t>świeca dymna z zawleczką – kolor zielony</t>
  </si>
  <si>
    <t>Zeleni dim sa polugom za aktiviranje</t>
  </si>
  <si>
    <t>khói có cần đánh lửa - màu xanh lá cây</t>
  </si>
  <si>
    <t>dūmų vamzdis,  uzsidegantis istraukus zieda is svirties, žalios spalvos</t>
  </si>
  <si>
    <t>dim sa aktivacijom pomoću poluge - narančasta boja</t>
  </si>
  <si>
    <t>tubo di fumo con levetta ignitore-colore arancione</t>
  </si>
  <si>
    <t>świeca dymna z zawleczką – kolor pomarańczowy</t>
  </si>
  <si>
    <t>Narandžasti dim sa polugom za aktiviranje</t>
  </si>
  <si>
    <t>khói có cần đánh lửa - màu cam</t>
  </si>
  <si>
    <t>dūmų vamzdis,  uzsidegantis istraukus zieda is svirties, oranžinės spalvos</t>
  </si>
  <si>
    <t xml:space="preserve">ručni dim sa aktivacijom povlačenjem - žuta boja </t>
  </si>
  <si>
    <t xml:space="preserve"> tenutoin mano con sistema di avvio di trazione - fumo colore giallo</t>
  </si>
  <si>
    <t>świeca dymna z uchwytem, odpalana ręcznie - kolor żółty</t>
  </si>
  <si>
    <t>ngọn đuốc khói tay, congòi nổ - màu vàng</t>
  </si>
  <si>
    <t>rankose laikomi dūmai,  uzsidegantis istraukus zieda arba uzdegami su fitiliu, geltonos spalvos</t>
  </si>
  <si>
    <t xml:space="preserve">ručni dim sa aktivacijom povlačenjem - zelena boja </t>
  </si>
  <si>
    <t xml:space="preserve"> tenutoin mano con sistema di avvio di trazione - fumo colore verde</t>
  </si>
  <si>
    <t>świeca dymna z uchwytem, odpalana ręcznie - kolor zielony</t>
  </si>
  <si>
    <t>ngọn đuốc khói tay, congòi nổ - màu xanh lá cây</t>
  </si>
  <si>
    <t>rankose laikomi dūmai, uzsidegantis istraukus zieda arba uzdegami su fitiliu, žalios spalvos</t>
  </si>
  <si>
    <t xml:space="preserve">ručni dim sa aktivacijom povlačenjem - narančasta boja </t>
  </si>
  <si>
    <t xml:space="preserve"> tenutoin mano con sistema di avvio di trazione - fumo colore arancione</t>
  </si>
  <si>
    <t>świeca dymna z uchwytem, odpalana ręcznie - kolor pomarańczowy</t>
  </si>
  <si>
    <t>ngọn đuốc khói tay, congòi nổ - màu cam</t>
  </si>
  <si>
    <t>rankose laikomi dūmai, uzsidegantis istraukus zieda arba uzdegami su fitiliu, oranžinės spalvos</t>
  </si>
  <si>
    <t xml:space="preserve">ručni dim sa aktivacijom povlačenjem - crna boja </t>
  </si>
  <si>
    <t xml:space="preserve"> tenuto in  mano con sistema di avvio di trazione -fumo colore arancione</t>
  </si>
  <si>
    <t>świeca dymna z uchwytem, odpalana ręcznie - kolor czarny</t>
  </si>
  <si>
    <t>ngọn đuốc khói tay, congòi nổ - màu đen</t>
  </si>
  <si>
    <t>rankose laikomi dūmai, uzsidegantis istraukus zieda arba uzdegami su fitiliu, juodos spalvos</t>
  </si>
  <si>
    <t>HDP60B</t>
  </si>
  <si>
    <t>hand held smoke-white color</t>
  </si>
  <si>
    <t>ruční dýmová pochodeň-bílá barva</t>
  </si>
  <si>
    <t>Handrauchfackel-weiße Farbe</t>
  </si>
  <si>
    <t>ručni dim - bijela boja</t>
  </si>
  <si>
    <t>tenuto in mano  fumo colore bianco</t>
  </si>
  <si>
    <t>świeca dymna z uchwytem - kolor biały</t>
  </si>
  <si>
    <t>ručna dimna baklja bele boje</t>
  </si>
  <si>
    <t>ngọn đuốc khói tay - màu trắng</t>
  </si>
  <si>
    <t>rankose laikomi dūmai baltos spalvos</t>
  </si>
  <si>
    <t>HDP60C</t>
  </si>
  <si>
    <t>Hooligans dýmová pochodeň červená</t>
  </si>
  <si>
    <t>hand held smoke-red color</t>
  </si>
  <si>
    <t>ruční dýmová pochodeň-červená barva</t>
  </si>
  <si>
    <t>Handrauchfackel-rote Farbe</t>
  </si>
  <si>
    <t>ručni dim - crvena boja</t>
  </si>
  <si>
    <t xml:space="preserve">tenuto in mano  fumo colore nero </t>
  </si>
  <si>
    <t>świeca dymna z uchwytem - kolor czerwony</t>
  </si>
  <si>
    <t>ručna dimna baklja crvene boje</t>
  </si>
  <si>
    <t>ngọn đuốc khói tay - màu đỏ</t>
  </si>
  <si>
    <t>rankose laikomi dūmai raudonos spalvos</t>
  </si>
  <si>
    <t>HDP60M</t>
  </si>
  <si>
    <t>Hooligans dýmová pochodeň modrá</t>
  </si>
  <si>
    <t>hand held smoke-blue color</t>
  </si>
  <si>
    <t>ruční dýmová pochodeň-modrá barva</t>
  </si>
  <si>
    <t>Handrauchfackel-blaue Farbe</t>
  </si>
  <si>
    <t>ručni dim - plava boja</t>
  </si>
  <si>
    <t>tenuto in mano  fumo colore blu</t>
  </si>
  <si>
    <t>świeca dymna z uchwytem - kolor niebieski</t>
  </si>
  <si>
    <t>ručna dimna baklja plave boje</t>
  </si>
  <si>
    <t>ngọn đuốc khói tay - màu xanh</t>
  </si>
  <si>
    <t>rankose laikomi dūmai mėlynos spalvos</t>
  </si>
  <si>
    <t>HDP60ZL</t>
  </si>
  <si>
    <t>hand held smoke-yelow color</t>
  </si>
  <si>
    <t>ruční dýmová pochodeň-žlutá barva</t>
  </si>
  <si>
    <t>Handrauchfackel-gelbe Farbe</t>
  </si>
  <si>
    <t xml:space="preserve">ručni dim - žuta boja </t>
  </si>
  <si>
    <t>tenuto in mano  fumo colore giallo</t>
  </si>
  <si>
    <t>świeca dymna z uchwytem - kolor żółty</t>
  </si>
  <si>
    <t>ručna dimna baklja žute boje</t>
  </si>
  <si>
    <t>ngọn đuốc khói tay - màu vàng</t>
  </si>
  <si>
    <t>rankose laikomi dūmai geltonos spalvos</t>
  </si>
  <si>
    <t>HDP60ZE</t>
  </si>
  <si>
    <t>Hooligans dýmová pochodeň zelená</t>
  </si>
  <si>
    <t>hand held smoke-green color</t>
  </si>
  <si>
    <t>ruční dýmová pochodeň-zelená barva</t>
  </si>
  <si>
    <t>Handrauchfackel-grüne Farbe</t>
  </si>
  <si>
    <t>ručni dim - zelena boja</t>
  </si>
  <si>
    <t>tenuto in mano  fumo colore verde</t>
  </si>
  <si>
    <t>świeca dymna z uchwytem - kolor zielony</t>
  </si>
  <si>
    <t>ručna dimna baklja zelene boje</t>
  </si>
  <si>
    <t>ngọn đuốc khói tay - màu xanh lá cây</t>
  </si>
  <si>
    <t>rankose laikomi dūmai žalios spalvos</t>
  </si>
  <si>
    <t>HDP60O</t>
  </si>
  <si>
    <t>hand held smoke-orange color</t>
  </si>
  <si>
    <t>ruční dýmová pochodeň-oranžová barva</t>
  </si>
  <si>
    <t>Handrauchfackel-orange Farbe</t>
  </si>
  <si>
    <t>ručni dim - narančasta boja</t>
  </si>
  <si>
    <t xml:space="preserve">tenuto in mano  fumo colore arancione </t>
  </si>
  <si>
    <t>świeca dymna z uchwytem - kolor pomarańczowy</t>
  </si>
  <si>
    <t>ručna dimna baklja narandžaste boje</t>
  </si>
  <si>
    <t>ngọn đuốc khói tay - màu cam</t>
  </si>
  <si>
    <t>rankose laikomi dūmai oranžinės spalvos</t>
  </si>
  <si>
    <t>HDP60CER</t>
  </si>
  <si>
    <t>hand held smoke-black color</t>
  </si>
  <si>
    <t>ruční dýmová pochodeň-černá barva</t>
  </si>
  <si>
    <t>Handrauchfackel-schwarze Farbe</t>
  </si>
  <si>
    <t>ručni dim - crna boja</t>
  </si>
  <si>
    <t>świeca dymna z uchwytem - kolor czarny</t>
  </si>
  <si>
    <t>ručna dimna baklja crne boje</t>
  </si>
  <si>
    <t>ngọn đuốc khói tay - màu đen</t>
  </si>
  <si>
    <t>rankose laikomi dūmai juodos spalvos</t>
  </si>
  <si>
    <t>crvena baklja  + bijeli dim</t>
  </si>
  <si>
    <t>torcia rossa+fumo bianco</t>
  </si>
  <si>
    <t>czerwona flara + biały dym</t>
  </si>
  <si>
    <t>crvena baklja + beli dim</t>
  </si>
  <si>
    <t>ngọn đuốc ánh sáng đỏ + khói trắng</t>
  </si>
  <si>
    <t>raudonas deglas ir balti dūmai</t>
  </si>
  <si>
    <t>zelena baklja + bijeli dim</t>
  </si>
  <si>
    <t>torcia verde+fumo bianco</t>
  </si>
  <si>
    <t>zielona flara + biały dym</t>
  </si>
  <si>
    <t>zelena baklja + beli dim</t>
  </si>
  <si>
    <t>ngọn đuốc ánh sáng xanh + khói trắng</t>
  </si>
  <si>
    <t>žalias deglas ir balti dūmai</t>
  </si>
  <si>
    <t>P40B25</t>
  </si>
  <si>
    <t>white torch+white smoke</t>
  </si>
  <si>
    <t>pochodeň bílé světlo+ bílý dým</t>
  </si>
  <si>
    <t>Fackel weißes Licht + weißer Rauch</t>
  </si>
  <si>
    <t>bijela baklja + bijeli dim</t>
  </si>
  <si>
    <t>torcia bianca+fumo bianco</t>
  </si>
  <si>
    <t>biała flara + biały dym</t>
  </si>
  <si>
    <t>bela baklja + beli dim</t>
  </si>
  <si>
    <t>ngọn đuốc ánh sáng trắng + khói trắng</t>
  </si>
  <si>
    <t>baltas deglas ir balti dūmai</t>
  </si>
  <si>
    <t>žuta baklja + bijeli dim</t>
  </si>
  <si>
    <t>torcia gialla+fumo bianco</t>
  </si>
  <si>
    <t>żółta flara + biały dym</t>
  </si>
  <si>
    <t>žuta baklja + beli dim</t>
  </si>
  <si>
    <t>ngọn đuốc ánh sáng vàng + khói trắng</t>
  </si>
  <si>
    <t>geltonas deglas ir balti dūmai</t>
  </si>
  <si>
    <t>plava baklja + bijeli dim</t>
  </si>
  <si>
    <t>torcia blu+fumo bianco</t>
  </si>
  <si>
    <t>niebieska flara + biały dym</t>
  </si>
  <si>
    <t>plava baklja + beli dim</t>
  </si>
  <si>
    <t>mėlynas deglas ir balti dūmai</t>
  </si>
  <si>
    <t>crvena baklja</t>
  </si>
  <si>
    <t>torcia rossa</t>
  </si>
  <si>
    <t>czerwona flara</t>
  </si>
  <si>
    <t>baklja crvene boje</t>
  </si>
  <si>
    <t>ngọn đuốc đỏ</t>
  </si>
  <si>
    <t xml:space="preserve">raudonas deglas </t>
  </si>
  <si>
    <t>baklja u boji (crvena, zelena, bijela, ljubičasta, žuta)</t>
  </si>
  <si>
    <t>torcia a colori (rosso,verde,bianco,viola,yelow)</t>
  </si>
  <si>
    <t>kolorowy płomień (czerwona, zielona, biała, fioletowa, żółta)</t>
  </si>
  <si>
    <t>baklje u boji (crvena, zelena, bela, ljubičasta, žuta)</t>
  </si>
  <si>
    <t>ngọn đuốc màu (đỏ, xanh lá cây, trắng, tím, vàng)</t>
  </si>
  <si>
    <t>spalvotas deglas (raudonos, baltos, violetinės ir geltonos spalvų)</t>
  </si>
  <si>
    <t>bijela bljeskalica</t>
  </si>
  <si>
    <t>strobo bianco</t>
  </si>
  <si>
    <t>stroboskop biały 90 sek.</t>
  </si>
  <si>
    <t>beli strob</t>
  </si>
  <si>
    <t>baltas mirksiukas</t>
  </si>
  <si>
    <t>stroboskop biały 60sek.</t>
  </si>
  <si>
    <t>crvena bljeskalica + dim</t>
  </si>
  <si>
    <t>rosso strobo+fumo</t>
  </si>
  <si>
    <t>stroboskop czerwony+biały dym</t>
  </si>
  <si>
    <t>crveni strob + beli dim</t>
  </si>
  <si>
    <t>ánh sáng đỏ "rực rỡ" nhấp nháy</t>
  </si>
  <si>
    <t>raudonas mirksiukas ir dūmai</t>
  </si>
  <si>
    <t>set fontana, pakiranje uključuje 2 komada F1U i dva komada F1K</t>
  </si>
  <si>
    <t>tre colori con fontana scoppiettante e fischiettante</t>
  </si>
  <si>
    <t>mix fontann, opakowanie zawiera 2 sztuki F1U i 2 sztuki F1K,</t>
  </si>
  <si>
    <t>pakovanje sadrži 2kom. F1U i 2kom. F1K</t>
  </si>
  <si>
    <t>hỗn hợp vòi phun lửa, gói chứa 2 chiếc F1U, F1K</t>
  </si>
  <si>
    <t>fontanų rinkinys iš dviejų F1U vienetų ir dviejų F1K vienetų</t>
  </si>
  <si>
    <t>set fontana, pakiranje uključuje 2 komada F2DF i 2 komada F2DD</t>
  </si>
  <si>
    <t>fiori in titanio a luci rosse+glitter oro</t>
  </si>
  <si>
    <t>mix fontann, opakowanie zawiera 2 sztuki F2DF i 2 sztuki F2DD</t>
  </si>
  <si>
    <t>pakovanje sadrži 2kom. F2DF i 2kom. F2DD</t>
  </si>
  <si>
    <t>hỗn hợp vòi phun lửa, gói chứa 2 chiếc F2DF, F2DD</t>
  </si>
  <si>
    <t>fontanų rinkinys iš dviejų F2DF vienetų ir dviejų F2DD vienetų</t>
  </si>
  <si>
    <t>F3CC</t>
  </si>
  <si>
    <t>colored light(red,green,blue)+crackling mine</t>
  </si>
  <si>
    <t>barevné světlo(červené,modré,zelené)+práskající výmet</t>
  </si>
  <si>
    <t>Farbiges Licht(Rot,Blau,Grün)+knisternder Auswurf</t>
  </si>
  <si>
    <t>svjetlost u boji (crvena, zelena, plava) + pucketajuća mina</t>
  </si>
  <si>
    <t>luce colorata(rosso,verde,blu)+miniera scoppiettante</t>
  </si>
  <si>
    <t>kolorowe światło (czerwone, zielone, niebieskie) + trzeszcząca mina</t>
  </si>
  <si>
    <t>Svetlo u boji (crveno, zeleno, plavo) + pucketava mina</t>
  </si>
  <si>
    <t>ánh sáng màu (đỏ, lục, lục lá cây) + quét nổ nứt</t>
  </si>
  <si>
    <t>spalvota šviesa (raudona, žalia, mėlyna) ir traškanti mina</t>
  </si>
  <si>
    <t>zvjezdice u boji, pucketajuće zvjezdice, zviždeći kometi</t>
  </si>
  <si>
    <t>miscela fontana, imballaggio comprensivo di 2 pezzi F2DF e 2 pezzi F2DD</t>
  </si>
  <si>
    <t>fontanny – kolorowa gwiazda, trzaskająca gwiazda, gwiżdżąca kometa</t>
  </si>
  <si>
    <t>zvezde u boji, praskave zvezde, zvižduci</t>
  </si>
  <si>
    <t>những ngôi sao đầy màu sắc, sao chổi huýt sáo</t>
  </si>
  <si>
    <t>spalvota žvaigždė, traškanti žvaigždė, švilpianti kometa</t>
  </si>
  <si>
    <t>6 različitih efekata u boji</t>
  </si>
  <si>
    <t>6 diversi effetti di colore</t>
  </si>
  <si>
    <t>fontanny - 6 różnych efektów</t>
  </si>
  <si>
    <t>6 različita efekta u boji</t>
  </si>
  <si>
    <t>6 hiệu ứng màu sắc khác nhau</t>
  </si>
  <si>
    <t xml:space="preserve">6 Skirtingi spalvoti efektai. </t>
  </si>
  <si>
    <t>F7F</t>
  </si>
  <si>
    <t>colour star+strong crackling star</t>
  </si>
  <si>
    <t>barevné hvězdy+silné práskající hvězdy</t>
  </si>
  <si>
    <t>Farbstern + starker knisternder Stern</t>
  </si>
  <si>
    <t>zvjezdice u boji+pucketajuće zvjezdice</t>
  </si>
  <si>
    <t>stella colore+forte stella scoppiettante</t>
  </si>
  <si>
    <t>fontanna - kolorowa gwiazda + mocne trzeszczące gwiazdki</t>
  </si>
  <si>
    <t>zvezdice u boji+zvezdice sa jakim krekerima</t>
  </si>
  <si>
    <t>sao màu + sao nứt mạnh</t>
  </si>
  <si>
    <t>spalvota žvaigždė, traškanti žvaigždė</t>
  </si>
  <si>
    <t>F16CS</t>
  </si>
  <si>
    <t>Crackling shock</t>
  </si>
  <si>
    <t>strong crackling star</t>
  </si>
  <si>
    <t>silné práskající hvězdy</t>
  </si>
  <si>
    <t>Starker knisternder Stern</t>
  </si>
  <si>
    <t>jake pucketajuće zvjezdice</t>
  </si>
  <si>
    <t>forte stella scoppiettante</t>
  </si>
  <si>
    <t>mocne trzeszczące gwiazdki</t>
  </si>
  <si>
    <t>Snažno pucketanje zvezda</t>
  </si>
  <si>
    <t>nhiều sao nổ nứt mạnh</t>
  </si>
  <si>
    <t>stipri traškanti žvaigždė</t>
  </si>
  <si>
    <t>efekti u boji+pucketajuće zvjezdice</t>
  </si>
  <si>
    <t>effetti colore+stelle scoppiettanti</t>
  </si>
  <si>
    <t>fontanna -kolorowe  trzeszczące gwiazdki</t>
  </si>
  <si>
    <t>efekat u boji+zvezdice sa krekerima</t>
  </si>
  <si>
    <t>hiệu ứng màu + sao nứt</t>
  </si>
  <si>
    <t>spalvoti efektai, traškančios žvaigždės</t>
  </si>
  <si>
    <t>više različitih efekata</t>
  </si>
  <si>
    <t>multi-effetti</t>
  </si>
  <si>
    <t>fontanna wieloefektowa</t>
  </si>
  <si>
    <t>raznobojni efekat</t>
  </si>
  <si>
    <t>vòi phun lửa - nhiều màu</t>
  </si>
  <si>
    <t>skirtingi efektai</t>
  </si>
  <si>
    <t>pucketajuća fontana</t>
  </si>
  <si>
    <t>fontana scoppiettante</t>
  </si>
  <si>
    <t>trzeszcząca fontanna</t>
  </si>
  <si>
    <t>fontana sa krekerima</t>
  </si>
  <si>
    <t>vòi phun lửa kêu răng rắc</t>
  </si>
  <si>
    <t>traškantis fontanas</t>
  </si>
  <si>
    <t>fontanna 6 różnych efektów</t>
  </si>
  <si>
    <t>4 različita efekta u boji</t>
  </si>
  <si>
    <t>4 diversi effetti di colore</t>
  </si>
  <si>
    <t>4 hiệu ứng nhiều màu</t>
  </si>
  <si>
    <t xml:space="preserve">4 Skirtingi spalvoti efektai. </t>
  </si>
  <si>
    <t>rotirajuća fontana</t>
  </si>
  <si>
    <t>ruotare fontana</t>
  </si>
  <si>
    <t>fontanna obrotowa</t>
  </si>
  <si>
    <t>vòi phun lửa xoay</t>
  </si>
  <si>
    <t>besisukantis fontanas</t>
  </si>
  <si>
    <t>F15BR</t>
  </si>
  <si>
    <t>large rotating fountain (side/up effect)</t>
  </si>
  <si>
    <t>velké rotáční fontána( efekt do strany/nahoru)</t>
  </si>
  <si>
    <t>Großer Rotierender Fountain(Side/Up-Effekt)</t>
  </si>
  <si>
    <t xml:space="preserve">velika rotirajuća fontana </t>
  </si>
  <si>
    <t>grande fontana rotante (effetto lato/su)</t>
  </si>
  <si>
    <t>duża fontanna obrotowa – efekt na boki i w górę</t>
  </si>
  <si>
    <t>dugo rotirajuća fontana</t>
  </si>
  <si>
    <t>vòi phun lửa quay lớn (hiệu ứng bên / lên)</t>
  </si>
  <si>
    <t>didelis besisukantis fontana (efektas į šoną ir į viršų</t>
  </si>
  <si>
    <t>zvjezdice u boji, visina efekta 3m</t>
  </si>
  <si>
    <t>stelle di colore, altezza effetto 3m</t>
  </si>
  <si>
    <t>Fontanna – Kolorowe gwiazdki, wysokość efektu 3m</t>
  </si>
  <si>
    <t>zvezdice u boji, visina efekta 3m</t>
  </si>
  <si>
    <t xml:space="preserve">các ngôi sao màu, chiều cao hiệu ứng 3m, </t>
  </si>
  <si>
    <t>spalvota žvaigždė, iskylanti iki 3m aukscio</t>
  </si>
  <si>
    <t>dvostruke pucketajuće zvjezdice, visina efekta 3m</t>
  </si>
  <si>
    <t>stelle scoppiettanti d'argento, altezza effetto 3m</t>
  </si>
  <si>
    <t>Fontanna – podwójnie trzeszczące gwiazdki, wysokość efektu 3m</t>
  </si>
  <si>
    <t>zvezdice sa duplim krekerima, visina efekta 3m</t>
  </si>
  <si>
    <t xml:space="preserve">những ngôi sao nứt đôi, chiều cao hiệu ứng 3m, </t>
  </si>
  <si>
    <t>dviguba traškanti žvaigždė, kylanti į viršų 3m</t>
  </si>
  <si>
    <t>srebrne zvjezdice, visina efekta 4m</t>
  </si>
  <si>
    <t>stelle d'argento, altezza effetto 4m</t>
  </si>
  <si>
    <t xml:space="preserve">Fontanna  - srebrne gwiazdki, wysokość efektu 4m  </t>
  </si>
  <si>
    <t>srebrne zvezdice, visina efekta 4m</t>
  </si>
  <si>
    <t xml:space="preserve">những ngôi sao bạc, chiều cao hiệu ứng 4m, </t>
  </si>
  <si>
    <t>sidabrinės žvaigždės, kylančios į viršų 4m</t>
  </si>
  <si>
    <t>srebrne pucketajuće zvjezdice, visina efekta 4m</t>
  </si>
  <si>
    <t>stelle scoppiettanti d'argento, altezza effetto 4m</t>
  </si>
  <si>
    <t xml:space="preserve">Fontanna  - srebrne  trzeszczące gwiazdki, wysokość efektu 4m  </t>
  </si>
  <si>
    <t>zvezdice sa krekerima, visina efekta 4m</t>
  </si>
  <si>
    <t xml:space="preserve">những ngôi sao nứt nẻ bạc, chiều cao hiệu ứng 4m, </t>
  </si>
  <si>
    <t>sidabrinė traškanti žvaigždė, kylanti į viršų 4m</t>
  </si>
  <si>
    <t>zvjezdice u boji, visina efekta 4m</t>
  </si>
  <si>
    <t>stelle di colore, altezza effetto 4m</t>
  </si>
  <si>
    <t xml:space="preserve">Fontanna  - kolorowe gwiazdki, wysokość efektu 4m  </t>
  </si>
  <si>
    <t>zvezdice u boji, visina efekta 4m</t>
  </si>
  <si>
    <t xml:space="preserve">các ngôi sao màu, chiều cao hiệu ứng 4m, </t>
  </si>
  <si>
    <t>spalvotos žvaigždės, kylančios į viršų 4m</t>
  </si>
  <si>
    <t>pucketanje+crvene, zelene, plave zvjezdice, visina efekta 5m</t>
  </si>
  <si>
    <t>crepitio+rosso,verde,stella blu,altezza effetto 5m</t>
  </si>
  <si>
    <t>Fontanna - trzeszczenie + czerwone, zielone, niebieskie gwiazdki, wysokość efektu 5m</t>
  </si>
  <si>
    <t>krekeri+crvene,zelene,plave zvezde, visina efekta 5m</t>
  </si>
  <si>
    <t xml:space="preserve">sao nứt + sao màu, chiều cao hiệu ứng 5m, </t>
  </si>
  <si>
    <t>traškanti raudona, žalia, mėlyna žvaigždė, kylanti į viršų 5m</t>
  </si>
  <si>
    <t>srebrne pucketajuće zvjezdice, visina efekta 5m</t>
  </si>
  <si>
    <t>stelle scoppiettanti d'argento, altezza effetto 5m</t>
  </si>
  <si>
    <t xml:space="preserve">Fontanna  - srebrne  trzeszczące gwiazdki, wysokość efektu 5m  </t>
  </si>
  <si>
    <t>zvezdice sa krekerima, visina efekta 5m</t>
  </si>
  <si>
    <t xml:space="preserve">những ngôi sao chói lọi bạc, chiều cao hiệu ứng 5m, </t>
  </si>
  <si>
    <t>sidabrinė traškanti žvaigždė, kylanti į viršų 5m</t>
  </si>
  <si>
    <t>srebrne zvjezdice, visina efekta 5m</t>
  </si>
  <si>
    <t xml:space="preserve">Fontanna  - srebrne gwiazdki, wysokość efektu 5m  </t>
  </si>
  <si>
    <t>srebrne zvezdice, visina efekta 5m</t>
  </si>
  <si>
    <t xml:space="preserve">sao bạc, chiều cao hiệu ứng 5m, </t>
  </si>
  <si>
    <t>sidabrinės žvaigždės, kylančios į viršų 5m</t>
  </si>
  <si>
    <t>zvjezdice u boji, visina efekta 5m</t>
  </si>
  <si>
    <t>stelle di colore, altezza effetto 5m</t>
  </si>
  <si>
    <t xml:space="preserve">Fontanna  - kolorowe gwiazdki, wysokość efektu 5m  </t>
  </si>
  <si>
    <t>zvezdice u boji, visina efekta 5m</t>
  </si>
  <si>
    <t xml:space="preserve">các ngôi sao màu, chiều cao hiệu ứng 5m, </t>
  </si>
  <si>
    <t>spalvotos žvaigždės, kylančios į viršų 5m</t>
  </si>
  <si>
    <t>srebrne pucketajuće zvjezdice, visina efekta 6m</t>
  </si>
  <si>
    <t>stelle d'argento, altezza effetto 5m</t>
  </si>
  <si>
    <t xml:space="preserve">Fontanna  - srebrne trzeszczące gwiazdki, wysokość efektu 6m  </t>
  </si>
  <si>
    <t>zvezdice sa krekerima, visina efekta 6m</t>
  </si>
  <si>
    <t>những ngôi sao nứt nẻ bạc, chiều cao hiệu ứng 6m</t>
  </si>
  <si>
    <t>sidabrinė traškanti žvaigždė, kylanti į viršų 6m</t>
  </si>
  <si>
    <t>srebrne zvjezdice, visina efekta 6m</t>
  </si>
  <si>
    <t>stelle scoppiettanti d'argento, altezza effetto 6m</t>
  </si>
  <si>
    <t xml:space="preserve">Fontanna  - srebrne gwiazdki, wysokość efektu 6m  </t>
  </si>
  <si>
    <t>srebrne zvezdice, visina efekta 6m</t>
  </si>
  <si>
    <t xml:space="preserve">những ngôi sao bạc, chiều cao hiệu ứng 6m, </t>
  </si>
  <si>
    <t>sidabrinės žvaigždės, kylančios į viršų 6m</t>
  </si>
  <si>
    <t>zvjezdice u boji, visina efekta 7m</t>
  </si>
  <si>
    <t>stelle di colore, altezza effetto 6m</t>
  </si>
  <si>
    <t xml:space="preserve">Fontanna  - kolorowe gwiazdki, wysokość efektu 6m  </t>
  </si>
  <si>
    <t>zvezdice u boji, visina efekta 6m</t>
  </si>
  <si>
    <t xml:space="preserve">các ngôi sao màu, chiều cao hiệu ứng 6m, </t>
  </si>
  <si>
    <t>spalvotos žvaigždės, kylančios į viršų 6m</t>
  </si>
  <si>
    <t>srebrne zvjezdice, visina efekta 7m</t>
  </si>
  <si>
    <t>stelle d'argento, altezza effetto 6m</t>
  </si>
  <si>
    <t xml:space="preserve">Fontanna  - srebrne gwiazdki, wysokość efektu 7m  </t>
  </si>
  <si>
    <t>srebrne zvezdice, visina efekta 7m</t>
  </si>
  <si>
    <t xml:space="preserve">những ngôi sao bạc, chiều cao hiệu ứng 7m, </t>
  </si>
  <si>
    <t>sidabrinės žvaigždės, kylančios į viršų 7m</t>
  </si>
  <si>
    <t>stelle scoppiettanti d'argento, altezza effetto 7m</t>
  </si>
  <si>
    <t xml:space="preserve">Fontanna  - kolorowe gwiazdki, wysokość efektu 7m  </t>
  </si>
  <si>
    <t>zvezdice u boji, visina efekta 7m</t>
  </si>
  <si>
    <t xml:space="preserve">các ngôi sao màu, chiều cao hiệu ứng 7m, </t>
  </si>
  <si>
    <t>spalvotos žvaigždės, kylančios į viršų 7m</t>
  </si>
  <si>
    <t>unutarnja fontana, simulacija rođendanskih svjećica+intonacija pjesme Happy birthday</t>
  </si>
  <si>
    <t xml:space="preserve">fontana interna, candela ardente e vorticoso + riproduzione della canzone happy birthday </t>
  </si>
  <si>
    <t>fontanna wewnętrzna, płonąca i wirująca świeczka + melodyjka Happy Birthday</t>
  </si>
  <si>
    <t>Rođendanske sveće sa melodijom</t>
  </si>
  <si>
    <t>vòi phun lửa bên trong, đốt và xoay nến + đồng thời phát bài hát Happy birthay</t>
  </si>
  <si>
    <t>patalpose naudojamas fontanas, deganti ir besisukanti žvakė, grojanti Happy Birthday dainą.</t>
  </si>
  <si>
    <t>tortna fontana - srebrne zvjezdice(hladna iskra), dužina 10cm, certifikat o sukladnosti za 
sigurnu uporabu s hranom</t>
  </si>
  <si>
    <t>stelle d'argento (fuoco freddo), lunghezza 10 cm, certificato igienico!</t>
  </si>
  <si>
    <t>Świeczka tortowa, srebrna 10cm</t>
  </si>
  <si>
    <t>Tortna Fontana 10cm</t>
  </si>
  <si>
    <t>Sao bạc (lửa lạnh), dài 10cm, giấy chứng nhận thực phẩm!</t>
  </si>
  <si>
    <t>sidabrinės žvaigždės,Tortinis fontanas, (šalta liepsna), ilgis 10cm, higienos sertifikatas!</t>
  </si>
  <si>
    <t>tortna fontana - srebrne zvjezdice(hladna iskra), dužina 20cm, certifikat o sukladnosti za 
sigurnu uporabu s hranom. Pojedinačni komad omotan srebrnim papirom.</t>
  </si>
  <si>
    <t>stelle d'argento (fuoco freddo), lunghezza 20 cm, certificato igienico! Carta argentata per pc singolo</t>
  </si>
  <si>
    <t>Świeczka tortowa, srebrna 20cm</t>
  </si>
  <si>
    <t>Tortna Fontana 20cm-zlatna</t>
  </si>
  <si>
    <t>sao bạc (lửa lạnh), dài 20cm, giấy chứng nhận thực phẩm! giấy bạc cho 1pc</t>
  </si>
  <si>
    <t>sidabrinės žvaigždės (šalta liepsna),Tortinis fontanas ilgis 20cm, higienos sertifikatas! Sidabrinis įpakav.</t>
  </si>
  <si>
    <t>tortna fontana - srebrne zvjezdice(hladna iskra), dužina 30cm, certifikat o sukladnosti za 
sigurnu uporabu s hranom. Pojedinačni komad omotan zlatnim papirom.</t>
  </si>
  <si>
    <t>stelle d'argento (fuoco freddo), lunghezza 30 cm, certificato igienico! Carta dorata per pc singolo</t>
  </si>
  <si>
    <t>Świeczka tortowa, złota 30cm</t>
  </si>
  <si>
    <t>Tortna Fontana 30cm</t>
  </si>
  <si>
    <t>Sao bạc (lửa lạnh), dài 30cm, giấy chứng nhận thực phẩm! giấy vàng cho 1pc</t>
  </si>
  <si>
    <t>sidabrinės žvaigždės (šalta liepsna), Tortinis fontanas ilgis 30cm, higienos sertifikatas! Auksinis įpakav.</t>
  </si>
  <si>
    <t>tortna fontana - srebrne zvjezdice(hladna iskra), dužina 12cm, certifikat o sukladnosti za 
sigurnu uporabu s hranom. Pojedinačni komad omotan zlatnim papirom.</t>
  </si>
  <si>
    <t>stelle d'argento (fuoco freddo), lunghezza 12 cm, certificato igienico! Carta dorata per pc singolo</t>
  </si>
  <si>
    <t>Świeczka tortowa, złota 12cm</t>
  </si>
  <si>
    <t>Tortna Fontana 12cm-zlatna</t>
  </si>
  <si>
    <t>Sao bạc (lửa lạnh), dài 12cm, giấy chứng nhận thực phẩm! giấy vàng cho 1pc</t>
  </si>
  <si>
    <t>sidabrinės žvaigždės (šalta liepsna), Tortinis fontanas ilgis 12cm, higienos sertifikatas! Auksinis įpakav.</t>
  </si>
  <si>
    <t>tortna fontana - srebrne zvjezdice(hladna iskra), dužina 20cm, certifikat o sukladnosti za 
sigurnu uporabu s hranom. Pojedinačni komad omotan zlatnim papirom.</t>
  </si>
  <si>
    <t>stelle d'argento (fuoco freddo), lunghezza 20 cm, certificato igienico! Carta dorata per pc singolo</t>
  </si>
  <si>
    <t>Świeczka tortowa, złota 20cm</t>
  </si>
  <si>
    <t>Sao bạc (lửa lạnh), dài 20cm, giấy chứng nhận thực phẩm! giấy vàng cho 1pc</t>
  </si>
  <si>
    <t>sidabrinės žvaigždės (šalta liepsna), Tortinis fontanas ilgis 20cm, higienos sertifikatas! Auksinis įpakav.</t>
  </si>
  <si>
    <t>Tortna Fontana 20cm-srebrna</t>
  </si>
  <si>
    <t>sidabrinės žvaigždės (šalta liepsna), Tortinis fontanas ilgis 20cm, higienos sertifikatas! Sidabrinis įpakav.</t>
  </si>
  <si>
    <t>tortna fontana - srebrne zvjezdice(hladna iskra), dužina 12cm, certifikat o sukladnosti za 
sigurnu uporabu s hranom. Pakiranje sadrži broj 0</t>
  </si>
  <si>
    <t>stelle d'argento (fuoco freddo), lunghezza 12 cm, certificato igienico! L'imballaggio contiene il numero 0</t>
  </si>
  <si>
    <t>Świeczka tortowa, srebrna 12cm cyferka 0</t>
  </si>
  <si>
    <t>Tortna Fontana 12cm sa brojem  0</t>
  </si>
  <si>
    <t>Sao bạc (lửa lạnh), dài 12cm, giấy chứng nhận thực phẩm! Gói chứa số 0</t>
  </si>
  <si>
    <t>sidabrinės žvaigždės (šalta, Tortinė, liepsna), ilgis 12cm, higienos sertifikatas! Pakuotėje yra skaičius 0</t>
  </si>
  <si>
    <t>tortna fontana - srebrne zvjezdice(hladna iskra), dužina 12cm, certifikat o sukladnosti za 
sigurnu uporabu s hranom. Pakiranje sadrži broj 1</t>
  </si>
  <si>
    <t>stelle d'argento (fuoco freddo), lunghezza 12 cm, certificato igienico! L'imballaggio contiene il numero 1</t>
  </si>
  <si>
    <t>Świeczka tortowa, srebrna 12cm cyferka  1</t>
  </si>
  <si>
    <t>Tortna Fontana 12cm sa brojem  1</t>
  </si>
  <si>
    <t>Sao bạc (lửa lạnh), dài 12cm, giấy chứng nhận thực phẩm! Gói chứa số 1</t>
  </si>
  <si>
    <t>sidabrinės žvaigždės (šalta, Tortinė, liepsna), ilgis 12cm, higienos sertifikatas! Pakuotėje yra skaičius 1</t>
  </si>
  <si>
    <t>tortna fontana - srebrne zvjezdice(hladna iskra), dužina 12cm, certifikat o sukladnosti za 
sigurnu uporabu s hranom. Pakiranje sadrži broj 2</t>
  </si>
  <si>
    <t>stelle d'argento (fuoco freddo), lunghezza 12 cm, certificato igienico! L'imballaggio contiene il numero 2</t>
  </si>
  <si>
    <t>Świeczka tortowa, srebrna 12cm cyferka 2</t>
  </si>
  <si>
    <t>Tortna Fontana 12cm sa brojem  2</t>
  </si>
  <si>
    <t>Sao bạc (lửa lạnh), dài 12cm, giấy chứng nhận thực phẩm! Gói chứa số 2</t>
  </si>
  <si>
    <t>sidabrinės žvaigždės (šalta, Tortinė, liepsna), ilgis 12cm, higienos sertifikatas! Pakuotėje yra skaičius 2</t>
  </si>
  <si>
    <t>tortna fontana - srebrne zvjezdice(hladna iskra), dužina 12cm, certifikat o sukladnosti za 
sigurnu uporabu s hranom. Pakiranje sadrži broj 3</t>
  </si>
  <si>
    <t>stelle d'argento (fuoco freddo), lunghezza 12 cm, certificato igienico! L'imballaggio contiene il numero 3</t>
  </si>
  <si>
    <t>Świeczka tortowa, srebrna 12cm cyferka 3</t>
  </si>
  <si>
    <t>Tortna Fontana 12cm sa brojem  3</t>
  </si>
  <si>
    <t>Sao bạc (lửa lạnh), dài 12cm, giấy chứng nhận thực phẩm! Gói chứa số 3</t>
  </si>
  <si>
    <t>sidabrinės žvaigždės (šalta, Tortinė, liepsna), ilgis 12cm, higienos sertifikatas! Pakuotėje yra skaičius 3</t>
  </si>
  <si>
    <t>tortna fontana - srebrne zvjezdice(hladna iskra), dužina 12cm, certifikat o sukladnosti za 
sigurnu uporabu s hranom. Pakiranje sadrži broj 4</t>
  </si>
  <si>
    <t>stelle d'argento (fuoco freddo), lunghezza 12 cm, certificato igienico! L'imballaggio contiene il numero 4</t>
  </si>
  <si>
    <t>Świeczka tortowa, srebrna 12cm cyferka 4</t>
  </si>
  <si>
    <t>Tortna Fontana 12cm sa brojem  4</t>
  </si>
  <si>
    <t>Sao bạc (lửa lạnh), dài 12cm, giấy chứng nhận thực phẩm! Gói chứa số 4</t>
  </si>
  <si>
    <t>sidabrinės žvaigždės (šalta, Tortinė, liepsna), ilgis 12cm, higienos sertifikatas! Pakuotėje yra skaičius 4</t>
  </si>
  <si>
    <t>tortna fontana - srebrne zvjezdice(hladna iskra), dužina 12cm, certifikat o sukladnosti za 
sigurnu uporabu s hranom. Pakiranje sadrži broj 5</t>
  </si>
  <si>
    <t>stelle d'argento (fuoco freddo), lunghezza 12 cm, certificato igienico! L'imballaggio contiene il numero 5</t>
  </si>
  <si>
    <t>Świeczka tortowa, srebrna 12cm cyferka 5</t>
  </si>
  <si>
    <t>Tortna Fontana 12cm sa brojem  5</t>
  </si>
  <si>
    <t>Sao bạc (lửa lạnh), dài 12cm, giấy chứng nhận thực phẩm! Gói chứa số 5</t>
  </si>
  <si>
    <t>sidabrinės žvaigždės (šalta, Tortinė, liepsna), ilgis 12cm, higienos sertifikatas! Pakuotėje yra skaičius 5</t>
  </si>
  <si>
    <t>tortna fontana - srebrne zvjezdice(hladna iskra), dužina 12cm, certifikat o sukladnosti za 
sigurnu uporabu s hranom. Pakiranje sadrži broj 6</t>
  </si>
  <si>
    <t>stelle d'argento (fuoco freddo), lunghezza 12 cm, certificato igienico! L'imballaggio contiene il numero 6</t>
  </si>
  <si>
    <t>Świeczka tortowa, srebrna 12cm cyferka 6</t>
  </si>
  <si>
    <t>Tortna Fontana 12cm sa brojem  6</t>
  </si>
  <si>
    <t>Sao bạc (lửa lạnh), dài 12cm, giấy chứng nhận thực phẩm! Gói chứa số 6</t>
  </si>
  <si>
    <t>sidabrinės žvaigždės (šalta, Tortinė, liepsna), ilgis 12cm, higienos sertifikatas! Pakuotėje yra skaičius 6</t>
  </si>
  <si>
    <t>tortna fontana - srebrne zvjezdice(hladna iskra), dužina 12cm, certifikat o sukladnosti za 
sigurnu uporabu s hranom. Pakiranje sadrži broj 7</t>
  </si>
  <si>
    <t>stelle d'argento (fuoco freddo), lunghezza 12 cm, certificato igienico! L'imballaggio contiene il numero 7</t>
  </si>
  <si>
    <t>Świeczka tortowa, srebrna 12cm cyferka 7</t>
  </si>
  <si>
    <t>Tortna Fontana 12cm sa brojem  7</t>
  </si>
  <si>
    <t>Sao bạc (lửa lạnh), dài 12cm, giấy chứng nhận thực phẩm! Gói chứa số 7</t>
  </si>
  <si>
    <t>sidabrinės žvaigždės (šalta, Tortinė,liepsna), ilgis 12cm, higienos sertifikatas! Pakuotėje yra skaičius 7</t>
  </si>
  <si>
    <t>tortna fontana - srebrne zvjezdice(hladna iskra), dužina 12cm, certifikat o sukladnosti za 
sigurnu uporabu s hranom. Pakiranje sadrži broj 8</t>
  </si>
  <si>
    <t>stelle d'argento (fuoco freddo), lunghezza 12 cm, certificato igienico! L'imballaggio contiene il numero 8</t>
  </si>
  <si>
    <t>Świeczka tortowa, srebrna 12cm cyferka 8</t>
  </si>
  <si>
    <t>Tortna Fontana 12cm sa brojem  8</t>
  </si>
  <si>
    <t>Sao bạc (lửa lạnh), dài 12cm, giấy chứng nhận thực phẩm! Gói chứa số 8</t>
  </si>
  <si>
    <t>sidabrinės žvaigždės (šalta, Tortinė, liepsna), ilgis 12cm, higienos sertifikatas! Pakuotėje yra skaičius 8</t>
  </si>
  <si>
    <t>tortna fontana - srebrne zvjezdice(hladna iskra), dužina 12cm, certifikat o sukladnosti za 
sigurnu uporabu s hranom. Pakiranje sadrži broj 9</t>
  </si>
  <si>
    <t>stelle d'argento (fuoco freddo), lunghezza 12 cm, certificato igienico! L'imballaggio contiene il numero 9</t>
  </si>
  <si>
    <t>Świeczka tortowa, srebrna 12cm cyferka 9</t>
  </si>
  <si>
    <t>Tortna Fontana 12cm sa brojem  9</t>
  </si>
  <si>
    <t>Sao bạc (lửa lạnh), dài 12cm, giấy chứng nhận thực phẩm! Gói chứa số 9</t>
  </si>
  <si>
    <t>sidabrinės žvaigždės (šalta, Tortinė,  liepsna), ilgis 12cm, higienos sertifikatas! Pakuotėje yra skaičius 9</t>
  </si>
  <si>
    <t>tortna fontana - srebrne zvjezdice(hladna iskra), dužina 12cm, certifikat o sukladnosti za 
sigurnu uporabu s hranom. Pakiranje sadrži brojeve od 0-9</t>
  </si>
  <si>
    <t>stelle d'argento (fuoco freddo), lunghezza 12 cm, certificato igienico! L'imballaggio contiene il numero di mix 0-9</t>
  </si>
  <si>
    <t>Świeczka tortowa, srebrna 12cm mix cyferki 0-9</t>
  </si>
  <si>
    <t>Tortna Fontana 12cm sa brojevima 0-9</t>
  </si>
  <si>
    <t>Sao bạc (lửa lạnh), dài 12cm, giấy chứng nhận thực phẩm! Gói chứa hỗn hợp các số 0-9</t>
  </si>
  <si>
    <t>sidabrinės žvaigždės (šalta, Tortinė, liepsna), ilgis 12cm, higienos sertifikatas! Pakuotėje yra skaičiai 0-9</t>
  </si>
  <si>
    <t>konfete dužine 40cm, sjajni papir u boji</t>
  </si>
  <si>
    <t>lunghezza 40cm,carte a colori brillanti</t>
  </si>
  <si>
    <t>Konfetti pneumatyczne w tubie, długość 40cm, błyszcząca kolorowa folia</t>
  </si>
  <si>
    <t>Party Konfeta 40cm</t>
  </si>
  <si>
    <t>Chiều dài 40cm, giấy màu bóng</t>
  </si>
  <si>
    <t>40cm ilgio, spindintys spalvoti poperėliai</t>
  </si>
  <si>
    <t>konfete dužine 40cm, srebrna srca i ružine latice</t>
  </si>
  <si>
    <t>lunghezza 40cm,cuori d'argento + foglie di rosa</t>
  </si>
  <si>
    <t>Konfetti pneumatyczne w tubie, długość 40cm, srebrne serduszka + płatki róży</t>
  </si>
  <si>
    <t>Svadbena Konfeta 40cm</t>
  </si>
  <si>
    <t>Chiều dài 40cm, trái tim bạc + cánh hoa hồng</t>
  </si>
  <si>
    <t>40cm ilgio, sidabrinės širdys ir rožių žiedlapiai</t>
  </si>
  <si>
    <t>konfete dužine 40cm, novčanice EUR</t>
  </si>
  <si>
    <t>lunghezza 40cm,banconote IN EURO</t>
  </si>
  <si>
    <t>Konfetti pneumatyczne w tubie, długość 40cm, banknoty EURO</t>
  </si>
  <si>
    <t>Firmirana Konfeta 40cm</t>
  </si>
  <si>
    <t>Chiều dài 40cm, tiền giấy euro</t>
  </si>
  <si>
    <t>40cm ilgio, EUR banknotai</t>
  </si>
  <si>
    <t>konfete dužine 80cm, sjajni papir u boji</t>
  </si>
  <si>
    <t>lunghezza 80cm,carte a colori brillanti</t>
  </si>
  <si>
    <t>Konfetti pneumatyczne w tubie, długość 80cm, błyszcząca kolorowa folia</t>
  </si>
  <si>
    <t>Party Konfeta 80cm</t>
  </si>
  <si>
    <t>Chiều dài 80cm, giấy màu bóng</t>
  </si>
  <si>
    <t>80cm ilgio, spindintys spalvoti poperėliai</t>
  </si>
  <si>
    <t>konfete dužine 80cm, sjajni zlatni papir</t>
  </si>
  <si>
    <t>lunghezza 80cm,carte dorate splendenti</t>
  </si>
  <si>
    <t>Konfetti pneumatyczne w tubie, długość 80cm, błyszcząca złota folia</t>
  </si>
  <si>
    <t>Party Konfeta 80cm zlatna</t>
  </si>
  <si>
    <t>Chiều dài 80cm, mảnh giấy vàng sáng bóng</t>
  </si>
  <si>
    <t>80cm ilgio, spindintys auksiniai poperėliai</t>
  </si>
  <si>
    <t>konfete dužine 80cm, novčanice EUR</t>
  </si>
  <si>
    <t>lunghezza 80cm,banconote IN EURO</t>
  </si>
  <si>
    <t>Konfetti pneumatyczne w tubie, długość 80cm, banknoty EURO</t>
  </si>
  <si>
    <t>Firmirana Konfeta 80cm</t>
  </si>
  <si>
    <t>Chiều dài 80cm, tiền giấy euro</t>
  </si>
  <si>
    <t>80cm ilgio, EUR banknotai</t>
  </si>
  <si>
    <t>20 pucnjeva, trag u boji, dužina 44cm</t>
  </si>
  <si>
    <t xml:space="preserve">Coda di colore 20sh, lunghezza 44 cm </t>
  </si>
  <si>
    <t>rzymski ogień, 20 strz. kolorowe komety, 44cm</t>
  </si>
  <si>
    <t>rimska sveća 20 boja, dužina štapa 44cm</t>
  </si>
  <si>
    <t>20 phát đạn pháo sáng màu tròn, dài 44cm</t>
  </si>
  <si>
    <t>20 šūvių spalvota uodega, 44cm ilgio</t>
  </si>
  <si>
    <t>40 pucnjeva, trag u boji, dužina 70cm</t>
  </si>
  <si>
    <t>Coda di colore 40sh, lunghezza 70 cm</t>
  </si>
  <si>
    <t>rzymski ogień, 40 strz. kolorowe komety, 70cm</t>
  </si>
  <si>
    <t>rimska sveća 40 boja, dužina štapa 70cm</t>
  </si>
  <si>
    <t>40 phát đạn pháo sáng tròn màu, dài 70cm</t>
  </si>
  <si>
    <t>40 šūvių spalvota uodega, 70cm ilgio</t>
  </si>
  <si>
    <t>10 pucnjeva, trag u boji, dužina 54cm</t>
  </si>
  <si>
    <t xml:space="preserve">Coda di colore 10sh, lunghezza 54 cm </t>
  </si>
  <si>
    <t>rzymski ogień, 10 strz. kolorowe komety, 54cm</t>
  </si>
  <si>
    <t>rimska sveća 10 boja, dužina štapa 54cm</t>
  </si>
  <si>
    <t>10 phát đạn pháo sáng tròn màu, dài 54cm</t>
  </si>
  <si>
    <t>10 šūvių spalvota uodega, 54cm ilgio</t>
  </si>
  <si>
    <t>20 pucnjeva, pucketajuća kometa, dužina 54cm</t>
  </si>
  <si>
    <t>Comete scoppiettanti da 20sh, lunghezza 54 cm</t>
  </si>
  <si>
    <t>rzymski ogień, 20 strz. trzeszczące komety, 54cm</t>
  </si>
  <si>
    <t>Praskave Komete 20s/54cm</t>
  </si>
  <si>
    <t>20 phát đạno chổi kêu răng rắc, dài 54cm</t>
  </si>
  <si>
    <t>20 šūvių traškanti kometa, 54cm ilgio</t>
  </si>
  <si>
    <t>20 pucnjeva, pucketajuća kometa, dužina 70cm</t>
  </si>
  <si>
    <t>Comete scoppiettanti da 20, lunghezza 70 cm</t>
  </si>
  <si>
    <t>rzymski ogień, 20 strz. trzeszczące komety, 70cm</t>
  </si>
  <si>
    <t>Praskave Komete 20s/70cm</t>
  </si>
  <si>
    <t>20 phát đạn sao chổi kêu răng rắc, dài 70cm</t>
  </si>
  <si>
    <t>20 šūvių traškanti kometa, 70cm ilgio</t>
  </si>
  <si>
    <t>20 pucnjeva, trag u boji, dužina 60cm</t>
  </si>
  <si>
    <t>Coda di colore 20sh, lunghezza 60 cm</t>
  </si>
  <si>
    <t>rzymski ogień, 20 strz. kolorowe komety, 60cm</t>
  </si>
  <si>
    <t>rimska sveća 20 boja, dužina štapa 60cm</t>
  </si>
  <si>
    <t>20 phát đạn pháo sáng màu tròn, dài 60cm</t>
  </si>
  <si>
    <t>20 šūvių traškanti kometa, 60cm ilgio</t>
  </si>
  <si>
    <t>10 pucnjeva trag u boji+10 pucnjeva pucketajuća kometa, dužina 65cm</t>
  </si>
  <si>
    <t>10sh colore coda + 10sh cometa scoppiettante, lunghezza 65 cm</t>
  </si>
  <si>
    <t>rzymski ogień, 10 strz. kolorowe komety + 10 strz. trzeszczące komety, 65cm</t>
  </si>
  <si>
    <t>10 kuglica u boji+10 kreker komete, dužina štapa 65cm</t>
  </si>
  <si>
    <t>10 phát đạn pháo sáng màu + 10 vòng sao chổi, chiều dài 65cm</t>
  </si>
  <si>
    <t>10 šūvių spalvota uodega ir 10 šūvių traškanti kometa, 65cm ilgio</t>
  </si>
  <si>
    <t>Set sadrži rimske svijeće 20 pucnjeva, dužina 60cm (uključuje R5420K-2kom, R6020B, R6520BK, 
R7020BK-2kom)</t>
  </si>
  <si>
    <t>La confezione mista contiene candele romane da 20 ciglia, lunghezza 60 cm (incluso R5420K-2pc, R6020B, R6520BK, R7020BK-2pc)</t>
  </si>
  <si>
    <t>rzymskie ognie mix, 20strz. długość 60cm (R5420K-2szt, R6020B, R6520BK, R7020BK-2szt)</t>
  </si>
  <si>
    <t>Mix:R5420K-2kom, R6020B, R6520BK, R7020BK-2kom</t>
  </si>
  <si>
    <t>hỗn hợp 20 phát đạn nến La Mã (R5420K-2pcs, R6020B, R6520BK, R7020BK-2pcs), chiều dài 60cm</t>
  </si>
  <si>
    <t>Rinkinyje yra 20 šūvių romėniškos ugnies lazdelės, 60cm ilgio (R5420K-2pc, R6020B, R6520BK, R7020BK 2 vienetai)</t>
  </si>
  <si>
    <t>Set sadrži rimske svijeće 20 pucnjeva, dužina70cm(uključuje 3 kom R7020K, R6020B, R6520BK,R7020BK)</t>
  </si>
  <si>
    <t>Il pacchetto misto contiene candele romane da 20 ciglia, lunghezza 70 cm (di cui 3pc di R7020K, R6020B, R6520BK, R7020BK)</t>
  </si>
  <si>
    <t>rzymskie ognie mix, 20strz. długość 70cm (3szt R7020K, R6020B, R6520BK, R7020BK)</t>
  </si>
  <si>
    <t>Mix po 3kom.  R7020K, R6020B, R6520BK,R7020BK</t>
  </si>
  <si>
    <t>hỗn hợp 20 phát đạn nến La Mã (3 chiếc-R7020K, R6020B, R6520BK, R7020BK), chiều dài 70cm</t>
  </si>
  <si>
    <t>Rinkinyje yra 20 šūvių romėniškos ugnies lazdelės, 70cm ilgio (R7020K, R6020B, R6520BK,R7020BK 3 vienetai)</t>
  </si>
  <si>
    <t>40 phát đạn sáng tròn màu, dài 70cm</t>
  </si>
  <si>
    <t>40 šūvių spalvota kamuoliukais šaudanti lazdele 70cm ilgio</t>
  </si>
  <si>
    <t>8 pucnjeva, srebrni trag, pucanj s pucketanjem, dužina 58cm</t>
  </si>
  <si>
    <t>8sh coda d'argento+ saluto in titanio con scoppiettante, lunghezza 58 cm</t>
  </si>
  <si>
    <t>Rzymski ogień, 8 strz. srebrne komety +głośny huk z trzeszczeniem, 58cm</t>
  </si>
  <si>
    <t>titanijumski pucanj, dužina štapa 58cm</t>
  </si>
  <si>
    <t>8 phát đạn bạc dừng + kích nổ titan với các ngôi sao kêu răng rắc, dài 58cm</t>
  </si>
  <si>
    <t>8 šūvių sidabrinė uodega ir titano saliutas su traškesiu, 58cm ilgio</t>
  </si>
  <si>
    <t>8 pucnjeva, 3 različita efekta u boji, dužina 60cm</t>
  </si>
  <si>
    <t>Cometa scoppiettante 8sh, lunghezza 60 cm</t>
  </si>
  <si>
    <t>rzymski ogień, 8 strz. 3 różnokolorowe efekty, 60cm</t>
  </si>
  <si>
    <t>8s sa 3 različita efekta, dužina štapa 60cm</t>
  </si>
  <si>
    <t>8 phát đạn, 3 hiệu ứng khác nhau xen kẽ sau mỗi lần bắn, chiều dài 60cm</t>
  </si>
  <si>
    <t>8 šūvių 3 skirtingų spalvų efektai, 60cm ilgio</t>
  </si>
  <si>
    <t>Set sadrži rimske svijeće od 8 pucnjeva: R5808D, R6008E, R6008K,R7508E</t>
  </si>
  <si>
    <t>La confezione mista contiene candela romana 8sh tra cui: R5808D, R6008E, R6008K,R7508E</t>
  </si>
  <si>
    <t>rzymskie ognie mix, 8strz. długość 60cm (R5808D, R6008E, R6008K,R7508E)</t>
  </si>
  <si>
    <t>Mix R5808D, R6008E, R6008K,R7508E</t>
  </si>
  <si>
    <t>hỗn hợp nến La Mã 8 phát đạn (mỗi vòng 1 cái R5808D, R6008E, R6008K, R7508E), chiều dài 60cm</t>
  </si>
  <si>
    <t>Rinkinyje yra 8 šūvių romėniškos ugnies lazdelės: R5808D, R6008E, R6008K, R7508E</t>
  </si>
  <si>
    <t>8 pucnjeva, srebrni zviždući trag, dužina 65cm</t>
  </si>
  <si>
    <t>Coda fischiettante d'argento 8sh, lunghezza 65 cm</t>
  </si>
  <si>
    <t>rzymski ogień, 8 strz. srebrna kometa z gwizdem, 65cm</t>
  </si>
  <si>
    <t>8s, srebrni zvižduk, dužina štapa 60cm</t>
  </si>
  <si>
    <t>Theo dõi huýt sáo bạc 8 phát đạn, chiều dài 65cm</t>
  </si>
  <si>
    <t>8 šūvių sidabrinė švilpianti uodega, 65cm ilgio</t>
  </si>
  <si>
    <t>8 pucnjeva, 3 različita efekta u boji, dužina 75cm</t>
  </si>
  <si>
    <t>8sh 3 effetti di colore diversi, lunghezza 75 cm</t>
  </si>
  <si>
    <t>rzymski ogień, 8 strz. 3 różnokolorowe efekty, 75cm</t>
  </si>
  <si>
    <t>8s sa 3 različita efekta, dužina štapa 75cm</t>
  </si>
  <si>
    <t>8 phát đạn, 3 hiệu ứng khác nhau xen kẽ sau mỗi lần bắn, chiều dài 75cm</t>
  </si>
  <si>
    <t>8 šūvių 3 skirtingų spalvų efektai, 75cm ilgio</t>
  </si>
  <si>
    <t>R7508SIG</t>
  </si>
  <si>
    <t>Signature range Roman candle 20mm</t>
  </si>
  <si>
    <t>8 pucnjeva, 4 različita efekta u boji, dužina 75cm</t>
  </si>
  <si>
    <t>8sh,4 diversi effetti di colore,75cm di lunghezza</t>
  </si>
  <si>
    <t>rzymski ogień, 8 strz. 4 różnokolorowe efekty, 75cm</t>
  </si>
  <si>
    <t>8s sa 4 različita efekta, dužina štapa 75cm</t>
  </si>
  <si>
    <t>8 phát đạn, 4 hiệu ứng nhiều màu, chiều dài 75cm</t>
  </si>
  <si>
    <t>8 šūvių 4 skirtingų spalvų efektai, 75cm ilgio</t>
  </si>
  <si>
    <t>8 pucnjeva, zlatni trag+zlatna kiša, dužina 75cm</t>
  </si>
  <si>
    <t>8sh,coda di broccato+corona di broccato, lunghezza 75 cm</t>
  </si>
  <si>
    <t>rzymski ogień, 8 strz. brokatowa kometa + opadająca brokatowa korona efekty, 75cm</t>
  </si>
  <si>
    <t>8s , brokadni rep+brokadna kruna, dužina štapa 75cm</t>
  </si>
  <si>
    <t>Dấu chân (brocade) 8 phát đạn + vương miện (brocade), chiều dài 75cm</t>
  </si>
  <si>
    <t>8 šūvių brokato uodega ir brokato vainikas, 75c ilgio</t>
  </si>
  <si>
    <t>rimska svijeća 91 pucanj, 4 različite boje</t>
  </si>
  <si>
    <t>candela romana 91sh, 4 colori diversi</t>
  </si>
  <si>
    <t>rzymski ogień 91 strz. 4 różnokolorowe efekty</t>
  </si>
  <si>
    <t>rimska sveća 91 pucanj, 4 različita efekta</t>
  </si>
  <si>
    <t>nến La Mã 91 phát đạn, 4 hiệu ứng nhiều màu</t>
  </si>
  <si>
    <t>91 šūvio 4 skirtingų spalvų romėniškos ugnies šaudantis vamzdis</t>
  </si>
  <si>
    <t>srebrna mina, crveni trag i pucanj</t>
  </si>
  <si>
    <t>miniera d'argento a coda rossa a saluto titanio</t>
  </si>
  <si>
    <t>srebrna mina, czerwona kometa, głośny huk</t>
  </si>
  <si>
    <t>srebrna mina,crveni rep, titanijumski pucanj</t>
  </si>
  <si>
    <t>quét bạc + dấu vết đỏ và kích nổ titan</t>
  </si>
  <si>
    <t>sidabrinė mina su raudona uodega ir titano saliutu</t>
  </si>
  <si>
    <t>padobran u dvije različite boje</t>
  </si>
  <si>
    <t>2 paracadute di colore diverso</t>
  </si>
  <si>
    <t>efekt spadochronu w 2 różnych kolorach</t>
  </si>
  <si>
    <t>padobran sa 2 različita efekta u boji</t>
  </si>
  <si>
    <t>đèn màu trên dù (2 cái)</t>
  </si>
  <si>
    <t>2 spalvų parašiutas</t>
  </si>
  <si>
    <t>zviždeći trag</t>
  </si>
  <si>
    <t>coda fischiettante</t>
  </si>
  <si>
    <t>gwiżdżąca kometa</t>
  </si>
  <si>
    <t>dấu vết huýt sáo</t>
  </si>
  <si>
    <t>švilpianti uodega</t>
  </si>
  <si>
    <t>4 różnokolorowe efekty</t>
  </si>
  <si>
    <t>4 različita efekta u boji-efekti s niskom razinom buke</t>
  </si>
  <si>
    <t>4 diversi effetti di colore- nessun rumore</t>
  </si>
  <si>
    <t>4 różnokolorowe ciche efekty</t>
  </si>
  <si>
    <t>4 različita efekta u boji - bez buke</t>
  </si>
  <si>
    <t>4 hiệu ứng nhiều màu - không nhiễu</t>
  </si>
  <si>
    <t>4 Skirtingi spalvoti efektai, be garso</t>
  </si>
  <si>
    <t>srebrna mina, crveni trag, pucanj</t>
  </si>
  <si>
    <t>(silver mine) với dấu vết màu đỏ và một vụ nổ titan</t>
  </si>
  <si>
    <t>(silver mine) có dấu vết màu đỏ và một vụ nổ titan</t>
  </si>
  <si>
    <t>No limit! Kulovky v moždíři 50mm</t>
  </si>
  <si>
    <t>zviždanje+fontana+mina</t>
  </si>
  <si>
    <t xml:space="preserve">fischi+fontana+miniera </t>
  </si>
  <si>
    <t>Gwizd + fontanna + mina</t>
  </si>
  <si>
    <t>zvižduk + fontana + projektil</t>
  </si>
  <si>
    <t>còi + vòi phun lửa + (mine)</t>
  </si>
  <si>
    <t>švilpimas, fontanas ir mina</t>
  </si>
  <si>
    <t>6 različitih efekata, promjer 50mm (vrhunska kvaliteta)</t>
  </si>
  <si>
    <t>6 effetti diversi, diametr 50mm (alta qualità)</t>
  </si>
  <si>
    <t>moździerz 6 różnych efektów, kaliber 50 mm (najwyższa jakość)</t>
  </si>
  <si>
    <t>6 različita efekta prečnika 50mm</t>
  </si>
  <si>
    <t xml:space="preserve">6 hiệu ứng màu sắc khác nhau, dấu vết kính 50 mm (chất lượng hàng đầu) </t>
  </si>
  <si>
    <t>6 Skirtingi spalvoti efektai. , 50mm skersmuo, aukščiausios kokybės</t>
  </si>
  <si>
    <t>18 efekata različitih boja 50mm (cilindar bombe) - profesionalna kvaliteta</t>
  </si>
  <si>
    <t>18 effetti da 50 mm di colore diverso (bomba cilindrica) - qualità professionale</t>
  </si>
  <si>
    <t>18 różnokolorowych efektów 50 mm (bomba cylindryczna) najwyysza jakość</t>
  </si>
  <si>
    <t>18 različita efekta, prečnik cilindra 50mm, profesionalni kvalitet</t>
  </si>
  <si>
    <t>18 hiệu ứng 50mm màu khác nhau (bom hình trụ) - chất lượng chuyên nghiệp</t>
  </si>
  <si>
    <t>18 Skirtingi spalvoti efektai.  (cilindrinė bomba), 50mm, skirtas profesionaliam šaudymui.</t>
  </si>
  <si>
    <t>zelena rotacija s pucketanjem</t>
  </si>
  <si>
    <t>ruotare verde con crepitio</t>
  </si>
  <si>
    <t>zielony bączek z trzeszczeniem</t>
  </si>
  <si>
    <t>zelena rotacija sa krekerima</t>
  </si>
  <si>
    <t>vòi phun lửa xanh quay với những ngôi sao kêu</t>
  </si>
  <si>
    <t>žalias besisukantis fontanas su traškesiu</t>
  </si>
  <si>
    <t>RP5DU14(1)</t>
  </si>
  <si>
    <t>CP5DU14(R)</t>
  </si>
  <si>
    <t>Crackling Dumbum</t>
  </si>
  <si>
    <t>red light+strong crackling</t>
  </si>
  <si>
    <t>červené světlo + silné práskající hěvzdy</t>
  </si>
  <si>
    <t>rotes Licht + starkes Crackling</t>
  </si>
  <si>
    <t>crveno svjetlo + jako pucketanje</t>
  </si>
  <si>
    <t>semaforo rosso+forte crepitio</t>
  </si>
  <si>
    <t>czerwone światło z mocnym trzeszczeniem</t>
  </si>
  <si>
    <t>crvena svetlost sa jakim krekerima</t>
  </si>
  <si>
    <t>ánh sáng đỏ + sao nứt mạnh</t>
  </si>
  <si>
    <t>raudona šviesa ir stiprus traškėjimas</t>
  </si>
  <si>
    <t>CP5DU14(R)1</t>
  </si>
  <si>
    <t>CP5DU14(G)</t>
  </si>
  <si>
    <t>green light+strong crackling</t>
  </si>
  <si>
    <t>zelené světlo + silné práskající hěvzdy</t>
  </si>
  <si>
    <t>grünes Licht + starkes Crackling</t>
  </si>
  <si>
    <t>zeleno svjetlo + jako pucketanje</t>
  </si>
  <si>
    <t>semaforo verde+forte crepitio</t>
  </si>
  <si>
    <t>zielone światło z mocnym trzeszczeniem</t>
  </si>
  <si>
    <t>zelena svetlost sa jakim krekerima</t>
  </si>
  <si>
    <t>ánh sáng xanh + sao nứt mạnh</t>
  </si>
  <si>
    <t>žalia šviesa ir stiprus traškėjimas</t>
  </si>
  <si>
    <t>CP5DU14(G)1</t>
  </si>
  <si>
    <t>mala petarda kres, snaga zvuka 112dB na udaljenosti 8m</t>
  </si>
  <si>
    <t>scatcher piccolo petard, potenza sonora 112dB da 8m</t>
  </si>
  <si>
    <t>małe petardy na draskę, głośność 112dB z 8m</t>
  </si>
  <si>
    <t>mala petarda na trenje, jačina 112dB na 8m</t>
  </si>
  <si>
    <t>pháo quẹt nhỏ, sức nổ 112dB từ 8m</t>
  </si>
  <si>
    <t>maža petarda, garso galia 112dB nuo 8m</t>
  </si>
  <si>
    <t>petarda kres, snaga zvuka 116dB na udaljenosti 8m</t>
  </si>
  <si>
    <t>petard scatcher, potenza sonora 116dB da 8m</t>
  </si>
  <si>
    <t>petardy na draskę, głośność 116dB z 8m</t>
  </si>
  <si>
    <t>mala petarda na trenje, jačina 116dB na 8m</t>
  </si>
  <si>
    <t>pháo quẹt lớn, sức nổ 116dB từ 8m</t>
  </si>
  <si>
    <t>petarda, garso galia 116dB nuo 8m</t>
  </si>
  <si>
    <t>pháo lớn, sức nổ 116dB từ 8m</t>
  </si>
  <si>
    <t>petarda kres(dvostruka), snaga zvuka 116+116dB na udaljenosti 8m</t>
  </si>
  <si>
    <t>scatcher petard(doppio), potenza sonora 116+116 dB da 8m</t>
  </si>
  <si>
    <t>petardy na draskę (dwustrzałowe),głośność 2 x 116dB z 8m</t>
  </si>
  <si>
    <t>dupli pucanj na trenje, 116dB na 8m</t>
  </si>
  <si>
    <t>pháo quẹt lớn (hai viên), sức nổ 116 + 116dB từ 8m</t>
  </si>
  <si>
    <t>dviguba petarda, garso galia 116+116dB nuo 8m</t>
  </si>
  <si>
    <t>petarda kres, snaga zvuka 119dB na udaljenosti 15m, proizvedeno u Europi, plastični čep</t>
  </si>
  <si>
    <t>petard scatcher, potenza sonora 119dB da 15m, made in Europe, guarnizione in plastica</t>
  </si>
  <si>
    <t>petardy na draskę, głośność 119dB z 15m, (z plastikową zatyczką) produkcja Eu</t>
  </si>
  <si>
    <t>petarda na trenje,119dB na 15m, plastični čep, proizvedeno u Evropi</t>
  </si>
  <si>
    <t>pháo quẹt, độ nổ 119dB từ 15m, xuất xứ Châu Âu, cấm đít ống bằng nhựa</t>
  </si>
  <si>
    <t>petarda, garso galia 119dB nuo 15m, pagaminta Europoje, plastikinis uždarymas</t>
  </si>
  <si>
    <t>PS05D(1)</t>
  </si>
  <si>
    <t>pháo quẹt, độ nổ 119dB từ 15m, xuất xứ Châu Âu, cấm đít ống bằng nhự</t>
  </si>
  <si>
    <t>petarda kres, snaga zvuka 120dB na udaljenosti 15m, proizvedeno u Europi, plastični čep</t>
  </si>
  <si>
    <t>petard scatcher, potenza sonora 120dB da 15m, made in Europe, guarnizione in plastica</t>
  </si>
  <si>
    <t>petardy na draskę, głośność 120dB z 15m, (z plastikową zatyczką) produkcja Eu</t>
  </si>
  <si>
    <t>petarda na trenje,120dB na 15m, plastični čep, proizvedeno u Evropi</t>
  </si>
  <si>
    <t>pháo quẹt, độ nổ 120dB từ 15m, xuất xứ Châu Âu, cấm đít ống bằng nhự</t>
  </si>
  <si>
    <t>petarda, garso galia 120dB nuo 15m, pagaminta Europoje, plastikinis uždarymas</t>
  </si>
  <si>
    <t>PS10D10(1)</t>
  </si>
  <si>
    <t>snaga zvuka 114dB na udaljenosti 8m</t>
  </si>
  <si>
    <t>potenza sonora 114dB da 8m</t>
  </si>
  <si>
    <t>petardy lontowe, głośność 114dB z 8m</t>
  </si>
  <si>
    <t>jačina zvuka 114dB na 8m</t>
  </si>
  <si>
    <t>sức nổ 114dB từ 8m</t>
  </si>
  <si>
    <t>garso galia 114dB nuo 8m</t>
  </si>
  <si>
    <t>snaga zvuka 117dB na udaljenosti 8m</t>
  </si>
  <si>
    <t>potenza sonora 117dB da 8m</t>
  </si>
  <si>
    <t>petardy lontowe, głośność 117dB z 8m</t>
  </si>
  <si>
    <t>jačina zvuka 117dB na 8m</t>
  </si>
  <si>
    <t>sức nổ 117dB từ 8m</t>
  </si>
  <si>
    <t>garso galia 117dB nuo 8m</t>
  </si>
  <si>
    <t>snaga zvuka 119dB na udaljenosti 8m</t>
  </si>
  <si>
    <t>potenza sonora 119dB da 8m</t>
  </si>
  <si>
    <t>petardy lontowe, głośność 119dB z 8m</t>
  </si>
  <si>
    <t>jačina zvuka 119dB na 8m</t>
  </si>
  <si>
    <t>sức nổ 119dB từ 8m</t>
  </si>
  <si>
    <t>garso galia 119dB nuo 8m</t>
  </si>
  <si>
    <t>K0203KB</t>
  </si>
  <si>
    <t>K0203BP</t>
  </si>
  <si>
    <t>Dumbum Black Pirat</t>
  </si>
  <si>
    <t>snaga zvuka 120dB na udaljenosti 8m, proizvedeno u Europi, plastični čep</t>
  </si>
  <si>
    <t>potenza sonora 120dB forma 8m, made in Europe, guarnizione in plastica</t>
  </si>
  <si>
    <t>petardy lontowe, głośność 120dB z 8m, (z plastikową zatyczką) produkcja Eu</t>
  </si>
  <si>
    <t>jačina 120dB na 8m, plastičan čep, proizvedeno u Evropi</t>
  </si>
  <si>
    <t>sức nổ 120dB từ 8m, sản xuất tại Châu Âu, cấm đít ống bằng nhựa</t>
  </si>
  <si>
    <t>garso galia 120dB nuo 15m, pagaminta Europoje, plastikinis uždarymas</t>
  </si>
  <si>
    <t>snaga zvuka 120dB na udaljenosti 8m (crni barut)</t>
  </si>
  <si>
    <t>potenza sonora 120dB da 8m (polvere nera)</t>
  </si>
  <si>
    <t>petardy lontowe, głośność 120dB z 8m (czarno prochowe)</t>
  </si>
  <si>
    <t>jačina zvuka 120dB na 8m, crni barut</t>
  </si>
  <si>
    <t xml:space="preserve">sức nổ 120dB từ 8m (pháo bột màu đen) </t>
  </si>
  <si>
    <t>garso galia 120dB nuo 8m (juodojo parako gaminys)</t>
  </si>
  <si>
    <t>snaga zvuka 120dB na udaljenosti 15m, proizvedeno u Europi, plastični čep</t>
  </si>
  <si>
    <t>potenza sonora 120dB forma 15m, made in Europe, guarnizione in plastica</t>
  </si>
  <si>
    <t>petardy lontowe, głośność 120dB z 15m, (z plastikową zatyczką) produkcja Eu</t>
  </si>
  <si>
    <t>jačina 120dB na 15m, plastičan čep, proizvedeno u Evropi</t>
  </si>
  <si>
    <t>sức nổ120dB từ 15m, sản xuất tại Châu Âu, cấm đít ống bằng nhựa</t>
  </si>
  <si>
    <t>sức nổ120dB từ 15m, sản xuất tại Châu Âu, cấm đít ống bằng nhựa4</t>
  </si>
  <si>
    <t>P6A14F3</t>
  </si>
  <si>
    <t>sound power 117dB from 15m with green light on the start</t>
  </si>
  <si>
    <t>síla výbuchu 117dB z 15m se zeleným světlem na začátku</t>
  </si>
  <si>
    <t>Explosionskraft 117dB von 15m mit grünes Licht</t>
  </si>
  <si>
    <t>snaga zvuka 118dB na udaljenosti 15m, plastični čep</t>
  </si>
  <si>
    <t>potenza sonora 117dB da 15m con luce verde all'inizio</t>
  </si>
  <si>
    <t>petardy lontowe z zielonym błyskiem, głośność 117dB z 15m</t>
  </si>
  <si>
    <t>Petarda sa zelenim bljeskom na početku, jačina zvuka 117dB na 15m</t>
  </si>
  <si>
    <t>garso galia 117dB nuo 15m su žalia šviesa pradžioje</t>
  </si>
  <si>
    <t>P7A14</t>
  </si>
  <si>
    <t>Dumbum Silver</t>
  </si>
  <si>
    <t>sound power 118dB from 15m, plastic seal</t>
  </si>
  <si>
    <t>síla výbuchu 118dB z 15m, plastové ucpávky</t>
  </si>
  <si>
    <t>Explosionskraft 118dB von 15m, Plastikdichtung</t>
  </si>
  <si>
    <t>potenza sonora 118dB da 15m, guarnizione in plastica</t>
  </si>
  <si>
    <t>petardy lontowe, głośność 118dB z 15m, (plastikowe zatyczki)</t>
  </si>
  <si>
    <t>petarda, jačina zvuka 118dB na 15m, plastični čep</t>
  </si>
  <si>
    <t>sức nổ 118dB từ 15m, cấm đít ống bằng nhựa</t>
  </si>
  <si>
    <t>garso galia 118dB nuo 15m, plastikinis uždarymas</t>
  </si>
  <si>
    <t>snaga zvuka 120dB na udaljenosti 15m</t>
  </si>
  <si>
    <t>potenza sonora 120dB da 15m</t>
  </si>
  <si>
    <t>petardy lontowe, głośność 120dB z 15m</t>
  </si>
  <si>
    <t>jačina zvuka 120dB na 15m</t>
  </si>
  <si>
    <t>sức nổ120dB từ 15m</t>
  </si>
  <si>
    <t>garso galia 120dB nuo 15m</t>
  </si>
  <si>
    <t>snaga zvuka 120dB na udaljenosti 15m, sa zelenim svjetlosnim efektom na početku</t>
  </si>
  <si>
    <t>petardy lontowe z zielonym błyskiem, głośność 120dB z 15m</t>
  </si>
  <si>
    <t>jačina 120dB na 15m sa zelenim bljeskom</t>
  </si>
  <si>
    <t>sức nổ 120dB trong 15m với đèn xanh ở đầu</t>
  </si>
  <si>
    <t>garso galia 120dB nuo 15m su žalia šviesa pradžioje</t>
  </si>
  <si>
    <t>P5DU13(M)</t>
  </si>
  <si>
    <t>snaga zvuka 120dB na udaljenosti 15m sa zelenim svjetlosnim efektom na početku</t>
  </si>
  <si>
    <t>potenza sonora 120dB da 15m con luce verde all'inizio</t>
  </si>
  <si>
    <t>Petarda sa zelenim bljeskom na početku, jačina zvuka 120dB na 15m</t>
  </si>
  <si>
    <t>sức nổ 120dB từ 15m, với lửa xanh lá cây ở lúc đầu</t>
  </si>
  <si>
    <t>sức nổ 120dB từ 15m, sản xuất tại Châu Âu, cấm đít ống bằng nhựa</t>
  </si>
  <si>
    <t>sức nổ 120dB từ 15m</t>
  </si>
  <si>
    <t>P6A13(G)F3</t>
  </si>
  <si>
    <t>Dumbum midlle green</t>
  </si>
  <si>
    <t>P6A13(G)F3-1</t>
  </si>
  <si>
    <t>P6A13(R)F3</t>
  </si>
  <si>
    <t>Dumbum midlle red</t>
  </si>
  <si>
    <t>sound power 120dB from 15m with red light on the start</t>
  </si>
  <si>
    <t>síla výbuchu 120dB z 15m s červeným světlem na začátku</t>
  </si>
  <si>
    <t>Explosionskraft 120dB von 15m mit rot Licht</t>
  </si>
  <si>
    <t>potenza sonora 120dB da 15m con luce rossa all'inizio</t>
  </si>
  <si>
    <t>petardy lontowe z czerwonym błyskiem, głośność 120dB z 15m</t>
  </si>
  <si>
    <t>Petarda sa crvenim bljeskom na početku, jačina zvuka 120dB na 15m</t>
  </si>
  <si>
    <t>sức nổ 120dB từ 15m, với lửa đỏ ở lúc đầu</t>
  </si>
  <si>
    <t>garso galia 120dB nuo 15m su raudona šviesa pradžioje</t>
  </si>
  <si>
    <t>P6A13(R)F3-1</t>
  </si>
  <si>
    <t>sức nổ 120dB trong 15m, ánh sáng xanh sau khi đốt</t>
  </si>
  <si>
    <t>jačina 117dB na 15m sa zelenim bljeskom</t>
  </si>
  <si>
    <t>sức nổ 117dB từ 15m, ánh sáng xanh sau khi đốt</t>
  </si>
  <si>
    <t>P6A13(G)</t>
  </si>
  <si>
    <t>P6A13(R)</t>
  </si>
  <si>
    <t>snaga zvuka 120dB na udaljenosti 15m, sa crvenim svjetlosnim efektom na početku</t>
  </si>
  <si>
    <t>jačina 120dB na 15m sa crvenim bljeskom</t>
  </si>
  <si>
    <t>sức nổ 120dB trong 15m, ánh sáng đỏ sau khi đốt</t>
  </si>
  <si>
    <t>5g flash powder, 130dB form 15m, made in Europe, plastic seal</t>
  </si>
  <si>
    <t>5g Blitzsatz, 130dB von 15m, lHergestellt in Europa,Plastikdichtung</t>
  </si>
  <si>
    <t>5g pirotehničke smjese, 130dB na udaljenosti 15+C12m, proizvedeno u Europi, plstični čep</t>
  </si>
  <si>
    <t>5g polvere flash, 130dB forma 15m, made in Europe, sigillo di plastica</t>
  </si>
  <si>
    <t>petardy lontowe, głośność 130dB z 15m, (produkcja EU, plastikowe zatyczki)</t>
  </si>
  <si>
    <t>Petarda 5g fleš barut, jačina zvuka 130dB na 15m, plastični čep, proizvedena u Evropi</t>
  </si>
  <si>
    <t>sức nổ 130dB từ 15m, sản xuất tại Châu Âu, con dấu bằng nhựa</t>
  </si>
  <si>
    <t>garso galia 130dB nuo 15m, pagaminta Europoje, plastikinis uždarymas</t>
  </si>
  <si>
    <t xml:space="preserve">30g baruta, snaga zvuka 140dB na udaljenosti 15m, sa zelenim svjetlosnim efektom na početku, </t>
  </si>
  <si>
    <t>30g di polvere flash, potenza sonora 142 dB da 15m, made in Europe</t>
  </si>
  <si>
    <t>30g petardy lontowe, głośność 142dB z 15m (z plastikową zatyczką) produkcja EU</t>
  </si>
  <si>
    <t>30g fleš barut,142dB na 15m, proizvedeno u Evropi</t>
  </si>
  <si>
    <t>Thành phần đèn flash 30g, 142dB trong 15m, sản xuất tại Châu Âu</t>
  </si>
  <si>
    <t>30g blyksintis parakas, 142dB nuo 15m, pagaminta Europoje</t>
  </si>
  <si>
    <t>50g baruta, snaga zvuka 159dB na udaljenosti 15m, proizvedeno u Europi</t>
  </si>
  <si>
    <t>50g di polvere flash, potenza sonora 160dB da 15m, made in Europe</t>
  </si>
  <si>
    <t>50g petardy lontowe, głośność 159dB z 15m produkcja EU</t>
  </si>
  <si>
    <t>50g fleš barut,159dB na 15m, proizvedeno u Evropi</t>
  </si>
  <si>
    <t>Thành phần đèn flash 50g, 159dB từ 15m, sản xuất tại Châu Âu</t>
  </si>
  <si>
    <t>50g blyksintis parakas, 159dB nuo 15m, pagaminta Europoje</t>
  </si>
  <si>
    <t>60g baruta, snaga zvuka 160dB na udaljenosti 15m, proizvedeno u Europi</t>
  </si>
  <si>
    <t>60g di polvere flash, potenza sonora 160dB da 15m, made in Europe</t>
  </si>
  <si>
    <t>60g petardy lontowe, głośność 160dB z 15m produkcja EU</t>
  </si>
  <si>
    <t>60g fleš barut,160dB na 15m, proizvedeno u Evropi</t>
  </si>
  <si>
    <t>Thành phần đèn flash 60g, 160dB trong 15m, sản xuất tại Châu Âu</t>
  </si>
  <si>
    <t>60g blyksintis parakas, 160dB nuo 15m, pagaminta Europoje</t>
  </si>
  <si>
    <t>100g baruta, snaga zvuka 170dB na udaljenosti 15m, proizvedeno u Europi</t>
  </si>
  <si>
    <t>100g di polvere flash, potenza sonora 170dB da 15m, made in Europe</t>
  </si>
  <si>
    <t>100g petardy lontowe, głośność 170dB z 15m produkcja EU</t>
  </si>
  <si>
    <t>100g fleš barut,170dB na 15m, proizvedeno u Evropi</t>
  </si>
  <si>
    <t>Thành phần đèn flash 100g, 170dB trong 15m, sản xuất tại Châu Âu</t>
  </si>
  <si>
    <t>100g blyksintis parakas, 170dB nuo 15m, pagaminta Europoje</t>
  </si>
  <si>
    <t>DP2CB</t>
  </si>
  <si>
    <t>Crazy Ball big</t>
  </si>
  <si>
    <t>crackling ball 3g, diameter 38mm</t>
  </si>
  <si>
    <t>práskající balónky 3g, průměr 38mm</t>
  </si>
  <si>
    <t>Knallende Ballone 3 g, Durchmesser 38mm</t>
  </si>
  <si>
    <t>pucketajuća kuglica 3g, promjer 38mm</t>
  </si>
  <si>
    <t>palla scoppiettante 3g, diametro 38mm</t>
  </si>
  <si>
    <t>trzeszczące kulki 3g, średnica 38mm</t>
  </si>
  <si>
    <t>krekling kugla 3g, prečnik 38mm</t>
  </si>
  <si>
    <t>bong bóng nổ 3g, dấu vết kính 38mm</t>
  </si>
  <si>
    <t>traškantis kamuoliukas 3g, 38mm skersmens</t>
  </si>
  <si>
    <t>Dumbum Explosive ball 15</t>
  </si>
  <si>
    <t>pucketajuće kuglice 15g, promjer 38mm</t>
  </si>
  <si>
    <t>palla scoppiettante 15g, diametro 38mm</t>
  </si>
  <si>
    <t>trzeszczące kulki 15g, średnica 38mm</t>
  </si>
  <si>
    <t>praskava kugla 15g, prečnika 38mm</t>
  </si>
  <si>
    <t>bong bóng nổ nứt 15g, dấu vết kính 38mm</t>
  </si>
  <si>
    <t>traškantis kamuoliukas 15g, 38mm skersmens</t>
  </si>
  <si>
    <t>70 pucnjeva, dužina 16cm, redenici malih petardi</t>
  </si>
  <si>
    <t>70sh,lunghezza 16cm,cracker celebrazione da piccoli petard</t>
  </si>
  <si>
    <t>karabinek 70 strzałów małych petard, dł. 16cm</t>
  </si>
  <si>
    <t>redenik 70 malih petardi, dužina 16cm</t>
  </si>
  <si>
    <t>70 phát đạn, dài 16cm, tấm thảm gồm các pháo nhỏ</t>
  </si>
  <si>
    <t>70 šūvių, 16cm ilgio šventinis fejerverkas iš mažų petardų</t>
  </si>
  <si>
    <t>200 pucnjeva, dužina 62cm, redenici srednjih petardi</t>
  </si>
  <si>
    <t>200sh,lunghezza 62cm,cracker celebrazione da petard medi</t>
  </si>
  <si>
    <t>karabinek 200 strzałów średnich petard, dł. 62cm</t>
  </si>
  <si>
    <t>redenik 200 srednjih petardi, dužina 62cm</t>
  </si>
  <si>
    <t>200 phát đạn, dài 62cm, nổ thảm từ pháo hạng trung</t>
  </si>
  <si>
    <t>200 šūvių, 62cm ilgio šventinis fejerverkas iš vidutinio dydžio petardų</t>
  </si>
  <si>
    <t>500 pucnjeva, dužina 155cm, redenici srednjih petardi</t>
  </si>
  <si>
    <t>500sh,lunghezza 155cm,cracker celebrazione da petard medi</t>
  </si>
  <si>
    <t>karabinek 500 strzałów średnich petard, dł. 155cm</t>
  </si>
  <si>
    <t>redenik 500 srednjih petardi, dužina 155cm</t>
  </si>
  <si>
    <t>500 phát đạn, dài 155cm, nổ thảm từ pháo hạng trung</t>
  </si>
  <si>
    <t>500 šūvių, 155cm ilgio šventinis fejerverkas iš vidutinio dydžio petardų</t>
  </si>
  <si>
    <t>1000 pucnjeva, dužina 310cm, redenici srednjih petardi</t>
  </si>
  <si>
    <t>1000sh,lunghezza 310cm,cracker celebrazione da petard medi</t>
  </si>
  <si>
    <t>karabinek 1000 strzałów średnich petard, dł. 310cm</t>
  </si>
  <si>
    <t>redenik 1000 srednjih petardi, dužina 310cm</t>
  </si>
  <si>
    <t>1000 viên, dài 310cm, đập thảm từ pháo hạng trung</t>
  </si>
  <si>
    <t>1000 šūvių, 310cm ilgio šventinis fejerverkas iš vidutinio dydžio petardų</t>
  </si>
  <si>
    <t>1750 pucnjeva malih petardi + 200 pucnjeva srednjih petardi+19 pucnjeva velikih petardi, dužina 5,25m</t>
  </si>
  <si>
    <t>Cracker piccoli 1750sh + cracker midle 200sh + cracker grandi 19sh, lunghezza 5,25m</t>
  </si>
  <si>
    <t>karabinek, 1750 małych petard + 200 średnich petard + 19 dużych petard, dł. 5,25m</t>
  </si>
  <si>
    <t>redenik 1750 malih, 200 srednjih, 19 velikih petardi, dužina 5,25m</t>
  </si>
  <si>
    <t>1750 phát đạn tròn nhỏ + 200 quả pháo vừa + 19 quả pháo lớn, dài 5,25 m</t>
  </si>
  <si>
    <t>1750 šūvių mažas fejerverkas, 200 šūvių vidutinis fejerverkas, 19 šūvių didelis fejerverkas, 5.25m ilgio</t>
  </si>
  <si>
    <t>3500 pucnjeva malih petardi + 400 pucnjeva srednjih petardi+19 pucnjeva velikih petardi, dužina 10,50m</t>
  </si>
  <si>
    <t>Cracker piccoli 3500sh + cracker midle 400sh + cracker grandi 19sh, lunghezza 10,5m</t>
  </si>
  <si>
    <t>karabinek, 3500 małych petard + 400 średnich petard + 19 dużych petard, dł. 10,5m</t>
  </si>
  <si>
    <t>redenik 3500 malih, 400 srednjih, 19 velikih petardi, dužina 10,5m</t>
  </si>
  <si>
    <t>3500 phát đạn tròn nhỏ + 400 quả pháo vừa + 19 quả pháo lớn, chiều dài 10,5 m</t>
  </si>
  <si>
    <t>3500 šūvių mažas fejerverkas, 400 šūvių vidutinis fejerverkas, 19 šūvių didelis fejerverkas, 10.5m ilgio</t>
  </si>
  <si>
    <t>DBB1E</t>
  </si>
  <si>
    <t>Signal cartridge 15mm with explosion</t>
  </si>
  <si>
    <t>Signalkartusche 15mm mit explosion</t>
  </si>
  <si>
    <t>Signalna raketa 15mm sa eksplozijom</t>
  </si>
  <si>
    <t>Cartuccia di segnale 15mm con esplosione</t>
  </si>
  <si>
    <t>Signalni uložak 15 mm sa eksplozijom</t>
  </si>
  <si>
    <t>phát dạn báo hieu 15 mm - nổ lớn</t>
  </si>
  <si>
    <t>signalo kasetė 15mm su sprogimu</t>
  </si>
  <si>
    <t>zviždanje + pucanj</t>
  </si>
  <si>
    <t>fischi+salute</t>
  </si>
  <si>
    <t>rakietki, gwizd + huk</t>
  </si>
  <si>
    <t>zvižduk sa efektom</t>
  </si>
  <si>
    <t>tên lửa huýt sáo với vụ nổ</t>
  </si>
  <si>
    <t>švilpimas ir saliutas</t>
  </si>
  <si>
    <t>mala padobran raketa</t>
  </si>
  <si>
    <t>razzo con paracadute di piccole dimensioni</t>
  </si>
  <si>
    <t>rakietki ze spadochronem</t>
  </si>
  <si>
    <t>tên lửa dù</t>
  </si>
  <si>
    <t>maža parašiutinė raketa</t>
  </si>
  <si>
    <t>zviždeći trag + zvjezdice u boji</t>
  </si>
  <si>
    <t>coda fischiettante + stella di colore</t>
  </si>
  <si>
    <t>rakietki, gwiżdżąca kometa + kolorowe gwiazdki</t>
  </si>
  <si>
    <t>zvižduk sa zvezdicama u boji</t>
  </si>
  <si>
    <t>Dấu vết huýt sáo + pháo sáng màu</t>
  </si>
  <si>
    <t>švilpianti uodega ir spalvota žvaigždė</t>
  </si>
  <si>
    <t>zviždeći trag i srebrno svjetlucanje</t>
  </si>
  <si>
    <t>fischi coda a luccichio d'argento</t>
  </si>
  <si>
    <t>rakietki, gwiżdżąca kometa + srebrny brokat</t>
  </si>
  <si>
    <t>zvižduk sa belim svetlećim iskricama</t>
  </si>
  <si>
    <t>dấu vết mòn huýt sáo + những ngôi sao lấp lánh màu bạc</t>
  </si>
  <si>
    <t>švilpianti uodega ir sidabriniai blizgučiai</t>
  </si>
  <si>
    <t>zvjezdice u boji, visina rakete 42cm</t>
  </si>
  <si>
    <t>42 cm di altezza del razzo, stelle di colore</t>
  </si>
  <si>
    <t>rakiety, 42cm, kolorowe gwiazdki</t>
  </si>
  <si>
    <t>zvezdice u boji, dužina rakete 42cm</t>
  </si>
  <si>
    <t>Chiều cao 42cm, pháo sáng màu</t>
  </si>
  <si>
    <t>42cm aukščio raketa su spalvotom žvaigždėm</t>
  </si>
  <si>
    <t>zvjezdice u boji, visina rakete 72cm</t>
  </si>
  <si>
    <t>72 cm di altezza del razzo, stelle di colore</t>
  </si>
  <si>
    <t>rakiety, 72cm, kolorowe gwiazdki</t>
  </si>
  <si>
    <t>zvezdice u boji, dužina rakete 72cm</t>
  </si>
  <si>
    <t>Chiều cao 72cm, thánh màu</t>
  </si>
  <si>
    <t>72cm aukščio raketa su spalvotom žvaigždėm</t>
  </si>
  <si>
    <t>zviždeći trag, pucanj s pucketanjem</t>
  </si>
  <si>
    <t xml:space="preserve">fischi coda a saluto titanio con crepitio </t>
  </si>
  <si>
    <t>rakiety, gwiżdżąca kometa z głośnym hukiem oraz trzeszczeniem</t>
  </si>
  <si>
    <t>zvižduk + titanijumskim pucanj + krekeri</t>
  </si>
  <si>
    <t>tên lửa huýt sáo lớn với vụ nổ và những ngôi sao kêu răng rắc</t>
  </si>
  <si>
    <t>švilpianti uodega su titano saliutu ir traškesiu</t>
  </si>
  <si>
    <t>efekti u 6 različitih boja, niska razina buke</t>
  </si>
  <si>
    <t>6 diversi effetti di colore- nessun rumore</t>
  </si>
  <si>
    <t>rakiety, 6 różnych cichych efektów</t>
  </si>
  <si>
    <t>raketa bez zvuka, 6 raznih boja</t>
  </si>
  <si>
    <t>6 hiệu ứng màu sắc khác nhau - không nhiễu</t>
  </si>
  <si>
    <t>6 Skirtingi spalvoti efektai.  "be garso"</t>
  </si>
  <si>
    <t>srebrni trag sa pucnjem i pucketanjem (2g baruta)</t>
  </si>
  <si>
    <t>coda d'argento al saluto al titanio con crepitio (2g di polvere flash)</t>
  </si>
  <si>
    <t>rakiety, srebrna kometa z głośnym hukiem oraz trzeszczeniem (2g mieszaniny)</t>
  </si>
  <si>
    <t>srebrni trag+titanium pucanj+krekeri, 2gr. Fleš baruta</t>
  </si>
  <si>
    <t>Dấu vết bạc với sự phát nổ bằng titan và các ngôi sao nứt nẻ (thành phần 2g flash)</t>
  </si>
  <si>
    <t>švilpianti uodega su titano saliutu ir traškesiu (2g blyksinčio parako)</t>
  </si>
  <si>
    <t>rakiety, 4  różnokolorowe efekty</t>
  </si>
  <si>
    <t>7 različitih efekata u boji</t>
  </si>
  <si>
    <t>7 diversi effetti di colore</t>
  </si>
  <si>
    <t>rakiety, 7  różnokolorowych efektów</t>
  </si>
  <si>
    <t>7 različita efekta u boji</t>
  </si>
  <si>
    <t>7 hiệu ứng nhiều màu</t>
  </si>
  <si>
    <t xml:space="preserve">7 Skirtingi spalvoti efektai. </t>
  </si>
  <si>
    <t>9 različitih efekata u boji</t>
  </si>
  <si>
    <t>9 diversi effetti di colore</t>
  </si>
  <si>
    <t>rakiety, 9  różnokolorowych efektów</t>
  </si>
  <si>
    <t>9 različita efekta u boji</t>
  </si>
  <si>
    <t>9 hiệu ứng nhiều màu</t>
  </si>
  <si>
    <t xml:space="preserve">9 Skirtingi spalvoti efektai. </t>
  </si>
  <si>
    <t>21 različit efekt u boji</t>
  </si>
  <si>
    <t>21 diversi effetti di colore</t>
  </si>
  <si>
    <t>rakiety, 21  różnokolorowych efektów</t>
  </si>
  <si>
    <t>21 različita efekta u boji</t>
  </si>
  <si>
    <t>21 hiệu ứng nhiều màu</t>
  </si>
  <si>
    <t xml:space="preserve">21 Skirtingi spalvoti efektai. </t>
  </si>
  <si>
    <t>33 različita efekta u boji</t>
  </si>
  <si>
    <t>33 diversi effetti di colore</t>
  </si>
  <si>
    <t>rakiety, 33  różnokolorowe efekty</t>
  </si>
  <si>
    <t>33 hiệu ứng nhiều màu</t>
  </si>
  <si>
    <t xml:space="preserve">33 Skirtingi spalvoti efektai. </t>
  </si>
  <si>
    <t>5 različitih efekata u boji</t>
  </si>
  <si>
    <t>5 diversi effetti di colore</t>
  </si>
  <si>
    <t>rakiety, 5  różnokolorowych efektów</t>
  </si>
  <si>
    <t>5 različita efekta u boji</t>
  </si>
  <si>
    <t>5 hiệu ứng nhiều màu</t>
  </si>
  <si>
    <t xml:space="preserve">5 Skirtingi spalvoti efektai. </t>
  </si>
  <si>
    <t>srebrni trag sa pucnjem i pucketanjem (5g baruta)</t>
  </si>
  <si>
    <t>coda d'argento al saluto al titanio con crepitio (5g di polvere flash)</t>
  </si>
  <si>
    <t>rakiety, srebrna kometa z głośnym hukiem oraz trzeszczeniem (5g mieszaniny)</t>
  </si>
  <si>
    <t>srebrni trag+titanium pucanj+krekeri, 5gr. Fleš baruta</t>
  </si>
  <si>
    <t>dấu vết bạc với sự phát nổ titan và các ngôi sao nứt (thành phần 5g flash)</t>
  </si>
  <si>
    <t>sidabrinis titano saliutas su traškesiu (5g blyksintis parakas)</t>
  </si>
  <si>
    <t>11 različitih efekata u boji</t>
  </si>
  <si>
    <t>11 diversi effetti di colore</t>
  </si>
  <si>
    <t>rakiety, 11  różnokolorowych efektów</t>
  </si>
  <si>
    <t>11 različita efekta u boji</t>
  </si>
  <si>
    <t>11 hiệu ứng nhiều màu</t>
  </si>
  <si>
    <t xml:space="preserve">11 Skirtingi spalvoti efektai. </t>
  </si>
  <si>
    <t>12 različitih efekata u boji</t>
  </si>
  <si>
    <t>12 diversi effetti di colore</t>
  </si>
  <si>
    <t>rakiety, 12  różnokolorowych efektów</t>
  </si>
  <si>
    <t>12 različita efekta u boji</t>
  </si>
  <si>
    <t>12 hiệu ứng nhiều màu</t>
  </si>
  <si>
    <t xml:space="preserve">12 Skirtingi spalvoti efektai. </t>
  </si>
  <si>
    <t>18 različitih efekata u boji</t>
  </si>
  <si>
    <t>18 diversi effetti di colore</t>
  </si>
  <si>
    <t>rakiety, 18  różnokolorowych efektów</t>
  </si>
  <si>
    <t>18 različita efekta u boji</t>
  </si>
  <si>
    <t>18 hiệu ứng màu sắc khác nhau</t>
  </si>
  <si>
    <t xml:space="preserve">18 Skirtingi spalvoti efektai. </t>
  </si>
  <si>
    <t>visina 170cm, krom raketa visoke kvalitete,2 različita efekta u boji</t>
  </si>
  <si>
    <t>Altezza 170 cm, razzo cromato di alta qualità, 2 diversi effetti di colore</t>
  </si>
  <si>
    <t>duże rakiety 170cm, najwyższa jakość, 2 różnokolorowe efekty</t>
  </si>
  <si>
    <t>top kvalitet, 2 različita efekta, 170cm</t>
  </si>
  <si>
    <t>Chiều cao 170cm, tên lửa chrome chất lượng cao nhất, 2 hiệu ứng nhiều màu</t>
  </si>
  <si>
    <t>170cm aukščio chromo raketa, aukščiausios kokybės, 2 skirtingų spalvų efektai</t>
  </si>
  <si>
    <t>visina 170cm, krom raketa visoke kvalitete,3 različita efekta u boji</t>
  </si>
  <si>
    <t>Altezza 170 cm, razzo cromato di alta qualità, 3 diversi effetti di colore</t>
  </si>
  <si>
    <t>duże rakiety 170cm, najwyższa jakość, 3 różnokolorowe różne efekty</t>
  </si>
  <si>
    <t>Chiều cao 170cm, tên lửa chrome chất lượng cao nhất, 3 hiệu ứng nhiều màu</t>
  </si>
  <si>
    <t>170cm aukščio chromo raketa, aukščiausios kokybės, 3 skirtingų spalvų efektai</t>
  </si>
  <si>
    <t>duże rakiety 170cm, najwyższa jakość, 5 różnokolorowych efektów</t>
  </si>
  <si>
    <t>5 skirtingų spalvų efektai</t>
  </si>
  <si>
    <t>duże rakiety, 5 różnokolorowych efektów</t>
  </si>
  <si>
    <t>Majica Dumbum, 180g</t>
  </si>
  <si>
    <t>koszulka Dumbum</t>
  </si>
  <si>
    <t>T-majica Dumbum, 180g</t>
  </si>
  <si>
    <t>Áo phông Dumbum, trọng lượng 180g</t>
  </si>
  <si>
    <t>marškinėliai Dumbum 180g</t>
  </si>
  <si>
    <t>POLO majica Dumbum, 225g</t>
  </si>
  <si>
    <t>koszulka POLO Dumbum</t>
  </si>
  <si>
    <t>T-majica POLO Dumbum, 225g</t>
  </si>
  <si>
    <t>Áo thun có cổ Dumbum, trọng lượng 225g</t>
  </si>
  <si>
    <t>polo marškinėliai Dumbum 225g</t>
  </si>
  <si>
    <t>Jakna od flisa Dumbum, 600g</t>
  </si>
  <si>
    <t>cappotto in pile Dumbum, 600g</t>
  </si>
  <si>
    <t>polar Dumbum</t>
  </si>
  <si>
    <t>Flis jakna Dumbum, 600g</t>
  </si>
  <si>
    <t>Áo khoác ấm Dumbum, trọng lượng 600g</t>
  </si>
  <si>
    <t>vilnos paltas Dumbum 600g</t>
  </si>
  <si>
    <t>Kapa za bejzbol Dumbum</t>
  </si>
  <si>
    <t>berretto da baseball Dumbum</t>
  </si>
  <si>
    <t>czapka z daszkiem Dumbum</t>
  </si>
  <si>
    <t>Kačket za bejzbol Dumbum</t>
  </si>
  <si>
    <t>mũ lưỡi trai Dum Bum</t>
  </si>
  <si>
    <t>beisbolo kepurė Dumbum</t>
  </si>
  <si>
    <t>Zimska kapa Dumbum, Beanie</t>
  </si>
  <si>
    <t>cappello invernale Dumbum, Berretto</t>
  </si>
  <si>
    <t>czapka zimowa Dumbum</t>
  </si>
  <si>
    <t>Kapa zimska Dumbum</t>
  </si>
  <si>
    <t xml:space="preserve">mũ mùa đông Dumbum </t>
  </si>
  <si>
    <t>žieminė kepurė Dumbum</t>
  </si>
  <si>
    <t>Dumbum majica M - ograničeno izdanje</t>
  </si>
  <si>
    <t>T-shirt Dumbum M - edizione limitata</t>
  </si>
  <si>
    <t>koszulka Dumbum, edycja limitowana, rozm. M</t>
  </si>
  <si>
    <t>Dumbum T-majica M - ograničeno izdanje</t>
  </si>
  <si>
    <t>Áo phông Dumbum M - số lượng giới hạn</t>
  </si>
  <si>
    <t>marškinėliai Dumbum M dydžio, riboto leidimo</t>
  </si>
  <si>
    <t>Dumbum majica L- ograničeno izdanje</t>
  </si>
  <si>
    <t>T-shirt Dumbum L - edizione limitata</t>
  </si>
  <si>
    <t>koszulka Dumbum, edycja limitowana, rozm. L</t>
  </si>
  <si>
    <t>Dumbum T-majica L - ograničeno izdanje</t>
  </si>
  <si>
    <t>Áo phông Dumbum L - số lượng giới hạn</t>
  </si>
  <si>
    <t>marškinėliai Dumbum L dydžio, riboto leidimo</t>
  </si>
  <si>
    <t>Dumbum majica XL - ograničeno izdanje</t>
  </si>
  <si>
    <t>T-shirt Dumbum XL - edizione limitata</t>
  </si>
  <si>
    <t>koszulka Dumbum, edycja limitowana, rozm. XL</t>
  </si>
  <si>
    <t>Dumbum T-majica XL - ograničeno izdanje</t>
  </si>
  <si>
    <t>Áo phông Dumbum XL - số lượng giới hạn</t>
  </si>
  <si>
    <t>marškinėliai Dumbum XL dydžio, riboto leidimo</t>
  </si>
  <si>
    <t>Dumbum majica XXL - ograničeno izdanje</t>
  </si>
  <si>
    <t>T-shirt Dumbum XXL - edizione limitata</t>
  </si>
  <si>
    <t>koszulka Dumbum, edycja limitowana, rozm. XXL</t>
  </si>
  <si>
    <t>Dumbum T-majica XXL - ograničeno izdanje</t>
  </si>
  <si>
    <t>Áo phông Dumbum XXL - số lượng giới hạn</t>
  </si>
  <si>
    <t>marškinėliai Dumbum XXL dydžio, riboto leidimo</t>
  </si>
  <si>
    <t>POLO majica M Dumbum - ograničeno izdanje</t>
  </si>
  <si>
    <t>Dumbum T-shirt polo M - edizione limitata</t>
  </si>
  <si>
    <t>koszulka POLO Dumbum, edycja limitowana, rozm. M</t>
  </si>
  <si>
    <t>Dumbum T-majica polo M - ograničeno izdanje</t>
  </si>
  <si>
    <t>Áo thun có cổ Dumbum M - số lượng giới hạn</t>
  </si>
  <si>
    <t>polo marškinėliai Dumbum M dydžio, riboto leidimo</t>
  </si>
  <si>
    <t>POLO majica L Dumbum - ograničeno izdanje</t>
  </si>
  <si>
    <t>Dumbum T-shirt polo L - edizione limitata</t>
  </si>
  <si>
    <t>koszulka POLO Dumbum, edycja limitowana, rozm. L</t>
  </si>
  <si>
    <t>Dumbum T-majica polo L - ograničeno izdanje</t>
  </si>
  <si>
    <t>Áo thun có cổ Dumbum L - số lượng giới hạn</t>
  </si>
  <si>
    <t>polo marškinėliai Dumbum L dydžio, riboto leidimo</t>
  </si>
  <si>
    <t>POLO majica XL Dumbum - ograničeno izdanje</t>
  </si>
  <si>
    <t>Dumbum T-shirt polo XL - edizione limitata</t>
  </si>
  <si>
    <t>koszulka POLO Dumbum, edycja limitowana, rozm. XL</t>
  </si>
  <si>
    <t>Dumbum T-majica polo XL - ograničeno izdanje</t>
  </si>
  <si>
    <t>Áo thun có cổ Dumbum XL - số lượng giới hạn</t>
  </si>
  <si>
    <t>polo marškinėliai Dumbum XL dydžio, riboto leidimo</t>
  </si>
  <si>
    <t>POLO majica XXL Dumbum - ograničeno izdanje</t>
  </si>
  <si>
    <t>Dumbum T-shirt polo XXL - edizione limitata</t>
  </si>
  <si>
    <t>koszulka POLO Dumbum, edycja limitowana, rozm. XXL</t>
  </si>
  <si>
    <t>Dumbum T-majica polo XXL - ograničeno izdanje</t>
  </si>
  <si>
    <t>Áo thun có cổ Dumbum XXL - số lượng giới hạn</t>
  </si>
  <si>
    <t>polo marškinėliai Dumbum XXL dydžio, riboto leidimo</t>
  </si>
  <si>
    <t>Prsluk softshell Dumbum M - ograničeno izdanje</t>
  </si>
  <si>
    <t>Gilet Dumbum softshell M-limited edition</t>
  </si>
  <si>
    <t>kamizelka softshell, edycja limitowana, rozm. M</t>
  </si>
  <si>
    <t>Dumbum prsluk mekani M, ograničeno izdanje</t>
  </si>
  <si>
    <t>áo vest chống thấm nước Dumbum M-số lượng giới hạn</t>
  </si>
  <si>
    <t>Dumbum liemenė M dydžio, riboto leidimo</t>
  </si>
  <si>
    <t>Prsluk softshell Dumbum L - ograničeno izdanje</t>
  </si>
  <si>
    <t>Gilet Dumbum softshell L-limited edition</t>
  </si>
  <si>
    <t>kamizelka softshell, edycja limitowana, rozm. L</t>
  </si>
  <si>
    <t>Dumbum prsluk mekani L, ograničeno izdanje</t>
  </si>
  <si>
    <t>áo vest chống thấm nước Dumbum L -số lượng giới hạn</t>
  </si>
  <si>
    <t>Dumbum liemenė L dydžio, riboto leidimo</t>
  </si>
  <si>
    <t>Prsluk softshell Dumbum XL - ograničeno izdanje</t>
  </si>
  <si>
    <t>Gilet Dumbum softshell XL-limited edition</t>
  </si>
  <si>
    <t>kamizelka softshell, edycja limitowana, rozm. XL</t>
  </si>
  <si>
    <t>Dumbum prsluk mekani XL, ograničeno izdanje</t>
  </si>
  <si>
    <t>áo vest chống thấm nước Dumbum XL -số lượng giới hạn</t>
  </si>
  <si>
    <t>Dumbum liemenė XL dydžio, riboto leidimo</t>
  </si>
  <si>
    <t>Prsluk softshell Dumbum XXL - ograničeno izdanje</t>
  </si>
  <si>
    <t>Gilet Dumbum softshell XXL-limited edition</t>
  </si>
  <si>
    <t>kamizelka softshell, edycja limitowana, rozm. XXL</t>
  </si>
  <si>
    <t>Dumbum prsluk mekani XXL, ograničeno izdanje</t>
  </si>
  <si>
    <t>áo vest chống thấm nước Dumbum XXL-số lượng giới hạn</t>
  </si>
  <si>
    <t>Dumbum liemenė XXL dydžio, riboto leidimo</t>
  </si>
  <si>
    <t>Jakna od flisa Dumbum M - ograničeno izdanej</t>
  </si>
  <si>
    <t>Cappotto in pile Dumbum M -edizione limitata</t>
  </si>
  <si>
    <t>polar Dumbum, edycja limitowana, rozm. M</t>
  </si>
  <si>
    <t>Dumbum flis jakna M, ograničeno izdanje</t>
  </si>
  <si>
    <t>Áo khoác ấm Dumbum phiên bản M - số lượng giới hạn</t>
  </si>
  <si>
    <t>vilnos paltas Dumbum M dydžio, riboto leidimo</t>
  </si>
  <si>
    <t>Jakna od flisa Dumbum L - ograničeno izdanej</t>
  </si>
  <si>
    <t>Cappotto in pile Dumbum L -edizione limitata</t>
  </si>
  <si>
    <t>polar Dumbum, edycja limitowana, rozm. L</t>
  </si>
  <si>
    <t>Dumbum flis jakna L, ograničeno izdanje</t>
  </si>
  <si>
    <t>Áo khoác ấm Dumbum L -số lượng giới hạn</t>
  </si>
  <si>
    <t>vilnos paltas Dumbum L dydžio, riboto leidimo</t>
  </si>
  <si>
    <t>Jakna od flisa Dumbum XL - ograničeno izdanej</t>
  </si>
  <si>
    <t>Cappotto in pile Dumbum XL -limited edition</t>
  </si>
  <si>
    <t>polar Dumbum, edycja limitowana, rozm. XL</t>
  </si>
  <si>
    <t>Dumbum flis jakna XL, ograničeno izdanje</t>
  </si>
  <si>
    <t>Áo khoác ấm Dumbum XL -số lượng giới hạn</t>
  </si>
  <si>
    <t>vilnos paltas Dumbum XL dydžio, riboto leidimo</t>
  </si>
  <si>
    <t>Jakna od flisa Dumbum XXL - ograničeno izdanej</t>
  </si>
  <si>
    <t>Cappotto in pile Dumbum XXL -edizione limitata</t>
  </si>
  <si>
    <t>polar Dumbum, edycja limitowana, rozm. XXL</t>
  </si>
  <si>
    <t>Dumbum flis jakna XXL, ograničeno izdanje</t>
  </si>
  <si>
    <t>Áo khoác ấm Dumbum XXL-số lượng giới hạn</t>
  </si>
  <si>
    <t>vilnos paltas Dumbum XXL dydžio, riboto leidimo</t>
  </si>
  <si>
    <t>Majica s kapuljačom M - ograničeno izdanje</t>
  </si>
  <si>
    <t>Felpa con cappuccio Dumbum M -edizione limitata</t>
  </si>
  <si>
    <t>bluza z kapturem  Dumbum, edycja limitowana, rozm. M</t>
  </si>
  <si>
    <t>Dumbum duks M, ograničeno izdanje</t>
  </si>
  <si>
    <t>áo khoác có mũ trùm đầu Dumbum M - số lượng giới hạn</t>
  </si>
  <si>
    <t>Dumbum džemperis su kapišonu M dydžio, riboto leidimo</t>
  </si>
  <si>
    <t>Majica s kapuljačom L - ograničeno izdanje</t>
  </si>
  <si>
    <t>Felpa con cappuccio Dumbum L -limited edition</t>
  </si>
  <si>
    <t>bluza z kapturem  Dumbum, edycja limitowana, rozm. L</t>
  </si>
  <si>
    <t>Dumbum duks L, ograničeno izdanje</t>
  </si>
  <si>
    <t>áo khoác có mũ trùm đầu Dumbum L - số lượng giới hạn</t>
  </si>
  <si>
    <t>Dumbum džemperis su kapišonu L dydžio, riboto leidimo</t>
  </si>
  <si>
    <t>Majica s kapuljačom XL - ograničeno izdanje</t>
  </si>
  <si>
    <t>Felpa con cappuccio Dumbum XL -limited edition</t>
  </si>
  <si>
    <t>bluza z kapturem  Dumbum, edycja limitowana, rozm. XL</t>
  </si>
  <si>
    <t>Dumbum duks XL, ograničeno izdanje</t>
  </si>
  <si>
    <t>áo khoác có mũ trùm đầu Dumbum XL -  số lượng giới hạn</t>
  </si>
  <si>
    <t>Dumbum džemperis su kapišonu XL dydžio, riboto leidimo</t>
  </si>
  <si>
    <t>Majica s kapuljačom XXL - ograničeno izdanje</t>
  </si>
  <si>
    <t>Felpa con cappuccio Dumbum XXL -limited edition</t>
  </si>
  <si>
    <t>bluza z kapturem  Dumbum, edycja limitowana, rozm. XXL</t>
  </si>
  <si>
    <t>Dumbum duks XXL, ograničeno izdanje</t>
  </si>
  <si>
    <t>áo khoác có mũ trùm đầu Dumbum XXL - số lượng giới hạn</t>
  </si>
  <si>
    <t>Dumbum džemperis su kapišonu XXL dydžio, riboto leidimo</t>
  </si>
  <si>
    <t>Kapa za bejzbol Dumbum - ograničeno izdanje</t>
  </si>
  <si>
    <t>berretto da baseball Dumbum-limited edition</t>
  </si>
  <si>
    <t>czapka z daszkiem Dumbum, edycja limitowana</t>
  </si>
  <si>
    <t>Dumbum bejzbol kapa, ograničeno izdanje</t>
  </si>
  <si>
    <t>mũ lưỡi trai DumBum - số lượng giới hạn</t>
  </si>
  <si>
    <t>beisbolo kepurė Dumbum, riboto leidimo</t>
  </si>
  <si>
    <t>Zimska kapa Dumbum - ograničeno izdanje</t>
  </si>
  <si>
    <t>cappello invernale Dumbum -edizione limitata</t>
  </si>
  <si>
    <t>czapka zimowa Dumbum, edycja limitowana</t>
  </si>
  <si>
    <t>Dumbum zimska kapa, ograničeno izdanje</t>
  </si>
  <si>
    <t>mũ mùa đông Dumbum - số lượng giới hạn</t>
  </si>
  <si>
    <t>žieminė kepurė Dumbum, riboto leidimo</t>
  </si>
  <si>
    <t>Energetski napitak 250ml, proizvedeno u EU</t>
  </si>
  <si>
    <t>napój energetyczny 250ml, produkcja Eu</t>
  </si>
  <si>
    <t>energetski napitak 250ml, proizvedeno u EU</t>
  </si>
  <si>
    <t>nước tăng lực 250ml, sản xuất tại EU</t>
  </si>
  <si>
    <t>energetinis gėrimas 250ml, pagaminta EU</t>
  </si>
  <si>
    <t>Šampanjac Dumbum (Bohemia sekt).0,2l, proizvedeno u Češkoj</t>
  </si>
  <si>
    <t>champagne Dumbum (Bohemia sekt)- 0,2l, prodotto in Repubblica Ceca</t>
  </si>
  <si>
    <t>szampan Dumbum 200ml, produkcja Czechy</t>
  </si>
  <si>
    <t>šampanjac Dumbum, Bohemia sekt, 0,2l</t>
  </si>
  <si>
    <t>sâm panh Dumbum (Bohemia sekt) - 0,2l</t>
  </si>
  <si>
    <t>šampanas Dumbum (Bohemia sekt), 0.2l, pagaminta Čekijoje</t>
  </si>
  <si>
    <t>Roll up Dumbum reklamni poster, veličina 200x85cm</t>
  </si>
  <si>
    <t>roll-up Dumbum, taglia 200x85cm</t>
  </si>
  <si>
    <t>roll-up Dumbum, rozmiar 200x85cm</t>
  </si>
  <si>
    <t>rolo reklama Dumbum, veličina 200x85cm</t>
  </si>
  <si>
    <t>kích thước 200x85cm (Dumbum cuộn lại) - chân đế độc lập</t>
  </si>
  <si>
    <t>susukamas Dumbum plakatas, dydis 200x85cm</t>
  </si>
  <si>
    <t>Roll up No sound reklamni poster, veličina 200x85cm</t>
  </si>
  <si>
    <t>roll-up Senza fuochi d'artificio sonori, taglia 200x85cm</t>
  </si>
  <si>
    <t>roll-up No sound fireworks, rozmiar 200x85cm</t>
  </si>
  <si>
    <t>rolo reklama No sound fireworks, veličina 200x85cm</t>
  </si>
  <si>
    <t>kích thước 200x85cm (Cuộn lên Không có tiếng pháo hoa) - chân đế độc lập</t>
  </si>
  <si>
    <t>susukamas Begarsiai fejerverkai plakatas, dydis 200x85cm</t>
  </si>
  <si>
    <t>Roll up Signature range reklamni poster, veličina 200x85cm</t>
  </si>
  <si>
    <t>roll-up Gamma signature, taglia 200x85cm</t>
  </si>
  <si>
    <t>roll-up Signature range, rozmiar 200x85cm</t>
  </si>
  <si>
    <t>rolo reklama Signature range, veličina 200x85cm</t>
  </si>
  <si>
    <t>kích thước 200x85cm (Dải chữ ký cuộn lên) - chân đế độc lập</t>
  </si>
  <si>
    <t>susukamas Išskirtinė produkcija plakatas, dydis 200x85cm</t>
  </si>
  <si>
    <t>Reklamni A pano, veličina 84x60cm, za vanjsku upotrebu</t>
  </si>
  <si>
    <t>display Stand A1, taglia 84x60cm, per uso esterno</t>
  </si>
  <si>
    <t>potykacz reklamowy A1, rozmiar 84x60cm,</t>
  </si>
  <si>
    <t>displej stalak A1, veličina 84x60cm, spoljni</t>
  </si>
  <si>
    <t>kích thước 84x60cm- quảng cáo ngoài trời độc lập</t>
  </si>
  <si>
    <t>reklaminis stendas A1, 84x60 dydžio, naudojimui lauke</t>
  </si>
  <si>
    <t>poster, veličina 84x60cm, okomit</t>
  </si>
  <si>
    <t>poster, taglia 84x60cm, verticale</t>
  </si>
  <si>
    <t>plakat, rozmiar 84x60cm, pionowy</t>
  </si>
  <si>
    <t>poster veličine 84x60cm, vertikalni</t>
  </si>
  <si>
    <t>kích thước 84x60cm (chân dung)</t>
  </si>
  <si>
    <t>plakatas, 84x60cm dydžio, vertikalus</t>
  </si>
  <si>
    <t>poster, veličina 98x68cm, vodoravno</t>
  </si>
  <si>
    <t>poster, taglia 98x68cm, larghezza</t>
  </si>
  <si>
    <t>plakat, rozmiar 98x68cm, poziomy</t>
  </si>
  <si>
    <t>poster veličine 98x68cm</t>
  </si>
  <si>
    <t>kích thước 98x68cm (ngang)</t>
  </si>
  <si>
    <t>plakatas, 98x68cm dydžio</t>
  </si>
  <si>
    <t>poster Dumbum, veličina 84x60cm, okomit</t>
  </si>
  <si>
    <t>poster Dumbum, taglia 84x60cm, verticale</t>
  </si>
  <si>
    <t>plakat Dumbum, rozmiar 84x60cm, pionowy</t>
  </si>
  <si>
    <t>poster Dumbum 84x60cm, vertikalni</t>
  </si>
  <si>
    <t>plakatas Dumbum, 84x60cm dydžio, vertikalus</t>
  </si>
  <si>
    <t>Upaljač Dumbum</t>
  </si>
  <si>
    <t>turboflame accendino Dumbum</t>
  </si>
  <si>
    <t>zapalniczka żarowa Dumbum</t>
  </si>
  <si>
    <t>upaljač Dumbum, turbo plamen</t>
  </si>
  <si>
    <t>bật lửa với ngọn lửa turbo Dumbum</t>
  </si>
  <si>
    <t>Turbo liepsnos žiebtuvėlis Dumbum</t>
  </si>
  <si>
    <t>USB upaljač Dumbum</t>
  </si>
  <si>
    <t>Dumbum accendino USB</t>
  </si>
  <si>
    <t>zapalniczka żarowa USB Dumbum</t>
  </si>
  <si>
    <t>USB bật lửa Dumbum</t>
  </si>
  <si>
    <t>USB žiebtuvėlis Dumbum</t>
  </si>
  <si>
    <t>Naljepnica Dumbum, veličina 17x15cm</t>
  </si>
  <si>
    <t>adesivo Dumbum, taglia 17x15cm</t>
  </si>
  <si>
    <t>naklejka-wlepka Dumbum, rozmiar 17x15cm</t>
  </si>
  <si>
    <t>Dumbum nalepnica, samolepiva , 17x15cm</t>
  </si>
  <si>
    <t>Hình dán Dumbum kích thước 17x15cm</t>
  </si>
  <si>
    <t>lipdukas Dumbum, 17x15cm dydžio</t>
  </si>
  <si>
    <t>Torba za kupovinu Klasek/Dumbum, veličina 50x40cm</t>
  </si>
  <si>
    <t>borsa della spesa Klásek/Dumbum, taglia 50x40cm</t>
  </si>
  <si>
    <t>torba reklamowa Klásek/Dumbum, rozmiar 50x40cm</t>
  </si>
  <si>
    <t>šoping kesa Klasek/Dumbum, 50x40cm</t>
  </si>
  <si>
    <t>túi mua sắm Klásek / Dumbum, kích thước 50x40cm</t>
  </si>
  <si>
    <t>pirkinių krepšys Klasek/Dumbum, 50x40cm dydžio</t>
  </si>
  <si>
    <t>Torba za kupovinu Dumbum, veličina 45x34m</t>
  </si>
  <si>
    <t>borsa della spesa Dumbum, taglia 45x34cm</t>
  </si>
  <si>
    <t>torba reklamowa Dumbum, rozmiar 45x34cm</t>
  </si>
  <si>
    <t>šoping kesa Dumbum, 45x34cm</t>
  </si>
  <si>
    <t>túi đựng đồ Dumbum, kích thước 45x34cm</t>
  </si>
  <si>
    <t>pirkinių krepšys Dumbum, 45x34cm dydžio</t>
  </si>
  <si>
    <t xml:space="preserve">Katalog proizvoda </t>
  </si>
  <si>
    <t>katalog proizvoda</t>
  </si>
  <si>
    <t>Keramička šalica Dumbum</t>
  </si>
  <si>
    <t>tazza in ceramica Dumbum</t>
  </si>
  <si>
    <t>kubek ceramiczny Dumbum</t>
  </si>
  <si>
    <t>keramička šolja Dumbum</t>
  </si>
  <si>
    <t>Cốc gốm Dumbum</t>
  </si>
  <si>
    <t>keramikinis puodelis Dumbum</t>
  </si>
  <si>
    <t>Podloga za miša Dumbum</t>
  </si>
  <si>
    <t>tappetino per mouse Dumbum</t>
  </si>
  <si>
    <t>podkładka pod myszkę Dumbum</t>
  </si>
  <si>
    <t>podloga za miš Dumbum</t>
  </si>
  <si>
    <t>tấm lót con chuột Dumbum</t>
  </si>
  <si>
    <t>pelės kilimėlis Dumbum</t>
  </si>
  <si>
    <t>Kišobran Dumbum</t>
  </si>
  <si>
    <t>ombrello Dumbum</t>
  </si>
  <si>
    <t>parasolka Dumbum</t>
  </si>
  <si>
    <t>kišobran Dumbum</t>
  </si>
  <si>
    <t>ô Dumbum</t>
  </si>
  <si>
    <t>skėtis Dumbum</t>
  </si>
  <si>
    <t>Miris za auto Dumbum, miris Invictus</t>
  </si>
  <si>
    <t>car parfume Dumbum, con l'aroma di Invictus</t>
  </si>
  <si>
    <t>zapach do samochodu o zapachu Invictus</t>
  </si>
  <si>
    <t>Auto jelkica Dumbum, aroma Invictus</t>
  </si>
  <si>
    <t>nước hoa xe hơi Dumbum, với hương thơm của Invictus</t>
  </si>
  <si>
    <t>automobilio kvapas Dumbum su Invictus aromatu</t>
  </si>
  <si>
    <t>Prezentacijska kartonska polica za prskalice (prazna)</t>
  </si>
  <si>
    <t>Supporto di presentazione per prodotti Dumbum con questa merce: 54 piccola scatola P1D, 54 piccola scatola P2D, 12 box P066D20, 12 box P10D20, 12 box P4B, 12 box P5DU13, 12 box P5DU, 12 box P6A14</t>
  </si>
  <si>
    <t>Stojak prezentacyjny na zimne ognie (pusty)</t>
  </si>
  <si>
    <t>Stalak za prskalice, prazni</t>
  </si>
  <si>
    <t>Giá, kệ - quảng cáo, trình bày - Que hương có tia lửa (trống)</t>
  </si>
  <si>
    <t>Produktų pristatymo stendas bengališkoms ugnelėms (tuščias)</t>
  </si>
  <si>
    <t>Uređaj za aktiviranje sa 4 pozicije, daljinski upravljač, 4 komada el.upaljača</t>
  </si>
  <si>
    <t>macchina di cottura con 4 posizioni, telecomando, ignitori elettrici da 4 pezzi</t>
  </si>
  <si>
    <t>bezprzewodowy system do odpalania, 4 kanały</t>
  </si>
  <si>
    <t>sistem za bežično paljenje vatrometa, 4kom.</t>
  </si>
  <si>
    <t>bệ phóng để bắn từ xa (4 vị trí) + điều khiển từ xa + 4 máy bắn điện</t>
  </si>
  <si>
    <t>šaudymo aparatas su 4 pozicijomis, nuotolinio valdymo pultas, 4 vienetai elektrinių degiklių</t>
  </si>
  <si>
    <t>paket sadrži zeleni fitilj od 2mm dužine 5m</t>
  </si>
  <si>
    <t>contiene 5m di fusibile verde da 2 mm</t>
  </si>
  <si>
    <t>lont zielony 5m, 2mm</t>
  </si>
  <si>
    <t>zeleni fitilj dužine 5m i debljine 2mm</t>
  </si>
  <si>
    <t>Dây cháy 2mm màu xanh lá cây, được đóng gói theo từng bước 5m</t>
  </si>
  <si>
    <t>įpakavime yra 5m 2mm žalio fitilio</t>
  </si>
  <si>
    <t>srebrni zviždeći trag sa pucnjem</t>
  </si>
  <si>
    <t xml:space="preserve">coda fischi d'argento per salutare </t>
  </si>
  <si>
    <t>srebrny gwiżdżący ogon + huk</t>
  </si>
  <si>
    <t>srebrni zvižduk sa pucnjem na kraju</t>
  </si>
  <si>
    <t>sao chổi huýt sáo bạc với vụ nổ</t>
  </si>
  <si>
    <t>sidabrinė švilpianti uodega su saliutu</t>
  </si>
  <si>
    <t>coda fischi d'argento per salutare</t>
  </si>
  <si>
    <t>C1008CC</t>
  </si>
  <si>
    <t>Colorful and crackling comet 100</t>
  </si>
  <si>
    <t xml:space="preserve">Colorful and crackling comet </t>
  </si>
  <si>
    <t>barevné a práskající komety</t>
  </si>
  <si>
    <t>Bunte und knisternde Kometen</t>
  </si>
  <si>
    <t>kometa u boji sa pucketanjem</t>
  </si>
  <si>
    <t>Cometa colorata e scoppiettante</t>
  </si>
  <si>
    <t>Kolorowa i trzeszcząca kometa</t>
  </si>
  <si>
    <t>raznobojni efekti sa kreker kometom</t>
  </si>
  <si>
    <t>sao chổi đầy màu sắc và kêu lách tách</t>
  </si>
  <si>
    <t>spalvota traškanti kometa</t>
  </si>
  <si>
    <t>4 spalvų efektai</t>
  </si>
  <si>
    <t>10 različitih efekata u boji</t>
  </si>
  <si>
    <t>10 diversi effetti di colore</t>
  </si>
  <si>
    <t>10 różnokolorowych efektów</t>
  </si>
  <si>
    <t>10 različita efekta u boji</t>
  </si>
  <si>
    <t>10 hiệu ứng nhiều màu</t>
  </si>
  <si>
    <t>10 Skirtingų spalvotų efektų.</t>
  </si>
  <si>
    <t>20 različitih efekata u boji</t>
  </si>
  <si>
    <t>20 diversi effetti di colore</t>
  </si>
  <si>
    <t>20 różnokolorowych efektów</t>
  </si>
  <si>
    <t>20 različita efekta u boji</t>
  </si>
  <si>
    <t>20 hiệu ứng màu sắc khác nhau</t>
  </si>
  <si>
    <t>20 Skirtingų spalvotų efektų.</t>
  </si>
  <si>
    <t>3 različita efekta u boji</t>
  </si>
  <si>
    <t>3 diversi effetti di colore</t>
  </si>
  <si>
    <t>3 różnokolorowe efekty</t>
  </si>
  <si>
    <t>3 hiệu ứng nhiều màu</t>
  </si>
  <si>
    <t>3 Skirtingų spalvotų efektų.</t>
  </si>
  <si>
    <t>srebrna mina sa crvenim tragom i pucnjem</t>
  </si>
  <si>
    <t>srebrna mina, crveni trag, titanium pucanj</t>
  </si>
  <si>
    <t>C1620DU(S)</t>
  </si>
  <si>
    <t>silver mine to red tail to titanium salute(strong edition)</t>
  </si>
  <si>
    <t>stříbrná mina s červenou stopou a titanovou detonací(strong edition)</t>
  </si>
  <si>
    <t>Silberne Mine mit der roten Spur und mit der titanischen Detonation(strong edition)</t>
  </si>
  <si>
    <t>srebrna mina sa crvenim tragom i pucnjem (jako izdanje)</t>
  </si>
  <si>
    <t>miniera d'argento alla coda rossa al saluto al titanio (edizione forte)</t>
  </si>
  <si>
    <t>srebrna mina, czerwona kometa, głośny huk (mocna edycja)</t>
  </si>
  <si>
    <t>srebrna mina, crveni trag, titanium pucanj(pojačana varijanta)</t>
  </si>
  <si>
    <t>(silver mine) có vết đỏ và kích nổ titan (phiên bản mạnh)</t>
  </si>
  <si>
    <t>sidabrinė mina su raudona uodega ir titano saliutu (stipri)</t>
  </si>
  <si>
    <t>C1620DU(5)</t>
  </si>
  <si>
    <t>4 Skirtingų spalvotų efektų.</t>
  </si>
  <si>
    <t>4 hiệu ứng màu sắc khác nhau</t>
  </si>
  <si>
    <t xml:space="preserve"> 5 različitih efekata u boji</t>
  </si>
  <si>
    <t>5 różnokolorowych efektów</t>
  </si>
  <si>
    <t>5 hiệu ứng màu sắc khác nhau</t>
  </si>
  <si>
    <t>5 Skirtingų spalvotų efektų.</t>
  </si>
  <si>
    <t xml:space="preserve">5  Skirtingi spalvoti efektai.    </t>
  </si>
  <si>
    <t>crveni efekti sa pucketanjem, srebrna mina sa crvenim tragom i pucnjem</t>
  </si>
  <si>
    <t>onda rossa w.crepitio pistillo, miniera d'argento alla coda rossa al saluto al titanio</t>
  </si>
  <si>
    <t>czerwona fala z trzeszczeniem, srebrna mina, czerwona kometa, głośny huk</t>
  </si>
  <si>
    <t>crveni snop sa pucketajućim tačkama, srebrna mina do crvenog repa do titanium pucnja</t>
  </si>
  <si>
    <t>làn sóng đỏ với trung tâm răng rắc, (silver mine) có dấu vết màu đỏ và kích nổ titan</t>
  </si>
  <si>
    <t>raudona banga su traškančia piestele, sidabrinė mina su raudona uodega ir titano saliutu</t>
  </si>
  <si>
    <t>srebrno zeleni efekti sa svjetlucanjem, narančasti tragovi</t>
  </si>
  <si>
    <t>onda d'argento al verde w.luccicante pistillo, coda arancione a perla arancione al crisantemo</t>
  </si>
  <si>
    <t>srebrna fala przechodząca w zielony , pomarańczowy ogon w pomarańczową perłę przechodzącą w chryzantemę</t>
  </si>
  <si>
    <t>srebrni snop do zelenih strob tačaka, narandžasti rep do narandžastog bisera do hrizanteme</t>
  </si>
  <si>
    <t>sóng bạc với các đầu màu xanh lá cây và tâm nhấp nháy, dấu vết màu cam với ngọc trai màu cam với các ngôi sao nhỏ</t>
  </si>
  <si>
    <t>sidabrinė banga pereinanti į žalią spalvą su blizgančia piestele, oranžinė uodega pereinanti į oranžinį perlą ir chrizantemą</t>
  </si>
  <si>
    <t>zlatna kiša sa ljučičastim</t>
  </si>
  <si>
    <t>corona di broccato al viola</t>
  </si>
  <si>
    <t>brokatowa korona przechodząca w  fiolet</t>
  </si>
  <si>
    <t>brokatna kruna do ljubičaste boje</t>
  </si>
  <si>
    <t>vương miện (brocade) có đầu màu tím</t>
  </si>
  <si>
    <t>brokato vainikas pereinantis į violetinę spalvą</t>
  </si>
  <si>
    <t>plava palma sa zlatnim bljeskom u sredini</t>
  </si>
  <si>
    <t>palma blu con oro lampeggiante al centro</t>
  </si>
  <si>
    <t>niebieska palma ze złotym migającym środkiem</t>
  </si>
  <si>
    <t>plava palma sa zlatnim treptajima u sredini</t>
  </si>
  <si>
    <t>hình thốt nốt xanh với tâm vàng nhấp nháy</t>
  </si>
  <si>
    <t>mėlyna palmė su auksiniu blyksinčiu viduriu</t>
  </si>
  <si>
    <t xml:space="preserve"> 7 različitih efekata u boji</t>
  </si>
  <si>
    <t>7 różnokolorowych efektów</t>
  </si>
  <si>
    <t xml:space="preserve">corona di broccato al viola </t>
  </si>
  <si>
    <t xml:space="preserve"> 8 različitih efekata u boji</t>
  </si>
  <si>
    <t>8 diversi effetti di colore</t>
  </si>
  <si>
    <t>8 różnokolorowych efektów</t>
  </si>
  <si>
    <t>8 različita efekta u boji</t>
  </si>
  <si>
    <t>8 hiệu ứng màu sắc khác nhau</t>
  </si>
  <si>
    <t xml:space="preserve">8 Skirtingi spalvoti efektai. </t>
  </si>
  <si>
    <t xml:space="preserve"> 9 različitih efekata u boji sa završnim pucnjem</t>
  </si>
  <si>
    <t>9 diversi effetti di colore con saluto al titanio come finale</t>
  </si>
  <si>
    <t>9 różnokolorowych efektów z głośnym hukiem na końcu</t>
  </si>
  <si>
    <t>9 različita efekta u boji sa finalnim titanium pucnjem</t>
  </si>
  <si>
    <t>9 hiệu ứng nhiều màu với lời chào bằng titan ở cuối</t>
  </si>
  <si>
    <t>9 spalvų efektai su titano saliuto pabaiga</t>
  </si>
  <si>
    <t xml:space="preserve"> 9 različitih efekata u boji</t>
  </si>
  <si>
    <t>9 różnokolorowych efektów</t>
  </si>
  <si>
    <t xml:space="preserve">10 Skirtingi spalvoti efektai. </t>
  </si>
  <si>
    <t>C10020BPS14</t>
  </si>
  <si>
    <t>10 Skirtingi spalvoti efektai</t>
  </si>
  <si>
    <t>C10020XTS14</t>
  </si>
  <si>
    <t>Turbo 20mm shots 40</t>
  </si>
  <si>
    <t>5 različitih efekata u boji (po 10 pucnjeva odjednom)</t>
  </si>
  <si>
    <t xml:space="preserve">5 diversi effetti di colore(serie di 10 scatti) </t>
  </si>
  <si>
    <t>5 różnokolorowych efektów (serie po 10 strzałów)</t>
  </si>
  <si>
    <t>5 različita efekta u boji (salva 10 pucnja zajedno)</t>
  </si>
  <si>
    <t>5 hiệu ứng màu khác nhau (nột lần 10 phát đạn)</t>
  </si>
  <si>
    <t>5 Skirtingi spalvoti efektai.  (10 šūvių kartu)</t>
  </si>
  <si>
    <t>13 različitih efekata u boji</t>
  </si>
  <si>
    <t>13 diversi effetti di colore</t>
  </si>
  <si>
    <t>13 różnokolorowych efektów</t>
  </si>
  <si>
    <t>13 različita efekta u boji</t>
  </si>
  <si>
    <t>13 hiệu ứng nhiều màu</t>
  </si>
  <si>
    <t xml:space="preserve">13 Skirtingi spalvoti efektai. </t>
  </si>
  <si>
    <t>16 različitih efekata u boji , 64 pucnja (ravni), 40 pucnjeva (kosi), 18 pucnjeva (W oblik),  12 pucnjeva (V oblik)</t>
  </si>
  <si>
    <t>16 diversi effetti di colore, 64sh (malta standard), 40sh (forma della ventola), 18sh (mortaio W), 12sh (malta V)</t>
  </si>
  <si>
    <t>16 różnokolorowych efektów, 64sh (proste), 40sh (kątowe), 18sh (W), 12sh (V)</t>
  </si>
  <si>
    <t>16 različita efekta, 64s standard, 40s fan shape, 18s W, 12s V</t>
  </si>
  <si>
    <t>16 hiệu ứng màu sắc khác nhau, 64 viên đạn (cối thẳng), 40 viên đạn (cối xiên), 18 viên đạn (cối W), 12 viên đạn (cối)</t>
  </si>
  <si>
    <t>16 Skirtingi spalvoti efektai. , 64 šūvių (standartinis vamzdis), 40 šūvių (vėduoklės formos vamzdis), 18 šūvių (W vamzdis), 12 šūvių (V vamzdis)</t>
  </si>
  <si>
    <t xml:space="preserve">20 Skirtingi spalvoti efektai. </t>
  </si>
  <si>
    <t>C20020BPS</t>
  </si>
  <si>
    <t>20 Skirtingi spalvoti efektai</t>
  </si>
  <si>
    <t>16 različitih efekata u boji</t>
  </si>
  <si>
    <t>16 diversi effetti di colore</t>
  </si>
  <si>
    <t>16 różnokolorowych efektów</t>
  </si>
  <si>
    <t>16 različita efekta u boji</t>
  </si>
  <si>
    <t>16 hiệu ứng nhiều màu</t>
  </si>
  <si>
    <t xml:space="preserve">16 Skirtingi spalvoti efektai. </t>
  </si>
  <si>
    <t>18 różnokolorowych efektów</t>
  </si>
  <si>
    <t>C13220TS/C14</t>
  </si>
  <si>
    <t>Turbo 20mm shots 60</t>
  </si>
  <si>
    <t>C20020XTS/C14</t>
  </si>
  <si>
    <t>Turbo 20mm shots 80</t>
  </si>
  <si>
    <t>24 različita efekta u boji</t>
  </si>
  <si>
    <t>24 diversi effetti di colore</t>
  </si>
  <si>
    <t>24 różnokolorowe efekty</t>
  </si>
  <si>
    <t>24 hiệu ứng màu sắc khác nhau</t>
  </si>
  <si>
    <t xml:space="preserve">24 Skirtingi spalvoti efektai. </t>
  </si>
  <si>
    <t>32 različita efekta u boji</t>
  </si>
  <si>
    <t>32 diversi effetti di colore</t>
  </si>
  <si>
    <t>32 różnokolorowe efekty</t>
  </si>
  <si>
    <t>32 hiệu ứng nhiều màu</t>
  </si>
  <si>
    <t xml:space="preserve">32 Skirtingi spalvoti efektai. </t>
  </si>
  <si>
    <t>40 različitih efekata u boji</t>
  </si>
  <si>
    <t>40 diversi effetti di colore</t>
  </si>
  <si>
    <t>40 różnokolorowych efektów</t>
  </si>
  <si>
    <t>40 različita efekta u boji</t>
  </si>
  <si>
    <t>40 hiệu ứng màu sắc khác nhau</t>
  </si>
  <si>
    <t xml:space="preserve">40 Skirtingi spalvoti efektai. </t>
  </si>
  <si>
    <t>C13220TS/C14(T)</t>
  </si>
  <si>
    <t>C20020XTS/C14(T)</t>
  </si>
  <si>
    <t>C19220F/C14(T)</t>
  </si>
  <si>
    <t>24 Skirtingi spalvoti efektai</t>
  </si>
  <si>
    <t>C25620F/C14(T)</t>
  </si>
  <si>
    <t>C26420N/C14(T)</t>
  </si>
  <si>
    <t>srebrna mina, crveni rep, titanium pucanj</t>
  </si>
  <si>
    <t>C12820NID/C(T)</t>
  </si>
  <si>
    <t>C13220B/C(T)</t>
  </si>
  <si>
    <t>18 Skirtingi spalvoti efektai</t>
  </si>
  <si>
    <t>C19620SIG/C(T)</t>
  </si>
  <si>
    <t>7 Skirtingi spalvoti efektai</t>
  </si>
  <si>
    <t>26 različitih efekata u boji</t>
  </si>
  <si>
    <t>26 diversi effetti di colore</t>
  </si>
  <si>
    <t>26 różnokolorowych efektów</t>
  </si>
  <si>
    <t>26 različita efekta u boji</t>
  </si>
  <si>
    <t>26 hiệu ứng nhiều màu</t>
  </si>
  <si>
    <t xml:space="preserve">26 Skirtingi spalvoti efektai. </t>
  </si>
  <si>
    <t>Profi Fireworks show 268</t>
  </si>
  <si>
    <t>39 različitih efekata u boji</t>
  </si>
  <si>
    <t>39 diversi effetti di colore</t>
  </si>
  <si>
    <t>39 različita efekta u boji</t>
  </si>
  <si>
    <t>39 hiệu ứng nhiều màu</t>
  </si>
  <si>
    <t xml:space="preserve">39 Skirtingi spalvoti efektai. </t>
  </si>
  <si>
    <t>52 različita efekta u boji</t>
  </si>
  <si>
    <t>52 diversi effetti di colore</t>
  </si>
  <si>
    <t>52 różnokolorowe efekty</t>
  </si>
  <si>
    <t>52 hiệu ứng nhiều màu</t>
  </si>
  <si>
    <t xml:space="preserve">52 Skirtingi spalvoti efektai. </t>
  </si>
  <si>
    <t>80 različitih efekata u boji</t>
  </si>
  <si>
    <t>80 diversi effetti di colore</t>
  </si>
  <si>
    <t>80 różnokolorowych efektów</t>
  </si>
  <si>
    <t>80 različita efekta u boji</t>
  </si>
  <si>
    <t>80 hiệu ứng nhiều màu</t>
  </si>
  <si>
    <t xml:space="preserve">80 Skirtingi spalvoti efektai. </t>
  </si>
  <si>
    <t>C26020NID/C(T)</t>
  </si>
  <si>
    <t>26 Skirtingi spalvoti efektai</t>
  </si>
  <si>
    <t>C26820F/C(T)</t>
  </si>
  <si>
    <t>39 różnokolorowych efektów</t>
  </si>
  <si>
    <t>srebrna mina s crvenim tragom i pucnjem</t>
  </si>
  <si>
    <t xml:space="preserve">coda fischiettante  </t>
  </si>
  <si>
    <t>zviždući rep efekat</t>
  </si>
  <si>
    <t xml:space="preserve">sao chổi huýt sáo </t>
  </si>
  <si>
    <t>8 različitih efekata u boji</t>
  </si>
  <si>
    <t>diversi effetti di colore</t>
  </si>
  <si>
    <t>7 različitih efekata u boji, niska razina buke</t>
  </si>
  <si>
    <t>7 diversi effetti di colore - Nessun rumore</t>
  </si>
  <si>
    <t>7 różnokolorowych efektów – ciche efekty</t>
  </si>
  <si>
    <t xml:space="preserve">7 različita efekta u boji - bez buke </t>
  </si>
  <si>
    <t>7 hiệu ứng màu sắc khác nhau - không nhiễu</t>
  </si>
  <si>
    <t>7 Skirtingi spalvoti efektai,  be garso</t>
  </si>
  <si>
    <t>7 različitih efekata u boji(Signature kvaliteta), sretan rođenadan - karton sadrži 
naljepnice sa različitim brojevima</t>
  </si>
  <si>
    <t>7 diversi effetti di colore (qualità della firma), il cartone contiene adesivi con età diverse</t>
  </si>
  <si>
    <t>7 różnokolorowych efektów (jakość Signature), karton zawiera naklejki rocznicowe</t>
  </si>
  <si>
    <t>7 različitih efekata u boji (Signature kvaliteta), karton sadrži naljepnice različitih godina</t>
  </si>
  <si>
    <t>7 hiệu ứng màu khác nhau (Chất lượng đặc trưng), thùng có các nhãn dán với các độ tuổi khác nhau</t>
  </si>
  <si>
    <t>7  Skirtingi spalvoti efektai. (ypatingos kokybės), dėžutėje yra skirtingo amžiaus (skaiciu) lipdukų</t>
  </si>
  <si>
    <t>28 pucnjeva zlatna kiša sa crvenim/plavim efektima, 21 pucanj srebrna mina s 
crvenim tragom i pucnjem</t>
  </si>
  <si>
    <t>28sh corona di broccato dorato a rosso / blu, miniera d'argento 21sh alla coda rossa al saluto in titanio</t>
  </si>
  <si>
    <t>28 strz. brokatowa korona przechodzi w czerwony/niebieski, 21 strz. srebrna mina, czerwona kometa, głośny huk</t>
  </si>
  <si>
    <t>28s zlatna brokatna kruna do crveno/plave, 21s srebrna mina do crvenog repa do titanium pucnja</t>
  </si>
  <si>
    <t>Vương miện (brocade) vàng 28 vòng với các đầu màu đỏ / xanh lam, (silver mine) 21 vòng có dấu vết của vụ nổ tháng 6 + titan</t>
  </si>
  <si>
    <t>28 šūvių auksinis brokato vainikas ir raudona/mėlyna spalva, 21 šūvio sidabrinė mina su raudona uodega ir titano saliutu</t>
  </si>
  <si>
    <t>14 različitih efekata u boji</t>
  </si>
  <si>
    <t>14 diversi effetti di colore</t>
  </si>
  <si>
    <t>14 różnokolorowych efektów</t>
  </si>
  <si>
    <t>14 različita efekta u boji</t>
  </si>
  <si>
    <t>14 hiệu ứng nhiều màu</t>
  </si>
  <si>
    <t xml:space="preserve">14 Skirtingi spalvoti efektai. </t>
  </si>
  <si>
    <t>11 różnokolorowych efektów</t>
  </si>
  <si>
    <t>11 različitih efekata u boji (svaki pucanj drugi efekt)</t>
  </si>
  <si>
    <t>11 diversi effetti di colore (effetto cambia ogni scatto)</t>
  </si>
  <si>
    <t>11 różnokolorowych efektów (efekty zmieniają się po każdym strzale)</t>
  </si>
  <si>
    <t>11 raznobojnih efekata (svaki pucanj drugačiji)</t>
  </si>
  <si>
    <t>11 hiệu ứng nhiều màu thay đổi sau mỗi lầnđạn bắn</t>
  </si>
  <si>
    <t>11 Skirtingi spalvoti efektai. (efektai keičiasi su kiekvienu šūviu)</t>
  </si>
  <si>
    <t>40 pucnjeva zlatna kiša sa crvenim/plavim efektima, 48 pucnjeva srebrna mina s 
crvenim tragom i pucnjem</t>
  </si>
  <si>
    <t>Corona di broccato dorato da 40sh a rosso /blu, miniera d'argento da 48sh a coda rossa a saluto al titanio</t>
  </si>
  <si>
    <t>40 strz. brokatowa korona przechodzi w czerwony/niebieski, 48 strz. srebrna mina, czerwona kometa, głośny huk</t>
  </si>
  <si>
    <t>40s zlatna brokatna kruna do crveno/plave boje, 48s srebrna mina do crvenog repa do titanium pucnja</t>
  </si>
  <si>
    <t>Vương miện (brocade) vàng 40 vòng với các đầu màu đỏ / xanh, (silver mine) 48 dấu vết + titan</t>
  </si>
  <si>
    <t>40 šūvių auksinis brokato vainikas ir raudona/mėlyna spalva, 48 šūvių sidabrinė mina su raudona uodega ir titano saliutu</t>
  </si>
  <si>
    <t>6 različitih plavih efekata + 3x srebrna mina s crvenim tragom i pucnjem</t>
  </si>
  <si>
    <t>6 diversi effetti rossi + miniera d'argento a 3 file alla coda rossa al saluto al titanio</t>
  </si>
  <si>
    <t>6 różnych niebieskich efektów + 3 rzędy srebrna mina, czerwona kometa, głośny huk</t>
  </si>
  <si>
    <t>6 različitih efekata plave boje+3 reda srebrnih mina do crvenog repa do titanium pucnja</t>
  </si>
  <si>
    <t>6 hiệu ứng màu xanh khác nhau + 3 hàng (silver mine) với dấu vết màu đỏ và vụ nổ titan</t>
  </si>
  <si>
    <t>6 skirtingi mėlyni efektai ir 3 eilės sidabrinės minos su raudona uodega ir titano saliutu</t>
  </si>
  <si>
    <t>C10025BPS</t>
  </si>
  <si>
    <t>C9825SIG/C14</t>
  </si>
  <si>
    <t>28 različitih efekata u boji</t>
  </si>
  <si>
    <t>28 diversi effetti di colore</t>
  </si>
  <si>
    <t>28 różnokolorowych efektów</t>
  </si>
  <si>
    <t>28 različita efekta u boji</t>
  </si>
  <si>
    <t>28 hiệu ứng màu sắc khác nhau</t>
  </si>
  <si>
    <t xml:space="preserve">28 Skirtingi spalvoti efektai. </t>
  </si>
  <si>
    <t>16 Skirtingi spalvoti efektai</t>
  </si>
  <si>
    <t>14 Skirtingi spalvoti efektai</t>
  </si>
  <si>
    <t>C9825SIG/C14(T)</t>
  </si>
  <si>
    <t>32 Skirtingi spalvoti efektai</t>
  </si>
  <si>
    <t>C19625/C14(T)</t>
  </si>
  <si>
    <t>28 Skirtingi spalvoti efektai</t>
  </si>
  <si>
    <t>C19625F/C(T)</t>
  </si>
  <si>
    <t>C20025BPS/C</t>
  </si>
  <si>
    <t>30 različitih efekata u boji</t>
  </si>
  <si>
    <t>30 diversi effetti di colore</t>
  </si>
  <si>
    <t>30 różnokolorowych efektów</t>
  </si>
  <si>
    <t>30 različita efekta u boji</t>
  </si>
  <si>
    <t>30 hiệu ứng nhiều màu</t>
  </si>
  <si>
    <t xml:space="preserve">30 Skirtingi spalvoti efektai. </t>
  </si>
  <si>
    <t>C9825SIG/C(T)</t>
  </si>
  <si>
    <t>C17825W/C(T)</t>
  </si>
  <si>
    <t>4  diversi effetti di colore</t>
  </si>
  <si>
    <t>4 različita efekta u boji (svaki pucanj drugi efekt)</t>
  </si>
  <si>
    <t>4 diversi effetti di colore (effetto cambia ogni scatto)</t>
  </si>
  <si>
    <t>4 różnokolorowe efekty  (efekty zmieniają się po każdym strzale)</t>
  </si>
  <si>
    <t>4 raznobojna efekta (svaki pucanj drugačiji)</t>
  </si>
  <si>
    <t>4 hiệu ứng màu sắc khác nhau thay đổi sau mỗi lầnđạn bắn</t>
  </si>
  <si>
    <t>4  Skirtingi spalvoti efektai. (efektai keičiasi su kiekvienu šūviu)</t>
  </si>
  <si>
    <t>zlatni tragovi i zlatna kiša sa pucketanjem</t>
  </si>
  <si>
    <t>coda di broccato a corona di broccato w.crackers</t>
  </si>
  <si>
    <t>brokatowy ogon przechodzi w brokatową koronbę z trzeszczeniem'</t>
  </si>
  <si>
    <t>brokatni rep do brokatne krune sa.krekerima</t>
  </si>
  <si>
    <t>Dấu vết (brocade) + vương miện bằng (brocade) với những ngôi sao nứt</t>
  </si>
  <si>
    <t>brokato uodega su brokato vainiku ir traškesiu</t>
  </si>
  <si>
    <t>srebrna mina sa crvenim tragom / srebrna krizantema</t>
  </si>
  <si>
    <t>miniera d'argento alla coda rossa al crisantemo d'argento</t>
  </si>
  <si>
    <t>srebrna mina, czerwona kometa, srebrna chryzantema</t>
  </si>
  <si>
    <t>srebrna mina, crveni trag, srebrna hrizantema</t>
  </si>
  <si>
    <t>(silver mine) có dấu vết đỏ + hoa cúc bạc</t>
  </si>
  <si>
    <t>sidabrinė mina su raudona uodega ir sidabrine chrizantema</t>
  </si>
  <si>
    <t>višebojni efekt (dahlia)</t>
  </si>
  <si>
    <t>dahlia colorata</t>
  </si>
  <si>
    <t>višebojna dalija</t>
  </si>
  <si>
    <t>4 različita efekta u boji (menja se sa svakim pucnjem)</t>
  </si>
  <si>
    <t>4 Skirtingi spalvoti efektai.  (efektai keičiasi su kiekvienu šūviu)</t>
  </si>
  <si>
    <t>srebrni trag-srebrna palma sa ljubičastim</t>
  </si>
  <si>
    <t>coda d'argento al palmo d'argento al viola</t>
  </si>
  <si>
    <t>srebrny ogon przechodzący w srebrną palmę przechodzącą w fiolet</t>
  </si>
  <si>
    <t>srebrni rep do srebrne palme do ljubičaste boje</t>
  </si>
  <si>
    <t>Dấu vết bạc + (palm) bạc với tâm màu tím</t>
  </si>
  <si>
    <t>sidabrinė uodega keičiasi į sidabrinę ir violetinę palmę</t>
  </si>
  <si>
    <t>efekt u boji / krizantema</t>
  </si>
  <si>
    <t>colore perle al crisantemo</t>
  </si>
  <si>
    <t>kolorowe perełki przechodzące w  chryzantemy</t>
  </si>
  <si>
    <t>biserne boje do hrizanteme</t>
  </si>
  <si>
    <t>bó hoa đầy màu sắc với những ngôi sao nứt</t>
  </si>
  <si>
    <t>spalvoti perlai ir chrizantema</t>
  </si>
  <si>
    <t>5 Skirtingi spalvoti efektai.  (efektai keičiasi su kiekvienu šūviu)</t>
  </si>
  <si>
    <t>5  diversi effetti di colore</t>
  </si>
  <si>
    <t>5 različitih efekata u boji, niska razina buke</t>
  </si>
  <si>
    <t>5 diversi effetti di colore - Nessun rumore</t>
  </si>
  <si>
    <t>5 różnokolorowych efektów (ciche efekty)</t>
  </si>
  <si>
    <t>5 različita efekta u boji-bez buke</t>
  </si>
  <si>
    <t>5 hiệu ứng màu sắc khác nhau - không nhiễu</t>
  </si>
  <si>
    <t>5 Skirtingi spalvoti efektai. " be garso"</t>
  </si>
  <si>
    <t>5 različitih efekata u boji(svaki pucanj drugi efekt)</t>
  </si>
  <si>
    <t>5 diversi effetti di colore (effetto cambia ogni scatto)</t>
  </si>
  <si>
    <t>5 różnokolorowych efektów (efekty zmieniają się po każdym strzale)</t>
  </si>
  <si>
    <t>5 različita efekta u boji (menja se sa svakim pucnjem)</t>
  </si>
  <si>
    <t>5 hiệu ứng màu sắc khác nhau thay đổi sau mỗi lầnđạn bắn</t>
  </si>
  <si>
    <t>5 Skirtingi spalvoti efektai. (efektai keičiasi su kiekvienu šūviu)</t>
  </si>
  <si>
    <t>brocade crown+purple</t>
  </si>
  <si>
    <t>zlatni + ljubičasti efekti</t>
  </si>
  <si>
    <t>broccato+viola</t>
  </si>
  <si>
    <t>brokat + fiolet</t>
  </si>
  <si>
    <t>brokat + ljubičasta</t>
  </si>
  <si>
    <t>Vương miện (brocade) có đầu màu tím</t>
  </si>
  <si>
    <t>borkatas ir violetinė spalva</t>
  </si>
  <si>
    <t>plavi trag sa bijelom bljeskajućom vrbom</t>
  </si>
  <si>
    <t>coda blu a salice lampeggiante bianco</t>
  </si>
  <si>
    <t>niebieski ogon przechodzący w białą migoczącą wierzbę</t>
  </si>
  <si>
    <t>plavi rep do bele blistave vrbe</t>
  </si>
  <si>
    <t>Dấu vết xanh với cây liễu chớp trắng</t>
  </si>
  <si>
    <t>mėlyna uodega keičiasi į baltą blyksintį gluosnį</t>
  </si>
  <si>
    <t>zlatna kiša sa crvenim + bijela bljeskalica</t>
  </si>
  <si>
    <t>brokatna kruna do crvenog + belog stroba</t>
  </si>
  <si>
    <t>7 hiệu ứng màu sắc khác nhau</t>
  </si>
  <si>
    <t>6 różnokolorowych efektów</t>
  </si>
  <si>
    <t>6 različitih efekata u boji(svaki pucanj drugi efekt)</t>
  </si>
  <si>
    <t>6 diversi effetti di colore(gli effetti cambiano ad ogni scatto)</t>
  </si>
  <si>
    <t>6 różnokolorowych efektów (efekty zmieniają się po każdym strzale)</t>
  </si>
  <si>
    <t>6 različita efekta u boji (menja se sa svakim pucnjem)</t>
  </si>
  <si>
    <t>6 hiệu ứng màu sắc khác nhau thay đổi sau mỗi lầnđạn bắn</t>
  </si>
  <si>
    <t>6 Skirtingi spalvoti efektai. (efektai keičiasi su kiekvienu šūviu)</t>
  </si>
  <si>
    <t>C493BPS</t>
  </si>
  <si>
    <t>7 različitih efekata u boji(svaki pucanj drugi efekt)</t>
  </si>
  <si>
    <t>7 diversi effetti di colore (effetto cambia ogni scatto)</t>
  </si>
  <si>
    <t>7 różnokolorowych efektów (efekty zmieniają się po każdym strzale)</t>
  </si>
  <si>
    <t>7 različita efekta u boji (menja se sa svakim pucnjem)</t>
  </si>
  <si>
    <t>7 hiệu ứng màu sắc khác nhau thay đổi sau mỗi lầnđạn bắn</t>
  </si>
  <si>
    <t>7 Skirtingi spalvoti efektai.  (efektai keičiasi su kiekvienu šūviu)</t>
  </si>
  <si>
    <t>crveni trag i velika bijela bljeskalica</t>
  </si>
  <si>
    <t xml:space="preserve">tailt rosso a strobo super bianco </t>
  </si>
  <si>
    <t>czerwony ogon przechodzący w super biały stroboskop</t>
  </si>
  <si>
    <t>crveni rep do super belog stroba</t>
  </si>
  <si>
    <t>dấu vết mòn màu đỏ với những ngôi sao lấp lánh màu trắng</t>
  </si>
  <si>
    <t>raudona uodega su stipriu baltu mirksėjimu</t>
  </si>
  <si>
    <t>trag u boji sa crveno/zlatnim efektom (ghost)</t>
  </si>
  <si>
    <t xml:space="preserve">colore coda a colore perla con fantasma rosso/dorato </t>
  </si>
  <si>
    <t>kolorowy  ogon do kolorowego perłowego z czerwono-złotym</t>
  </si>
  <si>
    <t>obojeni rep u boji bisera s crveno/zlatnim duhom</t>
  </si>
  <si>
    <t>dấu vết màu với ngọc trai màu và trung tâm trễ màu đỏ / vàng</t>
  </si>
  <si>
    <t>spalvota uodega keičiasi į spalvotą perlą su raudonu/geltonu vaiduokliu</t>
  </si>
  <si>
    <t>crvena bljeskajuća vrba</t>
  </si>
  <si>
    <t>rosso scintillante wilow</t>
  </si>
  <si>
    <t>Czerwona błyszcząca wierzba</t>
  </si>
  <si>
    <t>crveno svetlucava vrba</t>
  </si>
  <si>
    <t>liễu nhấp nháy đỏ</t>
  </si>
  <si>
    <t>raudonas blizgantis gluosnis</t>
  </si>
  <si>
    <t>zlatna vrba</t>
  </si>
  <si>
    <t>salice -oro</t>
  </si>
  <si>
    <t>zlota wierzba</t>
  </si>
  <si>
    <t>titanijum zlatna vrba</t>
  </si>
  <si>
    <t>cây liễu nhấp nháy vàng</t>
  </si>
  <si>
    <t>Ti auksinis gluosnis</t>
  </si>
  <si>
    <t>8 različitih efekata u boji (svaki pucanj drugi efekt)</t>
  </si>
  <si>
    <t>8 diversi effetti di colore (effetto cambia ogni scatto)</t>
  </si>
  <si>
    <t>8 różnokolorowych efektów (produkowane ręcznie)</t>
  </si>
  <si>
    <t>8 različita efekta u boji, ručna izrada</t>
  </si>
  <si>
    <t>8 hiệu ứng màu sắc khác nhau thay đổi sau mỗi lầnđạn bắn</t>
  </si>
  <si>
    <t>8 Skirtingi spalvoti efektai. (efektai keičiasi su kiekvienu šūviu)</t>
  </si>
  <si>
    <t>8 raznobojnih efekata (svaki pucanj različit)</t>
  </si>
  <si>
    <t>8 Skirtingi spalvoti efektai.  (efektai keičiasi su kiekvienu šūviu)</t>
  </si>
  <si>
    <t>C503TS/C14</t>
  </si>
  <si>
    <t>Turbo 30mm shots 25</t>
  </si>
  <si>
    <t>5 različita efekta u boji - bez buke</t>
  </si>
  <si>
    <t>5 Skirtingi spalvoti efektai.  "be garso"</t>
  </si>
  <si>
    <t>15 različitih efekata u boji</t>
  </si>
  <si>
    <t>15 diversi effetti di colore</t>
  </si>
  <si>
    <t>15 różnokolorowych efektów</t>
  </si>
  <si>
    <t>15 različita efekta u boji</t>
  </si>
  <si>
    <t>15 hiệu ứng màu sắc khác nhau</t>
  </si>
  <si>
    <t xml:space="preserve">15 Skirtingi spalvoti efektai. </t>
  </si>
  <si>
    <t>zlatna titanium vrba</t>
  </si>
  <si>
    <t>C503TS/C14(T)</t>
  </si>
  <si>
    <t>5 Skirtingi spalvoti efektai. "be garso"</t>
  </si>
  <si>
    <t>C1003BPS/C</t>
  </si>
  <si>
    <t>10 różnokolorowych efektów (produkowane ręcznie)</t>
  </si>
  <si>
    <t>C1003F/C</t>
  </si>
  <si>
    <t xml:space="preserve">10 različitih efekata u boji, sretan rođendan - karton sadrži naljepnice sa 
različitim brojevima </t>
  </si>
  <si>
    <t>10 diversi effetti di colore, il cartone contiene adesivi con età diverse</t>
  </si>
  <si>
    <t>7 różnokolorowych efektów, karton zawiera naklejki rocznicowe</t>
  </si>
  <si>
    <t>10 raznobojnih efekata (nalepnice sa različitim brojevima)</t>
  </si>
  <si>
    <t>10 hiệu ứng màu khác nhau, bìa cứng chứa các nhãn dán với các độ tuổi khác nhau</t>
  </si>
  <si>
    <t>10 Skirtingi spalvoti efektai, dėžutėje yra skirtingo amžiaus (skaiciai) lipdukų</t>
  </si>
  <si>
    <t>C1003NID/C(T)</t>
  </si>
  <si>
    <t xml:space="preserve">10 različitih efekata u boji, karton zadrži naljepnice sa različitim brojevima </t>
  </si>
  <si>
    <t>10 raznobojnih efekata, karton sadrži nalepnice sa različitim brojevima godina</t>
  </si>
  <si>
    <t>10 skirtingų spalvų efektų, dėžėje yra lipdukų su įvairiais amžiais</t>
  </si>
  <si>
    <t>CF1003P/C(T)</t>
  </si>
  <si>
    <t>C2003SIG/C(T)</t>
  </si>
  <si>
    <t>10 hiệu ứng màu sắc khác nhau, sản xuất bằng tay</t>
  </si>
  <si>
    <t>5 različitih efekata u boji (svaki pucanj drugi efekt)</t>
  </si>
  <si>
    <t>5 raznobojnih efekata (efekat se menja pri svakom pucnju)</t>
  </si>
  <si>
    <t>6 Skirtingi spalvoti efektai</t>
  </si>
  <si>
    <t>coda d'argento al saluto in titanio</t>
  </si>
  <si>
    <t>srebrni trag i titanium pucanj</t>
  </si>
  <si>
    <t>Dấu vết bạc với vụ nổ titan</t>
  </si>
  <si>
    <t>sidabrinė uodega su titano saliutu</t>
  </si>
  <si>
    <t xml:space="preserve"> diversi effetti di colore</t>
  </si>
  <si>
    <t>21 różnokolorowych efektów</t>
  </si>
  <si>
    <t>bijela mina sa crvenim tragom i pucnjem (svaka cijev sadrži 10 pucnjeva)</t>
  </si>
  <si>
    <t>Wite mine+coda rossa al saluto al titanio (ogni tubo contiene 10sh)</t>
  </si>
  <si>
    <t>biała mina + czerwona kometa, głośny huk ( z hażdej tuby po 10 strzałów)</t>
  </si>
  <si>
    <t>bela mina+crveni rep do titanijumskog pucnja(svaka cev ima 10 pucnja)</t>
  </si>
  <si>
    <t>(white mine) có vết đỏ và một quả nổ titan (mỗi cối chứa 10 viên đạn)</t>
  </si>
  <si>
    <t>balta mina su raudona uodega ir titano saliutu (kiekviename amzdyje yra 10 šūvių)</t>
  </si>
  <si>
    <t>srebrni trag i pucanj</t>
  </si>
  <si>
    <t>dấu vết bạc với vụ nổ titan</t>
  </si>
  <si>
    <t>srebrna pucketajuća fontana + 8 različitih efekata u boji</t>
  </si>
  <si>
    <t>fontana scoppiettante d'argento+ 8 diversi effetti di colore</t>
  </si>
  <si>
    <t>srebrna trzeszcząca fontanna + 8 różnokolorowych efektów</t>
  </si>
  <si>
    <t>fontana sa srebrnim krekerima+ baterija sa 8 raznobojnih efekata</t>
  </si>
  <si>
    <t>vòi phun lửa màu bạc + 8 hiệu ứng nhiều màu</t>
  </si>
  <si>
    <t xml:space="preserve">sidabrinis traškantis fontanas ir 8 Skirtingi spalvoti efektai. </t>
  </si>
  <si>
    <t>7 različitih efekata u boji sa pucnjem na kraju</t>
  </si>
  <si>
    <t>7 diversi effetti di colore con saluto al titanio come finale</t>
  </si>
  <si>
    <t>7 różnokolorowych efektów + głośny huk na koniec</t>
  </si>
  <si>
    <t>7 različita efekta u boji sa lepom titanium salut završnicom</t>
  </si>
  <si>
    <t>7 hiệu ứng màu sắc khác nhau với lời chào bằng titan ở cuối</t>
  </si>
  <si>
    <t>7 Skirtingi spalvoti efektai. su titano saliuto pabaiga</t>
  </si>
  <si>
    <t>C100MTS/C14</t>
  </si>
  <si>
    <t>Turbo multi shots 55</t>
  </si>
  <si>
    <t>C100MPT/C14</t>
  </si>
  <si>
    <t>C136XMTS/C14</t>
  </si>
  <si>
    <t>Turbo multi shots 70</t>
  </si>
  <si>
    <t>C136XMK/C14</t>
  </si>
  <si>
    <t>King fireworks 136</t>
  </si>
  <si>
    <t>42 različita efekta u boji</t>
  </si>
  <si>
    <t>42 diversi effetti di colore</t>
  </si>
  <si>
    <t>42 różnokolorowe efekty</t>
  </si>
  <si>
    <t>42 hiệu ứng nhiều màu</t>
  </si>
  <si>
    <t xml:space="preserve">42 Skirtingi spalvoti efektai. </t>
  </si>
  <si>
    <t>19 različitih efekata u boji</t>
  </si>
  <si>
    <t>19 diversi effetti di colore</t>
  </si>
  <si>
    <t>19 różnokolorowych efektów</t>
  </si>
  <si>
    <t>19 različita efekta u boji</t>
  </si>
  <si>
    <t>19 hiệu ứng màu sắc khác nhau</t>
  </si>
  <si>
    <t xml:space="preserve">19 Skirtingi spalvoti efektai. </t>
  </si>
  <si>
    <t>34 različita efekta u boji</t>
  </si>
  <si>
    <t>34 diversi effetti di colore</t>
  </si>
  <si>
    <t>34 różnokolorowe efekty</t>
  </si>
  <si>
    <t>34 hiệu ứng nhiều màu</t>
  </si>
  <si>
    <t xml:space="preserve">34 Skirtingi spalvoti efektai. </t>
  </si>
  <si>
    <t>C100MTS/C14(T)</t>
  </si>
  <si>
    <t>C100MPT/C14(T)</t>
  </si>
  <si>
    <t>C128MS/C14(T)</t>
  </si>
  <si>
    <t>C136XMTS/C14(T)</t>
  </si>
  <si>
    <t>C136XMK/C14(T)</t>
  </si>
  <si>
    <t>C150MF/C14(T)</t>
  </si>
  <si>
    <t>21 Skirtingi spalvoti efektai</t>
  </si>
  <si>
    <t>22 različita efekta u boji</t>
  </si>
  <si>
    <t>22 diversi effetti di colore</t>
  </si>
  <si>
    <t>22 różnokolorowe efekty</t>
  </si>
  <si>
    <t>22 hiệu ứng nhiều màu</t>
  </si>
  <si>
    <t xml:space="preserve">22 Skirtingi spalvoti efektai. </t>
  </si>
  <si>
    <t>33 różnokolorowych efektów</t>
  </si>
  <si>
    <t>C223MF/C(T)</t>
  </si>
  <si>
    <t>22 Skirtingi spalvoti efektai</t>
  </si>
  <si>
    <t>C239MSIG/C(T)</t>
  </si>
  <si>
    <t>30 Skirtingi spalvoti efektai</t>
  </si>
  <si>
    <t>C446MM/C(T)</t>
  </si>
  <si>
    <t>2xfontana + 25 različitih efekata u boji</t>
  </si>
  <si>
    <t>2x fontane+25 diversi effetti di colore</t>
  </si>
  <si>
    <t>2 x fontanna + 25 różnokolorowych efektów</t>
  </si>
  <si>
    <t>fontana + baterija od 25 raznobojnih efekata</t>
  </si>
  <si>
    <t>vòi phun lửa 2x + 25 hiệu ứng màu khác nhau</t>
  </si>
  <si>
    <t xml:space="preserve">2x fontanai ir 25 Skirtingi spalvoti efektai. </t>
  </si>
  <si>
    <t>C111MF/C(T)</t>
  </si>
  <si>
    <t>C168MF/C(T)</t>
  </si>
  <si>
    <t>C175MF/C(T)</t>
  </si>
  <si>
    <t>17 različitih efekata u boji</t>
  </si>
  <si>
    <t>17 diversi effetti di colore</t>
  </si>
  <si>
    <t>17 różnokolorowych efektów</t>
  </si>
  <si>
    <t>17 različita efekta u boji</t>
  </si>
  <si>
    <t>17 hiệu ứng nhiều màu</t>
  </si>
  <si>
    <t xml:space="preserve">17 Skirtingi spalvoti efektai. </t>
  </si>
  <si>
    <t>38 različitih efekata u boji</t>
  </si>
  <si>
    <t>38 diversi effetti di colore</t>
  </si>
  <si>
    <t>38 różnokolorowych efektów</t>
  </si>
  <si>
    <t>38 različita efekta u boji</t>
  </si>
  <si>
    <t>38 hiệu ứng nhiều màu</t>
  </si>
  <si>
    <t xml:space="preserve">38 Skirtingi spalvoti efektai. </t>
  </si>
  <si>
    <t>40 hiệu ứng nhiều màu</t>
  </si>
  <si>
    <t>crveni trag</t>
  </si>
  <si>
    <t>coda rossa</t>
  </si>
  <si>
    <t>crveni rep</t>
  </si>
  <si>
    <t>đuôi đỏ</t>
  </si>
  <si>
    <t>raudona uodega</t>
  </si>
  <si>
    <t>zeleni trag</t>
  </si>
  <si>
    <t xml:space="preserve">coda verde   </t>
  </si>
  <si>
    <t>zeleni rep</t>
  </si>
  <si>
    <t xml:space="preserve">đuôi xanh </t>
  </si>
  <si>
    <t>žalia uodega</t>
  </si>
  <si>
    <t>žuti trag</t>
  </si>
  <si>
    <t>coda gialla</t>
  </si>
  <si>
    <t>žuti rep</t>
  </si>
  <si>
    <t>đuôi vàng</t>
  </si>
  <si>
    <t>geltona uodega</t>
  </si>
  <si>
    <t>zlatni trag</t>
  </si>
  <si>
    <t xml:space="preserve">coda dorata </t>
  </si>
  <si>
    <t>zlatni rep</t>
  </si>
  <si>
    <t xml:space="preserve">đuôi vàng </t>
  </si>
  <si>
    <t>auksinė uodega</t>
  </si>
  <si>
    <t>crvena svjetlucajuća vrba</t>
  </si>
  <si>
    <t>coda di salice glitter rosso</t>
  </si>
  <si>
    <t>crveni svetlucavi rep vrbe</t>
  </si>
  <si>
    <t>đuôi liễu long lanh đỏ</t>
  </si>
  <si>
    <t>raudona blizganti gluosnio uodega</t>
  </si>
  <si>
    <t>zelena svetlucajuća vrba</t>
  </si>
  <si>
    <t>coda di salice glitter verde</t>
  </si>
  <si>
    <t>zeleni svetlucavi rep vrbe</t>
  </si>
  <si>
    <t>đuôi liễu long lanh xanh</t>
  </si>
  <si>
    <t>žalia blizganti gluosnio uodega</t>
  </si>
  <si>
    <t>srebrna svjetlucajuća vrba</t>
  </si>
  <si>
    <t>coda di salice glitter d'argento</t>
  </si>
  <si>
    <t>rep od srebrne svetlucave vrbe</t>
  </si>
  <si>
    <t>bạc long lanh đuôi liễu</t>
  </si>
  <si>
    <t>sidabrinė blizganti gluosnio uodega</t>
  </si>
  <si>
    <t>pucketajući trag</t>
  </si>
  <si>
    <t>coda scoppiettante</t>
  </si>
  <si>
    <t>pucketanje repa</t>
  </si>
  <si>
    <t>đuôi kêu răng rắc</t>
  </si>
  <si>
    <t>traškanti uodega</t>
  </si>
  <si>
    <t>pucketavi rep</t>
  </si>
  <si>
    <t>bijela svjetlucajuća mina</t>
  </si>
  <si>
    <t>bianco glitter mio</t>
  </si>
  <si>
    <t>bela blještava mina</t>
  </si>
  <si>
    <t>mỏ long lanh trắng</t>
  </si>
  <si>
    <t>balta blizganti mina</t>
  </si>
  <si>
    <t>crveni trag-zelena svjetlucajuća mina</t>
  </si>
  <si>
    <t>coda rossa fino alla miniera glitter verde</t>
  </si>
  <si>
    <t>mina crveni rep do zelenog sjaja</t>
  </si>
  <si>
    <t>đuôi đỏ đến mỏ long lanh xanh</t>
  </si>
  <si>
    <t>raudona uodega ir žalia blizganti mina</t>
  </si>
  <si>
    <t>plava+crvena svjetlucajuća mina</t>
  </si>
  <si>
    <t>mare blu+rosso glitter miniera</t>
  </si>
  <si>
    <t>morsko plavo + crvena svetlucava mina</t>
  </si>
  <si>
    <t>mỏ long lanh màu xanh biển + đỏ</t>
  </si>
  <si>
    <t>jūros mėlynumo ir raudona blizganti mina</t>
  </si>
  <si>
    <t>srebrna svjetlucajuća mina sa zelenom kometom</t>
  </si>
  <si>
    <t>argento scintillante miniera con cometa verde</t>
  </si>
  <si>
    <t>srebrno blještava mina sa zelenom kometom</t>
  </si>
  <si>
    <t>mỏ lấp lánh bạc w / sao chổi xanh</t>
  </si>
  <si>
    <t>sidabrinė blizganti mina su žalia kometa</t>
  </si>
  <si>
    <t>bljeskajuća mina u boji</t>
  </si>
  <si>
    <t>colore speciale strobing miniera</t>
  </si>
  <si>
    <t>strob mina sa posebnom bojom</t>
  </si>
  <si>
    <t>màu đặc biệt vuốt ve của tôi</t>
  </si>
  <si>
    <t>ypatingų spalvų mirksinti mina</t>
  </si>
  <si>
    <t>plavo-crveni efekt (crossette) sa crveno-ljubičastim efektom (crossette)</t>
  </si>
  <si>
    <t>Crossette da blu a rossa+crossete da rossa a viola</t>
  </si>
  <si>
    <t>plavi do crveni krst + crveni do ljubičasti krst</t>
  </si>
  <si>
    <t>gạch chéo màu xanh lam sang đỏ + gạch chéo màu đỏ đến tím</t>
  </si>
  <si>
    <t>persikertantys raudoni ir mėlyni šūviai, persikertantys raudoni ir violetiniai šūviai</t>
  </si>
  <si>
    <t>crveni trag sa bijelim svjetlucanjem+zeleni trag sa bijelim svjetlucanjem</t>
  </si>
  <si>
    <t>coda rossa fino a bianco glitter + coda verde fino a glitter bianco</t>
  </si>
  <si>
    <t>crveni rep do belog sjaja + zeleni rep do belog sjaja</t>
  </si>
  <si>
    <t>đuôi đỏ đến long lanh trắng + đuôi xanh lục đến long lanh trắng</t>
  </si>
  <si>
    <t>raudona uodega, baltas blizgėjimas it žalia uodega baltas blizgėjimas</t>
  </si>
  <si>
    <t>crveni trag i pucketanje+zeleni trag i pucketanje</t>
  </si>
  <si>
    <t>coda rossa fino a coda scoppiettante + coda verde fino a coda scoppiettante</t>
  </si>
  <si>
    <t>zvijezde u boji + pucketanje repa</t>
  </si>
  <si>
    <t>đuôi đỏ lên đến đuôi kêu + đuôi xanh lên tới đuôi kêu</t>
  </si>
  <si>
    <t>zvjezdice u boji+pucketajući trag</t>
  </si>
  <si>
    <t>stelle di colore+coda scoppiettante</t>
  </si>
  <si>
    <t>zvezde u boji + pucketanje repa</t>
  </si>
  <si>
    <t>sao màu + đuôi kêu răng rắc</t>
  </si>
  <si>
    <t>spalvotos žvaigždės ir traškanti uodega</t>
  </si>
  <si>
    <t>crveni trag sa pucnjem</t>
  </si>
  <si>
    <t>coda rossa fino a ritardare cracker</t>
  </si>
  <si>
    <t>crveni rep do odlaganja krekera</t>
  </si>
  <si>
    <t>đuôi đỏ để trì hoãn cracker</t>
  </si>
  <si>
    <t>raudona uodega ir su traškesio uždelsimu</t>
  </si>
  <si>
    <t>pet linija: zviždač sa crvenim svjetlucanjem, bijelo svjetlucanje, plave zvjezdice</t>
  </si>
  <si>
    <t>cinque linee: coda fischio espellere glitter rosso,glitter bianco,stella blu</t>
  </si>
  <si>
    <t>pet linija: zviždeći rep izbacuje crveni sjaj, beli sjaj, plava zvezda</t>
  </si>
  <si>
    <t>năm dòng: đuôi còi phóng ra long lanh đỏ, long lanh trắng, ngôi sao xanh</t>
  </si>
  <si>
    <t>penkios linijos: švilpianti uodega, raudonas blizgesys, baltas blizgesys ir mėlyna žvaigždė</t>
  </si>
  <si>
    <t>bijela bljeskajuća mina sa crvenim/zelenim/plavim/žutim tragom</t>
  </si>
  <si>
    <t>strobo bianco miniera rossa/verde/blu/viola/coda di limone</t>
  </si>
  <si>
    <t>beli strob crveni / zeleni / plavi / ljubičasti / limunski rep</t>
  </si>
  <si>
    <t>mỏ nhấp nháy trắng đỏ / xanh lá cây / xanh dương / tím / chanh đuôi</t>
  </si>
  <si>
    <t>balta mirksinti mina, raudona/žalia/mėlyna/violetinė/citrinos spalvų uodega</t>
  </si>
  <si>
    <t>bijeli bljeskajući trag sa ljubičastim vrhovima</t>
  </si>
  <si>
    <t>coda stroboscopica bianca a punta viola</t>
  </si>
  <si>
    <t>beli strob rep do ljubičastog vrha</t>
  </si>
  <si>
    <t>đuôi nhấp nháy màu trắng đến đầu màu tím</t>
  </si>
  <si>
    <t>balta mirksinti uodega su violetiniu viršum</t>
  </si>
  <si>
    <t>crvena&amp;zelena pucketajuća kometa</t>
  </si>
  <si>
    <t>rosso&amp;verde tempo pioggia+cometa</t>
  </si>
  <si>
    <t>crveno-zelena kiša + kometa</t>
  </si>
  <si>
    <t>mưa thời gian đỏ và xanh + sao chổi</t>
  </si>
  <si>
    <t>raudonas ir žalias lietus ir kometa</t>
  </si>
  <si>
    <t>srebrna mina krizantema, crveni/zeleni/plavi/ljubičasti trag sa bijelom bljeskalicom</t>
  </si>
  <si>
    <t>argento chrys.mine coda rossa/verde/blu/viola fino allo strobo bianco</t>
  </si>
  <si>
    <t>srebrni krst, crveni / zeleni / plavi / ljubičasti rep do belog stroba</t>
  </si>
  <si>
    <t>bạc chrys. đuôi màu đỏ / xanh lá cây / xanh lam / tím cho đến nhấp nháy trắng</t>
  </si>
  <si>
    <t>sidbrinė chrizantemos mina, raudonos/žalios/mėlynos/violetinės spalvų uodega su baltu mirksėjimu</t>
  </si>
  <si>
    <t>velika kometa zlatna palma sa plavim efektom</t>
  </si>
  <si>
    <t>grande cometa di palma d'oro +perla blu</t>
  </si>
  <si>
    <t>velika zlatna kometa palme + plavi biser</t>
  </si>
  <si>
    <t>sao chổi cọ vàng lớn + ngọc trai xanh</t>
  </si>
  <si>
    <t>didelė auksinė palmės kometa ir mėlynas perlas</t>
  </si>
  <si>
    <t>bijeli bljeskajući vodopad</t>
  </si>
  <si>
    <t>fontana bianca lampeggiante</t>
  </si>
  <si>
    <t>belo svetlucanje fontana</t>
  </si>
  <si>
    <t>vòi phun lửa nhấp nháy trắng</t>
  </si>
  <si>
    <t>baltas blyksintis fontanas</t>
  </si>
  <si>
    <t>zlatna kiša sa zlatnim svjetlucavim vrhovima</t>
  </si>
  <si>
    <t>corona d'oro w.golden splendente pistillo</t>
  </si>
  <si>
    <t>zlatna kruna sa zlatnim sjajnim tačkama</t>
  </si>
  <si>
    <t>vương miện vàng với nhụy hoa sáng chói</t>
  </si>
  <si>
    <t>auksinis vainikas su auksine šviečiančia piestele</t>
  </si>
  <si>
    <t>thược dược đầy màu sắc</t>
  </si>
  <si>
    <t>spalvotas jurginas</t>
  </si>
  <si>
    <t>ljubičasti efekt sa zlatnom kišom</t>
  </si>
  <si>
    <t>fiore viola con corona di broccato</t>
  </si>
  <si>
    <t>ljubičasti cvet s brokatnom krunom</t>
  </si>
  <si>
    <t>vương miện bằng (brocade) hoa tím</t>
  </si>
  <si>
    <t>violetinė gėlė su brokato vainiku</t>
  </si>
  <si>
    <t>zlatno blistajuće pucketanje</t>
  </si>
  <si>
    <t>cracker scintillanti d'oro</t>
  </si>
  <si>
    <t>zlatni penušavi krekeri</t>
  </si>
  <si>
    <t>bánh quy vàng lấp lánh</t>
  </si>
  <si>
    <t>auskinis blizgantis ir traškantis fejerverkas</t>
  </si>
  <si>
    <t>pucketajuća vrba, višebojno padajuće lišće sa plavim</t>
  </si>
  <si>
    <t>ritardo crackle salice, colore caduta foglie con blu</t>
  </si>
  <si>
    <t>pucketanje vrbe,padajuće lišće s plavom bojom</t>
  </si>
  <si>
    <t>trì hoãn liễu nứt, màu lá rơi với màu xanh</t>
  </si>
  <si>
    <t>uždelsto trašėjimo gluosnis, spalvoti krentantys lapai su mėlyna spalva</t>
  </si>
  <si>
    <t>corona di broccato a rosso + strobo bianco</t>
  </si>
  <si>
    <t>vương miện (brocade) sang màu đỏ + trắng</t>
  </si>
  <si>
    <t>brokato vainikas su raudona spalva ir baltu mirksėjimu</t>
  </si>
  <si>
    <t>ljubičasto-zeleni efket (dahlia) + pucketanje</t>
  </si>
  <si>
    <t>viola verde dahlia + tempo pioggia</t>
  </si>
  <si>
    <t>ljubičasto zelena dalija + kiša</t>
  </si>
  <si>
    <t>thược dược xanh tím + mưa thời gian</t>
  </si>
  <si>
    <t>violetiniai žalias jurginas ir lietus</t>
  </si>
  <si>
    <t>zlatni efekt + zelena bljeskalica</t>
  </si>
  <si>
    <t>cocco d'oro + strobo verde</t>
  </si>
  <si>
    <t>zlatni kokos + zeleni strob</t>
  </si>
  <si>
    <t>dừa vàng + xanh lam</t>
  </si>
  <si>
    <t>auksinis kokosas su žaliu mirksėjimu</t>
  </si>
  <si>
    <t>crveni efekt +bijela bljeskalica</t>
  </si>
  <si>
    <t>cocco rosso + strobo bianco</t>
  </si>
  <si>
    <t>crveni kokos + beli strob</t>
  </si>
  <si>
    <t>dừa đỏ + trắng</t>
  </si>
  <si>
    <t>raudonas kokosas su baltu mirksėjimu</t>
  </si>
  <si>
    <t>bijelo svjetlucanje/narančasti efekt (wave)+zeleno svjetlucanje-10 pucnjeva odjednom</t>
  </si>
  <si>
    <t>bianco glitter/onda arancione+glitter verde- salvo 10sh insieme</t>
  </si>
  <si>
    <t>beli sjaj/narandžasti snop+zeleni sjaj - salve po 10 pucnjeva odjednom</t>
  </si>
  <si>
    <t>long lanh trắng / sóng cam + long lanh xanh lá- salvo 10sh cùng nhau</t>
  </si>
  <si>
    <t>balta ir oranžinė blizganti banga su žaliu blizgesiu, 10 šūvių kartu</t>
  </si>
  <si>
    <t>crvfeni trag i zlatna kiša + plavo - 10 pucnjeva odjednom</t>
  </si>
  <si>
    <t>coda rossa fino a corona di broccato+blu- salvo 10sh insieme</t>
  </si>
  <si>
    <t>crveni rep do brokatne krune + plavo-salve po 10 pucnjeva odjednom</t>
  </si>
  <si>
    <t>đuôi đỏ lên đến vương miện (brocade) + xanh dương- salvo 10sh cùng nhau</t>
  </si>
  <si>
    <t>raudona uodega su brokato ir mėlynu vainiku, 10 šūvių kartu</t>
  </si>
  <si>
    <t>dvostrano: zvijezdice u sredini: zlatna vrba-pucketajuća krizantema-10 pucnjeva odjednom</t>
  </si>
  <si>
    <t>due lati: stella centrale: salice d'oro+ scoppiettante chry- salvo 10sh insieme</t>
  </si>
  <si>
    <t>dva kraka i u sredini zvezda: zlatna vrba+pucketanje-salve po 10pucnjeva odjednom</t>
  </si>
  <si>
    <t>hai bên: ngôi sao giữa: liễu vàng + chry- salvo 10sh cùng nhau</t>
  </si>
  <si>
    <t>dviejų pusių: žvaigždė viduryje su auksiniu gluosniu ir traškančiu chry, 10 šūvių kartu</t>
  </si>
  <si>
    <t>dvostrano: srebrno,sredina: srebrna palma i narančasto+ zlatna vrba i zvjezdice - 10 pucnjeva 
odjednom</t>
  </si>
  <si>
    <t>due lati:argento, medio:palmo d'argento a arancione+broccato fiori di salice stella- salvo 10sh insieme</t>
  </si>
  <si>
    <t>dva kraka: srebrna, sredina: srebrna palma do narandžaste + zvezdani cvet brokatne vrbe - salve po 10s odjednom</t>
  </si>
  <si>
    <t>hai mặt: bạc, giữa: cọ bạc sang cam + (brocade) hoa liễu hoa sao- salvo 10sh cùng nhau</t>
  </si>
  <si>
    <t>dviejų pusių: sidabrinis vidurys su sidabrine ir oranžine palme, brokato gluosniu, gėle, žvaigžde, 10 šūvių kartu</t>
  </si>
  <si>
    <t>pucketanje+mina plave zvjezdice i narančasti efekt (wave)+zeleno svjetlucanje - 10 pucnjeva 
odjednom</t>
  </si>
  <si>
    <t>crepitio+miniera stella blu fino a onda arancione+glitter verde- salvo 10sh insieme</t>
  </si>
  <si>
    <t>pucketanje+plava zvezda mine do narandžastog snopa+zeleni sjaj - salve po 10s odjednom</t>
  </si>
  <si>
    <t>crackling + blue star mine lên đến cam wave + green glitter- salvo 10sh cùng nhau</t>
  </si>
  <si>
    <t>traškanti mėlyna žvaigždės mina su oranžine banga ir žaliu blizgesiu, 10 šūvių kartu</t>
  </si>
  <si>
    <t xml:space="preserve">pucketajući trag i crveni trag - crveni efekt (dahlia) sa krizantemom - 10 pucnjeva odjednom </t>
  </si>
  <si>
    <t>coda scoppiettante fino alla coda rossa dahlia rossa con crisantemo- salvo 10sh insieme</t>
  </si>
  <si>
    <t>pucketanje repa do crvenog repa crvena dalija sa hrizantemom - salve po 10s odjednom</t>
  </si>
  <si>
    <t>nứt nẻ từ đuôi đến thược dược đỏ đuôi đỏ với hoa cúc- salvo 10sh cùng nhau</t>
  </si>
  <si>
    <t>traškanti uodega su raudona uodega, raudonu jurginu ir chrizantema, 10 šūvių kartu</t>
  </si>
  <si>
    <t>plavi trag i kiša -10 pucnejva odjednom</t>
  </si>
  <si>
    <t>coda blu fino alla corona di fiori- salvo 10sh insieme</t>
  </si>
  <si>
    <t>plavi rep do cvetne krune - salve po 10s odjednom</t>
  </si>
  <si>
    <t>đuôi xanh lên đến vương miện hoa- salvo 10sh cùng nhau</t>
  </si>
  <si>
    <t>mėlyno atspalvio uodega su gėlės karūna, 10 šūvių kartu</t>
  </si>
  <si>
    <t>mina pucketajuća krizantema, zlatna kiša+svjetlucajuće zvjezdice - 10 pucnjeva odjednom</t>
  </si>
  <si>
    <t>scoppiettante chry. coda miniera fino a corona di broccato +stella glitter- salvo 10sh insieme</t>
  </si>
  <si>
    <t>pucketavi rep mina do brokatne krune + svetlucava zvezda-salve po 10s odjednom</t>
  </si>
  <si>
    <t>tiếng kêu tanh tách. mỏ đuôi lên đến vương miện (brocade) + ngôi sao lấp lánh- salvo 10sh cùng nhau</t>
  </si>
  <si>
    <t>traškantis chry, minos uodega su brokato vainiku ir blizgančia žvaigžde, 10 šūvių kartu</t>
  </si>
  <si>
    <t>plava+crvena svjetlucajuća mina i krizantema - 10 pucnjeva odjednom</t>
  </si>
  <si>
    <t>blu+rosso glitter miniera fino al crisantemo- salvo 10sh insieme</t>
  </si>
  <si>
    <t>plava+crvena svetlucava mina do hrizanteme-salve po 10s odjednom</t>
  </si>
  <si>
    <t>mỏ long lanh màu xanh + đỏ lên đến hoa cúc- salvo 10sh cùng nhau</t>
  </si>
  <si>
    <t>mėlyna ir raudona mina su chrizantema, 10 šūvių kartu</t>
  </si>
  <si>
    <t>zltna kiša, zelena, ljubičasta - 10 pucnjeva odjednom</t>
  </si>
  <si>
    <t>broccato corona re, verde, viola- salvo 10sh insieme</t>
  </si>
  <si>
    <t>brokat kruna kralj, zelena, ljubičasta - salve po 10s odjednom</t>
  </si>
  <si>
    <t>vương miện (brocade), xanh, tím- salvo 10sh cùng nhau</t>
  </si>
  <si>
    <t>žalias ir violetinis brokato vainikas, 10 šūvių kartu</t>
  </si>
  <si>
    <t>plavi trag i konjski rep - 10 pucnjeva odjednom</t>
  </si>
  <si>
    <t>coda blu fino a espellere coda cavallo- salvo 10sh insieme</t>
  </si>
  <si>
    <t>plavi rep sa izbacivanjem konjskog repa-salve po 10s odjednom</t>
  </si>
  <si>
    <t>đuôi xanh lên để đẩy đuôi ngựa ra - salvo 10sh cùng nhau</t>
  </si>
  <si>
    <t>mėlyno atspalvio arklio uodega, 10 šūvių kartu</t>
  </si>
  <si>
    <t>srebrni svjetlucajući buket sa srebrnim svjetlucanjem - 10 pucnjeva odjednom</t>
  </si>
  <si>
    <t>bouquet glitter d'argento fino a espellere glitter d'argento- salvo 10sh insieme</t>
  </si>
  <si>
    <t>srebrni blještavi buket do izbacivanja srebrnog blještavila-salve po 10s odjednom</t>
  </si>
  <si>
    <t>bó hoa lấp lánh bạc lên để đẩy bạc lấp lánh- salvo 10sh cùng nhau</t>
  </si>
  <si>
    <t>sidabrinė blizgesio puokštė, 10 šūvių kartu</t>
  </si>
  <si>
    <t>pucketajuća vrba + crveni efekt - 10 pucnjeva odjednom</t>
  </si>
  <si>
    <t>salice scoppiettante + rosso pesca - salvo 10sh insieme</t>
  </si>
  <si>
    <t>pucketava vrba+breskva crvena-salve po 10s odjednom</t>
  </si>
  <si>
    <t>liễu nứt nẻ + đỏ đào - salvo 10sh cùng nhau</t>
  </si>
  <si>
    <t>traškantis persikinio raudonumo gluosnis, 10 šūvių kartu</t>
  </si>
  <si>
    <t>pucketajuća vrba sa crvenim vrhovima - 10 pucnjeva odjednom</t>
  </si>
  <si>
    <t>punta rossa salice scoppiettante - salvo 10sh insieme</t>
  </si>
  <si>
    <t>crveni vrh pucketanje vrbe - salva 10sh zajedno</t>
  </si>
  <si>
    <t>đầu đỏ răng cưa - salvo 10sh cùng nhau</t>
  </si>
  <si>
    <t>traškantis gluosnis raudona viršūne, 10 šūvių kartu</t>
  </si>
  <si>
    <t>zlatna palma + zelena bljeskalica - 10 pucnjeva odjednom</t>
  </si>
  <si>
    <t>cocco in oro titanio + strobo verde - salvo 10sh insieme</t>
  </si>
  <si>
    <t>titanov zlatni kokos+zeleni strobo-salve po 10s odjednom</t>
  </si>
  <si>
    <t>titan vàng dừa + xanh lam - salvo 10sh cùng nhau</t>
  </si>
  <si>
    <t>titano auksinis kokosas su žaliu mirksėjimu, 10 šūvių kartu</t>
  </si>
  <si>
    <t>crvena pucketajuća palma + bijela bljeskalica - 10 pucnjeva odjednom</t>
  </si>
  <si>
    <t>cocco rosso scoppiettante + strobo bianco - salvo 10sh insieme</t>
  </si>
  <si>
    <t>crveni pucketavi kokos+beli strob-salve po 10s odjednom</t>
  </si>
  <si>
    <t>dừa nứt nẻ đỏ + gạch trắng - salvo 10sh cùng nhau</t>
  </si>
  <si>
    <t>raudonas traškantis kokosas su baltu mirksėjimu, 10 šūvių kartu</t>
  </si>
  <si>
    <t>ljubičasto-ćuti efekt (dahlia) - 10 pucnjeva odjednom</t>
  </si>
  <si>
    <t>viola limone dahlia+argento chrys- salvo 10sh insieme</t>
  </si>
  <si>
    <t>ljubičasta limun dalija+srebrna hrizantema-salve po 10s odjednom</t>
  </si>
  <si>
    <t>thược dược chanh tím + bạc chrys- salvo 10sh cùng nhau</t>
  </si>
  <si>
    <t>violetinės ir citrinos spalvų jurginas su sidabriniu chry, 10 šūvių kartu</t>
  </si>
  <si>
    <t>zelena svjetlucajuća vrba + zlatna bljeskalica - 10 pucnjeva odjednom</t>
  </si>
  <si>
    <t>verde luccicante salice+strobo dorato- salvo 10sh insieme</t>
  </si>
  <si>
    <t>zelena blistava vrba+zlatni strob-salve po 10s odjednom</t>
  </si>
  <si>
    <t>cây liễu lấp lánh xanh + ánh kim vàng- salvo 10sh cùng nhau</t>
  </si>
  <si>
    <t>žalias blizgantis gluosnis su geltonu mirksėjimu, 10 šūvių kartu</t>
  </si>
  <si>
    <t>bijela bljeskajuća mina sa crvenim - 10 pucnjeva odjednom</t>
  </si>
  <si>
    <t>strobo bianco miniera a strobo rosso- salvo 10sh insieme</t>
  </si>
  <si>
    <t>beli strob do crvenog stroba-salve po 10s odjednom</t>
  </si>
  <si>
    <t>mỏ nhấp nháy trắng đến nhấp nháy đỏ- salvo 10sh cùng nhau</t>
  </si>
  <si>
    <t>baltai ir raudonai mirksinti mina, 10 šūvių kartu</t>
  </si>
  <si>
    <t>zlato+bijela bljeskalica - 10 pucnjeva odjednom</t>
  </si>
  <si>
    <t>broccato+strobo bianco- salvo 10sh insieme</t>
  </si>
  <si>
    <t>brokat+beli strob-salve po 10s odjednom</t>
  </si>
  <si>
    <t>(brocade) + trắng nhấp nháy- salvo 10sh cùng nhau</t>
  </si>
  <si>
    <t>brokatas su baltu mirksėjimu, 10 šūvių kartu</t>
  </si>
  <si>
    <t>zlatni trag sa ljubičastim vrhovima - 10 pucnjeva odjednom</t>
  </si>
  <si>
    <t>pistile di broccato re + viola - salvo 10sh insieme</t>
  </si>
  <si>
    <t>kraljevski brokatni cvet+ljubičasta-salve po 10s odjednom</t>
  </si>
  <si>
    <t>nhụy hoa (brocade) king + màu tím - salvo 10sh cùng nhau</t>
  </si>
  <si>
    <t>karališka brokato piestelė su violetine spalva, 10 šūvių kartu</t>
  </si>
  <si>
    <t>crveno zeleno plavo + pucketanje -10 pucnjeva odjednom</t>
  </si>
  <si>
    <t>rosso verde blu + tempo pioggia - salvo 10sh insieme</t>
  </si>
  <si>
    <t>crveno zeleno plavo+kiša-salve po 10s odjednom</t>
  </si>
  <si>
    <t>đỏ xanh xanh lam + mưa thời gian - salvo 10sh cùng nhau</t>
  </si>
  <si>
    <t>raudonos, žalios ir mėlynos spalvų lietus, 10 šūvių kartu</t>
  </si>
  <si>
    <t>crvena palma + zelene i srebrne krizanteme - 10 pucnjeva odjednom</t>
  </si>
  <si>
    <t>cocco rosso + verde + argento chrys - salvo 10sh insieme</t>
  </si>
  <si>
    <t>crveni kokos+zelena+srebrna hrizantema-salve po 10s odjednom</t>
  </si>
  <si>
    <t>dừa đỏ + xanh + bạc chrys - salvo 10sh cùng nhau</t>
  </si>
  <si>
    <t>raudonas kokosas su žaliu ir sidabriniu chrys, 10 šūvių kartu</t>
  </si>
  <si>
    <t>zlatni trag s narančastim efektom - 10 pucnjeva odjednom</t>
  </si>
  <si>
    <t>broccato re + perla arancione- salvo 10sh insieme</t>
  </si>
  <si>
    <t>kraljevski brokat+narandžasti biseri-salve po 10s odjednom</t>
  </si>
  <si>
    <t>Gấm vua + ngọc trai cam- salvo 10sh cùng nhau</t>
  </si>
  <si>
    <t>karališkas brokatas su oranžiniu perlu, 10 šūvių kartu</t>
  </si>
  <si>
    <t>crvena kometa, crveni trag i crveni efekt (wave) sa bijelim bljeskanjem- 10 pucnjeva odjednom</t>
  </si>
  <si>
    <t>coda cometa rossa, coda rossa a onda rossa bianco strobing - salvo 10sh insieme</t>
  </si>
  <si>
    <t>crveni rep komete, crveni rep do crvenog snopa beli strob-salve po 10s odjednom</t>
  </si>
  <si>
    <t>đuôi sao chổi đỏ, đuôi đỏ đến đuôi trắng sóng đỏ - salvo 10sh cùng nhau</t>
  </si>
  <si>
    <t>raudona kometos uodega su raudona uodega, raudona banga ir baltu mirksėjimu, 10 šūvių kartu</t>
  </si>
  <si>
    <t>zlatni trag s pucketanjem - 10 pucnjeva odjednom</t>
  </si>
  <si>
    <t>broccato re w/crepitio- salvo 10sh insieme</t>
  </si>
  <si>
    <t>kraljevski brokat sa pucketanjem-salve po 10s odjednom</t>
  </si>
  <si>
    <t>(brocade) king w / crackling- salvo 10sh cùng nhau</t>
  </si>
  <si>
    <t>karališkas brokatas su traškesiu, 10 šūvių kartu</t>
  </si>
  <si>
    <t>efekt (sunflower) sa crvenim i plavim, crveni bljeskajući trag - 10 pucnjeva odjednom</t>
  </si>
  <si>
    <t>girasole con blu rosso, coda strobing rossa - salvo 10sh insieme</t>
  </si>
  <si>
    <t>suncokret sa crveno plavom bojom, crveni strob rep-salve po 10s odjednom</t>
  </si>
  <si>
    <t>hướng dương w / đỏ xanh, đỏ vuốt đuôi - salvo 10sh cùng nhau</t>
  </si>
  <si>
    <t>saulėgrąža su raudona ir mėlyna mirksinčia uodega, 10 šūvių kartu</t>
  </si>
  <si>
    <t>ljubičasti efekt (crossette) + ljubičasti trag sa zlatnom kišom i ljubičastim efektom (dahlia) - 10 
pucnjeva odjednom</t>
  </si>
  <si>
    <t>crossette viola + e coda viola alla corona di broccato con dahlia viola - salvo 10sh insieme</t>
  </si>
  <si>
    <t>ljubičasti krst+ljubičasti rep do brokatne krune s ljubičastom dalijom-salve po 10s odjednom</t>
  </si>
  <si>
    <t>dấu chéo màu tím + và đuôi màu tím thành vương miện (brocade) với thược dược tím - salvo 10sh cùng nhau</t>
  </si>
  <si>
    <t>persikertantys violetiniai šūviai su violetine uodega, brokato vainiku ir violetiniu jurginu, 10 šūvių kartu</t>
  </si>
  <si>
    <t>ljubičast trag i ljubičasti efekt (crossette) / C oblik - otvoren u sredini</t>
  </si>
  <si>
    <t>coda viola a crossette viola (C type-open su midlle)</t>
  </si>
  <si>
    <t>ljubičasti rep do ljubičastog krsta (tip C otvoren u sredini)</t>
  </si>
  <si>
    <t>đuôi màu tím đến dấu gạch chéo màu tím (loại C mở trên trục giữa)</t>
  </si>
  <si>
    <t>violetinė uodega su persikertančiais violetiniais šūviais (C tipo - atsidaro per vidurį)</t>
  </si>
  <si>
    <t>plavi trag i zlatna kiša</t>
  </si>
  <si>
    <t>coda blu fino alla corona di fiori</t>
  </si>
  <si>
    <t>plavi rep do cvetne krune</t>
  </si>
  <si>
    <t>đuôi màu xanh lên vương miện hoa</t>
  </si>
  <si>
    <t>mėlyno atspalvio uodega su gėlių karūna</t>
  </si>
  <si>
    <t>pucketajuća krizantema  + plava mina i zlatna kometa</t>
  </si>
  <si>
    <t>cracking chry + coda miniera blu fino alla cometa d'oro</t>
  </si>
  <si>
    <t>pucketava hrizantema+plavi rep mina do zlatne komete</t>
  </si>
  <si>
    <t>nứt mỏ + mỏ xanh đuôi lên sao chổi vàng</t>
  </si>
  <si>
    <t>traškantis chry su mėlyna minos uodega ir auksine kometa</t>
  </si>
  <si>
    <t>srebrni trag i crveni efekt (wave) sa pucketanjem</t>
  </si>
  <si>
    <t>coda d'argento fino all'onda rossa con cracker</t>
  </si>
  <si>
    <t>srebrni rep do crvenog snopa s krekerom</t>
  </si>
  <si>
    <t>đuôi bạc lên sóng đỏ với bánh quy giòn</t>
  </si>
  <si>
    <t>sidabrinė uodega su raudona banga ir traškesiu</t>
  </si>
  <si>
    <t>pucketajuća krizantema mina i zlatna kiša + svjetlucajuće zvjezdice</t>
  </si>
  <si>
    <t>scoppiettante chry. la mia coda fino alla corona di broccato + stella glitter</t>
  </si>
  <si>
    <t>pucketava hrizantema rep mina do brokatne krune+sjajna zvezda</t>
  </si>
  <si>
    <t>tiếng kêu tanh tách. đuôi mỏ lên đến vương miện (brocade) + ngôi sao lấp lánh</t>
  </si>
  <si>
    <t>traškantis chry, minos uodega, brokato vainikas ir blizganti žvaigždė</t>
  </si>
  <si>
    <t>plava +crvena svjetlucajuća mina i krizantema</t>
  </si>
  <si>
    <t>blu+rosso glitter miniera fino al crisantemo</t>
  </si>
  <si>
    <t>plava+crvena svetlucava mina do hrizanteme</t>
  </si>
  <si>
    <t>mỏ lấp lánh màu xanh + đỏ cho đến hoa cúc</t>
  </si>
  <si>
    <t>mėlyna ir raudona blizganti mina ir chrizantema</t>
  </si>
  <si>
    <t>zlatna kiša, zelena, ljubaičasta</t>
  </si>
  <si>
    <t>broccato corona re, verde, viola</t>
  </si>
  <si>
    <t>kraljevska brokat kruna, zelena, ljubičasta</t>
  </si>
  <si>
    <t>vương miện (brocade), xanh, tím</t>
  </si>
  <si>
    <t>karališkas žalias ir violetinis brokato vainikas</t>
  </si>
  <si>
    <t>plavitrag sa konjskim repom</t>
  </si>
  <si>
    <t>coda blu fino a espellere la coda del cavallo</t>
  </si>
  <si>
    <t>plavi rep do izbacivanja konjskog repa</t>
  </si>
  <si>
    <t>đuôi xanh lên để phóng ra đuôi ngựa</t>
  </si>
  <si>
    <t>mėlyno atspalvio arklio uodega</t>
  </si>
  <si>
    <t>srebrni svjetlucajući buket sa srebrnim svjetlucanjem</t>
  </si>
  <si>
    <t>bouquet glitter d'argento fino a espellere glitter d'argento</t>
  </si>
  <si>
    <t>buket srebrnog sjaja do izbacivanja srebrnog sjaja</t>
  </si>
  <si>
    <t>bó hoa lấp lánh bạc lên để đẩy ra ánh bạc lấp lánh</t>
  </si>
  <si>
    <t xml:space="preserve">sidabrinė blizgesio puokštė </t>
  </si>
  <si>
    <t>pucketajuća vrba sa crvenim</t>
  </si>
  <si>
    <t xml:space="preserve">salice scoppiettante + rosso pesca </t>
  </si>
  <si>
    <t>pucketava vrba + breskva crvena</t>
  </si>
  <si>
    <t xml:space="preserve">liễu nứt nẻ + đào đỏ </t>
  </si>
  <si>
    <t>traškantis persiko raudonumo gluosnis</t>
  </si>
  <si>
    <t>pucketajuća vrba sa crvenim vrhovima</t>
  </si>
  <si>
    <t xml:space="preserve">punta rossa crepitio salice </t>
  </si>
  <si>
    <t>pucketava vrba sa crvenim vrhovima</t>
  </si>
  <si>
    <t xml:space="preserve">đầu đỏ răng cưa </t>
  </si>
  <si>
    <t>traškantis gluosnis su raudonu viršum</t>
  </si>
  <si>
    <t>zlatna palma + zelena bljeskanje</t>
  </si>
  <si>
    <t xml:space="preserve">cocco in oro titanio + strobo verde </t>
  </si>
  <si>
    <t>titanov zlatni kokos + zeleni strob</t>
  </si>
  <si>
    <t xml:space="preserve">Dừa vàng titan + xanh lam </t>
  </si>
  <si>
    <t>auksinis titano kokosas su žaliu mirksėjimu</t>
  </si>
  <si>
    <t>crvena pucketajuća palma + bijelo bljeskanje</t>
  </si>
  <si>
    <t xml:space="preserve">cocco rosso scoppiettante + strobo bianco </t>
  </si>
  <si>
    <t>crveni pucketajući kokos + beli strob</t>
  </si>
  <si>
    <t xml:space="preserve">dừa nứt nẻ đỏ + trắng </t>
  </si>
  <si>
    <t>raudonas traškantis kokosas su baltu mirksėjimu</t>
  </si>
  <si>
    <t>zelena pucketajuća kiša sa plavim efektom</t>
  </si>
  <si>
    <t>broccato crepitio fiore+perla blu</t>
  </si>
  <si>
    <t>brokatni pucketajući cvet + plavi biser</t>
  </si>
  <si>
    <t>(brocade) hoa nứt nẻ + ngọc trai xanh</t>
  </si>
  <si>
    <t>traškanti brokato gėlė ir mėlyni perlai</t>
  </si>
  <si>
    <t>ljubičasto/žuti efekt (dahlia) + srebrna krizantema</t>
  </si>
  <si>
    <t>dahlia limone viola + crisantemo d'argento</t>
  </si>
  <si>
    <t>ljubičasta limun dalija + srebrna hrizantema</t>
  </si>
  <si>
    <t>thược dược chanh tím + cúc bạc.</t>
  </si>
  <si>
    <t>violetinės ir citrinos spalvų jurginas ir sidabrinė chrizantema</t>
  </si>
  <si>
    <t>zelena svjetlucajuća vrba + zeleno bljeskanje</t>
  </si>
  <si>
    <t>salice verde scintillante + strobo verde</t>
  </si>
  <si>
    <t>zelena svetlucava vrba + zeleni strob</t>
  </si>
  <si>
    <t>cây liễu lấp lánh xanh + nét xanh</t>
  </si>
  <si>
    <t>žalias blizgantis gluosnis su žaliu mirksėjimu</t>
  </si>
  <si>
    <t>bijela bljeskajuća mina sa crvenim bljeskanjem</t>
  </si>
  <si>
    <t>strobo bianco miniera a strobo rosso</t>
  </si>
  <si>
    <t>beli strob do crvenog stroba</t>
  </si>
  <si>
    <t>nét trắng của tôi đến nét đỏ</t>
  </si>
  <si>
    <t>baltai ir raudonai mirksinti mina</t>
  </si>
  <si>
    <t>zlatni tragovi sa ljubičastim</t>
  </si>
  <si>
    <t xml:space="preserve">pistillo di broccato re + viola </t>
  </si>
  <si>
    <t>kraljevski brokatni cvet + ljubičasta boja</t>
  </si>
  <si>
    <t xml:space="preserve">nhụy hoa (brocade) vua + màu tím </t>
  </si>
  <si>
    <t>karališka violetinė brokato piestelė</t>
  </si>
  <si>
    <t>roza +pucketanje</t>
  </si>
  <si>
    <t xml:space="preserve">rosa+tempo pioggia </t>
  </si>
  <si>
    <t>roze boja + kiša</t>
  </si>
  <si>
    <t xml:space="preserve">màu hồng + mưa thời gian </t>
  </si>
  <si>
    <t>rožinis lietus</t>
  </si>
  <si>
    <t>crveno zeleno plavo + pucketanje</t>
  </si>
  <si>
    <t xml:space="preserve">rosso verde blu + tempo pioggia </t>
  </si>
  <si>
    <t>crvena zelena plava boja + kiša</t>
  </si>
  <si>
    <t xml:space="preserve">đỏ xanh lam + mưa thời gian </t>
  </si>
  <si>
    <t>raudonas, žalias ir mėlynas lietus</t>
  </si>
  <si>
    <t>crvena palma + zeleno + srebrna krizantema</t>
  </si>
  <si>
    <t>cocco rosso + verde + crisantemo d'argento</t>
  </si>
  <si>
    <t>crveni kokos + zelena + srebrna hrizantema</t>
  </si>
  <si>
    <t>dừa đỏ + xanh + bạc.</t>
  </si>
  <si>
    <t>raudonas ir žalias kokosas ir sidabrinė chrizantema</t>
  </si>
  <si>
    <t xml:space="preserve">zlatni tragovi sa narančastim efektom </t>
  </si>
  <si>
    <t>broccato re + perla arancione</t>
  </si>
  <si>
    <t>kraljevski brokat + narandžasti biser</t>
  </si>
  <si>
    <t>(brocade) vua + ngọc trai cam</t>
  </si>
  <si>
    <t>karališkas brokatas ir oranžinis perlas</t>
  </si>
  <si>
    <t xml:space="preserve">efekt (sunflower) sa crvenim i plavim, crveni bljeskajući trag </t>
  </si>
  <si>
    <t xml:space="preserve">girasole con blu rosso, coda stroboscopica rossa </t>
  </si>
  <si>
    <t>suncokret sa crveno plavom bojom, crveni strob rep</t>
  </si>
  <si>
    <t xml:space="preserve">hướng dương w / xanh đỏ, đuôi vuốt đỏ </t>
  </si>
  <si>
    <t>saulėgrąža su mėlyna ir raudona mirksinčia uodega</t>
  </si>
  <si>
    <t>plava mina i kometa crvene zvjezdice</t>
  </si>
  <si>
    <t>blu mia coda fino a stella cometa rossa</t>
  </si>
  <si>
    <t>mina plavi rep do crvene komete sa zvezdicama</t>
  </si>
  <si>
    <t>mỏ xanh đuôi lên đến ngôi sao chổi đỏ</t>
  </si>
  <si>
    <t>mėlyna minos uodega ir raudona kometos žvaigždė</t>
  </si>
  <si>
    <t>kometa crvena kiša</t>
  </si>
  <si>
    <t>pioggia cometa rossa</t>
  </si>
  <si>
    <t>crvena kometa kiša</t>
  </si>
  <si>
    <t>mưa sao chổi đỏ</t>
  </si>
  <si>
    <t>raudona kometos mina</t>
  </si>
  <si>
    <t>crvena,zelena,žuta,bijel, ljubičasta mina</t>
  </si>
  <si>
    <t>rosso,verde,giallo,bianco,miniera viola</t>
  </si>
  <si>
    <t>crvena, zelena, žuta, bela, ljubičasta mina</t>
  </si>
  <si>
    <t>mỏ đỏ, xanh lá cây, vàng, trắng, tím</t>
  </si>
  <si>
    <t>raudona, žalia, geltona, balta ir violetinė mina</t>
  </si>
  <si>
    <t>zlatna svjetlucajuća vrba sa plavim buketom</t>
  </si>
  <si>
    <t>salice glitter oro con bouquet blu</t>
  </si>
  <si>
    <t>zlatna svetlucava vrba sa plavim buketom</t>
  </si>
  <si>
    <t>cây liễu vàng lấp lánh với bó hoa màu xanh</t>
  </si>
  <si>
    <t>auksinis blizgantis gluosnis su mėlyna puokšte</t>
  </si>
  <si>
    <t>zlatna kiša buket dolje, zlatna kiša gore</t>
  </si>
  <si>
    <t>bouquet corona di broccato tup al re corona di broccato</t>
  </si>
  <si>
    <t>brokatna kruna buket do brokatne kraljevske krune</t>
  </si>
  <si>
    <t>vương miện (brocade) bó hoa tup đến vương miện (brocade)</t>
  </si>
  <si>
    <t>brokato puokštė su karališku brokato vainiku</t>
  </si>
  <si>
    <t>mina zlatna kiša</t>
  </si>
  <si>
    <t>miniera di broccato d'oro</t>
  </si>
  <si>
    <t>zlatna brokatna mina</t>
  </si>
  <si>
    <t>mỏ (brocade) vàng</t>
  </si>
  <si>
    <t>auksinė brokato mina</t>
  </si>
  <si>
    <t>1-20 pucnjeva pucketajuća vrba trag +crvena bljeskajuća mina, 21-50 pucnjeva 
pucketajuća vrba + crveno bljeskanje</t>
  </si>
  <si>
    <t>1-20sh coda di salice scoppiettante + miniera di strobo rosso, 21-50sh salice scoppiettante + strobo rosso</t>
  </si>
  <si>
    <t>1-20s pucketavi rep vrbe+crveni strob, 21-50s pucketava vrba+crveni strob</t>
  </si>
  <si>
    <t>Đuôi liễu kêu răng rắc 1-20sh + mỏ nhấp nháy đỏ, đuôi liễu kêu răng rắc 21-50sh + bút lông đỏ</t>
  </si>
  <si>
    <t>20 šūvių traškanti gluosnio uodega su raudona mirksinčia mina, 21-50 šūvių traškantis gluosnis su raudonu mirksėjimu</t>
  </si>
  <si>
    <t>plavi i srebrni efekti</t>
  </si>
  <si>
    <t xml:space="preserve">pesce d'argento pistillo blu </t>
  </si>
  <si>
    <t>plavi cvet srebrna riba</t>
  </si>
  <si>
    <t xml:space="preserve">nhụy xanh cá bạc </t>
  </si>
  <si>
    <t>mėlyna piestelė su sidabrine žuvim</t>
  </si>
  <si>
    <t>zelena pucketajuća kiša</t>
  </si>
  <si>
    <t>pioggia tempo verde</t>
  </si>
  <si>
    <t>zelena kiša</t>
  </si>
  <si>
    <t>thời gian xanh mưa</t>
  </si>
  <si>
    <t>žalias lietus</t>
  </si>
  <si>
    <t>crvena palma+pucketanje s jedne strane/ zelena palma+ pucketanje s druge strane</t>
  </si>
  <si>
    <t>cocco rosso + crepitio un lato / cocco verde + crepitio un lato</t>
  </si>
  <si>
    <t>crveni kokos+pucketanje s jedne strane/zeleni kokos+pucketanje s druge strane</t>
  </si>
  <si>
    <t>dừa đỏ + tí tách một bên / dừa xanh + lách tách một bên</t>
  </si>
  <si>
    <t>raudonas vienoje pusėje traškantis kokosas ir žalias vienoje pusėje traškantis kokosas</t>
  </si>
  <si>
    <t>crveni efekt (wave) tragovi</t>
  </si>
  <si>
    <t xml:space="preserve">coda d'onda rossa </t>
  </si>
  <si>
    <t>crveni snop rep</t>
  </si>
  <si>
    <t xml:space="preserve">đuôi sóng đỏ </t>
  </si>
  <si>
    <t>raudonos bangos uodega</t>
  </si>
  <si>
    <t>žuti trag+žuta palma+srebrna krizantema</t>
  </si>
  <si>
    <t>coda di limone+cocco al limone+crisantemo d'argento</t>
  </si>
  <si>
    <t>limun rep+limun kokos+srebrna hrizantema</t>
  </si>
  <si>
    <t>chanh đuôi + chanh dừa + bạc cúc.</t>
  </si>
  <si>
    <t>citrininė uodega, citrininis kokosas, sidabrinė chrizantema</t>
  </si>
  <si>
    <t>plavi trag i konjski rep</t>
  </si>
  <si>
    <t xml:space="preserve"> blu fino a espellere la coda del cavallo</t>
  </si>
  <si>
    <t>mėlyno atspalvio  arklio uodega</t>
  </si>
  <si>
    <t>dvostrano:srebrni trag i kiša sa zelenim bljeskanjem,sredina:crveni trag i crvena palma sa 
pucketanjem</t>
  </si>
  <si>
    <t>due lati:coda d'argento fino alla corona di fiori con glitter verde, medio:coda rossa fino all'albero di plam rosso con cracker</t>
  </si>
  <si>
    <t>dve strane: srebrni rep do cvetne krune sa zelenim svetlucanjem, sredina: crveni rep do crvene palme s praskom</t>
  </si>
  <si>
    <t>hai bên: đuôi bạc lên đến vương miện hoa có màu xanh lục lấp lánh, giữa: đuôi đỏ lên đến cây mận đỏ với bánh tẻ</t>
  </si>
  <si>
    <t>dvi pusės: sidabrinė uodega su gėlės karūna ir žaliu blizgesiu; viduryje: raudona uodega su raudona palme ir traškesiu</t>
  </si>
  <si>
    <t>plavi trag i plave zvjezdice sa bijelim bljeskalicama, crvene zvjezdice sa bijelim bljeskalicama</t>
  </si>
  <si>
    <t xml:space="preserve">coda blu a stelle blu bianco strobing, stelle rosse bianco strobing </t>
  </si>
  <si>
    <t>plavi rep do plavih zvezda belog stroba, crvene zvezde belog stroba</t>
  </si>
  <si>
    <t xml:space="preserve">đuôi xanh đến sao xanh trắng vuốt, đỏ sao trắng </t>
  </si>
  <si>
    <t>mėlyno atspalvio uodega su baltai mirksinčiom mėlynom žvaigždėm ir baltai mirksinčiom raudonom žvaigždėm</t>
  </si>
  <si>
    <t>crveni zeleni efekt (crossette)</t>
  </si>
  <si>
    <t>crossette verde rosso</t>
  </si>
  <si>
    <t>crveno zeleni krstovi</t>
  </si>
  <si>
    <t>gạch chéo xanh đỏ</t>
  </si>
  <si>
    <t>raudoni ir žali persikertantys šūviai</t>
  </si>
  <si>
    <t>zlatni trag i zlatni efekt (crossette) - 8 pucnjeva odjednom</t>
  </si>
  <si>
    <t xml:space="preserve"> d'oro a crossette d'oro-8sh salvo insieme</t>
  </si>
  <si>
    <t>zlatni rep do zlatnog krsta, salva od 8s odjednom</t>
  </si>
  <si>
    <t>đuôi vàng để lai vàng-8sh salvo cùng nhau</t>
  </si>
  <si>
    <t>auksinio atspalvio  uodega su auksiniais persikertančiais šūviais, 8 šūviai kartu</t>
  </si>
  <si>
    <t>mina zlatna kiša - 13 pucnjeva odjednom</t>
  </si>
  <si>
    <t>broccato corona miniera-13sh salvo insieme</t>
  </si>
  <si>
    <t>brokatna kruna -salva od 13s odjednom</t>
  </si>
  <si>
    <t>cùng nhau vương miện (brocade) mine-13sh salvo</t>
  </si>
  <si>
    <t>brokato vainiko mina, 13 šūvių kartu</t>
  </si>
  <si>
    <t>zlatni trag i konjski rep  - 13 pucnjeva odjednom</t>
  </si>
  <si>
    <t>coda d'oro a cavallo coda-13sh salvo insieme</t>
  </si>
  <si>
    <t>zlatni rep do konjskog repa-salva od 13s odjednom</t>
  </si>
  <si>
    <t>đuôi vàng đến đuôi ngựa-13sh salvo cùng nhau</t>
  </si>
  <si>
    <t>auksinė arklio uodega, 13 šūvių kartu</t>
  </si>
  <si>
    <t>srebrni trag i srebrna pucketajuća vrba - 13 pucnjeva odjednom</t>
  </si>
  <si>
    <t>coda d'argento a argento crepitio salice-13sh salvo insieme</t>
  </si>
  <si>
    <t>srebrni rep do srebrnih krekera vrbe-salva od 13s odjednom</t>
  </si>
  <si>
    <t>đuôi bạc đến bạc kêu răng rắc liễu-13sh salvo cùng nhau</t>
  </si>
  <si>
    <t>sidabrinė uodega su sidabriniu traškančiu gluosniu, 13 šūvių kartu</t>
  </si>
  <si>
    <t>crveni trag sa efektom (wave) i bljeskajućim centrom - 13 pucnjeva odjednom</t>
  </si>
  <si>
    <t>coda rossa con onda e lampeggiante centro-13sh salvo insieme</t>
  </si>
  <si>
    <t>crveni rep sa snopom i treptajima u sredini-salva od 13s odjednom</t>
  </si>
  <si>
    <t>đuôi màu đỏ với wave và salvo trung tâm 13sh nhấp nháy cùng nhau</t>
  </si>
  <si>
    <t>raudona uodega su banga ir žybsinčiu centru, 13 šūvių kartu</t>
  </si>
  <si>
    <t xml:space="preserve">zlatni trag sa zlatnim efektom (crossette) - C oblik </t>
  </si>
  <si>
    <t>coda dorata con crossette dorata (mortaio C)</t>
  </si>
  <si>
    <t>zlatni rep sa zlatnim krstom (bacač C)</t>
  </si>
  <si>
    <t>đuôi vàng với chữ thập vàng (cối C)</t>
  </si>
  <si>
    <t>auksinė uodega su auksiniais persikertančiais šūviais, (C vamzdis)</t>
  </si>
  <si>
    <t>zlatna kiša trag i zlatna kiša - 19 pucnjeva odjednom</t>
  </si>
  <si>
    <t>coda corona di broccato fino a broccato corona-19sh salvo insieme</t>
  </si>
  <si>
    <t>brokatni krunski rep do brokatne krune-salva od 19s odjednom</t>
  </si>
  <si>
    <t>vương miện (brocade) đuôi lên đến vương miện (brocade)-19sh salvo cùng nhau</t>
  </si>
  <si>
    <t>brokato vainiko uodega su brokato vainiku, 19 šūvių kartu</t>
  </si>
  <si>
    <t>srebrni trag i srebrna pucketajuća vrba - 19 pucnjeva odjednom</t>
  </si>
  <si>
    <t>coda d'argento fino a argento crepitio salice-19sh salvo insieme</t>
  </si>
  <si>
    <t>srebrni rep do srebrnih krekera vrbe-salva od 19s odjednom</t>
  </si>
  <si>
    <t>đuôi bạc cho đến bạc kêu răng rắc liễu-19sh salvo cùng nhau</t>
  </si>
  <si>
    <t>sidabrinė uodega su sidabriniu traškančiu gluosniu, 19 šūvių kartu</t>
  </si>
  <si>
    <t>zlatna kiša mina - 19 pucnjeva odjednom</t>
  </si>
  <si>
    <t>corona d'oro/broccato miniera-19sh salvo insieme</t>
  </si>
  <si>
    <t>zlatno/brokatna kruna mina-salva od 19s odjednom</t>
  </si>
  <si>
    <t>vương miện vàng / (brocade) mine-19sh salvo cùng nhau</t>
  </si>
  <si>
    <t>auksinė brokato puokštės mina, 19 šūvių kartu</t>
  </si>
  <si>
    <t>crvena svjetlucajuća mina - 19 pucnjeva odjednom</t>
  </si>
  <si>
    <t>rosso scintillante miniera alla cometa rossa-19sh salvo insieme</t>
  </si>
  <si>
    <t>crveno blistava mina do pucnja crvene komete-salva od 19s odjednom</t>
  </si>
  <si>
    <t>mỏ lấp lánh màu đỏ đến sao chổi đỏ-19sh salvo cùng nhau</t>
  </si>
  <si>
    <t>raudona blizganti mina su raudona kometa, 19 šūvių kartu</t>
  </si>
  <si>
    <t>srebrna svjetlucajuća mina sa zlatnom svjetlucavom kometom -19 pucnjeva odjednom</t>
  </si>
  <si>
    <t>argento scintillante miniera w.verde scintillante cometa-19sh salvo insieme</t>
  </si>
  <si>
    <t>srebrno blistava mina sa zelenom svetlucavom kometom-salva od 19s odjednom</t>
  </si>
  <si>
    <t>mỏ lấp lánh bạc w.gl lấp lánh màu xanh sao chổi-19sh salvo cùng nhau</t>
  </si>
  <si>
    <t>sidabrinė blizganti mina su žalia blizgančia kometa, 19 šūvių kartu</t>
  </si>
  <si>
    <t>srebrna svjetlucajuća mina  i crveni efekt (crossette) - 19 pucnjeva odjednom</t>
  </si>
  <si>
    <t>argento scintillante miniera a red crossette-19sh salvo insieme</t>
  </si>
  <si>
    <t>srebrno blistava mina do crvenog pucnja-salva od 19s odjednom</t>
  </si>
  <si>
    <t>mỏ lấp lánh bạc để cùng nhau red crossette-19sh salvo</t>
  </si>
  <si>
    <t>sidabrinė blizganti mina su raudonais persikertančiais šūviais, 19 šūvių kartu</t>
  </si>
  <si>
    <t>srebrna svjetlucajuća mina i zeleni efekt (crossette) - 19 pucnjeva odjednom</t>
  </si>
  <si>
    <t>argento scintillante miniera a verde crossette-19sh salvo insieme</t>
  </si>
  <si>
    <t>srebrno blistava mina do zelenog pucnja-salva od 19s odjednom</t>
  </si>
  <si>
    <t>mỏ lấp lánh bạc để màu xanh lá cây crossette-19sh salvo cùng nhau</t>
  </si>
  <si>
    <t>sidabrinė blizganti mina su žaliais persikertančiais šūviais, 19 šūvių kartu</t>
  </si>
  <si>
    <t>žuti rozi plavi efekti i srebrna svjetlucajuća mina - 19 pucnjeva odjednom</t>
  </si>
  <si>
    <t>limone,rosa,blu mare w.argento scintillante miniera-19sh salvo insieme</t>
  </si>
  <si>
    <t>limun, roze, morsko plava sa srebrnim svetlucavim pucnjem-salva od 19s odjednom</t>
  </si>
  <si>
    <t>chanh, hồng, xanh biển cùng với tấm vải lụa lấp lánh mine-19sh salvo</t>
  </si>
  <si>
    <t>citrinos, rožinės ir jūros mėlynumo spalvų blizganti mina su sidabru, 19 šūvių kartu</t>
  </si>
  <si>
    <t>srebrna kometa sa crvenim vrhovima - 19 pucnjeva odjednom</t>
  </si>
  <si>
    <t>cometa d'argento w.red tip-19sh salvo insieme</t>
  </si>
  <si>
    <t>srebrna kometa sa crvenim vrhom-salva od 19s odjednom</t>
  </si>
  <si>
    <t>sao chổi bạc w.red tip-19sh salvo cùng nhau</t>
  </si>
  <si>
    <t>sidabrinė kometa su raudonu viršum, 19 šūvių kartu</t>
  </si>
  <si>
    <t>plava mina sa zelenom kometom - 19 pucnjeva odjednom</t>
  </si>
  <si>
    <t>miniera blu w.green cometa-19sh salvo insieme</t>
  </si>
  <si>
    <t>plava mina sa zelenom kometom-salva od 19s odjednom</t>
  </si>
  <si>
    <t>(blue mine) w.green Comet-19sh salvo cùng nhau</t>
  </si>
  <si>
    <t>mėlyna mina su žalia kometa, 19 šūvių kartu</t>
  </si>
  <si>
    <t>crvena svjetlucajuća mina i zlatna svjetlucajuća kometa sa crvenim svjetlucavim vrhovima - 19 
pucnjeva odjednom</t>
  </si>
  <si>
    <t>rosso scintillante mia alla cometa luccicante d'oro w.red scintillante punta-19sh salvo insieme</t>
  </si>
  <si>
    <t>crveno blistava mina do zlatno svetlucave komete sa crvenim svetlucavim vrhom-salva od 19s odjednom</t>
  </si>
  <si>
    <t>mỏ lấp lánh đỏ đến sao chổi lấp lánh vàng w.red lấp lánh tip-19sh salvo cùng nhau</t>
  </si>
  <si>
    <t>raudona blizganti mina su auksine blizgančia kometa ir raudonu blizgančiu viršum, 19 šūvių kartu</t>
  </si>
  <si>
    <t>srebrna svjetlucajuća mina sa ljubičastom kometom - 19 pucnjeva odjednom</t>
  </si>
  <si>
    <t>argento scintillante miniera w.purple cometa-19sh salvo insieme</t>
  </si>
  <si>
    <t>srebrno blistava mina sa ljubičastom kometom-salva od 19s odjednom</t>
  </si>
  <si>
    <t>mỏ lấp lánh bạc w. hai sao chổi-19sh salvo cùng nhau</t>
  </si>
  <si>
    <t>sidabrinė blizganti mina su violetine kometa, 19 šūvių kartu</t>
  </si>
  <si>
    <t>crveni svjetlucajući trag i srebrni svjetlucajući vodopad - 19 pucnjeva odjednom</t>
  </si>
  <si>
    <t>coda rosso scintillante a argento scintillante cascata-19sh salvo insieme</t>
  </si>
  <si>
    <t>crveni blistavi rep do srebrno blistavog vodopada-salva od 19s odjednom</t>
  </si>
  <si>
    <t>đuôi lấp lánh màu đỏ đến thác nước lấp lánh bạc-19sh salvo cùng nhau</t>
  </si>
  <si>
    <t>raudona blizganti uodega su sidabriniu blizgančiu kriokliu, 19 šūvių kartu</t>
  </si>
  <si>
    <t>zviždeći trag sa crvenom minom - 19 pucnjeva odjednom</t>
  </si>
  <si>
    <t>fischi coda w.miniera rossa -19sh salvo insieme</t>
  </si>
  <si>
    <t>zviždeći rep sa crvenom minom -salva od 19s odjednom</t>
  </si>
  <si>
    <t>huýt sáo đuôi w.red mine -19sh salvo cùng nhau</t>
  </si>
  <si>
    <t>švilpianti uodega su raudona mina, 19 šūvių kartu</t>
  </si>
  <si>
    <t>srebrni trag i crveni efekt (crossette) - 19 pucnjeva odjednom</t>
  </si>
  <si>
    <t>coda tigre d'argento e croce rossa-19sh salvo insieme</t>
  </si>
  <si>
    <t>srebrni tigrov rep i crveni pucanj-salva od 19s odjednom</t>
  </si>
  <si>
    <t>đuôi hổ bạc và crossette-19sh salvo đỏ cùng nhau</t>
  </si>
  <si>
    <t>sidabrinė tigro uodega su raudonai persikertančiais šūviais, 19 šūvių kartu</t>
  </si>
  <si>
    <t>crveni bljeskajući trag i crvena bljeskajuća vrba - 5 pucnjeva odjednom</t>
  </si>
  <si>
    <t>rosso strobing coda a rosso strobing salice-5sh salvo insieme</t>
  </si>
  <si>
    <t>crveni strob rep do crvene strob vrbe-salva od 5s odjednom</t>
  </si>
  <si>
    <t>màu đỏ vuốt đuôi đến đỏ vuốt ve liễu-5sh salvo cùng nhau</t>
  </si>
  <si>
    <t>raudona mirksinti uodega su raudonu mirksinčiu gluosniu, 5 šūviai kartu</t>
  </si>
  <si>
    <t>pucketajući trag -  5 pucnjeva odjednom</t>
  </si>
  <si>
    <t>crepitio coda-5sh salvo insieme</t>
  </si>
  <si>
    <t>pucketavi rep-salva od 5s odjednom</t>
  </si>
  <si>
    <t>cùng nhau kêu lạch cạch tail-5sh salvo</t>
  </si>
  <si>
    <t>traškanti uodega, 5 šūviai kartu</t>
  </si>
  <si>
    <t>mina zeleni efekt (crossette) -  5 pucnjeva odjednom</t>
  </si>
  <si>
    <t>crossette verde mine-5sh salvo insieme</t>
  </si>
  <si>
    <t>zeleni krst mina-salva od 5s odjednom</t>
  </si>
  <si>
    <t>màu xanh lá cây crossette mine-5sh salvo cùng nhau</t>
  </si>
  <si>
    <t>žalių persikertančių šūvių mina, 5 šūviai kartu</t>
  </si>
  <si>
    <t>zlatni trag -  5 pucnjeva odjednom</t>
  </si>
  <si>
    <t>broccato coda-5sh salvo insieme</t>
  </si>
  <si>
    <t>brokatni rep-salva od 5s odjednom</t>
  </si>
  <si>
    <t>(brocade) tail-5sh salvo cùng nhau</t>
  </si>
  <si>
    <t>brokato uodega, 5 šūviai kartu</t>
  </si>
  <si>
    <t>ljubičasta crvena žuta zelena bijela mina efekt (croassette) -  5 pucnjeva odjednom</t>
  </si>
  <si>
    <t>viola rosso limone verde croce bianca miniera-5sh salvo insieme</t>
  </si>
  <si>
    <t>ljubičasto crveni limun zeleni beli krst mina-salva od 5s odjednom</t>
  </si>
  <si>
    <t>màu tím đỏ chanh xanh trắng crossette mine-5sh salvo cùng nhau</t>
  </si>
  <si>
    <t>violetinių, raudonų, citrininių, žalių ir baltų persikertančių šūvių mina, 5 šūviai kartu</t>
  </si>
  <si>
    <t>mina pucketajući efekt (crossette) -  5 pucnjeva odjednom</t>
  </si>
  <si>
    <t>crossette scoppiettante mine-5sh salvo insieme</t>
  </si>
  <si>
    <t>pucketavi krst mina-salva od 5s odjednom</t>
  </si>
  <si>
    <t>cùng nhau crackling crossette mine-5sh salvo</t>
  </si>
  <si>
    <t>5 šūviai kartu</t>
  </si>
  <si>
    <t>pucketajuća vrba</t>
  </si>
  <si>
    <t>ritardo cracker salice</t>
  </si>
  <si>
    <t>krekeri vrbe sa produženim efektom</t>
  </si>
  <si>
    <t>trì hoãn cracker liễu</t>
  </si>
  <si>
    <t>uždelsto traškėjimo gluosnis</t>
  </si>
  <si>
    <t>crvena krizantema</t>
  </si>
  <si>
    <t>crisantemo rosso</t>
  </si>
  <si>
    <t>crvena hrizantema</t>
  </si>
  <si>
    <t>hoa cúc đỏ</t>
  </si>
  <si>
    <t>raudona chrizantema</t>
  </si>
  <si>
    <t>srebrna bljeskajuća vrba</t>
  </si>
  <si>
    <t>argento strobo salice</t>
  </si>
  <si>
    <t>srebrni strob vrba</t>
  </si>
  <si>
    <t>liễu bạc</t>
  </si>
  <si>
    <t>sidabrinis mirksintis gluosnis</t>
  </si>
  <si>
    <t>srebrni efekt (wave) i crveno</t>
  </si>
  <si>
    <t>onda d'argento al rosso</t>
  </si>
  <si>
    <t>srebrni snop do crvenog</t>
  </si>
  <si>
    <t>sóng bạc chuyển sang đỏ</t>
  </si>
  <si>
    <t>sidabrinė ir raudona banga</t>
  </si>
  <si>
    <t>zeleni trag i zeleni efekt(wave) sa pucketanjem</t>
  </si>
  <si>
    <t>coda verde a onda verde w.crepitio</t>
  </si>
  <si>
    <t>zeleni rep do zelenog snopa sa krekerima</t>
  </si>
  <si>
    <t>đuôi màu xanh lá cây đến làn sóng màu xanh lá cây w.crackling</t>
  </si>
  <si>
    <t>žalia uodega su žalia banga ir traškesiu</t>
  </si>
  <si>
    <t>višeboji efekt (dahlia)</t>
  </si>
  <si>
    <t>srebrni trag i srebrna palma</t>
  </si>
  <si>
    <t>coda d'argento a palma d'argento</t>
  </si>
  <si>
    <t>srebrni rep do srebrne palme</t>
  </si>
  <si>
    <t>đuôi bạc đến cây cọ bạc</t>
  </si>
  <si>
    <t>sidabrinė uodega su sidabrine palme</t>
  </si>
  <si>
    <t>Ti-salice dorato</t>
  </si>
  <si>
    <t>cây liễu vàng</t>
  </si>
  <si>
    <t>auksinis Ti gluosnis</t>
  </si>
  <si>
    <t>srebrni trag i srebrno bljeskanje</t>
  </si>
  <si>
    <t>coda d'argento a strobo d'argento</t>
  </si>
  <si>
    <t>srebrni rep do srebrnog stroba</t>
  </si>
  <si>
    <t>đuôi bạc đến nhấp nháy bạc</t>
  </si>
  <si>
    <t>sidabrinė uodega su sidabriniu mirksėjimu</t>
  </si>
  <si>
    <t>srebrni trag s pucnjem</t>
  </si>
  <si>
    <t>srebrni rep do titanium pucnja</t>
  </si>
  <si>
    <t>đuôi bạc để chào titan</t>
  </si>
  <si>
    <t>Mješani karton sadrži 1x pakiranje S2A,B,D,E,F,G,H,CH,J,L,N,O</t>
  </si>
  <si>
    <t>Il cartone misto contiene 1 confezione di S2A, B,D,E,F,G,H,CH,J,L,N,O</t>
  </si>
  <si>
    <t>Mix po 1 pakovanje: S2A,B,D,E,F,G,H,CH,J,L,N,O</t>
  </si>
  <si>
    <t>Thùng carton hỗn hợp chứa 1 gói S2A, B, D, E, F, G, H, CH, J, L, N, O</t>
  </si>
  <si>
    <t>Rinkinys su S2A,B,D,E,F,G,H,CH,J,L,N,O pakuočių vienetais</t>
  </si>
  <si>
    <t>višebojna krizantema</t>
  </si>
  <si>
    <t>crisantemo colorato</t>
  </si>
  <si>
    <t>višebojna hrizantema</t>
  </si>
  <si>
    <t>hoa cúc đầy màu sắc</t>
  </si>
  <si>
    <t>spalvota chrizantema</t>
  </si>
  <si>
    <t>srebrna bljeskajuća fontana</t>
  </si>
  <si>
    <t>fontana lampeggiante d'argento</t>
  </si>
  <si>
    <t>srebrna svetleća fontana</t>
  </si>
  <si>
    <t>vòi phun lửa nhấp nháy bạc</t>
  </si>
  <si>
    <t>sidabrinis žybsintis fontanas</t>
  </si>
  <si>
    <t>coda d'argento a onda rossa w.crepitio</t>
  </si>
  <si>
    <t>srebrni rep do crvenog snopa sa krekerima</t>
  </si>
  <si>
    <t>đuôi bạc đến làn sóng đỏ w.crackling</t>
  </si>
  <si>
    <t>krizantema s plavim</t>
  </si>
  <si>
    <t>corona crisantemo a blu</t>
  </si>
  <si>
    <t>kruna hrizanteme do plavog</t>
  </si>
  <si>
    <t>vương miện hoa cúc sang màu xanh</t>
  </si>
  <si>
    <t>mėlyna chrizantemos karūna</t>
  </si>
  <si>
    <t>crveni božuri (peony) sa srebrnom palmom u sredini</t>
  </si>
  <si>
    <t>peonia rossa w.silver palm core</t>
  </si>
  <si>
    <t>crveni cvet sa srebrnim jezgrom palme</t>
  </si>
  <si>
    <t>lõi cọ lá mẫu đơn đỏ</t>
  </si>
  <si>
    <t>raudonas bijūnas su sidabrinės palmės centru</t>
  </si>
  <si>
    <t>višebojni božur (peony) sa zlatnom kišom</t>
  </si>
  <si>
    <t>colore acqua peonia w.broccato corona pistillo</t>
  </si>
  <si>
    <t>cvet boje vode sa brokatnom tačkastom krunom</t>
  </si>
  <si>
    <t>màu nước hoa mẫu đơn với nhụy hoa vương miện</t>
  </si>
  <si>
    <t>akvarelinis  bijūnas su brokatinio vainiko piestele</t>
  </si>
  <si>
    <t>krizantema na ljubičasto</t>
  </si>
  <si>
    <t>crisantemo al viola</t>
  </si>
  <si>
    <t>ljubičasta hrizantema</t>
  </si>
  <si>
    <t>hoa cúc đến tím</t>
  </si>
  <si>
    <t>violetinė chrizantema</t>
  </si>
  <si>
    <t>zlatna kiša (corssette)</t>
  </si>
  <si>
    <t>crocette corona di broccato</t>
  </si>
  <si>
    <t>brokatna kruna sa krstom</t>
  </si>
  <si>
    <t>vương miện (brocade) chéo</t>
  </si>
  <si>
    <t>persikertantys brokato vainiko šūviai</t>
  </si>
  <si>
    <t>rozi efekt (dahlia) sa rozim tragovima</t>
  </si>
  <si>
    <t>rosa dahlia w.rosa pistillo</t>
  </si>
  <si>
    <t>roze dalia sa roze tačkama</t>
  </si>
  <si>
    <t>hoa thược dược hồng với nhụy hoa</t>
  </si>
  <si>
    <t>rožinis jurginas su rožine piestele</t>
  </si>
  <si>
    <t>zlatna kiša sa bijelim svjetlucanjem</t>
  </si>
  <si>
    <t>corona di broccato w.white glitter</t>
  </si>
  <si>
    <t>brokatna kruna sa belim sjajem</t>
  </si>
  <si>
    <t>vương miện (brocade) với màu trắng lấp lánh</t>
  </si>
  <si>
    <t>brokato vainikas su baltu blizgesiu</t>
  </si>
  <si>
    <t>ljubičasti efekt (wave) sa zelenim bljeskanjem</t>
  </si>
  <si>
    <t>onda viola con glitter verde</t>
  </si>
  <si>
    <t>ljubičasti snop sa zelenim sjajem</t>
  </si>
  <si>
    <t>sóng màu tím với màu xanh lá cây lấp lánh</t>
  </si>
  <si>
    <t>violetinė banga su žaliu blizgesiu</t>
  </si>
  <si>
    <t>ljubičasti prsten sa pucketanjem na završetku</t>
  </si>
  <si>
    <t>anello viola con pistillo crisantemo</t>
  </si>
  <si>
    <t>ljubičasti prsten sa tačkama hrizanteme</t>
  </si>
  <si>
    <t>nhẫn màu tím với nhụy hoa cúc</t>
  </si>
  <si>
    <t>violetinis žiedas su chrizantemos piestele</t>
  </si>
  <si>
    <t>crven efekt + srebrno svjetlucanje</t>
  </si>
  <si>
    <t>sangue rosso + strobo d'argento</t>
  </si>
  <si>
    <t>krv crvena + srebrni strob</t>
  </si>
  <si>
    <t>máu đỏ + nhấp nháy bạc</t>
  </si>
  <si>
    <t>kraujo raudonumo ir sidabrinis mirksėjimas</t>
  </si>
  <si>
    <t>crvena palma sa srebrnim bljeskajućim završetkom</t>
  </si>
  <si>
    <t>rosso coco w.argento strobing pistillo</t>
  </si>
  <si>
    <t>crveni kokos sa srebrnim strob tačkama</t>
  </si>
  <si>
    <t>bông hoa sen đỏ</t>
  </si>
  <si>
    <t>raudonas kokosas su sidabrine mirksinčia piestele</t>
  </si>
  <si>
    <t>žuti efekt (crossette) + ljubičasti efekt (crossette)</t>
  </si>
  <si>
    <t>crocette al limone+crossette viola</t>
  </si>
  <si>
    <t>limun krst + ljubičasti krst</t>
  </si>
  <si>
    <t>crossette chanh + crossette tím</t>
  </si>
  <si>
    <t>citrininiai ir violetiniai persikertantys šūviai</t>
  </si>
  <si>
    <t>crveni efekt (wave crossette)</t>
  </si>
  <si>
    <t>crocette onda rossa</t>
  </si>
  <si>
    <t>crveni snop sa krstom</t>
  </si>
  <si>
    <t>gạch chéo sóng đỏ</t>
  </si>
  <si>
    <t>raudona banga persikertančiais šūviais</t>
  </si>
  <si>
    <t>Mješani karton sadrži-premium kvaliteta (svaka kutija uključuje: srebrni trag i crveni efekt-wave 
sa pucketanjem, svjetlucava kiša sa plavima, srebrni trag i srebrno bljeskanje, pucketajuća vrba, 
zlatna vrba, srebrni trag i srebrna palma)</t>
  </si>
  <si>
    <t>Il cartone misto contiene una qualità premiun (ogni scatola include: coda d'argento all'onda rossa w.crackling, corona di fiori chrysant.to blu, coda d'argento allo strobo d'argento, salice del cracker di ritardo, salice ti dorato, coda d'argento alla palma d'argento)</t>
  </si>
  <si>
    <t>Mix sadrži prvoklasni kvalitet (svaka kutija uključuje: srebrni rep do crvenog snopa s pucketanjem, cvetna kruna hrizantema do plave boje, srebrni rep do srebrnog stroba, vrba kreker sa produženim efektom, zlatna titanium vrba, srebrni rep do srebrne palme)</t>
  </si>
  <si>
    <t>Thùng carton hỗn hợp có chứa chất lượng tốt (mỗi hộp bao gồm: đuôi bạc đến sóng đỏ w.crackling, vương miện hoa chrysant. Đến xanh lam, đuôi bạc đến ánh bạc, liễu bẻ khóa, liễu ti vàng, đuôi bạc đến cây cọ bạc)</t>
  </si>
  <si>
    <t xml:space="preserve">Aukščiausios kokybės rinkinyje yra: sidabrinė uodega su raudona traškančia banga, chrizantemos karūna pereinanti į mėlyną, sidabrinę uodegą su sidabriniu mirksėjimu, uždelsto traškesio gluosnis, auksinis Ti gluosnis, sidabrinė uodega su sidabrine palme </t>
  </si>
  <si>
    <t>Mješani karton sadrži:  S4W zlatni efekt -wave sa crvenim,  S4N/A zlatna vrba, S4R zeleni božur 
(peony)  sa zlatnim završecima i zlatnim tragovima,  S4C svjetlucajuća palma</t>
  </si>
  <si>
    <t>Il cartone misto contiene: onda dorata S4W al rosso, salice ti dorato S4N / A, peonia verde S4R con pistillo di corrola con tronco di broccato, glitter S4C.palm tree</t>
  </si>
  <si>
    <t>Mix sadrži: S4W zlatni snop do crvene boje, S4N / A zlatna titanium vrba, S4R zeleni cvet sa brokatnim stablom, S4C svjetlucanje</t>
  </si>
  <si>
    <t>Thùng carton hỗn hợp chứa: S4W sóng vàng đến đỏ, S4N / A liễu ti vàng, hoa mẫu đơn xanh S4R với nhụy hoa corrola với thân cây (brocade), cây S4C long lanh.</t>
  </si>
  <si>
    <t>Rinkinyje yra: S4W auksinė ir raudona banga, S4N/A auksinis Ti gluosnis, S4R žalias bijūnas su vainiko piestele ir brokato kamienu,  S4C blizganti palmė</t>
  </si>
  <si>
    <t>crveni/žuti efekt (dahlia)</t>
  </si>
  <si>
    <t>dahlia rosso/limone</t>
  </si>
  <si>
    <t>crvena / limun dalija</t>
  </si>
  <si>
    <t>thược dược đỏ / chanh</t>
  </si>
  <si>
    <t>raudonas/citrininis jurginas</t>
  </si>
  <si>
    <t>crveni efekt (wave) sa pucketanjem</t>
  </si>
  <si>
    <t>onda rossa w.crepitio</t>
  </si>
  <si>
    <t>crveni snop sa pucketanjem</t>
  </si>
  <si>
    <t>làn sóng đỏ w.crackling</t>
  </si>
  <si>
    <t>raudona traškanti banga</t>
  </si>
  <si>
    <t>svjetlucajuća palma</t>
  </si>
  <si>
    <t>glitter.palma</t>
  </si>
  <si>
    <t xml:space="preserve">svetlucava palma </t>
  </si>
  <si>
    <t>cây glitter.palm</t>
  </si>
  <si>
    <t>blizganti palmė</t>
  </si>
  <si>
    <t>zlatna vrba sa različitim svjetlucanjem u boji</t>
  </si>
  <si>
    <t>salice di titanio oro w.glitter colore assortito</t>
  </si>
  <si>
    <t>zlatna titanijumska vrba sa višebojnim svetlucanjem</t>
  </si>
  <si>
    <t>vàng titan liễu w. phân loại màu lấp lánh</t>
  </si>
  <si>
    <t>auksinis titano gluosnis su ivairiu spalvotu blizgesiu</t>
  </si>
  <si>
    <t>srebrno/bijela krizantema sa pucketajućom palmom</t>
  </si>
  <si>
    <t>crisantemo di titanio scoppiettante al palmo scoppiettante in titanio</t>
  </si>
  <si>
    <t>titanium pucketava hrizantema do titanijum palme</t>
  </si>
  <si>
    <t>hoa cúc titan kêu răng rắc</t>
  </si>
  <si>
    <t>traškanti titano chrizantema su traškančia titano palme</t>
  </si>
  <si>
    <t>srebrni bljeskajući vodopad</t>
  </si>
  <si>
    <t>srebrna blistava fontana</t>
  </si>
  <si>
    <t>zlatna kiša sa crvenim svjetlucajućim centrom</t>
  </si>
  <si>
    <t>corona di fiori con pistillo glitter rosso</t>
  </si>
  <si>
    <t>cvetna kruna sa crvenim svetlucavim tačkama</t>
  </si>
  <si>
    <t>vương miện hoa với nhụy đỏ long lanh</t>
  </si>
  <si>
    <t>gėlių karūna su raudona blizgančia piestele</t>
  </si>
  <si>
    <t>efekt (crossette) pola crvena/zelena</t>
  </si>
  <si>
    <t>mezza crossette rosso/verde</t>
  </si>
  <si>
    <t>pola crveni pola zeleni krst</t>
  </si>
  <si>
    <t>dấu chéo nửa đỏ / xanh lá cây</t>
  </si>
  <si>
    <t>persikertantys raudoni ir žali šūviai</t>
  </si>
  <si>
    <t>pucketajuća palma</t>
  </si>
  <si>
    <t>crepitio nishiki kamuro</t>
  </si>
  <si>
    <t>pucketavi nishiki kamuro</t>
  </si>
  <si>
    <t>nishiki kamuro tanh tách</t>
  </si>
  <si>
    <t>traškantis nishiki kamuro</t>
  </si>
  <si>
    <t>srebrna kiša sa crvenim završecima</t>
  </si>
  <si>
    <t>corona d'argento w.pistillo rosso</t>
  </si>
  <si>
    <t>srebrna kruna sa crvenim tačkama</t>
  </si>
  <si>
    <t>vương miện bạc với nhụy hoa</t>
  </si>
  <si>
    <t>sidabrinė karūna su raudona piestele</t>
  </si>
  <si>
    <t>crveno+srebrno bljeskanje</t>
  </si>
  <si>
    <t>sangue rosso+argento strobo</t>
  </si>
  <si>
    <t>srebrno bljeskanje</t>
  </si>
  <si>
    <t>strobo d'argento</t>
  </si>
  <si>
    <t>srebrni strob</t>
  </si>
  <si>
    <t>ánh bạc</t>
  </si>
  <si>
    <t>sidabrinis mirksėjimas</t>
  </si>
  <si>
    <t>crveno bljeskanje</t>
  </si>
  <si>
    <t>speciale strobo rosso</t>
  </si>
  <si>
    <t>posebna strob crvena</t>
  </si>
  <si>
    <t>đặc biệt màu đỏ</t>
  </si>
  <si>
    <t>ypatingas raudonas mirksėjimas</t>
  </si>
  <si>
    <t>zeleni božur(peony) sa zlatnim završecima i zlatnim tragom</t>
  </si>
  <si>
    <t>peonia verde con pistillo di corrola con tronco di broccato</t>
  </si>
  <si>
    <t>zeleni cvet sa tačkastim vencem sa brokatnim stablom</t>
  </si>
  <si>
    <t>hoa mẫu đơn xanh với nhụy hoa corrola với thân cây bằng (brocade)</t>
  </si>
  <si>
    <t>žalias bijūnas su vainiko piestele ir brokato kamienu</t>
  </si>
  <si>
    <t>srebrni efekt (wave) i plavo sa pucketanjem</t>
  </si>
  <si>
    <t>onda d'argento al blu w.crepitio</t>
  </si>
  <si>
    <t>srebrni snop do plave boje sa pucketanjem</t>
  </si>
  <si>
    <t>sóng bạc đến sóng biển xanh</t>
  </si>
  <si>
    <t>sidabrinė ir mėlyna banga su traškesiu</t>
  </si>
  <si>
    <t>ljubičasti efekt(crossette)</t>
  </si>
  <si>
    <t>crossette viola</t>
  </si>
  <si>
    <t>ljubičasti krst</t>
  </si>
  <si>
    <t>dấu chéo màu tím</t>
  </si>
  <si>
    <t>violetiniai persikertantys šūviai</t>
  </si>
  <si>
    <t>zlatna kiša (crossette)</t>
  </si>
  <si>
    <t>crossette corona di broccato</t>
  </si>
  <si>
    <t>brokatna kruna krst</t>
  </si>
  <si>
    <t>brokato vainiko persikertantys šūviai</t>
  </si>
  <si>
    <t>zlatni efekt (wave) na crveno</t>
  </si>
  <si>
    <t>onda d'oro al rosso</t>
  </si>
  <si>
    <t>zlatni snop do crvene boje</t>
  </si>
  <si>
    <t>sóng vàng đến đỏ</t>
  </si>
  <si>
    <t>auksinė ir raudona banga</t>
  </si>
  <si>
    <t>crisantemo  colorato</t>
  </si>
  <si>
    <t>šarene hrizanteme</t>
  </si>
  <si>
    <t>srebrna vrba sa crvenim završecima</t>
  </si>
  <si>
    <t>salice d'argento w.pistillo rosso</t>
  </si>
  <si>
    <t>srebrna vrba sa crvenim tačkama</t>
  </si>
  <si>
    <t>nhụy hoa liễu bạc</t>
  </si>
  <si>
    <t>sidabrinis gluosnis su raudona piestele</t>
  </si>
  <si>
    <t>srebrni trag i crveni božur (peony) sa srebrnim palma završetkom</t>
  </si>
  <si>
    <t>coda d'argento a peonia rossa w.pistillo di palma d'argento</t>
  </si>
  <si>
    <t>srebrni rep do crvenog cveta sa srebrnom palmom</t>
  </si>
  <si>
    <t>đuôi bạc đến hoa mẫu đơn đỏ với nhụy hoa cọ</t>
  </si>
  <si>
    <t>sidabrinė uodega su raudonu jurginu ir sidabrinės palmės piestele</t>
  </si>
  <si>
    <t>crveni efekt (gamboge) i pcrvena, plava krizantema, crveni prsten</t>
  </si>
  <si>
    <t xml:space="preserve">gamboge rosso a rosso a blu chrys.to anello ragno rosso </t>
  </si>
  <si>
    <t>crveni gamboge do crvenog do plave hrizanteme do crvenog paukovog prstena</t>
  </si>
  <si>
    <t xml:space="preserve">gamboge đỏ đến đỏ đến xanh chrys. đến vòng nhện đỏ </t>
  </si>
  <si>
    <t>raudonas gamboge su raudona ir mėlyna chrizantema ir raudonu voro žiedu</t>
  </si>
  <si>
    <t>crveni božur(peony) na zlato</t>
  </si>
  <si>
    <t>peonia rossa a broccato</t>
  </si>
  <si>
    <t>crveni cvet do brokata</t>
  </si>
  <si>
    <t>hoa mẫu đơn đỏ (brocade)</t>
  </si>
  <si>
    <t>raudonas jurginas su brokatu</t>
  </si>
  <si>
    <t>palma sa bljeskajućim božurom(peony)</t>
  </si>
  <si>
    <t>pistillo di palma con acqua peonia</t>
  </si>
  <si>
    <t>tačkasta palma sa cvetom boje vode</t>
  </si>
  <si>
    <t>nhụy cọ với hoa mẫu đơn</t>
  </si>
  <si>
    <t>palmės piestelė su vandens jurginu</t>
  </si>
  <si>
    <t>plave prsten sa krizantema završetkom</t>
  </si>
  <si>
    <t>anello blu con pistillo crisantemo</t>
  </si>
  <si>
    <t>plavi prsten sa tačkasom hrizantemom</t>
  </si>
  <si>
    <t>vòng màu xanh với nhụy hoa cúc</t>
  </si>
  <si>
    <t>mėlynas žiedas su chrizantemos piestele</t>
  </si>
  <si>
    <t>salice strobo rosso</t>
  </si>
  <si>
    <t>crvena strob vrba</t>
  </si>
  <si>
    <t>liễu đỏ</t>
  </si>
  <si>
    <t>raudonas mirksintis gluosnis</t>
  </si>
  <si>
    <t>srebrni tragovi sa crvenim završecima</t>
  </si>
  <si>
    <t>rosso tre spade uomo</t>
  </si>
  <si>
    <t>crvena sa mačevima</t>
  </si>
  <si>
    <t>ba thanh kiếm đỏ</t>
  </si>
  <si>
    <t>raudonas trijų kalavijų vyras</t>
  </si>
  <si>
    <t>narančasti efekt (wave) na zeleno</t>
  </si>
  <si>
    <t>onda arancione al verde</t>
  </si>
  <si>
    <t>narandžasti snop do zelene boje</t>
  </si>
  <si>
    <t>làn sóng màu cam đến màu xanh lá cây</t>
  </si>
  <si>
    <t>oranžinė ir žalia banga</t>
  </si>
  <si>
    <t>zlatna kiša sa višebojnim završecima</t>
  </si>
  <si>
    <t>corona di broccato a colori</t>
  </si>
  <si>
    <t>brokatna kruna u boji</t>
  </si>
  <si>
    <t>vương miện (brocade) màu</t>
  </si>
  <si>
    <t>spalvotas brokato vainikas</t>
  </si>
  <si>
    <t>pucketajući efekt (wave) sa crvenim završecima</t>
  </si>
  <si>
    <t>onda scoppiettante al rosso</t>
  </si>
  <si>
    <t>pucketavi snop do crvene boje</t>
  </si>
  <si>
    <t>sóng nứt nẻ chuyển sang màu đỏ</t>
  </si>
  <si>
    <t>traškanti raudona banga</t>
  </si>
  <si>
    <t>srebrna palma sa pucketajućim centrom</t>
  </si>
  <si>
    <t>coco d'argento con pistillo pioggia scoppiettante</t>
  </si>
  <si>
    <t>srebrni kokos sa praskavim kišnim tačkama</t>
  </si>
  <si>
    <t>kén bạc w / nhụy hoa mưa tí tách</t>
  </si>
  <si>
    <t>sidabrinis koksas su traškančia lietaus piestele</t>
  </si>
  <si>
    <t>pucketajući vodopad</t>
  </si>
  <si>
    <t>cascata scoppiettante</t>
  </si>
  <si>
    <t>thác nước chảy róc rách</t>
  </si>
  <si>
    <t>traškantis krioklys</t>
  </si>
  <si>
    <t>pucketajuća vrba (crossette)</t>
  </si>
  <si>
    <t>crossette di salice scoppiettante</t>
  </si>
  <si>
    <t>pucketajuće vrbe sa krstovima</t>
  </si>
  <si>
    <t>cây liễu kêu răng rắc</t>
  </si>
  <si>
    <t>traškantis persikertančių šūvių gluosnis</t>
  </si>
  <si>
    <t>srebrni virovi sa crvenim efektom (crossette)</t>
  </si>
  <si>
    <t>anello drago d'argento+crossette rossa (cilindro)</t>
  </si>
  <si>
    <t>srebrni zmajev prsten + crveni krst (cilindar)</t>
  </si>
  <si>
    <t>nhẫn rồng bạc + dấu thập đỏ (hình trụ)</t>
  </si>
  <si>
    <t>sidabrinis drakono žiedas ir raudoi persikertantys šūviai (cilindras)</t>
  </si>
  <si>
    <t>srebrna pucketajuća palma sa srvenim bljeskanjem i pucketajućim tragom</t>
  </si>
  <si>
    <t>argento crepitio coco w /rosso strobo fino argento scoppiettante coda tigre</t>
  </si>
  <si>
    <t>srebrni pucketavi kokos sa crvenim strobom i srebrni pucketavi tigrov rep</t>
  </si>
  <si>
    <t>bạc crackling coco w / đỏ nhấp nháy lên bạc răng hổ kêu răng rắc</t>
  </si>
  <si>
    <t>sidabrinis traškantis kokosas su raudonu mirksėjimu ir sidabrine traškančia tigro uodega</t>
  </si>
  <si>
    <t>Mješani karton sadrži-premium kvaliteta-svako pakiranje uključuje: S4L crveno+srebrno bljeskanje, 
S4CH kiša sa crvenim svjetlucavim završecima, S4Z/8 zlatn akiša sa višebojnim vrhovima, S4Z/7 
narančasti efekt(wave) na zeleno</t>
  </si>
  <si>
    <t>Il cartone misto contiene una qualità premium per ogni scatola, tra cui: strobo rosso sangue S4L + argento, corona di fiori S4CH con pistillo glitter rosso, corona di broccato S4Z / 8 a colori, onda arancione S4Z / 7 al verde</t>
  </si>
  <si>
    <t>Mix sadrži vrhunski kvalitet: S4L krv crvena + srebrni strob, S4CH cvetna kruna s crvenim svetlucavim tačkama, S4Z / 8 brokatna kruna u boju, S4Z / 7 narandžasti snop do zelene</t>
  </si>
  <si>
    <t>Thùng carton hỗn hợp chứa-chất lượng cao cấp-mỗi hộp bao gồm: S4L đỏ huyết + ánh bạc, vương miện hoa S4CH với nhụy đỏ lấp lánh, vương miện (brocade) S4Z / 8 sang màu, sóng cam S4Z / 7 đến xanh</t>
  </si>
  <si>
    <t>Aukščiausios kokybės rinkinyje yra: S4L kraujo raudonumo ir sidabrinis mirksėjimas, S4CH gėlių karūna su raudona blizgančia piestele , S4Z/8 spalvotas brokato vainikas, S4Z/7 oranžinė ir žalia banga</t>
  </si>
  <si>
    <t>pucketajući efekt (crossette)</t>
  </si>
  <si>
    <t xml:space="preserve">crocette scoppiettante </t>
  </si>
  <si>
    <t>krekling krst</t>
  </si>
  <si>
    <t xml:space="preserve">bánh quy giòn </t>
  </si>
  <si>
    <t>traškantys persikertantys šūviai</t>
  </si>
  <si>
    <t>srebrna paučina sa bljeskajućim završecima</t>
  </si>
  <si>
    <t xml:space="preserve">ragno d'argento w.strobo pistillo </t>
  </si>
  <si>
    <t>srebrni pauk sa strob tačkama</t>
  </si>
  <si>
    <t xml:space="preserve">Nhện bạc với nhụy hoa </t>
  </si>
  <si>
    <t>sidabrinis voras su mirksinčia piestele</t>
  </si>
  <si>
    <t>srebrna bljeskajuća palma sa crvenim efektom (crossette)</t>
  </si>
  <si>
    <t xml:space="preserve">argento scintillante coco crossette rosso </t>
  </si>
  <si>
    <t>srebrno svetlucanje crvenog kokos krsta</t>
  </si>
  <si>
    <t xml:space="preserve">ánh bạc lấp lánh màu đỏ coco crossette </t>
  </si>
  <si>
    <t>sidabru blizgantis raudonas kokosas persikertančiais šūviais</t>
  </si>
  <si>
    <t xml:space="preserve">Ti-salice dorato </t>
  </si>
  <si>
    <t xml:space="preserve">cây liễu vàng </t>
  </si>
  <si>
    <t>kreling nishiki kamuro</t>
  </si>
  <si>
    <t>zlatna kiša</t>
  </si>
  <si>
    <t>corona di broccato</t>
  </si>
  <si>
    <t>brokatni krst</t>
  </si>
  <si>
    <t>vương miện (brocade)</t>
  </si>
  <si>
    <t>brokato vainikas</t>
  </si>
  <si>
    <t>srebrni prsten sa plavim centrom , zlatna kiša sa pucketanjem</t>
  </si>
  <si>
    <t>anello d'argento pistillo blu a corona di broccato con anello crisantemo pistillo</t>
  </si>
  <si>
    <t>plave tačke srebrnog prstena do brokatne krune s prstenasto tačkastom hrizantemom</t>
  </si>
  <si>
    <t>nhẫn bạc nhụy xanh để vương miện (brocade) với nhẫn nhụy hoa cúc</t>
  </si>
  <si>
    <t>mėlyna piestelė, sidabrinis žiedas su brokato vainiku ir chrizantemos žiedo piestele</t>
  </si>
  <si>
    <t>zlatna pucketajuća kiša sa plavim završecima i  zelenim svjetlucajućim centrom</t>
  </si>
  <si>
    <t>broccato delay cracker a blu con pistil glitter verde</t>
  </si>
  <si>
    <t>brokatni krekeri sa produženim efektom do plave boje sa zelenim svetlucavim tačkama</t>
  </si>
  <si>
    <t>(brocade) trì hoãn cracker màu xanh lam với màu xanh lá cây lấp lánh nhụy hoa</t>
  </si>
  <si>
    <t>uždelsto traškėjimo brokatas su mėlyno ir žalio blizgesio piestele</t>
  </si>
  <si>
    <t>pucketajuća palma sa višebojnim pucketajućim centrom</t>
  </si>
  <si>
    <t>crepitio coco con colore strobo pistillo</t>
  </si>
  <si>
    <t>pucketavi kokos sa strob tačkama</t>
  </si>
  <si>
    <t>crackling coco w / nhụy hoa màu nhấp nháy</t>
  </si>
  <si>
    <t>traškantis kokosas su spalvota mirksinčia piestele</t>
  </si>
  <si>
    <t>Miješani karton sadrži: S5K zlatna kiša(3kom), S5Q zlatna kiša sa krizantemom(3kom), S5N srebrni 
prsten sa plavim centrom i zlatna kiša sa prestenom i krizantemom u centru(3kom), S5O zlatna pucketajuća kiša sa plavim završecima i  zelenim svjetlucajućim centrom(3kom), S5P srebrne i crvene zvjezdice sa plavim sentrom(2kom), S5B pucketajući efekt-crossette(2kom)</t>
  </si>
  <si>
    <t>Il cartone misto contiene: corona di broccato S5K(3pc), corona di broccato S5Q con crisantemo a otto angoli (3pc), anello d'argento pistillo blu S5N alla corona di broccato con pistillo di crisantemo ad anello(3pc) 3pc), cracker di ritardo del broccato S5O in blu con pistillo glitter verde (3pc), argento S5P a stelle rosse da nuoto con pistillo blu (2pc), crosette scoppiettante S5B (2pc)</t>
  </si>
  <si>
    <t>Mix sadrži: krunu od brokata S5K (3kom), krunu od brokata S5Q sa osmouglom hrizantemom (3kom), srebrni prsten od plavih tačaka S5N do krunice od brokata s prstenom od tačkastog krsta (3kom), brokatni kreker sa produženim efektom S5O do plave boje sa zelenim svetlucavim tačkama (3kom) ), S5P srebrne do crvene plivajuće zvezde s plavim tačkama (2kom), S5B pucketavi krst (2kom)</t>
  </si>
  <si>
    <t>Thùng carton hỗn hợp chứa: vương miện (brocade) S5K (3pc), vương miện (brocade) S5Q với hoa cúc tám góc (3pc), nhẫn bạc nhụy xanh S5N đến vương miện (brocade) với nhẫn có nhụy hoa cúc (3pc), bánh quy trễ (brocade) S5O sang xanh với nhụy xanh lục (3pc) ), S5P màu bạc đến đỏ sao bơi với nhụy xanh (2pc), S5B Crackling crosette (2pc)</t>
  </si>
  <si>
    <t>Rinkinyje yra: S5K brokato vainiko 3 vienetai, S5Q brokato vainiko su 8 kampų chrizantema 3 vienetai, S5N mėlyna piestelė, sidabrinis žiedas su brokato vainiku ir chrizantemos piestelės žiedu 3 vienetai, S5O uždelstas brokato traškėjimas su mėlyna ir žalia blizgančia piestele 3 vienetai, S5P sidabrinės ir raudonos plaukiančios žvaigždės su mėlyna piestele 2 vienetai, S5B traškantys persikertantys šūviai 2 vienetai</t>
  </si>
  <si>
    <t>Miješani karton sadrži: S6CH zlatni efekt-wave sa ljubičastim božurima i dvostrukim prstenovima i 
narančastim bljeskajućim centrom(2kom), S6H višebojna krizantema(2kom), S6S srebrni trag i srebrna palma(2kom), S6O višebojni efekt- dahlia(1kom), S6K crveno svjetlucanje sa zlatnom kišom(2kom)</t>
  </si>
  <si>
    <t>Il cartone misto contiene: S6CH gold wave w.purple peony double rings to special orange strobing pistil(2pc), S6H color chrysanthemum(2pc), S6S silver tail to silver palm(2pc), S6O colorfull dahlia(1pc), S6K red glitter w.brocade crown(2pc)</t>
  </si>
  <si>
    <t>Mix sadrži: S6CH zlatni snop s ljubičastim dvostrukim prstenovima do posebnih narandžastih strob tačaka(2kom), hrizanteme u boji S6H (2kom), srebrni rep S6S do srebrne palme(2kom), dalija S6O u boji (1 kom), S6K crveni sjaj sa brokatnom krunom(2kom)</t>
  </si>
  <si>
    <t>Thùng hỗn hợp chứa: S6CH sóng vàng với nhẫn đôi hoa mẫu đơn đến nhụy hoa màu cam đặc biệt (2pc), hoa cúc màu S6H (2pc), đuôi bạc S6S đến cọ bạc (2pc), thược dược màu S6O (1pc), S6K đỏ long lanh w vương miện .brocade (2pc)</t>
  </si>
  <si>
    <t>Rinkinyje yra: S6CH auksinė banga su dvigubais violetinio bijūno žiedais ir ypatinga oranžine mirksinčia piestele 2 vienetai, S6H spalvota chrizantema 2 vienetai, S6S sidabrinė uodega su sidabrine palme 2 vienetai, S6O spalvotas jurginas 1 vienetas, S6K raudonas blizgesys su brokato vainiku 2 vienetai</t>
  </si>
  <si>
    <t>krizantema sa crvenim zmijicama</t>
  </si>
  <si>
    <t>crisantemo alla stella rossa errante</t>
  </si>
  <si>
    <t>hrizantema do crvenih šetajućih zvezdica</t>
  </si>
  <si>
    <t>hoa cúc đến ngôi sao lang thang đỏ</t>
  </si>
  <si>
    <t>chrizantema su raudona klajojančia žvaigžde</t>
  </si>
  <si>
    <t>zlatni pucketajući vodopad</t>
  </si>
  <si>
    <t>tempo pioggia salice fontana</t>
  </si>
  <si>
    <t>kišna vrba fontana</t>
  </si>
  <si>
    <t>thời gian mưa liễu vòi phun lửa</t>
  </si>
  <si>
    <t>lietus ir gluosnio fontanas</t>
  </si>
  <si>
    <t>srebrno crveni efekti</t>
  </si>
  <si>
    <t>fantasma argento a rosso</t>
  </si>
  <si>
    <t>duh srebro do crvene boje</t>
  </si>
  <si>
    <t>bạc ma đến đỏ</t>
  </si>
  <si>
    <t>sidabrinis ir raudonas vaiduoklis</t>
  </si>
  <si>
    <t>colore crisantemo</t>
  </si>
  <si>
    <t>hrizantema u boji</t>
  </si>
  <si>
    <t>hoa cúc màu</t>
  </si>
  <si>
    <t>crveno svjetlucanje sa zlatnom kišom</t>
  </si>
  <si>
    <t>rosso glitter w.broccato corona</t>
  </si>
  <si>
    <t>crveni sjaj s brokatnom krunom</t>
  </si>
  <si>
    <t>màu đỏ long lanh w. vương miện bằng vải</t>
  </si>
  <si>
    <t>raudonas blizgesys su brokato vainiku</t>
  </si>
  <si>
    <t xml:space="preserve">coda d'argento al palmo d'argento </t>
  </si>
  <si>
    <t xml:space="preserve">đuôi bạc đến (palm) bạc </t>
  </si>
  <si>
    <t>kiša sa bljeskajućim centrom</t>
  </si>
  <si>
    <t>nishiki kamuro flash pistillo</t>
  </si>
  <si>
    <t>nishiki kamuro fleš tačke</t>
  </si>
  <si>
    <t>nhụy hoa nishiki kamuro flash</t>
  </si>
  <si>
    <t>nishiki kamuro žybsinti piestelė</t>
  </si>
  <si>
    <t>srebrno svjetlucanje</t>
  </si>
  <si>
    <t>argento scintillante</t>
  </si>
  <si>
    <t>srebrno blistavo</t>
  </si>
  <si>
    <t>bạc lấp lánh</t>
  </si>
  <si>
    <t>sidabrinis blizgėjimas</t>
  </si>
  <si>
    <t>S6A/P(9)</t>
  </si>
  <si>
    <t>zeleni prsten s pucketajućim efektom (crossette)</t>
  </si>
  <si>
    <t>anello verde w.chry crossette scoppiettante</t>
  </si>
  <si>
    <t>zeleni prsten sa pucketavom krst hrizantemom</t>
  </si>
  <si>
    <t>vòng màu xanh lá cây với thánh giá nứt nẻ</t>
  </si>
  <si>
    <t>žalias žiedas su chry traškančiais persikertančiais šūviais</t>
  </si>
  <si>
    <t>crveno zeleno žuto padajuće lišće</t>
  </si>
  <si>
    <t>foglie cadenti giallo rosso verde</t>
  </si>
  <si>
    <t>lá đỏ xanh vàng rơi</t>
  </si>
  <si>
    <t>raudoni, žali, geltoni krentantys lapai</t>
  </si>
  <si>
    <t>konjski rep</t>
  </si>
  <si>
    <t>super coda di cavallo</t>
  </si>
  <si>
    <t>super konjski rep</t>
  </si>
  <si>
    <t>siêu ngựa đuôi</t>
  </si>
  <si>
    <t>super  iga ir plati arklio uodega</t>
  </si>
  <si>
    <t>zlatna svjetlucava vrba sa pucketajućim centrom</t>
  </si>
  <si>
    <t>salice di titanio oro con pistillo scoppiettante</t>
  </si>
  <si>
    <t>zlatna vrba od titaniuma sa pucketavim tačkama</t>
  </si>
  <si>
    <t>cây liễu titan vàng có nhụy</t>
  </si>
  <si>
    <t>auksinis titano gluosnis su traškančia piestele</t>
  </si>
  <si>
    <t>zlatni efket(wave) sa ljubičastim božurom(peony) dvostruki prsten sa narančastim bljeskajućim centrom</t>
  </si>
  <si>
    <t xml:space="preserve">onda d'oro w.viola peonia doppi anelli a speciale arancio strobing pistillo </t>
  </si>
  <si>
    <t>zlatni snop s ljubičastim cvetnim dvostrukim prstenovima do posebnog narandžastog stroba</t>
  </si>
  <si>
    <t xml:space="preserve">sóng vàng w. nhẫn đôi hoa mẫu đơn đến nhụy hoa màu cam đặc biệt </t>
  </si>
  <si>
    <t>auksinė banga su dvigubais violetinio bijūno žiedais ir ypatinga oranžine mirksinčia piestele</t>
  </si>
  <si>
    <t>srebrni trag i crveni efekti (wave)</t>
  </si>
  <si>
    <t>coda d'argento a migliaia di onde rosse</t>
  </si>
  <si>
    <t>srebrni rep do hiljade crvenih snopova</t>
  </si>
  <si>
    <t>đuôi bạc đến ngàn con sóng đỏ</t>
  </si>
  <si>
    <t>sidabrinė uodega su tūkstančiu raudonų bangų</t>
  </si>
  <si>
    <t>srebrno svjetlucajuća palma sa crvenim efektom (crossette)</t>
  </si>
  <si>
    <t>argento scintillante rosso coco crossettte</t>
  </si>
  <si>
    <t xml:space="preserve">srebrno svetlucavi crveni kokos krst </t>
  </si>
  <si>
    <t>bạc lấp lánh màu đỏ coco crossettte</t>
  </si>
  <si>
    <t>sidabrinis ir raudonas blizgantis kokosas su persikertančiais šūviais</t>
  </si>
  <si>
    <t>višebojni efekt (dahlia) sa bljeskajućim centrom</t>
  </si>
  <si>
    <t>colore dahlia con pistillo stroboscopico</t>
  </si>
  <si>
    <t>dalija u boji sa strob tačkama</t>
  </si>
  <si>
    <t>thược dược màu với nhụy hoa</t>
  </si>
  <si>
    <t>spalvotas jurginas su mirksinčia piestele</t>
  </si>
  <si>
    <t>zlatna palma sa bljeskajućim centrom</t>
  </si>
  <si>
    <t>broccato coco con pistillo stroboscopico</t>
  </si>
  <si>
    <t>brokatni kokos sa strob tačkama</t>
  </si>
  <si>
    <t>(brocade) coco w / nhụy hoa</t>
  </si>
  <si>
    <t>brokato kokosas su mirksinčia piestele</t>
  </si>
  <si>
    <t>zlatna kiša i plavi, crveni bljeskajući efekt sa crvenim bljeskajućim centrom</t>
  </si>
  <si>
    <t>corona di broccato a blu a rosso strobo con pistillo strobo rosso</t>
  </si>
  <si>
    <t>brokatna kruna do plavog do crvenog stroba sa crvenim strob tačkama</t>
  </si>
  <si>
    <t>vương miện (brocade) với màu xanh lam đến màu đỏ nhấp nháy w / nhụy hoa màu đỏ</t>
  </si>
  <si>
    <t>brokato vainikas, mėlyna ir raudonas mirksėjimas su raudonai mirksinčia piestele</t>
  </si>
  <si>
    <t>tanka cijev pojačane izdržljivosti, visina 38cm, debljina stijenke 2,2mm</t>
  </si>
  <si>
    <t>malta indistruttibile e sottile, altezza 38 cm, spessore 2,2 mm</t>
  </si>
  <si>
    <t>neuništiva, tanka cev, visine 38 cm, debljine 2,2 mm</t>
  </si>
  <si>
    <t>Chất lượng " tốt", không thấm nước, chiều cao 38cm, dày 2,2mm</t>
  </si>
  <si>
    <t>daugkartinio naudojimo plonas vamzdis, 38cm aukščio, 2.2mm storio</t>
  </si>
  <si>
    <t>tanka cijev pojačane izdržljivosti, visina 40cm, debljina stijenke 2,5mm</t>
  </si>
  <si>
    <t>malta indistruttibile e sottile, altezza 40 cm, spessore 2,5 mm</t>
  </si>
  <si>
    <t>neuništiva, tanka cev, visine 40 cm, debljine 2,5 mm</t>
  </si>
  <si>
    <t>Chất lượng " tốt", không thấm nước, cao 40cm, dày 2,5mm</t>
  </si>
  <si>
    <t>daugkartinio naudojimo plonas vamzdis, 40cm aukščio, 2.5mm storio</t>
  </si>
  <si>
    <t>tanka cijev pojačane izdržljivosti, visina 50cm, debljina stijenke 3mm</t>
  </si>
  <si>
    <t>malta indistruttibile e sottile, altezza 50 cm, spessore 3mm</t>
  </si>
  <si>
    <t>neuništiva, tanka cev, visine 50 cm, debljine 3 mm</t>
  </si>
  <si>
    <t>Chất lượng " tốt", không thấm nước, cao 48cm, dày 2,5mm</t>
  </si>
  <si>
    <t>daugkartinio naudojimo plonas vamzdis, 50cm aukščio, 3mm storio</t>
  </si>
  <si>
    <t>tanka cijev pojačane izdržljivosti, visina 60cm, debljina stijenke 3,5mm</t>
  </si>
  <si>
    <t>malta indistruttibile e sottile, altezza 60 cm, spessore 3,5 mm</t>
  </si>
  <si>
    <t>neuništiva, tanka cev, visine 60 cm, debljine 3,5 mm</t>
  </si>
  <si>
    <t>Chất lượng " tốt", không thấm nước, cao 58cm, dày 3mm</t>
  </si>
  <si>
    <t>daugkartinio naudojimo plonas vamzdis, 60cm aukščio, 3.5mm storio</t>
  </si>
  <si>
    <t>tanka cijev pojačane izdržljivosti, visina 80cm, debljina stijenke 4mm</t>
  </si>
  <si>
    <t>malta indistruttibile e sottile, altezza 80 cm, spessore 4mm</t>
  </si>
  <si>
    <t>neuništiva, tanka cev, visine 80 cm, debljine 4 mm</t>
  </si>
  <si>
    <t>Chất lượng " tốt", không thấm nước, cao 80cm, dày 4mm</t>
  </si>
  <si>
    <t>daugkartinio naudojimo plonas vamzdis, 80cm aukščio, 4mm storio</t>
  </si>
  <si>
    <t>tanka cijev pojačane izdržljivosti, visina 90cm, debljina stijenke 4mm</t>
  </si>
  <si>
    <t>malta indistruttibile e sottile, altezza 90 cm, spessore 4mm</t>
  </si>
  <si>
    <t>neuništiva, tanka cev, visina 90 cm, debljina 4 mm</t>
  </si>
  <si>
    <t>Chất lượng " tốt", không thấm nước, cao 90cm, dày 4mm</t>
  </si>
  <si>
    <t>daugkartinio naudojimo plonas vamzdis, 90cm aukščio, 4mm storio</t>
  </si>
  <si>
    <t>srebrna scenska fontana 5m, el.aktivacija</t>
  </si>
  <si>
    <t xml:space="preserve">fuoco d'argento 5m-accenditore  elettrico </t>
  </si>
  <si>
    <t>srebrna vatra 5m-električna inicijacija</t>
  </si>
  <si>
    <t>phun bạc 5m- bắn điện</t>
  </si>
  <si>
    <t>5m sidabrinė ugnis - elektrinis paleidimas</t>
  </si>
  <si>
    <t>srebrna scenska fontana 8m, el.aktivacija</t>
  </si>
  <si>
    <t xml:space="preserve">fuoco d'argento 8m-accenditore  elettrico </t>
  </si>
  <si>
    <t>srebrna vatra 8m-električna inicijacija</t>
  </si>
  <si>
    <t>phun bạc 8m- bắn điện</t>
  </si>
  <si>
    <t>8m sidabrinė ugnis - elektrinis paleidimas</t>
  </si>
  <si>
    <t>srebrna fontana, bez dima, visina efekta 2m, el.aktivacija</t>
  </si>
  <si>
    <t xml:space="preserve">fontana d'argento senza fumo, effetto alto 2m, accenditore  elettrico </t>
  </si>
  <si>
    <t>srebrna fontana - bez dima, efekt visok 2m, električna inicijacija</t>
  </si>
  <si>
    <t>vòi phun lửa bạc không khói, chiều cao hiệu ứng 2m, bắn điện</t>
  </si>
  <si>
    <t>sidabrinis fontanas be dūmų, efekto aukštis 2m, elektrinis paleidimas</t>
  </si>
  <si>
    <t>srebrna fontana, bez dima, visina efekta 3m, el.aktivacija</t>
  </si>
  <si>
    <t xml:space="preserve">fontana d'argento senza fumo, effetto alto 3m, accenditore  elettrico </t>
  </si>
  <si>
    <t>srebrna fontana - bez dima, efekt visok 3m, električna inicijacija</t>
  </si>
  <si>
    <t>vòi phun lửa bạc không khói, chiều cao hiệu ứng 3m, bắn điện</t>
  </si>
  <si>
    <t>sidabrinis fontanas be dūmų, efekto aukštis 3m, elektrinis paleidimas</t>
  </si>
  <si>
    <t>srebrna fontana, bez dima, visina efekta 5m, el.aktivacija</t>
  </si>
  <si>
    <t xml:space="preserve">fontana d'argento senza fumo, effetto alto 5m, accenditore  elettrico </t>
  </si>
  <si>
    <t>srebrna fontana - bez dima, efekt visokih 5m, električno iniciranje</t>
  </si>
  <si>
    <t>vòi phun lửa bạc không khói, chiều cao hiệu ứng 5m, bắn điện</t>
  </si>
  <si>
    <t>sidabrinis fontanas be dūmų, efekto aukštis 5m, elektrinis paleidimas</t>
  </si>
  <si>
    <t>srebrna fontana, bez dima, visina efekta 6m, el.aktivacija</t>
  </si>
  <si>
    <t xml:space="preserve">fontana d'argento senza fumo, effetto alto 6m, accenditore  elettrico </t>
  </si>
  <si>
    <t>srebrna fontana - bez dima, efekt visokih 6m, električno iniciranje</t>
  </si>
  <si>
    <t>vòi phun lửa bạc không khói, chiều cao hiệu ứng 6m, bắn điện</t>
  </si>
  <si>
    <t>sidabrinis fontanas be dūmų, efekto aukštis 6m, elektrinis paleidimas</t>
  </si>
  <si>
    <t>dvostruko srce sa 8 komada srebrnih fontana</t>
  </si>
  <si>
    <t>doppio cuore con 8 pezzi fontana d'argento</t>
  </si>
  <si>
    <t>dvostruko srce sa 8 kom srebrne fontane</t>
  </si>
  <si>
    <t>trái tim đôi với 8 vòi phun lửa</t>
  </si>
  <si>
    <t>dviguba širdis su 8 sidabriniais fontanais</t>
  </si>
  <si>
    <t>vodopad za vanjsku upotrebu, dužina 20m, srebrna boja, (visina efekta 9m)</t>
  </si>
  <si>
    <t>Cascata esterna lunga 20 m, colore argento (altezza effetto 9m)</t>
  </si>
  <si>
    <t>spoljni vodopad dužine 20 m, srebrne boje (visina efekta 9 m)</t>
  </si>
  <si>
    <t>thác nước ngoài trời dài 20m, màu bạc (chiều cao hiệu ứng 9m)</t>
  </si>
  <si>
    <t>lauko krioklys 20cm ilgio sidabrinės spalvos, efekto aukštis 9m</t>
  </si>
  <si>
    <t>električni upaljač, dužina 30cm</t>
  </si>
  <si>
    <t>accenditore  elettrico , lunghezza 30cm</t>
  </si>
  <si>
    <t>električni upaljač, dužine 30 cm</t>
  </si>
  <si>
    <t>thiết bị bắn pháo hoa, bằng điện, chiều dài 30cm</t>
  </si>
  <si>
    <t>elektrinis padegiklis, 30 cm ilgio</t>
  </si>
  <si>
    <t>električni upaljač, dužina 100cm</t>
  </si>
  <si>
    <t>accenditore  elettrico , lunghezza 100cm</t>
  </si>
  <si>
    <t>električni upaljač, dužine 100cm</t>
  </si>
  <si>
    <t>thiết bị bắn pháo hoa, bằng điện, chiều dài 100cm</t>
  </si>
  <si>
    <t>elektrinis padegiklis, 100 cm ilgio</t>
  </si>
  <si>
    <t>električni upaljač, dužina 200cm</t>
  </si>
  <si>
    <t>accenditore  elettrico , lunghezza 200cm</t>
  </si>
  <si>
    <t>električni upaljač, dužine 200cm</t>
  </si>
  <si>
    <t>thiết bị bắn pháo hoa, bằng điện, chiều dài 200cm</t>
  </si>
  <si>
    <t>elektrinis padegiklis, 200 cm ilgio</t>
  </si>
  <si>
    <t>električni upaljač, dužina 300cm</t>
  </si>
  <si>
    <t>iaccenditore  elettrico , lunghezza 300cm</t>
  </si>
  <si>
    <t>električni upaljač, dužine 300cm</t>
  </si>
  <si>
    <t>thiết bị bắn pháo hoa, bằng điện, chiều dài 300cm</t>
  </si>
  <si>
    <t>elektrinis padegiklis, 300 cm ilgio</t>
  </si>
  <si>
    <t>električni upaljač, dužina 500cm</t>
  </si>
  <si>
    <t>accenditore  elettrico , lunghezza 500cm</t>
  </si>
  <si>
    <t>električni upaljač, dužine 500cm</t>
  </si>
  <si>
    <t>thiết bị bắn pháo hoa, bằng điện, chiều dài 500cm</t>
  </si>
  <si>
    <t>elektrinis padegiklis, 500 cm ilgio</t>
  </si>
  <si>
    <t>crni plastični konektor za spajanje fitilja između dva proizvoda</t>
  </si>
  <si>
    <t>connettore-perno in plastica nera, realizzato come collegamento tra i prodotti</t>
  </si>
  <si>
    <t>crni plastični konektor-pin, napravljen kao veza između proizvoda</t>
  </si>
  <si>
    <t xml:space="preserve">Đầu nối nhựa đen - (male), dùng để nối nối tiếp các sản phẩm </t>
  </si>
  <si>
    <t>juodas plastikinis sujungimas - smeigtukas, pagamintas kaip jungtis tarp produktų</t>
  </si>
  <si>
    <t>connettore-presa in plastica nera, realizzato come collegamento tra i prodotti</t>
  </si>
  <si>
    <t>crna plastična utičnica, napravljena kao veza između proizvoda</t>
  </si>
  <si>
    <t xml:space="preserve">đầu nối nhựa màu đỏ - (female), được sử dụng để kết nối nối tiếp các sản phẩm </t>
  </si>
  <si>
    <t>juodas plastikinis sujungimas - lizdas, pagamintas kaip jungtis tarp produktų</t>
  </si>
  <si>
    <t>dvostruka bakrena žica 0,6mm unutarnji promjer, 1,1mm vanjski promjer, za el. ispucanjvanje
vatrometa</t>
  </si>
  <si>
    <t>Cavo gemello Cu diametro interno 0,6 mm, diametro esterno di 1,1 mm, per fuochi d'artificio elettrici</t>
  </si>
  <si>
    <t>Dvožilni bakarni kabl unutarnjeg prečnika 0,6 mm, spoljnjeg prečnika 1,1 mm, za električno paljenje vatrometa</t>
  </si>
  <si>
    <t>dấu vết đôi bằng đồng dấu vết kính trong 0,6 mm, dấu vết kính ngoài 1,1 mm, để bắn pháo hoa bằng điện</t>
  </si>
  <si>
    <t>CU dvigubas kabelis, vidaus skersmuo 0.6mm, išorės skersmuo 1.1mm, skirtas elektrinių fejerverkų šaudymui</t>
  </si>
  <si>
    <t>D</t>
  </si>
  <si>
    <t>ANJ</t>
  </si>
  <si>
    <t>CRO</t>
  </si>
  <si>
    <t>IT</t>
  </si>
  <si>
    <t>LT</t>
  </si>
  <si>
    <t>SRB</t>
  </si>
  <si>
    <t>VIE</t>
  </si>
  <si>
    <t>Flying items</t>
  </si>
  <si>
    <t>Létající předměty</t>
  </si>
  <si>
    <t>Leteći artikli</t>
  </si>
  <si>
    <t>Pháo bay</t>
  </si>
  <si>
    <t>Rodinná balení</t>
  </si>
  <si>
    <t>Zestawy rodzinne</t>
  </si>
  <si>
    <t>Wunderkerzen</t>
  </si>
  <si>
    <t>Sparklers</t>
  </si>
  <si>
    <t>Prskavky</t>
  </si>
  <si>
    <t>Prskalice</t>
  </si>
  <si>
    <t>Zimne ognie</t>
  </si>
  <si>
    <t>Prskavky speciální</t>
  </si>
  <si>
    <t>Specijalne prskalice</t>
  </si>
  <si>
    <t>Dýmovnice se zápalnou šňůrou</t>
  </si>
  <si>
    <t>Świece dymne z lontem</t>
  </si>
  <si>
    <t>Dýmovnice škrtací</t>
  </si>
  <si>
    <t>Dýmovnice s pákovou roznětkou</t>
  </si>
  <si>
    <t>Rauchfackeln</t>
  </si>
  <si>
    <t>Dýmové pochodně</t>
  </si>
  <si>
    <t>Dimne baklje</t>
  </si>
  <si>
    <t>Pochodnie dymne</t>
  </si>
  <si>
    <t>Fackeln</t>
  </si>
  <si>
    <t>Pochodně</t>
  </si>
  <si>
    <t>Baklje</t>
  </si>
  <si>
    <t>Pochodnie</t>
  </si>
  <si>
    <t>Đuốc</t>
  </si>
  <si>
    <t>Stroboskope</t>
  </si>
  <si>
    <t>Stroboskopy</t>
  </si>
  <si>
    <t>Fontänen</t>
  </si>
  <si>
    <t>Fountains</t>
  </si>
  <si>
    <t>Fontány</t>
  </si>
  <si>
    <t>Fontane</t>
  </si>
  <si>
    <t>Fontanai</t>
  </si>
  <si>
    <t>Fontanny</t>
  </si>
  <si>
    <t>Vulkane</t>
  </si>
  <si>
    <t>Vulkány</t>
  </si>
  <si>
    <t>Vulkani</t>
  </si>
  <si>
    <t>Vulcani</t>
  </si>
  <si>
    <t>Vulkanai</t>
  </si>
  <si>
    <t>Interiérové fontány</t>
  </si>
  <si>
    <t>Vidaus fontanai</t>
  </si>
  <si>
    <t>Konfetti 50 mm</t>
  </si>
  <si>
    <t>Baterie římských svící</t>
  </si>
  <si>
    <t>Vystřelovací trubice F2</t>
  </si>
  <si>
    <t>Vystřelovací trubice F3</t>
  </si>
  <si>
    <t>Sada kulových pum s moždířem</t>
  </si>
  <si>
    <t>Škrtací petardy</t>
  </si>
  <si>
    <t>Petardy se zápalnou šňůrou F2</t>
  </si>
  <si>
    <t>Petardy z lontem F2</t>
  </si>
  <si>
    <t>Petardy se zápalnou šňůrou F3</t>
  </si>
  <si>
    <t>Petardy z lontem F3</t>
  </si>
  <si>
    <t>Petardy se zápalnou šňůrou P1</t>
  </si>
  <si>
    <t>Petardy z lontem P1</t>
  </si>
  <si>
    <t>Petardy z lontem F4 + T2</t>
  </si>
  <si>
    <t>Baterie petard</t>
  </si>
  <si>
    <t>Clothing</t>
  </si>
  <si>
    <t>Oblečení</t>
  </si>
  <si>
    <t>Abbigliamento</t>
  </si>
  <si>
    <t>Odeća</t>
  </si>
  <si>
    <t>Werbeartikel</t>
  </si>
  <si>
    <t>Promotional items</t>
  </si>
  <si>
    <t>Reklamní položky</t>
  </si>
  <si>
    <t>Promotivni artikli</t>
  </si>
  <si>
    <t>Artykuły reklamowe</t>
  </si>
  <si>
    <t>Sonstiges</t>
  </si>
  <si>
    <t>Ostatní</t>
  </si>
  <si>
    <t>Ostalo</t>
  </si>
  <si>
    <t>Kita</t>
  </si>
  <si>
    <t>Indestructible mortars</t>
  </si>
  <si>
    <t>Nezničitelné moždíře</t>
  </si>
  <si>
    <t>Mortai indistruttibili</t>
  </si>
  <si>
    <t>Interiérové fontány, výstřiky, vodopády</t>
  </si>
  <si>
    <t>italiano</t>
  </si>
  <si>
    <t>srbsky</t>
  </si>
  <si>
    <t>vietnamsky</t>
  </si>
  <si>
    <t>Hrvatski</t>
  </si>
  <si>
    <t>litevština</t>
  </si>
  <si>
    <t>You are ordering an item that is not in stock</t>
  </si>
  <si>
    <t>remove it from the order!</t>
  </si>
  <si>
    <t>Sie bestellen eine Artikeln</t>
  </si>
  <si>
    <t>die nicht auf Lager sind, entfernen Sie sie aus der Bestellung!</t>
  </si>
  <si>
    <t>Počet</t>
  </si>
  <si>
    <t>Objednáno</t>
  </si>
  <si>
    <t>dělení</t>
  </si>
  <si>
    <t>kontrolní</t>
  </si>
  <si>
    <t>celkový</t>
  </si>
  <si>
    <t>objem</t>
  </si>
  <si>
    <t xml:space="preserve">Suma </t>
  </si>
  <si>
    <t>Objem</t>
  </si>
  <si>
    <t>odh. počet</t>
  </si>
  <si>
    <t>Počet celých</t>
  </si>
  <si>
    <t>Celkem</t>
  </si>
  <si>
    <t>Vstupy - čas v sekundách</t>
  </si>
  <si>
    <t>Příprava</t>
  </si>
  <si>
    <t>Nakládka</t>
  </si>
  <si>
    <t>kartonů na pal</t>
  </si>
  <si>
    <t>kartonů</t>
  </si>
  <si>
    <t>paletou</t>
  </si>
  <si>
    <t>celá</t>
  </si>
  <si>
    <t>desetinná</t>
  </si>
  <si>
    <t>pal/VK</t>
  </si>
  <si>
    <t>čas [s]</t>
  </si>
  <si>
    <t>času [s]</t>
  </si>
  <si>
    <t>volných VK</t>
  </si>
  <si>
    <t>palet k přípravě</t>
  </si>
  <si>
    <t>palet</t>
  </si>
  <si>
    <t>odh.palet</t>
  </si>
  <si>
    <t>zahájení</t>
  </si>
  <si>
    <t>první VK</t>
  </si>
  <si>
    <t>každý</t>
  </si>
  <si>
    <t>paleta</t>
  </si>
  <si>
    <t>tvorba palety</t>
  </si>
  <si>
    <t>výstupní kontrola</t>
  </si>
  <si>
    <t>nakládka</t>
  </si>
  <si>
    <t>Časový limit</t>
  </si>
  <si>
    <t>Zvolený počet</t>
  </si>
  <si>
    <t>čas obj.[s]</t>
  </si>
  <si>
    <t>práce</t>
  </si>
  <si>
    <t>další VK</t>
  </si>
  <si>
    <t>z kóje</t>
  </si>
  <si>
    <t>vč.kontroly</t>
  </si>
  <si>
    <t>volných VK [s/VK]</t>
  </si>
  <si>
    <t>1. palety</t>
  </si>
  <si>
    <t>další pal.</t>
  </si>
  <si>
    <t>na přípravu</t>
  </si>
  <si>
    <t>na nakládku</t>
  </si>
  <si>
    <t>1 palety</t>
  </si>
  <si>
    <t>skladníků</t>
  </si>
  <si>
    <t>čas pro tv.palet [s]</t>
  </si>
  <si>
    <t>čas výst. Kontr.[s]</t>
  </si>
  <si>
    <t>nakládka palet [s]</t>
  </si>
  <si>
    <t>nakládka VK [s]</t>
  </si>
  <si>
    <t>příprava [s]</t>
  </si>
  <si>
    <t>minut</t>
  </si>
  <si>
    <t>nakládka [s]</t>
  </si>
  <si>
    <t>… toto můžu libovolně přepisovat, ovlivní to výsledky času a tvorby palet</t>
  </si>
  <si>
    <t>Celkově potřebný čas:</t>
  </si>
  <si>
    <t>Potřebné časy</t>
  </si>
  <si>
    <t>příprava</t>
  </si>
  <si>
    <t>expedice</t>
  </si>
  <si>
    <t>Doporučeno pracovníků</t>
  </si>
  <si>
    <t>počet</t>
  </si>
  <si>
    <t>Na volno</t>
  </si>
  <si>
    <t>Časy podle ručně zvolených počtů pracovníků</t>
  </si>
  <si>
    <t>Snížený výkon na hlavu:</t>
  </si>
  <si>
    <t>koeficient</t>
  </si>
  <si>
    <t>čas přípravy</t>
  </si>
  <si>
    <t>čas nakládky</t>
  </si>
  <si>
    <t>pracovníků</t>
  </si>
  <si>
    <t>výpočtu</t>
  </si>
  <si>
    <t>na palety</t>
  </si>
  <si>
    <t>na paletách</t>
  </si>
  <si>
    <t>Počet prac.</t>
  </si>
  <si>
    <t>Způsob balení/expedice</t>
  </si>
  <si>
    <t>Provedl:</t>
  </si>
  <si>
    <t>… zde zapíšu, kdo objednávku chystal / nakládal</t>
  </si>
  <si>
    <t>skutečný čas</t>
  </si>
  <si>
    <t>v min.</t>
  </si>
  <si>
    <t>… zde zapisuji ID pracovníků, kteří měli objednávku na starosti</t>
  </si>
  <si>
    <t>ADR sertifikatas</t>
  </si>
  <si>
    <t>ADR sertifikat</t>
  </si>
  <si>
    <t>CBM
objem m3</t>
  </si>
  <si>
    <t>CBM
volume m3</t>
  </si>
  <si>
    <t>CBM
Kartonvolumen m3</t>
  </si>
  <si>
    <t>insgesamt [m3]</t>
  </si>
  <si>
    <t>Klasa opasnosti</t>
  </si>
  <si>
    <t>Zákazník si přeje zboží:</t>
  </si>
  <si>
    <t>bez PDV-a</t>
  </si>
  <si>
    <t>(bez PDV-a)</t>
  </si>
  <si>
    <t>(iva esclusa)</t>
  </si>
  <si>
    <t>s uključenim PDV-om</t>
  </si>
  <si>
    <t>(sa PDV-om)</t>
  </si>
  <si>
    <t>(IVA inclusa)</t>
  </si>
  <si>
    <t>ispunjava se automatski</t>
  </si>
  <si>
    <t>(popunjava se automatski)</t>
  </si>
  <si>
    <t>(da compilare automaticamente)</t>
  </si>
  <si>
    <t>certyfikat ADR</t>
  </si>
  <si>
    <t>ADR certifikat</t>
  </si>
  <si>
    <t>Certificato ADR</t>
  </si>
  <si>
    <t>Pakowanie</t>
  </si>
  <si>
    <t>Pakiranje u kartonu</t>
  </si>
  <si>
    <t>Pakovanje u kartonu</t>
  </si>
  <si>
    <t>Imballaggio in cartone</t>
  </si>
  <si>
    <t>certyfikat BAM</t>
  </si>
  <si>
    <t>BAM certifikat</t>
  </si>
  <si>
    <t>BAM sertifikat</t>
  </si>
  <si>
    <t>Certificato BAM</t>
  </si>
  <si>
    <t>objętość
w m3</t>
  </si>
  <si>
    <t>CBM
obujam u m³</t>
  </si>
  <si>
    <t>CBM
zapremina m3</t>
  </si>
  <si>
    <t>Ukupno</t>
  </si>
  <si>
    <t>ukupno</t>
  </si>
  <si>
    <t>Totale</t>
  </si>
  <si>
    <t>Ukupno (kg)</t>
  </si>
  <si>
    <t>ukupno [kg]</t>
  </si>
  <si>
    <t>totale [kg]</t>
  </si>
  <si>
    <t>total [m3]total [m3]</t>
  </si>
  <si>
    <t>Ukupno (m³)</t>
  </si>
  <si>
    <t>ukupno [m3]</t>
  </si>
  <si>
    <t>totale [m3]</t>
  </si>
  <si>
    <t>Ukupna NEM (kg)</t>
  </si>
  <si>
    <t>ukupno
Pirotehničke smeše [kg]</t>
  </si>
  <si>
    <t>Totale NEM (KG)</t>
  </si>
  <si>
    <t>Cijena u EUR</t>
  </si>
  <si>
    <t>Cena u EUR</t>
  </si>
  <si>
    <t>Prezzo in EURO</t>
  </si>
  <si>
    <t>Cijena u EUR s uključenim rabatom</t>
  </si>
  <si>
    <t>Cena u EUR posle popusta</t>
  </si>
  <si>
    <t>Prezzo in EUR dopo sconto</t>
  </si>
  <si>
    <t>Cena w CZK</t>
  </si>
  <si>
    <t>Cijena u CZK</t>
  </si>
  <si>
    <t>Cena u CZK</t>
  </si>
  <si>
    <t>Prezzo in CZK</t>
  </si>
  <si>
    <t>po rabacie</t>
  </si>
  <si>
    <t>s uključenim rabatom</t>
  </si>
  <si>
    <t>posle popusta</t>
  </si>
  <si>
    <t>dopo lo sconto</t>
  </si>
  <si>
    <t>przed rabatem</t>
  </si>
  <si>
    <t>bez rabata</t>
  </si>
  <si>
    <t>pre popusta</t>
  </si>
  <si>
    <t>prima dello sconto</t>
  </si>
  <si>
    <t>Data aktualizacji cennika</t>
  </si>
  <si>
    <t>Datum ažuriranja cjenika:</t>
  </si>
  <si>
    <t>Datum ažuriranja cenovnika:</t>
  </si>
  <si>
    <t>Data dell'aggiornamento del listino prezzi:</t>
  </si>
  <si>
    <t>Zdjęcie</t>
  </si>
  <si>
    <t>Język</t>
  </si>
  <si>
    <t>Jezik</t>
  </si>
  <si>
    <t>Lingua</t>
  </si>
  <si>
    <t>Numer katalogowy</t>
  </si>
  <si>
    <t>Kataloški broj</t>
  </si>
  <si>
    <t>Numero di catalogo</t>
  </si>
  <si>
    <t>Klasa</t>
  </si>
  <si>
    <t>Pericolo di classe</t>
  </si>
  <si>
    <t>Kurs waluty</t>
  </si>
  <si>
    <t xml:space="preserve">Tečaj </t>
  </si>
  <si>
    <t>tasso</t>
  </si>
  <si>
    <t>w małym opakowaniu</t>
  </si>
  <si>
    <t>malo pakiranje</t>
  </si>
  <si>
    <t>na malom pakovanju</t>
  </si>
  <si>
    <t>di piccolo imballaggio</t>
  </si>
  <si>
    <t>możliwa sprzedaż na opakowania</t>
  </si>
  <si>
    <t>Prodaja je moguća po pakiranju</t>
  </si>
  <si>
    <t>Prodaja moguća na pakovanje</t>
  </si>
  <si>
    <t>La vendita è possibile per imballaggio</t>
  </si>
  <si>
    <t>Nazwa produktu</t>
  </si>
  <si>
    <t>Naziv proizvoda</t>
  </si>
  <si>
    <t>Nome del prodotto</t>
  </si>
  <si>
    <t>Zamówione kartony</t>
  </si>
  <si>
    <t>Naručeno kartona</t>
  </si>
  <si>
    <t>Cartoni ordinati</t>
  </si>
  <si>
    <t>objętość w m3</t>
  </si>
  <si>
    <t>obujam u m³</t>
  </si>
  <si>
    <t>zapremina m3</t>
  </si>
  <si>
    <t>volume m3</t>
  </si>
  <si>
    <t>Ilość kartonów na paletę</t>
  </si>
  <si>
    <t>Broj kartona na paleti</t>
  </si>
  <si>
    <t>Numero di cartoni su una pallett (base)</t>
  </si>
  <si>
    <t>Dostępność</t>
  </si>
  <si>
    <t>Stanje zaliha</t>
  </si>
  <si>
    <t>Stanje lagera</t>
  </si>
  <si>
    <t>Situazione delle scorte</t>
  </si>
  <si>
    <t>w opakowaniu zbiorczym</t>
  </si>
  <si>
    <t>veliko pakiranje</t>
  </si>
  <si>
    <t>na velikom pakovanju</t>
  </si>
  <si>
    <t>di imballaggio grande</t>
  </si>
  <si>
    <t>Film</t>
  </si>
  <si>
    <t>Dei video</t>
  </si>
  <si>
    <t>DOSTĘPNE</t>
  </si>
  <si>
    <t>NA ZALIHI</t>
  </si>
  <si>
    <t>NA LAGERU</t>
  </si>
  <si>
    <t>A MAGAZZINO</t>
  </si>
  <si>
    <t>OSTATNIE SZTUKI</t>
  </si>
  <si>
    <t>POSLJEDNJI KOMADI</t>
  </si>
  <si>
    <t>POSLEDNJI KOMADI</t>
  </si>
  <si>
    <t>ULTIMI PEZZI</t>
  </si>
  <si>
    <t>WYPRZEDANE</t>
  </si>
  <si>
    <t>RASRODANO</t>
  </si>
  <si>
    <t>RASPRODATO</t>
  </si>
  <si>
    <t>esaurito</t>
  </si>
  <si>
    <t>NIEDOSTĘPNE!</t>
  </si>
  <si>
    <t>NEDOSTUPNO!</t>
  </si>
  <si>
    <t>DOSTUPNO!</t>
  </si>
  <si>
    <t>Disponibile!</t>
  </si>
  <si>
    <t>KLIKNIJ TUTAJ, ABY WYBRAĆ OPCJĘ!</t>
  </si>
  <si>
    <t>KLIKNITE OVDJE ZA VIŠE MOGUĆNOSTI</t>
  </si>
  <si>
    <t>KLIKNITE OVDE DA ODABERETE OPCIJU!</t>
  </si>
  <si>
    <t>CLICCA QUI PER SELEZIONARE UN'OPZIONE!</t>
  </si>
  <si>
    <t>NA PALETACH</t>
  </si>
  <si>
    <t>NA PALETI</t>
  </si>
  <si>
    <t>NA PALETAMA</t>
  </si>
  <si>
    <t>SU PALLET</t>
  </si>
  <si>
    <t>OSATNI</t>
  </si>
  <si>
    <t>POSLJEDNJE</t>
  </si>
  <si>
    <t xml:space="preserve">POSLEDNJI  </t>
  </si>
  <si>
    <t>Ultima</t>
  </si>
  <si>
    <t>KARTON</t>
  </si>
  <si>
    <t>Ctn (cartone)</t>
  </si>
  <si>
    <t>PPONIŻEJ JEDNEGO KARTONU</t>
  </si>
  <si>
    <t>MANJE OD 1 KARTONA</t>
  </si>
  <si>
    <t>MANJE OD 1 CTN</t>
  </si>
  <si>
    <t>MENO DI 1 CTN! (cartone )</t>
  </si>
  <si>
    <t>Kao obveznik PDV-a obračunavamo 21% PDV-a na gornje cijene</t>
  </si>
  <si>
    <t>Kao obveznik PDV-a, naplaćujemo 20% PDV-a na gore navedene cene.</t>
  </si>
  <si>
    <t>Come pagatore dell'IVA, addebitiamo l'IVA del 21% sui prezzi di cui sopra.</t>
  </si>
  <si>
    <t>Do zakupu KAT F4 i T2 wymagana jest koncesja lub pozwolenie wojewody !</t>
  </si>
  <si>
    <t>Za kupnju sredstava kategorije F4 i T2 potrebno je odobrenje!</t>
  </si>
  <si>
    <t>Za kupovinu KAT F4 i T2 potrebna je licenca kvalifikovane osobe!</t>
  </si>
  <si>
    <t>Per l'acquisto di CAT F4 e T2 è richiesta una licenza di una persona qualificata!</t>
  </si>
  <si>
    <t>Dla klientów z rabatem powyżej 50% minimalny zakup wynosi 10 000 CZK.</t>
  </si>
  <si>
    <t>Za kupce sa rabatom većim od 50%, minimalna narudžba je 10.000 CZK</t>
  </si>
  <si>
    <t>Za kupce s popustom većim od 50% minimalna kupovina iznosi 100 000 RSD.</t>
  </si>
  <si>
    <t>Per i clienti con uno sconto superiore al 50%, l'acquisto minimo è di CZK 10.000.</t>
  </si>
  <si>
    <t>Wszystkie ceny podane w tym cenniku nie zawierają kosztów przesyłki (EXW Incoterms 2010), tzn. Klient sam musi zapłacić za transport.</t>
  </si>
  <si>
    <t>Sve cijene u cjeniku su izražene neto i u iste nije uključen trošak prijevoza (EXW-franko tvornica); troškove prijevoza snosi kupac</t>
  </si>
  <si>
    <t>Sve cene u ovom cenovniku su bez isporuke (EXW), tj. Kupac mora sam platiti prevoz.</t>
  </si>
  <si>
    <t>Tutti i prezzi in questo listino prezzi sono senza spedizione (EXW Incoterms 2010), cioè il cliente deve pagare per il trasporto stesso.</t>
  </si>
  <si>
    <t>Można zamawiać tylko całe kartony eksportowe.</t>
  </si>
  <si>
    <t>Naručiti se mogu isključivo puni izvozni kartoni</t>
  </si>
  <si>
    <t>Mogu se naručiti samo cele izvozne kutije.</t>
  </si>
  <si>
    <t>È possibile ordinare solo cartoni di esportazione interi.</t>
  </si>
  <si>
    <t>Elementy zaznaczone w kolumnie A - TAK - istnieje możliwość zamówienia dodatkowych 20% nawet po zapakowaniu.</t>
  </si>
  <si>
    <t>Proizvode u stupcu A označene sa DA -moguće je naručiti dodatnu količinu u iznosu od 20% čak i nakon pakiranja</t>
  </si>
  <si>
    <t>Elementi označeni u koloni A sa DA - moguće je naručiti dodatnih 20% čak i nakon pakovanja.</t>
  </si>
  <si>
    <t>Elementi contrassegnati nella colonna A come SI - è possibile ordinare per ulteriori 20% anche dopo l'imballaggio.</t>
  </si>
  <si>
    <t>Nie można zamówić produktów, których aktualnie nie ma w magazynie. Pole zamówienia jest podświetlone na czarno.</t>
  </si>
  <si>
    <t>Proizvodi koji trenutno nisu na zalihi ne mogu se naručiti. Polje za narudžbu je označeno crno.</t>
  </si>
  <si>
    <t>Proizvodi koji trenutno nisu na zalihi ne mogu se naručiti. Polje za narudžbu označeno je crnom bojom.</t>
  </si>
  <si>
    <t>Gli articoli attualmente non disponibili non possono essere ordinati. Il campo ordine è evidenziato in nero.</t>
  </si>
  <si>
    <t>Wybierz sposób transportu</t>
  </si>
  <si>
    <t>Odaberite način prijevoza</t>
  </si>
  <si>
    <t>Izaberite način transporta</t>
  </si>
  <si>
    <t>Scegli il metodo di trasporto</t>
  </si>
  <si>
    <t>Obliczanie punktów zgodnie z ADR:</t>
  </si>
  <si>
    <t>Izračun količina prema ADR-u</t>
  </si>
  <si>
    <t>Proračun bodova prema ADR-u:</t>
  </si>
  <si>
    <t>Calcolo dei punti secondo l'ADR:</t>
  </si>
  <si>
    <t>Jeśli wynik jest mniejszy niż 1000, oznacza to, że jest to transport poniżej limitu bez samochodu ADR.</t>
  </si>
  <si>
    <t>Ako je rezultat ispod 1000, znači da se radi o prijevozu količina za koje nije potrebno ADR vozilo</t>
  </si>
  <si>
    <t>Ako je rezultat manji od 1000, to znači da je reč o prevozu ispod limita bez ADR vozila.</t>
  </si>
  <si>
    <t>Se il risultato è inferiore a 1000, significa che è un trasporto sotto-limite senza auto ADR.</t>
  </si>
  <si>
    <t>Zamówiłeś</t>
  </si>
  <si>
    <t>Naručili ste</t>
  </si>
  <si>
    <t>Avete ordinato</t>
  </si>
  <si>
    <t>kartony, które zapakujemy na paletach.</t>
  </si>
  <si>
    <t>kartona koji će biti zapakirani na palete</t>
  </si>
  <si>
    <t>kartona, koje ćemo spakovati na palete.</t>
  </si>
  <si>
    <t>cartoni, che imballeremo su pallet.</t>
  </si>
  <si>
    <t>kartony na załadunek luzem.</t>
  </si>
  <si>
    <t>kartona robe sa slobodnim utovarom.</t>
  </si>
  <si>
    <t>kartona robe sa ručnim utovarom.</t>
  </si>
  <si>
    <t>cartoni di merci a carico gratuito.</t>
  </si>
  <si>
    <t>Zamawiasz przedmiot, którego nie ma w magazynie</t>
  </si>
  <si>
    <t>Naručujete proizvod koji nije na zalihama</t>
  </si>
  <si>
    <t>Naručujete artikal koji nije na zalihi</t>
  </si>
  <si>
    <t>Si sta ordinando un articolo non disponibile</t>
  </si>
  <si>
    <t>usuń go z zamówienia!</t>
  </si>
  <si>
    <t>uklonite ga iz narudžbe!</t>
  </si>
  <si>
    <t>rimuoverlo dall'ordine!</t>
  </si>
  <si>
    <t>be PVM</t>
  </si>
  <si>
    <t>su PVM</t>
  </si>
  <si>
    <t>užpildoma automatiškai</t>
  </si>
  <si>
    <t>Pakelių dėžėje</t>
  </si>
  <si>
    <t>BAM sertifikatas</t>
  </si>
  <si>
    <t>Bendrai</t>
  </si>
  <si>
    <t>Visas svoris (kg)</t>
  </si>
  <si>
    <t>Visas tūris (m3)</t>
  </si>
  <si>
    <t>Visas NEM (kg)</t>
  </si>
  <si>
    <t>Kaina EUR</t>
  </si>
  <si>
    <t>Kaina EUR po nuolaidos</t>
  </si>
  <si>
    <t>Kaina CZK kronomis</t>
  </si>
  <si>
    <t>po nuolaidos</t>
  </si>
  <si>
    <t>prieš nuolaida</t>
  </si>
  <si>
    <t>Kainoraščio atnaujinimo data</t>
  </si>
  <si>
    <t>Nuotrauka</t>
  </si>
  <si>
    <t>Kalba</t>
  </si>
  <si>
    <t>Katalogo numeris</t>
  </si>
  <si>
    <t>Pavojingumo klasė</t>
  </si>
  <si>
    <t>paskaiciavimas</t>
  </si>
  <si>
    <t>mažų pakuočių</t>
  </si>
  <si>
    <t>Galimas pardavimas pakuotėmis</t>
  </si>
  <si>
    <t>Prekės pavadinimas</t>
  </si>
  <si>
    <t>Užsakytos dėžės</t>
  </si>
  <si>
    <t>Dėžių kiekis paletėje</t>
  </si>
  <si>
    <t>Padėtis sandėlyje</t>
  </si>
  <si>
    <t>didelių pakuočių</t>
  </si>
  <si>
    <t>Vaizdo įrašas</t>
  </si>
  <si>
    <t>YRA  SANDELYJE</t>
  </si>
  <si>
    <t>PASKUTINĖS pakuotės / vienetai</t>
  </si>
  <si>
    <t>IŠPARDUOTA</t>
  </si>
  <si>
    <t>NEPASIEKIAMA</t>
  </si>
  <si>
    <t>NORĖDAMI PASIRINKTI  SPAUSKITE ČIA</t>
  </si>
  <si>
    <t>ANT  PALEČIŲ</t>
  </si>
  <si>
    <t xml:space="preserve">PASKUTINĖS  </t>
  </si>
  <si>
    <t>CTN / DĖŽĖ</t>
  </si>
  <si>
    <t>MAŽIAU NEI 1 CTN / DĖŽĖ</t>
  </si>
  <si>
    <t>Kaip PVM mokėtojas, taikome 21% PVM nurodytoms kainoms</t>
  </si>
  <si>
    <t xml:space="preserve">Norint įsigyti KAT F4 ir T2, reikalinga kvalifikuoto asmens (pirotechniko) licencija! </t>
  </si>
  <si>
    <t>Klientams, kurių nuolaida viršija 50%, minimalus pirkimas yra nuo 10 000 CZK kronu.</t>
  </si>
  <si>
    <t>Visos kainos šiame kainoraštyje yra be siuntimo (EXW Incoterms 2010), klientas turi pats sumokėti už transportą.</t>
  </si>
  <si>
    <t>Galima užsisakyti tik pilną eksporto dėžę</t>
  </si>
  <si>
    <t>Elementų stulpelyje A pažymėtų žodžiu TAIP, 20% dar galima užsisakyti po supakavimo</t>
  </si>
  <si>
    <t>Prekių, kurių šiuo metu nėra sandėlyje, užsisakyti negalima. Užsakymo laukas paryškintas juodai.</t>
  </si>
  <si>
    <t>Pasirinkite tranportavimo būdą</t>
  </si>
  <si>
    <t xml:space="preserve">Taškų apskaičiavimas pagal ADR reikalavimus </t>
  </si>
  <si>
    <t xml:space="preserve">Jei rezultatas yra mažesnis nei 1000, tai reiškia, kad galima gabenti be ADR žymėto automobilio. </t>
  </si>
  <si>
    <t>Jūs Atlikote Užsakymą</t>
  </si>
  <si>
    <t>Dėžės, kurias supakuosime ant palečių.</t>
  </si>
  <si>
    <t>Dėžės pakuojamos Laisvu Būdu.</t>
  </si>
  <si>
    <t>Jūs norite užsakyti prekę kurios, šiuo metu, nėra sandėlyje.</t>
  </si>
  <si>
    <t xml:space="preserve">Pašalinkite prekę iš užsakymo ! </t>
  </si>
  <si>
    <t>CBM
tūris m3</t>
  </si>
  <si>
    <t>tūris m3</t>
  </si>
  <si>
    <t>Eestlane</t>
  </si>
  <si>
    <t>ilma käibemaksuta</t>
  </si>
  <si>
    <t>käibemaksuga</t>
  </si>
  <si>
    <t>täidetakse automaatselt</t>
  </si>
  <si>
    <t>ADR sertifikaat</t>
  </si>
  <si>
    <t>tükki karbis</t>
  </si>
  <si>
    <t>BAM sertifikaat</t>
  </si>
  <si>
    <t xml:space="preserve">CBM
maht m3 </t>
  </si>
  <si>
    <t>kokku</t>
  </si>
  <si>
    <t>kokku (kg)</t>
  </si>
  <si>
    <t>kokku (m3)</t>
  </si>
  <si>
    <t>kokku NEM (kg)</t>
  </si>
  <si>
    <t>hind Eurodes</t>
  </si>
  <si>
    <t>hind Eurodes peale allahindlust</t>
  </si>
  <si>
    <t>hind Tsehhi kroonides</t>
  </si>
  <si>
    <t>peale allahindlust</t>
  </si>
  <si>
    <t>enne allahindlust</t>
  </si>
  <si>
    <t>Hinnakirja uuendamise kuupäev:</t>
  </si>
  <si>
    <t>pilt</t>
  </si>
  <si>
    <t>keel</t>
  </si>
  <si>
    <t>kataloogi number</t>
  </si>
  <si>
    <t>ohuklass</t>
  </si>
  <si>
    <t>juurdehindlus</t>
  </si>
  <si>
    <t>väike pakend</t>
  </si>
  <si>
    <t>võimalik osta vaid karbiga</t>
  </si>
  <si>
    <t>toote nimi</t>
  </si>
  <si>
    <t>tellitavad kastid</t>
  </si>
  <si>
    <t>kastide arv alusel</t>
  </si>
  <si>
    <t>efekti kirjeldus</t>
  </si>
  <si>
    <t>laovaru</t>
  </si>
  <si>
    <t>suur pakend</t>
  </si>
  <si>
    <t>video</t>
  </si>
  <si>
    <t>laos</t>
  </si>
  <si>
    <t>viimane toode</t>
  </si>
  <si>
    <t>läbimüüdud</t>
  </si>
  <si>
    <t>ei ole saadaval</t>
  </si>
  <si>
    <t>vajuta siia valiku tegemiseks</t>
  </si>
  <si>
    <t>alusel</t>
  </si>
  <si>
    <t>vähem kui 1 kast</t>
  </si>
  <si>
    <t>Käibemaksukohustuslasena võtame ülaltoodud hindadelt käibemaksu 21%</t>
  </si>
  <si>
    <t>Kat F4 ja T2 toodete ostmiseks</t>
  </si>
  <si>
    <t xml:space="preserve">üle 50% soodustuse saamiseks peab min tellimus olema 10,000 Tsehhi krooni </t>
  </si>
  <si>
    <t>Kõik hinnad hinnakirjas on ilma transpordita, st et tellija peab ise transpordi eest tasuma</t>
  </si>
  <si>
    <t>tellida saab vaid kastiga</t>
  </si>
  <si>
    <t>Kaupu, mida praegu laos pole, ei saa tellida. Tellimuse väli on mustaga esile tõstetud</t>
  </si>
  <si>
    <t>vali transpordi liik</t>
  </si>
  <si>
    <t>Arvutamine vastavalt ADR-ile:</t>
  </si>
  <si>
    <t>kui kogus on alla 1000, siis ADR transporti pole vaja</t>
  </si>
  <si>
    <t>oled tellinud</t>
  </si>
  <si>
    <t>kastid, mis me pakime alusele</t>
  </si>
  <si>
    <t>kastid tasuta laadimisega</t>
  </si>
  <si>
    <t>tellitud toodet pole laos</t>
  </si>
  <si>
    <t>eemada tellimusest</t>
  </si>
  <si>
    <t>Polskie</t>
  </si>
  <si>
    <t>Không có thuế VAT)</t>
  </si>
  <si>
    <t>(bao gồm VAT)</t>
  </si>
  <si>
    <t>(được điền tự động)</t>
  </si>
  <si>
    <t>Chứng chỉ ADR</t>
  </si>
  <si>
    <t>Bao bì carton</t>
  </si>
  <si>
    <t>Chứng chỉ BAM</t>
  </si>
  <si>
    <t>toàn bộ</t>
  </si>
  <si>
    <t>tổng [kg]</t>
  </si>
  <si>
    <t>tổng [m3]</t>
  </si>
  <si>
    <t>Tổng NEM (Khối lượng chất nổ) [kg]</t>
  </si>
  <si>
    <t>Giá EUR</t>
  </si>
  <si>
    <t>Giá EUR sau khi giảm giá</t>
  </si>
  <si>
    <t>Giá tính bằng CZK</t>
  </si>
  <si>
    <t>Giảm giá</t>
  </si>
  <si>
    <t>trước khi giảm giá</t>
  </si>
  <si>
    <t>Ngày cập nhật bảng giá:</t>
  </si>
  <si>
    <t>Tấm ảnh</t>
  </si>
  <si>
    <t>Biến thể ngôn ngữ</t>
  </si>
  <si>
    <t>Số danh mục</t>
  </si>
  <si>
    <t>Các loại nguy hiểm</t>
  </si>
  <si>
    <t>Tỷ giá</t>
  </si>
  <si>
    <t>gói nhỏ</t>
  </si>
  <si>
    <t>Có thể bán theo gói</t>
  </si>
  <si>
    <t>Tên của một sản phẩm</t>
  </si>
  <si>
    <t>Số lượng thùng "carton" đã đặt hàng</t>
  </si>
  <si>
    <t>khối lượng m3</t>
  </si>
  <si>
    <t>Số lượng thùng trên một "pallet"</t>
  </si>
  <si>
    <t>Tình trạng hàng hóa trong kho</t>
  </si>
  <si>
    <t>gói lớn</t>
  </si>
  <si>
    <t>TRONG KHO</t>
  </si>
  <si>
    <t>HÀNG, SỐ LƯỢNG CÓ HẠN</t>
  </si>
  <si>
    <t>BÁN HẾT</t>
  </si>
  <si>
    <t>KHÔNG THỂ ĐẶT HÀNG!</t>
  </si>
  <si>
    <t>BẤM VÀO ĐÂY ĐỂ CHỌN SỐ LƯỢNG!</t>
  </si>
  <si>
    <t>HÀNG HÓA ĐƯỢC SẮP ĐẶT TRÊN "PALLET"</t>
  </si>
  <si>
    <t>CUỐI CÙNG</t>
  </si>
  <si>
    <t>THUNG "CARTON"</t>
  </si>
  <si>
    <t>ÍT HƠN 1 THUNG "CARTON"!</t>
  </si>
  <si>
    <t>Là người nộp thuế VAT, chúng tôi tính thuế VAT 21% trên giá đã nêu.</t>
  </si>
  <si>
    <t>Đối với việc mua CAT. F4 và T2 tương ứng là thẻ cần thiết của một người có trình độ chuyên môn "certificate person"!</t>
  </si>
  <si>
    <t>Đối với những khách hàng được giảm giá trên 50%, áp dụng một lần mua tối thiểu 10.000 K</t>
  </si>
  <si>
    <t>Tất cả các mức giá được liệt kê trong bảng giá này đều không bao gồm công vận chuyển (EXW Incoterms 2010), tức là khách hàng phải tự thanh toán chi phí vận chuyển.</t>
  </si>
  <si>
    <t>Chỉ có thể đặt hàng và vận chuyển thùng nguyên "carton".</t>
  </si>
  <si>
    <t>Các mặt hàng hiện không có trong kho không thể đặt hàng. Trường đơn hàng được đánh dấu màu đen.</t>
  </si>
  <si>
    <t>Chọn phương thức vận chuyển</t>
  </si>
  <si>
    <t>Cách tính điểm theo ADR:</t>
  </si>
  <si>
    <t>Nếu kết quả lớn hơn 1000 thì đó là phương tiện giao thông có nhu cầu sử dụng ADR của phương tiện.</t>
  </si>
  <si>
    <t>Bạn đã đặt hàng</t>
  </si>
  <si>
    <t>Số lượng thùng "carton", mà chúng tôi đóng gói trên "pallet".</t>
  </si>
  <si>
    <t>Số lượng thùng "carton" sắp đặt tự đọ.</t>
  </si>
  <si>
    <t>Bạn đang đặt hàng các mặt hàng không có trong kho,</t>
  </si>
  <si>
    <t>loại bỏ chúng khỏi đơn đặt hàng!</t>
  </si>
  <si>
    <t>CBM khối
lượng m3</t>
  </si>
  <si>
    <t>Cbm
volume m3</t>
  </si>
  <si>
    <t>Návod k použití:</t>
  </si>
  <si>
    <t>Thủ tục gửi đơn đặt hàng:</t>
  </si>
  <si>
    <t>Tính mới là tính khả dụng trực tuyến của kho hàng, tức là. tất cả những gì bạn cần làm là lên mạng và xác nhận các tùy chọn "cho phép chỉnh sửa" và "cho phép nội dung". Sau mỗi lần mở bảng giá điện tử, bạn có thể xem hàng hóa trong kho hoặc khi nào nó sẽ có trong kho !!!</t>
  </si>
  <si>
    <t>Není možné si objednávat černě označené položky, které nejsou v den objednání skladem!!! Tím bude zaručeno, že si zákazník objedná jen položky, které jsou skladem a výrazně se tak urychlí dokončení objednávky.</t>
  </si>
  <si>
    <t>Không thể đặt hàng các mặt hàng được đánh dấu màu đen, không có trong kho vào ngày đặt hàng !!! Điều này sẽ đảm bảo rằng khách hàng sẽ chỉ đặt hàng các mặt hàng còn trong kho, do đó đẩy nhanh đáng kể việc hoàn thành đơn hàng.</t>
  </si>
  <si>
    <t>2. náš pracovník zjistí, které položky případně nejsou skladem a bude o tomto emailem informovat zákazníka</t>
  </si>
  <si>
    <t>2. nhân viên của chúng tôi sẽ tìm ra những mặt hàng có thể không còn trong kho và sẽ thông báo cho khách hàng về email này</t>
  </si>
  <si>
    <t xml:space="preserve">3. zákazník se rozhodne, zda chce na zboží čekat (pokud není skladem) nebo, zda vyprodané zboží chce nějak nahradit a emailem pošle svou finální objednávku, ve které bude jen zboží, které je momentálně dostupné. </t>
  </si>
  <si>
    <t xml:space="preserve">3. Khách hàng quyết định xem anh ta muốn đợi hàng hóa (nếu chúng không còn hàng) hay anh ta muốn thay thế hàng hóa đã bán hết và gửi đơn đặt hàng cuối cùng của mình qua email, đơn đặt hàng này sẽ chỉ bao gồm hàng hóa hiện có. . </t>
  </si>
  <si>
    <t>4. nhân viên của chúng tôi tải đơn đặt hàng cuối cùng này (xem điểm số 3) lên hệ thống của chúng tôi và thông báo cho khách hàng về ngày hàng hóa sẽ được vận chuyển hoặc sẵn sàng để nhận.</t>
  </si>
  <si>
    <t>Khách hàng không tiến hành đặt hàng theo quy định trên mà đến lấy hàng mà không có xác nhận của nhân viên chúng tôi, hàng sẽ không được bốc.</t>
  </si>
  <si>
    <t>Đơn hàng của bạn được bàn giao cho kho để chuẩn bị ngay khi nhận và không thể thêm bất cứ thứ gì vào đơn hàng dưới mọi hình thức. Nếu khách hàng hủy đơn hàng (hoặc một phần đơn hàng), khách hàng sẽ phải trả phí xử lý là 50% giá trị hàng hóa bị hủy.</t>
  </si>
  <si>
    <t>Pokud si chcete nějaké zboží přiobjednat, tak musíte vytvořit novou objednávku v našem elektronickém ceníku a tuto zaslat opět emailem. Do této objednávky napište pouze zboží, které si chcete přiobjednat.</t>
  </si>
  <si>
    <t>Nếu bạn muốn đặt một số hàng hóa, bạn phải tạo một đơn hàng mới trong bảng giá điện tử của chúng tôi và gửi lại qua email. Chỉ ghi hàng hóa bạn muốn đặt trong đơn hàng này.</t>
  </si>
  <si>
    <t>Chúng tôi không thể đảm bảo rằng hàng hóa đã đặt sẽ được gửi cùng với hàng hóa đã đặt hàng ban đầu!</t>
  </si>
  <si>
    <t>Pokud si chcete objednat zboží po kusech, musíte na toto zboží poslat samostatnou objednávku, která bude obsahovat pouze položky, které si chcete objednat po kusech (vždy musí být objednáno nejmenší prodejní balení).</t>
  </si>
  <si>
    <t>Za objednané zboží po kusech bude účtován manipulační poplatek 20% k Vaší ceně tzn. od základní ceny se odečte Vaše sleva x 1,2 = cena zboží, které si objednáte po kusech.</t>
  </si>
  <si>
    <t>Věříme, že tento krok rozšíří dostupnost našeho zboží i pro menší zákazníky, kteří si některé položky nemohou objednávat po celých exportních kartonech.</t>
  </si>
  <si>
    <t>Đặt trước hàng hóa</t>
  </si>
  <si>
    <t xml:space="preserve">Na základě četných žádostí zákazníků, jsme se rozhodli zprovoznit rezervační systém na našem skladu. Pro lepší představu uvedu systém, který hojně využívají naši zahraniční zákazníci. </t>
  </si>
  <si>
    <t>Dựa trên nhiều yêu cầu của khách hàng, chúng tôi quyết định vận hành hệ thống đặt trước trong kho của mình. Để có ý tưởng tốt hơn, tôi sẽ giới thiệu một hệ thống được sử dụng rộng rãi bởi các khách hàng nước ngoài của chúng tôi.</t>
  </si>
  <si>
    <t>Obchodníci, kteří mají své vlastní prodejny, si u nás objednávají zboží např. ihned v září poté, co vyjde ceník s tím, že zboží chtějí doručit až například 15. prosince.</t>
  </si>
  <si>
    <t>Các thương nhân có cửa hàng riêng của họ đặt hàng từ chúng tôi, chẳng hạn, ngay trong tháng 9, sau khi bảng giá được công bố, họ nói rằng họ không muốn giao hàng cho đến ngày 15 tháng 12 chẳng hạn.</t>
  </si>
  <si>
    <t>Điều này đảm bảo rằng họ sẽ có được mọi thứ họ muốn và không phải cất giữ hàng hóa ở bất cứ đâu, hoặc lo lắng về việc liệu mặt hàng mà họ đang tin tưởng, chẳng hạn như trong tờ rơi, sẽ không được bán hết. Vào ngày đã thỏa thuận, sau đó khách hàng nhận được hàng đã đặt…</t>
  </si>
  <si>
    <t>Dưới đây là các quy định mà hàng hóa có thể được đặt trước trong kho của chúng tôi:</t>
  </si>
  <si>
    <t>Quy tắc:</t>
  </si>
  <si>
    <t>○        nelze měnit rezervaci! Pokud zákazník neodebere celé objednané zboží, tak storno poplatek je 50% z hodnoty zboží, které si zákazník objednal, ale neodebral.</t>
  </si>
  <si>
    <t>Pallet</t>
  </si>
  <si>
    <t>Giá vận chuyển</t>
  </si>
  <si>
    <t>Khi gửi hàng bằng xe ADR của chúng tôi (tải trọng 1450Kg), chúng tôi tính phí vận chuyển là 18 CZK / km cho chặng đi và về.</t>
  </si>
  <si>
    <t>Khi gửi hàng bằng xe tải ADR (tải trọng 24000 kg), khách hàng có thể bốc dỡ hàng hóa tại một nơi miễn phí, tối đa 4 giờ. Nếu dỡ hàng lâu hơn sẽ tính phí 800 CZK / giờ chờ, khi chuyển sang kho khác sẽ tính 100 CZK / km.</t>
  </si>
  <si>
    <t>Lời thiếu nại</t>
  </si>
  <si>
    <t>Chúng tôi đang gửi cho bạn quy trình giải quyết khiếu nại về những phát đạn không băn lên tu "compakt" bị hư hỏng. Thật không may, mặc dù kiểm soát chất lượng, những khiếu nại này không thể được ngăn chặn trong một khối lượng lớn hàng hóa.</t>
  </si>
  <si>
    <t>Pokud je vystříleno méně než 30% výrobku tak zákazníkovi výrobek vyměníme za nový kus, nevystřílený kus nám dovezte a bude Vám vyměněn.</t>
  </si>
  <si>
    <t>Nếu sản phẩm bắn ra dưới 30%, chúng tôi sẽ thay thế sản phẩm mới, mang hàng bị lỗi đi thay thế.</t>
  </si>
  <si>
    <t>Pokud je vystřílelo 30-50% výrobku tak zákazníkovi vyměníme tento za nový kus s doplatkem 30-50% z pořizovací ceny podle toho kolik ran zákazníkovi vystřílelo, nevystřílený kus nám dovezte a bude Vám vyměněn s doplatkem 30-50% z Vaši ceny.</t>
  </si>
  <si>
    <t>Nếu sản phẩm bắn ra 30-50%, chúng tôi sẽ đổi cho khách hàng sản phẩm mới với phụ phí 30-50% giá mua, tùy theo số lượng phát đạn bắn ra, hải mang sản phẩm hủ mảnh hư cho chúng tôi và nó sẽ được đổi với một khoản phụ phí 30-50% giá của bạn.</t>
  </si>
  <si>
    <t>Pokud vystřílelo 50-80% výrobku tak zákazníkovi vyměníme tento za nový kus s doplatkem 50-80% z pořizovací ceny podle toho kolik ran zákazníkovi vystřílelo, nevystřílený kus nám dovezte a bude Vám vyměněn s doplatkem 50-80% z ceny</t>
  </si>
  <si>
    <t>Nếu sản phẩm bắn ra 50-80%, chúng tôi sẽ đổi cho khách hàng sản phẩm mới với phụ phí 50-80% giá mua, tùy theo số lượng phát đạn bắn ra, hải mang sản phẩm hủ mảnh hư cho chúng tôi và nó sẽ được đổi với một khoản phụ phí 50-80% giá của bạn.</t>
  </si>
  <si>
    <t>Chúng tôi muốn mang đến giải pháp cho những  thiếu nại, chẳng hạn như khi khách hàng mang đến "compact" 100 phát đạn, trong đó 90 phát đạn đã được bắn và muốn có một "compact" mới.</t>
  </si>
  <si>
    <t>Chúng tôi chấp nhận các khiếu nại trong thời gian 12 tháng kể từ khi mua sản phẩm. </t>
  </si>
  <si>
    <t>Không chấp nhận khiếu nại ở vòi phun lửa (F100, F250, F500, F1000, F1500) - lý do được mô tả trong email vào ngày 28 tháng 1 năm 2019.</t>
  </si>
  <si>
    <t>Không thể yêu cầu bồi thường các thùng giấy xuất khẩu bị hư hỏng đối với pháo hoa. Các thùng màu xuất khẩu không ảnh hưởng đến chức năng của sản phẩm và chỉ dùng để bảo vệ sản phẩm trong quá trình vận chuyển.</t>
  </si>
  <si>
    <t>Khách hàng muốn chỉ có những thùng carton hoàn hảo phải mua những sản phẩm được đóng gói trong một thùng carton bảo vệ. Mã sản phẩm kết thúc (T), hoặc khi nhận hàng từ kho của chúng tôi, hãy sắp xếp hàng hóa để nhận hàng từ chúng tôi. Các khiếu nại tiếp theo sẽ không được tính đến.</t>
  </si>
  <si>
    <t xml:space="preserve">Hướng dẫn sử dụng bảng giá điện tử </t>
  </si>
  <si>
    <t>Bảng giá có tính tương tác, tức là. rằng nó tự tính toán lại chiết khấu (cần phải nhập số tiền của nó vào trường thích hợp, hoặc nó tự tính toán theo kích thước của đơn đặt hàng), dữ liệu giá bằng CZK và EUR, cũng tính trọng lượng theo kg, khối lượng hàng hóa trong m3 và khối lượng tịnh của chế phẩm pháo hoa.</t>
  </si>
  <si>
    <t>Nếu mặt hàng bạn muốn không có trong kho, bạn có thể sử dụng bộ lọc để tìm kiếm các mặt hàng tương tự trong cột AC, nơi tất cả các mặt hàng tương tự được đánh dấu bằng cùng một số.</t>
  </si>
  <si>
    <t>Cột này là cơ sở để tính bằng EUR.</t>
  </si>
  <si>
    <t xml:space="preserve">http://www.kb.cz/kurzovni-listek/cs/rl/index.x </t>
  </si>
  <si>
    <t>Ve sloupci J najdete informace o kategorii nebezpečí, do které výrobek patří.</t>
  </si>
  <si>
    <t>Cột J chứa thông tin về loại nguy cơ mà sản phẩm thuộc về.</t>
  </si>
  <si>
    <t>Viết đơn đặt hàng của bạn vào cột Z - chỉ viết một số thể hiện số lượng thùng đã đặt hàng. Ngoại lệ là các mục được đánh dấu "CÓ" trong cột A (các điều kiện ở trên).</t>
  </si>
  <si>
    <t>Trong cột AB, bạn sẽ tìm thấy tình trạng còn hàng hiện tại.</t>
  </si>
  <si>
    <t>Sau khi hoàn tất đơn đặt hàng, bạn sẽ thấy thông tin sau trong các cột sau:</t>
  </si>
  <si>
    <t>tổng giá bằng CZK chưa có VAT</t>
  </si>
  <si>
    <t>tổng giá bằng CZK có VAT</t>
  </si>
  <si>
    <t>tổng giá bằng EUR chưa có VAT</t>
  </si>
  <si>
    <t xml:space="preserve">tổng khối lượng tính bằng m3 </t>
  </si>
  <si>
    <t>tổng trọng lượng tính bằng kg</t>
  </si>
  <si>
    <t>tổng NEC - trọng lượng của các chế phẩm pháo hoa được chia theo các cấp ADR</t>
  </si>
  <si>
    <t>tổng NEC - trọng lượng của các chế phẩm pháo hoa cho tất cả các loại ADR</t>
  </si>
  <si>
    <t>Procedure when sending orders:</t>
  </si>
  <si>
    <t>Procedura przy wysyłaniu zamówień:</t>
  </si>
  <si>
    <t>Nowością jest dostępność hurtowni online tj. wystarczy być online i potwierdzić opcję „zezwalaj na edycję” i „zezwalaj na zawartość”. Po każdym otwarciu Cennika możesz sprawdzić, jakie towary są w magazynie lub kiedy będą dostępne !!!</t>
  </si>
  <si>
    <t>Nie ma możliwości zamówienia pozycji oznaczonych kolorem czarnym, których w dniu zamówienia nie ma na stanie !!! Gwarantuje to, że klient zamówi tylko te pozycje, które są na stanie, co znacznie przyspieszy realizację zamówienia.</t>
  </si>
  <si>
    <t>2. nasz pracownik dowie się, których pozycji może brakować w magazynie i poinformuje o tym klienta e-mailem</t>
  </si>
  <si>
    <t>3. Klient decyduje, czy chce poczekać na towar (jeśli nie ma go w magazynie), czy też chce wymienić wyprzedany towar i przesyła swoje ostateczne zamówienie e-mailem, które będzie zawierało tylko towary, które są aktualnie dostępne.</t>
  </si>
  <si>
    <t>4. nasz pracownik przesyła ostateczne zamówienie (patrz punkt 3) do naszego systemu i informuje klienta o terminie wysyłki lub gotowości do odbioru.</t>
  </si>
  <si>
    <t>Customers who do not proceed with the order in accordance with the above and will come for the goods without confirmation from our employee, the goods will not be loaded.</t>
  </si>
  <si>
    <t>Klienci, którzy nie zrealizują zamówienia zgodnie z powyższym i przyjdą po towar bez potwierdzenia ze strony naszego pracownika, towar nie zostanie załadowany.</t>
  </si>
  <si>
    <t>Twoje zamówienie jest przekazywane do magazynu w celu natychmiastowego przygotowania po otrzymaniu i nie ma już możliwości dodania czegokolwiek do zamówienia w jakiejkolwiek formie. Jeśli klient anuluje zamówienie (lub jego część), zostanie obciążony opłatą manipulacyjną w wysokości 50% wartości anulowanego towaru.</t>
  </si>
  <si>
    <t>If you want to order some goods, you must create a new order in our electronic price list and send it again by email. Only write the goods you want to order in this order.</t>
  </si>
  <si>
    <t>Jeśli chcesz zamówić jakiś towar, musisz utworzyć nowe zamówienie w naszym elektronicznym cenniku i wysłać je ponownie e-mailem. W tym zamówieniu wpisz tylko towary, które chcesz zamówić.</t>
  </si>
  <si>
    <t>We cannot guarantee that the ordered goods will be sent together with the originally ordered goods!</t>
  </si>
  <si>
    <t>Nie możemy zagwarantować, że zamówiony towar zostanie wysłany razem z pierwotnie zamówionym towarem!</t>
  </si>
  <si>
    <t>Reservation of goods</t>
  </si>
  <si>
    <t>Rezerwacja towarów</t>
  </si>
  <si>
    <t xml:space="preserve">Based on numerous customer requests, we have decided to make the booking system available at our warehouse. For a better idea, I will introduce a system that is widely used by our foreign customers. </t>
  </si>
  <si>
    <t>W oparciu o liczne prośby klientów zdecydowaliśmy się udostępnić system rezerwacji w naszym magazynie. Dla lepszego zrozumienia przedstawiamy system, który jest szeroko stosowany przez naszych zagranicznych klientów.</t>
  </si>
  <si>
    <t>Merchants who have their own stores order goods from us, for example, immediately in September after the price list comes out and they want to deliver the goods on December 15th.</t>
  </si>
  <si>
    <t>Sprzedawcy posiadający własne sklepy zamawiają u nas towar np. Od razu we wrześniu po wydaniu cennika i chcą dostarczyć towar 15 grudnia.</t>
  </si>
  <si>
    <t>This guarantees that they will get everything they want and do not have to store the goods anywhere, or worry about whether the item they are counting on, for example in the leaflet, will not be sold out. On the agreed day, then the customer receives the goods he ordered…</t>
  </si>
  <si>
    <t>Gwarantuje to, że dostaną wszystko, czego oczekują i nie będą musieli nigdzie przechowywać towaru, ani martwić się, czy przedmiot, na który liczą np. W ulotce, nie zostanie wyprzedany. W ustalonym terminie klient otrzymuje zamówiony towar…</t>
  </si>
  <si>
    <t>Below are the rules under which goods can be booked in our warehouse:</t>
  </si>
  <si>
    <t>Poniżej przedstawiamy zasady, na jakich można dokonać rezerwacji towaru w naszym magazynie:</t>
  </si>
  <si>
    <t>Rules:</t>
  </si>
  <si>
    <t>Zasady:</t>
  </si>
  <si>
    <t>Pallets</t>
  </si>
  <si>
    <t>Price of the transport</t>
  </si>
  <si>
    <t>Cena transportu</t>
  </si>
  <si>
    <t>Complaint procedure</t>
  </si>
  <si>
    <t>Procedura reklamacyjna</t>
  </si>
  <si>
    <t>This is procedure for solving the complaint of unfired compacts. Unfortunately, despite quality control, these complaints cannot be prevented within a large volume.</t>
  </si>
  <si>
    <t>To jest procedura rozwiązywania reklamacji wypalonych wyrzutni. Niestety, pomimo kontroli jakości, ciężko zapobiec reklamacjom przy dużej ilości produkcyjnych.</t>
  </si>
  <si>
    <t>If less than 30% of the product is fired, so we will replace the product with a new one to the customer, bring the unfired piece to us and it will be replaced.</t>
  </si>
  <si>
    <t xml:space="preserve">Jeśli wypali się mniej niż 30% produktu zostanie wymieniony klientowi na nowy, po dostarczeniu do nas </t>
  </si>
  <si>
    <t>If 30-50% of the product is fired, then it will be replaced to the customer with a new piece with a 30-50% surcharge of the purchase price depending on how many shots the customer fired.</t>
  </si>
  <si>
    <t>Jeśli 30-50% produktu zostanie wystrzelone, to zostanie on zastąpiony klientowi nową sztuką z dopłatą w wysokości 30-50% ceny zakupu w zależności od liczby strzałów oddanych przez klienta.</t>
  </si>
  <si>
    <t>If 50-80% of the product fired, it will be replaced to the customer with a new piece with a 50-80% surcharge of the purchase price depending on how many shots the customer fired.</t>
  </si>
  <si>
    <t>W przypadku odpalenia 50-80% produktu zostanie on zastąpiony klientowi nowym egzemplarzem z dopłatą 50-80% ceny zakupu w zależności od ilości strzałów oddanych przez klienta.</t>
  </si>
  <si>
    <t>We want to bring order to the complaints solution, when it happens to us that the customer, for example, brings 100 shots compact, of which 90 shots fired and wants a new piece.</t>
  </si>
  <si>
    <t>Chcemy uporządkować rozwiązanie reklamacyjne, gdy zdarza się nam, że klient np. Przynosi wytzutnie 100 strzałów, z czego 90 jest wypalonych i chce nowego egzemplarza.</t>
  </si>
  <si>
    <t>Wulkany stożkowe (F100, F250, F500, F1000, F1500) nie mogą być odbierane ani zwracane w ramach zwrotów po sezonie - przyczyny opisane w mailu z 28.1.2019.</t>
  </si>
  <si>
    <t>It is not possible to claim damaged export cartons for folded fireworks. Colored export cardboard does not affect the function of the product and serves only to protect the product during transport.</t>
  </si>
  <si>
    <t>Nie ma możliwości reklamacji uszkodzonych kartonów na wyrzutnie złożone. Kolorowy karton eksportowy nie wpływa na działanie produktu i służy jedynie do ochrony produktu podczas transportu.</t>
  </si>
  <si>
    <t>The customer who only wants to have perfect cartons must buy products that are packed in a protective carton (product code ends (T) or arrange for the goods to be picked up from us when they are taken from our warehouse. Subsequent complaints will not be taken into account.</t>
  </si>
  <si>
    <t>Klient, który chce mieć tylko idealne kartony, musi kupić produkty, które są zapakowane w opakowanie ochronne (kod produktu kończy się (T) lub reklamować towar podczas odbioru/załadunku towaru. Późniejsze reklamacje nie będą brane pod uwagę.</t>
  </si>
  <si>
    <t>Instructions for use of the electronic price list</t>
  </si>
  <si>
    <t>Instrukcja korzystania z cennika elektronicznego</t>
  </si>
  <si>
    <t>Price list is interactive, ie. that it recalculates the discount (it is necessary to enter its amount in the appropriate field), the price information in CZK and EUR, also calculates the weight in kg, the volume of goods in m3 and the net weight of pyrotechnic compositions.</t>
  </si>
  <si>
    <t>Cennik jest interaktywny, tj. że przelicza rabat (konieczne jest wpisanie jego wielkości w odpowiednim polu), informacje o cenie w CZK i EUR, oblicza również wagę w kg, objętość towaru w m3 i wagę netto zamówienia.</t>
  </si>
  <si>
    <t>If the item you want is not in stock, you can use the filter to find similar items in column C, where all similar items are marked with the same number.</t>
  </si>
  <si>
    <t>Jeśli żądanej potrzebnej pozycji nie ma w magazynie, możesz użyć filtra, aby znaleźć podobne pozycje w kolumnie C, gdzie wszystkie podobne pozycje są oznaczone tym samym numerem.</t>
  </si>
  <si>
    <t>This column is the basis for calculations in EUR.</t>
  </si>
  <si>
    <t>Ta kolumna jest podstawą do obliczeń w EUR.</t>
  </si>
  <si>
    <t>W kolumnie J znajdziesz informację o kategorii zagrożenia, do której należy produkt.</t>
  </si>
  <si>
    <t>W kolumnie Z wpisz swoje zamówienie - wpisz tylko liczbę określającą ilość zamawianych kartonów.</t>
  </si>
  <si>
    <t>Po złożeniu zamówienia zobaczysz te informacje w następujących kolumnach:</t>
  </si>
  <si>
    <t>Total price in CZK excl. VAT.</t>
  </si>
  <si>
    <t>Cena całkowita netto w CZK.</t>
  </si>
  <si>
    <t>Total price in CZK incl. VAT.</t>
  </si>
  <si>
    <t>Cena całkowita brutto w CZK.</t>
  </si>
  <si>
    <t>Total price in EUR excl. VAT.</t>
  </si>
  <si>
    <t>Cena całkowita netto w EUR.</t>
  </si>
  <si>
    <t>Total volume in m3.</t>
  </si>
  <si>
    <t>Całkowita objętość w m3.</t>
  </si>
  <si>
    <t>Total weight in kg.</t>
  </si>
  <si>
    <t>Masa całkowita w kg.</t>
  </si>
  <si>
    <t>Total NEC-net weight of pyrotechnic compositions divided by ADR classes.</t>
  </si>
  <si>
    <t>Całkowita masa netto NEC zamówienia z podziałem na klasy ADR.</t>
  </si>
  <si>
    <t>The total NEC-net weight of the pyrotechnic composition for all ADR classes.</t>
  </si>
  <si>
    <t>Całkowita masa netto NEC zamówienia dla wszystkich klas ADR.</t>
  </si>
  <si>
    <t>POSTUPAK PRILIKOM SLANJA NARUDŽBI</t>
  </si>
  <si>
    <t>Novost je internetska dostupnost skladišta tj. sve što morate učiniti je biti na mreži (online) i potvrditi opciju "dozvoli uređivanje" -  "allow (or enable) editing " i "dozvoli sadržaj"- "allow (or enable) content" nakon svakog otvaranja Cjenika kako biste vidjeli koja je roba na zalihi ili kada će biti na zalihi !!!</t>
  </si>
  <si>
    <t>Nije moguće naručiti artikle označene crno kojih nema na zalihi na dan narudžbe !!! To će jamčiti da će kupac naručiti samo proizvode koji su na zalihi, što će znatno ubrzati izvršavanje narudžbe.</t>
  </si>
  <si>
    <t>2. Naši djelatnici će provjeriti narudžbu i u slučaju saznanja da nekih proizvoda možda nema na zalihama, o tome će obavijestiti kupca e-poštom.</t>
  </si>
  <si>
    <t>3. Kupac odlučuje želi li pričekati robu (ako je nema na zalihama) ili želi zamijeniti rasprodanu robu, nakon čega šalje svoju revidiranu konačnu narudžbu e-poštom, a koja sadrži samo proizvode koji su trenutno dostupni.</t>
  </si>
  <si>
    <t>4. Naš djelatnik učitava ovu konačnu narudžbu (vidi točku br. 3) u naš sustav i obavještava kupca o datumu kada će roba biti otpremljena ili spremna za preuzimanje.</t>
  </si>
  <si>
    <t>Kupci koji ne nastave s postupkom narudžbe u skladu s gore navedenim i dođu po robu bez potvrde našeg djelatnika, istu neće moći preuzeti.</t>
  </si>
  <si>
    <t>Vaša se narudžba predaje na pripremu u skladište odmah po primitku i više nije moguće dodavati bilo što u narudžbu u bilo kojem obliku. Ako kupac otkaže narudžbu (ili dio nje), naplatit će mu se naknada za rukovanje u iznosu od 50% od vrijednosti otkazane robe.</t>
  </si>
  <si>
    <t xml:space="preserve">Ako želite naručiti dodatnu robu potrebno je kreirati novu narudžbu u našem elektroničkom cjeniku i poslati je ponovno e-poštom. U ovoj narudžbi navodite samo onu robu koju želite dodatno naručiti. </t>
  </si>
  <si>
    <t>Ne možemo jamčiti da će roba iz dodatne narudžbe biti isporučena zajedno s prvobitno predanom narudžbom.</t>
  </si>
  <si>
    <t>Rezervacija robe</t>
  </si>
  <si>
    <t>Na temelju brojnih zahtjeva kupaca odlučili smo učiniti dostupnim sustav rezervacija na našem skladištu. Za bolju predožbu predstaviti ćemo sustav široko upotrebljavan od strane naših inozemnih kupaca</t>
  </si>
  <si>
    <t>Trgovci koji imaju vlastite prodavaonice naručuju robu kod nas, na primjer, odmah u rujnu nakon izlaska cjenika, a isporuku robe žele 15. prosinca.</t>
  </si>
  <si>
    <t>Ovo je jamstvo trgovcima da će dobiti sve što žele, robu neće morati nigdje skladištiti ili brinuti hoće li proizvodi na koje računaju, na primjer iz letka, biti rasprodani. Kupac dobiva robu koju je naručio na određeni dan prema dogovoru...</t>
  </si>
  <si>
    <t>U nastavku su pravila sukladno kojima roba može biti rezervirana u našem skladištu:</t>
  </si>
  <si>
    <t>Pravila:</t>
  </si>
  <si>
    <t>Palete</t>
  </si>
  <si>
    <t xml:space="preserve">Cijena prijevoza </t>
  </si>
  <si>
    <t>Žalbeni postupak:</t>
  </si>
  <si>
    <t>Ovo je postupak za rješavanje prigovora zbog robe koja je zakazala prilikom ispucavanja. Nažalost, unatoč kontroli kvalitete, ove se žalbe ne mogu spriječiti unutar velikog obujma.</t>
  </si>
  <si>
    <t>Ukoliko odradi manje od 30% od pojedinog proizvoda, potrebno je donijeti proizvod koji nije odradio i isti će kupcu biti zamijenjen novim.</t>
  </si>
  <si>
    <t>Ukoliko je ispucalo od 30-50% proizvoda, tada će se proizvod kupcu zamijeniti novim, uz nadoplatu kupca od 30-50% od nabavne cijene, ovisno o tome koliko je pucnjeva odradilo.</t>
  </si>
  <si>
    <t>Ukoliko je ispucalo od 50-80% proizvoda, tada će se proizvod kupcu zamijeniti novim, uz nadoplatu kupca od 50-80% od nabavne cijene, ovisno o tome koliko je pucnjeva odradilo.</t>
  </si>
  <si>
    <t>Želimo uvesti red u rješavanje prigovora kada nam se dogodi da kupac, na primjer, donese vatrometnu kutiju od 100 pucnjeva, od toga je 90 pucnjeva odradilo, a želi novi proizvod.</t>
  </si>
  <si>
    <t>Konični vulkani (F100, F250, F500, F1000, F1500) ne mogu se reklamirati niti vratiti u sklopu povrata nakon sezone zbog razloga opisanih u dopisu od 28.01.2019.</t>
  </si>
  <si>
    <t>Nije moguće zatražiti reklamaciju zbog oštećenja izvoznog kartona ili vatrometne kutije tijekom transporta. Vanjsko pakiranje ne utječe na funkciju proizvoda i služi samo za zaštitu proizvoda tijekom transporta.</t>
  </si>
  <si>
    <t>Kupac koji želi dobiti kartone isključivo u savršenom stanju mora kupiti proizvode koji su zapakirani u zaštitnu kutiju - šifra proizvoda završava oznakom (T) ili organizirati preuzimanje i provjeru robe samostalno odmah po izdavanju iz našeg skladišta. Naknadne reklamacije neće se uzeti u obzir.</t>
  </si>
  <si>
    <t>Upute za upotrebu elektroničkog cjenika</t>
  </si>
  <si>
    <t>Cjenik je interaktivan što znači da preračunava cijenu sukladno popustu (potrebno je unijeti njegov iznos u odgovarajuće polje),  vrijednost u CZK i EUR, također izračunava težinu u kg, količinu robe u m3 i neto eksplozivnu masu</t>
  </si>
  <si>
    <t>Ako proizvoda koji želite nema na zalihi, pomoću filtera možete pronaći slične stavke u stupcu C, gdje su svi slični predmeti označeni istim brojem.</t>
  </si>
  <si>
    <t xml:space="preserve">Ovaj stupac predstavlja osnovu za kalkulaciju vrijednosti u EUR. </t>
  </si>
  <si>
    <t>U stupcu J nalazi se podatak u koju kategoriju pirotehničkih sredstava pripada proizvod</t>
  </si>
  <si>
    <t>U stupac Z unosite svoju narudžbu - upisujete samo broj kartona koje želite naručiti</t>
  </si>
  <si>
    <t>Nakon što napravite narudžbu, vidjeti ćete sljedeće informacije u ovim stupcima:</t>
  </si>
  <si>
    <t>Ukupna vrijednost u CZK bez PDV-a</t>
  </si>
  <si>
    <t>Ukupna vrijednost u CZK s uključenim PDV-om</t>
  </si>
  <si>
    <t>Ukupna vrijednost u EUR bez PDV-a</t>
  </si>
  <si>
    <t>Ukupni obujam u m3.</t>
  </si>
  <si>
    <t>Ukupna težina u kg.</t>
  </si>
  <si>
    <t>Ukupna NEM neto eksplozivna težina pirotehničkih sredstava podijeljena sukladno ADR klasama</t>
  </si>
  <si>
    <t>Ukupna NEM - neto eksplozivna težina pirotehničkih sredstava za sve ADR klase.</t>
  </si>
  <si>
    <t>tellimuste saatmise kord:</t>
  </si>
  <si>
    <t>uuendusega reaalajas näha laoseisu, st. kõik, mida peate tegema, on olema võrgus ja kinnitama võimaluse "lubada redigeerimine" ja "sisu lubamine" pärast iga hinnakirja avamist näete, milliseid kaupu on laos või millal on laos !!!</t>
  </si>
  <si>
    <t>mustaga märgitud tooteid ei ole võimalik tellida kui neid tellimispäeval laos ei ole !!! See tagab, et klient tellib ainult laos olevaid tooteid, kiirendades seeläbi oluliselt tellimuse täitmist.</t>
  </si>
  <si>
    <t>meie töötaja uurib, milliseid tooteid ei pruugi laos olla, ja teavitab sellest klienti e-posti teel</t>
  </si>
  <si>
    <t>Klient otsustab, kas ta soovib tooteid oodata (kui neid pole laos) või soovib ta väljamüüdud tooted välja vahetada ja saadab oma lõpliku tellimuse e-posti teel, mis sisaldab vaid hetkel saadaval olevaid kaupu.</t>
  </si>
  <si>
    <t>meie töötaja laadib selle lõpliku tellimuse (vt punkt nr 3) meie süsteemi ja teavitab klienti kuupäevast, millal kaup transporditakse või on valmis järele tulemiseks</t>
  </si>
  <si>
    <t>Kliendid, kes ei järgi tellimust vastavalt ülaltoodule ja tulevad kauba järele ilma meie töötaja kinnituseta, kaupa ei laadita.</t>
  </si>
  <si>
    <t>Teie tellimus antakse kohe lattu töösse ja tellimusele ei ole enam võimalik enam midagi lisada. Kui klient tühistab tellimuse (või osa sellest), võetakse temalt käitlustasu 50% tühistatud kauba väärtusest.</t>
  </si>
  <si>
    <t>Kui soovite mõnda kaupa tellida, peate meie elektroonilises hinnakirjas looma uue tellimuse ja saatma selle uuesti e-posti teel. Kirjutage ainult need kaubad, mida soovite tellida.</t>
  </si>
  <si>
    <t>Me ei saa garanteerida, et tellitud kaup saadetakse koos algselt tellitud kaubaga!</t>
  </si>
  <si>
    <t>kaupade broneerimine</t>
  </si>
  <si>
    <t>Arvukate klientide soovide põhjal oleme otsustanud broneerimissüsteemi meie laos kättesaadavaks teha. Paremaks arusaamiseks tutvustan süsteemi, mida meie väliskliendid laialdaselt kasutavad.</t>
  </si>
  <si>
    <t>Kaupmehed, kellel on oma kauplused, tellivad meilt näiteks kaupu kohe pärast hinnakirja ilmumist septembris ja nad soovivad kauba kohale toimetada 15. detsembril.</t>
  </si>
  <si>
    <t>See tagab, et saadakse, mida soovitakse ja ei pea seda ladustama või muretsema selle pärast, kas ese, mida soovivad tellida,  ei müüdagi enam. Kokkulepitud päeval saab klient tellitud kauba kätte…</t>
  </si>
  <si>
    <t>Allpool on reeglid, mille alusel saab kaupu meie laos broneerida:</t>
  </si>
  <si>
    <t>Reeglid:</t>
  </si>
  <si>
    <t>Kaubaalused</t>
  </si>
  <si>
    <t>Transpordi hind</t>
  </si>
  <si>
    <t>Kaebuste esitamise kord</t>
  </si>
  <si>
    <t>See on protseduur toimimata toodete kaebuse lahendamiseks. Kahjuks ei saa hoolimata kvaliteedikontrollist neid kaebusi ära hoida.</t>
  </si>
  <si>
    <t>Kui toimib vähem kui 30% tootest, asendame kliendile toote uuega, tooge toimimata toode meile ja see asendatakse.</t>
  </si>
  <si>
    <t>Kui toimib 30-50% tootest, siis asendatakse see uue tootega, mille ostuhinna lisatasu on 30-50%, sõltuvalt sellest, kui palju laske toode lasi.</t>
  </si>
  <si>
    <t>Kui toode toimis 50–80% tootest, asendatakse see uue tootega, mille ostuhinna lisatasu on 50–80%, sõltuvalt sellest, mitu lasku toode lasi.</t>
  </si>
  <si>
    <t>Soovime luua kaebuste lahenduse korda, näiteks klient toob 100 lasuga toote, millest 90 lasku on toiminud ja soovib uut toodet.</t>
  </si>
  <si>
    <t>Koonilisi vulkaane (F100, F250, F500, F1000, F1500) ei saa pärast hooaega tagasisaatmise raames taotleda ega tagastada - põhjused, mis on kirjas 28. jaanuarist 2019.</t>
  </si>
  <si>
    <t>Kahjustatud pakendi tõttu ei ole võimalik tagastada. Värviline eksportpapp ei mõjuta toote funktsiooni ja on mõeldud ainult toote kaitsmiseks transpordi ajal.</t>
  </si>
  <si>
    <t>Klient, kes soovib saada vaid täiuslikke kaste, peab ostma tooteid, mis on pakendatud kaitsekarpi (tootekood lõpeb (T) või korraldama kauba transpordi meie laost. Hilisemaid kaebusi arvesse ei võeta.</t>
  </si>
  <si>
    <t>Elektroonilise hinnakirja kasutamise juhised</t>
  </si>
  <si>
    <t>Hinnakiri on interaktiivne, st. et see arvutab allahindluse (summa tuleb sisestada vastavasse lahtrisse), hinna Tšehhi kroonides ja eurodes, arvutab kaalu kilogrammides, kauba mahu m3 ja pürotehnilise aine netokaalu.</t>
  </si>
  <si>
    <t>Kui soovitud kaupa pole laos, võite filtri abil leida veerust C, kus kõik sarnased kaubad on tähistatud sama numbriga.</t>
  </si>
  <si>
    <t>See veerg on aluseks eurodes arvutamiseks.</t>
  </si>
  <si>
    <t>Veerust J leiate toote ohukategooria, kuhu toode kuulub.</t>
  </si>
  <si>
    <t>Veergu Z kirjutage oma tellimus - kirjutage ainult number tellitud kastide arvuga.</t>
  </si>
  <si>
    <t>Pärast tellimuse esitamist näete seda teavet järgmistes veergudes:</t>
  </si>
  <si>
    <t>Hind kokku Tšehhi kroonides ilma käibemaksuta.</t>
  </si>
  <si>
    <t>Hind kokku Tšehhi kroonides käibemaksuga.</t>
  </si>
  <si>
    <t>Hind kokku eurodes ilma käibemaksuta.</t>
  </si>
  <si>
    <t>Kogumaht m3.</t>
  </si>
  <si>
    <t>Kogumass kilogrammides.</t>
  </si>
  <si>
    <t>Kogu pürotehnilise aine NEC-netomass jagatud ADR-klassidega.</t>
  </si>
  <si>
    <t>Pürotehnilise aine NEC-netomass jagatud ADR-klassidega.</t>
  </si>
  <si>
    <t>YES</t>
  </si>
  <si>
    <t>JA</t>
  </si>
  <si>
    <t>TAK</t>
  </si>
  <si>
    <t>ĐÚNG</t>
  </si>
  <si>
    <t>TAIP</t>
  </si>
  <si>
    <t>DA</t>
  </si>
  <si>
    <t>SÌ</t>
  </si>
  <si>
    <t>JAH</t>
  </si>
  <si>
    <t>estonština</t>
  </si>
  <si>
    <t>sõitev+vilistav tank( vulkaan+praksuv kahuripauk)</t>
  </si>
  <si>
    <t>väike hai vulkaaniga, pakend sisaldab 3 erineva värviga haid(roheline,kollane,roosa)</t>
  </si>
  <si>
    <t>keerlev punane/roheline/kollane maapealne pööris</t>
  </si>
  <si>
    <t>keerlev värviline ja praksuv ratas lõpus suitsuga</t>
  </si>
  <si>
    <t>suur keerlev punane/roheline/kollane maapealne pööris</t>
  </si>
  <si>
    <t>vilistav keerlev efekt lõpus praksuv</t>
  </si>
  <si>
    <t>suur keerlev punane+praksuv maapealne pööris</t>
  </si>
  <si>
    <t>praksuv efekt, pikkus 20cm</t>
  </si>
  <si>
    <t>praksuvad pallid</t>
  </si>
  <si>
    <t>praksuv pall 1g, diameeter 23mm</t>
  </si>
  <si>
    <t>vile</t>
  </si>
  <si>
    <t>paugunöör</t>
  </si>
  <si>
    <t>värviline fontään praksuga</t>
  </si>
  <si>
    <t>väike valge  sähvatus</t>
  </si>
  <si>
    <t>laste peovulkaan( värviline) koos valgustava käevõruga</t>
  </si>
  <si>
    <t>värvilised paukherned ( diameeter 9mm)</t>
  </si>
  <si>
    <t>mustad paukherned ( diameeter 14mm)</t>
  </si>
  <si>
    <t>kuldne lendav mesilane</t>
  </si>
  <si>
    <t>vilistav herilane</t>
  </si>
  <si>
    <t>hõbedane keerlev saba</t>
  </si>
  <si>
    <t>roheline keerlev saba rohelise särvatusega</t>
  </si>
  <si>
    <t>hõbedane keerlev saba praginaga</t>
  </si>
  <si>
    <t>hõbedane keerlev saba valge sähvatuse ja punase pärliga</t>
  </si>
  <si>
    <t>punase sabaga punane pragin</t>
  </si>
  <si>
    <t>vilistav lennuk punase tule ja praginga(2 tk)+ vilistav lennuk rohelise tule ja praginaga+ sähvatus (2 tk)</t>
  </si>
  <si>
    <t>lendav värviline brokaat( 1 tk), lendav värviline pragin (  tk)</t>
  </si>
  <si>
    <t>vilistav lendav taldrik rohelise tulega</t>
  </si>
  <si>
    <t>vilistav lendav taldrik sabaga, efekti kõrgus 65m</t>
  </si>
  <si>
    <t>lastepakk sisaldab: DP1FD- 1x,DP1FR-1x,DP1BP- 3x,BK1B-1x,BK1P-1x,DP1CB-1x,DP1B-1x,DP1R-2x, S12S-1x</t>
  </si>
  <si>
    <t>8 aknaga kalender lastele 24.12-31.12</t>
  </si>
  <si>
    <t>perepakk sisaldab: 4 rocket,DP1BP-2x,DP1B-1x,S12S-1x,P1-1x,BK1B-1x,DP1R-1x,DP1VC-1x,DP1CB-1x,K01M-1x,R4420B- 2x</t>
  </si>
  <si>
    <t>perepakk sisaldab: 1x-VP16A,DP1VC, LM2V 1 single pc, R4420B 2 single pc, R12T1 4 sinlge pc</t>
  </si>
  <si>
    <t>kuldsed säraküünlad, pikkus 70cm, säravmaterjali pikkus 55cm, säravmaterjali diameeter on 4,5mm</t>
  </si>
  <si>
    <t>kuldsed säraküünlad, pikkus 40cm, säravmaterjali pikkus 32,5cm, säravmaterjali diameeter on 3,7mm</t>
  </si>
  <si>
    <t>kuldsed säraküünlad, pikkus 28cm, säravmaterjali pikkus 20,5cm, säravmaterjali diameeter on 3mm</t>
  </si>
  <si>
    <t>kuldsed säraküünlad, pikkus 90cm, säravmaterjali pikkus 61cm, säravmaterjali diameeter on 4,8mm</t>
  </si>
  <si>
    <t>kuldsed säraküünlad, pikkus 90cm, säravmaterjali pikkus 5cm, säravmaterjali diameeter on 4,8mm</t>
  </si>
  <si>
    <t>kuldsed säraküünlad, pikkus 70cm, säravmaterjali pikkus 45cm, säravmaterjali diameeter on 4,5mm</t>
  </si>
  <si>
    <t>kuldsed säraküünlad, pikkus 40cm, säravmaterjali pikkus 26cm, säravmaterjali diameeter on 3,7mm</t>
  </si>
  <si>
    <t>kuldsed säraküünlad, pikkus 28cm, säravmaterjali pikkus 17cm, säravmaterjali diameeter on 3mm</t>
  </si>
  <si>
    <t>kuldsed säraküünlad, pikkus 16cm, säravmaterjali pikkus 8,5cm, säravmaterjali diameeter on 2,5mm</t>
  </si>
  <si>
    <t>neoon säraküünlad (roosa, kollane, roheline, sinine) pikkus 28cm, säravmaterjali pikkus 17cm ja diameeter 3mm</t>
  </si>
  <si>
    <t>neoon säraküünlad (punane, kollane, roheline, sinine) pikkus 40cm, säravmaterjali pikkus 26cm ja diameeter 3,7mm</t>
  </si>
  <si>
    <t>praksuvad kuldsed säraküünlad, pikkus 40cm, säravmaterjali pikkus 26cm, säravmaterjali diameeter on 3,7mm</t>
  </si>
  <si>
    <t>kuldsed säraküünlad number 1 kujuga</t>
  </si>
  <si>
    <t>kuldsed säraküünlad südame kujuga</t>
  </si>
  <si>
    <t>kuldsed säraküünlad tähe kujuga</t>
  </si>
  <si>
    <t>kuldsed säraküünlad( segatult numbrid 0-9, süda, täht)</t>
  </si>
  <si>
    <t>ümmargused tossupommid ( punane, roheline, kollane, sinine, valge, roosa)</t>
  </si>
  <si>
    <t>suitsuküünal ( oranž, lilla, valge, must)</t>
  </si>
  <si>
    <t>suitsuküünal ( sinine, punane, kollane, roheline)</t>
  </si>
  <si>
    <t>muti peletus suits( suits + hais)</t>
  </si>
  <si>
    <t>suitsuküünal - valge</t>
  </si>
  <si>
    <t>suitsuküünal - punane</t>
  </si>
  <si>
    <t>suitsuküünal - sinine</t>
  </si>
  <si>
    <t>suitsuküünal - kollane</t>
  </si>
  <si>
    <t>suitsuküünal - roheline</t>
  </si>
  <si>
    <t>suitsuküünal - oranž</t>
  </si>
  <si>
    <t>suitsuküünal( suits tuleb mõlemast otsast) - valge</t>
  </si>
  <si>
    <t>suitsuküünal( suits tuleb mõlemast otsast) - punane</t>
  </si>
  <si>
    <t>suitsuküünal( suits tuleb mõlemast otsast) - sinine</t>
  </si>
  <si>
    <t>suitsuküünal splindi tõmbamisega - valge</t>
  </si>
  <si>
    <t>suitsuküünal splindi tõmbamisega - punane</t>
  </si>
  <si>
    <t>suitsuküünal splindi tõmbamisega - sinine</t>
  </si>
  <si>
    <t>suitsuküünal splindi tõmbamisega -kollane</t>
  </si>
  <si>
    <t>suitsuküünal splindi tõmbamisega - roheline</t>
  </si>
  <si>
    <t>suitsuküünal splindi tõmbamisega - oranž</t>
  </si>
  <si>
    <t>suitsuküünal splindi tõmbamisega - must</t>
  </si>
  <si>
    <t>suitsuküünal( suits tuleb mõlemast otsast) splindi tõmbamisega - valge</t>
  </si>
  <si>
    <t>suitsuküünal( suits tuleb mõlemast otsast) splindi tõmbamisega - punane</t>
  </si>
  <si>
    <t>suitsuküünal( suits tuleb mõlemast otsast) splindi tõmbamisega - sinine</t>
  </si>
  <si>
    <t>suitsuküünal( suits tuleb mõlemast otsast) splindi tõmbamisega - kollane</t>
  </si>
  <si>
    <t>suitsuküünal( suits tuleb mõlemast otsast) splindi tõmbamisega -roheline</t>
  </si>
  <si>
    <t>suitsuküünal( suits tuleb mõlemast otsast) splindi tõmbamisega - oranž</t>
  </si>
  <si>
    <t>suitsuküünal( suits tuleb mõlemast otsast) splindi tõmbamisega - must</t>
  </si>
  <si>
    <t>suitsuküünal kraapijaga - valge</t>
  </si>
  <si>
    <t>suitsuküünal kraapijaga - punane</t>
  </si>
  <si>
    <t>suitsuküünal kraapijaga - sinine</t>
  </si>
  <si>
    <t>suitsuküünal kraapijaga - kollane</t>
  </si>
  <si>
    <t>suitsuküünal kraapijaga - roheline</t>
  </si>
  <si>
    <t>suitsuküünal kraapijaga - oranž</t>
  </si>
  <si>
    <t>suitsuküünal kraapijaga - must</t>
  </si>
  <si>
    <t>suitsuküünal kraapijaga - roosa</t>
  </si>
  <si>
    <t>suitsuküünal süütenööriga - valge</t>
  </si>
  <si>
    <t>suitsuküünal süütenööriga - punane</t>
  </si>
  <si>
    <t>suitsuküünal süütenööriga -sinine</t>
  </si>
  <si>
    <t>suitsuküünal süütenööriga - sinine</t>
  </si>
  <si>
    <t>suitsuküünal süütenööriga - kollane</t>
  </si>
  <si>
    <t>suitsuküünal süütenööriga - roheline</t>
  </si>
  <si>
    <t>suitsuküünal süütenööriga - oranž</t>
  </si>
  <si>
    <t>käes hoitav suitsuküünal splindi tõmbamisega - kollane</t>
  </si>
  <si>
    <t>käes hoitav suitsuküünal splindi tõmbamisega - roheline</t>
  </si>
  <si>
    <t>käes hoitav suitsuküünal splindi tõmbamisega - oranž</t>
  </si>
  <si>
    <t>käes hoitav suitsuküünal splindi tõmbamisega - must</t>
  </si>
  <si>
    <t>käes hoitav suitsuküünal  - valge</t>
  </si>
  <si>
    <t>käes hoitav suitsuküünal  - punane</t>
  </si>
  <si>
    <t>käes hoitav suitsuküünal  - sinine</t>
  </si>
  <si>
    <t>käes hoitav suitsuküünal  - kollane</t>
  </si>
  <si>
    <t>käes hoitav suitsuküünal  -roheline</t>
  </si>
  <si>
    <t>käes hoitav suitsuküünal  - oranž</t>
  </si>
  <si>
    <t>käes hoitav suitsuküünal  - must</t>
  </si>
  <si>
    <t>punane tõrvik+valge suits</t>
  </si>
  <si>
    <t>rohelie tõrvik+valge suits</t>
  </si>
  <si>
    <t>valge tõrvik+valge suits</t>
  </si>
  <si>
    <t>kollane tõrvik+valge suits</t>
  </si>
  <si>
    <t>sinine tõrvik+valge suits</t>
  </si>
  <si>
    <t>punane tõrvik</t>
  </si>
  <si>
    <t>värviline tõrvik(punane, roheline, valge, lilla, kollane)</t>
  </si>
  <si>
    <t>valge sähvatus</t>
  </si>
  <si>
    <t>punane sähvatus + suits</t>
  </si>
  <si>
    <t>fontäänide segu, 2 tk F1U ja 2 tk F1K</t>
  </si>
  <si>
    <t>fontäänide segu, 2 tk F2DF ja 2 tk F2DD</t>
  </si>
  <si>
    <t>värviline( punane, roheline, sinine)+ pragisev miin</t>
  </si>
  <si>
    <t>värvilised ja pragisevad otsad, vilega komeet</t>
  </si>
  <si>
    <t>6 erinevat värvilist efekti</t>
  </si>
  <si>
    <t>värvilised otsad+tugevad pragisevad otsad</t>
  </si>
  <si>
    <t>tugevad pragisevad otsad</t>
  </si>
  <si>
    <t>värvilised otsad+ pragisevad otsad</t>
  </si>
  <si>
    <t>erinevad efektid</t>
  </si>
  <si>
    <t>pragisev fontään</t>
  </si>
  <si>
    <t>4 erinevat värvilist efekti</t>
  </si>
  <si>
    <t>keerev fontään</t>
  </si>
  <si>
    <t>suur keerev fontään( küljelt/ kõrgusesse efekt)</t>
  </si>
  <si>
    <t>värvilised otsad, efekti kõrgus 3m</t>
  </si>
  <si>
    <t>topelt pragisevad otsad, efekti kõrgus 3m</t>
  </si>
  <si>
    <t>hõbedased otsad, efekti kõrgus 4m</t>
  </si>
  <si>
    <t>hõbedased pragisevad otsad, efekti kõrgus 4m</t>
  </si>
  <si>
    <t>värvilised otsad, efekti kõrgus 4m</t>
  </si>
  <si>
    <t>pragisevad+punased, rohelised, sinised otsad, efekti kõrgus 5m</t>
  </si>
  <si>
    <t>hõbedased pragisevad otsad, efekti kõrgus 5m</t>
  </si>
  <si>
    <t>hõbedased otsad, efekti kõrgus 5m</t>
  </si>
  <si>
    <t>värvilised otsad, efekti kõrgus 5m</t>
  </si>
  <si>
    <t>hõbedased pragisevad otsad, efekti kõrgus 6m</t>
  </si>
  <si>
    <t>hõbedased otsad, efekti kõrgus 6m</t>
  </si>
  <si>
    <t>värvilised otsad, efekti kõrgus 6m</t>
  </si>
  <si>
    <t>hõbedased otsad, efekti kõrgus 7m</t>
  </si>
  <si>
    <t>värvilised otsad, efekti kõrgus 7m</t>
  </si>
  <si>
    <t xml:space="preserve">siseruumides kasutatav fontään, põlev ja keerlev küünal + mängib sünnipäeva laulu </t>
  </si>
  <si>
    <t xml:space="preserve">hõbedane fontään( külmad sädemed) hügieenitunnistus! </t>
  </si>
  <si>
    <t>hõbedane fontään( külmad sädemed) pikkus 20cm, hügieenitunnistus! Hõbedases paberis</t>
  </si>
  <si>
    <t>hõbedane fontään( külmad sädemed) pikkus 30cm, hügieenitunnistus! kuldses paberis</t>
  </si>
  <si>
    <t>hõbedane fontään( külmad sädemed) pikkus 120cm, hügieenitunnistus! kuldses paberis</t>
  </si>
  <si>
    <t>hõbedane fontään( külmad sädemed) pikkus 20cm, hügieenitunnistus! kuldses paberis</t>
  </si>
  <si>
    <t>hõbedane fontään( külmad sädemed) pikkus 12cm, hügieenitunnistus!  Number 0</t>
  </si>
  <si>
    <t>hõbedane fontään( külmad sädemed) pikkus 12cm, hügieenitunnistus!  Number 1</t>
  </si>
  <si>
    <t>hõbedane fontään( külmad sädemed) pikkus 12cm, hügieenitunnistus!  Number 2</t>
  </si>
  <si>
    <t>hõbedane fontään( külmad sädemed) pikkus 12cm, hügieenitunnistus!  Number 3</t>
  </si>
  <si>
    <t>hõbedane fontään( külmad sädemed) pikkus 12cm, hügieenitunnistus!  Number 4</t>
  </si>
  <si>
    <t>hõbedane fontään( külmad sädemed) pikkus 12cm, hügieenitunnistus!  Number 5</t>
  </si>
  <si>
    <t>hõbedane fontään( külmad sädemed) pikkus 12cm, hügieenitunnistus!  Number 6</t>
  </si>
  <si>
    <t>hõbedane fontään( külmad sädemed) pikkus 12cm, hügieenitunnistus!  Number 7</t>
  </si>
  <si>
    <t>hõbedane fontään( külmad sädemed) pikkus 12cm, hügieenitunnistus!  Number 8</t>
  </si>
  <si>
    <t>hõbedane fontään( külmad sädemed) pikkus 12cm, hügieenitunnistus!  Number 9</t>
  </si>
  <si>
    <t>hõbedane fontään( külmad sädemed) pikkus 12cm, hügieenitunnistus!  Numbrid 0-9</t>
  </si>
  <si>
    <t>pikkus 40 cm, läikivad värvilised paberid</t>
  </si>
  <si>
    <t>pikkus 40 cm, hõbedased südamed+roosi lehed</t>
  </si>
  <si>
    <t>pikkus 40 cm, EUR rahatähed</t>
  </si>
  <si>
    <t>pikkus 80 cm,läikivad värvilised paberid</t>
  </si>
  <si>
    <t>pikkus 80 cm,läikivad kuldsed paberid</t>
  </si>
  <si>
    <t>pikkus 80 cm, EUR rahatähed</t>
  </si>
  <si>
    <t>20 lasku värviline saba, pikkus 44 cm</t>
  </si>
  <si>
    <t>40 lasku värviline saba, pikkus 70 cm</t>
  </si>
  <si>
    <t>10 lasku värviline saba, pikkus 54 cm</t>
  </si>
  <si>
    <t>20 lasku pragisev komeet, pikkus 54 cm</t>
  </si>
  <si>
    <t>20 lasku pragisev komeet, pikkus 70 cm</t>
  </si>
  <si>
    <t>20 lasku värviline saba, pikkus 60 cm</t>
  </si>
  <si>
    <t>10 lasku värviline saba+ 10 lasku pragisev komeet , pikkus 65 cm</t>
  </si>
  <si>
    <t>Multi pakk koosneb 20 lasuga rooma küünlast pikkusega 60 cm(R5420K-2 tk, R6020B, R6520BK, R7020BK-2 tkc)</t>
  </si>
  <si>
    <t>Multi pakk koosneb 20 lasuga rooma küünlast pikkusega 70 cm ( R7020K - 3 tk, R6020B, R6520BK,R7020BK )</t>
  </si>
  <si>
    <t>8 lasku hõbedane saba+saluut praginaga pikkus 58 cm</t>
  </si>
  <si>
    <t>8 lasku ,3 erinevat efekti pikkus 60cm</t>
  </si>
  <si>
    <t>multi pakk koosneb 8 lasuga rooma küünlast: R5808D, R6008E, R6008K,R7508E</t>
  </si>
  <si>
    <t>8 lasku vilistav saba pikkus 65 cm</t>
  </si>
  <si>
    <t>8 lasku ,3 erinevat efekti pikkus 75 cm</t>
  </si>
  <si>
    <t>8 lasku ,4 erinevat efekti pikkus 75 cm</t>
  </si>
  <si>
    <t>8 lasku ,brokaat saba+ brokaat pikkus 75 cm</t>
  </si>
  <si>
    <t>rooma küünal 91 lasku, 4 erinevat efekti</t>
  </si>
  <si>
    <t>hõbedane miin punane saba saluut</t>
  </si>
  <si>
    <t>2 erinevat värvi langevarju</t>
  </si>
  <si>
    <t>vilistav saba</t>
  </si>
  <si>
    <t>4 erinevat värvilist efekti- ilma helita</t>
  </si>
  <si>
    <t>vile+fontään+miin</t>
  </si>
  <si>
    <t>6 erinevat värvilist efekti 50mm toru diameeter ( kõrge kvaliteet)</t>
  </si>
  <si>
    <t>18 erinevat värvilist 50mm efekti silinder pomm)- professionaalne kvaliteet</t>
  </si>
  <si>
    <t>roheline pöörlev praginaga</t>
  </si>
  <si>
    <t>punane+tugev pragin</t>
  </si>
  <si>
    <t>roheline+ tugev pragin</t>
  </si>
  <si>
    <t>kraapijaga väike pauguti, helitugevus 112dB 8m kaugusel</t>
  </si>
  <si>
    <t>kraapijaga pauguti, helitugevus 116dB 8m kaugusel</t>
  </si>
  <si>
    <t>kraapijaga pauguti (topelt), helitugevus 116dB+116dB 8m kaugusel</t>
  </si>
  <si>
    <t>kraapijaga pauguti, helitugevus 119dB 8m kaugusel, toodetud Euroopas, plastik kate</t>
  </si>
  <si>
    <t>kraapijaga pauguti, helitugevus 120dB 8m kaugusel, toodetud Euroopas, plastik kate</t>
  </si>
  <si>
    <t>helitugevus 114dB 8m kaugusel</t>
  </si>
  <si>
    <t>helitugevus 117dB 8m kaugusel</t>
  </si>
  <si>
    <t>helitugevus 119dB 8m kaugusel</t>
  </si>
  <si>
    <t>helitugevus 120dB 15m kaugusel roheline tuli alguses</t>
  </si>
  <si>
    <t>helitugevus 120dB 8m kaugusel, toodetud Euroopas, plastik kate</t>
  </si>
  <si>
    <t>helitugevus 120dB 8m kaugusel (musta püssirohuga)</t>
  </si>
  <si>
    <t>helitugevus 120dB 15m kaugusel, toodetud Euroopas, plastik kate</t>
  </si>
  <si>
    <t>helitugevus 117dB 15m kaugusel roheline tuli alguses</t>
  </si>
  <si>
    <t>helitugevus 118dB 15m kaugusel, plastik kate</t>
  </si>
  <si>
    <t>helitugevus 120dB 15m kaugusel</t>
  </si>
  <si>
    <t>helitugevus 120dB 15m kaugusel punane tuli alguses</t>
  </si>
  <si>
    <t>30 gr välgupulbrit helitugevus 142dB 15m kaugusel, toodetud Euroopas</t>
  </si>
  <si>
    <t>50 gr välgupulbrit helitugevus 159dB 15m kaugusel, toodetud Euroopas</t>
  </si>
  <si>
    <t>60 gr välgupulbrit helitugevus 160dB 15m kaugusel, toodetud Euroopas</t>
  </si>
  <si>
    <t>100 gr välgupulbrit helitugevus 170dB 15m kaugusel, toodetud Euroopas</t>
  </si>
  <si>
    <t>pragisev pall 3 gr diameeter 38mm</t>
  </si>
  <si>
    <t>pragisev pall 15 gr diameeter 38mm</t>
  </si>
  <si>
    <t>70 lasku pikkus 16 cm väikesed paugutid</t>
  </si>
  <si>
    <t>200 lasku pikkus 62 cm keskmised paugutid</t>
  </si>
  <si>
    <t>500 lasku pikkus 155 cm keskmised paugutid</t>
  </si>
  <si>
    <t>1000 lasku pikkus 310 cm keskmised paugutid</t>
  </si>
  <si>
    <t xml:space="preserve">1750 väikesed +200 keskmised +19 suured paugutid pikkus 5,25 m </t>
  </si>
  <si>
    <t xml:space="preserve">3500 väikesed +400 keskmised +19 suured paugutid pikkus 10,5 m </t>
  </si>
  <si>
    <t>signaalrakett 15 mm  plahvatusega</t>
  </si>
  <si>
    <t>vile+saluut</t>
  </si>
  <si>
    <t>väike langevarjuga rakett</t>
  </si>
  <si>
    <t>vilistav saba+värvilised otsad</t>
  </si>
  <si>
    <t>vilistav saba hõbedase sädelusega</t>
  </si>
  <si>
    <t>rakett 42 cm värvilised otsad</t>
  </si>
  <si>
    <t>rakett 72 cm värvilised otsad</t>
  </si>
  <si>
    <t>vlistava sabaga pragisev saluut</t>
  </si>
  <si>
    <t>6 erinevat värvilist efekti- ilma helita</t>
  </si>
  <si>
    <t>hõbedase sabaga pragisev saluut (2 gr välgupulbrit</t>
  </si>
  <si>
    <t>7 erinevat värvilist efekti</t>
  </si>
  <si>
    <t>9 erinevat värvilist efekti</t>
  </si>
  <si>
    <t>21 erinevat värvilist efekti</t>
  </si>
  <si>
    <t>33 erinevat värvilist efekti</t>
  </si>
  <si>
    <t>5 erinevat värvilist efekti</t>
  </si>
  <si>
    <t>hõbedase sabaga pragisev saluut (5 gr välgupulbrit)</t>
  </si>
  <si>
    <t>11 erinevat värvilist efekti</t>
  </si>
  <si>
    <t>12 erinevat värvilist efekti</t>
  </si>
  <si>
    <t>18 erinevat värvilist efekti</t>
  </si>
  <si>
    <t>tipp kvaliteet 170 cm pikkune rakett, 3 erinevat värvilist efekti</t>
  </si>
  <si>
    <t>tipp kvaliteet 170 cm pikkune rakett, 2 erinevat värvilist efekti</t>
  </si>
  <si>
    <t>vilistava hõbedase sabaga saluut</t>
  </si>
  <si>
    <t>värviline ja pragisev komeet</t>
  </si>
  <si>
    <t>10 erinevat värvilist efekti</t>
  </si>
  <si>
    <t>20 erinevat värvilist efekti</t>
  </si>
  <si>
    <t>3 erinevat värvilist efekti</t>
  </si>
  <si>
    <t xml:space="preserve">hõbedane miin punase sabaga saluut </t>
  </si>
  <si>
    <t>hõbedane miin punase sabaga saluut ( tugev)</t>
  </si>
  <si>
    <t>punane laine praginaga, hõbedane miin punase sabaga saluut</t>
  </si>
  <si>
    <t>hõbedane laine rohelise sädelusega, oranž sabaga oranži krüsanteemiga</t>
  </si>
  <si>
    <t>brokaat lillade otstega</t>
  </si>
  <si>
    <t>sinine palm kuldse vilkuva südamikuga</t>
  </si>
  <si>
    <t>8 erinevat värvilist efekti</t>
  </si>
  <si>
    <t>9 erinevat värvilist efekti saluut finaal</t>
  </si>
  <si>
    <t>5 erinevat värvilist efekti( 10 lasku korraga)</t>
  </si>
  <si>
    <t>13 erinevat värvilist efekti</t>
  </si>
  <si>
    <t>16 erinevat värvilist efekti, 64 lasku, 40 lasku ( lehvik), 18 lasku( W lehvik), 12 lasku ( V lehvik)</t>
  </si>
  <si>
    <t>16 erinevat värvilist efekti</t>
  </si>
  <si>
    <t>24 erinevat värvilist efekti</t>
  </si>
  <si>
    <t>32 erinevat värvilist efekti</t>
  </si>
  <si>
    <t>40 erinevat värvilist efekti</t>
  </si>
  <si>
    <t>46 erinevat värvilist efekti</t>
  </si>
  <si>
    <t>26 erinevat värvilist efekti</t>
  </si>
  <si>
    <t>39 erinevat värvilist efekti</t>
  </si>
  <si>
    <t>52 erinevat värvilist efekti</t>
  </si>
  <si>
    <t>80 erinevat värvilist efekti</t>
  </si>
  <si>
    <t>hõbedane miin punase sabaga saluut</t>
  </si>
  <si>
    <t>7 erinevat värvilist efekti- ilma helita</t>
  </si>
  <si>
    <t>7 erinevat värvilist efekti( signature kvaliteet) pakend sisaldab kleepse erinevatele vanustele.</t>
  </si>
  <si>
    <t>28 lasku kuldset brokaati punase/sinisega, 21 lasku hõbedane miin punase sabaga saluut</t>
  </si>
  <si>
    <t>14 erinevat värvilist efekti</t>
  </si>
  <si>
    <t>11 erinevat värvilist efekti( efekt vahetub iga lask)</t>
  </si>
  <si>
    <t>40 lasku kuldset brokaati punase/sinisega, 48 lasku hõbedane miin punase sabaga saluut</t>
  </si>
  <si>
    <t>6 erinevat sinist efekti+3 rida hõbedane miin punase sabaga saluut</t>
  </si>
  <si>
    <t>28 erinevat värvilist efekti</t>
  </si>
  <si>
    <t>30 erinevat värvilist efekti</t>
  </si>
  <si>
    <t>4 erinevat värvilist efekti ( efekt vahetub iga lask)</t>
  </si>
  <si>
    <t>kuldse sabaga brokaat praginaga</t>
  </si>
  <si>
    <t>hõbedane miin punase sabaga hõbedane krüsanteem</t>
  </si>
  <si>
    <t>värviline daalia</t>
  </si>
  <si>
    <t>hõbedase sabaga hõbedane palm lilla otstega</t>
  </si>
  <si>
    <t>krüsanteem värviliste otstega</t>
  </si>
  <si>
    <t>5 erinevat värvilist efekti- ilma helita</t>
  </si>
  <si>
    <t>5 erinevat värvilist efekti( efekt vahetub iga lask)</t>
  </si>
  <si>
    <t>brokaat+lilla</t>
  </si>
  <si>
    <t>sinise sabaga valge vilkuv paju</t>
  </si>
  <si>
    <t>6 erinevat värvilist efekti( efekt vahetub iga lask)</t>
  </si>
  <si>
    <t>7 erinevat värvilist efekti( efekt vahetub iga lask)</t>
  </si>
  <si>
    <t>punase sabaga super valge sähvimine</t>
  </si>
  <si>
    <t>värvilise sabaga punane pärl/kuldne kummituspomm</t>
  </si>
  <si>
    <t>punase sädelusega paju</t>
  </si>
  <si>
    <t>kuldne Ti-paju</t>
  </si>
  <si>
    <t>8 erinevat värvilist efekti( efekt vahetub iga lask)</t>
  </si>
  <si>
    <t>15 erinevat värvilist efekti</t>
  </si>
  <si>
    <t>kuldne paju</t>
  </si>
  <si>
    <t>5 erinevat värvilist efekti - ilma helita</t>
  </si>
  <si>
    <t>10 erinevat värvilist efekti(pakendis kleepsud erinevatele vanustele)</t>
  </si>
  <si>
    <t>hõbedase sabaga saluut</t>
  </si>
  <si>
    <t>valge miin+punase sabaga saluut(10-ne kaupa)</t>
  </si>
  <si>
    <t>hõbedane sabaga saluut</t>
  </si>
  <si>
    <t>hõbedane pragisev fontään+8 erinevat värvilist efekti</t>
  </si>
  <si>
    <t>7 erinevat värvilist efekti finaaliks saluut</t>
  </si>
  <si>
    <t>42 erinevat värvilist efekti</t>
  </si>
  <si>
    <t>19 erinevat värvilist efekti</t>
  </si>
  <si>
    <t>34 erinevat värvilist efekti</t>
  </si>
  <si>
    <t>22 erinevat värvilist efekti</t>
  </si>
  <si>
    <t>2xfontään+25 erinevat värvilist efekti</t>
  </si>
  <si>
    <t>17 erinevat värvilist efekti</t>
  </si>
  <si>
    <t>38 erinevat värvilist efekti</t>
  </si>
  <si>
    <t>punane saba</t>
  </si>
  <si>
    <t>roheline saba</t>
  </si>
  <si>
    <t>kollane saba</t>
  </si>
  <si>
    <t>kuldne saba</t>
  </si>
  <si>
    <t>punane sädelusega paju saba</t>
  </si>
  <si>
    <t>roheline sädelusega paju saba</t>
  </si>
  <si>
    <t>hõbedane sädelusega paju saba</t>
  </si>
  <si>
    <t>pragisev saba</t>
  </si>
  <si>
    <t>valge sädelev miin</t>
  </si>
  <si>
    <t>punase saba rohelise sädelusega miin</t>
  </si>
  <si>
    <t>meresinine+punane sädelusega miin</t>
  </si>
  <si>
    <t>hõbedase sädelusega miin roheline komeet</t>
  </si>
  <si>
    <t>erilist värvi vilkuv miin</t>
  </si>
  <si>
    <t>sinine punaseks rosett+punane lillaks rosett</t>
  </si>
  <si>
    <t>punase sabaga valge sädelus+rohelise sabaga valge sädelus</t>
  </si>
  <si>
    <t>punase sabaga pragin+rohelise sabaga pragin</t>
  </si>
  <si>
    <t>värvilised otsad+pragisev saba</t>
  </si>
  <si>
    <t>punase sabaga hilisem pragin</t>
  </si>
  <si>
    <t>5 rida: vilega saba purskab punast sädelust, valget sädelust, siniseid otsi</t>
  </si>
  <si>
    <t>valge vilkuv miin punase/rohelise/sinise/lilla/kollase sabaga</t>
  </si>
  <si>
    <t>valge vilkuva miini sabaga lillade otstega</t>
  </si>
  <si>
    <t>punane&amp;roheline sadu+komeet</t>
  </si>
  <si>
    <t>hõbedane pragina miin punase/rohelise/sinise/lilla sabaga valge vilkumine</t>
  </si>
  <si>
    <t>suur kuldne palm komeet+sinised otsad</t>
  </si>
  <si>
    <t>valge vilkuv fontään</t>
  </si>
  <si>
    <t>kuldne kroon kuldse särava vilkumisega</t>
  </si>
  <si>
    <t>violetne lill brokaadiga</t>
  </si>
  <si>
    <t>kuldne sädelev pragin</t>
  </si>
  <si>
    <t>hilisem pragisev paju värvilised langevad lehed sinisega</t>
  </si>
  <si>
    <t>brokaat  punaste otsatega+ valge vilkumine</t>
  </si>
  <si>
    <t>lilla roheline daalia+ praginapilved</t>
  </si>
  <si>
    <t>kuldne kookos+ roheline vilkumine</t>
  </si>
  <si>
    <t>punane kookos+valge vilkumine</t>
  </si>
  <si>
    <t>valge sädelus/ oranž laine+roheline sädelus- 10 lasku korraga</t>
  </si>
  <si>
    <t>punase sabaga brokaat+ sinine- 10 lasku korraga</t>
  </si>
  <si>
    <t>laseb kahes suunas: keskel kuldne paju+ pragisev komeet- 10 lasku korraga</t>
  </si>
  <si>
    <t>laseb kahes suunas: keskel hõbedane plm oranži otstega+ brokaat paju tähega- 10 lasku korraga</t>
  </si>
  <si>
    <t>pragisev +sinise otsaga miin oranž laine+ roheline sädelus- 10 lasku korraga</t>
  </si>
  <si>
    <t>pragisev saba punase sabaga daalia krüsanteem- 10 lasku korraga</t>
  </si>
  <si>
    <t>sinise sabaga brokaat kroon</t>
  </si>
  <si>
    <t>pragisev krüsanteemi miin brokaat kroon+ sädelev ots - 10 lasku korraga</t>
  </si>
  <si>
    <t>sinine+punane miin krüsanteemiga- 10 lasku korraga</t>
  </si>
  <si>
    <t>brokaat, roheline, lilla- 10 lasku korraga</t>
  </si>
  <si>
    <t>sinise sabaga hobuse saba- 10 lasku korraga</t>
  </si>
  <si>
    <t>hõbedase sädeluse bukett hõbdase sädelusega- 10 lasku korraga</t>
  </si>
  <si>
    <t>pragisev paju+virsiku punane- 10 lasku korraga</t>
  </si>
  <si>
    <t>punase otsaga pragisev paju- 10 lasku korraga</t>
  </si>
  <si>
    <t>kuldne kookos+ roheline vilkuv- 10 lasku korraga</t>
  </si>
  <si>
    <t>punane pragisev kookos+ valge vilkuv- 10 lasku korraga</t>
  </si>
  <si>
    <t>lilla kollane daalia+hõbedane krüsanteem- 10 lasku korraga</t>
  </si>
  <si>
    <t>roheline sädelev paju+kuldne vilkuv- 10 lasku korraga</t>
  </si>
  <si>
    <t>valge vilkuv miin punane vilkuv- 10 lasku korraga</t>
  </si>
  <si>
    <t>brokaat+valge vilkuv- 10 lasku korraga</t>
  </si>
  <si>
    <t>brokaat+lilla- 10 lasku korraga</t>
  </si>
  <si>
    <t>punane roheline sinine+ vihm- 10 lasku korraga</t>
  </si>
  <si>
    <t>punane kookos+roheline+ hõbedane krüsanteem- 10 lasku korraga</t>
  </si>
  <si>
    <t>brokaat+oranžid otsad- 10 lasku korraga</t>
  </si>
  <si>
    <t>punane komeetsaba, punane saba punase lainega valge vilkuv- 10 lasku korraga</t>
  </si>
  <si>
    <t>brokaat praginaga- 10 lasku korraga</t>
  </si>
  <si>
    <t>päevalill punane sinine, punane vilkuv saba- 10 lasku korraga</t>
  </si>
  <si>
    <t>lilla rosett+lilla saba brokaat kroon lilla daaliaga- 10 lasku korraga</t>
  </si>
  <si>
    <t>lilla saba lilla rosett</t>
  </si>
  <si>
    <t>sinise sabaga lill</t>
  </si>
  <si>
    <t>pragisev krüsanteem+ sinine miin kuldse komeediga</t>
  </si>
  <si>
    <t>hõbedane saba punane laine praksuga</t>
  </si>
  <si>
    <t>pragisev krüsanteem miin brokaat krooniga+ sädelev ots</t>
  </si>
  <si>
    <t>sinine+punane sädelusega miin krüsanteem</t>
  </si>
  <si>
    <t>brokaat, roheline, lilla</t>
  </si>
  <si>
    <t>sinine saba hobuse sabaga</t>
  </si>
  <si>
    <t>hõbedane sädelev bukett purskab hõbedast sädelust</t>
  </si>
  <si>
    <t xml:space="preserve">pragisev paju+virsiku punane </t>
  </si>
  <si>
    <t>punase otsaga pragisev paju</t>
  </si>
  <si>
    <t>kuldne kookos+ roheline vilkuv</t>
  </si>
  <si>
    <t>punane pragin kookos+valge vilkuv</t>
  </si>
  <si>
    <t>brokaat pragina lill+sinine ots</t>
  </si>
  <si>
    <t>lilla kollane daalia+hõbedane krüsanteem</t>
  </si>
  <si>
    <t>roheline sädelev paju+roheline vilkuv</t>
  </si>
  <si>
    <t>valge vilkuv miin punase vilkumisega</t>
  </si>
  <si>
    <t>roosa+vihm</t>
  </si>
  <si>
    <t>punane roheline sinine+vihm</t>
  </si>
  <si>
    <t xml:space="preserve">punane kookos+ roheline+hõbedane krüsanteem </t>
  </si>
  <si>
    <t>brokaat+oranž ots</t>
  </si>
  <si>
    <t>päevalill punane sinine, punane vilkuv saba</t>
  </si>
  <si>
    <t>sinine miin  komeet punase otsaga</t>
  </si>
  <si>
    <t>punane komeet vihm</t>
  </si>
  <si>
    <t>punane, roheline, kollane, valge, lilla miin</t>
  </si>
  <si>
    <t>kuldne sädelev paju sinise buketiga</t>
  </si>
  <si>
    <t>brokaat bukett brokaat krooniga</t>
  </si>
  <si>
    <t>kuldne brokaat miin</t>
  </si>
  <si>
    <t>1-20 lasku pragisev paju saba+ punane vilkuv miin, 21-50 lasku pragisev paju+punane vilkuv</t>
  </si>
  <si>
    <t>sinine ots hõbedaga</t>
  </si>
  <si>
    <t>roheline vihm</t>
  </si>
  <si>
    <t>punane kookos+ pragisev üks pool/ roheline kookos+pragisev teine pool</t>
  </si>
  <si>
    <t>punase lainega saba</t>
  </si>
  <si>
    <t>kollane saba+kollane kookos+hõbedane krüsanteem</t>
  </si>
  <si>
    <t>sinise sabaga hobuse saba</t>
  </si>
  <si>
    <t>kahel pool: hõbedase sabaga lill rohelise sädelsega keskel: punase sabaga punane palm praksudega</t>
  </si>
  <si>
    <t>sinise sabaga siniste otstega valge vilkuv, punased otsad valge vilkuv</t>
  </si>
  <si>
    <t>punane roheline rosett</t>
  </si>
  <si>
    <t>kuldse sabaga kuldne rosett- 8 lasku korraga</t>
  </si>
  <si>
    <t>brokaat kroon miin- 13 lasku korraga</t>
  </si>
  <si>
    <t>kuldse sabaga hobuse saba- 13 lasku korraga</t>
  </si>
  <si>
    <t>hõbedase sabaga hõbedane pragisev paju- 13 lasku korraga</t>
  </si>
  <si>
    <t>punase sabaga keskelt vilkuv laine- 13 lasku korraga</t>
  </si>
  <si>
    <t>kuldse sabaga kuldne rosett- 13 lasku korraga</t>
  </si>
  <si>
    <t>brokaat kroon sabaga brokaat kroon- 19 lasku korraga</t>
  </si>
  <si>
    <t>hõbedase sabaga  hõbedane pragisev paju- 19 lasku korraga</t>
  </si>
  <si>
    <t>kuldne/brokaat kroon miin- 19 lasku korraga</t>
  </si>
  <si>
    <t>punase sädelusega miin punase komeediga- 19 lasku korraga</t>
  </si>
  <si>
    <t>hõbedase sädelusega miin rohelelise sädelusega komeet - 19 lasku korraga</t>
  </si>
  <si>
    <t>hõbedase sädelusega miin punase rosetiga - 19 lasku korraga</t>
  </si>
  <si>
    <t>hõbedase sädelusega miin rohelise rosetiga - 19 lasku korraga</t>
  </si>
  <si>
    <t>kollase, roosa, meresinise hõbedase sädelusega miin- 19 lasku korraga</t>
  </si>
  <si>
    <t>hõbdane komee punase otsaga- 19 lasku korraga</t>
  </si>
  <si>
    <t>sinine miin rohelise komeediga- 19 lasku korraga</t>
  </si>
  <si>
    <t>punanse sädelusega miin kuldse sädelusega komeet punase sädelusega otsas- 19 lasku korraga</t>
  </si>
  <si>
    <t>hõbedase sädelusega miin lilla komeet- 19 lasku korraga</t>
  </si>
  <si>
    <t>punase sädelusega saba hõbedase sädelusega kosk- 19 lasku korraga</t>
  </si>
  <si>
    <t>vilistav saba punase miiniga- 19 lasku korraga</t>
  </si>
  <si>
    <t>hõbedane tiigrisaba ja punane rosett- 19 lasku korraga</t>
  </si>
  <si>
    <t>punane vilkuv saba punase vilkuva pajuga - 5 lasku korraga</t>
  </si>
  <si>
    <t>pragisev saba - 5 lasku korraga</t>
  </si>
  <si>
    <t>roheline roseti miin - 5 lasku korraga</t>
  </si>
  <si>
    <t>brokaat saba - 5 lasku korraga</t>
  </si>
  <si>
    <t>lilla punane kollane roheline valge roseti miin - 5 lasku korraga</t>
  </si>
  <si>
    <t>pragisev roseti miin - 5 lasku korraga</t>
  </si>
  <si>
    <t>pragisev paju</t>
  </si>
  <si>
    <t>punane pragin</t>
  </si>
  <si>
    <t>hõbedane vilkuv paju</t>
  </si>
  <si>
    <t>hõbedane laine punaseks</t>
  </si>
  <si>
    <t>rohelise sabaga roheline laine praginaga</t>
  </si>
  <si>
    <t>hõbedase sabaga hõbedane palm</t>
  </si>
  <si>
    <t>hõbedase sabaga hõbedane vilkuv</t>
  </si>
  <si>
    <t>hõbedase sabaga hõbedane saluut</t>
  </si>
  <si>
    <t>MULTIPAKK sisaldab: S2A,B,D,E,F,G,H,CH,J,N,O</t>
  </si>
  <si>
    <t>värviline krüsanteem</t>
  </si>
  <si>
    <t>hõbedane vilkuv fontään</t>
  </si>
  <si>
    <t>rohelise sabaga punane laine praginaga</t>
  </si>
  <si>
    <t>krüsanteem siniste otstega</t>
  </si>
  <si>
    <t>punane pojeng keskel hõbedane palm</t>
  </si>
  <si>
    <t>praksuv paju</t>
  </si>
  <si>
    <t>veesinine pojeng brokaat otstega</t>
  </si>
  <si>
    <t>krüsanteem lillade otstega</t>
  </si>
  <si>
    <t>kuldne TI-paju</t>
  </si>
  <si>
    <t>brokaat kroon rosett</t>
  </si>
  <si>
    <t>roosa daalia roosade otstega</t>
  </si>
  <si>
    <t>brokaat valge sädelusega</t>
  </si>
  <si>
    <t>lilla laine rohelise sädelusega</t>
  </si>
  <si>
    <t>lilla ring krüsanteem otstega</t>
  </si>
  <si>
    <t>veripunane+hõbedane vilkuv</t>
  </si>
  <si>
    <t>punane  hõbedase vilkuva otsaga</t>
  </si>
  <si>
    <t>kollane rosett+lilla rosett</t>
  </si>
  <si>
    <t>punane lainega rosett</t>
  </si>
  <si>
    <t>multipakk kõrgem kvaliteet: sisaldab: hõbedase sabaga punane laine praginaga, lille kroon krüsanteem ja siniste otstega, praksuv paju,kuldne Ti-paju, hõbedase sabaga hõbedane palm</t>
  </si>
  <si>
    <t>multipakk sisaldab: S4W kuldne laine punaseks, S4N/A kuldne Ti-paju, S4R roheline pojeng brokaat, S4C sädelev palm</t>
  </si>
  <si>
    <t>punane/kollane daalia</t>
  </si>
  <si>
    <t>punane laine praginaga</t>
  </si>
  <si>
    <t>sädelev palm</t>
  </si>
  <si>
    <t>kuldne paju värvilise sädelusega</t>
  </si>
  <si>
    <t>hõbedane krüsanteem hõbedane pragisev palm</t>
  </si>
  <si>
    <t>lille kroon punase sädelusega otstes</t>
  </si>
  <si>
    <t>pool punane/roheline rosett</t>
  </si>
  <si>
    <t>pragisev nishiki kamuro</t>
  </si>
  <si>
    <t>hõbedane kroon punaste otstega</t>
  </si>
  <si>
    <t xml:space="preserve">hõbedane vilkuv </t>
  </si>
  <si>
    <t>eriline vilkuvate punaste otstega</t>
  </si>
  <si>
    <t>roheline pojeng brokaadiga</t>
  </si>
  <si>
    <t>hõbedane laine siniseks praginaga</t>
  </si>
  <si>
    <t>lilla rosett</t>
  </si>
  <si>
    <t>brokaat rosett</t>
  </si>
  <si>
    <t>kuldne laine punaseks</t>
  </si>
  <si>
    <t>hõbedane paju punaste otstega</t>
  </si>
  <si>
    <t>hõbedase sabaga punase pojengi hõbedase palmiga</t>
  </si>
  <si>
    <t>komeet punase otsaga punane siniseks krüsanteemiks punased otsad</t>
  </si>
  <si>
    <t>punane pojeng brokaat</t>
  </si>
  <si>
    <t>palm rohelise pojengiga</t>
  </si>
  <si>
    <t>krüsanteem sinise ringiga</t>
  </si>
  <si>
    <t>punasne vilkuv paju</t>
  </si>
  <si>
    <t>punane kolme mõõgaga mees</t>
  </si>
  <si>
    <t>oranž laine roheliseks</t>
  </si>
  <si>
    <t>brokaat värviliste otstega</t>
  </si>
  <si>
    <t>pragisev laine punaseks</t>
  </si>
  <si>
    <t>hõbedane pragisev vihm</t>
  </si>
  <si>
    <t>pragisev kosk</t>
  </si>
  <si>
    <t>pragisev paju rosett</t>
  </si>
  <si>
    <t>hõbedane ring+ punane rosett( silinder )</t>
  </si>
  <si>
    <t>hõbedane pragisev punane vilkuv hõbedane pragisev tiigrisaba</t>
  </si>
  <si>
    <t>multipakk kõrgem kvaliteet: sisaldab: S4L veripunane+hõbedane vilkuv,S4CH lille kroon punase sädelusega, S4Z/8 brokaad värviliste otstega, S4Z/7 Oranžlaine roheliseks</t>
  </si>
  <si>
    <t>pragisev rosett</t>
  </si>
  <si>
    <t>hõbedane ämblik vilkumisega</t>
  </si>
  <si>
    <t>hõbedane sädelus punase rosetiga</t>
  </si>
  <si>
    <t>brokaat kroon</t>
  </si>
  <si>
    <t>sinise vilkumisega hõbedane ring brokaat praksu ringiga</t>
  </si>
  <si>
    <t>brokaat siniseks rohelise sädelusega</t>
  </si>
  <si>
    <t>pragisev värviliste otstega vilkumine</t>
  </si>
  <si>
    <t>multipakk koosneb: S5K brokaad kroon( 3 tk) S5Q brokaat kroon kaheksa nurga krüsanteemiga ( 3tk), S5N sinine hõbedane ring brokaat krüsanteemi ring( 3 tk),S5O brokaat praksud sinisega rohelised sädelevad otsad(3 tk ),S5P hõbedane punaseks ujuvad otsad sinised vilked( 2 tk) S5B pragisev rosett( 2tk)</t>
  </si>
  <si>
    <t>multipakk koosneb: S6CH kuldne laine lilla pojengi topelt ringidega oranži vilkuvate otstega( 2tk),S6H värviline krüsanteem(2 tk), S6S hõbedase sabaga hõbedane palm(2 tk), S6O värviline daalia(1 tk), S6K punase sädelusega brokaat ( 2 tk)</t>
  </si>
  <si>
    <t>krüsanteem punaste uitavate otstega</t>
  </si>
  <si>
    <t>paju fontään</t>
  </si>
  <si>
    <t>kummitus hõbedane punaseks</t>
  </si>
  <si>
    <t>punane sädelus rbokaadiks</t>
  </si>
  <si>
    <t>nishiki kamuro vilkuvate otstega</t>
  </si>
  <si>
    <t>hõbedane sädelus</t>
  </si>
  <si>
    <t>roheline ring pragiseva rosetiga</t>
  </si>
  <si>
    <t>punased, rohelised, kollased langevad lehed</t>
  </si>
  <si>
    <t>super hobuse saba</t>
  </si>
  <si>
    <t>kuldne paju pragisevate otstega</t>
  </si>
  <si>
    <t>kuldne laine lilla pojengi topelt ringidega oranži vilkuvate otstega</t>
  </si>
  <si>
    <t>hõbedane saba tuhande punase lainega</t>
  </si>
  <si>
    <t>värviline daalia vilkuvate otstega</t>
  </si>
  <si>
    <t>brokaat vilkuvate otstega</t>
  </si>
  <si>
    <t>brokaat kroon siniseks ja punaseks punaste vilkuvate otstega</t>
  </si>
  <si>
    <t>Fiiberklaas toru, hävimatu, õhuke toru, kõrgus 38cm, paksus 2,2mm</t>
  </si>
  <si>
    <t>Fiiberklaas toru, hävimatu, õhuke toru, kõrgus 40cm, paksus 2,5mm</t>
  </si>
  <si>
    <t>Fiiberklaas toru, hävimatu, õhuke toru, kõrgus 50cm, paksus 3mm</t>
  </si>
  <si>
    <t>Fiiberklaas toru, hävimatu, õhuke toru, kõrgus 60cm, paksus 3.5mm</t>
  </si>
  <si>
    <t>Fiiberklaas toru, hävimatu, õhuke toru, kõrgus 80cm, paksus 4mm</t>
  </si>
  <si>
    <t>Fiiberklaas toru, hävimatu, õhuke toru, kõrgus 90cm, paksus 4mm</t>
  </si>
  <si>
    <t>hõbedane jet 5m - elektriline süüde</t>
  </si>
  <si>
    <t>hõbedane jet 8m - elektriline süüde</t>
  </si>
  <si>
    <t>hõbedane fontään-ilma suitsuta, efekti kõrgus 2m, elektriline süüde</t>
  </si>
  <si>
    <t>hõbedane fontään-ilma suitsuta, efekti kõrgus 3m, elektriline süüde</t>
  </si>
  <si>
    <t>hõbedane fontään-ilma suitsuta, efekti kõrgus 5m, elektriline süüde</t>
  </si>
  <si>
    <t>hõbedane fontään-ilma suitsuta, efekti kõrgus 6m, elektriline süüde</t>
  </si>
  <si>
    <t>topelt südamega 8st fontäänist päikeseratas</t>
  </si>
  <si>
    <t>väli kosk pikkus 20m, hõbedane ( efekti kõrgus 9m)</t>
  </si>
  <si>
    <t>elektriline sütik 30cm</t>
  </si>
  <si>
    <t>elektriline sütik 100cm</t>
  </si>
  <si>
    <t>elektriline sütik 200cm</t>
  </si>
  <si>
    <t>elektriline sütik 300cm</t>
  </si>
  <si>
    <t>elektriline sütik 500cm</t>
  </si>
  <si>
    <t>must plastik ühendus ots, patareide omavahel ühendamiseks</t>
  </si>
  <si>
    <t>must plastik ühendus pesa, patareide omavahel ühendamiseks</t>
  </si>
  <si>
    <t xml:space="preserve">Cu topelt kaabel 0.6mm sise diameeter, 1.1mm välis diameeter, ilutulestiku elektriliseks süütamiseks </t>
  </si>
  <si>
    <t>EST</t>
  </si>
  <si>
    <t>(ÁFA NÉLKÜL)</t>
  </si>
  <si>
    <t>(ÁFÁVAL)</t>
  </si>
  <si>
    <t>EFFEKTUS LEÍRÁSA</t>
  </si>
  <si>
    <t>RAKTÁRON</t>
  </si>
  <si>
    <t>FOGYÓBAN</t>
  </si>
  <si>
    <t>ELADVA</t>
  </si>
  <si>
    <t>NEMLEHET MEGRENDELNI</t>
  </si>
  <si>
    <t>IDE KATTINTVA VÁLASZTJA KI A LEHETŐSÉGET</t>
  </si>
  <si>
    <t>RAKLAPON</t>
  </si>
  <si>
    <t>UTOLSÓ</t>
  </si>
  <si>
    <t>KRT</t>
  </si>
  <si>
    <t>KEVESEBB MINT 1 KRT</t>
  </si>
  <si>
    <t>MAGYAR</t>
  </si>
  <si>
    <t>Srpski</t>
  </si>
  <si>
    <t>Latvietis</t>
  </si>
  <si>
    <t>LV</t>
  </si>
  <si>
    <t>HUN</t>
  </si>
  <si>
    <t>česky</t>
  </si>
  <si>
    <t>anglicky</t>
  </si>
  <si>
    <t>německy</t>
  </si>
  <si>
    <t>chorvatsky</t>
  </si>
  <si>
    <t>italsky</t>
  </si>
  <si>
    <t>polsky</t>
  </si>
  <si>
    <t>lotyština</t>
  </si>
  <si>
    <t>estonsky</t>
  </si>
  <si>
    <t>maďarsky</t>
  </si>
  <si>
    <t>svilpšana tanks (strūklaka+sprakšķošas svilpe no lielgabala)</t>
  </si>
  <si>
    <t>Haizivs mazulis ar strūklaku, paka ir 3 dažādas krāsainas haizivis (zaļa, dzeltena, rozā)</t>
  </si>
  <si>
    <t>Rotējošs sarkans/zaļš/dzeltens - zemes efekts</t>
  </si>
  <si>
    <t>Krasaina rotējoša un sprakšķoša riteņveida ar dūmu efektu nobeiguma</t>
  </si>
  <si>
    <t>Liels rotējošs sarkans/zaļš/dzeltens - zemes efekts</t>
  </si>
  <si>
    <t xml:space="preserve">Rotējošs svilpojošs efekts ar spakšķošu zvaigzni </t>
  </si>
  <si>
    <t>Liels rotējošs caurulvedigs sarkans + sprakšķošo - zemes efektu</t>
  </si>
  <si>
    <t>krākšķu efekts, garums 20cm</t>
  </si>
  <si>
    <t xml:space="preserve">krakšķu granulas </t>
  </si>
  <si>
    <t>krākšķu bumba 1g, diametra 23cm</t>
  </si>
  <si>
    <t>Svilpis</t>
  </si>
  <si>
    <t>Spargstošajs diegs</t>
  </si>
  <si>
    <t xml:space="preserve">Krasaina strūklaka ar krākšķu zvaigzni </t>
  </si>
  <si>
    <t>Mazs balts stroboskops (mirgojošs efekts)</t>
  </si>
  <si>
    <t>Bernu svētku lāpa (krasaina) ar spīdīgu aproci</t>
  </si>
  <si>
    <t>Krasainie metamie sprakšķi (diametrs 9mm)</t>
  </si>
  <si>
    <t>Melni metamie sprakšķi (diametrs 14mm)</t>
  </si>
  <si>
    <t>Zelta lidojoša bite</t>
  </si>
  <si>
    <t>Spvilpojoša lapsene</t>
  </si>
  <si>
    <t xml:space="preserve">Sudraba rotējoša aste </t>
  </si>
  <si>
    <t>Zaļa rotējošā aste uz zaļu mirdzumu</t>
  </si>
  <si>
    <t>Sudraba rotējošā aste uz krakšķi</t>
  </si>
  <si>
    <t>Sudraba rotējošā aste uz bālto mirdzumu ar sarkano pērli</t>
  </si>
  <si>
    <t>Sarkana aste uz sarkano vilni ar krākšķīgo nobeigumu</t>
  </si>
  <si>
    <t>Svilpoša lidmašina ar sarkano gaismu un krāšķīgiem zvaigznēm (2gab) + svilpošā lidmašīna ar zaļo gaismu un krakšķi+mirdzošie zvaigzni (2 gab)</t>
  </si>
  <si>
    <t>Lidojošs/pulsejošs krasu efektrs ar blokādes vainagu (1gab), lidojošs/pulsejošs krasu efekts ar sprakšķigo zvaigzni (1gab)</t>
  </si>
  <si>
    <t>Svilpojoša lidojoša plate ar zaļo gaismu</t>
  </si>
  <si>
    <t>Svilpojoša lidojoša plate ar asti+brokādes vainagu, efekta augstums 45m</t>
  </si>
  <si>
    <t>Bērnu paka, satur: DP1FD- 1x,DP1FR-1x,DP1BP- 3x,BK1B-1x,BK1P-1x,DP1CB-1x,DP1B-1x,DP1R-2x, S12S-1x</t>
  </si>
  <si>
    <t xml:space="preserve">Limejošs bērnu kalendārs ar 8 logiem </t>
  </si>
  <si>
    <t>Ģīmenes komplekts, satur: 4 raķētes: DP1BP-2x,DP1B-1x,S12S-1x,P1-1x,BK1B-1x,DP1R-1x,DP1VC-1x,DP1CB-1x,K01M-1x,R4420B- 2x</t>
  </si>
  <si>
    <t xml:space="preserve">Ģīmenes komplekts, satur: 1x-VP16A,DP1VC, LM2V 1 single pc, R4420B 2 single pc, R12T1 4 sinlge pc, </t>
  </si>
  <si>
    <t>Zelta brīnumsvece, garums 70cm, brīnumsveces garums 55cm, brīnumsvece diametra masa 4,5mm</t>
  </si>
  <si>
    <t>Zelta brīnumsvece, garums 40cm, brīnumsveces garums 32,5cm, brīnumsvece diametra masa 3,7mm</t>
  </si>
  <si>
    <t>Zelta brīnumsvece, garums 28cm, brīnumsveces garums 20,5cm, brīnumsvece diametra masa 3mm</t>
  </si>
  <si>
    <t>Zelta brīnumsvece, garums 90cm, brīnumsveces garums 61cm, brīnumsvece diametra masa 4,8mm</t>
  </si>
  <si>
    <t>Zelta brinumsvece, garums 90cm, brinumsveces garums 55cm, brinumsvece diametra masa 4,8mm</t>
  </si>
  <si>
    <t>Zelta brinumsvece, garums 70cm, brinumsveces garums 45cm, brinumsvece diametra masa 4,5mm</t>
  </si>
  <si>
    <t>Zelta brinumsvece, garums 40cm, brinumsveces garums 26cm, brinumsvece diametra masa 3,7mm</t>
  </si>
  <si>
    <t>Zelta brinumsvece, garums 28cm, brinumsveces garums 17cm, brinumsvece diametra masa 3mm</t>
  </si>
  <si>
    <t>Zelta brinumsvece, garums 16cm, brinumsveces garums 8,5cm, brinumsvece diametra masa 2,5mm</t>
  </si>
  <si>
    <t>Neona brīnumsvece (sarkana, dzeltena, zaļā, zila), garums 40cm, brīnumsveces garums 26cm, brīnumsvece diametra masa 3,7mm</t>
  </si>
  <si>
    <t>Neona brīnumsvece (sarkana, dzeltena, zaļā, zila), garums 40cm, brīnumsveces garums 26cm, brīnumsveces diametra masa 3,7mm</t>
  </si>
  <si>
    <t>Krakšķīša zelta brīnumsvece, garums 40cm, brīnumsveces garums 26cm, brīnumsveces materiala massa 3,7mm</t>
  </si>
  <si>
    <t>Zelta brīnumsvece forma ciparā 1</t>
  </si>
  <si>
    <t>Zelta brīnumsvece sidrs forma</t>
  </si>
  <si>
    <t xml:space="preserve">Zelta brīnumsvece zvaigznes forma </t>
  </si>
  <si>
    <t>Zelta brīnumsvece(cipāru miks 0-9, sirds, zvaigzne)</t>
  </si>
  <si>
    <t xml:space="preserve">Apaļi krāsainie dūmi(sarkans, zaļš, dzeltens, zilā, bālts, rozā) </t>
  </si>
  <si>
    <t>Dūmu caurule (zilā, sarkanā, dzeltenā, zaļā)</t>
  </si>
  <si>
    <t>Dūmu caurule (orandža, violēta, bālta, mēlna)</t>
  </si>
  <si>
    <t>Dūmu caurule ( zilā, sarkanā, dzeltenā, zaļā)</t>
  </si>
  <si>
    <t>Noraidošie kurmju dūmi( smārža + dūmi)</t>
  </si>
  <si>
    <t>Dūmu caurule - bālta krāsa</t>
  </si>
  <si>
    <t>Dumu caurule - sarkana krāsa</t>
  </si>
  <si>
    <t>Dūmu caurule - sarkana krāsa</t>
  </si>
  <si>
    <t>Dūmu caurule - zila krāsa</t>
  </si>
  <si>
    <t>Dūmu caurule - dzeltena krāsa</t>
  </si>
  <si>
    <t>Dūmu caurule - zaļa krāsa</t>
  </si>
  <si>
    <t>Dūmu caurule - orandža krāsa</t>
  </si>
  <si>
    <t>Dūmu caurule (dūmo no divām pusēs) - bālta krāsa</t>
  </si>
  <si>
    <t>Dūmu caurule (dūmo no divām pusēs) - sarkana krāsa</t>
  </si>
  <si>
    <t>Dūmu caurule (dūmo no divām pusēs) - zila krāsa</t>
  </si>
  <si>
    <t>Dūmu caurule ar vilkšānas uzsākšanas sistemu - Bālta krāsa</t>
  </si>
  <si>
    <t>Dūmu caurule ar vilkšānas uzsākšanas sistemu - sarkana krāsa</t>
  </si>
  <si>
    <t>Dūmu caurule ar vilkšānas uzsākšanas sistemu - zila krāsa</t>
  </si>
  <si>
    <t>Dūmu caurule ar vilkšānas uzsākšanas sistemu - dzeltena krāsa</t>
  </si>
  <si>
    <t>Dūmu caurule ar vilkšānas uzsākšanas sistemu - zaļa krāsa</t>
  </si>
  <si>
    <t>Dūmu caurule ar vilkšānas uzsākšanas sistemu - orandža krāsa</t>
  </si>
  <si>
    <t>Dūmu caurule ar vilkšānas uzsākšanas sistemu - melna krāsa</t>
  </si>
  <si>
    <t>Dūmu caurule (dūmo no divām pusēm) ar vilkšānas uzsākšanas sistemu - bālta krāsa</t>
  </si>
  <si>
    <t>Dūmu caurule (dūmo no divām pusēm) ar vilkšānas uzsākšanas sistemu - sarkana krāsa</t>
  </si>
  <si>
    <t>Dūmu caurule (dūmo no divām pusēm) ar vilkšānas uzsākšanas sistemu - zila krāsa</t>
  </si>
  <si>
    <t>Dūmu caurule (dūmo no divām pusēm) ar vilkšānas uzsākšanas sistemu - dzeltena krāsa</t>
  </si>
  <si>
    <t>Dūmu caurule (dūmo no divām pusēm) ar vilkšānas uzsākšanas sistemu - zaļa krāsa</t>
  </si>
  <si>
    <t>Dūmu caurule (dūmo no divām pusēm) ar vilkšānas uzsākšanas sistemu - orandža krāsa</t>
  </si>
  <si>
    <t>Dūmu caurule (dūmo no divām pusēm) ar vilkšānas uzsākšanas sistemu - melna krāsa</t>
  </si>
  <si>
    <t>Dūmu caurule ar skrāpēj galvu - bālta krāsa</t>
  </si>
  <si>
    <t>Dūmu caurule ar skrāpēj galvu - sarkana krāsa</t>
  </si>
  <si>
    <t>Dūmu caurule ar skrāpēj galvu - zila krāsa</t>
  </si>
  <si>
    <t>Dūmu caurule ar skrāpēj galvu - dzeltena krāsa</t>
  </si>
  <si>
    <t>Dūmu caurule ar skrāpēj galvu - zaļa krāsa</t>
  </si>
  <si>
    <t>Dūmu caurule ar skrāpēj galvu - orandža krāsa</t>
  </si>
  <si>
    <t>Dūmu caurule ar skrāpēj galvu - melna krāsa</t>
  </si>
  <si>
    <t>Dūmu caurule ar skrāpēj galvu - roza krāsa</t>
  </si>
  <si>
    <t>Dūmu caurule ar sviras aizdedzi - bālta krāsa</t>
  </si>
  <si>
    <t>Dūmu caurule ar sviras aizdedzi - sarkana krāsa</t>
  </si>
  <si>
    <t>Dūmu caurule ar sviras aizdedzi - zila krāsa</t>
  </si>
  <si>
    <t>Dūmu caurule ar sviras aizdedzi - dzeltena krāsa</t>
  </si>
  <si>
    <t>Dūmu caurule ar sviras aizdedzi - zaļa krāsa</t>
  </si>
  <si>
    <t>Dūmu caurule ar sviras aizdedzi - orandžā krāsa</t>
  </si>
  <si>
    <t>Dūmu caurule ar sviras aizdedzi - orandža krāsa</t>
  </si>
  <si>
    <t>Rokās turama dūmu caurule ar vilkšānas uzsākšānas sistemu - dzeltena krāsa</t>
  </si>
  <si>
    <t>Rokās turama dūmu caurule ar vilkšānas uzsākšānas sistemu - zaļa krāsa</t>
  </si>
  <si>
    <t>Rokās turama dūmu caurule ar vilkšānas uzsākšānas sistemu - orandža krāsa</t>
  </si>
  <si>
    <t>Rokās turama dūmu caurule ar vilkšānas uzsākšānas sistemu - melna krāsa</t>
  </si>
  <si>
    <t>Rokās turama dūmu caurule - bālta krāsa</t>
  </si>
  <si>
    <t>Rokās turama dūmu caurule - sarksana krāsa</t>
  </si>
  <si>
    <t>Rokās turama dūmu caurule - zila krāsa</t>
  </si>
  <si>
    <t>Rokās turama dūmu caurule - dzeltena krāsa</t>
  </si>
  <si>
    <t>Rokās turama dūmu caurule - zaļa krāsa</t>
  </si>
  <si>
    <t>Rokās turama dūmu caurule - orandža krāsa</t>
  </si>
  <si>
    <t>Rokās turama dūmu caurule - melna krāsa</t>
  </si>
  <si>
    <t>Sarkana lāpa + bāltie dūmi</t>
  </si>
  <si>
    <t>Zaļa lāpa + bāltie dūmi</t>
  </si>
  <si>
    <t>Bālta lāpa + bāltie dūmi</t>
  </si>
  <si>
    <t>Dzeltena lāpa + bāltie dūmi</t>
  </si>
  <si>
    <t>Zila lāpa + bāltie dūmi</t>
  </si>
  <si>
    <t xml:space="preserve">Sarkana lāpa </t>
  </si>
  <si>
    <t>Krasaina lāpa (sarkans, bālts, violets, dzeltens)</t>
  </si>
  <si>
    <t>Bālta zibspuldze</t>
  </si>
  <si>
    <t>Sarkana zibspuldze + dūmi</t>
  </si>
  <si>
    <t>Strūklaku miks, iepakojumā ir 2 gabali F10 un 2 gabali F1K</t>
  </si>
  <si>
    <t>Strūklaku miks, iepakojumā ir 2 gabali F2DF un 2 gabali F2DD</t>
  </si>
  <si>
    <t>Krāsaina gaisma (sarkana, zaļa, zila) + krāukšķīgo mīnu</t>
  </si>
  <si>
    <t>Krasaina zvaigzne, krākšķīga zvaigzne, svīlpojoša komēta</t>
  </si>
  <si>
    <t>6 dažādu krāsu efekts</t>
  </si>
  <si>
    <t>Krāsaina zvaigzne + liela krāukšķīga zvaigzne</t>
  </si>
  <si>
    <t>liela krāukšķīga zvaigzne</t>
  </si>
  <si>
    <t>Krasains efekts + krāukšķīga zvaigzne</t>
  </si>
  <si>
    <t>Multi-efekts</t>
  </si>
  <si>
    <t>Krāukšķīga strūklala</t>
  </si>
  <si>
    <t>rotojoša strūklaka</t>
  </si>
  <si>
    <t>Liela rotojošā strūklaka (uz malām/uz augšu efekts)</t>
  </si>
  <si>
    <t xml:space="preserve">Krasaina zvaigzne, 3m augstuma efekts </t>
  </si>
  <si>
    <t>Dubult krāukšķīga zvaigzne, 3m augstuma efekts</t>
  </si>
  <si>
    <t>Sudraba zvaigzne, 4m augstuma efekts</t>
  </si>
  <si>
    <t>sudraba krāukšķīga zvaigzne, 4m efekts</t>
  </si>
  <si>
    <t xml:space="preserve">Krasaina zvaigzne, 4m augstuma efekts </t>
  </si>
  <si>
    <t>Sudraba krākšķīga zvaigzne, 5m augstuma effekts</t>
  </si>
  <si>
    <t>Sudraba zvaigzne, 5m augstuma efekts</t>
  </si>
  <si>
    <t>Krāsaina zvaigzne, 5m augstuma efekts</t>
  </si>
  <si>
    <t>Sudraba krākšķīga zvaigzne, 6m augstuma effekts</t>
  </si>
  <si>
    <t>Sudraba zvaigzne, 6m augstuma efekts</t>
  </si>
  <si>
    <t>Krasaina zvaigzne, 6m augstuma efekts</t>
  </si>
  <si>
    <t>Sudraba zvaigzne, 7m augstuma efekts</t>
  </si>
  <si>
    <t>Krasaina zvaigzne, 7m augstuma efekts</t>
  </si>
  <si>
    <t>Iekštelpu strūklaka, degoša un virpuļojoša svece + atskāņo dzimšānas dienas dziesmu</t>
  </si>
  <si>
    <t xml:space="preserve">Sudraba zvaigzne (aukstais uguns) garums 10cm, higiēniski sertifīcēta </t>
  </si>
  <si>
    <t>Sudraba zvaigzne (aukstais uguns) garums 20cm, higiēniski sertifīcēta. Sudraba papīrs uz katru gb</t>
  </si>
  <si>
    <t>Sudraba zvaigzne (aukstais uguns) garums 30cm, higiēniski sertifīcēta. Zelta papīrs uz katru gb</t>
  </si>
  <si>
    <t>Sudraba zvaigzne (aukstais uguns) garums 12cm, higiēniski sertifīcēta. Zelta papīrs uz katru gb</t>
  </si>
  <si>
    <t>Sudraba zvaigzne (aukstais uguns) garums 20, higiēniski sertifīcēta. Zelta papīrs uz katru gb</t>
  </si>
  <si>
    <t>Sudraba zvaigzne (aukstais uguns) garums 20cm, higiēniski sertifīcēta. Paka satur numuru 0</t>
  </si>
  <si>
    <t>Sudraba zvaigzne (aukstais uguns) garums 20cm, higiēniski sertifīcēta. Paka satur numuru 1</t>
  </si>
  <si>
    <t>Sudraba zvaigzne (aukstais uguns) garums 20cm, higiēniski sertifīcēta. Paka satur numuru 2</t>
  </si>
  <si>
    <t>Sudraba zvaigzne (aukstais uguns) garums 20cm, higiēniski sertifīcēta. Paka satur numuru 3</t>
  </si>
  <si>
    <t>Sudraba zvaigzne (aukstais uguns) garums 20cm, higiēniski sertifīcēta. Paka satur numuru 4</t>
  </si>
  <si>
    <t>Sudraba zvaigzne (aukstais uguns) garums 20cm, higiēniski sertifīcēta. Paka satur numuru 5</t>
  </si>
  <si>
    <t>Sudraba zvaigzne (aukstais uguns) garums 20cm, higiēniski sertifīcēta. Paka satur numuru 6</t>
  </si>
  <si>
    <t>Sudraba zvaigzne (aukstais uguns) garums 20cm, higiēniski sertifīcēta. Paka satur numuru 7</t>
  </si>
  <si>
    <t>Sudraba zvaigzne (aukstais uguns) garums 20cm, higiēniski sertifīcēta. Paka satur numuru 8</t>
  </si>
  <si>
    <t>Sudraba zvaigzne (aukstais uguns) garums 20cm, higiēniski sertifīcēta. Paka satur numuru 9</t>
  </si>
  <si>
    <t>Sudraba zvaigzne (aukstais uguns) garums 20cm, higiēniski sertifīcēta. Paka satur numuru 0-9</t>
  </si>
  <si>
    <t>Garums 40cm, spīdīga krāsa papīrs</t>
  </si>
  <si>
    <t>garums 40cm, sudraba sirds + rožu lapas</t>
  </si>
  <si>
    <t>garums 40cm, EUR banknotes</t>
  </si>
  <si>
    <t>Garums 80cm, spīdīga krāsa papīrs</t>
  </si>
  <si>
    <t>Garums 80cm, Spīdīga zelta papīrs</t>
  </si>
  <si>
    <t>Garums 80cm, EUR banknotes</t>
  </si>
  <si>
    <t>20šv krasaina aste, 44cm garuma</t>
  </si>
  <si>
    <t>40šv krasaina aste, 70cm garuma</t>
  </si>
  <si>
    <t>10šv krasaina aste, 54cm garuma</t>
  </si>
  <si>
    <t>20šv krākšķīga komēta, 54cm garuma</t>
  </si>
  <si>
    <t>20šv krākšķīga komēta, 70cm garuma</t>
  </si>
  <si>
    <t>20šv krasaina aste, 60cm garums</t>
  </si>
  <si>
    <t>10šv krasaina aste + 10šv krākšķīga komēta, 65cm garuma</t>
  </si>
  <si>
    <t>Jaukta paciņa ar 20šv romiešu ugunim, garums 60cm ( iekļauts  R5420K-2pc, R6020B, R6520BK, R7020BK-2pc)</t>
  </si>
  <si>
    <t>Jaukta paciņa ar 20šv romiešu ugunim, garums 70cm ( iekļauts ,3pc of R7020K, R6020B, R6520BK,R7020BK)</t>
  </si>
  <si>
    <t>8šv sudraba aste + titānu salūts ar krākšķi, 58cm garuma</t>
  </si>
  <si>
    <t>8šv 3 dažādu krāšu efektu, 60cm garums</t>
  </si>
  <si>
    <t>Jaukta paciņa satur 8šv romiešu uguni ieskaitot: R5808D, R6008E, R6008K,R7508E</t>
  </si>
  <si>
    <t>8šv sudraba svīlpojoša aste, 65cm garums</t>
  </si>
  <si>
    <t>8šv 3 dažadu krāsu efekts, 75cm garums</t>
  </si>
  <si>
    <t>8šv 4 dažadu krāsu efekts, 75cm garums</t>
  </si>
  <si>
    <t>8šv, Brokādes aste + brodākes vainags, 75cm garums</t>
  </si>
  <si>
    <t>Romiešu ugunis 91šv, 4 dažadu krāsu</t>
  </si>
  <si>
    <t>Sudraba mīna uz sarkano asti uz titānu salūtu</t>
  </si>
  <si>
    <t>2 dažadu krāšu izpletņi</t>
  </si>
  <si>
    <t>Svīlpojoša aste</t>
  </si>
  <si>
    <t>4 dažadu krāsu efekts</t>
  </si>
  <si>
    <t>4 dažadu krāsu efekts - bez skāņas</t>
  </si>
  <si>
    <t>Sudraba mīna uz sarkano asti uz titāna salūtu</t>
  </si>
  <si>
    <t>svīlpojoša + strūklaka + mīna</t>
  </si>
  <si>
    <t>6 dažādi efekti, diametrā 50mm(augstaka kvālītate)</t>
  </si>
  <si>
    <t>18 dažadu krāsuefekts, 50mm (sīlindra būmba) - profesionāļu kvālītate</t>
  </si>
  <si>
    <t>Zaļa rotējoša ar krākšķi</t>
  </si>
  <si>
    <t>Sarkana krāsa + liels krākšķis</t>
  </si>
  <si>
    <t>Zaļa krāsa + liels krākšķis</t>
  </si>
  <si>
    <t xml:space="preserve">Zaļa krāsa + liels krākšķis </t>
  </si>
  <si>
    <t>Skrāpējama maza petarde, skaļuma stīprums 112dB no 8m</t>
  </si>
  <si>
    <t>Skrāpējama petarde, skaļuma stīprums 116dB no 8m</t>
  </si>
  <si>
    <t>Skrāpējama petarde (dubults), skaļuma stīprums 116+116dB no 8M</t>
  </si>
  <si>
    <t>Skrāpējama petarde (dubults), skaļuma stīprums 119dB no 15m, rāžots Eiropa, plastmasās apvelka</t>
  </si>
  <si>
    <t>Skaļuma jauda 114dB no 8m</t>
  </si>
  <si>
    <t>Skaļuma jaudas 117dB no 8m</t>
  </si>
  <si>
    <t>Skaļuma jauda 117dB no 8m</t>
  </si>
  <si>
    <t>Skaļuma jauda 119dB no 8m</t>
  </si>
  <si>
    <t>Skaļuma jauda 120dB no 8m, ražots Eiropa, plastmasās apvelka</t>
  </si>
  <si>
    <t>Skaļuma jauda 112dB no 8m (melns pulverīs)</t>
  </si>
  <si>
    <t>Skaļuma jauda 120dB no 15m, ražots Eiropa, plastmasās apvelka</t>
  </si>
  <si>
    <t>Skaļuma jauda 117dB no 15m ar zaļo krāsu no sakuma</t>
  </si>
  <si>
    <t>Skaļuma jauda 118dB no 15m, plastmasās apvelka</t>
  </si>
  <si>
    <t>Skaļuma jauda 120dB no 15m</t>
  </si>
  <si>
    <t>Skaļuma jauda120dB no 15m</t>
  </si>
  <si>
    <t>Skaļuma jauda 120dB no 15m ar zaļo krāsu no sakuma</t>
  </si>
  <si>
    <t>Skaļuma jauda 1209dB no 15m</t>
  </si>
  <si>
    <t>Skaļuma jauda 120dB no 15m ar sarkano krāsu no sakuma</t>
  </si>
  <si>
    <t>30g uzliesmojušs pulveris, skaļuma jauda 142dB no 15m,ražots Eiropa</t>
  </si>
  <si>
    <t>50g uzliesmojušo pulveri, skaļuma jauda 159dB no 15m,ražots Eiropa</t>
  </si>
  <si>
    <t>60g uzliesmojušo pulveri, skaļuma jauda 160dB no 15m,ražots Eiropa</t>
  </si>
  <si>
    <t>100g uzliesmojušo pulveri, skaļuma jauda 170dB no 15m,ražots Eiropa</t>
  </si>
  <si>
    <t>Krākšķīga bumba 3g, diametra 38mm</t>
  </si>
  <si>
    <t>Krākšķīga bumba 15g, diametra 38mm</t>
  </si>
  <si>
    <t>70šv, garums 16cm, svinīgie krākšķi no mazām petārdem</t>
  </si>
  <si>
    <t>200šv, garums 62cm, svinīgie krākšķi no videjām petārdem</t>
  </si>
  <si>
    <t>500šv, garums 155cm, svinīgie krākšķi no videjām petārdem</t>
  </si>
  <si>
    <t>1000šv, garums 310cm, svinīgie krākšķi no mazām petārdem</t>
  </si>
  <si>
    <t>1750šv mazie krākšķi + 200šv videji krākšķi + 19šv lielie krākšķi, garums 5,25m</t>
  </si>
  <si>
    <t>3500šv mazie krākšķi+ 400šv videji krākšķi + 19šv lielie krākšķi, garums 10,5m</t>
  </si>
  <si>
    <t>Signālu kasetne 15mm ar sprādzienu</t>
  </si>
  <si>
    <t>Svīlpojošs + blīķšķis</t>
  </si>
  <si>
    <t>Maza izmēra raķēte ar izpletni</t>
  </si>
  <si>
    <t xml:space="preserve">svīlpjoša aste + krasaina zvaigzne </t>
  </si>
  <si>
    <t>svīlpjoša aste uz sudraba mirdzumiem</t>
  </si>
  <si>
    <t xml:space="preserve">42cm augsta raķēte, krasaina zvaigzne </t>
  </si>
  <si>
    <t xml:space="preserve">72cm augsta raķēte, krasaina zvaigzne </t>
  </si>
  <si>
    <t>Svīlpojoša aste uz titāna salūtu ar krākšķi</t>
  </si>
  <si>
    <t>6 dažadu krāsu efekts - bez skaņas</t>
  </si>
  <si>
    <t>sudraba aste uz titāna salūtu ar krākšķi (2g uzliesmojušo pulveri)</t>
  </si>
  <si>
    <t>7 dažadu krāsu efekts</t>
  </si>
  <si>
    <t>9 dažadu krāsu efekts</t>
  </si>
  <si>
    <t>21 dažadu krāsu efekts</t>
  </si>
  <si>
    <t>33 dažadu krāsu efekts</t>
  </si>
  <si>
    <t>5 dažadu krāsu efekts</t>
  </si>
  <si>
    <t>sudraba aste uz titāna salūtu ar krākšķi (5g uzliesmojušo pulveri)</t>
  </si>
  <si>
    <t>11 dažadu krāsu efekts</t>
  </si>
  <si>
    <t>12 dažadu krāsu efekts</t>
  </si>
  <si>
    <t>18 dažadu krāsu efekts</t>
  </si>
  <si>
    <t>170cm augstums, augstakas kvalītates hroma raķēte, 2 dažadu krāsu efekts</t>
  </si>
  <si>
    <t>170cm augstums, augstakas kvalītates hroma raķēte, 3 dažadu krāsu efekts</t>
  </si>
  <si>
    <t>T-Krekls Dumbum, 180g</t>
  </si>
  <si>
    <t>T-Krekls POLO Dumbum, 225g</t>
  </si>
  <si>
    <t>Vilnas jaka Dumbum, 600g</t>
  </si>
  <si>
    <t>Beisbola cepure Dumbum</t>
  </si>
  <si>
    <t>Ziemas cepure Dumbum, Beanie</t>
  </si>
  <si>
    <t>Dumbum T-krekls M - ierobežota tīražā</t>
  </si>
  <si>
    <t>Dumbum T-krekls L - ierobežota tīražā</t>
  </si>
  <si>
    <t>Dumbum T-krekls XL - ierobežota tīražā</t>
  </si>
  <si>
    <t>Dumbum T-krekls XXL - ierobežota tīražā</t>
  </si>
  <si>
    <t>Dumbum T-krekls POLO M - ierobežota tīražā</t>
  </si>
  <si>
    <t>Dumbum T-krekls POLO L - ierobežota tīražā</t>
  </si>
  <si>
    <t>Dumbum T-krekls POLO XL - ierobežota tīražā</t>
  </si>
  <si>
    <t>Dumbum T-krekls POLO XXL - ierobežota tīražā</t>
  </si>
  <si>
    <t>Dumbum veste mīksta auduma M - eirobežota tīraža</t>
  </si>
  <si>
    <t>Dumbum veste mīksta auduma L - eirobežota tīraža</t>
  </si>
  <si>
    <t>Dumbum veste mīksta auduma XL - eirobežota tīraža</t>
  </si>
  <si>
    <t>Dumbum veste mīIksta auduma XXL - eirobežota tīraža</t>
  </si>
  <si>
    <t>Dumbum vilnas jaka M ierobežota tīražā</t>
  </si>
  <si>
    <t>Dumbum vilnas jaka L ierobežota tīražā</t>
  </si>
  <si>
    <t>Dumbum vilnas jaka XL ierobežota tīražā</t>
  </si>
  <si>
    <t>Dumbum vilnas jaka XXL ierobežota tīražā</t>
  </si>
  <si>
    <t>Dumbum hudi ar kapuci M ierobežota tīražā</t>
  </si>
  <si>
    <t>Dumbum hudi ar kapuci L ierobežota tīražā</t>
  </si>
  <si>
    <t>Dumbum hudi ar kapuci XL ierobežota tīražā</t>
  </si>
  <si>
    <t>Dumbum hudi ar kapuci XXL ierobežota tīražā</t>
  </si>
  <si>
    <t>Beisbola cepure Dumbum - ierobežõta tīražā</t>
  </si>
  <si>
    <t>Ziemas cepure Dumbum - Ierobežõta tīražā</t>
  </si>
  <si>
    <t>Enerģijas dzēriens 250ml, ražots EU</t>
  </si>
  <si>
    <t>Šampanietis Dumbum (Bohemia sekt) - 0,2L, ražots Čehu republika</t>
  </si>
  <si>
    <t>Roll - up plakāts Dumbum, izmers 200x85cm</t>
  </si>
  <si>
    <t>Roll-up plakāts bez skaņas uguņošana, izmers 200x85cm</t>
  </si>
  <si>
    <t>Roll - up plakāts Paraksta diapazons, izmers 200x85cm</t>
  </si>
  <si>
    <t>Reklāmas statīvs A1, izmers 84x60cm, ara lietošanāi</t>
  </si>
  <si>
    <t>Posteris, izmers 84x60cm, vertīkals</t>
  </si>
  <si>
    <t>Posterīs, izmers 98x68cm, plats</t>
  </si>
  <si>
    <t>Posterīs Dumbum, izmers 84x60cm, vertīkals</t>
  </si>
  <si>
    <t>Turbo-uguns šķiltavas Dumbum</t>
  </si>
  <si>
    <t>USB šķiltavas Dumbum</t>
  </si>
  <si>
    <t>Uzlīme Dumbum, izmers 17x15cm</t>
  </si>
  <si>
    <t>Iepirkšānas soma Klasek/Dumbum, izmers 50x40cm</t>
  </si>
  <si>
    <t>Iepirkšānas soma Dumbum, izmers 45x34cm</t>
  </si>
  <si>
    <t>Keramikas krūze Dumbum</t>
  </si>
  <si>
    <t>Peles paliktnis Dumbum</t>
  </si>
  <si>
    <t>Lietussargs Dumbum</t>
  </si>
  <si>
    <t>Auto smaržās Dumbum, ar aromatu no Invictus</t>
  </si>
  <si>
    <t>Prezentacīju statīvs priekš dzirksteles</t>
  </si>
  <si>
    <t>Šaušanas mašīna ar 4 pozicījam, attalīnāto kontroli, 4gb elektriskas aizdiedzes</t>
  </si>
  <si>
    <t>Iepakojūms satur 5m 2mm zaļu drošinatāju</t>
  </si>
  <si>
    <t>Sudraba svīlpojoša aste uz salūtu</t>
  </si>
  <si>
    <t>Krasaina un sprakšķiga komēta</t>
  </si>
  <si>
    <t>10 dažadu krāsu efekts</t>
  </si>
  <si>
    <t>20 dažadu krāsu efekts</t>
  </si>
  <si>
    <t>3 dažadu krāsu efekts</t>
  </si>
  <si>
    <t>Sudraba mīna uz sarkano asti uz titāna salūtu (stipra izlase)</t>
  </si>
  <si>
    <t>Sarkanais vilnis ar krākšķīgu iekšu, sudraba mīne uz sarkano asti uz titāna salūtu</t>
  </si>
  <si>
    <t>Sudraba vilnis ar spidīgo pistoli, orandžo asti uz orandzo pērli uz krizantēmu</t>
  </si>
  <si>
    <t>Brokāde kronis uz violētu</t>
  </si>
  <si>
    <t>Zila pālma ar zelta mirdzumu vidu</t>
  </si>
  <si>
    <t>Brokādes kronis uz violeto</t>
  </si>
  <si>
    <t>8 dažadu krāsu efekts</t>
  </si>
  <si>
    <t>9 dažadu krāsu efekts ar titānu salūtu fināla</t>
  </si>
  <si>
    <t>5 dažadu krāsu efekts ( kopa 10šv)</t>
  </si>
  <si>
    <t>13 dažadu krāsu efekts</t>
  </si>
  <si>
    <t xml:space="preserve">16 dasžādu krāsu efekts, 64šv (standarta caurule), 40šv (vēdeklis), 18šv (W vēdeklis)12šv(V vēdeklis) </t>
  </si>
  <si>
    <t>sudraba mīne uz sarkano asti uz titāna salūtu</t>
  </si>
  <si>
    <t>16 dažadu krāsu efekts</t>
  </si>
  <si>
    <t>20- dažadu krāsu efekts</t>
  </si>
  <si>
    <t>24 dažadu krāsu efekts</t>
  </si>
  <si>
    <t>32 dažadu krāsu efekts</t>
  </si>
  <si>
    <t>40 dažadu krāsu efekts</t>
  </si>
  <si>
    <t>26 dažadu krāsu efekts</t>
  </si>
  <si>
    <t>39 dažadu krāsu efekts</t>
  </si>
  <si>
    <t>52 dažadu krāsu efekts</t>
  </si>
  <si>
    <t>80 dažadu krāsu efekts</t>
  </si>
  <si>
    <t>Sudraba mīne uz sarkano asti uz titāna salūtu</t>
  </si>
  <si>
    <t>Svīlpoša aste</t>
  </si>
  <si>
    <t>7 dažadu krāsu efekts bez skaņas</t>
  </si>
  <si>
    <t>7 dažadu krāsu efekts (paraksta kvalītāte) komlekts satur uzlīmes dažadiem vēcumiem</t>
  </si>
  <si>
    <t>28šv zelta brodākes kronis uz sarkano/zilo, 21šv sudraba mīne uz titāna salūtu</t>
  </si>
  <si>
    <t>14 dažadu krāsu efekts</t>
  </si>
  <si>
    <t>11 dažadu krāsu efekts (efekti mainas kātru šavienu)</t>
  </si>
  <si>
    <t>40šv zelta brokādes kronis uz sarkano/zilo, 48šv sudraba mīne uz sarkano asti uz titāna salūtu</t>
  </si>
  <si>
    <t>6 dažādu zila krāsa efekti + 3 rindas sudraba mīnes uz sarkano asti un titāna salūtu</t>
  </si>
  <si>
    <t>10 dažādu krāsu efekts</t>
  </si>
  <si>
    <t>Sudraba mīne uz sarkano asti uz titana salūtu</t>
  </si>
  <si>
    <t>30 dažadu krāsu efekts</t>
  </si>
  <si>
    <t>4 dažadu krāsu efekts (efekts mainas kartu šavienu)</t>
  </si>
  <si>
    <t>Brokādes aste uz brokādes kroni ar krakšķi</t>
  </si>
  <si>
    <t>Sudraba mīne uz sarkano asti uz sudraba krizantēmu</t>
  </si>
  <si>
    <t>Krasaina dālija</t>
  </si>
  <si>
    <t>Sudraba aste uz sudraba pālmu uz violeto</t>
  </si>
  <si>
    <t>Krāsainas pērles uz krizantēmu</t>
  </si>
  <si>
    <t>5 dažadu krāsu efekts (bez skaņas)</t>
  </si>
  <si>
    <t>5 dažadu krāsu efekts (efekts mainas kartu šavienu)</t>
  </si>
  <si>
    <t>Brokāde + violets</t>
  </si>
  <si>
    <t>Zila aste uz Balto mirdzošo vītolu</t>
  </si>
  <si>
    <t>6 dažadu krāsu efekts</t>
  </si>
  <si>
    <t>6 dažadu krāsu efekts(efekts mainas katru šāvienu)</t>
  </si>
  <si>
    <t>7 dažadu krāsu efekts (efekts maians katru šāvienu)</t>
  </si>
  <si>
    <t>Sarkana aste uz super sarkano mirdzumu</t>
  </si>
  <si>
    <t>Krasaina aste uz krasaino pērli ar sarkano/zelta spoku</t>
  </si>
  <si>
    <t>sarkans mirdzošs vītols</t>
  </si>
  <si>
    <t>Liela zelta vītols</t>
  </si>
  <si>
    <t>8 dažadu krāsu efekts (efekts mainas kartu šavienu)</t>
  </si>
  <si>
    <t>Liels zelta vītols</t>
  </si>
  <si>
    <t>5 dažadu krāsu efekts - bez skaņas</t>
  </si>
  <si>
    <t>15 dažadu krāsu efekts</t>
  </si>
  <si>
    <t>10 dažadu krāsu efekts, paka satur uzlīmes ar dažadiem vēcumiem</t>
  </si>
  <si>
    <t>10 dažadu krāsu efekts, paka satur uzlīmes uz dažādiem vēcumiem</t>
  </si>
  <si>
    <t>Sudraba aste uz titāna salūtu</t>
  </si>
  <si>
    <t>Bālta mīne +sarkana aste uz titāna salūtu (katrā mortieri satur 10šv)</t>
  </si>
  <si>
    <t>Sudraba krākšķīga strūklaka + 8 dažadu krāsu efekts</t>
  </si>
  <si>
    <t>7 dažadu krāsu efekts ar titāna salūtu nobeigumu</t>
  </si>
  <si>
    <t>28 dažadu krāsu efekts</t>
  </si>
  <si>
    <t>42 dažadu krāsu efekts</t>
  </si>
  <si>
    <t>19 dažadu krāsu efekts</t>
  </si>
  <si>
    <t>34 dažadu krāsu efekts</t>
  </si>
  <si>
    <t>22 dažadu krāsu efekts</t>
  </si>
  <si>
    <t>2x strūklakas + 25 dažadu krāsu efekts</t>
  </si>
  <si>
    <t>17 dažadu krāsu efekts</t>
  </si>
  <si>
    <t>Sarkana aste</t>
  </si>
  <si>
    <t>Zaļa aste</t>
  </si>
  <si>
    <t>Dzeltena aste</t>
  </si>
  <si>
    <t>Zelta aste</t>
  </si>
  <si>
    <t>Sarkana mīrdzoša vītola aste</t>
  </si>
  <si>
    <t>Zaļa mīrdzoša vītal aste</t>
  </si>
  <si>
    <t>Sudraba mīrdzoša vītola aste</t>
  </si>
  <si>
    <t>Krākšķīga aste</t>
  </si>
  <si>
    <t>Sarkana mīrdzoša vītolu aste</t>
  </si>
  <si>
    <t>Zaļa mīrdzoša vītolu aste</t>
  </si>
  <si>
    <t xml:space="preserve">Bālta mīrdzoša mīna  </t>
  </si>
  <si>
    <t>Sarkana aste uz zaļo mirdzošu mīnu</t>
  </si>
  <si>
    <t>Jūras zils + sarkana mirdzoša mīne</t>
  </si>
  <si>
    <t>Sudraba mirdzoša mīne ar zaļo komētu</t>
  </si>
  <si>
    <t>Īpaša krāsa mīrdzoša mīna</t>
  </si>
  <si>
    <t>Zila uz sarkano krusteni + sarkana uz violeto krustini</t>
  </si>
  <si>
    <t>sarkana aste uz bālto mirdzošo + zaļa aste uz krākšķīga aste</t>
  </si>
  <si>
    <t>Sarkana aste uz krākšķīgo asti + zaļa aste uz krākšķīgo asti</t>
  </si>
  <si>
    <t>Krasainas zvaigznes + krākšķīga aste</t>
  </si>
  <si>
    <t>Sarkana aste uz novilcinātu petardi</t>
  </si>
  <si>
    <t>5 linijas: svīlpoša aste atstaro sarkano mirdzumu, balto mirdzumu, zilo zvaigzni</t>
  </si>
  <si>
    <t>Balta mīrdzoša mīna sarkana/zaļa/zila/violeta/gaiši dzeltana aste</t>
  </si>
  <si>
    <t>Bālta mirdzoša aste uz violeto</t>
  </si>
  <si>
    <t>sarkans un zaļs lietus + komēta</t>
  </si>
  <si>
    <t>Sudraba krizantēma mīne sarkana/zaļa/zila/violeta aste uz bālto mirdzumu</t>
  </si>
  <si>
    <t>Liela zelta pālma komēta + zila pērle</t>
  </si>
  <si>
    <t>Bālta mirdzoša strūklaka</t>
  </si>
  <si>
    <t>Zelta kronis ar zelta spīdigu papild efektu</t>
  </si>
  <si>
    <t>Zelta dzirksteles petardes</t>
  </si>
  <si>
    <t>Novilcināta petarde vītols, krasaina kritošas lapas ar zilo</t>
  </si>
  <si>
    <t>brokādes kronis uz sarkano asti + balts mirdzums</t>
  </si>
  <si>
    <t>Violeta zaļa dālija + lietus</t>
  </si>
  <si>
    <t>Zelta kokosrieksts + zaļs mirdzums</t>
  </si>
  <si>
    <t>Sarkans kokosrieksts + bālts mirdzums</t>
  </si>
  <si>
    <t>Violeta puķe ar brokādes kroņis</t>
  </si>
  <si>
    <t>Bālts mirdzums/orandža vilnis + zaļš mirdzums 10šv kopa</t>
  </si>
  <si>
    <t>sarkana aste uz brokādes kroņi + zila10šv kopa</t>
  </si>
  <si>
    <t>2 puses: zvaigzne vidu:zelta vītols + krākšķīga krizantēma 10šv kopa</t>
  </si>
  <si>
    <t>2 puses: sudraba, vidus: sudraba pālma uz orandžu + brokāde vītola puķe 10šv kopa</t>
  </si>
  <si>
    <t>krākšķīs + zila aste mīne uz orandžu vilni + zaļš mirdzums 10šv kopa</t>
  </si>
  <si>
    <t>krākšķīgs + zila aste mīne uz orandžu vilni + zaļš mirdzumu 10šv kopa</t>
  </si>
  <si>
    <t>Zila aste uz puķes vainagu 10šv kopa</t>
  </si>
  <si>
    <t>krākšķīga krizantēma mīnes aste uz brokādes kroņi + mirdzoša zvaigzne 10šv kopa</t>
  </si>
  <si>
    <t>Zila + sarkana mīrdzoša mīne uz krizantēmu kopa 10šv</t>
  </si>
  <si>
    <t>karaliskajs brokādes kroņis, zaļa, violeta 10šv kopa</t>
  </si>
  <si>
    <t>Zila aste uz novilcināto zirga asti 10šv kopa</t>
  </si>
  <si>
    <t>Sudraba mīrdzoša buķete uz novilcinatu sudraba spīdigu 10šv kopa</t>
  </si>
  <si>
    <t>krākšķīgs vītols + persiku sarkans  10šv kopa</t>
  </si>
  <si>
    <t>sarkans un krākšķīga vītols 10šv kopa</t>
  </si>
  <si>
    <t>titana zelta kokosrieksts + zaļš mirdzums 10šv kopa</t>
  </si>
  <si>
    <t>sarkans krākšķīgs kokosrieksts + balts mirdzums 10švkopa</t>
  </si>
  <si>
    <t>violeta citrona dālija + sudraba krizantēma 10šv kopa</t>
  </si>
  <si>
    <t>zaļa mīrdzoša vītols + zelta mirdzums 10šv kopa</t>
  </si>
  <si>
    <t>bālta mīrdzoša mīne uz sarkano mīrdzoša 10šv kopa</t>
  </si>
  <si>
    <t xml:space="preserve">brokāde + balts mīrdzums 10šv kopa </t>
  </si>
  <si>
    <t>Karalīskais brokādes papils efekts + violets 10šv kopa</t>
  </si>
  <si>
    <t>Sarkans zila zaļš +  lietus 10šv kopa</t>
  </si>
  <si>
    <t>sarkans kokosrieksts + zaļš + sudraba krizantēma 10šv kopa</t>
  </si>
  <si>
    <t>Karalīska brokādes + orandža pērle 10šv kopa</t>
  </si>
  <si>
    <t>Sarkana komētas aste, sarkana aste uz sarkana vilni ar mirdzumu 10 šv kopa</t>
  </si>
  <si>
    <t>karalīska brokāde ar krākšķi 10šv kopa</t>
  </si>
  <si>
    <t>saulespuķe ar sarkano zilo, sarkano mīrdzuma asti 10 šv kopa</t>
  </si>
  <si>
    <t>Violeta krustiņa + violeta aste uz brokādes kroņa ar violeto dāliju 10 šv kopa</t>
  </si>
  <si>
    <t>Violeta aste uz violeto krustinu ( C tipa-atvēras vidu)</t>
  </si>
  <si>
    <t>zila aste uz puķes kroņi</t>
  </si>
  <si>
    <t>krākšķīga krizantēma + zila mīna aste uz zelta komētu</t>
  </si>
  <si>
    <t>sudraba aste uz sarkano vilni ar krākšķi</t>
  </si>
  <si>
    <t>krākšķīga krizantēma uz brokādes kroņi + mīrdzojošas zvaigznes</t>
  </si>
  <si>
    <t>zila + sarkana mīrdzojoša mīna uz krizantēmu</t>
  </si>
  <si>
    <t>karaliskajs brokādes kroņis, zaļa, viloeta</t>
  </si>
  <si>
    <t>zila aste uz novilcinatu zirga asti</t>
  </si>
  <si>
    <t>sudrba mīrdzinoša buķete uz novilcinātu sudraba mīrdzumu</t>
  </si>
  <si>
    <t>krākšķīgs vītols + persiku sarkans</t>
  </si>
  <si>
    <t>sarkans krākšķīgs vītols</t>
  </si>
  <si>
    <t>titana zelta kokosrieksts + zaļš mirdzums</t>
  </si>
  <si>
    <t xml:space="preserve">sarkans krākšķīgs kokosrieksts + bālts mīrdzums </t>
  </si>
  <si>
    <t xml:space="preserve">Brokāde krākšķīga puķe + zila pērle </t>
  </si>
  <si>
    <t>violeta citrusa dālija + sudraba krizantēma</t>
  </si>
  <si>
    <t>zaļš mīrdzīgs vītols + zaļš mirdzums</t>
  </si>
  <si>
    <t>bālta mīrdzuma mīna uz sakrano mīrdzumu</t>
  </si>
  <si>
    <t>karalīska brokādes papild efekts + violeta</t>
  </si>
  <si>
    <t>rozā + liels lietus</t>
  </si>
  <si>
    <t>sarkans zaļs zila + liels lietus</t>
  </si>
  <si>
    <t xml:space="preserve">sarkans kokosrioeksts + zaļa + sudraba krizantēma </t>
  </si>
  <si>
    <t xml:space="preserve">karalīska brokāde +orandža pērle </t>
  </si>
  <si>
    <t>saulespuķe ar sarkano zilo, sarkano mirdzošo asti</t>
  </si>
  <si>
    <t>zila mīna aste uzsarkano komēta zvaigzne</t>
  </si>
  <si>
    <t>sarkana komēta lietus</t>
  </si>
  <si>
    <t>sarkans, zaļš, dzeltens, bālts, viloeta mīne</t>
  </si>
  <si>
    <t>zelta mirdzošs vītols ar zila buķeti</t>
  </si>
  <si>
    <t>Brokādes kronis buķete uz karalisko brokādes kroni</t>
  </si>
  <si>
    <t>zelta brokādes mīna</t>
  </si>
  <si>
    <t>1-20šv krākšķīga vītola aste + sarkana mirdzuma mīna, 21-50šv krākšķīgs vītols + sarkana mīrdzums</t>
  </si>
  <si>
    <t>zila pistole sudraba zivs</t>
  </si>
  <si>
    <t>zaļa lietus</t>
  </si>
  <si>
    <t>sarkans kokosrieksts + krākšķīgs viena puse/ zaļš kokosrieksts + krākšķīgs viena puse</t>
  </si>
  <si>
    <t>sarkans vilnis aste</t>
  </si>
  <si>
    <t xml:space="preserve">citrusa aste + citrusa kokosrieksts + sudraba krizanēma </t>
  </si>
  <si>
    <t>zila aste uz novilcinātu zigra asti</t>
  </si>
  <si>
    <t xml:space="preserve">divas puses: sudraba aste uz puķes vainagu zaļa mīrdzumu, vidu sarkana aste uz sarkanu pālmu ar krākšķi </t>
  </si>
  <si>
    <t>zila aste uz zilo zvaigzni mīrdzumu, sarkana zvaigzne bālta mīrdzums</t>
  </si>
  <si>
    <t>sarkana zaļa krustiņa</t>
  </si>
  <si>
    <t>zelta aste uz zelta krustiņu 8 šv kopa</t>
  </si>
  <si>
    <t>brokādes kroņa mīne 13 šv</t>
  </si>
  <si>
    <t>zelta aste uz zirga asti 13šv</t>
  </si>
  <si>
    <t>sudraba aste uz sudraba krākšķīgo vītolu 13šv</t>
  </si>
  <si>
    <t>sarkana aste ar vilni uz mirdzošo cēntru 13šv</t>
  </si>
  <si>
    <t>zelta aste ar zelta krustiņu ( C caurule)</t>
  </si>
  <si>
    <t>brokādes kroņa aste uz brokādes kroni 19šv</t>
  </si>
  <si>
    <t>sudraba aste uz sudrba krākšķīgo vītolu 19šv</t>
  </si>
  <si>
    <t>zelta/brokāde kroņa mīne 19šv</t>
  </si>
  <si>
    <t>sarkana spīduma mīne ar zaļo mīrdzumu komētu 19šv</t>
  </si>
  <si>
    <t>sudraba spīdiga mīna uz sarkano krustiņu 19 šv</t>
  </si>
  <si>
    <t>sudraba spīdiga mīna uz zaļo krustņu 19šv</t>
  </si>
  <si>
    <t>Citrons, roza, jūras zila ar sudraba spīduma mīne 19šv</t>
  </si>
  <si>
    <t>sudraba komēta ar sarkanu galu 19šv</t>
  </si>
  <si>
    <t xml:space="preserve">zila mīna ar zaļo komētu 19šv </t>
  </si>
  <si>
    <t>sarkana spīduma mīne uz zelta spīduma komētu ar sakano spīduma galu 19šv</t>
  </si>
  <si>
    <t>sudraba spīduma mīna ar violetu komētu 19šv</t>
  </si>
  <si>
    <t>sarkana spīduma aste uz sudraba spīduma ūdenskrītūmu 19šv</t>
  </si>
  <si>
    <t>svīlpojoša aste ar sarkano mīnu 19šv</t>
  </si>
  <si>
    <t>sudraba tīģera aste un sarkana krustiņa 19šv</t>
  </si>
  <si>
    <t xml:space="preserve">Sakrana mirgojoša aste uz sarkano mirdojošu vītolu 5šv </t>
  </si>
  <si>
    <t>sprakšķīga aste 5šv</t>
  </si>
  <si>
    <t>zaļa krustiņa mīna 5šv</t>
  </si>
  <si>
    <t>brokādes aste 5šv</t>
  </si>
  <si>
    <t>violeta sarkans citrona zaļš bālts krustiņa mīnsa 5 šv</t>
  </si>
  <si>
    <t xml:space="preserve">sprakšķiga krustiņa 5 šv </t>
  </si>
  <si>
    <t>novilcināta petarde vītols</t>
  </si>
  <si>
    <t xml:space="preserve">sarkana krizantēma </t>
  </si>
  <si>
    <t>sudraba mirgojošs vītols</t>
  </si>
  <si>
    <t>sudraba vilnis uz sarkano</t>
  </si>
  <si>
    <t>zaļa aste uz zaļo vilni ar sprakšķi</t>
  </si>
  <si>
    <t>krasaina dālija</t>
  </si>
  <si>
    <t>sudraba aste uz sudraba palma koku</t>
  </si>
  <si>
    <t>zelta milzīgs vītols</t>
  </si>
  <si>
    <t>sudraba aste uz sudraba mīrdzumu</t>
  </si>
  <si>
    <t>sudraba aste uz titāna salūtu</t>
  </si>
  <si>
    <t>Mikseta kaste satur 1 paku ar S2A,B,D,E,F,G,H,CH,J,L,N,O</t>
  </si>
  <si>
    <t>krasaina krizantēma</t>
  </si>
  <si>
    <t xml:space="preserve">sudraba spīdigs strūklaka </t>
  </si>
  <si>
    <t>sudraba aste uz sarkano vilni ar sprakšķi</t>
  </si>
  <si>
    <t>Kroņa krizantēma uz zilo</t>
  </si>
  <si>
    <t>sarkana peonija ar sudraba pālma kodolu</t>
  </si>
  <si>
    <t>novilcināta sprakšķigs vītols</t>
  </si>
  <si>
    <t>ūdens krāsa pions ar brokādes papild efektu</t>
  </si>
  <si>
    <t>ktizantēma uz violetu</t>
  </si>
  <si>
    <t>zelta mīlzīgs vītols</t>
  </si>
  <si>
    <t>brokādes kroņa krustiņa</t>
  </si>
  <si>
    <t>roza dālija ar roza papild efektu</t>
  </si>
  <si>
    <t>sudraba aste uz sudraba pālmu koku</t>
  </si>
  <si>
    <t>brokādes kroņis ar bālto spīdumu</t>
  </si>
  <si>
    <t>violeto vilni ar zaļo spīdumu</t>
  </si>
  <si>
    <t>violets gredzēnsar krizantēmu papild efektu</t>
  </si>
  <si>
    <t>asins sarkans + sudraba mirdzumu</t>
  </si>
  <si>
    <t>sarkans kokos ar sudraba mirdzumu papild efektu</t>
  </si>
  <si>
    <t>citrona krustiņa + violeta krustiņa</t>
  </si>
  <si>
    <t>sarkana vilnis krustiņa</t>
  </si>
  <si>
    <t>sarkans/citrona dālija</t>
  </si>
  <si>
    <t>sarkans vilnis ar sprakšķi</t>
  </si>
  <si>
    <t>spīdigs pālmu koks</t>
  </si>
  <si>
    <t>zelta titāna vītols ar asorti krasainu spīdumu</t>
  </si>
  <si>
    <t>Titāna krizantēma sprakšķiga uz titāna sprakšķigo pālmu</t>
  </si>
  <si>
    <t>sudraba midzoša strūklaka</t>
  </si>
  <si>
    <t>Puķes vainags ar sarkano spīdigu papild efektu</t>
  </si>
  <si>
    <t>puse sarkanas/zaļa krustiņa</t>
  </si>
  <si>
    <t>sprakšķiga nishiki kamuro</t>
  </si>
  <si>
    <t>sudraba vainags ar sarkano papild efektu</t>
  </si>
  <si>
    <t>asins sarkans + sudraba mirdzums</t>
  </si>
  <si>
    <t>sudraba mirdzums</t>
  </si>
  <si>
    <t>īpašāis mīrdzuma sarkans</t>
  </si>
  <si>
    <t>zaļa peonija ar korolas papild efektu ar brokādes milzumu</t>
  </si>
  <si>
    <t>sudraba vilnis uz zilo ar sprakšķi</t>
  </si>
  <si>
    <t>violeta krustiņa</t>
  </si>
  <si>
    <t>brokādes kronis krustiņa</t>
  </si>
  <si>
    <t>zeklta vilnis uz sarkano</t>
  </si>
  <si>
    <t>sudraba vītols ar sarkanu papild efektu</t>
  </si>
  <si>
    <t>sudraba aste uz sarkano peoniju ar sudraba pālmu papild efektu</t>
  </si>
  <si>
    <t>sarkans, orandžigs uz sarkanu uz zilo krizantēmu uz sarkanu zirnekļa grēdzenu</t>
  </si>
  <si>
    <t>sarkana peonija uz brokādi</t>
  </si>
  <si>
    <t>palmu papild efekts ar udens peoniju</t>
  </si>
  <si>
    <t>zils gredzens ar krizantēmu papild efektu</t>
  </si>
  <si>
    <t>sarkans mīrdzuma vītols</t>
  </si>
  <si>
    <t>sarkans tris zobēnu vīrs</t>
  </si>
  <si>
    <t>orandža vilnis uz zaļo</t>
  </si>
  <si>
    <t>brokādes kroņis uz krāsaino</t>
  </si>
  <si>
    <t>sprakšķigs vilnis uz sarkano</t>
  </si>
  <si>
    <t>sudraba kokos ar sprakķšīgo lietus papild efektu</t>
  </si>
  <si>
    <t>sprakšķigs udenskrītums</t>
  </si>
  <si>
    <t>sprakšķigs vītols krustiņa</t>
  </si>
  <si>
    <t>sudraba drākona gredzēns + sakrans krustiņa ( cilinders)</t>
  </si>
  <si>
    <t>sudraba sprakšķigs kokos ar sarkano mīrdzumu uz sudraba sprakšķigo tīgera asti</t>
  </si>
  <si>
    <t>Sprakšķiga krustiņa</t>
  </si>
  <si>
    <t>sudraba zirneklis ar papild mirdzumu</t>
  </si>
  <si>
    <t>sudraba spīdigs sarkana kokos krustiņa</t>
  </si>
  <si>
    <t>Sprakšķiga liela krizantēma</t>
  </si>
  <si>
    <t>brokādes kronis</t>
  </si>
  <si>
    <t>zils papild efekts sudraba gredzēns uz brokādes kronis ar gredzenu krizantēmu papild efektu</t>
  </si>
  <si>
    <t>brokākes novilcināta petarde uz zilo ar zaļo spīdigo papild efektu</t>
  </si>
  <si>
    <t>sprakšķigs koks ar krasainu mirdzumu papild efektu</t>
  </si>
  <si>
    <t xml:space="preserve">krizantēma uz sarkano klīstoša  zvaigzne </t>
  </si>
  <si>
    <t>lieli lietus vītols strūklaka</t>
  </si>
  <si>
    <t>spoku sudraba uz sarkano</t>
  </si>
  <si>
    <t>sarknas spīdums ar brokādes kriņi</t>
  </si>
  <si>
    <t>sudraba aste uz sudraba pālmu</t>
  </si>
  <si>
    <t>nishiki kamuro mirdzoša papild efekts</t>
  </si>
  <si>
    <t>sudraba spīdums</t>
  </si>
  <si>
    <t>zaļš gredzēns ar krizantēmu sprakķšigo krustiņu</t>
  </si>
  <si>
    <t>sarkans zaļš dzeltens kritošās lapas</t>
  </si>
  <si>
    <t>supērīga zirga aste</t>
  </si>
  <si>
    <t>zelta titāna vītols ar sprakšķigo papild efektu</t>
  </si>
  <si>
    <t>zelta vilnis ar violetu peoniju dubult gredzēns uz ipāšu orandžu mirdzuma papild efektu</t>
  </si>
  <si>
    <t>sudraba aste uz 1000 sarkanu vilni</t>
  </si>
  <si>
    <t>sudraba spīdums sarkans kokosa krustiņa</t>
  </si>
  <si>
    <t>krāsaian dālija ar mirdzuma papild efektu</t>
  </si>
  <si>
    <t>brokādes kokos ar mirdzuma papild efektu</t>
  </si>
  <si>
    <t>brokādes vainags uz zilo uz sarkano mirdzumu ar sarkano mirdzuma papild efektu</t>
  </si>
  <si>
    <t>neiznīcināms, plāna caurule, augstums 38cm, biezums 2,2mm</t>
  </si>
  <si>
    <t>neiznīcināms, plāna caurule, augstums 40cm, biezums 2,5mm</t>
  </si>
  <si>
    <t>neiznīcināms, plāna caurule, augstums 50cm, biezums 3 mm</t>
  </si>
  <si>
    <t>neiznīcināms, plāna caurule, augstums 60cm, biezums 3,5mm</t>
  </si>
  <si>
    <t>neiznīcināms, plāna caurule, augstums 80cm, biezums 4mm</t>
  </si>
  <si>
    <t>neiznīcināms, plāna caurule, augstums 90cm, biezums 4 mm</t>
  </si>
  <si>
    <t>sudraba uguns 5m - elektriskajs aizdedzinātājs</t>
  </si>
  <si>
    <t>sudraba uguns 8m - elektriskajs aizdedzinātājs</t>
  </si>
  <si>
    <t>sudraba strūklaka - bez dūmu, efekta augstums 2m, elektriskajs aizdedzinātājs</t>
  </si>
  <si>
    <t>sudraba strūklaka - bez dūmu, efekta augstums 3m, elektriskajs aizdedzinātājs</t>
  </si>
  <si>
    <t>sudraba strūklaka - bez dūmu, efekta augstums 5m, elektriskajs aizdedzinātājs</t>
  </si>
  <si>
    <t>sudraba strūklaka - bez dūmu, efekta augstums 6m, elektriskajs aizdedzinātājs</t>
  </si>
  <si>
    <t>Dubult sirds ar 8 gab sudraba strūklaku</t>
  </si>
  <si>
    <t>Arā uzdenkrītums 20m garums, sudraba krāsa (9m efekta augtums)</t>
  </si>
  <si>
    <t>elektīskajs palaidējs garums 30cm</t>
  </si>
  <si>
    <t>elektīskajs palaidējs, garums 100 cm</t>
  </si>
  <si>
    <t>elektīskajs palaidējs, garums 200 cm</t>
  </si>
  <si>
    <t>elektīskajs palaidējs, garums 300cm</t>
  </si>
  <si>
    <t>elektīskajs palaidējs, garums 500cm</t>
  </si>
  <si>
    <t>melns pulvēris, savienojūma daļa, gatāvots lai savienotu proddukcīju</t>
  </si>
  <si>
    <t>melns pulvēris, savienojūmakontaktligzda, gatāvots la savienotu produkcīju</t>
  </si>
  <si>
    <t>IGEN</t>
  </si>
  <si>
    <t>(bez PVN)</t>
  </si>
  <si>
    <t>(ar PVN)</t>
  </si>
  <si>
    <t>(jāaizpilda automātiski)</t>
  </si>
  <si>
    <t>ADR sertifikāts</t>
  </si>
  <si>
    <t>Iepakojums kastītē</t>
  </si>
  <si>
    <t>BAM sertifikāts</t>
  </si>
  <si>
    <t xml:space="preserve">CBM_x000D_
tilpums m3 </t>
  </si>
  <si>
    <t>Kopā</t>
  </si>
  <si>
    <t>kopā [kg]</t>
  </si>
  <si>
    <t>kopā [m3]</t>
  </si>
  <si>
    <t xml:space="preserve">Kopā_x000D_
NEM [kg] </t>
  </si>
  <si>
    <t>Cena EUR pēc atlaides</t>
  </si>
  <si>
    <t>Cena CZK</t>
  </si>
  <si>
    <t>pēc atlaides</t>
  </si>
  <si>
    <t>pirms atlaides</t>
  </si>
  <si>
    <t>Cenrāža atjaunināšanas datums:</t>
  </si>
  <si>
    <t>Valoda</t>
  </si>
  <si>
    <t>Kataloga numurs</t>
  </si>
  <si>
    <t>Klases briesmas</t>
  </si>
  <si>
    <t>maza iepakojuma</t>
  </si>
  <si>
    <t>Iespējama pārdošana vienā iepakojumā</t>
  </si>
  <si>
    <t>Produkta nosaukums</t>
  </si>
  <si>
    <t>Pasūtītas kastītes</t>
  </si>
  <si>
    <t>Kastīšu skaits paletē</t>
  </si>
  <si>
    <t>Efekta apraksts</t>
  </si>
  <si>
    <t>Situācija krājumā</t>
  </si>
  <si>
    <t>liela iepakojuma</t>
  </si>
  <si>
    <t>UZ KRĀJUMA</t>
  </si>
  <si>
    <t>PĒDĒJĀS DAĻAS</t>
  </si>
  <si>
    <t>IZPĀRDOTS</t>
  </si>
  <si>
    <t>NEPIEEJAMS!</t>
  </si>
  <si>
    <t>Nospiediet šeit, lai izvēlētos iespēju!</t>
  </si>
  <si>
    <t>kas.</t>
  </si>
  <si>
    <t>Mazāk par 1 kastīte!</t>
  </si>
  <si>
    <t>PĒDĒJAIS</t>
  </si>
  <si>
    <t>Kā PVN maksātājs mēs par iepriekš minētajām cenām iekasējam 21% PVN.</t>
  </si>
  <si>
    <t>KAT F4 un T2 iegādei nepieciešama kvalificētas personas licence!</t>
  </si>
  <si>
    <t>Klientiem ar atlaidi vairāk nekā 50% minimālais pirkums ir 10 000 CZK.</t>
  </si>
  <si>
    <t>Visas cenas šajā cenrādī ir bez piegādes (EXW Incoterms 2010), ti, klientam pašam ir jāmaksā par transportu.</t>
  </si>
  <si>
    <t>Pasūtīt var tikai veselas eksporta kastes.</t>
  </si>
  <si>
    <t>Elementi, kas atzīmēti A kolonnā, piemēram, JĀ - pat pēc iesaiņošanas ir iespējams pasūtīt papildu 20%.</t>
  </si>
  <si>
    <t>Preces, kuru pašlaik nav noliktavā, nevar pasūtīt. Pasūtījuma lauks ir iezīmēts melnā krāsā.</t>
  </si>
  <si>
    <t>Izvēlieties transporta veidu</t>
  </si>
  <si>
    <t>Punktu aprēķins pēc ADR:</t>
  </si>
  <si>
    <t>Ja rezultāts ir mazāks par 1000, tas nozīmē, ka tas ir pārāk mazs transports bez ADR automašīnas.</t>
  </si>
  <si>
    <t>Jūs esat pasūtījis</t>
  </si>
  <si>
    <t>kastītes, kuras iesaiņosim uz paletēm.</t>
  </si>
  <si>
    <t>preču kastes ar bezmaksas iekraušanu.</t>
  </si>
  <si>
    <t>Jūs pasūtāt preci, kuras nav noliktavā</t>
  </si>
  <si>
    <t>noņemiet to no pasūtījuma!</t>
  </si>
  <si>
    <t>JĀ</t>
  </si>
  <si>
    <t>bilde</t>
  </si>
  <si>
    <t>tilpums m3</t>
  </si>
  <si>
    <t>maiņas kurss</t>
  </si>
  <si>
    <t>uz paliktņiem</t>
  </si>
  <si>
    <t>száguldó fütyülő tank /szökőkút+recsegő ágyú lövés/</t>
  </si>
  <si>
    <t xml:space="preserve">baby shark szökőkúttal, 3 külömböző színű cápa a kartonban /zöld, sárga, lila/
</t>
  </si>
  <si>
    <t>forgó piros/zöld/sárga effektus- földszínti effektus</t>
  </si>
  <si>
    <t>forgó színes és recsegő karika füst effektussal a végén</t>
  </si>
  <si>
    <t>nagy forgó piros/zöld/sárga effektus- földszínti effektus</t>
  </si>
  <si>
    <t>fütyülő forgó effektus recsegő csillagokkal</t>
  </si>
  <si>
    <t>forgó piros-recsegő effektus -  földszínti effektus</t>
  </si>
  <si>
    <t>recsegő effektus, hossz 20cm</t>
  </si>
  <si>
    <t>recsegő színes szemcsék</t>
  </si>
  <si>
    <t>recsegő ballonok 1g, átmerő 23mm</t>
  </si>
  <si>
    <t>fütyülő cső</t>
  </si>
  <si>
    <t>durranó madzagok</t>
  </si>
  <si>
    <t>színes szökőkút recsegő csillagokkal</t>
  </si>
  <si>
    <t>kis fehér stroboszkóp</t>
  </si>
  <si>
    <t>gyerek párty fáklya /színes/ világító karkötővel</t>
  </si>
  <si>
    <t>színes robbanó patronok /átmérő 9mm/</t>
  </si>
  <si>
    <t>fekete robbanó patronok /átmérő 14mm/</t>
  </si>
  <si>
    <t>arany repülő méhe</t>
  </si>
  <si>
    <t>fütyülő darázs</t>
  </si>
  <si>
    <t>ezüst forgó csóva</t>
  </si>
  <si>
    <t>zöld forgó csóva zöld villogó csillagokkal</t>
  </si>
  <si>
    <t>ezüst forgó csóva recsegő csillagokkal</t>
  </si>
  <si>
    <t>ezüst forgó csóva + piros gyönygyök fehŕ villogó középpel</t>
  </si>
  <si>
    <t>piros csóva piros hullámal és recsegő középpel</t>
  </si>
  <si>
    <t>fütyülő repülő piros fénnyel és recsegő csillagokkal /2db/+fütyülő repülő zöld fénnyel és recsegő villogó csillagokkal /2db/</t>
  </si>
  <si>
    <t>repülő/pulzáló színes effektus brokát koronával /1db/, repülő/pulzáló színes effektus recsegő csillagokkal</t>
  </si>
  <si>
    <t>fütyülő repülő csészealj zöld fénnyel</t>
  </si>
  <si>
    <t>fütyülő repülő csészealj csóvával+brokát korona, effektus magassága 45m</t>
  </si>
  <si>
    <t>gyerek naptár 8 ajándékot rejtett ablakkal dec. 24 - dec.31-ig</t>
  </si>
  <si>
    <t>arany csillagszóró, hossza 70cm, szikrázó anyagrész 55cm, átmérő 4,5mm</t>
  </si>
  <si>
    <t>arany csillagszóró, hossza 40cm, szikrázó anyagrész 32,5cm, átmérő 3,7mm</t>
  </si>
  <si>
    <t>arany csillagszóró, hossza 28cm, szikrázó anyagrész 20,5cm, átmérő 3mm</t>
  </si>
  <si>
    <t>arany csillagszóró, hossza 90cm, szikrázó anyagrész 61cm, átmérő 4,8mm</t>
  </si>
  <si>
    <t>arany csillagszóró, hossza 90cm, szikrázó anyagrész 55cm, átmérő 4,8mm</t>
  </si>
  <si>
    <t>arany csillagszóró, hossza 70cm, szikrázó anyagrész 45cm, átmérő 4,5mm</t>
  </si>
  <si>
    <t>arany csillagszóró, hossza 40cm, szikrázó anyagrész 26cm, átmérő 3,7mm</t>
  </si>
  <si>
    <t>arany csillagszóró, hossza 28cm, szikrázó anyagrész 17cm, átmérő 3mm</t>
  </si>
  <si>
    <t>arany csillagszóró, hossza 16cm, szikrázó anyagrész 8,5cm, átmérő 2,5mm</t>
  </si>
  <si>
    <t>neon csillagszórók /rózsaszín, sárga, zöld, kék/, hossza 28cm, szikrázó anyagrész 17cm, átmérő 3mm</t>
  </si>
  <si>
    <t>neon csillagszórók /rózsaszín, sárga, zöld, kék/, hossza 40cm, szikrázó anyagrész 26cm, átmérő 3,7mm</t>
  </si>
  <si>
    <t>recsegő arany csillagszórók hossza 40cm, szikrázó anyagrész 26cm, átmérő 3,7mm</t>
  </si>
  <si>
    <t>arany csillagszóró 1-es szám alakú</t>
  </si>
  <si>
    <t>arany csillagszóró szív alakú</t>
  </si>
  <si>
    <t>arany csillagszóró csillag alakú</t>
  </si>
  <si>
    <t>arany csillagszóró /mix 0-9 es szám, szív, csillag alakú/</t>
  </si>
  <si>
    <t>színes füstgolyók /piros, zöld, sárga, kék, fehér, lila/</t>
  </si>
  <si>
    <t>füstbomba /tubus/- kék, piros, sárga, zöld</t>
  </si>
  <si>
    <t>füstbomba /tubus/- narancssárga, lila, fehér, fekete</t>
  </si>
  <si>
    <t>vakondriasztó füstbomba /füst+bűz/</t>
  </si>
  <si>
    <t>füstbomba /tubus/- fehér színű</t>
  </si>
  <si>
    <t>füstbomba /tubus/- piros színű</t>
  </si>
  <si>
    <t>füstbomba /tubus/- kék színű</t>
  </si>
  <si>
    <t>füstbomba /tubus/- sárga színű</t>
  </si>
  <si>
    <t>füstbomba /tubus/- zöld színű</t>
  </si>
  <si>
    <t>füstbomba /tubus/- narancssárga színű</t>
  </si>
  <si>
    <t>füstbomba /tubus két oldalról füstöl/- fehér színű</t>
  </si>
  <si>
    <t>füstbomba /tubus két oldalról füstöl/- piros színű</t>
  </si>
  <si>
    <t>füstbomba /tubus két oldalról füstöl/- kék színű</t>
  </si>
  <si>
    <t>füstbomba /tubus/ rántó gyújtóval- fehér színű</t>
  </si>
  <si>
    <t>füstbomba /tubus/ rántó gyújtóval- piros színű</t>
  </si>
  <si>
    <t>füstbomba /tubus/ rántó gyújtóval- kék színű</t>
  </si>
  <si>
    <t>füstbomba /tubus/ rántó gyújtóval- sárga színű</t>
  </si>
  <si>
    <t>füstbomba /tubus/ rántó gyújtóval- zöld színű</t>
  </si>
  <si>
    <t>füstbomba /tubus/ rántó gyújtóval- narancssárga színű</t>
  </si>
  <si>
    <t>füstbomba /tubus/ rántó gyújtóval- fekete színű</t>
  </si>
  <si>
    <t>füstbomba /tubus két oldalról füstöl/ rántó gyújtóval- fehér színű</t>
  </si>
  <si>
    <t>füstbomba /tubus két oldalról füstöl/ rántó gyújtóval- piros színű</t>
  </si>
  <si>
    <t>füstbomba /tubus két oldalról füstöl/ rántó gyújtóval- kék színű</t>
  </si>
  <si>
    <t>füstbomba /tubus két oldalról füstöl/ rántó gyújtóval- sárga színű</t>
  </si>
  <si>
    <t>füstbomba /tubus két oldalról füstöl/ rántó gyújtóval- zöld színű</t>
  </si>
  <si>
    <t>füstbomba /tubus két oldalról füstöl/ rántó gyújtóval- narancssárga színű</t>
  </si>
  <si>
    <t>füstbomba /tubus két oldalról füstöl/ rántó gyújtóval- fekete színű</t>
  </si>
  <si>
    <t>dörzsfejes füstbomba- fehér színű</t>
  </si>
  <si>
    <t>dörzsfejes füstbomba- piros színű</t>
  </si>
  <si>
    <t>dörzsfejes füstbomba- kék színű</t>
  </si>
  <si>
    <t>dörzsfejes füstbomba- sárga színű</t>
  </si>
  <si>
    <t>dörzsfejes füstbomba- zöld színű</t>
  </si>
  <si>
    <t>dörzsfejes füstbomba- narancssárga színű</t>
  </si>
  <si>
    <t>dörzsfejes füstbomba- fekete színű</t>
  </si>
  <si>
    <t>dörzsfejes füstbomba- rózsa színű</t>
  </si>
  <si>
    <t>füstbomba indítókarral- fehér színű</t>
  </si>
  <si>
    <t>füstbomba indítókarral- piros színű</t>
  </si>
  <si>
    <t>füstbomba indítókarral- kék színű</t>
  </si>
  <si>
    <t>füstbomba indítókarral- sárga színű</t>
  </si>
  <si>
    <t>füstbomba indítókarral- zöld színű</t>
  </si>
  <si>
    <t>füstbomba indítókarral- narancssárga színű</t>
  </si>
  <si>
    <t>kézi füstfáklya rántó gyújtóval - sárga színű</t>
  </si>
  <si>
    <t>kézi füstfáklya rántó gyújtóval - zöld színű</t>
  </si>
  <si>
    <t>kézi füstfáklya rántó gyújtóval - narancssárga színű</t>
  </si>
  <si>
    <t>kézi füstfáklya rántó gyújtóval - fekete színű</t>
  </si>
  <si>
    <t>kézi füstfáklya - fehér színű</t>
  </si>
  <si>
    <t>kézi füstfáklya - piros színű</t>
  </si>
  <si>
    <t>kézi füstfáklya - kék színű</t>
  </si>
  <si>
    <t>kézi füstfáklya - sárga színű</t>
  </si>
  <si>
    <t>kézi füstfáklya - zöld színű</t>
  </si>
  <si>
    <t>kézi füstfáklya - narancssárga színű</t>
  </si>
  <si>
    <t>kézi füstfáklya - fekete színű</t>
  </si>
  <si>
    <t>fáklya piros fény+ fehér füst</t>
  </si>
  <si>
    <t>fáklya zöld fény+ fehér füst</t>
  </si>
  <si>
    <t>fáklya fehér fény+ fehér füst</t>
  </si>
  <si>
    <t>fáklya sárga fény+ fehér füst</t>
  </si>
  <si>
    <t>fáklya kék fény+ fehér füst</t>
  </si>
  <si>
    <t>piros fáklya</t>
  </si>
  <si>
    <t>színes fákla /piros, zöld, fehér, lila, sárga/</t>
  </si>
  <si>
    <t>fehér stroboszkóp</t>
  </si>
  <si>
    <t>erős piros villogó fény+fehér füst</t>
  </si>
  <si>
    <t>szökőkút mix, a csomag tartalmaz 2db f1u, 2db f1k</t>
  </si>
  <si>
    <t>szökőkút mix, a csomag tartalmaz 2db f2df, 2db f2dd</t>
  </si>
  <si>
    <t>színes fény /piros, kék, zöld/+recsegő mozsár</t>
  </si>
  <si>
    <t>színes csillagok, recsegő csillagok és fütyülő üstökösök</t>
  </si>
  <si>
    <t>6 külömböző színű effektus</t>
  </si>
  <si>
    <t>színes csillagok+erős recsegő csillagok</t>
  </si>
  <si>
    <t>erős recsegő csillagok</t>
  </si>
  <si>
    <t>színes effektus+recsegő csillagok</t>
  </si>
  <si>
    <t>multieffektusú</t>
  </si>
  <si>
    <t>recsegő szökőkút</t>
  </si>
  <si>
    <t>4 külömböző színű effektus</t>
  </si>
  <si>
    <t>forgó szökőkút</t>
  </si>
  <si>
    <t>nagy forgó szökőkút /effektus oldalra/fel/</t>
  </si>
  <si>
    <t>színes csillagok, 3m magas effektus</t>
  </si>
  <si>
    <t>dupla recsegő csillagok, 3m magas effektus</t>
  </si>
  <si>
    <t>ezüst csillagok, 4m magas effektus</t>
  </si>
  <si>
    <t>ezüst recsegő csillagok, 4m magas effektus</t>
  </si>
  <si>
    <t>színes csillagok, 4m magas effektus</t>
  </si>
  <si>
    <t>recsegő csillagok+színes csillagok, 5m magas effektus</t>
  </si>
  <si>
    <t>ezüst recsegő csillagok, 5m magas effektus</t>
  </si>
  <si>
    <t>ezüst csillagok, 5m magas effektus</t>
  </si>
  <si>
    <t>színes csillagok, 5m magas effektus</t>
  </si>
  <si>
    <t>ezüst recsegő csillagok, 6m magas effektus</t>
  </si>
  <si>
    <t>ezüst csillagok, 6m magas effektus</t>
  </si>
  <si>
    <t>színes csillagok, 6m magas effektus</t>
  </si>
  <si>
    <t>ezüst csillagok, 7m magas effektus</t>
  </si>
  <si>
    <t>színes csillagok, 7m magas effektus</t>
  </si>
  <si>
    <t>beltéri szökőkút, égő forgó gyertyákkal+happy birthday dallam</t>
  </si>
  <si>
    <t>ezüst csillagok /hideg láng/, hossza 10cm, élelmiszeri vizsga!</t>
  </si>
  <si>
    <t>ezüst csillagok /hideg láng/, hossza 20cm, élelmiszeri vizsga! ezüst papír 1db részére</t>
  </si>
  <si>
    <t>ezüst csillagok /hideg láng/, hossza 30cm, élelmiszeri vizsga! arany papír 1db részére</t>
  </si>
  <si>
    <t>ezüst csillagok /hideg láng/, hossza 12cm, élelmiszeri vizsga! arany papír 1db részére</t>
  </si>
  <si>
    <t>ezüst csillagok /hideg láng/, hossza 20cm, élelmiszeri vizsga! arany papír 1db részére</t>
  </si>
  <si>
    <t xml:space="preserve">ezüst csillagok /hideg láng/, hossza 12cm, élelmiszeri vizsga! a csomag a 0 számot tartalmazza </t>
  </si>
  <si>
    <t xml:space="preserve">ezüst csillagok /hideg láng/, hossza 12cm, élelmiszeri vizsga! a csomag az 1 számot tartalmazza </t>
  </si>
  <si>
    <t xml:space="preserve">ezüst csillagok /hideg láng/, hossza 12cm, élelmiszeri vizsga! a csomag a 2 számot tartalmazza </t>
  </si>
  <si>
    <t xml:space="preserve">ezüst csillagok /hideg láng/, hossza 12cm, élelmiszeri vizsga! a csomag a 3 számot tartalmazza </t>
  </si>
  <si>
    <t xml:space="preserve">ezüst csillagok /hideg láng/, hossza 12cm, élelmiszeri vizsga! a csomag a 4 számot tartalmazza </t>
  </si>
  <si>
    <t xml:space="preserve">ezüst csillagok /hideg láng/, hossza 12cm, élelmiszeri vizsga! a csomag az 5 számot tartalmazza </t>
  </si>
  <si>
    <t xml:space="preserve">ezüst csillagok /hideg láng/, hossza 12cm, élelmiszeri vizsga! a csomag a 6 számot tartalmazza </t>
  </si>
  <si>
    <t xml:space="preserve">ezüst csillagok /hideg láng/, hossza 12cm, élelmiszeri vizsga! a csomag a 7 számot tartalmazza </t>
  </si>
  <si>
    <t xml:space="preserve">ezüst csillagok /hideg láng/, hossza 12cm, élelmiszeri vizsga! a csomag a 8 számot tartalmazza </t>
  </si>
  <si>
    <t xml:space="preserve">ezüst csillagok /hideg láng/, hossza 12cm, élelmiszeri vizsga! a csomag a 9 számot tartalmazza </t>
  </si>
  <si>
    <t xml:space="preserve">ezüst csillagok /hideg láng/, hossza 12cm, élelmiszeri vizsga! mix csomag  0-9 számot tartalmazza </t>
  </si>
  <si>
    <t>40cm hossz, fényes színes papírdarabkák</t>
  </si>
  <si>
    <t>40cm hossz , ezüst szívecskék+rózsa szirmok</t>
  </si>
  <si>
    <t>40cm hossz, eurós bankjegyek</t>
  </si>
  <si>
    <t>80cm hossz, fényes színes papírdarabkák</t>
  </si>
  <si>
    <t>80cm hossz, fényes arany papírdarabkák</t>
  </si>
  <si>
    <t>80cm hossz, eurós bankjegyek</t>
  </si>
  <si>
    <t>20 lövet színes gömbök, 44cm hosszú</t>
  </si>
  <si>
    <t>40 lövet színes gömbök, 70cm hosszú</t>
  </si>
  <si>
    <t>10 lövet színes gömbök, 54cm hosszú</t>
  </si>
  <si>
    <t>20 lövet recsegő üstökösök, 54cm hosszú</t>
  </si>
  <si>
    <t>20 lövet recsegő üstökösök, 70cm hosszú</t>
  </si>
  <si>
    <t>20 lövet színes gömbök, 60cm hosszú</t>
  </si>
  <si>
    <t>10 lövet színes gömbök+10 lövet recsegő üstökösök 65cm hosszú</t>
  </si>
  <si>
    <t>20 lövetű római gyertya mix (r5420k-2db,r6020b,r6520bk,r7020bk-2db), 60cm hosszú</t>
  </si>
  <si>
    <t>20 lövetű római gyertya mix (r7020k,r6020b,r6520bk,r7020bk 3 daradjával), 70cm hosszú</t>
  </si>
  <si>
    <t>8 lövet ezüst csóva+titánium robbanás recsegő csillagokkal, 58cm hosszú</t>
  </si>
  <si>
    <t>8 lövet, 3 külömböző effektus felváltva minden lövés után, 60cm hosszú</t>
  </si>
  <si>
    <t>8 lövetű római gyertya mix (r5808d, r6008e, r6008k,r7508e 1 daradjával), 60cm hosszú</t>
  </si>
  <si>
    <t>8 lövet ezüst fütyülő csóva, 65cm hosszú</t>
  </si>
  <si>
    <t>8 lövet, 3 külömböző effektus felváltva minden lövés után, 75cm hosszú</t>
  </si>
  <si>
    <t>8 lövet, 4 külömböző színű effektus, 75cm hosszú</t>
  </si>
  <si>
    <t>8 lövet, brokát csóva+brokát korona, 75cm hosszú</t>
  </si>
  <si>
    <t>római gyertya 91 lövet, 4 külömböző színű effektus</t>
  </si>
  <si>
    <t>ezüst mozsár+piros csóva titánium robbanással</t>
  </si>
  <si>
    <t>színes fény ejtőernyőn /2db/</t>
  </si>
  <si>
    <t>fütyülő csóva</t>
  </si>
  <si>
    <t>4 külömböző színű effektus-hang nélkül</t>
  </si>
  <si>
    <t>ezüst mozsarak+piros csóvával titánium robbanással</t>
  </si>
  <si>
    <t>sikoly+szökőkút+mozsár</t>
  </si>
  <si>
    <t>6 külömböző színű effektus, átmerő 50mm /top minőség/</t>
  </si>
  <si>
    <t>18 külömböző színű effektus, átmerő 50mm /henger bomba/-profi minőség</t>
  </si>
  <si>
    <t>zöld forgó szökőkút recsegő csillagokkal</t>
  </si>
  <si>
    <t>piros fény + erősen recsegő csillagok</t>
  </si>
  <si>
    <t>zöld fény + erősen recsegő csillagok</t>
  </si>
  <si>
    <t>dörzsfejes petárda kicsi, robbanás ereje 112db 8m ről</t>
  </si>
  <si>
    <t>dörzsfejes petárda nagy, robbanás ereje 116db 8m ről</t>
  </si>
  <si>
    <t>dörzsfejes petárda nagy/2 durranás/, robbanás ereje 116+116db 8m ről</t>
  </si>
  <si>
    <t>dörzsfejes petárda robbanás ereje 119db 15m ről eu ban gyártott, műanyag lezáró</t>
  </si>
  <si>
    <t>dörzsfejes petárda robbanás ereje 120db 15m ről eu ban gyártott, műanyag lezáró</t>
  </si>
  <si>
    <t>robbanás ereje 114db 8 méterről</t>
  </si>
  <si>
    <t>robbanás ereje 117db 8 méterről</t>
  </si>
  <si>
    <t>robbanás ereje 119db 8 méterről</t>
  </si>
  <si>
    <t>robbanás ereje 120db 8m ről eu ban gyártott, műanyag lezáró</t>
  </si>
  <si>
    <t>robbanás ereje 120db 8m ről /fekete poros petárda/</t>
  </si>
  <si>
    <t>robbanás ereje 120db 15m ről eu ban gyártott, műanyag lezáró</t>
  </si>
  <si>
    <t>robbanás ereje 117db 15 méterről zöld fénnyel az elején</t>
  </si>
  <si>
    <t>robbanás ereje 118db 15m ről, műanyag lezáró</t>
  </si>
  <si>
    <t>robbanás ereje 120db 15 méterről</t>
  </si>
  <si>
    <t>robbanás ereje 120db 15 méterről zöld fénnyel az elején</t>
  </si>
  <si>
    <t>30g hatóanyag, 142db 15m ről, eu ban gyártott</t>
  </si>
  <si>
    <t>50g hatóanyag, 159db 15m ről, eu ban gyártott</t>
  </si>
  <si>
    <t>60g hatóanyag, 160db 15m ről, eu ban gyártott</t>
  </si>
  <si>
    <t>100g hatóanyag, 170db 15m ről, eu ban gyártott</t>
  </si>
  <si>
    <t>recsegő ballonok 3g, átmerő 38mm</t>
  </si>
  <si>
    <t>recsegő ballonok 15g, átmerő 38mm</t>
  </si>
  <si>
    <t>70 lövet, hossza 16cm, kis méretű petárdákat tartalmazó szőnyeg</t>
  </si>
  <si>
    <t>200 lövet, hossza 62cm, közepes méretű petárdákat tartalmazó szőnyeg</t>
  </si>
  <si>
    <t>500 lövet, hossza 155cm, közepes méretű petárdákat tartalmazó szőnyeg</t>
  </si>
  <si>
    <t>1000 lövet, hossza 310cm, közepes méretű petárdákat tartalmazó szőnyeg</t>
  </si>
  <si>
    <t>1750 lövet kis petárda+200 lövet közepes petárda+19 lövet nagy méretű petárda, hossza 5,25m</t>
  </si>
  <si>
    <t>3500 lövet kis petárda+400 lövet közepes petárda+19 lövet nagy méretű petárda, hossza 10,5m</t>
  </si>
  <si>
    <t>jelpatron 15mm robbanással</t>
  </si>
  <si>
    <t>fütyülő rakéta robbanással</t>
  </si>
  <si>
    <t>ejtőernyős rakéta</t>
  </si>
  <si>
    <t>fütyülő csóva+színes gömbök</t>
  </si>
  <si>
    <t>fütyülő csóva+ezüst villogó csillagok</t>
  </si>
  <si>
    <t>42cm magas, színes gömbök</t>
  </si>
  <si>
    <t>72cm magas, színes gömbök</t>
  </si>
  <si>
    <t>nagy fütyülő rakéta robbanással és recsegő csillagokkal</t>
  </si>
  <si>
    <t>6 külömböző színű effektus- hang nélkül</t>
  </si>
  <si>
    <t>ezüst csóva titánium durranással és recsegő csillagokkal /2g hatóanyag/</t>
  </si>
  <si>
    <t>7 külömböző színű effektus</t>
  </si>
  <si>
    <t>9 külömböző színű effektus</t>
  </si>
  <si>
    <t>21 külömböző színű effektus</t>
  </si>
  <si>
    <t>33 külömböző színű effektus</t>
  </si>
  <si>
    <t>5 külömböző színű effektus</t>
  </si>
  <si>
    <t>ezüst csóva titánium durranással és recsegő csillagokkal /5g hatóanyag/</t>
  </si>
  <si>
    <t>11 külömböző színű effektus</t>
  </si>
  <si>
    <t>12 külömböző színű effektus</t>
  </si>
  <si>
    <t>18 külömböző színű effektus</t>
  </si>
  <si>
    <t>170cm magas, a legjobb minőségű króm rakéták, 2 külömböző színű effektus</t>
  </si>
  <si>
    <t>170cm magas, a legjobb minőségű króm rakéták, 3 külömböző színű effektus</t>
  </si>
  <si>
    <t>dumbum póló, anyagminőség 180g</t>
  </si>
  <si>
    <t>dumbum galléros póló anyagminőség 225g</t>
  </si>
  <si>
    <t>dumbum polár dzseki, anyagminőség 600g</t>
  </si>
  <si>
    <t>dumbum sapka</t>
  </si>
  <si>
    <t>dumbum téli sapka</t>
  </si>
  <si>
    <t>dumbum póló m - limitált kiádás</t>
  </si>
  <si>
    <t>dumbum póló l - limitált kiádás</t>
  </si>
  <si>
    <t>dumbum póló xl - limitált kiádás</t>
  </si>
  <si>
    <t>dumbum póló xxl - limitált kiádás</t>
  </si>
  <si>
    <t>dumbum galléros póló m - limitált kiadás</t>
  </si>
  <si>
    <t>dumbum galléros póló l - limitált kiadás</t>
  </si>
  <si>
    <t>dumbum galléros póló xl - limitált kiadás</t>
  </si>
  <si>
    <t>dumbum galléros póló xxl - limitált kiadás</t>
  </si>
  <si>
    <t>dumbum mellény softshell m - limitált kiádás</t>
  </si>
  <si>
    <t>dumbum mellény softshell l - limitált kiádás</t>
  </si>
  <si>
    <t>dumbum mellény softshell xl - limitált kiádás</t>
  </si>
  <si>
    <t>dumbum mellény softshell xxl - limitált kiádás</t>
  </si>
  <si>
    <t>dumbum polár dzseki m - limitált kiadás</t>
  </si>
  <si>
    <t>dumbum polár dzseki l - limitált kiadás</t>
  </si>
  <si>
    <t>dumbum polár dzseki xl - limitált kiadás</t>
  </si>
  <si>
    <t>dumbum polár dzseki xxl - limitált kiadás</t>
  </si>
  <si>
    <t>dumbum melegítő kapucnival m - limitált kiadás</t>
  </si>
  <si>
    <t>dumbum melegítő kapucnival l - limitált kiadás</t>
  </si>
  <si>
    <t>dumbum melegítő kapucnival xl - limitált kiadás</t>
  </si>
  <si>
    <t>dumbum melegítő kapucnival xxl - limitált kiadás</t>
  </si>
  <si>
    <t>dumbum sapka - limitált kiádás</t>
  </si>
  <si>
    <t>dumbum téli sapka - limitált kiádás</t>
  </si>
  <si>
    <t>energiaital 250ml, eu ban gyártott</t>
  </si>
  <si>
    <t>dumbum pezsgő /bohemia sekt/ - 0,2l</t>
  </si>
  <si>
    <t>méret 200x85cm /roll up dumbum/ - szabadonálló</t>
  </si>
  <si>
    <t>méret 200x85cm /roll up no sound fireworks/ - szabadonálló</t>
  </si>
  <si>
    <t>méret 200x85cm /roll up signature range/ - szabadonálló</t>
  </si>
  <si>
    <t>méret 84x60cm - szabadonálló külső reklám</t>
  </si>
  <si>
    <t>méret 84x60cm /álló/</t>
  </si>
  <si>
    <t>méret 98x68cm /fekvő/</t>
  </si>
  <si>
    <t>öngyújtó turbólánggal dumbum</t>
  </si>
  <si>
    <t>usb öngyújtó dumbum</t>
  </si>
  <si>
    <t>matrica dumbum, méret 17x15cm</t>
  </si>
  <si>
    <t>bevásárló táska klásek/dumbum, méret 50x40cm</t>
  </si>
  <si>
    <t>bevásárló táska dumbum, méret 45x34cm</t>
  </si>
  <si>
    <t>kerámia csésze dumbum</t>
  </si>
  <si>
    <t>egérpad dumbum</t>
  </si>
  <si>
    <t>esernyő dumbum</t>
  </si>
  <si>
    <t>autóillatosító, invictus</t>
  </si>
  <si>
    <t>bemutató állvány csillagszórókra /üres/</t>
  </si>
  <si>
    <t>indító berendezés távvezérléssel /4 pozíció/+ távirányító+4db izzógyújtó</t>
  </si>
  <si>
    <t>2mm zöld gyújtózsinór, csomagolás 5m</t>
  </si>
  <si>
    <t>ezüst fütyülő üstökösök durranással</t>
  </si>
  <si>
    <t>színes és recsegő üstökösök</t>
  </si>
  <si>
    <t>10 külömböző színű effektus</t>
  </si>
  <si>
    <t>20 külömböző színű effektus</t>
  </si>
  <si>
    <t>3 külömböző színű effektus</t>
  </si>
  <si>
    <t>ezüst mozsár piros csóvával és titánium robbanással</t>
  </si>
  <si>
    <t>ezüst mozsár piros csóvával és titánium robbanással /strong edition/</t>
  </si>
  <si>
    <t>piros hullám recsegő középpel, ezüst mozsár piros csóvával és titánium robbanással</t>
  </si>
  <si>
    <t>ezüst hullám zöld végekkel és villogó középpel, narancsárga csóva narancssárga gyönygyökkel és recsegő csillagokkal</t>
  </si>
  <si>
    <t>brokát korona lila végekkel</t>
  </si>
  <si>
    <t>kék pálma arany villogó középpel</t>
  </si>
  <si>
    <t>8 külömböző színű effektus</t>
  </si>
  <si>
    <t>9 külömböző színű effektus titánium szalut sortűzzel a végén</t>
  </si>
  <si>
    <t>5 külömböző színű effektus /sortűz 10-10 lövettel/</t>
  </si>
  <si>
    <t>13 külömböző színű effektus</t>
  </si>
  <si>
    <t>10 külömböző színű effektus, 64 lövet /egyenes mozsár/, 40 lövet /ferde mozsár/, 18 lövet /w mozsár/, 12 lövet /v mozsár/</t>
  </si>
  <si>
    <t>16 külömböző színű effektus</t>
  </si>
  <si>
    <t>24 külömböző színű effektus</t>
  </si>
  <si>
    <t>32 külömböző színű effektus</t>
  </si>
  <si>
    <t>40 külömböző színű effektus</t>
  </si>
  <si>
    <t>26 külömböző színű effektus</t>
  </si>
  <si>
    <t>39 külömböző színű effektus</t>
  </si>
  <si>
    <t>52 külömböző színű effektus</t>
  </si>
  <si>
    <t>80 külömböző színű effektus</t>
  </si>
  <si>
    <t>5 külömböző színű effektus, kézzel gyártott</t>
  </si>
  <si>
    <t>fütyülő üstökös</t>
  </si>
  <si>
    <t>7 külömböző színű effektus - hang nélkül</t>
  </si>
  <si>
    <t>7 külömböző színű effektus, kézzel gyártott</t>
  </si>
  <si>
    <t>7 külömböző színű effektus /signature minőség/,  a karton külömböző évszámú matricát tartalmaz</t>
  </si>
  <si>
    <t>28 lövet arany brokát korona piros/kék végekkel, 21 lövet ezüst mozsár piros csóvával és titánium robbanással</t>
  </si>
  <si>
    <t>14 külömböző színű effektus</t>
  </si>
  <si>
    <t>11 külömböző színű effektus felváltva minden lövés után</t>
  </si>
  <si>
    <t>40 lövet arany brokát korona piros/kék végekkel, 48 lövet ezüst mozsár piros csóvával és titánium robbanással</t>
  </si>
  <si>
    <t>6 külömböző kék effektus + 3 sor ezüst mozsár piros csóvával és titánium robbanással</t>
  </si>
  <si>
    <t>28 külömböző színű effektus</t>
  </si>
  <si>
    <t>30 külömböző színű effektus</t>
  </si>
  <si>
    <t>4 külömböző színű effektus felváltva minden lövés után</t>
  </si>
  <si>
    <t>brokát csóva+brokát korona recsegő csillagokkal</t>
  </si>
  <si>
    <t>ezüst mozsár piros csóvával+ezűst krizantém</t>
  </si>
  <si>
    <t>ezüst csóva+ezüst pálma lila középpel</t>
  </si>
  <si>
    <t>teljesszínű csokor recsegő csillagokkal</t>
  </si>
  <si>
    <t>5 külömböző színű effektus - hang nélkül</t>
  </si>
  <si>
    <t>5 külömböző színű effektus felváltva minden lövés után</t>
  </si>
  <si>
    <t>ezüst mozsarak piros csóvával és titánium robbanással</t>
  </si>
  <si>
    <t>kék csóva fehér villogó fűzfával</t>
  </si>
  <si>
    <t>6 külömböző színű effektus felváltva minden lövés után</t>
  </si>
  <si>
    <t>7 külömböző színű effektus felváltva minden lövés után</t>
  </si>
  <si>
    <t>piros csóva fehér villogó csillagokkal</t>
  </si>
  <si>
    <t>színes csóva színes gyönygyökkel és piros/arany késleltetett középpel</t>
  </si>
  <si>
    <t>piros villogó fűzfa</t>
  </si>
  <si>
    <t>arany villogó fűzfa</t>
  </si>
  <si>
    <t>8 külömböző színű effektus felváltva minden lövés után</t>
  </si>
  <si>
    <t>15 külömböző színű effektus</t>
  </si>
  <si>
    <t>10 külömböző színű effektus, kézzel gyártott</t>
  </si>
  <si>
    <t>10 külömböző színű effektus, a karton külömböző évszámú matricát tartalmaz</t>
  </si>
  <si>
    <t>ezüst csóva titánium robbanással</t>
  </si>
  <si>
    <t>fehér mozsár piros csóvával és titánium robbanással /minden mozsár 10 lövetet tartalmaz/</t>
  </si>
  <si>
    <t>ezüst recsegő szökőkút+8 külömböző színű effektus</t>
  </si>
  <si>
    <t>7 külömböző színű effektus titánium szalut sortűzzel a végén</t>
  </si>
  <si>
    <t>42 külömböző színű effektus</t>
  </si>
  <si>
    <t>19 külömböző színű effektus</t>
  </si>
  <si>
    <t>34 külömböző színű effektus</t>
  </si>
  <si>
    <t>22 külömböző színű effektus</t>
  </si>
  <si>
    <t>2 x szökőkút + 25 külömböző színű effektus</t>
  </si>
  <si>
    <t>17 külömböző színű effektus</t>
  </si>
  <si>
    <t>38 külömböző színű effektus</t>
  </si>
  <si>
    <t>piros csóva</t>
  </si>
  <si>
    <t>zöld csóva</t>
  </si>
  <si>
    <t>sárga csóva</t>
  </si>
  <si>
    <t>arany csóva</t>
  </si>
  <si>
    <t>piros villogó csóva</t>
  </si>
  <si>
    <t>zöld villogó csóva</t>
  </si>
  <si>
    <t>ezüst villogó csóva</t>
  </si>
  <si>
    <t>recsegő csóva</t>
  </si>
  <si>
    <t>arany brokát mozsár</t>
  </si>
  <si>
    <t>piros zöld crozettek</t>
  </si>
  <si>
    <t>Családi csomagok</t>
  </si>
  <si>
    <t>Csillagszórók</t>
  </si>
  <si>
    <t>Speciális csillagszórók</t>
  </si>
  <si>
    <t>Fáklyák</t>
  </si>
  <si>
    <t>Stroboszkópok</t>
  </si>
  <si>
    <t>Szökőkutak</t>
  </si>
  <si>
    <t>Vulkánok</t>
  </si>
  <si>
    <t>Beltéri szökőkutak</t>
  </si>
  <si>
    <t>Egyéb</t>
  </si>
  <si>
    <t>Perepakid</t>
  </si>
  <si>
    <t>Reklaamtooted</t>
  </si>
  <si>
    <t>(automatikusan töltődik ki)</t>
  </si>
  <si>
    <t>ADR tanusítvány</t>
  </si>
  <si>
    <t>Csomagolás a kartonban</t>
  </si>
  <si>
    <t>BAM tanusítvány</t>
  </si>
  <si>
    <t>CBM
térfogat m3</t>
  </si>
  <si>
    <t>összesen</t>
  </si>
  <si>
    <t>összesen /kg/</t>
  </si>
  <si>
    <t>összesen /m3/</t>
  </si>
  <si>
    <t>Összesen
NEM [kg]</t>
  </si>
  <si>
    <t>Ár EUR</t>
  </si>
  <si>
    <t>Ár EUR kedvezmény után</t>
  </si>
  <si>
    <t>Ár CZK</t>
  </si>
  <si>
    <t>kedvezmény után</t>
  </si>
  <si>
    <t>kedvezmény előtt</t>
  </si>
  <si>
    <t>Dátum árlista frissítése</t>
  </si>
  <si>
    <t>Nyelv mutáció</t>
  </si>
  <si>
    <t>Katalógus szám</t>
  </si>
  <si>
    <t>Biztonsági osztály</t>
  </si>
  <si>
    <t>Árfolyam</t>
  </si>
  <si>
    <t>kis csomagolás</t>
  </si>
  <si>
    <t>Eladás csomagonként is</t>
  </si>
  <si>
    <t>Termék neve</t>
  </si>
  <si>
    <t>Rendelve karton</t>
  </si>
  <si>
    <t>térfogat m3</t>
  </si>
  <si>
    <t>Kartonmennyiség a raklapon</t>
  </si>
  <si>
    <t>Effektus leírása</t>
  </si>
  <si>
    <t>Hozzáférés</t>
  </si>
  <si>
    <t>nagy csomagolás</t>
  </si>
  <si>
    <t>Mint ÁFA fizetők a feltüntetett árakhoz 21% áfát számolunk</t>
  </si>
  <si>
    <t>A KAT. F4 és T2 vásárlásához szükséges pyrotechnikai igazolvány illetve megfelelő szakmai képesítéssel rendelkező személy</t>
  </si>
  <si>
    <t>Azoknak az ügyfeleknek akik kedvezménye 50% felett van a minimális egyszeri vásárlás értéke 10.000czk</t>
  </si>
  <si>
    <t>Minden ár ebben az árlistában szállitás nelkül van (exw incoterms 2010), ami azt jelenti hogy a szállitást az ügyfélnek kell fizetnie</t>
  </si>
  <si>
    <t>Csak egész export kartonokat lehet rendelni</t>
  </si>
  <si>
    <t>Azok a termékek ahl az a oszlopban az IGEN felirat szerepel- lehet rendelni csomagonként is 20% felárral</t>
  </si>
  <si>
    <t>Azok a termékek amik jelenleg nincsenek raktáron, nemlehet megrendelni, a rendelési ablak fekete</t>
  </si>
  <si>
    <t>Választja ki a szállitás módját</t>
  </si>
  <si>
    <t>Pontok számolása ADR szerint</t>
  </si>
  <si>
    <t>Ha az eredmény nagyobb mint 1000 akkor kötelező az adr szĺlitás</t>
  </si>
  <si>
    <t>Megrendelve</t>
  </si>
  <si>
    <t>karton, amit raklapon csomagolunk</t>
  </si>
  <si>
    <t>karton, áru szabadon rakva</t>
  </si>
  <si>
    <t>Olyan terméket rendel ami nics raktáron!</t>
  </si>
  <si>
    <t>törölje a rendelésből!</t>
  </si>
  <si>
    <t>Các mặt hàng được đánh dấu trong cột A "ĐÚNG" (có thể) - cũng có thể được đặt theo gói với phụ phí 20%</t>
  </si>
  <si>
    <t>A-veerus märgitud JAH on võimalik peale pakkimist tellida veel täiendavalt 20%</t>
  </si>
  <si>
    <t xml:space="preserve">pfeifendes Flugzeug mit rotem Licht und knackenden Sternen (2 Stück) + pfeifendes Flugzeug mit grünem Licht und knackenden Sternen (2 Stück) </t>
  </si>
  <si>
    <t xml:space="preserve">Fliegender / pulsierender Farbeffekt mit Brokatkrone (1 Stück), Fliegender / pulsierender Farbeffekt mit knackenden Sternen (1 Stück) </t>
  </si>
  <si>
    <t>Silberne Sterne (kaltes Feuer), Länge 12cm, Lebensmittelattest! Das Paket enthält eine Reihe 0</t>
  </si>
  <si>
    <t>Silberne Sterne (kaltes Feuer), Länge 12cm, Lebensmittelattest! Das Paket enthält eine Reihe 1</t>
  </si>
  <si>
    <t>Silberne Sterne (kaltes Feuer), Länge 12cm, Lebensmittelattest! Das Paket enthält eine Reihe 2</t>
  </si>
  <si>
    <t>Silberne Sterne (kaltes Feuer), Länge 12cm, Lebensmittelattest! Das Paket enthält eine Reihe 3</t>
  </si>
  <si>
    <t>Silberne Sterne (kaltes Feuer), Länge 12cm, Lebensmittelattest! Das Paket enthält eine Reihe 4</t>
  </si>
  <si>
    <t>Silberne Sterne (kaltes Feuer), Länge 12cm, Lebensmittelattest! Das Paket enthält eine Reihe 5</t>
  </si>
  <si>
    <t>Silberne Sterne (kaltes Feuer), Länge 12cm, Lebensmittelattest! Das Paket enthält eine Reihe 6</t>
  </si>
  <si>
    <t>Silberne Sterne (kaltes Feuer), Länge 12cm, Lebensmittelattest! Das Paket enthält eine Reihe 7</t>
  </si>
  <si>
    <t>Silberne Sterne (kaltes Feuer), Länge 12cm, Lebensmittelattest! Das Paket enthält eine Reihe 8</t>
  </si>
  <si>
    <t>Silberne Sterne (kaltes Feuer), Länge 12cm, Lebensmittelattest! Das Paket enthält eine Reihe 9</t>
  </si>
  <si>
    <t>Silberne Sterne (kaltes Feuer), Länge 12cm, Lebensmittelattest! Das Paket enthält eine mix Reihe 0-9</t>
  </si>
  <si>
    <t>K0203(2)</t>
  </si>
  <si>
    <t>Es ist nicht möglich, schwarz markierte Artikel zu bestellen, die am Tag der Bestellung nicht auf Lager sind !!! Dies garantiert, dass der Kunde nur Artikel bestellt, die auf Lager sind, wodurch der Abschluss der Bestellung erheblich beschleunigt wird.</t>
  </si>
  <si>
    <t>2. Unser Mitarbeiter wird herausfinden, welche Artikel möglicherweise nicht auf Lager sind, und den Kunden per E-Mail darüber informieren.</t>
  </si>
  <si>
    <t>3. Der Kunde entscheidet, ob er auf die Ware warten möchte (falls diese nicht auf Lager ist) oder ob er die ausverkaufte Ware ersetzen möchte und sendet seine endgültige Bestellung per E-Mail, die nur die Ware enthält die Waren, die derzeit verfügbar sind.</t>
  </si>
  <si>
    <t>4. Unser Mitarbeiter lädt diese endgültige Bestellung (siehe Punkt 3) in unser System hoch und informiert den Kunden über das Datum, an dem die Ware versendet oder zur Abholung bereit ist.</t>
  </si>
  <si>
    <t>Siuntimo tvarka:</t>
  </si>
  <si>
    <t xml:space="preserve">Naujovė yra sandėlio prieinamumas internetu, viskas, ką turite padaryti, tai prisijungti ir patvirtinti parinktį „leisti redaguoti“ (update) ir „leisti turinį“. Kiekvieną kartą atidarius kaioraštį galite pamatyti, kokių prekių yra sandėlyje ar kada jų bus !!! </t>
  </si>
  <si>
    <t xml:space="preserve">Negalima užsisakyti juodai langelyje pažymėtų prekių , kurių užsakymo dieną nėra sandėlyje !!! Tai garantuos, kad klientas užsakys tik sandėlyje esančias prekes, taip pagreitindamas užsakymo užbaigimą. </t>
  </si>
  <si>
    <t>2. mūsų darbuotojas sužinos, kurių daiktų gali nebebūti sandėlyje ir apie tai klientą informuos elektroniniu paštu</t>
  </si>
  <si>
    <t xml:space="preserve">3. Klientas nusprendžia, ar jis nori laukti prekių (jei jų nėra sandėlyje), ar nori pakeisti išparduotas prekes ir išsiūsti savo galutinį užsakymą elektroniniu paštu, kuriame bus tik šiuo metu esančios prekės. </t>
  </si>
  <si>
    <t xml:space="preserve">4. mūsų darbuotojas įkelia šį galutinį užsakymą (žr. 3 punktą) į mūsų sistemą ir informuoja klientą apie datą, kada prekės bus išsiųstos arba parengtos atsiimti. </t>
  </si>
  <si>
    <t xml:space="preserve">Klientams, kurie neatliks užsakymo pagal aukščiau išdėstytas taisykles ir atvyks atsiimti prekių be mūsų darbuotojo patvirtinimo, prekės nebus pakrautos / atiduodamos. </t>
  </si>
  <si>
    <t xml:space="preserve">Jūsų užsakymas perduodamas į sandėlį, kad būtų galima nedelsiant jį paruošti, ir nebeįmanoma nieko pridėti prie šio užsakymo, bet kokia forma. Jei klientas atšaukia užsakymą (ar jo dalį), jam bus taikomas 50% atšauktų prekių vertės tvarkymo mokestis. </t>
  </si>
  <si>
    <t xml:space="preserve">Jei norite užsisakyti tik kai kurias prekes, mūsų elektroniniame kainoraštyje turite sukurti naują užsakymą ir išsiųsti jį dar kartą elektroniniu paštu. Šiame užsakyme rašykite tik tas prekes, kurias norite užsisakyti. </t>
  </si>
  <si>
    <t xml:space="preserve">Mes negalime garantuoti, kad užsakytos prekės bus išsiųstos kartu su pirmu užsakymu! </t>
  </si>
  <si>
    <t xml:space="preserve">Prekių rezervavimas </t>
  </si>
  <si>
    <t xml:space="preserve">Remdamiesi daugybės klientų pageidavimu, nusprendėme rezervavimo sistemą padaryti prieinamą  mūsų sandėlyje. Aiškesniam supratimui pristatau sistemą, kurią plačiai naudoja mūsų užsienio klientai. </t>
  </si>
  <si>
    <t>Prekybininkai, turintys savo parduotuves, užsisako prekes iš mūsų, pavyzdžiui, iškart rugsėjį po kainoraščio pasirodymo / atnaujinimo ir nori prekių pristatymo gruodžio 15 d.</t>
  </si>
  <si>
    <t>Tai garantuoja, kad jie gaus viską, ko nori, ir nereikės niekur laikyti / sandeliuoti prekių, ar nerimauti  jog prekė, kurios jie tikisi (pavyzdžiui, iš informacinio lapelio), nebus išparduota. Sutartą dieną klientas gaus užsakytas prekes…</t>
  </si>
  <si>
    <t>Žemiau pateikiamos taisyklės, pagal kurias prekes galima užsisakyti mūsų sandėlyje:</t>
  </si>
  <si>
    <t>Taisyklės:</t>
  </si>
  <si>
    <t>Paletės</t>
  </si>
  <si>
    <t>Transporto Kaina :</t>
  </si>
  <si>
    <t>Skundų procedūra / pateikimas :</t>
  </si>
  <si>
    <t xml:space="preserve">Tai yra skundų dėl neiššovusių prekių sprendimo procedūra. Deja, nepaisant kokybės kontrolės, šių skundų negalima išvengti didesniu mastu. </t>
  </si>
  <si>
    <t>Jei iššaus mažiau nei 30% gaminio, mes pakeisime produktą nauju, ir susigražinsime sau neiššovusią dalį.</t>
  </si>
  <si>
    <t xml:space="preserve">Jei iššaus 30-50% gaminio, klientui jis bus pakeistas nauju su 30-50% pirkimo kainos priemoka, priklausomai nuo to, kiek šūvių klientui  išsišovė. </t>
  </si>
  <si>
    <t xml:space="preserve">Jei iššaus 50–80% produkto, jis klientui bus pakeistas nauju su 50–80% priemoka užpirkimo kaina, atsižvelgiant į tai, kiek šūvių klientui  išsišovė. </t>
  </si>
  <si>
    <t xml:space="preserve">Norime sutvarkyti skundų sprendimą, kai nutinka, kad, pavyzdžiui, klientas grąžina 100 šūvių prekę iš kurios iššovė - 90 šūvių ir nori naujos prekės. </t>
  </si>
  <si>
    <t xml:space="preserve">Kūginiai ugnies vulkanai (F100, F250, F500, F1000, F1500) negali būti grąžinti kaip dalis grąžinimo po sezono - priežastys, aprašytos elektroniniame laiške nuo 2019 01 28. </t>
  </si>
  <si>
    <t xml:space="preserve">Negalima pareikalauti sugrąžinti sulankstytus fejerverkus dėl pažeistų eksporto dėžių . Spalvotas eksporto kartonas neturi įtakos produkto funkcijai ir yra skirtas tik apsaugoti gaminį gabenant. </t>
  </si>
  <si>
    <t>Klientas, norintis turėti tik tobulas tvarkingas dėžutes, turi nusipirkti produktus, supakuotus į apsauginę dėžę (prekės kodas baigiasi (T), arba pasirūpinti, kad prekės būtų paimtos tiesiogiai iš mūsų, kai jos bus paimtos iš mūsų sandėlio. Tolesni skundai nebus priimami.</t>
  </si>
  <si>
    <t>Elektroninio kainoraščio naudojimo instrukcijos</t>
  </si>
  <si>
    <t xml:space="preserve">Kainoraštis yra interaktyvus, jis apskaičiuoja nuolaidą automatiškai (būtina įrašyti jos sumą į atitinkamą lauką), informaciją apie kainas CZK ir EUR, taip pat apskaičiuoja svorį kg, prekių tūrį m3 ir grynąjį pirotechnikos svorį. </t>
  </si>
  <si>
    <t xml:space="preserve">Jei norimos prekės nėra sandėlyje, naudokite filtrą, norėdami rasti panašių prekių C stulpelyje, kur visos panašios prekės pažymėtos tuo pačiu numeriu. </t>
  </si>
  <si>
    <t>Šis stulpelis yra pagrindinis skaičiavimams eurais.</t>
  </si>
  <si>
    <t>J stulpelyje rasite informaciją apie pavojingumo kategoriją, kuriai priklauso prekė.</t>
  </si>
  <si>
    <t xml:space="preserve">Z stulpelyje parašykite savo užsakymą - įrašykite tik norimų užsakyti dėžių skaičių </t>
  </si>
  <si>
    <t>AB stulpelyje galite rasti esamą prekių kiekį.</t>
  </si>
  <si>
    <t>Pateikę užsakymą, šią informaciją pamatysite šiuose stulpeliuose:</t>
  </si>
  <si>
    <t xml:space="preserve">Bendra kaina CZK be PVM. </t>
  </si>
  <si>
    <t xml:space="preserve">Bendra kaina CZK su PVM. </t>
  </si>
  <si>
    <t xml:space="preserve">Bendra kaina EUR be PVM. </t>
  </si>
  <si>
    <t>Bendras tūris m3.</t>
  </si>
  <si>
    <t>Bendras svoris kg.</t>
  </si>
  <si>
    <t>Bendras NEC grynasis pirotechnikos gaminių svoris, padalintas ADR klasėmis.</t>
  </si>
  <si>
    <t>Bendras NEC grynasis visų ADR klasių pirotechnikos gaminių svoris.</t>
  </si>
  <si>
    <t>A MEGRENDELÉS ELKÜLDÉSÉNEK FOLYAMATA:</t>
  </si>
  <si>
    <t>ÚJDONSÁG AZ ONLINE ÁRUKÉSZLET, ELÉG ONLINE MÓDBAN LEIGAZOLNI A  ,,povolit úpravy” MAJD A "povolit obsah". AZ ÁRLISTA MINDEN MEGNYITÁSÁNÁL LÁTNI FOGJA AZ ELÉRHETŐ ÁRUKÉSZLETET ILL MIKOR LESZ RAKTÁRON!!!!</t>
  </si>
  <si>
    <t>NEM LEHET OLYAN TÉTELT RENDELNI AHOL A CELLA FEKETE SZÍNŰ, AMELYEK A RENDELÉS NAPJÁN NINCSENEK RAKTÁRON!!! EZ BIZTOSÍTJA HOGY AZ ÜGYFÉL CSAK AZOKAT A TÉTELEKET RENDELI AMIK RAKTÁRON VANNAK, ÍGY LÉNYEGESEN MEGGYORSUL A MEGRENDELÉS BEFEJEZÉSE.</t>
  </si>
  <si>
    <t>2. AZ ALKALMAZOTTUNK ELLENŐRZI ESETLEG  MELYIK TÉTELEK FOGYTAK EL ÉS ERRŐL ÉRTESÍTI AZ ÜGYFELET EMAILBAN.</t>
  </si>
  <si>
    <t>3. AZ ÜGYFÉL ELDÖNTHETI, HOGY A HIÁNYZÓ ÁRURA VÁRNI FOG /HA NINCS MÁR RAKTÁRON/ VAGY A HIÁNZÓ ÁRUT HELYETTESÍTI MÁS TERMÉKKEL, AMIT EMAILBAN ELKÜLD MINT VÉGLEGES RENDELÉST AMELYBEN CSAK OLYAN TERMÉKEK SZEREPELNEK AMELYEK RAKTÁRON VANNAK.</t>
  </si>
  <si>
    <t>4. AZ ALKALMAZOTTUNK EZT A VÉGLEGES RENDELÉST HELYEZI A RENDSZERBE /LÁSD A 3. PONTOT/ ÉS ÉRTESÍTI AZ ÜGYFELET AZ ÁRU KISZĹLITÁSÁRÓL ILL AZ ÁRU ÁTVEHETÉSÉRŐL.</t>
  </si>
  <si>
    <t>AZOK AZ ÜGYFELEK AKIK NEMTARTJÁK BE A FENTI SZABÁLYOKAT ÉS IDŐ ELŐTT ÉRKEZNEK AZ ÁRUÉRT, ILL. AZ ALKALMAZOTTUNK IGAZOLÁSA NÉLKÜL, AZ ÁRU NEMKERÜL KIADÁSRA A RAKTÁRBÓL</t>
  </si>
  <si>
    <t>AZ ÖN RENDELÉSE TOVÁBBÍTVA VAN A RAKTÁRBA ELŐKÉSZITÉSRE RÖGTÖN AZ ÉRKEZÉSE UTÁN, EZUTÁN MÁR NEM LETSÉGES HOZZÁ ADÁS SEMILYEN MÁS MÓDON. HA AZ ÜGYFÉL A RENDELÉST TÖRLI /VAGY CSAK RÉSZBEN TÖRLI/ KEZELÉSI KÖTSÉG LESZ KISZÁMLÁZVA, MÉGPEDIG A TÖRÖLT ÁRUNAK AZ 50% ÉRTÉKE.</t>
  </si>
  <si>
    <t>HA VALAMI ÁRUT HOZZÁ AKAR RENDELNI AZ ELŐZŐ RENDELÉSHEZ, EZT EGY ÚJ RENDELÉSBEN KELL LEADNI AZ ELEKTRONIKUS ÁRLISTÁNKBAN ÉS ÚJRA ELKÜLDENI EMAILBAN, EBBE A RENDELÉSBE KIZÁRÓLAG CSAK AZT AZ ÁRUT ÍRJA BE AMIT HOZZÁ SZERETNE RENDELNI.</t>
  </si>
  <si>
    <t>NEMTUDJUK GARANTÁLNI HOGY A HOZZÁ RENDELT ÁRU EGYSZERRE KERÜL KISZÁLLITÁSRA AZ ELŐZŐ RENDELÉSSEL</t>
  </si>
  <si>
    <t>ÁRUFOGLALÁS</t>
  </si>
  <si>
    <t>AZ ÜGYFELEINK KÜLÖN KÉRÉSÉRE ÜZEMBE HELYEZTÜNK EGY ÁRU FOGLALÓ RENDSZERT A RAKTÁRUNKON. A MEGÉRTÉSÉHEZ BEMUTATJUK A RENDSZER MŰKÖDÉSÉT AMIT A KÜLFÖLDI ÜGYFELEINK ELŐSZERETETTEL HASZNÁLNAK</t>
  </si>
  <si>
    <t>AZOK AZ ÜZLETEMBEREK AKIKNEK SAJÁT ÜZLETÜK VAN ÉS AZ ÁRUT NÁLUNK MEGRENDELIK PLD. SZEPTEMBERBEN AHOGY MEGJELENIK AZ ÚJ ÁRLISTA, ÚGY HOGY SZÁLLITÁS IDEJE PLD DECEMBER 15.E</t>
  </si>
  <si>
    <t>ÍGY BIZTOSÍTJÁK HOGY AZ ÁRU AMIT MEGRENDELNEK MEG IS KAPJÁK, ÉS MÉG RAKTÁROZNIUK SEM KELL VAGY FÉLNI HOGY VALAMELYIK TÉTEL AMIVEL SZÁMOLNAK ELFOGY. A MEGADOTT  NAPON A LETARTOTT ÁRU KISZÁLLITÁSRA KERÜL.</t>
  </si>
  <si>
    <t>LEJEBB VANNAK A SZABÁLYOK AMELYEK SZERINT AZ ÁRUT A RAKTÁRUNKON LEFOGLALHATJA.</t>
  </si>
  <si>
    <t>SZÁLLÍTÁS DÍJA</t>
  </si>
  <si>
    <t>AMENNYIBEN AZ ÁRUT A SAJÁT ADR AUTÓNK SZÁLLÍTJA /TEHERBÍRÁS 1450KG/, A SZÁLLÍTÁSI DÍJ 18KĆ/KM ODA-VISSZA ÚT.</t>
  </si>
  <si>
    <t>AMENNYIBEN AZ ÁRUT ADR KAMIONNAL /TEHERBÍRÁS 24 000KG/ SZÁLLÍTJUK A DÍJTALAN LERAKODÁSI IDŐ MAX 4 ÓRA LEHET. HA A KIRAKODÁS TOVÁBB TART, MINDEN ELEZDETT ÓRÁÉRT PLUSZ 800KĆ FOGUNK SZÁMLÁZNI. MINDEN PLUSSZ KIRAKODÓHELYRE AZ ÁTÁLLÁS DÍJA PLUSZ 100KĆ/KM.</t>
  </si>
  <si>
    <t>REKLAMÁCIÓ</t>
  </si>
  <si>
    <t>ELKÜLDJÜK ÖNNEK A REKLAMÁCIÓ MEGOLDÁSÁNAK ELJÁRÁSÁT A NEMKILÖVÖTT TELEPEKNÉL. EZEKET A REKLAMÁCIÓKAT SAJNOS A LEGSZIGORÚBB MINŐSÉG ELLENŐRZÉSEK MELETT SEM TUDJUK MEGAKADÁLYOZNI.</t>
  </si>
  <si>
    <t>HA A TERMÉKNEK KEVESEBB MINT 30% MŰKÖDÖTT EL, EZ ESETBEN A TERMÉKET KICSERÉLJÜK ÚJ DARABRA, A HIBÁS TERMÉKET VISSZA HOZZA ÉS KAP ÉRTE EGY ÚJ DARABOT.</t>
  </si>
  <si>
    <t>HA A TERMÉKNEK 30-50% MŰKÖDÖTT EL, EZ ESETBEN A TERMÉKET KICSERÉLJÜK ÚJ DARABRA 30-50% HOZZÁFIZETÉSSEL A BESZERZÉSI ÁRBÓL AZOK SZERINT, MENNYI A NEM KILÖVÖTT MOZSÁR, A HIBÁS TERMÉKET VISSZA HOZZA ÉS KAP ÉRTE EGY ÚJ DARABOT 30-50% HOZZÁFIZETÉSSEL.</t>
  </si>
  <si>
    <t>HA A TERMÉKNEK 50-80% MŰKÖDÖTT EL, EZ ESETBEN A TERMÉKET KICSERÉLJÜK ÚJ DARABRA 50-80% HOZZÁFIZETÉSSEL A BESZERZÉSI ÁRBÓL AZOK SZERINT, MENNYI A NEM KILÖVÖTT MOZSÁR, A HIBÁS TERMÉKET VISSZA HOZZA ÉS KAP ÉRTE EGY ÚJ DARABOT 50-80% HOZZÁFIZETÉSSEL.</t>
  </si>
  <si>
    <t>EZZEL A LÉPÉSSEL RENDET AKARUNK TEREMTENI A REKLAMÁCIÓK MEGOLDÁSÁNÁL MIKOR PLD. AZ ÜGYFÉL VISZA HOZ EGY 100 LÖVETŰ TELEPET AHOL 90 LÖVET KILŐTT ÉS ÚJ DARABRA AKARJA CSERÉLNI.</t>
  </si>
  <si>
    <t>VULKÁNOKAT (F100,F250,F500,F1000,F1500) NEMLEHET REKLAMÁLNI SEM VISZA ADNI A SZEZON VÉGÉN - AZ OKOT EMAIL BAN KÖZÖLTÜK 2019 JAN. 28-ÁN.</t>
  </si>
  <si>
    <t>NEMFOGADUNK EL REKLAMÁCIÓT A SÉRÜLT EXPORTKARTONOKRA AZ ÖSSZETETT TÜZIJÁTÉKOKNÁL. A SZÍNES KARTON KIZÁRÓLAG A TERMÉK MEGVÉDÉSÉRE SZOLGÁL A SZÁLLÍTÁS KÖZBEN ÉS SEMMI HATÁSA NINCS A TERMÉK MŰKÖDÉSÉRE.</t>
  </si>
  <si>
    <t>HA AZ ÜGYFÉL KIZÁRÓLAG HIBÁTLAN KARTONOKAT SZERETNE, EZ ESETBEN OLYAN KARTONOKAT KELL RENDELNIE AMELYEK VÉDŐCSOMAGOLÁSBAN VANNAK CSOMAGOLVA, A TERMÉKKÓD VÉGE (T) VEL JELÖLVE. VAGY AZ ÁRUT SZEMÉLYESEN VESZI ÁT A RAKTÁRUNKBAN. A KÉSŐBBI REKLAMÁCIÓKAT NEMVESZÜK FIGYELEMBE.</t>
  </si>
  <si>
    <t>UTASÍTÁS AZ ELEKTRONIKUS ÁRLISTA HASZNÁLATÁHOZ</t>
  </si>
  <si>
    <t>AZ ÁRLISTA INTERAKTÍV, TEHÁT MAGÁTÓL SZÁMOLJA A KEDVEZMÉNYT (A KEDVEZMÉNY ÉRTÉKÉT A MEGFELELŐ CELLÁBA KELL BEÍRNI, ILL A RENDELÉS MENNYISÉGE SZERINT AUTOMATIKUSAN KISZÁMOLJA A KEDVEZMÉNYT),AZ ÁRAT CZK ÉS EUR BAN, MINT A SÚLYT, TÉRFOGATOT M3 BEN VALAMINT A HATÓANYAG NETTÓ SÚLYÁT.</t>
  </si>
  <si>
    <t>HA A TERMÉK AMELYET SZERETNE NINCS RAKTÁRON, A FILTER SEGÍTSÉGÉVEL AZ AC OSZLOPBAN MEGKERESHETI A HASONLÓ TERMÉKEKET AHOL A HASONLÓ TERMÉKEK EGYFORMA SZÁMOKKAL VANNAK JELÖLVE.</t>
  </si>
  <si>
    <t>EZ AZ OSZLOP AZ ALAPJA AZ ÁRKALKULÁCIÓNAK EUR BAN.</t>
  </si>
  <si>
    <t>A J OSZLOPBAN A TERMÉKEK OSTÁLY BESOROLÁSÁRÓL TALÁL INFORMÁCIÓT, MELYIK KATEGÓRIÁBA TARTOZNAK.</t>
  </si>
  <si>
    <t>A Z OSZLOPBA ÍRJA BE A RENDELT MENNYISÉGET- CSAK SZÁMOT ÍRJON MELY A RENDELT KARTON MENNYISÉGET JELENTI. A KIVÉTELT AZOK A TERMÉKEK JELENTIK AHOL AZ A OSZLOPBAN AZ "ANO" VAL JELÖLTEK /FELTÉTELEK A FENTIEKBEN/.</t>
  </si>
  <si>
    <t>A RENDELÉS BEFEJEZTÉVEL LÁTHATJA A KÖVETKEZŐ OSZLOPOKBAN EZEKET A INFORMÁCIÓKAT:</t>
  </si>
  <si>
    <t>VÉGÖSSZEG CZK ÁFA NÉLKÜL</t>
  </si>
  <si>
    <t>VÉGÖSSZEG CZK ÁFÁVAL</t>
  </si>
  <si>
    <t>VÉGÖSSZEG EUR ÁFA NÉLKÜL</t>
  </si>
  <si>
    <t>TELJES TÉRFOGAT M3</t>
  </si>
  <si>
    <t>TELJES SÚLY KG</t>
  </si>
  <si>
    <t>TELJES NEC - NETTÓ SÚLY ELOSZTVA ADR OSZTÁLY SZERINT</t>
  </si>
  <si>
    <t>TELJES NEC - NETTÓ SÚLY EGYÜTT MINDEN ADR OSTÁLY</t>
  </si>
  <si>
    <t xml:space="preserve"> kalendarz z 8 okienkami </t>
  </si>
  <si>
    <t>LM0SW(1)</t>
  </si>
  <si>
    <t>P8DCH(CH)</t>
  </si>
  <si>
    <t>12/6/6</t>
  </si>
  <si>
    <t>csomag tartalma: dp1fd- 1x,dp1fr-1x,dp1bp- 3x,bk1b-1x,bk1p-1x,dp1cb-1x,dp1b-1x,dp1r-2x, s12s-1x</t>
  </si>
  <si>
    <t>vylupovací dětský kalendář s 8 okýnky</t>
  </si>
  <si>
    <t>peel-off children's calendar with 8 windows</t>
  </si>
  <si>
    <t xml:space="preserve">Peel-Off-Kinderkalender mit 8 Fenstern </t>
  </si>
  <si>
    <t xml:space="preserve">dječji adventski kalendar sa 8 prozora </t>
  </si>
  <si>
    <t xml:space="preserve">calendario per bambini con 8 finestre </t>
  </si>
  <si>
    <t xml:space="preserve">Dečji kalendar sa odlepljivanjem, 8 prozora </t>
  </si>
  <si>
    <t>mở lịch "quà" trẻ em với 8 cửa sổ vào</t>
  </si>
  <si>
    <t xml:space="preserve">nulupamas vaikų kalendorius su 8 langeliais </t>
  </si>
  <si>
    <t xml:space="preserve"> kalendarz z 8 okienkami w dniach 24.12-31.12</t>
  </si>
  <si>
    <t>Limejošs bērnu kalendārs ar 8 logiem un 24.12-31.12</t>
  </si>
  <si>
    <t>csomag tartalma: 4 rakéta,dp1bp-2x,dp1b-1x,s12s-1x,p1-1x,bk1b-1x,dp1r-1x,dp1vc-1x,dp1cb-1x,k01m-1x,r4420b- 2x</t>
  </si>
  <si>
    <t>csomag tartalma: 1 csomag-vp16a,dp1vc, lm2v 1db, r4420b 2db, r12t1 4db</t>
  </si>
  <si>
    <t>INTERAKTIVNÍ</t>
  </si>
  <si>
    <t>Odběr nad</t>
  </si>
  <si>
    <t>VEŠKERÉ OBJEDNÁVKY ZASÍLEJTE POUZE NA ADRESU:</t>
  </si>
  <si>
    <t>JB</t>
  </si>
  <si>
    <t xml:space="preserve">Platí: 01.09.2021 - 31.08.2022 </t>
  </si>
  <si>
    <t>Lze objednat maximálně toto množství.</t>
  </si>
  <si>
    <t>ČESKY</t>
  </si>
  <si>
    <t xml:space="preserve">Pokud zákazník svými odběry v daném období překročí vlastní množstevní slevu (odběry se sčítají), </t>
  </si>
  <si>
    <t>CENÍK</t>
  </si>
  <si>
    <t>price list</t>
  </si>
  <si>
    <t>Preisliste</t>
  </si>
  <si>
    <t>cennik</t>
  </si>
  <si>
    <t>cjenik</t>
  </si>
  <si>
    <t>INTERACTIVE</t>
  </si>
  <si>
    <t>INTERAKTIV</t>
  </si>
  <si>
    <t>interaktywny</t>
  </si>
  <si>
    <t>tương tác</t>
  </si>
  <si>
    <t>interaktyvus</t>
  </si>
  <si>
    <t>Kainoraštis</t>
  </si>
  <si>
    <t>bảng giá</t>
  </si>
  <si>
    <t>interaktivni</t>
  </si>
  <si>
    <t>interattivo</t>
  </si>
  <si>
    <t>listino prezzi</t>
  </si>
  <si>
    <t>interaktiivne</t>
  </si>
  <si>
    <t>hinnakiri</t>
  </si>
  <si>
    <t>interaktív</t>
  </si>
  <si>
    <t>árlista</t>
  </si>
  <si>
    <t xml:space="preserve">Es kann jede beliebige Nummer bestellt werden. </t>
  </si>
  <si>
    <t xml:space="preserve">Maximal kann diese Menge bestellt werden. </t>
  </si>
  <si>
    <t xml:space="preserve">Die letzten Stück auf Lager. </t>
  </si>
  <si>
    <t>Kann derzeit nicht bestellen.</t>
  </si>
  <si>
    <t xml:space="preserve">A maximum of this quantity can be ordered.
</t>
  </si>
  <si>
    <t xml:space="preserve">The last few pieces in stock.
</t>
  </si>
  <si>
    <t xml:space="preserve">Cannot order at this time. </t>
  </si>
  <si>
    <t xml:space="preserve">Any quantity can be ordered.
</t>
  </si>
  <si>
    <t xml:space="preserve">Istnieje możliwość zamówienia dowolnej ilości. </t>
  </si>
  <si>
    <t xml:space="preserve">Maksymalnie tę ilość można zamówić. </t>
  </si>
  <si>
    <t xml:space="preserve">Kilka ostatnich sztuk w magazynie. </t>
  </si>
  <si>
    <t>W tej chwili nie można zamówić.</t>
  </si>
  <si>
    <t xml:space="preserve">Bất kỳ số lượng có thể được đặt hàng. </t>
  </si>
  <si>
    <t xml:space="preserve">Số lượng tối đa có thể được đặt hàng. </t>
  </si>
  <si>
    <t xml:space="preserve">Những miếng cuối cùng trong kho. </t>
  </si>
  <si>
    <t>Không thể đặt hàng vào lúc này.</t>
  </si>
  <si>
    <t xml:space="preserve">Galima užsisakyti bet kokį kiekį. </t>
  </si>
  <si>
    <t xml:space="preserve">Didžiausias kiekis, kurį galima užsisakyti. </t>
  </si>
  <si>
    <t xml:space="preserve">Paskutiniai gabalai sandėlyje. </t>
  </si>
  <si>
    <t>Šiuo metu negalima užsisakyti.</t>
  </si>
  <si>
    <t xml:space="preserve">Može se naručiti bilo koja količina. </t>
  </si>
  <si>
    <t xml:space="preserve">Maksimalna količina koja se može naručiti. </t>
  </si>
  <si>
    <t xml:space="preserve">Posljednji komadi na zalihi. </t>
  </si>
  <si>
    <t>Trenutno nije dostupno.</t>
  </si>
  <si>
    <t>Trenutno nedostupno.</t>
  </si>
  <si>
    <t>Svaka količina se može naručiti.</t>
  </si>
  <si>
    <t>Maksimalna količina koja se može naručiti.</t>
  </si>
  <si>
    <t>Poslednji komadi na lageru.</t>
  </si>
  <si>
    <t xml:space="preserve">Qualsiasi quantità può essere ordinata. </t>
  </si>
  <si>
    <t xml:space="preserve">La quantità massima ordinabile. </t>
  </si>
  <si>
    <t xml:space="preserve">Ultimi pezzi in magazzino. </t>
  </si>
  <si>
    <t>Attualmente non disponibile.</t>
  </si>
  <si>
    <t xml:space="preserve">Tellida saab mis tahes kogust. </t>
  </si>
  <si>
    <t xml:space="preserve">Maksimaalne kogus, mida saab tellida. </t>
  </si>
  <si>
    <t xml:space="preserve">Viimased tükid laos. </t>
  </si>
  <si>
    <t>Hetkel kättesaamatu.</t>
  </si>
  <si>
    <t xml:space="preserve">Bármilyen mennyiség megrendelhető. </t>
  </si>
  <si>
    <t xml:space="preserve">A megrendelhető maximális mennyiség. </t>
  </si>
  <si>
    <t xml:space="preserve">Utolsó darabok raktáron. </t>
  </si>
  <si>
    <t>Jelenleg nem elérhető.</t>
  </si>
  <si>
    <t xml:space="preserve">Jebkuru daudzumu var pasūtīt. </t>
  </si>
  <si>
    <t xml:space="preserve">Maksimālais daudzums, ko var pasūtīt. </t>
  </si>
  <si>
    <t xml:space="preserve">Pēdējie gabali noliktavā. </t>
  </si>
  <si>
    <t>Pašlaik nav pieejams.</t>
  </si>
  <si>
    <t>Lze objednat libovolný počet.</t>
  </si>
  <si>
    <t>Posledních pár kousků skladem.</t>
  </si>
  <si>
    <t>Nelze v tuto chvíli objednat.</t>
  </si>
  <si>
    <t>Sleva v %</t>
  </si>
  <si>
    <t>dostane za dané období příslušnou slevu i zpětně. Odběrem zboží se myslí částka bez DPH po odečtení slevy.</t>
  </si>
  <si>
    <t>Vepsáním vaší slevy do buňky D19 se ceník automaticky přepočítá, případně se sleva vypčte sama podle aktuální objednávky.</t>
  </si>
  <si>
    <t>Ha az ügyfél túllépi a saját mennyiségi kedvezményét az adott időszakban történt rendelésekkel (a rendelések összegét összeadjuk),</t>
  </si>
  <si>
    <t>a megfelelő kedvezményt visszamenőlegesen megkapja az adott időszakra. Az áru átvételének értendő az ÁFA nélküli összeg a kedvezmény levonása után.</t>
  </si>
  <si>
    <t>Az árengedménynek a D19 cellába történő beírásával az árjegyzék automatikusan újraszámításra kerül, vagy a kedvezmény az aktuális rendelés összege szerint kerül kiszámításra.</t>
  </si>
  <si>
    <t>You have used up your discount by exceeding your purchase limits(purchases of goods add up),</t>
  </si>
  <si>
    <t>you will receive the relevant discout for the given period back. Purchase of goods it means the amount without VAT after deduction of the discount.</t>
  </si>
  <si>
    <t>Enter your discount in the cell D19 the price list will be automatically recalculated. The discount is also calculated itself according to the current order.</t>
  </si>
  <si>
    <t>Hai utilizzato lo sconto superando i limiti di acquisto (gli acquisti di beni si sommano),</t>
  </si>
  <si>
    <t>riceverai lo sconto pertinente per il periodo specificato. Acquisto di beni significa l'importo senza IVA previa detrazione dello sconto.</t>
  </si>
  <si>
    <t>Immettere lo sconto nella cella D19, il listino prezzi verrà ricalcolato automaticamente. Lo sconto viene calcolato anche in base all'ordine corrente.</t>
  </si>
  <si>
    <t xml:space="preserve">Odobreni popust koristi se sve do prelaska tj. ostvarenja nove razine kupnje (iznosi pojedinačnih kupnji se zbrajaju), te će sukladno tome kupac </t>
  </si>
  <si>
    <t>Unosom popusta u ćeliju D19 u cjeniku će se automatski preračunati cijene. Popust se također računa automatski sukladno trenutnoj narudžbi.</t>
  </si>
  <si>
    <t xml:space="preserve">dobiti odgovarajući popust za određeno prethodno razdoblje. Ukupni iznos kupnje podrazumjeva iznos bez poreza na dodanu vrijednost nakon odbitka iznosa popusta. </t>
  </si>
  <si>
    <t>kancelář:</t>
  </si>
  <si>
    <t>+420 799 999 333</t>
  </si>
  <si>
    <t>○</t>
  </si>
  <si>
    <t>+420 799 799 733</t>
  </si>
  <si>
    <t>Česká republika</t>
  </si>
  <si>
    <t>sklad:</t>
  </si>
  <si>
    <t>office:</t>
  </si>
  <si>
    <t>storage:</t>
  </si>
  <si>
    <t>Czech republic</t>
  </si>
  <si>
    <t>SEND ALL ORDERS ONLY TO E-MAIL ADRESS:</t>
  </si>
  <si>
    <t>Tel.1:</t>
  </si>
  <si>
    <t>Tel.2:</t>
  </si>
  <si>
    <t>Polska</t>
  </si>
  <si>
    <t>Dotyczy wszystkich zakupów w danym roku (zakupy towarów sumują się),</t>
  </si>
  <si>
    <t>Zakup towaru to kwota netto (bez VAT) po odliczeniu rabatu.</t>
  </si>
  <si>
    <t>Wpisz swój rabat w komórce D19 cennik zostanie automatycznie przeliczony. Rabat naliczany jest również dla pozycji zamówienia.</t>
  </si>
  <si>
    <t>690-800-300</t>
  </si>
  <si>
    <t>WYŚLIJ WSZYSTKIE ZAMÓWIENIA TYLKO DO:</t>
  </si>
  <si>
    <t>570-120-130</t>
  </si>
  <si>
    <t>Nếu khách hàng vượt quá số lượng chiết khấu của chính họ với các đăng ký của họ trong một khoảng thời gian nhất định (các đăng ký được cộng lại với nhau),</t>
  </si>
  <si>
    <t>anh ta sẽ nhận được khoản chiết khấu tương ứng cho khoảng thời gian hồi tố đó. Số tiền mua hàng là số tiền chưa bao gồm thuế GTGT sau khi đã trừ khoản chiết khấu.</t>
  </si>
  <si>
    <t>Bằng cách nhập chiết khấu của bạn vào ô D19, bảng giá sẽ được tự động tính lại hoặc chiết khấu sẽ được tính theo đơn hàng hiện tại.</t>
  </si>
  <si>
    <t xml:space="preserve">CHỈ GỬI TẤT CẢ ĐƠN HÀNG ĐẾN: </t>
  </si>
  <si>
    <t>đ.t. kho:</t>
  </si>
  <si>
    <t>văn phòng:</t>
  </si>
  <si>
    <t>Ostvarujete popust premašivši ograničenja kupovine (kupovina robe se sabira),</t>
  </si>
  <si>
    <t>dobićete odgovarajući popust za dati period unazad. Kupovina robe znači iznos bez PDV-a nakon odbitka popusta.</t>
  </si>
  <si>
    <t>Unesite popust u polje D19 i cenovnik će se automatski preračunati. Popust se takođe izračunava prema trenutnoj narudžbi.</t>
  </si>
  <si>
    <t>INVIA TUTTI GLI ORDINI SOLO ALL'INDIRIZZO E-MAIL:</t>
  </si>
  <si>
    <t>Repubblica Ceca</t>
  </si>
  <si>
    <t>ufficio:</t>
  </si>
  <si>
    <t>archiviazione:</t>
  </si>
  <si>
    <t>SVE NARUDŽBE SLATI ISKLJUČIVO NA ADRESU E-POŠTE:</t>
  </si>
  <si>
    <t>ured:</t>
  </si>
  <si>
    <t>skladište:</t>
  </si>
  <si>
    <t>SENDEN SIE ALLE BESTELLUNGEN NUR AN DIE E-MAIL-ADRESSE:</t>
  </si>
  <si>
    <t>Tschechien</t>
  </si>
  <si>
    <t>Büro:</t>
  </si>
  <si>
    <t>Lager:</t>
  </si>
  <si>
    <t>Geben Sie Ihren Rabatt in die Zelle D19 ein, die Preisliste wird automatisch neu berechnet. Der Rabatt berechnet sich auch selbst nach der aktuellen Bestellung.</t>
  </si>
  <si>
    <t>Sie haben Ihren Rabatt aufgebraucht, indem Sie Ihre Einkaufslimits überschritten haben (Wareneinkäufe summieren sich),</t>
  </si>
  <si>
    <t xml:space="preserve">Sie erhalten den entsprechenden Rabatt für den angegebenen Zeitraum zurück. Warenkauf bedeutet den Betrag ohne Mehrwertsteuer nach Abzug des Skontos. </t>
  </si>
  <si>
    <t>designy</t>
  </si>
  <si>
    <t>snaga zvuka 120dB na udaljenosti 15m sa crvenim svjetlosnim efektom na početku</t>
  </si>
  <si>
    <t>potenza sonora 120dB da 15m con luce rosso all'inizio</t>
  </si>
  <si>
    <t>petardy lontowe z czarwonym błyskiem, głośność 120dB z 15m</t>
  </si>
  <si>
    <t xml:space="preserve">8 aknaga kalender lastele </t>
  </si>
  <si>
    <t xml:space="preserve">gyerek naptár 8 ajándékot rejtett ablakkal </t>
  </si>
  <si>
    <t>cz</t>
  </si>
  <si>
    <t>de</t>
  </si>
  <si>
    <t>cro</t>
  </si>
  <si>
    <t>pl</t>
  </si>
  <si>
    <t>hu</t>
  </si>
  <si>
    <t>Jūs išnaudojote savo nuolaidą viršiję pirkimo limitus (prekių pirkimai sumuojasi)</t>
  </si>
  <si>
    <t>Už atitinkamą laikotarpį gausite atitinkamą nuolaidą. Prekių pirkimas reiškia sumą be PVM, atskaičius nuolaidą.</t>
  </si>
  <si>
    <t>D19 langelyje įveskite savo nuolaidą. Kainoraštis bus automatiškai perskaičiuotas. Nuolaida taip pat apskaičiuojama pagal dabartinę tvarką.</t>
  </si>
  <si>
    <t>VISI UŽSAKYMAI TURI BŪTI SIUNČIAMI ŠIUO ELEKTRONINIO PAŠTO ADRESU:</t>
  </si>
  <si>
    <t>Ofisas:</t>
  </si>
  <si>
    <t>Sandėlis:</t>
  </si>
  <si>
    <t>Olete oma allahindluse ära kasutanud, ületades ostupiiranguid (kaupade ostud kokku)</t>
  </si>
  <si>
    <t>Saate vastava allahindluse antud perioodi eest tagasi. Kauba ostmine tähendab summat ilma käibemaksuta pärast allahindluse mahaarvamist.</t>
  </si>
  <si>
    <t>Sisestage oma allahindlus lahtrisse D19. Hinnakiri arvutatakse automaatselt ümber. Soodustus arvutatakse ka ise vastavalt kehtivale järjekorrale.</t>
  </si>
  <si>
    <t>Tellimused saata ainult e-maili teel:</t>
  </si>
  <si>
    <t>kontor:</t>
  </si>
  <si>
    <t>ladu:</t>
  </si>
  <si>
    <t>Jūs esat izmantojis atlaidi, pārsniedzot pirkumu ierobežojumus (preču pirkumi summējas),</t>
  </si>
  <si>
    <t>Jūs saņemsit attiecīgo atlaidi par konkrēto periodu atpakaļ. Preču iegādes summa ir bez PVN pēc atlaides atskaitīšanas.</t>
  </si>
  <si>
    <t>Ievadiet atlaidi šūnā D19, cenrādis tiks automātiski pārrēķināts. Arī atlaide tiek aprēķināta pati pēc pašreizējā pasūtījuma.</t>
  </si>
  <si>
    <t>SŪTĪT VISUS PASŪTĪJUMUS TIKAI UZ E-PASTU</t>
  </si>
  <si>
    <t>offis:</t>
  </si>
  <si>
    <t>veikals:</t>
  </si>
  <si>
    <t>INTEREKTĪVAJS</t>
  </si>
  <si>
    <t>Atlaide[%]</t>
  </si>
  <si>
    <t>Discount</t>
  </si>
  <si>
    <t>Rabatt</t>
  </si>
  <si>
    <t>Rabat</t>
  </si>
  <si>
    <t>Chiết khấu</t>
  </si>
  <si>
    <t>Nuolaida</t>
  </si>
  <si>
    <t>Popust</t>
  </si>
  <si>
    <t>Sconto</t>
  </si>
  <si>
    <t>allahindlus</t>
  </si>
  <si>
    <t>Kedvezmény</t>
  </si>
  <si>
    <t>RSD6</t>
  </si>
  <si>
    <t>pískající raketa s explozí- vyrobeno v Evropě</t>
  </si>
  <si>
    <t>long whistling tail to titanium salute- Made in EU</t>
  </si>
  <si>
    <t>Pfeifrakete mit Explosion - made in Europe</t>
  </si>
  <si>
    <t>vertė aukščiau</t>
  </si>
  <si>
    <t>vrijednost iznad</t>
  </si>
  <si>
    <t>vrednost iznad</t>
  </si>
  <si>
    <t>valore sopra</t>
  </si>
  <si>
    <t>väärtus üleval</t>
  </si>
  <si>
    <t>fenti érték</t>
  </si>
  <si>
    <t>vērtība augstāk</t>
  </si>
  <si>
    <t>value above</t>
  </si>
  <si>
    <t>Wert oben</t>
  </si>
  <si>
    <t>giá trị trên</t>
  </si>
  <si>
    <t>DP1FD</t>
  </si>
  <si>
    <t>Jelikož ceny dopravy a zboží jsou velice nestabilní, vyhrazujeme si právo na změnu cen i během období platnosti ceníku.</t>
  </si>
  <si>
    <t xml:space="preserve">Transport- und Güterpreise sind sehr volatil. Preisänderungen (auch während der Geltungsdauer der Preisliste) behalten wir uns vor. </t>
  </si>
  <si>
    <t xml:space="preserve">Transporta un preču cenas ir ļoti svārstīgas. Mēs paturam tiesības mainīt cenas (pat cenrāža derīguma termiņa laikā). </t>
  </si>
  <si>
    <t xml:space="preserve">A szállítás és az áruk nagyon ingadozóak. Az árváltoztatás jogát fenntartjuk (még az árlista érvényességi ideje alatt is). </t>
  </si>
  <si>
    <t xml:space="preserve">Transpordi ja kaupade hinnad on väga kõikuvad. Jätame endale õiguse hindu muuta (isegi hinnakirja kehtivusaja jooksul). </t>
  </si>
  <si>
    <t xml:space="preserve">I prezzi dei trasporti e delle merci sono molto volatili. Ci riserviamo il diritto di modificare i prezzi (anche durante il periodo di validità del listino). </t>
  </si>
  <si>
    <t>Cene transporta i robe su veoma promenljive. Zadržavamo pravo promene cena (čak i tokom perioda važenja cenovnika).</t>
  </si>
  <si>
    <t xml:space="preserve">Cijene transporta i robe vrlo su nestabilne. Zadržavamo pravo promjene cijena (čak i za vrijeme važenja cjenika). </t>
  </si>
  <si>
    <t xml:space="preserve">Transporto ir prekių kainos yra labai nepastovios. Pasiliekame teisę keisti kainas (net ir kainoraščio galiojimo laikotarpiu). </t>
  </si>
  <si>
    <t xml:space="preserve">Giá cả vận tải và hàng hóa rất dễ biến động. Chúng tôi có quyền thay đổi giá (kể cả trong thời gian bảng giá có hiệu lực). </t>
  </si>
  <si>
    <t xml:space="preserve">Ceny transportu i towarów są bardzo zmienne. Zastrzegamy sobie prawo do zmiany cen (nawet w okresie obowiązywania cennika). </t>
  </si>
  <si>
    <t xml:space="preserve">Transport and goods prices are very volatile. We reserve the right to change prices (even during the period of validity of the price list). </t>
  </si>
  <si>
    <t>picture</t>
  </si>
  <si>
    <t>Bild</t>
  </si>
  <si>
    <t>Volumen m3</t>
  </si>
  <si>
    <t>Datum</t>
  </si>
  <si>
    <t>Date</t>
  </si>
  <si>
    <t>Data</t>
  </si>
  <si>
    <t>Ngày tháng</t>
  </si>
  <si>
    <t>Kuupäev</t>
  </si>
  <si>
    <t>Dátum</t>
  </si>
  <si>
    <t>Datums</t>
  </si>
  <si>
    <t>Termín další dostupnosti zboží</t>
  </si>
  <si>
    <t>Turpmākas pieejamības datums</t>
  </si>
  <si>
    <t>További elérhetőség dátuma</t>
  </si>
  <si>
    <t>Az áruk további elérhetőségének dátuma</t>
  </si>
  <si>
    <t>La data di ulteriore disponibilità di beni</t>
  </si>
  <si>
    <t>Datum dalje dostupnosti robe</t>
  </si>
  <si>
    <t>Datum daljnje dostupnosti robe</t>
  </si>
  <si>
    <t>Tolesnio prekių prieinamumo data</t>
  </si>
  <si>
    <t>Ngày sẵn có hơn nữa hàng hóa</t>
  </si>
  <si>
    <t>Termin dalszej dostępności towaru</t>
  </si>
  <si>
    <t>Das Datum der weiteren Warenverfügbarkeit</t>
  </si>
  <si>
    <t>The date of further availability of goods</t>
  </si>
  <si>
    <t>Klásek Trading  s.r.o. , K Zyfu 1083, Ostrava-Hrabová 720 00,Česká republika  ○ IČO: 26848643  ○  DIČ: CZ26848643</t>
  </si>
  <si>
    <t>info@klasekpyrotechnics.cz</t>
  </si>
  <si>
    <t>Prodej po kusech</t>
  </si>
  <si>
    <t>ii</t>
  </si>
  <si>
    <t>listino prezzi di PRENOTAZIONE</t>
  </si>
  <si>
    <t>BRONEERIMINE hinnakiri</t>
  </si>
  <si>
    <t>FOGLALÁSI árlista</t>
  </si>
  <si>
    <t xml:space="preserve">cenrādis </t>
  </si>
  <si>
    <t>REZERVĀCIJA cenrādis</t>
  </si>
  <si>
    <t>cenovnik</t>
  </si>
  <si>
    <t>REZERVACIONI cenovnik</t>
  </si>
  <si>
    <t>cjenik REZERVACIJE</t>
  </si>
  <si>
    <t>REZERVACIJA Kainoraštis</t>
  </si>
  <si>
    <t>bảng giá SỰ ĐẶT CHỖ</t>
  </si>
  <si>
    <t>cennik REZERWACYJNY</t>
  </si>
  <si>
    <t>RESERVIERUNGSPREISLISTE</t>
  </si>
  <si>
    <t>RESERVATION FORM price list</t>
  </si>
  <si>
    <t>REZERVAČNÍ ceník</t>
  </si>
  <si>
    <t>dariulucky@gmail.com</t>
  </si>
  <si>
    <t>nápověda</t>
  </si>
  <si>
    <t>palīdzēt</t>
  </si>
  <si>
    <t>segítség</t>
  </si>
  <si>
    <t>abi</t>
  </si>
  <si>
    <t>aiuto</t>
  </si>
  <si>
    <t>pomoc</t>
  </si>
  <si>
    <t>pomoć</t>
  </si>
  <si>
    <t>padėti</t>
  </si>
  <si>
    <t>sự giúp đỡ</t>
  </si>
  <si>
    <t>Hilfe</t>
  </si>
  <si>
    <t>help</t>
  </si>
  <si>
    <t xml:space="preserve">   </t>
  </si>
  <si>
    <t>1. AZ ÜGYFÉL A RENDELÉSÉT A KITÖLTÖTT ELEKTRONIKUS ÁRLISTÁBAN ADJA LE /MÁS FORMÁTUM NEMLESZ ELFOGADVA/ AZ info@klasektrading.cz EMAIL CÍMRE A KELLŐ INFORMÁCIÓVAL AZ ÁRU FELRAKÁSÁRÓL, RAKLAPON VAGY SZABADON (LÁSD A 1703 CELLÁT), SZÁLLITÁS MÓDJA, ESETLEG A SZÁLLITÁS CÍMÉT.</t>
  </si>
  <si>
    <t>etnafajerwerki@grupaetna.pl</t>
  </si>
  <si>
    <t>PLZ420</t>
  </si>
  <si>
    <t>Plašič zvěře- silná rána každých 35min</t>
  </si>
  <si>
    <t>MojeBanka Business</t>
  </si>
  <si>
    <t>KB Rádce</t>
  </si>
  <si>
    <t>kategorie</t>
  </si>
  <si>
    <t>pro</t>
  </si>
  <si>
    <t>ceník</t>
  </si>
  <si>
    <t>DP1Z50</t>
  </si>
  <si>
    <t>DP1FM</t>
  </si>
  <si>
    <t>VP70W</t>
  </si>
  <si>
    <t>Prskavky 70cm - Wedding serie</t>
  </si>
  <si>
    <t>VP40W</t>
  </si>
  <si>
    <t>Prskavky 40cm - Wedding serie</t>
  </si>
  <si>
    <t>C1923XMF/C</t>
  </si>
  <si>
    <t>DORAZÍ</t>
  </si>
  <si>
    <t>WILL COME</t>
  </si>
  <si>
    <t>KOMMT</t>
  </si>
  <si>
    <t>PRZYJDZIE</t>
  </si>
  <si>
    <t>ANH ẤY SẼ TỚI</t>
  </si>
  <si>
    <t>ATVYKS</t>
  </si>
  <si>
    <t>DOĆI ĆE</t>
  </si>
  <si>
    <t>ĆE DOĆI</t>
  </si>
  <si>
    <t>VERRÀ</t>
  </si>
  <si>
    <t>TULEB</t>
  </si>
  <si>
    <t>JÖNNI FOG</t>
  </si>
  <si>
    <t>Viņš nāk</t>
  </si>
  <si>
    <t>K-C10025BPW/C14</t>
  </si>
  <si>
    <t>K-C10030XF/C14</t>
  </si>
  <si>
    <t>K-C1003BB/C</t>
  </si>
  <si>
    <t>K-C1003BO/C</t>
  </si>
  <si>
    <t>K-C1003BP/C</t>
  </si>
  <si>
    <t>K-C1003BPF/C</t>
  </si>
  <si>
    <t>K-C1003BPW/C14</t>
  </si>
  <si>
    <t>K-C1003NO/C14</t>
  </si>
  <si>
    <t>K-C1003SIG/C</t>
  </si>
  <si>
    <t>K-C1003W/C</t>
  </si>
  <si>
    <t>K-C10545GI/C</t>
  </si>
  <si>
    <t>K-C12230XPT/C14</t>
  </si>
  <si>
    <t>K-C128XMB/C</t>
  </si>
  <si>
    <t>K-C128XMPT/C</t>
  </si>
  <si>
    <t>K-C13220B/C14</t>
  </si>
  <si>
    <t>K-C13220TS/C14(T)</t>
  </si>
  <si>
    <t>K-C132XMPT/C</t>
  </si>
  <si>
    <t>K-C132XMPT/C14</t>
  </si>
  <si>
    <t>K-C14025XFS/C</t>
  </si>
  <si>
    <t>K-C14025XFS/C14</t>
  </si>
  <si>
    <t>K-C1503BPF/C</t>
  </si>
  <si>
    <t>K-C1503X/C</t>
  </si>
  <si>
    <t>K-C150MF/C</t>
  </si>
  <si>
    <t>K-C175MSIG/C</t>
  </si>
  <si>
    <t>K-C18020SIG/C</t>
  </si>
  <si>
    <t>K-C188MF/C</t>
  </si>
  <si>
    <t>K-C20020XPR/C14</t>
  </si>
  <si>
    <t>K-C20025BPF/C</t>
  </si>
  <si>
    <t>K-C20025F/C</t>
  </si>
  <si>
    <t>K-C2003BP/C</t>
  </si>
  <si>
    <t>K-C200MF/C</t>
  </si>
  <si>
    <t>K-C200MNID/C</t>
  </si>
  <si>
    <t>K-C204XMPT/C14</t>
  </si>
  <si>
    <t>K-C212MF/C</t>
  </si>
  <si>
    <t>K-C216XMFS/C</t>
  </si>
  <si>
    <t>K-C216XMFS/C14</t>
  </si>
  <si>
    <t>K-C219XMPT/C</t>
  </si>
  <si>
    <t>K-C222MF/C</t>
  </si>
  <si>
    <t>K-C222MNID/C</t>
  </si>
  <si>
    <t>K-C222MNPT/C</t>
  </si>
  <si>
    <t>K-C223XMK/C</t>
  </si>
  <si>
    <t>K-C223XMK/C14</t>
  </si>
  <si>
    <t>K-C25220XFS/C14</t>
  </si>
  <si>
    <t>K-C25620F/C</t>
  </si>
  <si>
    <t>K-C2563F/C</t>
  </si>
  <si>
    <t>K-C26020F/C</t>
  </si>
  <si>
    <t>K-C26420N/C</t>
  </si>
  <si>
    <t>K-C30025BPW/C</t>
  </si>
  <si>
    <t>K-C30025F/C</t>
  </si>
  <si>
    <t>K-C30025NID/C</t>
  </si>
  <si>
    <t>K-C39020F/C</t>
  </si>
  <si>
    <t>K-C40025F/C</t>
  </si>
  <si>
    <t>K-C503BPW/C14</t>
  </si>
  <si>
    <t>K-C503ME/C14</t>
  </si>
  <si>
    <t>K-C503NID/C14</t>
  </si>
  <si>
    <t>K-C505V/C</t>
  </si>
  <si>
    <t>K-C505X/C</t>
  </si>
  <si>
    <t>K-C52020F/C</t>
  </si>
  <si>
    <t>K-C755R/C</t>
  </si>
  <si>
    <t>K-C84M12E/C</t>
  </si>
  <si>
    <t>K-C84M12F/C</t>
  </si>
  <si>
    <t>K-C84M12S/C</t>
  </si>
  <si>
    <t>K-C84MC/C</t>
  </si>
  <si>
    <t>K-C9625MF/C14</t>
  </si>
  <si>
    <t>K-C9825C/C14</t>
  </si>
  <si>
    <t>ADR parametry pro CMR:</t>
  </si>
  <si>
    <t>UN 0333</t>
  </si>
  <si>
    <t>UN 0335</t>
  </si>
  <si>
    <t>UN 0336</t>
  </si>
  <si>
    <t>Výrobky zábavné pyrotechniky</t>
  </si>
  <si>
    <t>Fireworks</t>
  </si>
  <si>
    <t>(B1000C)</t>
  </si>
  <si>
    <t>(C5000D)</t>
  </si>
  <si>
    <t>(E)</t>
  </si>
  <si>
    <t>Brutto [kg]</t>
  </si>
  <si>
    <t>NEM [kg]</t>
  </si>
  <si>
    <t>Paletových souborů</t>
  </si>
  <si>
    <t>Maximální výška palety = 180 cm!</t>
  </si>
  <si>
    <t>Maximale Palettenhöhe = 180 cm!</t>
  </si>
  <si>
    <t>Maksimālais paletes augstums = 180 cm!</t>
  </si>
  <si>
    <t>Maximális raklap magasság = 180 cm!</t>
  </si>
  <si>
    <t>Maksimaalne kaubaaluse kõrgus = 180 cm!</t>
  </si>
  <si>
    <t>Altezza massima del pallet = 180 cm!</t>
  </si>
  <si>
    <t>Maksimalna visina palete = 180 cm!</t>
  </si>
  <si>
    <t>Maksimalus padėklo aukštis = 180 cm!</t>
  </si>
  <si>
    <t>Chiều cao pallet tối đa = 180 cm!</t>
  </si>
  <si>
    <t>Maksymalna wysokość palety = 180 cm!</t>
  </si>
  <si>
    <t>Maximum pallet height = 180 cm!</t>
  </si>
  <si>
    <t>P6A14F3(R)</t>
  </si>
  <si>
    <t>Nebude uznáno video, na kterém je vidět pouze selhání výrobku během střelby, kdy nelze identifikovat, o který výrobek se jedná!</t>
  </si>
  <si>
    <t>Nelze reklamovat u baterií roztrženou červenou vrchní fólii. Kdo nechce tento typ vrchní strany (velice náchylné na roztrhnutí), tak si tento typ výrobků neobjednává a místo toho zvolí vrchní stranu z papíru (s designem). V ceníku jsou tyto výrobky označeny jako F = fólie / D = design</t>
  </si>
  <si>
    <t>Se il cliente ha la merce imballata su pallet, è obbligato a ritirare la merce sul pallet dal magazzino. Non è possibile richiedere il carico gratuito quando la merce è su bancale.</t>
  </si>
  <si>
    <t>L'altezza di un pallet non supererà i 180 cm. Se il cliente vuole sfruttare al meglio il mezzo di trasporto, deve ordinare la merce in congedo.</t>
  </si>
  <si>
    <t>When sending goods by ADR truck (load capacity 24,000 kg), the customer can unload the goods in one place free of charge, max. 4 hours. For longer unloading, the charged rate will be 800 CZK / hour of waiting, when moving to another warehouse, 100 CZK / km will be charged.</t>
  </si>
  <si>
    <t>Bei Versendung der Ware per ADR-LKW (Tragfähigkeit 24.000 kg) kann der Kunde die Ware an einem Ort kostenfrei, maximal 4 Stunden, entladen. Bei längerem Entladen beträgt der berechnete Preis 800 CZK / Stunde Wartezeit, beim Umzug in ein anderes Lager werden 100 CZK / km berechnet.</t>
  </si>
  <si>
    <t>Prilikom slanja robe ADR kamionom (nosivost 24.000 kg), kupac može besplatno istovariti robu na jednom mjestu, maksimalno 4 sata. Za duži istovar naplaćuje se 800 CZK/sat čekanja, pri prelasku u drugo skladište naplaćuje se 100 CZK/km.</t>
  </si>
  <si>
    <t>In caso di invio di merce con camion ADR (capacità di carico 24.000 kg), il cliente può scaricare gratuitamente la merce in un unico luogo, max 4 ore. Per lo scarico più lungo, la tariffa addebitata sarà di 800 CZK / ora di attesa, per il trasferimento in un altro magazzino verranno addebitati 100 CZK / km.</t>
  </si>
  <si>
    <t>Siunčiant prekes ADR sunkvežimiu (keliamoji galia 24 000 kg), klientas gali nemokamai iškrauti prekes vienoje vietoje, max 4 val. Už ilgesnį iškrovimą imamas 800 CZK / laukimo valanda, perkeliant į kitą sandėlį - 100 CZK / km.</t>
  </si>
  <si>
    <t>Wysyłając towar ciężarówką ADR (ładowność 24 000 kg) Klient może bezpłatnie rozładować towar w jednym miejscu, maksymalnie 4 godziny. Przy dłuższym rozładunku naliczona stawka wyniesie 800 CZK/godzinę oczekiwania, przy przeprowadzce do innego magazynu zostanie naliczona opłata 100 CZK/km.</t>
  </si>
  <si>
    <t>Kauba saatmisel ADR veoautoga (kandevõime 24 000 kg) saab klient kauba ühes kohas tasuta maha laadida, max 4 tundi. Pikema mahalaadimise korral on tasu 800 CZK / ootetund, teise lattu kolimisel tuleb tasuda 100 CZK / km.</t>
  </si>
  <si>
    <t>Faster durations cannot be claimed for batteries and compound fireworks. Many processes that are not under our control (unloading at the customer, storage in the customer's warehouse, handling of purchased goods, etc.) can damage the products. The explosiv material will be dumped to the bottom of the battery and this will speed up the duration of the effect, when the individual shots fire at a greater pace.</t>
  </si>
  <si>
    <t>Für Batterien und Verbundfeuerwerkskörper können keine kürzeren Laufzeiten geltend gemacht werden. Viele Prozesse, die nicht unter unserer Kontrolle stehen (Entladung beim Kunden, Lagerung im Lager des Kunden, Handling der eingekauften Ware, etc.) können die Produkte beschädigen. Das Explosivstoff wird auf den Boden der Batterie geworfen und dies beschleunigt die Wirkungsdauer, wenn die einzelnen Schüsse mit höherer Geschwindigkeit abgefeuert werden.</t>
  </si>
  <si>
    <t>Akkumulátorok és összetett tűzijátékok esetében nem igényelhető gyorsabb időtartam. Számos, nem a mi ellenőrzésünk alatt álló folyamat (kirakodás a vevőnél, tárolás a vevő raktárában, vásárolt áruk kezelése stb.) károsíthatja a termékeket. A robbanóanyag az akkumulátor aljára kerül, és ez felgyorsítja a hatás időtartamát, amikor az egyes lövések nagyobb ütemben adnak le.</t>
  </si>
  <si>
    <t>Không thể yêu cầu thời lượng nhanh hơn đối với pin và pháo hoa hỗn hợp. Nhiều quy trình không nằm trong tầm kiểm soát của chúng tôi (dỡ hàng tại khách hàng, bảo quản trong kho của khách hàng, xử lý hàng hóa đã mua, v.v.) có thể làm hỏng sản phẩm. Thuốc nổ sẽ được đổ xuống đáy pin và điều này sẽ tăng tốc thời gian của hiệu ứng, khi các phát bắn riêng lẻ bắn với tốc độ lớn hơn.</t>
  </si>
  <si>
    <t>W przypadku baterii i złożonych fajerwerków nie można żądać krótszego czasu trwania. Wiele procesów, które nie są pod naszą kontrolą (rozładunek u klienta, składowanie w magazynie klienta, obsługa zakupionych towarów itp.) może spowodować uszkodzenie produktów. Materiał wybuchowy zostanie zrzucony na dno baterii, co przyspieszy czas trwania efektu, gdy poszczególne strzały strzelają w większym tempie.</t>
  </si>
  <si>
    <t>Brže trajanje se ne može zahtevati za baterije i složeni vatromet. Mnogi procesi koji nisu pod našom kontrolom (istovar kod kupca, skladištenje u skladištu kupca, rukovanje kupljenom robom itd.) mogu oštetiti proizvode. Eksplozivni materijal će biti bačen na dno baterije i to će ubrzati trajanje efekta, kada pojedinačni hitci ispaljuju većim tempom.</t>
  </si>
  <si>
    <t>Patareide ja kombineeritud ilutulestiku puhul ei saa taotleda kiiremat kestust. Paljud protsessid, mis ei ole meie kontrolli all (mahalaadimine kliendi juures, ladustamine kliendi laos, ostetud kaupade käitlemine jne), võivad tooteid kahjustada. Plahvatusohtlik materjal heidetakse aku põhja ja see kiirendab efekti kestust, kui üksikud lasud tulistavad suurema tempoga.</t>
  </si>
  <si>
    <t>Negalima reikalauti, kad baterijų ir sudėtinių fejerverkų trukmė būtų ilgesnė. Daugelis procesų, kurių mes nekontroliuojame (iškrovimas pas klientą, sandėliavimas kliento sandėlyje, įsigytų prekių tvarkymas ir kt.), gali sugadinti gaminius. Sprogstamoji medžiaga bus išpilta į baterijos dugną ir tai pagreitins efekto trukmę, kai atskiri šūviai šaudys didesniu tempu.</t>
  </si>
  <si>
    <t>Non è possibile richiedere durate più rapide per batterie e fuochi d'artificio composti. Molte lavorazioni che non sono sotto il nostro controllo (scarico presso il cliente, stoccaggio nel magazzino del cliente, movimentazione della merce acquistata, ecc.) possono danneggiare i prodotti. Il materiale esplosivo verrà scaricato sul fondo della batteria e questo accelererà la durata dell'effetto, quando i singoli colpi sparano a un ritmo maggiore.</t>
  </si>
  <si>
    <t>Za baterije i složeni vatromet ne može se zahtijevati brža trajanja. Mnogi procesi koji nisu pod našom kontrolom (istovar kod kupca, skladištenje u skladištu kupca, rukovanje kupljenom robom i sl.) mogu oštetiti proizvode. Eksplozivni materijal će biti bačen na dno baterije i to će ubrzati trajanje efekta, kada se pojedinačni meci ispaljuju većim tempom.</t>
  </si>
  <si>
    <t xml:space="preserve">Pokud dojde k totální explozi baterie nebo složeného ohňostroje, bude reklamace uznána pouze po předložení detailní fotodokumentace ihned po incidentu, ze které bude patrné, co se s výrobkem stalo. </t>
  </si>
  <si>
    <t>Ukoliko dođe do potpune eksplozije baterije ili složenog vatrometa, reklamacija će se uvažiti tek nakon dostave detaljne fotodokumentacije neposredno nakon incidenta iz koje se vidi što se dogodilo s proizvodom.</t>
  </si>
  <si>
    <t>In caso di esplosione totale della batteria o di fuochi d'artificio composti, il reclamo sarà accettato solo dietro presentazione di una dettagliata documentazione fotografica subito dopo l'incidente, che mostrerà cosa è successo al prodotto.</t>
  </si>
  <si>
    <t>Jei įvyksta visiškas baterijos sprogimas ar kombinuotas fejerverkas, skundas priimamas tik iškart po įvykio pateikiant išsamią fotodokumentaciją, kurioje bus matyti, kas atsitiko su gaminiu.</t>
  </si>
  <si>
    <t>W przypadku całkowitego wybuchu baterii lub fajerwerków złożonych reklamacja zostanie przyjęta dopiero po złożeniu szczegółowej dokumentacji fotograficznej bezpośrednio po zdarzeniu, która pokaże, co się stało z produktem.</t>
  </si>
  <si>
    <t>Ukoliko dođe do potpune eksplozije baterije ili složenog vatrometa, reklamacija će se uvažiti tek nakon dostavljanja detaljne fotodokumentacije neposredno nakon incidenta, koja će pokazati šta se dogodilo sa proizvodom.</t>
  </si>
  <si>
    <t>Kui toimub aku totaalne plahvatus või kombineeritud ilutulestik, võetakse kaebus vastu vaid üksikasjaliku fotodokumentatsiooni esitamisel vahetult pärast juhtumit, millelt on näha, mis tootega juhtus.</t>
  </si>
  <si>
    <t>Nếu có một vụ nổ toàn bộ pin hoặc pháo hoa hỗn hợp, khiếu nại sẽ chỉ được chấp nhận khi gửi tài liệu ảnh chi tiết ngay sau sự cố, trong đó sẽ cho biết điều gì đã xảy ra với sản phẩm.</t>
  </si>
  <si>
    <t>Az akkumulátor teljes felrobbanása vagy az összetett tűzijáték esetén a reklamációt csak az eset után azonnal benyújtott részletes fényképes dokumentáció esetén fogadjuk el, amelyből kiderül, mi történt a termékkel.</t>
  </si>
  <si>
    <t>Im Falle einer Totalexplosion der Batterie oder des Verbundfeuerwerks wird die Reklamation nur nach Vorlage einer ausführlichen Fotodokumentation unmittelbar nach dem Vorfall akzeptiert, aus der hervorgeht, was mit dem Produkt passiert ist.</t>
  </si>
  <si>
    <t>If there is a total explosion of the battery or compound fireworks, the complaint will be accepted only upon submission of detailed photo documentation immediately after the incident, which will show what happened to the product.</t>
  </si>
  <si>
    <t>Torn red top foil cannot be claimed for batteries. If you do not want this type of top side (very prone to tearing), you do not order this type of product. Instead, it chooses the top of the paper (with design). In the price list, these products are marked as F = foil / D = design</t>
  </si>
  <si>
    <t>Eingerissene rote Deckfolie kann nicht für Batterien reklamiert werden. Wenn Sie diese Art von Oberseite (sehr reißanfällig) nicht wünschen, bestellen Sie diese Art von Produkt nicht. Stattdessen wählt es die Oberseite des Papiers (mit Design). In der Preisliste sind diese Produkte gekennzeichnet mit F = Folie / D = Design</t>
  </si>
  <si>
    <t>Elszakadt piros felső fólia akkumulátorra nem igényelhető. Ha nem szeretne ilyen típusú felsőt (nagyon hajlamos a szakadásra), akkor ne rendelje meg ezt a fajta terméket. Ehelyett a papír tetejét választja (a tervezéssel). Az árlistában ezek a termékek F = fólia / D = design jelzéssel vannak ellátva</t>
  </si>
  <si>
    <t>Không thể xác nhận giấy bạc trên cùng màu đỏ bị rách cho pin. Nếu bạn không muốn loại mặt trên (rất dễ bị rách), bạn không đặt hàng loại sản phẩm này. Thay vào đó, nó chọn phần trên cùng của tờ giấy (có thiết kế). Trong bảng giá, các sản phẩm này được đánh dấu là F = foil / D = design</t>
  </si>
  <si>
    <t>Rebenenud punast pealmist fooliumi ei saa akudele nõuda. Kui te seda tüüpi pealmist külge ei soovi (väga rebenemisohtlik), siis te seda tüüpi toodet ei telli. Selle asemel valib see paberi ülaosa (koos kujundusega). Hinnakirjas on need tooted märgitud F = foolium / D = disain</t>
  </si>
  <si>
    <t>Pocepana crvena gornja folija se ne može zahtevati za baterije. Ako ne želite ovu vrstu gornje strane (veoma sklonu kidanju), ne naručujete ovu vrstu proizvoda. Umesto toga, bira vrh papira (sa dizajnom). U cenovniku ovi proizvodi su označeni kao F = folija / D = dizajn</t>
  </si>
  <si>
    <t>Rozdartej czerwonej folii górnej nie można zgłaszać w przypadku baterii. Jeśli nie chcesz tego typu blatu (bardzo podatnego na rozdarcia), nie zamawiasz tego typu produktu. Zamiast tego wybiera górę papieru (z projektem). W cenniku produkty te oznaczone są jako F = folia / D = wzór</t>
  </si>
  <si>
    <t>Suplėšyta raudona viršutinė folija negali būti taikoma akumuliatoriams. Jei nenorite tokio tipo viršutinės pusės (labai linkusios plyšti), tokio tipo gaminių neužsisakykite. Vietoj to jis pasirenka popieriaus viršų (su dizainu). Kainyne šie gaminiai pažymėti F = folija / D = dizainas</t>
  </si>
  <si>
    <t>La lamina superiore rossa strappata non può essere rivendicata per le batterie. Se non desideri questo tipo di lato superiore (molto soggetto a strappi), non ordinate questo tipo di prodotto. Invece, sceglie la parte superiore della carta (con il disegno). Nel listino questi prodotti sono contrassegnati come F = foil / D = design</t>
  </si>
  <si>
    <t>Poderana crvena gornja folija ne može se tražiti za baterije. Ako ne želite ovakvu gornju stranu (jako sklonu kidanju), ne naručujete ovu vrstu proizvoda. Umjesto toga, odabire gornji dio papira (s dizajnom). U cjeniku ovi proizvodi su označeni kao F = folija / D = dizajn</t>
  </si>
  <si>
    <t>A video showing only the failure of the product during shooting will not be recognized and it is not possible to identify which product it is!</t>
  </si>
  <si>
    <t>Ein Video, das nur den Ausfall des Produkts während der Aufnahme zeigt, wird nicht erkannt und es ist nicht möglich, zu erkennen, um welches Produkt es sich handelt!</t>
  </si>
  <si>
    <t>Video koji prikazuje samo kvar proizvoda tijekom snimanja neće biti prepoznat i nije moguće identificirati o kojem se proizvodu radi!</t>
  </si>
  <si>
    <t>Un video che mostra solo il guasto del prodotto durante le riprese non verrà riconosciuto e non è possibile identificare di che prodotto si tratta!</t>
  </si>
  <si>
    <t>Vaizdo įrašas, kuriame rodomas tik gaminio gedimas filmavimo metu, nebus atpažintas ir neįmanoma atpažinti, koks tai produktas!</t>
  </si>
  <si>
    <t>Film przedstawiający jedynie awarię produktu podczas fotografowania nie zostanie rozpoznany i nie jest możliwe zidentyfikowanie, który to produkt!</t>
  </si>
  <si>
    <t>Video koji prikazuje samo kvar proizvoda tokom snimanja neće biti prepoznat i nije moguće identifikovati o kom proizvodu se radi!</t>
  </si>
  <si>
    <t>Videot, mis näitab ainult toote riket pildistamise ajal, ei tuvastata ja pole võimalik tuvastada, millise tootega on tegu!</t>
  </si>
  <si>
    <t>Video chỉ hiển thị lỗi của sản phẩm trong quá trình quay sẽ không được nhận dạng và không thể xác định được đó là sản phẩm nào!</t>
  </si>
  <si>
    <t>Azt a videót, amelyen csak a termék forgatás közbeni meghibásodása látható, a rendszer nem ismeri fel, és nem lehet azonosítani, hogy melyik termékről van szó!</t>
  </si>
  <si>
    <t>data</t>
  </si>
  <si>
    <t>skrýt</t>
  </si>
  <si>
    <t>sloupec</t>
  </si>
  <si>
    <t>pucketajući efekt, dužina 50cm</t>
  </si>
  <si>
    <t>effetto crepitio, lunghezza 50cm</t>
  </si>
  <si>
    <t>efekt trzeszczący, długość 50cm</t>
  </si>
  <si>
    <t>krekling efekat dužine 50cm</t>
  </si>
  <si>
    <t>traškantis efektas, 50cm ilgio</t>
  </si>
  <si>
    <t>krākšķu efekts, garums 50cm</t>
  </si>
  <si>
    <t>praksuv efekt, pikkus 50cm</t>
  </si>
  <si>
    <t>recsegő effektus, hossz 50cm</t>
  </si>
  <si>
    <t>práskající granule</t>
  </si>
  <si>
    <t>2 color fountain with crackling stars</t>
  </si>
  <si>
    <t>dvou barevná fontána s práskajícími hvězdami</t>
  </si>
  <si>
    <t>2 Farbfontäne mit knallenden Sternen</t>
  </si>
  <si>
    <t>fontana a 2 colore con stelle scoppiettanti</t>
  </si>
  <si>
    <t>2 kolorowa fontanna z trzaskającymi gwiazdami</t>
  </si>
  <si>
    <t>color fountain with shining stars</t>
  </si>
  <si>
    <t>barevná fontána s blikajícími hvězdami</t>
  </si>
  <si>
    <t>crackling and strobe torch</t>
  </si>
  <si>
    <t>práskající a blikající pochodeň</t>
  </si>
  <si>
    <t>Knisternde und blinkende Fackel</t>
  </si>
  <si>
    <t>pucketajuća i trepereća baklja</t>
  </si>
  <si>
    <t>torcia scoppiettante e lampeggiante</t>
  </si>
  <si>
    <t>trzeszcząca i migająca pochodnia</t>
  </si>
  <si>
    <t>pucketajuća i trepereća baklja</t>
  </si>
  <si>
    <t>đuốc nổ lách tách và nhấp nháy</t>
  </si>
  <si>
    <t>traškantis ir mirksintis fakelas</t>
  </si>
  <si>
    <t>sprakšķ un mirgo lāpa</t>
  </si>
  <si>
    <t>särisev ja vilkuv tõrvik</t>
  </si>
  <si>
    <t>recsegő és villogó fáklya</t>
  </si>
  <si>
    <t>scatcher petard, sound power 110dB from 8m(black powder)</t>
  </si>
  <si>
    <t>škrtací petarda velká, síla výbuchu 110dB z 8m(černoprachová petarda)</t>
  </si>
  <si>
    <t xml:space="preserve">Großer Reibkopfknaller, Explosionskraft 110dB von 8m(schwarz powder) </t>
  </si>
  <si>
    <t>petarda, aktivacija kresom, snaga zvuka 110dB na udaljenosti 8m (crni barut)</t>
  </si>
  <si>
    <t>petard scatcher, potenza sonora 110dB da 8m (polvere nera)</t>
  </si>
  <si>
    <t>petardy na draskę, głośność 110dB z 8m (czarny proch)</t>
  </si>
  <si>
    <t>Petarda na trenje, jačina pucnja 110dB na 8m (crni barut)</t>
  </si>
  <si>
    <t>pháo quẹt nhỏ, sức nổ 110dB từ 8m (pháo bột đen)</t>
  </si>
  <si>
    <t>nukrapštoma petarda, garso galia 110dB nuo 8m (juodi milteliai)</t>
  </si>
  <si>
    <t>Skrāpējama petarde, Skaļuma jauda 110dB no 8m(melns pulverīs)</t>
  </si>
  <si>
    <t>kraapijaga pauguti, helitugevus 110dB 8m kaugusel (musta püssirohuga)</t>
  </si>
  <si>
    <t>dörzsfejes petárda nagy, robbanás ereje 110db 8m ről /fekete poros petárda/</t>
  </si>
  <si>
    <t>snaga zvuka 117dB na udaljenosti 15m sa zelenim svjetlosnim efektom na početku</t>
  </si>
  <si>
    <t>sound power 117dB from 15m with red light on the start</t>
  </si>
  <si>
    <t>síla výbuchu 117dB z 15m s červenýnm světlem na začátku</t>
  </si>
  <si>
    <t>Explosionskraft 117dB von 15m mit rots Licht</t>
  </si>
  <si>
    <t>snaga zvuka 117dB na udaljenosti 15m, sa crvenim svjetlosnim efektom na početku</t>
  </si>
  <si>
    <t>potenza sonora 117dB da 15m con luce rossa all'inizio</t>
  </si>
  <si>
    <t>petardy lontowe z czerwonym błyskiem, głośność 117dB z 15m</t>
  </si>
  <si>
    <t>Petarda sa crvenim bljeskom na početku, jačina zvuka 117dB na 15m</t>
  </si>
  <si>
    <t>sức nổ 117dB từ 15m, với lửa đỏ ở lúc đầu</t>
  </si>
  <si>
    <t>Skaļuma jauda 117dB no 15m ar sarkano krāsu no sakuma</t>
  </si>
  <si>
    <t>helitugevus 117dB 15m kaugusel punane tuli alguses</t>
  </si>
  <si>
    <t>tube 50pcs petard, gunfire immitation,</t>
  </si>
  <si>
    <t>tuba s 50ks petard- imitace střelby</t>
  </si>
  <si>
    <t>Tube mit 50 Stk. Knallkörper - Imitation des Schießens</t>
  </si>
  <si>
    <t>50 komada petardi, imitacija rafalne pucnjave</t>
  </si>
  <si>
    <t>tubo 50pcs petard, immitamento di spari,</t>
  </si>
  <si>
    <t>karabinek w tubie 50 strzałów</t>
  </si>
  <si>
    <t>redenik u tubi 50kom.</t>
  </si>
  <si>
    <t>tuba với 50 chiếc pháo nổ- bắn giả</t>
  </si>
  <si>
    <t>50 vienetų vamzdinė petarda, imituoja šūvio garsą</t>
  </si>
  <si>
    <t>Cilindriska petārde 50gb, šaviena imitācija</t>
  </si>
  <si>
    <t>50 paugutit, tulistamise immitatsioon</t>
  </si>
  <si>
    <t>henger 50db petárdával-lövés sorozat utánzata</t>
  </si>
  <si>
    <t>tube 150pcs petard, gunfire immitation</t>
  </si>
  <si>
    <t>tuba s 150ks petard- imitace střelby</t>
  </si>
  <si>
    <t>Tube mit 150 Stk. Knallkörper - Imitation des Schießens</t>
  </si>
  <si>
    <t>150 komada petardi, imitacija rafalne pucnjave</t>
  </si>
  <si>
    <t>tubo 150pcs petard, immitamento di spari</t>
  </si>
  <si>
    <t>karabinek w tubie 150 strzałów</t>
  </si>
  <si>
    <t>redenik u tubi 150kom.</t>
  </si>
  <si>
    <t>tuba với 150 chiếc pháo nổ- bắn giả</t>
  </si>
  <si>
    <t>150 vienetų vamzdinė petarda, imituoja šūvio garsą</t>
  </si>
  <si>
    <t>Cilindriska petārde 150gb , šaviena imitācija</t>
  </si>
  <si>
    <t>150 paugutit, tulistamise immitatsioon</t>
  </si>
  <si>
    <t>henger 150db petárdával-lövés sorozat utánzata</t>
  </si>
  <si>
    <t>scare the animals - a strong blow every 35min</t>
  </si>
  <si>
    <t>erschrecken die Tiere - ein starker Schlag alle 35 Minuten</t>
  </si>
  <si>
    <t>plašenje životinja - snažna eksplozija svakih 35 minuta</t>
  </si>
  <si>
    <t>spaventare gli animali - un duro colpo ogni 35 minuti</t>
  </si>
  <si>
    <t>odstraszacz dzikich zwierząt – głośny huk co  35min</t>
  </si>
  <si>
    <t>plaši životinje - jak udarac svakih 35 minuta</t>
  </si>
  <si>
    <t>Trò chơi bù nhìn - thổi mạnh sau mỗi 35 phút</t>
  </si>
  <si>
    <t>Gąsdinti gyvūnams - stiprus sprogimas kas 35 minučių intervalu. (Gaminys Ūkininkaujantiems ir kt)</t>
  </si>
  <si>
    <t>Nobiede dzivnīekus - stiprs sprādziens kartas 35 min</t>
  </si>
  <si>
    <t>loomapeletaja- kõva pauk iga 35 minuti järel</t>
  </si>
  <si>
    <t>vadriasztó-erős durranás minden 35 percben</t>
  </si>
  <si>
    <t>Signální patrona 15mm s explozí</t>
  </si>
  <si>
    <t>24 različitih efekata u boji</t>
  </si>
  <si>
    <t>24 różnokolorowych efektów (produkowane ręcznie)</t>
  </si>
  <si>
    <t>logická hodnota</t>
  </si>
  <si>
    <t>F14R F</t>
  </si>
  <si>
    <t>Před započetím práce s našim I-ceníkem si prohlédněte tento video návod, který Vám pomůže náš Iceník pochopit:</t>
  </si>
  <si>
    <t>Bevor Sie mit der Arbeit mit unserer I-Preisliste beginnen, sehen Sie sich diese Videoanleitung an, damit Sie unsere I-Preisliste verstehen:</t>
  </si>
  <si>
    <t>Mielőtt elkezdené dolgozni I-árlistánkkal, tekintse meg ezt a videós útmutatót, amely segít megérteni az I-árlistánkat:</t>
  </si>
  <si>
    <t>Trước khi bạn bắt đầu làm việc với bảng giá I của chúng tôi, hãy xem hướng dẫn bằng video này để giúp bạn hiểu bảng giá I của chúng tôi:</t>
  </si>
  <si>
    <t>Enne kui hakkate meie I-hinnakirjaga töötama, vaadake seda videojuhendit, mis aitab teil mõista meie I-hinnakirja:</t>
  </si>
  <si>
    <t>Zanim zaczniesz pracować z naszym I-cennikiem, obejrzyj ten przewodnik wideo, który pomoże Ci zrozumieć nasz I-cennik:</t>
  </si>
  <si>
    <t>Prieš pradėdami dirbti su mūsų I kainoraščiu, peržiūrėkite šį vaizdo įrašą, kuris padės suprasti mūsų I kainoraštį:</t>
  </si>
  <si>
    <t>Prima di iniziare a lavorare con il nostro listino prezzi I, dai un'occhiata a questa guida video per aiutarti a comprendere il nostro listino prezzi I:</t>
  </si>
  <si>
    <t>Prije nego počnete raditi s našim I-cjenikom, pogledajte ovaj video vodič koji će vam pomoći razumjeti naš I-cjenik:</t>
  </si>
  <si>
    <t>Before you start working with our I-price list, take a look at this video guide to help you understand our I-price list:</t>
  </si>
  <si>
    <t>Objednávka bude vložena do našeho systému až po přijetí 100% platby na náš účet (pokud u nás nemá otevřený kredit, opravňující ho k odběru s odloženou splatností).</t>
  </si>
  <si>
    <t>The order will be placed in our system only after receiving 100% payment to our account (if he does not have an open credit with us, entitling him to take with deferred maturity).</t>
  </si>
  <si>
    <t>Die Bestellung wird in unserem System erst aufgegeben, wenn die Zahlung zu 100% auf unserem Konto eingegangen ist (sofern er keinen offenen Kredit bei uns hat, der ihn zur Aufnahme mit aufgeschobener Laufzeit berechtigt).</t>
  </si>
  <si>
    <t>Narudžba će biti postavljena u naš sustav tek nakon što primimo 100% uplate na naš račun (ako kod nas nema otvoren kredit, koji mu daje pravo da uzme s odgođenim dospijećem).</t>
  </si>
  <si>
    <t>L'ordine verrà inserito nel nostro sistema solo dopo aver ricevuto il pagamento del 100% sul nostro conto (se non ha un credito aperto con noi, che gli dà diritto a prendere con scadenza differita).</t>
  </si>
  <si>
    <t>Užsakymas bus pateiktas mūsų sistemoje tik gavus 100% apmokėjimą į mūsų sąskaitą (jei jis pas mus neturi atviro kredito, suteikiančio teisę imti su atidėtu terminu).</t>
  </si>
  <si>
    <t>Zamówienie zostanie złożone w naszym systemie dopiero po otrzymaniu 100% wpłaty na nasze konto (jeżeli nie posiada u nas otwartego kredytu, uprawniającego do zaciągnięcia z odroczonym terminem zapadalności).</t>
  </si>
  <si>
    <t>Tellimus esitatakse meie süsteemi alles pärast 100% makse laekumist meie kontole (kui tal ei ole meie juures avatud krediiti, mis annab õiguse võtta edasilükatud tähtajaga).</t>
  </si>
  <si>
    <t>Đơn hàng sẽ được đặt trong hệ thống của chúng tôi chỉ sau khi nhận được 100% tiền thanh toán vào tài khoản của chúng tôi (nếu anh ta không có một khoản tín dụng mở với chúng tôi, cho phép anh ta nhận với thời gian đáo hạn trả chậm).</t>
  </si>
  <si>
    <t>A rendelés csak a 100%-os befizetés számlánkra történő beérkezése után kerül feladásra rendszerünkben (ha nincs nálunk nyitott, halasztott lejáratú felvételre jogosító hitele).</t>
  </si>
  <si>
    <t>Conical volcanoes (F100, F250, F500, F1000, F1500) cannot be claimed or returned as part of returns after the season○   the reasons described in the email from 28.1.2019.</t>
  </si>
  <si>
    <t>In column Z write your order○   write only a number expressing the number of ordered cartons.</t>
  </si>
  <si>
    <t>○        na objednané zboží, bude vystavena zálohová faktura na 100% hodnoty rezervovaného zboží a až po zaplacení této zálohy na náš účet, bude zboží rezervováno (pokud u nás zákazník nemá otevřený kredit).</t>
  </si>
  <si>
    <t>red foil</t>
  </si>
  <si>
    <t>rote Folie</t>
  </si>
  <si>
    <t>czerwona folia</t>
  </si>
  <si>
    <t>giấy bạc đỏ</t>
  </si>
  <si>
    <t>raudona folija</t>
  </si>
  <si>
    <t>crvena folija</t>
  </si>
  <si>
    <t>lamina rossa</t>
  </si>
  <si>
    <t>punane foolium</t>
  </si>
  <si>
    <t>piros fólia</t>
  </si>
  <si>
    <t>sarkana folija</t>
  </si>
  <si>
    <t>papírový design</t>
  </si>
  <si>
    <t>paper design</t>
  </si>
  <si>
    <t>Papierdesign</t>
  </si>
  <si>
    <t>projekt papieru</t>
  </si>
  <si>
    <t>thiết kế giấy</t>
  </si>
  <si>
    <t>popieriaus dizainas</t>
  </si>
  <si>
    <t>dizajn papira</t>
  </si>
  <si>
    <t>disegno di carta</t>
  </si>
  <si>
    <t>paberikujundus</t>
  </si>
  <si>
    <t>papír tervezés</t>
  </si>
  <si>
    <t>papīra dizains</t>
  </si>
  <si>
    <t>design</t>
  </si>
  <si>
    <t>Entwurf</t>
  </si>
  <si>
    <t>thiết kế</t>
  </si>
  <si>
    <t>dizainas</t>
  </si>
  <si>
    <t>oblikovati</t>
  </si>
  <si>
    <t>dizajn</t>
  </si>
  <si>
    <t>disain</t>
  </si>
  <si>
    <t>tervezés</t>
  </si>
  <si>
    <t>dizains</t>
  </si>
  <si>
    <t>horního víka</t>
  </si>
  <si>
    <t>top side</t>
  </si>
  <si>
    <t>Oberseite</t>
  </si>
  <si>
    <t>mặt trên</t>
  </si>
  <si>
    <t>viršutinė pusė</t>
  </si>
  <si>
    <t>gornja strana</t>
  </si>
  <si>
    <t>lato superiore</t>
  </si>
  <si>
    <t>ülemine pool</t>
  </si>
  <si>
    <t>augšpusē</t>
  </si>
  <si>
    <t>ADR</t>
  </si>
  <si>
    <t>Kategorie</t>
  </si>
  <si>
    <t>K-C150MPT/C</t>
  </si>
  <si>
    <t>K-C19220F/C</t>
  </si>
  <si>
    <t>K-C2003U/C</t>
  </si>
  <si>
    <t>K-C204XMPT/C</t>
  </si>
  <si>
    <t>K-C253XMPT/C</t>
  </si>
  <si>
    <t>K-C2563XMF/C</t>
  </si>
  <si>
    <t>K-C40020XPR/C14</t>
  </si>
  <si>
    <t>K-C53620F/C</t>
  </si>
  <si>
    <t>červená fólie</t>
  </si>
  <si>
    <t>CDK1</t>
  </si>
  <si>
    <t>CDK1(1)</t>
  </si>
  <si>
    <t>CST12S</t>
  </si>
  <si>
    <t>RDG60B</t>
  </si>
  <si>
    <t>RDG60C</t>
  </si>
  <si>
    <t>RDG60M</t>
  </si>
  <si>
    <t>RDG60ZL</t>
  </si>
  <si>
    <t>RDG60ZE</t>
  </si>
  <si>
    <t>RDG60O</t>
  </si>
  <si>
    <t>RDG60CER</t>
  </si>
  <si>
    <t>RDG25B</t>
  </si>
  <si>
    <t>RDG25C</t>
  </si>
  <si>
    <t>RDG25M</t>
  </si>
  <si>
    <t>RDG25ZL</t>
  </si>
  <si>
    <t>RDG25ZE</t>
  </si>
  <si>
    <t>RDG25O</t>
  </si>
  <si>
    <t>RDG25CER</t>
  </si>
  <si>
    <t>RDP60ZL</t>
  </si>
  <si>
    <t>RDP60ZE</t>
  </si>
  <si>
    <t>RDP60O</t>
  </si>
  <si>
    <t>RDP60CER</t>
  </si>
  <si>
    <t>Profi Fireworks show 252</t>
  </si>
  <si>
    <t>Profi Fireworks show 192</t>
  </si>
  <si>
    <t>Profi Fireworks show 150</t>
  </si>
  <si>
    <t>Profi Fireworks show 200</t>
  </si>
  <si>
    <t>Profi Fireworks show 212</t>
  </si>
  <si>
    <t>logika prod.</t>
  </si>
  <si>
    <t>zbývá VK</t>
  </si>
  <si>
    <t>logika rezervace</t>
  </si>
  <si>
    <t>Nelze předobjednat položku, která je skladem!</t>
  </si>
  <si>
    <t>Nelze předobjednat položku, která letos nedorazí!</t>
  </si>
  <si>
    <t>POZOR! Rozdílné datum doručení! Objednejte v oddělené objednávce! Datum dodání se musí shodovat!</t>
  </si>
  <si>
    <t>STAV</t>
  </si>
  <si>
    <t>NAZEV</t>
  </si>
  <si>
    <t>INCTN</t>
  </si>
  <si>
    <t>CZKN</t>
  </si>
  <si>
    <t>EURN</t>
  </si>
  <si>
    <t>KAT</t>
  </si>
  <si>
    <t>JAZYKYV</t>
  </si>
  <si>
    <t>JAZYKYM</t>
  </si>
  <si>
    <t>DESIGN</t>
  </si>
  <si>
    <t>CAS</t>
  </si>
  <si>
    <t>POPIS</t>
  </si>
  <si>
    <t>PAL</t>
  </si>
  <si>
    <t>CCZKB</t>
  </si>
  <si>
    <t>CCZKS</t>
  </si>
  <si>
    <t>TOTAL</t>
  </si>
  <si>
    <t>HM</t>
  </si>
  <si>
    <t>KUB</t>
  </si>
  <si>
    <t>NEQ</t>
  </si>
  <si>
    <t>BAL</t>
  </si>
  <si>
    <t>NEW</t>
  </si>
  <si>
    <t>NEM</t>
  </si>
  <si>
    <t>M</t>
  </si>
  <si>
    <t>SDV</t>
  </si>
  <si>
    <t>POZOR! Zde je zobrazeno pouze zboží skladem!</t>
  </si>
  <si>
    <t xml:space="preserve">AUFMERKSAMKEIT! Hier wird nur Lagerware angezeigt! </t>
  </si>
  <si>
    <t>Tutaj pokazane są tylko towary w magazynie!</t>
  </si>
  <si>
    <t>ATTENTION! Only goods in stock are shown here!</t>
  </si>
  <si>
    <t>CHÚ Ý! Chỉ có hàng trong kho được hiển thị ở đây!</t>
  </si>
  <si>
    <t>DĖMESIO! Čia rodomos tik sandėlyje esančios prekės!</t>
  </si>
  <si>
    <t>PAŽNJA! Ovdje je prikazana samo roba na zalihama!</t>
  </si>
  <si>
    <t>PAŽNJA! Ovde je prikazana samo roba na lageru!</t>
  </si>
  <si>
    <t>ATTENZIONE! Qui vengono mostrate solo le merci in stock!</t>
  </si>
  <si>
    <t>TÄHELEPANU! Siin kuvatakse ainult laos olevad kaubad!</t>
  </si>
  <si>
    <t>FIGYELEM! Itt csak a raktáron lévő áruk jelennek meg!</t>
  </si>
  <si>
    <t>UZMANĪBU! Šeit tiek rādītas tikai preces noliktavā!</t>
  </si>
  <si>
    <t>s přirážkou 8%</t>
  </si>
  <si>
    <t>mit einem Zuschlag von 8%</t>
  </si>
  <si>
    <t>with a surcharge of 8%</t>
  </si>
  <si>
    <t>z dopłatą 8%</t>
  </si>
  <si>
    <t>với phụ phí 8%</t>
  </si>
  <si>
    <t>su 8% priemoka</t>
  </si>
  <si>
    <t>uz nadoplatu od 8%</t>
  </si>
  <si>
    <t>uz doplatu od 8%</t>
  </si>
  <si>
    <t>con un supplemento dell'8%</t>
  </si>
  <si>
    <t>lisatasuga 8%</t>
  </si>
  <si>
    <t>8%-os felárral</t>
  </si>
  <si>
    <t>ar piemaksu 8%</t>
  </si>
  <si>
    <t>Finální součet Vaši objednávky naleznete zde:</t>
  </si>
  <si>
    <t>Die Endsumme Ihrer Bestellung finden Sie hier:</t>
  </si>
  <si>
    <t>Jūsu pasūtījuma galīgo summu var atrast šeit:</t>
  </si>
  <si>
    <t>Megrendelésed végösszegét itt találod:</t>
  </si>
  <si>
    <t>Tellimuse lõpliku summa leiate siit:</t>
  </si>
  <si>
    <t>La somma finale del tuo ordine può essere trovata qui:</t>
  </si>
  <si>
    <t>Konačan iznos vaše porudžbine možete pronaći ovde:</t>
  </si>
  <si>
    <t>Konačan iznos vaše narudžbe možete pronaći ovdje:</t>
  </si>
  <si>
    <t>Galutinę užsakymo sumą galite rasti čia:</t>
  </si>
  <si>
    <t>Tổng đơn hàng cuối cùng của bạn có thể được tìm thấy tại đây:</t>
  </si>
  <si>
    <t>Ostateczną sumę zamówienia znajdziesz tutaj:</t>
  </si>
  <si>
    <t>The final sum of your order can be found here:</t>
  </si>
  <si>
    <t>Až na základě tohoto potvrzení si zákazník může zboží vyzvednout.</t>
  </si>
  <si>
    <t xml:space="preserve">Only on the basis of this confirmation can the customer pick up the goods. </t>
  </si>
  <si>
    <t xml:space="preserve">Nur aufgrund dieser Bestätigung kann der Kunde die Ware abholen. </t>
  </si>
  <si>
    <t xml:space="preserve">Samo na temelju naše potvrde kupac može preuzeti robu. </t>
  </si>
  <si>
    <t>Tik gavęs šį patvirtinimą klientas gali atsiimti prekes.</t>
  </si>
  <si>
    <t xml:space="preserve">Tylko na podstawie tego potwierdzenia klient może odebrać towar. </t>
  </si>
  <si>
    <t xml:space="preserve">Ainult kinnituse alusel saab klient kaubale järele tulla. </t>
  </si>
  <si>
    <t xml:space="preserve">Chỉ trên cơ sở xác nhận này, khách hàng mới có thể lấy hàng. </t>
  </si>
  <si>
    <t xml:space="preserve">AZ ÜGYFÉL CSAK ENNEK AZ IGAZOLÁSNAK ALAPJÁN VEHETI ÁT AZ ÁRUT. </t>
  </si>
  <si>
    <t>RDP60C</t>
  </si>
  <si>
    <t>RDP60M</t>
  </si>
  <si>
    <t>ruční dýmová pochodeň s trhací pojistkou-červená barva</t>
  </si>
  <si>
    <t>ruční dýmová pochodeň s trhací pojistkou-modrá barva</t>
  </si>
  <si>
    <t>hand held smoke with pulling initiate system - red color</t>
  </si>
  <si>
    <t>Handrauchfackel mit Zuginitiatorsystem - rote Farbe</t>
  </si>
  <si>
    <t xml:space="preserve">ručni dim sa aktivacijom povlačenjem - crvena boja </t>
  </si>
  <si>
    <t xml:space="preserve"> tenutoin mano con sistema di avvio di trazione - fumo colore rosso</t>
  </si>
  <si>
    <t>świeca dymna z uchwytem, odpalana ręcznie - kolor czerwony</t>
  </si>
  <si>
    <t>ngọn đuốc khói tay, congòi nổ - màu đỏ</t>
  </si>
  <si>
    <t>rankose laikomi dūmai, uzsidegantis istraukus zieda arba uzdegami su fitiliu, raudonos spalvos</t>
  </si>
  <si>
    <t>käes hoitav suitsuküünal splindi tõmbamisega - punane</t>
  </si>
  <si>
    <t>kézi füstfáklya rántó gyújtóval - piros színű</t>
  </si>
  <si>
    <t>Rokās turama dūmu caurule ar vilkšānas uzsākšānas sistemu - sarkana krāsa</t>
  </si>
  <si>
    <t>hand held smoke with pulling initiate system - blue color</t>
  </si>
  <si>
    <t>Handrauchfackel mit Zuginitiatorsystem - blaue Farbe</t>
  </si>
  <si>
    <t xml:space="preserve">ručni dim sa aktivacijom povlačenjem - plava boja </t>
  </si>
  <si>
    <t xml:space="preserve"> tenutoin mano con sistema di avvio di trazione - fumo colore blu</t>
  </si>
  <si>
    <t>świeca dymna z uchwytem, odpalana ręcznie – kolor niebieski</t>
  </si>
  <si>
    <t>ngọn đuốc khói tay, congòi nổ - màu xanh lam</t>
  </si>
  <si>
    <t>rankose laikomi dūmai, uzsidegantis istraukus zieda arba uzdegami su fitiliu, mėlynos spalvos</t>
  </si>
  <si>
    <t>käes hoitav suitsuküünal splindi tõmbamisega - sinine</t>
  </si>
  <si>
    <t>kézi füstfáklya rántó gyújtóval - kék színű</t>
  </si>
  <si>
    <t>Rokās turama dūmu caurule ar vilkšānas uzsākšānas sistemu - zilakrāsa</t>
  </si>
  <si>
    <t>Postup při rezervaci zboží, které je skladem:</t>
  </si>
  <si>
    <t>A raktáron lévő áruk lefoglalásának menete:</t>
  </si>
  <si>
    <t>Thủ tục đặt hàng nhập kho:</t>
  </si>
  <si>
    <t>Laos olevate kaupade broneerimise kord:</t>
  </si>
  <si>
    <t>Noliktavā esošo preču rezervēšanas kārtība:</t>
  </si>
  <si>
    <t>Procedura rezerwacji towarów znajdujących się w magazynie:</t>
  </si>
  <si>
    <t>Prekių, kurios yra sandėlyje, užsakymo tvarka:</t>
  </si>
  <si>
    <t>Procedura per la prenotazione della merce in giacenza:</t>
  </si>
  <si>
    <t>Postupak rezervacije robe koja je na zalihama:</t>
  </si>
  <si>
    <t>Ablauf für die Buchung von Lagerware:</t>
  </si>
  <si>
    <t>Procedure for booking goods that are in stock:</t>
  </si>
  <si>
    <t>Postup při rezervaci zboží, které není skladem:</t>
  </si>
  <si>
    <t xml:space="preserve">○        po přijetí rezervace bude vystavena zálohová faktura na 100% hodnotu zboží se splatností 1 den (pokud u nás nemá zákazník otevřený kredit, opravňující ho k odběru s odloženou splatností). </t>
  </si>
  <si>
    <t>○        rezervované zboží bude opravdu zarezervováno až po zaslání potvrzení platby zákazníkem.</t>
  </si>
  <si>
    <t>○        it is also possible to book goods that are still on the way (not in stock)</t>
  </si>
  <si>
    <t>○        es ist auch möglich, Waren zu buchen, die noch unterwegs sind (nicht auf Lager)</t>
  </si>
  <si>
    <t>○        također je moguće rezervirati robu koja je još na putu (nije na zalihi)</t>
  </si>
  <si>
    <t>○        è possibile prenotare anche merce ancora in arrivo (non in stock)</t>
  </si>
  <si>
    <t>○        Taip pat galima užsisakyti prekes, kurios dar yra pakeliui (ne sandėlyje)</t>
  </si>
  <si>
    <t>○        istnieje również możliwość rezerwacji towarów, które są jeszcze w drodze (nie na stanie)</t>
  </si>
  <si>
    <t>○        iespējams rezervēt arī preces, kas vēl ir ceļā (nav noliktavā)</t>
  </si>
  <si>
    <t>○        on võimalik broneerida ka kaupa, mis on veel teel (pole laos)</t>
  </si>
  <si>
    <t>○        cũng có thể đặt hàng vẫn còn trên đường (không có trong kho)</t>
  </si>
  <si>
    <t>○        Lehetőség van még úton lévő áruk lefoglalására (nincs raktáron)</t>
  </si>
  <si>
    <t>○        within one reservation, it is possible to book only goods with the same delivery date to our warehouse</t>
  </si>
  <si>
    <t>○        Innerhalb einer Reservierung ist es möglich, nur Waren mit demselben Lieferdatum in unser Lager zu buchen</t>
  </si>
  <si>
    <t>○        unutar jedne rezervacije moguće je rezervirati samo robu s istim rokom isporuke u naše skladište</t>
  </si>
  <si>
    <t>○        all'interno di un'unica prenotazione è possibile prenotare solo merce con la stessa data di consegna presso il nostro magazzino</t>
  </si>
  <si>
    <t>○        per vieną rezervaciją galima užsisakyti tik prekes su ta pačia pristatymo data į mūsų sandėlį</t>
  </si>
  <si>
    <t>○        w ramach jednej rezerwacji można zarezerwować tylko towary z tym samym terminem dostawy do naszego magazynu</t>
  </si>
  <si>
    <t>○        Ühe broneeringu raames on võimalik meie lattu broneerida ainult sama tarnekuupäevaga kaupu</t>
  </si>
  <si>
    <t>○        trong một lần đặt trước, chỉ có thể đặt hàng có cùng ngày giao hàng đến kho của chúng tôi</t>
  </si>
  <si>
    <t>○        Egy foglaláson belül csak azonos szállítási dátumú árut lehet lefoglalni raktárunkba</t>
  </si>
  <si>
    <t>○        upon receipt of the reservation, an advance invoice will be issued for 100% of the value of the goods with a maturity of 1 day (if the customer does not have an open credit with us, entitling him to take delivery with a deferred maturity).</t>
  </si>
  <si>
    <t>○        bei Eingang des Vorbehalts wird eine Vorausrechnung über 100 % des Warenwertes mit einer Laufzeit von 1 Tag (sofern der Kunde bei uns kein offenes Guthaben hat, das ihn zur Abnahme mit aufgeschobener Fälligkeit berechtigt) ausgestellt ).</t>
  </si>
  <si>
    <t>○        po primitku rezervacije izdat će se predračun za 100% vrijednosti robe s rokom dospijeća od 1 dana (ako kupac nema otvoren kredit kod nas, koji mu daje pravo na preuzimanje s odgođenim rokom dospijeća ).</t>
  </si>
  <si>
    <t>○        al ricevimento della prenotazione verrà emessa fattura anticipata pari al 100% del valore della merce con scadenza 1 giorno (se il cliente non ha un credito aperto con noi, dandogli diritto alla consegna con scadenza differita ).</t>
  </si>
  <si>
    <t>○        gavus rezervaciją, išrašoma išankstinė sąskaita 100% prekių vertės, kurios terminas 1 diena (jei klientas pas mus neturi atviro kredito, suteikiančio teisę atsiimti pristatymą su atidėtu terminu ).</t>
  </si>
  <si>
    <t>○        po otrzymaniu rezerwacji zostanie wystawiona faktura zaliczkowa na 100% wartości towaru z terminem zapadalności 1 dnia (jeśli klient nie posiada u nas kredytu otwartego, uprawniającego do przyjęcia dostawy z odroczonym terminem zapadalności ).</t>
  </si>
  <si>
    <t>○        broneeringu laekumisel väljastatakse 1-päevase tähtajaga ettemaksu arve 100% kauba väärtusest (kui kliendil ei ole meie juures avatud krediiti, mis annab õiguse edasilükatud tähtajaga tarne vastu võtta ).</t>
  </si>
  <si>
    <t>○        khi nhận đặt trước sẽ xuất hóa đơn ứng trước 100% giá trị hàng có thời gian đáo hạn 1 ngày (nếu khách hàng không có tín dụng mở với chúng tôi, được quyền nhận hàng trả chậm ).</t>
  </si>
  <si>
    <t>○        a foglalás kézhezvételekor az áru értékének 100%-áról előleg számlát állítunk ki 1 napos futamidővel (ha a vásárlónak nincs nálunk nyitott hitele, amely halasztott futamidejű szállításra jogosít ).</t>
  </si>
  <si>
    <t>○        the reserved goods will really be reserved only after sending the payment confirmation by the customer.</t>
  </si>
  <si>
    <t>○        Die Vorbehaltsware wird erst nach Zusendung der Zahlungsbestätigung durch den Kunden tatsächlich reserviert.</t>
  </si>
  <si>
    <t>○        rezervirana roba će stvarno biti rezervirana tek nakon slanja potvrde plaćanja od strane kupca.</t>
  </si>
  <si>
    <t>○        la merce riservata sarà effettivamente riservata solo dopo l'invio della conferma di pagamento da parte del cliente.</t>
  </si>
  <si>
    <t>○        rezervuotos prekės tikrai bus rezervuotos tik klientui atsiuntus mokėjimo patvirtinimą.</t>
  </si>
  <si>
    <t>○        towar zastrzeżony zostanie faktycznie zarezerwowany dopiero po przesłaniu przez klienta potwierdzenia płatności.</t>
  </si>
  <si>
    <t>○        broneeritud kaup reserveeritakse reaalselt alles peale kliendipoolse maksekinnituse saatmist.</t>
  </si>
  <si>
    <t>○        Hàng đã đặt trước chỉ thực sự được đặt sau khi khách hàng gửi xác nhận thanh toán.</t>
  </si>
  <si>
    <t>○        a lefoglalt áruk tényleges lefoglalása csak a fizetési visszaigazolás vásárló általi elküldése után történik meg.</t>
  </si>
  <si>
    <t>○        Výška jedné palety nebude vyšší než 180cm. Pokud chce zákazník maximálně využít dopravního prostředku, tak si musí objednat zboží na volno.</t>
  </si>
  <si>
    <t>○        Pokud si zákazník nechá zabalit zboží na palety, je povinen si zboží na paletě vyzvednout ze skladu, není možné požadovat naloženi na volno, když je zboží na paletách.</t>
  </si>
  <si>
    <t>○        Pokud zákazník doručí paletu osobně zpět, bude mu vystaven dobropis na tyto palety ve stejné ceně, za kterou mu byly palety fakturovány.</t>
  </si>
  <si>
    <t>○        Není možné palety posílat zpět po řídiči/spediční službě, která zboží dovezla!</t>
  </si>
  <si>
    <t>Ve sloupci AD naleznete aktuální skladovou dostupnost.</t>
  </si>
  <si>
    <t>In column AD you can find current stock availability.</t>
  </si>
  <si>
    <t>U stupcu AD nalazi se podatak o trenutno dostupnoj količini proizvoda ( u kartonima)</t>
  </si>
  <si>
    <t>W kolumnie AD można znaleźć aktualną dostępność magazynową.</t>
  </si>
  <si>
    <t>Veergust AD leiate laovarude hetke seisu.</t>
  </si>
  <si>
    <t>AZ AD OSZLOPBAN LÁTHATJA A RAKTÁR KÉSZLETET</t>
  </si>
  <si>
    <t>OSZLOP AK → NEC - A TÉTELEK NETTÓ HATÓANYAG SÚLYA EGYÜTT MINDEN ADR OSTÁLYÉ</t>
  </si>
  <si>
    <t xml:space="preserve">AE stulpelis → prekės kaina CZK be PVM. </t>
  </si>
  <si>
    <t>AF stulpelis → prekės kaina CZK su PVM.</t>
  </si>
  <si>
    <t>AH stulpelis → prekės svoris kg.</t>
  </si>
  <si>
    <t>AI stulpelis → prekės tūris m3.</t>
  </si>
  <si>
    <t>AJ stulpelis → NEC - ADR 1.1G klasės gaminių pirotechnikos gaminių grynasis svoris.</t>
  </si>
  <si>
    <t>AK stulpelis → NEC - ADR 1.3G klasės gaminių pirotechnikos gaminių grynasis svoris.</t>
  </si>
  <si>
    <t>AL → NEC stulpelis → grynasis ADR 1.4G klasės pirotechnikos gaminių svoris.</t>
  </si>
  <si>
    <t>AM stulpelis → NEC - grynasis pirotechnikos gaminių svoris kartu visoms ADR klasėms.</t>
  </si>
  <si>
    <t>○        the customer will only place an order for the goods he wants to reserve (only the goods that are currently in stock can be booked)</t>
  </si>
  <si>
    <t>○        for booked goods, an advance invoice will be issued for 100% of the value of the booked goods, and the goods will be booked only after payment of this advance on our account (if the customer does not have an open credit with us).</t>
  </si>
  <si>
    <t>○        the goods will be physically prepared for pallets with size 120x80cm and height 180cm and weight up to 750kg, so that the reserved goods are on as few pallets as possible, but with the above mentioned size. If a small quantity of forexample 2 cartons are ordered, they will be placed on the euro pallet and the following fee will be charged.</t>
  </si>
  <si>
    <t>○        on the day of dispatch will be calculated how many days the pallet was stored and the amount for storage will be added to the final invoice for the goods</t>
  </si>
  <si>
    <t>○        reservation cannot be changed! If the customer does not collect the whole ordered goods, the cancellation fee is 50% of the value of the goods ordered by the customer, but has not been taken</t>
  </si>
  <si>
    <t>○        each reservation must be shipped in whole (only part of the reserved goods cannot be taken), it means all reserved euro pallets will be picked up at once.</t>
  </si>
  <si>
    <t>○        reserved goods will be shipped only on pallets.</t>
  </si>
  <si>
    <t>Procedure for booking goods that are not in stock:</t>
  </si>
  <si>
    <t>○        The height of one pallet will not exceed 180 cm. If the customer wants to make the most of the means of transport, he must order the goods on leave.</t>
  </si>
  <si>
    <t>○        If the customer has the goods packed on pallets, he is obliged to pick up the goods on the pallet from the warehouse. It is not possible to require free loading when the goods are on pallets.</t>
  </si>
  <si>
    <t>○        If the customer delivers the pallet back in person, a credit note will be issued for these pallets at the same price at which the pallets were invoiced.</t>
  </si>
  <si>
    <t>○        The customer can also send the pallets back by forwarding service (at his/her own expense) and a credit note will be issued to him after delivery of the pallets to our warehouse.</t>
  </si>
  <si>
    <t>○        It is not possible to send pallets back to the driver / forwarding service that imported the goods!</t>
  </si>
  <si>
    <t>○        Der Kunde gibt nur eine Bestellung für die Waren auf, die er reservieren möchte (nur die Waren, die derzeit auf Lager sind, können gebucht werden).</t>
  </si>
  <si>
    <t>○        Für gebuchte Waren wird eine Vorabrechnung über 100% des Wertes der gebuchten Ware ausgestellt, und die Ware wird erst nach Zahlung dieses Vorschusses auf unserem Konto gebucht (Wenn der Kunde bei uns kein offenes Guthaben hat).</t>
  </si>
  <si>
    <t>○        Die Ware wird physisch für Paletten mit einer Größe von 120 x 80 cm und einer Höhe von 180 cm und einem Gewicht von bis zu 750 kg vorbereitet, damit sich die reservierten Waren auf möglichst wenigen Paletten befinden, jedoch mit der oben genannten Größe. Wenn eine kleine Menge von beispielsweise 2 Kartons bestellt wird, werden diese auf die Euro-Palette gelegt und die folgende Gebühr wird erhoben.</t>
  </si>
  <si>
    <t>○        Am Tag des Versands wird berechnet, wie viele Tage die Palette gelagert wurde, und der Lagerungsbetrag wird der endgültigen Rechnung für die Ware hinzugefügt.</t>
  </si>
  <si>
    <t>○        Reservierung kann nicht geändert werden! Wenn der Kunde nicht die gesamte bestellte Ware abholt, beträgt die Stornogebühr 50% des Wertes der vom Kunden bestellten Ware, wurde jedoch nicht übernommen.</t>
  </si>
  <si>
    <t>○        Jede Reservierung muss vollständig versandt werden (nur ein Teil der reservierten Waren kann nicht entgegengenommen werden). Dies bedeutet, dass alle reservierten Euro-Paletten auf einmal abgeholt werden.</t>
  </si>
  <si>
    <t>○        Reservierte Waren werden nur auf Paletten versendet.</t>
  </si>
  <si>
    <t>○        Die Höhe einer Palette darf 180 cm nicht überschreiten. Will der Kunde das Transportmittel optimal nutzen, muss er die beurlaubte Ware bestellen.</t>
  </si>
  <si>
    <t>○        Lässt der Kunde die Ware auf Paletten verpacken, ist er verpflichtet, die Ware auf der Palette aus dem Lager abzuholen. Eine freie Verladung ist nicht möglich, wenn sich die Ware auf Paletten befindet.</t>
  </si>
  <si>
    <t>○        Wenn der Kunde die Palette persönlich zurückliefert, wird für diese Paletten eine Gutschrift zum gleichen Preis ausgestellt, zu dem die Paletten in Rechnung gestellt wurden.</t>
  </si>
  <si>
    <t>○        Der Kunde kann die Paletten auch per Speditionsservice (auf eigene Kosten) zurücksenden. Nach Lieferung der Paletten an unser Lager wird ihm eine Gutschrift ausgestellt.</t>
  </si>
  <si>
    <t>○        Es ist nicht möglich, Paletten an den Fahrer / Speditionsdienst zurückzusenden, der die Waren importiert hat!</t>
  </si>
  <si>
    <t>○        Kupac će napraviti narudžbu samo za robu koju želi rezervirati (može se rezervirati samo ona roba koja je trenutno na zalihi)</t>
  </si>
  <si>
    <t>○        Za rezerviranu robu izdat će se predračun za 100% vrijednosti rezervirane robe, a roba će biti rezervirana tek nakon uplate ovog predujma na naš račun (Ako kupac nema otvoren kredit kod nas).</t>
  </si>
  <si>
    <t>○        Roba će se u skaldištu fizički pripremiti na palete veličine 120x80cm, visine 180cm te težine do 750kg, tako da rezervirana roba bude smještena na što manje paleta prethodno navedene veličine. Ako se naruči manja količina kartona na primjer 2 komada, isti će se staviti na euro paletu i naplatit će se sljedeća naknada.</t>
  </si>
  <si>
    <t>○        Na dan otpreme izračunat će se koliko dana je paleta bila uskladištena i iznos za skladištenje bit će dodan konačnom računu za robu</t>
  </si>
  <si>
    <t>○        Rezervacija se ne može promijeniti! Ako kupac ne preuzme cijelu naručenu robu, naknada za otkazivanje iznosi 50% vrijednosti robe koju je kupac naručio, ali nije preuzeo</t>
  </si>
  <si>
    <t>○        Svaka rezervacija mora se preuzeti u cijelosti (ne može se uzeti samo dio rezervirane robe), što znači da će se sve rezervirane euro palete isporučiti ili preuzeti odjednom.</t>
  </si>
  <si>
    <t>○        Rezervirana roba isporučiti će se isključivo na paletama.</t>
  </si>
  <si>
    <t>○        Visina jedne palete neće prelaziti 180 cm. Ako kupac želi maksimalno iskoristiti prijevozno sredstvo, robu mora naručiti na dopustu.</t>
  </si>
  <si>
    <t>○        Ukoliko kupac ima robu pakiranu na paletama, dužan je robu na paleti preuzeti iz skladišta. Nije moguće zahtijevati besplatan utovar kada je roba na paletama.</t>
  </si>
  <si>
    <t>○        Ako kupac izvrši povrat paleta natrag osobno,  izdati će mu se odobrenje za te palete po istoj cijeni po kojoj su palete fakturirane.</t>
  </si>
  <si>
    <t>○        Kupac također može poslati palete natrag dostavnom službon na svoj trošak, a odobrenje za njih biti će izdano nakon dostave paleta u naše skladište.</t>
  </si>
  <si>
    <t>○        Nije moguće poslati palete natrag po vozaču / prijevozniku koji je dostavio robu kupcu!</t>
  </si>
  <si>
    <t>○        klientas pateikia užsakymą tik toms prekėms  kurias nori užsakyti (galima užsisakyti tik tas prekes, kurios šiuo metu yra sandėlyje)</t>
  </si>
  <si>
    <t>○        už užsakytas prekes bus išrašyta išankstinė sąskaita 100% užsakytų prekių vertės, o prekės bus rezervuotos tik sumokėjus šį avansą į mūsų sąskaitą (Jei klientas pas mus neturi atviro kredito).</t>
  </si>
  <si>
    <t>○        Prekės bus sudėtos ant palečių kurių dydis 120x80cm, aukštis 180cm ir svoris iki 750kg, kad užsakytos prekės būtų sudėtos ant kuo mažesnio skaičiaus palečių tačiau tik su aukščiau paminėto dydžio palečių. Užsisakius nedidelį kiekį, pavyzdžiui 2 dėžutės, jos bus dedamos ant euro paletės ir bus imamas toks mokestis:</t>
  </si>
  <si>
    <t>○        išsiuntimo dieną bus suskaičiuota, kiek dienų paletė buvo laikoma, o sandėliavimo suma bus pridėta prie galutinės sąskaitos už prekes.</t>
  </si>
  <si>
    <t>○        Užsakymo pakeisti negalima! Jei klientas neatsiima visų užsakytų prekių, atšaukimo mokestis yra 50% kliento užsakytų prekių vertės.</t>
  </si>
  <si>
    <t xml:space="preserve">○        Kiekvienas užsakymas turi būti išsiųstas pilnas (negalima paimti tik dalies užsakytų prekių), tai reiškia, kad visi užsakyti euro padėklai turi būti paimti vienu metu. </t>
  </si>
  <si>
    <t>○        Užsakytos prekės bus siunčiamos tik ant palečių.</t>
  </si>
  <si>
    <t>○        Vieno padėklo aukštis neviršys 180 cm. Jei klientas nori maksimaliai išnaudoti transporto priemones, jis privalo užsakyti prekes atostogoms.</t>
  </si>
  <si>
    <t>○        Jeigu klientas turi prekes supakuotas ant padėklų, jis privalo pasiimti ant padėklo esančias prekes iš sandėlio. Neįmanoma reikalauti nemokamo pakrovimo, kai prekės yra ant padėklų.</t>
  </si>
  <si>
    <t>○        Jei klientas grąžins paletes asmeniškai atgal,  tai už jas bus suteiktas kreditas pagal anksčiau išrašytą sąskaitoje sumą.</t>
  </si>
  <si>
    <t>○        Klientas taip pat gali atsiųsti paletes atgal (savo sąskaita) ir pristačius paletes į mūsų sandėlį, jam bus išrašyta kreditinė saskaita.</t>
  </si>
  <si>
    <t xml:space="preserve">○        Negalima siųsti palečių atgal su prekes pristačiusiu mūsų vairuotoju! </t>
  </si>
  <si>
    <t>○        klient złoży zamówienie tylko na towar, który chce zarezerwować (można rezerwować tylko te towary, które są aktualnie na stanie)</t>
  </si>
  <si>
    <t>○        towar zostanie fizycznie przygotowany do palet o wymiarach 120x80cm i wysokości 180cm oraz wadze do 750kg tak, aby towar zamówiony znajdował się na jak najmniejszej liczbie palet, ale o w /w wymiarach. W przypadku zamówienia małej ilości, np. 2 kartony, zostaną one umieszczone na europalecie i zostanie naliczona następująca opłata.</t>
  </si>
  <si>
    <t>○        w dniu wysyłki, zostanie wyliczone ile dni była składowana paleta i kwota za magazyn zostanie doliczona do faktury końcowej za towar</t>
  </si>
  <si>
    <t>○        rezerwacji nie można zmienić! Jeśli klient nie odbierze całego zamówionego towaru, opłata za anulowanie wynosi 50% wartości towaru zamówionego przez klienta, który nie został odebrany</t>
  </si>
  <si>
    <t>○        każda rezerwacja musi być wysłana w całości (tylko część zarezerwowanego towaru nie może zostać odebrana), oznacza to, że wszystkie zarezerwowane europalety zostaną odebrane od razu.</t>
  </si>
  <si>
    <t>○        towar zarezerwowany zostanie wysłany tylko na paletach.</t>
  </si>
  <si>
    <t>○        Wysokość jednej palety nie przekroczy 180 cm. Jeśli klient chce jak najlepiej wykorzystać środek transportu, musi zamówić towar na urlopie.</t>
  </si>
  <si>
    <t>○        Jeżeli Klient posiada towar zapakowany na paletach, jest zobowiązany do odbioru towaru na palecie z magazynu. Nie ma możliwości wymagania wolnego załadunku, gdy towar znajduje się na paletach.</t>
  </si>
  <si>
    <t>○        Jeśli klient osobiście dostarczy paletę, zostanie wystawiona faktura korygująca na te palety, po tej samej cenie, na jaką palety zostały zafakturowane.</t>
  </si>
  <si>
    <t>○        Klient może również odesłać palety usługą spedycyjną (na własny koszt), a faktura korygująca zostanie wystawiona po dostarczeniu palet do naszego magazynu.</t>
  </si>
  <si>
    <t>○        Nie ma możliwości odesłania palet do firmy spedycyjnej, która dostarczała towar!</t>
  </si>
  <si>
    <t>○        klient esitab tellimuse ainult nende kaupade jaoks, mida ta soovib broneerida (broneerida saab ainult hetkel laos olevaid kaupu)</t>
  </si>
  <si>
    <t>○        kaup valmistatakse füüsiliselt ette kaubaaluste jaoks, mille suurus on 120x80cm ja kõrgus 180cm ning kaal kuni 750kg, nii et reserveeritud kaubad oleksid võimalikult vähestel kaubaalustel, kuid ülalnimetatud suurusega. Kui tellitakse väike kogus näiteks 2 karpi, asetatakse need euroalusele ja nõutakse järgmist tasu.</t>
  </si>
  <si>
    <t>○        lähetuspäeval arvutatakse mitu päeva kaubaalust ladustati ja ladustamissumma lisatakse kauba lõpparvele</t>
  </si>
  <si>
    <t>○        broneeringut ei saa muuta! Kui klient ei võta kogu tellimust, on tühistamistasu 50% kliendi tellitud kauba väärtusest, mida pole võetud</t>
  </si>
  <si>
    <t>○        iga broneering tuleb transportida tervikuna (ainult osa broneeritud kaubast ei saa võtta), see tähendab, et kõik broneeritud euroalused võetakse korraga peale.</t>
  </si>
  <si>
    <t>○        broneeritud kaupu saadetakse ainult kaubaalustel</t>
  </si>
  <si>
    <t>○        Ühe kaubaaluse kõrgus ei tohi ületada 180 cm. Kui klient soovib transpordivahendit maksimaalselt ära kasutada, peab ta kauba puhkusele tellima.</t>
  </si>
  <si>
    <t>○        Kui klient laseb kauba alustele pakkida, on ta kohustatud alusele olevale kaubale laost järele tulema. Tasuta laadimist ei ole võimalik nõuda, kui kaup on alustel.</t>
  </si>
  <si>
    <t>○        Kui klient toimetab kaubaalused isiklikult tagasi, väljastatakse nende kaubaaluste eest kreeditarve sama hinnaga, millega kaubaaluste eest arve esitati.</t>
  </si>
  <si>
    <t>○        Samuti saab klient kaubaaluseid tagasi saata kulleriga (omal kulul) ja pärast kaubaaluste meie lattu toimetamist väljastatakse talle kreeditarve.</t>
  </si>
  <si>
    <t>○        Kauba importinud juhiga / kullerfirmaga ei ole võimalik kaubaaluseid tagasi saata!</t>
  </si>
  <si>
    <t>○        khách hàng chỉ gửi đơn hàng cho hàng muốn đặt trước (chỉ hàng đang còn hàng mới được đặt trước)</t>
  </si>
  <si>
    <t>○        Đối với hàng đặt trước sẽ được xuất hóa đơn ứng trước 100% giá trị hàng đặt trước và chỉ sau khi thanh toán khoản tạm ứng này vào tài khoản của chúng tôi thì hàng mới được đặt trước (Nếu khách hàng không có tín dụng mở với chúng tôi).</t>
  </si>
  <si>
    <t>○        Hàng hóa sẽ được chuẩn bị vật lý trên các pallet có kích thước 120x80cm và cao 180cm và trọng lượng lên đến 750kg, do đó hàng hóa dự trữ được đặt trên ít pallet nhất có thể, nhưng tuân thủ các kích thước trên. Nếu số lượng nhỏ, ví dụ 2 thùng, được đặt hàng, chúng sẽ được đặt trên một pallet euro và sẽ được tính phí bên dưới.</t>
  </si>
  <si>
    <t>○        vào ngày gửi hàng, nó sẽ được tính toán bao nhiêu ngày pallet đã được lưu trữ và số lượng lưu trữ sẽ được thêm vào hóa đơn cuối cùng cho hàng hóa</t>
  </si>
  <si>
    <t>○        không thể thay đổi hàng đã đặt ! Nếu khách hàng không lấy toàn bộ hàng đã đặt thì phí hủy là 50% giá trị hàng mà khách đã đặt nhưng không lấy.</t>
  </si>
  <si>
    <t>○        Mỗi hàng đặt trước phải được vận chuyển toàn bộ (không thể chỉ lấy một phần hàng đã đặt trước), tức là. tất cả các pallet euro dự trữ sẽ bị xóa ngay lập tức</t>
  </si>
  <si>
    <t>○        hàng hóa đặt trước sẽ chỉ được vận chuyển trên pallet</t>
  </si>
  <si>
    <t>○        Chiều cao của một pallet sẽ không vượt quá 180 cm. Nếu khách hàng muốn tận dụng tối đa phương tiện vận chuyển thì phải đặt hàng nghỉ.</t>
  </si>
  <si>
    <t>○        Nếu khách hàng có hàng hóa đóng trên pallet, khách hàng có nghĩa vụ lấy hàng trên pallet từ kho. Không thể yêu cầu xếp hàng miễn phí khi hàng hóa trên pallet.</t>
  </si>
  <si>
    <t>○        Nếu khách hàng giao lại pallet trực tiếp, một giấy báo có sẽ được phát hành cho các pallet này với cùng mức giá mà các pallet đã được lập hóa đơn.</t>
  </si>
  <si>
    <t>○        Khách hàng cũng có thể gửi lại các pallet bằng dịch vụ giao nhận (với chi phí của mình) và một giấy báo có sẽ được cấp cho khách hàng sau khi giao pallet đến kho của chúng tôi.</t>
  </si>
  <si>
    <t>○        Không thể gửi pallet trở lại tài xế / dịch vụ giao nhận đã nhập hàng!</t>
  </si>
  <si>
    <t>○        az ügyfél elküldi a rendelést csak arra az árura amit leakar foglalni /lefoglalni csak azt az árut lehet amelyik már raktáron van/</t>
  </si>
  <si>
    <t>○        a megrendelt árura kiállitunk egy számlát az áru 100% értékében mint előleget majd az előleg kifizetése után az árut letartjuk az őn részére (ha az ügyfélnek nincs nyitott hitele nálunk).</t>
  </si>
  <si>
    <t>○        az árut megkészítjük és csomagoljuk raklapon 120x80cm, magasság 180cm max 750kg, úgy hogy az áru minnél kevesebb raklapra férjen rá a méreteken belül. ha a rendelt mennyiség kevés pld. 2 karton ez esetben ez egy raklapra kerül amiért az alábbiak szerint fogjuk a raktározási díjat felszámolni.</t>
  </si>
  <si>
    <t>○        a kiszállitás napján a raktározási időt kiszámítjuk és hozzászámoljuk az ön számlájához.</t>
  </si>
  <si>
    <t>Szabályok:</t>
  </si>
  <si>
    <t>○        nemlehet változtatni a letartott áru mennyiségen. ha az ügyfél nemveszi át a rendelt mennyiséget, 50% sztornó költséget fogunk felszámítani azokért az árukért amit rendelt és nemvett át.</t>
  </si>
  <si>
    <t>○        minden foglalást csak egészében lehet elvinni /nem lehet csak az egy részét/, minden letartot raklapot egyszerre kell elvinni.</t>
  </si>
  <si>
    <t>○        a letartott raktározott áru kizárólag raklapokon lesz kiszállítva.</t>
  </si>
  <si>
    <t>Raklapok</t>
  </si>
  <si>
    <t>○        egy raklap magassága nem haladhatja meg a 180 cm-t. ha a vásárló a legtöbbet szeretné kihozni a szállítóeszközből, akkor szabadságra kell rendelnie az árut.</t>
  </si>
  <si>
    <t>○        ha a vásárló az árut raklapra csomagolja, köteles a raklapon lévő árut a raktárból átvenni. nem lehet ingyenes berakodást előírni, ha az áru raklapon van.</t>
  </si>
  <si>
    <t>○        amennyiben az ügyfél viszajutattja a raklapokat személyesen, ezek jóvá lesznek írva ugyanazon az áron ahogy kilettek számlázva.</t>
  </si>
  <si>
    <t>○        az ügyfél a raklapokat vissza küldheti más módon is /a saját költségére/. a raklapokat azonnal jóváírjuk ahogy a raktárunkra érkeznek.</t>
  </si>
  <si>
    <t xml:space="preserve">○        nemlehet a raklapokat viszaküldeni azzal az autóval amelyik az árut kiszállítja! </t>
  </si>
  <si>
    <t>Your order is handed over to the warehouse for immediate preparation upon receipt and it is no longer possible to add anything to the order in any form. If the customer cancels the order (or part of it), he/she will be charged a handling fee of 50% of the value of the canceled goods.</t>
  </si>
  <si>
    <t>It is not possible to order items marked in black, which are not in stock on the day of ordering !!! This will guarantee that the customer will only order items that are in stock, thus significantly speeding up the completion of the order.</t>
  </si>
  <si>
    <t>2. our employee will find out which items may not be in stock and will inform the customer about this by email</t>
  </si>
  <si>
    <t>3. The customer decides whether he/she wants to wait for the goods (if they are not in stock) or whether he/she wants to replace the sold-out goods and sends his/her final order by email, which will include only the goods that are currently available.</t>
  </si>
  <si>
    <t>4. our employee uploads this final order (see point no. 3) to our system and informs the customer about the date when the goods will be shipped or ready for pickup.</t>
  </si>
  <si>
    <t>○        zboží bude uskladněno v našem skladu od data nachystání do požadované expedice, za poplatek 9 Kč / 1 euro paleta / 1 den</t>
  </si>
  <si>
    <t>○        the goods will be stored in our warehouse from the date of preparation to the required dispatch, for a fee of 9 CZK / 1 euro pallet / 1 day</t>
  </si>
  <si>
    <t>○        Die Ware wird vom Datum der Vorbereitung bis zum erforderlichen Versand gegen eine Gebühr von 9 CZK / 1 Euro Palette / 1 Tag in unserem Lager gelagert.</t>
  </si>
  <si>
    <t>○        Roba će se čuvati u našem skladištu od datuma pripreme do potrebne otpreme uz naknadu od 9 CZK / 1 euro paleta / 1 dan</t>
  </si>
  <si>
    <t xml:space="preserve">○        Prekės bus laikomos mūsų sandėlyje nuo paruošimo dienos iki išsiuntimo dienos, už 9 CZK kronos / 1 euro paletė / 1 dienos mokestį. </t>
  </si>
  <si>
    <t>○        towar będzie przechowywany w naszym magazynie od dnia przygotowania do wymaganej wysyłki za opłatą 9 CZK / 1 europaleta / 1 dzień</t>
  </si>
  <si>
    <t>○        kaupu hoitakse meie laos alates valmistamise kuupäevast kuni vajaliku lähetamiseni, tasu on 9 CZK / 1 euro kaubaalus / 1 päev</t>
  </si>
  <si>
    <t>○        hàng hóa sẽ được lưu trữ trong kho của chúng tôi kể từ ngày chuẩn bị đến khi gửi đi theo yêu cầu, với mức phí 9 CZK / 1 euro pallet / 1 ngày</t>
  </si>
  <si>
    <t>○        az áru a mi raktárunkban lesz raktározva a megkészítés idejétől a kért szállitási időpontig a következő díj szerint 9kć/ 1 euro raklap/ 1 nap</t>
  </si>
  <si>
    <t>Sloupec S - zde naleznete informaci o tom, z jakého materiálu je vyrobena vrchní strana u baterii viz řádek 89 s vysvětlením.</t>
  </si>
  <si>
    <t>Kolumna S - tutaj znajdziesz informację, z jakiego materiału wykonana jest górna część baterii, objaśnienie w wierszu 89.</t>
  </si>
  <si>
    <t>Spalte S - hier finden Sie Informationen darüber, aus welchem ​​Material die Oberseite der Batterie besteht, Erläuterung siehe Zeile 89.</t>
  </si>
  <si>
    <t>Column S - here you will find information on what material the top of the battery is made of, see line 89 for an explanation.</t>
  </si>
  <si>
    <t>Stupac S - ovdje ćete pronaći informacije o tome od kojeg je materijala izrađen gornji dio baterije, pogledajte redak 89 za objašnjenje.</t>
  </si>
  <si>
    <t>S stulpelis – čia rasite informaciją, iš kokios medžiagos pagamintas akumuliatoriaus viršus, paaiškinimą rasite 89 eilutėje.</t>
  </si>
  <si>
    <t>Veerg S – siit leiad infot, mis materjalist on aku pealmine osa, vt selgitust real 89.</t>
  </si>
  <si>
    <t>Cột S - ở đây bạn sẽ tìm thấy thông tin về vật liệu làm từ chất liệu gì của đỉnh pin, xem dòng 89 để được giải thích.</t>
  </si>
  <si>
    <t>S oszlop - itt talál információt arról, hogy az akkumulátor teteje milyen anyagból készült, a magyarázatot lásd a 89. sorban.</t>
  </si>
  <si>
    <t>Sloupec Q + R -  zde naleznete info, v jakém jazyku jsou návody na výrobku</t>
  </si>
  <si>
    <t>Q + R oszlop - itt találja az információkat, hogy a termék használati útmutatója milyen nyelven készült</t>
  </si>
  <si>
    <t>Cột Q + R - tại đây bạn sẽ tìm thấy thông tin hướng dẫn sản phẩm bằng ngôn ngữ nào</t>
  </si>
  <si>
    <t>Q + R veerg – siit leiate infot, mis keeles on tootejuhised</t>
  </si>
  <si>
    <t>Kolumna Q + R - tutaj znajdziesz informacje w jakim języku są instrukcje produktu</t>
  </si>
  <si>
    <t>Q + R stulpelis - čia rasite informaciją, kokia kalba yra produkto instrukcijos</t>
  </si>
  <si>
    <t>Q + R stupac - ovdje ćete pronaći informacije na kojem su jeziku upute za proizvod</t>
  </si>
  <si>
    <t>Q + R - Spalte - hier finden Sie Informationen, in welcher Sprache die Produktanweisungen sind</t>
  </si>
  <si>
    <t>Q + R column - here you will find info in which language the product instructions are</t>
  </si>
  <si>
    <t>Odesláním objednávky zákazník zároveň potvrzuje, že se seznámil se všemi obchodními podmínkami, které jsou napsány na této stránce a souhlasí s nimi.</t>
  </si>
  <si>
    <t>By sending the order, the customer also confirms that he has read all the business conditions that are written on this page and agrees with them.</t>
  </si>
  <si>
    <t>Mit dem Absenden der Bestellung bestätigt der Kunde auch, dass er alle Geschäftsbedingungen, die auf dieser Seite geschrieben sind, gelesen hat und mit ihnen einverstanden ist.</t>
  </si>
  <si>
    <t>Slanjem narudžbe kupac također potvrđuje da je pročitao sve uvjete poslovanja koji su napisani na ovoj stranici i da se s njima slaže.</t>
  </si>
  <si>
    <t>Con l'invio dell'ordine, il cliente conferma inoltre di aver preso visione di tutte le condizioni commerciali che sono scritte in questa pagina e di accettarle.</t>
  </si>
  <si>
    <t>Klientas išsiųsdamas užsakymą taip pat patvirtina, kad susipažino su visomis verslo sąlygomis, kurios yra surašytos šiame puslapyje ir su jomis sutinka.</t>
  </si>
  <si>
    <t>Wysyłając zamówienie, klient potwierdza również, że zapoznał się ze wszystkimi warunkami handlowymi, które są napisane na tej stronie i zgadza się z nimi.</t>
  </si>
  <si>
    <t>Tellimust saates kinnitab klient ühtlasi, et on tutvunud kõigi äritingimustega, mis sellel lehel kirjas on ning nõustub nendega.</t>
  </si>
  <si>
    <t>Bằng cách gửi đơn đặt hàng, khách hàng cũng xác nhận rằng anh ta đã đọc tất cả các điều kiện kinh doanh được viết trên trang này và đồng ý với họ.</t>
  </si>
  <si>
    <t>A megrendelő a megrendelés elküldésével egyben kijelenti, hogy az ezen az oldalon található összes üzleti feltételt elolvasta és azokkal egyetért.</t>
  </si>
  <si>
    <t>Pokud zákazník chce reklamovat dodané množství zboží, musí tak učinit během vykládky zboží a musí o tom učinit záznam do přepravního listu CMR. Na pozdější reklamace nebude brán zřetel.</t>
  </si>
  <si>
    <t>RD8</t>
  </si>
  <si>
    <t>Profi Fireworks show 96</t>
  </si>
  <si>
    <t>Profi Fireworks show 140</t>
  </si>
  <si>
    <t>C253SIG B</t>
  </si>
  <si>
    <t>B</t>
  </si>
  <si>
    <t>zelené světlo se zlatým rozujícím chvostem</t>
  </si>
  <si>
    <t>green light and  golden rotating tail</t>
  </si>
  <si>
    <t>grüner Komet mit rotierendem Goldaufstieg</t>
  </si>
  <si>
    <t>zielone światło ze złotym kręcącym się ogonem</t>
  </si>
  <si>
    <t>transparent red foill without paper under this foill</t>
  </si>
  <si>
    <t>transparent blue foill without paper under this foill</t>
  </si>
  <si>
    <t>one colour design paper cover two cake together(I sent you photo of this)</t>
  </si>
  <si>
    <t>golden holographic paper</t>
  </si>
  <si>
    <t>silver foil</t>
  </si>
  <si>
    <t>stříbrná fólie</t>
  </si>
  <si>
    <t>Silberfolie</t>
  </si>
  <si>
    <t>srebrna folia</t>
  </si>
  <si>
    <t>lá bạc</t>
  </si>
  <si>
    <t>sidabro folija</t>
  </si>
  <si>
    <t>srebrna folija</t>
  </si>
  <si>
    <t>carta stagnola</t>
  </si>
  <si>
    <t>hõbedane foolium</t>
  </si>
  <si>
    <t>ezüst fólia</t>
  </si>
  <si>
    <t>sudraba folija</t>
  </si>
  <si>
    <t>zelta hologrāfiskais papīrs</t>
  </si>
  <si>
    <t>arany holografikus papír</t>
  </si>
  <si>
    <t>kuldne holograafiline paber</t>
  </si>
  <si>
    <t>carta olografica dorata</t>
  </si>
  <si>
    <t>zlatni holografski papir</t>
  </si>
  <si>
    <t>auksinis holografinis popierius</t>
  </si>
  <si>
    <t>giấy ba chiều vàng</t>
  </si>
  <si>
    <t>złoty papier holograficzny</t>
  </si>
  <si>
    <t>goldenes holografisches Papier</t>
  </si>
  <si>
    <t>zlatý holografický papír</t>
  </si>
  <si>
    <t>A</t>
  </si>
  <si>
    <t>Nejprodávanější výrobky jsou označeny ve sloupci A takto:</t>
  </si>
  <si>
    <t>Akční ceny jsou označeny takto:</t>
  </si>
  <si>
    <t>Die meistverkauften Produkte sind in Spalte A wie folgt gekennzeichnet:</t>
  </si>
  <si>
    <t>Aktionspreise sind wie folgt gekennzeichnet:</t>
  </si>
  <si>
    <t>Najlepiej sprzedające się produkty są oznaczone w kolumnie A w następujący sposób:</t>
  </si>
  <si>
    <t>Ceny promocyjne oznaczone są w następujący sposób:</t>
  </si>
  <si>
    <t>Perkamiausios prekės A stulpelyje pažymėtos taip:</t>
  </si>
  <si>
    <t>Akcijos kainos pažymėtos taip:</t>
  </si>
  <si>
    <t>A legkelendőbb termékek az A oszlopban az alábbiak szerint vannak jelölve:</t>
  </si>
  <si>
    <t>Az akciós árakat a következőképpen jelöljük:</t>
  </si>
  <si>
    <t>Các sản phẩm bán chạy nhất được đánh dấu trong cột A như sau:</t>
  </si>
  <si>
    <t>Giá khuyến mại được đánh dấu như sau:</t>
  </si>
  <si>
    <t>Enimmüüdud tooted on veerus A märgitud järgmiselt:</t>
  </si>
  <si>
    <t>Kampaaniahinnad on märgitud järgmiselt:</t>
  </si>
  <si>
    <t>Vislabāk pārdotās preces A slejā ir atzīmētas šādi:</t>
  </si>
  <si>
    <t>Akcijas cenas ir norādītas šādi:</t>
  </si>
  <si>
    <t>I prodotti più venduti sono contrassegnati nella colonna A come segue:</t>
  </si>
  <si>
    <t>I prezzi promozionali sono contrassegnati come segue:</t>
  </si>
  <si>
    <t>U stupcu A označeni su najprodavaniji proizvodi kako slijedi:</t>
  </si>
  <si>
    <t>Promotivne cijene su označene na sljedeći način:</t>
  </si>
  <si>
    <t>The best-selling products are marked in column A as follows:</t>
  </si>
  <si>
    <t>Promotional prices are marked as follows:</t>
  </si>
  <si>
    <t>Pokud totiž budete objednávku dělat např. 2 dny = ceníky se mezitím aktualizují a rozhází se Vám řádky a ve výsledku nám pošlete objednávku na jiné zboží, než jste původně chtěli objednat! Je to způsobeno aktualizací dat a může dojít k automatickému posunutí řádků, tím pádem k totální změně objednávaného zboží.</t>
  </si>
  <si>
    <t xml:space="preserve">Pokud chcete objednávku vyplňovat průběžně, musíte použít ceník General Iprice list! </t>
  </si>
  <si>
    <t>transparentní fólie</t>
  </si>
  <si>
    <t>transparent foil</t>
  </si>
  <si>
    <t>transparente Folie</t>
  </si>
  <si>
    <t>przezroczysta folia</t>
  </si>
  <si>
    <t>phim trong suốt</t>
  </si>
  <si>
    <t>skaidri folija</t>
  </si>
  <si>
    <t>prozirna folija</t>
  </si>
  <si>
    <t>providna folija</t>
  </si>
  <si>
    <t>lamina trasparente</t>
  </si>
  <si>
    <t>läbipaistev foolium</t>
  </si>
  <si>
    <t>átlátszó fólia</t>
  </si>
  <si>
    <t>caurspīdīga folija</t>
  </si>
  <si>
    <t>caurspīdīga sarkana folija bez papīra zem šīs folijas</t>
  </si>
  <si>
    <t>läbipaistev punane foolium ilma paberita selle fooliumi all</t>
  </si>
  <si>
    <t>átlátszó piros fólia papír nélkül e fólia alatt</t>
  </si>
  <si>
    <t>foglio rosso trasparente senza carta sotto questo foglio</t>
  </si>
  <si>
    <t>providna crvena folija bez papira ispod ove folije</t>
  </si>
  <si>
    <t>prozirna crvena folija bez papira ispod ove folije</t>
  </si>
  <si>
    <t>skaidri raudona folija be popieriaus po šia folija</t>
  </si>
  <si>
    <t>giấy bạc màu đỏ trong suốt không có giấy dưới lớp giấy bạc này</t>
  </si>
  <si>
    <t>przezroczysta czerwona folia bez papieru pod tą folią</t>
  </si>
  <si>
    <t>transparente rote Folie ohne Papier unter dieser Folie</t>
  </si>
  <si>
    <t>průhledná červená fólie bez papíru pod touto fólií</t>
  </si>
  <si>
    <t>průhledná modrá fólie bez papíru pod touto fólií</t>
  </si>
  <si>
    <t>transparente blaue Folie ohne Papier unter dieser Folie</t>
  </si>
  <si>
    <t>przezroczysty niebieski folial bez papieru pod tym folial</t>
  </si>
  <si>
    <t>giấy bạc màu xanh trong suốt không có giấy dưới lớp giấy bạc này</t>
  </si>
  <si>
    <t>prozirna plava folija bez papira ispod ove folije</t>
  </si>
  <si>
    <t>skaidri mėlyna folija be popieriaus po šia folija</t>
  </si>
  <si>
    <t>providna plava folija bez papira ispod ove folije</t>
  </si>
  <si>
    <t>foglio blu trasparente senza carta sotto questo foglio</t>
  </si>
  <si>
    <t>läbipaistev sinine foolium ilma paberita selle fooliumi all</t>
  </si>
  <si>
    <t>átlátszó kék fólia papír nélkül e fólia alatt</t>
  </si>
  <si>
    <t>caurspīdīga zila folija bez papīra zem šīs folijas</t>
  </si>
  <si>
    <t>vienas krāsas dizaina papīra pārklāj divas kūkas kopā (es nosūtīju jums šo fotoattēlu)</t>
  </si>
  <si>
    <t>egyszínű design papír borít két tortát együtt (erről küldtem képet)</t>
  </si>
  <si>
    <t>ühevärviline disainpaber katab kaks kooki koos (saatsin teile foto sellest)</t>
  </si>
  <si>
    <t>una carta di design a colori copre due torte insieme (ti ho inviato una foto di questo)</t>
  </si>
  <si>
    <t>papir za dizajn jedne boje prekriva dve torte zajedno (poslao sam vam fotografiju ovoga)</t>
  </si>
  <si>
    <t>jedna boja dizajnerskog papira omot dvije torte zajedno (poslao sam vam fotografiju ovoga)</t>
  </si>
  <si>
    <t>Vienos spalvos dizaino popierius uždengia du tortus kartu (išsiunčiau jums šios nuotrauką)</t>
  </si>
  <si>
    <t>một màu thiết kế giấy bìa hai chiếc bánh với nhau (Tôi đã gửi cho bạn ảnh của cái này)</t>
  </si>
  <si>
    <t>jeden kolor papieru do projektowania pokrywa dwa ciasta razem (wysłałem ci zdjęcie tego)</t>
  </si>
  <si>
    <t>einfarbiges Designpapier Cover zwei Kuchen zusammen (ich habe Ihnen ein Foto davon geschickt)</t>
  </si>
  <si>
    <t>jeden barevný designový papírový obal dva dorty dohromady (poslal jsem vám tuto fotografii)</t>
  </si>
  <si>
    <t>DOPRODEJ</t>
  </si>
  <si>
    <t>Sloupec2</t>
  </si>
  <si>
    <t>Sloupec5</t>
  </si>
  <si>
    <t>Sloupec6</t>
  </si>
  <si>
    <t>Sloupec8</t>
  </si>
  <si>
    <t>11</t>
  </si>
  <si>
    <t>13</t>
  </si>
  <si>
    <t>14</t>
  </si>
  <si>
    <t>Touto barvou jsou označeny nové designy výrobků.</t>
  </si>
  <si>
    <t>New product designs are marked with this color.</t>
  </si>
  <si>
    <t>Neue Produktdesigns sind mit dieser Farbe gekennzeichnet.</t>
  </si>
  <si>
    <t>Tym kolorem oznaczane są nowe wzory produktów.</t>
  </si>
  <si>
    <t>Các thiết kế sản phẩm mới được đánh dấu bằng màu này.</t>
  </si>
  <si>
    <t>Nauji gaminių dizainai pažymėti šia spalva.</t>
  </si>
  <si>
    <t>Novi dizajni proizvoda označeni su ovom bojom.</t>
  </si>
  <si>
    <t>Novi dizajn proizvoda je označen ovom bojom.</t>
  </si>
  <si>
    <t>I nuovi design dei prodotti sono contrassegnati con questo colore.</t>
  </si>
  <si>
    <t>Selle värviga on tähistatud uued tootedisainid.</t>
  </si>
  <si>
    <t>Az új termékterveket ezzel a színnel jelöljük.</t>
  </si>
  <si>
    <t>Jaunie izstrādājumu dizaini ir marķēti ar šo krāsu.</t>
  </si>
  <si>
    <t>Bestselleri ir atzīmēti ar šo krāsu.</t>
  </si>
  <si>
    <t>A bestsellerek ezzel a színnel vannak jelölve.</t>
  </si>
  <si>
    <t>Selle värviga on tähistatud bestsellerid.</t>
  </si>
  <si>
    <t>I bestseller sono contrassegnati da questo colore.</t>
  </si>
  <si>
    <t>Ovom bojom su označeni bestseleri.</t>
  </si>
  <si>
    <t>Šia spalva pažymėti bestseleriai.</t>
  </si>
  <si>
    <t>Sách bán chạy nhất được đánh dấu bằng màu này.</t>
  </si>
  <si>
    <t>Bestsellery są oznaczone tym kolorem.</t>
  </si>
  <si>
    <t>Bestseller sind mit dieser Farbe gekennzeichnet.</t>
  </si>
  <si>
    <t>Bestsellers are marked with this color.</t>
  </si>
  <si>
    <t>Touto barvou jsou označeny bestsellery.</t>
  </si>
  <si>
    <t>Položky označené X ve sloupci A jsou doprodejové, které již nebudeme naskladňovat.</t>
  </si>
  <si>
    <t>Items marked with an X in column A are pre-sale items that we will no longer stock.</t>
  </si>
  <si>
    <t>Artikel, die in Spalte A mit einem X gekennzeichnet sind, sind Vorverkaufsartikel, die wir nicht mehr auf Lager haben.</t>
  </si>
  <si>
    <t>Pozycje oznaczone X w kolumnie A to artykuły przedsprzedażowe, których nie będziemy już magazynować.</t>
  </si>
  <si>
    <t>Các mặt hàng được đánh dấu X trong cột A là các mặt hàng bán trước mà chúng tôi sẽ không còn tồn kho.</t>
  </si>
  <si>
    <t>A stulpelyje X pažymėtos prekės yra išankstinio pardavimo prekės, kurių nebeliksime sandėlyje.</t>
  </si>
  <si>
    <t>Artikli označeni sa X u stupcu A su artikli u pretprodaji koje više nećemo držati na zalihama.</t>
  </si>
  <si>
    <t>Artikli označeni sa Ks u koloni A su artikli u pretprodaji koje više nemamo na lageru.</t>
  </si>
  <si>
    <t>Gli articoli contrassegnati da una X nella colonna A sono articoli in prevendita che non immagazzineremo più.</t>
  </si>
  <si>
    <t>X-ga veerus A märgitud kaubad on eelmüügitooted, mida me enam laos ei hoita.</t>
  </si>
  <si>
    <t>Az A oszlopban X-szel jelölt termékek értékesítés előtti termékek, amelyeket a továbbiakban nem fogunk raktározni.</t>
  </si>
  <si>
    <t>Preces, kas A ailē atzīmētas ar X, ir pirmspārdošanas preces, kuras vairs nebūs pieejamas.</t>
  </si>
  <si>
    <t>Dumbum polo tričko L</t>
  </si>
  <si>
    <t>Dumbum polo tričko XL</t>
  </si>
  <si>
    <t>Dumbum bunda fleece XXL</t>
  </si>
  <si>
    <t>Přišli jsme na jeden drobný problém, který se děje u nových ceníků = Rezervační ceník a Ceník ve kterém je pouze zboží skladem</t>
  </si>
  <si>
    <t>Rezervační a ceník se zbožím, které je skladem použijte jen tehdy, když chcete objednávku udělat a ihned odeslat.</t>
  </si>
  <si>
    <t>UPOZORNĚNÍ!</t>
  </si>
  <si>
    <t>PAZIŅOJUMS!</t>
  </si>
  <si>
    <t>Mēs atradām vienu nelielu problēmu, kas notiek ar jaunajiem cenrāžiem = Rezervācijas cenrādis un Cenrādis, kurā noliktavā ir tikai preces</t>
  </si>
  <si>
    <t>Šie cenrāži tiek atjaunināti vairākas reizes dienā, un jums ir nepieciešams pabeigt pasūtījumu un nekavējoties nosūtīt to mums.</t>
  </si>
  <si>
    <t>Ja veicat pasūtījumu, piemēram, uz 2 dienām = cenrāži tikmēr tiks atjaunināti un rindas būs izkaisītas, kā rezultātā jūs nosūtīsiet mums pasūtījumu citai precei, nekā jūs sākotnēji vēlējāties pasūtīt! Tas ir saistīts ar datu atjaunošanu un rindas var tikt automātiski pārvietotas, tādējādi pilnībā mainot pasūtītās preces.</t>
  </si>
  <si>
    <t>Ja vēlaties pasūtījumu aizpildīt nepārtraukti, jāizmanto Vispārējā cenu saraksts!</t>
  </si>
  <si>
    <t>Izmantojiet rezervāciju un cenrādi ar precēm, kas ir noliktavā, tikai tad, ja vēlaties veikt pasūtījumu un nosūtīt to nekavējoties.</t>
  </si>
  <si>
    <t>MÄRKUS!</t>
  </si>
  <si>
    <t>Leidsime ühe väikese probleemi, mis juhtub uute hinnakirjadega = Broneeringu hinnakiri ja Hinnakiri, milles ainult kaup on laos</t>
  </si>
  <si>
    <t>Need hinnakirjad uuenevad mitu korda päevas ning Teil tuleb tellimus vormistada ja see meile koheselt saata.</t>
  </si>
  <si>
    <t>Kui vormistate tellimuse nt 2 päevaks = hinnakirjad uuendatakse vahepeal ja read lähevad laiali ning selle tulemusena saadate meile tellimuse erinevale tootele, kui algselt tellida soovisite! See on tingitud andmete uuendamisest ja ridu võidakse automaatselt liigutada, muutes seega täielikult tellitud kaubad.</t>
  </si>
  <si>
    <t>Kui soovid tellimust pidevalt täita, tuleb kasutada Üldhinnakirja!</t>
  </si>
  <si>
    <t>Kasutage broneeringut ja hinnakirja laos olevate kaupade puhul ainult siis, kui soovite vormistada tellimust ja saata see kohe ära.</t>
  </si>
  <si>
    <t>ÉRTESÍTÉS!</t>
  </si>
  <si>
    <t>Találtunk egy kis problémát, ami az új árlistáknál előfordul = Foglalási árlista és Árlista, amelyben csak áruk vannak raktáron</t>
  </si>
  <si>
    <t>Ezek az árlisták naponta többször frissülnek, és Önnek azonnal el kell küldenie a megrendelést.</t>
  </si>
  <si>
    <t>Ha pl. 2 napra ad le rendelést = az árlisták időközben frissülnek és a sorok szétszórtak és ennek eredményeként más termékre küldi el a rendelést, mint amit eredetileg meg akart rendelni! Ennek oka az adatok frissítése, és előfordulhat, hogy a sorok automatikusan eltolódnak, így teljesen megváltozik a megrendelt áru.</t>
  </si>
  <si>
    <t>Ha folyamatosan szeretné kitölteni a megrendelést, akkor az Általános Iárjegyzéket kell használnia!</t>
  </si>
  <si>
    <t>A raktáron lévő áruknál csak akkor használja a foglalást és árlistát, ha megrendelést szeretne leadni és azonnal elküldeni.</t>
  </si>
  <si>
    <t>ĐỂ Ý!</t>
  </si>
  <si>
    <t>Chúng tôi đã tìm thấy một vấn đề nhỏ xảy ra với các bảng giá mới = Bảng giá đặt trước và Bảng giá trong đó chỉ có hàng trong kho</t>
  </si>
  <si>
    <t>Các bảng giá này được cập nhật nhiều lần trong ngày và bạn cần hoàn thành đơn hàng và gửi ngay cho chúng tôi.</t>
  </si>
  <si>
    <t>Nếu bạn đặt hàng trong 2 ngày, ví dụ: bảng giá sẽ được cập nhật trong thời gian chờ đợi và các dòng sẽ bị phân tán và kết quả là bạn sẽ gửi cho chúng tôi đơn đặt hàng cho một sản phẩm khác với sản phẩm bạn muốn đặt ban đầu! Điều này là do việc cập nhật dữ liệu và các hàng có thể được tự động di chuyển, do đó thay đổi hoàn toàn hàng hóa đã đặt.</t>
  </si>
  <si>
    <t>Nếu bạn muốn điền đơn hàng liên tục, bạn phải sử dụng danh sách Iprice Chung!</t>
  </si>
  <si>
    <t>Sử dụng bảng giá và đặt trước với hàng hóa chỉ có trong kho nếu bạn muốn đặt hàng và gửi hàng ngay lập tức.</t>
  </si>
  <si>
    <t>ОБЈАВА!</t>
  </si>
  <si>
    <t>Пронашли смо један мали проблем који се дешава са новим ценовницима = Ценовник резервација и Ценовник у коме је само роба на лагеру</t>
  </si>
  <si>
    <t>Ови ценовници се ажурирају неколико пута дневно и потребно је да завршите поруџбину и одмах нам је пошаљете.</t>
  </si>
  <si>
    <t>Ако наручите нпр. 2 дана = ценовник ће бити ажуриран у међувремену и редови ће бити разбацани и као резултат ћете нам послати поруџбину за другачији производ него што сте првобитно желели! То је због ажурирања података и редови се могу аутоматски померати, чиме се потпуно мења наручена роба.</t>
  </si>
  <si>
    <t>Ако желите да испуњавате поруџбину континуирано, морате користити Општи Иценовник!</t>
  </si>
  <si>
    <t>Користите резервацију и ценовник са робом која је на лагеру само ако желите да наручите и пошаљете је одмах.</t>
  </si>
  <si>
    <t>ZAUWAŻYĆ!</t>
  </si>
  <si>
    <t>Znaleźliśmy jeden mały problem, który pojawia się z nowymi cennikami = Cennik rezerwacji i Cennik, w którym tylko towary są w magazynie</t>
  </si>
  <si>
    <t>Cenniki te są aktualizowane kilka razy dziennie i musisz sfinalizować zamówienie i niezwłocznie je do nas wysłać.</t>
  </si>
  <si>
    <t>Jeśli złożysz zamówienie na np. 2 dni = cenniki zostaną w międzyczasie zaktualizowane, a wiersze rozrzucone i w efekcie wyślesz nam zamówienie na inny produkt niż pierwotnie chciałeś zamówić! Dzieje się tak dzięki aktualizacji danych, a wiersze mogą być automatycznie przesuwane, co całkowicie zmienia zamawiany towar.</t>
  </si>
  <si>
    <t>Jeśli chcesz wypełniać zamówienie w sposób ciągły, musisz skorzystać z Cennika Ogólnego!</t>
  </si>
  <si>
    <t>Korzystaj z rezerwacji i cennika z towarami, które są na stanie tylko wtedy, gdy chcesz złożyć zamówienie i od razu je wysłać.</t>
  </si>
  <si>
    <t>PASTEBĖTI!</t>
  </si>
  <si>
    <t>Mes nustatėme vieną nedidelę problemą, kuri atsitinka su naujais kainoraščiais = rezervacijos kainoraštis ir kainoraštis, kuriame yra tik prekės</t>
  </si>
  <si>
    <t>Šie kainoraščiai yra atnaujinami kelis kartus per dieną ir jums reikia nedelsiant užpildyti užsakymą ir atsiųsti mums.</t>
  </si>
  <si>
    <t>Jei pateikiate užsakymą, pvz., 2 dienoms = tuo tarpu kainoraščiai bus atnaujinti, o eilutės bus išsklaidytos, todėl atsiųsite mums kitokios prekės užsakymą, nei iš pradžių norėjote užsisakyti! Taip yra dėl duomenų atnaujinimo ir eilutės gali būti automatiškai perkeliamos, taip visiškai pakeičiant užsakytas prekes.</t>
  </si>
  <si>
    <t>Jei norite nuolat pildyti užsakymą, turite naudotis Bendruoju kainų sąrašu!</t>
  </si>
  <si>
    <t>Rezervaciją ir kainoraštį su prekėmis, kurios yra sandėlyje, naudokite tik tuo atveju, jei norite pateikti užsakymą ir išsiųsti iš karto.</t>
  </si>
  <si>
    <t>AVVISO!</t>
  </si>
  <si>
    <t>Abbiamo riscontrato un piccolo problema che si verifica con i nuovi listini prezzi = Listino Prenotazione e Listino prezzi in cui sono disponibili solo merci</t>
  </si>
  <si>
    <t>Questi listini vengono aggiornati più volte al giorno ed è necessario completare l'ordine e inviarcelo immediatamente.</t>
  </si>
  <si>
    <t>Se effettui un ordine ad esempio per 2 giorni = i listini verranno nel frattempo aggiornati e le righe saranno sparse e di conseguenza ci invierai un ordine per un prodotto diverso da quello che volevi ordinare in origine! Ciò è dovuto all'aggiornamento dei dati e le righe possono essere spostate automaticamente, modificando così completamente la merce ordinata.</t>
  </si>
  <si>
    <t>Se vuoi compilare l'ordine in modo continuativo, devi utilizzare il listino prezzi Generale!</t>
  </si>
  <si>
    <t>Utilizza la prenotazione e il listino prezzi con merce in giacenza solo se desideri effettuare un ordine e spedirlo immediatamente.</t>
  </si>
  <si>
    <t>OBAVIJEST!</t>
  </si>
  <si>
    <t>Pronašli smo jedan mali problem koji se događa s novim cjenicima = Rezervacijski cjenik i Cjenik u kojem je samo roba na stanju</t>
  </si>
  <si>
    <t>Ovi cjenici se ažuriraju nekoliko puta dnevno, a narudžbu morate odmah izvršiti i poslati nam.</t>
  </si>
  <si>
    <t>Ako naručite na npr. 2 dana = cjenici će se u međuvremenu ažurirati i redovi će biti raštrkani i kao rezultat toga poslat ćete nam narudžbu za drugačiji proizvod od onoga koji ste prvotno htjeli naručiti! To je zbog ažuriranja podataka i redovi se mogu automatski pomicati, čime se potpuno mijenja naručena roba.</t>
  </si>
  <si>
    <t>Ukoliko narudžbu želite ispunjavati kontinuirano, morate koristiti Opći Icjenik!</t>
  </si>
  <si>
    <t>Koristite rezervaciju i cjenik s robom koja je na zalihi samo ako želite izvršiti narudžbu i poslati je odmah.</t>
  </si>
  <si>
    <t>NOTICE!</t>
  </si>
  <si>
    <t>We found one small problem that happens with the new price lists = Reservation price list and Price list in which only goods are in stock</t>
  </si>
  <si>
    <t>These price lists are updated several times a day and you need to complete the order and send it to us immediately.</t>
  </si>
  <si>
    <t>If you place an order for e.g. 2 days = the price lists will be updated in the meantime and the lines will be scattered and as a result you will send us an order for a different product than you originally wanted to order! This is due to the updating of the data and the rows may be automatically moved, thus completely changing the ordered goods.</t>
  </si>
  <si>
    <t>If you want to fill out the order continuously, you must use the General Iprice list!</t>
  </si>
  <si>
    <t>Use the reservation and price list with goods that are in stock only if you want to place an order and send it immediately.</t>
  </si>
  <si>
    <t>Co dělat, když nefungují hypertextové odkazy ve starším Excelu?</t>
  </si>
  <si>
    <t>Mi a teendő, ha a hiperhivatkozások nem működnek a régebbi Excelben?</t>
  </si>
  <si>
    <t>Phải làm gì nếu siêu liên kết không hoạt động trong Excel cũ hơn?</t>
  </si>
  <si>
    <t>Mida teha, kui hüperlingid vanemas Excelis ei tööta?</t>
  </si>
  <si>
    <t>Ko darīt, ja vecākajā programmā Excel hipersaites nedarbojas?</t>
  </si>
  <si>
    <t>Шта учинити ако хипервезе не раде у старијем Екцел-у?</t>
  </si>
  <si>
    <t>Co zrobić, jeśli hiperłącza nie działają w starszym programie Excel?</t>
  </si>
  <si>
    <t>Ką daryti, jei hipersaitai neveikia senesnėje „Excel“?</t>
  </si>
  <si>
    <t>Cosa fare se i collegamenti ipertestuali non funzionano nel vecchio Excel?</t>
  </si>
  <si>
    <t>Što učiniti ako hiperveze ne rade u starijem Excelu?</t>
  </si>
  <si>
    <t>Was tun, wenn Hyperlinks in älterem Excel nicht funktionieren?</t>
  </si>
  <si>
    <t>What to do if hyperlinks do not work in older Excel?</t>
  </si>
  <si>
    <t>CLEARANCE SALE</t>
  </si>
  <si>
    <t>AUSVERKAUF</t>
  </si>
  <si>
    <t>RASPRODAJA</t>
  </si>
  <si>
    <t>VENDITA DI LIQUIDAZIONE</t>
  </si>
  <si>
    <t>WYPRZEDAŻ</t>
  </si>
  <si>
    <t>BÁN RÕ RÀNG</t>
  </si>
  <si>
    <t>IŠPARDAVIMAS</t>
  </si>
  <si>
    <t>LÕPUMÜÜK</t>
  </si>
  <si>
    <t>VÉGKIÁRUSITÁS</t>
  </si>
  <si>
    <t>IZPĀRDOŠANA</t>
  </si>
  <si>
    <t>1. zákazník pošle svou objednávku vyplněnou v našem elektronickém ceníku (jiný formát nebude přijat) na emailovou adresu info@klasektrading.cz s informací, o způsobu naložení zboží tzn. na paletách nebo na volno(viz. buňka číslo 1424), způsob dopravy a popř. adresou doručení.</t>
  </si>
  <si>
    <t>1. the customer sends his order filled in our electronic price list (other format will not be accepted) to the email address info@klasektrading.cz with information about the method of loading the goods, ie. on pallets or on leave (see cell number 1424), mode of transport and possibly delivery address.</t>
  </si>
  <si>
    <t>1. Der Kunde sendet seine in unserer elektronischen Preisliste ausgefüllte Bestellung (anderes Format wird nicht akzeptiert) an die E-Mail-Adresse info@klasektrading.cz mit Informationen über die Art des Ladens der Waren, d. H. auf Paletten oder frei Karton (siehe Zellennummer 1424), Transportart und möglicherweise Lieferadresse.</t>
  </si>
  <si>
    <t>1. Kupac dostavlja svoju narudžbu ispunjenu u našem elektroničkom cjeniku (drugi formati neće biti prihvaćeni) na adresu e-pošte info@klasektrading.cz sa podacima o načinu utovara robe, tj. na paletama ili bez, slobodni utovar (vidi ćeliju 1424), način prijevoza i eventualno adresu za dostavu.</t>
  </si>
  <si>
    <t xml:space="preserve">1. Klientas siunčia savo užsakymą, užpildytą mūsų elektroniniame kainoraštyje (kitas formatas nebus priimtas) elektroninio pašto adresu info@klasektrading.cz, su informacija apie prekių pakrovimo būdą  ant palečių arba laisvu būdu, (žr. langelio numerį 1424) transporto rūšį ir galbūt pristatymo adresą. </t>
  </si>
  <si>
    <t>1. Klient przesyła swoje zamówienie wypełnione naszym cennikiem elektronicznym (inny format nie będzie akceptowany) na adres e-mail info@klasektrading.cz z informacją o sposobie załadunku towaru tj. na paletach lub luzem (patrz komórka 1424), rodzaj transportu i ewentualnie adres dostawy.</t>
  </si>
  <si>
    <t>klient saadab oma tellimuse, mis on täidetud meie elektroonilises hinnakirjas (muud vormingut ei aktsepteerita) e-posti aadressile info@klasektrading.cz teabega kauba laadimise viisist, st. kaubaalustel või puhkusel (vt lahtrinumber 1424), transpordiliik ja võimalik tarneaadress.</t>
  </si>
  <si>
    <t>1. khách hàng gửi đơn đặt hàng của mình đã điền trong bảng giá điện tử của chúng tôi (định dạng khác sẽ không được chấp nhận) đến địa chỉ email info@klasektrading.cz kèm theo thông tin về phương thức tải hàng, tức là. trên pallet hoặc rời (xem số ô 1424), phương thức vận chuyển và có thể địa chỉ giao hàng.</t>
  </si>
  <si>
    <t>○        If the goods are sent to the customer on a pallet, then these pallets are part of the invoice for the goods.</t>
  </si>
  <si>
    <t>○        Pokud zákazník doručí paletu osobně zpět, bude mu vystaven dobropis na tyto palety ve stejné ceně, za kterou mu byly palety fakturovány (350Kč).</t>
  </si>
  <si>
    <t xml:space="preserve">práskající efekt, délka 50cm </t>
  </si>
  <si>
    <t>crackling effect, lenght 50cm</t>
  </si>
  <si>
    <t>Knallender Effekt, Länge 50 cm</t>
  </si>
  <si>
    <t>hiệu ứng crackling, chiều dài 50 cm</t>
  </si>
  <si>
    <t>Wir haben ein kleines Problem gefunden, das mit den neuen Preislisten auftritt = Reservierungspreisliste und Preisliste, in denen nur Waren auf Lager sind</t>
  </si>
  <si>
    <t>Diese Preislisten werden mehrmals täglich aktualisiert und Sie müssen die Bestellung sofort abschließen und an uns senden.</t>
  </si>
  <si>
    <t>Wenn Sie eine Bestellung für z.B. 2 Tage aufgeben = die Preislisten werden in der Zwischenzeit aktualisiert und die Zeilen werden verstreut und Sie senden uns daher eine Bestellung für ein anderes Produkt als Sie ursprünglich bestellen wollten! Dies liegt an der Aktualisierung der Daten und es kann zu einer automatischen Verschiebung der Zeilen, also einer Gesamtänderung der bestellten Ware kommen.</t>
  </si>
  <si>
    <t>Wenn Sie die Bestellung fortlaufend ausfüllen möchten, müssen Sie die allgemeine IPreisliste verwenden!</t>
  </si>
  <si>
    <t>Verwenden Sie die Reservierungs- und Preisliste mit Lagerware nur, wenn Sie eine Bestellung aufgeben und sofort versenden möchten.</t>
  </si>
  <si>
    <t>NOTIZ!</t>
  </si>
  <si>
    <t>Verkauft in Packungen</t>
  </si>
  <si>
    <t>Wenn Sie Waren in Stücken bestellen möchten, müssen Sie für diese Waren eine separate Bestellung aufgeben, die nur die Artikel enthält, die Sie in Stücken bestellen möchten (es muss immer die kleinste Verkaufsverpackung bestellt werden).</t>
  </si>
  <si>
    <t>Für stückweise bestellte Ware, d.h. Ihr Rabatt x 1,2 = der Preis der Ware, die Sie stückweise bestellen, wird vom Grundpreis abgezogen.</t>
  </si>
  <si>
    <t>Sprzedawane w paczkach</t>
  </si>
  <si>
    <t>Jeśli chcesz zamówić towar na sztuki, musisz wysłać osobne zamówienie na te towary, które będzie zawierało tylko te elementy, które chcesz zamówić na sztuki (zawsze należy zamówić najmniejsze opakowanie sprzedażowe).</t>
  </si>
  <si>
    <t>Za zamówiony towar w sztukach zostanie naliczona opłata manipulacyjna w wysokości 20% Twojej ceny, tj. Twój rabat x 1,2 = cena zamówionego towaru w sztukach zostanie odjęta od ceny podstawowej.</t>
  </si>
  <si>
    <t>Parduodama pakuotėmis</t>
  </si>
  <si>
    <t>Jei norite užsisakyti prekes vienetais, turite atsiųsti atskirą šių prekių užsakymą, kuriame bus tik prekės, kurias norite užsakyti vienetais (visada reikia užsakyti mažiausią pardavimo pakuotę).</t>
  </si>
  <si>
    <t>Užsakytas prekes vienetais bus imamas 20% jūsų kainos tvarkymo mokestis, t.y. jūsų nuolaida x 1,2 = prekių, kurias užsakote vienetais, kaina bus išskaičiuota iš bazinės kainos.</t>
  </si>
  <si>
    <t>Bán theo gói</t>
  </si>
  <si>
    <t>Nếu bạn muốn đặt hàng theo từng phần, bạn phải gửi một đơn đặt hàng riêng cho những hàng hóa này, đơn đặt hàng này sẽ chỉ chứa các mặt hàng bạn muốn đặt theo từng phần (phải luôn đặt gói bán hàng nhỏ nhất).</t>
  </si>
  <si>
    <t>Phí xử lý 20% giá của bạn sẽ được tính cho hàng hóa được đặt hàng theo từng phần, tức là chiết khấu của bạn x 1,2 = giá của hàng hóa mà bạn đặt theo từng phần sẽ được trừ vào giá cơ bản.</t>
  </si>
  <si>
    <t>Продаје се у пакетима</t>
  </si>
  <si>
    <t>Pārdod pa iepakojumiem</t>
  </si>
  <si>
    <t>Ja vēlaties pasūtīt preces gabalos, šīm precēm ir jānosūta atsevišķs pasūtījums, kurā būs tikai tās preces, kuras vēlaties pasūtīt gabalos (vienmēr jāpasūta mazākā pārdošanas paka).</t>
  </si>
  <si>
    <t>Par pasūtītajām precēm gabalos tiks iekasēta apstrādes maksa 20% apmērā no jūsu cenas, t.i. jūsu atlaide x 1,2 = preces, kuras pasūtāt gabalos, cena tiks atskaitīta no pamatcenas.</t>
  </si>
  <si>
    <t>Müüakse pakkide kaupa</t>
  </si>
  <si>
    <t>Kui soovite tellida kaupa tükkidena, tuleb nendele kaupadele saata eraldi tellimus, mis sisaldab ainult neid kaupu, mida soovite tellida tükkidena (tellida tuleb alati väikseim müügipakk).</t>
  </si>
  <si>
    <t>Tükkides tellitud kauba eest võetakse käsitlustasu 20% Teie hinnast, s.o. teie allahindlus x 1,2 = põhihinnast arvestatakse maha tükikaupa tellitud kauba hind.</t>
  </si>
  <si>
    <t>Kiszerelésben eladó</t>
  </si>
  <si>
    <t>Ha darabos árut szeretne rendelni, ezekre az árukra külön rendelést kell küldenie, amely csak a darabonként rendelni kívánt tételeket tartalmazza (mindig a legkisebb értékesítési csomagot kell megrendelni).</t>
  </si>
  <si>
    <t>A darabonként megrendelt árukért az árának 20%-a kezelési költséget számítunk fel, pl. kedvezménye x 1,2 = a darabban megrendelt áru ára levonásra kerül az alapárból.</t>
  </si>
  <si>
    <t>Venduto a confezioni</t>
  </si>
  <si>
    <t>Se desideri ordinare la merce a pezzi, devi inviare un ordine separato per queste merci, che conterrà solo gli articoli che desideri ordinare a pezzi (il pacchetto di vendita più piccolo deve sempre essere ordinato).</t>
  </si>
  <si>
    <t>Una commissione di gestione del 20% del prezzo verrà addebitata per le merci ordinate in pezzi, ad es. il tuo sconto x 1,2 = il prezzo della merce ordinata a pezzi verrà detratto dal prezzo base.</t>
  </si>
  <si>
    <t>Prodaje se u paketima</t>
  </si>
  <si>
    <t>Ako želite naručiti robu u komadima, morate poslati posebnu narudžbu za tu robu, koja će sadržavati samo artikle koje želite naručiti u komadima (uvijek se mora naručiti najmanje prodajno pakiranje).</t>
  </si>
  <si>
    <t>Za naručenu robu u komadima naplaćuje se manipulativna naknada od 20% vaše cijene, tj. vaš popust x 1,2 = cijena robe koju naručujete u komadima odbit će se od osnovne cijene.</t>
  </si>
  <si>
    <t>Sold by packs</t>
  </si>
  <si>
    <t>If you wish to order goods in pieces, you must send a separate order for these goods, which will contain only the items you want to order in pieces (the smallest sales package must always be ordered).</t>
  </si>
  <si>
    <t>A handling fee of 20% of your price will be charged for ordered goods in pieces, i.e. your discount x 1.2 = the price of the goods that you order in pieces will be deducted from the basic price.</t>
  </si>
  <si>
    <t>Je možno objednávat z ceníku "Goods wich is only on shop.xlsx" po menším množství než exportní karton.</t>
  </si>
  <si>
    <t>It is possible to order from the "Goods wich is only on shop.xlsx" price list in smaller quantities than the export carton.</t>
  </si>
  <si>
    <t>Es ist möglich, aus der "Goods wich is only on shop.xlsx"-Preisliste kleinere Mengen als den Exportkarton zu bestellen.</t>
  </si>
  <si>
    <t>Iz cjenika "Goods wich is only on shop.xlsx" moguće je naručiti u manjim količinama od izvoznog kartona.</t>
  </si>
  <si>
    <t>È possibile ordinare dal listino "Goods wich is only on shop.xlsx" in quantità inferiori rispetto al cartone di esportazione.</t>
  </si>
  <si>
    <t>Galima užsisakyti iš "Goods wich is only on shop.xlsx" kainoraščio mažesniais kiekiais nei eksporto dėžutė.</t>
  </si>
  <si>
    <t>Istnieje możliwość zamówienia z cennika "Goods wich is only on shop.xlsx" mniejszych ilości niż karton eksportowy.</t>
  </si>
  <si>
    <t>No "Goods wich is only on shop.xlsx" cenrāža ir iespējams pasūtīt mazākos daudzumos nekā eksporta kartona kastīte.</t>
  </si>
  <si>
    <t>"Goods wich is only on shop.xlsx" hinnakirjast on võimalik tellida väiksemas koguses kui ekspordikarp.</t>
  </si>
  <si>
    <t>Có thể đặt hàng từ bảng giá "Goods wich is only on shop.xlsx" với số lượng ít hơn thùng carton xuất khẩu.</t>
  </si>
  <si>
    <t>A "Goods wich is only on shop.xlsx" árlistáról az export kartonnál kisebb mennyiségben is lehet rendelni.</t>
  </si>
  <si>
    <t>you want to order 5 packs of item DP1R, which is packed 25/20/6, so you order 0.2 cartons</t>
  </si>
  <si>
    <t>you want to order 1 pc of item C1625B which is packed 12/1 so you order 0.0833 carton</t>
  </si>
  <si>
    <t>želite naručiti 5 paketa artikla DP1R, koji je pakiran 25/20/6, dakle naručite 0,2 kartona</t>
  </si>
  <si>
    <t>želite naručiti 1 kom artikla C1625B koji je pakiran 12/1 pa naručite 0,0833 kartona</t>
  </si>
  <si>
    <t>vuoi ordinare 5 confezioni dell'articolo DP1R, che è imballato 25/20/6, quindi ordini 0,2 cartoni</t>
  </si>
  <si>
    <t>si desidera ordinare 1 pezzo dell'articolo C1625B che è imballato 12/1 in modo da ordinare 0,0833 cartoni</t>
  </si>
  <si>
    <t>kui soovite tellida 5 pakki kaupa DP1R, mis on pakitud 25/20/6, seega tellite 0,2 karpi</t>
  </si>
  <si>
    <t>Kui soovite tellida 1 tk kaupa C1625B, mis on pakitud 12/1, nii et tellite 0,0833 karpi</t>
  </si>
  <si>
    <t>5 csomag DP1R terméket szeretne rendelni, amely 25/20/6, tehát 0,2 kartont rendel</t>
  </si>
  <si>
    <t>1 db C1625B terméket szeretne rendelni, amely 12/1-re van csomagolva, ezért 0,0833 kartondobozt rendel</t>
  </si>
  <si>
    <t>bạn muốn đặt 5 gói hàng DP1R đóng gói 25/20/6 nên bạn đặt hàng 0,2 thùng</t>
  </si>
  <si>
    <t>bạn muốn đặt 1 cái mặt hàng C1625B được đóng gói 12/1 nên bạn đặt hàng thùng 0.0833</t>
  </si>
  <si>
    <t>желите да наручите 1 ком артикла Ц1625Б који је упакован 12/1 тако да наручите 0,0833 картона</t>
  </si>
  <si>
    <t>vēlaties pasūtīt 5 iepakojumus ar preci DP1R, kas ir iepakots 25/20/6, tāpēc pasūtāt 0,2 kastītes</t>
  </si>
  <si>
    <t>Jūs vēlaties pasūtīt 1 gab preces C1625B, kas ir iepakots 12/1, lai jūs pasūtāt 0,0833 kastīti</t>
  </si>
  <si>
    <t>norite užsisakyti 5 pakuotes prekės DP1R, kuri supakuota 25/20/6, todėl užsakote 0,2 kartono</t>
  </si>
  <si>
    <t>norite užsisakyti 1 vnt prekės C1625B, kuri supakuota 12/1, todėl užsakote 0,0833 dėžutę</t>
  </si>
  <si>
    <t>chcesz zamówić 5 paczek artykułu DP1R, który jest pakowany 25/20/6, więc zamawiasz 0,2 kartonu</t>
  </si>
  <si>
    <t>chcesz zamówić 1 szt. elementu C1625B, który jest pakowany 12/1, więc zamawiasz karton 0,0833</t>
  </si>
  <si>
    <t>Sie möchten 5 Packungen des Artikels DP1R bestellen, der 25/20/6 verpackt ist, also bestellen Sie 0,2 Kartons</t>
  </si>
  <si>
    <t>Sie möchten 1 Stück des Artikels C1625B bestellen, der 12/1 verpackt ist, also bestellen Sie 0,0833 Karton</t>
  </si>
  <si>
    <t>Examples of filling out an order in the "Goods wich is only on shop.xlsx" price list:</t>
  </si>
  <si>
    <t>Primjeri ispunjavanja narudžbe u cjeniku "Goods wich is only on shop.xlsx":</t>
  </si>
  <si>
    <t>Esempi di compilazione di un ordine nel listino "Goods wich is only on shop.xlsx":</t>
  </si>
  <si>
    <t>Pasūtījuma aizpildīšanas piemēri "Goods wich is only on shop.xlsx" cenrādī:</t>
  </si>
  <si>
    <t>Näited tellimuse täitmisest hinnakirjas "Goods wich is only on shop.xlsx":</t>
  </si>
  <si>
    <t>Ví dụ về việc điền đơn đặt hàng trong bảng giá "Goods wich is only on shop.xlsx":</t>
  </si>
  <si>
    <t>Példák a megrendelés kitöltésére az "Goods wich is only on shop.xlsx" árlistában:</t>
  </si>
  <si>
    <t>Příklady vyplnění objednávky v ceníku "Goods which is only on shop.xlsx":</t>
  </si>
  <si>
    <t>Beispiele für das Ausfüllen einer Bestellung in der Preisliste "Goods wich is only on shop.xlsx":</t>
  </si>
  <si>
    <t>Užsakymo užpildymo "Goods wich is only on shop.xlsx" kainoraštyje pavyzdžiai:</t>
  </si>
  <si>
    <t>Przykłady wypełnienia zamówienia w cenniku "Goods wich is only on shop.xlsx":</t>
  </si>
  <si>
    <t>Wir glauben, dass dieser Schritt die Verfügbarkeit unserer Waren auch für kleinere Kunden erweitert, die einige Artikel nicht in ganzen Exportkartons bestellen können.</t>
  </si>
  <si>
    <t>Wierzymy, że ten krok zwiększy dostępność naszych towarów nawet dla mniejszych klientów, którzy nie mogą zamówić niektórych artykułów w całych kartonach eksportowych.</t>
  </si>
  <si>
    <t>Tikime, kad šis žingsnis padidins mūsų prekių prieinamumą net ir smulkesniems klientams, kurie negali užsisakyti kai kurių prekių ištisose eksporto dėžutėse.</t>
  </si>
  <si>
    <t>Mēs uzskatām, ka šis solis paplašinās mūsu preču pieejamību pat mazākiem klientiem, kuri nevar pasūtīt atsevišķas preces veselās eksporta kastēs.</t>
  </si>
  <si>
    <t>Riteniamo che questo passaggio amplierà la disponibilità delle nostre merci anche per i clienti più piccoli che non possono ordinare alcuni articoli in interi cartoni per l'esportazione.</t>
  </si>
  <si>
    <t>Vjerujemo da ćemo ovim korakom proširiti dostupnost naše robe i za manje kupce koji neke artikle ne mogu naručiti u cijelim izvoznim kartonima.</t>
  </si>
  <si>
    <t>Usume, et see samm laiendab meie kaupade saadavust ka väiksematele klientidele, kes ei saa tellida mõnda kaupa terves ekspordikarbis.</t>
  </si>
  <si>
    <t>Chúng tôi tin rằng bước này sẽ mở rộng sự sẵn có của hàng hóa của chúng tôi ngay cả đối với những khách hàng nhỏ hơn, những người không thể đặt một số mặt hàng trong các thùng hàng xuất khẩu nguyên chiếc.</t>
  </si>
  <si>
    <t>Úgy gondoljuk, hogy ez a lépés még a kisebb vásárlók számára is kibővíti áruink elérhetőségét, akik bizonyos tételeket nem tudnak teljes export kartonban rendelni.</t>
  </si>
  <si>
    <t>○ Ако купац лично врати палету, биће му издато кредитно писмо за ове палете по истој цени за коју су му палете фактурисане (350 ЦЗК).</t>
  </si>
  <si>
    <t>○        If the customer personally delivers the pallet back, he will be issued a credit note for these pallets at the same price for which the pallets were invoiced to him (CZK 350).</t>
  </si>
  <si>
    <t>○        Wenn der Kunde die Palette persönlich zurückliefert, wird ihm für diese Paletten eine Gutschrift zum gleichen Preis ausgestellt, zu dem ihm die Paletten in Rechnung gestellt wurden (350 CZK).</t>
  </si>
  <si>
    <t>○        Ako kupac osobno vrati paletu, bit će mu izdano knjižno odobrenje za te palete po istoj cijeni za koju su mu palete fakturirane (350 CZK).</t>
  </si>
  <si>
    <t>○        Se il cliente riconsegna personalmente il pallet, gli verrà emessa una nota di credito per questi pallet allo stesso prezzo per il quale i pallet gli sono stati fatturati (CZK 350).</t>
  </si>
  <si>
    <t>○        Jei klientas asmeniškai pristato padėklą atgal, jam bus išrašytas šių padėklų kredito pažyma už tą pačią kainą, už kurią jam buvo išrašyta sąskaita už padėklus (350 CZK).</t>
  </si>
  <si>
    <t>○        Jeśli klient osobiście zwróci paletę, zostanie mu wystawiona nota kredytowa na te palety w tej samej cenie, za którą palety zostały mu zafakturowane (350 CZK).</t>
  </si>
  <si>
    <t>○        Kui klient toimetab kaubaaluse isiklikult tagasi, väljastatakse talle nende aluste kohta kreeditarve sama hinnaga, mille eest talle aluste eest arve esitati (350 CZK).</t>
  </si>
  <si>
    <t>○        Nếu khách hàng đích thân giao lại pallet, anh ta sẽ được cấp một thư báo ghi có cho những pallet này với cùng mức giá mà các pallet đã được lập hóa đơn cho anh ta (350 K).</t>
  </si>
  <si>
    <t>○        Ha a vevő személyesen szállítja vissza a raklapot, akkor ezekről a raklapokról jóváírást állítanak ki, ugyanazon az áron, mint amennyiért a raklapokat kiszámlázták neki (350 CZK).</t>
  </si>
  <si>
    <t>When sending goods by our ADR vehicle (load capacity 1,450 kg), we charge a transport fee of CZK 18/km for the journey there and back.</t>
  </si>
  <si>
    <t>Beim Versand von Waren mit unserem ADR-Fahrzeug (Tragfähigkeit 1.450 kg) berechnen wir eine Transportgebühr von 18 CZK/km für die Hin- und Rückfahrt.</t>
  </si>
  <si>
    <t>Prilikom slanja robe našim ADR vozilom (nosivost 1.450 kg) naplaćujemo prijevoz od 18 CZK/km za putovanje tamo i natrag.</t>
  </si>
  <si>
    <t>In caso di spedizione di merci con il nostro veicolo ADR (capacità di carico 1.450 kg), addebitiamo una tassa di trasporto di 18 CZK/km per il viaggio di andata e ritorno.</t>
  </si>
  <si>
    <t>Siunčiant prekes mūsų ADR transporto priemone (keliamoji galia 1450 kg), už kelionę ten ir atgal imame 18 CZK/km transportavimo mokestį.</t>
  </si>
  <si>
    <t>Przy wysyłaniu towaru naszym pojazdem ADR (ładowność 1450 kg) pobieramy opłatę transportową w wysokości 18 CZK/km za przejazd tam iz powrotem.</t>
  </si>
  <si>
    <t>Приликом слања робе нашим АДР возилом (носивост 1.450 кг), наплаћујемо превоз од 18 ЦЗК/км за путовање тамо и назад.</t>
  </si>
  <si>
    <t>Sūtot preces ar mūsu ADR transportlīdzekli (kravnesība 1450 kg), mēs iekasējam transporta maksu CZK 18/km par braucienu turp un atpakaļ.</t>
  </si>
  <si>
    <t>Kauba saatmisel meie ADR sõidukiga (kandevõime 1450 kg) võtame kohale- ja tagasisõidu eest transporditasu 18 CZK/km.</t>
  </si>
  <si>
    <t>Kui klient soovib nõuda tarnitud kauba kogust, peab ta seda tegema kauba mahalaadimise ajal ning tegema selle kohta märke CMR-saatelehele. Hilisemaid kaebusi ei võeta arvesse.</t>
  </si>
  <si>
    <t>Ja klients vēlas pretendēt uz piegādāto preču daudzumu, viņam tas jādara preču izkraušanas laikā un par to jāizdara ieraksts CMR pavadzīmē. Vēlāk iesniegtās sūdzības netiks ņemtas vērā.</t>
  </si>
  <si>
    <t>Уколико купац жели да затражи испоручену количину робе, то мора учинити током истовара робе и то мора да забележи у ЦМР товарном листу. Касније жалбе неће бити узете у обзир.</t>
  </si>
  <si>
    <t>Nếu khách hàng muốn yêu cầu số lượng hàng đã giao thì phải thực hiện trong quá trình dỡ hàng và phải ghi lại việc này trong phiếu gửi hàng CMR. Các khiếu nại sau này sẽ không được tính đến.</t>
  </si>
  <si>
    <t>Ha a megrendelő a kiszállított áru mennyiségét igényli, azt az áru kirakodása során kell megtennie, és erről a CMR fuvarlevélben rögzítenie kell. A későbbi panaszokat nem veszik figyelembe.</t>
  </si>
  <si>
    <t>Jeżeli klient chce reklamować ilość dostarczonego towaru, musi to zrobić podczas rozładunku towaru i musi to odnotować w liście przewozowym CMR. Późniejsze reklamacje nie będą uwzględniane.</t>
  </si>
  <si>
    <t>Jei klientas nori pretenduoti į pristatytų prekių kiekį, jis turi tai padaryti prekių iškrovimo metu ir apie tai padaryti įrašą CMR važtaraštyje. Į vėlesnius skundus nebus atsižvelgiama.</t>
  </si>
  <si>
    <t>Se il cliente desidera reclamare la quantità di merce consegnata, deve farlo durante lo scarico della merce e deve registrarlo nella lettera di vettura CMR. I reclami successivi non saranno presi in considerazione.</t>
  </si>
  <si>
    <t>Ako kupac želi zatražiti isporučenu količinu robe, mora to učiniti tijekom istovara robe i to mora zabilježiti u CMR tovarnom listu. Naknadne reklamacije nećemo uzeti u obzir.</t>
  </si>
  <si>
    <t>Will der Kunde die gelieferte Warenmenge reklamieren, muss er dies beim Entladen der Ware tun und dies im CMR-Frachtbrief vermerken. Spätere Reklamationen werden nicht berücksichtigt.</t>
  </si>
  <si>
    <t>If the customer wants to claim the quantity of goods delivered, he must do so during the unloading of the goods and must make a record of this in the CMR consignment note. Later complaints will not be taken into account.</t>
  </si>
  <si>
    <t>Vorgehensweise bei der Reservierung von nicht vorrätiger Ware:</t>
  </si>
  <si>
    <t>Procedura za rezervaciju robe koja nije na skladištu:</t>
  </si>
  <si>
    <t>Procedura per la prenotazione di merce non in giacenza:</t>
  </si>
  <si>
    <t>Prekių, kurių sandėlyje nėra, rezervavimo tvarka:</t>
  </si>
  <si>
    <t>Procedura rezerwacji towarów, których nie ma w magazynie:</t>
  </si>
  <si>
    <t>Процедура за резервисање робе која није на залихама:</t>
  </si>
  <si>
    <t>Noliktavā neesošo preču rezervēšanas kārtība:</t>
  </si>
  <si>
    <t>Kaupade, mida laos ei ole, broneerimise kord:</t>
  </si>
  <si>
    <t>Thủ tục đặt trước hàng hóa không có trong kho:</t>
  </si>
  <si>
    <t>A raktáron nem lévő áruk lefoglalásának menete:</t>
  </si>
  <si>
    <t>Il tuo ordine viene inviato al magazzino subito dopo il suo ricevimento e non è possibile aggiungere nulla all'ordine in nessuna forma. Se il cliente annulla l'ordine (o parte di esso), gli verrà addebitata una commissione di gestione del 50% del valore della merce annullata.</t>
  </si>
  <si>
    <t>Se desideri riordinare alcuni prodotti, devi creare un nuovo ordine nel nostro listino elettronico e inviarlo nuovamente tramite e-mail. In questo ordine, scrivi solo la merce che desideri ordinare.</t>
  </si>
  <si>
    <t>Non possiamo garantire che le merci arretrate vengano inviate insieme alla merce inizialmente ordinata!</t>
  </si>
  <si>
    <t>Prenotazione della merce</t>
  </si>
  <si>
    <t>Sulla base delle numerose richieste dei clienti, abbiamo deciso di avviare un sistema di prenotazione presso il nostro magazzino. Per una migliore idea, presenterò un sistema ampiamente utilizzato dai nostri clienti esteri.</t>
  </si>
  <si>
    <t>I commercianti che hanno i propri negozi ordinano le merci da noi, ad esempio, immediatamente a settembre dopo la pubblicazione del listino prezzi, dicendo che desiderano consegnare la merce solo, ad esempio, il 15 dicembre.</t>
  </si>
  <si>
    <t>Con questo, hanno la garanzia di ottenere tutto ciò che vogliono e non devono riporre la merce da nessuna parte o preoccuparsi che l'articolo su cui contano, ad esempio, nel volantino, non si esaurisca. Il giorno concordato, trascorso il quale il cliente riceverà la merce ordinata...</t>
  </si>
  <si>
    <t>Di seguito le regole in base alle quali è possibile prenotare la merce presso il nostro magazzino:</t>
  </si>
  <si>
    <t>○        il cliente invia un ordine solo per la merce che desidera prenotare (è possibile prenotare solo la merce attualmente in stock)</t>
  </si>
  <si>
    <t>○        per la merce ordinata verrà emessa fattura anticipata pari al 100% del valore della merce riservata e solo dopo il versamento di tale anticipo sul nostro conto, la merce verrà riservata (se il cliente non ha credito aperto con noi ).</t>
  </si>
  <si>
    <t>○        la merce verrà preparata fisicamente su pallet di dimensioni 120x80cm e 180cm di altezza e di peso fino a 750kg in modo tale che la merce riservata si trovi sul minor numero possibile di pallet, ma nel rispetto delle dimensioni sopra indicate. Se viene ordinata una piccola quantità, ad esempio 2 cartoni, verranno posizionati su un europallet e verrà addebitato il costo elencato di seguito.</t>
  </si>
  <si>
    <t>○        la merce sarà stoccata nel nostro magazzino dalla data di preparazione fino alla spedizione richiesta, al costo di 9 CZK / 1 euro pallet / 1 giorno</t>
  </si>
  <si>
    <t>○        il giorno della spedizione verrà calcolato il numero di giorni in cui il pallet è stato immagazzinato e l'importo per lo stoccaggio verrà aggiunto alla fattura finale della merce</t>
  </si>
  <si>
    <t>Regole:</t>
  </si>
  <si>
    <t>○        la prenotazione non può essere modificata! Se il cliente non ritira tutta la merce ordinata, la penale di cancellazione è del 50% del valore della merce che il cliente ha ordinato ma non ha ritirato.</t>
  </si>
  <si>
    <t>○        ogni prenotazione deve essere evasa nella sua interezza (non è possibile prendere solo parte della merce riservata), ovverosia tutti gli europallet riservati verranno rimossi immediatamente</t>
  </si>
  <si>
    <t>○        la merce prenotata verrà spedita solo su pallet</t>
  </si>
  <si>
    <t>○        Se il cliente restituisce personalmente il pallet, gli verrà emessa una nota di credito per quei pallet allo stesso prezzo in cui è stato fatturato per i pallet.</t>
  </si>
  <si>
    <t>○        Il cliente può rispedire i bancali anche tramite un servizio di spedizione (a proprie spese) e gli verrà rilasciata una nota di credito dopo che i bancali saranno stati consegnati al nostro magazzino.</t>
  </si>
  <si>
    <t>○        Non è possibile rispedire i pallet all'autista/servizio di spedizione che ha importato la merce!</t>
  </si>
  <si>
    <t>Spese di spedizione</t>
  </si>
  <si>
    <t>Rimostranza</t>
  </si>
  <si>
    <t>Ti stiamo inviando la procedura per la gestione dei reclami sui compatti non sparati. Sfortunatamente, nonostante il controllo di qualità, questi reclami non possono essere prevenuti nel contesto di un grande volume.</t>
  </si>
  <si>
    <t>Se viene cotto meno del 30% del prodotto, sostituiremo il prodotto per il cliente con un nuovo pezzo, ci porteremo il pezzo crudo e verrà sostituito per te.</t>
  </si>
  <si>
    <t>Se è stato sparato il 30-50% del prodotto, lo sostituiremo con un pezzo nuovo per il cliente con un pagamento aggiuntivo del 30-50% del prezzo di acquisto a seconda di quanti colpi il cliente ha sparato, portare il pezzo crudo a noi e sarà scambiato per te con un pagamento aggiuntivo del 30-50% del prezzo.</t>
  </si>
  <si>
    <t>Se il 50-80% del prodotto è stato cotto, lo sostituiremo per il cliente con un nuovo pezzo con un pagamento aggiuntivo del 50-80% del prezzo di acquisto, a seconda di quanti colpi il cliente ha sparato, portare il pezzo crudo a noi e sarà scambiato per te con un pagamento aggiuntivo del 50-80% del prezzo</t>
  </si>
  <si>
    <t>Con questo vogliamo mettere ordine alla soluzione dei reclami, quando ci capita ad esempio che un cliente porti una compatta da 100 colpi, di cui sono stati sparati 90 colpi e vuole un pezzo nuovo.</t>
  </si>
  <si>
    <t>I vulcani conici (F100, F250, F500, F1000, F1500) non possono essere rivendicati o restituiti come parte dei resi dopo la stagione - motivi descritti nell'e-mail del 28/01/2019.</t>
  </si>
  <si>
    <t>Non è possibile rivendicare i cartoni di esportazione danneggiati per i fuochi d'artificio assemblati. Il cartone colorato per l'esportazione non ha alcun effetto sulla funzione del prodotto e serve solo a proteggere il prodotto durante il trasporto</t>
  </si>
  <si>
    <t>Un cliente che desidera solo cartoni impeccabili deve acquistare prodotti confezionati in un cartone protettivo. Il codice prodotto termina con (T), o al momento del ritiro presso il nostro magazzino, organizzare il ritiro della merce presso la nostra sede. I reclami successivi non saranno presi in considerazione.</t>
  </si>
  <si>
    <t>Istruzioni per l'utilizzo del listino elettronico</t>
  </si>
  <si>
    <t>Il listino prezzi è interattivo, cioè che ricalcola lo sconto stesso (è necessario inserire il suo importo nell'apposito campo, oppure si calcolerà da solo in base all'entità dell'ordine), dati prezzo in CZK ed EUR, calcola anche il peso in kg, il volume di merce in m3 e il peso netto dei componenti pirotecnici.</t>
  </si>
  <si>
    <t>Se l'articolo desiderato non è disponibile, è possibile aiutare il filtro a cercare articoli simili nella colonna AC, dove tutti gli articoli simili sono contrassegnati con lo stesso numero.</t>
  </si>
  <si>
    <t>Questa colonna è la base per i calcoli in EUR.</t>
  </si>
  <si>
    <t>http://www.kb.cz/kurzovni-listek/cs/rl/index.x</t>
  </si>
  <si>
    <t>Nella colonna J troverai informazioni sulla categoria di pericolo a cui appartiene il prodotto.</t>
  </si>
  <si>
    <t>Scrivi il tuo ordine nella colonna Z - scrivi solo il numero che esprime il numero di cartoni ordinati. Fanno eccezione gli elementi contrassegnati con "SI" nella colonna A (condizioni sopra elencate).</t>
  </si>
  <si>
    <t>Puoi trovare la disponibilità attuale delle scorte nella colonna AD.</t>
  </si>
  <si>
    <t>Colonna S - qui puoi trovare informazioni sul materiale di cui è fatta la parte superiore della batteria, vedi riga 89 con una spiegazione.</t>
  </si>
  <si>
    <t>Colonna Q + R - qui puoi trovare informazioni sulla lingua delle istruzioni sul prodotto</t>
  </si>
  <si>
    <t>Dopo aver completato l'ordine, vedrai le seguenti informazioni nelle seguenti colonne:</t>
  </si>
  <si>
    <t>prezzo totale in CZK senza IVA</t>
  </si>
  <si>
    <t>prezzo totale in CZK con IVA</t>
  </si>
  <si>
    <t>prezzo totale in EUR senza IVA</t>
  </si>
  <si>
    <t>volume totale in m3</t>
  </si>
  <si>
    <t>peso totale in kg</t>
  </si>
  <si>
    <t>NEC totale - peso netto delle mescole pirotecniche diviso per classi ADR</t>
  </si>
  <si>
    <t>NEC totale - peso netto dei componenti pirotecnici per tutte le classi ADR</t>
  </si>
  <si>
    <t>Процедура за слање поруџбине:</t>
  </si>
  <si>
    <t>Пре него што почнете да радите са нашом И-ценовником, погледајте овај видео водич, који ће вам помоћи да разумете наш Иценик:</t>
  </si>
  <si>
    <t>1. купац шаље своју поруџбину попуњену у нашем електронском ценовнику (други формати неће бити прихваћени) на мејл адресу инфо@класектрадинг.цз са информацијама о начину утовара робе, тј. на палетама или растресито (види број ћелије 1424), начин транспорта и адреса испоруке.</t>
  </si>
  <si>
    <t>Нова карактеристика је онлајн доступност складишта, тј. само треба да будете онлајн и потврдите опцију „дозволи уређивање“ и „дозволи садржај“. Након сваког отварања Иценика можете видети која роба има на залихама или када ће бити на лагеру!!!</t>
  </si>
  <si>
    <t>Није могуће наручити црно означене артикле који нису на лагеру на дан поруџбине!!! Ово ће осигурати да купац наручује само артикле који су на лагеру и значајно ће убрзати завршетак поруџбине.</t>
  </si>
  <si>
    <t>2. наш запосленик ће сазнати који артикли можда нису на лагеру и обавестиће купца о томе путем е-поште</t>
  </si>
  <si>
    <t>3. купац одлучује да ли жели да сачека робу (ако је нема на лагеру) или жели некако да замени распродату робу и шаље своју коначну поруџбину путем мејла, која ће садржати само робу која се тренутно налази доступан.</t>
  </si>
  <si>
    <t>4. наш запослени поставља ову коначну поруџбину (види тачку бр. 3) у наш систем и обавештава купца о датуму када ће роба бити испоручена или спреман за подизање.</t>
  </si>
  <si>
    <t>Само на основу ове потврде купац може преузети робу.</t>
  </si>
  <si>
    <t>Поруџбина ће бити унета у наш систем тек након што прими 100% уплате на наш рачун (осим ако код нас нема отворен кредит који му даје право на куповину са одложеним плаћањем).</t>
  </si>
  <si>
    <t>Купци који не наставе са поруџбином у складу са наведеним и дођу по робу без потврде нашег радника, роба неће бити утоварена.</t>
  </si>
  <si>
    <t>Слањем поруџбине купац такође потврђује да се упознао са свим условима написаним на овој страници и да је сагласан са њима.</t>
  </si>
  <si>
    <t>Ваша поруџбина се шаље у складиште одмах по пријему и није могуће ништа додати наруџбини у било ком облику. Ако купац откаже поруџбину (или њен део), биће му наплаћена накнада за руковање од 50% вредности отказане робе.</t>
  </si>
  <si>
    <t>Ако желите да препоручите неку робу, морате креирати нову поруџбину у нашем електронском ценовнику и послати је поново путем е-поште. У овом редоследу упишите само робу коју желите да наручите.</t>
  </si>
  <si>
    <t>Не можемо да гарантујемо да ће роба која је наручена назад бити послата заједно са првобитно нарученом робом!</t>
  </si>
  <si>
    <t>Из ценовника "Роба која је само на схоп.клск" могуће је наручити за мању количину од извозног картона.</t>
  </si>
  <si>
    <t>Ако желите да наручите робу у комаду, морате послати посебну поруџбину за ову робу, која ће садржати само артикле које желите да наручите у комадима (увек се мора наручити најмањи продајни пакет).</t>
  </si>
  <si>
    <t>За наручену робу у комаду биће наплаћена накнада за руковање од 20% ваше цене, тј. ваш попуст к 1,2 = цена робе коју наручујете у комадима биће одузета од основне цене.</t>
  </si>
  <si>
    <t>Примери попуњавања поруџбине у ценовнику „Роба која је само на схоп.клск“:</t>
  </si>
  <si>
    <t>желите да наручите 5 паковања артикла ДП1Р који је упакован 25/20/6, па наручите 0,2 картона</t>
  </si>
  <si>
    <t>Верујемо да ће овај корак проширити доступност наше робе чак и за мање купце који не могу да наруче неке артикле у целим извозним картонима.</t>
  </si>
  <si>
    <t>Резервација робе</t>
  </si>
  <si>
    <t>На основу бројних захтева купаца, одлучили смо да покренемо систем резервација у нашем магацину. За бољу идеју, представићу систем који увелико користе наши страни купци.</t>
  </si>
  <si>
    <t>Трговци који имају своје продавнице наручују робу код нас, на пример, одмах у септембру по објављивању ценовнику, рекавши да желе да испоруче робу само, на пример, 15. децембра.</t>
  </si>
  <si>
    <t>Овим им је загарантовано да ће добити све што желе и не морају нигде да складиште робу, нити да брину да се артикал на који рачунају, на пример, у флајеру, неће распродати. Договореног дана, након чега ће купац добити робу коју је наручио…</t>
  </si>
  <si>
    <t>Испод су правила по којима је могуће резервисати робу у нашем магацину:</t>
  </si>
  <si>
    <t>Процедура за резервисање робе која је на залихама:</t>
  </si>
  <si>
    <t>○        купац шаље поруџбину само за робу коју жели да резервише (могу се резервисати само роба која је тренутно на лагеру)</t>
  </si>
  <si>
    <t>○        за наручену робу, биће издата авансна фактура за 100% вредности резервисане робе и тек након уплате овог аванса на наш рачун роба ће бити резервисана (ако купац нема отворен кредит код нас ).</t>
  </si>
  <si>
    <t>○        роба ће се физички припремати на палетама димензија 120к80цм и висине 180цм и тежине до 750кг на начин да се резервисана роба налази на што мањем броју палета, али у складу са горе наведеним димензијама. Ако се наручи мала количина, на пример 2 картона, они ће бити стављени на евро палету и биће наплаћена доле наведена накнада.</t>
  </si>
  <si>
    <t>○        роба ће бити ускладиштена у нашем складишту од датума припреме до тражене пошиљке, уз накнаду од 9 ЦЗК / 1 евро палета / 1 дан</t>
  </si>
  <si>
    <t>○        на дан отпреме, број дана складиштења палета биће израчунат и износ за складиштење ће бити додат коначној фактури за робу</t>
  </si>
  <si>
    <t>Правила:</t>
  </si>
  <si>
    <t>○        резервација се не може променити! Уколико купац не преузме сву наручену робу, накнада за отказивање износи 50% од вредности робе коју је наручио, а није наплатио.</t>
  </si>
  <si>
    <t>○        свака резервација мора бити отпремљена у целини (није могуће узети само део резервисане робе), тј. све резервисане евро палете ће бити уклоњене одједном</t>
  </si>
  <si>
    <t>○        резервисана роба ће се слати само на палетама</t>
  </si>
  <si>
    <t>○        такође је могуће резервисати робу која је још на путу (није на лагеру)</t>
  </si>
  <si>
    <t>○        у оквиру једне резервације, могуће је резервисати само робу са истим даном испоруке у наше складиште</t>
  </si>
  <si>
    <t>○        након прихватања резервације, биће издата авансна фактура за 100% вредности робе са роком доспећа од 1 дана (ако купац нема отворен кредит код нас, који му даје право на куповину са одложеним роком доспећа).</t>
  </si>
  <si>
    <t>○        резервисана роба ће бити заиста резервисана тек након што купац пошаље потврду плаћања.</t>
  </si>
  <si>
    <t>Паллетс</t>
  </si>
  <si>
    <t>○        Висина једне палете неће бити већа од 180 цм. Уколико купац жели да максимално искористи превозно средство, робу мора наручити бесплатно.</t>
  </si>
  <si>
    <t>○        Ако купац има упаковану робу на палетама, дужан је да преузме робу на палети из магацина, није могуће захтевати бесплатан утовар када је роба на палетама.</t>
  </si>
  <si>
    <t>○        Ако купац лично врати палету, биће му издато кредитно писмо за те палете по истој цени по којој су му биле фактурисане за палете.</t>
  </si>
  <si>
    <t>○        Клијент такође може послати палете назад од стране шпедитерске службе (о свом трошку) и кредитно писмо ће му бити издато након што палете буду испоручене у наше складиште.</t>
  </si>
  <si>
    <t>○        Није могуће послати палете назад возачу/шпедитеру који је увезао робу!</t>
  </si>
  <si>
    <t>Трошак отпремања</t>
  </si>
  <si>
    <t>Приликом слања робе АДР камионом (носивост 24.000Кг), купац може бесплатно истоварити робу на једном месту, максимално 4 сата. За дужи истовар наплаћује се 800 ЦЗК/сат чекања, при преласку у друго складиште наплаћује се 100 ЦЗК/км.</t>
  </si>
  <si>
    <t>Жалба</t>
  </si>
  <si>
    <t>Шаљемо вам процедуру за решавање рекламација на непаљене компакте. Нажалост, упркос контроли квалитета, ове жалбе се не могу спречити у контексту великог обима.</t>
  </si>
  <si>
    <t>Ако је мање од 30% производа испаљено, ми ћемо заменити производ за купца новим комадом, донети непечени комад код нас и биће замењен за вас.</t>
  </si>
  <si>
    <t>Ако је испаљено 30-50% производа, ми ћемо га заменити за нови комад за купца уз доплату од 30-50% купопродајне цене у зависности од тога колико је хитаца купац испалио, донети неиспаљени комад нама и биће замењен за вас уз доплату од 30-50% ваше цене.</t>
  </si>
  <si>
    <t>Ако је испаљено 50-80% производа, замењујемо га за купца новим комадом уз доплату од 50-80% купопродајне цене, зависно од тога колико је метака купац испалио, донети неиспаљени комад нама и биће замењен за вас уз доплату од 50-80% цене</t>
  </si>
  <si>
    <t>Овим желимо да уведемо ред у решавање рекламација, када нам се деси да, на пример, купац донесе компакт од 100 метака, од чега је испаљено 90 метака и жели нови комад.</t>
  </si>
  <si>
    <t>Конусни вулкани (Ф100, Ф250, Ф500, Ф1000, Ф1500) се не могу тражити или вратити као део поврата након сезоне - разлози описани у е-поруци 28.1.2019.</t>
  </si>
  <si>
    <t>Није могуће потраживати оштећене извозне кутије за састављени ватромет. Картон за извоз у боји нема утицаја на функцију производа и служи само за заштиту производа током транспорта</t>
  </si>
  <si>
    <t>Купац који жели само беспрекорне картоне мора да купи производе који су упаковани у заштитну кутију. Шифра производа се завршава са (Т), или приликом преузимања из нашег складишта договорите преузимање робе код нас. Касније жалбе неће бити узете у обзир.</t>
  </si>
  <si>
    <t>We believe that this step will expand the availability of our goods even for smaller customers who cannot order some items in whole export cartons.</t>
  </si>
  <si>
    <t>Procedura per l'invio di un ordine:</t>
  </si>
  <si>
    <t>1. il cliente invia il suo ordine compilato nel nostro listino elettronico (non saranno accettati altri formati) all'indirizzo e-mail info@klasektrading.cz con le informazioni sul metodo di carico della merce, ad es. su pallet o sfuso (vedi cell numero 1424), modalità di trasporto e indirizzo di consegna.</t>
  </si>
  <si>
    <t>La novità è la disponibilità online del magazzino, ovverosia devi solo essere online e confermare l'opzione "consenti modifica" e "consenti contenuto". Dopo ogni apertura di Icenik, puoi vedere quali merci sono in stock o quando sarà disponibile!!!</t>
  </si>
  <si>
    <t>Non è possibile ordinare articoli contrassegnati in nero che non sono in stock il giorno dell'ordine!!! Ciò garantirà che il cliente ordini solo gli articoli in stock e accelererà notevolmente il completamento dell'ordine.</t>
  </si>
  <si>
    <t>2. un nostro dipendente scoprirà quali articoli potrebbero non essere disponibili e informerà il cliente tramite e-mail</t>
  </si>
  <si>
    <t>3. il cliente decide se desidera attendere la merce (se non è in stock) o se vuole in qualche modo sostituire la merce esaurita e invia il suo ordine finale via e-mail, che conterrà solo la merce attualmente a disposizione.</t>
  </si>
  <si>
    <t>4. un nostro dipendente carica questo ordine finale (vedi punto n. 3) nel nostro sistema e informa il cliente della data di spedizione della merce o pronto per essere ritirato.</t>
  </si>
  <si>
    <t>Solo sulla base di tale conferma il cliente potrà ritirare la merce.</t>
  </si>
  <si>
    <t>I clienti che non procedono all'ordine secondo quanto sopra e vengono a ritirare la merce senza conferma da parte di un nostro addetto, la merce non verrà caricata.</t>
  </si>
  <si>
    <t>○        w przypadku zarezerwowanego towaru faktura zaliczkowa zostanie wystawiona na 100% wartości zarezerwowanego towaru, a towar zostanie zablokowany dopiero po wpłacie na nasze konto (Jeśli klient nie ma u nas otwartego kredytu).</t>
  </si>
  <si>
    <t>Упутство за коришћење електронског ценовника</t>
  </si>
  <si>
    <t>Нов је систем обрачуна попуста. Ако сте нови купац, ценовник ће аутоматски израчунати ваш попуст на основу износа ваше претплате (додељени попусти важе за постојеће купце, које купци уписују у ћелију Д19).</t>
  </si>
  <si>
    <t>Ценовник је интерактиван, тј. да сам прерачунава попуст (потребно је унети његов износ у одговарајуће поље, или ће сам израчунати према величини поруџбине), податке о цени у ЦЗК и ЕУР, такође израчунава тежину у кг, запремину робе у м3 и нето масе пиротехничких компоненти.</t>
  </si>
  <si>
    <t>Најпродаванији производи су означени у колони А на следећи начин:</t>
  </si>
  <si>
    <t>Промотивне цене су означене на следећи начин:</t>
  </si>
  <si>
    <t>Ако артикл који желите није на лагеру, могуће је помоћи филтеру да тражи сличне артикле у колони АЦ, где су сви слични артикли означени истим бројем.</t>
  </si>
  <si>
    <t>Ова колона је основа за обрачун у ЕУР.</t>
  </si>
  <si>
    <t>Курс валуте се аутоматски прерачунава у ћелији Ф20 и можете га пронаћи на страници испод (максимални курс за који прихватамо ЕУР је 26 ЦЗК/1 ЕУР). КУПОВИНА ДЕВИЗНОГ курса.</t>
  </si>
  <si>
    <t>хттп://ввв.кб.цз/курзовни-листек/цс/рл/индек.к</t>
  </si>
  <si>
    <t>У колони Ј ћете наћи информације о категорији опасности којој производ припада.</t>
  </si>
  <si>
    <t>Упишите своју поруџбину у колону З - упишите само број који изражава број наручених картона. Изузеци су ставке означене са „ДА“ у колони А (услови наведени горе).</t>
  </si>
  <si>
    <t>Можете пронаћи тренутну доступност залиха у колони АД.</t>
  </si>
  <si>
    <t>Колона С - овде можете пронаћи информације о томе од ког материјала је направљен горњи део батерије, погледајте ред 89 са објашњењем.</t>
  </si>
  <si>
    <t>К + Р колона - овде можете пронаћи информације о језику упутстава на производу</t>
  </si>
  <si>
    <t>Након завршетка поруџбине, видећете следеће информације у следећим колонама:</t>
  </si>
  <si>
    <t>Колона АЕ → цена по артиклу у ЦЗК без ПДВ-а</t>
  </si>
  <si>
    <t>Колона АФ ​​→ цена по артиклу у ЦЗК укључујући ПДВ</t>
  </si>
  <si>
    <t>Колона АГ → цена по артиклу у ЕУР без ПДВ-а</t>
  </si>
  <si>
    <t>Колона АХ → тежина по артиклу у кг</t>
  </si>
  <si>
    <t>Колона АИ → запремина по артиклу у м3</t>
  </si>
  <si>
    <t>Колона АЈ → НЕЦ - нето тежина предмета пиротехничког састава АДР класе 1.1Г</t>
  </si>
  <si>
    <t>Колона АК → НЕЦ - нето тежина предмета пиротехничког састава АДР класе 1.3Г</t>
  </si>
  <si>
    <t>Колона АЛ → НЕЦ - нето тежина предмета пиротехничког састава АДР класе 1.4Г</t>
  </si>
  <si>
    <t>Колона АМ → НЕЦ - укупна нето тежина пиротехничких компоненти за све АДР класе</t>
  </si>
  <si>
    <t>укупна цена у ЦЗК без ПДВ-а</t>
  </si>
  <si>
    <t>укупна цена у ЦЗК са ПДВ-ом</t>
  </si>
  <si>
    <t>укупна цена у ЕУР без ПДВ-а</t>
  </si>
  <si>
    <t>укупна запремина у м3</t>
  </si>
  <si>
    <t>укупна тежина у кг</t>
  </si>
  <si>
    <t>укупна НЕЦ - нето тежина пиротехничких једињења подељена по АДР класама</t>
  </si>
  <si>
    <t>укупна НЕЦ - нето тежина пиротехничких компоненти за све АДР класе</t>
  </si>
  <si>
    <t>Pasūtījuma nosūtīšanas procedūra:</t>
  </si>
  <si>
    <t>Pirms sākat strādāt ar mūsu I-cenu sarakstu, noskatieties šo video ceļvedi, kas palīdzēs izprast mūsu Iceník:</t>
  </si>
  <si>
    <t>1. klients nosūta savu pasūtījumu, kas aizpildīts mūsu elektroniskajā cenrādī (citi formāti netiks pieņemti) uz e-pasta adresi info@klasektrading.cz ar informāciju par preču iekraušanas veidu, t.i. uz paletēm vai brīvi (skatīt šūnas numuru 1424), transportēšanas veids un piegādes adrese.</t>
  </si>
  <si>
    <t>Jaunā iespēja ir noliktavas tiešsaistes pieejamība, t.i. jums vienkārši jābūt tiešsaistē un jāapstiprina opcijas "atļaut rediģēšanu" un "atļaut saturu". Pēc katras Iceník atvēršanas jūs varat redzēt, kādas preces ir noliktavā vai kad būs noliktavā!!!</t>
  </si>
  <si>
    <t>Nav iespējams pasūtīt melni marķētas preces, kuras pasūtīšanas dienā nav noliktavā!!! Tas nodrošinās, ka klients pasūta tikai preces, kas ir noliktavā, un ievērojami paātrinās pasūtījuma izpildi.</t>
  </si>
  <si>
    <t>2. Mūsu darbinieks noskaidros, kuras preces, iespējams, nav noliktavā un informēs klientu par to pa e-pastu</t>
  </si>
  <si>
    <t>3. klients izlemj, vai viņš vēlas sagaidīt preces (ja tās nav noliktavā), vai arī vēlas kaut kādā veidā aizstāt izpārdotās preces un nosūta savu gala pasūtījumu uz e-pastu, kurā būs tikai tās preces, kas šobrīd ir pieejams.</t>
  </si>
  <si>
    <t>4. mūsu darbinieks augšupielādē šo gala pasūtījumu (skat. punktu nr. 3) mūsu sistēmā un informē klientu par datumu, kad preces tiks nosūtītas vai gatavs paņemšanai.</t>
  </si>
  <si>
    <t>Tikai pamatojoties uz šo apstiprinājumu, klients var paņemt preces.</t>
  </si>
  <si>
    <t>Pasūtījums tiks ievadīts mūsu sistēmā tikai pēc 100% maksājuma saņemšanas mūsu kontā (ja vien viņam nav atvērts kredīts pie mums, kas dod tiesības veikt pirkumu ar atlikto maksājumu).</t>
  </si>
  <si>
    <t>Klientiem, kuri neturpina pasūtījuma izpildi saskaņā ar augstāk minēto un ierodas pēc preces bez apstiprinājuma no mūsu darbinieka, preces netiks iekrautas.</t>
  </si>
  <si>
    <t>Nosūtot pasūtījumu, klients arī apliecina, ka ir iepazinies ar visiem šajā lapā rakstītajiem noteikumiem un nosacījumiem un tiem piekrīt.</t>
  </si>
  <si>
    <t>Jūsu pasūtījums tiek nosūtīts uz noliktavu uzreiz pēc tā saņemšanas un pasūtījumam nav iespējams neko pievienot nekādā veidā. Ja klients atceļ pasūtījumu (vai tā daļu), no viņa tiks iekasēta apstrādes maksa 50% apmērā no atceltās preces vērtības.</t>
  </si>
  <si>
    <t>Ja vēlaties pārsūtīt dažas preces, jums ir jāizveido jauns pasūtījums mūsu elektroniskajā cenrādī un jānosūta vēlreiz pa e-pastu. Šajā secībā ierakstiet tikai tās preces, kuras vēlaties pasūtīt.</t>
  </si>
  <si>
    <t>Mēs nevaram garantēt, ka pēcpasūtītās preces tiks nosūtītas kopā ar sākotnēji pasūtītajām precēm!</t>
  </si>
  <si>
    <t>Preču rezervēšana</t>
  </si>
  <si>
    <t>Pamatojoties uz daudzajiem klientu pieprasījumiem, mēs nolēmām mūsu noliktavā iedarbināt rezervēšanas sistēmu. Labākai idejai es iepazīstināšu ar sistēmu, kuru plaši izmanto mūsu ārvalstu klienti.</t>
  </si>
  <si>
    <t>Tirgotāji, kuriem ir savi veikali, preces pie mums pasūta, piemēram, uzreiz septembrī pēc cenrāža publicēšanas, sakot, ka vēlas preces piegādāt tikai, piemēram, 15. decembrī.</t>
  </si>
  <si>
    <t>Ar to viņi garantēti saņems visu, ko vēlas, un viņiem nav nekur jāglabā preces vai jāuztraucas, ka prece, ar kuru viņi rēķinās, piemēram, skrejlapā, netiks izpārdota. Norunātajā dienā, pēc kuras klients saņems pasūtītās preces…</t>
  </si>
  <si>
    <t>Zemāk ir noteikumi, saskaņā ar kuriem ir iespējams rezervēt preces mūsu noliktavā:</t>
  </si>
  <si>
    <t>○        klients nosūta pasūtījumu tikai tām precēm, kuras vēlas rezervēt (rezervēt var tikai tās preces, kuras šobrīd ir noliktavā)</t>
  </si>
  <si>
    <t>○        par pasūtītajām precēm tiks izrakstīts avansa rēķins 100% apmērā no rezervēto preču vērtības un tikai pēc šī avansa iemaksas mūsu kontā preces tiks rezervētas (ja klientam pie mums nav atvērts kredīts ).</t>
  </si>
  <si>
    <t>○        preces tiks fiziski sagatavotas uz paletēm ar izmēriem 120x80cm un 180cm augstumā un svarā līdz 750kg tā, lai rezervētās preces atrastos uz pēc iespējas mazāka skaita palešu, bet ievērojot augstāk minētos izmērus. Ja tiek pasūtīts neliels daudzums, piemēram, 2 kartona kastes, tās tiks novietotas uz eiro paletes un tiks iekasēta tālāk norādītā maksa.</t>
  </si>
  <si>
    <t>○        preces tiks uzglabātas mūsu noliktavā no sagatavošanas datuma līdz pieprasītajam sūtījumam, par maksu 9 CZK / 1 eiro palete / 1 diena</t>
  </si>
  <si>
    <t>○        nosūtīšanas dienā tiks aprēķināts, cik dienu palete tika uzglabāta, un uzglabāšanas summa tiks pievienota gala rēķinam par precēm</t>
  </si>
  <si>
    <t>Noteikumi:</t>
  </si>
  <si>
    <t>○        rezervāciju nevar mainīt! Ja klients neizņem visas pasūtītās preces, atcelšanas maksa ir 50% no to preču vērtības, kuras klients pasūtīja, bet nesaņēma.</t>
  </si>
  <si>
    <t>○        katra rezervācija ir jānosūta pilnībā (nav iespējams paņemt tikai daļu no rezervētajām precēm), t.i. visas rezervētās eiro paletes tiks izņemtas uzreiz</t>
  </si>
  <si>
    <t>○        rezervētās preces tiks nosūtītas tikai uz paletēm</t>
  </si>
  <si>
    <t>○        vienas rezervācijas ietvaros ir iespējams rezervēt tikai preces ar to pašu piegādes dienu mūsu noliktavā</t>
  </si>
  <si>
    <t>○ Ja klients personīgi piegādā paleti atpakaļ, viņam par šīm paletēm tiks izsniegta kredītrēķina par tādu pašu cenu, par kādu viņam tika izrakstīts rēķins par paletēm (CZK 350).</t>
  </si>
  <si>
    <t>○        pēc rezervācijas pieņemšanas tiks izrakstīts avansa rēķins par 100% no preces vērtības ar atmaksas termiņu 1 diena (ja klientam pie mums nav atvērts kredīts, kas dod tiesības iegādāties ar nokavētu termiņu).</t>
  </si>
  <si>
    <t>○        rezervētās preces tiks reāli rezervētas tikai pēc tam, kad klients būs nosūtījis maksājuma apstiprinājumu.</t>
  </si>
  <si>
    <t>Paletes</t>
  </si>
  <si>
    <t>○        Vienas paletes augstums nedrīkst būt lielāks par 180 cm. Ja klients vēlas maksimāli izmantot transporta līdzekli, viņam preces jāpasūta bez maksas.</t>
  </si>
  <si>
    <t>○        Ja klientam preces ir iepakotas uz paletēm, viņam ir pienākums izņemt preces uz paletes no noliktavas, nav iespējams pieprasīt bezmaksas iekraušanu, ja preces atrodas uz paletēm.</t>
  </si>
  <si>
    <t>○        Ja klients personīgi piegādās paleti atpakaļ, viņam par šīm paletēm tiks izsniegta kredītrēķina par tādu pašu cenu, kāda tika izrakstīta par paletēm.</t>
  </si>
  <si>
    <t>○        Klients var arī nosūtīt paletes atpakaļ ar ekspedīcijas servisa palīdzību (par saviem līdzekļiem), un pēc palešu nogādāšanas mūsu noliktavā viņam tiks izsniegta kredītvēsture.</t>
  </si>
  <si>
    <t>○        Paletes nav iespējams nosūtīt atpakaļ šoferim/ekspedīcijas dienestam, kurš ievedis preces!</t>
  </si>
  <si>
    <t>Pārvadājuma maksa</t>
  </si>
  <si>
    <t>Sūtot preces ar ADR kravas auto (kravnesība 24 000Kg), klients var izkraut preces vienuviet bez maksas, maksimāli 4 stundas. Par ilgāku izkraušanu tiks iekasēta likme 800 CZK/stunda gaidīšanas, pārceļoties uz citu noliktavu 100 CZK/km.</t>
  </si>
  <si>
    <t>Sūdzība</t>
  </si>
  <si>
    <t>Mēs nosūtām jums procedūru sūdzību izskatīšanai par neapdedzinātiem kompaktiem. Diemžēl, neskatoties uz kvalitātes kontroli, šīs sūdzības nevar novērst liela apjoma kontekstā.</t>
  </si>
  <si>
    <t>Ja ir izšauts mazāk par 30% preci klientam apmainīsim pret jaunu gabalu, nesadedzināto atvedīsim pie mums un tas tiks apmainīts pret jums.</t>
  </si>
  <si>
    <t>Ja ir izšauts 30-50% preces, tad klientam to apmainīsim pret jaunu gabalu ar papildus samaksu 30-50% no pirkuma cenas atkarībā no tā, cik šāvienu klients ir izšāvis, atnesiet neizšauto gabalu mums un tas tiks apmainīts pret jums ar papildus samaksu 30-50% apmērā no jūsu cenas.</t>
  </si>
  <si>
    <t>Ja 50-80% preces ir izšautas, apmainīsim klientam pret jaunu gabalu ar papildus samaksu 50-80% no pirkuma cenas atkarībā no tā, cik patronu klients ir izšāvis, atnesiet neizdedzināto gabalu pie mums un tas tiks apmainīts pret jums ar papildus samaksu 50-80% no cenas</t>
  </si>
  <si>
    <t>Ar to vēlamies ieviest kārtību sūdzību risināšanā, kad mums gadās, ka, piemēram, klients atnes 100 patronu kompaktu, no kura ir izšautas 90 patronas un viņš vēlas jaunu gabalu.</t>
  </si>
  <si>
    <t>Konusveida vulkānus (F100, F250, F500, F1000, F1500) nevar pieprasīt vai atdot kā daļu no atgriešanas pēc sezonas — iemesli aprakstīti e-pastā 28.01.2019.</t>
  </si>
  <si>
    <t>Samontētajām uguņošanas ierīcēm nav iespējams pieprasīt bojātas eksporta kartona kastes. Krāsainā eksporta kartona kārba neietekmē produkta darbību un kalpo tikai produkta aizsardzībai transportēšanas laikā</t>
  </si>
  <si>
    <t>Klientam, kurš vēlas tikai nevainojamas kartona kārbas, jāiegādājas produkti, kas ir iepakoti aizsargkārbā. Produkta kods beidzas ar (T) vai saņemot no mūsu noliktavas, vienojieties par preču paņemšanu pie mums. Vēlāk iesniegtās sūdzības netiks ņemtas vērā.</t>
  </si>
  <si>
    <t>Nevar pieprasīt ātrāku akumulatora un kompozītmateriālu uguņošanas laiku. Daudzu procesu laikā, kas nav mūsu kontrolē (izkraušana pie klienta, uzglabāšana klienta noliktavā, iegādāto preču apstrāde u.c.) var tikt bojāti produkti, kad akumulatora apakšējā daļā tiek iebērti atkritumi un pēc tam tas izraisa efekta ilguma paātrinājumu, kad atsevišķi šāvieni tiek raidīti ātrāk.</t>
  </si>
  <si>
    <t>Akumulatora pilnīgas eksplozijas vai saliktas uguņošanas gadījumā pretenzija tiks pieņemta tikai pēc detalizētas fotodokumentācijas iesniegšanas uzreiz pēc notikušā, kurā būs redzams, kas noticis ar preci.</t>
  </si>
  <si>
    <t>Video, kurā redzama tikai produkta kļūme filmēšanas laikā, kur nav iespējams identificēt, par kuru preci ir runa, netiks pieņemts!</t>
  </si>
  <si>
    <t>Par akumulatoriem nevar pretendēt uz saplēstu sarkanu augšējo plēvi. Ja nevēlaties šāda veida augšpusi (ļoti pakļauta plīsumiem), tad nepasūtiet šāda veida izstrādājumus un tā vietā izvēlieties papīra augšējo pusi (ar dizainu). Cenrādī šie produkti ir atzīmēti kā F = folija / D = dizains</t>
  </si>
  <si>
    <t>Norādījumi elektroniskā cenrāža lietošanai</t>
  </si>
  <si>
    <t>Cenrādis ir interaktīvs, t.i. ka pats pārrēķina atlaidi (jāievada tās summa attiecīgajā laukā, vai arī pats aprēķinās pēc pasūtījuma lieluma), cenas datus CZK un EUR, aprēķina arī svaru kg, apjomu preču daudzums m3 un pirotehnisko komponentu neto svars.</t>
  </si>
  <si>
    <t>Ja vēlamā prece nav noliktavā, ir iespējams palīdzēt filtram meklēt līdzīgas preces ailē AC, kur visas līdzīgās preces ir atzīmētas ar vienu un to pašu numuru.</t>
  </si>
  <si>
    <t>Šī kolonna ir pamats aprēķiniem EUR.</t>
  </si>
  <si>
    <t>J ailē atradīsit informāciju par bīstamības kategoriju, kurai produkts pieder.</t>
  </si>
  <si>
    <t>Ierakstiet savu pasūtījumu ailē Z - ierakstiet tikai numuru, kas izsaka pasūtīto kartona kastīšu skaitu. Izņēmumi ir vienumi, kas A slejā atzīmēti ar "JĀ" (iepriekš minētie nosacījumi).</t>
  </si>
  <si>
    <t>Pašreizējo krājumu pieejamību varat atrast slejā AD.</t>
  </si>
  <si>
    <t>S kolonna - šeit var atrast informāciju par to, no kāda materiāla ir izgatavota akumulatora augšdaļa, skatīt 89. rindu ar skaidrojumu.</t>
  </si>
  <si>
    <t>Q + R kolonna - šeit varat atrast informāciju par produkta instrukciju valodu</t>
  </si>
  <si>
    <t>Pēc pasūtījuma aizpildīšanas šādās kolonnās redzēsiet šādu informāciju:</t>
  </si>
  <si>
    <t>kopējā cena CZK bez PVN</t>
  </si>
  <si>
    <t>kopējā cena CZK ar PVN</t>
  </si>
  <si>
    <t>kopējā cena EUR bez PVN</t>
  </si>
  <si>
    <t>kopējais tilpums m3</t>
  </si>
  <si>
    <t>kopējais svars kg</t>
  </si>
  <si>
    <t>kopējais NEC - pirotehnisko savienojumu neto svars dalīts ar ADR klasēm</t>
  </si>
  <si>
    <t>kopējais NEC - pirotehnisko komponentu neto svars visām ADR klasēm</t>
  </si>
  <si>
    <t>○        broneeritud kaupade kohta väljastatakse ettemaksuarve 100% ulatuses broneeritud kauba väärtusest ja kaup broneeritakse alles pärast selle ettemakse tasumist meie kontole (Kui kliendil ei ole meie juures avatud krediiti).</t>
  </si>
  <si>
    <t>https://youtu.be/7VjovCRBPv4</t>
  </si>
  <si>
    <t>○        Pokud je zboží posláno zákazníkovi na paletě, tak tyto palety jsou součástí faktury za zboží. (350 Kč)</t>
  </si>
  <si>
    <t>○        Wenn die Ware auf einer Palette an den Kunden gesendet wird, sind diese Paletten Teil der Rechnung für die Ware. (350 CZK)</t>
  </si>
  <si>
    <t>○        Ako se roba kupcu šalje na paletama, tada su one sastavni dio računa za robu (350 CZK)</t>
  </si>
  <si>
    <t>○        Se le merci vengono inviate al cliente su un pallet, questi pallet fanno parte della fattura della merce. (350 CZK)</t>
  </si>
  <si>
    <t>○        Jei prekės klientui siunčiamos ant paletės tai šios paletės yra taippat skaičiuojamos, kaip prekių sąskaitos dalis.(350 CZK)</t>
  </si>
  <si>
    <t>○        Jeżeli towar wysyłany jest do klienta na palecie, wówczas palety te są częścią faktury za towar. (350 CZK)</t>
  </si>
  <si>
    <t>○        Ако се роба шаље купцу на палети, онда су ове палете део фактуре за робу. (350 CZK)</t>
  </si>
  <si>
    <t>○        Ja preces klientam tiek nosūtītas uz paletes, tad šīs paletes ir daļa no preču rēķina. (350 CZK)</t>
  </si>
  <si>
    <t>○        Kui kaup saadetakse kliendile euroalusel, siis on need kaubaalused osa kauba arvest. (350 CZK)</t>
  </si>
  <si>
    <t>○        Nếu hàng hóa được gửi cho khách hàng trên pallet euro, thì những pallet này là một phần của hóa đơn cho hàng hóa. (350 CZK)</t>
  </si>
  <si>
    <t>○        amennyiben az áru raklapokon van szállitva, ezek a raklapok szerepelnek a kiállitott számlán is. (350 CZK)</t>
  </si>
  <si>
    <t>V tomto ceníku se zobrazí pouze položky, které jsou skladem pouze na prodejně a současně již nejsou na hlavním skladu.</t>
  </si>
  <si>
    <t>In dieser Preisliste werden nur Artikel angezeigt, die nur in der Filiale und nicht mehr im Hauptlager vorrätig sind.</t>
  </si>
  <si>
    <t>Šajā cenrādī tiks attēlotas tikai preces, kuras ir tikai veikala noliktavā un vairs nav galvenajā noliktavā.</t>
  </si>
  <si>
    <t>Ebben az árlistában csak azok a cikkek jelennek meg, amelyek csak az üzletben vannak raktáron és már nincsenek a főraktárban.</t>
  </si>
  <si>
    <t>Trong bảng giá này chỉ hiển thị những mặt hàng còn hàng duy nhất tại cửa hàng và không còn ở kho chính.</t>
  </si>
  <si>
    <t>Selles hinnakirjas kuvatakse ainult need kaubad, mis on laos ainult poes ja mida enam põhilaos ei ole.</t>
  </si>
  <si>
    <t>У овом ценовнику биће приказани само артикли који су на лагеру само у продавници и који се више не налазе у главном магацину.</t>
  </si>
  <si>
    <t>W tym cenniku będą wyświetlane tylko pozycje, które są na stanie tylko w sklepie i nie znajdują się już w magazynie głównym.</t>
  </si>
  <si>
    <t>Šiame kainoraštyje bus rodomos tik prekės, kurios yra sandėlyje tik parduotuvėje ir nebėra pagrindiniame sandėlyje.</t>
  </si>
  <si>
    <t>In questo listino verranno visualizzati solo gli articoli che sono in stock solo nel negozio e non sono più nel magazzino principale.</t>
  </si>
  <si>
    <t>U ovom cjeniku bit će prikazani samo artikli koji su na zalihi samo u trgovini, a više nisu na glavnom skladištu.</t>
  </si>
  <si>
    <t>In this price list, only items that are in stock only at the store and are no longer in the main warehouse will be displayed.</t>
  </si>
  <si>
    <t>šarena fontana sa svjetlucavim zvijezdama</t>
  </si>
  <si>
    <t>fontana colorata con stelle scintillanti</t>
  </si>
  <si>
    <t>kolorowa fontanna z migoczącymi gwiazdami</t>
  </si>
  <si>
    <t>đài phun nước đầy màu sắc với những ngôi sao lấp lánh</t>
  </si>
  <si>
    <t>värviline purskkaev sädelevate tähtedega</t>
  </si>
  <si>
    <t>színes szökőkút csillogó csillagokkal</t>
  </si>
  <si>
    <t>krāsaina strūklaka ar mirdzošām zvaigznēm</t>
  </si>
  <si>
    <t>spalvingas fontanas su mirksinčiomis žvaigždėmis</t>
  </si>
  <si>
    <t>Bunter Brunnen mit funkelnden Sternen</t>
  </si>
  <si>
    <r>
      <t>Pokud zákazník</t>
    </r>
    <r>
      <rPr>
        <b/>
        <sz val="11"/>
        <color theme="1"/>
        <rFont val="Calibri"/>
        <family val="2"/>
        <charset val="238"/>
        <scheme val="minor"/>
      </rPr>
      <t>, chce dopravu zařídit od nás, nemůžeme čekat na potvrzení ceny od zákazníka a automaticky volíme nejlevnější možnost a zboží posíláme.</t>
    </r>
  </si>
  <si>
    <t>For pallet transport, the price for transport in the Czech Republic is about 2000 CZK/pallet, and the cheapest option available on the market will always be chosen.</t>
  </si>
  <si>
    <t>If the customer wants to arrange the transport from us, we cannot wait for the confirmation of the price from the customer and automatically choose the cheapest option and send the goods.</t>
  </si>
  <si>
    <t>Für den Palettentransport beträgt der Preis für den Transport in der Tschechischen Republik etwa 2000 CZK/Palette, und es wird immer die billigste auf dem Markt verfügbare Option gewählt.</t>
  </si>
  <si>
    <t>Wenn der Kunde den Transport von uns arrangieren möchte, können wir nicht auf die Preisbestätigung des Kunden warten und wählen automatisch die günstigste Option und versenden die Ware.</t>
  </si>
  <si>
    <t>Za paletni prijevoz cijena prijevoza u Češkoj je oko 2000 CZK/paleta, a uvijek će se odabrati najjeftinija opcija dostupna na tržištu.</t>
  </si>
  <si>
    <t>Ukoliko kupac želi organizirati prijevoz od nas, mi ne možemo čekati potvrdu cijene od kupca i automatski biramo najjeftiniju opciju i šaljemo robu.</t>
  </si>
  <si>
    <t>Per il trasporto di pallet, il prezzo per il trasporto nella Repubblica Ceca è di circa 2000 CZK/pallet e verrà sempre scelta l'opzione più economica disponibile sul mercato.</t>
  </si>
  <si>
    <t>Se il cliente desidera organizzare il trasporto da noi, non possiamo attendere la conferma del prezzo da parte del cliente e scegliere automaticamente l'opzione più economica e inviare la merce.</t>
  </si>
  <si>
    <t>Padėklų gabenimui kaina pervežimui Čekijoje yra apie 2000 CZK/padėklai, visada bus pasirenkamas pigiausias rinkoje esantis variantas.</t>
  </si>
  <si>
    <t>Jeigu klientas nori pasirūpinti transportu pas mus, negalime laukti kainos patvirtinimo iš kliento ir automatiškai pasirinkti pigiausią variantą bei išsiųsti prekes.</t>
  </si>
  <si>
    <t>Raklap szállítás esetén a csehországi szállítás ára körülbelül 2000 CZK/raklap, és mindig a piacon elérhető legolcsóbb megoldást választjuk.</t>
  </si>
  <si>
    <t>Ha a megrendelő tőlünk szeretné megszervezni a szállítást, nem tudjuk megvárni az ár visszaigazolását, és automatikusan kiválasztjuk a legolcsóbb opciót és elküldjük az árut.</t>
  </si>
  <si>
    <t>Đối với vận chuyển bằng pallet, giá vận chuyển ở Cộng hòa Séc là khoảng 2000 K / pallet, và sẽ luôn được lựa chọn phương án rẻ nhất trên thị trường.</t>
  </si>
  <si>
    <t>Nếu khách hàng muốn sắp xếp vận chuyển từ chúng tôi, chúng tôi không thể đợi xác nhận giá từ khách hàng và tự động chọn phương án rẻ nhất và gửi hàng.</t>
  </si>
  <si>
    <t>Kaubaaluste transpordi puhul on transpordi hind Tšehhis ca 2000 CZK/alus ning alati valitakse odavaim turul saadaolev variant.</t>
  </si>
  <si>
    <t>Kui klient soovib transporti korraldada meie juurest, ei saa me oodata kliendilt hinna kinnitust ning valida automaatselt soodsaima variandi ja kauba teele panna.</t>
  </si>
  <si>
    <t>Palešu transportēšanai cena par transportu Čehijā ir aptuveni 2000 CZK/palete, un vienmēr tiks izvēlēts lētākais tirgū pieejamais variants.</t>
  </si>
  <si>
    <t>Ja klients vēlas noorganizēt transportu no mums, mēs nevaram gaidīt cenas apstiprinājumu no klienta un automātiski izvēlēties lētāko variantu un nosūtīt preces.</t>
  </si>
  <si>
    <t>За транспорт палета, цена транспорта у Чешкој је око 2000 ЦЗК/палета, а увек ће се бирати најјефтинија опција доступна на тржишту.</t>
  </si>
  <si>
    <t>Уколико купац жели да организује превоз од нас, не можемо да чекамо потврду цене од купца и аутоматски изаберемо најјефтинију опцију и пошаљемо робу.</t>
  </si>
  <si>
    <t>W przypadku transportu paletowego cena za transport na terenie Czech wynosi około 2000 CZK/paletę i zawsze wybierana będzie najtańsza opcja dostępna na rynku.</t>
  </si>
  <si>
    <t>Jeśli klient chce u nas zorganizować transport, nie możemy czekać na potwierdzenie ceny od klienta i automatycznie wybrać najtańszą opcję i wysłać towar.</t>
  </si>
  <si>
    <t>Každá objednávka, kterou zákazník posílá musí být plně v souladu s kapacitou automobilu, do kterého chce zákazník objednávku naložit tzn. každá objednávka bude naložena najednou.</t>
  </si>
  <si>
    <t>Pokud automobil nebude mít kapacitu na to, aby si zákazník naložil celou svou objednávku a bude mu naložena pouze část objednaného zboží, budeme účtovat manipulační poplatek ve výši 10 000Kč.</t>
  </si>
  <si>
    <t>Każde zamówienie wysłane przez klienta musi być w pełni zgodne z ładownością samochodu, w którym klient chce załadować zamówienie, tj. każde zamówienie zostanie załadowane od razu.</t>
  </si>
  <si>
    <t>Jeżeli samochód nie ma możliwości załadowania przez klienta całego zamówienia i tylko część zamówionego towaru zostanie załadowana, pobieramy opłatę manipulacyjną w wysokości 10 000 CZK.</t>
  </si>
  <si>
    <t>Opłata w wysokości 10 000 CZK pokryje wszelkie szkody spowodowane przeładunkiem, powielaniem prac na dokumentach, opłatami za przechowywanie itp. i nie ma znaczenia, czy jest to 1 karton, czy 100 kartonów. Ponadto za te towary zostanie naliczona opłata za przechowywanie</t>
  </si>
  <si>
    <t>Свака поруџбина коју пошаље купац мора бити у потпуности компатибилна са капацитетом аутомобила у који купац жели да утовари поруџбину, тј. свака поруџбина ће бити учитана одједном.</t>
  </si>
  <si>
    <t>Ако аутомобил нема капацитет да купац утовари целу своју поруџбину и само део наручене робе ће бити утоварен, ми ћемо наплатити накнаду за руковање од 10.000 ЦЗК.</t>
  </si>
  <si>
    <t>Накнада од 10.000 ЦЗК покрива сву штету насталу руковањем, дуплим радом на документима, накнаде за складиштење итд. и није важно да ли је у питању 1 картон или 100 картона. Поред тога, за ову робу ће бити наплаћена накнада за складиштење</t>
  </si>
  <si>
    <t>Katram klienta sūtītajam pasūtījumam jābūt pilnībā savietojamam ar tās automašīnas ietilpību, kurā klients vēlas iekraut pasūtījumu, t.i. katrs pasūtījums tiks ielādēts uzreiz.</t>
  </si>
  <si>
    <t>Ja automašīnai nav iespējas iekraut visu savu pasūtījumu un tiks iekrauta tikai daļa no pasūtītajām precēm, mēs iekasēsim apstrādes maksu 10 000 CZK.</t>
  </si>
  <si>
    <t>Maksa 10 000 CZK apmērā segs visus bojājumus, kas radušies apstrādes, dokumentu dublikātu, uzglabāšanas nodevas utt. dēļ, un nav svarīgi, vai tā ir 1 kartona vai 100 kartona kastes. Turklāt par šīm precēm tiks iekasēta uzglabāšanas maksa</t>
  </si>
  <si>
    <t>Iga kliendi poolt saadetud tellimus peab täielikult ühilduma selle auto mahutavusega, kuhu klient soovib tellimust laadida, s.t. iga tellimus laaditakse korraga.</t>
  </si>
  <si>
    <t>Kui autol ei ole mahti, et klient saaks kogu oma tellimust laadida ja peale laaditakse vaid osa tellitud kaubast, võtame käsitlustasu 10 000 CZK.</t>
  </si>
  <si>
    <t>Tasu 10 000 CZK katab kõik kahjud, mis on tekkinud käsitsemisest, dokumentide dubleerimisest, ladustamistasud jms ning ei ole oluline, kas tegemist on 1 kasti või 100 karbiga. Lisaks võetakse nende kaupade eest ladustamistasu</t>
  </si>
  <si>
    <t>Mỗi đơn hàng do khách hàng gửi phải hoàn toàn phù hợp với sức chứa của xe mà khách hàng muốn bốc hàng, tức là mỗi đơn hàng sẽ được tải cùng một lúc.</t>
  </si>
  <si>
    <t>Nếu nhà xe không đủ sức chứa để khách hàng có thể tải toàn bộ đơn hàng của mình và chỉ xếp một phần hàng đã đặt, chúng tôi sẽ tính phí bốc xếp là 10.000 K.</t>
  </si>
  <si>
    <t>Phí 10.000 K sẽ bao gồm tất cả các thiệt hại do xử lý, trùng lặp công việc trên tài liệu, phí lưu kho,… và không quan trọng là 1 thùng hay 100 thùng. Hơn nữa, một khoản phí lưu kho sẽ được tính cho những hàng hóa này</t>
  </si>
  <si>
    <t>Az ügyfél által feladott minden egyes megrendelésnek teljes mértékben kompatibilisnek kell lennie annak az autónak a kapacitásával, amelybe a megrendelést a megrendelő fel kívánja rakni, pl. minden rendelés egyszerre kerül betöltésre.</t>
  </si>
  <si>
    <t>Ha az autóban nincs kapacitás a vevő teljes rendelése betöltésére, és a megrendelt árunak csak egy része kerül felrakodásra, 10 000 CZK kezelési költséget számítunk fel.</t>
  </si>
  <si>
    <t>A 10.000 CZK díj fedezi a kezelésből, sokszorosított iratkezelésből, tárolási díjakból stb. okozott károkat, és nem mindegy, hogy 1 kartonról vagy 100 kartonról van szó. Ezenkívül ezekért az árukért tárolási díjat kell fizetni</t>
  </si>
  <si>
    <t>Kiekvienas kliento siunčiamas užsakymas turi būti visiškai suderinamas su automobilio talpa, į kurią klientas nori pakrauti užsakymą, t.y. kiekvienas užsakymas bus įkeltas iš karto.</t>
  </si>
  <si>
    <t>Jei automobilis neturi galimybių klientui pakrauti viso savo užsakymo ir bus pakrauta tik dalis užsakytų prekių, taikysime 10 000 CZK tvarkymo mokestį.</t>
  </si>
  <si>
    <t>10 000 CZK mokestis padengs visą žalą, atsiradusią dėl tvarkymo, dokumentų pasikartojančių darbų, saugojimo mokesčius ir pan., ir nesvarbu, ar tai 1 dėžutė, ar 100 kartoninių dėžių. Be to, už šias prekes bus imamas saugojimo mokestis</t>
  </si>
  <si>
    <t>Ogni ordine inviato dal cliente deve essere pienamente compatibile con la capienza dell'auto in cui il cliente vuole caricare l'ordine, ovvero ogni ordine verrà caricato in una volta.</t>
  </si>
  <si>
    <t>Se l'auto non ha la capacità per il cliente di caricare l'intero ordine e verrà caricata solo una parte della merce ordinata, addebiteremo una commissione di gestione di CZK 10.000.</t>
  </si>
  <si>
    <t>Una commissione di 10.000 CZK coprirà tutti i danni causati dalla manipolazione, lavori duplicati su documenti, spese di archiviazione, ecc. e non è importante se si tratta di 1 cartone o 100 cartoni. Inoltre, per queste merci verrà addebitato un costo di deposito</t>
  </si>
  <si>
    <t>Svaka narudžba koju šalje kupac mora biti u potpunosti kompatibilna s kapacitetom vozila u koje kupac želi utovariti narudžbu, tj. svaka će narudžba biti učitana odjednom.</t>
  </si>
  <si>
    <t>Ako vozilo nema kapacitet da kupac utovari cijelu svoju narudžbu i samo dio naručene robe će biti utovaren, naplatit ćemo manipulativnu naknadu od 10.000 CZK.</t>
  </si>
  <si>
    <t>Naknada od 10.000 CZK će pokriti svu štetu nastalu rukovanjem, dvostrukim radom na dokumentima, troškovima skladištenja itd. i nije važno radi li se o 1 kartonu ili 100 kartona. Nadalje, za ovu robu će se naplatiti naknada za skladištenje</t>
  </si>
  <si>
    <t>Jede vom Kunden gesendete Bestellung muss vollständig mit der Kapazität des Autos kompatibel sein, in das der Kunde die Bestellung laden möchte, d.h. Jede Bestellung wird auf einmal geladen.</t>
  </si>
  <si>
    <t>Wenn das Auto nicht über die Kapazität verfügt, dass der Kunde seine gesamte Bestellung laden kann, und nur ein Teil der bestellten Ware geladen wird, berechnen wir eine Bearbeitungsgebühr von 10.000 CZK.</t>
  </si>
  <si>
    <t>Eine Gebühr von 10.000 CZK deckt alle Schäden ab, die durch Handhabung, doppelte Bearbeitung von Dokumenten, Lagergebühren usw. verursacht werden, und es spielt keine Rolle, ob es sich um 1 Karton oder 100 Kartons handelt. Außerdem wird für diese Ware eine Lagergebühr erhoben</t>
  </si>
  <si>
    <t>Each order sent by the customer must be fully compatible with the capacity of the car in which the customer wants to load the order, i.e. each order will be loaded at once.</t>
  </si>
  <si>
    <t>If the car does not have the capacity for the customer to load his entire order and only part of the ordered goods will be loaded, we will charge a handling fee of CZK 10,000.</t>
  </si>
  <si>
    <t>A fee of CZK 10,000 will cover all damage caused by handling, duplicate work on documents, storage fees, etc. and it is not important whether it is 1 carton or 100 cartons. Furthermore, a storage fee will be charged for these goods</t>
  </si>
  <si>
    <t>D1M</t>
  </si>
  <si>
    <t>KKD1</t>
  </si>
  <si>
    <t>Klíčenka na krk Dumbum</t>
  </si>
  <si>
    <t>C60020XPR/C</t>
  </si>
  <si>
    <t>Profi show multi shape 600</t>
  </si>
  <si>
    <t>RSSF2 E</t>
  </si>
  <si>
    <t>RS33R E</t>
  </si>
  <si>
    <t>C20814XPR14 E</t>
  </si>
  <si>
    <t>C1620M E</t>
  </si>
  <si>
    <t>C1620F14 E</t>
  </si>
  <si>
    <t>C2520SE E</t>
  </si>
  <si>
    <t>C4920K14 E</t>
  </si>
  <si>
    <t>C10020NID14 E</t>
  </si>
  <si>
    <t>C12820F/C14 E</t>
  </si>
  <si>
    <t>C4925G E</t>
  </si>
  <si>
    <t>C253NO14 E</t>
  </si>
  <si>
    <t>C493GH E</t>
  </si>
  <si>
    <t>C255BP E</t>
  </si>
  <si>
    <t>SS50K E</t>
  </si>
  <si>
    <t>K-C239MSIG/C</t>
  </si>
  <si>
    <t>K-C379XMK/C</t>
  </si>
  <si>
    <t>x</t>
  </si>
  <si>
    <t>Ja, ich habe eine F4-Erlaubnis</t>
  </si>
  <si>
    <t>ANO, mám povolení k nákupu F4</t>
  </si>
  <si>
    <t>YES, i have F4 purchase permit</t>
  </si>
  <si>
    <t>TAK, mam pozwolenie na zakup F4</t>
  </si>
  <si>
    <t>CÓ, tôi có giấy phép mua F4</t>
  </si>
  <si>
    <t>TAIP, turiu F4 pirkimo leidimą</t>
  </si>
  <si>
    <t>DA, imam F4 dozvolu za kupnju</t>
  </si>
  <si>
    <t>DA, imam dozvolu za kupovinu F4</t>
  </si>
  <si>
    <t>SI, ho un permesso di acquisto F4</t>
  </si>
  <si>
    <t>JAH, mul on F4 ostuluba</t>
  </si>
  <si>
    <t>IGEN, van F4 vásárlási engedélyem</t>
  </si>
  <si>
    <t>JĀ, man ir F4 pirkuma atļauja</t>
  </si>
  <si>
    <t>40mm barevné kulaté dýmovnice(červená,zelená,žlutá,modrá,bílá,růžová,fialová, oranžová)</t>
  </si>
  <si>
    <t>40mm round color smoke(red,green,yellow,blue,white,pink,purple, orange)</t>
  </si>
  <si>
    <t>40mm Farbige runde Rauchröhren (rot, grün, gelb, blau, weiß, lila, orange, rosa)</t>
  </si>
  <si>
    <t>40mm dimne kuglice(crvena, zelena, žuta, plava, bijela, roza,ljubičasta, narančasta)</t>
  </si>
  <si>
    <t>40mm fumo colore rotondo(rosso,verde,giallo,blu,bianco,rosa,viola, arancione)</t>
  </si>
  <si>
    <t>40mm kulki dymne mix kolor (czerwony, zielony, żółty, niebieski, biały, różowy, fioletowy, pomarańczowy)</t>
  </si>
  <si>
    <t>40mm boje: crvena, zelena, žuta, plava, bela, ružičasta, ljubičasta, narandžasta</t>
  </si>
  <si>
    <t>40mm khói tròn màu (đỏ, xanh lá, vàng, xanh dương, trắng, Hồng, tím, cam)</t>
  </si>
  <si>
    <t>40mm spalvoti apvalūs dūmai (raudonos, žalios, geltonos,violetinė, oranžinė, mėlynos ir rožinės spalvų)</t>
  </si>
  <si>
    <t xml:space="preserve">40mm Apaļi krāsainie dūmi(sarkans, zaļš, dzeltens, zilā, bālts, rozā, violeta, oranža) </t>
  </si>
  <si>
    <t>40mm ümmargused tossupommid ( punane, roheline, kollane, sinine, valge, roosa, lilla, oranž)</t>
  </si>
  <si>
    <t>40mm színes füstgolyók piros, zöld, sárga, kék, fehér, lila, rózsaszín, narancs</t>
  </si>
  <si>
    <t>60 různobarevných efektů</t>
  </si>
  <si>
    <t>60 different color effects</t>
  </si>
  <si>
    <t>60 verschiedenfarbige Effekte</t>
  </si>
  <si>
    <t>60 različitih efekata u boji</t>
  </si>
  <si>
    <t>60 diversi effetti di colore</t>
  </si>
  <si>
    <t>60 różnokolorowych efektów</t>
  </si>
  <si>
    <t>60 različita efekta u boji</t>
  </si>
  <si>
    <t>60 hiệu ứng nhiều màu</t>
  </si>
  <si>
    <t xml:space="preserve">60 Skirtingi spalvoti efektai. </t>
  </si>
  <si>
    <t>60 erinevat värvilist efekti</t>
  </si>
  <si>
    <t>60 külömböző színű effektus</t>
  </si>
  <si>
    <t>60 dažadu krāsu efekts</t>
  </si>
  <si>
    <t>Video
Foto
Info</t>
  </si>
  <si>
    <t>modrá fólie</t>
  </si>
  <si>
    <t>blue foil</t>
  </si>
  <si>
    <t>blaue Folie</t>
  </si>
  <si>
    <t>niebieski folial</t>
  </si>
  <si>
    <t>lá xanh</t>
  </si>
  <si>
    <t>mėlyna folija</t>
  </si>
  <si>
    <t>plava folija</t>
  </si>
  <si>
    <t>lamina blu</t>
  </si>
  <si>
    <t>sinine foolium</t>
  </si>
  <si>
    <t>kék fólia</t>
  </si>
  <si>
    <t>A REKLAMÁCIÓK ELISMERÉSE 12 HÓNAP A VÁSÁRLÁS IDÖPONTJÁTÓL. És csak akkor, ha mindkét biztosíték égett.</t>
  </si>
  <si>
    <t>Kaebusi võtame vastu 12 kuud alates toote ostmisest. Ja ainult siis, kui mõlemad kaitsmed põlesid.</t>
  </si>
  <si>
    <t>Sūdzības pieņemam 12 mēnešus no preces iegādes brīža. Un tikai tad, ja bija iedegti abi drošinātāji.</t>
  </si>
  <si>
    <t>Рекламације прихватамо у периоду од 12 месеци од куповине производа. И то само ако су оба фитиља упаљена.</t>
  </si>
  <si>
    <t>Reklamację przyjmujemy do 12 miesięcy od zakupu produktu. I tylko wtedy, gdy paliły się oba bezpieczniki.</t>
  </si>
  <si>
    <t>Mes priimame skundą 12 mėnesių nuo produkto įsigijimo. Ir tik tuo atveju, jei degė abu saugikliai.</t>
  </si>
  <si>
    <t>Accettiamo reclami per un periodo di 12 mesi dall'acquisto del prodotto. E solo se entrambe le micce erano accese.</t>
  </si>
  <si>
    <t>Prihvaćamo prigovor u periodu od 12 mjeseci od dana kupnje proizvoda. I to samo ako su oba osigurača gorjela.</t>
  </si>
  <si>
    <t>Wir akzeptieren die Reklamation für 12 Monate ab Kauf des Produkts. Und nur wenn beide Anzündern leuchten.</t>
  </si>
  <si>
    <t>We accept the complaint for 12 months from the purchase of the product. And only if both fuses were lit.</t>
  </si>
  <si>
    <t>Reklamaci uznáváme po dobu 12 měsíců od zakoupení výrobku. A pouze, pokud byly zapáleny obě zápalnice.</t>
  </si>
  <si>
    <t>BEZ PALET</t>
  </si>
  <si>
    <t>WITHOUT PALLETS</t>
  </si>
  <si>
    <t>OHNE PALETTEN</t>
  </si>
  <si>
    <t>KHÔNG CÓ PALLET</t>
  </si>
  <si>
    <t>BE PALEČIŲ</t>
  </si>
  <si>
    <t>BEZ PALETA</t>
  </si>
  <si>
    <t>SENZA PALLET</t>
  </si>
  <si>
    <t>ILMA ALUSTETA</t>
  </si>
  <si>
    <t>RAKLAP NÉLKÜL</t>
  </si>
  <si>
    <t>BEZ PALETĒM</t>
  </si>
  <si>
    <t>Společně se svou objednávkou nám zašlete kopii Vašeho průkazu pro nákup kategorie F4.</t>
  </si>
  <si>
    <t>Kopā ar pasūtījumu nosūtiet mums F4 pirkuma kartes kopiju.</t>
  </si>
  <si>
    <t>Rendelésével együtt küldje el nekünk F4 vásárlási kártyája másolatát.</t>
  </si>
  <si>
    <t>Koos tellimusega saatke meile oma F4 ostukaardi koopia.</t>
  </si>
  <si>
    <t>Insieme al tuo ordine, inviaci una copia della tua carta acquisti F4.</t>
  </si>
  <si>
    <t>Zajedno sa svojom narudžbom pošaljite nam kopiju svoje F4 kupovne kartice.</t>
  </si>
  <si>
    <t>Kartu su užsakymu atsiųskite mums savo F4 pirkimo kortelės kopiją.</t>
  </si>
  <si>
    <t>Cùng với đơn đặt hàng của bạn, hãy gửi cho chúng tôi bản sao thẻ mua hàng F4 của bạn.</t>
  </si>
  <si>
    <t>Wraz z zamówieniem prześlij nam kopię swojej karty zakupowej F4.</t>
  </si>
  <si>
    <t>Senden Sie uns zusammen mit Ihrer Bestellung eine Kopie Ihrer F4-Erlaubnis.</t>
  </si>
  <si>
    <t>Together with your order, send us a copy of your F4 purchase card.</t>
  </si>
  <si>
    <t>Zajedno sa porudžbinom pošaljite nam kopiju vaše F4 kartice za kupovinu.</t>
  </si>
  <si>
    <t xml:space="preserve">Pokud chcete objednávat F4, musíte zatrhnout toto pole: </t>
  </si>
  <si>
    <t>If you want to order F4, you must check this box:</t>
  </si>
  <si>
    <t>Wenn Sie F4 bestellen möchten, müssen Sie dieses Kästchen ankreuzen:</t>
  </si>
  <si>
    <t>Jeśli chcesz zamówić F4, musisz zaznaczyć to pole:</t>
  </si>
  <si>
    <t>Nếu bạn muốn đặt hàng F4, bạn phải đánh dấu vào ô này:</t>
  </si>
  <si>
    <t>Jei norite užsisakyti F4, turite pažymėti šį langelį:</t>
  </si>
  <si>
    <t>Ako želite naručiti F4, morate potvrditi ovaj okvir:</t>
  </si>
  <si>
    <t>Ako želite da naručite F4,morate označiti ovo polje:</t>
  </si>
  <si>
    <t>Se vuoi ordinare F4, devi spuntare questa casella:</t>
  </si>
  <si>
    <t>Kui soovite tellida F4, peate märkima selle ruudu:</t>
  </si>
  <si>
    <t>Ha F4-et szeretne rendelni, jelölje be ezt a négyzetet:</t>
  </si>
  <si>
    <t>Ja vēlaties pasūtīt F4, jums ir jāatzīmē šī izvēles rūtiņa:</t>
  </si>
  <si>
    <t>Maketa výrobku - bez složí</t>
  </si>
  <si>
    <t>Kartonová krabice s designem výrobku</t>
  </si>
  <si>
    <t xml:space="preserve">Model proizvoda - bez eksploziva </t>
  </si>
  <si>
    <t>Kartonska kutija sa dizajnom proizvoda</t>
  </si>
  <si>
    <t>Product model - without explosives</t>
  </si>
  <si>
    <t>Cardboard box with product design</t>
  </si>
  <si>
    <t>Produktmodell - ohne Sprengstoff</t>
  </si>
  <si>
    <t>Karton mit Produktdesign</t>
  </si>
  <si>
    <t>Model proizvoda - bez eksploziva</t>
  </si>
  <si>
    <t>Kartonska kutija s dizajnom proizvoda</t>
  </si>
  <si>
    <t>Modello del prodotto - senza esplosivi</t>
  </si>
  <si>
    <t>Scatola di cartone con design del prodotto</t>
  </si>
  <si>
    <t>Model produktu - bez materiałów wybuchowych</t>
  </si>
  <si>
    <t>Pudełko kartonowe z projektem produktu</t>
  </si>
  <si>
    <t>Mô hình sản phẩm - không có chất nổ</t>
  </si>
  <si>
    <t>Hộp các tông với thiết kế sản phẩm</t>
  </si>
  <si>
    <t>Gaminio modelis – be sprogstamųjų medžiagų</t>
  </si>
  <si>
    <t>Kartoninė dėžutė su gaminio dizainu</t>
  </si>
  <si>
    <t>Tootemudel – ilma lõhkeaineteta</t>
  </si>
  <si>
    <t>Tootedisainiga pappkarp</t>
  </si>
  <si>
    <t>Termékmodell - robbanóanyag nélkül</t>
  </si>
  <si>
    <t>Kartondoboz termékdizájnnal</t>
  </si>
  <si>
    <t>Produkta modelis - bez sprāgstvielām</t>
  </si>
  <si>
    <t>Kartona kaste ar izstrādājuma dizainu</t>
  </si>
  <si>
    <t>Rodzaj</t>
  </si>
  <si>
    <t>górnej strony</t>
  </si>
  <si>
    <t>Uzglabāšanas sertifikāts</t>
  </si>
  <si>
    <t>Vācijā</t>
  </si>
  <si>
    <t>Tárolási tanúsítvány</t>
  </si>
  <si>
    <t>Németországban</t>
  </si>
  <si>
    <t>Ladustamissertifikaat</t>
  </si>
  <si>
    <t>Saksamaal</t>
  </si>
  <si>
    <t>Certificato di archiviazione</t>
  </si>
  <si>
    <t>in Germania</t>
  </si>
  <si>
    <t xml:space="preserve">Sertifikat o skladištenju </t>
  </si>
  <si>
    <t>u Nemačkoj</t>
  </si>
  <si>
    <t>Potvrda o pohrani</t>
  </si>
  <si>
    <t>u Njemačkoj</t>
  </si>
  <si>
    <t>Sandėliavimo sertifikatas</t>
  </si>
  <si>
    <t>Vokietijoje</t>
  </si>
  <si>
    <t>chứng chỉ lưu trữ</t>
  </si>
  <si>
    <t>ở Đức</t>
  </si>
  <si>
    <t>w Niemczech</t>
  </si>
  <si>
    <t>in Deutschland</t>
  </si>
  <si>
    <t>Lagergurppezuordnung</t>
  </si>
  <si>
    <t>Storage certificate</t>
  </si>
  <si>
    <t>in Germany</t>
  </si>
  <si>
    <t>DE</t>
  </si>
  <si>
    <t>HR</t>
  </si>
  <si>
    <t>HU</t>
  </si>
  <si>
    <t>mutace</t>
  </si>
  <si>
    <t>jazykové</t>
  </si>
  <si>
    <t>Paleta</t>
  </si>
  <si>
    <t>Vratná paleta</t>
  </si>
  <si>
    <t>Palette zurückgeben</t>
  </si>
  <si>
    <t>return palett</t>
  </si>
  <si>
    <t>povratna paleta</t>
  </si>
  <si>
    <t>pallet di ritorno</t>
  </si>
  <si>
    <t>paleta zwrotna</t>
  </si>
  <si>
    <t>pallet trở lại</t>
  </si>
  <si>
    <t>grąžinimo padėklas</t>
  </si>
  <si>
    <t>tagastusalus</t>
  </si>
  <si>
    <t>visszaküldő raklap</t>
  </si>
  <si>
    <t>atgriešanas palete</t>
  </si>
  <si>
    <t xml:space="preserve">Tarify </t>
  </si>
  <si>
    <t xml:space="preserve">Produkty </t>
  </si>
  <si>
    <t xml:space="preserve">Běžný účet </t>
  </si>
  <si>
    <t xml:space="preserve">Multiměnový účet </t>
  </si>
  <si>
    <t xml:space="preserve">Kontokorent </t>
  </si>
  <si>
    <t xml:space="preserve">Další </t>
  </si>
  <si>
    <t xml:space="preserve">Debetní karty </t>
  </si>
  <si>
    <t xml:space="preserve">Kreditní karty </t>
  </si>
  <si>
    <t xml:space="preserve">Hypotéky </t>
  </si>
  <si>
    <t xml:space="preserve">Konsolidace půjček </t>
  </si>
  <si>
    <t xml:space="preserve">Spořicí účet </t>
  </si>
  <si>
    <t xml:space="preserve">Penzijní spoření </t>
  </si>
  <si>
    <t xml:space="preserve">Stavební spoření </t>
  </si>
  <si>
    <t xml:space="preserve">Termínovaný účet </t>
  </si>
  <si>
    <t xml:space="preserve">Pravidelné investování </t>
  </si>
  <si>
    <t xml:space="preserve">Jednorázové investování </t>
  </si>
  <si>
    <t xml:space="preserve">Investiční fondy </t>
  </si>
  <si>
    <t xml:space="preserve">Investiční zlato </t>
  </si>
  <si>
    <t xml:space="preserve">Cestovní pojištění </t>
  </si>
  <si>
    <t xml:space="preserve">Pojištění majetku </t>
  </si>
  <si>
    <t xml:space="preserve">Životní pojištění </t>
  </si>
  <si>
    <t xml:space="preserve">Pojištění k produktům </t>
  </si>
  <si>
    <t xml:space="preserve">Ceny a sazby </t>
  </si>
  <si>
    <t xml:space="preserve">Dokumenty </t>
  </si>
  <si>
    <t xml:space="preserve">Kurzovní lístek </t>
  </si>
  <si>
    <t xml:space="preserve">Transparentní účty </t>
  </si>
  <si>
    <t xml:space="preserve">Více informací </t>
  </si>
  <si>
    <t xml:space="preserve">O bance </t>
  </si>
  <si>
    <t>O bance</t>
  </si>
  <si>
    <t xml:space="preserve">Kariéra v KB </t>
  </si>
  <si>
    <t xml:space="preserve">Kontakty </t>
  </si>
  <si>
    <t xml:space="preserve">Novinky </t>
  </si>
  <si>
    <t xml:space="preserve">Udržitelnost v KB </t>
  </si>
  <si>
    <t xml:space="preserve">KB Rádce </t>
  </si>
  <si>
    <t xml:space="preserve">Pro investory </t>
  </si>
  <si>
    <t xml:space="preserve">Pro média </t>
  </si>
  <si>
    <t xml:space="preserve">Dokumenty ke stažení </t>
  </si>
  <si>
    <t xml:space="preserve">Povinně uveřejňované informace </t>
  </si>
  <si>
    <t xml:space="preserve">Stát se klientem </t>
  </si>
  <si>
    <t xml:space="preserve">Přihlásit </t>
  </si>
  <si>
    <t xml:space="preserve">Občané změnit </t>
  </si>
  <si>
    <t xml:space="preserve">Účty </t>
  </si>
  <si>
    <t xml:space="preserve">Karty </t>
  </si>
  <si>
    <t xml:space="preserve">Půjčky </t>
  </si>
  <si>
    <t xml:space="preserve">Spoření </t>
  </si>
  <si>
    <t xml:space="preserve">Investice </t>
  </si>
  <si>
    <t xml:space="preserve">Pojištění </t>
  </si>
  <si>
    <t>Stát se klientem</t>
  </si>
  <si>
    <t>Přihlášení do MojeBanka Business</t>
  </si>
  <si>
    <t xml:space="preserve">Kontakt </t>
  </si>
  <si>
    <t xml:space="preserve">Podpora </t>
  </si>
  <si>
    <t>English</t>
  </si>
  <si>
    <t>Kurzovní lístek KB</t>
  </si>
  <si>
    <t>Odchylky ke kurzu ECB</t>
  </si>
  <si>
    <t xml:space="preserve">Nabídka </t>
  </si>
  <si>
    <t xml:space="preserve">Osobní finance </t>
  </si>
  <si>
    <t xml:space="preserve">KB Privátní bankovnictví </t>
  </si>
  <si>
    <t xml:space="preserve">Investiční bankovnictví </t>
  </si>
  <si>
    <t xml:space="preserve">Nástroje a rady </t>
  </si>
  <si>
    <t xml:space="preserve">Valné hromady </t>
  </si>
  <si>
    <t xml:space="preserve">Povinné informace </t>
  </si>
  <si>
    <t>Stáhněte si naši aplikaci</t>
  </si>
  <si>
    <t>Nabídka</t>
  </si>
  <si>
    <t>Nástroje a rady</t>
  </si>
  <si>
    <t xml:space="preserve">Stáhněte si naši aplikaci </t>
  </si>
  <si>
    <t>Jsme na sítích</t>
  </si>
  <si>
    <t xml:space="preserve">Podmínky používání internetových stránek </t>
  </si>
  <si>
    <t xml:space="preserve">Prohlášení o přístupnosti </t>
  </si>
  <si>
    <t xml:space="preserve">Ochrana osobních údajů </t>
  </si>
  <si>
    <t xml:space="preserve">Bezpečnost </t>
  </si>
  <si>
    <t xml:space="preserve">Nastavení cookies </t>
  </si>
  <si>
    <t>Pobočky a bankomaty</t>
  </si>
  <si>
    <t xml:space="preserve">Pobočky a bankomaty </t>
  </si>
  <si>
    <t>PSF2D</t>
  </si>
  <si>
    <t>PBF2D</t>
  </si>
  <si>
    <t>Tričko I love Dumbum(bílé)-L</t>
  </si>
  <si>
    <t>RT1DU</t>
  </si>
  <si>
    <t>Waffenschein!!!</t>
  </si>
  <si>
    <t>25-40</t>
  </si>
  <si>
    <t>16-30</t>
  </si>
  <si>
    <t>13-24</t>
  </si>
  <si>
    <t>25+40</t>
  </si>
  <si>
    <t>16+30</t>
  </si>
  <si>
    <t>25-30</t>
  </si>
  <si>
    <t>16-22</t>
  </si>
  <si>
    <t>13-18</t>
  </si>
  <si>
    <t>17-31</t>
  </si>
  <si>
    <t>14-25</t>
  </si>
  <si>
    <t>30-40</t>
  </si>
  <si>
    <t>24-31</t>
  </si>
  <si>
    <t>40+60</t>
  </si>
  <si>
    <t>30+40</t>
  </si>
  <si>
    <t>25+50</t>
  </si>
  <si>
    <t>16+35</t>
  </si>
  <si>
    <t>48+60</t>
  </si>
  <si>
    <t>36+40</t>
  </si>
  <si>
    <t>25-55</t>
  </si>
  <si>
    <t>16-38</t>
  </si>
  <si>
    <t>30+55</t>
  </si>
  <si>
    <t>22+37</t>
  </si>
  <si>
    <t>44-65</t>
  </si>
  <si>
    <t>33-45</t>
  </si>
  <si>
    <t>31+41</t>
  </si>
  <si>
    <t>40-90</t>
  </si>
  <si>
    <t>30-55</t>
  </si>
  <si>
    <t>HIGH</t>
  </si>
  <si>
    <t>WIDTH</t>
  </si>
  <si>
    <t>výška</t>
  </si>
  <si>
    <t>šířka</t>
  </si>
  <si>
    <t>efektu</t>
  </si>
  <si>
    <t>Effekt</t>
  </si>
  <si>
    <t>effect</t>
  </si>
  <si>
    <t>height</t>
  </si>
  <si>
    <t>width</t>
  </si>
  <si>
    <t>höhe</t>
  </si>
  <si>
    <t>breite</t>
  </si>
  <si>
    <t>wysokość</t>
  </si>
  <si>
    <t>szerokość</t>
  </si>
  <si>
    <t>efekt</t>
  </si>
  <si>
    <t>chiều cao</t>
  </si>
  <si>
    <t>chiều rộng</t>
  </si>
  <si>
    <t>tác dụng</t>
  </si>
  <si>
    <t>aukščio</t>
  </si>
  <si>
    <t>plotis</t>
  </si>
  <si>
    <t>poveikis</t>
  </si>
  <si>
    <t>visina</t>
  </si>
  <si>
    <t>širina</t>
  </si>
  <si>
    <t>posljedica</t>
  </si>
  <si>
    <t>efekat</t>
  </si>
  <si>
    <t>altezza</t>
  </si>
  <si>
    <t>larghezza</t>
  </si>
  <si>
    <t>effetto</t>
  </si>
  <si>
    <t>kõrgus</t>
  </si>
  <si>
    <t>laius</t>
  </si>
  <si>
    <t>mõju</t>
  </si>
  <si>
    <t>magasság</t>
  </si>
  <si>
    <t>szélesség</t>
  </si>
  <si>
    <t>hatás</t>
  </si>
  <si>
    <t>augstums</t>
  </si>
  <si>
    <t>platums</t>
  </si>
  <si>
    <t>efekts</t>
  </si>
  <si>
    <t>síla výbuchu 120dB z 8m</t>
  </si>
  <si>
    <t>sound power 120dB from 8m</t>
  </si>
  <si>
    <t>Explosionskraft 120dB von 8m</t>
  </si>
  <si>
    <t>snaga zvuka 120dB na udaljenosti 8m</t>
  </si>
  <si>
    <t>potenza sonora 120dB da 8m</t>
  </si>
  <si>
    <t>petardy lontowe, głośność 120dB z 8m</t>
  </si>
  <si>
    <t>jačina zvuka 120dB na 8m</t>
  </si>
  <si>
    <t xml:space="preserve">sức nổ 120dB từ 8m </t>
  </si>
  <si>
    <t>garso galia 120dB nuo 8m</t>
  </si>
  <si>
    <t>helitugevus 120dB 8m kaugusel</t>
  </si>
  <si>
    <t xml:space="preserve">robbanás ereje 120db 8m ről </t>
  </si>
  <si>
    <t xml:space="preserve">Skaļuma jauda 120dB no 8m </t>
  </si>
  <si>
    <t xml:space="preserve">síla výbuchu 118dB z 8m(černoprachová petarda) </t>
  </si>
  <si>
    <t xml:space="preserve">sound power 118dB from 8m(black powder) </t>
  </si>
  <si>
    <t xml:space="preserve">Explosionskraft 118dB von 8m(schwarz powder) </t>
  </si>
  <si>
    <t>snaga zvuka 118dB na udaljenosti 8m (crni barut)</t>
  </si>
  <si>
    <t>potenza sonora 118dB da 8m (polvere nera)</t>
  </si>
  <si>
    <t>petardy lontowe, głośność 118dB z 8m (czarno prochowe)</t>
  </si>
  <si>
    <t>jačina zvuka 118dB na 8m, crni barut</t>
  </si>
  <si>
    <t xml:space="preserve">sức nổ 118dB từ 8m (pháo bột màu đen) </t>
  </si>
  <si>
    <t>garso galia 118dB nuo 8m (juodojo parako gaminys)</t>
  </si>
  <si>
    <t>helitugevus 118dB 8m kaugusel (musta püssirohuga)</t>
  </si>
  <si>
    <t>robbanás ereje 118db 8m ről /fekete poros petárda/</t>
  </si>
  <si>
    <t>Skaļuma jauda 118dB no 8m (melns pulverīs)</t>
  </si>
  <si>
    <t>klíčenka na krk Dumbum</t>
  </si>
  <si>
    <t>Dumbum neck chain</t>
  </si>
  <si>
    <t>Dumme Halskette</t>
  </si>
  <si>
    <t>Dumbum lanac oko vrata</t>
  </si>
  <si>
    <t>Catena da collo stupida</t>
  </si>
  <si>
    <t>Łańcuszek na szyję Dumbum</t>
  </si>
  <si>
    <t>Chuỗi cổ câm</t>
  </si>
  <si>
    <t>Kvailios kaklo grandinėlė</t>
  </si>
  <si>
    <t>Rumal kaelakett</t>
  </si>
  <si>
    <t>Buta nyakú lánc</t>
  </si>
  <si>
    <t>Mēma kakla ķēde</t>
  </si>
  <si>
    <t>väljapanekualus A1, mõõdud 84x60cm, väljas kasutamiseks</t>
  </si>
  <si>
    <t xml:space="preserve">Sloupec AF → cena za položku v CZK bez DPH </t>
  </si>
  <si>
    <t>Column AF → price per item in CZK excl. VAT.</t>
  </si>
  <si>
    <t>Spalte AF → Preis pro Artikel in CZK exkl. MwSt.</t>
  </si>
  <si>
    <t>Stupac AF → cijena proizvoda u CZK bez PDV-a</t>
  </si>
  <si>
    <t>Colonna AF → prezzo per articolo in CZK senza IVA</t>
  </si>
  <si>
    <t>Kolumna AF → cena za sztukę w CZK netto.</t>
  </si>
  <si>
    <t>Aile AF → cena par preci CZK bez PVN</t>
  </si>
  <si>
    <t>Veerg AF → kauba hind Tšehhi kroonides, ilma käibemaksuta.</t>
  </si>
  <si>
    <t xml:space="preserve">Cột AF → giá mỗi mặt hàng tính bằng CZK chưa có VAT </t>
  </si>
  <si>
    <t>OSZLOP AF → A TÉTEL ÁRA CZK BAN ÁFA NÉLKÜL</t>
  </si>
  <si>
    <t>Sloupec AG → cena za položku v CZK včetně DPH</t>
  </si>
  <si>
    <t>Column AG → price per item in CZK incl. VAT.</t>
  </si>
  <si>
    <t>Spalte AG → Preis pro Artikel in CZK inkl. Gesetzl. MwSt.</t>
  </si>
  <si>
    <t>Stupac AG → cijena proizvoda u CZK sa uključenim PDV-om</t>
  </si>
  <si>
    <t>Colonna AG → prezzo per articolo in CZK IVA inclusa</t>
  </si>
  <si>
    <t>Kolumna AG → cena za sztukę w CZK brutto.</t>
  </si>
  <si>
    <t>Kolonna AG → cena par preci CZK, ieskaitot PVN</t>
  </si>
  <si>
    <t>Veerg AG → kauba hind Tšehhi kroonides, käibemaksuga.</t>
  </si>
  <si>
    <t>Cột AG → giá mỗi mặt hàng tính bằng CZK bao gồm VAT</t>
  </si>
  <si>
    <t>OSZLOP AG → A TÉTEL ÁRA CZK BAN ÁFÁVAL</t>
  </si>
  <si>
    <t>Sloupec AH → cena za položku v EUR bez DPH</t>
  </si>
  <si>
    <t>Column AH → price per item in EUR excl. VAT.</t>
  </si>
  <si>
    <t>Spalte AH → Preis pro Artikel in EUR ohne MwSt.</t>
  </si>
  <si>
    <t>Stupac AH → cijena proizvoda u EUR bez PDV-a</t>
  </si>
  <si>
    <t>Colonna AH → prezzo per articolo in EUR IVA esclusa</t>
  </si>
  <si>
    <t>Stulpelis AH → prekės kaina EUR be PVM.</t>
  </si>
  <si>
    <t>Kolumna AH → cena za sztukę w EUR netto.</t>
  </si>
  <si>
    <t>Aile AH → cena par preci EUR bez PVN</t>
  </si>
  <si>
    <t>Veerg AH → kauba hind eurodes, ilma käibemaksuta.</t>
  </si>
  <si>
    <t>Cột AH → giá mỗi mặt hàng tính bằng EUR chưa có VAT</t>
  </si>
  <si>
    <t>OSZLOP AH → A TÉTEL ÁRA EUR BAN ÁFA NÉLKÜL</t>
  </si>
  <si>
    <t>Sloupec AI → váha za položku v kg</t>
  </si>
  <si>
    <t>Column AI → weight per item in kg.</t>
  </si>
  <si>
    <t>Säule AI → Gewicht pro Artikel in kg.</t>
  </si>
  <si>
    <t>Stupac AI → težina proizvoda u kg.</t>
  </si>
  <si>
    <t>Colonna AI → peso per articolo in kg</t>
  </si>
  <si>
    <t>Kolumna AI → waga jednej sztuki w kg.</t>
  </si>
  <si>
    <t>Kolonna AI → vienas vienības svars kg</t>
  </si>
  <si>
    <t>Veerg AI → kaal toote kohta kilogrammides</t>
  </si>
  <si>
    <t>Cột AI → trọng lượng mỗi mặt hàng tính bằng kg</t>
  </si>
  <si>
    <t>OSZLOP AI → A TÉTEL SÚLYA KG BAN</t>
  </si>
  <si>
    <t>Sloupec AJ → objem za položku v m3</t>
  </si>
  <si>
    <t>Column AJ → volume per item in m3.</t>
  </si>
  <si>
    <t>Spalte AJ → Volumen pro Artikel in m3.</t>
  </si>
  <si>
    <t>Stupac AJ → obujam proizvoda u m3.</t>
  </si>
  <si>
    <t>Colonna AJ → volume per articolo in m3</t>
  </si>
  <si>
    <t>Kolumna AJ → objętość na sztukę wm3.</t>
  </si>
  <si>
    <t>Kolonna AJ → tilpums uz vienu vienību m3</t>
  </si>
  <si>
    <t>Veerg AJ → maht toote kohta m3-des.</t>
  </si>
  <si>
    <t>Cột AJ → khối lượng mỗi mục tính bằng m3</t>
  </si>
  <si>
    <t>OSZLOP AJ → A TÉTEL TÉRFOGATA M3 BEN</t>
  </si>
  <si>
    <t>Sloupec AK → NEC - čistá váha pyrotechnických složí položek ADR třídy 1.1G</t>
  </si>
  <si>
    <t>Column AK → NEC - net weight of pyrotechnic compositions of ADR Class 1.1G items.</t>
  </si>
  <si>
    <t>Säule AK → NEC - Nettogewicht pyrotechnischer Zusammensetzungen von Gegenständen der ADR-Klasse 1.1G.</t>
  </si>
  <si>
    <t xml:space="preserve">Stupac AK → NEM → neto eksplozivna težina za proizvod prema ADR klasi 1.1G </t>
  </si>
  <si>
    <t>Colonna AK → NEC - peso netto degli articoli a composizione pirotecnica di classe ADR 1.1G</t>
  </si>
  <si>
    <t>Kolumna AK → NEC - masa netto zamówiona dla pozycji ADR Klasa 1.1G.</t>
  </si>
  <si>
    <t>Kolonna AK → NEC - ADR klases 1.1G pirotehniskā sastāva priekšmetu neto svars</t>
  </si>
  <si>
    <t>Veerg AK → NEC - ADR-klassi 1.1G toodete pürotehnilise aine netomass.</t>
  </si>
  <si>
    <t>Cột AK → NEC - trọng lượng của chế phẩm pháo hoa của các mặt hàng ADR cấp 1.1G</t>
  </si>
  <si>
    <t>OSZLOP AK → NEC - A TÉTELEK NETTÓ HATÓANYAG SÚLYA ADR OSTÁLY 1.1G</t>
  </si>
  <si>
    <t>Sloupec AL → NEC - čistá váha pyrotechnických složí položek ADR třídy 1.3G</t>
  </si>
  <si>
    <t>Column AL → NEC - net weight of pyrotechnic compositions of ADR Class 1.3G items.</t>
  </si>
  <si>
    <t>Spalte AL → NEC - Nettogewicht der pyrotechnischen Zusammensetzungen von Gegenständen der ADR-Klasse 1.3G.</t>
  </si>
  <si>
    <t xml:space="preserve">Stupac AL → NEM → neto eksplozivna težina za proizvod prema ADR klasi 1.3G </t>
  </si>
  <si>
    <t>Colonna AL → NEC - peso netto di articoli a composizione pirotecnica di classe ADR 1.3G</t>
  </si>
  <si>
    <t>Kolumna AL → NEC - masa netto zamówienia dla pozycji ADR Klasa 1.3G.</t>
  </si>
  <si>
    <t>Aile AL → NEC - ADR klases 1.3G pirotehniskā sastāva priekšmetu neto svars</t>
  </si>
  <si>
    <t>Veerg AL → NEC - ADR-klassi 1.3G toodete pürotehnilise aine netomass.</t>
  </si>
  <si>
    <t>Cột AL → NEC - trọng lượng của chế phẩm pháo hoa của các vật phẩm ADR cấp 1.3G</t>
  </si>
  <si>
    <t>OSZLOP AL → NEC - A TÉTELEK NETTÓ HATÓANYAG SÚLYA ADR OSTÁLY 1.3G</t>
  </si>
  <si>
    <t>Sloupec AM → NEC - čistá váha pyrotechnických složí položek ADR třídy 1.4G</t>
  </si>
  <si>
    <t>Column AM → NEC - net weight of pyrotechnic compositions of ADR Class 1.4G items.</t>
  </si>
  <si>
    <t>Säule AM → NEC - Nettogewicht pyrotechnischer Zusammensetzungen von Gegenständen der ADR-Klasse 1.4G.</t>
  </si>
  <si>
    <t xml:space="preserve">Stupac AM → NEM → neto eksplozivna težina za proizvod prema ADR klasi 1.4G </t>
  </si>
  <si>
    <t>Colonna AM → NEC - peso netto articoli a composizione pirotecnica di classe ADR 1.4G</t>
  </si>
  <si>
    <t>Kolumna AM → NEC - masa netto zamówienia  dla pozycji ADR Klasa 1.4G.</t>
  </si>
  <si>
    <t>Aile AM → NEC - ADR klases 1.4G pirotehniskā sastāva priekšmetu neto svars</t>
  </si>
  <si>
    <t>Veerg AM → NEC - ADR-klassi 1.4G toodete pürotehnilise aine netomass</t>
  </si>
  <si>
    <t>Cột AM → NEC - trọng lượng của chế phẩm pháo hoa của các hạng mục ADR cấp 1.4G</t>
  </si>
  <si>
    <t>OSZLOP AM → NEC - A TÉTELEK NETTÓ HATÓANYAG SÚLYA ADR OSTÁLY 1.4G</t>
  </si>
  <si>
    <t>Sloupec AN → NEC - čistá váha pyrotechnických složí celkem za všechny ADR třídy</t>
  </si>
  <si>
    <t>Column AN → NEC - net weight of pyrotechnic items together for all ADR classes.</t>
  </si>
  <si>
    <t>Spalte AN → NEC - Nettogewicht der pyrotechnischen Gegenstände zusammen für alle ADR-Klassen.</t>
  </si>
  <si>
    <t>Stupac AN → NEM → ukupna neto eksplozivna težina za sve ADR klase</t>
  </si>
  <si>
    <t>Colonna AN → NEC - peso netto totale dei componenti pirotecnici per tutte le classi ADR</t>
  </si>
  <si>
    <t>Kolumna AN → NEC - waga netto artykułów pirotechnicznych łącznie dla wszystkich klas ADR.</t>
  </si>
  <si>
    <t>Aile AN ​​→ NEC - pirotehnisko komponentu neto svars kopā visām ADR klasēm</t>
  </si>
  <si>
    <t>Veerg AN → NEC - pürotehniliste toodete netomass kokku kõigi ADR-klasside jaoks.</t>
  </si>
  <si>
    <t>Cột AN → NEC - trọng lượng của các chế phẩm pháo hoa cho tất cả các loại ADR</t>
  </si>
  <si>
    <t>OBJ</t>
  </si>
  <si>
    <t>zbytkový</t>
  </si>
  <si>
    <t>Internetové bankovnictví</t>
  </si>
  <si>
    <t>Firemní bankovnictví</t>
  </si>
  <si>
    <t>Přihlášení do MojeBanka a KB+</t>
  </si>
  <si>
    <t>C60020XPR/C(T)</t>
  </si>
  <si>
    <t>K-C6420DU/C</t>
  </si>
  <si>
    <t>Střední a velké firmy, instituce</t>
  </si>
  <si>
    <t xml:space="preserve">Střední a velké firmy, instituce </t>
  </si>
  <si>
    <t xml:space="preserve">Půjčka na cokoli </t>
  </si>
  <si>
    <t xml:space="preserve">Osobní půjčka </t>
  </si>
  <si>
    <t xml:space="preserve">Účet od 15 do 26 let </t>
  </si>
  <si>
    <t>P05DSP1</t>
  </si>
  <si>
    <t>P066D20P1</t>
  </si>
  <si>
    <t>P10D20SP1</t>
  </si>
  <si>
    <t>MDLEZ1M</t>
  </si>
  <si>
    <t>Dumbum mikina se zipem a kapucí M - limited edition</t>
  </si>
  <si>
    <t>MDLEZ1L</t>
  </si>
  <si>
    <t>Dumbum mikina se zipem a kapucí L - limited edition</t>
  </si>
  <si>
    <t>MDLEZ1XL</t>
  </si>
  <si>
    <t>Dumbum mikina se zipem a kapucí XL - limited edition</t>
  </si>
  <si>
    <t>MDLEZ1XXL</t>
  </si>
  <si>
    <t>Dumbum mikina se zipem a kapucí XXL - limited edition</t>
  </si>
  <si>
    <t xml:space="preserve">D/BAM2494/18 </t>
  </si>
  <si>
    <t>BAM-F1-0383</t>
  </si>
  <si>
    <t>D/BAM-926/22</t>
  </si>
  <si>
    <t>BAM-F1-0384</t>
  </si>
  <si>
    <t>BAM-F1-0385</t>
  </si>
  <si>
    <t>D/BAM-928/22</t>
  </si>
  <si>
    <t>BAM-F2-2185</t>
  </si>
  <si>
    <t>BAM-F1-0387</t>
  </si>
  <si>
    <t>BAM-F2-2185 # D/BAM-930/22</t>
  </si>
  <si>
    <t>BAM-F1-0387 # D/BAM-926/22</t>
  </si>
  <si>
    <t>D/BAM-0862/22</t>
  </si>
  <si>
    <t>D/BAM-0863/22</t>
  </si>
  <si>
    <t>D/BAM-930/22</t>
  </si>
  <si>
    <t>BAM-F2-2189</t>
  </si>
  <si>
    <t>BAM-F2-2188</t>
  </si>
  <si>
    <t>D/BAM-2495/18</t>
  </si>
  <si>
    <t>BAM-F2-2190</t>
  </si>
  <si>
    <t>BAM-F2-2191</t>
  </si>
  <si>
    <t>BAM-F1-0388</t>
  </si>
  <si>
    <t>BAM-F2-2193</t>
  </si>
  <si>
    <t>BAM-F2-2193 # D/BAM-0931/22</t>
  </si>
  <si>
    <t>BAM-F2-2194</t>
  </si>
  <si>
    <t>D/BAM-1003/20</t>
  </si>
  <si>
    <t>D/BAM-0934/22</t>
  </si>
  <si>
    <t>D/BAM-0935/22</t>
  </si>
  <si>
    <t>D/BAM-927/22</t>
  </si>
  <si>
    <t>D/BAM-0089/20</t>
  </si>
  <si>
    <t>D/BAM-2497/18</t>
  </si>
  <si>
    <t xml:space="preserve">D/BAM-2495/18 </t>
  </si>
  <si>
    <t>BAM-F2-2196</t>
  </si>
  <si>
    <t>D/BAM-2496/18</t>
  </si>
  <si>
    <t xml:space="preserve">D/BAM-1002/20 </t>
  </si>
  <si>
    <t>BAM-F2-2199</t>
  </si>
  <si>
    <t>BAM-F2-2200</t>
  </si>
  <si>
    <t>BAM-F2-2201</t>
  </si>
  <si>
    <t>D/BAM-2498/18</t>
  </si>
  <si>
    <t>D/BAM-0933/22</t>
  </si>
  <si>
    <t>BAM-F2-2209</t>
  </si>
  <si>
    <t>BAM-F2-2206</t>
  </si>
  <si>
    <t>BAM-F2-2208</t>
  </si>
  <si>
    <t>BAM-F2-2192</t>
  </si>
  <si>
    <t xml:space="preserve">2.6/0756/19 </t>
  </si>
  <si>
    <t>škrtací petarda ,síla výbuchu 120dB z 15m, vyrobeno v Evropě, plastová ucpávka</t>
  </si>
  <si>
    <t>scatcher petard, sound power 120dB form 15m, made in Europe, plastic seal</t>
  </si>
  <si>
    <t>Reibkopfknaller,Explosionskraft 120dB von 15m, lHergestellt in Europa,Plastikdichtung</t>
  </si>
  <si>
    <t>petarda, aktivacija kresom,snaga zvuka 120dB na udaljenosti 15m, proizvedeno u Europi, plastični čep</t>
  </si>
  <si>
    <t>petard scatcher,,potenza sonora 120dB forma 15m, made in Europe, guarnizione in plastica</t>
  </si>
  <si>
    <t>Petarda na trenje, jačina 120dB na 15m, plastičan čep, proizvedeno u Evropi</t>
  </si>
  <si>
    <t>pháo quẹt nhỏ, sức nổ120dB từ 15m, sản xuất tại Châu Âu, cấm đít ống bằng nhựa</t>
  </si>
  <si>
    <t>nukrapštoma petarda,garso galia 120dB nuo 15m, pagaminta Europoje, plastikinis uždarymas</t>
  </si>
  <si>
    <t>kraapijaga pauguti,helitugevus 120dB 15m kaugusel, toodetud Euroopas, plastik kate</t>
  </si>
  <si>
    <t>dörzsfejes petárda nagy,robbanás ereje 120db 15m ről eu ban gyártott, műanyag lezáró</t>
  </si>
  <si>
    <t>Skrāpējama petarde,Skaļuma jauda 120dB no 15m, ražots Eiropa, plastmasās apvelka</t>
  </si>
  <si>
    <t>Dumbum mikina se zipem a kapucí M -limited edition</t>
  </si>
  <si>
    <t>Dumbum hoodie with zip and hood M -limited edition</t>
  </si>
  <si>
    <t>Sweatshirt mit Reißverschluss und Kapuze M -limited edition</t>
  </si>
  <si>
    <t>Majica s kapuljačom i patentnim zatvaračem M - ograničeno izdanje</t>
  </si>
  <si>
    <t>Felpa con zip e cappuccio Dumbum M -edizione limitata</t>
  </si>
  <si>
    <t>bluza z kapturem zapinana na zamek  Dumbum, edycja limitowana, rozm. M</t>
  </si>
  <si>
    <t>Dumbum dukserica sa patentnim zatvaračem i kapuljačom M, ograničeno izdanje</t>
  </si>
  <si>
    <t>áo có khóa kéo và mũ trùm đầu Dumbum M - số lượng giới hạn</t>
  </si>
  <si>
    <t>Dumbum džemperis su kapišonu ir užtrauktuku M dydžio, riboto leidimo</t>
  </si>
  <si>
    <t>tõmbluku ja kapuutsiga dressipluus, M, piiratud väljaanne</t>
  </si>
  <si>
    <t>dumbum kapucnis pulóver cipzárral, M - limitált kiadás</t>
  </si>
  <si>
    <t>Dumbum hudi ar rāvējslēdzēju un kapuci M ierobežota tīražā</t>
  </si>
  <si>
    <t>Dumbum mikina se zipem a kapucí L -limited edition</t>
  </si>
  <si>
    <t>Dumbum hoodie with zip and hood L -limited edition</t>
  </si>
  <si>
    <t>Sweatshirt mit Reißverschluss und Kapuze L -limited edition</t>
  </si>
  <si>
    <t>Majica s kapuljačom i patentnim zatvaračem L - ograničeno izdanje</t>
  </si>
  <si>
    <t>Felpa con zip e cappuccio Dumbum L -limited edition</t>
  </si>
  <si>
    <t>bluza z kapturem zapinana na zamek  Dumbum, edycja limitowana, rozm. L</t>
  </si>
  <si>
    <t>Dumbum dukserica sa patentnim zatvaračem i kapuljačom L, ograničeno izdanje</t>
  </si>
  <si>
    <t>áo có khóa kéo và mũ trùm đầu Dumbum L - số lượng giới hạn</t>
  </si>
  <si>
    <t>Dumbum džemperis su kapišonu ir užtrauktuku L dydžio, riboto leidimo</t>
  </si>
  <si>
    <t>tõmbluku ja kapuutsiga dressipluus, L, piiratud väljaanne</t>
  </si>
  <si>
    <t>dumbum kapucnis pulóver cipzárral, L - limitált kiadás</t>
  </si>
  <si>
    <t>Dumbum hudi ar rāvējslēdzēju un kapuci L ierobežota tīražā</t>
  </si>
  <si>
    <t>Dumbum mikina se zipem a kapucí XL -limited edition</t>
  </si>
  <si>
    <t>Dumbum hoodie with zip and hood XL -limited edition</t>
  </si>
  <si>
    <t>Sweatshirt mit Reißverschluss und Kapuze XL -limited edition</t>
  </si>
  <si>
    <t>Majica s kapuljačom i patentnim zatvaračem XL - ograničeno izdanje</t>
  </si>
  <si>
    <t>Felpa con zip e cappuccio Dumbum XL -limited edition</t>
  </si>
  <si>
    <t>bluza z kapturem zapinana na zamek  Dumbum, edycja limitowana, rozm. XL</t>
  </si>
  <si>
    <t>Dumbum dukserica sa patentnim zatvaračem i kapuljačom XL, ograničeno izdanje</t>
  </si>
  <si>
    <t>áo có khóa kéo và mũ trùm đầu Dumbum XL -  số lượng giới hạn</t>
  </si>
  <si>
    <t>Dumbum džemperis su kapišonu ir užtrauktuku XL dydžio, riboto leidimo</t>
  </si>
  <si>
    <t>tõmbluku ja kapuutsiga dressipluus, XL, piiratud väljaanne</t>
  </si>
  <si>
    <t>dumbum kapucnis pulóver cipzárral, XL - limitált kiadás</t>
  </si>
  <si>
    <t>Dumbum hudi ar rāvējslēdzēju un kapuci XL ierobežota tīražā</t>
  </si>
  <si>
    <t>Dumbum mikina se zipem a kapucí XXL -limited edition</t>
  </si>
  <si>
    <t>Dumbum hoodie with zip and hood XXL -limited edition</t>
  </si>
  <si>
    <t>Sweatshirt mit Reißverschluss und Kapuze XXL -limited edition</t>
  </si>
  <si>
    <t>Majica s kapuljačom i patentnim zatvaračem XXL - ograničeno izdanje</t>
  </si>
  <si>
    <t>Felpa con zip e cappuccio Dumbum XXL -limited edition</t>
  </si>
  <si>
    <t>bluza z kapturem zapinana na zamek  Dumbum, edycja limitowana, rozm. XXL</t>
  </si>
  <si>
    <t>Dumbum dukserica sa patentnim zatvaračem i kapuljačom XXL, ograničeno izdanje</t>
  </si>
  <si>
    <t>áo có khóa kéo và mũ trùm đầu Dumbum XXL - số lượng giới hạn</t>
  </si>
  <si>
    <t>Dumbum džemperis su kapišonu ir užtrauktuku XXL dydžio, riboto leidimo</t>
  </si>
  <si>
    <t>tõmbluku ja kapuutsiga dressipluus, XXL, piiratud väljaanne</t>
  </si>
  <si>
    <t>dumbum kapucnis pulóver cipzárral, XXL - limitált kiadás</t>
  </si>
  <si>
    <t>Dumbum hudi ar rāvējslēdzēju un kapuci XXL ierobežota tīražā</t>
  </si>
  <si>
    <t>Výrobky zábavné pyrotechniky
Fireworks</t>
  </si>
  <si>
    <t>Shell 150mm brocade crown to blue to red strobe w/red strobe pistil</t>
  </si>
  <si>
    <t>about us</t>
  </si>
  <si>
    <t>druhů:</t>
  </si>
  <si>
    <t>podíl 5:</t>
  </si>
  <si>
    <t>Část 1 načítá:</t>
  </si>
  <si>
    <t>Část 3 načítá:</t>
  </si>
  <si>
    <t>Část 5 načítá:</t>
  </si>
  <si>
    <t>Část 4 načítá:</t>
  </si>
  <si>
    <t>tento</t>
  </si>
  <si>
    <t>importuju</t>
  </si>
  <si>
    <t>Detail kurzu GBP</t>
  </si>
  <si>
    <t>€</t>
  </si>
  <si>
    <t>£</t>
  </si>
  <si>
    <t>Logo Komerční banky</t>
  </si>
  <si>
    <t>min.</t>
  </si>
  <si>
    <t>dělit po</t>
  </si>
  <si>
    <t>příklady:</t>
  </si>
  <si>
    <t>Objednávek:</t>
  </si>
  <si>
    <t>Počet objednávek při 50 VK:</t>
  </si>
  <si>
    <t>Níže jsou informace k objednávce pro pracovníky firmy Klásek.</t>
  </si>
  <si>
    <t>Část (1) a Část (2)</t>
  </si>
  <si>
    <t>Část (1), Část (2) a Část (3)</t>
  </si>
  <si>
    <t>Část (1), Část (2), Část (3) a Část (4)</t>
  </si>
  <si>
    <t>Část (1), Část (2), Část (3), Část (4) a Část (5)</t>
  </si>
  <si>
    <t>Below is the order information for Klásek employees.</t>
  </si>
  <si>
    <t>Nachfolgend finden Sie die Bestellinformationen für Klásek-Mitarbeiter.</t>
  </si>
  <si>
    <t>Poniżej znajdują się informacje o zamówieniu dla pracowników Klaska.</t>
  </si>
  <si>
    <t>Dưới đây là thông tin đặt hàng dành cho nhân viên Klásek.</t>
  </si>
  <si>
    <t>Žemiau yra užsakymo informacija Klásek darbuotojams.</t>
  </si>
  <si>
    <t>Ispod su informacije o narudžbi za zaposlenike Kláseka.</t>
  </si>
  <si>
    <t>Ispod su informacije o porudžbini za zaposlene u Klasek-u.</t>
  </si>
  <si>
    <t>Di seguito sono riportate le informazioni sull'ordine per i dipendenti Klásek.</t>
  </si>
  <si>
    <t>Allpool on Kláseki töötajate tellimisteave.</t>
  </si>
  <si>
    <t>Az alábbiakban a Klásek dolgozóinak rendelési adatai találhatók.</t>
  </si>
  <si>
    <t>Zemāk ir informācija par pasūtījumu Klásek darbiniekiem.</t>
  </si>
  <si>
    <t>počet ks</t>
  </si>
  <si>
    <t>hmotnost</t>
  </si>
  <si>
    <t>součet ks na tomto listě:</t>
  </si>
  <si>
    <t>hmotnost dílčí objednávky:</t>
  </si>
  <si>
    <t>Část 2 načítá:</t>
  </si>
  <si>
    <t>BP</t>
  </si>
  <si>
    <t>Touto barvou jsou označeny výrobky s garancí nejnižší ceny.</t>
  </si>
  <si>
    <t>Products with the lowest price guarantee are marked with this color.</t>
  </si>
  <si>
    <t>Produkte mit Tiefstpreisgarantie sind mit dieser Farbe gekennzeichnet.</t>
  </si>
  <si>
    <t>Kolorem tym oznaczone są produkty posiadające gwarancję najniższej ceny. Nie dotyczy Polski.</t>
  </si>
  <si>
    <t>Các sản phẩm có mức đảm bảo giá thấp nhất sẽ được đánh dấu bằng màu này.</t>
  </si>
  <si>
    <t>Šia spalva žymimi gaminiai su mažiausios kainos garantija.</t>
  </si>
  <si>
    <t>Ovom bojom označeni su proizvodi s jamstvom najniže cijene.</t>
  </si>
  <si>
    <t>Ovom bojom su označeni proizvodi sa garancijom najniže cene.</t>
  </si>
  <si>
    <t>I prodotti con il prezzo più basso garantito sono contrassegnati da questo colore.</t>
  </si>
  <si>
    <t>Selle värviga on märgitud madalaima hinna garantiiga tooted.</t>
  </si>
  <si>
    <t>A legalacsonyabb árgaranciával rendelkező termékek ezzel a színnel vannak jelölve. Magyarországra nem vonatkozik.</t>
  </si>
  <si>
    <t>Ar šo krāsu tiek marķētas preces ar zemākās cenas garantiju.</t>
  </si>
  <si>
    <t>PETARDY</t>
  </si>
  <si>
    <t>UZMANĪBU!!! Petardes P30D, P50D un P170 pārsniedza 30% no pasūtījuma vērtības!</t>
  </si>
  <si>
    <t>FIGYELEM!!! A P30D, P50D és P170 petárdák meghaladták a rendelési érték 30%-át!</t>
  </si>
  <si>
    <t>TÄHELEPANU!!! Tuleristsed P30D, P50D ja P170 ületasid 30% tellimuse väärtusest!</t>
  </si>
  <si>
    <t>ATTENZIONE!!! I petardi P30D, P50D e P170 hanno superato il 30% del valore dell'ordine!</t>
  </si>
  <si>
    <t>PAŽNJA!!! Petarde P30D, P50D i P170 premašile 30% vrednosti porudžbine!</t>
  </si>
  <si>
    <t>PAŽNJA!!! Petarde P30D, P50D i P170 premašile su 30% vrijednosti narudžbe!</t>
  </si>
  <si>
    <t>DĖMESIO!!! Petardos P30D, P50D ir P170 viršijo 30% užsakymo vertės!</t>
  </si>
  <si>
    <t>CHÚ Ý!!! Pháo P30D, P50D và P170 vượt 30% giá trị đơn hàng!</t>
  </si>
  <si>
    <t>UWAGA!!! Petardy P30D, P50D i P170 przekroczyły 30% wartości zamówienia!</t>
  </si>
  <si>
    <t>AUFMERKSAMKEIT!!! Die Böller P30D, P50D und P170 überstiegen 30 % des Bestellwertes!</t>
  </si>
  <si>
    <t>ATTENTION!!! Firecrackers P30D, P50D and P170 exceeded 30% of the order value!</t>
  </si>
  <si>
    <t>Nejlevněji nakoupíte vždy u nás = poskytujeme garanci nejlevnější ceny!</t>
  </si>
  <si>
    <t>Tato nabídka se vztahuje na všechny firmy z členských státu Evropské unie (mimo Polska a Bulharska).</t>
  </si>
  <si>
    <t>You will always buy the cheapest with us = we guarantee the cheapest price!</t>
  </si>
  <si>
    <t>We have reduced the prices of all comparable items and marked them in green in the price list.</t>
  </si>
  <si>
    <t>If an existing customer brings proof that they have bought the same item marked in green in our price list cheaper from a competitor (not applicable to old or sale items) = they will get that item from us in their next purchase an additional 3% cheaper than the competitor offers!</t>
  </si>
  <si>
    <t>This offer applies to all companies from EU member states (except Poland and Bulgaria).</t>
  </si>
  <si>
    <t>Bei uns kaufen Sie immer zum günstigsten Preis = wir garantieren den günstigsten Preis!</t>
  </si>
  <si>
    <t>Wir haben alle vergleichbaren Artikel im Preis reduziert und in der Preisliste grün markiert.</t>
  </si>
  <si>
    <t>Wenn ein bestehender Kunde den Nachweis erbringt, dass er den gleichen, in unserer Preisliste grün markierten Artikel günstiger bei einem Mitbewerber gekauft hat (gilt nicht für Alt- oder Ausverkaufsartikel) = erhält er diesen Artikel bei uns bei seinem nächsten Einkauf zusätzlich 3 % günstiger als die Konkurrenz anbietet!</t>
  </si>
  <si>
    <t>Dieses Angebot gilt für alle Unternehmen aus EU-Mitgliedstaaten (außer Polen und Bulgarien).</t>
  </si>
  <si>
    <t>Kod nas ćete uvijek kupiti najjeftinije = garantiramo najjeftiniju cijenu!</t>
  </si>
  <si>
    <t>Sve usporedive artikle smo snizili i u cjeniku označili zelenom bojom.</t>
  </si>
  <si>
    <t>Ako postojeći kupac donese dokaz da je isti artikl označen zelenom bojom u našem cjeniku kupio jeftinije od konkurencije (ne odnosi se na stare artikle ili artikle na rasprodaji) = taj će artikl kod nas pri sljedećoj kupnji dobiti dodatnih 3% jeftinije nego što nudi konkurencija!</t>
  </si>
  <si>
    <t>Ova ponuda vrijedi za sve tvrtke iz zemalja članica EU (osim Poljske i Bugarske).</t>
  </si>
  <si>
    <t>Con noi comprerai sempre il prezzo più conveniente = garantiamo il prezzo più basso!</t>
  </si>
  <si>
    <t>Abbiamo ridotto i prezzi di tutti gli articoli comparabili e li abbiamo contrassegnati in verde nel listino prezzi.</t>
  </si>
  <si>
    <t>Se un cliente esistente porta la prova di aver acquistato lo stesso articolo contrassegnato in verde nel nostro listino prezzi più economico da un concorrente (non applicabile agli articoli vecchi o in saldo) = riceverà da noi quell'articolo al prossimo acquisto con un ulteriore 3% in meno rispetto alle offerte del concorrente!</t>
  </si>
  <si>
    <t>Questa offerta si applica a tutte le aziende degli stati membri dell'UE (eccetto Polonia e Bulgaria).</t>
  </si>
  <si>
    <t>Pas mus visada įsigysite pigiausią = pigiausią kainą garantuojame!</t>
  </si>
  <si>
    <t>Visų palyginamų prekių kainas sumažinome ir kainoraštyje pažymėjome žalia spalva.</t>
  </si>
  <si>
    <t>Jei esamas klientas atsineša įrodymą, kad tą pačią prekę, pažymėtą žalia spalva mūsų kainoraštyje, nusipirko pigiau iš konkurento (netaikoma senoms ar išpardavimo prekėms) = kitą pirkimą jis gaus iš mūsų tą prekę dar 3% pigiau. nei siūlo konkurentas!</t>
  </si>
  <si>
    <t>Šis pasiūlymas galioja visoms įmonėms iš ES valstybių narių (išskyrus Lenkiją ir Bulgariją).</t>
  </si>
  <si>
    <t>U nas zawsze kupisz najtaniej = gwarantujemy najniższą cenę!</t>
  </si>
  <si>
    <t>Obniżyliśmy ceny wszystkich porównywalnych artykułów i oznaczyliśmy je w cenniku kolorem zielonym.</t>
  </si>
  <si>
    <t>Jeśli istniejący klient przedstawi dowód, że kupił ten sam przedmiot oznaczony na zielono w naszym cenniku taniej od konkurencji (nie dotyczy artykułów starych lub przecenionych) = otrzyma od nas ten przedmiot przy następnym zakupie o dodatkowe 3% taniej niż oferuje konkurencja!</t>
  </si>
  <si>
    <t>Oferta ta dotyczy wszystkich firm z krajów członkowskich UE (z wyjątkiem Polski i Bułgarii).</t>
  </si>
  <si>
    <t>Код нас ћете увек купити најјефтиније = гарантујемо најјефтинију цену!</t>
  </si>
  <si>
    <t>Снизили смо цене свих упоредивих артикала и означили их зеленом бојом у ценовнику.</t>
  </si>
  <si>
    <t>Ако постојећи купац донесе доказ да је исти артикал означен зеленом бојом на нашем ценовнику купио јефтиније од конкурента (не односи се на старе или распродаје) = тај артикал ће од нас добити у следећој куповини додатних 3% јефтиније него што нуди конкурент!</t>
  </si>
  <si>
    <t>Ова понуда се односи на све компаније из земаља чланица ЕУ (осим Пољске и Бугарске).</t>
  </si>
  <si>
    <t>Pie mums vienmēr iegādāsieties lētāko = mēs garantējam lētāko cenu!</t>
  </si>
  <si>
    <t>Esam samazinājuši cenas visām salīdzināmajām precēm un atzīmējām tās cenrādī zaļā krāsā.</t>
  </si>
  <si>
    <t>Ja esošais klients atnes pierādījumu, ka ir iegādājies to pašu preci, kas mūsu cenrādī atzīmēta ar zaļu krāsu, no konkurenta lētāk (neattiecas uz vecām vai izpārdošanas precēm) = nākamajā pirkumā viņš saņems šo preci no mums par papildu 3% lētāk nekā piedāvā konkurents!</t>
  </si>
  <si>
    <t>Šis piedāvājums attiecas uz visiem uzņēmumiem no ES dalībvalstīm (izņemot Poliju un Bulgāriju).</t>
  </si>
  <si>
    <t>Meie juurest ostate alati kõige odavamalt = garanteerime odavaima hinna!</t>
  </si>
  <si>
    <t>Oleme kõigi võrreldavate esemete hindu langetanud ja hinnakirjas märkinud rohelisega.</t>
  </si>
  <si>
    <t>Kui olemasolev klient toob kaasa tõendi, et ta on ostnud sama meie hinnakirjas rohelisega märgitud kauba konkurendilt soodsamalt (ei kehti vanadele ega müügikaupadele) = ta saab selle kauba meilt järgmisel ostul lisaks 3% soodsamalt kui konkurent pakub!</t>
  </si>
  <si>
    <t>See pakkumine kehtib kõikidele EL-i liikmesriikide ettevõtetele (v.a Poola ja Bulgaaria).</t>
  </si>
  <si>
    <t>Bạn sẽ luôn mua được giá rẻ nhất với chúng tôi = chúng tôi đảm bảo giá rẻ nhất!</t>
  </si>
  <si>
    <t>Chúng tôi đã giảm giá của tất cả các mặt hàng tương đương và đánh dấu chúng bằng màu xanh lá cây trong bảng giá.</t>
  </si>
  <si>
    <t>Nếu khách hàng hiện tại đưa ra bằng chứng rằng họ đã mua cùng một mặt hàng được đánh dấu màu xanh lá cây trong bảng giá của chúng tôi với giá rẻ hơn từ đối thủ cạnh tranh (không áp dụng cho các mặt hàng cũ hoặc đang giảm giá) = họ sẽ nhận được mặt hàng đó từ chúng tôi trong lần mua tiếp theo với giá rẻ hơn 3% hơn đối thủ cạnh tranh đưa ra!</t>
  </si>
  <si>
    <t>Ưu đãi này áp dụng cho tất cả các công ty từ các quốc gia thành viên EU (trừ Ba Lan và Bulgaria).</t>
  </si>
  <si>
    <t>Mindig nálunk vásárolja a legolcsóbbat = garantáljuk a legolcsóbb árat!</t>
  </si>
  <si>
    <t>Minden összehasonlítható termék árát csökkentettük és zölddel jelöltük az árlistában.</t>
  </si>
  <si>
    <t>Ha egy meglévő vásárló igazolja, hogy ugyanazt az árlistánkban zölddel jelölt terméket olcsóbban vásárolta egy versenytárstól (régi vagy akciós termékekre nem vonatkozik) = a következő vásárláskor további 3%-kal olcsóbban kapja meg tőlünk azt a terméket. mint a versenytárs kínálja!</t>
  </si>
  <si>
    <t>Ez az ajánlat az EU-tagországok összes vállalatára vonatkozik (kivéve Lengyelország és Bulgária).</t>
  </si>
  <si>
    <t>5BP</t>
  </si>
  <si>
    <t>¨ vyhledávaní</t>
  </si>
  <si>
    <t xml:space="preserve">Dětský účet od 6 let </t>
  </si>
  <si>
    <t xml:space="preserve">Nabídka pro děti </t>
  </si>
  <si>
    <t>vyhledávaní Zrušit</t>
  </si>
  <si>
    <t xml:space="preserve">Spokojenost klientů </t>
  </si>
  <si>
    <t>Udržitelnost</t>
  </si>
  <si>
    <t xml:space="preserve">Udržitelnost </t>
  </si>
  <si>
    <t xml:space="preserve">Sponzorujeme </t>
  </si>
  <si>
    <t>Živnostníci a malé firmy</t>
  </si>
  <si>
    <t xml:space="preserve">Finanční poradenství </t>
  </si>
  <si>
    <t xml:space="preserve">Extra služby </t>
  </si>
  <si>
    <t xml:space="preserve">Živnostníci a malé firmy </t>
  </si>
  <si>
    <t>20/12/8</t>
  </si>
  <si>
    <t>DP1FV</t>
  </si>
  <si>
    <t>Vulcano</t>
  </si>
  <si>
    <t>Včeličky</t>
  </si>
  <si>
    <t>RDG60ZEOCER(SH)</t>
  </si>
  <si>
    <t>Dýmovnice-škrtací mix(zelená,oranžová,černá)</t>
  </si>
  <si>
    <t>SP60S</t>
  </si>
  <si>
    <t>Signální pochodeň</t>
  </si>
  <si>
    <t>F17S</t>
  </si>
  <si>
    <t>Snowman</t>
  </si>
  <si>
    <t>F18NB</t>
  </si>
  <si>
    <t>Neon balls</t>
  </si>
  <si>
    <t>C320B</t>
  </si>
  <si>
    <t>Brocade war 3</t>
  </si>
  <si>
    <t>C330B</t>
  </si>
  <si>
    <t>R5DU14</t>
  </si>
  <si>
    <t>40/30</t>
  </si>
  <si>
    <t>C5DU14</t>
  </si>
  <si>
    <t>P5DU13(1)</t>
  </si>
  <si>
    <t>Scream rocket</t>
  </si>
  <si>
    <t>RSS75</t>
  </si>
  <si>
    <t>Shell show</t>
  </si>
  <si>
    <t>KK2024</t>
  </si>
  <si>
    <t>C3614B14</t>
  </si>
  <si>
    <t>Bob</t>
  </si>
  <si>
    <t>C3620V</t>
  </si>
  <si>
    <t>Vampire</t>
  </si>
  <si>
    <t>C3620N14</t>
  </si>
  <si>
    <t>Ninja</t>
  </si>
  <si>
    <t>Profi Fireworks show 536</t>
  </si>
  <si>
    <t>C3625P</t>
  </si>
  <si>
    <t>Pyro war</t>
  </si>
  <si>
    <t>C3625P14</t>
  </si>
  <si>
    <t>Pyro Fury</t>
  </si>
  <si>
    <t>Profi Fireworks show 216</t>
  </si>
  <si>
    <t>Profi Fireworks show 222</t>
  </si>
  <si>
    <t>HF2244</t>
  </si>
  <si>
    <t>HF2243</t>
  </si>
  <si>
    <t>HF-96-2362s</t>
  </si>
  <si>
    <t>HF-102-2214</t>
  </si>
  <si>
    <t>HF-101-2216</t>
  </si>
  <si>
    <t>HF-108-2315</t>
  </si>
  <si>
    <t>RKD-24018</t>
  </si>
  <si>
    <t>RKD-24019</t>
  </si>
  <si>
    <t>Riakeo baterie</t>
  </si>
  <si>
    <t>Riakeo dvojité složené ohňostroje</t>
  </si>
  <si>
    <t>CZ, DE</t>
  </si>
  <si>
    <t>SK, PL</t>
  </si>
  <si>
    <t>CZ, SK, PL</t>
  </si>
  <si>
    <t>CZ, SK, PL, LT</t>
  </si>
  <si>
    <t>CZ, SK, PL, LT, DE, EN, HR</t>
  </si>
  <si>
    <t>CZ, SK, DE, LT, PL</t>
  </si>
  <si>
    <t>CZ, SK, PL, DE, LT</t>
  </si>
  <si>
    <t>SK, LT</t>
  </si>
  <si>
    <t>CZ, SK, PL, LT, DE</t>
  </si>
  <si>
    <t>CZ, SK</t>
  </si>
  <si>
    <t>PL, LT</t>
  </si>
  <si>
    <t>CZ, SK, PL, DE, LT, EN</t>
  </si>
  <si>
    <t>CZ, SK, PL, DE, LT, EN, HU</t>
  </si>
  <si>
    <t>CZ, PL</t>
  </si>
  <si>
    <t>CZ, SK, PL, LT, DE, EN</t>
  </si>
  <si>
    <t>CZ, SK, LT, PL, DE</t>
  </si>
  <si>
    <t>CZ, SK, EN, PL, HR, DE, HU, LT</t>
  </si>
  <si>
    <t>CZ, SK, PL, LT, EN, DE</t>
  </si>
  <si>
    <t>CZ, SK, PL, LT, DE, EN, HR, HU</t>
  </si>
  <si>
    <t>CZ, SK, PL, DE</t>
  </si>
  <si>
    <t>CZ, SK, PL, DE, LT, EN, LV, EST</t>
  </si>
  <si>
    <t>CZ, SK, PL, DE, LT, EST, EN</t>
  </si>
  <si>
    <t>CZ, SK, PL, LT, DE, EN, FR</t>
  </si>
  <si>
    <t>CZ, SK, EN, PL, LT</t>
  </si>
  <si>
    <t>CZ, SK, PL, EN, LT, HU, HR, DE</t>
  </si>
  <si>
    <t>CZ, SK, PL, EN, LT, HU, DE, HR</t>
  </si>
  <si>
    <t>CZ, SK, PL, EN, LT, DE</t>
  </si>
  <si>
    <t>CZ, SK, PL, LT, FR</t>
  </si>
  <si>
    <t>PL, EN, LT, DE</t>
  </si>
  <si>
    <t>CZ, SK, EN, LT, DE, SRB</t>
  </si>
  <si>
    <t>CZ, SK, PL, EN, LT</t>
  </si>
  <si>
    <t>CZ, SK, PL, LT, EN</t>
  </si>
  <si>
    <t>CZ, SK, PL, DE, EN, LT</t>
  </si>
  <si>
    <t>CZ, SK, PL, EN, DE, LT</t>
  </si>
  <si>
    <t>CZ, SK, NL, DE, PL</t>
  </si>
  <si>
    <t>CZ, SK, DE</t>
  </si>
  <si>
    <t>CZ, SK, PL, SRB</t>
  </si>
  <si>
    <t>CZ, SK, PL, DE, SRB</t>
  </si>
  <si>
    <t>CZ, SK, DE, HU</t>
  </si>
  <si>
    <t>CZ, SK, LT, PL</t>
  </si>
  <si>
    <t>CZ, SK, DE, EN, HU, PL, LT, HR, IT</t>
  </si>
  <si>
    <t>CZ, SK, PL, LT, IT, HR, DE, EN</t>
  </si>
  <si>
    <t xml:space="preserve">CZ, SK, </t>
  </si>
  <si>
    <t>CZ, SK, PL, DE, HR, EN, HU, LT</t>
  </si>
  <si>
    <t>CZ, SK, PL, NL, EN, HR, LT, DE</t>
  </si>
  <si>
    <t>CZ, DE, PL, SK, NL, LT, EN</t>
  </si>
  <si>
    <t>CZ, SK, PL, LT, DE, EN, EST</t>
  </si>
  <si>
    <t>CZ, SK, PL, LT, EN, EST, DE, HU, HR, SRB, NL</t>
  </si>
  <si>
    <t>CZ, SK, PL, DE, LT, DK, EN, HU, HR</t>
  </si>
  <si>
    <t>CZ, SK, PL, LT, EN, DE, EST, HU, HR, NL, DK, IT, SRB, FR</t>
  </si>
  <si>
    <t>CZ, SK, PL, LT, EN, DE, EST, HR, FR</t>
  </si>
  <si>
    <t>CZ, SK, DE, PL, EN, LT, DK, EST, HU, HR, IT, FR, SRB, NL</t>
  </si>
  <si>
    <t>CZ, SK, PL, LT, EN, DE, EST, HU, HR, NL, DK, LV, IT, SLO, FR, RO, SRB</t>
  </si>
  <si>
    <t>CZ, SK, PL, LT, EN, DE, EST, HU, HR, LV, IT, NL, DK, SLO, FR, RO, SRB</t>
  </si>
  <si>
    <t>CZ, SK, PL, LT, EN, DE, EST, HU, HR, LV, IT, NL, DK, SLO, RO, FR, SRB</t>
  </si>
  <si>
    <t>CZ, SK, PL, LT, DE, EN, HR, EST, HU, LV, IT, NL, DK, SLO, RO, FR, SRB</t>
  </si>
  <si>
    <t>CZ, SK, PL, LT, DE, EST, HU, HR, IT, SLO, EN, DK, FR, NL, RO, SRB, LV</t>
  </si>
  <si>
    <t>CZ, SK, LT, PL, DE, EST, HU, HR, IT, SLO, EN, DK, FR</t>
  </si>
  <si>
    <t>CZ, SK, PL, LT, DE, EN, EST, FR</t>
  </si>
  <si>
    <t>CZ, SK, LT</t>
  </si>
  <si>
    <t>CZ, SK, DE, EN, PL, LT</t>
  </si>
  <si>
    <t>CZ, SK, PL, LT, EN, DE, EST</t>
  </si>
  <si>
    <t>CZ, SK, EN, DE, PL, NL, DK, LT, FR, HU, IT, EST, HR, SRB</t>
  </si>
  <si>
    <t>CZ, SK, LT, PL, DE, HU, EST, HR, SRB, FR, IT, EN</t>
  </si>
  <si>
    <t>CZ, SK, EN, LT, PL, DE, DK, FR, IT, EST, NL, LV, HU, RO, HR, SRB, SLO</t>
  </si>
  <si>
    <t>CZ, SK, FR, PL, EN, LT, NL</t>
  </si>
  <si>
    <t>CZ, SK, DE, PL, LT, IT, EN, FR</t>
  </si>
  <si>
    <t>CZ, SK, DK, PL, DE, EN, NL, LT, FR</t>
  </si>
  <si>
    <t>CZ, SK, DK, PL, DE, FR, NL, IT, HR, SRB, EN, LT</t>
  </si>
  <si>
    <t>CZ, SK, PL, LT, DE, FR, EN</t>
  </si>
  <si>
    <t>CZ, SK, PL, EN, DK, FR, IT, HR, SRB, EST, HU, DE, LT</t>
  </si>
  <si>
    <t>CZ, SK, LT, PL, DE, EN, HR, EST, FR, HU, IT, NL</t>
  </si>
  <si>
    <t>CZ, SK, PL, LT, DE, EN, FR, NL</t>
  </si>
  <si>
    <t>CZ, SK, EN, DE, PL, LT</t>
  </si>
  <si>
    <t>CZ, SK, LT, DE, PL, EN</t>
  </si>
  <si>
    <t>CZ, SK, PL, LT, EN, EST, NL, DE</t>
  </si>
  <si>
    <t>CZ, SK, DE, LT, PL, EN, SRB</t>
  </si>
  <si>
    <t>CZ, SK, PL, DE, LT, EN, EST, HU, FR</t>
  </si>
  <si>
    <t>CZ, SK, PL, LT, DE, EN, DK</t>
  </si>
  <si>
    <t>CZ, SK, PL, LT, EN, DE, NL, DK, EST, HU, HR, SRB</t>
  </si>
  <si>
    <t>CZ, SK, PL, FR, LT, NL, DE, EN</t>
  </si>
  <si>
    <t>CZ, SK, PL, FR, LT, EN, DE, NL</t>
  </si>
  <si>
    <t>CZ, SK, PL, LT, DE, HR, EN, FR</t>
  </si>
  <si>
    <t>CZ, SK, PL, LT, DE, EN, IT, HU, FR, HR</t>
  </si>
  <si>
    <t>CZ, SK, PL, LT, DE, EN, EST, HR</t>
  </si>
  <si>
    <t>CZ, SK, PL, LT, DE, EN, EST, FR, NL</t>
  </si>
  <si>
    <t>CZ, SK, PL, LT, EN, DE, HU, EST, HR, IT, FR</t>
  </si>
  <si>
    <t>CZ, SK, PL, LT, EN, DE, HU, EST, HR, SRB, FR</t>
  </si>
  <si>
    <t>CZ, SK, PL, LT, EN, DE, EST, HR, SRB, FR, HU</t>
  </si>
  <si>
    <t>CZ, SK, PL, LT, DE, EN, HU, EST, HR, SRB, FR, IT, NL</t>
  </si>
  <si>
    <t>CZ, SK, PL, LT, DE, EN, EST, HR, SRB, FR, HU, IT, NL, DK, SLO</t>
  </si>
  <si>
    <t>CZ, SK, PL, LT, EN, DE, IT, FR</t>
  </si>
  <si>
    <t>CZ, SK, PL, LT, EN, DE, IT, FR, EST</t>
  </si>
  <si>
    <t>CZ, SK, PL, DE, LT, EN, EST, SLO, HU, SRB, FR, IT, HR</t>
  </si>
  <si>
    <t>CZ, SK, PL, LT, EN, NL, DE, HU, EST, FR, HR, SRB, DK, SLO, IT, RO, LV</t>
  </si>
  <si>
    <t>CZ, SK, PL, LT, DE, EST, HU, EN, HR, SRB, LV</t>
  </si>
  <si>
    <t>CZ, SK, PL, DE, LT, EN, EST, HR, FR</t>
  </si>
  <si>
    <t>CZ, SK, PL, EN, LT, DE, EST, HU, HR, FR, IT, SRB, NL</t>
  </si>
  <si>
    <t>CZ, SK, PL, DE, LV, SRB, LT, EST, EN, HU, HR</t>
  </si>
  <si>
    <t>CZ, SK, PL, LT, DE, SRB, EN, EST, HU, HR, LV</t>
  </si>
  <si>
    <t>CZ, SK, PL, LT, DE, EN, EST, FR, HU, IT</t>
  </si>
  <si>
    <t>CZ, SK, PL, LT, DE, HU, NL, FR, IT, EN, HR</t>
  </si>
  <si>
    <t>CZ, SK, PL, LT, DE, EN, EST, HU, DK, NL, SRB, HR</t>
  </si>
  <si>
    <t>CZ, SK, PL, LT, EN, EST, DE</t>
  </si>
  <si>
    <t>CZ, SK, PL, EN, LT, DK, DE, FR, EST, NL, HR, IT, HU</t>
  </si>
  <si>
    <t>CZ, SK, PL, EN, LT, DK, DE, FR, IT, EST, NL, HR, SRB, SLO, HU</t>
  </si>
  <si>
    <t>CZ, SK, PL, LT, DE, EN, EST, HU, DK, HR, NL, SRB, FR, IT, RO, SLO, LV</t>
  </si>
  <si>
    <t>CZ, SK, PL, LT, DE, EN, SRB, HU, DK, NL, EST, HR, FR, IT, RO, SLO</t>
  </si>
  <si>
    <t>CZ, SK, PL, LT, DE, EN, HR, EST, SRB, FR, HU, IT, NL</t>
  </si>
  <si>
    <t>CZ, SK, PL, DE, LT, EN, HR, FR</t>
  </si>
  <si>
    <t>CZ, SK, PL, EN, LT, DE, DK, NL, FR, IT, SRB, EST, HU, SLO</t>
  </si>
  <si>
    <t>CZ, SK, PL, EN, LT, DK, DE, IT, HR, FR, HU, SRB, EST, NL</t>
  </si>
  <si>
    <t>CZ, SK, PL, LT, DE, SRB, EST, HU, EN, HR, LV</t>
  </si>
  <si>
    <t>CZ, SK, PL, LT, DE, EN, EST, HR, HU, FR, IT</t>
  </si>
  <si>
    <t>DE, CZ, SK, PL, LT, EN</t>
  </si>
  <si>
    <t>×</t>
  </si>
  <si>
    <t>Klásek Trading  s.r.o.</t>
  </si>
  <si>
    <t xml:space="preserve"> K Zyfu 1083, Ostrava-Hrabová 720 00</t>
  </si>
  <si>
    <t xml:space="preserve"> ○</t>
  </si>
  <si>
    <t xml:space="preserve">Towarowa 22, 42-600 Tarnowskie Góry </t>
  </si>
  <si>
    <t>IČO: 26848643  ○  DIČ: CZ26848643</t>
  </si>
  <si>
    <t>IN: 26848643  ○ VAT: CZ26848643</t>
  </si>
  <si>
    <t>IN: 26848643IVA: CZ26848643</t>
  </si>
  <si>
    <t>IN: 26848643 ○ Umsatzsteuer: CZ26848643</t>
  </si>
  <si>
    <t>sleva</t>
  </si>
  <si>
    <t>Adresa firmy</t>
  </si>
  <si>
    <t>Název ceníku</t>
  </si>
  <si>
    <t>adresa</t>
  </si>
  <si>
    <t>slevový systém =&gt;</t>
  </si>
  <si>
    <t>Povolení F4</t>
  </si>
  <si>
    <t>○        pro rezervace platí ceny, které jsou o 8% vyšší než naše standartní ceny</t>
  </si>
  <si>
    <t>○        i prezzi per le prenotazioni sono superiori dell'8% rispetto ai nostri prezzi standard</t>
  </si>
  <si>
    <t>○        цене за резервације су 8% веће од наших стандардних цена</t>
  </si>
  <si>
    <t>○       A foglalások árai 8%-kal magasabbak, mint a normál áraink</t>
  </si>
  <si>
    <t>○        giá đặt chỗ cao hơn 8% so với giá tiêu chuẩn của chúng tôi</t>
  </si>
  <si>
    <t>○       broneeringute hinnad on meie tavahindadest 8% kõrgemad</t>
  </si>
  <si>
    <t>○       cenas rezervācijām ir par 8% augstākas nekā mūsu standarta cenas</t>
  </si>
  <si>
    <t>○        ceny za rezerwacje są o 8% wyższe od naszych cen standardowych</t>
  </si>
  <si>
    <t>○        rezervacijų kainos yra 8 % didesnės nei mūsų standartinės kainos</t>
  </si>
  <si>
    <t>○        cijene za rezervacije su 8% više od naših standardnih cijena</t>
  </si>
  <si>
    <t>○        Die Preise für Reservierungen liegen 8 % über unseren Standardpreisen</t>
  </si>
  <si>
    <t>○        prices for reservations are 8% higher than our standard prices</t>
  </si>
  <si>
    <t>○        je možné rezervovat jen takové zboží, které přijde do 20dní na sklad</t>
  </si>
  <si>
    <t>○        it is possible to reserve only those goods that arrive in stock within 20 days</t>
  </si>
  <si>
    <t>○        Es ist möglich, nur solche Waren zu buchen, die innerhalb von 20 Tagen ins Lager kommen</t>
  </si>
  <si>
    <t>○        moguće je rezervirati samo onu robu koja stigne na zalihu unutar 20 dana</t>
  </si>
  <si>
    <t>○        è possibile prenotare solo la merce che arriva in stock entro 20 giorni</t>
  </si>
  <si>
    <t xml:space="preserve">○        rezervuoti galima tik tas prekes, kurios į sandėlį patenka per 20 dienų </t>
  </si>
  <si>
    <t xml:space="preserve">○        możliwa jest rezerwacja tylko tych towarów, które pojawią się w magazynie w ciągu 20 dni </t>
  </si>
  <si>
    <t>○        могуће је резервисати само ону робу која стигне на лагер у року од 20 дана</t>
  </si>
  <si>
    <t>○        ir iespējams rezervēt tikai tās preces, kas noliktavā nonāk 20 dienu laikā</t>
  </si>
  <si>
    <t xml:space="preserve">○        on võimalik broneerida ainult neid kaupu, mis saabuvad laost 20 päeva jooksul </t>
  </si>
  <si>
    <t xml:space="preserve">○        chỉ có thể đặt trước những hàng hóa về kho trong vòng 20 ngày </t>
  </si>
  <si>
    <t xml:space="preserve">○        csak a 20 napon belül raktáron lévő árukat lehet lefoglalni </t>
  </si>
  <si>
    <t>stříbrné hvězdy s zeleným středem</t>
  </si>
  <si>
    <t>silver star with green</t>
  </si>
  <si>
    <t>silberne Sterne mit grüner Mitte</t>
  </si>
  <si>
    <t>srebrne zvijezde sa zelenim središtem</t>
  </si>
  <si>
    <t>stelle d'argento con un centro verde</t>
  </si>
  <si>
    <t>srebrne gwiazdki z zielonym środkiem</t>
  </si>
  <si>
    <t>srebrne zvezde sa zelenim središtem</t>
  </si>
  <si>
    <t>ngôi sao bạc với tâm màu xanh lá cây</t>
  </si>
  <si>
    <t>sidabrinės žvaigždės su žaliu centru</t>
  </si>
  <si>
    <t>hõbedased tähed rohelise keskpunktiga</t>
  </si>
  <si>
    <t>ezüst csillagok zöld középponttal</t>
  </si>
  <si>
    <t>sudraba zvaigznes ar zaļu centru</t>
  </si>
  <si>
    <t>dýmovnice škrtací-mix barev zelená/oranžová/černá barva</t>
  </si>
  <si>
    <t>smoke tube with scratcher head- mix packing with green/orange/black color</t>
  </si>
  <si>
    <t>Rauchkörper mit Reibkopfzündung-grüne/orange/schwarze Farbe</t>
  </si>
  <si>
    <t>dim, aktivacija kresom - zelena/narančasta/crna boja</t>
  </si>
  <si>
    <t>świece dymne na draskę – zielone,  pomarańczowe, czarne</t>
  </si>
  <si>
    <t>Dimna baklja, aktivacija trenjem - zelena, narandžasta, crna boja</t>
  </si>
  <si>
    <t>khói quẹt - mau xanh lá cây, cam, đen</t>
  </si>
  <si>
    <t>dūmų vamzdis su nukrapštoma galva, žalios, oranžinės, juodos spalvos</t>
  </si>
  <si>
    <t>suitsuküünal kraapijaga - roheline, oranž, must</t>
  </si>
  <si>
    <t>dörzsfejes füstbomba- zöld, narancssárga, fekete színű</t>
  </si>
  <si>
    <t>Dūmu caurule ar skrāpēj galvu - zaļa, orandža, melna krāsa</t>
  </si>
  <si>
    <t>signální červená pochodeň(silné světlo)</t>
  </si>
  <si>
    <t>signal red torch(strong flame)</t>
  </si>
  <si>
    <t>Rote Signalfackel(starke licht)</t>
  </si>
  <si>
    <t>signalna crvena baklja (jako svjetlo)</t>
  </si>
  <si>
    <t>segnale torcia rossa (fiamma forte)</t>
  </si>
  <si>
    <t>latarka sygnalizacyjna czerwona (silne światło)</t>
  </si>
  <si>
    <t>signalna crvena baklja (jako svetlo)</t>
  </si>
  <si>
    <t>báo hiệu ngọn đuốc đỏ (ánh sáng mạnh)</t>
  </si>
  <si>
    <t>signalinis raudonas žibintuvėlis (stipri šviesa)</t>
  </si>
  <si>
    <t>signaal punane tõrvik (tugev tuli)</t>
  </si>
  <si>
    <t>piros jelzőlámpa (erős fény)</t>
  </si>
  <si>
    <t>signāla sarkana lāpa (spēcīga gaisma)</t>
  </si>
  <si>
    <t>multiefektní fontána ve tvaru sněhuláka</t>
  </si>
  <si>
    <t>multi-effect fountain in the shape of a snowman</t>
  </si>
  <si>
    <t>Multieffekt-Brunnen in Form eines Schneemanns</t>
  </si>
  <si>
    <t>multiefektna fontana u obliku snjegovića</t>
  </si>
  <si>
    <t>fontana multieffetto a forma di pupazzo di neve</t>
  </si>
  <si>
    <t>wielofunkcyjna fontanna w kształcie bałwana</t>
  </si>
  <si>
    <t>fontana sa više efekata u obliku snežaka</t>
  </si>
  <si>
    <t>đài phun nước đa tác dụng hình người tuyết</t>
  </si>
  <si>
    <t>daugiafunkcinis sniego senio formos fontanas</t>
  </si>
  <si>
    <t>lumememme kujuline mitme efektiga purskkaev</t>
  </si>
  <si>
    <t>több hatású szökőkút hóember formájú</t>
  </si>
  <si>
    <t>daudzefektu strūklaka sniegavīra formā</t>
  </si>
  <si>
    <t>neonové+práskající+blikající hvězdy</t>
  </si>
  <si>
    <t>neon+crackling+strobe star</t>
  </si>
  <si>
    <t>Neon+knisternde+blinkende Sterne</t>
  </si>
  <si>
    <t>neon+pucketanje+bljeskanje zvijezda</t>
  </si>
  <si>
    <t>neon+crepitio+stelle lampeggianti</t>
  </si>
  <si>
    <t>neon+trzaski+migające gwiazdki</t>
  </si>
  <si>
    <t>neon+pucketanje+blistave zvezde</t>
  </si>
  <si>
    <t>neon+lắc lư+ngôi sao nhấp nháy</t>
  </si>
  <si>
    <t>neona+krakšķ+mirgojošas zvaigznes</t>
  </si>
  <si>
    <t>neoon+praksuvad+vilkuvad tähed</t>
  </si>
  <si>
    <t>neon+ropogó+villogó csillagok</t>
  </si>
  <si>
    <t>neoninės+traškančios+mirksinčios žvaigždės</t>
  </si>
  <si>
    <t>zlatá blikajiící vrba s bílým blikajícím středem</t>
  </si>
  <si>
    <t>ti-gold willow w. white strobe</t>
  </si>
  <si>
    <t>8  různobarevných efektů</t>
  </si>
  <si>
    <t>8  different color effects</t>
  </si>
  <si>
    <t>8  verschiedenfarbige Effekte</t>
  </si>
  <si>
    <t>8  različitih efekata u boji</t>
  </si>
  <si>
    <t>8  diversi effetti di colore</t>
  </si>
  <si>
    <t>8  różnokolorowych efektów</t>
  </si>
  <si>
    <t>8  različita efekta u boji</t>
  </si>
  <si>
    <t>8  hiệu ứng nhiều màu</t>
  </si>
  <si>
    <t xml:space="preserve">8  Skirtingi spalvoti efektai. </t>
  </si>
  <si>
    <t>8  erinevat värvilist efekti</t>
  </si>
  <si>
    <t>8  külömböző színű effektus</t>
  </si>
  <si>
    <t>8  dažadu krāsu efekts</t>
  </si>
  <si>
    <t>6  různobarevných efektů</t>
  </si>
  <si>
    <t>6  different color effects</t>
  </si>
  <si>
    <t>6  verschiedenfarbige Effekte</t>
  </si>
  <si>
    <t>6  različitih efekata u boji</t>
  </si>
  <si>
    <t>6  diversi effetti di colore</t>
  </si>
  <si>
    <t>6  różnokolorowych efektów</t>
  </si>
  <si>
    <t>6  različita efekta u boji</t>
  </si>
  <si>
    <t>6  hiệu ứng nhiều màu</t>
  </si>
  <si>
    <t xml:space="preserve">6  Skirtingi spalvoti efektai. </t>
  </si>
  <si>
    <t>6  erinevat värvilist efekti</t>
  </si>
  <si>
    <t>6  külömböző színű effektus</t>
  </si>
  <si>
    <t>6  dažadu krāsu efekts</t>
  </si>
  <si>
    <t>10  různobarevných efektů</t>
  </si>
  <si>
    <t>10  different color effects</t>
  </si>
  <si>
    <t>10  verschiedenfarbige Effekte</t>
  </si>
  <si>
    <t>10  različitih efekata u boji</t>
  </si>
  <si>
    <t>10  diversi effetti di colore</t>
  </si>
  <si>
    <t>10  różnokolorowych efektów</t>
  </si>
  <si>
    <t>10  različita efekta u boji</t>
  </si>
  <si>
    <t>10  hiệu ứng nhiều màu</t>
  </si>
  <si>
    <t xml:space="preserve">10  Skirtingi spalvoti efektai. </t>
  </si>
  <si>
    <t>10  erinevat värvilist efekti</t>
  </si>
  <si>
    <t>10  külömböző színű effektus</t>
  </si>
  <si>
    <t>10  dažadu krāsu efekts</t>
  </si>
  <si>
    <t>11  různobarevných efektů</t>
  </si>
  <si>
    <t>11  different color effects</t>
  </si>
  <si>
    <t>11  verschiedenfarbige Effekte</t>
  </si>
  <si>
    <t>11  različitih efekata u boji</t>
  </si>
  <si>
    <t>11  diversi effetti di colore</t>
  </si>
  <si>
    <t>11  różnokolorowych efektów</t>
  </si>
  <si>
    <t>11  različita efekta u boji</t>
  </si>
  <si>
    <t>11  hiệu ứng nhiều màu</t>
  </si>
  <si>
    <t xml:space="preserve">11  Skirtingi spalvoti efektai. </t>
  </si>
  <si>
    <t>11  erinevat värvilist efekti</t>
  </si>
  <si>
    <t>11  külömböző színű effektus</t>
  </si>
  <si>
    <t>11  dažadu krāsu efekts</t>
  </si>
  <si>
    <t>16  různobarevných efektů</t>
  </si>
  <si>
    <t>16  different color effects</t>
  </si>
  <si>
    <t>16  verschiedenfarbige Effekte</t>
  </si>
  <si>
    <t>16  različitih efekata u boji</t>
  </si>
  <si>
    <t>16  diversi effetti di colore</t>
  </si>
  <si>
    <t>16  różnokolorowych efektów</t>
  </si>
  <si>
    <t>16  različita efekta u boji</t>
  </si>
  <si>
    <t>16  hiệu ứng nhiều màu</t>
  </si>
  <si>
    <t xml:space="preserve">16  Skirtingi spalvoti efektai. </t>
  </si>
  <si>
    <t>16  erinevat värvilist efekti</t>
  </si>
  <si>
    <t>16  külömböző színű effektus</t>
  </si>
  <si>
    <t>16  dažadu krāsu efekts</t>
  </si>
  <si>
    <t>23  různobarevných efektů</t>
  </si>
  <si>
    <t>23  different color effects</t>
  </si>
  <si>
    <t>23  verschiedenfarbige Effekte</t>
  </si>
  <si>
    <t>23  različitih efekata u boji</t>
  </si>
  <si>
    <t>23  diversi effetti di colore</t>
  </si>
  <si>
    <t>23  różnokolorowych efektów</t>
  </si>
  <si>
    <t>23  različita efekta u boji</t>
  </si>
  <si>
    <t>23  hiệu ứng nhiều màu</t>
  </si>
  <si>
    <t xml:space="preserve">23  Skirtingi spalvoti efektai. </t>
  </si>
  <si>
    <t>23  erinevat värvilist efekti</t>
  </si>
  <si>
    <t>23  külömböző színű effektus</t>
  </si>
  <si>
    <t>23  dažadu krāsu efekts</t>
  </si>
  <si>
    <t>29  různobarevných efektů</t>
  </si>
  <si>
    <t>29  different color effects</t>
  </si>
  <si>
    <t>29  verschiedenfarbige Effekte</t>
  </si>
  <si>
    <t>29  različitih efekata u boji</t>
  </si>
  <si>
    <t>29  diversi effetti di colore</t>
  </si>
  <si>
    <t>29  różnokolorowych efektów</t>
  </si>
  <si>
    <t>29  različita efekta u boji</t>
  </si>
  <si>
    <t>29  hiệu ứng nhiều màu</t>
  </si>
  <si>
    <t xml:space="preserve">29  Skirtingi spalvoti efektai. </t>
  </si>
  <si>
    <t>29  erinevat värvilist efekti</t>
  </si>
  <si>
    <t>29  külömböző színű effektus</t>
  </si>
  <si>
    <t>29  dažadu krāsu efekts</t>
  </si>
  <si>
    <t>20  různobarevných efektů</t>
  </si>
  <si>
    <t>20  different color effects</t>
  </si>
  <si>
    <t>20  verschiedenfarbige Effekte</t>
  </si>
  <si>
    <t>20  različitih efekata u boji</t>
  </si>
  <si>
    <t>20  diversi effetti di colore</t>
  </si>
  <si>
    <t>20  różnokolorowych efektów</t>
  </si>
  <si>
    <t>20  različita efekta u boji</t>
  </si>
  <si>
    <t>20  hiệu ứng nhiều màu</t>
  </si>
  <si>
    <t xml:space="preserve">20  Skirtingi spalvoti efektai. </t>
  </si>
  <si>
    <t>20  erinevat värvilist efekti</t>
  </si>
  <si>
    <t>20  külömböző színű effektus</t>
  </si>
  <si>
    <t>20  dažadu krāsu efekts</t>
  </si>
  <si>
    <t>24  různobarevných efektů</t>
  </si>
  <si>
    <t>24  different color effects</t>
  </si>
  <si>
    <t>24  verschiedenfarbige Effekte</t>
  </si>
  <si>
    <t>24  različitih efekata u boji</t>
  </si>
  <si>
    <t>24  diversi effetti di colore</t>
  </si>
  <si>
    <t>24  różnokolorowych efektów</t>
  </si>
  <si>
    <t>24  različita efekta u boji</t>
  </si>
  <si>
    <t>24  hiệu ứng nhiều màu</t>
  </si>
  <si>
    <t xml:space="preserve">24  Skirtingi spalvoti efektai. </t>
  </si>
  <si>
    <t>24  erinevat värvilist efekti</t>
  </si>
  <si>
    <t>24  külömböző színű effektus</t>
  </si>
  <si>
    <t>24  dažadu krāsu efekts</t>
  </si>
  <si>
    <t>21  různobarevných efektů</t>
  </si>
  <si>
    <t>21  different color effects</t>
  </si>
  <si>
    <t>21  verschiedenfarbige Effekte</t>
  </si>
  <si>
    <t>21  različitih efekata u boji</t>
  </si>
  <si>
    <t>21  diversi effetti di colore</t>
  </si>
  <si>
    <t>21  różnokolorowych efektów</t>
  </si>
  <si>
    <t>21  različita efekta u boji</t>
  </si>
  <si>
    <t>21  hiệu ứng nhiều màu</t>
  </si>
  <si>
    <t xml:space="preserve">21  Skirtingi spalvoti efektai. </t>
  </si>
  <si>
    <t>21  erinevat värvilist efekti</t>
  </si>
  <si>
    <t>21  külömböző színű effektus</t>
  </si>
  <si>
    <t>21  dažadu krāsu efekts</t>
  </si>
  <si>
    <t>katalog produktů 2024</t>
  </si>
  <si>
    <t>product catalog 2024</t>
  </si>
  <si>
    <t>Produktkatalog 2024</t>
  </si>
  <si>
    <t xml:space="preserve"> prodotti 2024</t>
  </si>
  <si>
    <t>katalog produktów 2024</t>
  </si>
  <si>
    <t>Catalog 2024</t>
  </si>
  <si>
    <t>produktų katalogas 2024</t>
  </si>
  <si>
    <t>termékkatalógus 2024</t>
  </si>
  <si>
    <t>Produkta katalogs 2024</t>
  </si>
  <si>
    <t>2024. aasta tootekataloog</t>
  </si>
  <si>
    <t>Dumbum Big F2 silver</t>
  </si>
  <si>
    <t>Dumbum Big F2 black</t>
  </si>
  <si>
    <t>Slevový systém na řádku 1175</t>
  </si>
  <si>
    <t>Discount system on line 1175</t>
  </si>
  <si>
    <t>Rabattsystem auf Linie 1175</t>
  </si>
  <si>
    <t>System rabatowy na linii 1175</t>
  </si>
  <si>
    <t>Hệ thống chiết khấu trên đường dây 1175</t>
  </si>
  <si>
    <t>Nuolaidų sistema 1175 linijoje</t>
  </si>
  <si>
    <t>Sustav popusta na liniji 1175</t>
  </si>
  <si>
    <t>Sistem popusta na liniji 1175</t>
  </si>
  <si>
    <t>Sistema di sconti sulla linea 1175</t>
  </si>
  <si>
    <t>Soodustussüsteem real 1175</t>
  </si>
  <si>
    <t>Kedvezményrendszer a 1175 -es vonalon</t>
  </si>
  <si>
    <t>Atlaižu sistēma 1175. rindā</t>
  </si>
  <si>
    <t>Doprodej</t>
  </si>
  <si>
    <t>Tyto ceníky se několikrát denně aktualizují a je třeba, abyste objednávku dokončili a odeslali nám ihned.</t>
  </si>
  <si>
    <t>The price list shows the online availability of the warehouse, ie. all you have to do is be online and confirm the option to "allow editing" and „allow content“  after each opening of the Price list you can see what goods are in stock or when will it be in stock !!!</t>
  </si>
  <si>
    <t>Die Preisliste zeigt die Online-Verfügbarkeit des Lagers, dh. Alles, was Sie tun müssen, ist online zu sein und die Option "Bearbeitung zulassen" und "Inhalt zulassen" zu bestätigen. Nach jedem Öffnen der Preisliste können Sie sehen, welche Waren auf Lager sind oder wann sie auf Lager sein werden !!!</t>
  </si>
  <si>
    <t>Ceník zobrazuje online dostupnost skladu tzn. stačí, aby jste byli online a potvrdili možnost "povolit úpravy” a "povolit obsah". Po každém otevření Iceníku vidíte, jaké zboží je skladem, popř. kdy bude naskladněno!!!</t>
  </si>
  <si>
    <t xml:space="preserve">4. náš pracovník nahraje až tuto finální objednávku (viz. bod č. 3) do našeho systému a informuje zákazníka o termínu, kdy bude zboží expedováno, resp. připraveno k vyzvednutí. </t>
  </si>
  <si>
    <t>Vaše objednávka je předána k nachystání na sklad ihned po jejím obdržení a není možné k objednávce již nic přidávat, a to žádnou formou. Pokud zákazník zruší objednávku (nebo její část) bude mu účtován manipulační poplatek ve výší 50% hodnoty stornovaného zboží.</t>
  </si>
  <si>
    <t>Poplatek ve výši 10 000Kč bude pokrývat veškeré způsobené škody na manipulaci, duplicitní práci na dokladech, skladné atd. a není důležité, zda se jedná o 1 karton nebo 100 kartonu. Dále za toto zboží bude účtováno skladné</t>
  </si>
  <si>
    <t>Tímto mají zaručeno, že dostanou všechno, co chtějí a nemusí zboží nikde skladovat, nebo se strachovat, zda se náhodou položka, s kterou počítají např. do letáku - nevyprodá. V dohodnutý den, poté zákazník dostane zboží, které si objednal…</t>
  </si>
  <si>
    <t>○        je možné rezervovat také zboží, které je teprve na cestě (není skladem)</t>
  </si>
  <si>
    <t>○        v rámci jedné rezervace, je možné rezervovat pouze zboží se stejným dnem doručení na náš sklad</t>
  </si>
  <si>
    <t>○        Zákazník může palety zaslat zpět také spediční službou (na vlastní náklady) a dobropis mu bude vystaven po doručení palet na náš sklad.</t>
  </si>
  <si>
    <t>U paletových přeprav je cena pro dopravu v České republice cca 2000Kč/ paleta a bude vždy vybrána nejlevnější možnost, která bude dostupná na trhu.</t>
  </si>
  <si>
    <t>Při zaslání zboží našim ADR vozidlem (nosnost 1.450Kg), účtujeme dopravné 18kč/km za cestu tam i zpět.</t>
  </si>
  <si>
    <t>Při zaslání zboží ADR kamionem (nosnost 24 000Kg) může zákazník bezplatně vykládat zboží na jednom místě, max 4h. Při delší vykládce bude účtovaná sazba 800Kč/hodina čekání, při přejezdu na jiný sklad bude účtováno 100Kč/km.</t>
  </si>
  <si>
    <t>Konické vulkány (F100, F250, F500, F1000, F1500) nelze reklamovat ani vracet v rámci vratek po sezoně - důvody popsány v emailu 28.1.2019.</t>
  </si>
  <si>
    <t>Zákazník, který chce mít pouze bezvadné kartony tak si musí zakoupit výrobky, které jsou baleny v ochranném kartonu. Kód výrobku končí (T), popř. si při odběru z našeho skladu zařídit přebrání zboží u nás. Na pozdější reklamace nebude brát zřetel.</t>
  </si>
  <si>
    <t>Nelze reklamovat rychlejší dobu trvání u baterií a složených ohňostrojů. Při mnoha procesech, které nejsou pod naši kontrolou (vykládka u zákazníka, uložení ve skladu zákazníka, manipulace se zakoupeným zbožím atd.) může dojít k poškození výrobků, kdy dojde k vysypání výmetných složí do spodní části baterie a následně toto zapříčiní zrychlení doby trvání efektu, kdy jednotlivé rány střílí ve větším tempu.</t>
  </si>
  <si>
    <t>Ceník je interaktivní, tzn. že sám přepočítává slevu (je nutno zadat její výši do patřičného pole, případně se sama vypočítá podle velikosti objednávky), údaje o ceně v CZK a EUR, rovněž počítá váhu v kg, objem zboží v m3 a čistou váhu pyrotechnických složí.</t>
  </si>
  <si>
    <t>Tento sloupec je základem pro kalkulace v EUR.</t>
  </si>
  <si>
    <t>Snížili jsme ceny všech porovnatelných položek a označili jsme je v ceníku zelenou barvou.</t>
  </si>
  <si>
    <t>Pokud stávající zákazník přinese důkaz o tom, že stejnou položku, která je označena v našem ceníku zelenou barvou, koupil u konkurence levněji (nevztahuje se na staré nebo výprodejové položky) = dostane od nás tuto položku v dalším nákupu o další 3% levněji, než nabízí konkurence!</t>
  </si>
  <si>
    <t>○        rezervaci takového zboží lze provést pouze e-mailem na info@klasekpyrotechnics.cz</t>
  </si>
  <si>
    <t>○        selliseid kaupu saab broneerida ainult e-posti teel aadressile info@klasekpyrotechnics.cz</t>
  </si>
  <si>
    <t>○        việc đặt trước những mặt hàng đó chỉ có thể được thực hiện qua email tới địa chỉ info@klasekpyrotechnics.cz</t>
  </si>
  <si>
    <t>○        az ilyen áruk foglalása csak az info@klasekpyrotechnics.cz e-mail címre küldött e-mailben lehetséges.</t>
  </si>
  <si>
    <t>○        šādu preču rezervāciju var veikt tikai pa e-pastu uz info@klasekpyrotechnics.cz</t>
  </si>
  <si>
    <t>○        резервацију такве робе можете извршити само путем е-поште на info@klasekpirotechnics.cz</t>
  </si>
  <si>
    <t>○        rezerwacji takiego towaru można dokonać wyłącznie drogą mailową na adres info@klasekpyrotechnics.cz</t>
  </si>
  <si>
    <t>○        tokias prekes galima rezervuoti tik el. paštu info@klasekpyrotechnics.cz</t>
  </si>
  <si>
    <t>○        la prenotazione di tali beni può essere effettuata solo tramite e-mail a info@klasekpyrotechnics.cz</t>
  </si>
  <si>
    <t>○        rezervaciju takve robe moguće je izvršiti samo e-poštom na info@klasekpyrotechnics.cz</t>
  </si>
  <si>
    <t>○        Die Reservierung dieser Waren kann nur per E-Mail an info@klasekpyrotechnics.cz erfolgen</t>
  </si>
  <si>
    <t>○        the reservation of such goods can only be made by email to info@klasekpyrotechnics.cz</t>
  </si>
  <si>
    <t xml:space="preserve">Půjčka na bydlení </t>
  </si>
  <si>
    <t>HF-90-2402-HF-90-2403</t>
  </si>
  <si>
    <t>HF-129-2223A-HF-114-2224</t>
  </si>
  <si>
    <t>HF-90-2218-HF-90-2219</t>
  </si>
  <si>
    <t>Detail kurzu EUR</t>
  </si>
  <si>
    <t>LM8SA</t>
  </si>
  <si>
    <t>GAT300</t>
  </si>
  <si>
    <t>SS14D</t>
  </si>
  <si>
    <t>PBDF2</t>
  </si>
  <si>
    <t>P2GP1</t>
  </si>
  <si>
    <t>K100R</t>
  </si>
  <si>
    <t>RS6SM</t>
  </si>
  <si>
    <t>HF24733R</t>
  </si>
  <si>
    <t>C10025P</t>
  </si>
  <si>
    <t>HF-98-2212</t>
  </si>
  <si>
    <t>HF-127-2411s</t>
  </si>
  <si>
    <t>HF-142-2211</t>
  </si>
  <si>
    <t>HF-148-2217</t>
  </si>
  <si>
    <t>HF-78-2423-HF-78-2424</t>
  </si>
  <si>
    <t>HF-88-2487-HF-116-2488</t>
  </si>
  <si>
    <t>HF-98-24103-HF-96-24104-HF-98-24105-HF-100-24106</t>
  </si>
  <si>
    <t>RKD-S03-01</t>
  </si>
  <si>
    <t>RKD-S03-02</t>
  </si>
  <si>
    <t>RKD-S03-03</t>
  </si>
  <si>
    <t>RKD-S04-01</t>
  </si>
  <si>
    <t>RKD-S04-04</t>
  </si>
  <si>
    <t>RKD-S05-01</t>
  </si>
  <si>
    <t>RKD-S05-02</t>
  </si>
  <si>
    <t>RKD-S05-03</t>
  </si>
  <si>
    <t>RKD-S05-04</t>
  </si>
  <si>
    <t>RKD-S05-05</t>
  </si>
  <si>
    <t>RKD-S05-09</t>
  </si>
  <si>
    <t>RKD-S05-11</t>
  </si>
  <si>
    <t>RKD-S05-12</t>
  </si>
  <si>
    <t>RKD-S06-01</t>
  </si>
  <si>
    <t>RKD-S06-02</t>
  </si>
  <si>
    <t>RKD-S06-03</t>
  </si>
  <si>
    <t>RKD-S06-04</t>
  </si>
  <si>
    <t>RKD-S06-05</t>
  </si>
  <si>
    <t>RKD-S06-07</t>
  </si>
  <si>
    <t>Smoke Atack</t>
  </si>
  <si>
    <t>Dumbum salute mine 14mm</t>
  </si>
  <si>
    <t>DumBum Black Thunder</t>
  </si>
  <si>
    <t>Scream rocket-medium</t>
  </si>
  <si>
    <t>75mm Red star with whistle</t>
  </si>
  <si>
    <t>75mm Nishiki Willow</t>
  </si>
  <si>
    <t>75mm Gold shinning</t>
  </si>
  <si>
    <t>100mm Nishiki Willow</t>
  </si>
  <si>
    <t>100mm Lemon strobe</t>
  </si>
  <si>
    <t>125mm Gold glittering willow waterfall</t>
  </si>
  <si>
    <t>125mm Red glittering willow</t>
  </si>
  <si>
    <t>125mm Nishiki Willow</t>
  </si>
  <si>
    <t>125mm Gold willow to red  wandering star</t>
  </si>
  <si>
    <t>125mm Blue jellyfish</t>
  </si>
  <si>
    <t>125mm Gold willow to chrys.with chrys.pistil</t>
  </si>
  <si>
    <t>125mm Gold glittering willow</t>
  </si>
  <si>
    <t>125mm Nishiki Willow with white strobe tip</t>
  </si>
  <si>
    <t>150mm Gold glittering willow</t>
  </si>
  <si>
    <t>150mm White glittering willow</t>
  </si>
  <si>
    <t>150mm Nishiki Willow with color dahlia</t>
  </si>
  <si>
    <t>150mm Nishiki Willow with color pistil rising tail</t>
  </si>
  <si>
    <t xml:space="preserve">150mm Gold willow yo red plum into lemon to red to seablue ghost ring with double red plum pistil rising tiger tail </t>
  </si>
  <si>
    <t>150mm Silver crown to red ring with blue pistil into red to green to dragon eggs magic rising silver tail</t>
  </si>
  <si>
    <t>Riakeo kulové pumy</t>
  </si>
  <si>
    <t>BAM-F2-2187</t>
  </si>
  <si>
    <t>BAM-F2-2195</t>
  </si>
  <si>
    <t>Crackling Dumbum for kids</t>
  </si>
  <si>
    <t>Scream mini</t>
  </si>
  <si>
    <t>Scream maxi</t>
  </si>
  <si>
    <t>Párty fountain</t>
  </si>
  <si>
    <t>Mini Vulkán</t>
  </si>
  <si>
    <t>Crackling and strobe torch</t>
  </si>
  <si>
    <t>Racing drones</t>
  </si>
  <si>
    <t>Colour smoke ball</t>
  </si>
  <si>
    <t>RDG40</t>
  </si>
  <si>
    <t>Conic fountains 25</t>
  </si>
  <si>
    <t>Dumbum F2</t>
  </si>
  <si>
    <t>Dumbum 2G</t>
  </si>
  <si>
    <t>Dumbum P1</t>
  </si>
  <si>
    <t>Dumbum 2g edition</t>
  </si>
  <si>
    <t>Dumbum 5g</t>
  </si>
  <si>
    <t>Dumbum 30</t>
  </si>
  <si>
    <t>Dumbum 50</t>
  </si>
  <si>
    <t>Dumbum 170</t>
  </si>
  <si>
    <t>Kalashnikov 50sh</t>
  </si>
  <si>
    <t>Kalashnikov 150sh</t>
  </si>
  <si>
    <t>Kalashnikov 70sh</t>
  </si>
  <si>
    <t>Kalashnikov 500sh</t>
  </si>
  <si>
    <t>Kalashnikov 1000sh</t>
  </si>
  <si>
    <t>Scream rocket micro</t>
  </si>
  <si>
    <t>Scream/Dumbum rocket</t>
  </si>
  <si>
    <t>Dumbum rocket</t>
  </si>
  <si>
    <t>Scream 25</t>
  </si>
  <si>
    <t>Scream 100</t>
  </si>
  <si>
    <t>Best price 25</t>
  </si>
  <si>
    <t>Signature range 25</t>
  </si>
  <si>
    <t>Best price Slow motion 100</t>
  </si>
  <si>
    <t>Bonie and Klyde</t>
  </si>
  <si>
    <t>Best price Wild fire multi 100</t>
  </si>
  <si>
    <t>Best price multi shape 100</t>
  </si>
  <si>
    <t>Profi show multi shape 100</t>
  </si>
  <si>
    <t>Emperor Fireworks</t>
  </si>
  <si>
    <t>Profi show 200</t>
  </si>
  <si>
    <t>Best price multi shape 200</t>
  </si>
  <si>
    <t>Profi show multi shape 200</t>
  </si>
  <si>
    <t>Fireworks show 128</t>
  </si>
  <si>
    <t>Fireworks show 192</t>
  </si>
  <si>
    <t>Profi show multi shape 400</t>
  </si>
  <si>
    <t>Dumbum 64</t>
  </si>
  <si>
    <t>Signature range 49</t>
  </si>
  <si>
    <t>Dumbum mini</t>
  </si>
  <si>
    <t>Brocade war 49sh</t>
  </si>
  <si>
    <t>Dumbum 25</t>
  </si>
  <si>
    <t>Dumbum 49</t>
  </si>
  <si>
    <t>Signature range 50</t>
  </si>
  <si>
    <t>Fireworks show 100</t>
  </si>
  <si>
    <t>Wild Fireworks</t>
  </si>
  <si>
    <t>Brutal power</t>
  </si>
  <si>
    <t>Signature range 175</t>
  </si>
  <si>
    <t>King fireworks 96</t>
  </si>
  <si>
    <t>CZ, SK, PL, DE, LT, HR</t>
  </si>
  <si>
    <t>CZ, SK, PL, EN, LT, HU, DE</t>
  </si>
  <si>
    <t xml:space="preserve"> CZ, SK, PL, LT, DE, FR, NL</t>
  </si>
  <si>
    <t>CZ, SK, DE, PL, LT, EN, HR, HU, SRB</t>
  </si>
  <si>
    <t>CZ, SK, PL, EN, LT, NL, HR, DE, HU, DK, SRB</t>
  </si>
  <si>
    <t>CZ, SK, EN, PL, LT, DE, EST, HU, HR, NL</t>
  </si>
  <si>
    <t xml:space="preserve"> CZ, SK, PL, LT</t>
  </si>
  <si>
    <t>CZ, SK, PL, DE, EN, LT, HU, HR</t>
  </si>
  <si>
    <t>CZ, SK, EN, PL, DE, LT, DK, HR</t>
  </si>
  <si>
    <t>CZ, SK, HU, PL, DE, LT</t>
  </si>
  <si>
    <t>CZ, DE, LT, EN, HR, SK, PL</t>
  </si>
  <si>
    <t>CZ, SK, DK, DE, HU, PL, EN, LT</t>
  </si>
  <si>
    <t>CZ, SK, PL, LT, DE, SRB</t>
  </si>
  <si>
    <t>CZ, SK, LT, PL, DE, HR, HU</t>
  </si>
  <si>
    <t>CZ, SK, LT, HU, DE, EN, SRB, PL</t>
  </si>
  <si>
    <t>CZ, SK, PL, EN, FR, LT, DE, IT, NL</t>
  </si>
  <si>
    <t>CZ, SK, PL, HR, NL, HU, EN, SRB, LT, DE, IT, SLO, FR</t>
  </si>
  <si>
    <t>CZ, PL, EN, SK, LT, NL, SRB, DE, FR, SLO, HU, HR, IT</t>
  </si>
  <si>
    <t>CZ, SK, PL, DE, NL, LT</t>
  </si>
  <si>
    <t>CZ, SK, PL, HR, EN, IT, DE, LT</t>
  </si>
  <si>
    <t>CZ, SK, PL, HU, HR, EN, LT, IT, DE</t>
  </si>
  <si>
    <t>CZ, SK, DE, PL, LT, EN</t>
  </si>
  <si>
    <t>CZ, SK, PL, LT, EN, DE, EST, HR, HU, IT, SRB, NL, DK, SLO</t>
  </si>
  <si>
    <t>CZ, SK, PL, LT, EN, DE, EST, SRB</t>
  </si>
  <si>
    <t>CZ, SK, PL, LT, DE, HR, EST, HU, LV, IT, SLO, EN, DK, FR, NL, RO, SRB</t>
  </si>
  <si>
    <t>CZ, SK, PL, LT, DE, EN, EST, HU, HR, LV, IT, NL, DK, SLO, RO, FR, SRB</t>
  </si>
  <si>
    <t>CZ, SK, PL, LT, DE, EN, SRB, EST, FR</t>
  </si>
  <si>
    <t>CZ, SK, PL, DE, LT, NL, EN</t>
  </si>
  <si>
    <t>CZ, SK, PL, EN, SRB, LT, DE</t>
  </si>
  <si>
    <t>CZ, SK, DE, LT, PL, EN</t>
  </si>
  <si>
    <t>CZ, SK, PL, LT, EN, DE, SRB, HR, FR, IT</t>
  </si>
  <si>
    <t>CZ, SK, PL, EN, DE, LT, EST, HR, SRB, IT</t>
  </si>
  <si>
    <t>CZ, SK, PL, EN, DE, LT, SRB, HR, FR, IT</t>
  </si>
  <si>
    <t>CZ, SK, PL, DE, EN, LT, SRB, EST, HR, FR, HU, IT, DK</t>
  </si>
  <si>
    <t>CZ, SK, EN, LT, SRB, EST, PL, DE</t>
  </si>
  <si>
    <t>CZ, SK, PL, LT, DE, SRB, EN</t>
  </si>
  <si>
    <t>CZ, SL, DE, LT, PL, EN, SRB</t>
  </si>
  <si>
    <t>CZ, SK, PL, LT, DE, EN, SRB</t>
  </si>
  <si>
    <t>CZ, SK, PL, LT, DE, EN, SRB, EST, HR, FR</t>
  </si>
  <si>
    <t>CZ, SK, PL, LT, DE, EN, SRB, EST, HR, FR, HU</t>
  </si>
  <si>
    <t>CZ, SK, PL, LT, DE, EN, HR, EST, HU, IT, SRB</t>
  </si>
  <si>
    <t>CZ, SK, PL, DE, EN, SRB, LT, EN</t>
  </si>
  <si>
    <t>CZ, SK, PL, DE, EN, SRB, LT, HU</t>
  </si>
  <si>
    <t>CZ, SK, PL, LT, DE, EN, IT, SRB</t>
  </si>
  <si>
    <t>CZ, SK, PL, LT, DE, EN, SRB, EST, HR, FR, HU, IT</t>
  </si>
  <si>
    <t>CZ, SK, PL, LT, DE, EN, SRB, EST, HR, FR, HU, IT, NL, DK, SLO</t>
  </si>
  <si>
    <t>CZ, SK, PL, LT, DE, EN, FR, IT</t>
  </si>
  <si>
    <t>CZ, SK, PL, LT, DE, EN, IT, FR</t>
  </si>
  <si>
    <t>CZ, SK, PL, DE, LT, EN, FR, IT, SRB, EST, HU</t>
  </si>
  <si>
    <t>CZ, SK, PL, SRB, LT, DE, EN, EST, FR, IT, NL</t>
  </si>
  <si>
    <t>CZ, SK, PL, LT, DE, EN, IT, FR, EST</t>
  </si>
  <si>
    <t>CZ, SK, PL, LT, DE, EN, SRB, EST, HR, FR, HU, IT, NL</t>
  </si>
  <si>
    <t>CZ, SK, PL, LT, EN, NL, DE, EST, HU, IT, SRB, FR, HR, SLO, LV, DK, RO</t>
  </si>
  <si>
    <t>CZ, SK, PL, LT, DE, EN, SRB, EST</t>
  </si>
  <si>
    <t>CZ, SK, PL, DE, LT, EN, NL, DK</t>
  </si>
  <si>
    <t>CZ, SK, PL, LT, DE, EN, NL, FR, HU, HR, SRB</t>
  </si>
  <si>
    <t>CZ, SK, DE, PL, LT, FR, EN</t>
  </si>
  <si>
    <t>CZ, SK, PL, LT, DE, EN, SRB, EST, HR</t>
  </si>
  <si>
    <t>CZ, SK, PL, DE, LT, EN, HU, EST, FR, IT, SRB</t>
  </si>
  <si>
    <t>CZ, SK, PL, LT, DE, EN, SRB, EST, HR, FR, HU, IT, RO</t>
  </si>
  <si>
    <t>CZ, SK, LT, PL, DE, EN, FR, NL</t>
  </si>
  <si>
    <t>CZ, SK, LT, PL, EN, DE, SRB, HU, DK, FR, IT</t>
  </si>
  <si>
    <t>CZ, SK, LT, PL, EN, DE, NL, HU, DK, FR, IT</t>
  </si>
  <si>
    <t>CZ, SK, PL, LT, DE, EN, EST, HR, FR, HU, IT</t>
  </si>
  <si>
    <t>CZ, SK, PL, DE, EN, LT, HR</t>
  </si>
  <si>
    <t>dýmová stopa s práskajícími hvězdami</t>
  </si>
  <si>
    <t>smoke tail with crackling</t>
  </si>
  <si>
    <t>Rauchfahne mit knisternden Sternen</t>
  </si>
  <si>
    <t>dimni trag s pucketavim zvijezdama</t>
  </si>
  <si>
    <t>scia di fumo con stelle scoppiettanti</t>
  </si>
  <si>
    <t>smuga dymu z trzeszczącymi gwiazdami</t>
  </si>
  <si>
    <t>dimni trag sa pucketavim zvezdama</t>
  </si>
  <si>
    <t>vệt khói với những ngôi sao kêu răng rắc</t>
  </si>
  <si>
    <t>dūmų takas su spragsinčiomis žvaigždėmis</t>
  </si>
  <si>
    <t>suitsurada praksuvate tähtedega</t>
  </si>
  <si>
    <t>füstösvény pattogó csillagokkal</t>
  </si>
  <si>
    <t>dūmu taka ar sprakšķošām zvaigznēm</t>
  </si>
  <si>
    <t>baterie římských svící 300ran</t>
  </si>
  <si>
    <t>battery of roman candle 300sh</t>
  </si>
  <si>
    <t>300 Schuss Battery Römische Kerze</t>
  </si>
  <si>
    <t>baterie rimska svijeća 300 pucanj</t>
  </si>
  <si>
    <t>battery candela romana 300sh</t>
  </si>
  <si>
    <t>batteria rzymski ogień 300 strz</t>
  </si>
  <si>
    <t>baterie rimska sveća 300 pucanj</t>
  </si>
  <si>
    <t>stříbnré práskající hvězdy</t>
  </si>
  <si>
    <t>silver crackling mine</t>
  </si>
  <si>
    <t xml:space="preserve">síla výbuchu 115dB z 8m(černoprachová petarda) </t>
  </si>
  <si>
    <t xml:space="preserve">sound power 115dB from 8m(black powder) </t>
  </si>
  <si>
    <t xml:space="preserve">Explosionskraft 115dB von 8m(schwarz powder) </t>
  </si>
  <si>
    <t>snaga zvuka 115dB na udaljenosti 8m (crni barut)</t>
  </si>
  <si>
    <t>potenza sonora 115dB da 8m (polvere nera)</t>
  </si>
  <si>
    <t>petardy lontowe, głośność 115dB z 8m (czarno prochowe)</t>
  </si>
  <si>
    <t>jačina zvuka 115dB na 8m, crni barut</t>
  </si>
  <si>
    <t xml:space="preserve">sức nổ 115dB từ 8m (pháo bột màu đen) </t>
  </si>
  <si>
    <t>garso galia 115dB nuo 8m (juodojo parako gaminys)</t>
  </si>
  <si>
    <t>helitugevus 115dB 8m kaugusel (musta püssirohuga)</t>
  </si>
  <si>
    <t>robbanás ereje 115db 8m ről /fekete poros petárda/</t>
  </si>
  <si>
    <t>Skaļuma jauda 115dB no 8m (melns pulverīs)</t>
  </si>
  <si>
    <t>100ran, délka 32cm, bouchající koberec z černoprachových petard</t>
  </si>
  <si>
    <t>100sh, lenght 32cm, celebration crackers- black powder petards</t>
  </si>
  <si>
    <t>100 schuss, Länge 32cm, Knallteppich aus  schrawz powder Knallkörpern</t>
  </si>
  <si>
    <t>100 pucnjeva, dužina 32cm, redenici  black powder  petardi</t>
  </si>
  <si>
    <t>100sh, lunghezza 32cm, cracker black powderd petardi</t>
  </si>
  <si>
    <t>karabinek 100 strzałów black powder petard, dł. 32cm</t>
  </si>
  <si>
    <t>redenik 100 srednjih black powder petardi, dužina 32cm</t>
  </si>
  <si>
    <t>100 viên, dài 32cm, đập thảm từ pháo hạng trung</t>
  </si>
  <si>
    <t>100 šūvių, 32cm ilgio šventinis fejerverkas iš vidutinio dydžio petardų black powder</t>
  </si>
  <si>
    <t>100 lasku pikkus 32 cm keskmised paugutid black powder</t>
  </si>
  <si>
    <t>100 lövet, hossza 32cm, közepes méretű petárdákat tartalmazó szőnyeg black powder</t>
  </si>
  <si>
    <t>100šv, garums 32cm, svinīgie krākšķi no videjām petārdem black powder</t>
  </si>
  <si>
    <t>3x pískající stopa+stříbrné práskající hvězdy</t>
  </si>
  <si>
    <t>3 stage whistling tail to crackling</t>
  </si>
  <si>
    <t>3x Pfeifende spur + crackling Sterne</t>
  </si>
  <si>
    <t>3x zviždeći trag i srebrno  crackling</t>
  </si>
  <si>
    <t>3 fischi coda a crackling</t>
  </si>
  <si>
    <t>rakietki, 3x gwiżdżąca kometa + crackling</t>
  </si>
  <si>
    <t>3x zvižduk sa crackling iskricama</t>
  </si>
  <si>
    <t>3x dấu vết mòn huýt sáo + những ngôi sao lấp lánh màu bạc</t>
  </si>
  <si>
    <t>3x švilpianti uodega ir scrackling star</t>
  </si>
  <si>
    <t>3x vilistav saba hõbedase sädelusega</t>
  </si>
  <si>
    <t>3x fütyülő csóva+crackling</t>
  </si>
  <si>
    <t>3x svīlpjoša aste uz crackling</t>
  </si>
  <si>
    <t>30+50</t>
  </si>
  <si>
    <t>22+35</t>
  </si>
  <si>
    <t>Best price Maxim</t>
  </si>
  <si>
    <t>Crazy kids fountains</t>
  </si>
  <si>
    <t>Fire ball</t>
  </si>
  <si>
    <t>Dumbum black powder 100sh</t>
  </si>
  <si>
    <t>Dumbum bird bangers</t>
  </si>
  <si>
    <t>Hell rocket</t>
  </si>
  <si>
    <t>Riakeo ARIANE 38</t>
  </si>
  <si>
    <t>Reklamní tabule Dumbum</t>
  </si>
  <si>
    <t>Login</t>
  </si>
  <si>
    <t>Best price Billy</t>
  </si>
  <si>
    <t>Best price Firefox</t>
  </si>
  <si>
    <t>Best price Boominator</t>
  </si>
  <si>
    <t>King of Fireworks</t>
  </si>
  <si>
    <t>Best price Zombie zone</t>
  </si>
  <si>
    <t>Signature range 90</t>
  </si>
  <si>
    <t>Best price Vendeta</t>
  </si>
  <si>
    <t>Best price Power club</t>
  </si>
  <si>
    <t>Signature range 180</t>
  </si>
  <si>
    <t>Explo Fungi</t>
  </si>
  <si>
    <t>Scream battery 25</t>
  </si>
  <si>
    <t>Best price Mumie</t>
  </si>
  <si>
    <t>Pyrotechnology 64</t>
  </si>
  <si>
    <t>Signature range 98</t>
  </si>
  <si>
    <t>Signature range 16</t>
  </si>
  <si>
    <t>Mystic</t>
  </si>
  <si>
    <t>Best price PIG</t>
  </si>
  <si>
    <t>Rocket Rooney</t>
  </si>
  <si>
    <t>Legioner Pyro</t>
  </si>
  <si>
    <t>Doctor Storm</t>
  </si>
  <si>
    <t>Profi Fireworks show 100</t>
  </si>
  <si>
    <t>Pyrotechnology 122</t>
  </si>
  <si>
    <t>Signature range 100</t>
  </si>
  <si>
    <t>Pyrotechnology 128</t>
  </si>
  <si>
    <t>XXXL 150</t>
  </si>
  <si>
    <t>Best price Paniheon</t>
  </si>
  <si>
    <t>Signature range 200</t>
  </si>
  <si>
    <t>Profi Fireworks show 256</t>
  </si>
  <si>
    <t>XXXL 50</t>
  </si>
  <si>
    <t>Musíš znovu nakopírovat vzorce z W23-AA23 (označ celé a nakopíruj) a pak uprav počet řádků v každé části podle ceníku.</t>
  </si>
  <si>
    <t>HF-51-2227S</t>
  </si>
  <si>
    <t>12  different color effects</t>
  </si>
  <si>
    <t>12  verschiedenfarbige Effekte</t>
  </si>
  <si>
    <t>12  različitih efekata u boji</t>
  </si>
  <si>
    <t>12  diversi effetti di colore</t>
  </si>
  <si>
    <t>12  różnokolorowych efektów</t>
  </si>
  <si>
    <t>12  različita efekta u boji</t>
  </si>
  <si>
    <t>12  hiệu ứng nhiều màu</t>
  </si>
  <si>
    <t xml:space="preserve">12  Skirtingi spalvoti efektai. </t>
  </si>
  <si>
    <t>12  erinevat värvilist efekti</t>
  </si>
  <si>
    <t>12  külömböző színű effektus</t>
  </si>
  <si>
    <t>12  dažadu krāsu efekts</t>
  </si>
  <si>
    <t>15  different color effects</t>
  </si>
  <si>
    <t>15  verschiedenfarbige Effekte</t>
  </si>
  <si>
    <t>15  različitih efekata u boji</t>
  </si>
  <si>
    <t>15  diversi effetti di colore</t>
  </si>
  <si>
    <t>15  różnokolorowych efektów</t>
  </si>
  <si>
    <t>15  različita efekta u boji</t>
  </si>
  <si>
    <t>15  hiệu ứng nhiều màu</t>
  </si>
  <si>
    <t xml:space="preserve">15  Skirtingi spalvoti efektai. </t>
  </si>
  <si>
    <t>15  erinevat värvilist efekti</t>
  </si>
  <si>
    <t>15  külömböző színű effektus</t>
  </si>
  <si>
    <t>15  dažadu krāsu efekts</t>
  </si>
  <si>
    <t>17 různobarevných efektů</t>
  </si>
  <si>
    <t>17  different color effects</t>
  </si>
  <si>
    <t>17  verschiedenfarbige Effekte</t>
  </si>
  <si>
    <t>17  različitih efekata u boji</t>
  </si>
  <si>
    <t>17  diversi effetti di colore</t>
  </si>
  <si>
    <t>17  różnokolorowych efektów</t>
  </si>
  <si>
    <t>17  različita efekta u boji</t>
  </si>
  <si>
    <t>17  hiệu ứng nhiều màu</t>
  </si>
  <si>
    <t xml:space="preserve">17  Skirtingi spalvoti efektai. </t>
  </si>
  <si>
    <t>17  erinevat värvilist efekti</t>
  </si>
  <si>
    <t>17  külömböző színű effektus</t>
  </si>
  <si>
    <t>17  dažadu krāsu efekts</t>
  </si>
  <si>
    <t>26  different color effects</t>
  </si>
  <si>
    <t>26  verschiedenfarbige Effekte</t>
  </si>
  <si>
    <t>26  različitih efekata u boji</t>
  </si>
  <si>
    <t>26  diversi effetti di colore</t>
  </si>
  <si>
    <t>26  różnokolorowych efektów</t>
  </si>
  <si>
    <t>26  različita efekta u boji</t>
  </si>
  <si>
    <t>26  hiệu ứng nhiều màu</t>
  </si>
  <si>
    <t xml:space="preserve">26  Skirtingi spalvoti efektai. </t>
  </si>
  <si>
    <t>26  erinevat värvilist efekti</t>
  </si>
  <si>
    <t>26  külömböző színű effektus</t>
  </si>
  <si>
    <t>26  dažadu krāsu efekts</t>
  </si>
  <si>
    <t>39  different color effects</t>
  </si>
  <si>
    <t>39  verschiedenfarbige Effekte</t>
  </si>
  <si>
    <t>39  različitih efekata u boji</t>
  </si>
  <si>
    <t>39  diversi effetti di colore</t>
  </si>
  <si>
    <t>39  różnokolorowych efektów</t>
  </si>
  <si>
    <t>39  različita efekta u boji</t>
  </si>
  <si>
    <t>39  hiệu ứng nhiều màu</t>
  </si>
  <si>
    <t xml:space="preserve">39  Skirtingi spalvoti efektai. </t>
  </si>
  <si>
    <t>39  erinevat värvilist efekti</t>
  </si>
  <si>
    <t>39  külömböző színű effektus</t>
  </si>
  <si>
    <t>39  dažadu krāsu efekts</t>
  </si>
  <si>
    <t>14  different color effects</t>
  </si>
  <si>
    <t>14  verschiedenfarbige Effekte</t>
  </si>
  <si>
    <t>14  različitih efekata u boji</t>
  </si>
  <si>
    <t>14  diversi effetti di colore</t>
  </si>
  <si>
    <t>14  różnokolorowych efektów</t>
  </si>
  <si>
    <t>14  različita efekta u boji</t>
  </si>
  <si>
    <t>14  hiệu ứng nhiều màu</t>
  </si>
  <si>
    <t xml:space="preserve">14  Skirtingi spalvoti efektai. </t>
  </si>
  <si>
    <t>14  erinevat värvilist efekti</t>
  </si>
  <si>
    <t>14  külömböző színű effektus</t>
  </si>
  <si>
    <t>14  dažadu krāsu efekts</t>
  </si>
  <si>
    <t>HF-51-2227s</t>
  </si>
  <si>
    <t>Evropská unie</t>
  </si>
  <si>
    <t>Velká Británie</t>
  </si>
  <si>
    <t>PLN</t>
  </si>
  <si>
    <t>Certyfikaty</t>
  </si>
  <si>
    <t>zakupy netto powyžej</t>
  </si>
  <si>
    <t>1 000 PLN</t>
  </si>
  <si>
    <t>3 000 PLN</t>
  </si>
  <si>
    <t>6 000 PLN</t>
  </si>
  <si>
    <t xml:space="preserve"> 10 000 PLN</t>
  </si>
  <si>
    <t>15 000 PLN</t>
  </si>
  <si>
    <t>20 000 PLN</t>
  </si>
  <si>
    <t>30 000 PLN</t>
  </si>
  <si>
    <t>50 000 PLN</t>
  </si>
  <si>
    <t>∞ PLN</t>
  </si>
  <si>
    <t xml:space="preserve"> bez VAT</t>
  </si>
  <si>
    <t xml:space="preserve"> z VAT 23%</t>
  </si>
  <si>
    <t>Reklamationen für Batterien und zVwerbundfeuerwerker werden nicht anerkannt, wenn sie nicht auf einer ebenen Fläche platziert wurden (siehe Gebrauchsanweisung), und insbesondere werden Reklamationen nicht anerkannt, wenn die Produkte auf Schnee oder Gras platziert wurden.</t>
  </si>
  <si>
    <t>Nebudou uznány reklamace baterií a compoundů, pokud nebyly položeny na rovném povrchu (viz. návod k použití), a zejména nebudou reklamace uznány, pokud byly výrobky umístěny na sněhu nebo trávě.</t>
  </si>
  <si>
    <t>Claims for batteries and compunds will not be accepted if they have not been placed on a flat surface (see instructions for use) and in particular claims will not be accepted if the products have been placed on snow or grass.</t>
  </si>
  <si>
    <t>Reklamacije na baterije i vatrometnych kominaciji neće biti prihvaćene ako nisu postavljene na ravnu površinu (vidi upute za uporabu), a posebno se reklamacije neće prihvatiti ako su proizvodi postavljeni na snijeg ili travu.</t>
  </si>
  <si>
    <t>Reklamacje dotyczące baterii i skomponowanych fajerwerkow nie będą uwzględniane, jeśli nie zostały umieszczone na płaskiej powierzchni (patrz instrukcja użytkowania), a w szczególności reklamacje nie będą uwzględniane, jeśli produkty zostały umieszczone na śniegu lub trawie.</t>
  </si>
  <si>
    <t>Non saranno accettati reclami riguardanti batterie se gli stessi non sono stati posizionati su una superficie piana (vedere le istruzioni per l'uso) e in particolare non saranno accettati reclami se i prodotti sono stati posizionati sulla neve o sull'erba.</t>
  </si>
  <si>
    <t>Skundai dėl baterijų ir sudėtiniai fejerverkai nepriimami, jei jie nebuvo pastatyti ant lygaus paviršiaus (žr. naudojimo instrukciją), o ypač skundai nepriimami, jei gaminiai buvo pastatyti ant sniego ar žolės.</t>
  </si>
  <si>
    <t xml:space="preserve"> Рекламације на батерије неће бити прихваћене ако нису постављене на равну површину (погледајте упутство за употребу), а посебно рекламације неће бити прихваћене ако су производи постављени на снег или траву.</t>
  </si>
  <si>
    <t xml:space="preserve"> Sūdzības par baterijas netiks pieņemtas, ja tie nav novietoti uz līdzenas virsmas (skatīt lietošanas instrukciju), un jo īpaši, sūdzības netiks pieņemtas, ja izstrādājumi ir novietoti uz sniega vai zāles.</t>
  </si>
  <si>
    <t xml:space="preserve"> Pretensioone ilutulestikupatareide kohta ei võeta vastu, kui need ei ole asetatud tasasele pinnale (vt kasutusjuhendit) ja eelkõige ei võeta kaebusi vastu juhul, kui tooted on asetatud lumele või murule.</t>
  </si>
  <si>
    <t>A tűzijáték elemekre vonatkozó reklamációt nem fogadjuk el, ha azokat nem sima felületre helyezték (lásd a használati utasítást), és különösen nem fogadunk el reklamációt, ha a termékeket havon vagy fűben helyezték el.</t>
  </si>
  <si>
    <t xml:space="preserve"> Khiếu nại về pin pháo hoa sẽ không được chấp nhận nếu sản phẩm không được đặt trên bề mặt phẳng (xem hướng dẫn sử dụng) và đặc biệt, khiếu nại sẽ không được chấp nhận nếu sản phẩm được đặt trên tuyết hoặc cỏ.</t>
  </si>
  <si>
    <t>F19MF1</t>
  </si>
  <si>
    <t>CST40S</t>
  </si>
  <si>
    <t>Blue/gold and strobe torch</t>
  </si>
  <si>
    <t>F205M</t>
  </si>
  <si>
    <t>F216M</t>
  </si>
  <si>
    <t>6m Fountain</t>
  </si>
  <si>
    <t>R60508E</t>
  </si>
  <si>
    <t>Římská svíce 5 ran</t>
  </si>
  <si>
    <t>SS20SIG14</t>
  </si>
  <si>
    <t>Signature range single shot 20mm</t>
  </si>
  <si>
    <t>RS11HF2</t>
  </si>
  <si>
    <t>SP3CF2</t>
  </si>
  <si>
    <t>RS18TF2</t>
  </si>
  <si>
    <t>RS18SF2</t>
  </si>
  <si>
    <t>C6414C14</t>
  </si>
  <si>
    <t>Cubic</t>
  </si>
  <si>
    <t>C20014F14</t>
  </si>
  <si>
    <t>Flame on</t>
  </si>
  <si>
    <t>C9016XC14</t>
  </si>
  <si>
    <t>Caramba!</t>
  </si>
  <si>
    <t>C63MXS14</t>
  </si>
  <si>
    <t>Sudoku</t>
  </si>
  <si>
    <t>C3620NO14</t>
  </si>
  <si>
    <t>C18820XR/C14</t>
  </si>
  <si>
    <t>Revenant</t>
  </si>
  <si>
    <t>C19320XR/C14</t>
  </si>
  <si>
    <t>Romanium</t>
  </si>
  <si>
    <t>C25620NID/C</t>
  </si>
  <si>
    <t>C32820XM/C</t>
  </si>
  <si>
    <t>Mucho Power</t>
  </si>
  <si>
    <t>C10025SIG/C</t>
  </si>
  <si>
    <t>C20025I/C</t>
  </si>
  <si>
    <t>Identify</t>
  </si>
  <si>
    <t>C1003CY/C</t>
  </si>
  <si>
    <t>Cyberpunker</t>
  </si>
  <si>
    <t>C46MXP</t>
  </si>
  <si>
    <t>Pete</t>
  </si>
  <si>
    <t>C48XMF</t>
  </si>
  <si>
    <t>Fat cat</t>
  </si>
  <si>
    <t>C77MXR14</t>
  </si>
  <si>
    <t>Reward</t>
  </si>
  <si>
    <t>C124MXM/C14</t>
  </si>
  <si>
    <t>Metropolitan</t>
  </si>
  <si>
    <t>C150MXH/C14</t>
  </si>
  <si>
    <t>Horroroid</t>
  </si>
  <si>
    <t>C154MXB/C14</t>
  </si>
  <si>
    <t>Bombardier</t>
  </si>
  <si>
    <t>C270MXM/C14</t>
  </si>
  <si>
    <t>Magnum</t>
  </si>
  <si>
    <t>C248MXY/C</t>
  </si>
  <si>
    <t>Yakuza</t>
  </si>
  <si>
    <t>C252MXB/C</t>
  </si>
  <si>
    <t>Broken city</t>
  </si>
  <si>
    <t>C316MXF/C</t>
  </si>
  <si>
    <t>Fortuner</t>
  </si>
  <si>
    <t>C342MXG/C</t>
  </si>
  <si>
    <t>Gimme Danger</t>
  </si>
  <si>
    <t>C500MXB/C</t>
  </si>
  <si>
    <t>BlackOUT</t>
  </si>
  <si>
    <t>C1-C2 C425MXM/C14</t>
  </si>
  <si>
    <t>Megalomania</t>
  </si>
  <si>
    <t>C3-C4 C234MXD/C14</t>
  </si>
  <si>
    <t>Damageplan</t>
  </si>
  <si>
    <t>C5-C6 C303MXN/C14</t>
  </si>
  <si>
    <t>Nightside</t>
  </si>
  <si>
    <t>HF-83-2207P</t>
  </si>
  <si>
    <t>18-25</t>
  </si>
  <si>
    <t>13-16</t>
  </si>
  <si>
    <t>Raketové sety F2</t>
  </si>
  <si>
    <t>Raketové sety F3</t>
  </si>
  <si>
    <t>Raketensets F2</t>
  </si>
  <si>
    <t>Zestawy rakiet F2</t>
  </si>
  <si>
    <t>Raketensets F3</t>
  </si>
  <si>
    <t>Zestawy rakiet F3</t>
  </si>
  <si>
    <t>CZ, SK, LT, DE</t>
  </si>
  <si>
    <t>CZ, PL, SK, LT, DE</t>
  </si>
  <si>
    <t>CZ, SK, PL, DE, LT, EST, DK, EN, HR, HU, SRB, LV</t>
  </si>
  <si>
    <t>CZ, SK, PL, DE, LT, EN, EST, HR, DK</t>
  </si>
  <si>
    <t>EN, PL, LT</t>
  </si>
  <si>
    <t>CZ, SK, PL, HR, HU, EN, DE, LT, EST, SRB, RO, LV</t>
  </si>
  <si>
    <t>CZ, SK, PL, DE, IT, NL, EN, FR, LT</t>
  </si>
  <si>
    <t>CZ, SK, PL, LT, SRB</t>
  </si>
  <si>
    <t>CZ, SK, PL, LT, DE, HU, EN, NL, HR, IT, FR</t>
  </si>
  <si>
    <t>CZ, SK, PL, LT, DE, HR, EN, HU, IT</t>
  </si>
  <si>
    <t>CZ, SK, PL, LT, EN, DE, EST, NL</t>
  </si>
  <si>
    <t>CZ, SK, PL, LT, DE, HR, EST, HU, IT, SLO, EN, DK, FR, NL, RO, SRB, LV</t>
  </si>
  <si>
    <t>CZ, SK, Pl, LT, DE</t>
  </si>
  <si>
    <t>CZ, SK, PL, LT, DE, NL</t>
  </si>
  <si>
    <t>CZ, SK, DE, PL, LT, IT, EN, FR, NL</t>
  </si>
  <si>
    <t>CZ, SK, PL, EN, DE, FR, NL, DK, LT</t>
  </si>
  <si>
    <t>CZ, SK, PL, DE, EN, IT</t>
  </si>
  <si>
    <t>CZ, SK, PL, LT, DE, EN, DK, IT, HU, EST, FR, HR</t>
  </si>
  <si>
    <t>CZ, SK, PL, LT, DE, EN, HR, EST, HU, IT, FR, SRB</t>
  </si>
  <si>
    <t>CZ, SK, PL, FR, LT, EN, DE, HR</t>
  </si>
  <si>
    <t>CZ, SK, PL, LT, DE, HR, DK, EST, EN, FR</t>
  </si>
  <si>
    <t>CZ, PL, SK, DE, EN, SRB, LT, HU</t>
  </si>
  <si>
    <t>CZ, SK, /L, LT, DE, EN, IT, SRB</t>
  </si>
  <si>
    <t>CZ, SK, PL, LT, EN, DE, HU, EST, IT, FR, HR, DK, NL</t>
  </si>
  <si>
    <t>CZ, SK, PL, LT, NL, DK, EN, DE, EST, HU, HR, FR, IT, LV, SLO, SRB</t>
  </si>
  <si>
    <t>CZ, SK, PL, LT, DE, EN, SRB, EST, FR, IT, HU, NL, DK</t>
  </si>
  <si>
    <t>CZ, SK, PL, LT, DE, FR, NL</t>
  </si>
  <si>
    <t>CZ, SK, PL, DE, LT, LV, EST, EN, HR</t>
  </si>
  <si>
    <t>5ran, 5 různé efekty střídající se po každé ráně, 60cm délka</t>
  </si>
  <si>
    <t>5sh 5 different color effects, 60cm lenght</t>
  </si>
  <si>
    <t>5 schuss, 5 verschiedene Effekte, welche nach jedem Schuss wechseln, 60 cm Länge</t>
  </si>
  <si>
    <t>5 pucnjeva, 5 različita efekta u boji, dužina 60cm</t>
  </si>
  <si>
    <t>Cometa scoppiettante 5sh, lunghezza 60 cm</t>
  </si>
  <si>
    <t>rzymski ogień, 5 strz. 5 różnokolorowych efektu, 60cm</t>
  </si>
  <si>
    <t>5s sa 5 različita efekta, dužina štapa 60cm</t>
  </si>
  <si>
    <t>5 phát đạn, 5 hiệu ứng khác nhau xen kẽ sau mỗi lần bắn, chiều dài 60cm</t>
  </si>
  <si>
    <t>5 šūvių 5 skirtingų spalvų efektai, 60cm ilgio</t>
  </si>
  <si>
    <t>5 lasku ,5 erinevat efekti pikkus 60cm</t>
  </si>
  <si>
    <t>5 lövet, 5 külömböző effektus felváltva minden lövés után, 60cm hosszú</t>
  </si>
  <si>
    <t>5šv 5 dažādu krāšu efektu, 60cm garums</t>
  </si>
  <si>
    <t>12 different color effects(salvo 3sh together)</t>
  </si>
  <si>
    <t>12 verschiedenfarbige Effekte(salvo 3sh together)</t>
  </si>
  <si>
    <t>12 različitih efekata u boji(salvo 3sh together)</t>
  </si>
  <si>
    <t>12 diversi effetti di colore(salvo 3sh together)</t>
  </si>
  <si>
    <t>12 różnokolorowych efektów(salvo 3sh together)</t>
  </si>
  <si>
    <t>12 različita efekta u boji(salvo 3sh together)</t>
  </si>
  <si>
    <t>12 hiệu ứng màu sắc khác nhau(salvo 3sh together)</t>
  </si>
  <si>
    <t>12 Skirtingi spalvoti efektai(salvo 3sh together)</t>
  </si>
  <si>
    <t>12 erinevat värvilist efekti(salvo 3sh together)</t>
  </si>
  <si>
    <t>12 külömböző színű effektus(salvo 3sh together)</t>
  </si>
  <si>
    <t>12 dažādu krāsu efekts(salvo 3sh together)</t>
  </si>
  <si>
    <t>Etna Pirotechnika Sp. z o.o.</t>
  </si>
  <si>
    <t>NIP: 897 179 81 63</t>
  </si>
  <si>
    <t xml:space="preserve">8 verschiedenfarbige Effekte </t>
  </si>
  <si>
    <t>rakiety, 8  różnokolorowych efektów</t>
  </si>
  <si>
    <t>25 různobarevných efektů</t>
  </si>
  <si>
    <t>25 different color effects</t>
  </si>
  <si>
    <t xml:space="preserve">25 verschiedenfarbige Effekte </t>
  </si>
  <si>
    <t>25 različitih efekata u boji</t>
  </si>
  <si>
    <t>25 diversi effetti di colore</t>
  </si>
  <si>
    <t>25 različita efekta u boji</t>
  </si>
  <si>
    <t>25 hiệu ứng màu sắc khác nhau</t>
  </si>
  <si>
    <t xml:space="preserve">25 Skirtingi spalvoti efektai. </t>
  </si>
  <si>
    <t>25 erinevat värvilist efekti</t>
  </si>
  <si>
    <t>25 külömböző színű effektus</t>
  </si>
  <si>
    <t>25 dažadu krāsu efekts</t>
  </si>
  <si>
    <t>23 různobarevných efektů</t>
  </si>
  <si>
    <t>23 different color effects</t>
  </si>
  <si>
    <t xml:space="preserve">23 verschiedenfarbige Effekte </t>
  </si>
  <si>
    <t>23 različitih efekata u boji</t>
  </si>
  <si>
    <t>23 diversi effetti di colore</t>
  </si>
  <si>
    <t>rakiety, 23  różnokolorowych efektów</t>
  </si>
  <si>
    <t>23 različita efekta u boji</t>
  </si>
  <si>
    <t>23 hiệu ứng màu sắc khác nhau</t>
  </si>
  <si>
    <t xml:space="preserve">23 Skirtingi spalvoti efektai. </t>
  </si>
  <si>
    <t>23 erinevat värvilist efekti</t>
  </si>
  <si>
    <t>23 külömböző színű effektus</t>
  </si>
  <si>
    <t>23 dažadu krāsu efekts</t>
  </si>
  <si>
    <t xml:space="preserve">17 verschiedenfarbige Effekte </t>
  </si>
  <si>
    <t>17 hiệu ứng màu sắc khác nhau</t>
  </si>
  <si>
    <t>Riakeo baterije</t>
  </si>
  <si>
    <t>Riakeo složené ohňostroje</t>
  </si>
  <si>
    <t>Niezniszczalne moździerze</t>
  </si>
  <si>
    <t>48/24</t>
  </si>
  <si>
    <t>C148MXP14</t>
  </si>
  <si>
    <t>Psycho</t>
  </si>
  <si>
    <t>Zvažte možnost optimalizace objednaného množství podle počtu VK na paletě ==&gt;</t>
  </si>
  <si>
    <t>Erwägen Sie eine Optimierung der bestellten Menge basierend auf der Anzahl der VKs auf der Palette ==&gt;</t>
  </si>
  <si>
    <t>Consider optimizing the ordered quantity based on the number of VKs on the pallet ==&gt;</t>
  </si>
  <si>
    <t>Rozważ optymalizację zamawianej ilości na podstawie liczby VK na palecie ==&gt;</t>
  </si>
  <si>
    <t>Hãy cân nhắc việc tối ưu hóa số lượng đặt hàng dựa trên số lượng VK trên pallet ==&gt;</t>
  </si>
  <si>
    <t>Apsvarstykite galimybę optimizuoti užsakytą kiekį pagal VK skaičių ant padėklo ==&gt;</t>
  </si>
  <si>
    <t>Razmislite o optimizaciji naručene količine na temelju broja VK na paleti ==&gt;</t>
  </si>
  <si>
    <t>Razmislite o optimizaciji naručene količine na osnovu broja VK na paleti ==&gt;</t>
  </si>
  <si>
    <t>Si consiglia di ottimizzare la quantità ordinata in base al numero di VK sul pallet ==&gt;</t>
  </si>
  <si>
    <t>Kaaluge tellitud koguse optimeerimist kaubaalusel olevate VK-de arvu järgi ==&gt;</t>
  </si>
  <si>
    <t>Fontolja meg a rendelt mennyiség optimalizálását a raklapon lévő VK-k száma alapján ==&gt;</t>
  </si>
  <si>
    <t>Apsveriet iespēju optimizēt pasūtīto daudzumu, pamatojoties uz VK skaitu uz paletes ==&gt;</t>
  </si>
  <si>
    <t>SS25SIG14</t>
  </si>
  <si>
    <t>Signature range single shot 25mm</t>
  </si>
  <si>
    <t>C48XMF14</t>
  </si>
  <si>
    <t xml:space="preserve">Zvažte možnost doobjednání ještě </t>
  </si>
  <si>
    <t xml:space="preserve"> VK do plné palety.</t>
  </si>
  <si>
    <t xml:space="preserve">Erwägen Sie, </t>
  </si>
  <si>
    <t xml:space="preserve">Consider ordering </t>
  </si>
  <si>
    <t>kartona kastes pilnai paletei.</t>
  </si>
  <si>
    <t xml:space="preserve">Apsveriet iespēju pasūtīt vēl </t>
  </si>
  <si>
    <t xml:space="preserve"> dėžučių visam padėklui.</t>
  </si>
  <si>
    <t xml:space="preserve">Apsvarstykite galimybę užsisakyti dar </t>
  </si>
  <si>
    <t xml:space="preserve"> kartona za punu paletu.</t>
  </si>
  <si>
    <t xml:space="preserve">Razmislite o naručivanju još </t>
  </si>
  <si>
    <t xml:space="preserve"> thùng nữa để có một pallet đầy.</t>
  </si>
  <si>
    <t xml:space="preserve">Hãy cân nhắc đặt thêm </t>
  </si>
  <si>
    <t xml:space="preserve"> karton rendelést egy teljes raklaphoz.</t>
  </si>
  <si>
    <t xml:space="preserve">Vegye fontolóra további </t>
  </si>
  <si>
    <t xml:space="preserve"> karbi tellimist kogu kaubaaluse jaoks.</t>
  </si>
  <si>
    <t xml:space="preserve">Kaaluge veel </t>
  </si>
  <si>
    <t xml:space="preserve"> cartoni per ottenere un pallet completo.</t>
  </si>
  <si>
    <t xml:space="preserve">Si consiglia di ordinare altri </t>
  </si>
  <si>
    <t xml:space="preserve"> more cartons for a full pallet.</t>
  </si>
  <si>
    <t xml:space="preserve"> weitere Kartons für eine volle Palette zu bestellen.</t>
  </si>
  <si>
    <t xml:space="preserve"> dodatkowych kartonów, aby uzyskać pełną paletę.</t>
  </si>
  <si>
    <t xml:space="preserve">Rozważ zamówienie </t>
  </si>
  <si>
    <t>SVYHLEDAT("Zvažte možnost doobjednání ještě ";Jazyky_ceník!A:Q;POZVYHLEDAT($W$17;Jazyky_ceník!$A$1:$Q$1;0);NEPRAVDA)&amp;[@PAL]-MOD(AB299;AA299)&amp;SVYHLEDAT(" VK do plné palety.";Jazyky_ceník!A:Q;POZVYHLEDAT($W$17;Jazyky_ceník!$A$1:$Q$1;0);NEPRAVDA)</t>
  </si>
  <si>
    <t>HF-80-2366s  HF-80-2367s</t>
  </si>
  <si>
    <t>C18820XR/C14(T)</t>
  </si>
  <si>
    <t>C19320XR/C14(T)</t>
  </si>
  <si>
    <t>C6420DU/C(T)</t>
  </si>
  <si>
    <t>C25620NID/C(T)</t>
  </si>
  <si>
    <t>C32820XM/C(T)</t>
  </si>
  <si>
    <t>C10025BPW/C14(T)</t>
  </si>
  <si>
    <t>C10025SIG/C(T)</t>
  </si>
  <si>
    <t>C20025I/C(T)</t>
  </si>
  <si>
    <t>C1003F/C14(T)</t>
  </si>
  <si>
    <t>C1003CY/C(T)</t>
  </si>
  <si>
    <t>C1003BPS/C(T)</t>
  </si>
  <si>
    <t>C1003F/C(T)</t>
  </si>
  <si>
    <t>C1923XMF/C(T)</t>
  </si>
  <si>
    <t>C2003F/C(T)</t>
  </si>
  <si>
    <t>C124MXM/C14(T)</t>
  </si>
  <si>
    <t>C150MXH/C14(T)</t>
  </si>
  <si>
    <t>C154MXB/C14(T)</t>
  </si>
  <si>
    <t>C270MXM/C14(T)</t>
  </si>
  <si>
    <t>C248MXY/C(T)</t>
  </si>
  <si>
    <t>C252MXB/C(T)</t>
  </si>
  <si>
    <t>C316MXF/C(T)</t>
  </si>
  <si>
    <t>C342MXG/C(T)</t>
  </si>
  <si>
    <t>C500MXB/C(T)</t>
  </si>
  <si>
    <t>C1-C2 C425MXM/C14(T)</t>
  </si>
  <si>
    <t>C3-C4 C234MXD/C14(T)</t>
  </si>
  <si>
    <t>C5-C6 C303MXN/C14(T)</t>
  </si>
  <si>
    <t>S5DU14</t>
  </si>
  <si>
    <t>Strobo Dumbum</t>
  </si>
  <si>
    <t xml:space="preserve">                                     </t>
  </si>
  <si>
    <t>bílé blikající světlo s práskajícími hvězdami</t>
  </si>
  <si>
    <t>white strobo with crackling</t>
  </si>
  <si>
    <t>balta mirgojoša gaisma ar sprakšķošām zvaigznēm</t>
  </si>
  <si>
    <t>valge vilkuv tuli praksuvate tähtedega</t>
  </si>
  <si>
    <t>fehér villogó fény recsegő csillagokkal</t>
  </si>
  <si>
    <t>balta mirksi šviesa su spragsinčiomis žvaigždėmis</t>
  </si>
  <si>
    <t>ánh sáng nhấp nháy màu trắng với những ngôi sao lấp lánh</t>
  </si>
  <si>
    <t>belo trepćuće svetlo sa pucketavim zvezdama</t>
  </si>
  <si>
    <t>bijelo bljeskajuće svjetlo s pucketavim zvijezdama</t>
  </si>
  <si>
    <t>luce bianca lampeggiante con stelle scoppiettanti</t>
  </si>
  <si>
    <t>białe migające światło z trzaskającymi gwiazdami</t>
  </si>
  <si>
    <t>weißes Blinklicht mit knisternden Sternen</t>
  </si>
  <si>
    <t xml:space="preserve">14 verschiedenfarbige Effekte </t>
  </si>
  <si>
    <t>14 hiệu ứng màu sắc khác nhau</t>
  </si>
  <si>
    <t>7  różnokolorowych efektów</t>
  </si>
  <si>
    <t xml:space="preserve">6 verschiedenfarbige Effekte </t>
  </si>
  <si>
    <t>18  różnokolorowych efektów</t>
  </si>
  <si>
    <t xml:space="preserve">15 verschiedenfarbige Effekte </t>
  </si>
  <si>
    <t xml:space="preserve">32 verschiedenfarbige Effekte </t>
  </si>
  <si>
    <t>32 različitih efekata u boji</t>
  </si>
  <si>
    <t>32  różnokolorowych efektów</t>
  </si>
  <si>
    <t>32 hiệu ứng màu sắc khác nhau</t>
  </si>
  <si>
    <t xml:space="preserve">20 verschiedenfarbige Effekte </t>
  </si>
  <si>
    <t xml:space="preserve">10 verschiedenfarbige Effekte </t>
  </si>
  <si>
    <t>10 hiệu ứng màu sắc khác nhau</t>
  </si>
  <si>
    <t>9  różnokolorowych efektów</t>
  </si>
  <si>
    <t>9 hiệu ứng màu sắc khác nhau</t>
  </si>
  <si>
    <t xml:space="preserve">13 verschiedenfarbige Effekte </t>
  </si>
  <si>
    <t>13  różnokolorowych efektów</t>
  </si>
  <si>
    <t>13 hiệu ứng màu sắc khác nhau</t>
  </si>
  <si>
    <t>25  różnokolorowych efektów</t>
  </si>
  <si>
    <t>38 různobarevných efektů</t>
  </si>
  <si>
    <t xml:space="preserve">38 verschiedenfarbige Effekte </t>
  </si>
  <si>
    <t>38  różnokolorowych efektów</t>
  </si>
  <si>
    <t>38 hiệu ứng màu sắc khác nhau</t>
  </si>
  <si>
    <t>38 dažadu krāsu efekts</t>
  </si>
  <si>
    <t xml:space="preserve">19 verschiedenfarbige Effekte </t>
  </si>
  <si>
    <t>19  różnokolorowych efektów</t>
  </si>
  <si>
    <t>CZ, SK, PL, LT, NL, DE</t>
  </si>
  <si>
    <t>CZ, SK, PL, DE, EN, LT, EST, HU, HR, SRB, LV</t>
  </si>
  <si>
    <t>CZ, SK, PL, LT, DE, EN, FR, NL, IT, SRB</t>
  </si>
  <si>
    <t>CZ, SK, PL, LT, DE, EN, FR, NL, IT, SRB, EST, HR, HU, DK, SLO, RO, LV</t>
  </si>
  <si>
    <t>Jako płatnik podatku VAT do powyższych cen doliczamy 23% VAT.</t>
  </si>
  <si>
    <t>C1625DU</t>
  </si>
  <si>
    <t>Dumbum 16sh</t>
  </si>
  <si>
    <t>D/BAM-0302/25</t>
  </si>
  <si>
    <t>1</t>
  </si>
  <si>
    <t>96</t>
  </si>
  <si>
    <t>19</t>
  </si>
  <si>
    <t>97</t>
  </si>
  <si>
    <t>139</t>
  </si>
  <si>
    <t>140</t>
  </si>
  <si>
    <t>141</t>
  </si>
  <si>
    <t>142</t>
  </si>
  <si>
    <t>143</t>
  </si>
  <si>
    <t>144</t>
  </si>
  <si>
    <t>158</t>
  </si>
  <si>
    <t>159</t>
  </si>
  <si>
    <t>157</t>
  </si>
  <si>
    <t>1.</t>
  </si>
  <si>
    <t>zlatomodrá blikající fontána</t>
  </si>
  <si>
    <t>blue/gold and strobe</t>
  </si>
  <si>
    <t>blau/gold und Stroboskop</t>
  </si>
  <si>
    <t>niebieski/złoty i stroboskop</t>
  </si>
  <si>
    <t>plavo/zlatna i stroboskop</t>
  </si>
  <si>
    <t>blu/oro e strobo</t>
  </si>
  <si>
    <t xml:space="preserve"> plava/zlatna i stroboskopska</t>
  </si>
  <si>
    <t>xanh/vàng và nhấp nháy</t>
  </si>
  <si>
    <t>mėlyna/auksinė ir stroboskopinė</t>
  </si>
  <si>
    <t>sinine/kuldne ja strobo</t>
  </si>
  <si>
    <t>kék/arany és stroboszkóp</t>
  </si>
  <si>
    <t>zils/zelta un stroboskops</t>
  </si>
  <si>
    <t>5  different color effects</t>
  </si>
  <si>
    <t>5  verschiedenfarbige Effekte</t>
  </si>
  <si>
    <t>5  različitih efekata u boji</t>
  </si>
  <si>
    <t>5  różnokolorowych efektów</t>
  </si>
  <si>
    <t>5  različita efekta u boji</t>
  </si>
  <si>
    <t>5  hiệu ứng nhiều màu</t>
  </si>
  <si>
    <t xml:space="preserve">5  Skirtingi spalvoti efektai. </t>
  </si>
  <si>
    <t>5  erinevat värvilist efekti</t>
  </si>
  <si>
    <t>5  külömböző színű effektus</t>
  </si>
  <si>
    <t>5  dažadu krāsu efekts</t>
  </si>
  <si>
    <t>---</t>
  </si>
  <si>
    <t>tubo di fumo con testina grattabile - imballaggio misto con colore verde/arancione/nero</t>
  </si>
  <si>
    <t>Nabój sygnałowy 15mm z wybuchem</t>
  </si>
  <si>
    <t>raudona uodega iki traškančios uodegos + žalia uodega iki traškančios uodegos</t>
  </si>
  <si>
    <t>piros farok a recsegő farokig + zöld farok a recsegő farokig</t>
  </si>
  <si>
    <t>Cu dubultais kabelis 0,6 mm iekšējais diametrs, 1,1 mm ārējais diametrs, elektrisko uguņošanas ierīču šaušanai</t>
  </si>
  <si>
    <t>5 g zibspuldzes pulveris, 130 dB, 15 m garums, ražots Eiropā, plastmasas blīvējums</t>
  </si>
  <si>
    <t>Fliismantel Dumbum, 600g</t>
  </si>
  <si>
    <t>Dumbum fliismantel L - piiratud väljaanne</t>
  </si>
  <si>
    <t>Dumbum fliismantel M - piiratud väljaanne</t>
  </si>
  <si>
    <t>Dumbum fliismantel XL - piiratud väljaanne</t>
  </si>
  <si>
    <t>Dumbum fliismantel XXL - piiratud väljaanne</t>
  </si>
  <si>
    <t>10 erinevat värviefekti, karp sisaldab erineva vanusega kleebiseid</t>
  </si>
  <si>
    <t>20 erinevat värviefekti</t>
  </si>
  <si>
    <t>valge vilkuv purskkaev</t>
  </si>
  <si>
    <t>kuldne kroon kuldse läikiva emakaga</t>
  </si>
  <si>
    <t>kuldsed sädelevad kreekerid</t>
  </si>
  <si>
    <t>pragisev paju, langevate lehtede värvimine sinisega</t>
  </si>
  <si>
    <t>brokaatkroon punaseks + valge stroboskoop</t>
  </si>
  <si>
    <t>lilla roheline daalia + ajavihm</t>
  </si>
  <si>
    <t>kuldne kookos + roheline stroboskoop</t>
  </si>
  <si>
    <t>punane kookos + valge stroboskoop</t>
  </si>
  <si>
    <t>violetne lill brokaatkrooniga</t>
  </si>
  <si>
    <t>talimüts Dumbum, Beanie</t>
  </si>
  <si>
    <t>talimüts Dumbum - piiratud väljaanne</t>
  </si>
  <si>
    <t>10 erinevat värviefekti</t>
  </si>
  <si>
    <t>punane saba kuni viivituskreekerini</t>
  </si>
  <si>
    <t>viis joont: vilesaba väljutus, punane sädelus, valge sädelus, sinine täht</t>
  </si>
  <si>
    <t>valge sädelus/oranž laine + roheline sädelus - salv 10 tükki koos</t>
  </si>
  <si>
    <t>punane saba kuni brokaatkroonini + sinine - salv 10 tükki koos</t>
  </si>
  <si>
    <t>kaks külge: täht keskel: kuldne paju + pragisev kriit - salv 10 tükki koos</t>
  </si>
  <si>
    <t>kaks külge: hõbe, keskmine: hõbedane palm oranžiks + brokaatpajulilleks - täht - salv 10 tükki koos</t>
  </si>
  <si>
    <t>pragisev + sinine täht - minek kuni oranži laine + roheline sädelus - salv 10 tükki koos</t>
  </si>
  <si>
    <t>pragisev saba kuni punase sabani, punane daalia krüsanteemiga - salv 10 tk koos</t>
  </si>
  <si>
    <t>sinine saba lillekroonini - salvo 10 tk koos</t>
  </si>
  <si>
    <t>valge strobo saba lilla otsani</t>
  </si>
  <si>
    <t>hõbedane chrys.mine punane/roheline/sinine/lilla saba valge strobo otsani</t>
  </si>
  <si>
    <t>suur kuldne palmikomeet + sinine pärl</t>
  </si>
  <si>
    <t>värvilised tähed + praksuv saba</t>
  </si>
  <si>
    <t>valge strobo punane/roheline/sinine/lilla/sidruni saba</t>
  </si>
  <si>
    <t>sinine punaseks ristkülik + punane lillaks ristkülik</t>
  </si>
  <si>
    <t>punane ja roheline ajavihm + komeet</t>
  </si>
  <si>
    <t>punane saba valge sädeleva sihini + roheline saba valge sädeleva sihini</t>
  </si>
  <si>
    <t>vihmavari Dumbum</t>
  </si>
  <si>
    <t>Cu kaksikkaabel sisediameetriga 0,6 mm, välisdiameetriga 1,1 mm, elektriliste ilutulestike laskmiseks</t>
  </si>
  <si>
    <t>keraamiline kruus Dumbum</t>
  </si>
  <si>
    <t>pesapallimüts Dumbum</t>
  </si>
  <si>
    <t>pesapallimüts Dumbum - piiratud väljaanne</t>
  </si>
  <si>
    <t>Dumbum kapuutsiga pusa L - piiratud väljaanne</t>
  </si>
  <si>
    <t>Dumbum kapuutsiga pusa M - piiratud väljaanne</t>
  </si>
  <si>
    <t>Dumbum kapuutsiga pusa XL - piiratud väljaanne</t>
  </si>
  <si>
    <t>Dumbum kapuutsiga pusa XXL - piiratud väljaanne</t>
  </si>
  <si>
    <t>energiajook 250ml, valmistatud EL-is</t>
  </si>
  <si>
    <t>kleebis Dumbum, suurus 17x15cm</t>
  </si>
  <si>
    <t>süütemasin 4 asendiga, kaugjuhtimispult, 4 elektrilist süütajat</t>
  </si>
  <si>
    <t>5g sähvatuspulber, 130dB müra 15m, valmistatud Euroopas, plasttihend</t>
  </si>
  <si>
    <t>5 g välgupulbrit, 130 dB, 15 m pikkune, valmistatud Euroopas, plasttihend</t>
  </si>
  <si>
    <t>poster, suurus 84x60cm, vertikaalne</t>
  </si>
  <si>
    <t>poster Dumbum, suurus 84x60cm, vertikaalne</t>
  </si>
  <si>
    <t>poster, suurus 98x68cm, laius</t>
  </si>
  <si>
    <t>hiirematt Dumbum</t>
  </si>
  <si>
    <t>vitriinialus A1, suurus 84x60cm, välistingimustes kasutamiseks</t>
  </si>
  <si>
    <t>rull-reklaam Dumbum, suurus 200x85cm</t>
  </si>
  <si>
    <t>rull-reklaam ilma helita ilutulestikuta, suurus 200x85cm</t>
  </si>
  <si>
    <t>rull-reklaam Signature sarjast, suurus 200x85cm</t>
  </si>
  <si>
    <t>šampanja Dumbum (Bohemia sekt) - 0,2l, valmistatud Tšehhi Vabariigis</t>
  </si>
  <si>
    <t>autoparfüüm Dumbum, Invictus aroomiga</t>
  </si>
  <si>
    <t>Sädelevate küünalde esitlusalus (tühi)</t>
  </si>
  <si>
    <t>valge sädelev sihin</t>
  </si>
  <si>
    <t>punane saba rohelise sädeleva sihini</t>
  </si>
  <si>
    <t>mere sinine + punane sädelev sihin</t>
  </si>
  <si>
    <t>hõbedane sädelev sihin rohelise komeediga</t>
  </si>
  <si>
    <t>erivärvi strobo</t>
  </si>
  <si>
    <t>ostukott Klásek/Dumbum, suurus 50x40cm</t>
  </si>
  <si>
    <t>ostukott Dumbum, suurus 45x34cm</t>
  </si>
  <si>
    <t>T-särk Dumbum, 180g</t>
  </si>
  <si>
    <t>Dumbum T-särk L - piiratud väljaanne</t>
  </si>
  <si>
    <t>Dumbum T-särk M - piiratud väljaanne</t>
  </si>
  <si>
    <t>Dumbum T-särk XL - piiratud väljaanne</t>
  </si>
  <si>
    <t>Dumbum T-särk XXL - piiratud väljaanne</t>
  </si>
  <si>
    <t>T-särk POLO Dumbum, 225g</t>
  </si>
  <si>
    <t>Dumbum polosärk L - piiratud väljaanne</t>
  </si>
  <si>
    <t>Dumbum T-särk polo M - piiratud väljaanne</t>
  </si>
  <si>
    <t>Dumbum T-särk polo XL - piiratud väljaanne</t>
  </si>
  <si>
    <t>Dumbum T-särk polo XXL - piiratud väljaanne</t>
  </si>
  <si>
    <t>USB-tulemasin Dumbum</t>
  </si>
  <si>
    <t>Dumbum vest softshell L - piiratud väljaanne</t>
  </si>
  <si>
    <t>Dumbum vest softshell M - piiratud väljaanne</t>
  </si>
  <si>
    <t>Dumbum vest softshell XL - piiratud väljaanne</t>
  </si>
  <si>
    <t>Dumbum vest softshell XXL - piiratud väljaanne</t>
  </si>
  <si>
    <t>turboleegi tulemasin Dumbum</t>
  </si>
  <si>
    <t>pakend sisaldab 5 m 2 mm rohelist süütenööri</t>
  </si>
  <si>
    <t>KK2025</t>
  </si>
  <si>
    <t>Katalog Klásek 2025</t>
  </si>
  <si>
    <t>Turbo bumble bee</t>
  </si>
  <si>
    <t>Best price Devils crym</t>
  </si>
  <si>
    <t>Best price Undertown</t>
  </si>
  <si>
    <t>Pistols</t>
  </si>
  <si>
    <t>Best price Karma</t>
  </si>
  <si>
    <t xml:space="preserve">           </t>
  </si>
  <si>
    <t>6m výška efektu, zeleno/modrá práskající fontána, stříbrno/zelená práskající fotána</t>
  </si>
  <si>
    <t xml:space="preserve"> 6m heigh, Green Fountain with Silver Report + Blue Star + Silver Fountain with Crackling Flower + Green Star</t>
  </si>
  <si>
    <t xml:space="preserve"> 6 m hoch, grüner Brunnen mit silbernem Bericht + blauer Stern + silberner Brunnen mit knisternder Blume + grüner Stern</t>
  </si>
  <si>
    <t>Užitečné</t>
  </si>
  <si>
    <t>Časté dotazy</t>
  </si>
  <si>
    <t xml:space="preserve">Časté dotazy </t>
  </si>
  <si>
    <t>CZ, SK, PL, DE, LT, EN, HR, SRB</t>
  </si>
  <si>
    <t>Užijte si náš web podle sebe</t>
  </si>
  <si>
    <t>Kliknutím na „Souhlasím“ souhlasíte s použitím cookies i sdílením údajů pro reklamu. Můžete také přijmout jen nezbytné cookies nebo upravit jejich nastavení.</t>
  </si>
  <si>
    <t>Jen nezbytné Souhlasím</t>
  </si>
  <si>
    <t>100/75</t>
  </si>
  <si>
    <t>KB+ a MojeBanka</t>
  </si>
  <si>
    <t>Pyrotechnology 39</t>
  </si>
  <si>
    <t>Pyrotechnology 68</t>
  </si>
  <si>
    <t>Pyrotechnology 100</t>
  </si>
  <si>
    <t>Pyrotechnology 204</t>
  </si>
  <si>
    <t>Pyrotechnology 132</t>
  </si>
  <si>
    <t>Pyrotechnology 150</t>
  </si>
  <si>
    <t>Pyrotechnology 219</t>
  </si>
  <si>
    <t>Pyrotechnology 253</t>
  </si>
  <si>
    <t>Pyrotechnology 222</t>
  </si>
  <si>
    <t xml:space="preserve">Podpora Kontakt English </t>
  </si>
  <si>
    <t>D/BAM-0823/25</t>
  </si>
  <si>
    <t>Všechny naše aplikace</t>
  </si>
  <si>
    <t xml:space="preserve">Všechny naše aplikace </t>
  </si>
  <si>
    <t>©2026 Komerční banka</t>
  </si>
  <si>
    <r>
      <t xml:space="preserve">kancelář: </t>
    </r>
    <r>
      <rPr>
        <b/>
        <sz val="10"/>
        <color rgb="FF2B2B2B"/>
        <rFont val="Arial"/>
        <family val="2"/>
        <charset val="238"/>
      </rPr>
      <t>+420 799 999 333</t>
    </r>
    <r>
      <rPr>
        <sz val="10"/>
        <color rgb="FF2B2B2B"/>
        <rFont val="Arial"/>
        <family val="2"/>
        <charset val="238"/>
      </rPr>
      <t xml:space="preserve"> ○ sklad: </t>
    </r>
    <r>
      <rPr>
        <b/>
        <sz val="10"/>
        <color rgb="FF2B2B2B"/>
        <rFont val="Arial"/>
        <family val="2"/>
        <charset val="238"/>
      </rPr>
      <t>+420 799 799 733</t>
    </r>
  </si>
  <si>
    <t>DP2CB(1)</t>
  </si>
  <si>
    <t>DP1M(1)</t>
  </si>
  <si>
    <t>DP1Z20(1)</t>
  </si>
  <si>
    <t>RK25002F</t>
  </si>
  <si>
    <t>R75508SIG</t>
  </si>
  <si>
    <t>SS25DU14</t>
  </si>
  <si>
    <t>SS30A14</t>
  </si>
  <si>
    <t>SS50NO14</t>
  </si>
  <si>
    <t>SS50DU14</t>
  </si>
  <si>
    <t>C320X14</t>
  </si>
  <si>
    <t>HF24733RK</t>
  </si>
  <si>
    <t>LO1DU</t>
  </si>
  <si>
    <t>C40014W/C14</t>
  </si>
  <si>
    <t>C16016XP14</t>
  </si>
  <si>
    <t>C27016XG/C14</t>
  </si>
  <si>
    <t>C32016XB/C14</t>
  </si>
  <si>
    <t>C20020N/C14</t>
  </si>
  <si>
    <t>C30020R/C14</t>
  </si>
  <si>
    <t>C40020B/C14</t>
  </si>
  <si>
    <t>C4925VS14</t>
  </si>
  <si>
    <t>CF4925S14</t>
  </si>
  <si>
    <t>CF4925B14</t>
  </si>
  <si>
    <t>C6425DU/C14</t>
  </si>
  <si>
    <t>C1003VS/C14</t>
  </si>
  <si>
    <t>C165DU14</t>
  </si>
  <si>
    <t>C165NO14</t>
  </si>
  <si>
    <t>C100MXS14</t>
  </si>
  <si>
    <t>C165MXV14</t>
  </si>
  <si>
    <t>C170MXR14</t>
  </si>
  <si>
    <t>C296MXH/C14</t>
  </si>
  <si>
    <t>C330MXR/C14</t>
  </si>
  <si>
    <t>C510MXU/C14</t>
  </si>
  <si>
    <t>HF26001s</t>
  </si>
  <si>
    <t>HF26009s</t>
  </si>
  <si>
    <t>HF26012</t>
  </si>
  <si>
    <t>HF26015</t>
  </si>
  <si>
    <t>HF26016s</t>
  </si>
  <si>
    <t>HF2387S</t>
  </si>
  <si>
    <t>HF24090Qs</t>
  </si>
  <si>
    <t>HF-45-2309s</t>
  </si>
  <si>
    <t>RK-66-2502</t>
  </si>
  <si>
    <t>HF-75-2310s</t>
  </si>
  <si>
    <t>HF-108-2603s</t>
  </si>
  <si>
    <t>HF-144-2605</t>
  </si>
  <si>
    <t>HF-75-2608s</t>
  </si>
  <si>
    <t>RK-98-2555</t>
  </si>
  <si>
    <t>RK-92-2565 RK-96-2566</t>
  </si>
  <si>
    <t>HF-96-2418-HF-96-2419</t>
  </si>
  <si>
    <t>Dumbum bouchací kuličky</t>
  </si>
  <si>
    <t>Crazy Ball</t>
  </si>
  <si>
    <t>Dumbum explosive ball 2</t>
  </si>
  <si>
    <t>Dumbum Explosive ball 3</t>
  </si>
  <si>
    <t>Dumbum crackling granules</t>
  </si>
  <si>
    <t>Kalashnikov 20cm</t>
  </si>
  <si>
    <t>Dumbum crackling mandarine</t>
  </si>
  <si>
    <t>Dumbum Bouchající provázky</t>
  </si>
  <si>
    <t>Emoji</t>
  </si>
  <si>
    <t>Monster colour fountain</t>
  </si>
  <si>
    <t>Modrá dýmová pochodeň s trhací pojistkou</t>
  </si>
  <si>
    <t>Hooligans dýmová pochodeň bílá</t>
  </si>
  <si>
    <t>Fotbalová pochodeň červená+dým</t>
  </si>
  <si>
    <t>Fotbalová pochodeň zelená+dým</t>
  </si>
  <si>
    <t>Fotbalová pochodeň bílá+dým</t>
  </si>
  <si>
    <t>Fotbalová pochodeň modrá+dým</t>
  </si>
  <si>
    <t>Colour and crackling</t>
  </si>
  <si>
    <t>Monsters fountain</t>
  </si>
  <si>
    <t>Majestic sparks Fountain 2</t>
  </si>
  <si>
    <t>Colour Vulkán 100g</t>
  </si>
  <si>
    <t>Double crackling Vulkán 100g</t>
  </si>
  <si>
    <t>Silver crackling Vulkán 250g</t>
  </si>
  <si>
    <t>Colour Vulkán 250g</t>
  </si>
  <si>
    <t>Signature range vulkán 500g</t>
  </si>
  <si>
    <t>Silver stars Vulkán 500g</t>
  </si>
  <si>
    <t>Colour Vulkán 500g</t>
  </si>
  <si>
    <t>Silver stars Vulkán 1000g</t>
  </si>
  <si>
    <t>Colour Vulkán 1500g</t>
  </si>
  <si>
    <t>Dumbum římská svíce 8ran</t>
  </si>
  <si>
    <t>Gatlin 300sh</t>
  </si>
  <si>
    <t>Minomet</t>
  </si>
  <si>
    <t>Dumbum single shot 25mm</t>
  </si>
  <si>
    <t>NO Limit 50mm!</t>
  </si>
  <si>
    <t>Dumbum salute mine 50mm</t>
  </si>
  <si>
    <t>Dumbum triple</t>
  </si>
  <si>
    <t>XXL Thunder</t>
  </si>
  <si>
    <t>Pirát s knotem</t>
  </si>
  <si>
    <t>Dumbum Pirát s knotem</t>
  </si>
  <si>
    <t>Mini Dumbum</t>
  </si>
  <si>
    <t>Viper 1 (white)</t>
  </si>
  <si>
    <t>Dumbum 200sh</t>
  </si>
  <si>
    <t>Dumbum tričko polo M - limited edition</t>
  </si>
  <si>
    <t>Dumbum tričko polo L- limited edition</t>
  </si>
  <si>
    <t>Dumbum tričko polo XL - limited edition</t>
  </si>
  <si>
    <t>Dumbum tričko polo XXL - limited edition</t>
  </si>
  <si>
    <t>3D logo Dumbum</t>
  </si>
  <si>
    <t>Wormbox</t>
  </si>
  <si>
    <t>Pyrobro</t>
  </si>
  <si>
    <t>Golden Dragon</t>
  </si>
  <si>
    <t>Boneshaker</t>
  </si>
  <si>
    <t>Dumbum 16</t>
  </si>
  <si>
    <t>Dumbum 16(5sec)</t>
  </si>
  <si>
    <t>Assasin Air show</t>
  </si>
  <si>
    <t>Night Ember</t>
  </si>
  <si>
    <t>Raven</t>
  </si>
  <si>
    <t>Burnout</t>
  </si>
  <si>
    <t>Invaders</t>
  </si>
  <si>
    <t>Harakishow</t>
  </si>
  <si>
    <t>Spookyshow</t>
  </si>
  <si>
    <t>Nidalus</t>
  </si>
  <si>
    <t>Panda</t>
  </si>
  <si>
    <t>Dumbum 64sh</t>
  </si>
  <si>
    <t>Best price Atarion</t>
  </si>
  <si>
    <t>Fuji Fire</t>
  </si>
  <si>
    <t>Best price Black Panther</t>
  </si>
  <si>
    <t>Best price Explosive Octagon</t>
  </si>
  <si>
    <t>Super white strobe</t>
  </si>
  <si>
    <t>Ghost</t>
  </si>
  <si>
    <t>Brocade War 49</t>
  </si>
  <si>
    <t>Big one</t>
  </si>
  <si>
    <t>Universe</t>
  </si>
  <si>
    <t>Best price Cyberpunker</t>
  </si>
  <si>
    <t>Best price Bright power</t>
  </si>
  <si>
    <t>NO Limit 16!</t>
  </si>
  <si>
    <t>NO Limit 25!</t>
  </si>
  <si>
    <t>NO Limit 35!</t>
  </si>
  <si>
    <t>Vietnam</t>
  </si>
  <si>
    <t>Refresh</t>
  </si>
  <si>
    <t>Vandal</t>
  </si>
  <si>
    <t>Reactive</t>
  </si>
  <si>
    <t>HongKing</t>
  </si>
  <si>
    <t>Rebelion</t>
  </si>
  <si>
    <t>Undergrounder</t>
  </si>
  <si>
    <t>Ninja Strike</t>
  </si>
  <si>
    <t>City of Earth</t>
  </si>
  <si>
    <t>Cyber world F</t>
  </si>
  <si>
    <t>Thunderbolt 5</t>
  </si>
  <si>
    <t>Kaleidoscope</t>
  </si>
  <si>
    <t>Tornado Alley</t>
  </si>
  <si>
    <t>SPIDER KING</t>
  </si>
  <si>
    <t>Cyber world C</t>
  </si>
  <si>
    <t>Lucky 21sh/30mm</t>
  </si>
  <si>
    <t>Thunderbolt 1 24sh/30mm</t>
  </si>
  <si>
    <t>Vortex 3 25sh/30mm</t>
  </si>
  <si>
    <t>Shaolin 6 45sh/30mm</t>
  </si>
  <si>
    <t>Peking Opera 1 51sh/30mm</t>
  </si>
  <si>
    <t>Tang Ren Jie 66sh/30mm</t>
  </si>
  <si>
    <t>Let er RIP! 75sh/25mm</t>
  </si>
  <si>
    <t>Entrancing 108sh 25mm</t>
  </si>
  <si>
    <t>Berlin 144sh 25mm</t>
  </si>
  <si>
    <t>Imagnation 75sh 30mm</t>
  </si>
  <si>
    <t>Shaolin 4</t>
  </si>
  <si>
    <t>Song Dynasty 96 shots compound</t>
  </si>
  <si>
    <t>Krawallig 102sh 25/30mm</t>
  </si>
  <si>
    <t>Shameless 101sh 30mm</t>
  </si>
  <si>
    <t>La Belle 108sh 30mm</t>
  </si>
  <si>
    <t>Bomb Squad 83sh 25/30mm</t>
  </si>
  <si>
    <t>Kryptonit 98sh 30mm</t>
  </si>
  <si>
    <t>Riakeo Beauty 127sh 25/30mm</t>
  </si>
  <si>
    <t>Cyttorak 142sh 20/25/30mm</t>
  </si>
  <si>
    <t>Exodus 148sh 20/25mm</t>
  </si>
  <si>
    <t>Magnificent Display Fireworks 388sh 20/30/50mm</t>
  </si>
  <si>
    <t>Miraculous Display Fireworks 618sh 20/25/30mm</t>
  </si>
  <si>
    <t>The great wall 180sh 30mm</t>
  </si>
  <si>
    <t>Peking Opera 3 243sh 20/25/30mm</t>
  </si>
  <si>
    <t>Tsunami 180sh 30mm</t>
  </si>
  <si>
    <t>Titan 156sh 30mm</t>
  </si>
  <si>
    <t>Extraordinary 160sh 30mm</t>
  </si>
  <si>
    <t>The Terracotta Army</t>
  </si>
  <si>
    <t>Excellence 192sh 30mm</t>
  </si>
  <si>
    <t>Florence 204sh 25/30mm</t>
  </si>
  <si>
    <t>The Armageddon 392sh 25/30mm</t>
  </si>
  <si>
    <t>Shell 75mm silver tail to titanium salute</t>
  </si>
  <si>
    <t>Shell 125mm silver glittering red coco crossette</t>
  </si>
  <si>
    <t>Shell 125mm golden ti wilow</t>
  </si>
  <si>
    <t>75mm Red star with whistle ( canister)</t>
  </si>
  <si>
    <t>125mm Gold willow to red wandering star</t>
  </si>
  <si>
    <t>150mm Gold willow yo red plum into lemon to red to seablue ghost ring with double red plum pistil rising tiger tail</t>
  </si>
  <si>
    <t>2“ Fabric glass mortar</t>
  </si>
  <si>
    <t>Elektrický palník 200cm</t>
  </si>
  <si>
    <t>Elektrický palník 300cm</t>
  </si>
  <si>
    <t>Elektrický palník 500cm</t>
  </si>
  <si>
    <r>
      <t>[m</t>
    </r>
    <r>
      <rPr>
        <b/>
        <vertAlign val="superscript"/>
        <sz val="9"/>
        <color rgb="FFF4D7A1"/>
        <rFont val="Arial"/>
        <family val="2"/>
        <charset val="238"/>
      </rPr>
      <t>3</t>
    </r>
    <r>
      <rPr>
        <b/>
        <sz val="9"/>
        <color rgb="FFF4D7A1"/>
        <rFont val="Arial"/>
        <family val="2"/>
        <charset val="238"/>
      </rPr>
      <t>]</t>
    </r>
  </si>
  <si>
    <t>Miny F2</t>
  </si>
  <si>
    <t>150/100</t>
  </si>
  <si>
    <t>100/50</t>
  </si>
  <si>
    <t>30/66</t>
  </si>
  <si>
    <t>36/100</t>
  </si>
  <si>
    <t xml:space="preserve"> 45/18</t>
  </si>
  <si>
    <t xml:space="preserve"> 75/40</t>
  </si>
  <si>
    <t xml:space="preserve"> 120/12</t>
  </si>
  <si>
    <t xml:space="preserve"> 6/12/4</t>
  </si>
  <si>
    <t xml:space="preserve"> 48/12</t>
  </si>
  <si>
    <t xml:space="preserve"> 10/20/10</t>
  </si>
  <si>
    <t xml:space="preserve"> 72/8</t>
  </si>
  <si>
    <t xml:space="preserve"> 48/6</t>
  </si>
  <si>
    <t xml:space="preserve"> 40/6</t>
  </si>
  <si>
    <t xml:space="preserve"> 28/5</t>
  </si>
  <si>
    <t xml:space="preserve"> 40/8</t>
  </si>
  <si>
    <t xml:space="preserve"> 40/12</t>
  </si>
  <si>
    <t xml:space="preserve"> 50/4</t>
  </si>
  <si>
    <t xml:space="preserve"> 60/1</t>
  </si>
  <si>
    <t xml:space="preserve"> 80/30</t>
  </si>
  <si>
    <t xml:space="preserve"> 50/5</t>
  </si>
  <si>
    <t xml:space="preserve"> 24/8/8</t>
  </si>
  <si>
    <t xml:space="preserve"> 80/15</t>
  </si>
  <si>
    <t xml:space="preserve"> 5/20/12</t>
  </si>
  <si>
    <t xml:space="preserve"> 120/10</t>
  </si>
  <si>
    <t xml:space="preserve"> 60/6</t>
  </si>
  <si>
    <t xml:space="preserve"> 36/3</t>
  </si>
  <si>
    <t xml:space="preserve"> 36/4</t>
  </si>
  <si>
    <t xml:space="preserve"> 48/4</t>
  </si>
  <si>
    <t xml:space="preserve"> 24/4</t>
  </si>
  <si>
    <t xml:space="preserve"> 4/1</t>
  </si>
  <si>
    <t xml:space="preserve"> 30/1</t>
  </si>
  <si>
    <t xml:space="preserve"> 40/1</t>
  </si>
  <si>
    <t xml:space="preserve"> 20/1</t>
  </si>
  <si>
    <t xml:space="preserve"> 80/3</t>
  </si>
  <si>
    <t xml:space="preserve"> 72/4</t>
  </si>
  <si>
    <t xml:space="preserve"> 100/10</t>
  </si>
  <si>
    <t xml:space="preserve"> 10/10/20</t>
  </si>
  <si>
    <t xml:space="preserve"> 40/15/10</t>
  </si>
  <si>
    <t xml:space="preserve"> 100/20</t>
  </si>
  <si>
    <t xml:space="preserve"> 50/8</t>
  </si>
  <si>
    <t xml:space="preserve"> 12/10</t>
  </si>
  <si>
    <t xml:space="preserve"> 1/1</t>
  </si>
  <si>
    <t xml:space="preserve"> 20/12/6</t>
  </si>
  <si>
    <t xml:space="preserve"> 8/5/8</t>
  </si>
  <si>
    <t xml:space="preserve"> 12/4</t>
  </si>
  <si>
    <t xml:space="preserve"> 50/1</t>
  </si>
  <si>
    <t xml:space="preserve"> 20/5</t>
  </si>
  <si>
    <t xml:space="preserve"> 25/1</t>
  </si>
  <si>
    <t xml:space="preserve"> 100/1</t>
  </si>
  <si>
    <t xml:space="preserve"> 30/5</t>
  </si>
  <si>
    <t xml:space="preserve"> 36/5</t>
  </si>
  <si>
    <t xml:space="preserve"> 30/6</t>
  </si>
  <si>
    <t xml:space="preserve"> 48/3</t>
  </si>
  <si>
    <t xml:space="preserve"> 12/1</t>
  </si>
  <si>
    <t xml:space="preserve"> 20/3</t>
  </si>
  <si>
    <t xml:space="preserve"> 36/8</t>
  </si>
  <si>
    <t xml:space="preserve"> 8/1</t>
  </si>
  <si>
    <t xml:space="preserve"> 10/1</t>
  </si>
  <si>
    <t xml:space="preserve"> 15/2</t>
  </si>
  <si>
    <t xml:space="preserve"> 24/1</t>
  </si>
  <si>
    <t xml:space="preserve"> 20/6</t>
  </si>
  <si>
    <t xml:space="preserve"> 20/4</t>
  </si>
  <si>
    <t xml:space="preserve"> 25/2</t>
  </si>
  <si>
    <t xml:space="preserve"> 48/1</t>
  </si>
  <si>
    <t xml:space="preserve"> 100/6</t>
  </si>
  <si>
    <t xml:space="preserve"> 50/6</t>
  </si>
  <si>
    <t xml:space="preserve"> 36/1</t>
  </si>
  <si>
    <t xml:space="preserve"> 24/12</t>
  </si>
  <si>
    <t xml:space="preserve"> 36/6</t>
  </si>
  <si>
    <t xml:space="preserve"> 40/4</t>
  </si>
  <si>
    <t xml:space="preserve"> 15/12</t>
  </si>
  <si>
    <t xml:space="preserve"> 15/10</t>
  </si>
  <si>
    <t xml:space="preserve"> 25/6</t>
  </si>
  <si>
    <t xml:space="preserve"> 48/2</t>
  </si>
  <si>
    <t xml:space="preserve"> 24/2</t>
  </si>
  <si>
    <t xml:space="preserve"> 30/10</t>
  </si>
  <si>
    <t xml:space="preserve"> 24/6</t>
  </si>
  <si>
    <t xml:space="preserve"> 30/4</t>
  </si>
  <si>
    <t xml:space="preserve"> 18/4</t>
  </si>
  <si>
    <t xml:space="preserve"> 9/4</t>
  </si>
  <si>
    <t xml:space="preserve"> 18/1</t>
  </si>
  <si>
    <t xml:space="preserve"> 4/18</t>
  </si>
  <si>
    <t xml:space="preserve"> 50/100</t>
  </si>
  <si>
    <t xml:space="preserve"> 200/20</t>
  </si>
  <si>
    <t xml:space="preserve"> 6/54/40</t>
  </si>
  <si>
    <t xml:space="preserve"> 6/54/25</t>
  </si>
  <si>
    <t xml:space="preserve"> 100/50</t>
  </si>
  <si>
    <t xml:space="preserve"> 60/10</t>
  </si>
  <si>
    <t xml:space="preserve"> 24/100</t>
  </si>
  <si>
    <t xml:space="preserve"> 40/20</t>
  </si>
  <si>
    <t xml:space="preserve"> 50/30</t>
  </si>
  <si>
    <t xml:space="preserve"> 40/36</t>
  </si>
  <si>
    <t xml:space="preserve"> 70/24</t>
  </si>
  <si>
    <t xml:space="preserve"> 50/20</t>
  </si>
  <si>
    <t xml:space="preserve"> 60/20</t>
  </si>
  <si>
    <t xml:space="preserve"> 75/20</t>
  </si>
  <si>
    <t xml:space="preserve"> 54/4</t>
  </si>
  <si>
    <t xml:space="preserve"> 40/3</t>
  </si>
  <si>
    <t xml:space="preserve"> 8/30/5</t>
  </si>
  <si>
    <t xml:space="preserve"> 16/15</t>
  </si>
  <si>
    <t xml:space="preserve"> 8/10</t>
  </si>
  <si>
    <t xml:space="preserve"> 32/1</t>
  </si>
  <si>
    <t xml:space="preserve"> 16/1</t>
  </si>
  <si>
    <t xml:space="preserve"> 40/50</t>
  </si>
  <si>
    <t xml:space="preserve"> 20/12/12</t>
  </si>
  <si>
    <t xml:space="preserve"> 36/12</t>
  </si>
  <si>
    <t xml:space="preserve"> 18/6</t>
  </si>
  <si>
    <t xml:space="preserve"> 30/7</t>
  </si>
  <si>
    <t xml:space="preserve"> 20/7</t>
  </si>
  <si>
    <t xml:space="preserve"> 20/9</t>
  </si>
  <si>
    <t xml:space="preserve"> 12/11</t>
  </si>
  <si>
    <t xml:space="preserve"> 12/12</t>
  </si>
  <si>
    <t xml:space="preserve"> 10/18</t>
  </si>
  <si>
    <t xml:space="preserve"> 5/21</t>
  </si>
  <si>
    <t xml:space="preserve"> 6/33</t>
  </si>
  <si>
    <t xml:space="preserve"> 8/5</t>
  </si>
  <si>
    <t xml:space="preserve"> 8/6</t>
  </si>
  <si>
    <t xml:space="preserve"> 12/2</t>
  </si>
  <si>
    <t xml:space="preserve"> 6/3</t>
  </si>
  <si>
    <t xml:space="preserve"> 4/5</t>
  </si>
  <si>
    <t xml:space="preserve"> 1/20</t>
  </si>
  <si>
    <t xml:space="preserve"> 100/1/5m</t>
  </si>
  <si>
    <t xml:space="preserve"> 15/4</t>
  </si>
  <si>
    <t xml:space="preserve"> 3/1</t>
  </si>
  <si>
    <t xml:space="preserve"> 6/1</t>
  </si>
  <si>
    <t xml:space="preserve"> 2/1</t>
  </si>
  <si>
    <t xml:space="preserve"> 12/6</t>
  </si>
  <si>
    <t xml:space="preserve"> 9/1</t>
  </si>
  <si>
    <t xml:space="preserve"> 24/5</t>
  </si>
  <si>
    <t xml:space="preserve"> 10/5</t>
  </si>
  <si>
    <t xml:space="preserve"> 20/100</t>
  </si>
  <si>
    <t xml:space="preserve"> 20/50</t>
  </si>
  <si>
    <t xml:space="preserve"> 20/25</t>
  </si>
  <si>
    <t>D/BAM-0303/25</t>
  </si>
  <si>
    <t>BAM-F2-2202</t>
  </si>
  <si>
    <t>BAM-F2-2203</t>
  </si>
  <si>
    <t>D/BAM-0990/19</t>
  </si>
  <si>
    <t>CZ, SK, PL, LT, DE, NL, EN</t>
  </si>
  <si>
    <t>CZ, PL, LT, SRB, DE</t>
  </si>
  <si>
    <t>CZ, SK, DE, EST, PL, LT, NL</t>
  </si>
  <si>
    <t>CZ, SK, DE, LT</t>
  </si>
  <si>
    <t>CZ, SK, PL, DE, EN, HU, HR, LT</t>
  </si>
  <si>
    <t>CZ, SK, LT, PL, DE, EN, FR, DK</t>
  </si>
  <si>
    <t>CZ, SK, EN, FR, EST, HR, PL, DE, LT</t>
  </si>
  <si>
    <t>CZ, SK, PL, DE, LT, DK, EN, NL</t>
  </si>
  <si>
    <t>CZ, SK, DE, PL, HU</t>
  </si>
  <si>
    <t>CZ, SK, DE, PL, FR, NL, SRB</t>
  </si>
  <si>
    <t>CZ, SK, HU, LT, HR, IT, FR, PL, DE, NL, EN</t>
  </si>
  <si>
    <t>CZ, SK, PL, LT, DE, NL, DK, EST, HU, HR, LV, IT, SLO, EN, FR, RO, SRB</t>
  </si>
  <si>
    <t>CZ, SK, PL, LT, DE, HU, EN</t>
  </si>
  <si>
    <t>CZ, SK, PL, LT, EN, DE, EST, HR, SRB, FR</t>
  </si>
  <si>
    <t>CZ, SK, PL, DE, EN, LT, SRB, HR, FR, IT</t>
  </si>
  <si>
    <t>CZ, SK, PL, LT, DE, EN, IT, HU, HR</t>
  </si>
  <si>
    <t>CZ, SK, PL, LT, DE, EN, EST, HU, HR, SLO, DK, IT, FR, NL, SRB, RO</t>
  </si>
  <si>
    <t>CZ, SK, PL, DE, LT, SRB, EST, HR, FR, HU, IT, EN</t>
  </si>
  <si>
    <t>CZ, SK, EN, PL, DE, DK, LT, RO, FR, IT, EST, HU, LV, HR, SLO, SRB</t>
  </si>
  <si>
    <t>CZ, SK, PL, LT, DE, EN, EST, SRB</t>
  </si>
  <si>
    <t>CZ, SK, PL, DE, LT, EN, EST, SRB</t>
  </si>
  <si>
    <t>CZ, SK, PL, DE, LT, FR, IT, EST</t>
  </si>
  <si>
    <t>CZ, SK, PL, DE, LT, LV, EN, EST, NL, FR, IT, HU, SLO, HR, SRB, RO</t>
  </si>
  <si>
    <t>CZ, SK, PL, EN, DE, LT, EST, HR, SRB, IT, FR</t>
  </si>
  <si>
    <t>CZ, SK, PL, LT, EN, DE, HU, EST, HR, LV, SRB, SLO, NL, RO, IT, FR, DK</t>
  </si>
  <si>
    <t>CZ, SK, PL, LT, DE, EN, FR, NL, DK, SRB</t>
  </si>
  <si>
    <t>CZ, SK, PL, LT, DE, FR, NL, EN, SRB</t>
  </si>
  <si>
    <t>18-22</t>
  </si>
  <si>
    <t>11-13.</t>
  </si>
  <si>
    <t>18-24</t>
  </si>
  <si>
    <t>11-12.</t>
  </si>
  <si>
    <t>13-25</t>
  </si>
  <si>
    <t>hidden</t>
  </si>
  <si>
    <t>Skladem</t>
  </si>
  <si>
    <t>Oranžové řádky označují novinky pro rok 2026.</t>
  </si>
  <si>
    <t>Orange lines indicate news for 2026.</t>
  </si>
  <si>
    <t>Orangefarbene Linien zeigen Neuigkeiten für 2026 an.</t>
  </si>
  <si>
    <t>Narančasto označena polja predstavljaju novosti u 2026.</t>
  </si>
  <si>
    <t>Le linee arancioni indicano novità per il 2026.</t>
  </si>
  <si>
    <t>Oranžinės linijos laukeliuose nurodo 2026 m. naujienas.</t>
  </si>
  <si>
    <t>Pomarańczowe pola oznaczają nowości na 2026 rok.</t>
  </si>
  <si>
    <t>Наранџасте линије означавају вести за 2026.</t>
  </si>
  <si>
    <t>Oranžās līnijas norāda uz 2026. gada jaunumiem.</t>
  </si>
  <si>
    <t>Oranžid jooned näitavad uusi tooteid 2026.</t>
  </si>
  <si>
    <t>Các đường màu cam cho biết tin tức cho năm 2026.</t>
  </si>
  <si>
    <t>A NARANCSSÁRGA SOROK A 2026 ÉV ÚJDONSÁGAIT JELÖLIK</t>
  </si>
  <si>
    <t>Ve sloupci F jsou ceny před slevou v CZK bez DPH platné od 12.I.2026.</t>
  </si>
  <si>
    <t>In column F, prices before discount in CZK are valid from  12.I.2026</t>
  </si>
  <si>
    <t>In Spalte F gelten die Preise vor Rabatt in CZK ab dem 12.I.2026.</t>
  </si>
  <si>
    <t>U stupcu F istaknute su cijene u CZK bez rabata i važeće od  12.I.2026.</t>
  </si>
  <si>
    <t>W kolumnie F ceny przed rabatem w CZK obowiązują od 12.I.2026</t>
  </si>
  <si>
    <t>Veerus F kehtivad hinnad enne allahindlust Tšehhi kroonides alates 12.I.2026</t>
  </si>
  <si>
    <t>Trong cột F, giá trước khi giảm giá bằng CZK chưa có VAT có giá trị từ 12.I.2026.</t>
  </si>
  <si>
    <t>Ve sloupci G jsou ceny po slevě v CZK bez DPH platné od 12.I.2026.</t>
  </si>
  <si>
    <t>In column I, prices after discount in CZK are valid from  12.I.2026</t>
  </si>
  <si>
    <t>In Spalte I gelten die Preise nach Rabatt in CZK ab dem 12.I.2026.</t>
  </si>
  <si>
    <t>U stupcu I, istaknute su cijene u CZK s rabatom i važeće od 12.I.2026.</t>
  </si>
  <si>
    <t>W kolumnie I ceny po rabacie w CZK obowiązują od 12.I.2026</t>
  </si>
  <si>
    <t>I veerus kehtivad hinnad pärast allahindlust Tšehhi kroonides alates 12.I.2026</t>
  </si>
  <si>
    <t>Trong cột G, giá sau khi chiết khấu tính bằng CZK chưa có thuế VAT có giá trị từ 12.I.2026.</t>
  </si>
  <si>
    <t>AZ F OSZLOPBAN AZ ÁRAK KEDVEZMÉNY ELŐTT CZK BAN ÁFA NÉLKÜL ÉRVENYESEK 12.I.2026 TŐL.</t>
  </si>
  <si>
    <t>A G OSZLOPBAN AZ ÁRAK KEDVEZMÉNY UTÁN CZK BAN ÁFA NÉLKÜL ÉRVENYESEK 12.I.2026  TŐL.</t>
  </si>
  <si>
    <t>G ailē cenas pēc atlaides CZK bez PVN ir spēkā no 12.I.2026.</t>
  </si>
  <si>
    <t>Komplektā F cenas pirms atlaides CZK bez PVN ir spēkā no 12.I.2026.</t>
  </si>
  <si>
    <t>У колони Ф цене пре попуста у ЦЗК без ПДВ-а важе од 12.I.2026.</t>
  </si>
  <si>
    <t>У колони Г цене након попуста у ЦЗК без ПДВ-а важе од 12.I.2026.</t>
  </si>
  <si>
    <t>Nella colonna F, i prezzi prima dello sconto in CZK senza IVA sono validi dal 12.I.2026.</t>
  </si>
  <si>
    <t>Nella colonna G, i prezzi dopo lo sconto in CZK senza IVA sono validi dal 12.I.2026.</t>
  </si>
  <si>
    <t>F stulpelyje kainos yra CZK kronomis, prieš nuolaidą ir galioja nuo 12.I.2026</t>
  </si>
  <si>
    <t>I stulpelyje kainos yra CZK kronomis po nuolaidos ir galioja nuo 12.I.2026</t>
  </si>
  <si>
    <t>Slevy jsou poskytovány při celoročním odběru a to od 01.01.2026 do 31.12.2026.</t>
  </si>
  <si>
    <t>Discounds provided for year-round purchase from 01.01.2026 to 31.12.2026</t>
  </si>
  <si>
    <t>Rabatte bei ganzjährigem Kauf vom 01.01.2026 bis 31.12.2026</t>
  </si>
  <si>
    <t>Giảm giá được cung cấp cho các giao dịch mua quanh năm từ 01.01.2026 đến 31.12.2026</t>
  </si>
  <si>
    <t>Navedeni popusti predviđeni su su za kupnju tijekom cijele godine tj. za razdoblje od 01.01.2026 do 31.12.2026.</t>
  </si>
  <si>
    <t>Popust predviđen za kupovinu cele godine od 01.01.2026 - 31.12.2026</t>
  </si>
  <si>
    <t>i sconti  previsti per l'acquisto tutto l'anno dal 01.01.2026 al 31.12.2026</t>
  </si>
  <si>
    <t>Aastaringseks ostmiseks ette nähtud allahindlused kehtivad ajavahemikul 01.01.2026 kuni 31.12.2026</t>
  </si>
  <si>
    <t>Atlaides, kas paredzētas pirkšanai visa gada garumā no 01.01.2026. Līdz 31.12.2026</t>
  </si>
  <si>
    <t>Rabaty przewidziane na zakup całoroczny od 01.01.2026 do 31.12.2026</t>
  </si>
  <si>
    <t>Nuolaidos pritaikomos perkant ištisus metus nuo 2026 01 01 iki 2026 12 31</t>
  </si>
  <si>
    <t>Feltételezett kedvezmények biztosítottak az egész éves gyűjtésre 2026.01.01-2026.12.31-ig</t>
  </si>
  <si>
    <t>Każdemu klientowi przyznany został rabat na podstawie zakupów od 01.01.2025 do 31.12.2025.</t>
  </si>
  <si>
    <t>Přidělená sleva zákazníka se počítá na základě odběru od 01.01.2025 do 31.12.2025.</t>
  </si>
  <si>
    <t>Each customer has been allocated a discount baseed on purchase from 01.01.2025 to 31.12.2025.</t>
  </si>
  <si>
    <t>Jeder Kunde erhält einen Rabatt basierend auf einem Einkauf vom 01.01.2025 bis 31.12.2025.</t>
  </si>
  <si>
    <t>Mức chiết khấu khách hàng được phân bổ được tính trên cơ sở mức tiêu thụ từ 01.01.2025 đến 31.12.2025.</t>
  </si>
  <si>
    <t>Kiekvienam klientui buvo suteikta nuolaida pagal pirkimą nuo 2025 01 01 iki 2025 12 31.</t>
  </si>
  <si>
    <t>Svakom kupcu odobren je popust na osnovi ostvarene kupnje u periodu od 01.01.2025. do 31.12.2025.</t>
  </si>
  <si>
    <t>Svakom kupcu se dodeljuje popust na osnovu kupovine od 01.01.2025 do 31.12.2025.</t>
  </si>
  <si>
    <t>Ad ogni cliente è stato assegnato uno sconto in base all'acquisto dal 01.01.2025 al 31.12.2025.</t>
  </si>
  <si>
    <t>Igale kliendile on tehtud ostu alusel allahindlus ajavahemikul 01.01.2025 kuni 31.12.2025.</t>
  </si>
  <si>
    <t>A kiosztott ügyfélkedvezményt 2025.01.01-től 2025.12.31-ig kötött rendelések alapján számítjuk ki.</t>
  </si>
  <si>
    <t>Katram klientam ir piešķirta atlaide, pamatojoties uz pirkumu no 01.01.2025. Līdz 31.12.2025.</t>
  </si>
  <si>
    <t>Platí: 01.I.2026 - 31.XII.2026</t>
  </si>
  <si>
    <t>Valid from: 01.I.2026 - 31.XII.2026</t>
  </si>
  <si>
    <t>Gültig von: 01.I.2026 - 31.XII.2026</t>
  </si>
  <si>
    <t>Obowiązuje od: 01.I.2026 - 31.XII.2026</t>
  </si>
  <si>
    <t>Hợp lệ: 01.I.2026 - 31.XII.2026</t>
  </si>
  <si>
    <t>Galioja: 01.I.2026 - 31.XII.2026</t>
  </si>
  <si>
    <t>Vrijedi od: 01.I.2026 - 31.XII.2026</t>
  </si>
  <si>
    <t>Važi: 01.I.2026 - 31.XII.2026</t>
  </si>
  <si>
    <t>Valido dal: 01.I.2026 - 31.XII.2026</t>
  </si>
  <si>
    <t>Kehtib alates: 01.I.2026 - 31.XII.2026</t>
  </si>
  <si>
    <t>Érvényes: 01.I.2026 - 31.XII.2026</t>
  </si>
  <si>
    <t>Spēkā kopš: 01.I.2026 - 31.XII.2026</t>
  </si>
  <si>
    <t>Touto barvou jsou označeny novinky 2026.</t>
  </si>
  <si>
    <t>Orange lines mark the news for 2026.</t>
  </si>
  <si>
    <t>Orangefarbene Linien kennzeichnen die Nachrichten für 2026.</t>
  </si>
  <si>
    <t>Pomarańczowe komórki oznaczają nowości na rok 2026.</t>
  </si>
  <si>
    <t>Màu này được đánh dấu là sản phẩm mới của năm 2026.</t>
  </si>
  <si>
    <t>Oranžinės linijos žymi 2026 m. naujienas</t>
  </si>
  <si>
    <t>Narančase linije označavaju novosti za 2026.</t>
  </si>
  <si>
    <t>Narandžaste linije označavaju vesti za 2026. godinu.</t>
  </si>
  <si>
    <t>Le linee arancioni segnano le novità per il 2026.</t>
  </si>
  <si>
    <t>oranzid jooned tähendavad uusi tooteid 2026</t>
  </si>
  <si>
    <t>Ezzel a színnel a 2026 újdonságok vannak jelölve</t>
  </si>
  <si>
    <t>Oranžas līnijas iezīmē 2026. gada jaunumus.</t>
  </si>
  <si>
    <r>
      <rPr>
        <sz val="1"/>
        <rFont val="Arial"/>
        <family val="2"/>
        <charset val="238"/>
      </rPr>
      <t xml:space="preserve">C1-C2 </t>
    </r>
    <r>
      <rPr>
        <sz val="8"/>
        <rFont val="Arial"/>
        <family val="2"/>
        <charset val="238"/>
      </rPr>
      <t>C51220I/C14</t>
    </r>
  </si>
  <si>
    <r>
      <rPr>
        <sz val="1"/>
        <rFont val="Arial"/>
        <family val="2"/>
        <charset val="238"/>
      </rPr>
      <t xml:space="preserve">C1-C2 </t>
    </r>
    <r>
      <rPr>
        <sz val="8"/>
        <rFont val="Arial"/>
        <family val="2"/>
        <charset val="238"/>
      </rPr>
      <t>C65620XH/C14</t>
    </r>
  </si>
  <si>
    <r>
      <rPr>
        <sz val="1"/>
        <rFont val="Arial"/>
        <family val="2"/>
        <charset val="238"/>
      </rPr>
      <t xml:space="preserve">C1-C2 </t>
    </r>
    <r>
      <rPr>
        <sz val="8"/>
        <rFont val="Arial"/>
        <family val="2"/>
        <charset val="238"/>
      </rPr>
      <t>C80020S/C14</t>
    </r>
  </si>
  <si>
    <r>
      <rPr>
        <sz val="1"/>
        <rFont val="Arial"/>
        <family val="2"/>
        <charset val="238"/>
      </rPr>
      <t xml:space="preserve">C1-C2 </t>
    </r>
    <r>
      <rPr>
        <sz val="8"/>
        <rFont val="Arial"/>
        <family val="2"/>
        <charset val="238"/>
      </rPr>
      <t>C40025F/C14</t>
    </r>
  </si>
  <si>
    <r>
      <rPr>
        <sz val="1"/>
        <rFont val="Arial"/>
        <family val="2"/>
        <charset val="238"/>
      </rPr>
      <t xml:space="preserve">C1-C2 </t>
    </r>
    <r>
      <rPr>
        <sz val="8"/>
        <rFont val="Arial"/>
        <family val="2"/>
        <charset val="238"/>
      </rPr>
      <t>C1503X/C14</t>
    </r>
  </si>
  <si>
    <r>
      <rPr>
        <sz val="1"/>
        <rFont val="Arial"/>
        <family val="2"/>
        <charset val="238"/>
      </rPr>
      <t xml:space="preserve">C1-C2 </t>
    </r>
    <r>
      <rPr>
        <sz val="8"/>
        <rFont val="Arial"/>
        <family val="2"/>
        <charset val="238"/>
      </rPr>
      <t>C2003U/C14</t>
    </r>
  </si>
  <si>
    <r>
      <rPr>
        <sz val="1"/>
        <rFont val="Arial"/>
        <family val="2"/>
        <charset val="238"/>
      </rPr>
      <t xml:space="preserve">C1-C2 </t>
    </r>
    <r>
      <rPr>
        <sz val="8"/>
        <rFont val="Arial"/>
        <family val="2"/>
        <charset val="238"/>
      </rPr>
      <t>C425MXM/C14</t>
    </r>
  </si>
  <si>
    <r>
      <rPr>
        <sz val="1"/>
        <rFont val="Arial"/>
        <family val="2"/>
        <charset val="238"/>
      </rPr>
      <t xml:space="preserve">C3-C4 </t>
    </r>
    <r>
      <rPr>
        <sz val="8"/>
        <rFont val="Arial"/>
        <family val="2"/>
        <charset val="238"/>
      </rPr>
      <t>C234MXD/C14</t>
    </r>
  </si>
  <si>
    <r>
      <rPr>
        <sz val="1"/>
        <rFont val="Arial"/>
        <family val="2"/>
        <charset val="238"/>
      </rPr>
      <t xml:space="preserve">C5-C6 </t>
    </r>
    <r>
      <rPr>
        <sz val="8"/>
        <rFont val="Arial"/>
        <family val="2"/>
        <charset val="238"/>
      </rPr>
      <t>C303MXN/C14</t>
    </r>
  </si>
  <si>
    <r>
      <rPr>
        <sz val="1"/>
        <rFont val="Arial"/>
        <family val="2"/>
        <charset val="238"/>
      </rPr>
      <t xml:space="preserve">C1-C2 </t>
    </r>
    <r>
      <rPr>
        <sz val="8"/>
        <rFont val="Arial"/>
        <family val="2"/>
        <charset val="238"/>
      </rPr>
      <t>C632MXN/C14</t>
    </r>
  </si>
  <si>
    <t>Minen F2</t>
  </si>
  <si>
    <t>Mine F2</t>
  </si>
  <si>
    <t>xxx</t>
  </si>
  <si>
    <t xml:space="preserve">Kurz měny se v buňce F17 přepočítává automaticky a naleznete jej na níže uvedené stránce (maximální kurz, za který přijímáme EUR je 26 Kč/1 EUR). Kurz DEVIZY NÁKUP. </t>
  </si>
  <si>
    <t>Cell F17 will automatically display the current exchange rate found on the following page (the maximum exchange rate at which we accept EUR is 26 CZK / 1 EUR).</t>
  </si>
  <si>
    <t>In Zelle F17 wird automatisch der aktuelle Wechselkurs auf der folgenden Seite angezeigt (der maximale Wechselkurs, zu dem wir EUR akzeptieren, beträgt 26 CZK / 1 EUR).</t>
  </si>
  <si>
    <t>Ćelija F17 automatski prikazuje trenutni tečaj sa sljedeće poveznice navedene ispod (prihvaćamo tečaj do maksimalno 26 CZK / 1 EUR).</t>
  </si>
  <si>
    <t>Il tasso di cambio viene ricalcolato automaticamente nella cella F17 e puoi trovarlo nella pagina sottostante (il tasso di cambio massimo per il quale accettiamo EUR è 26 CZK/1 EUR). ACQUISTO tasso CAMBIO ESTERO.</t>
  </si>
  <si>
    <t>Langelyje F17 bus automatiškai parodytas dabartinis valiutos kursas, nurodytas kitame puslapyje (maksimalus valiutos keitimo kursas, kuriuo mes priimame eurą, yra 26 CZK / 1 EUR).</t>
  </si>
  <si>
    <t>komórka F17 automatycznie wyświetli aktualny kurs wymiany znaleziony na następnej stronie (maksymalny kurs wymiany, po którym akceptujemy EUR, to 26 CZK / 1 EUR).</t>
  </si>
  <si>
    <t>Valūtas kurss tiek automātiski pārrēķināts šūnā F17, un to varat atrast zemāk esošajā lapā (maksimālais maiņas kurss, par kuru mēs pieņemam EUR, ir 26 CZK/1 EUR). IEGĀDĀJIES VALŪTAS kurss.</t>
  </si>
  <si>
    <t>Lahter F17 kuvab automaatselt järgmisel lehel leitava vahetuskursi (maksimaalne vahetuskurss, millega aktsepteerime EUR-i, on 26 CZK / 1 EUR).</t>
  </si>
  <si>
    <t>Tỷ giá hối đoái được chuyển đổi tự động trong ô F17 và bạn có thể tìm thấy ở trang bên dưới (tỷ giá hối đoái tối đa mà chúng tôi chấp nhận EUR là CZK 26/1 EUR). KHÓA HỌC MUA BÁN NGOẠI HỐI.</t>
  </si>
  <si>
    <t>AZ ÁRFOLYAM A F17 CELLÁBAN AUTOMATIKUSAN SZÁMOLÓDIK AMIT MEGTALÁL AZ ALÁBBI LINKEN. /A MAXIMÁLIS ÁRFOLYAM AMIN AZ EUR-T ELFOGADJUK 26KĆ/1EUR/. DEVIZA VÉTELI ÁRFOLYAMON</t>
  </si>
  <si>
    <t>Novinkou je systém výpočtu slevy. Pokud jste nový zákazník, tak Vám ceník sám vypočte Vaši slevu na základě výše Vašeho odběru (pro stávající zákazníky platí přidělené slevy, které si zákazníci napíší do buňky D17).</t>
  </si>
  <si>
    <t>A novelty is the discount calculation system. If you are a new customer, the price list itself will calculate your discount based on the amount of your subscription (for existing customers, the allocated discounts apply, which the customer writes in cell D17).</t>
  </si>
  <si>
    <t>Neu ist das Rabattberechnungssystem. Wenn Sie ein Neukunde sind, berechnet die Preisliste selbst Ihren Rabatt basierend auf der Höhe Ihres Abonnements (für bestehende Kunden gelten die zugewiesenen Rabatte, die der Kunde in Zelle D17 schreibt).</t>
  </si>
  <si>
    <t>Novost je sustav obračunavanja popusta. Ako ste novi kupac, cjenik će sam izračunati vaš popust na temelju iznosa vaše narudžbe (za postojeće kupce primjenjuju se dodijeljeni popusti koje kupac upisuje u ćeliju D17).</t>
  </si>
  <si>
    <t>Il sistema di calcolo dello sconto è nuovo. Se sei un nuovo cliente, il listino calcolerà automaticamente il tuo sconto in base all'importo del tuo abbonamento (gli sconti assegnati si applicano ai clienti esistenti, che i clienti scrivono nella cella D17).</t>
  </si>
  <si>
    <t>Naujovė yra nuolaidų skaičiavimo sistema. Jei esate naujas klientas, pats kainoraštis apskaičiuos jūsų nuolaidą pagal jūsų užsakymo sumą (esamiems klientams taikomos paskirtos nuolaidos, kurias klientas įrašo D17 langelyje).</t>
  </si>
  <si>
    <t>Nowością jest system naliczania rabatów. Jeśli jesteś nowym klientem, sam cennik obliczy zniżkę na podstawie kwoty wg tabeli rabatowej (w przypadku istniejących klientów obowiązują przyznane rabaty, które klient zapisuje w komórce D17).</t>
  </si>
  <si>
    <t>Atlaižu aprēķināšanas sistēma ir jauna. Ja esat jauns klients, cenrādis automātiski aprēķinās jūsu atlaidi, pamatojoties uz jūsu abonementa summu (piešķirtās atlaides attiecas uz esošajiem klientiem, kuras klienti ieraksta šūnā D17).</t>
  </si>
  <si>
    <t>Uuendatud on allahindluste arvutamise süsteem. Kui olete uus klient, arvutab hinnakiri ise teie allahindluse teie tellimuse summa põhjal (olemasolevatele klientidele kehtivad eraldi allahindlused, mille klient kirjutab lahtrisse D17).</t>
  </si>
  <si>
    <t>Một điểm mới là hệ thống tính chiết khấu. Nếu bạn là khách hàng mới, bản thân bảng giá sẽ tính chiết khấu dựa trên số lượng mua của bạn (đối với khách hàng hiện tại, chiết khấu được phân bổ sẽ áp dụng, khách hàng ghi vào ô D17).</t>
  </si>
  <si>
    <t>ÚJDONSÁG AZ AUTOMATIKUS KEDVEZMÉNY SZÁMOLÁSA. HA ÖN ÚJ ÜGYFÉL, A RENDSZER KISZÁMOLJA A KEDVEZMÉNYT A RENDELÉS MENNYISÉGE SZERINT. /A TÖRZSVÁSÁRLÓK A MEGBESZÉLT KETVEZMÉNYT A D17 CELLÁBA ÍRJÁK BE/.</t>
  </si>
  <si>
    <t>V buňce R17 vidíte datum i čas aktuálnosti skladové dostupnosti zboží.</t>
  </si>
  <si>
    <t>In cell R17 you can see the date and time of the current stock availability.</t>
  </si>
  <si>
    <t>In der Zelle R17 sehen Sie das Datum und die Uhrzeit der aktuellen Lagerverfügbarkeit der Ware.</t>
  </si>
  <si>
    <t>U ćeliji R17 vidite datum i vrijeme ažurnosti skladišne dostupnosti robe.</t>
  </si>
  <si>
    <t>Nella cella R17 puoi vedere la data e l’ora dell’aggiornamento della disponibilità di magazzino.</t>
  </si>
  <si>
    <t>Langelėje R17 matote prekių sandėlio likučio atnaujinimo datą ir laiką.</t>
  </si>
  <si>
    <t>W komórce R17 widzisz datę i godzinę aktualności dostępności towaru w magazynie.</t>
  </si>
  <si>
    <t>У ћелији R17 видите датум и време ажурности складишне доступности робе.</t>
  </si>
  <si>
    <t>Šūnā R17 redzams preču noliktavas pieejamības aktualitātes datums un laiks.</t>
  </si>
  <si>
    <t>Rakus R17 näete kauba laoseisu ajakohasuse kuupäeva ja kellaaega.</t>
  </si>
  <si>
    <t>Trong ô R17 bạn có thể thấy ngày và giờ cập nhật tình trạng hàng trong kho.</t>
  </si>
  <si>
    <t>Az R17-es cellában látható az áru raktárkészletének frissítési dátuma és időpontja.</t>
  </si>
  <si>
    <t>práskající balónky 3g, průměr 38mm,120Db!!!</t>
  </si>
  <si>
    <t>crackling ball 3g, diameter 38mm,120Db!!!</t>
  </si>
  <si>
    <t>Knallende Ballone 3 g, Durchmesser 38mm,120Db!!!</t>
  </si>
  <si>
    <t>pucketajuća kuglica 3g, promjer 38mm,120Db!!!</t>
  </si>
  <si>
    <t>palla scoppiettante 3g, diametro 38mm,120Db!!!</t>
  </si>
  <si>
    <t>trzeszczące kulki 3g, średnica 38mm,120Db!!!</t>
  </si>
  <si>
    <t>krekling kugla 3g, prečnik 38mm,120Db!!!</t>
  </si>
  <si>
    <t>bong bóng nổ 3g, dấu vết kính 38mm,120Db!!!</t>
  </si>
  <si>
    <t>traškantis kamuoliukas 3g, 38mm skersmens,120Db!!!</t>
  </si>
  <si>
    <t>pragisev pall 3 gr diameeter 38mm,120Db!!!</t>
  </si>
  <si>
    <t>recsegő ballonok 3g, átmerő 38mm,120Db!!!</t>
  </si>
  <si>
    <t>Krākšķīga bumba 3g, diametra 38mm,120Db!!!</t>
  </si>
  <si>
    <t xml:space="preserve">krākšķu granulas </t>
  </si>
  <si>
    <t>6m height golden fountain</t>
  </si>
  <si>
    <t>5ran, 5 různé efekty střídající se po každé ráně, 75cm délka</t>
  </si>
  <si>
    <t>5sh 5 different color effects, 75cm lenght</t>
  </si>
  <si>
    <t>5 schuss, 5 verschiedene Effekte, welche nach jedem Schuss wechseln, 75 cm Länge</t>
  </si>
  <si>
    <t>5 pucnjeva, 5 različita efekta u boji, dužina 75cm</t>
  </si>
  <si>
    <t>Cometa scoppiettante 5sh, lunghezza 75 cm</t>
  </si>
  <si>
    <t>rzymski ogień, 5 strz. 5 różnokolorowych efektu, 75cm</t>
  </si>
  <si>
    <t>5s sa 5 različita efekta, dužina štapa 75cm</t>
  </si>
  <si>
    <t>5 phát đạn, 5 hiệu ứng khác nhau xen kẽ sau mỗi lần bắn, chiều dài 75cm</t>
  </si>
  <si>
    <t>5 šūvių 5 skirtingų spalvų efektai, 75cm ilgio</t>
  </si>
  <si>
    <t>5 lasku ,5 erinevat efekti pikkus 75cm</t>
  </si>
  <si>
    <t>5 lövet, 5 külömböző effektus felváltva minden lövés után, 75cm hosszú</t>
  </si>
  <si>
    <t>5šv 5 dažādu krāšu efektu, 75cm garums</t>
  </si>
  <si>
    <t xml:space="preserve">42 verschiedenfarbige Effekte </t>
  </si>
  <si>
    <t>42 različitih efekata u boji</t>
  </si>
  <si>
    <t>42  różnokolorowych efektów</t>
  </si>
  <si>
    <t>42 hiệu ứng màu sắc khác nhau</t>
  </si>
  <si>
    <t>30 różnokolorowe efekty</t>
  </si>
  <si>
    <t>C1-C2 C51220I/C14</t>
  </si>
  <si>
    <t>64 různobarevných efektů</t>
  </si>
  <si>
    <t>64 different color effects</t>
  </si>
  <si>
    <t>64 verschiedenfarbige Effekte</t>
  </si>
  <si>
    <t>64 različita efekta u boji</t>
  </si>
  <si>
    <t>64 diversi effetti di colore</t>
  </si>
  <si>
    <t>64 różnokolorowe efekty</t>
  </si>
  <si>
    <t>64 hiệu ứng nhiều màu</t>
  </si>
  <si>
    <t xml:space="preserve">64 Skirtingi spalvoti efektai. </t>
  </si>
  <si>
    <t>64 erinevat värvilist efekti</t>
  </si>
  <si>
    <t>64 külömböző színű effektus</t>
  </si>
  <si>
    <t>64 dažadu krāsu efekts</t>
  </si>
  <si>
    <t>C1-C2 C65620XH/C14</t>
  </si>
  <si>
    <t>C1-C2 C80020S/C14</t>
  </si>
  <si>
    <t>7 různobarevných efektu, karton obsahuje nálepky s různým věkem</t>
  </si>
  <si>
    <t>7 different color effects, carton contains stickers with different ages</t>
  </si>
  <si>
    <t>7 verschiedenfarbige Effekte Karton enthält Aufkleber mit verschiedenen Alters</t>
  </si>
  <si>
    <t>7 različitih efekata u boji, sretan rođenadan - karton sadrži 
naljepnice sa različitim brojevima</t>
  </si>
  <si>
    <t>7 diversi effetti di colore, il cartone contiene adesivi con età diverse</t>
  </si>
  <si>
    <t>7 različitih efekata u boji, karton sadrži naljepnice različitih godina</t>
  </si>
  <si>
    <t>7 hiệu ứng màu khác nhau, thùng có các nhãn dán với các độ tuổi khác nhau</t>
  </si>
  <si>
    <t>7  Skirtingi spalvoti efektai, dėžutėje yra skirtingo amžiaus (skaiciu) lipdukų</t>
  </si>
  <si>
    <t>7 erinevat värvilist efekti pakend sisaldab kleepse erinevatele vanustele.</t>
  </si>
  <si>
    <t>7 külömböző színű effektus,  a karton külömböző évszámú matricát tartalmaz</t>
  </si>
  <si>
    <t>7 dažadu krāsu efekts komlekts satur uzlīmes dažadiem vēcumiem</t>
  </si>
  <si>
    <t>C1-C2 C40025F/C14</t>
  </si>
  <si>
    <t>C1-C2 C1503X/C14</t>
  </si>
  <si>
    <t>C1-C2 C2003U/C14</t>
  </si>
  <si>
    <t>C1-C2 C632MXN/C14</t>
  </si>
  <si>
    <t>50 různobarevných efektů</t>
  </si>
  <si>
    <t>50 different color effects</t>
  </si>
  <si>
    <t xml:space="preserve">50 verschiedenfarbige Effekte </t>
  </si>
  <si>
    <t>50 različitih efekata u boji</t>
  </si>
  <si>
    <t>50 diversi effetti di colore</t>
  </si>
  <si>
    <t>50  różnokolorowych efektów</t>
  </si>
  <si>
    <t>50 različita efekta u boji</t>
  </si>
  <si>
    <t>50 hiệu ứng màu sắc khác nhau</t>
  </si>
  <si>
    <t xml:space="preserve">50 Skirtingi spalvoti efektai. </t>
  </si>
  <si>
    <t>50 dažadu krāsu efekts</t>
  </si>
  <si>
    <t>50 külömböző színű effektus</t>
  </si>
  <si>
    <t>50 erinevat värvilist efekti</t>
  </si>
  <si>
    <t>CZ, SK, PL, LT, NL, DE, EST</t>
  </si>
  <si>
    <t>práskající balónky 2g, průměr 23mm</t>
  </si>
  <si>
    <t>crackling ball 2g, diameter 23mm</t>
  </si>
  <si>
    <t>pucketajuća kuglica 2g, promjer 23mm</t>
  </si>
  <si>
    <t>palla scoppiettante 2g, diametro 23mm</t>
  </si>
  <si>
    <t>trzeszczące kulki 2g, średnica 23mm</t>
  </si>
  <si>
    <t>krekling kugla 2g, prečnik 23mm</t>
  </si>
  <si>
    <t>bong bóng nổ 2g, dấu vết kính 23mm</t>
  </si>
  <si>
    <t>traškantis kamuoliukas 2g, 23mm skersmens</t>
  </si>
  <si>
    <t>praksuv pall 2g, diameeter 23mm</t>
  </si>
  <si>
    <t>recsegő ballonok 2g, átmerő 23mm</t>
  </si>
  <si>
    <t>krākšķu bumba 2g, diametra 23cm</t>
  </si>
  <si>
    <t>Čas v</t>
  </si>
  <si>
    <t>Time in</t>
  </si>
  <si>
    <t>Zeit in</t>
  </si>
  <si>
    <t>Czas w</t>
  </si>
  <si>
    <t>Thời gian bằng</t>
  </si>
  <si>
    <t>Laikas</t>
  </si>
  <si>
    <t>Vrijeme u</t>
  </si>
  <si>
    <t>Vreme u</t>
  </si>
  <si>
    <t>Tempo in</t>
  </si>
  <si>
    <t>Aeg</t>
  </si>
  <si>
    <t>Idő</t>
  </si>
  <si>
    <t>Laiks</t>
  </si>
  <si>
    <t>sekundách</t>
  </si>
  <si>
    <t>seconds</t>
  </si>
  <si>
    <t>Sekunden</t>
  </si>
  <si>
    <t>sekundach</t>
  </si>
  <si>
    <t>giây</t>
  </si>
  <si>
    <t>sekundėmis</t>
  </si>
  <si>
    <t>sekundama</t>
  </si>
  <si>
    <t>secondi</t>
  </si>
  <si>
    <t>sekundites</t>
  </si>
  <si>
    <t>másodpercben</t>
  </si>
  <si>
    <t>sekundēs</t>
  </si>
  <si>
    <t>20/15/20</t>
  </si>
  <si>
    <t>4BP</t>
  </si>
  <si>
    <t>5BPBP</t>
  </si>
  <si>
    <t>BBP</t>
  </si>
  <si>
    <t>Dumbum Extreme ball</t>
  </si>
  <si>
    <t>40/3</t>
  </si>
  <si>
    <t>práskající balónky 120db!!!, průměr 50mm</t>
  </si>
  <si>
    <t>crackling ball 120db!!!, diameter 50mm</t>
  </si>
  <si>
    <t>Knallende Ballone 120db, Durchmesser 50mm</t>
  </si>
  <si>
    <t>pucketajuće kuglice 120db!!!, promjer 50mm</t>
  </si>
  <si>
    <t>palla scoppiettante 120db!!!, diametro 50mm</t>
  </si>
  <si>
    <t>trzeszczące kulki 120db!!!, średnica 50mm</t>
  </si>
  <si>
    <t>praskava kugla 120db!!!,  prečnika 50mm</t>
  </si>
  <si>
    <t>bong bóng nổ nứt 120db!!!, dấu vết kính 50mm</t>
  </si>
  <si>
    <t>traškantis kamuoliukas 120db!!!, 50mm skersmens</t>
  </si>
  <si>
    <t>Krākšķīga bumba 120db!!!, diametra 50mm</t>
  </si>
  <si>
    <t>pragisev pall 120db!!!, diameeter 50mm</t>
  </si>
  <si>
    <t>recsegő ballonok 120db!!!, átmerő 50mm</t>
  </si>
  <si>
    <t>Dumbum 120</t>
  </si>
  <si>
    <t>Kat. F1 – Bouchací kuličky a práskající výrobky</t>
  </si>
  <si>
    <t>Kat. F1 – Rotující výrobky</t>
  </si>
  <si>
    <t>Kat. F1 – Fontány</t>
  </si>
  <si>
    <t>Kat. F1 – Ostatní dětská pyrotechnika</t>
  </si>
  <si>
    <t>Konfety 50 mm</t>
  </si>
  <si>
    <t>Římské svíce 7 mm</t>
  </si>
  <si>
    <t>Římské svíce 10 mm</t>
  </si>
  <si>
    <t>Římské svíce 20 mm – Kat. F2</t>
  </si>
  <si>
    <t>Římské svíce 20 mm – Kat. F3</t>
  </si>
  <si>
    <t>Římské svíce 30 mm</t>
  </si>
  <si>
    <t>Vystřelovací trubice (3 rány), 20 mm moždíř</t>
  </si>
  <si>
    <t>Vystřelovací trubice (3 rány), 30 mm moždíř</t>
  </si>
  <si>
    <t>Petardy se zápalnou šňůrou F2 (černoprachová)</t>
  </si>
  <si>
    <t>Petardy se zápalnou šňůrou F4 + T2</t>
  </si>
  <si>
    <t>Oblečení Dumbum – limitovaná edice</t>
  </si>
  <si>
    <t>Baterie raket 25–1000 ran, 8 mm moždíř – 1.4G</t>
  </si>
  <si>
    <t>Baterie 100 ran, 8 mm moždíř – 1.4G</t>
  </si>
  <si>
    <t>Baterie 16 ran, 14 mm moždíř – 1.4G</t>
  </si>
  <si>
    <t>Baterie 36 ran, 14 mm moždíř – 1.4G</t>
  </si>
  <si>
    <t>Baterie 64 ran, 14 mm moždíř – 1.4G</t>
  </si>
  <si>
    <t>Baterie 100 ran, 14 mm moždíř – 1.3G</t>
  </si>
  <si>
    <t>Baterie 200 ran, 14 mm moždíř – 1.4G</t>
  </si>
  <si>
    <t>Složený ohňostroj 14 mm – F2 – 1.4G – maximum 1000 g NEC</t>
  </si>
  <si>
    <t>Baterie 208 ran, 14 mm rovný + šikmý moždíř – 1.4G</t>
  </si>
  <si>
    <t>Baterie 90 ran, 16 mm moždíř (různé úhly moždířů) – 1.4G</t>
  </si>
  <si>
    <t>Baterie 160 ran, 16 mm moždíř (různé úhly moždířů) – 1.4G</t>
  </si>
  <si>
    <t>Složený ohňostroj 16 mm – F2 – 1.4G – maximum 1000 g NEC</t>
  </si>
  <si>
    <t>Baterie 63 ran, 14 mm (30 ran), 16 mm (33 ran)</t>
  </si>
  <si>
    <t>Baterie 9 ran, 20 mm moždíř – 1.3G</t>
  </si>
  <si>
    <t>Baterie 16 ran, 20 mm moždíř – 1.3G</t>
  </si>
  <si>
    <t>Baterie 16 ran, 20 mm moždíř – 1.4G</t>
  </si>
  <si>
    <t>Baterie 16 ran, 20 mm šikmý moždíř – 1.3G</t>
  </si>
  <si>
    <t>Baterie 25 ran, 20 mm moždíř – 1.3G</t>
  </si>
  <si>
    <t>Baterie 25 ran, 20 mm moždíř – 1.4G</t>
  </si>
  <si>
    <t>Baterie 36 ran, 20 mm moždíř – 1.3G</t>
  </si>
  <si>
    <t>Baterie 36 ran, 20 mm moždíř – 1.4G</t>
  </si>
  <si>
    <t>Baterie 49 ran, 20 mm moždíř – 1.3G</t>
  </si>
  <si>
    <t>Baterie 49 ran, 20 mm moždíř – 1.4G</t>
  </si>
  <si>
    <t>Baterie 49 ran, 20 mm šikmý moždíř – 1.3G</t>
  </si>
  <si>
    <t>Baterie 49 ran, 20 mm šikmý moždíř – 1.4G</t>
  </si>
  <si>
    <t>Baterie 64 ran, 20 mm moždíř – 1.3G</t>
  </si>
  <si>
    <t>Baterie 64 ran, 20 mm moždíř – 1.4G</t>
  </si>
  <si>
    <t>Baterie 66 ran, 20 mm I + V + W + šikmý moždíř – 1.3G</t>
  </si>
  <si>
    <t>Baterie 66 ran, 20 mm I + V + W + šikmý moždíř – 1.4G</t>
  </si>
  <si>
    <t>Baterie 90 ran, 20 mm moždíř – 1.3G</t>
  </si>
  <si>
    <t>Baterie 100 ran, 20 mm moždíř – 1.4G</t>
  </si>
  <si>
    <t>Baterie 100 ran, 20 mm moždíř (všechny směry) – 1.4G</t>
  </si>
  <si>
    <t>Baterie 100 ran, 20 mm šikmý moždíř – 1.3G</t>
  </si>
  <si>
    <t>Baterie 130 ran, 20 mm moždíř – 1.3G</t>
  </si>
  <si>
    <t>Baterie 134 ran, 20 mm I + V + W + šikmý moždíř – 1.3G</t>
  </si>
  <si>
    <t>Baterie 200 ran, 20 mm moždíř – 1.3G</t>
  </si>
  <si>
    <t>Baterie 200 ran, 20 mm moždíř (všechny směry) – 1.3G</t>
  </si>
  <si>
    <t>Složený ohňostroj 20 mm – F2 – 1.4G – maximum 1000 g NEC</t>
  </si>
  <si>
    <t>Složený ohňostroj 20 mm – F2 – 1.4G – maximum 2000 g NEC</t>
  </si>
  <si>
    <t>Složený ohňostroj 20 mm – F2 – 1.3G</t>
  </si>
  <si>
    <t>Složený ohňostroj F3 – 1.3G</t>
  </si>
  <si>
    <t>Baterie 16 ran, 25 mm moždíř – 1.3G</t>
  </si>
  <si>
    <t>Baterie 16 ran, 25 mm moždíř – 1.4G</t>
  </si>
  <si>
    <t>Baterie 25 ran, 25 mm moždíř – 1.3G</t>
  </si>
  <si>
    <t>Baterie 25 ran, 25 mm moždíř – 1.4G</t>
  </si>
  <si>
    <t>Baterie 25 ran, 25 mm šikmý moždíř – 1.3G</t>
  </si>
  <si>
    <t>Baterie 36 ran, 25 mm moždíř – F2 – 1.3G</t>
  </si>
  <si>
    <t>Baterie 36 ran, 25 mm moždíř – F2 – 1.4G</t>
  </si>
  <si>
    <t>Baterie 48 ran, 25 mm rovný + šikmý moždíř – 1.3G</t>
  </si>
  <si>
    <t>Baterie 49 ran, 25 mm moždíř – F2 – 1.3G</t>
  </si>
  <si>
    <t>Baterie 49 ran, 25 mm moždíř – F2 – 1.4G</t>
  </si>
  <si>
    <t>Baterie 49 ran, 25 mm moždíř – F3 – 1.3G</t>
  </si>
  <si>
    <t>Baterie 49 ran, 25 mm šikmý moždíř – 1.4G</t>
  </si>
  <si>
    <t>Baterie 49 ran, 25 mm šikmý moždíř – 1.3G</t>
  </si>
  <si>
    <t>Baterie 64 ran, 25 mm moždíř (všechny směry) – 1.3G</t>
  </si>
  <si>
    <t>Baterie 88 ran, 25 mm moždíř – 1.3G</t>
  </si>
  <si>
    <t>Baterie 100 ran, 25 mm moždíř – 1.3G</t>
  </si>
  <si>
    <t>Složený ohňostroj 25 mm – F2 – 1.4G</t>
  </si>
  <si>
    <t>Složený ohňostroj 25 mm – F2 – 1.3G</t>
  </si>
  <si>
    <t>Složený ohňostroj 25 mm – F3 – 1.3G</t>
  </si>
  <si>
    <t>Baterie 16 ran, 30 mm moždíř – 1.3G</t>
  </si>
  <si>
    <t>Baterie 16 ran, 30 mm moždíř – 1.4G</t>
  </si>
  <si>
    <t>Baterie 19 ran, 30 mm moždíř – 1.3G</t>
  </si>
  <si>
    <t>Baterie 25 ran, 30 mm moždíř F3 – 1.3G</t>
  </si>
  <si>
    <t>Baterie 25 ran, 30 mm moždíř F2 – 1.4G</t>
  </si>
  <si>
    <t>Baterie 25 ran, 30 mm moždíř – 1.4G</t>
  </si>
  <si>
    <t>Baterie 25 ran, 30 mm šikmý moždíř – 1.4G</t>
  </si>
  <si>
    <t>Baterie 36 ran, 30 mm moždíř – 1.3G</t>
  </si>
  <si>
    <t>Baterie 36 ran, 30 mm šikmý moždíř – 1.3G</t>
  </si>
  <si>
    <t>Baterie 49 ran, 30 mm moždíř – 1.3G</t>
  </si>
  <si>
    <t>Baterie 49 ran, 30 mm šikmý moždíř – 1.3G</t>
  </si>
  <si>
    <t>Baterie 50 ran, 30 mm moždíř – 1.3G</t>
  </si>
  <si>
    <t>Baterie 64 ran, 30 mm moždíř – 1.3G</t>
  </si>
  <si>
    <t>Baterie 64 ran, 30 mm šikmý moždíř – 1.3G</t>
  </si>
  <si>
    <t>Baterie 64 ran, 30 mm rovný + šikmý + V + W moždíř – 1.3G</t>
  </si>
  <si>
    <t>Dvojitý složený ohňostroj, 30 mm F2 – 1.4G</t>
  </si>
  <si>
    <t>Složený ohňostroj 30 mm – F3 – 1.3G</t>
  </si>
  <si>
    <t>Baterie 16 ran, 50 mm moždíř – 1.3G</t>
  </si>
  <si>
    <t>Baterie 25 ran, 45 mm moždíř – 1.3G</t>
  </si>
  <si>
    <t>Baterie 25 ran, 50 mm moždíř – 1.3G</t>
  </si>
  <si>
    <t>Baterie 35 ran, 45 mm moždíř – 1.3G</t>
  </si>
  <si>
    <t>Baterie 36 ran, 45 mm moždíř – 1.3G</t>
  </si>
  <si>
    <t>Baterie 36 ran, 50 mm moždíř – 1.3G</t>
  </si>
  <si>
    <t>Složený ohňostroj 45 + 50 mm – 1.3G</t>
  </si>
  <si>
    <t>Baterie min 250 ran, 50 mm moždíř – 1.3G</t>
  </si>
  <si>
    <t>Baterie 24 ran, 63 mm moždíř – 1.3G</t>
  </si>
  <si>
    <t>Baterie 25 ran, 75 mm moždíř – 1.3G</t>
  </si>
  <si>
    <t>Multikaliberní kompakty do 30 mm – Kat. F2</t>
  </si>
  <si>
    <t>Baterie 39 ran, 20 + 25 + 30 mm šikmý + V + W moždíř – 1.3G</t>
  </si>
  <si>
    <t>Baterie 46 ran, 20 mm (26 ran), 25 mm (20 ran)</t>
  </si>
  <si>
    <t>Baterie 48 ran, 25 mm (40 ran), 30 mm (4 ran), 50 mm (4 ran)</t>
  </si>
  <si>
    <t>Baterie 50 ran, 20 + 25 + 30 mm rovný + šikmý + S moždíř – 1.3G</t>
  </si>
  <si>
    <t>Baterie 64 ran, 20 + 25 mm moždíř – 1.3G</t>
  </si>
  <si>
    <t>Baterie 68 ran, 20 + 25 + 30 mm moždíř (všechny směry) – 1.3G</t>
  </si>
  <si>
    <t>Baterie 68 ran, 20 + 25 + 30 mm moždíř (všechny směry) – 1.4G</t>
  </si>
  <si>
    <t>Baterie 77 ran, 20 mm (48 ran), 25 mm (24 ran), 30 mm (5 ran)</t>
  </si>
  <si>
    <t>Baterie 100 ran, 16 mm (82 ran), 20 mm (18 ran)</t>
  </si>
  <si>
    <t>Baterie 148 ran, 16 mm (115 ran), 18 mm (26 ran), 20 mm (7 ran)</t>
  </si>
  <si>
    <t>Baterie 165 ran, 16 mm (125 ran), 20 mm (40 ran)</t>
  </si>
  <si>
    <t>Baterie 170 ran, 16 mm (125 ran), 20 mm (40 ran)</t>
  </si>
  <si>
    <t>Multikaliberní kompakty do 30 mm – Kat. F3</t>
  </si>
  <si>
    <t>Baterie + fontána 40 ran, 20 + 25 + 30 mm moždíř – 1.3G</t>
  </si>
  <si>
    <t>Baterie 100 ran, 20 + 25 + 30 mm rovný + šikmý + S moždíř – 1.3G</t>
  </si>
  <si>
    <t>Baterie 106 ran, 20 + 25 + 30 mm rovný + šikmý + S moždíř – 1.3G</t>
  </si>
  <si>
    <t>Baterie 109 ran, 20 + 25 + 30 mm moždíř – 1.3G</t>
  </si>
  <si>
    <t>Složený ohňostroj multikaliber F2 – 1.4G – maximum 1000 g NEC</t>
  </si>
  <si>
    <t>Složený ohňostroj multikaliber F2 – 1.4G – maximum 2000 g NEC</t>
  </si>
  <si>
    <t>Složený ohňostroj, multikaliber F2 – 1.3G</t>
  </si>
  <si>
    <t>Dvojitý složený ohňostroj, multikaliber F2 – 1.4G</t>
  </si>
  <si>
    <t>Složený ohňostroj, multikaliber (20–30 mm) F3 – 1.3G</t>
  </si>
  <si>
    <t>Multikaliberní kompakty nad 30 mm</t>
  </si>
  <si>
    <t>Baterie 23 ran, 30 + 50 mm moždíř – 1.3G</t>
  </si>
  <si>
    <t>Baterie 24 ran, 20 + 24 + 30 + 40 mm moždíř – 1.3G</t>
  </si>
  <si>
    <t>Baterie 36 ran, 36 + 50 mm moždíř – 1.3G</t>
  </si>
  <si>
    <t>Baterie 42 ran, 25 + 40 mm rovný + šikmý moždíř – 1.3G</t>
  </si>
  <si>
    <t>Baterie 47 ran, 30 + 50 mm rovný + šikmý moždíř – 1.3G</t>
  </si>
  <si>
    <t>Baterie 63 ran, 25 + 45 mm rovný + šikmý moždíř – 1.3G</t>
  </si>
  <si>
    <t>Baterie 66 ran, 20 + 25 + 30 + 48 mm moždíř – 1.3G</t>
  </si>
  <si>
    <t>Složený ohňostroj, multikaliber (30–50 mm) F3 – 1.3G</t>
  </si>
  <si>
    <t>Baterie multikaliberní (více průměrů moždířů + různé úhly moždířů) F4 – 1.3G</t>
  </si>
  <si>
    <t>Baterie 135 ran, 20 mm šikmý moždíř</t>
  </si>
  <si>
    <t>Baterie 25 ran, 30 mm moždíř</t>
  </si>
  <si>
    <t>Baterie 50 ran, 30 mm šikmý moždíř</t>
  </si>
  <si>
    <t>Baterie 50 ran, 30 mm S moždíř</t>
  </si>
  <si>
    <t>Kulové pumy 50 mm</t>
  </si>
  <si>
    <t>Kulové pumy 75 mm, prémiová kvalita</t>
  </si>
  <si>
    <t>Kulové pumy 100 mm</t>
  </si>
  <si>
    <t>Kulové pumy 100 mm, prémiová kvalita</t>
  </si>
  <si>
    <t>Kulové pumy 125 mm, prémiová kvalita</t>
  </si>
  <si>
    <t>Kulové pumy 150 mm</t>
  </si>
  <si>
    <t>Kulové pumy 150 mm, prémiová kvalita</t>
  </si>
  <si>
    <t>Kategorie F1 – Knallkugeln und Knatterartikel</t>
  </si>
  <si>
    <t>Category F1 – Bang snaps and crackling items</t>
  </si>
  <si>
    <t>Kategorija F1 – Pucketave kuglice i pucketavi artikli</t>
  </si>
  <si>
    <t>Categoria F1 – Palline schioppettanti e articoli crepitanti</t>
  </si>
  <si>
    <t>Kategorija F1 – Spragsinantys rutuliukai ir traškantys gaminiai</t>
  </si>
  <si>
    <t>Kategoria F1 – Kulki hukowe i artykuły trzaskające</t>
  </si>
  <si>
    <t>Kategorija F1 – Pucajuće kuglice i piro proizvodi koji škripe</t>
  </si>
  <si>
    <t>Hạng F1 – Bóng nổ và sản phẩm pháo lách tách</t>
  </si>
  <si>
    <t>F1 kategorija – Sprāgstošās bumbiņas un sprakšķoši izstrādājumi</t>
  </si>
  <si>
    <t>Kategooria F1 – Plaksukuulid ja praksuvad pirotooted</t>
  </si>
  <si>
    <t>F1 kategória – Pattogó golyók és ropogó pirotechnikai termékek</t>
  </si>
  <si>
    <t>Kategorie F1 – Drehartikel</t>
  </si>
  <si>
    <t>Category F1 – Spinning items</t>
  </si>
  <si>
    <t>Kategorija F1 – Vrtuljci</t>
  </si>
  <si>
    <t>Categoria F1 – Girandole</t>
  </si>
  <si>
    <t>Kategorija F1 – Suktukai</t>
  </si>
  <si>
    <t>Kategoria F1 – Artykuły wirujące</t>
  </si>
  <si>
    <t>Kategorija F1 – Vrteške</t>
  </si>
  <si>
    <t>Hạng F1 – Con quay pháo</t>
  </si>
  <si>
    <t>F1 kategorija – Vērpetes</t>
  </si>
  <si>
    <t>Kategooria F1 – Vurrid</t>
  </si>
  <si>
    <t>F1 kategória – Pörgettyűk</t>
  </si>
  <si>
    <t>Kategorie F1 – Fontänen</t>
  </si>
  <si>
    <t>Category F1 – Fountains</t>
  </si>
  <si>
    <t>Kategorija F1 – Fontane</t>
  </si>
  <si>
    <t>Categoria F1 – Fontane</t>
  </si>
  <si>
    <t>Kategorija F1 – Fontanai</t>
  </si>
  <si>
    <t>Kategoria F1 – Fontanny</t>
  </si>
  <si>
    <t>Hạng F1 – Đài phun nước</t>
  </si>
  <si>
    <t>F1 kategorija – Strūklakas</t>
  </si>
  <si>
    <t>Kategooria F1 – Purskkaevud</t>
  </si>
  <si>
    <t>F1 kategória – Szökőkutak</t>
  </si>
  <si>
    <t>Kategorie F1 – Sonstige Kinderfeuerwerksartikel</t>
  </si>
  <si>
    <t>Category F1 – Other children’s fireworks</t>
  </si>
  <si>
    <t>Kategorija F1 – Ostala dječja pirotehnika</t>
  </si>
  <si>
    <t>Categoria F1 – Altri articoli pirotecnici per bambini</t>
  </si>
  <si>
    <t>Kategorija F1 – Kita vaikams skirta pirotechnika</t>
  </si>
  <si>
    <t>Kategoria F1 – Pozostała pirotechnika dziecięca</t>
  </si>
  <si>
    <t>Kategorija F1 – Ostala dečja pirotehnika</t>
  </si>
  <si>
    <t>Hạng F1 – Các sản phẩm pháo trẻ em khác</t>
  </si>
  <si>
    <t>F1 kategorija – Citi pirotehniskie izstrādājumi bērniem</t>
  </si>
  <si>
    <t>Kategooria F1 – Muu laste pirotehnika</t>
  </si>
  <si>
    <t>F1 kategória – Egyéb gyermek pirotechnika</t>
  </si>
  <si>
    <t>Flugartikel</t>
  </si>
  <si>
    <t>Articoli volanti</t>
  </si>
  <si>
    <t>Skraidantys gaminiai</t>
  </si>
  <si>
    <t>Przedmioty latające</t>
  </si>
  <si>
    <t>Leteći pirotehnički proizvodi</t>
  </si>
  <si>
    <t>Lidojošie izstrādājumi</t>
  </si>
  <si>
    <t>Lendavad pirotooted</t>
  </si>
  <si>
    <t>Repülő pirotechnikai termékek</t>
  </si>
  <si>
    <t>Familienpackungen</t>
  </si>
  <si>
    <t>Family packs</t>
  </si>
  <si>
    <t>Obiteljski paketi</t>
  </si>
  <si>
    <t>Pacchetti familiari</t>
  </si>
  <si>
    <t>Šeimos rinkiniai</t>
  </si>
  <si>
    <t>Porodični paketi</t>
  </si>
  <si>
    <t>Bộ pháo gia đình</t>
  </si>
  <si>
    <t>Ģimenes komplekti</t>
  </si>
  <si>
    <t>Stelline</t>
  </si>
  <si>
    <t>Šaltosios ugnelės</t>
  </si>
  <si>
    <t>Pháo que</t>
  </si>
  <si>
    <t>Bengālijas ugunis</t>
  </si>
  <si>
    <t>Sädemepulgad</t>
  </si>
  <si>
    <t>Spezial‑Wunderkerzen</t>
  </si>
  <si>
    <t>Special sparklers</t>
  </si>
  <si>
    <t>Posebne prskalice</t>
  </si>
  <si>
    <t>Stelline speciali</t>
  </si>
  <si>
    <t>Specialiosios šaltosios ugnelės</t>
  </si>
  <si>
    <t>Zimne ognie specjalne</t>
  </si>
  <si>
    <t>Pháo que đặc biệt</t>
  </si>
  <si>
    <t>Speciālās bengālijas ugunis</t>
  </si>
  <si>
    <t>Erilised sädemepulgad</t>
  </si>
  <si>
    <t>Rauchkörper mit Zündschnur</t>
  </si>
  <si>
    <t>Smoke grenades with fuse</t>
  </si>
  <si>
    <t>Dimne bombe s upaljačem</t>
  </si>
  <si>
    <t>Fumogeni con miccia</t>
  </si>
  <si>
    <t>Dūminės granatos su dagtimi</t>
  </si>
  <si>
    <t>Dimne bombe sa fitiljem</t>
  </si>
  <si>
    <t>Lựu đạn khói có dây cháy chậm</t>
  </si>
  <si>
    <t>Dūmu sveces ar degli</t>
  </si>
  <si>
    <t>Suitsupommid süütenööriga</t>
  </si>
  <si>
    <t>Füstbombák gyújtózsinórral</t>
  </si>
  <si>
    <t>Reib‑Rauchkörper</t>
  </si>
  <si>
    <t>Strike‑to‑ignite smoke grenades</t>
  </si>
  <si>
    <t>Dimne bombe na struganje</t>
  </si>
  <si>
    <t>Fumogeni a sfregamento</t>
  </si>
  <si>
    <t>Dūminės granatos braukiamos</t>
  </si>
  <si>
    <t>Świece dymne draskane</t>
  </si>
  <si>
    <t>Dimne bombe trenjem</t>
  </si>
  <si>
    <t>Lựu đạn khói cọ xát</t>
  </si>
  <si>
    <t>Beržamās dūmu sveces</t>
  </si>
  <si>
    <t>Kraabitavad suitsupommid</t>
  </si>
  <si>
    <t>Dörzsölős füstbombák</t>
  </si>
  <si>
    <t>Rauchkörper mit Abreißzünder</t>
  </si>
  <si>
    <t>Smoke grenades with pull‑ring igniter</t>
  </si>
  <si>
    <t>Dimne bombe s poteznim upaljačem</t>
  </si>
  <si>
    <t>Fumogeni con accenditore a strappo</t>
  </si>
  <si>
    <t>Dūminės granatos su traukiamu uždegikliu</t>
  </si>
  <si>
    <t>Świece dymne z zapalnikiem pociągowym</t>
  </si>
  <si>
    <t>Dimne bombe sa izvlakačem</t>
  </si>
  <si>
    <t>Lựu đạn khói giật chốt</t>
  </si>
  <si>
    <t>Dūmu sveces ar izraujamu aizdedzi</t>
  </si>
  <si>
    <t>Suitsupommid tõmmatava sütikuga</t>
  </si>
  <si>
    <t>Füstbombák húzógyújtóval</t>
  </si>
  <si>
    <t>Smoke torches</t>
  </si>
  <si>
    <t>Torce fumogene</t>
  </si>
  <si>
    <t>Dūminės fakelai</t>
  </si>
  <si>
    <t>Đuốc khói</t>
  </si>
  <si>
    <t>Dūmu lāpas</t>
  </si>
  <si>
    <t>Suitsutõrvikud</t>
  </si>
  <si>
    <t>Fáklyák füsttel</t>
  </si>
  <si>
    <t>Torches</t>
  </si>
  <si>
    <t>Torce</t>
  </si>
  <si>
    <t>Fakelai</t>
  </si>
  <si>
    <t>Lāpas</t>
  </si>
  <si>
    <t>Tõrvikud</t>
  </si>
  <si>
    <t>Strobes</t>
  </si>
  <si>
    <t>Stroboskopi</t>
  </si>
  <si>
    <t>Stroboscopi</t>
  </si>
  <si>
    <t>Stroboskopai</t>
  </si>
  <si>
    <t>Đèn nháy stroboskop</t>
  </si>
  <si>
    <t>Stroboskoobid</t>
  </si>
  <si>
    <t>Đài phun nước</t>
  </si>
  <si>
    <t>Strūklakas</t>
  </si>
  <si>
    <t>Purskkaevud</t>
  </si>
  <si>
    <t>Volcano fountains</t>
  </si>
  <si>
    <t>Wulkany</t>
  </si>
  <si>
    <t>Núi lửa pháo</t>
  </si>
  <si>
    <t>Vulkāni</t>
  </si>
  <si>
    <t>Vulkaanid</t>
  </si>
  <si>
    <t>Indoor‑Fontänen</t>
  </si>
  <si>
    <t>Indoor fountains</t>
  </si>
  <si>
    <t>Unutarnje fontane</t>
  </si>
  <si>
    <t>Fontane da interno</t>
  </si>
  <si>
    <t>Fontanny wewnętrzne</t>
  </si>
  <si>
    <t>Unutrašnje fontane</t>
  </si>
  <si>
    <t>Đài phun nước trong nhà</t>
  </si>
  <si>
    <t>Iekštelpu strūklakas</t>
  </si>
  <si>
    <t>Sise‑purskkaevud</t>
  </si>
  <si>
    <t>Confetti 50 mm</t>
  </si>
  <si>
    <t>Konfeti 50 mm</t>
  </si>
  <si>
    <t>Coriandoli 50 mm</t>
  </si>
  <si>
    <t>Konfettid 50 mm</t>
  </si>
  <si>
    <t>Römische Lichter 7 mm</t>
  </si>
  <si>
    <t>Roman candles 7 mm</t>
  </si>
  <si>
    <t>Rimske svijeće 7 mm</t>
  </si>
  <si>
    <t>Candele romane 7 mm</t>
  </si>
  <si>
    <t>Romėniškos žvakės 7 mm</t>
  </si>
  <si>
    <t>Rzymskie ognie 7 mm</t>
  </si>
  <si>
    <t>Rimske sveće 7 mm</t>
  </si>
  <si>
    <t>Pháo La Mã 7 mm</t>
  </si>
  <si>
    <t>Romiešu sveces 7 mm</t>
  </si>
  <si>
    <t>Rooma küünlad 7 mm</t>
  </si>
  <si>
    <t>Római gyertyák 7 mm</t>
  </si>
  <si>
    <t>Römische Lichter 10 mm</t>
  </si>
  <si>
    <t>Roman candles 10 mm</t>
  </si>
  <si>
    <t>Rimske svijeće 10 mm</t>
  </si>
  <si>
    <t>Candele romane 10 mm</t>
  </si>
  <si>
    <t>Romėniškos žvakės 10 mm</t>
  </si>
  <si>
    <t>Rzymskie ognie 10 mm</t>
  </si>
  <si>
    <t>Rimske sveće 10 mm</t>
  </si>
  <si>
    <t>Pháo La Mã 10 mm</t>
  </si>
  <si>
    <t>Romiešu sveces 10 mm</t>
  </si>
  <si>
    <t>Rooma küünlad 10 mm</t>
  </si>
  <si>
    <t>Római gyertyák 10 mm</t>
  </si>
  <si>
    <t>Römische Lichter 20 mm – Kategorie F2</t>
  </si>
  <si>
    <t>Roman candles 20 mm – Category F2</t>
  </si>
  <si>
    <t>Rimske svijeće 20 mm – Kategorija F2</t>
  </si>
  <si>
    <t>Candele romane 20 mm – Categoria F2</t>
  </si>
  <si>
    <t>Romėniškos žvakės 20 mm – Kategorija F2</t>
  </si>
  <si>
    <t>Rzymskie ognie 20 mm – Kategoria F2</t>
  </si>
  <si>
    <t>Rimske sveće 20 mm – Kategorija F2</t>
  </si>
  <si>
    <t>Pháo La Mã 20 mm – Hạng F2</t>
  </si>
  <si>
    <t>Romiešu sveces 20 mm – F2 kategorija</t>
  </si>
  <si>
    <t>Rooma küünlad 20 mm – Kategooria F2</t>
  </si>
  <si>
    <t>Római gyertyák 20 mm – F2 kategória</t>
  </si>
  <si>
    <t>Römische Lichter 20 mm – Kategorie F3</t>
  </si>
  <si>
    <t>Roman candles 20 mm – Category F3</t>
  </si>
  <si>
    <t>Rimske svijeće 20 mm – Kategorija F3</t>
  </si>
  <si>
    <t>Candele romane 20 mm – Categoria F3</t>
  </si>
  <si>
    <t>Romėniškos žvakės 20 mm – Kategorija F3</t>
  </si>
  <si>
    <t>Rzymskie ognie 20 mm – Kategoria F3</t>
  </si>
  <si>
    <t>Rimske sveće 20 mm – Kategorija F3</t>
  </si>
  <si>
    <t>Pháo La Mã 20 mm – Hạng F3</t>
  </si>
  <si>
    <t>Romiešu sveces 20 mm – F3 kategorija</t>
  </si>
  <si>
    <t>Rooma küünlad 20 mm – Kategooria F3</t>
  </si>
  <si>
    <t>Római gyertyák 20 mm – F3 kategória</t>
  </si>
  <si>
    <t>Römische Lichter 30 mm</t>
  </si>
  <si>
    <t>Roman candles 30 mm</t>
  </si>
  <si>
    <t>Rimske svijeće 30 mm</t>
  </si>
  <si>
    <t>Candele romane 30 mm</t>
  </si>
  <si>
    <t>Romėniškos žvakės 30 mm</t>
  </si>
  <si>
    <t>Rzymskie ognie 30 mm</t>
  </si>
  <si>
    <t>Rimske sveće 30 mm</t>
  </si>
  <si>
    <t>Pháo La Mã 30 mm</t>
  </si>
  <si>
    <t>Romiešu sveces 30 mm</t>
  </si>
  <si>
    <t>Rooma küünlad 30 mm</t>
  </si>
  <si>
    <t>Római gyertyák 30 mm</t>
  </si>
  <si>
    <t>Batterien römischer Lichter</t>
  </si>
  <si>
    <t>Roman candle batteries</t>
  </si>
  <si>
    <t>Baterije rimskih svijeća</t>
  </si>
  <si>
    <t>Batterie di candele romane</t>
  </si>
  <si>
    <t>Romėniškų žvakių baterijos</t>
  </si>
  <si>
    <t>Baterie rzymskich ogni</t>
  </si>
  <si>
    <t>Baterije rimskih sveća</t>
  </si>
  <si>
    <t>Giàn pháo La Mã</t>
  </si>
  <si>
    <t>Romiešu sveču baterijas</t>
  </si>
  <si>
    <t>Rooma küünalde patareid</t>
  </si>
  <si>
    <t>Római gyertya telepek</t>
  </si>
  <si>
    <t>Singleshots F2</t>
  </si>
  <si>
    <t>Single‑shot tubes F2</t>
  </si>
  <si>
    <t>Jednostrjelni tuljci F2</t>
  </si>
  <si>
    <t>Monocolpo F2</t>
  </si>
  <si>
    <t>Vienšūviai vamzdeliai F2</t>
  </si>
  <si>
    <t>Rury strzałowe F2</t>
  </si>
  <si>
    <t>Jednometne cevi F2</t>
  </si>
  <si>
    <t>Ống pháo một phát F2</t>
  </si>
  <si>
    <t>Vienšāviena caurules F2</t>
  </si>
  <si>
    <t>Ühelasulised torud F2</t>
  </si>
  <si>
    <t>Egylövetű csövek F2</t>
  </si>
  <si>
    <t>Singleshots F3</t>
  </si>
  <si>
    <t>Single‑shot tubes F3</t>
  </si>
  <si>
    <t>Jednostrjelni tuljci F3</t>
  </si>
  <si>
    <t>Monocolpo F3</t>
  </si>
  <si>
    <t>Vienšūviai vamzdeliai F3</t>
  </si>
  <si>
    <t>Rury strzałowe F3</t>
  </si>
  <si>
    <t>Jednometne cevi F3</t>
  </si>
  <si>
    <t>Ống pháo một phát F3</t>
  </si>
  <si>
    <t>Vienšāviena caurules F3</t>
  </si>
  <si>
    <t>Ühelasulised torud F3</t>
  </si>
  <si>
    <t>Egylövetű csövek F3</t>
  </si>
  <si>
    <t>Mines F2</t>
  </si>
  <si>
    <t>Minos F2</t>
  </si>
  <si>
    <t>Đạn cối F2</t>
  </si>
  <si>
    <t>Mīnas F2</t>
  </si>
  <si>
    <t>Miinid F2</t>
  </si>
  <si>
    <t>Aknák F2</t>
  </si>
  <si>
    <t>Singleshots (3 Schuss), 20‑mm‑Mörser</t>
  </si>
  <si>
    <t>Single‑shot tubes (3 shots), 20 mm mortar</t>
  </si>
  <si>
    <t>Jednostrjelni tuljci (3 hica), minobacač 20 mm</t>
  </si>
  <si>
    <t>Monocolpo (3 colpi), mortaio 20 mm</t>
  </si>
  <si>
    <t>Vienšūviai vamzdeliai (3 šūviai), 20 mm minosvaidis</t>
  </si>
  <si>
    <t>Rury strzałowe (3 strzały), moździerz 20 mm</t>
  </si>
  <si>
    <t>Jednometne cevi (3 hica), minobacač 20 mm</t>
  </si>
  <si>
    <t>Ống pháo một phát (3 phát), cối 20 mm</t>
  </si>
  <si>
    <t>Vienšāviena caurules (3 šāvieni), 20 mm mīnmetējs</t>
  </si>
  <si>
    <t>Ühelasulised torud (3 lasku), 20 mm miinipilduja</t>
  </si>
  <si>
    <t>Egylövetű csövek (3 lövés), 20 mm aknavető</t>
  </si>
  <si>
    <t>Singleshots (3 Schuss), 30‑mm‑Mörser</t>
  </si>
  <si>
    <t>Single‑shot tubes (3 shots), 30 mm mortar</t>
  </si>
  <si>
    <t>Jednostrjelni tuljci (3 hica), minobacač 30 mm</t>
  </si>
  <si>
    <t>Monocolpo (3 colpi), mortaio 30 mm</t>
  </si>
  <si>
    <t>Vienšūviai vamzdeliai (3 šūviai), 30 mm minosvaidis</t>
  </si>
  <si>
    <t>Rury strzałowe (3 strzały), moździerz 30 mm</t>
  </si>
  <si>
    <t>Jednometne cevi (3 hica), minobacač 30 mm</t>
  </si>
  <si>
    <t>Ống pháo một phát (3 phát), cối 30 mm</t>
  </si>
  <si>
    <t>Vienšāviena caurules (3 šāvieni), 30 mm mīnmetējs</t>
  </si>
  <si>
    <t>Ühelasulised torud (3 lasku), 30 mm miinipilduja</t>
  </si>
  <si>
    <t>Egylövetű csövek (3 lövés), 30 mm aknavető</t>
  </si>
  <si>
    <t>Kugelbomben‑Set mit Mörser</t>
  </si>
  <si>
    <t>Shell kit with mortar</t>
  </si>
  <si>
    <t>Set kuglastih mina s minobacačem</t>
  </si>
  <si>
    <t>Set di bombe sferiche con mortaio</t>
  </si>
  <si>
    <t>Sferinių sviedinių rinkinys su minosvaidžiu</t>
  </si>
  <si>
    <t>Zestaw kulistych bomb z moździerzem</t>
  </si>
  <si>
    <t>Komplet sferičnih projektila sa minobacačem</t>
  </si>
  <si>
    <t>Bộ đạn cầu với ống phóng</t>
  </si>
  <si>
    <t>Sfērisko lādiņu komplekts ar mīnmetēju</t>
  </si>
  <si>
    <t>Sfääriliste miinide komplekt miinipildujaga</t>
  </si>
  <si>
    <t>Gömbbombák készlete aknavetővel</t>
  </si>
  <si>
    <t>Reibknaller</t>
  </si>
  <si>
    <t>Strike‑to‑ignite firecrackers</t>
  </si>
  <si>
    <t>Petarde na struganje</t>
  </si>
  <si>
    <t>Petardi a sfregamento</t>
  </si>
  <si>
    <t>Trintiniai petardai</t>
  </si>
  <si>
    <t>Petardy draskane</t>
  </si>
  <si>
    <t>Petarde trenjem</t>
  </si>
  <si>
    <t>Pháo nổ cọ xát</t>
  </si>
  <si>
    <t>Beržamās petardes</t>
  </si>
  <si>
    <t>Kraabitavad paugud</t>
  </si>
  <si>
    <t>Dörzsölős petárdák</t>
  </si>
  <si>
    <t>Knallkörper mit Zündschnur F2</t>
  </si>
  <si>
    <t>Fuse‑lit firecrackers F2</t>
  </si>
  <si>
    <t>Petarde s upaljačem F2</t>
  </si>
  <si>
    <t>Petardi con miccia F2</t>
  </si>
  <si>
    <t>Petardai su dagtimi F2</t>
  </si>
  <si>
    <t>Petarde sa fitiljem F2</t>
  </si>
  <si>
    <t>Pháo nổ dây cháy chậm F2</t>
  </si>
  <si>
    <t>Petardes ar degli F2</t>
  </si>
  <si>
    <t>Paugud süütenööriga F2</t>
  </si>
  <si>
    <t>Gyújtózsinóros petárdák F2</t>
  </si>
  <si>
    <t>Knallkörper mit Zündschnur F2 (Schwarzpulver)</t>
  </si>
  <si>
    <t>Fuse‑lit firecrackers F2 (black powder)</t>
  </si>
  <si>
    <t>Petarde s upaljačem F2 (crni barut)</t>
  </si>
  <si>
    <t>Petardi con miccia F2 (polvere nera)</t>
  </si>
  <si>
    <t>Petardai su dagtimi F2 (juodasis parakas)</t>
  </si>
  <si>
    <t>Petardy z lontem F2 (proch czarny)</t>
  </si>
  <si>
    <t>Petarde sa fitiljem F2 (crni barut)</t>
  </si>
  <si>
    <t>Pháo nổ dây cháy chậm F2 (thuốc súng đen)</t>
  </si>
  <si>
    <t>Petardes ar degli F2 (melnais pulveris)</t>
  </si>
  <si>
    <t>Paugud süütenööriga F2 (must püssirohi)</t>
  </si>
  <si>
    <t>Gyújtózsinóros petárdák F2 (fekete lőpor)</t>
  </si>
  <si>
    <t>Knallkörper mit Zündschnur F3</t>
  </si>
  <si>
    <t>Fuse‑lit firecrackers F3</t>
  </si>
  <si>
    <t>Petarde s upaljačem F3</t>
  </si>
  <si>
    <t>Petardi con miccia F3</t>
  </si>
  <si>
    <t>Petardai su dagtimi F3</t>
  </si>
  <si>
    <t>Petarde sa fitiljem F3</t>
  </si>
  <si>
    <t>Pháo nổ dây cháy chậm F3</t>
  </si>
  <si>
    <t>Petardes ar degli F3</t>
  </si>
  <si>
    <t>Paugud süütenööriga F3</t>
  </si>
  <si>
    <t>Gyújtózsinóros petárdák F3</t>
  </si>
  <si>
    <t>Knallkörper mit Zündschnur P1</t>
  </si>
  <si>
    <t>Fuse‑lit firecrackers P1</t>
  </si>
  <si>
    <t>Petarde s upaljačem P1</t>
  </si>
  <si>
    <t>Petardi con miccia P1</t>
  </si>
  <si>
    <t>Petardai su dagtimi P1</t>
  </si>
  <si>
    <t>Petarde sa fitiljem P1</t>
  </si>
  <si>
    <t>Pháo nổ dây cháy chậm P1</t>
  </si>
  <si>
    <t>Petardes ar degli P1</t>
  </si>
  <si>
    <t>Paugud süütenööriga P1</t>
  </si>
  <si>
    <t>Gyújtózsinóros petárdák P1</t>
  </si>
  <si>
    <t>Knallkörper mit Zündschnur F4 + T2</t>
  </si>
  <si>
    <t>Fuse‑lit firecrackers F4 + T2</t>
  </si>
  <si>
    <t>Petarde s upaljačem F4 + T2</t>
  </si>
  <si>
    <t>Petardi con miccia F4 + T2</t>
  </si>
  <si>
    <t>Petardai su dagtimi F4 + T2</t>
  </si>
  <si>
    <t>Petarde sa fitiljem F4 + T2</t>
  </si>
  <si>
    <t>Pháo nổ dây cháy chậm F4 + T2</t>
  </si>
  <si>
    <t>Petardes ar degli F4 + T2</t>
  </si>
  <si>
    <t>Paugud süütenööriga F4 + T2</t>
  </si>
  <si>
    <t>Gyújtózsinóros petárdák F4 + T2</t>
  </si>
  <si>
    <t>Knallbatterien</t>
  </si>
  <si>
    <t>Firecracker batteries</t>
  </si>
  <si>
    <t>Baterije petardi</t>
  </si>
  <si>
    <t>Batterie di petardi</t>
  </si>
  <si>
    <t>Petardų baterijos</t>
  </si>
  <si>
    <t>Giàn pháo nổ</t>
  </si>
  <si>
    <t>Petaržu baterijas</t>
  </si>
  <si>
    <t>Paugu‑patareid</t>
  </si>
  <si>
    <t>Petárdatelepek</t>
  </si>
  <si>
    <t>Rocket sets F2</t>
  </si>
  <si>
    <t>Setovi raketa F2</t>
  </si>
  <si>
    <t>Set di razzi F2</t>
  </si>
  <si>
    <t>Raketų rinkiniai F2</t>
  </si>
  <si>
    <t>Kompleti raketa F2</t>
  </si>
  <si>
    <t>Bộ pháo hoa tên lửa F2</t>
  </si>
  <si>
    <t>Raķešu komplekti F2</t>
  </si>
  <si>
    <t>Raketikomplektid F2</t>
  </si>
  <si>
    <t>Rakétacsomagok F2</t>
  </si>
  <si>
    <t>Rocket sets F3</t>
  </si>
  <si>
    <t>Setovi raketa F3</t>
  </si>
  <si>
    <t>Set di razzi F3</t>
  </si>
  <si>
    <t>Raketų rinkiniai F3</t>
  </si>
  <si>
    <t>Kompleti raketa F3</t>
  </si>
  <si>
    <t>Bộ pháo hoa tên lửa F3</t>
  </si>
  <si>
    <t>Raķešu komplekti F3</t>
  </si>
  <si>
    <t>Raketikomplektid F3</t>
  </si>
  <si>
    <t>Rakétacsomagok F3</t>
  </si>
  <si>
    <t>Bekleidung</t>
  </si>
  <si>
    <t>Odjeća</t>
  </si>
  <si>
    <t>Apranga</t>
  </si>
  <si>
    <t>Odzież</t>
  </si>
  <si>
    <t>Trang phục</t>
  </si>
  <si>
    <t>Apģērbs</t>
  </si>
  <si>
    <t>Rõivad</t>
  </si>
  <si>
    <t>Ruházat</t>
  </si>
  <si>
    <t>Bekleidung – Dumbum limitierte Edition</t>
  </si>
  <si>
    <t>Clothing – Dumbum limited edition</t>
  </si>
  <si>
    <t>Odjeća – Dumbum limitirano izdanje</t>
  </si>
  <si>
    <t>Abbigliamento – Edizione limitata Dumbum</t>
  </si>
  <si>
    <t>Apranga – Dumbum riboto leidimo kolekcija</t>
  </si>
  <si>
    <t>Odzież – edycja limitowana Dumbum</t>
  </si>
  <si>
    <t>Odeća – Dumbum limitirana serija</t>
  </si>
  <si>
    <t>Trang phục – Phiên bản giới hạn Dumbum</t>
  </si>
  <si>
    <t>Apģērbs – Dumbum ierobežotā kolekcija</t>
  </si>
  <si>
    <t>Rõivad – Dumbum piiratud väljaanne</t>
  </si>
  <si>
    <t>Ruházat – Dumbum limitált kiadás</t>
  </si>
  <si>
    <t>Articoli promozionali</t>
  </si>
  <si>
    <t>Reklaminiai gaminiai</t>
  </si>
  <si>
    <t>Promotivni proizvodi</t>
  </si>
  <si>
    <t>Sản phẩm quảng cáo</t>
  </si>
  <si>
    <t>Reklāmas izstrādājumi</t>
  </si>
  <si>
    <t>Reklámtermékek</t>
  </si>
  <si>
    <t>Other</t>
  </si>
  <si>
    <t>Altro</t>
  </si>
  <si>
    <t>Pozostałe</t>
  </si>
  <si>
    <t>Khác</t>
  </si>
  <si>
    <t>Citi izstrādājumi</t>
  </si>
  <si>
    <t>Muu</t>
  </si>
  <si>
    <t>Raketenbatterie 25–1000 Schuss, 8‑mm‑Mörser – 1.4G</t>
  </si>
  <si>
    <t>Rocket battery 25–1000 shots, 8 mm mortar – 1.4G</t>
  </si>
  <si>
    <t>Raketna baterija 25–1000 hitaca, minobacač 8 mm – 1.4G</t>
  </si>
  <si>
    <t>Batteria di razzi 25–1000 colpi, mortaio 8 mm – 1.4G</t>
  </si>
  <si>
    <t>Raketų baterija 25–1000 šūvių, 8 mm minosvaidis – 1.4G</t>
  </si>
  <si>
    <t>Bateria rakiet 25–1000 strzałów, moździerz 8 mm – 1.4G</t>
  </si>
  <si>
    <t>Baterija raketa 25–1000 hitaca, minobacač 8 mm – 1.4G</t>
  </si>
  <si>
    <t>Giàn tên lửa 25–1000 phát, cối 8 mm – 1.4G</t>
  </si>
  <si>
    <t>Raķešu baterija 25–1000 šāvieni, 8 mm mīnmetējs – 1.4G</t>
  </si>
  <si>
    <t>Raketipatarei 25–1000 lasku, 8 mm miinipilduja – 1.4G</t>
  </si>
  <si>
    <t>Rakétatelep 25–1000 lövés, 8 mm aknavető – 1.4G</t>
  </si>
  <si>
    <t>Batterie 100 Schuss, 8‑mm‑Mörser – 1.4G</t>
  </si>
  <si>
    <t>Battery 100 shots, 8 mm mortar – 1.4G</t>
  </si>
  <si>
    <t>Baterija 100 hitaca, minobacač 8 mm – 1.4G</t>
  </si>
  <si>
    <t>Batteria 100 colpi, mortaio 8 mm – 1.4G</t>
  </si>
  <si>
    <t>Baterija 100 šūvių, 8 mm minosvaidis – 1.4G</t>
  </si>
  <si>
    <t>Bateria 100 strzałów, moździerz 8 mm – 1.4G</t>
  </si>
  <si>
    <t>Giàn 100 phát, cối 8 mm – 1.4G</t>
  </si>
  <si>
    <t>Baterija 100 šāvieni, 8 mm mīnmetējs – 1.4G</t>
  </si>
  <si>
    <t>Patarei 100 lasku, 8 mm miinipilduja – 1.4G</t>
  </si>
  <si>
    <t>Telep 100 lövés, 8 mm aknavető – 1.4G</t>
  </si>
  <si>
    <t>Batterie 16 Schuss, 14‑mm‑Mörser – 1.4G</t>
  </si>
  <si>
    <t>Battery 16 shots, 14 mm mortar – 1.4G</t>
  </si>
  <si>
    <t>Baterija 16 hitaca, minobacač 14 mm – 1.4G</t>
  </si>
  <si>
    <t>Batteria 16 colpi, mortaio 14 mm – 1.4G</t>
  </si>
  <si>
    <t>Baterija 16 šūvių, 14 mm minosvaidis – 1.4G</t>
  </si>
  <si>
    <t>Bateria 16 strzałów, moździerz 14 mm – 1.4G</t>
  </si>
  <si>
    <t>Giàn 16 phát, cối 14 mm – 1.4G</t>
  </si>
  <si>
    <t>Baterija 16 šāvieni, 14 mm mīnmetējs – 1.4G</t>
  </si>
  <si>
    <t>Patarei 16 lasku, 14 mm miinipilduja – 1.4G</t>
  </si>
  <si>
    <t>Telep 16 lövés, 14 mm aknavető – 1.4G</t>
  </si>
  <si>
    <t>Batterie 36 Schuss, 14‑mm‑Mörser – 1.4G</t>
  </si>
  <si>
    <t>Battery 36 shots, 14 mm mortar – 1.4G</t>
  </si>
  <si>
    <t>Baterija 36 hitaca, minobacač 14 mm – 1.4G</t>
  </si>
  <si>
    <t>Batteria 36 colpi, mortaio 14 mm – 1.4G</t>
  </si>
  <si>
    <t>Baterija 36 šūvių, 14 mm minosvaidis – 1.4G</t>
  </si>
  <si>
    <t>Bateria 36 strzałów, moździerz 14 mm – 1.4G</t>
  </si>
  <si>
    <t>Giàn 36 phát, cối 14 mm – 1.4G</t>
  </si>
  <si>
    <t>Baterija 36 šāvieni, 14 mm mīnmetējs – 1.4G</t>
  </si>
  <si>
    <t>Patarei 36 lasku, 14 mm miinipilduja – 1.4G</t>
  </si>
  <si>
    <t>Telep 36 lövés, 14 mm aknavető – 1.4G</t>
  </si>
  <si>
    <t>Batterie 64 Schuss, 14‑mm‑Mörser – 1.4G</t>
  </si>
  <si>
    <t>Battery 64 shots, 14 mm mortar – 1.4G</t>
  </si>
  <si>
    <t>Baterija 64 hica, minobacač 14 mm – 1.4G</t>
  </si>
  <si>
    <t>Batteria 64 colpi, mortaio 14 mm – 1.4G</t>
  </si>
  <si>
    <t>Baterija 64 šūviai, 14 mm minosvaidis – 1.4G</t>
  </si>
  <si>
    <t>Bateria 64 strzały, moździerz 14 mm – 1.4G</t>
  </si>
  <si>
    <t>Baterija 64 hitaca, minobacač 14 mm – 1.4G</t>
  </si>
  <si>
    <t>Giàn 64 phát, cối 14 mm – 1.4G</t>
  </si>
  <si>
    <t>Baterija 64 šāvieni, 14 mm mīnmetējs – 1.4G</t>
  </si>
  <si>
    <t>Patarei 64 lasku, 14 mm miinipilduja – 1.4G</t>
  </si>
  <si>
    <t>Telep 64 lövés, 14 mm aknavető – 1.4G</t>
  </si>
  <si>
    <t>Batterie 100 Schuss, 14‑mm‑Mörser – 1.3G</t>
  </si>
  <si>
    <t>Battery 100 shots, 14 mm mortar – 1.3G</t>
  </si>
  <si>
    <t>Baterija 100 hitaca, minobacač 14 mm – 1.3G</t>
  </si>
  <si>
    <t>Batteria 100 colpi, mortaio 14 mm – 1.3G</t>
  </si>
  <si>
    <t>Baterija 100 šūvių, 14 mm minosvaidis – 1.3G</t>
  </si>
  <si>
    <t>Bateria 100 strzałów, moździerz 14 mm – 1.3G</t>
  </si>
  <si>
    <t>Giàn 100 phát, cối 14 mm – 1.3G</t>
  </si>
  <si>
    <t>Baterija 100 šāvieni, 14 mm mīnmetējs – 1.3G</t>
  </si>
  <si>
    <t>Patarei 100 lasku, 14 mm miinipilduja – 1.3G</t>
  </si>
  <si>
    <t>Telep 100 lövés, 14 mm aknavető – 1.3G</t>
  </si>
  <si>
    <t>Batterie 200 Schuss, 14‑mm‑Mörser – 1.4G</t>
  </si>
  <si>
    <t>Battery 200 shots, 14 mm mortar – 1.4G</t>
  </si>
  <si>
    <t>Baterija 200 hitaca, minobacač 14 mm – 1.4G</t>
  </si>
  <si>
    <t>Batteria 200 colpi, mortaio 14 mm – 1.4G</t>
  </si>
  <si>
    <t>Baterija 200 šūvių, 14 mm minosvaidis – 1.4G</t>
  </si>
  <si>
    <t>Bateria 200 strzałów, moździerz 14 mm – 1.4G</t>
  </si>
  <si>
    <t>Giàn 200 phát, cối 14 mm – 1.4G</t>
  </si>
  <si>
    <t>Baterija 200 šāvieni, 14 mm mīnmetējs – 1.4G</t>
  </si>
  <si>
    <t>Patarei 200 lasku, 14 mm miinipilduja – 1.4G</t>
  </si>
  <si>
    <t>Telep 200 lövés, 14 mm aknavető – 1.4G</t>
  </si>
  <si>
    <t>Verbundfeuerwerk 14 mm – F2 – 1.4G – maximal 1000 g NEC</t>
  </si>
  <si>
    <t>Compound firework 14 mm – F2 – 1.4G – maximum 1000 g NEC</t>
  </si>
  <si>
    <t>Složeni vatromet 14 mm – F2 – 1.4G – maksimalno 1000 g NEC</t>
  </si>
  <si>
    <t>Fuoco d’artificio composto 14 mm – F2 – 1.4G – massimo 1000 g NEC</t>
  </si>
  <si>
    <t>Sudėtinis fejerverkas 14 mm – F2 – 1.4G – maks. 1000 g NEC</t>
  </si>
  <si>
    <t>Fajerwerk złożony 14 mm – F2 – 1.4G – maks. 1000 g NEC</t>
  </si>
  <si>
    <t>Kombinovani vatromet 14 mm – F2 – 1.4G – maks. 1000 g NEC</t>
  </si>
  <si>
    <t>Pháo hoa tổ hợp 14 mm – F2 – 1.4G – tối đa 1000 g NEC</t>
  </si>
  <si>
    <t>Kombinētais salūts 14 mm – F2 – 1.4G – maks. 1000 g NEC</t>
  </si>
  <si>
    <t>Kombineeritud ilutulestik 14 mm – F2 – 1.4G – maks. 1000 g NEC</t>
  </si>
  <si>
    <t>Összetett tűzijáték 14 mm – F2 – 1.4G – max. 1000 g NEC</t>
  </si>
  <si>
    <t>Batterie 208 Schuss, 14‑mm‑Mörser gerade + schräg – 1.4G</t>
  </si>
  <si>
    <t>Battery 208 shots, 14 mm straight + angled mortar – 1.4G</t>
  </si>
  <si>
    <t>Baterija 208 hitaca, 14 mm ravno + koso – 1.4G</t>
  </si>
  <si>
    <t>Batteria 208 colpi, 14 mm dritto + inclinato – 1.4G</t>
  </si>
  <si>
    <t>Baterija 208 šūvių, 14 mm tiesiai + įstrižai – 1.4G</t>
  </si>
  <si>
    <t>Bateria 208 strzałów, 14 mm prosto + skośnie – 1.4G</t>
  </si>
  <si>
    <t>Baterija 208 hitaca, 14 mm pravo + koso – 1.4G</t>
  </si>
  <si>
    <t>Giàn 208 phát, 14 mm bắn thẳng + xiên – 1.4G</t>
  </si>
  <si>
    <t>Baterija 208 šāvieni, 14 mm taisni + slīpi – 1.4G</t>
  </si>
  <si>
    <t>Patarei 208 lasku, 14 mm otse + viltu – 1.4G</t>
  </si>
  <si>
    <t>Telep 208 lövés, 14 mm egyenes + ferde – 1.4G</t>
  </si>
  <si>
    <t>Batterie 90 Schuss, 16‑mm‑Mörser (verschiedene Winkel) – 1.4G</t>
  </si>
  <si>
    <t>Battery 90 shots, 16 mm mortar (various mortar angles) – 1.4G</t>
  </si>
  <si>
    <t>Baterija 90 hitaca, 16 mm (razni kutovi minobacača) – 1.4G</t>
  </si>
  <si>
    <t>Batteria 90 colpi, 16 mm (vari angoli dei mortai) – 1.4G</t>
  </si>
  <si>
    <t>Baterija 90 šūvių, 16 mm (įvairūs minosvaidžių kampai) – 1.4G</t>
  </si>
  <si>
    <t>Bateria 90 strzałów, 16 mm (różne kąty moździerzy) – 1.4G</t>
  </si>
  <si>
    <t>Baterija 90 hitaca, 16 mm (različiti uglovi ispaljenja) – 1.4G</t>
  </si>
  <si>
    <t>Giàn 90 phát, 16 mm (nhiều góc phóng khác nhau) – 1.4G</t>
  </si>
  <si>
    <t>Baterija 90 šāvieni, 16 mm (dažādi mīnmetēja leņķi) – 1.4G</t>
  </si>
  <si>
    <t>Patarei 90 lasku, 16 mm (erinevad miinipilduja nurgad) – 1.4G</t>
  </si>
  <si>
    <t>Telep 90 lövés, 16 mm (különböző aknavetőszögek) – 1.4G</t>
  </si>
  <si>
    <t>Batterie 160 Schuss, 16‑mm‑Mörser (verschiedene Winkel) – 1.4G</t>
  </si>
  <si>
    <t>Battery 160 shots, 16 mm mortar (various mortar angles) – 1.4G</t>
  </si>
  <si>
    <t>Baterija 160 hitaca, 16 mm (razni kutovi minobacača) – 1.4G</t>
  </si>
  <si>
    <t>Batteria 160 colpi, 16 mm (vari angoli dei mortai) – 1.4G</t>
  </si>
  <si>
    <t>Baterija 160 šūvių, 16 mm (įvairūs minosvaidžių kampai) – 1.4G</t>
  </si>
  <si>
    <t>Bateria 160 strzałów, 16 mm (różne kąty moździerzy) – 1.4G</t>
  </si>
  <si>
    <t>Baterija 160 hitaca, 16 mm (različiti uglovi ispaljenja) – 1.4G</t>
  </si>
  <si>
    <t>Giàn 160 phát, 16 mm (nhiều góc phóng khác nhau) – 1.4G</t>
  </si>
  <si>
    <t>Baterija 160 šāvieni, 16 mm (dažādi mīnmetēja leņķi) – 1.4G</t>
  </si>
  <si>
    <t>Patarei 160 lasku, 16 mm (erinevad miinipilduja nurgad) – 1.4G</t>
  </si>
  <si>
    <t>Telep 160 lövés, 16 mm (különböző aknavetőszögek) – 1.4G</t>
  </si>
  <si>
    <t>Verbundfeuerwerk 16 mm – F2 – 1.4G – maximal 1000 g NEC</t>
  </si>
  <si>
    <t>Compound firework 16 mm – F2 – 1.4G – maximum 1000 g NEC</t>
  </si>
  <si>
    <t>Složeni vatromet 16 mm – F2 – 1.4G – maksimalno 1000 g NEC</t>
  </si>
  <si>
    <t>Fuoco d’artificio composto 16 mm – F2 – 1.4G – massimo 1000 g NEC</t>
  </si>
  <si>
    <t>Sudėtinis fejerverkas 16 mm – F2 – 1.4G – maks. 1000 g NEC</t>
  </si>
  <si>
    <t>Fajerwerk złożony 16 mm – F2 – 1.4G – maks. 1000 g NEC</t>
  </si>
  <si>
    <t>Kombinovani vatromet 16 mm – F2 – 1.4G – maks. 1000 g NEC</t>
  </si>
  <si>
    <t>Pháo hoa tổ hợp 16 mm – F2 – 1.4G – tối đa 1000 g NEC</t>
  </si>
  <si>
    <t>Kombinētais salūts 16 mm – F2 – 1.4G – maks. 1000 g NEC</t>
  </si>
  <si>
    <t>Kombineeritud ilutulestik 16 mm – F2 – 1.4G – maks. 1000 g NEC</t>
  </si>
  <si>
    <t>Összetett tűzijáték 16 mm – F2 – 1.4G – max. 1000 g NEC</t>
  </si>
  <si>
    <t>Batterie 63 Schuss, 14 mm (30 Schuss), 16 mm (33 Schuss)</t>
  </si>
  <si>
    <t>Battery 63 shots, 14 mm (30 shots), 16 mm (33 shots)</t>
  </si>
  <si>
    <t>Baterija 63 hica, 14 mm (30 hica), 16 mm (33 hica)</t>
  </si>
  <si>
    <t>Batteria 63 colpi, 14 mm (30 colpi), 16 mm (33 colpi)</t>
  </si>
  <si>
    <t>Baterija 63 šūviai, 14 mm (30 šūvių), 16 mm (33 šūviai)</t>
  </si>
  <si>
    <t>Bateria 63 strzały, 14 mm (30 strzałów), 16 mm (33 strzały)</t>
  </si>
  <si>
    <t>Baterija 63 hitaca, 14 mm (30), 16 mm (33)</t>
  </si>
  <si>
    <t>Giàn 63 phát, 14 mm (30 phát), 16 mm (33 phát)</t>
  </si>
  <si>
    <t>Baterija 63 šāvieni, 14 mm (30 šāvieni), 16 mm (33 šāvieni)</t>
  </si>
  <si>
    <t>Patarei 63 lasku, 14 mm (30 lasku), 16 mm (33 lasku)</t>
  </si>
  <si>
    <t>Telep 63 lövés, 14 mm (30 lövés), 16 mm (33 lövés)</t>
  </si>
  <si>
    <t>Batterie 9 Schuss, 20‑mm‑Mörser – 1.3G</t>
  </si>
  <si>
    <t>Battery 9 shots, 20 mm mortar – 1.3G</t>
  </si>
  <si>
    <t>Baterija 9 hitaca, minobacač 20 mm – 1.3G</t>
  </si>
  <si>
    <t>Batteria 9 colpi, mortaio 20 mm – 1.3G</t>
  </si>
  <si>
    <t>Baterija 9 šūviai, 20 mm minosvaidis – 1.3G</t>
  </si>
  <si>
    <t>Bateria 9 strzałów, moździerz 20 mm – 1.3G</t>
  </si>
  <si>
    <t>Giàn 9 phát, cối 20 mm – 1.3G</t>
  </si>
  <si>
    <t>Baterija 9 šāvieni, 20 mm mīnmetējs – 1.3G</t>
  </si>
  <si>
    <t>Patarei 9 lasku, 20 mm miinipilduja – 1.3G</t>
  </si>
  <si>
    <t>Telep 9 lövés, 20 mm aknavető – 1.3G</t>
  </si>
  <si>
    <t>Batterie 16 Schuss, 20‑mm‑Mörser – 1.3G</t>
  </si>
  <si>
    <t>Battery 16 shots, 20 mm mortar – 1.3G</t>
  </si>
  <si>
    <t>Baterija 16 hitaca, minobacač 20 mm – 1.3G</t>
  </si>
  <si>
    <t>Batteria 16 colpi, mortaio 20 mm – 1.3G</t>
  </si>
  <si>
    <t>Baterija 16 šūvių, 20 mm minosvaidis – 1.3G</t>
  </si>
  <si>
    <t>Bateria 16 strzałów, moździerz 20 mm – 1.3G</t>
  </si>
  <si>
    <t>Giàn 16 phát, cối 20 mm – 1.3G</t>
  </si>
  <si>
    <t>Baterija 16 šāvieni, 20 mm mīnmetējs – 1.3G</t>
  </si>
  <si>
    <t>Patarei 16 lasku, 20 mm miinipilduja – 1.3G</t>
  </si>
  <si>
    <t>Telep 16 lövés, 20 mm aknavető – 1.3G</t>
  </si>
  <si>
    <t>Batterie 16 Schuss, 20‑mm‑Mörser – 1.4G</t>
  </si>
  <si>
    <t>Battery 16 shots, 20 mm mortar – 1.4G</t>
  </si>
  <si>
    <t>Baterija 16 hitaca, minobacač 20 mm – 1.4G</t>
  </si>
  <si>
    <t>Batteria 16 colpi, mortaio 20 mm – 1.4G</t>
  </si>
  <si>
    <t>Baterija 16 šūvių, 20 mm minosvaidis – 1.4G</t>
  </si>
  <si>
    <t>Bateria 16 strzałów, moździerz 20 mm – 1.4G</t>
  </si>
  <si>
    <t>Giàn 16 phát, cối 20 mm – 1.4G</t>
  </si>
  <si>
    <t>Baterija 16 šāvieni, 20 mm mīnmetējs – 1.4G</t>
  </si>
  <si>
    <t>Patarei 16 lasku, 20 mm miinipilduja – 1.4G</t>
  </si>
  <si>
    <t>Telep 16 lövés, 20 mm aknavető – 1.4G</t>
  </si>
  <si>
    <t>Batterie 16 Schuss, 20‑mm‑Schrägmörser – 1.3G</t>
  </si>
  <si>
    <t>Battery 16 shots, 20 mm angled mortar – 1.3G</t>
  </si>
  <si>
    <t>Baterija 16 hitaca, kosi minobacač 20 mm – 1.3G</t>
  </si>
  <si>
    <t>Batteria 16 colpi, mortaio inclinato 20 mm – 1.3G</t>
  </si>
  <si>
    <t>Baterija 16 šūvių, įstrižas 20 mm minosvaidis – 1.3G</t>
  </si>
  <si>
    <t>Bateria 16 strzałów, skośny moździerz 20 mm – 1.3G</t>
  </si>
  <si>
    <t>Giàn 16 phát, cối 20 mm bắn xiên – 1.3G</t>
  </si>
  <si>
    <t>Baterija 16 šāvieni, slīps 20 mm mīnmetējs – 1.3G</t>
  </si>
  <si>
    <t>Patarei 16 lasku, viltune 20 mm miinipilduja – 1.3G</t>
  </si>
  <si>
    <t>Telep 16 lövés, ferde 20 mm aknavető – 1.3G</t>
  </si>
  <si>
    <t>Batterie 25 Schuss, 20‑mm‑Mörser – 1.3G</t>
  </si>
  <si>
    <t>Battery 25 shots, 20 mm mortar – 1.3G</t>
  </si>
  <si>
    <t>Baterija 25 hitaca, minobacač 20 mm – 1.3G</t>
  </si>
  <si>
    <t>Batteria 25 colpi, mortaio 20 mm – 1.3G</t>
  </si>
  <si>
    <t>Baterija 25 šūvių, 20 mm minosvaidis – 1.3G</t>
  </si>
  <si>
    <t>Bateria 25 strzałów, moździerz 20 mm – 1.3G</t>
  </si>
  <si>
    <t>Giàn 25 phát, cối 20 mm – 1.3G</t>
  </si>
  <si>
    <t>Baterija 25 šāvieni, 20 mm mīnmetējs – 1.3G</t>
  </si>
  <si>
    <t>Patarei 25 lasku, 20 mm miinipilduja – 1.3G</t>
  </si>
  <si>
    <t>Telep 25 lövés, 20 mm aknavető – 1.3G</t>
  </si>
  <si>
    <t>Batterie 25 Schuss, 20‑mm‑Mörser – 1.4G</t>
  </si>
  <si>
    <t>Battery 25 shots, 20 mm mortar – 1.4G</t>
  </si>
  <si>
    <t>Baterija 25 hitaca, minobacač 20 mm – 1.4G</t>
  </si>
  <si>
    <t>Batteria 25 colpi, mortaio 20 mm – 1.4G</t>
  </si>
  <si>
    <t>Baterija 25 šūvių, 20 mm minosvaidis – 1.4G</t>
  </si>
  <si>
    <t>Bateria 25 strzałów, moździerz 20 mm – 1.4G</t>
  </si>
  <si>
    <t>Giàn 25 phát, cối 20 mm – 1.4G</t>
  </si>
  <si>
    <t>Baterija 25 šāvieni, 20 mm mīnmetējs – 1.4G</t>
  </si>
  <si>
    <t>Patarei 25 lasku, 20 mm miinipilduja – 1.4G</t>
  </si>
  <si>
    <t>Telep 25 lövés, 20 mm aknavető – 1.4G</t>
  </si>
  <si>
    <t>Batterie 36 Schuss, 20‑mm‑Mörser – 1.3G</t>
  </si>
  <si>
    <t>Battery 36 shots, 20 mm mortar – 1.3G</t>
  </si>
  <si>
    <t>Baterija 36 hitaca, minobacač 20 mm – 1.3G</t>
  </si>
  <si>
    <t>Batteria 36 colpi, mortaio 20 mm – 1.3G</t>
  </si>
  <si>
    <t>Baterija 36 šūvių, 20 mm minosvaidis – 1.3G</t>
  </si>
  <si>
    <t>Bateria 36 strzałów, moździerz 20 mm – 1.3G</t>
  </si>
  <si>
    <t>Giàn 36 phát, cối 20 mm – 1.3G</t>
  </si>
  <si>
    <t>Baterija 36 šāvieni, 20 mm mīnmetējs – 1.3G</t>
  </si>
  <si>
    <t>Patarei 36 lasku, 20 mm miinipilduja – 1.3G</t>
  </si>
  <si>
    <t>Telep 36 lövés, 20 mm aknavető – 1.3G</t>
  </si>
  <si>
    <t>Batterie 36 Schuss, 20‑mm‑Mörser – 1.4G</t>
  </si>
  <si>
    <t>Battery 36 shots, 20 mm mortar – 1.4G</t>
  </si>
  <si>
    <t>Baterija 36 hitaca, minobacač 20 mm – 1.4G</t>
  </si>
  <si>
    <t>Batteria 36 colpi, mortaio 20 mm – 1.4G</t>
  </si>
  <si>
    <t>Baterija 36 šūvių, 20 mm minosvaidis – 1.4G</t>
  </si>
  <si>
    <t>Bateria 36 strzałów, moździerz 20 mm – 1.4G</t>
  </si>
  <si>
    <t>Giàn 36 phát, cối 20 mm – 1.4G</t>
  </si>
  <si>
    <t>Baterija 36 šāvieni, 20 mm mīnmetējs – 1.4G</t>
  </si>
  <si>
    <t>Patarei 36 lasku, 20 mm miinipilduja – 1.4G</t>
  </si>
  <si>
    <t>Telep 36 lövés, 20 mm aknavető – 1.4G</t>
  </si>
  <si>
    <t>Batterie 49 Schuss, 20‑mm‑Mörser – 1.3G</t>
  </si>
  <si>
    <t>Battery 49 shots, 20 mm mortar – 1.3G</t>
  </si>
  <si>
    <t>Baterija 49 hitaca, minobacač 20 mm – 1.3G</t>
  </si>
  <si>
    <t>Batteria 49 colpi, mortaio 20 mm – 1.3G</t>
  </si>
  <si>
    <t>Baterija 49 šūvių, 20 mm minosvaidis – 1.3G</t>
  </si>
  <si>
    <t>Bateria 49 strzałów, moździerz 20 mm – 1.3G</t>
  </si>
  <si>
    <t>Giàn 49 phát, cối 20 mm – 1.3G</t>
  </si>
  <si>
    <t>Baterija 49 šāvieni, 20 mm mīnmetējs – 1.3G</t>
  </si>
  <si>
    <t>Patarei 49 lasku, 20 mm miinipilduja – 1.3G</t>
  </si>
  <si>
    <t>Telep 49 lövés, 20 mm aknavető – 1.3G</t>
  </si>
  <si>
    <t>Batterie 49 Schuss, 20‑mm‑Mörser – 1.4G</t>
  </si>
  <si>
    <t>Battery 49 shots, 20 mm mortar – 1.4G</t>
  </si>
  <si>
    <t>Baterija 49 hitaca, minobacač 20 mm – 1.4G</t>
  </si>
  <si>
    <t>Batteria 49 colpi, mortaio 20 mm – 1.4G</t>
  </si>
  <si>
    <t>Baterija 49 šūvių, 20 mm minosvaidis – 1.4G</t>
  </si>
  <si>
    <t>Bateria 49 strzałów, moździerz 20 mm – 1.4G</t>
  </si>
  <si>
    <t>Giàn 49 phát, cối 20 mm – 1.4G</t>
  </si>
  <si>
    <t>Baterija 49 šāvieni, 20 mm mīnmetējs – 1.4G</t>
  </si>
  <si>
    <t>Patarei 49 lasku, 20 mm miinipilduja – 1.4G</t>
  </si>
  <si>
    <t>Telep 49 lövés, 20 mm aknavető – 1.4G</t>
  </si>
  <si>
    <t>Batterie 49 Schuss, 20‑mm‑Schrägmörser – 1.3G</t>
  </si>
  <si>
    <t>Battery 49 shots, 20 mm angled mortar – 1.3G</t>
  </si>
  <si>
    <t>Baterija 49 hitaca, kosi minobacač 20 mm – 1.3G</t>
  </si>
  <si>
    <t>Batteria 49 colpi, mortaio inclinato 20 mm – 1.3G</t>
  </si>
  <si>
    <t>Baterija 49 šūvių, įstrižas 20 mm minosvaidis – 1.3G</t>
  </si>
  <si>
    <t>Bateria 49 strzałów, skośny moździerz 20 mm – 1.3G</t>
  </si>
  <si>
    <t>Giàn 49 phát, cối 20 mm bắn xiên – 1.3G</t>
  </si>
  <si>
    <t>Baterija 49 šāvieni, slīps 20 mm mīnmetējs – 1.3G</t>
  </si>
  <si>
    <t>Patarei 49 lasku, viltune 20 mm miinipilduja – 1.3G</t>
  </si>
  <si>
    <t>Telep 49 lövés, ferde 20 mm aknavető – 1.3G</t>
  </si>
  <si>
    <t>Batterie 49 Schuss, 20‑mm‑Schrägmörser – 1.4G</t>
  </si>
  <si>
    <t>Battery 49 shots, 20 mm angled mortar – 1.4G</t>
  </si>
  <si>
    <t>Baterija 49 hitaca, kosi minobacač 20 mm – 1.4G</t>
  </si>
  <si>
    <t>Batteria 49 colpi, mortaio inclinato 20 mm – 1.4G</t>
  </si>
  <si>
    <t>Baterija 49 šūvių, įstrižas 20 mm minosvaidis – 1.4G</t>
  </si>
  <si>
    <t>Bateria 49 strzałów, skośny moździerz 20 mm – 1.4G</t>
  </si>
  <si>
    <t>Giàn 49 phát, cối 20 mm bắn xiên – 1.4G</t>
  </si>
  <si>
    <t>Baterija 49 šāvieni, slīps 20 mm mīnmetējs – 1.4G</t>
  </si>
  <si>
    <t>Patarei 49 lasku, viltune 20 mm miinipilduja – 1.4G</t>
  </si>
  <si>
    <t>Telep 49 lövés, ferde 20 mm aknavető – 1.4G</t>
  </si>
  <si>
    <t>Batterie 64 Schuss, 20‑mm‑Mörser – 1.3G</t>
  </si>
  <si>
    <t>Battery 64 shots, 20 mm mortar – 1.3G</t>
  </si>
  <si>
    <t>Baterija 64 hica, minobacač 20 mm – 1.3G</t>
  </si>
  <si>
    <t>Batteria 64 colpi, mortaio 20 mm – 1.3G</t>
  </si>
  <si>
    <t>Baterija 64 šūviai, 20 mm minosvaidis – 1.3G</t>
  </si>
  <si>
    <t>Bateria 64 strzały, moździerz 20 mm – 1.3G</t>
  </si>
  <si>
    <t>Baterija 64 hitaca, minobacač 20 mm – 1.3G</t>
  </si>
  <si>
    <t>Giàn 64 phát, cối 20 mm – 1.3G</t>
  </si>
  <si>
    <t>Baterija 64 šāvieni, 20 mm mīnmetējs – 1.3G</t>
  </si>
  <si>
    <t>Patarei 64 lasku, 20 mm miinipilduja – 1.3G</t>
  </si>
  <si>
    <t>Telep 64 lövés, 20 mm aknavető – 1.3G</t>
  </si>
  <si>
    <t>Batterie 64 Schuss, 20‑mm‑Mörser – 1.4G</t>
  </si>
  <si>
    <t>Battery 64 shots, 20 mm mortar – 1.4G</t>
  </si>
  <si>
    <t>Baterija 64 hica, minobacač 20 mm – 1.4G</t>
  </si>
  <si>
    <t>Batteria 64 colpi, mortaio 20 mm – 1.4G</t>
  </si>
  <si>
    <t>Baterija 64 šūviai, 20 mm minosvaidis – 1.4G</t>
  </si>
  <si>
    <t>Bateria 64 strzały, moździerz 20 mm – 1.4G</t>
  </si>
  <si>
    <t>Baterija 64 hitaca, minobacač 20 mm – 1.4G</t>
  </si>
  <si>
    <t>Giàn 64 phát, cối 20 mm – 1.4G</t>
  </si>
  <si>
    <t>Baterija 64 šāvieni, 20 mm mīnmetējs – 1.4G</t>
  </si>
  <si>
    <t>Patarei 64 lasku, 20 mm miinipilduja – 1.4G</t>
  </si>
  <si>
    <t>Telep 64 lövés, 20 mm aknavető – 1.4G</t>
  </si>
  <si>
    <t>Batterie 66 Schuss, 20‑mm‑I + V + W + schräg – 1.3G</t>
  </si>
  <si>
    <t>Battery 66 shots, 20 mm I + V + W + angled mortar – 1.3G</t>
  </si>
  <si>
    <t>Baterija 66 hitaca, 20 mm I + V + W + koso – 1.3G</t>
  </si>
  <si>
    <t>Batteria 66 colpi, 20 mm I + V + W + inclinato – 1.3G</t>
  </si>
  <si>
    <t>Baterija 66 šūvių, 20 mm I + V + W + įstrižai – 1.3G</t>
  </si>
  <si>
    <t>Bateria 66 strzałów, 20 mm I + V + W + skośny – 1.3G</t>
  </si>
  <si>
    <t>Giàn 66 phát, 20 mm I + V + W + xiên – 1.3G</t>
  </si>
  <si>
    <t>Baterija 66 šāvieni, 20 mm I + V + W + slīpi – 1.3G</t>
  </si>
  <si>
    <t>Patarei 66 lasku, 20 mm I + V + W + viltu – 1.3G</t>
  </si>
  <si>
    <t>Telep 66 lövés, 20 mm I + V + W + ferde – 1.3G</t>
  </si>
  <si>
    <t>Batterie 66 Schuss, 20‑mm‑I + V + W + schräg – 1.4G</t>
  </si>
  <si>
    <t>Battery 66 shots, 20 mm I + V + W + angled mortar – 1.4G</t>
  </si>
  <si>
    <t>Baterija 66 hitaca, 20 mm I + V + W + koso – 1.4G</t>
  </si>
  <si>
    <t>Batteria 66 colpi, 20 mm I + V + W + inclinato – 1.4G</t>
  </si>
  <si>
    <t>Baterija 66 šūvių, 20 mm I + V + W + įstrižai – 1.4G</t>
  </si>
  <si>
    <t>Bateria 66 strzałów, 20 mm I + V + W + skośny – 1.4G</t>
  </si>
  <si>
    <t>Giàn 66 phát, 20 mm I + V + W + xiên – 1.4G</t>
  </si>
  <si>
    <t>Baterija 66 šāvieni, 20 mm I + V + W + slīpi – 1.4G</t>
  </si>
  <si>
    <t>Patarei 66 lasku, 20 mm I + V + W + viltu – 1.4G</t>
  </si>
  <si>
    <t>Telep 66 lövés, 20 mm I + V + W + ferde – 1.4G</t>
  </si>
  <si>
    <t>Batterie 90 Schuss, 20‑mm‑Mörser – 1.3G</t>
  </si>
  <si>
    <t>Battery 90 shots, 20 mm mortar – 1.3G</t>
  </si>
  <si>
    <t>Baterija 90 hitaca, minobacač 20 mm – 1.3G</t>
  </si>
  <si>
    <t>Batteria 90 colpi, mortaio 20 mm – 1.3G</t>
  </si>
  <si>
    <t>Baterija 90 šūvių, 20 mm minosvaidis – 1.3G</t>
  </si>
  <si>
    <t>Bateria 90 strzałów, moździerz 20 mm – 1.3G</t>
  </si>
  <si>
    <t>Giàn 90 phát, cối 20 mm – 1.3G</t>
  </si>
  <si>
    <t>Baterija 90 šāvieni, 20 mm mīnmetējs – 1.3G</t>
  </si>
  <si>
    <t>Patarei 90 lasku, 20 mm miinipilduja – 1.3G</t>
  </si>
  <si>
    <t>Telep 90 lövés, 20 mm aknavető – 1.3G</t>
  </si>
  <si>
    <t>Batterie 100 Schuss, 20‑mm‑Mörser – 1.4G</t>
  </si>
  <si>
    <t>Battery 100 shots, 20 mm mortar – 1.4G</t>
  </si>
  <si>
    <t>Baterija 100 hitaca, minobacač 20 mm – 1.4G</t>
  </si>
  <si>
    <t>Batteria 100 colpi, mortaio 20 mm – 1.4G</t>
  </si>
  <si>
    <t>Baterija 100 šūvių, 20 mm minosvaidis – 1.4G</t>
  </si>
  <si>
    <t>Bateria 100 strzałów, moździerz 20 mm – 1.4G</t>
  </si>
  <si>
    <t>Giàn 100 phát, cối 20 mm – 1.4G</t>
  </si>
  <si>
    <t>Baterija 100 šāvieni, 20 mm mīnmetējs – 1.4G</t>
  </si>
  <si>
    <t>Patarei 100 lasku, 20 mm miinipilduja – 1.4G</t>
  </si>
  <si>
    <t>Telep 100 lövés, 20 mm aknavető – 1.4G</t>
  </si>
  <si>
    <t>Batterie 100 Schuss, 20‑mm‑Mörser (alle Richtungen) – 1.4G</t>
  </si>
  <si>
    <t>Battery 100 shots, 20 mm mortar (all directions) – 1.4G</t>
  </si>
  <si>
    <t>Baterija 100 hitaca, minobacač 20 mm (svi smjerovi) – 1.4G</t>
  </si>
  <si>
    <t>Batteria 100 colpi, mortaio 20 mm (tutte le direzioni) – 1.4G</t>
  </si>
  <si>
    <t>Baterija 100 šūvių, 20 mm minosvaidis (visomis kryptimis) – 1.4G</t>
  </si>
  <si>
    <t>Bateria 100 strzałów, moździerz 20 mm (wszystkie kierunki) – 1.4G</t>
  </si>
  <si>
    <t>Baterija 100 hitaca, minobacač 20 mm (svi pravci) – 1.4G</t>
  </si>
  <si>
    <t>Giàn 100 phát, cối 20 mm (mọi hướng) – 1.4G</t>
  </si>
  <si>
    <t>Baterija 100 šāvieni, 20 mm mīnmetējs (visos virzienos) – 1.4G</t>
  </si>
  <si>
    <t>Patarei 100 lasku, 20 mm miinipilduja (kõik suunad) – 1.4G</t>
  </si>
  <si>
    <t>Telep 100 lövés, 20 mm aknavető (minden irány) – 1.4G</t>
  </si>
  <si>
    <t>Batterie 100 Schuss, 20‑mm‑Schrägmörser – 1.3G</t>
  </si>
  <si>
    <t>Battery 100 shots, 20 mm angled mortar – 1.3G</t>
  </si>
  <si>
    <t>Baterija 100 hitaca, kosi minobacač 20 mm – 1.3G</t>
  </si>
  <si>
    <t>Batteria 100 colpi, mortaio inclinato 20 mm – 1.3G</t>
  </si>
  <si>
    <t>Baterija 100 šūvių, įstrižas 20 mm minosvaidis – 1.3G</t>
  </si>
  <si>
    <t>Bateria 100 strzałów, skośny moździerz 20 mm – 1.3G</t>
  </si>
  <si>
    <t>Giàn 100 phát, cối 20 mm bắn xiên – 1.3G</t>
  </si>
  <si>
    <t>Baterija 100 šāvieni, slīps 20 mm mīnmetējs – 1.3G</t>
  </si>
  <si>
    <t>Patarei 100 lasku, viltune 20 mm miinipilduja – 1.3G</t>
  </si>
  <si>
    <t>Telep 100 lövés, ferde 20 mm aknavető – 1.3G</t>
  </si>
  <si>
    <t>Batterie 130 Schuss, 20‑mm‑Mörser – 1.3G</t>
  </si>
  <si>
    <t>Battery 130 shots, 20 mm mortar – 1.3G</t>
  </si>
  <si>
    <t>Baterija 130 hitaca, minobacač 20 mm – 1.3G</t>
  </si>
  <si>
    <t>Batteria 130 colpi, mortaio 20 mm – 1.3G</t>
  </si>
  <si>
    <t>Baterija 130 šūvių, 20 mm minosvaidis – 1.3G</t>
  </si>
  <si>
    <t>Bateria 130 strzałów, moździerz 20 mm – 1.3G</t>
  </si>
  <si>
    <t>Giàn 130 phát, cối 20 mm – 1.3G</t>
  </si>
  <si>
    <t>Baterija 130 šāvieni, 20 mm mīnmetējs – 1.3G</t>
  </si>
  <si>
    <t>Patarei 130 lasku, 20 mm miinipilduja – 1.3G</t>
  </si>
  <si>
    <t>Telep 130 lövés, 20 mm aknavető – 1.3G</t>
  </si>
  <si>
    <t>Batterie 134 Schuss, 20‑mm‑I + V + W + schräg – 1.3G</t>
  </si>
  <si>
    <t>Battery 134 shots, 20 mm I + V + W + angled mortar – 1.3G</t>
  </si>
  <si>
    <t>Baterija 134 hica, 20 mm I + V + W + koso – 1.3G</t>
  </si>
  <si>
    <t>Batteria 134 colpi, 20 mm I + V + W + inclinato – 1.3G</t>
  </si>
  <si>
    <t>Baterija 134 šūviai, 20 mm I + V + W + įstrižai – 1.3G</t>
  </si>
  <si>
    <t>Bateria 134 strzały, 20 mm I + V + W + skośny – 1.3G</t>
  </si>
  <si>
    <t>Baterija 134 hitaca, 20 mm I + V + W + koso – 1.3G</t>
  </si>
  <si>
    <t>Giàn 134 phát, 20 mm I + V + W + xiên – 1.3G</t>
  </si>
  <si>
    <t>Baterija 134 šāvieni, 20 mm I + V + W + slīpi – 1.3G</t>
  </si>
  <si>
    <t>Patarei 134 lasku, 20 mm I + V + W + viltu – 1.3G</t>
  </si>
  <si>
    <t>Telep 134 lövés, 20 mm I + V + W + ferde – 1.3G</t>
  </si>
  <si>
    <t>Batterie 200 Schuss, 20‑mm‑Mörser – 1.3G</t>
  </si>
  <si>
    <t>Battery 200 shots, 20 mm mortar – 1.3G</t>
  </si>
  <si>
    <t>Baterija 200 hitaca, minobacač 20 mm – 1.3G</t>
  </si>
  <si>
    <t>Batteria 200 colpi, mortaio 20 mm – 1.3G</t>
  </si>
  <si>
    <t>Baterija 200 šūvių, 20 mm minosvaidis – 1.3G</t>
  </si>
  <si>
    <t>Bateria 200 strzałów, moździerz 20 mm – 1.3G</t>
  </si>
  <si>
    <t>Giàn 200 phát, cối 20 mm – 1.3G</t>
  </si>
  <si>
    <t>Baterija 200 šāvieni, 20 mm mīnmetējs – 1.3G</t>
  </si>
  <si>
    <t>Patarei 200 lasku, 20 mm miinipilduja – 1.3G</t>
  </si>
  <si>
    <t>Telep 200 lövés, 20 mm aknavető – 1.3G</t>
  </si>
  <si>
    <t>Batterie 200 Schuss, 20‑mm‑Mörser (alle Richtungen) – 1.3G</t>
  </si>
  <si>
    <t>Battery 200 shots, 20 mm mortar (all directions) – 1.3G</t>
  </si>
  <si>
    <t>Baterija 200 hitaca, minobacač 20 mm (svi smjerovi) – 1.3G</t>
  </si>
  <si>
    <t>Batteria 200 colpi, mortaio 20 mm (tutte le direzioni) – 1.3G</t>
  </si>
  <si>
    <t>Baterija 200 šūvių, 20 mm minosvaidis (visomis kryptimis) – 1.3G</t>
  </si>
  <si>
    <t>Bateria 200 strzałów, moździerz 20 mm (wszystkie kierunki) – 1.3G</t>
  </si>
  <si>
    <t>Baterija 200 hitaca, minobacač 20 mm (svi pravci) – 1.3G</t>
  </si>
  <si>
    <t>Giàn 200 phát, cối 20 mm (mọi hướng) – 1.3G</t>
  </si>
  <si>
    <t>Baterija 200 šāvieni, 20 mm mīnmetējs (visos virzienos) – 1.3G</t>
  </si>
  <si>
    <t>Patarei 200 lasku, 20 mm miinipilduja (kõik suunad) – 1.3G</t>
  </si>
  <si>
    <t>Telep 200 lövés, 20 mm aknavető (minden irány) – 1.3G</t>
  </si>
  <si>
    <t>Verbundfeuerwerk 20 mm – F2 – 1.4G – maximal 1000 g NEC</t>
  </si>
  <si>
    <t>Compound firework 20 mm – F2 – 1.4G – maximum 1000 g NEC</t>
  </si>
  <si>
    <t>Složeni vatromet 20 mm – F2 – 1.4G – maksimalno 1000 g NEC</t>
  </si>
  <si>
    <t>Fuoco d’artificio composto 20 mm – F2 – 1.4G – massimo 1000 g NEC</t>
  </si>
  <si>
    <t>Sudėtinis fejerverkas 20 mm – F2 – 1.4G – maks. 1000 g NEC</t>
  </si>
  <si>
    <t>Fajerwerk złożony 20 mm – F2 – 1.4G – maks. 1000 g NEC</t>
  </si>
  <si>
    <t>Kombinovani vatromet 20 mm – F2 – 1.4G – maks. 1000 g NEC</t>
  </si>
  <si>
    <t>Pháo hoa tổ hợp 20 mm – F2 – 1.4G – tối đa 1000 g NEC</t>
  </si>
  <si>
    <t>Kombinētais salūts 20 mm – F2 – 1.4G – maks. 1000 g NEC</t>
  </si>
  <si>
    <t>Kombineeritud ilutulestik 20 mm – F2 – 1.4G – maks. 1000 g NEC</t>
  </si>
  <si>
    <t>Összetett tűzijáték 20 mm – F2 – 1.4G – max. 1000 g NEC</t>
  </si>
  <si>
    <t>Verbundfeuerwerk 20 mm – F2 – 1.4G – maximal 2000 g NEC</t>
  </si>
  <si>
    <t>Compound firework 20 mm – F2 – 1.4G – maximum 2000 g NEC</t>
  </si>
  <si>
    <t>Složeni vatromet 20 mm – F2 – 1.4G – maksimalno 2000 g NEC</t>
  </si>
  <si>
    <t>Fuoco d’artificio composto 20 mm – F2 – 1.4G – massimo 2000 g NEC</t>
  </si>
  <si>
    <t>Sudėtinis fejerverkas 20 mm – F2 – 1.4G – maks. 2000 g NEC</t>
  </si>
  <si>
    <t>Fajerwerk złożony 20 mm – F2 – 1.4G – maks. 2000 g NEC</t>
  </si>
  <si>
    <t>Kombinovani vatromet 20 mm – F2 – 1.4G – maks. 2000 g NEC</t>
  </si>
  <si>
    <t>Pháo hoa tổ hợp 20 mm – F2 – 1.4G – tối đa 2000 g NEC</t>
  </si>
  <si>
    <t>Kombinētais salūts 20 mm – F2 – 1.4G – maks. 2000 g NEC</t>
  </si>
  <si>
    <t>Kombineeritud ilutulestik 20 mm – F2 – 1.4G – maks. 2000 g NEC</t>
  </si>
  <si>
    <t>Összetett tűzijáték 20 mm – F2 – 1.4G – max. 2000 g NEC</t>
  </si>
  <si>
    <t>Verbundfeuerwerk 20 mm – F2 – 1.3G</t>
  </si>
  <si>
    <t>Compound firework 20 mm – F2 – 1.3G</t>
  </si>
  <si>
    <t>Složeni vatromet 20 mm – F2 – 1.3G</t>
  </si>
  <si>
    <t>Fuoco d’artificio composto 20 mm – F2 – 1.3G</t>
  </si>
  <si>
    <t>Sudėtinis fejerverkas 20 mm – F2 – 1.3G</t>
  </si>
  <si>
    <t>Fajerwerk złożony 20 mm – F2 – 1.3G</t>
  </si>
  <si>
    <t>Kombinovani vatromet 20 mm – F2 – 1.3G</t>
  </si>
  <si>
    <t>Pháo hoa tổ hợp 20 mm – F2 – 1.3G</t>
  </si>
  <si>
    <t>Kombinētais salūts 20 mm – F2 – 1.3G</t>
  </si>
  <si>
    <t>Kombineeritud ilutulestik 20 mm – F2 – 1.3G</t>
  </si>
  <si>
    <t>Összetett tűzijáték 20 mm – F2 – 1.3G</t>
  </si>
  <si>
    <t>Verbundfeuerwerk F3 – 1.3G</t>
  </si>
  <si>
    <t>Compound firework F3 – 1.3G</t>
  </si>
  <si>
    <t>Složeni vatromet F3 – 1.3G</t>
  </si>
  <si>
    <t>Fuoco d’artificio composto F3 – 1.3G</t>
  </si>
  <si>
    <t>Sudėtinis fejerverkas F3 – 1.3G</t>
  </si>
  <si>
    <t>Fajerwerk złożony F3 – 1.3G</t>
  </si>
  <si>
    <t>Kombinovani vatromet F3 – 1.3G</t>
  </si>
  <si>
    <t>Pháo hoa tổ hợp F3 – 1.3G</t>
  </si>
  <si>
    <t>Kombinētais salūts F3 – 1.3G</t>
  </si>
  <si>
    <t>Kombineeritud ilutulestik F3 – 1.3G</t>
  </si>
  <si>
    <t>Összetett tűzijáték F3 – 1.3G</t>
  </si>
  <si>
    <t>Batterie 16 Schuss, 25‑mm‑Mörser – 1.3G</t>
  </si>
  <si>
    <t>Battery 16 shots, 25 mm mortar – 1.3G</t>
  </si>
  <si>
    <t>Baterija 16 hitaca, minobacač 25 mm – 1.3G</t>
  </si>
  <si>
    <t>Batteria 16 colpi, mortaio 25 mm – 1.3G</t>
  </si>
  <si>
    <t>Baterija 16 šūvių, 25 mm minosvaidis – 1.3G</t>
  </si>
  <si>
    <t>Bateria 16 strzałów, moździerz 25 mm – 1.3G</t>
  </si>
  <si>
    <t>Giàn 16 phát, cối 25 mm – 1.3G</t>
  </si>
  <si>
    <t>Baterija 16 šāvieni, 25 mm mīnmetējs – 1.3G</t>
  </si>
  <si>
    <t>Patarei 16 lasku, 25 mm miinipilduja – 1.3G</t>
  </si>
  <si>
    <t>Telep 16 lövés, 25 mm aknavető – 1.3G</t>
  </si>
  <si>
    <t>Batterie 16 Schuss, 25‑mm‑Mörser – 1.4G</t>
  </si>
  <si>
    <t>Battery 16 shots, 25 mm mortar – 1.4G</t>
  </si>
  <si>
    <t>Baterija 16 hitaca, minobacač 25 mm – 1.4G</t>
  </si>
  <si>
    <t>Batteria 16 colpi, mortaio 25 mm – 1.4G</t>
  </si>
  <si>
    <t>Baterija 16 šūvių, 25 mm minosvaidis – 1.4G</t>
  </si>
  <si>
    <t>Bateria 16 strzałów, moździerz 25 mm – 1.4G</t>
  </si>
  <si>
    <t>Giàn 16 phát, cối 25 mm – 1.4G</t>
  </si>
  <si>
    <t>Baterija 16 šāvieni, 25 mm mīnmetējs – 1.4G</t>
  </si>
  <si>
    <t>Patarei 16 lasku, 25 mm miinipilduja – 1.4G</t>
  </si>
  <si>
    <t>Telep 16 lövés, 25 mm aknavető – 1.4G</t>
  </si>
  <si>
    <t>Batterie 25 Schuss, 25‑mm‑Mörser – 1.3G</t>
  </si>
  <si>
    <t>Battery 25 shots, 25 mm mortar – 1.3G</t>
  </si>
  <si>
    <t>Baterija 25 hitaca, minobacač 25 mm – 1.3G</t>
  </si>
  <si>
    <t>Batteria 25 colpi, mortaio 25 mm – 1.3G</t>
  </si>
  <si>
    <t>Baterija 25 šūvių, 25 mm minosvaidis – 1.3G</t>
  </si>
  <si>
    <t>Bateria 25 strzałów, moździerz 25 mm – 1.3G</t>
  </si>
  <si>
    <t>Giàn 25 phát, cối 25 mm – 1.3G</t>
  </si>
  <si>
    <t>Baterija 25 šāvieni, 25 mm mīnmetējs – 1.3G</t>
  </si>
  <si>
    <t>Patarei 25 lasku, 25 mm miinipilduja – 1.3G</t>
  </si>
  <si>
    <t>Telep 25 lövés, 25 mm aknavető – 1.3G</t>
  </si>
  <si>
    <t>Batterie 25 Schuss, 25‑mm‑Mörser – 1.4G</t>
  </si>
  <si>
    <t>Battery 25 shots, 25 mm mortar – 1.4G</t>
  </si>
  <si>
    <t>Baterija 25 hitaca, minobacač 25 mm – 1.4G</t>
  </si>
  <si>
    <t>Batteria 25 colpi, mortaio 25 mm – 1.4G</t>
  </si>
  <si>
    <t>Baterija 25 šūvių, 25 mm minosvaidis – 1.4G</t>
  </si>
  <si>
    <t>Bateria 25 strzałów, moździerz 25 mm – 1.4G</t>
  </si>
  <si>
    <t>Giàn 25 phát, cối 25 mm – 1.4G</t>
  </si>
  <si>
    <t>Baterija 25 šāvieni, 25 mm mīnmetējs – 1.4G</t>
  </si>
  <si>
    <t>Patarei 25 lasku, 25 mm miinipilduja – 1.4G</t>
  </si>
  <si>
    <t>Telep 25 lövés, 25 mm aknavető – 1.4G</t>
  </si>
  <si>
    <t>Batterie 25 Schuss, 25‑mm‑Schrägmörser – 1.3G</t>
  </si>
  <si>
    <t>Battery 25 shots, 25 mm angled mortar – 1.3G</t>
  </si>
  <si>
    <t>Baterija 25 hitaca, kosi minobacač 25 mm – 1.3G</t>
  </si>
  <si>
    <t>Batteria 25 colpi, mortaio inclinato 25 mm – 1.3G</t>
  </si>
  <si>
    <t>Baterija 25 šūvių, įstrižas 25 mm minosvaidis – 1.3G</t>
  </si>
  <si>
    <t>Bateria 25 strzałów, skośny moździerz 25 mm – 1.3G</t>
  </si>
  <si>
    <t>Giàn 25 phát, cối 25 mm bắn xiên – 1.3G</t>
  </si>
  <si>
    <t>Baterija 25 šāvieni, slīps 25 mm mīnmetējs – 1.3G</t>
  </si>
  <si>
    <t>Patarei 25 lasku, viltune 25 mm miinipilduja – 1.3G</t>
  </si>
  <si>
    <t>Telep 25 lövés, ferde 25 mm aknavető – 1.3G</t>
  </si>
  <si>
    <t>Batterie 36 Schuss, 25‑mm‑Mörser – F2 – 1.3G</t>
  </si>
  <si>
    <t>Battery 36 shots, 25 mm mortar – F2 – 1.3G</t>
  </si>
  <si>
    <t>Baterija 36 hitaca, minobacač 25 mm – F2 – 1.3G</t>
  </si>
  <si>
    <t>Batteria 36 colpi, mortaio 25 mm – F2 – 1.3G</t>
  </si>
  <si>
    <t>Baterija 36 šūvių, 25 mm minosvaidis – F2 – 1.3G</t>
  </si>
  <si>
    <t>Bateria 36 strzałów, moździerz 25 mm – F2 – 1.3G</t>
  </si>
  <si>
    <t>Giàn 36 phát, cối 25 mm – F2 – 1.3G</t>
  </si>
  <si>
    <t>Baterija 36 šāvieni, 25 mm mīnmetējs – F2 – 1.3G</t>
  </si>
  <si>
    <t>Patarei 36 lasku, 25 mm miinipilduja – F2 – 1.3G</t>
  </si>
  <si>
    <t>Telep 36 lövés, 25 mm aknavető – F2 – 1.3G</t>
  </si>
  <si>
    <t>Batterie 36 Schuss, 25‑mm‑Mörser – F2 – 1.4G</t>
  </si>
  <si>
    <t>Battery 36 shots, 25 mm mortar – F2 – 1.4G</t>
  </si>
  <si>
    <t>Baterija 36 hitaca, minobacač 25 mm – F2 – 1.4G</t>
  </si>
  <si>
    <t>Batteria 36 colpi, mortaio 25 mm – F2 – 1.4G</t>
  </si>
  <si>
    <t>Baterija 36 šūvių, 25 mm minosvaidis – F2 – 1.4G</t>
  </si>
  <si>
    <t>Bateria 36 strzałów, moździerz 25 mm – F2 – 1.4G</t>
  </si>
  <si>
    <t>Giàn 36 phát, cối 25 mm – F2 – 1.4G</t>
  </si>
  <si>
    <t>Baterija 36 šāvieni, 25 mm mīnmetējs – F2 – 1.4G</t>
  </si>
  <si>
    <t>Patarei 36 lasku, 25 mm miinipilduja – F2 – 1.4G</t>
  </si>
  <si>
    <t>Telep 36 lövés, 25 mm aknavető – F2 – 1.4G</t>
  </si>
  <si>
    <t>Batterie 48 Schuss, 25‑mm‑gerade + schräg – 1.3G</t>
  </si>
  <si>
    <t>Battery 48 shots, 25 mm straight + angled mortar – 1.3G</t>
  </si>
  <si>
    <t>Baterija 48 hitaca, 25 mm ravno + koso – 1.3G</t>
  </si>
  <si>
    <t>Batteria 48 colpi, 25 mm dritto + inclinato – 1.3G</t>
  </si>
  <si>
    <t>Baterija 48 šūvių, 25 mm tiesiai + įstrižai – 1.3G</t>
  </si>
  <si>
    <t>Bateria 48 strzałów, 25 mm prosto + skośnie – 1.3G</t>
  </si>
  <si>
    <t>Baterija 48 hitaca, 25 mm pravo + koso – 1.3G</t>
  </si>
  <si>
    <t>Giàn 48 phát, 25 mm bắn thẳng + xiên – 1.3G</t>
  </si>
  <si>
    <t>Baterija 48 šāvieni, 25 mm taisni + slīpi – 1.3G</t>
  </si>
  <si>
    <t>Patarei 48 lasku, 25 mm otse + viltu – 1.3G</t>
  </si>
  <si>
    <t>Telep 48 lövés, 25 mm egyenes + ferde – 1.3G</t>
  </si>
  <si>
    <t>Batterie 49 Schuss, 25‑mm‑Mörser – F2 – 1.3G</t>
  </si>
  <si>
    <t>Battery 49 shots, 25 mm mortar – F2 – 1.3G</t>
  </si>
  <si>
    <t>Baterija 49 hitaca, minobacač 25 mm – F2 – 1.3G</t>
  </si>
  <si>
    <t>Batteria 49 colpi, mortaio 25 mm – F2 – 1.3G</t>
  </si>
  <si>
    <t>Baterija 49 šūvių, 25 mm minosvaidis – F2 – 1.3G</t>
  </si>
  <si>
    <t>Bateria 49 strzałów, moździerz 25 mm – F2 – 1.3G</t>
  </si>
  <si>
    <t>Giàn 49 phát, cối 25 mm – F2 – 1.3G</t>
  </si>
  <si>
    <t>Baterija 49 šāvieni, 25 mm mīnmetējs – F2 – 1.3G</t>
  </si>
  <si>
    <t>Patarei 49 lasku, 25 mm miinipilduja – F2 – 1.3G</t>
  </si>
  <si>
    <t>Telep 49 lövés, 25 mm aknavető – F2 – 1.3G</t>
  </si>
  <si>
    <t>Batterie 49 Schuss, 25‑mm‑Mörser – F2 – 1.4G</t>
  </si>
  <si>
    <t>Battery 49 shots, 25 mm mortar – F2 – 1.4G</t>
  </si>
  <si>
    <t>Baterija 49 hitaca, minobacač 25 mm – F2 – 1.4G</t>
  </si>
  <si>
    <t>Batteria 49 colpi, mortaio 25 mm – F2 – 1.4G</t>
  </si>
  <si>
    <t>Baterija 49 šūvių, 25 mm minosvaidis – F2 – 1.4G</t>
  </si>
  <si>
    <t>Bateria 49 strzałów, moździerz 25 mm – F2 – 1.4G</t>
  </si>
  <si>
    <t>Giàn 49 phát, cối 25 mm – F2 – 1.4G</t>
  </si>
  <si>
    <t>Baterija 49 šāvieni, 25 mm mīnmetējs – F2 – 1.4G</t>
  </si>
  <si>
    <t>Patarei 49 lasku, 25 mm miinipilduja – F2 – 1.4G</t>
  </si>
  <si>
    <t>Telep 49 lövés, 25 mm aknavető – F2 – 1.4G</t>
  </si>
  <si>
    <t>Batterie 49 Schuss, 25‑mm‑Mörser – F3 – 1.3G</t>
  </si>
  <si>
    <t>Battery 49 shots, 25 mm mortar – F3 – 1.3G</t>
  </si>
  <si>
    <t>Baterija 49 hitaca, minobacač 25 mm – F3 – 1.3G</t>
  </si>
  <si>
    <t>Batteria 49 colpi, mortaio 25 mm – F3 – 1.3G</t>
  </si>
  <si>
    <t>Baterija 49 šūvių, 25 mm minosvaidis – F3 – 1.3G</t>
  </si>
  <si>
    <t>Bateria 49 strzałów, moździerz 25 mm – F3 – 1.3G</t>
  </si>
  <si>
    <t>Giàn 49 phát, cối 25 mm – F3 – 1.3G</t>
  </si>
  <si>
    <t>Baterija 49 šāvieni, 25 mm mīnmetējs – F3 – 1.3G</t>
  </si>
  <si>
    <t>Patarei 49 lasku, 25 mm miinipilduja – F3 – 1.3G</t>
  </si>
  <si>
    <t>Telep 49 lövés, 25 mm aknavető – F3 – 1.3G</t>
  </si>
  <si>
    <t>Batterie 49 Schuss, 25‑mm‑Schrägmörser – 1.4G</t>
  </si>
  <si>
    <t>Battery 49 shots, 25 mm angled mortar – 1.4G</t>
  </si>
  <si>
    <t>Baterija 49 hitaca, kosi minobacač 25 mm – 1.4G</t>
  </si>
  <si>
    <t>Batteria 49 colpi, mortaio inclinato 25 mm – 1.4G</t>
  </si>
  <si>
    <t>Baterija 49 šūvių, įstrižas 25 mm minosvaidis – 1.4G</t>
  </si>
  <si>
    <t>Bateria 49 strzałów, skośny moździerz 25 mm – 1.4G</t>
  </si>
  <si>
    <t>Giàn 49 phát, cối 25 mm bắn xiên – 1.4G</t>
  </si>
  <si>
    <t>Baterija 49 šāvieni, slīps 25 mm mīnmetējs – 1.4G</t>
  </si>
  <si>
    <t>Patarei 49 lasku, viltune 25 mm miinipilduja – 1.4G</t>
  </si>
  <si>
    <t>Telep 49 lövés, ferde 25 mm aknavető – 1.4G</t>
  </si>
  <si>
    <t>Batterie 49 Schuss, 25‑mm‑Schrägmörser – 1.3G</t>
  </si>
  <si>
    <t>Battery 49 shots, 25 mm angled mortar – 1.3G</t>
  </si>
  <si>
    <t>Baterija 49 hitaca, kosi minobacač 25 mm – 1.3G</t>
  </si>
  <si>
    <t>Batteria 49 colpi, mortaio inclinato 25 mm – 1.3G</t>
  </si>
  <si>
    <t>Baterija 49 šūvių, įstrižas 25 mm minosvaidis – 1.3G</t>
  </si>
  <si>
    <t>Bateria 49 strzałów, skośny moździerz 25 mm – 1.3G</t>
  </si>
  <si>
    <t>Giàn 49 phát, cối 25 mm bắn xiên – 1.3G</t>
  </si>
  <si>
    <t>Baterija 49 šāvieni, slīps 25 mm mīnmetējs – 1.3G</t>
  </si>
  <si>
    <t>Patarei 49 lasku, viltune 25 mm miinipilduja – 1.3G</t>
  </si>
  <si>
    <t>Telep 49 lövés, ferde 25 mm aknavető – 1.3G</t>
  </si>
  <si>
    <t>Batterie 64 Schuss, 25‑mm‑Mörser (alle Richtungen) – 1.3G</t>
  </si>
  <si>
    <t>Battery 64 shots, 25 mm mortar (all directions) – 1.3G</t>
  </si>
  <si>
    <t>Baterija 64 hica, minobacač 25 mm (svi smjerovi) – 1.3G</t>
  </si>
  <si>
    <t>Batteria 64 colpi, mortaio 25 mm (tutte le direzioni) – 1.3G</t>
  </si>
  <si>
    <t>Baterija 64 šūviai, 25 mm minosvaidis (visomis kryptimis) – 1.3G</t>
  </si>
  <si>
    <t>Bateria 64 strzały, moździerz 25 mm (wszystkie kierunki) – 1.3G</t>
  </si>
  <si>
    <t>Baterija 64 hitaca, minobacač 25 mm (svi pravci) – 1.3G</t>
  </si>
  <si>
    <t>Giàn 64 phát, cối 25 mm (mọi hướng) – 1.3G</t>
  </si>
  <si>
    <t>Baterija 64 šāvieni, 25 mm mīnmetējs (visos virzienos) – 1.3G</t>
  </si>
  <si>
    <t>Patarei 64 lasku, 25 mm miinipilduja (kõik suunad) – 1.3G</t>
  </si>
  <si>
    <t>Telep 64 lövés, 25 mm aknavető (minden irány) – 1.3G</t>
  </si>
  <si>
    <t>Batterie 88 Schuss, 25‑mm‑Mörser – 1.3G</t>
  </si>
  <si>
    <t>Battery 88 shots, 25 mm mortar – 1.3G</t>
  </si>
  <si>
    <t>Baterija 88 hitaca, minobacač 25 mm – 1.3G</t>
  </si>
  <si>
    <t>Batteria 88 colpi, mortaio 25 mm – 1.3G</t>
  </si>
  <si>
    <t>Baterija 88 šūvių, 25 mm minosvaidis – 1.3G</t>
  </si>
  <si>
    <t>Bateria 88 strzałów, moździerz 25 mm – 1.3G</t>
  </si>
  <si>
    <t>Giàn 88 phát, cối 25 mm – 1.3G</t>
  </si>
  <si>
    <t>Baterija 88 šāvieni, 25 mm mīnmetējs – 1.3G</t>
  </si>
  <si>
    <t>Patarei 88 lasku, 25 mm miinipilduja – 1.3G</t>
  </si>
  <si>
    <t>Telep 88 lövés, 25 mm aknavető – 1.3G</t>
  </si>
  <si>
    <t>Batterie 100 Schuss, 25‑mm‑Mörser – 1.3G</t>
  </si>
  <si>
    <t>Battery 100 shots, 25 mm mortar – 1.3G</t>
  </si>
  <si>
    <t>Baterija 100 hitaca, minobacač 25 mm – 1.3G</t>
  </si>
  <si>
    <t>Batteria 100 colpi, mortaio 25 mm – 1.3G</t>
  </si>
  <si>
    <t>Baterija 100 šūvių, 25 mm minosvaidis – 1.3G</t>
  </si>
  <si>
    <t>Bateria 100 strzałów, moździerz 25 mm – 1.3G</t>
  </si>
  <si>
    <t>Giàn 100 phát, cối 25 mm – 1.3G</t>
  </si>
  <si>
    <t>Baterija 100 šāvieni, 25 mm mīnmetējs – 1.3G</t>
  </si>
  <si>
    <t>Patarei 100 lasku, 25 mm miinipilduja – 1.3G</t>
  </si>
  <si>
    <t>Telep 100 lövés, 25 mm aknavető – 1.3G</t>
  </si>
  <si>
    <t>Verbundfeuerwerk 25 mm – F2 – 1.4G</t>
  </si>
  <si>
    <t>Compound firework 25 mm – F2 – 1.4G</t>
  </si>
  <si>
    <t>Složeni vatromet 25 mm – F2 – 1.4G</t>
  </si>
  <si>
    <t>Fuoco d’artificio composto 25 mm – F2 – 1.4G</t>
  </si>
  <si>
    <t>Sudėtinis fejerverkas 25 mm – F2 – 1.4G</t>
  </si>
  <si>
    <t>Fajerwerk złożony 25 mm – F2 – 1.4G</t>
  </si>
  <si>
    <t>Kombinovani vatromet 25 mm – F2 – 1.4G</t>
  </si>
  <si>
    <t>Pháo hoa tổ hợp 25 mm – F2 – 1.4G</t>
  </si>
  <si>
    <t>Kombinētais salūts 25 mm – F2 – 1.4G</t>
  </si>
  <si>
    <t>Kombineeritud ilutulestik 25 mm – F2 – 1.4G</t>
  </si>
  <si>
    <t>Összetett tűzijáték 25 mm – F2 – 1.4G</t>
  </si>
  <si>
    <t>Verbundfeuerwerk 25 mm – F2 – 1.3G</t>
  </si>
  <si>
    <t>Compound firework 25 mm – F2 – 1.3G</t>
  </si>
  <si>
    <t>Složeni vatromet 25 mm – F2 – 1.3G</t>
  </si>
  <si>
    <t>Fuoco d’artificio composto 25 mm – F2 – 1.3G</t>
  </si>
  <si>
    <t>Sudėtinis fejerverkas 25 mm – F2 – 1.3G</t>
  </si>
  <si>
    <t>Fajerwerk złożony 25 mm – F2 – 1.3G</t>
  </si>
  <si>
    <t>Kombinovani vatromet 25 mm – F2 – 1.3G</t>
  </si>
  <si>
    <t>Pháo hoa tổ hợp 25 mm – F2 – 1.3G</t>
  </si>
  <si>
    <t>Kombinētais salūts 25 mm – F2 – 1.3G</t>
  </si>
  <si>
    <t>Kombineeritud ilutulestik 25 mm – F2 – 1.3G</t>
  </si>
  <si>
    <t>Összetett tűzijáték 25 mm – F2 – 1.3G</t>
  </si>
  <si>
    <t>Verbundfeuerwerk 25 mm – F3 – 1.3G</t>
  </si>
  <si>
    <t>Compound firework 25 mm – F3 – 1.3G</t>
  </si>
  <si>
    <t>Složeni vatromet 25 mm – F3 – 1.3G</t>
  </si>
  <si>
    <t>Fuoco d’artificio composto 25 mm – F3 – 1.3G</t>
  </si>
  <si>
    <t>Sudėtinis fejerverkas 25 mm – F3 – 1.3G</t>
  </si>
  <si>
    <t>Fajerwerk złożony 25 mm – F3 – 1.3G</t>
  </si>
  <si>
    <t>Kombinovani vatromet 25 mm – F3 – 1.3G</t>
  </si>
  <si>
    <t>Pháo hoa tổ hợp 25 mm – F3 – 1.3G</t>
  </si>
  <si>
    <t>Kombinētais salūts 25 mm – F3 – 1.3G</t>
  </si>
  <si>
    <t>Kombineeritud ilutulestik 25 mm – F3 – 1.3G</t>
  </si>
  <si>
    <t>Összetett tűzijáték 25 mm – F3 – 1.3G</t>
  </si>
  <si>
    <t>Batterie 16 Schuss, 30‑mm‑Mörser – 1.3G</t>
  </si>
  <si>
    <t>Battery 16 shots, 30 mm mortar – 1.3G</t>
  </si>
  <si>
    <t>Baterija 16 hitaca, minobacač 30 mm – 1.3G</t>
  </si>
  <si>
    <t>Batteria 16 colpi, mortaio 30 mm – 1.3G</t>
  </si>
  <si>
    <t>Baterija 16 šūvių, 30 mm minosvaidis – 1.3G</t>
  </si>
  <si>
    <t>Bateria 16 strzałów, moździerz 30 mm – 1.3G</t>
  </si>
  <si>
    <t>Giàn 16 phát, cối 30 mm – 1.3G</t>
  </si>
  <si>
    <t>Baterija 16 šāvieni, 30 mm mīnmetējs – 1.3G</t>
  </si>
  <si>
    <t>Patarei 16 lasku, 30 mm miinipilduja – 1.3G</t>
  </si>
  <si>
    <t>Telep 16 lövés, 30 mm aknavető – 1.3G</t>
  </si>
  <si>
    <t>Batterie 16 Schuss, 30‑mm‑Mörser – 1.4G</t>
  </si>
  <si>
    <t>Battery 16 shots, 30 mm mortar – 1.4G</t>
  </si>
  <si>
    <t>Baterija 16 hitaca, minobacač 30 mm – 1.4G</t>
  </si>
  <si>
    <t>Batteria 16 colpi, mortaio 30 mm – 1.4G</t>
  </si>
  <si>
    <t>Baterija 16 šūvių, 30 mm minosvaidis – 1.4G</t>
  </si>
  <si>
    <t>Bateria 16 strzałów, moździerz 30 mm – 1.4G</t>
  </si>
  <si>
    <t>Giàn 16 phát, cối 30 mm – 1.4G</t>
  </si>
  <si>
    <t>Baterija 16 šāvieni, 30 mm mīnmetējs – 1.4G</t>
  </si>
  <si>
    <t>Patarei 16 lasku, 30 mm miinipilduja – 1.4G</t>
  </si>
  <si>
    <t>Telep 16 lövés, 30 mm aknavető – 1.4G</t>
  </si>
  <si>
    <t>Batterie 19 Schuss, 30‑mm‑Mörser – 1.3G</t>
  </si>
  <si>
    <t>Battery 19 shots, 30 mm mortar – 1.3G</t>
  </si>
  <si>
    <t>Baterija 19 hitaca, minobacač 30 mm – 1.3G</t>
  </si>
  <si>
    <t>Batteria 19 colpi, mortaio 30 mm – 1.3G</t>
  </si>
  <si>
    <t>Baterija 19 šūvių, 30 mm minosvaidis – 1.3G</t>
  </si>
  <si>
    <t>Bateria 19 strzałów, moździerz 30 mm – 1.3G</t>
  </si>
  <si>
    <t>Giàn 19 phát, cối 30 mm – 1.3G</t>
  </si>
  <si>
    <t>Baterija 19 šāvieni, 30 mm mīnmetējs – 1.3G</t>
  </si>
  <si>
    <t>Patarei 19 lasku, 30 mm miinipilduja – 1.3G</t>
  </si>
  <si>
    <t>Telep 19 lövés, 30 mm aknavető – 1.3G</t>
  </si>
  <si>
    <t>Batterie 25 Schuss, 30‑mm‑Mörser F3 – 1.3G</t>
  </si>
  <si>
    <t>Battery 25 shots, 30 mm mortar F3 – 1.3G</t>
  </si>
  <si>
    <t>Baterija 25 hitaca, minobacač 30 mm F3 – 1.3G</t>
  </si>
  <si>
    <t>Batteria 25 colpi, mortaio 30 mm F3 – 1.3G</t>
  </si>
  <si>
    <t>Baterija 25 šūvių, 30 mm minosvaidis F3 – 1.3G</t>
  </si>
  <si>
    <t>Bateria 25 strzałów, moździerz 30 mm F3 – 1.3G</t>
  </si>
  <si>
    <t>Giàn 25 phát, cối 30 mm F3 – 1.3G</t>
  </si>
  <si>
    <t>Baterija 25 šāvieni, 30 mm mīnmetējs F3 – 1.3G</t>
  </si>
  <si>
    <t>Patarei 25 lasku, 30 mm miinipilduja F3 – 1.3G</t>
  </si>
  <si>
    <t>Telep 25 lövés, 30 mm aknavető F3 – 1.3G</t>
  </si>
  <si>
    <t>Batterie 25 Schuss, 30‑mm‑Mörser F2 – 1.4G</t>
  </si>
  <si>
    <t>Battery 25 shots, 30 mm mortar F2 – 1.4G</t>
  </si>
  <si>
    <t>Baterija 25 hitaca, minobacač 30 mm F2 – 1.4G</t>
  </si>
  <si>
    <t>Batteria 25 colpi, mortaio 30 mm F2 – 1.4G</t>
  </si>
  <si>
    <t>Baterija 25 šūvių, 30 mm minosvaidis F2 – 1.4G</t>
  </si>
  <si>
    <t>Bateria 25 strzałów, moździerz 30 mm F2 – 1.4G</t>
  </si>
  <si>
    <t>Giàn 25 phát, cối 30 mm F2 – 1.4G</t>
  </si>
  <si>
    <t>Baterija 25 šāvieni, 30 mm mīnmetējs F2 – 1.4G</t>
  </si>
  <si>
    <t>Patarei 25 lasku, 30 mm miinipilduja F2 – 1.4G</t>
  </si>
  <si>
    <t>Telep 25 lövés, 30 mm aknavető F2 – 1.4G</t>
  </si>
  <si>
    <t>Batterie 25 Schuss, 30‑mm‑Mörser – 1.4G</t>
  </si>
  <si>
    <t>Battery 25 shots, 30 mm mortar – 1.4G</t>
  </si>
  <si>
    <t>Baterija 25 hitaca, minobacač 30 mm – 1.4G</t>
  </si>
  <si>
    <t>Batteria 25 colpi, mortaio 30 mm – 1.4G</t>
  </si>
  <si>
    <t>Baterija 25 šūvių, 30 mm minosvaidis – 1.4G</t>
  </si>
  <si>
    <t>Bateria 25 strzałów, moździerz 30 mm – 1.4G</t>
  </si>
  <si>
    <t>Giàn 25 phát, cối 30 mm – 1.4G</t>
  </si>
  <si>
    <t>Baterija 25 šāvieni, 30 mm mīnmetējs – 1.4G</t>
  </si>
  <si>
    <t>Patarei 25 lasku, 30 mm miinipilduja – 1.4G</t>
  </si>
  <si>
    <t>Telep 25 lövés, 30 mm aknavető – 1.4G</t>
  </si>
  <si>
    <t>Batterie 25 Schuss, 30‑mm‑Schrägmörser – 1.4G</t>
  </si>
  <si>
    <t>Battery 25 shots, 30 mm angled mortar – 1.4G</t>
  </si>
  <si>
    <t>Baterija 25 hitaca, kosi minobacač 30 mm – 1.4G</t>
  </si>
  <si>
    <t>Batteria 25 colpi, mortaio inclinato 30 mm – 1.4G</t>
  </si>
  <si>
    <t>Baterija 25 šūvių, įstrižas 30 mm minosvaidis – 1.4G</t>
  </si>
  <si>
    <t>Bateria 25 strzałów, skośny moździerz 30 mm – 1.4G</t>
  </si>
  <si>
    <t>Giàn 25 phát, cối 30 mm bắn xiên – 1.4G</t>
  </si>
  <si>
    <t>Baterija 25 šāvieni, slīps 30 mm mīnmetējs – 1.4G</t>
  </si>
  <si>
    <t>Patarei 25 lasku, viltune 30 mm miinipilduja – 1.4G</t>
  </si>
  <si>
    <t>Telep 25 lövés, ferde 30 mm aknavető – 1.4G</t>
  </si>
  <si>
    <t>Batterie 36 Schuss, 30‑mm‑Mörser – 1.3G</t>
  </si>
  <si>
    <t>Battery 36 shots, 30 mm mortar – 1.3G</t>
  </si>
  <si>
    <t>Baterija 36 hitaca, minobacač 30 mm – 1.3G</t>
  </si>
  <si>
    <t>Batteria 36 colpi, mortaio 30 mm – 1.3G</t>
  </si>
  <si>
    <t>Baterija 36 šūvių, 30 mm minosvaidis – 1.3G</t>
  </si>
  <si>
    <t>Bateria 36 strzałów, moździerz 30 mm – 1.3G</t>
  </si>
  <si>
    <t>Giàn 36 phát, cối 30 mm – 1.3G</t>
  </si>
  <si>
    <t>Baterija 36 šāvieni, 30 mm mīnmetējs – 1.3G</t>
  </si>
  <si>
    <t>Patarei 36 lasku, 30 mm miinipilduja – 1.3G</t>
  </si>
  <si>
    <t>Telep 36 lövés, 30 mm aknavető – 1.3G</t>
  </si>
  <si>
    <t>Batterie 36 Schuss, 30‑mm‑Schrägmörser – 1.3G</t>
  </si>
  <si>
    <t>Battery 36 shots, 30 mm angled mortar – 1.3G</t>
  </si>
  <si>
    <t>Baterija 36 hitaca, kosi minobacač 30 mm – 1.3G</t>
  </si>
  <si>
    <t>Batteria 36 colpi, mortaio inclinato 30 mm – 1.3G</t>
  </si>
  <si>
    <t>Baterija 36 šūvių, įstrižas 30 mm minosvaidis – 1.3G</t>
  </si>
  <si>
    <t>Bateria 36 strzałów, skośny moździerz 30 mm – 1.3G</t>
  </si>
  <si>
    <t>Giàn 36 phát, cối 30 mm bắn xiên – 1.3G</t>
  </si>
  <si>
    <t>Baterija 36 šāvieni, slīps 30 mm mīnmetējs – 1.3G</t>
  </si>
  <si>
    <t>Patarei 36 lasku, viltune 30 mm miinipilduja – 1.3G</t>
  </si>
  <si>
    <t>Telep 36 lövés, ferde 30 mm aknavető – 1.3G</t>
  </si>
  <si>
    <t>Batterie 49 Schuss, 30‑mm‑Mörser – 1.3G</t>
  </si>
  <si>
    <t>Battery 49 shots, 30 mm mortar – 1.3G</t>
  </si>
  <si>
    <t>Baterija 49 hitaca, minobacač 30 mm – 1.3G</t>
  </si>
  <si>
    <t>Batteria 49 colpi, mortaio 30 mm – 1.3G</t>
  </si>
  <si>
    <t>Baterija 49 šūvių, 30 mm minosvaidis – 1.3G</t>
  </si>
  <si>
    <t>Bateria 49 strzałów, moździerz 30 mm – 1.3G</t>
  </si>
  <si>
    <t>Giàn 49 phát, cối 30 mm – 1.3G</t>
  </si>
  <si>
    <t>Baterija 49 šāvieni, 30 mm mīnmetējs – 1.3G</t>
  </si>
  <si>
    <t>Patarei 49 lasku, 30 mm miinipilduja – 1.3G</t>
  </si>
  <si>
    <t>Telep 49 lövés, 30 mm aknavető – 1.3G</t>
  </si>
  <si>
    <t>Batterie 49 Schuss, 30‑mm‑Schrägmörser – 1.3G</t>
  </si>
  <si>
    <t>Battery 49 shots, 30 mm angled mortar – 1.3G</t>
  </si>
  <si>
    <t>Baterija 49 hitaca, kosi minobacač 30 mm – 1.3G</t>
  </si>
  <si>
    <t>Batteria 49 colpi, mortaio inclinato 30 mm – 1.3G</t>
  </si>
  <si>
    <t>Baterija 49 šūvių, įstrižas 30 mm minosvaidis – 1.3G</t>
  </si>
  <si>
    <t>Bateria 49 strzałów, skośny moździerz 30 mm – 1.3G</t>
  </si>
  <si>
    <t>Giàn 49 phát, cối 30 mm bắn xiên – 1.3G</t>
  </si>
  <si>
    <t>Baterija 49 šāvieni, slīps 30 mm mīnmetējs – 1.3G</t>
  </si>
  <si>
    <t>Patarei 49 lasku, viltune 30 mm miinipilduja – 1.3G</t>
  </si>
  <si>
    <t>Telep 49 lövés, ferde 30 mm aknavető – 1.3G</t>
  </si>
  <si>
    <t>Batterie 50 Schuss, 30‑mm‑Mörser – 1.3G</t>
  </si>
  <si>
    <t>Battery 50 shots, 30 mm mortar – 1.3G</t>
  </si>
  <si>
    <t>Baterija 50 hitaca, minobacač 30 mm – 1.3G</t>
  </si>
  <si>
    <t>Batteria 50 colpi, mortaio 30 mm – 1.3G</t>
  </si>
  <si>
    <t>Baterija 50 šūvių, 30 mm minosvaidis – 1.3G</t>
  </si>
  <si>
    <t>Bateria 50 strzałów, moździerz 30 mm – 1.3G</t>
  </si>
  <si>
    <t>Giàn 50 phát, cối 30 mm – 1.3G</t>
  </si>
  <si>
    <t>Baterija 50 šāvieni, 30 mm mīnmetējs – 1.3G</t>
  </si>
  <si>
    <t>Patarei 50 lasku, 30 mm miinipilduja – 1.3G</t>
  </si>
  <si>
    <t>Telep 50 lövés, 30 mm aknavető – 1.3G</t>
  </si>
  <si>
    <t>Batterie 64 Schuss, 30‑mm‑Mörser – 1.3G</t>
  </si>
  <si>
    <t>Battery 64 shots, 30 mm mortar – 1.3G</t>
  </si>
  <si>
    <t>Baterija 64 hica, minobacač 30 mm – 1.3G</t>
  </si>
  <si>
    <t>Batteria 64 colpi, mortaio 30 mm – 1.3G</t>
  </si>
  <si>
    <t>Baterija 64 šūviai, 30 mm minosvaidis – 1.3G</t>
  </si>
  <si>
    <t>Bateria 64 strzały, moździerz 30 mm – 1.3G</t>
  </si>
  <si>
    <t>Baterija 64 hitaca, minobacač 30 mm – 1.3G</t>
  </si>
  <si>
    <t>Giàn 64 phát, cối 30 mm – 1.3G</t>
  </si>
  <si>
    <t>Baterija 64 šāvieni, 30 mm mīnmetējs – 1.3G</t>
  </si>
  <si>
    <t>Patarei 64 lasku, 30 mm miinipilduja – 1.3G</t>
  </si>
  <si>
    <t>Telep 64 lövés, 30 mm aknavető – 1.3G</t>
  </si>
  <si>
    <t>Batterie 64 Schuss, 30‑mm‑Schrägmörser – 1.3G</t>
  </si>
  <si>
    <t>Battery 64 shots, 30 mm angled mortar – 1.3G</t>
  </si>
  <si>
    <t>Baterija 64 hica, kosi minobacač 30 mm – 1.3G</t>
  </si>
  <si>
    <t>Batteria 64 colpi, mortaio inclinato 30 mm – 1.3G</t>
  </si>
  <si>
    <t>Baterija 64 šūviai, įstrižas 30 mm minosvaidis – 1.3G</t>
  </si>
  <si>
    <t>Bateria 64 strzały, skośny moździerz 30 mm – 1.3G</t>
  </si>
  <si>
    <t>Baterija 64 hitaca, kosi minobacač 30 mm – 1.3G</t>
  </si>
  <si>
    <t>Giàn 64 phát, cối 30 mm bắn xiên – 1.3G</t>
  </si>
  <si>
    <t>Baterija 64 šāvieni, slīps 30 mm mīnmetējs – 1.3G</t>
  </si>
  <si>
    <t>Patarei 64 lasku, viltune 30 mm miinipilduja – 1.3G</t>
  </si>
  <si>
    <t>Telep 64 lövés, ferde 30 mm aknavető – 1.3G</t>
  </si>
  <si>
    <t>Batterie 64 Schuss, 30‑mm‑gerade + schräg + V + W – 1.3G</t>
  </si>
  <si>
    <t>Battery 64 shots, 30 mm straight + angled + V + W mortar – 1.3G</t>
  </si>
  <si>
    <t>Baterija 64 hica, 30 mm ravno + koso + V + W – 1.3G</t>
  </si>
  <si>
    <t>Batteria 64 colpi, 30 mm dritto + inclinato + V + W – 1.3G</t>
  </si>
  <si>
    <t>Baterija 64 šūviai, 30 mm tiesiai + įstrižai + V + W – 1.3G</t>
  </si>
  <si>
    <t>Bateria 64 strzały, 30 mm prosto + skośnie + V + W – 1.3G</t>
  </si>
  <si>
    <t>Baterija 64 hitaca, 30 mm pravo + koso + V + W – 1.3G</t>
  </si>
  <si>
    <t>Giàn 64 phát, 30 mm bắn thẳng + xiên + V + W – 1.3G</t>
  </si>
  <si>
    <t>Baterija 64 šāvieni, 30 mm taisni + slīpi + V + W – 1.3G</t>
  </si>
  <si>
    <t>Patarei 64 lasku, 30 mm otse + viltu + V + W – 1.3G</t>
  </si>
  <si>
    <t>Telep 64 lövés, 30 mm egyenes + ferde + V + W – 1.3G</t>
  </si>
  <si>
    <t>Složený ohňostroj 30 mm – F2</t>
  </si>
  <si>
    <t>Verbundfeuerwerk 30 mm – F2</t>
  </si>
  <si>
    <t>Compound firework 30 mm – F2</t>
  </si>
  <si>
    <t>Složeni vatromet 30 mm – F2</t>
  </si>
  <si>
    <t>Fuoco d’artificio composto 30 mm – F2</t>
  </si>
  <si>
    <t>Sudėtinis fejerverkas 30 mm – F2</t>
  </si>
  <si>
    <t>Fajerwerk złożony 30 mm – F2</t>
  </si>
  <si>
    <t>Kombinovani vatromet 30 mm – F2</t>
  </si>
  <si>
    <t>Pháo hoa tổ hợp 30 mm – F2</t>
  </si>
  <si>
    <t>Kombinētais salūts 30 mm – F2</t>
  </si>
  <si>
    <t>Kombineeritud ilutulestik 30 mm – F2</t>
  </si>
  <si>
    <t>Összetett tűzijáték 30 mm – F2</t>
  </si>
  <si>
    <t>Doppel‑Verbundfeuerwerk, 30 mm F2 – 1.4G</t>
  </si>
  <si>
    <t>Double compound firework, 30 mm F2 – 1.4G</t>
  </si>
  <si>
    <t>Dvostruki složeni vatromet, 30 mm F2 – 1.4G</t>
  </si>
  <si>
    <t>Doppio fuoco d’artificio composto, 30 mm F2 – 1.4G</t>
  </si>
  <si>
    <t>Dvigubas sudėtinis fejerverkas, 30 mm F2 – 1.4G</t>
  </si>
  <si>
    <t>Podwójny fajerwerk złożony, 30 mm F2 – 1.4G</t>
  </si>
  <si>
    <t>Dupli kombinovani vatromet, 30 mm F2 – 1.4G</t>
  </si>
  <si>
    <t>Pháo hoa tổ hợp đôi, 30 mm F2 – 1.4G</t>
  </si>
  <si>
    <t>Dubultais kombinētais salūts, 30 mm F2 – 1.4G</t>
  </si>
  <si>
    <t>Kahekordne kombineeritud ilutulestik, 30 mm F2 – 1.4G</t>
  </si>
  <si>
    <t>Dupla összetett tűzijáték, 30 mm F2 – 1.4G</t>
  </si>
  <si>
    <t>Verbundfeuerwerk 30 mm – F3 – 1.3G</t>
  </si>
  <si>
    <t>Compound firework 30 mm – F3 – 1.3G</t>
  </si>
  <si>
    <t>Složeni vatromet 30 mm – F3 – 1.3G</t>
  </si>
  <si>
    <t>Fuoco d’artificio composto 30 mm – F3 – 1.3G</t>
  </si>
  <si>
    <t>Sudėtinis fejerverkas 30 mm – F3 – 1.3G</t>
  </si>
  <si>
    <t>Fajerwerk złożony 30 mm – F3 – 1.3G</t>
  </si>
  <si>
    <t>Kombinovani vatromet 30 mm – F3 – 1.3G</t>
  </si>
  <si>
    <t>Pháo hoa tổ hợp 30 mm – F3 – 1.3G</t>
  </si>
  <si>
    <t>Kombinētais salūts 30 mm – F3 – 1.3G</t>
  </si>
  <si>
    <t>Kombineeritud ilutulestik 30 mm – F3 – 1.3G</t>
  </si>
  <si>
    <t>Összetett tűzijáték 30 mm – F3 – 1.3G</t>
  </si>
  <si>
    <t>Batterie 16 Schuss, 50‑mm‑Mörser – 1.3G</t>
  </si>
  <si>
    <t>Battery 16 shots, 50 mm mortar – 1.3G</t>
  </si>
  <si>
    <t>Baterija 16 hitaca, minobacač 50 mm – 1.3G</t>
  </si>
  <si>
    <t>Batteria 16 colpi, mortaio 50 mm – 1.3G</t>
  </si>
  <si>
    <t>Baterija 16 šūvių, 50 mm minosvaidis – 1.3G</t>
  </si>
  <si>
    <t>Bateria 16 strzałów, moździerz 50 mm – 1.3G</t>
  </si>
  <si>
    <t>Giàn 16 phát, cối 50 mm – 1.3G</t>
  </si>
  <si>
    <t>Baterija 16 šāvieni, 50 mm mīnmetējs – 1.3G</t>
  </si>
  <si>
    <t>Patarei 16 lasku, 50 mm miinipilduja – 1.3G</t>
  </si>
  <si>
    <t>Telep 16 lövés, 50 mm aknavető – 1.3G</t>
  </si>
  <si>
    <t>Batterie 25 Schuss, 45‑mm‑Mörser – 1.3G</t>
  </si>
  <si>
    <t>Battery 25 shots, 45 mm mortar – 1.3G</t>
  </si>
  <si>
    <t>Baterija 25 hitaca, minobacač 45 mm – 1.3G</t>
  </si>
  <si>
    <t>Batteria 25 colpi, mortaio 45 mm – 1.3G</t>
  </si>
  <si>
    <t>Baterija 25 šūvių, 45 mm minosvaidis – 1.3G</t>
  </si>
  <si>
    <t>Bateria 25 strzałów, moździerz 45 mm – 1.3G</t>
  </si>
  <si>
    <t>Giàn 25 phát, cối 45 mm – 1.3G</t>
  </si>
  <si>
    <t>Baterija 25 šāvieni, 45 mm mīnmetējs – 1.3G</t>
  </si>
  <si>
    <t>Patarei 25 lasku, 45 mm miinipilduja – 1.3G</t>
  </si>
  <si>
    <t>Telep 25 lövés, 45 mm aknavető – 1.3G</t>
  </si>
  <si>
    <t>Batterie 25 Schuss, 50‑mm‑Mörser – 1.3G</t>
  </si>
  <si>
    <t>Battery 25 shots, 50 mm mortar – 1.3G</t>
  </si>
  <si>
    <t>Baterija 25 hitaca, minobacač 50 mm – 1.3G</t>
  </si>
  <si>
    <t>Batteria 25 colpi, mortaio 50 mm – 1.3G</t>
  </si>
  <si>
    <t>Baterija 25 šūvių, 50 mm minosvaidis – 1.3G</t>
  </si>
  <si>
    <t>Bateria 25 strzałów, moździerz 50 mm – 1.3G</t>
  </si>
  <si>
    <t>Giàn 25 phát, cối 50 mm – 1.3G</t>
  </si>
  <si>
    <t>Baterija 25 šāvieni, 50 mm mīnmetējs – 1.3G</t>
  </si>
  <si>
    <t>Patarei 25 lasku, 50 mm miinipilduja – 1.3G</t>
  </si>
  <si>
    <t>Telep 25 lövés, 50 mm aknavető – 1.3G</t>
  </si>
  <si>
    <t>Batterie 35 Schuss, 45‑mm‑Mörser – 1.3G</t>
  </si>
  <si>
    <t>Battery 35 shots, 45 mm mortar – 1.3G</t>
  </si>
  <si>
    <t>Baterija 35 hitaca, minobacač 45 mm – 1.3G</t>
  </si>
  <si>
    <t>Batteria 35 colpi, mortaio 45 mm – 1.3G</t>
  </si>
  <si>
    <t>Baterija 35 šūvių, 45 mm minosvaidis – 1.3G</t>
  </si>
  <si>
    <t>Bateria 35 strzałów, moździerz 45 mm – 1.3G</t>
  </si>
  <si>
    <t>Giàn 35 phát, cối 45 mm – 1.3G</t>
  </si>
  <si>
    <t>Baterija 35 šāvieni, 45 mm mīnmetējs – 1.3G</t>
  </si>
  <si>
    <t>Patarei 35 lasku, 45 mm miinipilduja – 1.3G</t>
  </si>
  <si>
    <t>Telep 35 lövés, 45 mm aknavető – 1.3G</t>
  </si>
  <si>
    <t>Batterie 36 Schuss, 45‑mm‑Mörser – 1.3G</t>
  </si>
  <si>
    <t>Battery 36 shots, 45 mm mortar – 1.3G</t>
  </si>
  <si>
    <t>Baterija 36 hitaca, minobacač 45 mm – 1.3G</t>
  </si>
  <si>
    <t>Batteria 36 colpi, mortaio 45 mm – 1.3G</t>
  </si>
  <si>
    <t>Baterija 36 šūvių, 45 mm minosvaidis – 1.3G</t>
  </si>
  <si>
    <t>Bateria 36 strzałów, moździerz 45 mm – 1.3G</t>
  </si>
  <si>
    <t>Giàn 36 phát, cối 45 mm – 1.3G</t>
  </si>
  <si>
    <t>Baterija 36 šāvieni, 45 mm mīnmetējs – 1.3G</t>
  </si>
  <si>
    <t>Patarei 36 lasku, 45 mm miinipilduja – 1.3G</t>
  </si>
  <si>
    <t>Telep 36 lövés, 45 mm aknavető – 1.3G</t>
  </si>
  <si>
    <t>Batterie 36 Schuss, 50‑mm‑Mörser – 1.3G</t>
  </si>
  <si>
    <t>Battery 36 shots, 50 mm mortar – 1.3G</t>
  </si>
  <si>
    <t>Baterija 36 hitaca, minobacač 50 mm – 1.3G</t>
  </si>
  <si>
    <t>Batteria 36 colpi, mortaio 50 mm – 1.3G</t>
  </si>
  <si>
    <t>Baterija 36 šūvių, 50 mm minosvaidis – 1.3G</t>
  </si>
  <si>
    <t>Bateria 36 strzałów, moździerz 50 mm – 1.3G</t>
  </si>
  <si>
    <t>Giàn 36 phát, cối 50 mm – 1.3G</t>
  </si>
  <si>
    <t>Baterija 36 šāvieni, 50 mm mīnmetējs – 1.3G</t>
  </si>
  <si>
    <t>Patarei 36 lasku, 50 mm miinipilduja – 1.3G</t>
  </si>
  <si>
    <t>Telep 36 lövés, 50 mm aknavető – 1.3G</t>
  </si>
  <si>
    <t>Verbundfeuerwerk 45 + 50 mm – 1.3G</t>
  </si>
  <si>
    <t>Compound firework 45 + 50 mm – 1.3G</t>
  </si>
  <si>
    <t>Složeni vatromet 45 + 50 mm – 1.3G</t>
  </si>
  <si>
    <t>Fuoco d’artificio composto 45 + 50 mm – 1.3G</t>
  </si>
  <si>
    <t>Sudėtinis fejerverkas 45 + 50 mm – 1.3G</t>
  </si>
  <si>
    <t>Fajerwerk złożony 45 + 50 mm – 1.3G</t>
  </si>
  <si>
    <t>Kombinovani vatromet 45 + 50 mm – 1.3G</t>
  </si>
  <si>
    <t>Pháo hoa tổ hợp 45 + 50 mm – 1.3G</t>
  </si>
  <si>
    <t>Kombinētais salūts 45 + 50 mm – 1.3G</t>
  </si>
  <si>
    <t>Kombineeritud ilutulestik 45 + 50 mm – 1.3G</t>
  </si>
  <si>
    <t>Összetett tűzijáték 45 + 50 mm – 1.3G</t>
  </si>
  <si>
    <t>Batterie mind. 250 Schuss, 50‑mm‑Mörser – 1.3G</t>
  </si>
  <si>
    <t>Battery min. 250 shots, 50 mm mortar – 1.3G</t>
  </si>
  <si>
    <t>Baterija min. 250 hitaca, minobacač 50 mm – 1.3G</t>
  </si>
  <si>
    <t>Batteria min. 250 colpi, mortaio 50 mm – 1.3G</t>
  </si>
  <si>
    <t>Baterija min. 250 šūvių, 50 mm minosvaidis – 1.3G</t>
  </si>
  <si>
    <t>Bateria min. 250 strzałów, moździerz 50 mm – 1.3G</t>
  </si>
  <si>
    <t>Giàn tối thiểu 250 phát, cối 50 mm – 1.3G</t>
  </si>
  <si>
    <t>Baterija min. 250 šāvieni, 50 mm mīnmetējs – 1.3G</t>
  </si>
  <si>
    <t>Patarei min. 250 lasku, 50 mm miinipilduja – 1.3G</t>
  </si>
  <si>
    <t>Telep min. 250 lövés, 50 mm aknavető – 1.3G</t>
  </si>
  <si>
    <t>Batterie 24 Schuss, 63‑mm‑Mörser – 1.3G</t>
  </si>
  <si>
    <t>Battery 24 shots, 63 mm mortar – 1.3G</t>
  </si>
  <si>
    <t>Baterija 24 hica, minobacač 63 mm – 1.3G</t>
  </si>
  <si>
    <t>Batteria 24 colpi, mortaio 63 mm – 1.3G</t>
  </si>
  <si>
    <t>Baterija 24 šūviai, 63 mm minosvaidis – 1.3G</t>
  </si>
  <si>
    <t>Bateria 24 strzały, moździerz 63 mm – 1.3G</t>
  </si>
  <si>
    <t>Baterija 24 hitaca, minobacač 63 mm – 1.3G</t>
  </si>
  <si>
    <t>Giàn 24 phát, cối 63 mm – 1.3G</t>
  </si>
  <si>
    <t>Baterija 24 šāvieni, 63 mm mīnmetējs – 1.3G</t>
  </si>
  <si>
    <t>Patarei 24 lasku, 63 mm miinipilduja – 1.3G</t>
  </si>
  <si>
    <t>Telep 24 lövés, 63 mm aknavető – 1.3G</t>
  </si>
  <si>
    <t>Batterie 25 Schuss, 75‑mm‑Mörser – 1.3G</t>
  </si>
  <si>
    <t>Battery 25 shots, 75 mm mortar – 1.3G</t>
  </si>
  <si>
    <t>Baterija 25 hitaca, minobacač 75 mm – 1.3G</t>
  </si>
  <si>
    <t>Batteria 25 colpi, mortaio 75 mm – 1.3G</t>
  </si>
  <si>
    <t>Baterija 25 šūvių, 75 mm minosvaidis – 1.3G</t>
  </si>
  <si>
    <t>Bateria 25 strzałów, moździerz 75 mm – 1.3G</t>
  </si>
  <si>
    <t>Giàn 25 phát, cối 75 mm – 1.3G</t>
  </si>
  <si>
    <t>Baterija 25 šāvieni, 75 mm mīnmetējs – 1.3G</t>
  </si>
  <si>
    <t>Patarei 25 lasku, 75 mm miinipilduja – 1.3G</t>
  </si>
  <si>
    <t>Telep 25 lövés, 75 mm aknavető – 1.3G</t>
  </si>
  <si>
    <t>Multikaliber‑Kompaktfeuerwerk bis 30 mm – Kategorie F2</t>
  </si>
  <si>
    <t>Multicaliber compact fireworks up to 30 mm – Category F2</t>
  </si>
  <si>
    <t>Multikalibarski kompaktni vatrometi do 30 mm – Kategorija F2</t>
  </si>
  <si>
    <t>Fuochi d’artificio compatti multicalibro fino a 30 mm – Categoria F2</t>
  </si>
  <si>
    <t>Daugiakalibriai kompaktiniai fejerverkai iki 30 mm – Kategorija F2</t>
  </si>
  <si>
    <t>Kompakty multikalibrowe do 30 mm – Kategoria F2</t>
  </si>
  <si>
    <t>Kompaktni vatrometi različitih kalibara do 30 mm – Kategorija F2</t>
  </si>
  <si>
    <t>Pháo hoa compact đa cỡ đến 30 mm – Hạng F2</t>
  </si>
  <si>
    <t>Dažādu kalibru kompaktie salūti līdz 30 mm – F2 kategorija</t>
  </si>
  <si>
    <t>Mitmekaliibrilised kompaktilutulestikud kuni 30 mm – Kategooria F2</t>
  </si>
  <si>
    <t>Multikaliber kompakt tűzijátékok 30 mm-ig – F2 kategória</t>
  </si>
  <si>
    <t>Batterie 39 Schuss, 20 + 25 + 30 mm schräg + V + W – 1.3G</t>
  </si>
  <si>
    <t>Battery 39 shots, 20 + 25 + 30 mm angled + V + W mortar – 1.3G</t>
  </si>
  <si>
    <t>Baterija 39 hitaca, 20 + 25 + 30 mm koso + V + W – 1.3G</t>
  </si>
  <si>
    <t>Batteria 39 colpi, 20 + 25 + 30 mm inclinato + V + W – 1.3G</t>
  </si>
  <si>
    <t>Baterija 39 šūvių, 20 + 25 + 30 mm įstrižai + V + W – 1.3G</t>
  </si>
  <si>
    <t>Bateria 39 strzałów, 20 + 25 + 30 mm skośnie + V + W – 1.3G</t>
  </si>
  <si>
    <t>Giàn 39 phát, 20 + 25 + 30 mm xiên + V + W – 1.3G</t>
  </si>
  <si>
    <t>Baterija 39 šāvieni, 20 + 25 + 30 mm slīpi + V + W – 1.3G</t>
  </si>
  <si>
    <t>Patarei 39 lasku, 20 + 25 + 30 mm viltu + V + W – 1.3G</t>
  </si>
  <si>
    <t>Telep 39 lövés, 20 + 25 + 30 mm ferde + V + W – 1.3G</t>
  </si>
  <si>
    <t>Batterie 46 Schuss, 20 mm (26 Schuss), 25 mm (20 Schuss)</t>
  </si>
  <si>
    <t>Battery 46 shots, 20 mm (26 shots), 25 mm (20 shots)</t>
  </si>
  <si>
    <t>Baterija 46 hitaca, 20 mm (26 hitaca), 25 mm (20 hitaca)</t>
  </si>
  <si>
    <t>Batteria 46 colpi, 20 mm (26 colpi), 25 mm (20 colpi)</t>
  </si>
  <si>
    <t>Baterija 46 šūvių, 20 mm (26 šūviai), 25 mm (20 šūvių)</t>
  </si>
  <si>
    <t>Bateria 46 strzałów, 20 mm (26 strzałów), 25 mm (20 strzałów)</t>
  </si>
  <si>
    <t>Baterija 46 hitaca, 20 mm (26), 25 mm (20)</t>
  </si>
  <si>
    <t>Giàn 46 phát, 20 mm (26 phát), 25 mm (20 phát)</t>
  </si>
  <si>
    <t>Baterija 46 šāvieni, 20 mm (26 šāvieni), 25 mm (20 šāvieni)</t>
  </si>
  <si>
    <t>Patarei 46 lasku, 20 mm (26 lasku), 25 mm (20 lasku)</t>
  </si>
  <si>
    <t>Telep 46 lövés, 20 mm (26 lövés), 25 mm (20 lövés)</t>
  </si>
  <si>
    <t>Batterie 48 Schuss, 25 mm (40 Schuss), 30 mm (4 Schuss), 50 mm (4 Schuss)</t>
  </si>
  <si>
    <t>Battery 48 shots, 25 mm (40 shots), 30 mm (4 shots), 50 mm (4 shots)</t>
  </si>
  <si>
    <t>Baterija 48 hitaca, 25 mm (40 hitaca), 30 mm (4 hica), 50 mm (4 hica)</t>
  </si>
  <si>
    <t>Batteria 48 colpi, 25 mm (40 colpi), 30 mm (4 colpi), 50 mm (4 colpi)</t>
  </si>
  <si>
    <t>Baterija 48 šūvių, 25 mm (40 šūvių), 30 mm (4 šūviai), 50 mm (4 šūviai)</t>
  </si>
  <si>
    <t>Bateria 48 strzałów, 25 mm (40 strzałów), 30 mm (4 strzały), 50 mm (4 strzały)</t>
  </si>
  <si>
    <t>Baterija 48 hitaca, 25 mm (40), 30 mm (4), 50 mm (4)</t>
  </si>
  <si>
    <t>Giàn 48 phát, 25 mm (40 phát), 30 mm (4 phát), 50 mm (4 phát)</t>
  </si>
  <si>
    <t>Baterija 48 šāvieni, 25 mm (40 šāvieni), 30 mm (4 šāvieni), 50 mm (4 šāvieni)</t>
  </si>
  <si>
    <t>Patarei 48 lasku, 25 mm (40 lasku), 30 mm (4 lasku), 50 mm (4 lasku)</t>
  </si>
  <si>
    <t>Telep 48 lövés, 25 mm (40 lövés), 30 mm (4 lövés), 50 mm (4 lövés)</t>
  </si>
  <si>
    <t>Batterie 50 Schuss, 20 + 25 + 30 mm gerade + schräg + S – 1.3G</t>
  </si>
  <si>
    <t>Battery 50 shots, 20 + 25 + 30 mm straight + angled + S mortar – 1.3G</t>
  </si>
  <si>
    <t>Baterija 50 hitaca, 20 + 25 + 30 mm ravno + koso + S – 1.3G</t>
  </si>
  <si>
    <t>Batteria 50 colpi, 20 + 25 + 30 mm dritto + inclinato + S – 1.3G</t>
  </si>
  <si>
    <t>Baterija 50 šūvių, 20 + 25 + 30 mm tiesiai + įstrižai + S – 1.3G</t>
  </si>
  <si>
    <t>Bateria 50 strzałów, 20 + 25 + 30 mm prosto + skośnie + S – 1.3G</t>
  </si>
  <si>
    <t>Baterija 50 hitaca, 20 + 25 + 30 mm pravo + koso + S – 1.3G</t>
  </si>
  <si>
    <t>Giàn 50 phát, 20 + 25 + 30 mm thẳng + xiên + S – 1.3G</t>
  </si>
  <si>
    <t>Baterija 50 šāvieni, 20 + 25 + 30 mm taisni + slīpi + S – 1.3G</t>
  </si>
  <si>
    <t>Patarei 50 lasku, 20 + 25 + 30 mm otse + viltu + S – 1.3G</t>
  </si>
  <si>
    <t>Telep 50 lövés, 20 + 25 + 30 mm egyenes + ferde + S – 1.3G</t>
  </si>
  <si>
    <t>Batterie 64 Schuss, 20 + 25 mm – 1.3G</t>
  </si>
  <si>
    <t>Battery 64 shots, 20 + 25 mm mortar – 1.3G</t>
  </si>
  <si>
    <t>Baterija 64 hica, 20 + 25 mm – 1.3G</t>
  </si>
  <si>
    <t>Batteria 64 colpi, 20 + 25 mm – 1.3G</t>
  </si>
  <si>
    <t>Baterija 64 šūviai, 20 + 25 mm – 1.3G</t>
  </si>
  <si>
    <t>Bateria 64 strzały, 20 + 25 mm – 1.3G</t>
  </si>
  <si>
    <t>Baterija 64 hitaca, 20 + 25 mm – 1.3G</t>
  </si>
  <si>
    <t>Giàn 64 phát, 20 + 25 mm – 1.3G</t>
  </si>
  <si>
    <t>Baterija 64 šāvieni, 20 + 25 mm – 1.3G</t>
  </si>
  <si>
    <t>Patarei 64 lasku, 20 + 25 mm – 1.3G</t>
  </si>
  <si>
    <t>Telep 64 lövés, 20 + 25 mm – 1.3G</t>
  </si>
  <si>
    <t>Batterie 68 Schuss, 20 + 25 + 30 mm (alle Richtungen) – 1.3G</t>
  </si>
  <si>
    <t>Battery 68 shots, 20 + 25 + 30 mm mortar (all directions) – 1.3G</t>
  </si>
  <si>
    <t>Baterija 68 hitaca, 20 + 25 + 30 mm (svi smjerovi) – 1.3G</t>
  </si>
  <si>
    <t>Batteria 68 colpi, 20 + 25 + 30 mm (tutte le direzioni) – 1.3G</t>
  </si>
  <si>
    <t>Baterija 68 šūvių, 20 + 25 + 30 mm (visomis kryptimis) – 1.3G</t>
  </si>
  <si>
    <t>Bateria 68 strzałów, 20 + 25 + 30 mm (wszystkie kierunki) – 1.3G</t>
  </si>
  <si>
    <t>Baterija 68 hitaca, 20 + 25 + 30 mm (svi pravci) – 1.3G</t>
  </si>
  <si>
    <t>Giàn 68 phát, 20 + 25 + 30 mm (mọi hướng) – 1.3G</t>
  </si>
  <si>
    <t>Baterija 68 šāvieni, 20 + 25 + 30 mm (visos virzienos) – 1.3G</t>
  </si>
  <si>
    <t>Patarei 68 lasku, 20 + 25 + 30 mm (kõik suunad) – 1.3G</t>
  </si>
  <si>
    <t>Telep 68 lövés, 20 + 25 + 30 mm (minden irány) – 1.3G</t>
  </si>
  <si>
    <t>Batterie 68 Schuss, 20 + 25 + 30 mm (alle Richtungen) – 1.4G</t>
  </si>
  <si>
    <t>Battery 68 shots, 20 + 25 + 30 mm mortar (all directions) – 1.4G</t>
  </si>
  <si>
    <t>Baterija 68 hitaca, 20 + 25 + 30 mm (svi smjerovi) – 1.4G</t>
  </si>
  <si>
    <t>Batteria 68 colpi, 20 + 25 + 30 mm (tutte le direzioni) – 1.4G</t>
  </si>
  <si>
    <t>Baterija 68 šūvių, 20 + 25 + 30 mm (visomis kryptimis) – 1.4G</t>
  </si>
  <si>
    <t>Bateria 68 strzałów, 20 + 25 + 30 mm (wszystkie kierunki) – 1.4G</t>
  </si>
  <si>
    <t>Baterija 68 hitaca, 20 + 25 + 30 mm (svi pravci) – 1.4G</t>
  </si>
  <si>
    <t>Giàn 68 phát, 20 + 25 + 30 mm (mọi hướng) – 1.4G</t>
  </si>
  <si>
    <t>Baterija 68 šāvieni, 20 + 25 + 30 mm (visos virzienos) – 1.4G</t>
  </si>
  <si>
    <t>Patarei 68 lasku, 20 + 25 + 30 mm (kõik suunad) – 1.4G</t>
  </si>
  <si>
    <t>Telep 68 lövés, 20 + 25 + 30 mm (minden irány) – 1.4G</t>
  </si>
  <si>
    <t>Batterie 77 Schuss, 20 mm (48 Schuss), 25 mm (24 Schuss), 30 mm (5 Schuss)</t>
  </si>
  <si>
    <t>Battery 77 shots, 20 mm (48 shots), 25 mm (24 shots), 30 mm (5 shots)</t>
  </si>
  <si>
    <t>Baterija 77 hitaca, 20 mm (48 hitaca), 25 mm (24 hica), 30 mm (5 hitaca)</t>
  </si>
  <si>
    <t>Batteria 77 colpi, 20 mm (48 colpi), 25 mm (24 colpi), 30 mm (5 colpi)</t>
  </si>
  <si>
    <t>Baterija 77 šūvių, 20 mm (48 šūviai), 25 mm (24 šūviai), 30 mm (5 šūviai)</t>
  </si>
  <si>
    <t>Bateria 77 strzałów, 20 mm (48 strzałów), 25 mm (24 strzały), 30 mm (5 strzałów)</t>
  </si>
  <si>
    <t>Baterija 77 hitaca, 20 mm (48), 25 mm (24), 30 mm (5)</t>
  </si>
  <si>
    <t>Giàn 77 phát, 20 mm (48 phát), 25 mm (24 phát), 30 mm (5 phát)</t>
  </si>
  <si>
    <t>Baterija 77 šāvieni, 20 mm (48 šāvieni), 25 mm (24 šāvieni), 30 mm (5 šāvieni)</t>
  </si>
  <si>
    <t>Patarei 77 lasku, 20 mm (48 lasku), 25 mm (24 lasku), 30 mm (5 lasku)</t>
  </si>
  <si>
    <t>Telep 77 lövés, 20 mm (48 lövés), 25 mm (24 lövés), 30 mm (5 lövés)</t>
  </si>
  <si>
    <t>Batterie 100 Schuss, 16 mm (82 Schuss), 20 mm (18 Schuss)</t>
  </si>
  <si>
    <t>Battery 100 shots, 16 mm (82 shots), 20 mm (18 shots)</t>
  </si>
  <si>
    <t>Baterija 100 hitaca, 16 mm (82 hica), 20 mm (18 hitaca)</t>
  </si>
  <si>
    <t>Batteria 100 colpi, 16 mm (82 colpi), 20 mm (18 colpi)</t>
  </si>
  <si>
    <t>Baterija 100 šūvių, 16 mm (82 šūviai), 20 mm (18 šūvių)</t>
  </si>
  <si>
    <t>Bateria 100 strzałów, 16 mm (82 strzały), 20 mm (18 strzałów)</t>
  </si>
  <si>
    <t>Baterija 100 hitaca, 16 mm (82), 20 mm (18)</t>
  </si>
  <si>
    <t>Giàn 100 phát, 16 mm (82 phát), 20 mm (18 phát)</t>
  </si>
  <si>
    <t>Baterija 100 šāvieni, 16 mm (82 šāvieni), 20 mm (18 šāvieni)</t>
  </si>
  <si>
    <t>Patarei 100 lasku, 16 mm (82 lasku), 20 mm (18 lasku)</t>
  </si>
  <si>
    <t>Telep 100 lövés, 16 mm (82 lövés), 20 mm (18 lövés)</t>
  </si>
  <si>
    <t>Batterie 148 Schuss, 16 mm (115 Schuss), 18 mm (26 Schuss), 20 mm (7 Schuss)</t>
  </si>
  <si>
    <t>Battery 148 shots, 16 mm (115 shots), 18 mm (26 shots), 20 mm (7 shots)</t>
  </si>
  <si>
    <t>Baterija 148 hitaca, 16 mm (115 hitaca), 18 mm (26 hitaca), 20 mm (7 hitaca)</t>
  </si>
  <si>
    <t>Batteria 148 colpi, 16 mm (115 colpi), 18 mm (26 colpi), 20 mm (7 colpi)</t>
  </si>
  <si>
    <t>Baterija 148 šūvių, 16 mm (115 šūvių), 18 mm (26 šūviai), 20 mm (7 šūviai)</t>
  </si>
  <si>
    <t>Bateria 148 strzałów, 16 mm (115 strzałów), 18 mm (26 strzałów), 20 mm (7 strzałów)</t>
  </si>
  <si>
    <t>Baterija 148 hitaca, 16 mm (115), 18 mm (26), 20 mm (7)</t>
  </si>
  <si>
    <t>Giàn 148 phát, 16 mm (115 phát), 18 mm (26 phát), 20 mm (7 phát)</t>
  </si>
  <si>
    <t>Baterija 148 šāvieni, 16 mm (115 šāvieni), 18 mm (26 šāvieni), 20 mm (7 šāvieni)</t>
  </si>
  <si>
    <t>Patarei 148 lasku, 16 mm (115 lasku), 18 mm (26 lasku), 20 mm (7 lasku)</t>
  </si>
  <si>
    <t>Telep 148 lövés, 16 mm (115 lövés), 18 mm (26 lövés), 20 mm (7 lövés)</t>
  </si>
  <si>
    <t>Batterie 165 Schuss, 16 mm (125 Schuss), 20 mm (40 Schuss)</t>
  </si>
  <si>
    <t>Battery 165 shots, 16 mm (125 shots), 20 mm (40 shots)</t>
  </si>
  <si>
    <t>Baterija 165 hitaca, 16 mm (125 hitaca), 20 mm (40 hitaca)</t>
  </si>
  <si>
    <t>Batteria 165 colpi, 16 mm (125 colpi), 20 mm (40 colpi)</t>
  </si>
  <si>
    <t>Baterija 165 šūvių, 16 mm (125 šūviai), 20 mm (40 šūvių)</t>
  </si>
  <si>
    <t>Bateria 165 strzałów, 16 mm (125 strzałów), 20 mm (40 strzałów)</t>
  </si>
  <si>
    <t>Baterija 165 hitaca, 16 mm (125), 20 mm (40)</t>
  </si>
  <si>
    <t>Giàn 165 phát, 16 mm (125 phát), 20 mm (40 phát)</t>
  </si>
  <si>
    <t>Baterija 165 šāvieni, 16 mm (125 šāvieni), 20 mm (40 šāvieni)</t>
  </si>
  <si>
    <t>Patarei 165 lasku, 16 mm (125 lasku), 20 mm (40 lasku)</t>
  </si>
  <si>
    <t>Telep 165 lövés, 16 mm (125 lövés), 20 mm (40 lövés)</t>
  </si>
  <si>
    <t>Batterie 170 Schuss, 16 mm (125 Schuss), 20 mm (40 Schuss)</t>
  </si>
  <si>
    <t>Battery 170 shots, 16 mm (125 shots), 20 mm (40 shots)</t>
  </si>
  <si>
    <t>Baterija 170 hitaca, 16 mm (125 hitaca), 20 mm (40 hitaca)</t>
  </si>
  <si>
    <t>Batteria 170 colpi, 16 mm (125 colpi), 20 mm (40 colpi)</t>
  </si>
  <si>
    <t>Baterija 170 šūvių, 16 mm (125 šūviai), 20 mm (40 šūvių)</t>
  </si>
  <si>
    <t>Bateria 170 strzałów, 16 mm (125 strzałów), 20 mm (40 strzałów)</t>
  </si>
  <si>
    <t>Baterija 170 hitaca, 16 mm (125), 20 mm (40)</t>
  </si>
  <si>
    <t>Giàn 170 phát, 16 mm (125 phát), 20 mm (40 phát)</t>
  </si>
  <si>
    <t>Baterija 170 šāvieni, 16 mm (125 šāvieni), 20 mm (40 šāvieni)</t>
  </si>
  <si>
    <t>Patarei 170 lasku, 16 mm (125 lasku), 20 mm (40 lasku)</t>
  </si>
  <si>
    <t>Telep 170 lövés, 16 mm (125 lövés), 20 mm (40 lövés)</t>
  </si>
  <si>
    <t>Multikaliber‑Kompaktfeuerwerk bis 30 mm – Kategorie F3</t>
  </si>
  <si>
    <t>Multicaliber compact fireworks up to 30 mm – Category F3</t>
  </si>
  <si>
    <t>Multikalibarski kompaktni vatrometi do 30 mm – Kategorija F3</t>
  </si>
  <si>
    <t>Fuochi d’artificio compatti multicalibro fino a 30 mm – Categoria F3</t>
  </si>
  <si>
    <t>Daugiakalibriai kompaktiniai fejerverkai iki 30 mm – Kategorija F3</t>
  </si>
  <si>
    <t>Kompakty multikalibrowe do 30 mm – Kategoria F3</t>
  </si>
  <si>
    <t>Kompaktni vatrometi različitih kalibara do 30 mm – Kategorija F3</t>
  </si>
  <si>
    <t>Pháo hoa compact đa cỡ đến 30 mm – Hạng F3</t>
  </si>
  <si>
    <t>Dažādu kalibru kompaktie salūti līdz 30 mm – F3 kategorija</t>
  </si>
  <si>
    <t>Mitmekaliibrilised kompaktilutulestikud kuni 30 mm – Kategooria F3</t>
  </si>
  <si>
    <t>Multikaliber kompakt tűzijátékok 30 mm-ig – F3 kategória</t>
  </si>
  <si>
    <t>Batterie + Fontäne 40 Schuss, 20 + 25 + 30 mm – 1.3G</t>
  </si>
  <si>
    <t>Battery + fountain 40 shots, 20 + 25 + 30 mm mortar – 1.3G</t>
  </si>
  <si>
    <t>Baterija + fontana 40 hitaca, 20 + 25 + 30 mm – 1.3G</t>
  </si>
  <si>
    <t>Batteria + fontana 40 colpi, 20 + 25 + 30 mm – 1.3G</t>
  </si>
  <si>
    <t>Baterija + fontanas 40 šūvių, 20 + 25 + 30 mm – 1.3G</t>
  </si>
  <si>
    <t>Bateria + fontanna 40 strzałów, 20 + 25 + 30 mm – 1.3G</t>
  </si>
  <si>
    <t>Giàn + đài phun 40 phát, 20 + 25 + 30 mm – 1.3G</t>
  </si>
  <si>
    <t>Baterija + strūklaka 40 šāvieni, 20 + 25 + 30 mm – 1.3G</t>
  </si>
  <si>
    <t>Patarei + purskkaev 40 lasku, 20 + 25 + 30 mm – 1.3G</t>
  </si>
  <si>
    <t>Telep + szökőkút 40 lövés, 20 + 25 + 30 mm – 1.3G</t>
  </si>
  <si>
    <t>Batterie 100 Schuss, 20 + 25 + 30 mm gerade + schräg + S – 1.3G</t>
  </si>
  <si>
    <t>Battery 100 shots, 20 + 25 + 30 mm straight + angled + S mortar – 1.3G</t>
  </si>
  <si>
    <t>Baterija 100 hitaca, 20 + 25 + 30 mm ravno + koso + S – 1.3G</t>
  </si>
  <si>
    <t>Batteria 100 colpi, 20 + 25 + 30 mm dritto + inclinato + S – 1.3G</t>
  </si>
  <si>
    <t>Baterija 100 šūvių, 20 + 25 + 30 mm tiesiai + įstrižai + S – 1.3G</t>
  </si>
  <si>
    <t>Bateria 100 strzałów, 20 + 25 + 30 mm prosto + skośnie + S – 1.3G</t>
  </si>
  <si>
    <t>Baterija 100 hitaca, 20 + 25 + 30 mm pravo + koso + S – 1.3G</t>
  </si>
  <si>
    <t>Giàn 100 phát, 20 + 25 + 30 mm thẳng + xiên + S – 1.3G</t>
  </si>
  <si>
    <t>Baterija 100 šāvieni, 20 + 25 + 30 mm taisni + slīpi + S – 1.3G</t>
  </si>
  <si>
    <t>Patarei 100 lasku, 20 + 25 + 30 mm otse + viltu + S – 1.3G</t>
  </si>
  <si>
    <t>Telep 100 lövés, 20 + 25 + 30 mm egyenes + ferde + S – 1.3G</t>
  </si>
  <si>
    <t>Batterie 106 Schuss, 20 + 25 + 30 mm gerade + schräg + S – 1.3G</t>
  </si>
  <si>
    <t>Battery 106 shots, 20 + 25 + 30 mm straight + angled + S mortar – 1.3G</t>
  </si>
  <si>
    <t>Baterija 106 hitaca, 20 + 25 + 30 mm ravno + koso + S – 1.3G</t>
  </si>
  <si>
    <t>Batteria 106 colpi, 20 + 25 + 30 mm dritto + inclinato + S – 1.3G</t>
  </si>
  <si>
    <t>Baterija 106 šūvių, 20 + 25 + 30 mm tiesiai + įstrižai + S – 1.3G</t>
  </si>
  <si>
    <t>Bateria 106 strzałów, 20 + 25 + 30 mm prosto + skośnie + S – 1.3G</t>
  </si>
  <si>
    <t>Baterija 106 hitaca, 20 + 25 + 30 mm pravo + koso + S – 1.3G</t>
  </si>
  <si>
    <t>Giàn 106 phát, 20 + 25 + 30 mm thẳng + xiên + S – 1.3G</t>
  </si>
  <si>
    <t>Baterija 106 šāvieni, 20 + 25 + 30 mm taisni + slīpi + S – 1.3G</t>
  </si>
  <si>
    <t>Patarei 106 lasku, 20 + 25 + 30 mm otse + viltu + S – 1.3G</t>
  </si>
  <si>
    <t>Telep 106 lövés, 20 + 25 + 30 mm egyenes + ferde + S – 1.3G</t>
  </si>
  <si>
    <t>Batterie 109 Schuss, 20 + 25 + 30 mm – 1.3G</t>
  </si>
  <si>
    <t>Battery 109 shots, 20 + 25 + 30 mm mortar – 1.3G</t>
  </si>
  <si>
    <t>Baterija 109 hitaca, 20 + 25 + 30 mm – 1.3G</t>
  </si>
  <si>
    <t>Batteria 109 colpi, 20 + 25 + 30 mm – 1.3G</t>
  </si>
  <si>
    <t>Baterija 109 šūvių, 20 + 25 + 30 mm – 1.3G</t>
  </si>
  <si>
    <t>Bateria 109 strzałów, 20 + 25 + 30 mm – 1.3G</t>
  </si>
  <si>
    <t>Giàn 109 phát, 20 + 25 + 30 mm – 1.3G</t>
  </si>
  <si>
    <t>Baterija 109 šāvieni, 20 + 25 + 30 mm – 1.3G</t>
  </si>
  <si>
    <t>Patarei 109 lasku, 20 + 25 + 30 mm – 1.3G</t>
  </si>
  <si>
    <t>Telep 109 lövés, 20 + 25 + 30 mm – 1.3G</t>
  </si>
  <si>
    <t>Verbundfeuerwerk Multikaliber F2 – 1.4G – maximal 1000 g NEC</t>
  </si>
  <si>
    <t>Compound firework multicaliber F2 – 1.4G – maximum 1000 g NEC</t>
  </si>
  <si>
    <t>Složeni vatromet multikalibarski F2 – 1.4G – maksimalno 1000 g NEC</t>
  </si>
  <si>
    <t>Fuoco d’artificio composto multicalibro F2 – 1.4G – massimo 1000 g NEC</t>
  </si>
  <si>
    <t>Sudėtinis fejerverkas daugiakalibris F2 – 1.4G – maks. 1000 g NEC</t>
  </si>
  <si>
    <t>Fajerwerk złożony multikalibrowy F2 – 1.4G – maks. 1000 g NEC</t>
  </si>
  <si>
    <t>Kombinovani vatromet različitih kalibara F2 – 1.4G – maks. 1000 g NEC</t>
  </si>
  <si>
    <t>Pháo hoa tổ hợp đa cỡ F2 – 1.4G – tối đa 1000 g NEC</t>
  </si>
  <si>
    <t>Kombinētais salūts dažādu kalibru F2 – 1.4G – maks. 1000 g NEC</t>
  </si>
  <si>
    <t>Kombineeritud ilutulestik mitmekaliibriline F2 – 1.4G – maks. 1000 g NEC</t>
  </si>
  <si>
    <t>Összetett tűzijáték multikaliber F2 – 1.4G – max. 1000 g NEC</t>
  </si>
  <si>
    <t>Verbundfeuerwerk Multikaliber F2 – 1.4G – maximal 2000 g NEC</t>
  </si>
  <si>
    <t>Compound firework multicaliber F2 – 1.4G – maximum 2000 g NEC</t>
  </si>
  <si>
    <t>Složeni vatromet multikalibarski F2 – 1.4G – maksimalno 2000 g NEC</t>
  </si>
  <si>
    <t>Fuoco d’artificio composto multicalibro F2 – 1.4G – massimo 2000 g NEC</t>
  </si>
  <si>
    <t>Sudėtinis fejerverkas daugiakalibris F2 – 1.4G – maks. 2000 g NEC</t>
  </si>
  <si>
    <t>Fajerwerk złożony multikalibrowy F2 – 1.4G – maks. 2000 g NEC</t>
  </si>
  <si>
    <t>Kombinovani vatromet različitih kalibara F2 – 1.4G – maks. 2000 g NEC</t>
  </si>
  <si>
    <t>Pháo hoa tổ hợp đa cỡ F2 – 1.4G – tối đa 2000 g NEC</t>
  </si>
  <si>
    <t>Kombinētais salūts dažādu kalibru F2 – 1.4G – maks. 2000 g NEC</t>
  </si>
  <si>
    <t>Kombineeritud ilutulestik mitmekaliibriline F2 – 1.4G – maks. 2000 g NEC</t>
  </si>
  <si>
    <t>Összetett tűzijáték multikaliber F2 – 1.4G – max. 2000 g NEC</t>
  </si>
  <si>
    <t>Verbundfeuerwerk, Multikaliber F2 – 1.3G</t>
  </si>
  <si>
    <t>Compound firework, multicaliber F2 – 1.3G</t>
  </si>
  <si>
    <t>Složeni vatromet, multikalibarski F2 – 1.3G</t>
  </si>
  <si>
    <t>Fuoco d’artificio composto, multicalibro F2 – 1.3G</t>
  </si>
  <si>
    <t>Sudėtinis fejerverkas, daugiakalibris F2 – 1.3G</t>
  </si>
  <si>
    <t>Fajerwerk złożony, multikalibrowy F2 – 1.3G</t>
  </si>
  <si>
    <t>Kombinovani vatromet, različiti kalibri F2 – 1.3G</t>
  </si>
  <si>
    <t>Pháo hoa tổ hợp, đa cỡ F2 – 1.3G</t>
  </si>
  <si>
    <t>Kombinētais salūts, dažādu kalibru F2 – 1.3G</t>
  </si>
  <si>
    <t>Kombineeritud ilutulestik, mitmekaliibriline F2 – 1.3G</t>
  </si>
  <si>
    <t>Összetett tűzijáték, multikaliber F2 – 1.3G</t>
  </si>
  <si>
    <t>Doppel‑Verbundfeuerwerk, Multikaliber F2 – 1.4G</t>
  </si>
  <si>
    <t>Double compound firework, multicaliber F2 – 1.4G</t>
  </si>
  <si>
    <t>Dvostruki složeni vatromet, multikalibarski F2 – 1.4G</t>
  </si>
  <si>
    <t>Doppio fuoco d’artificio composto, multicalibro F2 – 1.4G</t>
  </si>
  <si>
    <t>Dvigubas sudėtinis fejerverkas, daugiakalibris F2 – 1.4G</t>
  </si>
  <si>
    <t>Podwójny fajerwerk złożony, multikalibrowy F2 – 1.4G</t>
  </si>
  <si>
    <t>Dupli kombinovani vatromet, različiti kalibri F2 – 1.4G</t>
  </si>
  <si>
    <t>Pháo hoa tổ hợp đôi, đa cỡ F2 – 1.4G</t>
  </si>
  <si>
    <t>Dubultais kombinētais salūts, dažādu kalibru F2 – 1.4G</t>
  </si>
  <si>
    <t>Kahekordne kombineeritud ilutulestik, mitmekaliibriline F2 – 1.4G</t>
  </si>
  <si>
    <t>Dupla összetett tűzijáték, multikaliber F2 – 1.4G</t>
  </si>
  <si>
    <t>Verbundfeuerwerk, Multikaliber (20–30 mm) F3 – 1.3G</t>
  </si>
  <si>
    <t>Compound firework, multicaliber (20–30 mm) F3 – 1.3G</t>
  </si>
  <si>
    <t>Složeni vatromet, multikalibarski (20–30 mm) F3 – 1.3G</t>
  </si>
  <si>
    <t>Fuoco d’artificio composto, multicalibro (20–30 mm) F3 – 1.3G</t>
  </si>
  <si>
    <t>Sudėtinis fejerverkas, daugiakalibris (20–30 mm) F3 – 1.3G</t>
  </si>
  <si>
    <t>Fajerwerk złożony, multikalibrowy (20–30 mm) F3 – 1.3G</t>
  </si>
  <si>
    <t>Kombinovani vatromet, različiti kalibri (20–30 mm) F3 – 1.3G</t>
  </si>
  <si>
    <t>Pháo hoa tổ hợp, đa cỡ (20–30 mm) F3 – 1.3G</t>
  </si>
  <si>
    <t>Kombinētais salūts, dažādu kalibru (20–30 mm) F3 – 1.3G</t>
  </si>
  <si>
    <t>Kombineeritud ilutulestik, mitmekaliibriline (20–30 mm) F3 – 1.3G</t>
  </si>
  <si>
    <t>Összetett tűzijáték, multikaliber (20–30 mm) F3 – 1.3G</t>
  </si>
  <si>
    <t>Multikaliber‑Kompaktfeuerwerk über 30 mm</t>
  </si>
  <si>
    <t>Multicaliber compact fireworks over 30 mm</t>
  </si>
  <si>
    <t>Multikalibarski kompaktni vatrometi iznad 30 mm</t>
  </si>
  <si>
    <t>Fuochi d’artificio compatti multicalibro oltre 30 mm</t>
  </si>
  <si>
    <t>Daugiakalibriai kompaktiniai fejerverkai virš 30 mm</t>
  </si>
  <si>
    <t>Kompakty multikalibrowe powyżej 30 mm</t>
  </si>
  <si>
    <t>Kompaktni vatrometi različitih kalibara preko 30 mm</t>
  </si>
  <si>
    <t>Pháo hoa compact đa cỡ trên 30 mm</t>
  </si>
  <si>
    <t>Dažādu kalibru kompaktie salūti virs 30 mm</t>
  </si>
  <si>
    <t>Mitmekaliibrilised kompaktilutulestikud üle 30 mm</t>
  </si>
  <si>
    <t>Multikaliber kompakt tűzijátékok 30 mm felett</t>
  </si>
  <si>
    <t>Batterie 23 Schuss, 30 + 50 mm Mörser – 1.3G</t>
  </si>
  <si>
    <t>Battery 23 shots, 30 + 50 mm mortar – 1.3G</t>
  </si>
  <si>
    <t>Baterija 23 hica, 30 + 50 mm minobacač – 1.3G</t>
  </si>
  <si>
    <t>Batteria 23 colpi, mortaio 30 + 50 mm – 1.3G</t>
  </si>
  <si>
    <t>Baterija 23 šūviai, 30 + 50 mm minosvaidis – 1.3G</t>
  </si>
  <si>
    <t>Bateria 23 strzały, 30 + 50 mm moździerz – 1.3G</t>
  </si>
  <si>
    <t>Baterija 23 hitaca, 30 + 50 mm minobacač – 1.3G</t>
  </si>
  <si>
    <t>Giàn 23 phát, cối 30 + 50 mm – 1.3G</t>
  </si>
  <si>
    <t>Baterija 23 šāvieni, 30 + 50 mm mīnmetējs – 1.3G</t>
  </si>
  <si>
    <t>Patarei 23 lasku, 30 + 50 mm miinipilduja – 1.3G</t>
  </si>
  <si>
    <t>Telep 23 lövés, 30 + 50 mm aknavető – 1.3G</t>
  </si>
  <si>
    <t>Batterie 24 Schuss, 20 + 24 + 30 + 40 mm Mörser – 1.3G</t>
  </si>
  <si>
    <t>Battery 24 shots, 20 + 24 + 30 + 40 mm mortar – 1.3G</t>
  </si>
  <si>
    <t>Baterija 24 hica, 20 + 24 + 30 + 40 mm minobacač – 1.3G</t>
  </si>
  <si>
    <t>Batteria 24 colpi, mortaio 20 + 24 + 30 + 40 mm – 1.3G</t>
  </si>
  <si>
    <t>Baterija 24 šūviai, 20 + 24 + 30 + 40 mm minosvaidis – 1.3G</t>
  </si>
  <si>
    <t>Bateria 24 strzały, 20 + 24 + 30 + 40 mm moździerz – 1.3G</t>
  </si>
  <si>
    <t>Baterija 24 hitaca, 20 + 24 + 30 + 40 mm minobacač – 1.3G</t>
  </si>
  <si>
    <t>Giàn 24 phát, cối 20 + 24 + 30 + 40 mm – 1.3G</t>
  </si>
  <si>
    <t>Baterija 24 šāvieni, 20 + 24 + 30 + 40 mm mīnmetējs – 1.3G</t>
  </si>
  <si>
    <t>Patarei 24 lasku, 20 + 24 + 30 + 40 mm miinipilduja – 1.3G</t>
  </si>
  <si>
    <t>Telep 24 lövés, 20 + 24 + 30 + 40 mm aknavető – 1.3G</t>
  </si>
  <si>
    <t>Batterie 36 Schuss, 36 + 50 mm Mörser – 1.3G</t>
  </si>
  <si>
    <t>Battery 36 shots, 36 + 50 mm mortar – 1.3G</t>
  </si>
  <si>
    <t>Baterija 36 hitaca, 36 + 50 mm minobacač – 1.3G</t>
  </si>
  <si>
    <t>Batteria 36 colpi, mortaio 36 + 50 mm – 1.3G</t>
  </si>
  <si>
    <t>Baterija 36 šūvių, 36 + 50 mm minosvaidis – 1.3G</t>
  </si>
  <si>
    <t>Bateria 36 strzałów, 36 + 50 mm moździerz – 1.3G</t>
  </si>
  <si>
    <t>Giàn 36 phát, cối 36 + 50 mm – 1.3G</t>
  </si>
  <si>
    <t>Baterija 36 šāvieni, 36 + 50 mm mīnmetējs – 1.3G</t>
  </si>
  <si>
    <t>Patarei 36 lasku, 36 + 50 mm miinipilduja – 1.3G</t>
  </si>
  <si>
    <t>Telep 36 lövés, 36 + 50 mm aknavető – 1.3G</t>
  </si>
  <si>
    <t>Batterie 42 Schuss, 25 + 40 mm gerade + schräg – 1.3G</t>
  </si>
  <si>
    <t>Battery 42 shots, 25 + 40 mm straight + angled mortar – 1.3G</t>
  </si>
  <si>
    <t>Baterija 42 hica, 25 + 40 mm ravno + koso – 1.3G</t>
  </si>
  <si>
    <t>Batteria 42 colpi, 25 + 40 mm dritto + inclinato – 1.3G</t>
  </si>
  <si>
    <t>Baterija 42 šūviai, 25 + 40 mm tiesiai + įstrižai – 1.3G</t>
  </si>
  <si>
    <t>Bateria 42 strzały, 25 + 40 mm prosto + skośnie – 1.3G</t>
  </si>
  <si>
    <t>Baterija 42 hitaca, 25 + 40 mm pravo + koso – 1.3G</t>
  </si>
  <si>
    <t>Giàn 42 phát, 25 + 40 mm bắn thẳng + xiên – 1.3G</t>
  </si>
  <si>
    <t>Baterija 42 šāvieni, 25 + 40 mm taisni + slīpi – 1.3G</t>
  </si>
  <si>
    <t>Patarei 42 lasku, 25 + 40 mm otse + viltu – 1.3G</t>
  </si>
  <si>
    <t>Telep 42 lövés, 25 + 40 mm egyenes + ferde – 1.3G</t>
  </si>
  <si>
    <t>Batterie 47 Schuss, 30 + 50 mm gerade + schräg – 1.3G</t>
  </si>
  <si>
    <t>Battery 47 shots, 30 + 50 mm straight + angled mortar – 1.3G</t>
  </si>
  <si>
    <t>Baterija 47 hitaca, 30 + 50 mm ravno + koso – 1.3G</t>
  </si>
  <si>
    <t>Batteria 47 colpi, 30 + 50 mm dritto + inclinato – 1.3G</t>
  </si>
  <si>
    <t>Baterija 47 šūvių, 30 + 50 mm tiesiai + įstrižai – 1.3G</t>
  </si>
  <si>
    <t>Bateria 47 strzałów, 30 + 50 mm prosto + skośnie – 1.3G</t>
  </si>
  <si>
    <t>Baterija 47 hitaca, 30 + 50 mm pravo + koso – 1.3G</t>
  </si>
  <si>
    <t>Giàn 47 phát, 30 + 50 mm bắn thẳng + xiên – 1.3G</t>
  </si>
  <si>
    <t>Baterija 47 šāvieni, 30 + 50 mm taisni + slīpi – 1.3G</t>
  </si>
  <si>
    <t>Patarei 47 lasku, 30 + 50 mm otse + viltu – 1.3G</t>
  </si>
  <si>
    <t>Telep 47 lövés, 30 + 50 mm egyenes + ferde – 1.3G</t>
  </si>
  <si>
    <t>Batterie 63 Schuss, 25 + 45 mm gerade + schräg – 1.3G</t>
  </si>
  <si>
    <t>Battery 63 shots, 25 + 45 mm straight + angled mortar – 1.3G</t>
  </si>
  <si>
    <t>Baterija 63 hica, 25 + 45 mm ravno + koso – 1.3G</t>
  </si>
  <si>
    <t>Batteria 63 colpi, 25 + 45 mm dritto + inclinato – 1.3G</t>
  </si>
  <si>
    <t>Baterija 63 šūviai, 25 + 45 mm tiesiai + įstrižai – 1.3G</t>
  </si>
  <si>
    <t>Bateria 63 strzały, 25 + 45 mm prosto + skośnie – 1.3G</t>
  </si>
  <si>
    <t>Baterija 63 hitaca, 25 + 45 mm pravo + koso – 1.3G</t>
  </si>
  <si>
    <t>Giàn 63 phát, 25 + 45 mm bắn thẳng + xiên – 1.3G</t>
  </si>
  <si>
    <t>Baterija 63 šāvieni, 25 + 45 mm taisni + slīpi – 1.3G</t>
  </si>
  <si>
    <t>Patarei 63 lasku, 25 + 45 mm otse + viltu – 1.3G</t>
  </si>
  <si>
    <t>Telep 63 lövés, 25 + 45 mm egyenes + ferde – 1.3G</t>
  </si>
  <si>
    <t>Batterie 66 Schuss, 20 + 25 + 30 + 48 mm Mörser – 1.3G</t>
  </si>
  <si>
    <t>Battery 66 shots, 20 + 25 + 30 + 48 mm mortar – 1.3G</t>
  </si>
  <si>
    <t>Baterija 66 hitaca, 20 + 25 + 30 + 48 mm minobacač – 1.3G</t>
  </si>
  <si>
    <t>Batteria 66 colpi, 20 + 25 + 30 + 48 mm – 1.3G</t>
  </si>
  <si>
    <t>Baterija 66 šūvių, 20 + 25 + 30 + 48 mm minosvaidis – 1.3G</t>
  </si>
  <si>
    <t>Bateria 66 strzałów, 20 + 25 + 30 + 48 mm moździerz – 1.3G</t>
  </si>
  <si>
    <t>Giàn 66 phát, 20 + 25 + 30 + 48 mm – 1.3G</t>
  </si>
  <si>
    <t>Baterija 66 šāvieni, 20 + 25 + 30 + 48 mm mīnmetējs – 1.3G</t>
  </si>
  <si>
    <t>Patarei 66 lasku, 20 + 25 + 30 + 48 mm miinipilduja – 1.3G</t>
  </si>
  <si>
    <t>Telep 66 lövés, 20 + 25 + 30 + 48 mm aknavető – 1.3G</t>
  </si>
  <si>
    <t>Verbundfeuerwerk, Multikaliber (30–50 mm) F3 – 1.3G</t>
  </si>
  <si>
    <t>Compound firework, multicaliber (30–50 mm) F3 – 1.3G</t>
  </si>
  <si>
    <t>Složeni vatromet, multikalibarski (30–50 mm) F3 – 1.3G</t>
  </si>
  <si>
    <t>Fuoco d’artificio composto, multicalibro (30–50 mm) F3 – 1.3G</t>
  </si>
  <si>
    <t>Sudėtinis fejerverkas, daugiakalibris (30–50 mm) F3 – 1.3G</t>
  </si>
  <si>
    <t>Fajerwerk złożony, multikalibrowy (30–50 mm) F3 – 1.3G</t>
  </si>
  <si>
    <t>Kombinovani vatromet, različiti kalibri (30–50 mm) F3 – 1.3G</t>
  </si>
  <si>
    <t>Pháo hoa tổ hợp, đa cỡ (30–50 mm) F3 – 1.3G</t>
  </si>
  <si>
    <t>Kombinētais salūts, dažādu kalibru (30–50 mm) F3 – 1.3G</t>
  </si>
  <si>
    <t>Kombineeritud ilutulestik, mitmekaliibriline (30–50 mm) F3 – 1.3G</t>
  </si>
  <si>
    <t>Összetett tűzijáték, multikaliber (30–50 mm) F3 – 1.3G</t>
  </si>
  <si>
    <t>Multikaliber‑Batterie (mehrere Mörserdurchmesser + verschiedene Winkel) F4 – 1.3G</t>
  </si>
  <si>
    <t>Multicaliber battery (multiple mortar diameters + various mortar angles) F4 – 1.3G</t>
  </si>
  <si>
    <t>Multikalibarska baterija (više promjera minobacača + različiti kutovi) F4 – 1.3G</t>
  </si>
  <si>
    <t>Batteria multicalibro (diversi diametri + vari angoli dei mortai) F4 – 1.3G</t>
  </si>
  <si>
    <t>Daugiakalibrė baterija (skirtingi minosvaidžių skersmenys + įvairūs kampai) F4 – 1.3G</t>
  </si>
  <si>
    <t>Bateria multikalibrowa (różne średnice moździerzy + różne kąty) F4 – 1.3G</t>
  </si>
  <si>
    <t>Baterija različitih kalibara (različiti prečnici cevi + različiti uglovi) F4 – 1.3G</t>
  </si>
  <si>
    <t>Giàn đa cỡ (nhiều đường kính ống + nhiều góc bắn) F4 – 1.3G</t>
  </si>
  <si>
    <t>Dažādu kalibru baterija (dažādi cauruļu diametri + dažādi leņķi) F4 – 1.3G</t>
  </si>
  <si>
    <t>Mitmekaliibriline patarei (erinevad toru läbimõõdud + erinevad nurgad) F4 – 1.3G</t>
  </si>
  <si>
    <t>Multikaliber telep (különböző csőátmérők + különböző szögek) F4 – 1.3G</t>
  </si>
  <si>
    <t>Riakeo‑Batterien</t>
  </si>
  <si>
    <t>Riakeo batteries</t>
  </si>
  <si>
    <t>Batterie Riakeo</t>
  </si>
  <si>
    <t>Riakeo baterijos</t>
  </si>
  <si>
    <t>Baterie Riakeo</t>
  </si>
  <si>
    <t>Giàn Riakeo</t>
  </si>
  <si>
    <t>Riakeo baterijas</t>
  </si>
  <si>
    <t>Riakeo patareid</t>
  </si>
  <si>
    <t>Riakeo telepek</t>
  </si>
  <si>
    <t>Riakeo‑Verbundfeuerwerke</t>
  </si>
  <si>
    <t>Riakeo compound fireworks</t>
  </si>
  <si>
    <t>Riakeo složeni vatrometi</t>
  </si>
  <si>
    <t>Fuochi d’artificio composti Riakeo</t>
  </si>
  <si>
    <t>Riakeo sudėtiniai fejerverkai</t>
  </si>
  <si>
    <t>Fajerwerki złożone Riakeo</t>
  </si>
  <si>
    <t>Riakeo kombinovani vatrometi</t>
  </si>
  <si>
    <t>Pháo hoa tổ hợp Riakeo</t>
  </si>
  <si>
    <t>Riakeo kombinētie salūti</t>
  </si>
  <si>
    <t>Riakeo kombineeritud ilutulestikud</t>
  </si>
  <si>
    <t>Riakeo összetett tűzijátékok</t>
  </si>
  <si>
    <t>Riakeo‑Doppel‑Verbundfeuerwerke</t>
  </si>
  <si>
    <t>Riakeo double compound fireworks</t>
  </si>
  <si>
    <t>Riakeo dvostruki složeni vatrometi</t>
  </si>
  <si>
    <t>Doppi fuochi d’artificio composti Riakeo</t>
  </si>
  <si>
    <t>Riakeo dvigubi sudėtiniai fejerverkai</t>
  </si>
  <si>
    <t>Podwójne fajerwerki złożone Riakeo</t>
  </si>
  <si>
    <t>Riakeo dupli kombinovani vatrometi</t>
  </si>
  <si>
    <t>Pháo hoa tổ hợp đôi Riakeo</t>
  </si>
  <si>
    <t>Riakeo dubultie kombinētie salūti</t>
  </si>
  <si>
    <t>Riakeo kahekordsed kombineeritud ilutulestikud</t>
  </si>
  <si>
    <t>Riakeo dupla összetett tűzijátékok</t>
  </si>
  <si>
    <t>Batterie 135 Schuss, 20‑mm‑Schrägmörser</t>
  </si>
  <si>
    <t>Battery 135 shots, 20 mm angled mortar</t>
  </si>
  <si>
    <t>Baterija 135 hitaca, kosi minobacač 20 mm</t>
  </si>
  <si>
    <t>Batteria 135 colpi, mortaio inclinato 20 mm</t>
  </si>
  <si>
    <t>Baterija 135 šūvių, įstrižas 20 mm minosvaidis</t>
  </si>
  <si>
    <t>Bateria 135 strzałów, skośny moździerz 20 mm</t>
  </si>
  <si>
    <t>Giàn 135 phát, cối 20 mm bắn xiên</t>
  </si>
  <si>
    <t>Baterija 135 šāvieni, slīps 20 mm mīnmetējs</t>
  </si>
  <si>
    <t>Patarei 135 lasku, viltune 20 mm miinipilduja</t>
  </si>
  <si>
    <t>Telep 135 lövés, ferde 20 mm aknavető</t>
  </si>
  <si>
    <t>Batterie 25 Schuss, 30‑mm‑Mörser</t>
  </si>
  <si>
    <t>Battery 25 shots, 30 mm mortar</t>
  </si>
  <si>
    <t>Baterija 25 hitaca, minobacač 30 mm</t>
  </si>
  <si>
    <t>Batteria 25 colpi, mortaio 30 mm</t>
  </si>
  <si>
    <t>Baterija 25 šūvių, 30 mm minosvaidis</t>
  </si>
  <si>
    <t>Bateria 25 strzałów, moździerz 30 mm</t>
  </si>
  <si>
    <t>Giàn 25 phát, cối 30 mm</t>
  </si>
  <si>
    <t>Baterija 25 šāvieni, 30 mm mīnmetējs</t>
  </si>
  <si>
    <t>Patarei 25 lasku, 30 mm miinipilduja</t>
  </si>
  <si>
    <t>Telep 25 lövés, 30 mm aknavető</t>
  </si>
  <si>
    <t>Batterie 50 Schuss, 30‑mm‑Schrägmörser</t>
  </si>
  <si>
    <t>Battery 50 shots, 30 mm angled mortar</t>
  </si>
  <si>
    <t>Baterija 50 hitaca, kosi minobacač 30 mm</t>
  </si>
  <si>
    <t>Batteria 50 colpi, mortaio inclinato 30 mm</t>
  </si>
  <si>
    <t>Baterija 50 šūvių, įstrižas 30 mm minosvaidis</t>
  </si>
  <si>
    <t>Bateria 50 strzałów, skośny moździerz 30 mm</t>
  </si>
  <si>
    <t>Giàn 50 phát, cối 30 mm bắn xiên</t>
  </si>
  <si>
    <t>Baterija 50 šāvieni, slīps 30 mm mīnmetējs</t>
  </si>
  <si>
    <t>Patarei 50 lasku, viltune 30 mm miinipilduja</t>
  </si>
  <si>
    <t>Telep 50 lövés, ferde 30 mm aknavető</t>
  </si>
  <si>
    <t>Batterie 50 Schuss, 30‑mm‑S‑Muster‑Mörser</t>
  </si>
  <si>
    <t>Battery 50 shots, 30 mm S‑pattern mortar</t>
  </si>
  <si>
    <t>Baterija 50 hitaca, minobacač 30 mm S‑uzorak</t>
  </si>
  <si>
    <t>Batteria 50 colpi, mortaio 30 mm a schema S</t>
  </si>
  <si>
    <t>Baterija 50 šūvių, 30 mm minosvaidis S raštas</t>
  </si>
  <si>
    <t>Bateria 50 strzałów, moździerz 30 mm w układzie S</t>
  </si>
  <si>
    <t>Baterija 50 hitaca, minobacač 30 mm S obrazac</t>
  </si>
  <si>
    <t>Giàn 50 phát, cối 30 mm họa tiết S</t>
  </si>
  <si>
    <t>Baterija 50 šāvieni, 30 mm mīnmetējs S raksts</t>
  </si>
  <si>
    <t>Patarei 50 lasku, 30 mm miinipilduja S‑mustriga</t>
  </si>
  <si>
    <t>Telep 50 lövés, 30 mm aknavető S mintázat</t>
  </si>
  <si>
    <t>Kugelbomben 50 mm</t>
  </si>
  <si>
    <t>Spherical shells 50 mm</t>
  </si>
  <si>
    <t>Kuglasti projektili 50 mm</t>
  </si>
  <si>
    <t>Proiettili sferici 50 mm</t>
  </si>
  <si>
    <t>Sferiniai sviediniai 50 mm</t>
  </si>
  <si>
    <t>Pociski kuliste 50 mm</t>
  </si>
  <si>
    <t>Sferične mine 50 mm</t>
  </si>
  <si>
    <t>Đạn cầu 50 mm</t>
  </si>
  <si>
    <t>Sfēriskie lādiņi 50 mm</t>
  </si>
  <si>
    <t>Sfäärilised miinid 50 mm</t>
  </si>
  <si>
    <t>Gömbbombák 50 mm</t>
  </si>
  <si>
    <t>Kugelbomben 75 mm, Premiumqualität</t>
  </si>
  <si>
    <t>Spherical shells 75 mm, premium quality</t>
  </si>
  <si>
    <t>Kuglasti projektili 75 mm, premium kvaliteta</t>
  </si>
  <si>
    <t>Proiettili sferici 75 mm, qualità premium</t>
  </si>
  <si>
    <t>Sferiniai sviediniai 75 mm, premium kokybė</t>
  </si>
  <si>
    <t>Pociski kuliste 75 mm, jakość premium</t>
  </si>
  <si>
    <t>Sferične mine 75 mm, premium kvalitet</t>
  </si>
  <si>
    <t>Đạn cầu 75 mm, chất lượng cao</t>
  </si>
  <si>
    <t>Sfēriskie lādiņi 75 mm, premium kvalitāte</t>
  </si>
  <si>
    <t>Sfäärilised miinid 75 mm, premium‑kvaliteet</t>
  </si>
  <si>
    <t>Gömbbombák 75 mm, prémium minőség</t>
  </si>
  <si>
    <t>Kugelbomben 100 mm</t>
  </si>
  <si>
    <t>Spherical shells 100 mm</t>
  </si>
  <si>
    <t>Kuglasti projektili 100 mm</t>
  </si>
  <si>
    <t>Proiettili sferici 100 mm</t>
  </si>
  <si>
    <t>Sferiniai sviediniai 100 mm</t>
  </si>
  <si>
    <t>Pociski kuliste 100 mm</t>
  </si>
  <si>
    <t>Sferične mine 100 mm</t>
  </si>
  <si>
    <t>Đạn cầu 100 mm</t>
  </si>
  <si>
    <t>Sfēriskie lādiņi 100 mm</t>
  </si>
  <si>
    <t>Sfäärilised miinid 100 mm</t>
  </si>
  <si>
    <t>Gömbbombák 100 mm</t>
  </si>
  <si>
    <t>Kugelbomben 100 mm, Premiumqualität</t>
  </si>
  <si>
    <t>Spherical shells 100 mm, premium quality</t>
  </si>
  <si>
    <t>Kuglasti projektili 100 mm, premium kvaliteta</t>
  </si>
  <si>
    <t>Proiettili sferici 100 mm, qualità premium</t>
  </si>
  <si>
    <t>Sferiniai sviediniai 100 mm, premium kokybė</t>
  </si>
  <si>
    <t>Pociski kuliste 100 mm, jakość premium</t>
  </si>
  <si>
    <t>Sferične mine 100 mm, premium kvalitet</t>
  </si>
  <si>
    <t>Đạn cầu 100 mm, chất lượng cao</t>
  </si>
  <si>
    <t>Sfēriskie lādiņi 100 mm, premium kvalitāte</t>
  </si>
  <si>
    <t>Sfäärilised miinid 100 mm, premium‑kvaliteet</t>
  </si>
  <si>
    <t>Gömbbombák 100 mm, prémium minőség</t>
  </si>
  <si>
    <t>Kugelbomben 125 mm, Premiumqualität</t>
  </si>
  <si>
    <t>Spherical shells 125 mm, premium quality</t>
  </si>
  <si>
    <t>Kuglasti projektili 125 mm, premium kvaliteta</t>
  </si>
  <si>
    <t>Proiettili sferici 125 mm, qualità premium</t>
  </si>
  <si>
    <t>Sferiniai sviediniai 125 mm, premium kokybė</t>
  </si>
  <si>
    <t>Pociski kuliste 125 mm, jakość premium</t>
  </si>
  <si>
    <t>Sferične mine 125 mm, premium kvalitet</t>
  </si>
  <si>
    <t>Đạn cầu 125 mm, chất lượng cao</t>
  </si>
  <si>
    <t>Sfēriskie lādiņi 125 mm, premium kvalitāte</t>
  </si>
  <si>
    <t>Sfäärilised miinid 125 mm, premium‑kvaliteet</t>
  </si>
  <si>
    <t>Gömbbombák 125 mm, prémium minőség</t>
  </si>
  <si>
    <t>Kugelbomben 150 mm</t>
  </si>
  <si>
    <t>Spherical shells 150 mm</t>
  </si>
  <si>
    <t>Kuglasti projektili 150 mm</t>
  </si>
  <si>
    <t>Proiettili sferici 150 mm</t>
  </si>
  <si>
    <t>Sferiniai sviediniai 150 mm</t>
  </si>
  <si>
    <t>Pociski kuliste 150 mm</t>
  </si>
  <si>
    <t>Sferične mine 150 mm</t>
  </si>
  <si>
    <t>Đạn cầu 150 mm</t>
  </si>
  <si>
    <t>Sfēriskie lādiņi 150 mm</t>
  </si>
  <si>
    <t>Sfäärilised miinid 150 mm</t>
  </si>
  <si>
    <t>Gömbbombák 150 mm</t>
  </si>
  <si>
    <t>Kugelbomben 150 mm, Premiumqualität</t>
  </si>
  <si>
    <t>Spherical shells 150 mm, premium quality</t>
  </si>
  <si>
    <t>Kuglasti projektili 150 mm, premium kvaliteta</t>
  </si>
  <si>
    <t>Proiettili sferici 150 mm, qualità premium</t>
  </si>
  <si>
    <t>Sferiniai sviediniai 150 mm, premium kokybė</t>
  </si>
  <si>
    <t>Pociski kuliste 150 mm, jakość premium</t>
  </si>
  <si>
    <t>Sferične mine 150 mm, premium kvalitet</t>
  </si>
  <si>
    <t>Đạn cầu 150 mm, chất lượng cao</t>
  </si>
  <si>
    <t>Sfēriskie lādiņi 150 mm, premium kvalitāte</t>
  </si>
  <si>
    <t>Sfäärilised miinid 150 mm, premium‑kvaliteet</t>
  </si>
  <si>
    <t>Gömbbombák 150 mm, prémium minőség</t>
  </si>
  <si>
    <t>Riakeo‑Kugelbomben</t>
  </si>
  <si>
    <t>Riakeo spherical shells</t>
  </si>
  <si>
    <t>Riakeo kuglasti projektili</t>
  </si>
  <si>
    <t>Proiettili sferici Riakeo</t>
  </si>
  <si>
    <t>Riakeo sferiniai sviediniai</t>
  </si>
  <si>
    <t>Pociski kuliste Riakeo</t>
  </si>
  <si>
    <t>Riakeo sferične mine</t>
  </si>
  <si>
    <t>Đạn cầu Riakeo</t>
  </si>
  <si>
    <t>Riakeo sfēriskie lādiņi</t>
  </si>
  <si>
    <t>Riakeo sfäärilised miinid</t>
  </si>
  <si>
    <t>Riakeo gömbbombák</t>
  </si>
  <si>
    <t>Unzerstörbare Mörser</t>
  </si>
  <si>
    <t>Neuništivi minobacači</t>
  </si>
  <si>
    <t>Nesunaikinami minosvaidžiai</t>
  </si>
  <si>
    <t>Ống cối siêu bền</t>
  </si>
  <si>
    <t>Neiznīcināmie mīnmetēji</t>
  </si>
  <si>
    <t>Purunemiskindlad miinipildujad</t>
  </si>
  <si>
    <t>Elpusztíthatatlan aknavetők</t>
  </si>
  <si>
    <t>Indoor‑Fontänen, Jets, Wasserfälle</t>
  </si>
  <si>
    <t>Indoor fountains, jets, waterfalls</t>
  </si>
  <si>
    <t>Unutarnje fontane, mlazovi, slapovi</t>
  </si>
  <si>
    <t>Fontane da interno, getti, cascate</t>
  </si>
  <si>
    <t>Vidaus fontanai, srovės, kriokliai</t>
  </si>
  <si>
    <t>Fontanny wewnętrzne, strumienie, wodospady</t>
  </si>
  <si>
    <t>Unutrašnje fontane, mlazevi, vodopadi</t>
  </si>
  <si>
    <t>Đài phun nước trong nhà, tia nước, thác nước</t>
  </si>
  <si>
    <t>Iekštelpu strūklakas, strūklas, ūdenskritumi</t>
  </si>
  <si>
    <t>Sise‑purskkaevud, jugad, kosed</t>
  </si>
  <si>
    <t>Beltéri szökőkutak, sugarak, vízesések</t>
  </si>
  <si>
    <t>katalog produktů</t>
  </si>
  <si>
    <t>product catalogue / product catalog</t>
  </si>
  <si>
    <t>Produktkatalog</t>
  </si>
  <si>
    <t>catalogo prodotti / catalogo dei prodotti</t>
  </si>
  <si>
    <t>katalog produktów</t>
  </si>
  <si>
    <t>danh mục sản phẩm</t>
  </si>
  <si>
    <t>produktų katalogas</t>
  </si>
  <si>
    <t>tootekataloog</t>
  </si>
  <si>
    <t>termékkatalógus</t>
  </si>
  <si>
    <t>produktu katalogs</t>
  </si>
  <si>
    <t>Baterie min 16 ran, 50 mm moždíř – 1.4G</t>
  </si>
  <si>
    <t>Minen-Batterie, 16 Schuss, 50‑mm Mörser – 1.4G</t>
  </si>
  <si>
    <t>Baterija mina efekta, 16 hitaca, 50‑mm minobacač – 1.4G</t>
  </si>
  <si>
    <t>Batteria effetto mina, 16 colpi, mortaio da 50 mm – 1.4G</t>
  </si>
  <si>
    <t>Mina efekto baterija, 16 šūvių, 50 mm minosvaidis – 1.4G</t>
  </si>
  <si>
    <t>Bateria z efektem miny, 16 strzałów, moździerz 50 mm – 1.4G</t>
  </si>
  <si>
    <t>Baterija sa mina efektom, 16 hitaca, minobacač 50 mm – 1.4G</t>
  </si>
  <si>
    <t>Pin hiệu ứng mìn, 16 phát, cối 50 mm – 1.4G</t>
  </si>
  <si>
    <t>Mīnas efekta baterija, 16 šāvieni, 50 mm mīnmetējs – 1.4G</t>
  </si>
  <si>
    <t>Miini efektiga patarei, 16 lasku, 50 mm miinipilduja – 1.4G</t>
  </si>
  <si>
    <t>Aknahatású telep, 16 lövés, 50 mm aknavető – 1.4G</t>
  </si>
  <si>
    <t>16sh Battery of mine, 50mm mortars – 1.4G</t>
  </si>
  <si>
    <t xml:space="preserve"> 42/40</t>
  </si>
  <si>
    <t>CZ, SK, DE, PL, LT, EN, FR</t>
  </si>
  <si>
    <t>CZ, SK, DE, PL, LT</t>
  </si>
  <si>
    <t>CZ, SK, DE, LT, PL, EN, FR</t>
  </si>
  <si>
    <t>CZ, SK, LT, DE, PL</t>
  </si>
  <si>
    <t>CZ, SK, PL, EST, DE, EN, SRB, LT, HU, FR, IT, NL</t>
  </si>
  <si>
    <t>CZ, SK, PL, LT, DE, EN, SRB, EST, HR, FR, HU, IT, SLO, NL, DK, RO</t>
  </si>
  <si>
    <t>CZ, SK, PL, LT, DE, EN, SRB, EST, HR, FR, HU, IT, SLO, NL, DK</t>
  </si>
  <si>
    <t>75/20</t>
  </si>
  <si>
    <t>CZ, SK, PL, LT, D</t>
  </si>
  <si>
    <t>CZ, SK, PL, LT, D, NL</t>
  </si>
  <si>
    <t>CZ, SK, PL, D, LT</t>
  </si>
  <si>
    <t>CZ, SK, PL, DE, LT, EN, SRB, EST     </t>
  </si>
  <si>
    <t>CZ, SK, EN, PL, LT, FR, DE</t>
  </si>
  <si>
    <t>CZ, SK, PL, DE, LT, EN, EST, HU, FR, SRB, HR</t>
  </si>
  <si>
    <t>CZ, SK, PL, LT, EN, SRB, EST, FR, IT, DE</t>
  </si>
  <si>
    <t>CZ, SK, PL, DE, EN, LT, SRB, EST</t>
  </si>
  <si>
    <t>CZ, SK, EN, PL, LT, SRB</t>
  </si>
  <si>
    <t>CZ, SK, PL, LT, EN, SRB, EST, DE</t>
  </si>
  <si>
    <t>CZ, SK, PL, LT, DE, EN, SRB, EST, HR, FR, HU, IT, NL, DK</t>
  </si>
  <si>
    <t>Účet zdarma s bonusem až 4 000 Kč. To mě zajímá</t>
  </si>
  <si>
    <t>Bonus až 4 000 Kč a účet zdarma. To mě zajímá</t>
  </si>
  <si>
    <t>Až 4&amp;nbsp;000&amp;nbsp;Kč a&amp;nbsp;účet zdarma</t>
  </si>
  <si>
    <t>Až 4 000 Kč a účet zdarma</t>
  </si>
  <si>
    <t xml:space="preserve">Staňte se klientem </t>
  </si>
  <si>
    <t xml:space="preserve">Až 4 000 Kč pro nové klienty </t>
  </si>
  <si>
    <t>D/BAM-0304/25 (1.1G)</t>
  </si>
  <si>
    <t>D/BAM-0451/25</t>
  </si>
  <si>
    <t>D/BAM-0448/25</t>
  </si>
  <si>
    <t>D/BAM-0449/25</t>
  </si>
  <si>
    <t>D/BAM-0450/30</t>
  </si>
  <si>
    <t>D/BAM-0450/25</t>
  </si>
  <si>
    <t>D/BAM-0915/25</t>
  </si>
  <si>
    <t>frei Verkauf</t>
  </si>
  <si>
    <t>KOD</t>
  </si>
  <si>
    <t>LGZ</t>
  </si>
  <si>
    <t>WEBPAGE</t>
  </si>
  <si>
    <t>VKPAL</t>
  </si>
  <si>
    <t>F1DB</t>
  </si>
  <si>
    <t>Dumbum fountain</t>
  </si>
  <si>
    <t>CB1DB</t>
  </si>
  <si>
    <t>Dumbum Circoblitz</t>
  </si>
  <si>
    <t>50/6</t>
  </si>
  <si>
    <t>ČNB 24,4450</t>
  </si>
  <si>
    <t>Rotate flight to explo with crackling</t>
  </si>
  <si>
    <t>Detail kurzu z 26. 3. 2026, 7:00</t>
  </si>
  <si>
    <t>KB 24,4585</t>
  </si>
  <si>
    <t>Nakupujeme 23,3946</t>
  </si>
  <si>
    <t>Prodáváme 25,5224</t>
  </si>
  <si>
    <t>Nakupujeme 23,5413</t>
  </si>
  <si>
    <t>Prodáváme 25,3757</t>
  </si>
  <si>
    <t>KB 28,2659</t>
  </si>
  <si>
    <t>ČNB 28,2500</t>
  </si>
  <si>
    <t>Nakupujeme 27,0363</t>
  </si>
  <si>
    <t>Prodáváme 29,4955</t>
  </si>
  <si>
    <t>Nakupujeme 27,2059</t>
  </si>
  <si>
    <t>Prodáváme 29,3259</t>
  </si>
  <si>
    <t>ver.26_V_I-2.1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</si>
</sst>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0\ &quot;Kč&quot;;[Red]\-#,##0\ &quot;Kč&quot;"/>
    <numFmt numFmtId="44" formatCode="_-* #,##0.00\ &quot;Kč&quot;_-;\-* #,##0.00\ &quot;Kč&quot;_-;_-* &quot;-&quot;??\ &quot;Kč&quot;_-;_-@_-"/>
    <numFmt numFmtId="164" formatCode="_-* #,##0.00\ _K_č_-;\-* #,##0.00\ _K_č_-;_-* &quot;-&quot;??\ _K_č_-;_-@_-"/>
    <numFmt numFmtId="165" formatCode="0.0"/>
    <numFmt numFmtId="166" formatCode="[$-405]General"/>
    <numFmt numFmtId="167" formatCode="#,##0\ _K_č"/>
    <numFmt numFmtId="168" formatCode="[$-415]General"/>
    <numFmt numFmtId="169" formatCode="_-* #,##0.00&quot; Kč&quot;_-;\-* #,##0.00&quot; Kč&quot;_-;_-* \-??&quot; Kč&quot;_-;_-@_-"/>
    <numFmt numFmtId="170" formatCode="_-* #,##0.00\ _K_č_-;\-* #,##0.00\ _K_č_-;_-* \-??\ _K_č_-;_-@_-"/>
    <numFmt numFmtId="171" formatCode="#,##0.00\ [$CZK]"/>
    <numFmt numFmtId="172" formatCode="#,##0\ [$CZK]"/>
    <numFmt numFmtId="173" formatCode="#,##0.0"/>
  </numFmts>
  <fonts count="161">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Calibri"/>
      <family val="2"/>
      <charset val="238"/>
      <scheme val="minor"/>
    </font>
    <font>
      <sz val="11"/>
      <color theme="0"/>
      <name val="Calibri"/>
      <family val="2"/>
      <charset val="238"/>
      <scheme val="minor"/>
    </font>
    <font>
      <sz val="11"/>
      <color indexed="8"/>
      <name val="Calibri"/>
      <family val="2"/>
      <charset val="238"/>
    </font>
    <font>
      <sz val="11"/>
      <name val="Arial"/>
      <family val="2"/>
      <charset val="238"/>
    </font>
    <font>
      <sz val="9"/>
      <name val="Arial"/>
      <family val="2"/>
      <charset val="238"/>
    </font>
    <font>
      <sz val="10"/>
      <name val="Arial"/>
      <family val="2"/>
      <charset val="238"/>
    </font>
    <font>
      <u/>
      <sz val="10"/>
      <color indexed="12"/>
      <name val="Arial"/>
      <family val="2"/>
      <charset val="238"/>
    </font>
    <font>
      <sz val="8"/>
      <name val="Arial"/>
      <family val="2"/>
      <charset val="238"/>
    </font>
    <font>
      <sz val="12"/>
      <name val="Arial"/>
      <family val="2"/>
      <charset val="238"/>
    </font>
    <font>
      <b/>
      <sz val="12"/>
      <name val="Arial"/>
      <family val="2"/>
      <charset val="238"/>
    </font>
    <font>
      <b/>
      <sz val="9"/>
      <name val="Arial"/>
      <family val="2"/>
      <charset val="238"/>
    </font>
    <font>
      <sz val="10"/>
      <name val="Times New Roman CE"/>
      <family val="1"/>
      <charset val="238"/>
    </font>
    <font>
      <sz val="9"/>
      <color indexed="8"/>
      <name val="Arial"/>
      <family val="2"/>
      <charset val="238"/>
    </font>
    <font>
      <sz val="10"/>
      <name val="Arial"/>
      <family val="2"/>
    </font>
    <font>
      <b/>
      <sz val="12"/>
      <name val="Arial"/>
      <family val="2"/>
    </font>
    <font>
      <u/>
      <sz val="10"/>
      <color indexed="12"/>
      <name val="Arial"/>
      <family val="2"/>
    </font>
    <font>
      <sz val="10"/>
      <name val="Times New Roman CE"/>
      <charset val="238"/>
    </font>
    <font>
      <sz val="10"/>
      <name val="Times New Roman CE"/>
      <charset val="134"/>
    </font>
    <font>
      <sz val="11"/>
      <color indexed="8"/>
      <name val="Calibri"/>
      <family val="2"/>
      <charset val="134"/>
    </font>
    <font>
      <sz val="12"/>
      <name val="宋体"/>
      <charset val="134"/>
    </font>
    <font>
      <u/>
      <sz val="11"/>
      <color indexed="12"/>
      <name val="Calibri"/>
      <family val="2"/>
      <charset val="238"/>
    </font>
    <font>
      <sz val="11"/>
      <name val="Calibri"/>
      <family val="2"/>
      <charset val="238"/>
    </font>
    <font>
      <u/>
      <sz val="11"/>
      <color indexed="12"/>
      <name val="宋体"/>
      <charset val="134"/>
    </font>
    <font>
      <sz val="11"/>
      <color indexed="8"/>
      <name val="Calibri"/>
      <family val="3"/>
      <charset val="134"/>
    </font>
    <font>
      <u/>
      <sz val="10"/>
      <color indexed="12"/>
      <name val="Arial"/>
      <family val="2"/>
      <charset val="1"/>
    </font>
    <font>
      <u/>
      <sz val="11"/>
      <color indexed="12"/>
      <name val="Calibri"/>
      <family val="2"/>
      <charset val="1"/>
    </font>
    <font>
      <sz val="11"/>
      <color indexed="8"/>
      <name val="Calibri"/>
      <family val="2"/>
      <charset val="1"/>
    </font>
    <font>
      <sz val="10"/>
      <name val="Arial"/>
      <family val="2"/>
      <charset val="1"/>
    </font>
    <font>
      <sz val="11"/>
      <color rgb="FF000000"/>
      <name val="Calibri"/>
      <family val="2"/>
      <charset val="238"/>
    </font>
    <font>
      <sz val="11"/>
      <color rgb="FF000000"/>
      <name val="Calibri"/>
      <family val="2"/>
      <charset val="134"/>
    </font>
    <font>
      <sz val="11"/>
      <color rgb="FF000000"/>
      <name val="Calibri"/>
      <family val="2"/>
    </font>
    <font>
      <u/>
      <sz val="11"/>
      <color theme="10"/>
      <name val="宋体"/>
      <charset val="134"/>
    </font>
    <font>
      <u/>
      <sz val="11"/>
      <color theme="10"/>
      <name val="Calibri"/>
      <family val="2"/>
      <scheme val="minor"/>
    </font>
    <font>
      <u/>
      <sz val="11"/>
      <color theme="10"/>
      <name val="Calibri"/>
      <family val="2"/>
      <charset val="238"/>
      <scheme val="minor"/>
    </font>
    <font>
      <sz val="11"/>
      <color theme="1"/>
      <name val="Calibri"/>
      <family val="2"/>
      <scheme val="minor"/>
    </font>
    <font>
      <sz val="11"/>
      <color theme="1"/>
      <name val="Calibri"/>
      <family val="2"/>
      <charset val="134"/>
      <scheme val="minor"/>
    </font>
    <font>
      <sz val="11"/>
      <color theme="1"/>
      <name val="Calibri"/>
      <family val="2"/>
      <charset val="238"/>
    </font>
    <font>
      <sz val="11"/>
      <color theme="1"/>
      <name val="Calibri"/>
      <family val="3"/>
      <charset val="134"/>
      <scheme val="minor"/>
    </font>
    <font>
      <sz val="9"/>
      <color theme="1"/>
      <name val="Arial"/>
      <family val="2"/>
      <charset val="238"/>
    </font>
    <font>
      <sz val="11"/>
      <color rgb="FFFF0000"/>
      <name val="Calibri"/>
      <family val="2"/>
      <charset val="238"/>
      <scheme val="minor"/>
    </font>
    <font>
      <sz val="11"/>
      <name val="Calibri"/>
      <family val="2"/>
      <charset val="238"/>
      <scheme val="minor"/>
    </font>
    <font>
      <b/>
      <sz val="11"/>
      <name val="Calibri"/>
      <family val="2"/>
      <charset val="238"/>
      <scheme val="minor"/>
    </font>
    <font>
      <b/>
      <sz val="9"/>
      <color theme="1"/>
      <name val="Arial"/>
      <family val="2"/>
      <charset val="238"/>
    </font>
    <font>
      <b/>
      <sz val="9"/>
      <color theme="0"/>
      <name val="Arial"/>
      <family val="2"/>
      <charset val="238"/>
    </font>
    <font>
      <b/>
      <sz val="12"/>
      <color theme="0"/>
      <name val="Arial"/>
      <family val="2"/>
      <charset val="238"/>
    </font>
    <font>
      <sz val="9"/>
      <color theme="0"/>
      <name val="Arial"/>
      <family val="2"/>
      <charset val="238"/>
    </font>
    <font>
      <sz val="11"/>
      <color theme="0"/>
      <name val="Arial"/>
      <family val="2"/>
      <charset val="238"/>
    </font>
    <font>
      <b/>
      <sz val="11"/>
      <color rgb="FFFF0000"/>
      <name val="Calibri"/>
      <family val="2"/>
      <charset val="238"/>
      <scheme val="minor"/>
    </font>
    <font>
      <b/>
      <sz val="14"/>
      <color rgb="FFFF0000"/>
      <name val="Calibri"/>
      <family val="2"/>
      <charset val="238"/>
      <scheme val="minor"/>
    </font>
    <font>
      <sz val="10"/>
      <color theme="1"/>
      <name val="Arial"/>
      <family val="2"/>
      <charset val="238"/>
    </font>
    <font>
      <b/>
      <sz val="12"/>
      <color theme="1"/>
      <name val="Arial"/>
      <family val="2"/>
      <charset val="238"/>
    </font>
    <font>
      <b/>
      <sz val="9"/>
      <color indexed="81"/>
      <name val="Tahoma"/>
      <family val="2"/>
      <charset val="238"/>
    </font>
    <font>
      <sz val="9"/>
      <color indexed="81"/>
      <name val="Tahoma"/>
      <family val="2"/>
      <charset val="238"/>
    </font>
    <font>
      <b/>
      <sz val="11"/>
      <color theme="0"/>
      <name val="Calibri"/>
      <family val="2"/>
      <charset val="238"/>
      <scheme val="minor"/>
    </font>
    <font>
      <sz val="9"/>
      <name val="Arial Unicode MS"/>
      <family val="2"/>
      <charset val="238"/>
    </font>
    <font>
      <sz val="8"/>
      <color theme="1"/>
      <name val="Arial"/>
      <family val="2"/>
      <charset val="238"/>
    </font>
    <font>
      <sz val="11"/>
      <color theme="1"/>
      <name val="Arial"/>
      <family val="2"/>
      <charset val="238"/>
    </font>
    <font>
      <b/>
      <sz val="8"/>
      <color theme="1"/>
      <name val="Arial"/>
      <family val="2"/>
      <charset val="238"/>
    </font>
    <font>
      <b/>
      <sz val="11"/>
      <color theme="1"/>
      <name val="Calibri"/>
      <family val="2"/>
      <charset val="238"/>
      <scheme val="minor"/>
    </font>
    <font>
      <sz val="11"/>
      <color rgb="FFFF0000"/>
      <name val="Arial"/>
      <family val="2"/>
      <charset val="238"/>
    </font>
    <font>
      <b/>
      <sz val="11"/>
      <name val="Arial"/>
      <family val="2"/>
      <charset val="238"/>
    </font>
    <font>
      <b/>
      <sz val="16"/>
      <color rgb="FFFF0000"/>
      <name val="Arial"/>
      <family val="2"/>
      <charset val="238"/>
    </font>
    <font>
      <sz val="12"/>
      <color rgb="FFFF0000"/>
      <name val="Arial"/>
      <family val="2"/>
      <charset val="238"/>
    </font>
    <font>
      <b/>
      <sz val="11"/>
      <color theme="1"/>
      <name val="Arial"/>
      <family val="2"/>
      <charset val="238"/>
    </font>
    <font>
      <b/>
      <sz val="14"/>
      <color rgb="FFFF0000"/>
      <name val="Arial"/>
      <family val="2"/>
      <charset val="238"/>
    </font>
    <font>
      <sz val="8"/>
      <name val="Calibri"/>
      <family val="2"/>
      <charset val="238"/>
      <scheme val="minor"/>
    </font>
    <font>
      <b/>
      <sz val="8"/>
      <name val="Arial"/>
      <family val="2"/>
      <charset val="238"/>
    </font>
    <font>
      <sz val="8"/>
      <color rgb="FF000000"/>
      <name val="Segoe UI"/>
      <family val="2"/>
      <charset val="238"/>
    </font>
    <font>
      <sz val="9"/>
      <color theme="1"/>
      <name val="Arial Unicode MS"/>
      <family val="2"/>
      <charset val="238"/>
    </font>
    <font>
      <b/>
      <sz val="9"/>
      <color theme="1"/>
      <name val="Arial Unicode MS"/>
      <family val="2"/>
      <charset val="238"/>
    </font>
    <font>
      <b/>
      <sz val="9"/>
      <name val="Arial Unicode MS"/>
      <family val="2"/>
      <charset val="238"/>
    </font>
    <font>
      <b/>
      <sz val="9"/>
      <color rgb="FFFF0000"/>
      <name val="Arial Unicode MS"/>
      <family val="2"/>
      <charset val="238"/>
    </font>
    <font>
      <sz val="9"/>
      <color theme="1"/>
      <name val="Calibri"/>
      <family val="2"/>
      <charset val="238"/>
      <scheme val="minor"/>
    </font>
    <font>
      <sz val="9"/>
      <color rgb="FF000000"/>
      <name val="Arial Unicode MS"/>
      <family val="2"/>
      <charset val="238"/>
    </font>
    <font>
      <sz val="8"/>
      <name val="Arial Unicode MS"/>
      <family val="2"/>
      <charset val="238"/>
    </font>
    <font>
      <sz val="8"/>
      <color theme="1"/>
      <name val="Calibri"/>
      <family val="2"/>
      <charset val="238"/>
      <scheme val="minor"/>
    </font>
    <font>
      <sz val="22"/>
      <color theme="1"/>
      <name val="Calibri"/>
      <family val="2"/>
      <charset val="238"/>
      <scheme val="minor"/>
    </font>
    <font>
      <b/>
      <sz val="24"/>
      <color theme="1"/>
      <name val="Calibri"/>
      <family val="2"/>
      <charset val="238"/>
      <scheme val="minor"/>
    </font>
    <font>
      <sz val="12"/>
      <color theme="1"/>
      <name val="Calibri"/>
      <family val="2"/>
      <charset val="238"/>
      <scheme val="minor"/>
    </font>
    <font>
      <b/>
      <sz val="20"/>
      <color theme="1"/>
      <name val="Arial"/>
      <family val="2"/>
      <charset val="238"/>
    </font>
    <font>
      <b/>
      <sz val="10"/>
      <color theme="9" tint="-0.249977111117893"/>
      <name val="Arial"/>
      <family val="2"/>
      <charset val="238"/>
    </font>
    <font>
      <b/>
      <sz val="12"/>
      <color theme="9" tint="-0.249977111117893"/>
      <name val="Arial"/>
      <family val="2"/>
      <charset val="238"/>
    </font>
    <font>
      <b/>
      <sz val="11"/>
      <color theme="0"/>
      <name val="Arial"/>
      <family val="2"/>
      <charset val="238"/>
    </font>
    <font>
      <b/>
      <sz val="11"/>
      <color rgb="FFFFFF00"/>
      <name val="Arial"/>
      <family val="2"/>
      <charset val="238"/>
    </font>
    <font>
      <b/>
      <sz val="20"/>
      <color theme="0"/>
      <name val="Arial"/>
      <family val="2"/>
      <charset val="238"/>
    </font>
    <font>
      <b/>
      <sz val="16"/>
      <color theme="1"/>
      <name val="Arial"/>
      <family val="2"/>
      <charset val="238"/>
    </font>
    <font>
      <b/>
      <sz val="11"/>
      <color theme="3" tint="0.39997558519241921"/>
      <name val="Arial"/>
      <family val="2"/>
      <charset val="238"/>
    </font>
    <font>
      <b/>
      <sz val="12"/>
      <color theme="9"/>
      <name val="Arial"/>
      <family val="2"/>
      <charset val="238"/>
    </font>
    <font>
      <b/>
      <sz val="14"/>
      <color theme="1"/>
      <name val="Arial"/>
      <family val="2"/>
      <charset val="238"/>
    </font>
    <font>
      <b/>
      <sz val="10"/>
      <name val="Arial"/>
      <family val="2"/>
      <charset val="238"/>
    </font>
    <font>
      <b/>
      <sz val="8"/>
      <color rgb="FFFF0000"/>
      <name val="Arial"/>
      <family val="2"/>
      <charset val="238"/>
    </font>
    <font>
      <b/>
      <u/>
      <sz val="8"/>
      <color theme="9" tint="-0.249977111117893"/>
      <name val="Arial"/>
      <family val="2"/>
      <charset val="238"/>
    </font>
    <font>
      <sz val="8"/>
      <color rgb="FFFF0000"/>
      <name val="Arial"/>
      <family val="2"/>
      <charset val="238"/>
    </font>
    <font>
      <b/>
      <sz val="18"/>
      <color rgb="FFFFFF00"/>
      <name val="Arial"/>
      <family val="2"/>
      <charset val="238"/>
    </font>
    <font>
      <b/>
      <sz val="20"/>
      <color rgb="FFFFFF00"/>
      <name val="Arial"/>
      <family val="2"/>
      <charset val="238"/>
    </font>
    <font>
      <sz val="18"/>
      <color rgb="FFFFFF00"/>
      <name val="Arial"/>
      <family val="2"/>
      <charset val="238"/>
    </font>
    <font>
      <b/>
      <sz val="18"/>
      <color theme="1"/>
      <name val="Arial"/>
      <family val="2"/>
      <charset val="238"/>
    </font>
    <font>
      <sz val="48"/>
      <color theme="1"/>
      <name val="Arial"/>
      <family val="2"/>
      <charset val="238"/>
    </font>
    <font>
      <b/>
      <i/>
      <sz val="8"/>
      <color rgb="FFFF0000"/>
      <name val="Arial"/>
      <family val="2"/>
      <charset val="238"/>
    </font>
    <font>
      <b/>
      <u/>
      <sz val="9"/>
      <color theme="9" tint="-0.249977111117893"/>
      <name val="Arial"/>
      <family val="2"/>
      <charset val="238"/>
    </font>
    <font>
      <b/>
      <sz val="11"/>
      <color rgb="FFFF0000"/>
      <name val="Arial"/>
      <family val="2"/>
      <charset val="238"/>
    </font>
    <font>
      <b/>
      <sz val="12"/>
      <color indexed="81"/>
      <name val="Arial Black"/>
      <family val="2"/>
      <charset val="238"/>
    </font>
    <font>
      <b/>
      <sz val="8"/>
      <color theme="9" tint="-0.499984740745262"/>
      <name val="Arial"/>
      <family val="2"/>
      <charset val="238"/>
    </font>
    <font>
      <sz val="9"/>
      <color rgb="FF2B2B2B"/>
      <name val="Arial"/>
      <family val="2"/>
      <charset val="238"/>
    </font>
    <font>
      <b/>
      <sz val="16"/>
      <color rgb="FF2B2B2B"/>
      <name val="Arial"/>
      <family val="2"/>
      <charset val="238"/>
    </font>
    <font>
      <b/>
      <sz val="20"/>
      <color rgb="FF2B2B2B"/>
      <name val="Arial"/>
      <family val="2"/>
      <charset val="238"/>
    </font>
    <font>
      <sz val="8"/>
      <color rgb="FF2B2B2B"/>
      <name val="Arial"/>
      <family val="2"/>
      <charset val="238"/>
    </font>
    <font>
      <b/>
      <sz val="8"/>
      <color rgb="FF2B2B2B"/>
      <name val="Arial"/>
      <family val="2"/>
      <charset val="238"/>
    </font>
    <font>
      <sz val="10"/>
      <color rgb="FF2B2B2B"/>
      <name val="Arial"/>
      <family val="2"/>
      <charset val="238"/>
    </font>
    <font>
      <b/>
      <sz val="11"/>
      <color rgb="FF2B2B2B"/>
      <name val="Arial"/>
      <family val="2"/>
      <charset val="238"/>
    </font>
    <font>
      <b/>
      <sz val="10"/>
      <color rgb="FF2B2B2B"/>
      <name val="Arial"/>
      <family val="2"/>
      <charset val="238"/>
    </font>
    <font>
      <u/>
      <sz val="10"/>
      <color rgb="FF2B2B2B"/>
      <name val="Arial"/>
      <family val="2"/>
      <charset val="238"/>
    </font>
    <font>
      <b/>
      <sz val="9"/>
      <color rgb="FF2B2B2B"/>
      <name val="Arial"/>
      <family val="2"/>
      <charset val="238"/>
    </font>
    <font>
      <b/>
      <sz val="10"/>
      <color rgb="FFF4D7A1"/>
      <name val="Arial"/>
      <family val="2"/>
      <charset val="238"/>
    </font>
    <font>
      <sz val="11"/>
      <color rgb="FFF4D7A1"/>
      <name val="Calibri"/>
      <family val="2"/>
      <charset val="238"/>
      <scheme val="minor"/>
    </font>
    <font>
      <sz val="11"/>
      <color rgb="FFF4D7A1"/>
      <name val="Arial"/>
      <family val="2"/>
      <charset val="238"/>
    </font>
    <font>
      <b/>
      <sz val="11"/>
      <color rgb="FF2B2B2B"/>
      <name val="Calibri"/>
      <family val="2"/>
      <charset val="238"/>
      <scheme val="minor"/>
    </font>
    <font>
      <b/>
      <sz val="11"/>
      <color rgb="FFF4D7A1"/>
      <name val="Arial"/>
      <family val="2"/>
      <charset val="238"/>
    </font>
    <font>
      <u/>
      <sz val="10"/>
      <color rgb="FFF4D7A1"/>
      <name val="Arial"/>
      <family val="2"/>
      <charset val="238"/>
    </font>
    <font>
      <sz val="9"/>
      <color rgb="FFF4D7A1"/>
      <name val="Arial"/>
      <family val="2"/>
      <charset val="238"/>
    </font>
    <font>
      <b/>
      <sz val="20"/>
      <color rgb="FFF4D7A1"/>
      <name val="Arial"/>
      <family val="2"/>
      <charset val="238"/>
    </font>
    <font>
      <b/>
      <sz val="14"/>
      <color rgb="FFF4D7A1"/>
      <name val="Arial"/>
      <family val="2"/>
      <charset val="238"/>
    </font>
    <font>
      <b/>
      <sz val="12"/>
      <color rgb="FF2B2B2B"/>
      <name val="Arial"/>
      <family val="2"/>
      <charset val="238"/>
    </font>
    <font>
      <sz val="11"/>
      <color rgb="FF2B2B2B"/>
      <name val="Calibri"/>
      <family val="2"/>
      <charset val="238"/>
      <scheme val="minor"/>
    </font>
    <font>
      <b/>
      <sz val="9"/>
      <color rgb="FFF4D7A1"/>
      <name val="Arial"/>
      <family val="2"/>
      <charset val="238"/>
    </font>
    <font>
      <b/>
      <sz val="7"/>
      <color rgb="FFF4D7A1"/>
      <name val="Arial"/>
      <family val="2"/>
      <charset val="238"/>
    </font>
    <font>
      <sz val="12"/>
      <color rgb="FFF4D7A1"/>
      <name val="Arial"/>
      <family val="2"/>
      <charset val="238"/>
    </font>
    <font>
      <b/>
      <sz val="8"/>
      <color rgb="FFF4D7A1"/>
      <name val="Arial"/>
      <family val="2"/>
      <charset val="238"/>
    </font>
    <font>
      <b/>
      <sz val="8"/>
      <color rgb="FF8A3F1F"/>
      <name val="Arial"/>
      <family val="2"/>
      <charset val="238"/>
    </font>
    <font>
      <sz val="9"/>
      <color rgb="FF8A3F1F"/>
      <name val="Arial"/>
      <family val="2"/>
      <charset val="238"/>
    </font>
    <font>
      <b/>
      <sz val="12"/>
      <color rgb="FFF4D7A1"/>
      <name val="Arial"/>
      <family val="2"/>
      <charset val="238"/>
    </font>
    <font>
      <sz val="12"/>
      <color rgb="FFF4D7A1"/>
      <name val="Wingdings 3"/>
      <family val="1"/>
      <charset val="2"/>
    </font>
    <font>
      <sz val="8"/>
      <color rgb="FFF4D7A1"/>
      <name val="Arial"/>
      <family val="2"/>
      <charset val="238"/>
    </font>
    <font>
      <b/>
      <sz val="12"/>
      <color rgb="FFF4D7A1"/>
      <name val="Calibri"/>
      <family val="2"/>
      <charset val="238"/>
      <scheme val="minor"/>
    </font>
    <font>
      <sz val="9"/>
      <color rgb="FF2B2B2B"/>
      <name val="Arial Unicode MS"/>
      <family val="2"/>
      <charset val="238"/>
    </font>
    <font>
      <b/>
      <u/>
      <sz val="11"/>
      <color rgb="FFF4D7A1"/>
      <name val="Calibri"/>
      <family val="2"/>
      <charset val="238"/>
      <scheme val="minor"/>
    </font>
    <font>
      <sz val="9"/>
      <color rgb="FFF4D7A1"/>
      <name val="Calibri"/>
      <family val="2"/>
      <charset val="238"/>
      <scheme val="minor"/>
    </font>
    <font>
      <b/>
      <sz val="11"/>
      <color rgb="FFF4D7A1"/>
      <name val="Calibri"/>
      <family val="2"/>
      <charset val="238"/>
      <scheme val="minor"/>
    </font>
    <font>
      <b/>
      <sz val="16"/>
      <color rgb="FFF4D7A1"/>
      <name val="Arial"/>
      <family val="2"/>
      <charset val="238"/>
    </font>
    <font>
      <b/>
      <vertAlign val="superscript"/>
      <sz val="9"/>
      <color rgb="FFF4D7A1"/>
      <name val="Arial"/>
      <family val="2"/>
      <charset val="238"/>
    </font>
    <font>
      <b/>
      <sz val="14"/>
      <color rgb="FFF4D7A1"/>
      <name val="Calibri"/>
      <family val="2"/>
      <charset val="238"/>
      <scheme val="minor"/>
    </font>
    <font>
      <b/>
      <sz val="14"/>
      <color rgb="FF2B2B2B"/>
      <name val="Arial"/>
      <family val="2"/>
      <charset val="238"/>
    </font>
    <font>
      <b/>
      <sz val="20"/>
      <color rgb="FFF4D7A1"/>
      <name val="Calibri"/>
      <family val="2"/>
      <charset val="238"/>
      <scheme val="minor"/>
    </font>
    <font>
      <sz val="14"/>
      <color rgb="FFF4D7A1"/>
      <name val="Calibri"/>
      <family val="2"/>
      <charset val="238"/>
      <scheme val="minor"/>
    </font>
    <font>
      <b/>
      <sz val="8"/>
      <color theme="0" tint="-0.499984740745262"/>
      <name val="Arial"/>
      <family val="2"/>
      <charset val="238"/>
    </font>
    <font>
      <b/>
      <sz val="9"/>
      <color rgb="FFFFFFFF"/>
      <name val="Arial"/>
      <family val="2"/>
      <charset val="238"/>
    </font>
    <font>
      <b/>
      <sz val="12"/>
      <color rgb="FFF5F5F5"/>
      <name val="Arial"/>
      <family val="2"/>
      <charset val="238"/>
    </font>
    <font>
      <b/>
      <sz val="9"/>
      <color rgb="FFF5F5F5"/>
      <name val="Arial"/>
      <family val="2"/>
      <charset val="238"/>
    </font>
    <font>
      <b/>
      <sz val="16"/>
      <color rgb="FFF5F5F5"/>
      <name val="Arial"/>
      <family val="2"/>
      <charset val="238"/>
    </font>
    <font>
      <b/>
      <sz val="12"/>
      <color rgb="FFF0F4F0"/>
      <name val="Arial"/>
      <family val="2"/>
      <charset val="238"/>
    </font>
    <font>
      <b/>
      <sz val="9"/>
      <color rgb="FFF0F4F0"/>
      <name val="Arial"/>
      <family val="2"/>
      <charset val="238"/>
    </font>
    <font>
      <sz val="1"/>
      <name val="Arial"/>
      <family val="2"/>
      <charset val="238"/>
    </font>
    <font>
      <b/>
      <sz val="11"/>
      <color rgb="FFFFFFFF"/>
      <name val="Calibri"/>
      <family val="2"/>
      <charset val="238"/>
      <scheme val="minor"/>
    </font>
    <font>
      <b/>
      <sz val="10"/>
      <color rgb="FFFFFFFF"/>
      <name val="Arial"/>
      <family val="2"/>
      <charset val="238"/>
    </font>
    <font>
      <b/>
      <sz val="6"/>
      <color rgb="FFF5F5F5"/>
      <name val="Arial"/>
      <family val="2"/>
      <charset val="238"/>
    </font>
    <font>
      <sz val="9"/>
      <color rgb="FF000000"/>
      <name val="Times New Roman"/>
      <family val="1"/>
      <charset val="238"/>
    </font>
  </fonts>
  <fills count="57">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E95721"/>
        <bgColor indexed="64"/>
      </patternFill>
    </fill>
    <fill>
      <patternFill patternType="solid">
        <fgColor theme="7"/>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bgColor theme="0" tint="-0.14999847407452621"/>
      </patternFill>
    </fill>
    <fill>
      <patternFill patternType="solid">
        <fgColor theme="9" tint="0.79998168889431442"/>
        <bgColor theme="9" tint="0.79998168889431442"/>
      </patternFill>
    </fill>
    <fill>
      <gradientFill type="path" left="0.5" right="0.5" top="0.5" bottom="0.5">
        <stop position="0">
          <color rgb="FFE95721"/>
        </stop>
        <stop position="1">
          <color rgb="FFFAC092"/>
        </stop>
      </gradientFill>
    </fill>
    <fill>
      <gradientFill type="path" left="0.5" right="0.5" top="0.5" bottom="0.5">
        <stop position="0">
          <color theme="9" tint="0.40000610370189521"/>
        </stop>
        <stop position="1">
          <color theme="9" tint="-0.25098422193060094"/>
        </stop>
      </gradientFill>
    </fill>
    <fill>
      <patternFill patternType="solid">
        <fgColor theme="9" tint="0.59996337778862885"/>
        <bgColor auto="1"/>
      </patternFill>
    </fill>
    <fill>
      <patternFill patternType="solid">
        <fgColor theme="9" tint="0.59999389629810485"/>
        <bgColor indexed="64"/>
      </patternFill>
    </fill>
    <fill>
      <patternFill patternType="solid">
        <fgColor rgb="FF92D050"/>
        <bgColor indexed="64"/>
      </patternFill>
    </fill>
    <fill>
      <gradientFill degree="90">
        <stop position="0">
          <color theme="0"/>
        </stop>
        <stop position="1">
          <color rgb="FF8E8E8E"/>
        </stop>
      </gradientFill>
    </fill>
    <fill>
      <gradientFill degree="270">
        <stop position="0">
          <color theme="0"/>
        </stop>
        <stop position="1">
          <color rgb="FF8E8E8E"/>
        </stop>
      </gradientFill>
    </fill>
    <fill>
      <patternFill patternType="solid">
        <fgColor theme="0"/>
        <bgColor auto="1"/>
      </patternFill>
    </fill>
    <fill>
      <gradientFill degree="90">
        <stop position="0">
          <color rgb="FF8E8E8E"/>
        </stop>
        <stop position="1">
          <color rgb="FF898477"/>
        </stop>
      </gradientFill>
    </fill>
    <fill>
      <gradientFill degree="270">
        <stop position="0">
          <color rgb="FF8E8E8E"/>
        </stop>
        <stop position="1">
          <color rgb="FF898477"/>
        </stop>
      </gradientFill>
    </fill>
    <fill>
      <gradientFill degree="90">
        <stop position="0">
          <color rgb="FF8E8E8E"/>
        </stop>
        <stop position="0.5">
          <color rgb="FF898477"/>
        </stop>
        <stop position="1">
          <color rgb="FF8E8E8E"/>
        </stop>
      </gradientFill>
    </fill>
    <fill>
      <patternFill patternType="solid">
        <fgColor theme="6" tint="0.59999389629810485"/>
        <bgColor indexed="64"/>
      </patternFill>
    </fill>
    <fill>
      <gradientFill type="path" left="0.5" right="0.5" top="0.5" bottom="0.5">
        <stop position="0">
          <color rgb="FFFF7575"/>
        </stop>
        <stop position="1">
          <color theme="5" tint="0.80001220740379042"/>
        </stop>
      </gradientFill>
    </fill>
    <fill>
      <gradientFill type="path" left="0.5" right="0.5" top="0.5" bottom="0.5">
        <stop position="0">
          <color theme="9"/>
        </stop>
        <stop position="1">
          <color theme="9" tint="0.80001220740379042"/>
        </stop>
      </gradientFill>
    </fill>
    <fill>
      <gradientFill type="path" left="0.5" right="0.5" top="0.5" bottom="0.5">
        <stop position="0">
          <color theme="9" tint="0.80001220740379042"/>
        </stop>
        <stop position="1">
          <color rgb="FFFFFF00"/>
        </stop>
      </gradientFill>
    </fill>
    <fill>
      <patternFill patternType="solid">
        <fgColor theme="8" tint="0.59999389629810485"/>
        <bgColor indexed="64"/>
      </patternFill>
    </fill>
    <fill>
      <patternFill patternType="solid">
        <fgColor theme="1"/>
        <bgColor auto="1"/>
      </patternFill>
    </fill>
    <fill>
      <patternFill patternType="solid">
        <fgColor theme="8" tint="0.79998168889431442"/>
        <bgColor indexed="64"/>
      </patternFill>
    </fill>
    <fill>
      <gradientFill type="path" left="0.5" right="0.5" top="0.5" bottom="0.5">
        <stop position="0">
          <color rgb="FF008000"/>
        </stop>
        <stop position="1">
          <color rgb="FFE3F3D1"/>
        </stop>
      </gradientFill>
    </fill>
    <fill>
      <patternFill patternType="solid">
        <fgColor theme="4"/>
        <bgColor theme="4"/>
      </patternFill>
    </fill>
    <fill>
      <patternFill patternType="solid">
        <fgColor theme="4" tint="0.79998168889431442"/>
        <bgColor theme="4" tint="0.79998168889431442"/>
      </patternFill>
    </fill>
    <fill>
      <patternFill patternType="solid">
        <fgColor rgb="FF2B2B2B"/>
        <bgColor indexed="64"/>
      </patternFill>
    </fill>
    <fill>
      <patternFill patternType="solid">
        <fgColor rgb="FF2B2B2B"/>
        <bgColor rgb="FFFFFF00"/>
      </patternFill>
    </fill>
    <fill>
      <gradientFill degree="90">
        <stop position="0">
          <color rgb="FF2B2B2B"/>
        </stop>
        <stop position="0.5">
          <color rgb="FFF4D7A1"/>
        </stop>
        <stop position="1">
          <color rgb="FF2B2B2B"/>
        </stop>
      </gradientFill>
    </fill>
    <fill>
      <patternFill patternType="solid">
        <fgColor rgb="FFF5F5F5"/>
        <bgColor indexed="64"/>
      </patternFill>
    </fill>
    <fill>
      <patternFill patternType="solid">
        <fgColor rgb="FFECECEC"/>
        <bgColor indexed="64"/>
      </patternFill>
    </fill>
    <fill>
      <gradientFill>
        <stop position="0">
          <color rgb="FFD4926E"/>
        </stop>
        <stop position="0.5">
          <color rgb="FFC46A3A"/>
        </stop>
        <stop position="1">
          <color rgb="FFD4926E"/>
        </stop>
      </gradientFill>
    </fill>
    <fill>
      <gradientFill>
        <stop position="0">
          <color rgb="FFF5E4DB"/>
        </stop>
        <stop position="0.5">
          <color rgb="FFEED3C4"/>
        </stop>
        <stop position="1">
          <color rgb="FFF5E4DB"/>
        </stop>
      </gradientFill>
    </fill>
    <fill>
      <gradientFill>
        <stop position="0">
          <color rgb="FFC7F5F2"/>
        </stop>
        <stop position="0.5">
          <color rgb="FF76E7DF"/>
        </stop>
        <stop position="1">
          <color rgb="FFC7F5F2"/>
        </stop>
      </gradientFill>
    </fill>
    <fill>
      <patternFill patternType="solid">
        <fgColor rgb="FF2B2B2B"/>
        <bgColor auto="1"/>
      </patternFill>
    </fill>
    <fill>
      <gradientFill>
        <stop position="0">
          <color rgb="FFE1B49B"/>
        </stop>
        <stop position="0.5">
          <color rgb="FFCF865D"/>
        </stop>
        <stop position="1">
          <color rgb="FFE1B49B"/>
        </stop>
      </gradientFill>
    </fill>
    <fill>
      <gradientFill>
        <stop position="0">
          <color rgb="FFFBF3EF"/>
        </stop>
        <stop position="0.5">
          <color rgb="FFF7E9E1"/>
        </stop>
        <stop position="1">
          <color rgb="FFFBF3EF"/>
        </stop>
      </gradientFill>
    </fill>
    <fill>
      <gradientFill>
        <stop position="0">
          <color rgb="FFE6FAF9"/>
        </stop>
        <stop position="0.5">
          <color rgb="FFA6F0EB"/>
        </stop>
        <stop position="1">
          <color rgb="FFE6FAF9"/>
        </stop>
      </gradientFill>
    </fill>
    <fill>
      <patternFill patternType="solid">
        <fgColor rgb="FFDDE5DD"/>
        <bgColor indexed="64"/>
      </patternFill>
    </fill>
    <fill>
      <patternFill patternType="solid">
        <fgColor rgb="FFF0F4F0"/>
        <bgColor indexed="64"/>
      </patternFill>
    </fill>
    <fill>
      <patternFill patternType="solid">
        <fgColor rgb="FFF4D7A1"/>
        <bgColor indexed="64"/>
      </patternFill>
    </fill>
    <fill>
      <gradientFill>
        <stop position="0">
          <color rgb="FF2B2B2B"/>
        </stop>
        <stop position="0.5">
          <color rgb="FFC46A3A"/>
        </stop>
        <stop position="1">
          <color rgb="FF2B2B2B"/>
        </stop>
      </gradientFill>
    </fill>
    <fill>
      <gradientFill>
        <stop position="0">
          <color rgb="FF2B2B2B"/>
        </stop>
        <stop position="0.5">
          <color rgb="FF8A3F1F"/>
        </stop>
        <stop position="1">
          <color rgb="FF2B2B2B"/>
        </stop>
      </gradientFill>
    </fill>
    <fill>
      <gradientFill degree="90">
        <stop position="0">
          <color rgb="FF8A3F1F"/>
        </stop>
        <stop position="0.5">
          <color rgb="FF2B2B2B"/>
        </stop>
        <stop position="1">
          <color rgb="FF8A3F1F"/>
        </stop>
      </gradientFill>
    </fill>
    <fill>
      <patternFill patternType="solid">
        <fgColor rgb="FFFFFFFF"/>
        <bgColor indexed="64"/>
      </patternFill>
    </fill>
  </fills>
  <borders count="21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style="double">
        <color auto="1"/>
      </top>
      <bottom style="thin">
        <color auto="1"/>
      </bottom>
      <diagonal/>
    </border>
    <border>
      <left/>
      <right style="double">
        <color auto="1"/>
      </right>
      <top/>
      <bottom/>
      <diagonal/>
    </border>
    <border>
      <left/>
      <right/>
      <top style="double">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rgb="FFFF0000"/>
      </left>
      <right style="thin">
        <color rgb="FFFF0000"/>
      </right>
      <top style="double">
        <color rgb="FFFF0000"/>
      </top>
      <bottom style="double">
        <color rgb="FFFF0000"/>
      </bottom>
      <diagonal/>
    </border>
    <border>
      <left style="medium">
        <color indexed="64"/>
      </left>
      <right style="medium">
        <color indexed="64"/>
      </right>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top style="double">
        <color auto="1"/>
      </top>
      <bottom style="double">
        <color indexed="64"/>
      </bottom>
      <diagonal/>
    </border>
    <border>
      <left/>
      <right/>
      <top style="double">
        <color auto="1"/>
      </top>
      <bottom style="double">
        <color indexed="64"/>
      </bottom>
      <diagonal/>
    </border>
    <border>
      <left/>
      <right style="thin">
        <color indexed="64"/>
      </right>
      <top style="double">
        <color auto="1"/>
      </top>
      <bottom style="double">
        <color indexed="64"/>
      </bottom>
      <diagonal/>
    </border>
    <border>
      <left style="mediumDashed">
        <color rgb="FFFF0000"/>
      </left>
      <right style="mediumDashed">
        <color rgb="FFFF0000"/>
      </right>
      <top style="mediumDashed">
        <color rgb="FFFF0000"/>
      </top>
      <bottom style="mediumDashed">
        <color rgb="FFFF0000"/>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style="thin">
        <color rgb="FFFF0000"/>
      </left>
      <right style="thin">
        <color rgb="FFFF0000"/>
      </right>
      <top style="double">
        <color rgb="FFFF0000"/>
      </top>
      <bottom/>
      <diagonal/>
    </border>
    <border>
      <left style="thin">
        <color rgb="FFFF0000"/>
      </left>
      <right style="double">
        <color rgb="FFFF0000"/>
      </right>
      <top style="double">
        <color rgb="FFFF0000"/>
      </top>
      <bottom style="double">
        <color rgb="FFFF0000"/>
      </bottom>
      <diagonal/>
    </border>
    <border>
      <left style="double">
        <color rgb="FFFF0000"/>
      </left>
      <right/>
      <top style="double">
        <color rgb="FFFF0000"/>
      </top>
      <bottom style="thin">
        <color rgb="FFFF0000"/>
      </bottom>
      <diagonal/>
    </border>
    <border>
      <left/>
      <right style="thin">
        <color rgb="FFFF0000"/>
      </right>
      <top style="double">
        <color rgb="FFFF0000"/>
      </top>
      <bottom style="thin">
        <color rgb="FFFF0000"/>
      </bottom>
      <diagonal/>
    </border>
    <border>
      <left style="thin">
        <color rgb="FFFF0000"/>
      </left>
      <right/>
      <top style="double">
        <color rgb="FFFF0000"/>
      </top>
      <bottom style="thin">
        <color rgb="FFFF0000"/>
      </bottom>
      <diagonal/>
    </border>
    <border>
      <left/>
      <right style="double">
        <color rgb="FFFF0000"/>
      </right>
      <top style="double">
        <color rgb="FFFF0000"/>
      </top>
      <bottom style="thin">
        <color rgb="FFFF0000"/>
      </bottom>
      <diagonal/>
    </border>
    <border>
      <left style="double">
        <color rgb="FFFF0000"/>
      </left>
      <right/>
      <top style="thin">
        <color rgb="FFFF0000"/>
      </top>
      <bottom style="double">
        <color rgb="FFFF0000"/>
      </bottom>
      <diagonal/>
    </border>
    <border>
      <left/>
      <right style="thin">
        <color rgb="FFFF0000"/>
      </right>
      <top style="thin">
        <color rgb="FFFF0000"/>
      </top>
      <bottom style="double">
        <color rgb="FFFF0000"/>
      </bottom>
      <diagonal/>
    </border>
    <border>
      <left style="thin">
        <color rgb="FFFF0000"/>
      </left>
      <right/>
      <top style="thin">
        <color rgb="FFFF0000"/>
      </top>
      <bottom style="double">
        <color rgb="FFFF0000"/>
      </bottom>
      <diagonal/>
    </border>
    <border>
      <left/>
      <right style="double">
        <color rgb="FFFF0000"/>
      </right>
      <top style="thin">
        <color rgb="FFFF0000"/>
      </top>
      <bottom style="double">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0"/>
      </left>
      <right/>
      <top style="double">
        <color rgb="FFFF0000"/>
      </top>
      <bottom style="double">
        <color rgb="FFFF0000"/>
      </bottom>
      <diagonal/>
    </border>
    <border>
      <left/>
      <right style="thin">
        <color theme="0"/>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rgb="FFFF0000"/>
      </left>
      <right/>
      <top style="double">
        <color rgb="FFFF0000"/>
      </top>
      <bottom style="double">
        <color rgb="FFFF0000"/>
      </bottom>
      <diagonal/>
    </border>
    <border>
      <left style="thin">
        <color indexed="64"/>
      </left>
      <right/>
      <top/>
      <bottom style="mediumDashed">
        <color rgb="FFFF0000"/>
      </bottom>
      <diagonal/>
    </border>
    <border>
      <left style="thin">
        <color indexed="64"/>
      </left>
      <right style="thin">
        <color indexed="64"/>
      </right>
      <top/>
      <bottom style="mediumDashed">
        <color rgb="FFFF0000"/>
      </bottom>
      <diagonal/>
    </border>
    <border>
      <left style="thin">
        <color theme="1"/>
      </left>
      <right/>
      <top style="mediumDashed">
        <color rgb="FFFF0000"/>
      </top>
      <bottom style="thin">
        <color theme="1"/>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diagonal/>
    </border>
    <border>
      <left/>
      <right style="mediumDashed">
        <color rgb="FFFF0000"/>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double">
        <color rgb="FFFF0000"/>
      </left>
      <right/>
      <top/>
      <bottom style="double">
        <color rgb="FFFF0000"/>
      </bottom>
      <diagonal/>
    </border>
    <border>
      <left/>
      <right style="thin">
        <color rgb="FFFF0000"/>
      </right>
      <top/>
      <bottom style="double">
        <color rgb="FFFF0000"/>
      </bottom>
      <diagonal/>
    </border>
    <border>
      <left style="thin">
        <color rgb="FFFF0000"/>
      </left>
      <right/>
      <top/>
      <bottom style="double">
        <color rgb="FFFF0000"/>
      </bottom>
      <diagonal/>
    </border>
    <border>
      <left style="thin">
        <color rgb="FFFF0000"/>
      </left>
      <right style="thin">
        <color rgb="FFFF0000"/>
      </right>
      <top/>
      <bottom style="double">
        <color rgb="FFFF0000"/>
      </bottom>
      <diagonal/>
    </border>
    <border>
      <left style="thin">
        <color rgb="FFFF0000"/>
      </left>
      <right style="double">
        <color rgb="FFFF0000"/>
      </right>
      <top/>
      <bottom style="double">
        <color rgb="FFFF0000"/>
      </bottom>
      <diagonal/>
    </border>
    <border>
      <left/>
      <right style="thin">
        <color rgb="FFFF0000"/>
      </right>
      <top style="double">
        <color rgb="FFFF0000"/>
      </top>
      <bottom style="double">
        <color rgb="FFFF0000"/>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double">
        <color auto="1"/>
      </bottom>
      <diagonal/>
    </border>
    <border>
      <left style="thin">
        <color theme="9"/>
      </left>
      <right style="thin">
        <color theme="9"/>
      </right>
      <top style="thin">
        <color theme="9"/>
      </top>
      <bottom style="thin">
        <color theme="9"/>
      </bottom>
      <diagonal/>
    </border>
    <border>
      <left/>
      <right style="thick">
        <color theme="0"/>
      </right>
      <top/>
      <bottom/>
      <diagonal/>
    </border>
    <border>
      <left/>
      <right style="medium">
        <color theme="9" tint="-0.24994659260841701"/>
      </right>
      <top style="thin">
        <color theme="9" tint="-0.24994659260841701"/>
      </top>
      <bottom style="thin">
        <color theme="9" tint="-0.24994659260841701"/>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diagonal/>
    </border>
    <border>
      <left style="dotted">
        <color theme="9" tint="-0.24994659260841701"/>
      </left>
      <right/>
      <top style="dotted">
        <color theme="9" tint="-0.24994659260841701"/>
      </top>
      <bottom/>
      <diagonal/>
    </border>
    <border>
      <left/>
      <right/>
      <top style="dotted">
        <color theme="9" tint="-0.24994659260841701"/>
      </top>
      <bottom/>
      <diagonal/>
    </border>
    <border>
      <left/>
      <right style="dotted">
        <color theme="9" tint="-0.24994659260841701"/>
      </right>
      <top style="dotted">
        <color theme="9" tint="-0.24994659260841701"/>
      </top>
      <bottom/>
      <diagonal/>
    </border>
    <border>
      <left style="dotted">
        <color theme="9" tint="-0.24994659260841701"/>
      </left>
      <right/>
      <top/>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style="dotted">
        <color rgb="FFFF0000"/>
      </left>
      <right style="dotted">
        <color rgb="FFFF0000"/>
      </right>
      <top style="dotted">
        <color rgb="FFFF0000"/>
      </top>
      <bottom style="dotted">
        <color rgb="FFFF0000"/>
      </bottom>
      <diagonal/>
    </border>
    <border>
      <left/>
      <right style="dotted">
        <color theme="9" tint="-0.24994659260841701"/>
      </right>
      <top/>
      <bottom/>
      <diagonal/>
    </border>
    <border>
      <left style="thick">
        <color rgb="FF8E8E8E"/>
      </left>
      <right/>
      <top style="thin">
        <color theme="9" tint="-0.24994659260841701"/>
      </top>
      <bottom style="thin">
        <color theme="9" tint="-0.2499465926084170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theme="0" tint="-0.14996795556505021"/>
      </top>
      <bottom style="thin">
        <color theme="0" tint="-0.14996795556505021"/>
      </bottom>
      <diagonal/>
    </border>
    <border>
      <left/>
      <right style="double">
        <color auto="1"/>
      </right>
      <top style="double">
        <color auto="1"/>
      </top>
      <bottom style="double">
        <color auto="1"/>
      </bottom>
      <diagonal/>
    </border>
    <border>
      <left/>
      <right/>
      <top/>
      <bottom style="dashDot">
        <color rgb="FFFF0000"/>
      </bottom>
      <diagonal/>
    </border>
    <border>
      <left style="thin">
        <color indexed="64"/>
      </left>
      <right/>
      <top/>
      <bottom style="dashDot">
        <color rgb="FFFF0000"/>
      </bottom>
      <diagonal/>
    </border>
    <border>
      <left/>
      <right style="thin">
        <color indexed="64"/>
      </right>
      <top/>
      <bottom style="dashDot">
        <color rgb="FFFF0000"/>
      </bottom>
      <diagonal/>
    </border>
    <border>
      <left/>
      <right style="dashDotDot">
        <color rgb="FFFF0000"/>
      </right>
      <top/>
      <bottom/>
      <diagonal/>
    </border>
    <border>
      <left/>
      <right style="hair">
        <color auto="1"/>
      </right>
      <top style="thin">
        <color auto="1"/>
      </top>
      <bottom/>
      <diagonal/>
    </border>
    <border>
      <left/>
      <right style="dashDotDot">
        <color rgb="FFFF0000"/>
      </right>
      <top/>
      <bottom style="thin">
        <color indexed="64"/>
      </bottom>
      <diagonal/>
    </border>
    <border>
      <left/>
      <right style="dashDotDot">
        <color rgb="FFFF0000"/>
      </right>
      <top/>
      <bottom style="dashDot">
        <color rgb="FFFF0000"/>
      </bottom>
      <diagonal/>
    </border>
    <border>
      <left style="thin">
        <color auto="1"/>
      </left>
      <right/>
      <top style="thin">
        <color indexed="64"/>
      </top>
      <bottom style="thin">
        <color indexed="64"/>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0691854609822"/>
      </top>
      <bottom style="thin">
        <color theme="0" tint="-0.14990691854609822"/>
      </bottom>
      <diagonal/>
    </border>
    <border>
      <left style="thin">
        <color rgb="FFD9D9D9"/>
      </left>
      <right style="thin">
        <color rgb="FFD9D9D9"/>
      </right>
      <top style="thin">
        <color rgb="FFD9D9D9"/>
      </top>
      <bottom style="thin">
        <color rgb="FFD9D9D9"/>
      </bottom>
      <diagonal/>
    </border>
    <border>
      <left style="dashDotDot">
        <color rgb="FFFF0000"/>
      </left>
      <right/>
      <top/>
      <bottom/>
      <diagonal/>
    </border>
    <border>
      <left style="dashDotDot">
        <color rgb="FFFF0000"/>
      </left>
      <right/>
      <top/>
      <bottom style="thin">
        <color indexed="64"/>
      </bottom>
      <diagonal/>
    </border>
    <border>
      <left style="dashDotDot">
        <color rgb="FFFF0000"/>
      </left>
      <right/>
      <top/>
      <bottom style="dashDot">
        <color rgb="FFFF0000"/>
      </bottom>
      <diagonal/>
    </border>
    <border>
      <left/>
      <right/>
      <top/>
      <bottom style="dashDotDot">
        <color rgb="FFFF0000"/>
      </bottom>
      <diagonal/>
    </border>
    <border>
      <left/>
      <right style="dashDotDot">
        <color rgb="FFFF0000"/>
      </right>
      <top/>
      <bottom style="dashDotDot">
        <color rgb="FFFF0000"/>
      </bottom>
      <diagonal/>
    </border>
    <border>
      <left style="thin">
        <color indexed="64"/>
      </left>
      <right/>
      <top/>
      <bottom style="dashDotDot">
        <color rgb="FFFF0000"/>
      </bottom>
      <diagonal/>
    </border>
    <border>
      <left/>
      <right style="thin">
        <color indexed="64"/>
      </right>
      <top/>
      <bottom style="dashDotDot">
        <color rgb="FFFF0000"/>
      </bottom>
      <diagonal/>
    </border>
    <border>
      <left style="dashDotDot">
        <color rgb="FFFF0000"/>
      </left>
      <right/>
      <top/>
      <bottom style="dashDotDot">
        <color rgb="FFFF0000"/>
      </bottom>
      <diagonal/>
    </border>
    <border>
      <left/>
      <right/>
      <top style="dashDotDot">
        <color rgb="FFFF0000"/>
      </top>
      <bottom/>
      <diagonal/>
    </border>
    <border>
      <left style="thick">
        <color rgb="FF8E8E8E"/>
      </left>
      <right/>
      <top style="thin">
        <color theme="9" tint="-0.24994659260841701"/>
      </top>
      <bottom/>
      <diagonal/>
    </border>
    <border>
      <left/>
      <right style="medium">
        <color theme="9" tint="-0.24994659260841701"/>
      </right>
      <top style="thin">
        <color theme="9" tint="-0.24994659260841701"/>
      </top>
      <bottom/>
      <diagonal/>
    </border>
    <border>
      <left/>
      <right style="dashDotDot">
        <color rgb="FFFF0000"/>
      </right>
      <top style="dashDotDot">
        <color rgb="FFFF0000"/>
      </top>
      <bottom/>
      <diagonal/>
    </border>
    <border>
      <left style="thin">
        <color indexed="64"/>
      </left>
      <right/>
      <top style="dashDotDot">
        <color rgb="FFFF0000"/>
      </top>
      <bottom/>
      <diagonal/>
    </border>
    <border>
      <left/>
      <right style="thin">
        <color indexed="64"/>
      </right>
      <top style="dashDotDot">
        <color rgb="FFFF0000"/>
      </top>
      <bottom/>
      <diagonal/>
    </border>
    <border>
      <left style="dashDotDot">
        <color rgb="FFFF0000"/>
      </left>
      <right/>
      <top style="dashDotDot">
        <color rgb="FFFF0000"/>
      </top>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theme="4" tint="0.39997558519241921"/>
      </left>
      <right/>
      <top style="double">
        <color indexed="64"/>
      </top>
      <bottom/>
      <diagonal/>
    </border>
    <border>
      <left/>
      <right style="thin">
        <color theme="4" tint="0.39997558519241921"/>
      </right>
      <top style="double">
        <color indexed="64"/>
      </top>
      <bottom/>
      <diagonal/>
    </border>
    <border>
      <left style="thin">
        <color auto="1"/>
      </left>
      <right/>
      <top style="thin">
        <color theme="4" tint="0.39997558519241921"/>
      </top>
      <bottom/>
      <diagonal/>
    </border>
    <border>
      <left style="thin">
        <color indexed="64"/>
      </left>
      <right style="thin">
        <color indexed="64"/>
      </right>
      <top style="thin">
        <color theme="4" tint="0.39997558519241921"/>
      </top>
      <bottom/>
      <diagonal/>
    </border>
    <border>
      <left/>
      <right style="thin">
        <color theme="4" tint="0.39997558519241921"/>
      </right>
      <top style="thin">
        <color auto="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dashed">
        <color rgb="FFFF0000"/>
      </left>
      <right style="dashed">
        <color rgb="FFFF0000"/>
      </right>
      <top style="dashed">
        <color rgb="FFFF0000"/>
      </top>
      <bottom/>
      <diagonal/>
    </border>
    <border>
      <left style="thin">
        <color rgb="FFC46A3A"/>
      </left>
      <right style="thin">
        <color rgb="FFC46A3A"/>
      </right>
      <top style="thin">
        <color rgb="FFC46A3A"/>
      </top>
      <bottom style="thin">
        <color rgb="FFC46A3A"/>
      </bottom>
      <diagonal/>
    </border>
    <border>
      <left style="hair">
        <color rgb="FFC46A3A"/>
      </left>
      <right style="hair">
        <color rgb="FFC46A3A"/>
      </right>
      <top style="hair">
        <color rgb="FFC46A3A"/>
      </top>
      <bottom style="hair">
        <color rgb="FFC46A3A"/>
      </bottom>
      <diagonal/>
    </border>
    <border>
      <left style="thin">
        <color rgb="FFC46A3A"/>
      </left>
      <right style="thin">
        <color rgb="FFC46A3A"/>
      </right>
      <top/>
      <bottom/>
      <diagonal/>
    </border>
    <border>
      <left style="hair">
        <color rgb="FFC46A3A"/>
      </left>
      <right/>
      <top style="hair">
        <color rgb="FFC46A3A"/>
      </top>
      <bottom style="hair">
        <color rgb="FFC46A3A"/>
      </bottom>
      <diagonal/>
    </border>
    <border>
      <left style="thin">
        <color rgb="FFC46A3A"/>
      </left>
      <right style="thin">
        <color rgb="FFC46A3A"/>
      </right>
      <top style="thin">
        <color rgb="FFC46A3A"/>
      </top>
      <bottom style="hair">
        <color rgb="FFC46A3A"/>
      </bottom>
      <diagonal/>
    </border>
    <border>
      <left style="thin">
        <color rgb="FFC46A3A"/>
      </left>
      <right style="thin">
        <color rgb="FFC46A3A"/>
      </right>
      <top/>
      <bottom style="hair">
        <color rgb="FFC46A3A"/>
      </bottom>
      <diagonal/>
    </border>
    <border>
      <left/>
      <right style="hair">
        <color rgb="FFC46A3A"/>
      </right>
      <top style="hair">
        <color rgb="FFC46A3A"/>
      </top>
      <bottom style="hair">
        <color rgb="FFC46A3A"/>
      </bottom>
      <diagonal/>
    </border>
    <border>
      <left style="thin">
        <color rgb="FFC46A3A"/>
      </left>
      <right style="thin">
        <color rgb="FFC46A3A"/>
      </right>
      <top style="hair">
        <color rgb="FFC46A3A"/>
      </top>
      <bottom style="hair">
        <color rgb="FFC46A3A"/>
      </bottom>
      <diagonal/>
    </border>
    <border>
      <left style="hair">
        <color rgb="FFC46A3A"/>
      </left>
      <right style="thin">
        <color rgb="FFC46A3A"/>
      </right>
      <top style="hair">
        <color rgb="FFC46A3A"/>
      </top>
      <bottom style="hair">
        <color rgb="FFC46A3A"/>
      </bottom>
      <diagonal/>
    </border>
    <border>
      <left style="thin">
        <color rgb="FFC46A3A"/>
      </left>
      <right/>
      <top style="hair">
        <color rgb="FFC46A3A"/>
      </top>
      <bottom style="hair">
        <color rgb="FFC46A3A"/>
      </bottom>
      <diagonal/>
    </border>
    <border>
      <left style="thin">
        <color rgb="FFC46A3A"/>
      </left>
      <right style="thin">
        <color rgb="FFC46A3A"/>
      </right>
      <top style="medium">
        <color rgb="FFC46A3A"/>
      </top>
      <bottom style="hair">
        <color rgb="FFC46A3A"/>
      </bottom>
      <diagonal/>
    </border>
    <border>
      <left style="thin">
        <color rgb="FFC46A3A"/>
      </left>
      <right style="thin">
        <color rgb="FFC46A3A"/>
      </right>
      <top style="medium">
        <color rgb="FFC46A3A"/>
      </top>
      <bottom/>
      <diagonal/>
    </border>
    <border>
      <left style="thin">
        <color rgb="FFC46A3A"/>
      </left>
      <right/>
      <top style="medium">
        <color rgb="FFC46A3A"/>
      </top>
      <bottom style="hair">
        <color rgb="FFC46A3A"/>
      </bottom>
      <diagonal/>
    </border>
    <border>
      <left/>
      <right/>
      <top style="thin">
        <color rgb="FF2B2B2B"/>
      </top>
      <bottom/>
      <diagonal/>
    </border>
    <border>
      <left/>
      <right style="thin">
        <color rgb="FF2B2B2B"/>
      </right>
      <top style="thin">
        <color rgb="FF2B2B2B"/>
      </top>
      <bottom/>
      <diagonal/>
    </border>
    <border>
      <left style="hair">
        <color rgb="FFC46A3A"/>
      </left>
      <right/>
      <top style="medium">
        <color rgb="FFC46A3A"/>
      </top>
      <bottom style="hair">
        <color rgb="FFC46A3A"/>
      </bottom>
      <diagonal/>
    </border>
    <border>
      <left style="hair">
        <color rgb="FFC46A3A"/>
      </left>
      <right style="hair">
        <color rgb="FFC46A3A"/>
      </right>
      <top/>
      <bottom style="hair">
        <color rgb="FFC46A3A"/>
      </bottom>
      <diagonal/>
    </border>
    <border>
      <left style="thin">
        <color rgb="FF2B2B2B"/>
      </left>
      <right/>
      <top style="thin">
        <color rgb="FF2B2B2B"/>
      </top>
      <bottom/>
      <diagonal/>
    </border>
    <border>
      <left/>
      <right/>
      <top style="medium">
        <color rgb="FFC46A3A"/>
      </top>
      <bottom style="medium">
        <color rgb="FFC46A3A"/>
      </bottom>
      <diagonal/>
    </border>
    <border>
      <left style="thin">
        <color rgb="FFC46A3A"/>
      </left>
      <right/>
      <top style="medium">
        <color rgb="FFC46A3A"/>
      </top>
      <bottom style="medium">
        <color rgb="FFC46A3A"/>
      </bottom>
      <diagonal/>
    </border>
    <border>
      <left/>
      <right style="thin">
        <color rgb="FFC46A3A"/>
      </right>
      <top style="medium">
        <color rgb="FFC46A3A"/>
      </top>
      <bottom style="medium">
        <color rgb="FFC46A3A"/>
      </bottom>
      <diagonal/>
    </border>
    <border>
      <left style="thin">
        <color rgb="FFC46A3A"/>
      </left>
      <right style="thin">
        <color rgb="FFC46A3A"/>
      </right>
      <top style="medium">
        <color rgb="FFC46A3A"/>
      </top>
      <bottom style="thin">
        <color rgb="FFC46A3A"/>
      </bottom>
      <diagonal/>
    </border>
    <border>
      <left style="thin">
        <color rgb="FFC46A3A"/>
      </left>
      <right style="medium">
        <color rgb="FFC46A3A"/>
      </right>
      <top style="medium">
        <color rgb="FFC46A3A"/>
      </top>
      <bottom style="thin">
        <color rgb="FFC46A3A"/>
      </bottom>
      <diagonal/>
    </border>
    <border>
      <left style="thin">
        <color rgb="FFC46A3A"/>
      </left>
      <right style="medium">
        <color rgb="FFC46A3A"/>
      </right>
      <top style="thin">
        <color rgb="FFC46A3A"/>
      </top>
      <bottom style="thin">
        <color rgb="FFC46A3A"/>
      </bottom>
      <diagonal/>
    </border>
    <border>
      <left style="thin">
        <color rgb="FFC46A3A"/>
      </left>
      <right style="medium">
        <color rgb="FFC46A3A"/>
      </right>
      <top style="thin">
        <color rgb="FFC46A3A"/>
      </top>
      <bottom style="hair">
        <color rgb="FFC46A3A"/>
      </bottom>
      <diagonal/>
    </border>
    <border>
      <left/>
      <right style="hair">
        <color rgb="FFC46A3A"/>
      </right>
      <top/>
      <bottom style="hair">
        <color rgb="FFC46A3A"/>
      </bottom>
      <diagonal/>
    </border>
    <border>
      <left style="hair">
        <color rgb="FFC46A3A"/>
      </left>
      <right/>
      <top/>
      <bottom style="hair">
        <color rgb="FFC46A3A"/>
      </bottom>
      <diagonal/>
    </border>
    <border>
      <left/>
      <right/>
      <top style="hair">
        <color rgb="FFC46A3A"/>
      </top>
      <bottom style="hair">
        <color rgb="FFC46A3A"/>
      </bottom>
      <diagonal/>
    </border>
    <border>
      <left style="hair">
        <color rgb="FFC46A3A"/>
      </left>
      <right style="medium">
        <color rgb="FFC46A3A"/>
      </right>
      <top style="hair">
        <color rgb="FFC46A3A"/>
      </top>
      <bottom style="hair">
        <color rgb="FFC46A3A"/>
      </bottom>
      <diagonal/>
    </border>
    <border>
      <left/>
      <right style="medium">
        <color rgb="FFC46A3A"/>
      </right>
      <top/>
      <bottom style="medium">
        <color rgb="FFC46A3A"/>
      </bottom>
      <diagonal/>
    </border>
    <border>
      <left style="hair">
        <color rgb="FFC46A3A"/>
      </left>
      <right style="hair">
        <color rgb="FFC46A3A"/>
      </right>
      <top/>
      <bottom style="medium">
        <color rgb="FFC46A3A"/>
      </bottom>
      <diagonal/>
    </border>
    <border>
      <left style="hair">
        <color rgb="FFC46A3A"/>
      </left>
      <right/>
      <top/>
      <bottom style="medium">
        <color rgb="FFC46A3A"/>
      </bottom>
      <diagonal/>
    </border>
    <border>
      <left style="hair">
        <color rgb="FFC46A3A"/>
      </left>
      <right style="hair">
        <color rgb="FFC46A3A"/>
      </right>
      <top style="hair">
        <color rgb="FFC46A3A"/>
      </top>
      <bottom style="medium">
        <color rgb="FFC46A3A"/>
      </bottom>
      <diagonal/>
    </border>
    <border>
      <left style="medium">
        <color rgb="FFC46A3A"/>
      </left>
      <right style="thin">
        <color rgb="FFC46A3A"/>
      </right>
      <top style="medium">
        <color rgb="FFC46A3A"/>
      </top>
      <bottom style="hair">
        <color rgb="FFC46A3A"/>
      </bottom>
      <diagonal/>
    </border>
    <border>
      <left style="thin">
        <color rgb="FFC46A3A"/>
      </left>
      <right style="medium">
        <color rgb="FFC46A3A"/>
      </right>
      <top style="medium">
        <color rgb="FFC46A3A"/>
      </top>
      <bottom style="hair">
        <color rgb="FFC46A3A"/>
      </bottom>
      <diagonal/>
    </border>
    <border>
      <left style="medium">
        <color rgb="FFC46A3A"/>
      </left>
      <right style="thin">
        <color rgb="FFC46A3A"/>
      </right>
      <top style="hair">
        <color rgb="FFC46A3A"/>
      </top>
      <bottom style="hair">
        <color rgb="FFC46A3A"/>
      </bottom>
      <diagonal/>
    </border>
    <border>
      <left style="medium">
        <color rgb="FFC46A3A"/>
      </left>
      <right style="thin">
        <color rgb="FFC46A3A"/>
      </right>
      <top style="hair">
        <color rgb="FFC46A3A"/>
      </top>
      <bottom style="medium">
        <color rgb="FFC46A3A"/>
      </bottom>
      <diagonal/>
    </border>
    <border>
      <left style="thin">
        <color rgb="FFC46A3A"/>
      </left>
      <right style="thin">
        <color rgb="FFC46A3A"/>
      </right>
      <top style="hair">
        <color rgb="FFC46A3A"/>
      </top>
      <bottom style="medium">
        <color rgb="FFC46A3A"/>
      </bottom>
      <diagonal/>
    </border>
    <border>
      <left style="thin">
        <color rgb="FFC46A3A"/>
      </left>
      <right style="thin">
        <color rgb="FFC46A3A"/>
      </right>
      <top style="hair">
        <color rgb="FFC46A3A"/>
      </top>
      <bottom/>
      <diagonal/>
    </border>
    <border>
      <left style="thin">
        <color rgb="FFC46A3A"/>
      </left>
      <right style="medium">
        <color rgb="FFC46A3A"/>
      </right>
      <top style="hair">
        <color rgb="FFC46A3A"/>
      </top>
      <bottom/>
      <diagonal/>
    </border>
    <border>
      <left style="thin">
        <color rgb="FFC46A3A"/>
      </left>
      <right style="thin">
        <color rgb="FFC46A3A"/>
      </right>
      <top/>
      <bottom style="medium">
        <color rgb="FFC46A3A"/>
      </bottom>
      <diagonal/>
    </border>
    <border>
      <left style="thin">
        <color rgb="FFC46A3A"/>
      </left>
      <right style="medium">
        <color rgb="FFC46A3A"/>
      </right>
      <top/>
      <bottom style="medium">
        <color rgb="FFC46A3A"/>
      </bottom>
      <diagonal/>
    </border>
    <border>
      <left style="thin">
        <color rgb="FFC46A3A"/>
      </left>
      <right/>
      <top style="hair">
        <color rgb="FFC46A3A"/>
      </top>
      <bottom/>
      <diagonal/>
    </border>
    <border>
      <left/>
      <right style="thin">
        <color rgb="FFC46A3A"/>
      </right>
      <top style="hair">
        <color rgb="FFC46A3A"/>
      </top>
      <bottom/>
      <diagonal/>
    </border>
    <border>
      <left style="thin">
        <color rgb="FFC46A3A"/>
      </left>
      <right/>
      <top/>
      <bottom style="medium">
        <color rgb="FFC46A3A"/>
      </bottom>
      <diagonal/>
    </border>
    <border>
      <left/>
      <right style="thin">
        <color rgb="FFC46A3A"/>
      </right>
      <top/>
      <bottom style="medium">
        <color rgb="FFC46A3A"/>
      </bottom>
      <diagonal/>
    </border>
    <border>
      <left/>
      <right style="medium">
        <color rgb="FFC46A3A"/>
      </right>
      <top style="medium">
        <color rgb="FFC46A3A"/>
      </top>
      <bottom/>
      <diagonal/>
    </border>
    <border>
      <left style="medium">
        <color rgb="FFC46A3A"/>
      </left>
      <right style="hair">
        <color rgb="FFC46A3A"/>
      </right>
      <top style="medium">
        <color rgb="FFC46A3A"/>
      </top>
      <bottom/>
      <diagonal/>
    </border>
    <border>
      <left style="hair">
        <color rgb="FFC46A3A"/>
      </left>
      <right style="hair">
        <color rgb="FFC46A3A"/>
      </right>
      <top style="medium">
        <color rgb="FFC46A3A"/>
      </top>
      <bottom/>
      <diagonal/>
    </border>
    <border>
      <left style="medium">
        <color rgb="FFC46A3A"/>
      </left>
      <right style="hair">
        <color rgb="FFC46A3A"/>
      </right>
      <top/>
      <bottom style="medium">
        <color rgb="FFC46A3A"/>
      </bottom>
      <diagonal/>
    </border>
    <border>
      <left style="hair">
        <color rgb="FFC46A3A"/>
      </left>
      <right/>
      <top style="medium">
        <color rgb="FFC46A3A"/>
      </top>
      <bottom/>
      <diagonal/>
    </border>
    <border>
      <left style="thin">
        <color rgb="FFC46A3A"/>
      </left>
      <right style="hair">
        <color rgb="FFC46A3A"/>
      </right>
      <top style="medium">
        <color rgb="FFC46A3A"/>
      </top>
      <bottom/>
      <diagonal/>
    </border>
    <border>
      <left style="hair">
        <color rgb="FFC46A3A"/>
      </left>
      <right style="thin">
        <color rgb="FFC46A3A"/>
      </right>
      <top style="medium">
        <color rgb="FFC46A3A"/>
      </top>
      <bottom/>
      <diagonal/>
    </border>
    <border>
      <left style="thin">
        <color rgb="FFC46A3A"/>
      </left>
      <right style="hair">
        <color rgb="FFC46A3A"/>
      </right>
      <top/>
      <bottom style="medium">
        <color rgb="FFC46A3A"/>
      </bottom>
      <diagonal/>
    </border>
    <border>
      <left style="hair">
        <color rgb="FFC46A3A"/>
      </left>
      <right style="thin">
        <color rgb="FFC46A3A"/>
      </right>
      <top/>
      <bottom style="medium">
        <color rgb="FFC46A3A"/>
      </bottom>
      <diagonal/>
    </border>
    <border>
      <left style="medium">
        <color rgb="FFC46A3A"/>
      </left>
      <right style="hair">
        <color rgb="FFC46A3A"/>
      </right>
      <top style="medium">
        <color rgb="FFC46A3A"/>
      </top>
      <bottom style="hair">
        <color rgb="FFC46A3A"/>
      </bottom>
      <diagonal/>
    </border>
    <border>
      <left style="hair">
        <color rgb="FFC46A3A"/>
      </left>
      <right style="hair">
        <color rgb="FFC46A3A"/>
      </right>
      <top style="medium">
        <color rgb="FFC46A3A"/>
      </top>
      <bottom style="hair">
        <color rgb="FFC46A3A"/>
      </bottom>
      <diagonal/>
    </border>
    <border>
      <left style="hair">
        <color rgb="FFC46A3A"/>
      </left>
      <right style="medium">
        <color rgb="FFC46A3A"/>
      </right>
      <top style="medium">
        <color rgb="FFC46A3A"/>
      </top>
      <bottom style="hair">
        <color rgb="FFC46A3A"/>
      </bottom>
      <diagonal/>
    </border>
    <border>
      <left style="medium">
        <color rgb="FFC46A3A"/>
      </left>
      <right style="hair">
        <color rgb="FFC46A3A"/>
      </right>
      <top style="hair">
        <color rgb="FFC46A3A"/>
      </top>
      <bottom style="hair">
        <color rgb="FFC46A3A"/>
      </bottom>
      <diagonal/>
    </border>
    <border>
      <left style="medium">
        <color rgb="FFC46A3A"/>
      </left>
      <right style="hair">
        <color rgb="FFC46A3A"/>
      </right>
      <top style="hair">
        <color rgb="FFC46A3A"/>
      </top>
      <bottom style="medium">
        <color rgb="FFC46A3A"/>
      </bottom>
      <diagonal/>
    </border>
    <border>
      <left style="hair">
        <color rgb="FFC46A3A"/>
      </left>
      <right style="medium">
        <color rgb="FFC46A3A"/>
      </right>
      <top style="hair">
        <color rgb="FFC46A3A"/>
      </top>
      <bottom style="medium">
        <color rgb="FFC46A3A"/>
      </bottom>
      <diagonal/>
    </border>
    <border>
      <left/>
      <right style="thin">
        <color rgb="FFC46A3A"/>
      </right>
      <top style="medium">
        <color rgb="FFC46A3A"/>
      </top>
      <bottom style="hair">
        <color rgb="FFC46A3A"/>
      </bottom>
      <diagonal/>
    </border>
    <border>
      <left/>
      <right style="thin">
        <color rgb="FFC46A3A"/>
      </right>
      <top style="hair">
        <color rgb="FFC46A3A"/>
      </top>
      <bottom style="hair">
        <color rgb="FFC46A3A"/>
      </bottom>
      <diagonal/>
    </border>
    <border>
      <left/>
      <right/>
      <top style="medium">
        <color rgb="FFC46A3A"/>
      </top>
      <bottom/>
      <diagonal/>
    </border>
    <border>
      <left style="hair">
        <color rgb="FFC46A3A"/>
      </left>
      <right style="hair">
        <color rgb="FFC46A3A"/>
      </right>
      <top style="hair">
        <color rgb="FFC46A3A"/>
      </top>
      <bottom style="hair">
        <color rgb="FF8A3F1F"/>
      </bottom>
      <diagonal/>
    </border>
    <border>
      <left/>
      <right style="hair">
        <color rgb="FFC46A3A"/>
      </right>
      <top style="hair">
        <color rgb="FFC46A3A"/>
      </top>
      <bottom style="hair">
        <color rgb="FF8A3F1F"/>
      </bottom>
      <diagonal/>
    </border>
    <border>
      <left style="dotted">
        <color rgb="FFC46A3A"/>
      </left>
      <right style="dotted">
        <color rgb="FFC46A3A"/>
      </right>
      <top style="hair">
        <color rgb="FFC46A3A"/>
      </top>
      <bottom style="hair">
        <color rgb="FFC46A3A"/>
      </bottom>
      <diagonal/>
    </border>
    <border>
      <left style="dotted">
        <color rgb="FFC46A3A"/>
      </left>
      <right style="dotted">
        <color rgb="FFC46A3A"/>
      </right>
      <top style="hair">
        <color rgb="FFC46A3A"/>
      </top>
      <bottom style="hair">
        <color rgb="FF8A3F1F"/>
      </bottom>
      <diagonal/>
    </border>
    <border>
      <left/>
      <right/>
      <top style="thin">
        <color theme="0" tint="-0.14990691854609822"/>
      </top>
      <bottom style="thin">
        <color theme="0" tint="-0.14990691854609822"/>
      </bottom>
      <diagonal/>
    </border>
    <border>
      <left style="dotted">
        <color auto="1"/>
      </left>
      <right/>
      <top/>
      <bottom/>
      <diagonal/>
    </border>
    <border>
      <left/>
      <right style="dotted">
        <color auto="1"/>
      </right>
      <top/>
      <bottom/>
      <diagonal/>
    </border>
    <border>
      <left style="thin">
        <color theme="4" tint="0.39997558519241921"/>
      </left>
      <right/>
      <top/>
      <bottom/>
      <diagonal/>
    </border>
  </borders>
  <cellStyleXfs count="2075">
    <xf numFmtId="0" fontId="0" fillId="0" borderId="0"/>
    <xf numFmtId="164" fontId="7" fillId="0" borderId="0" applyFont="0" applyFill="0" applyBorder="0" applyAlignment="0" applyProtection="0"/>
    <xf numFmtId="164" fontId="7" fillId="0" borderId="0" applyFont="0" applyFill="0" applyBorder="0" applyAlignment="0" applyProtection="0"/>
    <xf numFmtId="17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2" borderId="11">
      <alignment vertical="top" wrapText="1"/>
    </xf>
    <xf numFmtId="0" fontId="5" fillId="3" borderId="11">
      <alignment vertical="top" wrapText="1"/>
    </xf>
    <xf numFmtId="0" fontId="5" fillId="4" borderId="11">
      <alignment vertical="top" wrapText="1"/>
    </xf>
    <xf numFmtId="0" fontId="5" fillId="5" borderId="11">
      <alignment vertical="top" wrapText="1"/>
    </xf>
    <xf numFmtId="166" fontId="33" fillId="0" borderId="0"/>
    <xf numFmtId="166" fontId="34"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5"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0" fontId="7" fillId="0" borderId="0"/>
    <xf numFmtId="0" fontId="1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9" fillId="0" borderId="0"/>
    <xf numFmtId="0" fontId="36" fillId="0" borderId="0" applyNumberFormat="0" applyFill="0" applyBorder="0" applyAlignment="0" applyProtection="0">
      <alignment vertical="top"/>
      <protection locked="0"/>
    </xf>
    <xf numFmtId="0" fontId="27" fillId="0" borderId="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0"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5"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44" fontId="22"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169" fontId="7" fillId="0" borderId="0"/>
    <xf numFmtId="169"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21"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xf numFmtId="0" fontId="24" fillId="0" borderId="0">
      <alignment vertical="center"/>
    </xf>
    <xf numFmtId="0" fontId="31" fillId="0" borderId="0"/>
    <xf numFmtId="0" fontId="24" fillId="0" borderId="0">
      <alignment vertical="center"/>
    </xf>
    <xf numFmtId="0" fontId="31" fillId="0" borderId="0"/>
    <xf numFmtId="0" fontId="39" fillId="0" borderId="0"/>
    <xf numFmtId="0" fontId="5" fillId="0" borderId="0"/>
    <xf numFmtId="0" fontId="5" fillId="0" borderId="0"/>
    <xf numFmtId="0" fontId="5" fillId="0" borderId="0"/>
    <xf numFmtId="0" fontId="5" fillId="0" borderId="0"/>
    <xf numFmtId="0" fontId="31" fillId="0" borderId="0"/>
    <xf numFmtId="0" fontId="10" fillId="0" borderId="0"/>
    <xf numFmtId="0" fontId="21" fillId="0" borderId="0"/>
    <xf numFmtId="0" fontId="16"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7" fillId="0" borderId="0"/>
    <xf numFmtId="0" fontId="10" fillId="0" borderId="0"/>
    <xf numFmtId="0" fontId="2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26" fillId="0" borderId="0"/>
    <xf numFmtId="0" fontId="10"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7"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40"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40"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40"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40"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16" fillId="0" borderId="0"/>
    <xf numFmtId="0" fontId="21"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5" fillId="0" borderId="0"/>
    <xf numFmtId="0" fontId="7" fillId="0" borderId="0"/>
    <xf numFmtId="0" fontId="5" fillId="0" borderId="0"/>
    <xf numFmtId="0" fontId="40"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16" fillId="0" borderId="0"/>
    <xf numFmtId="0" fontId="13" fillId="0" borderId="0">
      <alignment vertical="top"/>
    </xf>
    <xf numFmtId="0" fontId="14" fillId="0" borderId="0" applyNumberFormat="0" applyFont="0" applyFill="0" applyAlignment="0" applyProtection="0"/>
    <xf numFmtId="0" fontId="19"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14" fillId="0" borderId="0" applyNumberFormat="0" applyFont="0" applyFill="0" applyAlignment="0" applyProtection="0"/>
    <xf numFmtId="0" fontId="7" fillId="0" borderId="0"/>
    <xf numFmtId="0" fontId="14" fillId="0" borderId="1" applyNumberFormat="0" applyFont="0" applyFill="0" applyAlignment="0" applyProtection="0"/>
    <xf numFmtId="0" fontId="19"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24" fillId="0" borderId="1" applyNumberFormat="0" applyFont="0" applyFill="0" applyAlignment="0" applyProtection="0">
      <alignment vertical="center"/>
    </xf>
    <xf numFmtId="0" fontId="24" fillId="0" borderId="1" applyNumberFormat="0" applyFont="0" applyFill="0" applyAlignment="0" applyProtection="0">
      <alignment vertical="center"/>
    </xf>
    <xf numFmtId="0" fontId="7" fillId="0" borderId="2"/>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14" fillId="0" borderId="1" applyNumberFormat="0" applyFont="0" applyFill="0" applyAlignment="0" applyProtection="0"/>
    <xf numFmtId="0" fontId="7" fillId="0" borderId="2"/>
    <xf numFmtId="0" fontId="16" fillId="0" borderId="0"/>
    <xf numFmtId="0" fontId="16" fillId="0" borderId="0"/>
    <xf numFmtId="0" fontId="21" fillId="0" borderId="0"/>
    <xf numFmtId="0" fontId="21" fillId="0" borderId="0"/>
    <xf numFmtId="0" fontId="10" fillId="0" borderId="0"/>
    <xf numFmtId="0" fontId="4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8"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4" fillId="0" borderId="0"/>
    <xf numFmtId="0" fontId="16" fillId="0" borderId="0"/>
    <xf numFmtId="0" fontId="2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xf numFmtId="0" fontId="39" fillId="0" borderId="0"/>
    <xf numFmtId="0" fontId="39" fillId="0" borderId="0"/>
    <xf numFmtId="0" fontId="3" fillId="0" borderId="0"/>
  </cellStyleXfs>
  <cellXfs count="974">
    <xf numFmtId="0" fontId="0" fillId="0" borderId="0" xfId="0"/>
    <xf numFmtId="0" fontId="0" fillId="0" borderId="0" xfId="0" applyAlignment="1">
      <alignment horizontal="center"/>
    </xf>
    <xf numFmtId="3" fontId="0" fillId="0" borderId="0" xfId="0" applyNumberFormat="1"/>
    <xf numFmtId="14" fontId="0" fillId="0" borderId="0" xfId="0" applyNumberFormat="1"/>
    <xf numFmtId="22" fontId="0" fillId="0" borderId="0" xfId="0" applyNumberFormat="1"/>
    <xf numFmtId="0" fontId="0" fillId="7" borderId="0" xfId="0" applyFill="1"/>
    <xf numFmtId="0" fontId="0" fillId="7" borderId="0" xfId="0" applyFill="1" applyAlignment="1">
      <alignment horizontal="center"/>
    </xf>
    <xf numFmtId="0" fontId="52" fillId="0" borderId="0" xfId="0" applyFont="1"/>
    <xf numFmtId="0" fontId="46" fillId="0" borderId="1" xfId="0" applyFont="1" applyBorder="1" applyAlignment="1">
      <alignment horizontal="center"/>
    </xf>
    <xf numFmtId="0" fontId="43" fillId="0" borderId="0" xfId="0" applyFont="1" applyAlignment="1">
      <alignment horizontal="left" shrinkToFit="1"/>
    </xf>
    <xf numFmtId="0" fontId="15" fillId="6" borderId="9" xfId="0" applyFont="1" applyFill="1" applyBorder="1" applyAlignment="1">
      <alignment horizontal="center" vertical="center" shrinkToFit="1"/>
    </xf>
    <xf numFmtId="0" fontId="15" fillId="7" borderId="10" xfId="0" applyFont="1" applyFill="1" applyBorder="1" applyAlignment="1">
      <alignment horizontal="center" vertical="center" shrinkToFit="1"/>
    </xf>
    <xf numFmtId="0" fontId="43" fillId="11" borderId="1" xfId="1713" applyFont="1" applyFill="1" applyBorder="1" applyAlignment="1">
      <alignment horizontal="center" shrinkToFit="1"/>
    </xf>
    <xf numFmtId="0" fontId="61" fillId="0" borderId="0" xfId="0" applyFont="1"/>
    <xf numFmtId="0" fontId="61" fillId="7" borderId="0" xfId="0" applyFont="1" applyFill="1"/>
    <xf numFmtId="0" fontId="61" fillId="7" borderId="0" xfId="0" applyFont="1" applyFill="1" applyAlignment="1">
      <alignment vertical="center"/>
    </xf>
    <xf numFmtId="0" fontId="8" fillId="7" borderId="0" xfId="0" applyFont="1" applyFill="1"/>
    <xf numFmtId="0" fontId="64" fillId="7" borderId="0" xfId="0" applyFont="1" applyFill="1"/>
    <xf numFmtId="0" fontId="61" fillId="7" borderId="0" xfId="0" applyFont="1" applyFill="1" applyAlignment="1">
      <alignment horizontal="center" shrinkToFit="1"/>
    </xf>
    <xf numFmtId="0" fontId="10" fillId="7" borderId="0" xfId="357" applyFill="1"/>
    <xf numFmtId="0" fontId="0" fillId="0" borderId="3" xfId="0" applyBorder="1"/>
    <xf numFmtId="0" fontId="43" fillId="0" borderId="0" xfId="0" applyFont="1"/>
    <xf numFmtId="0" fontId="73" fillId="0" borderId="0" xfId="0" applyFont="1"/>
    <xf numFmtId="0" fontId="74" fillId="0" borderId="0" xfId="0" applyFont="1"/>
    <xf numFmtId="0" fontId="73" fillId="0" borderId="0" xfId="0" applyFont="1" applyAlignment="1">
      <alignment horizontal="center" shrinkToFit="1"/>
    </xf>
    <xf numFmtId="0" fontId="76" fillId="0" borderId="0" xfId="0" applyFont="1" applyAlignment="1">
      <alignment horizontal="center" shrinkToFit="1"/>
    </xf>
    <xf numFmtId="0" fontId="73" fillId="0" borderId="24" xfId="0" applyFont="1" applyBorder="1" applyAlignment="1">
      <alignment shrinkToFit="1"/>
    </xf>
    <xf numFmtId="0" fontId="73" fillId="0" borderId="25" xfId="0" applyFont="1" applyBorder="1" applyAlignment="1">
      <alignment shrinkToFit="1"/>
    </xf>
    <xf numFmtId="0" fontId="73" fillId="0" borderId="25" xfId="0" applyFont="1" applyBorder="1" applyAlignment="1">
      <alignment horizontal="center" shrinkToFit="1"/>
    </xf>
    <xf numFmtId="0" fontId="59" fillId="0" borderId="25" xfId="0" applyFont="1" applyBorder="1" applyAlignment="1">
      <alignment horizontal="center" shrinkToFit="1"/>
    </xf>
    <xf numFmtId="166" fontId="59" fillId="0" borderId="25" xfId="15" applyFont="1" applyBorder="1" applyAlignment="1">
      <alignment horizontal="center" shrinkToFit="1"/>
    </xf>
    <xf numFmtId="0" fontId="73" fillId="0" borderId="25" xfId="0" applyFont="1" applyBorder="1" applyAlignment="1">
      <alignment horizontal="center"/>
    </xf>
    <xf numFmtId="0" fontId="73" fillId="0" borderId="26" xfId="0" applyFont="1" applyBorder="1" applyAlignment="1">
      <alignment horizontal="center" shrinkToFit="1"/>
    </xf>
    <xf numFmtId="0" fontId="59" fillId="0" borderId="27" xfId="0" applyFont="1" applyBorder="1" applyAlignment="1">
      <alignment shrinkToFit="1"/>
    </xf>
    <xf numFmtId="0" fontId="59" fillId="0" borderId="28" xfId="0" applyFont="1" applyBorder="1" applyAlignment="1">
      <alignment shrinkToFit="1"/>
    </xf>
    <xf numFmtId="0" fontId="73" fillId="0" borderId="28" xfId="0" applyFont="1" applyBorder="1" applyAlignment="1">
      <alignment horizontal="center" shrinkToFit="1"/>
    </xf>
    <xf numFmtId="0" fontId="59" fillId="0" borderId="28" xfId="0" applyFont="1" applyBorder="1" applyAlignment="1">
      <alignment horizontal="center" shrinkToFit="1"/>
    </xf>
    <xf numFmtId="166" fontId="59" fillId="0" borderId="28" xfId="15" applyFont="1" applyBorder="1" applyAlignment="1">
      <alignment horizontal="center" shrinkToFit="1"/>
    </xf>
    <xf numFmtId="0" fontId="73" fillId="0" borderId="28" xfId="0" applyFont="1" applyBorder="1" applyAlignment="1">
      <alignment horizontal="center"/>
    </xf>
    <xf numFmtId="0" fontId="73" fillId="0" borderId="29" xfId="0" applyFont="1" applyBorder="1" applyAlignment="1">
      <alignment horizontal="center" shrinkToFit="1"/>
    </xf>
    <xf numFmtId="0" fontId="0" fillId="0" borderId="28" xfId="0" applyBorder="1"/>
    <xf numFmtId="0" fontId="0" fillId="0" borderId="29" xfId="0" applyBorder="1"/>
    <xf numFmtId="0" fontId="79" fillId="14" borderId="19" xfId="0" applyFont="1" applyFill="1" applyBorder="1" applyAlignment="1">
      <alignment horizontal="center"/>
    </xf>
    <xf numFmtId="0" fontId="80" fillId="14" borderId="19" xfId="0" applyFont="1" applyFill="1" applyBorder="1" applyAlignment="1">
      <alignment horizontal="center"/>
    </xf>
    <xf numFmtId="0" fontId="15" fillId="7" borderId="8" xfId="0" applyFont="1" applyFill="1" applyBorder="1" applyAlignment="1">
      <alignment horizontal="center" vertical="center" shrinkToFit="1"/>
    </xf>
    <xf numFmtId="0" fontId="15" fillId="6" borderId="14" xfId="0" applyFont="1" applyFill="1" applyBorder="1" applyAlignment="1">
      <alignment horizontal="center" vertical="center" shrinkToFit="1"/>
    </xf>
    <xf numFmtId="0" fontId="15" fillId="6" borderId="5" xfId="0" applyFont="1" applyFill="1" applyBorder="1" applyAlignment="1">
      <alignment horizontal="center" vertical="center" shrinkToFit="1"/>
    </xf>
    <xf numFmtId="0" fontId="15" fillId="6" borderId="0" xfId="0" applyFont="1" applyFill="1" applyAlignment="1">
      <alignment horizontal="center" vertical="center" shrinkToFit="1"/>
    </xf>
    <xf numFmtId="0" fontId="0" fillId="0" borderId="0" xfId="0" applyAlignment="1">
      <alignment shrinkToFit="1"/>
    </xf>
    <xf numFmtId="0" fontId="0" fillId="0" borderId="1" xfId="0" applyBorder="1" applyAlignment="1">
      <alignment horizontal="center"/>
    </xf>
    <xf numFmtId="0" fontId="0" fillId="0" borderId="33" xfId="0" applyBorder="1" applyAlignment="1">
      <alignment horizontal="center"/>
    </xf>
    <xf numFmtId="0" fontId="0" fillId="9" borderId="33" xfId="0" applyFill="1" applyBorder="1" applyAlignment="1">
      <alignment horizontal="center"/>
    </xf>
    <xf numFmtId="0" fontId="0" fillId="0" borderId="12" xfId="0" applyBorder="1" applyAlignment="1">
      <alignment horizontal="center" shrinkToFit="1"/>
    </xf>
    <xf numFmtId="0" fontId="0" fillId="0" borderId="6" xfId="0" applyBorder="1" applyAlignment="1">
      <alignment horizontal="center" shrinkToFit="1"/>
    </xf>
    <xf numFmtId="0" fontId="0" fillId="0" borderId="14" xfId="0" applyBorder="1" applyAlignment="1">
      <alignment horizontal="center" shrinkToFit="1"/>
    </xf>
    <xf numFmtId="0" fontId="0" fillId="9" borderId="34" xfId="0" applyFill="1" applyBorder="1" applyAlignment="1">
      <alignment horizontal="center" shrinkToFit="1"/>
    </xf>
    <xf numFmtId="0" fontId="0" fillId="9" borderId="35" xfId="0" applyFill="1" applyBorder="1" applyAlignment="1">
      <alignment horizontal="center" shrinkToFit="1"/>
    </xf>
    <xf numFmtId="0" fontId="63" fillId="9" borderId="34" xfId="0" applyFont="1" applyFill="1" applyBorder="1" applyAlignment="1">
      <alignment horizontal="center" shrinkToFit="1"/>
    </xf>
    <xf numFmtId="0" fontId="0" fillId="0" borderId="8" xfId="0" applyBorder="1" applyAlignment="1">
      <alignment horizontal="center" shrinkToFit="1"/>
    </xf>
    <xf numFmtId="0" fontId="0" fillId="7" borderId="42" xfId="0" applyFill="1" applyBorder="1" applyAlignment="1">
      <alignment horizontal="center" shrinkToFit="1"/>
    </xf>
    <xf numFmtId="0" fontId="0" fillId="7" borderId="43" xfId="0" applyFill="1" applyBorder="1" applyAlignment="1">
      <alignment horizontal="center" shrinkToFit="1"/>
    </xf>
    <xf numFmtId="0" fontId="0" fillId="7" borderId="46" xfId="0" applyFill="1" applyBorder="1" applyAlignment="1">
      <alignment horizontal="center" shrinkToFit="1"/>
    </xf>
    <xf numFmtId="0" fontId="0" fillId="7" borderId="47" xfId="0" applyFill="1" applyBorder="1" applyAlignment="1">
      <alignment horizontal="center" shrinkToFit="1"/>
    </xf>
    <xf numFmtId="0" fontId="0" fillId="0" borderId="22" xfId="0" applyBorder="1" applyAlignment="1">
      <alignment horizontal="center" shrinkToFit="1"/>
    </xf>
    <xf numFmtId="0" fontId="0" fillId="0" borderId="22" xfId="0" applyBorder="1" applyAlignment="1">
      <alignment horizontal="center"/>
    </xf>
    <xf numFmtId="0" fontId="0" fillId="0" borderId="39" xfId="0" applyBorder="1" applyAlignment="1">
      <alignment horizontal="center"/>
    </xf>
    <xf numFmtId="0" fontId="0" fillId="0" borderId="54" xfId="0" applyBorder="1" applyAlignment="1">
      <alignment horizontal="center" shrinkToFit="1"/>
    </xf>
    <xf numFmtId="0" fontId="0" fillId="7" borderId="14" xfId="0" applyFill="1" applyBorder="1"/>
    <xf numFmtId="0" fontId="15" fillId="7" borderId="0" xfId="0" applyFont="1" applyFill="1" applyAlignment="1">
      <alignment horizontal="center" vertical="center" shrinkToFit="1"/>
    </xf>
    <xf numFmtId="0" fontId="0" fillId="7" borderId="33" xfId="0" applyFill="1" applyBorder="1" applyAlignment="1">
      <alignment horizontal="center"/>
    </xf>
    <xf numFmtId="0" fontId="63" fillId="7" borderId="39" xfId="0" applyFont="1" applyFill="1" applyBorder="1" applyAlignment="1">
      <alignment horizontal="center" shrinkToFit="1"/>
    </xf>
    <xf numFmtId="0" fontId="63" fillId="7" borderId="0" xfId="0" applyFont="1" applyFill="1" applyAlignment="1">
      <alignment horizontal="right"/>
    </xf>
    <xf numFmtId="0" fontId="6" fillId="15" borderId="48" xfId="0" applyFont="1" applyFill="1" applyBorder="1" applyAlignment="1">
      <alignment horizontal="center" shrinkToFit="1"/>
    </xf>
    <xf numFmtId="0" fontId="6" fillId="7" borderId="48" xfId="0" applyFont="1" applyFill="1" applyBorder="1" applyAlignment="1">
      <alignment horizontal="center" shrinkToFit="1"/>
    </xf>
    <xf numFmtId="0" fontId="0" fillId="15" borderId="48" xfId="0" applyFill="1" applyBorder="1" applyAlignment="1">
      <alignment horizontal="center"/>
    </xf>
    <xf numFmtId="0" fontId="0" fillId="7" borderId="48" xfId="0" applyFill="1" applyBorder="1" applyAlignment="1">
      <alignment horizontal="center"/>
    </xf>
    <xf numFmtId="0" fontId="63" fillId="7" borderId="38" xfId="0" applyFont="1" applyFill="1" applyBorder="1" applyAlignment="1">
      <alignment horizontal="center" shrinkToFit="1"/>
    </xf>
    <xf numFmtId="0" fontId="15" fillId="6" borderId="55" xfId="0" applyFont="1" applyFill="1" applyBorder="1" applyAlignment="1">
      <alignment horizontal="center" vertical="center" shrinkToFit="1"/>
    </xf>
    <xf numFmtId="0" fontId="15" fillId="6" borderId="56" xfId="0" applyFont="1" applyFill="1" applyBorder="1" applyAlignment="1">
      <alignment horizontal="center" vertical="center" shrinkToFit="1"/>
    </xf>
    <xf numFmtId="0" fontId="0" fillId="7" borderId="1" xfId="0" applyFill="1" applyBorder="1"/>
    <xf numFmtId="0" fontId="0" fillId="7" borderId="41" xfId="0" applyFill="1" applyBorder="1" applyAlignment="1">
      <alignment horizontal="center" shrinkToFit="1"/>
    </xf>
    <xf numFmtId="0" fontId="0" fillId="7" borderId="45" xfId="0" applyFill="1" applyBorder="1" applyAlignment="1">
      <alignment horizontal="center" shrinkToFit="1"/>
    </xf>
    <xf numFmtId="0" fontId="0" fillId="7" borderId="57" xfId="0" applyFill="1" applyBorder="1" applyAlignment="1">
      <alignment shrinkToFit="1"/>
    </xf>
    <xf numFmtId="0" fontId="0" fillId="7" borderId="49" xfId="0" applyFill="1" applyBorder="1" applyAlignment="1">
      <alignment shrinkToFit="1"/>
    </xf>
    <xf numFmtId="0" fontId="0" fillId="7" borderId="1" xfId="0" applyFill="1" applyBorder="1" applyAlignment="1">
      <alignment shrinkToFit="1"/>
    </xf>
    <xf numFmtId="0" fontId="0" fillId="7" borderId="4" xfId="0" applyFill="1" applyBorder="1" applyAlignment="1">
      <alignment shrinkToFit="1"/>
    </xf>
    <xf numFmtId="0" fontId="0" fillId="7" borderId="58" xfId="0" applyFill="1" applyBorder="1" applyAlignment="1">
      <alignment shrinkToFit="1"/>
    </xf>
    <xf numFmtId="0" fontId="0" fillId="7" borderId="13" xfId="0" applyFill="1" applyBorder="1" applyAlignment="1">
      <alignment shrinkToFit="1"/>
    </xf>
    <xf numFmtId="0" fontId="0" fillId="7" borderId="59" xfId="0" applyFill="1" applyBorder="1" applyAlignment="1">
      <alignment shrinkToFit="1"/>
    </xf>
    <xf numFmtId="0" fontId="0" fillId="0" borderId="5" xfId="0" applyBorder="1"/>
    <xf numFmtId="0" fontId="0" fillId="13" borderId="0" xfId="0" applyFill="1"/>
    <xf numFmtId="0" fontId="80" fillId="7" borderId="19" xfId="0" applyFont="1" applyFill="1" applyBorder="1" applyAlignment="1">
      <alignment horizontal="center"/>
    </xf>
    <xf numFmtId="0" fontId="0" fillId="7" borderId="54" xfId="0" applyFill="1" applyBorder="1" applyAlignment="1">
      <alignment horizontal="center" shrinkToFit="1"/>
    </xf>
    <xf numFmtId="0" fontId="0" fillId="7" borderId="22" xfId="0" applyFill="1" applyBorder="1" applyAlignment="1">
      <alignment horizontal="center" shrinkToFit="1"/>
    </xf>
    <xf numFmtId="0" fontId="0" fillId="7" borderId="39" xfId="0" applyFill="1" applyBorder="1" applyAlignment="1">
      <alignment horizontal="center" shrinkToFit="1"/>
    </xf>
    <xf numFmtId="0" fontId="0" fillId="7" borderId="70" xfId="0" applyFill="1" applyBorder="1" applyAlignment="1">
      <alignment horizontal="center" shrinkToFit="1"/>
    </xf>
    <xf numFmtId="0" fontId="0" fillId="7" borderId="71" xfId="0" applyFill="1" applyBorder="1" applyAlignment="1">
      <alignment horizontal="center" shrinkToFit="1"/>
    </xf>
    <xf numFmtId="0" fontId="0" fillId="7" borderId="72" xfId="0" applyFill="1" applyBorder="1" applyAlignment="1">
      <alignment horizontal="center" shrinkToFit="1"/>
    </xf>
    <xf numFmtId="0" fontId="75" fillId="0" borderId="0" xfId="0" applyFont="1" applyAlignment="1">
      <alignment horizontal="center"/>
    </xf>
    <xf numFmtId="0" fontId="73" fillId="0" borderId="0" xfId="0" applyFont="1" applyAlignment="1">
      <alignment shrinkToFit="1"/>
    </xf>
    <xf numFmtId="0" fontId="59" fillId="0" borderId="0" xfId="0" applyFont="1" applyAlignment="1">
      <alignment shrinkToFit="1"/>
    </xf>
    <xf numFmtId="0" fontId="74" fillId="0" borderId="0" xfId="0" applyFont="1" applyAlignment="1">
      <alignment horizontal="center" shrinkToFit="1"/>
    </xf>
    <xf numFmtId="0" fontId="75" fillId="0" borderId="74" xfId="0" applyFont="1" applyBorder="1" applyAlignment="1">
      <alignment horizontal="center"/>
    </xf>
    <xf numFmtId="0" fontId="75" fillId="0" borderId="74" xfId="149" applyFont="1" applyBorder="1" applyAlignment="1">
      <alignment horizontal="center"/>
    </xf>
    <xf numFmtId="0" fontId="63" fillId="0" borderId="74" xfId="0" applyFont="1" applyBorder="1" applyAlignment="1">
      <alignment horizontal="center"/>
    </xf>
    <xf numFmtId="0" fontId="0" fillId="9" borderId="75" xfId="0" applyFill="1" applyBorder="1" applyAlignment="1">
      <alignment horizontal="center"/>
    </xf>
    <xf numFmtId="0" fontId="73" fillId="0" borderId="75" xfId="0" applyFont="1" applyBorder="1" applyAlignment="1">
      <alignment horizontal="center"/>
    </xf>
    <xf numFmtId="0" fontId="78" fillId="0" borderId="75" xfId="0" applyFont="1" applyBorder="1" applyAlignment="1">
      <alignment horizontal="center"/>
    </xf>
    <xf numFmtId="0" fontId="0" fillId="0" borderId="75" xfId="0" applyBorder="1" applyAlignment="1">
      <alignment horizontal="center"/>
    </xf>
    <xf numFmtId="0" fontId="74" fillId="0" borderId="76" xfId="0" applyFont="1" applyBorder="1" applyAlignment="1">
      <alignment horizontal="center"/>
    </xf>
    <xf numFmtId="0" fontId="63" fillId="0" borderId="76" xfId="0" applyFont="1" applyBorder="1" applyAlignment="1">
      <alignment horizontal="center"/>
    </xf>
    <xf numFmtId="0" fontId="0" fillId="17" borderId="0" xfId="0" applyFill="1"/>
    <xf numFmtId="0" fontId="43" fillId="7" borderId="0" xfId="0" applyFont="1" applyFill="1"/>
    <xf numFmtId="9" fontId="61" fillId="0" borderId="0" xfId="0" applyNumberFormat="1" applyFont="1"/>
    <xf numFmtId="0" fontId="87" fillId="0" borderId="0" xfId="0" applyFont="1" applyAlignment="1">
      <alignment vertical="center" shrinkToFit="1"/>
    </xf>
    <xf numFmtId="0" fontId="88" fillId="0" borderId="0" xfId="0" applyFont="1" applyAlignment="1">
      <alignment vertical="center" shrinkToFit="1"/>
    </xf>
    <xf numFmtId="0" fontId="87" fillId="0" borderId="0" xfId="0" applyFont="1" applyAlignment="1">
      <alignment shrinkToFit="1"/>
    </xf>
    <xf numFmtId="0" fontId="89" fillId="0" borderId="0" xfId="0" applyFont="1" applyAlignment="1">
      <alignment shrinkToFit="1"/>
    </xf>
    <xf numFmtId="0" fontId="86" fillId="0" borderId="0" xfId="0" applyFont="1"/>
    <xf numFmtId="0" fontId="15" fillId="9" borderId="0" xfId="0" applyFont="1" applyFill="1" applyAlignment="1">
      <alignment horizontal="left" shrinkToFit="1"/>
    </xf>
    <xf numFmtId="0" fontId="9" fillId="0" borderId="0" xfId="0" applyFont="1" applyAlignment="1">
      <alignment horizontal="left" shrinkToFit="1"/>
    </xf>
    <xf numFmtId="0" fontId="73" fillId="0" borderId="0" xfId="0" applyFont="1" applyAlignment="1">
      <alignment horizontal="left" shrinkToFit="1"/>
    </xf>
    <xf numFmtId="0" fontId="59" fillId="0" borderId="0" xfId="0" applyFont="1" applyAlignment="1">
      <alignment horizontal="left" shrinkToFit="1"/>
    </xf>
    <xf numFmtId="166" fontId="59" fillId="0" borderId="0" xfId="15" applyFont="1" applyAlignment="1">
      <alignment horizontal="left" shrinkToFit="1"/>
    </xf>
    <xf numFmtId="0" fontId="9" fillId="0" borderId="0" xfId="0" applyFont="1" applyAlignment="1">
      <alignment horizontal="left" vertical="center" shrinkToFit="1"/>
    </xf>
    <xf numFmtId="0" fontId="9" fillId="9" borderId="0" xfId="0" applyFont="1" applyFill="1" applyAlignment="1">
      <alignment horizontal="left" shrinkToFit="1"/>
    </xf>
    <xf numFmtId="0" fontId="45" fillId="9" borderId="0" xfId="0" applyFont="1" applyFill="1" applyAlignment="1">
      <alignment horizontal="left" shrinkToFit="1"/>
    </xf>
    <xf numFmtId="0" fontId="0" fillId="9" borderId="0" xfId="0" applyFill="1" applyAlignment="1">
      <alignment horizontal="left" shrinkToFit="1"/>
    </xf>
    <xf numFmtId="0" fontId="0" fillId="0" borderId="0" xfId="0" applyAlignment="1">
      <alignment horizontal="left" shrinkToFit="1"/>
    </xf>
    <xf numFmtId="0" fontId="45" fillId="0" borderId="0" xfId="0" applyFont="1" applyAlignment="1">
      <alignment horizontal="left" shrinkToFit="1"/>
    </xf>
    <xf numFmtId="49" fontId="9" fillId="0" borderId="0" xfId="0" applyNumberFormat="1" applyFont="1" applyAlignment="1">
      <alignment horizontal="left" vertical="center" shrinkToFit="1"/>
    </xf>
    <xf numFmtId="0" fontId="9" fillId="0" borderId="0" xfId="0" applyFont="1" applyAlignment="1">
      <alignment horizontal="left" vertical="center" shrinkToFit="1" readingOrder="1"/>
    </xf>
    <xf numFmtId="1" fontId="9" fillId="0" borderId="0" xfId="0" applyNumberFormat="1" applyFont="1" applyAlignment="1">
      <alignment horizontal="left" vertical="center" shrinkToFit="1"/>
    </xf>
    <xf numFmtId="14" fontId="12" fillId="0" borderId="0" xfId="0" applyNumberFormat="1" applyFont="1" applyAlignment="1">
      <alignment horizontal="left" vertical="center" shrinkToFit="1"/>
    </xf>
    <xf numFmtId="165" fontId="9" fillId="0" borderId="0" xfId="0" applyNumberFormat="1" applyFont="1" applyAlignment="1">
      <alignment horizontal="left" vertical="center" shrinkToFit="1"/>
    </xf>
    <xf numFmtId="167" fontId="9" fillId="0" borderId="0" xfId="0" applyNumberFormat="1" applyFont="1" applyAlignment="1">
      <alignment horizontal="left" vertical="center" shrinkToFit="1"/>
    </xf>
    <xf numFmtId="0" fontId="12" fillId="0" borderId="0" xfId="0" applyFont="1" applyAlignment="1">
      <alignment horizontal="left" vertical="center" shrinkToFit="1"/>
    </xf>
    <xf numFmtId="49" fontId="0" fillId="0" borderId="0" xfId="0" applyNumberFormat="1" applyAlignment="1">
      <alignment horizontal="left" shrinkToFit="1"/>
    </xf>
    <xf numFmtId="49" fontId="12" fillId="0" borderId="0" xfId="0" applyNumberFormat="1" applyFont="1" applyAlignment="1">
      <alignment horizontal="left" vertical="center" shrinkToFit="1"/>
    </xf>
    <xf numFmtId="14" fontId="9" fillId="0" borderId="0" xfId="0" applyNumberFormat="1" applyFont="1" applyAlignment="1">
      <alignment horizontal="left" vertical="center" shrinkToFit="1"/>
    </xf>
    <xf numFmtId="0" fontId="46" fillId="9" borderId="0" xfId="0" applyFont="1" applyFill="1" applyAlignment="1">
      <alignment horizontal="left" shrinkToFit="1"/>
    </xf>
    <xf numFmtId="0" fontId="63" fillId="9" borderId="0" xfId="0" applyFont="1" applyFill="1" applyAlignment="1">
      <alignment horizontal="left" shrinkToFit="1"/>
    </xf>
    <xf numFmtId="0" fontId="63" fillId="9" borderId="75" xfId="0" applyFont="1" applyFill="1" applyBorder="1" applyAlignment="1">
      <alignment horizontal="left" shrinkToFit="1"/>
    </xf>
    <xf numFmtId="0" fontId="63" fillId="0" borderId="0" xfId="0" applyFont="1" applyAlignment="1">
      <alignment horizontal="left" shrinkToFit="1"/>
    </xf>
    <xf numFmtId="0" fontId="0" fillId="0" borderId="0" xfId="0" applyAlignment="1">
      <alignment horizontal="left" wrapText="1" shrinkToFit="1"/>
    </xf>
    <xf numFmtId="165" fontId="71" fillId="18" borderId="81" xfId="0" applyNumberFormat="1" applyFont="1" applyFill="1" applyBorder="1" applyAlignment="1">
      <alignment horizontal="center" vertical="center" shrinkToFit="1"/>
    </xf>
    <xf numFmtId="0" fontId="0" fillId="0" borderId="83" xfId="0" applyBorder="1" applyAlignment="1">
      <alignment horizontal="left" shrinkToFit="1"/>
    </xf>
    <xf numFmtId="0" fontId="0" fillId="0" borderId="84" xfId="0" applyBorder="1" applyAlignment="1">
      <alignment horizontal="left" shrinkToFit="1"/>
    </xf>
    <xf numFmtId="0" fontId="9" fillId="0" borderId="85" xfId="0" applyFont="1" applyBorder="1" applyAlignment="1">
      <alignment horizontal="left" vertical="center" shrinkToFit="1"/>
    </xf>
    <xf numFmtId="0" fontId="9" fillId="0" borderId="86" xfId="0" applyFont="1" applyBorder="1" applyAlignment="1">
      <alignment horizontal="left" vertical="center" shrinkToFit="1"/>
    </xf>
    <xf numFmtId="0" fontId="9" fillId="0" borderId="87" xfId="0" applyFont="1" applyBorder="1" applyAlignment="1">
      <alignment horizontal="left" vertical="center" shrinkToFit="1"/>
    </xf>
    <xf numFmtId="0" fontId="9" fillId="0" borderId="87" xfId="0" applyFont="1" applyBorder="1" applyAlignment="1">
      <alignment horizontal="left" shrinkToFit="1"/>
    </xf>
    <xf numFmtId="0" fontId="12" fillId="0" borderId="87" xfId="0" applyFont="1" applyBorder="1" applyAlignment="1">
      <alignment horizontal="left" vertical="center" shrinkToFit="1"/>
    </xf>
    <xf numFmtId="0" fontId="0" fillId="0" borderId="87" xfId="0" applyBorder="1" applyAlignment="1">
      <alignment horizontal="left" shrinkToFit="1"/>
    </xf>
    <xf numFmtId="0" fontId="0" fillId="9" borderId="0" xfId="0" applyFill="1"/>
    <xf numFmtId="0" fontId="0" fillId="7" borderId="3" xfId="0" applyFill="1" applyBorder="1"/>
    <xf numFmtId="0" fontId="61" fillId="0" borderId="8" xfId="0" applyFont="1" applyBorder="1"/>
    <xf numFmtId="0" fontId="61" fillId="0" borderId="14" xfId="0" applyFont="1" applyBorder="1"/>
    <xf numFmtId="0" fontId="43" fillId="0" borderId="14" xfId="0" applyFont="1" applyBorder="1"/>
    <xf numFmtId="0" fontId="68" fillId="0" borderId="0" xfId="0" applyFont="1" applyAlignment="1">
      <alignment shrinkToFit="1"/>
    </xf>
    <xf numFmtId="0" fontId="61" fillId="7" borderId="8" xfId="0" applyFont="1" applyFill="1" applyBorder="1"/>
    <xf numFmtId="0" fontId="61" fillId="7" borderId="10" xfId="0" applyFont="1" applyFill="1" applyBorder="1"/>
    <xf numFmtId="0" fontId="90" fillId="7" borderId="0" xfId="0" applyFont="1" applyFill="1" applyAlignment="1">
      <alignment vertical="top" shrinkToFit="1"/>
    </xf>
    <xf numFmtId="0" fontId="9" fillId="0" borderId="0" xfId="0" applyFont="1" applyAlignment="1">
      <alignment horizontal="center" vertical="center"/>
    </xf>
    <xf numFmtId="0" fontId="9" fillId="0" borderId="0" xfId="0" applyFont="1" applyAlignment="1">
      <alignment horizontal="center" vertical="center" shrinkToFit="1"/>
    </xf>
    <xf numFmtId="0" fontId="60" fillId="0" borderId="0" xfId="0" applyFont="1" applyAlignment="1">
      <alignment vertical="center"/>
    </xf>
    <xf numFmtId="0" fontId="54" fillId="0" borderId="0" xfId="0" applyFont="1"/>
    <xf numFmtId="0" fontId="43" fillId="0" borderId="0" xfId="0" applyFont="1" applyAlignment="1">
      <alignment horizontal="center"/>
    </xf>
    <xf numFmtId="0" fontId="85" fillId="0" borderId="0" xfId="0" applyFont="1" applyAlignment="1">
      <alignment horizontal="left"/>
    </xf>
    <xf numFmtId="0" fontId="11" fillId="0" borderId="0" xfId="150" applyFill="1" applyBorder="1" applyAlignment="1" applyProtection="1"/>
    <xf numFmtId="0" fontId="12" fillId="0" borderId="0" xfId="0" applyFont="1" applyAlignment="1">
      <alignment horizontal="left" vertical="center"/>
    </xf>
    <xf numFmtId="0" fontId="50" fillId="0" borderId="0" xfId="0" applyFont="1" applyAlignment="1">
      <alignment horizontal="center" vertical="center"/>
    </xf>
    <xf numFmtId="0" fontId="61" fillId="9" borderId="0" xfId="0" applyFont="1" applyFill="1"/>
    <xf numFmtId="0" fontId="91" fillId="0" borderId="88" xfId="0" applyFont="1" applyBorder="1" applyAlignment="1">
      <alignment horizontal="center" vertical="center"/>
    </xf>
    <xf numFmtId="0" fontId="0" fillId="21" borderId="0" xfId="0" applyFill="1"/>
    <xf numFmtId="0" fontId="73" fillId="0" borderId="80" xfId="0" applyFont="1" applyBorder="1" applyAlignment="1">
      <alignment shrinkToFit="1"/>
    </xf>
    <xf numFmtId="0" fontId="0" fillId="0" borderId="80" xfId="0" applyBorder="1" applyAlignment="1">
      <alignment shrinkToFit="1"/>
    </xf>
    <xf numFmtId="0" fontId="73" fillId="0" borderId="80" xfId="0" applyFont="1" applyBorder="1" applyAlignment="1">
      <alignment horizontal="left" shrinkToFit="1"/>
    </xf>
    <xf numFmtId="165" fontId="17" fillId="16" borderId="77" xfId="0" applyNumberFormat="1" applyFont="1" applyFill="1" applyBorder="1" applyAlignment="1">
      <alignment horizontal="center" shrinkToFit="1"/>
    </xf>
    <xf numFmtId="0" fontId="0" fillId="7" borderId="0" xfId="0" applyFill="1" applyAlignment="1">
      <alignment vertical="center"/>
    </xf>
    <xf numFmtId="0" fontId="67" fillId="7" borderId="0" xfId="0" applyFont="1" applyFill="1" applyAlignment="1">
      <alignment horizontal="left" vertical="center"/>
    </xf>
    <xf numFmtId="0" fontId="0" fillId="22" borderId="0" xfId="0" applyFill="1"/>
    <xf numFmtId="0" fontId="61" fillId="22" borderId="0" xfId="0" applyFont="1" applyFill="1"/>
    <xf numFmtId="0" fontId="0" fillId="23" borderId="0" xfId="0" applyFill="1"/>
    <xf numFmtId="0" fontId="85" fillId="23" borderId="0" xfId="0" applyFont="1" applyFill="1" applyAlignment="1">
      <alignment horizontal="left"/>
    </xf>
    <xf numFmtId="0" fontId="61" fillId="23" borderId="0" xfId="0" applyFont="1" applyFill="1"/>
    <xf numFmtId="0" fontId="11" fillId="23" borderId="0" xfId="150" applyFill="1" applyBorder="1" applyAlignment="1" applyProtection="1"/>
    <xf numFmtId="0" fontId="0" fillId="25" borderId="0" xfId="0" applyFill="1"/>
    <xf numFmtId="0" fontId="0" fillId="26" borderId="0" xfId="0" applyFill="1"/>
    <xf numFmtId="0" fontId="61" fillId="26" borderId="0" xfId="0" applyFont="1" applyFill="1"/>
    <xf numFmtId="165" fontId="0" fillId="0" borderId="0" xfId="0" applyNumberFormat="1"/>
    <xf numFmtId="0" fontId="93" fillId="23" borderId="0" xfId="0" applyFont="1" applyFill="1" applyAlignment="1">
      <alignment vertical="center" shrinkToFit="1"/>
    </xf>
    <xf numFmtId="0" fontId="9" fillId="10" borderId="0" xfId="0" applyFont="1" applyFill="1" applyProtection="1">
      <protection hidden="1"/>
    </xf>
    <xf numFmtId="0" fontId="43" fillId="7" borderId="0" xfId="0" applyFont="1" applyFill="1" applyProtection="1">
      <protection hidden="1"/>
    </xf>
    <xf numFmtId="0" fontId="43" fillId="0" borderId="0" xfId="0" applyFont="1" applyProtection="1">
      <protection hidden="1"/>
    </xf>
    <xf numFmtId="0" fontId="43" fillId="7" borderId="0" xfId="0" applyFont="1" applyFill="1" applyAlignment="1" applyProtection="1">
      <alignment horizontal="left" shrinkToFit="1"/>
      <protection hidden="1"/>
    </xf>
    <xf numFmtId="0" fontId="9" fillId="7" borderId="0" xfId="0" applyFont="1" applyFill="1" applyAlignment="1" applyProtection="1">
      <alignment shrinkToFit="1"/>
      <protection hidden="1"/>
    </xf>
    <xf numFmtId="0" fontId="9" fillId="7" borderId="0" xfId="0" applyFont="1" applyFill="1" applyAlignment="1" applyProtection="1">
      <alignment horizontal="center" vertical="center" shrinkToFit="1"/>
      <protection hidden="1"/>
    </xf>
    <xf numFmtId="0" fontId="9" fillId="7" borderId="0" xfId="0" applyFont="1" applyFill="1" applyAlignment="1" applyProtection="1">
      <alignment horizontal="center" vertical="center"/>
      <protection hidden="1"/>
    </xf>
    <xf numFmtId="0" fontId="50" fillId="7" borderId="0" xfId="0" applyFont="1" applyFill="1" applyAlignment="1" applyProtection="1">
      <alignment horizontal="center" vertical="center"/>
      <protection hidden="1"/>
    </xf>
    <xf numFmtId="165" fontId="50" fillId="7" borderId="0" xfId="0" applyNumberFormat="1" applyFont="1" applyFill="1" applyAlignment="1" applyProtection="1">
      <alignment horizontal="center" vertical="center"/>
      <protection hidden="1"/>
    </xf>
    <xf numFmtId="0" fontId="50" fillId="7" borderId="0" xfId="0" applyFont="1" applyFill="1" applyAlignment="1" applyProtection="1">
      <alignment horizontal="left" vertical="center" shrinkToFit="1"/>
      <protection hidden="1"/>
    </xf>
    <xf numFmtId="0" fontId="50" fillId="7" borderId="0" xfId="0" applyFont="1" applyFill="1" applyAlignment="1" applyProtection="1">
      <alignment horizontal="center" vertical="center" shrinkToFit="1"/>
      <protection hidden="1"/>
    </xf>
    <xf numFmtId="0" fontId="50" fillId="7" borderId="0" xfId="0" applyFont="1" applyFill="1" applyAlignment="1" applyProtection="1">
      <alignment shrinkToFit="1"/>
      <protection hidden="1"/>
    </xf>
    <xf numFmtId="0" fontId="50" fillId="7" borderId="0" xfId="0" applyFont="1" applyFill="1" applyAlignment="1" applyProtection="1">
      <alignment horizontal="left" shrinkToFit="1"/>
      <protection hidden="1"/>
    </xf>
    <xf numFmtId="0" fontId="50" fillId="7" borderId="0" xfId="0" applyFont="1" applyFill="1" applyAlignment="1" applyProtection="1">
      <alignment horizontal="center" shrinkToFit="1"/>
      <protection hidden="1"/>
    </xf>
    <xf numFmtId="14" fontId="50" fillId="7" borderId="0" xfId="0" applyNumberFormat="1" applyFont="1" applyFill="1" applyAlignment="1" applyProtection="1">
      <alignment horizontal="center" shrinkToFit="1"/>
      <protection hidden="1"/>
    </xf>
    <xf numFmtId="1" fontId="50" fillId="7" borderId="0" xfId="0" applyNumberFormat="1" applyFont="1" applyFill="1" applyAlignment="1" applyProtection="1">
      <alignment horizontal="center" shrinkToFit="1"/>
      <protection hidden="1"/>
    </xf>
    <xf numFmtId="49" fontId="50" fillId="7" borderId="0" xfId="0" applyNumberFormat="1" applyFont="1" applyFill="1" applyAlignment="1" applyProtection="1">
      <alignment horizontal="center" shrinkToFit="1"/>
      <protection hidden="1"/>
    </xf>
    <xf numFmtId="165" fontId="50" fillId="7" borderId="0" xfId="0" applyNumberFormat="1" applyFont="1" applyFill="1" applyAlignment="1" applyProtection="1">
      <alignment horizontal="center" shrinkToFit="1"/>
      <protection hidden="1"/>
    </xf>
    <xf numFmtId="0" fontId="9" fillId="7" borderId="0" xfId="0" applyFont="1" applyFill="1" applyAlignment="1" applyProtection="1">
      <alignment horizontal="center" shrinkToFit="1"/>
      <protection hidden="1"/>
    </xf>
    <xf numFmtId="0" fontId="43" fillId="7" borderId="16" xfId="0" applyFont="1" applyFill="1" applyBorder="1" applyProtection="1">
      <protection hidden="1"/>
    </xf>
    <xf numFmtId="0" fontId="50" fillId="7" borderId="0" xfId="0" applyFont="1" applyFill="1" applyAlignment="1" applyProtection="1">
      <alignment horizontal="left" vertical="center"/>
      <protection hidden="1"/>
    </xf>
    <xf numFmtId="14" fontId="48" fillId="7" borderId="0" xfId="0" applyNumberFormat="1" applyFont="1" applyFill="1" applyProtection="1">
      <protection hidden="1"/>
    </xf>
    <xf numFmtId="49" fontId="48" fillId="7" borderId="0" xfId="0" applyNumberFormat="1" applyFont="1" applyFill="1" applyProtection="1">
      <protection hidden="1"/>
    </xf>
    <xf numFmtId="0" fontId="63" fillId="6" borderId="23" xfId="0" applyFont="1" applyFill="1" applyBorder="1" applyProtection="1">
      <protection hidden="1"/>
    </xf>
    <xf numFmtId="0" fontId="63" fillId="6" borderId="18" xfId="0" applyFont="1" applyFill="1" applyBorder="1" applyAlignment="1" applyProtection="1">
      <alignment horizontal="left"/>
      <protection hidden="1"/>
    </xf>
    <xf numFmtId="6" fontId="61" fillId="7" borderId="0" xfId="0" applyNumberFormat="1" applyFont="1" applyFill="1" applyAlignment="1">
      <alignment horizontal="center"/>
    </xf>
    <xf numFmtId="0" fontId="9" fillId="28" borderId="0" xfId="0" applyFont="1" applyFill="1" applyAlignment="1">
      <alignment horizontal="left" vertical="center" shrinkToFit="1"/>
    </xf>
    <xf numFmtId="0" fontId="9" fillId="28" borderId="0" xfId="0" applyFont="1" applyFill="1" applyAlignment="1">
      <alignment horizontal="left" shrinkToFit="1"/>
    </xf>
    <xf numFmtId="0" fontId="12" fillId="28" borderId="0" xfId="0" applyFont="1" applyFill="1" applyAlignment="1">
      <alignment horizontal="left" vertical="center" shrinkToFit="1"/>
    </xf>
    <xf numFmtId="0" fontId="0" fillId="28" borderId="0" xfId="0" applyFill="1" applyAlignment="1">
      <alignment horizontal="left" shrinkToFit="1"/>
    </xf>
    <xf numFmtId="0" fontId="0" fillId="28" borderId="89" xfId="0" applyFill="1" applyBorder="1" applyAlignment="1">
      <alignment horizontal="left" shrinkToFit="1"/>
    </xf>
    <xf numFmtId="0" fontId="0" fillId="28" borderId="83" xfId="0" applyFill="1" applyBorder="1" applyAlignment="1">
      <alignment horizontal="left" shrinkToFit="1"/>
    </xf>
    <xf numFmtId="0" fontId="0" fillId="28" borderId="84" xfId="0" applyFill="1" applyBorder="1" applyAlignment="1">
      <alignment horizontal="left" shrinkToFit="1"/>
    </xf>
    <xf numFmtId="0" fontId="11" fillId="28" borderId="0" xfId="150" applyFill="1" applyBorder="1" applyAlignment="1" applyProtection="1">
      <alignment horizontal="left" vertical="center" shrinkToFit="1"/>
    </xf>
    <xf numFmtId="0" fontId="11" fillId="28" borderId="0" xfId="150" applyFill="1" applyAlignment="1" applyProtection="1"/>
    <xf numFmtId="0" fontId="11" fillId="28" borderId="0" xfId="150" applyFill="1" applyAlignment="1" applyProtection="1">
      <alignment horizontal="left" shrinkToFit="1"/>
    </xf>
    <xf numFmtId="0" fontId="12" fillId="7" borderId="0" xfId="150" applyFont="1" applyFill="1" applyAlignment="1" applyProtection="1">
      <alignment vertical="center"/>
    </xf>
    <xf numFmtId="0" fontId="60" fillId="7" borderId="0" xfId="0" applyFont="1" applyFill="1" applyAlignment="1">
      <alignment vertical="center"/>
    </xf>
    <xf numFmtId="0" fontId="62" fillId="7" borderId="0" xfId="0" applyFont="1" applyFill="1" applyAlignment="1">
      <alignment vertical="center"/>
    </xf>
    <xf numFmtId="0" fontId="12" fillId="7" borderId="0" xfId="0" applyFont="1" applyFill="1" applyAlignment="1">
      <alignment vertical="center"/>
    </xf>
    <xf numFmtId="0" fontId="60" fillId="7" borderId="0" xfId="0" applyFont="1" applyFill="1"/>
    <xf numFmtId="0" fontId="96" fillId="7" borderId="0" xfId="0" applyFont="1" applyFill="1"/>
    <xf numFmtId="0" fontId="60" fillId="7" borderId="0" xfId="0" applyFont="1" applyFill="1" applyAlignment="1">
      <alignment horizontal="left" vertical="center" indent="5"/>
    </xf>
    <xf numFmtId="0" fontId="12" fillId="7" borderId="0" xfId="357" applyFont="1" applyFill="1"/>
    <xf numFmtId="0" fontId="12" fillId="7" borderId="0" xfId="0" applyFont="1" applyFill="1"/>
    <xf numFmtId="0" fontId="12" fillId="7" borderId="0" xfId="708" applyFont="1" applyFill="1" applyAlignment="1">
      <alignment vertical="center"/>
    </xf>
    <xf numFmtId="0" fontId="71" fillId="7" borderId="0" xfId="150" applyFont="1" applyFill="1" applyAlignment="1" applyProtection="1">
      <alignment vertical="center"/>
    </xf>
    <xf numFmtId="0" fontId="71" fillId="7" borderId="0" xfId="708" applyFont="1" applyFill="1" applyAlignment="1">
      <alignment vertical="center"/>
    </xf>
    <xf numFmtId="0" fontId="12" fillId="7" borderId="0" xfId="708" applyFont="1" applyFill="1"/>
    <xf numFmtId="0" fontId="12" fillId="7" borderId="0" xfId="150" applyFont="1" applyFill="1" applyAlignment="1" applyProtection="1"/>
    <xf numFmtId="0" fontId="61" fillId="25" borderId="0" xfId="0" applyFont="1" applyFill="1" applyAlignment="1">
      <alignment horizontal="left"/>
    </xf>
    <xf numFmtId="0" fontId="61" fillId="0" borderId="0" xfId="0" applyFont="1" applyAlignment="1">
      <alignment horizontal="left"/>
    </xf>
    <xf numFmtId="0" fontId="98" fillId="25" borderId="0" xfId="0" applyFont="1" applyFill="1" applyAlignment="1">
      <alignment vertical="center" shrinkToFit="1"/>
    </xf>
    <xf numFmtId="0" fontId="100" fillId="26" borderId="0" xfId="0" applyFont="1" applyFill="1" applyAlignment="1">
      <alignment vertical="top"/>
    </xf>
    <xf numFmtId="0" fontId="71" fillId="0" borderId="0" xfId="0" applyFont="1" applyAlignment="1">
      <alignment horizontal="left" vertical="center" shrinkToFit="1"/>
    </xf>
    <xf numFmtId="0" fontId="97" fillId="7" borderId="0" xfId="0" applyFont="1" applyFill="1" applyAlignment="1">
      <alignment horizontal="left" vertical="center" indent="5"/>
    </xf>
    <xf numFmtId="0" fontId="62" fillId="7" borderId="0" xfId="0" applyFont="1" applyFill="1" applyAlignment="1">
      <alignment horizontal="left" vertical="center" indent="5"/>
    </xf>
    <xf numFmtId="0" fontId="71" fillId="7" borderId="0" xfId="0" applyFont="1" applyFill="1"/>
    <xf numFmtId="0" fontId="0" fillId="28" borderId="0" xfId="0" applyFill="1"/>
    <xf numFmtId="0" fontId="10" fillId="0" borderId="0" xfId="0" applyFont="1"/>
    <xf numFmtId="0" fontId="83" fillId="0" borderId="0" xfId="0" applyFont="1"/>
    <xf numFmtId="0" fontId="10" fillId="0" borderId="0" xfId="0" applyFont="1" applyAlignment="1">
      <alignment horizontal="center" shrinkToFit="1"/>
    </xf>
    <xf numFmtId="0" fontId="10" fillId="0" borderId="0" xfId="708" applyAlignment="1">
      <alignment vertical="center"/>
    </xf>
    <xf numFmtId="0" fontId="10" fillId="0" borderId="0" xfId="357"/>
    <xf numFmtId="0" fontId="95" fillId="7" borderId="0" xfId="0" applyFont="1" applyFill="1"/>
    <xf numFmtId="0" fontId="9" fillId="21" borderId="0" xfId="0" applyFont="1" applyFill="1" applyAlignment="1" applyProtection="1">
      <alignment shrinkToFit="1"/>
      <protection hidden="1"/>
    </xf>
    <xf numFmtId="0" fontId="0" fillId="21" borderId="0" xfId="0" applyFill="1" applyProtection="1">
      <protection hidden="1"/>
    </xf>
    <xf numFmtId="171" fontId="9" fillId="21" borderId="0" xfId="0" applyNumberFormat="1" applyFont="1" applyFill="1" applyAlignment="1" applyProtection="1">
      <alignment horizontal="center" vertical="center" shrinkToFit="1"/>
      <protection hidden="1"/>
    </xf>
    <xf numFmtId="1" fontId="9" fillId="21" borderId="0" xfId="0" applyNumberFormat="1" applyFont="1" applyFill="1" applyAlignment="1" applyProtection="1">
      <alignment horizontal="center"/>
      <protection hidden="1"/>
    </xf>
    <xf numFmtId="0" fontId="9" fillId="21" borderId="0" xfId="0" applyFont="1" applyFill="1" applyAlignment="1" applyProtection="1">
      <alignment horizontal="center"/>
      <protection hidden="1"/>
    </xf>
    <xf numFmtId="0" fontId="9" fillId="21" borderId="0" xfId="0" applyFont="1" applyFill="1" applyAlignment="1" applyProtection="1">
      <alignment horizontal="left" vertical="center" shrinkToFit="1"/>
      <protection hidden="1"/>
    </xf>
    <xf numFmtId="0" fontId="59" fillId="21" borderId="0" xfId="0" applyFont="1" applyFill="1" applyAlignment="1" applyProtection="1">
      <alignment horizontal="center" shrinkToFit="1"/>
      <protection hidden="1"/>
    </xf>
    <xf numFmtId="0" fontId="66" fillId="21" borderId="0" xfId="0" applyFont="1" applyFill="1" applyAlignment="1" applyProtection="1">
      <alignment horizontal="center" vertical="top" shrinkToFit="1"/>
      <protection hidden="1"/>
    </xf>
    <xf numFmtId="0" fontId="63" fillId="21" borderId="0" xfId="0" applyFont="1" applyFill="1" applyProtection="1">
      <protection hidden="1"/>
    </xf>
    <xf numFmtId="0" fontId="63" fillId="21" borderId="0" xfId="0" applyFont="1" applyFill="1" applyAlignment="1" applyProtection="1">
      <alignment horizontal="left"/>
      <protection hidden="1"/>
    </xf>
    <xf numFmtId="0" fontId="0" fillId="21" borderId="0" xfId="0" applyFill="1" applyAlignment="1" applyProtection="1">
      <alignment horizontal="right"/>
      <protection hidden="1"/>
    </xf>
    <xf numFmtId="0" fontId="59" fillId="21" borderId="0" xfId="0" applyFont="1" applyFill="1" applyAlignment="1" applyProtection="1">
      <alignment horizontal="center"/>
      <protection hidden="1"/>
    </xf>
    <xf numFmtId="1" fontId="9" fillId="21" borderId="0" xfId="0" applyNumberFormat="1" applyFont="1" applyFill="1" applyAlignment="1" applyProtection="1">
      <alignment horizontal="center" shrinkToFit="1"/>
      <protection hidden="1"/>
    </xf>
    <xf numFmtId="14" fontId="9" fillId="21" borderId="0" xfId="0" applyNumberFormat="1" applyFont="1" applyFill="1" applyAlignment="1" applyProtection="1">
      <alignment horizontal="center" shrinkToFit="1"/>
      <protection hidden="1"/>
    </xf>
    <xf numFmtId="0" fontId="4" fillId="7" borderId="0" xfId="0" applyFont="1" applyFill="1"/>
    <xf numFmtId="0" fontId="9" fillId="10" borderId="0" xfId="0" applyFont="1" applyFill="1" applyAlignment="1" applyProtection="1">
      <alignment horizontal="left" shrinkToFit="1"/>
      <protection hidden="1"/>
    </xf>
    <xf numFmtId="0" fontId="9" fillId="10" borderId="0" xfId="0" applyFont="1" applyFill="1" applyAlignment="1" applyProtection="1">
      <alignment horizontal="center" vertical="center" shrinkToFit="1"/>
      <protection hidden="1"/>
    </xf>
    <xf numFmtId="0" fontId="12" fillId="10" borderId="0" xfId="0" applyFont="1" applyFill="1" applyAlignment="1" applyProtection="1">
      <alignment vertical="center"/>
      <protection hidden="1"/>
    </xf>
    <xf numFmtId="0" fontId="43" fillId="10" borderId="0" xfId="0" applyFont="1" applyFill="1" applyProtection="1">
      <protection hidden="1"/>
    </xf>
    <xf numFmtId="0" fontId="9" fillId="10" borderId="0" xfId="0" applyFont="1" applyFill="1" applyAlignment="1" applyProtection="1">
      <alignment horizontal="left" vertical="center" shrinkToFit="1"/>
      <protection hidden="1"/>
    </xf>
    <xf numFmtId="0" fontId="9" fillId="10" borderId="0" xfId="0" applyFont="1" applyFill="1" applyAlignment="1" applyProtection="1">
      <alignment shrinkToFit="1"/>
      <protection hidden="1"/>
    </xf>
    <xf numFmtId="0" fontId="9" fillId="10" borderId="0" xfId="0" applyFont="1" applyFill="1" applyAlignment="1" applyProtection="1">
      <alignment horizontal="center" shrinkToFit="1"/>
      <protection hidden="1"/>
    </xf>
    <xf numFmtId="49" fontId="9" fillId="10" borderId="0" xfId="0" applyNumberFormat="1" applyFont="1" applyFill="1" applyAlignment="1" applyProtection="1">
      <alignment horizontal="center" shrinkToFit="1"/>
      <protection hidden="1"/>
    </xf>
    <xf numFmtId="165" fontId="9" fillId="10" borderId="0" xfId="0" applyNumberFormat="1" applyFont="1" applyFill="1" applyAlignment="1" applyProtection="1">
      <alignment horizontal="center" shrinkToFit="1"/>
      <protection hidden="1"/>
    </xf>
    <xf numFmtId="0" fontId="9" fillId="10" borderId="16" xfId="0" applyFont="1" applyFill="1" applyBorder="1" applyProtection="1">
      <protection hidden="1"/>
    </xf>
    <xf numFmtId="0" fontId="11" fillId="7" borderId="0" xfId="150" applyFill="1" applyAlignment="1" applyProtection="1">
      <alignment vertical="center"/>
    </xf>
    <xf numFmtId="0" fontId="60" fillId="0" borderId="0" xfId="0" applyFont="1"/>
    <xf numFmtId="0" fontId="104" fillId="7" borderId="0" xfId="0" applyFont="1" applyFill="1" applyAlignment="1">
      <alignment horizontal="left" vertical="center"/>
    </xf>
    <xf numFmtId="0" fontId="68" fillId="7" borderId="0" xfId="0" applyFont="1" applyFill="1"/>
    <xf numFmtId="0" fontId="68" fillId="7" borderId="0" xfId="0" applyFont="1" applyFill="1" applyAlignment="1">
      <alignment vertical="center"/>
    </xf>
    <xf numFmtId="172" fontId="12" fillId="21" borderId="0" xfId="0" applyNumberFormat="1" applyFont="1" applyFill="1" applyAlignment="1" applyProtection="1">
      <alignment horizontal="left" vertical="center"/>
      <protection hidden="1"/>
    </xf>
    <xf numFmtId="172" fontId="12" fillId="9" borderId="78" xfId="0" applyNumberFormat="1" applyFont="1" applyFill="1" applyBorder="1" applyAlignment="1" applyProtection="1">
      <alignment vertical="center" shrinkToFit="1"/>
      <protection hidden="1"/>
    </xf>
    <xf numFmtId="0" fontId="10" fillId="0" borderId="80" xfId="0" applyFont="1" applyBorder="1" applyAlignment="1">
      <alignment horizontal="center" shrinkToFit="1"/>
    </xf>
    <xf numFmtId="0" fontId="10" fillId="0" borderId="80" xfId="149" applyFont="1" applyBorder="1" applyAlignment="1">
      <alignment horizontal="center" shrinkToFit="1"/>
    </xf>
    <xf numFmtId="0" fontId="94" fillId="9" borderId="80" xfId="0" applyFont="1" applyFill="1" applyBorder="1" applyAlignment="1">
      <alignment horizontal="center" shrinkToFit="1"/>
    </xf>
    <xf numFmtId="0" fontId="10" fillId="0" borderId="0" xfId="0" applyFont="1" applyAlignment="1">
      <alignment horizontal="left" shrinkToFit="1"/>
    </xf>
    <xf numFmtId="0" fontId="10" fillId="0" borderId="0" xfId="0" applyFont="1" applyAlignment="1">
      <alignment shrinkToFit="1"/>
    </xf>
    <xf numFmtId="0" fontId="10" fillId="0" borderId="0" xfId="0" applyFont="1" applyAlignment="1">
      <alignment vertical="center" shrinkToFit="1"/>
    </xf>
    <xf numFmtId="49" fontId="10" fillId="0" borderId="0" xfId="0" applyNumberFormat="1" applyFont="1" applyAlignment="1">
      <alignment shrinkToFit="1"/>
    </xf>
    <xf numFmtId="0" fontId="10" fillId="0" borderId="0" xfId="0" applyFont="1" applyAlignment="1">
      <alignment horizontal="left" vertical="center" shrinkToFit="1"/>
    </xf>
    <xf numFmtId="0" fontId="10" fillId="0" borderId="0" xfId="150" applyFont="1" applyFill="1" applyBorder="1" applyAlignment="1" applyProtection="1">
      <alignment vertical="center" shrinkToFit="1"/>
    </xf>
    <xf numFmtId="0" fontId="10" fillId="0" borderId="0" xfId="150" applyFont="1" applyFill="1" applyBorder="1" applyAlignment="1" applyProtection="1">
      <alignment shrinkToFit="1"/>
    </xf>
    <xf numFmtId="0" fontId="10" fillId="0" borderId="0" xfId="357" applyAlignment="1">
      <alignment horizontal="left" vertical="center" shrinkToFit="1"/>
    </xf>
    <xf numFmtId="0" fontId="10" fillId="0" borderId="0" xfId="708" applyAlignment="1">
      <alignment vertical="center" shrinkToFit="1"/>
    </xf>
    <xf numFmtId="0" fontId="10" fillId="0" borderId="0" xfId="357" applyAlignment="1">
      <alignment shrinkToFit="1"/>
    </xf>
    <xf numFmtId="49" fontId="10" fillId="0" borderId="0" xfId="357" applyNumberFormat="1" applyAlignment="1">
      <alignment shrinkToFit="1"/>
    </xf>
    <xf numFmtId="0" fontId="10" fillId="0" borderId="0" xfId="708" applyAlignment="1">
      <alignment shrinkToFit="1"/>
    </xf>
    <xf numFmtId="0" fontId="9" fillId="9" borderId="0" xfId="0" applyFont="1" applyFill="1" applyAlignment="1" applyProtection="1">
      <alignment horizontal="centerContinuous" shrinkToFit="1" readingOrder="1"/>
      <protection hidden="1"/>
    </xf>
    <xf numFmtId="0" fontId="9" fillId="9" borderId="0" xfId="0" applyFont="1" applyFill="1" applyAlignment="1" applyProtection="1">
      <alignment horizontal="center" vertical="center"/>
      <protection hidden="1"/>
    </xf>
    <xf numFmtId="0" fontId="9" fillId="9" borderId="0" xfId="0" applyFont="1" applyFill="1" applyAlignment="1" applyProtection="1">
      <alignment shrinkToFit="1"/>
      <protection hidden="1"/>
    </xf>
    <xf numFmtId="0" fontId="9" fillId="9" borderId="0" xfId="0" applyFont="1" applyFill="1" applyAlignment="1" applyProtection="1">
      <alignment horizontal="right" vertical="center"/>
      <protection hidden="1"/>
    </xf>
    <xf numFmtId="0" fontId="60" fillId="20" borderId="80" xfId="0" applyFont="1" applyFill="1" applyBorder="1" applyAlignment="1">
      <alignment horizontal="center" vertical="center"/>
    </xf>
    <xf numFmtId="0" fontId="9" fillId="21" borderId="0" xfId="0" applyFont="1" applyFill="1" applyAlignment="1" applyProtection="1">
      <alignment horizontal="centerContinuous" shrinkToFit="1" readingOrder="1"/>
      <protection hidden="1"/>
    </xf>
    <xf numFmtId="0" fontId="9" fillId="21" borderId="0" xfId="0" applyFont="1" applyFill="1" applyAlignment="1" applyProtection="1">
      <alignment shrinkToFit="1" readingOrder="1"/>
      <protection hidden="1"/>
    </xf>
    <xf numFmtId="0" fontId="10" fillId="9" borderId="0" xfId="0" applyFont="1" applyFill="1"/>
    <xf numFmtId="0" fontId="0" fillId="0" borderId="0" xfId="0" applyAlignment="1">
      <alignment vertical="center"/>
    </xf>
    <xf numFmtId="0" fontId="71" fillId="7" borderId="0" xfId="357" applyFont="1" applyFill="1"/>
    <xf numFmtId="0" fontId="9" fillId="24" borderId="0" xfId="1713" applyFont="1" applyFill="1" applyAlignment="1">
      <alignment horizontal="center" vertical="center" shrinkToFit="1"/>
    </xf>
    <xf numFmtId="0" fontId="105" fillId="0" borderId="0" xfId="0" applyFont="1" applyAlignment="1">
      <alignment shrinkToFit="1"/>
    </xf>
    <xf numFmtId="0" fontId="105" fillId="9" borderId="0" xfId="0" applyFont="1" applyFill="1" applyAlignment="1">
      <alignment vertical="center" shrinkToFit="1"/>
    </xf>
    <xf numFmtId="0" fontId="2" fillId="0" borderId="0" xfId="0" applyFont="1"/>
    <xf numFmtId="0" fontId="2" fillId="0" borderId="8" xfId="0" applyFont="1" applyBorder="1"/>
    <xf numFmtId="0" fontId="2" fillId="3" borderId="31" xfId="0" applyFont="1" applyFill="1" applyBorder="1" applyAlignment="1">
      <alignment shrinkToFit="1"/>
    </xf>
    <xf numFmtId="0" fontId="2" fillId="3" borderId="95" xfId="0" applyFont="1" applyFill="1" applyBorder="1" applyAlignment="1">
      <alignment shrinkToFit="1"/>
    </xf>
    <xf numFmtId="0" fontId="61" fillId="0" borderId="97" xfId="0" applyFont="1" applyBorder="1"/>
    <xf numFmtId="0" fontId="61" fillId="0" borderId="96" xfId="0" applyFont="1" applyBorder="1"/>
    <xf numFmtId="0" fontId="61" fillId="0" borderId="98" xfId="0" applyFont="1" applyBorder="1"/>
    <xf numFmtId="0" fontId="0" fillId="0" borderId="96" xfId="0" applyBorder="1"/>
    <xf numFmtId="165" fontId="71" fillId="18" borderId="100" xfId="0" applyNumberFormat="1" applyFont="1" applyFill="1" applyBorder="1" applyAlignment="1">
      <alignment horizontal="center" vertical="center" shrinkToFit="1"/>
    </xf>
    <xf numFmtId="172" fontId="12" fillId="19" borderId="93" xfId="0" applyNumberFormat="1" applyFont="1" applyFill="1" applyBorder="1" applyAlignment="1">
      <alignment vertical="center" shrinkToFit="1"/>
    </xf>
    <xf numFmtId="0" fontId="61" fillId="0" borderId="99" xfId="0" applyFont="1" applyBorder="1"/>
    <xf numFmtId="0" fontId="0" fillId="0" borderId="99" xfId="0" applyBorder="1"/>
    <xf numFmtId="0" fontId="43" fillId="0" borderId="99" xfId="0" applyFont="1" applyBorder="1"/>
    <xf numFmtId="0" fontId="0" fillId="0" borderId="101" xfId="0" applyBorder="1"/>
    <xf numFmtId="0" fontId="0" fillId="0" borderId="102" xfId="0" applyBorder="1"/>
    <xf numFmtId="0" fontId="0" fillId="6" borderId="0" xfId="0" applyFill="1"/>
    <xf numFmtId="0" fontId="9" fillId="0" borderId="0" xfId="0" applyFont="1" applyAlignment="1" applyProtection="1">
      <alignment horizontal="center" vertical="center" shrinkToFit="1"/>
      <protection hidden="1"/>
    </xf>
    <xf numFmtId="0" fontId="50" fillId="0" borderId="0" xfId="0" applyFont="1" applyAlignment="1" applyProtection="1">
      <alignment horizontal="center" vertical="center" shrinkToFit="1"/>
      <protection hidden="1"/>
    </xf>
    <xf numFmtId="0" fontId="9" fillId="0" borderId="0" xfId="0" applyFont="1" applyAlignment="1" applyProtection="1">
      <alignment horizontal="left" vertical="center" shrinkToFit="1"/>
      <protection hidden="1"/>
    </xf>
    <xf numFmtId="0" fontId="50" fillId="0" borderId="0" xfId="0" applyFont="1" applyAlignment="1" applyProtection="1">
      <alignment horizontal="left" vertical="center" shrinkToFit="1"/>
      <protection hidden="1"/>
    </xf>
    <xf numFmtId="0" fontId="50" fillId="0" borderId="0" xfId="0" applyFont="1" applyAlignment="1" applyProtection="1">
      <alignment horizontal="left" vertical="center"/>
      <protection hidden="1"/>
    </xf>
    <xf numFmtId="0" fontId="0" fillId="32" borderId="0" xfId="0" applyFill="1"/>
    <xf numFmtId="0" fontId="0" fillId="0" borderId="13" xfId="0" applyBorder="1"/>
    <xf numFmtId="0" fontId="0" fillId="0" borderId="14" xfId="0" applyBorder="1"/>
    <xf numFmtId="0" fontId="0" fillId="0" borderId="9" xfId="0" applyBorder="1"/>
    <xf numFmtId="0" fontId="0" fillId="0" borderId="3" xfId="0" applyBorder="1" applyAlignment="1">
      <alignment horizontal="center"/>
    </xf>
    <xf numFmtId="0" fontId="63" fillId="0" borderId="0" xfId="0" applyFont="1" applyAlignment="1">
      <alignment horizontal="center"/>
    </xf>
    <xf numFmtId="0" fontId="63" fillId="34" borderId="0" xfId="0" applyFont="1" applyFill="1" applyAlignment="1">
      <alignment horizontal="center"/>
    </xf>
    <xf numFmtId="0" fontId="0" fillId="34" borderId="0" xfId="0" applyFill="1" applyAlignment="1">
      <alignment horizontal="center"/>
    </xf>
    <xf numFmtId="0" fontId="0" fillId="34" borderId="3" xfId="0" applyFill="1" applyBorder="1" applyAlignment="1">
      <alignment horizontal="center"/>
    </xf>
    <xf numFmtId="0" fontId="0" fillId="34" borderId="0" xfId="0" applyFill="1"/>
    <xf numFmtId="0" fontId="63" fillId="34" borderId="14" xfId="0" applyFont="1" applyFill="1" applyBorder="1" applyAlignment="1">
      <alignment horizontal="center"/>
    </xf>
    <xf numFmtId="0" fontId="0" fillId="34" borderId="14" xfId="0" applyFill="1" applyBorder="1" applyAlignment="1">
      <alignment horizontal="center"/>
    </xf>
    <xf numFmtId="0" fontId="0" fillId="34" borderId="13" xfId="0" applyFill="1" applyBorder="1" applyAlignment="1">
      <alignment horizontal="center"/>
    </xf>
    <xf numFmtId="0" fontId="0" fillId="34" borderId="14" xfId="0" applyFill="1" applyBorder="1"/>
    <xf numFmtId="0" fontId="0" fillId="34" borderId="0" xfId="0" applyFill="1" applyAlignment="1">
      <alignment horizontal="right"/>
    </xf>
    <xf numFmtId="0" fontId="0" fillId="34" borderId="0" xfId="0" quotePrefix="1" applyFill="1"/>
    <xf numFmtId="0" fontId="63" fillId="0" borderId="14" xfId="0" applyFont="1" applyBorder="1" applyAlignment="1">
      <alignment horizontal="center"/>
    </xf>
    <xf numFmtId="0" fontId="0" fillId="0" borderId="14" xfId="0" applyBorder="1" applyAlignment="1">
      <alignment horizontal="center"/>
    </xf>
    <xf numFmtId="0" fontId="0" fillId="0" borderId="0" xfId="0" applyAlignment="1">
      <alignment horizontal="right"/>
    </xf>
    <xf numFmtId="0" fontId="0" fillId="9" borderId="0" xfId="0" applyFill="1" applyAlignment="1">
      <alignment horizontal="center"/>
    </xf>
    <xf numFmtId="0" fontId="63" fillId="0" borderId="3" xfId="0" applyFont="1" applyBorder="1"/>
    <xf numFmtId="0" fontId="0" fillId="0" borderId="3" xfId="0" applyBorder="1" applyAlignment="1">
      <alignment horizontal="right"/>
    </xf>
    <xf numFmtId="0" fontId="0" fillId="34" borderId="80" xfId="0" applyFill="1" applyBorder="1"/>
    <xf numFmtId="0" fontId="0" fillId="34" borderId="103" xfId="0" applyFill="1" applyBorder="1"/>
    <xf numFmtId="0" fontId="0" fillId="34" borderId="58" xfId="0" applyFill="1" applyBorder="1"/>
    <xf numFmtId="0" fontId="0" fillId="34" borderId="93" xfId="0" applyFill="1" applyBorder="1"/>
    <xf numFmtId="0" fontId="0" fillId="9" borderId="3" xfId="0" applyFill="1" applyBorder="1" applyAlignment="1">
      <alignment horizontal="center"/>
    </xf>
    <xf numFmtId="0" fontId="0" fillId="0" borderId="0" xfId="0" quotePrefix="1"/>
    <xf numFmtId="0" fontId="55" fillId="7" borderId="0" xfId="0" applyFont="1" applyFill="1" applyAlignment="1">
      <alignment vertical="top"/>
    </xf>
    <xf numFmtId="0" fontId="1" fillId="7" borderId="0" xfId="0" applyFont="1" applyFill="1"/>
    <xf numFmtId="0" fontId="2" fillId="0" borderId="0" xfId="0" applyFont="1" applyAlignment="1">
      <alignment shrinkToFit="1"/>
    </xf>
    <xf numFmtId="0" fontId="61" fillId="0" borderId="0" xfId="0" applyFont="1" applyAlignment="1">
      <alignment shrinkToFit="1"/>
    </xf>
    <xf numFmtId="0" fontId="54" fillId="0" borderId="0" xfId="0" applyFont="1" applyAlignment="1">
      <alignment shrinkToFit="1"/>
    </xf>
    <xf numFmtId="0" fontId="51" fillId="33" borderId="0" xfId="0" applyFont="1" applyFill="1"/>
    <xf numFmtId="0" fontId="51" fillId="33" borderId="0" xfId="0" applyFont="1" applyFill="1" applyAlignment="1">
      <alignment horizontal="center"/>
    </xf>
    <xf numFmtId="0" fontId="61" fillId="10" borderId="0" xfId="0" applyFont="1" applyFill="1"/>
    <xf numFmtId="0" fontId="12" fillId="3" borderId="106" xfId="1713" applyFont="1" applyFill="1" applyBorder="1" applyAlignment="1">
      <alignment horizontal="left" shrinkToFit="1"/>
    </xf>
    <xf numFmtId="0" fontId="12" fillId="7" borderId="106" xfId="1713" applyFont="1" applyFill="1" applyBorder="1" applyAlignment="1">
      <alignment horizontal="left" shrinkToFit="1"/>
    </xf>
    <xf numFmtId="0" fontId="0" fillId="0" borderId="108" xfId="0" applyBorder="1"/>
    <xf numFmtId="165" fontId="71" fillId="0" borderId="0" xfId="0" applyNumberFormat="1" applyFont="1" applyAlignment="1">
      <alignment horizontal="center" vertical="center" shrinkToFit="1"/>
    </xf>
    <xf numFmtId="165" fontId="71" fillId="0" borderId="99" xfId="0" applyNumberFormat="1" applyFont="1" applyBorder="1" applyAlignment="1">
      <alignment horizontal="center" vertical="center" shrinkToFit="1"/>
    </xf>
    <xf numFmtId="0" fontId="43" fillId="0" borderId="108" xfId="0" applyFont="1" applyBorder="1"/>
    <xf numFmtId="0" fontId="0" fillId="0" borderId="109" xfId="0" applyBorder="1"/>
    <xf numFmtId="0" fontId="61" fillId="22" borderId="108" xfId="0" applyFont="1" applyFill="1" applyBorder="1"/>
    <xf numFmtId="0" fontId="98" fillId="0" borderId="0" xfId="0" applyFont="1" applyAlignment="1">
      <alignment vertical="center" shrinkToFit="1"/>
    </xf>
    <xf numFmtId="0" fontId="98" fillId="0" borderId="99" xfId="0" applyFont="1" applyBorder="1" applyAlignment="1">
      <alignment vertical="center" shrinkToFit="1"/>
    </xf>
    <xf numFmtId="0" fontId="98" fillId="25" borderId="108" xfId="0" applyFont="1" applyFill="1" applyBorder="1" applyAlignment="1">
      <alignment vertical="center" shrinkToFit="1"/>
    </xf>
    <xf numFmtId="0" fontId="85" fillId="23" borderId="108" xfId="0" applyFont="1" applyFill="1" applyBorder="1" applyAlignment="1">
      <alignment horizontal="left"/>
    </xf>
    <xf numFmtId="0" fontId="0" fillId="0" borderId="110" xfId="0" applyBorder="1"/>
    <xf numFmtId="0" fontId="87" fillId="0" borderId="111" xfId="0" applyFont="1" applyBorder="1" applyAlignment="1">
      <alignment shrinkToFit="1"/>
    </xf>
    <xf numFmtId="0" fontId="61" fillId="0" borderId="111" xfId="0" applyFont="1" applyBorder="1"/>
    <xf numFmtId="0" fontId="61" fillId="0" borderId="114" xfId="0" applyFont="1" applyBorder="1"/>
    <xf numFmtId="0" fontId="0" fillId="0" borderId="111" xfId="0" applyBorder="1"/>
    <xf numFmtId="9" fontId="61" fillId="0" borderId="111" xfId="0" applyNumberFormat="1" applyFont="1" applyBorder="1"/>
    <xf numFmtId="0" fontId="0" fillId="0" borderId="115" xfId="0" applyBorder="1"/>
    <xf numFmtId="0" fontId="0" fillId="0" borderId="112" xfId="0" applyBorder="1"/>
    <xf numFmtId="0" fontId="0" fillId="3" borderId="0" xfId="0" applyFill="1"/>
    <xf numFmtId="0" fontId="61" fillId="3" borderId="99" xfId="0" applyFont="1" applyFill="1" applyBorder="1"/>
    <xf numFmtId="0" fontId="0" fillId="3" borderId="111" xfId="0" applyFill="1" applyBorder="1"/>
    <xf numFmtId="0" fontId="61" fillId="3" borderId="112" xfId="0" applyFont="1" applyFill="1" applyBorder="1"/>
    <xf numFmtId="0" fontId="43" fillId="3" borderId="0" xfId="0" applyFont="1" applyFill="1"/>
    <xf numFmtId="0" fontId="0" fillId="3" borderId="3" xfId="0" applyFill="1" applyBorder="1"/>
    <xf numFmtId="0" fontId="61" fillId="3" borderId="0" xfId="0" applyFont="1" applyFill="1"/>
    <xf numFmtId="0" fontId="61" fillId="3" borderId="0" xfId="0" applyFont="1" applyFill="1" applyAlignment="1">
      <alignment horizontal="left"/>
    </xf>
    <xf numFmtId="0" fontId="68" fillId="3" borderId="0" xfId="0" applyFont="1" applyFill="1"/>
    <xf numFmtId="0" fontId="0" fillId="3" borderId="96" xfId="0" applyFill="1" applyBorder="1"/>
    <xf numFmtId="0" fontId="61" fillId="23" borderId="108" xfId="0" applyFont="1" applyFill="1" applyBorder="1"/>
    <xf numFmtId="0" fontId="61" fillId="7" borderId="108" xfId="0" applyFont="1" applyFill="1" applyBorder="1"/>
    <xf numFmtId="0" fontId="61" fillId="0" borderId="108" xfId="0" applyFont="1" applyBorder="1"/>
    <xf numFmtId="0" fontId="84" fillId="7" borderId="108" xfId="0" applyFont="1" applyFill="1" applyBorder="1" applyAlignment="1">
      <alignment shrinkToFit="1"/>
    </xf>
    <xf numFmtId="0" fontId="61" fillId="0" borderId="113" xfId="0" applyFont="1" applyBorder="1"/>
    <xf numFmtId="0" fontId="61" fillId="0" borderId="115" xfId="0" applyFont="1" applyBorder="1"/>
    <xf numFmtId="0" fontId="61" fillId="3" borderId="111" xfId="0" applyFont="1" applyFill="1" applyBorder="1"/>
    <xf numFmtId="0" fontId="0" fillId="0" borderId="119" xfId="0" applyBorder="1"/>
    <xf numFmtId="0" fontId="0" fillId="0" borderId="116" xfId="0" applyBorder="1"/>
    <xf numFmtId="0" fontId="0" fillId="9" borderId="116" xfId="0" applyFill="1" applyBorder="1"/>
    <xf numFmtId="0" fontId="61" fillId="9" borderId="120" xfId="0" applyFont="1" applyFill="1" applyBorder="1"/>
    <xf numFmtId="0" fontId="61" fillId="0" borderId="116" xfId="0" applyFont="1" applyBorder="1"/>
    <xf numFmtId="0" fontId="61" fillId="9" borderId="116" xfId="0" applyFont="1" applyFill="1" applyBorder="1"/>
    <xf numFmtId="0" fontId="61" fillId="0" borderId="121" xfId="0" applyFont="1" applyBorder="1"/>
    <xf numFmtId="0" fontId="0" fillId="0" borderId="122" xfId="0" applyBorder="1"/>
    <xf numFmtId="0" fontId="0" fillId="3" borderId="116" xfId="0" applyFill="1" applyBorder="1"/>
    <xf numFmtId="0" fontId="0" fillId="3" borderId="99" xfId="0" applyFill="1" applyBorder="1"/>
    <xf numFmtId="0" fontId="0" fillId="3" borderId="112" xfId="0" applyFill="1" applyBorder="1"/>
    <xf numFmtId="0" fontId="12" fillId="9" borderId="0" xfId="0" applyFont="1" applyFill="1" applyAlignment="1">
      <alignment horizontal="left" vertical="center" shrinkToFit="1"/>
    </xf>
    <xf numFmtId="0" fontId="9" fillId="9" borderId="82" xfId="0" applyFont="1" applyFill="1" applyBorder="1" applyAlignment="1">
      <alignment horizontal="left" vertical="center" shrinkToFit="1"/>
    </xf>
    <xf numFmtId="0" fontId="9" fillId="9" borderId="83" xfId="0" applyFont="1" applyFill="1" applyBorder="1" applyAlignment="1">
      <alignment horizontal="left" vertical="center" shrinkToFit="1"/>
    </xf>
    <xf numFmtId="0" fontId="9" fillId="9" borderId="83" xfId="0" applyFont="1" applyFill="1" applyBorder="1" applyAlignment="1">
      <alignment horizontal="left" wrapText="1" shrinkToFit="1"/>
    </xf>
    <xf numFmtId="0" fontId="12" fillId="9" borderId="83" xfId="0" applyFont="1" applyFill="1" applyBorder="1" applyAlignment="1">
      <alignment horizontal="left" vertical="center" shrinkToFit="1"/>
    </xf>
    <xf numFmtId="0" fontId="0" fillId="9" borderId="83" xfId="0" applyFill="1" applyBorder="1" applyAlignment="1">
      <alignment horizontal="left" shrinkToFit="1"/>
    </xf>
    <xf numFmtId="0" fontId="0" fillId="9" borderId="84" xfId="0" applyFill="1" applyBorder="1" applyAlignment="1">
      <alignment horizontal="left" shrinkToFit="1"/>
    </xf>
    <xf numFmtId="0" fontId="9" fillId="9" borderId="85" xfId="0" applyFont="1" applyFill="1" applyBorder="1" applyAlignment="1">
      <alignment horizontal="left" vertical="center" shrinkToFit="1"/>
    </xf>
    <xf numFmtId="0" fontId="9" fillId="9" borderId="0" xfId="0" applyFont="1" applyFill="1" applyAlignment="1">
      <alignment horizontal="left" vertical="center" shrinkToFit="1"/>
    </xf>
    <xf numFmtId="0" fontId="10" fillId="9" borderId="0" xfId="0" applyFont="1" applyFill="1" applyAlignment="1">
      <alignment shrinkToFit="1"/>
    </xf>
    <xf numFmtId="49" fontId="10" fillId="9" borderId="0" xfId="357" applyNumberFormat="1" applyFill="1" applyAlignment="1">
      <alignment shrinkToFit="1"/>
    </xf>
    <xf numFmtId="0" fontId="10" fillId="9" borderId="0" xfId="357" applyFill="1" applyAlignment="1">
      <alignment shrinkToFit="1"/>
    </xf>
    <xf numFmtId="0" fontId="10" fillId="9" borderId="0" xfId="708" applyFill="1" applyAlignment="1">
      <alignment vertical="center" shrinkToFit="1"/>
    </xf>
    <xf numFmtId="0" fontId="61" fillId="30" borderId="107" xfId="0" applyFont="1" applyFill="1" applyBorder="1"/>
    <xf numFmtId="0" fontId="61" fillId="29" borderId="107" xfId="0" applyFont="1" applyFill="1" applyBorder="1"/>
    <xf numFmtId="1" fontId="103" fillId="31" borderId="107" xfId="0" applyNumberFormat="1" applyFont="1" applyFill="1" applyBorder="1" applyAlignment="1">
      <alignment horizontal="center" vertical="center" shrinkToFit="1"/>
    </xf>
    <xf numFmtId="0" fontId="61" fillId="35" borderId="107" xfId="0" applyFont="1" applyFill="1" applyBorder="1"/>
    <xf numFmtId="0" fontId="65" fillId="0" borderId="14" xfId="0" applyFont="1" applyBorder="1" applyAlignment="1">
      <alignment shrinkToFit="1"/>
    </xf>
    <xf numFmtId="0" fontId="14" fillId="0" borderId="14" xfId="0" applyFont="1" applyBorder="1"/>
    <xf numFmtId="0" fontId="8" fillId="0" borderId="14" xfId="0" applyFont="1" applyBorder="1"/>
    <xf numFmtId="0" fontId="65" fillId="0" borderId="14" xfId="0" applyFont="1" applyBorder="1" applyAlignment="1">
      <alignment vertical="center" shrinkToFit="1"/>
    </xf>
    <xf numFmtId="0" fontId="65" fillId="0" borderId="113" xfId="0" applyFont="1" applyBorder="1" applyAlignment="1">
      <alignment shrinkToFit="1"/>
    </xf>
    <xf numFmtId="0" fontId="65" fillId="0" borderId="0" xfId="0" applyFont="1" applyAlignment="1">
      <alignment vertical="center" shrinkToFit="1"/>
    </xf>
    <xf numFmtId="0" fontId="65" fillId="0" borderId="111" xfId="0" applyFont="1" applyBorder="1" applyAlignment="1">
      <alignment shrinkToFit="1"/>
    </xf>
    <xf numFmtId="0" fontId="65" fillId="0" borderId="0" xfId="0" applyFont="1" applyAlignment="1">
      <alignment shrinkToFit="1"/>
    </xf>
    <xf numFmtId="172" fontId="12" fillId="19" borderId="93" xfId="0" applyNumberFormat="1" applyFont="1" applyFill="1" applyBorder="1" applyAlignment="1">
      <alignment horizontal="right" vertical="center" shrinkToFit="1"/>
    </xf>
    <xf numFmtId="0" fontId="1" fillId="0" borderId="0" xfId="0" applyFont="1"/>
    <xf numFmtId="0" fontId="73" fillId="0" borderId="15" xfId="0" applyFont="1" applyBorder="1" applyAlignment="1">
      <alignment horizontal="left" shrinkToFit="1"/>
    </xf>
    <xf numFmtId="0" fontId="73" fillId="0" borderId="15" xfId="0" applyFont="1" applyBorder="1" applyAlignment="1">
      <alignment shrinkToFit="1"/>
    </xf>
    <xf numFmtId="0" fontId="0" fillId="0" borderId="15" xfId="0" applyBorder="1" applyAlignment="1">
      <alignment shrinkToFit="1"/>
    </xf>
    <xf numFmtId="0" fontId="78" fillId="0" borderId="80" xfId="0" applyFont="1" applyBorder="1" applyAlignment="1">
      <alignment shrinkToFit="1"/>
    </xf>
    <xf numFmtId="0" fontId="73" fillId="0" borderId="128" xfId="0" applyFont="1" applyBorder="1" applyAlignment="1">
      <alignment horizontal="center" shrinkToFit="1"/>
    </xf>
    <xf numFmtId="0" fontId="0" fillId="0" borderId="128" xfId="0" applyBorder="1"/>
    <xf numFmtId="0" fontId="74" fillId="0" borderId="127" xfId="0" applyFont="1" applyBorder="1" applyAlignment="1">
      <alignment horizontal="center" shrinkToFit="1"/>
    </xf>
    <xf numFmtId="0" fontId="74" fillId="0" borderId="128" xfId="0" applyFont="1" applyBorder="1" applyAlignment="1">
      <alignment horizontal="center" shrinkToFit="1"/>
    </xf>
    <xf numFmtId="0" fontId="73" fillId="0" borderId="129" xfId="0" applyFont="1" applyBorder="1" applyAlignment="1">
      <alignment horizontal="center" shrinkToFit="1"/>
    </xf>
    <xf numFmtId="0" fontId="76" fillId="36" borderId="130" xfId="0" applyFont="1" applyFill="1" applyBorder="1" applyAlignment="1">
      <alignment horizontal="center" shrinkToFit="1"/>
    </xf>
    <xf numFmtId="0" fontId="76" fillId="36" borderId="17" xfId="0" applyFont="1" applyFill="1" applyBorder="1" applyAlignment="1">
      <alignment horizontal="center" shrinkToFit="1"/>
    </xf>
    <xf numFmtId="0" fontId="76" fillId="36" borderId="131" xfId="0" applyFont="1" applyFill="1" applyBorder="1" applyAlignment="1">
      <alignment horizontal="center" shrinkToFit="1"/>
    </xf>
    <xf numFmtId="0" fontId="73" fillId="37" borderId="92" xfId="0" applyFont="1" applyFill="1" applyBorder="1" applyAlignment="1">
      <alignment shrinkToFit="1"/>
    </xf>
    <xf numFmtId="0" fontId="73" fillId="37" borderId="132" xfId="0" applyFont="1" applyFill="1" applyBorder="1" applyAlignment="1">
      <alignment shrinkToFit="1"/>
    </xf>
    <xf numFmtId="0" fontId="73" fillId="37" borderId="132" xfId="0" applyFont="1" applyFill="1" applyBorder="1" applyAlignment="1">
      <alignment horizontal="center" shrinkToFit="1"/>
    </xf>
    <xf numFmtId="0" fontId="73" fillId="37" borderId="133" xfId="0" applyFont="1" applyFill="1" applyBorder="1" applyAlignment="1">
      <alignment shrinkToFit="1"/>
    </xf>
    <xf numFmtId="0" fontId="73" fillId="0" borderId="92" xfId="0" applyFont="1" applyBorder="1" applyAlignment="1">
      <alignment shrinkToFit="1"/>
    </xf>
    <xf numFmtId="0" fontId="73" fillId="0" borderId="92" xfId="0" applyFont="1" applyBorder="1" applyAlignment="1">
      <alignment horizontal="center" shrinkToFit="1"/>
    </xf>
    <xf numFmtId="0" fontId="73" fillId="0" borderId="123" xfId="0" applyFont="1" applyBorder="1" applyAlignment="1">
      <alignment shrinkToFit="1"/>
    </xf>
    <xf numFmtId="0" fontId="73" fillId="37" borderId="92" xfId="0" applyFont="1" applyFill="1" applyBorder="1" applyAlignment="1">
      <alignment horizontal="center" shrinkToFit="1"/>
    </xf>
    <xf numFmtId="0" fontId="73" fillId="37" borderId="123" xfId="0" applyFont="1" applyFill="1" applyBorder="1" applyAlignment="1">
      <alignment shrinkToFit="1"/>
    </xf>
    <xf numFmtId="0" fontId="77" fillId="0" borderId="92" xfId="0" applyFont="1" applyBorder="1" applyAlignment="1">
      <alignment shrinkToFit="1"/>
    </xf>
    <xf numFmtId="0" fontId="77" fillId="37" borderId="92" xfId="0" applyFont="1" applyFill="1" applyBorder="1" applyAlignment="1">
      <alignment shrinkToFit="1"/>
    </xf>
    <xf numFmtId="0" fontId="73" fillId="8" borderId="92" xfId="0" applyFont="1" applyFill="1" applyBorder="1" applyAlignment="1">
      <alignment shrinkToFit="1"/>
    </xf>
    <xf numFmtId="0" fontId="0" fillId="37" borderId="92" xfId="0" applyFill="1" applyBorder="1" applyAlignment="1">
      <alignment shrinkToFit="1"/>
    </xf>
    <xf numFmtId="0" fontId="0" fillId="37" borderId="123" xfId="0" applyFill="1" applyBorder="1" applyAlignment="1">
      <alignment shrinkToFit="1"/>
    </xf>
    <xf numFmtId="0" fontId="0" fillId="0" borderId="92" xfId="0" applyBorder="1" applyAlignment="1">
      <alignment shrinkToFit="1"/>
    </xf>
    <xf numFmtId="0" fontId="0" fillId="0" borderId="123" xfId="0" applyBorder="1" applyAlignment="1">
      <alignment shrinkToFit="1"/>
    </xf>
    <xf numFmtId="0" fontId="78" fillId="12" borderId="92" xfId="0" applyFont="1" applyFill="1" applyBorder="1" applyAlignment="1">
      <alignment vertical="center" shrinkToFit="1"/>
    </xf>
    <xf numFmtId="0" fontId="59" fillId="8" borderId="92" xfId="0" applyFont="1" applyFill="1" applyBorder="1" applyAlignment="1">
      <alignment shrinkToFit="1"/>
    </xf>
    <xf numFmtId="0" fontId="78" fillId="37" borderId="92" xfId="0" applyFont="1" applyFill="1" applyBorder="1" applyAlignment="1">
      <alignment vertical="center" shrinkToFit="1"/>
    </xf>
    <xf numFmtId="0" fontId="45" fillId="0" borderId="92" xfId="0" applyFont="1" applyBorder="1" applyAlignment="1">
      <alignment shrinkToFit="1"/>
    </xf>
    <xf numFmtId="0" fontId="73" fillId="0" borderId="92" xfId="0" applyFont="1" applyBorder="1" applyAlignment="1">
      <alignment horizontal="left" shrinkToFit="1"/>
    </xf>
    <xf numFmtId="0" fontId="78" fillId="0" borderId="92" xfId="0" applyFont="1" applyBorder="1" applyAlignment="1">
      <alignment vertical="center" shrinkToFit="1"/>
    </xf>
    <xf numFmtId="0" fontId="0" fillId="0" borderId="92" xfId="0" applyBorder="1"/>
    <xf numFmtId="0" fontId="0" fillId="9" borderId="92" xfId="0" applyFill="1" applyBorder="1"/>
    <xf numFmtId="0" fontId="0" fillId="0" borderId="123" xfId="0" applyBorder="1"/>
    <xf numFmtId="0" fontId="0" fillId="37" borderId="92" xfId="0" applyFill="1" applyBorder="1"/>
    <xf numFmtId="0" fontId="0" fillId="37" borderId="123" xfId="0" applyFill="1" applyBorder="1"/>
    <xf numFmtId="0" fontId="73" fillId="12" borderId="92" xfId="0" applyFont="1" applyFill="1" applyBorder="1" applyAlignment="1">
      <alignment shrinkToFit="1"/>
    </xf>
    <xf numFmtId="0" fontId="0" fillId="0" borderId="92" xfId="0" applyBorder="1" applyAlignment="1">
      <alignment horizontal="center" shrinkToFit="1"/>
    </xf>
    <xf numFmtId="0" fontId="0" fillId="37" borderId="92" xfId="0" applyFill="1" applyBorder="1" applyAlignment="1">
      <alignment horizontal="center" shrinkToFit="1"/>
    </xf>
    <xf numFmtId="0" fontId="59" fillId="0" borderId="92" xfId="0" applyFont="1" applyBorder="1" applyAlignment="1">
      <alignment shrinkToFit="1"/>
    </xf>
    <xf numFmtId="0" fontId="59" fillId="0" borderId="92" xfId="0" applyFont="1" applyBorder="1" applyAlignment="1">
      <alignment horizontal="center" shrinkToFit="1"/>
    </xf>
    <xf numFmtId="0" fontId="73" fillId="0" borderId="91" xfId="0" applyFont="1" applyBorder="1" applyAlignment="1">
      <alignment horizontal="center" shrinkToFit="1"/>
    </xf>
    <xf numFmtId="0" fontId="73" fillId="0" borderId="91" xfId="0" applyFont="1" applyBorder="1" applyAlignment="1">
      <alignment shrinkToFit="1"/>
    </xf>
    <xf numFmtId="0" fontId="73" fillId="0" borderId="134" xfId="0" applyFont="1" applyBorder="1" applyAlignment="1">
      <alignment shrinkToFit="1"/>
    </xf>
    <xf numFmtId="0" fontId="73" fillId="37" borderId="135" xfId="0" applyFont="1" applyFill="1" applyBorder="1" applyAlignment="1">
      <alignment shrinkToFit="1"/>
    </xf>
    <xf numFmtId="0" fontId="73" fillId="37" borderId="136" xfId="0" applyFont="1" applyFill="1" applyBorder="1" applyAlignment="1">
      <alignment shrinkToFit="1"/>
    </xf>
    <xf numFmtId="0" fontId="73" fillId="37" borderId="136" xfId="0" applyFont="1" applyFill="1" applyBorder="1" applyAlignment="1">
      <alignment horizontal="center" shrinkToFit="1"/>
    </xf>
    <xf numFmtId="0" fontId="73" fillId="37" borderId="137" xfId="0" applyFont="1" applyFill="1" applyBorder="1" applyAlignment="1">
      <alignment shrinkToFit="1"/>
    </xf>
    <xf numFmtId="0" fontId="73" fillId="0" borderId="135" xfId="0" applyFont="1" applyBorder="1" applyAlignment="1">
      <alignment shrinkToFit="1"/>
    </xf>
    <xf numFmtId="0" fontId="73" fillId="0" borderId="136" xfId="0" applyFont="1" applyBorder="1" applyAlignment="1">
      <alignment shrinkToFit="1"/>
    </xf>
    <xf numFmtId="0" fontId="73" fillId="0" borderId="136" xfId="0" applyFont="1" applyBorder="1" applyAlignment="1">
      <alignment horizontal="center" shrinkToFit="1"/>
    </xf>
    <xf numFmtId="0" fontId="77" fillId="0" borderId="136" xfId="0" applyFont="1" applyBorder="1" applyAlignment="1">
      <alignment shrinkToFit="1"/>
    </xf>
    <xf numFmtId="0" fontId="73" fillId="0" borderId="137" xfId="0" applyFont="1" applyBorder="1" applyAlignment="1">
      <alignment shrinkToFit="1"/>
    </xf>
    <xf numFmtId="0" fontId="0" fillId="37" borderId="135" xfId="0" applyFill="1" applyBorder="1" applyAlignment="1">
      <alignment shrinkToFit="1"/>
    </xf>
    <xf numFmtId="0" fontId="0" fillId="37" borderId="136" xfId="0" applyFill="1" applyBorder="1" applyAlignment="1">
      <alignment shrinkToFit="1"/>
    </xf>
    <xf numFmtId="0" fontId="0" fillId="37" borderId="137" xfId="0" applyFill="1" applyBorder="1" applyAlignment="1">
      <alignment shrinkToFit="1"/>
    </xf>
    <xf numFmtId="0" fontId="0" fillId="0" borderId="135" xfId="0" applyBorder="1" applyAlignment="1">
      <alignment shrinkToFit="1"/>
    </xf>
    <xf numFmtId="0" fontId="0" fillId="0" borderId="136" xfId="0" applyBorder="1" applyAlignment="1">
      <alignment shrinkToFit="1"/>
    </xf>
    <xf numFmtId="0" fontId="0" fillId="0" borderId="137" xfId="0" applyBorder="1" applyAlignment="1">
      <alignment shrinkToFit="1"/>
    </xf>
    <xf numFmtId="0" fontId="73" fillId="8" borderId="135" xfId="0" applyFont="1" applyFill="1" applyBorder="1" applyAlignment="1">
      <alignment shrinkToFit="1"/>
    </xf>
    <xf numFmtId="0" fontId="0" fillId="37" borderId="136" xfId="0" applyFill="1" applyBorder="1" applyAlignment="1">
      <alignment horizontal="center" shrinkToFit="1"/>
    </xf>
    <xf numFmtId="0" fontId="77" fillId="37" borderId="136" xfId="0" applyFont="1" applyFill="1" applyBorder="1" applyAlignment="1">
      <alignment shrinkToFit="1"/>
    </xf>
    <xf numFmtId="0" fontId="0" fillId="0" borderId="136" xfId="0" applyBorder="1" applyAlignment="1">
      <alignment horizontal="center" shrinkToFit="1"/>
    </xf>
    <xf numFmtId="0" fontId="73" fillId="0" borderId="125" xfId="0" applyFont="1" applyBorder="1" applyAlignment="1">
      <alignment shrinkToFit="1"/>
    </xf>
    <xf numFmtId="0" fontId="73" fillId="0" borderId="125" xfId="0" applyFont="1" applyBorder="1" applyAlignment="1">
      <alignment horizontal="center" shrinkToFit="1"/>
    </xf>
    <xf numFmtId="0" fontId="77" fillId="0" borderId="125" xfId="0" applyFont="1" applyBorder="1" applyAlignment="1">
      <alignment shrinkToFit="1"/>
    </xf>
    <xf numFmtId="0" fontId="73" fillId="0" borderId="126" xfId="0" applyFont="1" applyBorder="1" applyAlignment="1">
      <alignment shrinkToFit="1"/>
    </xf>
    <xf numFmtId="3" fontId="0" fillId="0" borderId="3" xfId="0" applyNumberFormat="1" applyBorder="1"/>
    <xf numFmtId="0" fontId="9" fillId="21" borderId="138" xfId="0" applyFont="1" applyFill="1" applyBorder="1" applyAlignment="1" applyProtection="1">
      <alignment horizontal="center" vertical="center" shrinkToFit="1"/>
      <protection hidden="1"/>
    </xf>
    <xf numFmtId="0" fontId="108" fillId="38" borderId="0" xfId="0" applyFont="1" applyFill="1" applyAlignment="1" applyProtection="1">
      <alignment horizontal="left" shrinkToFit="1"/>
      <protection hidden="1"/>
    </xf>
    <xf numFmtId="0" fontId="108" fillId="38" borderId="0" xfId="0" applyFont="1" applyFill="1" applyAlignment="1" applyProtection="1">
      <alignment shrinkToFit="1"/>
      <protection hidden="1"/>
    </xf>
    <xf numFmtId="0" fontId="108" fillId="38" borderId="0" xfId="0" applyFont="1" applyFill="1" applyAlignment="1" applyProtection="1">
      <alignment horizontal="center" vertical="center"/>
      <protection hidden="1"/>
    </xf>
    <xf numFmtId="0" fontId="108" fillId="38" borderId="0" xfId="0" applyFont="1" applyFill="1" applyProtection="1">
      <protection hidden="1"/>
    </xf>
    <xf numFmtId="165" fontId="111" fillId="38" borderId="0" xfId="0" applyNumberFormat="1" applyFont="1" applyFill="1" applyAlignment="1" applyProtection="1">
      <alignment vertical="center"/>
      <protection hidden="1"/>
    </xf>
    <xf numFmtId="165" fontId="112" fillId="38" borderId="0" xfId="0" applyNumberFormat="1" applyFont="1" applyFill="1" applyAlignment="1" applyProtection="1">
      <alignment vertical="center"/>
      <protection hidden="1"/>
    </xf>
    <xf numFmtId="0" fontId="108" fillId="38" borderId="0" xfId="0" applyFont="1" applyFill="1" applyAlignment="1" applyProtection="1">
      <alignment horizontal="center" vertical="center" shrinkToFit="1"/>
      <protection hidden="1"/>
    </xf>
    <xf numFmtId="0" fontId="108" fillId="38" borderId="0" xfId="0" applyFont="1" applyFill="1" applyAlignment="1" applyProtection="1">
      <alignment horizontal="right" vertical="center"/>
      <protection hidden="1"/>
    </xf>
    <xf numFmtId="0" fontId="108" fillId="38" borderId="0" xfId="0" applyFont="1" applyFill="1" applyAlignment="1" applyProtection="1">
      <alignment horizontal="left" vertical="center" shrinkToFit="1"/>
      <protection hidden="1"/>
    </xf>
    <xf numFmtId="0" fontId="108" fillId="38" borderId="0" xfId="0" applyFont="1" applyFill="1" applyAlignment="1" applyProtection="1">
      <alignment horizontal="center" shrinkToFit="1"/>
      <protection hidden="1"/>
    </xf>
    <xf numFmtId="1" fontId="108" fillId="38" borderId="0" xfId="0" applyNumberFormat="1" applyFont="1" applyFill="1" applyAlignment="1" applyProtection="1">
      <alignment horizontal="center" shrinkToFit="1"/>
      <protection hidden="1"/>
    </xf>
    <xf numFmtId="49" fontId="108" fillId="38" borderId="0" xfId="0" applyNumberFormat="1" applyFont="1" applyFill="1" applyAlignment="1" applyProtection="1">
      <alignment horizontal="center" shrinkToFit="1"/>
      <protection hidden="1"/>
    </xf>
    <xf numFmtId="165" fontId="108" fillId="38" borderId="0" xfId="0" applyNumberFormat="1" applyFont="1" applyFill="1" applyAlignment="1" applyProtection="1">
      <alignment horizontal="center" shrinkToFit="1"/>
      <protection hidden="1"/>
    </xf>
    <xf numFmtId="0" fontId="108" fillId="38" borderId="0" xfId="0" applyFont="1" applyFill="1" applyAlignment="1" applyProtection="1">
      <alignment shrinkToFit="1"/>
      <protection locked="0"/>
    </xf>
    <xf numFmtId="0" fontId="113" fillId="38" borderId="0" xfId="150" applyFont="1" applyFill="1" applyBorder="1" applyAlignment="1" applyProtection="1">
      <protection hidden="1"/>
    </xf>
    <xf numFmtId="172" fontId="111" fillId="38" borderId="0" xfId="0" applyNumberFormat="1" applyFont="1" applyFill="1" applyAlignment="1" applyProtection="1">
      <alignment vertical="center" shrinkToFit="1"/>
      <protection hidden="1"/>
    </xf>
    <xf numFmtId="0" fontId="111" fillId="38" borderId="0" xfId="0" applyFont="1" applyFill="1" applyAlignment="1" applyProtection="1">
      <alignment horizontal="centerContinuous" shrinkToFit="1" readingOrder="1"/>
      <protection hidden="1"/>
    </xf>
    <xf numFmtId="9" fontId="111" fillId="38" borderId="0" xfId="0" applyNumberFormat="1" applyFont="1" applyFill="1" applyAlignment="1" applyProtection="1">
      <alignment horizontal="center" vertical="center"/>
      <protection hidden="1"/>
    </xf>
    <xf numFmtId="0" fontId="111" fillId="38" borderId="0" xfId="0" applyFont="1" applyFill="1" applyAlignment="1" applyProtection="1">
      <alignment horizontal="left" vertical="center"/>
      <protection hidden="1"/>
    </xf>
    <xf numFmtId="0" fontId="111" fillId="38" borderId="0" xfId="0" applyFont="1" applyFill="1" applyAlignment="1" applyProtection="1">
      <alignment horizontal="center" vertical="center"/>
      <protection hidden="1"/>
    </xf>
    <xf numFmtId="0" fontId="108" fillId="38" borderId="7" xfId="0" applyFont="1" applyFill="1" applyBorder="1" applyAlignment="1" applyProtection="1">
      <alignment shrinkToFit="1"/>
      <protection hidden="1"/>
    </xf>
    <xf numFmtId="0" fontId="108" fillId="38" borderId="5" xfId="0" applyFont="1" applyFill="1" applyBorder="1" applyAlignment="1" applyProtection="1">
      <alignment shrinkToFit="1"/>
      <protection hidden="1"/>
    </xf>
    <xf numFmtId="0" fontId="108" fillId="38" borderId="0" xfId="0" applyFont="1" applyFill="1" applyAlignment="1" applyProtection="1">
      <alignment horizontal="center"/>
      <protection hidden="1"/>
    </xf>
    <xf numFmtId="0" fontId="108" fillId="38" borderId="0" xfId="0" applyFont="1" applyFill="1" applyAlignment="1" applyProtection="1">
      <alignment horizontal="right"/>
      <protection hidden="1"/>
    </xf>
    <xf numFmtId="0" fontId="111" fillId="38" borderId="0" xfId="0" applyFont="1" applyFill="1" applyAlignment="1" applyProtection="1">
      <alignment vertical="center"/>
      <protection hidden="1"/>
    </xf>
    <xf numFmtId="0" fontId="113" fillId="38" borderId="0" xfId="0" applyFont="1" applyFill="1" applyProtection="1">
      <protection hidden="1"/>
    </xf>
    <xf numFmtId="0" fontId="108" fillId="38" borderId="0" xfId="0" applyFont="1" applyFill="1" applyAlignment="1" applyProtection="1">
      <alignment vertical="center"/>
      <protection hidden="1"/>
    </xf>
    <xf numFmtId="0" fontId="108" fillId="38" borderId="1" xfId="0" applyFont="1" applyFill="1" applyBorder="1" applyAlignment="1" applyProtection="1">
      <alignment horizontal="center" shrinkToFit="1"/>
      <protection locked="0" hidden="1"/>
    </xf>
    <xf numFmtId="0" fontId="115" fillId="38" borderId="0" xfId="0" applyFont="1" applyFill="1" applyProtection="1">
      <protection hidden="1"/>
    </xf>
    <xf numFmtId="0" fontId="116" fillId="38" borderId="0" xfId="150" applyFont="1" applyFill="1" applyBorder="1" applyAlignment="1" applyProtection="1">
      <protection hidden="1"/>
    </xf>
    <xf numFmtId="0" fontId="117" fillId="38" borderId="0" xfId="0" applyFont="1" applyFill="1" applyAlignment="1" applyProtection="1">
      <alignment horizontal="center" shrinkToFit="1"/>
      <protection hidden="1"/>
    </xf>
    <xf numFmtId="0" fontId="108" fillId="38" borderId="0" xfId="0" applyFont="1" applyFill="1" applyAlignment="1" applyProtection="1">
      <alignment vertical="center" shrinkToFit="1"/>
      <protection hidden="1"/>
    </xf>
    <xf numFmtId="0" fontId="115" fillId="38" borderId="0" xfId="0" applyFont="1" applyFill="1" applyAlignment="1" applyProtection="1">
      <alignment horizontal="left"/>
      <protection hidden="1"/>
    </xf>
    <xf numFmtId="172" fontId="111" fillId="38" borderId="0" xfId="0" applyNumberFormat="1" applyFont="1" applyFill="1" applyAlignment="1" applyProtection="1">
      <alignment horizontal="left" vertical="center"/>
      <protection hidden="1"/>
    </xf>
    <xf numFmtId="0" fontId="0" fillId="39" borderId="0" xfId="0" applyFill="1"/>
    <xf numFmtId="0" fontId="119" fillId="39" borderId="0" xfId="0" applyFont="1" applyFill="1"/>
    <xf numFmtId="0" fontId="0" fillId="40" borderId="0" xfId="0" applyFill="1"/>
    <xf numFmtId="0" fontId="119" fillId="38" borderId="0" xfId="0" applyFont="1" applyFill="1"/>
    <xf numFmtId="0" fontId="120" fillId="38" borderId="0" xfId="0" applyFont="1" applyFill="1"/>
    <xf numFmtId="0" fontId="120" fillId="38" borderId="0" xfId="0" applyFont="1" applyFill="1" applyAlignment="1">
      <alignment horizontal="center"/>
    </xf>
    <xf numFmtId="0" fontId="122" fillId="38" borderId="0" xfId="0" applyFont="1" applyFill="1"/>
    <xf numFmtId="0" fontId="118" fillId="38" borderId="0" xfId="0" applyFont="1" applyFill="1" applyAlignment="1">
      <alignment horizontal="left"/>
    </xf>
    <xf numFmtId="0" fontId="123" fillId="38" borderId="0" xfId="150" applyFont="1" applyFill="1" applyBorder="1" applyAlignment="1" applyProtection="1"/>
    <xf numFmtId="0" fontId="124" fillId="38" borderId="0" xfId="0" applyFont="1" applyFill="1"/>
    <xf numFmtId="0" fontId="12" fillId="38" borderId="140" xfId="0" applyFont="1" applyFill="1" applyBorder="1" applyAlignment="1">
      <alignment horizontal="center" shrinkToFit="1" readingOrder="1"/>
    </xf>
    <xf numFmtId="0" fontId="12" fillId="42" borderId="140" xfId="0" applyFont="1" applyFill="1" applyBorder="1" applyAlignment="1">
      <alignment horizontal="center" shrinkToFit="1"/>
    </xf>
    <xf numFmtId="0" fontId="12" fillId="42" borderId="140" xfId="1713" applyFont="1" applyFill="1" applyBorder="1" applyAlignment="1">
      <alignment horizontal="left" vertical="center" shrinkToFit="1"/>
    </xf>
    <xf numFmtId="0" fontId="12" fillId="42" borderId="140" xfId="1713" applyFont="1" applyFill="1" applyBorder="1" applyAlignment="1">
      <alignment horizontal="left" shrinkToFit="1"/>
    </xf>
    <xf numFmtId="0" fontId="12" fillId="42" borderId="140" xfId="1713" applyFont="1" applyFill="1" applyBorder="1" applyAlignment="1">
      <alignment horizontal="center" shrinkToFit="1"/>
    </xf>
    <xf numFmtId="14" fontId="12" fillId="42" borderId="140" xfId="0" applyNumberFormat="1" applyFont="1" applyFill="1" applyBorder="1" applyAlignment="1">
      <alignment horizontal="center" shrinkToFit="1" readingOrder="1"/>
    </xf>
    <xf numFmtId="0" fontId="129" fillId="38" borderId="144" xfId="0" applyFont="1" applyFill="1" applyBorder="1" applyAlignment="1" applyProtection="1">
      <alignment horizontal="center" vertical="center" shrinkToFit="1"/>
      <protection hidden="1"/>
    </xf>
    <xf numFmtId="0" fontId="129" fillId="38" borderId="148" xfId="0" applyFont="1" applyFill="1" applyBorder="1" applyAlignment="1" applyProtection="1">
      <alignment horizontal="center" vertical="center" shrinkToFit="1"/>
      <protection hidden="1"/>
    </xf>
    <xf numFmtId="0" fontId="129" fillId="38" borderId="147" xfId="0" applyFont="1" applyFill="1" applyBorder="1" applyAlignment="1" applyProtection="1">
      <alignment horizontal="center" vertical="center" shrinkToFit="1"/>
      <protection hidden="1"/>
    </xf>
    <xf numFmtId="0" fontId="43" fillId="38" borderId="0" xfId="0" applyFont="1" applyFill="1" applyProtection="1">
      <protection hidden="1"/>
    </xf>
    <xf numFmtId="0" fontId="118" fillId="38" borderId="0" xfId="150" applyFont="1" applyFill="1" applyBorder="1" applyAlignment="1" applyProtection="1">
      <alignment wrapText="1"/>
      <protection hidden="1"/>
    </xf>
    <xf numFmtId="0" fontId="129" fillId="38" borderId="150" xfId="0" applyFont="1" applyFill="1" applyBorder="1" applyAlignment="1" applyProtection="1">
      <alignment horizontal="center" vertical="center" shrinkToFit="1"/>
      <protection hidden="1"/>
    </xf>
    <xf numFmtId="0" fontId="129" fillId="38" borderId="151" xfId="0" applyFont="1" applyFill="1" applyBorder="1" applyAlignment="1" applyProtection="1">
      <alignment horizontal="center" vertical="center" shrinkToFit="1"/>
      <protection hidden="1"/>
    </xf>
    <xf numFmtId="0" fontId="131" fillId="38" borderId="158" xfId="0" applyFont="1" applyFill="1" applyBorder="1" applyAlignment="1" applyProtection="1">
      <alignment horizontal="right" vertical="center" shrinkToFit="1"/>
      <protection hidden="1"/>
    </xf>
    <xf numFmtId="0" fontId="129" fillId="38" borderId="157" xfId="0" applyFont="1" applyFill="1" applyBorder="1" applyAlignment="1" applyProtection="1">
      <alignment horizontal="left" vertical="center" shrinkToFit="1"/>
      <protection hidden="1"/>
    </xf>
    <xf numFmtId="0" fontId="126" fillId="38" borderId="160" xfId="0" applyFont="1" applyFill="1" applyBorder="1" applyAlignment="1" applyProtection="1">
      <alignment horizontal="center" vertical="center" shrinkToFit="1"/>
      <protection hidden="1"/>
    </xf>
    <xf numFmtId="0" fontId="12" fillId="42" borderId="142" xfId="1713" applyFont="1" applyFill="1" applyBorder="1" applyAlignment="1">
      <alignment horizontal="center" shrinkToFit="1"/>
    </xf>
    <xf numFmtId="0" fontId="12" fillId="42" borderId="145" xfId="1713" applyFont="1" applyFill="1" applyBorder="1" applyAlignment="1">
      <alignment horizontal="center" shrinkToFit="1"/>
    </xf>
    <xf numFmtId="4" fontId="134" fillId="45" borderId="140" xfId="0" applyNumberFormat="1" applyFont="1" applyFill="1" applyBorder="1" applyAlignment="1" applyProtection="1">
      <alignment horizontal="center" shrinkToFit="1" readingOrder="1"/>
      <protection hidden="1"/>
    </xf>
    <xf numFmtId="3" fontId="108" fillId="43" borderId="140" xfId="0" applyNumberFormat="1" applyFont="1" applyFill="1" applyBorder="1" applyAlignment="1" applyProtection="1">
      <alignment horizontal="center" vertical="center" shrinkToFit="1"/>
      <protection hidden="1"/>
    </xf>
    <xf numFmtId="3" fontId="108" fillId="44" borderId="140" xfId="0" applyNumberFormat="1" applyFont="1" applyFill="1" applyBorder="1" applyAlignment="1" applyProtection="1">
      <alignment horizontal="center" vertical="center" shrinkToFit="1"/>
      <protection hidden="1"/>
    </xf>
    <xf numFmtId="1" fontId="129" fillId="46" borderId="150" xfId="0" applyNumberFormat="1" applyFont="1" applyFill="1" applyBorder="1" applyAlignment="1" applyProtection="1">
      <alignment horizontal="center" vertical="center" shrinkToFit="1"/>
      <protection hidden="1"/>
    </xf>
    <xf numFmtId="165" fontId="129" fillId="46" borderId="150" xfId="0" applyNumberFormat="1" applyFont="1" applyFill="1" applyBorder="1" applyAlignment="1" applyProtection="1">
      <alignment horizontal="center" shrinkToFit="1" readingOrder="1"/>
      <protection hidden="1"/>
    </xf>
    <xf numFmtId="1" fontId="129" fillId="46" borderId="141" xfId="0" applyNumberFormat="1" applyFont="1" applyFill="1" applyBorder="1" applyAlignment="1" applyProtection="1">
      <alignment horizontal="center" vertical="center" shrinkToFit="1"/>
      <protection hidden="1"/>
    </xf>
    <xf numFmtId="165" fontId="129" fillId="46" borderId="141" xfId="0" applyNumberFormat="1" applyFont="1" applyFill="1" applyBorder="1" applyAlignment="1" applyProtection="1">
      <alignment horizontal="center" shrinkToFit="1" readingOrder="1"/>
      <protection hidden="1"/>
    </xf>
    <xf numFmtId="0" fontId="135" fillId="46" borderId="144" xfId="0" applyFont="1" applyFill="1" applyBorder="1" applyAlignment="1" applyProtection="1">
      <alignment horizontal="center" shrinkToFit="1"/>
      <protection hidden="1"/>
    </xf>
    <xf numFmtId="0" fontId="113" fillId="46" borderId="152" xfId="0" applyFont="1" applyFill="1" applyBorder="1" applyAlignment="1" applyProtection="1">
      <alignment shrinkToFit="1" readingOrder="1"/>
      <protection hidden="1"/>
    </xf>
    <xf numFmtId="0" fontId="113" fillId="46" borderId="152" xfId="0" applyFont="1" applyFill="1" applyBorder="1" applyAlignment="1" applyProtection="1">
      <alignment horizontal="center" shrinkToFit="1"/>
      <protection hidden="1"/>
    </xf>
    <xf numFmtId="0" fontId="113" fillId="46" borderId="152" xfId="0" applyFont="1" applyFill="1" applyBorder="1" applyAlignment="1" applyProtection="1">
      <alignment shrinkToFit="1"/>
      <protection hidden="1"/>
    </xf>
    <xf numFmtId="0" fontId="113" fillId="46" borderId="152" xfId="0" applyFont="1" applyFill="1" applyBorder="1" applyAlignment="1" applyProtection="1">
      <alignment horizontal="left" vertical="center"/>
      <protection hidden="1"/>
    </xf>
    <xf numFmtId="0" fontId="108" fillId="46" borderId="152" xfId="0" applyFont="1" applyFill="1" applyBorder="1" applyAlignment="1" applyProtection="1">
      <alignment horizontal="left" shrinkToFit="1"/>
      <protection hidden="1"/>
    </xf>
    <xf numFmtId="14" fontId="127" fillId="46" borderId="152" xfId="0" applyNumberFormat="1" applyFont="1" applyFill="1" applyBorder="1" applyProtection="1">
      <protection hidden="1"/>
    </xf>
    <xf numFmtId="0" fontId="127" fillId="46" borderId="152" xfId="0" applyFont="1" applyFill="1" applyBorder="1" applyProtection="1">
      <protection hidden="1"/>
    </xf>
    <xf numFmtId="49" fontId="127" fillId="46" borderId="152" xfId="0" applyNumberFormat="1" applyFont="1" applyFill="1" applyBorder="1" applyProtection="1">
      <protection hidden="1"/>
    </xf>
    <xf numFmtId="165" fontId="113" fillId="46" borderId="152" xfId="0" applyNumberFormat="1" applyFont="1" applyFill="1" applyBorder="1" applyAlignment="1" applyProtection="1">
      <alignment horizontal="center" shrinkToFit="1"/>
      <protection hidden="1"/>
    </xf>
    <xf numFmtId="0" fontId="128" fillId="46" borderId="152" xfId="0" applyFont="1" applyFill="1" applyBorder="1" applyProtection="1">
      <protection hidden="1"/>
    </xf>
    <xf numFmtId="0" fontId="128" fillId="46" borderId="153" xfId="0" applyFont="1" applyFill="1" applyBorder="1" applyProtection="1">
      <protection hidden="1"/>
    </xf>
    <xf numFmtId="0" fontId="129" fillId="46" borderId="152" xfId="0" applyFont="1" applyFill="1" applyBorder="1" applyAlignment="1" applyProtection="1">
      <alignment horizontal="center" vertical="center" shrinkToFit="1"/>
      <protection hidden="1"/>
    </xf>
    <xf numFmtId="0" fontId="124" fillId="46" borderId="152" xfId="0" applyFont="1" applyFill="1" applyBorder="1" applyAlignment="1" applyProtection="1">
      <alignment horizontal="left" vertical="center" shrinkToFit="1"/>
      <protection hidden="1"/>
    </xf>
    <xf numFmtId="0" fontId="136" fillId="46" borderId="156" xfId="0" applyFont="1" applyFill="1" applyBorder="1" applyAlignment="1" applyProtection="1">
      <alignment horizontal="center" vertical="center" shrinkToFit="1"/>
      <protection hidden="1"/>
    </xf>
    <xf numFmtId="0" fontId="119" fillId="38" borderId="3" xfId="0" applyFont="1" applyFill="1" applyBorder="1"/>
    <xf numFmtId="0" fontId="119" fillId="46" borderId="0" xfId="0" applyFont="1" applyFill="1"/>
    <xf numFmtId="0" fontId="124" fillId="46" borderId="0" xfId="0" applyFont="1" applyFill="1"/>
    <xf numFmtId="171" fontId="137" fillId="38" borderId="0" xfId="1713" applyNumberFormat="1" applyFont="1" applyFill="1" applyAlignment="1">
      <alignment horizontal="center" vertical="center" shrinkToFit="1"/>
    </xf>
    <xf numFmtId="0" fontId="137" fillId="38" borderId="0" xfId="1713" applyFont="1" applyFill="1" applyAlignment="1">
      <alignment horizontal="center" vertical="center" shrinkToFit="1"/>
    </xf>
    <xf numFmtId="0" fontId="118" fillId="38" borderId="160" xfId="0" applyFont="1" applyFill="1" applyBorder="1" applyAlignment="1" applyProtection="1">
      <alignment vertical="center" wrapText="1" shrinkToFit="1"/>
      <protection hidden="1"/>
    </xf>
    <xf numFmtId="0" fontId="118" fillId="38" borderId="139" xfId="0" applyFont="1" applyFill="1" applyBorder="1" applyAlignment="1" applyProtection="1">
      <alignment vertical="center" wrapText="1" shrinkToFit="1"/>
      <protection hidden="1"/>
    </xf>
    <xf numFmtId="0" fontId="118" fillId="38" borderId="143" xfId="0" applyFont="1" applyFill="1" applyBorder="1" applyAlignment="1" applyProtection="1">
      <alignment vertical="center" wrapText="1" shrinkToFit="1"/>
      <protection hidden="1"/>
    </xf>
    <xf numFmtId="165" fontId="112" fillId="40" borderId="0" xfId="0" applyNumberFormat="1" applyFont="1" applyFill="1" applyAlignment="1">
      <alignment horizontal="center" vertical="center" shrinkToFit="1"/>
    </xf>
    <xf numFmtId="165" fontId="129" fillId="38" borderId="157" xfId="0" applyNumberFormat="1" applyFont="1" applyFill="1" applyBorder="1" applyAlignment="1" applyProtection="1">
      <alignment horizontal="right" vertical="center" shrinkToFit="1"/>
      <protection hidden="1"/>
    </xf>
    <xf numFmtId="0" fontId="112" fillId="38" borderId="0" xfId="0" applyFont="1" applyFill="1" applyAlignment="1">
      <alignment horizontal="center" vertical="center" shrinkToFit="1"/>
    </xf>
    <xf numFmtId="165" fontId="112" fillId="38" borderId="0" xfId="0" applyNumberFormat="1" applyFont="1" applyFill="1" applyAlignment="1">
      <alignment horizontal="center" vertical="center" shrinkToFit="1"/>
    </xf>
    <xf numFmtId="1" fontId="112" fillId="38" borderId="0" xfId="0" applyNumberFormat="1" applyFont="1" applyFill="1" applyAlignment="1">
      <alignment horizontal="center" vertical="center" shrinkToFit="1"/>
    </xf>
    <xf numFmtId="49" fontId="112" fillId="38" borderId="0" xfId="0" applyNumberFormat="1" applyFont="1" applyFill="1" applyAlignment="1">
      <alignment horizontal="center" vertical="center" shrinkToFit="1"/>
    </xf>
    <xf numFmtId="49" fontId="117" fillId="38" borderId="0" xfId="0" applyNumberFormat="1" applyFont="1" applyFill="1" applyAlignment="1">
      <alignment horizontal="center" vertical="center" shrinkToFit="1"/>
    </xf>
    <xf numFmtId="14" fontId="112" fillId="38" borderId="0" xfId="0" applyNumberFormat="1" applyFont="1" applyFill="1" applyAlignment="1">
      <alignment horizontal="center" vertical="center" shrinkToFit="1"/>
    </xf>
    <xf numFmtId="1" fontId="95" fillId="42" borderId="145" xfId="0" applyNumberFormat="1" applyFont="1" applyFill="1" applyBorder="1" applyAlignment="1">
      <alignment horizontal="center" vertical="center" shrinkToFit="1"/>
    </xf>
    <xf numFmtId="0" fontId="0" fillId="38" borderId="0" xfId="0" applyFill="1" applyAlignment="1" applyProtection="1">
      <alignment horizontal="right"/>
      <protection hidden="1"/>
    </xf>
    <xf numFmtId="0" fontId="47" fillId="38" borderId="0" xfId="0" applyFont="1" applyFill="1" applyAlignment="1" applyProtection="1">
      <alignment horizontal="right" vertical="center" shrinkToFit="1"/>
      <protection hidden="1"/>
    </xf>
    <xf numFmtId="0" fontId="0" fillId="38" borderId="0" xfId="0" applyFill="1"/>
    <xf numFmtId="0" fontId="0" fillId="38" borderId="0" xfId="0" applyFill="1" applyProtection="1">
      <protection hidden="1"/>
    </xf>
    <xf numFmtId="0" fontId="47" fillId="38" borderId="0" xfId="0" applyFont="1" applyFill="1" applyAlignment="1" applyProtection="1">
      <alignment horizontal="center" vertical="center" shrinkToFit="1"/>
      <protection hidden="1"/>
    </xf>
    <xf numFmtId="0" fontId="47" fillId="38" borderId="0" xfId="0" applyFont="1" applyFill="1" applyAlignment="1" applyProtection="1">
      <alignment shrinkToFit="1"/>
      <protection hidden="1"/>
    </xf>
    <xf numFmtId="0" fontId="60" fillId="38" borderId="0" xfId="0" applyFont="1" applyFill="1" applyAlignment="1" applyProtection="1">
      <alignment horizontal="center" vertical="center" shrinkToFit="1"/>
      <protection hidden="1"/>
    </xf>
    <xf numFmtId="0" fontId="0" fillId="38" borderId="3" xfId="0" applyFill="1" applyBorder="1" applyProtection="1">
      <protection hidden="1"/>
    </xf>
    <xf numFmtId="0" fontId="0" fillId="38" borderId="80" xfId="0" applyFill="1" applyBorder="1" applyProtection="1">
      <protection hidden="1"/>
    </xf>
    <xf numFmtId="0" fontId="0" fillId="38" borderId="94" xfId="0" applyFill="1" applyBorder="1" applyProtection="1">
      <protection hidden="1"/>
    </xf>
    <xf numFmtId="1" fontId="0" fillId="38" borderId="0" xfId="0" applyNumberFormat="1" applyFill="1" applyProtection="1">
      <protection hidden="1"/>
    </xf>
    <xf numFmtId="2" fontId="0" fillId="38" borderId="0" xfId="0" applyNumberFormat="1" applyFill="1" applyProtection="1">
      <protection hidden="1"/>
    </xf>
    <xf numFmtId="0" fontId="0" fillId="38" borderId="0" xfId="0" quotePrefix="1" applyFill="1" applyAlignment="1" applyProtection="1">
      <alignment horizontal="center"/>
      <protection hidden="1"/>
    </xf>
    <xf numFmtId="0" fontId="0" fillId="38" borderId="91" xfId="0" quotePrefix="1" applyFill="1" applyBorder="1" applyProtection="1">
      <protection hidden="1"/>
    </xf>
    <xf numFmtId="0" fontId="0" fillId="38" borderId="91" xfId="0" applyFill="1" applyBorder="1" applyAlignment="1" applyProtection="1">
      <alignment horizontal="center"/>
      <protection hidden="1"/>
    </xf>
    <xf numFmtId="0" fontId="0" fillId="38" borderId="91" xfId="0" applyFill="1" applyBorder="1" applyProtection="1">
      <protection hidden="1"/>
    </xf>
    <xf numFmtId="0" fontId="0" fillId="38" borderId="0" xfId="0" applyFill="1" applyAlignment="1" applyProtection="1">
      <alignment horizontal="center"/>
      <protection hidden="1"/>
    </xf>
    <xf numFmtId="1" fontId="95" fillId="41" borderId="164" xfId="0" applyNumberFormat="1" applyFont="1" applyFill="1" applyBorder="1" applyAlignment="1">
      <alignment horizontal="center" vertical="center" shrinkToFit="1"/>
    </xf>
    <xf numFmtId="0" fontId="12" fillId="41" borderId="155" xfId="0" applyFont="1" applyFill="1" applyBorder="1" applyAlignment="1">
      <alignment horizontal="center" shrinkToFit="1"/>
    </xf>
    <xf numFmtId="0" fontId="12" fillId="41" borderId="155" xfId="1713" applyFont="1" applyFill="1" applyBorder="1" applyAlignment="1">
      <alignment horizontal="left" vertical="center" shrinkToFit="1"/>
    </xf>
    <xf numFmtId="0" fontId="12" fillId="41" borderId="155" xfId="1713" applyFont="1" applyFill="1" applyBorder="1" applyAlignment="1">
      <alignment horizontal="left" shrinkToFit="1"/>
    </xf>
    <xf numFmtId="49" fontId="12" fillId="41" borderId="165" xfId="1713" applyNumberFormat="1" applyFont="1" applyFill="1" applyBorder="1" applyAlignment="1">
      <alignment horizontal="center" shrinkToFit="1"/>
    </xf>
    <xf numFmtId="1" fontId="12" fillId="41" borderId="164" xfId="0" applyNumberFormat="1" applyFont="1" applyFill="1" applyBorder="1" applyAlignment="1">
      <alignment horizontal="center"/>
    </xf>
    <xf numFmtId="0" fontId="12" fillId="41" borderId="155" xfId="1713" applyFont="1" applyFill="1" applyBorder="1" applyAlignment="1">
      <alignment horizontal="center" shrinkToFit="1"/>
    </xf>
    <xf numFmtId="0" fontId="12" fillId="38" borderId="155" xfId="0" applyFont="1" applyFill="1" applyBorder="1" applyAlignment="1">
      <alignment horizontal="center" shrinkToFit="1" readingOrder="1"/>
    </xf>
    <xf numFmtId="14" fontId="12" fillId="41" borderId="155" xfId="0" applyNumberFormat="1" applyFont="1" applyFill="1" applyBorder="1" applyAlignment="1">
      <alignment horizontal="center" shrinkToFit="1" readingOrder="1"/>
    </xf>
    <xf numFmtId="3" fontId="108" fillId="47" borderId="155" xfId="0" applyNumberFormat="1" applyFont="1" applyFill="1" applyBorder="1" applyAlignment="1" applyProtection="1">
      <alignment horizontal="center" vertical="center" shrinkToFit="1"/>
      <protection hidden="1"/>
    </xf>
    <xf numFmtId="3" fontId="108" fillId="48" borderId="155" xfId="0" applyNumberFormat="1" applyFont="1" applyFill="1" applyBorder="1" applyAlignment="1" applyProtection="1">
      <alignment horizontal="center" vertical="center" shrinkToFit="1"/>
      <protection hidden="1"/>
    </xf>
    <xf numFmtId="4" fontId="134" fillId="49" borderId="155" xfId="0" applyNumberFormat="1" applyFont="1" applyFill="1" applyBorder="1" applyAlignment="1" applyProtection="1">
      <alignment horizontal="center" shrinkToFit="1" readingOrder="1"/>
      <protection hidden="1"/>
    </xf>
    <xf numFmtId="0" fontId="12" fillId="41" borderId="165" xfId="1713" applyFont="1" applyFill="1" applyBorder="1" applyAlignment="1">
      <alignment horizontal="center" shrinkToFit="1"/>
    </xf>
    <xf numFmtId="0" fontId="60" fillId="38" borderId="0" xfId="0" applyFont="1" applyFill="1" applyAlignment="1" applyProtection="1">
      <alignment horizontal="left" shrinkToFit="1"/>
      <protection hidden="1"/>
    </xf>
    <xf numFmtId="0" fontId="9" fillId="38" borderId="0" xfId="0" applyFont="1" applyFill="1" applyAlignment="1" applyProtection="1">
      <alignment shrinkToFit="1"/>
      <protection hidden="1"/>
    </xf>
    <xf numFmtId="0" fontId="59" fillId="38" borderId="0" xfId="0" applyFont="1" applyFill="1" applyAlignment="1" applyProtection="1">
      <alignment horizontal="center" vertical="center"/>
      <protection hidden="1"/>
    </xf>
    <xf numFmtId="0" fontId="0" fillId="38" borderId="0" xfId="0" applyFill="1" applyAlignment="1" applyProtection="1">
      <alignment horizontal="center" vertical="center" shrinkToFit="1"/>
      <protection hidden="1"/>
    </xf>
    <xf numFmtId="0" fontId="0" fillId="38" borderId="0" xfId="0" applyFill="1" applyAlignment="1" applyProtection="1">
      <alignment shrinkToFit="1"/>
      <protection hidden="1"/>
    </xf>
    <xf numFmtId="0" fontId="0" fillId="38" borderId="0" xfId="0" applyFill="1" applyAlignment="1" applyProtection="1">
      <alignment horizontal="center" vertical="center"/>
      <protection hidden="1"/>
    </xf>
    <xf numFmtId="0" fontId="0" fillId="38" borderId="0" xfId="0" applyFill="1" applyAlignment="1" applyProtection="1">
      <alignment horizontal="left" vertical="center" shrinkToFit="1"/>
      <protection hidden="1"/>
    </xf>
    <xf numFmtId="0" fontId="59" fillId="38" borderId="0" xfId="0" applyFont="1" applyFill="1" applyAlignment="1" applyProtection="1">
      <alignment horizontal="center"/>
      <protection hidden="1"/>
    </xf>
    <xf numFmtId="0" fontId="9" fillId="38" borderId="0" xfId="0" applyFont="1" applyFill="1" applyProtection="1">
      <protection hidden="1"/>
    </xf>
    <xf numFmtId="14" fontId="0" fillId="38" borderId="0" xfId="0" applyNumberFormat="1" applyFill="1" applyAlignment="1" applyProtection="1">
      <alignment horizontal="center" shrinkToFit="1"/>
      <protection hidden="1"/>
    </xf>
    <xf numFmtId="49" fontId="0" fillId="38" borderId="0" xfId="0" applyNumberFormat="1" applyFill="1" applyAlignment="1" applyProtection="1">
      <alignment horizontal="center" shrinkToFit="1"/>
      <protection hidden="1"/>
    </xf>
    <xf numFmtId="0" fontId="6" fillId="38" borderId="0" xfId="0" applyFont="1" applyFill="1" applyAlignment="1" applyProtection="1">
      <alignment horizontal="center"/>
      <protection hidden="1"/>
    </xf>
    <xf numFmtId="165" fontId="6" fillId="38" borderId="0" xfId="0" applyNumberFormat="1" applyFont="1" applyFill="1" applyAlignment="1" applyProtection="1">
      <alignment horizontal="center"/>
      <protection hidden="1"/>
    </xf>
    <xf numFmtId="0" fontId="0" fillId="38" borderId="16" xfId="0" applyFill="1" applyBorder="1" applyProtection="1">
      <protection hidden="1"/>
    </xf>
    <xf numFmtId="0" fontId="45" fillId="38" borderId="0" xfId="0" applyFont="1" applyFill="1" applyAlignment="1" applyProtection="1">
      <alignment horizontal="center" vertical="center"/>
      <protection hidden="1"/>
    </xf>
    <xf numFmtId="0" fontId="6" fillId="38" borderId="0" xfId="0" applyFont="1" applyFill="1" applyAlignment="1" applyProtection="1">
      <alignment horizontal="center" vertical="center"/>
      <protection hidden="1"/>
    </xf>
    <xf numFmtId="165" fontId="6" fillId="38" borderId="0" xfId="0" applyNumberFormat="1" applyFont="1" applyFill="1" applyAlignment="1" applyProtection="1">
      <alignment horizontal="center" vertical="center"/>
      <protection hidden="1"/>
    </xf>
    <xf numFmtId="0" fontId="101" fillId="38" borderId="0" xfId="0" applyFont="1" applyFill="1" applyAlignment="1" applyProtection="1">
      <alignment vertical="center" shrinkToFit="1"/>
      <protection hidden="1"/>
    </xf>
    <xf numFmtId="0" fontId="60" fillId="38" borderId="0" xfId="0" applyFont="1" applyFill="1" applyAlignment="1" applyProtection="1">
      <alignment horizontal="center" shrinkToFit="1"/>
      <protection hidden="1"/>
    </xf>
    <xf numFmtId="0" fontId="0" fillId="38" borderId="0" xfId="0" applyFill="1" applyAlignment="1" applyProtection="1">
      <alignment horizontal="left"/>
      <protection hidden="1"/>
    </xf>
    <xf numFmtId="0" fontId="131" fillId="38" borderId="0" xfId="0" applyFont="1" applyFill="1" applyAlignment="1" applyProtection="1">
      <alignment horizontal="left"/>
      <protection hidden="1"/>
    </xf>
    <xf numFmtId="0" fontId="137" fillId="38" borderId="0" xfId="0" applyFont="1" applyFill="1" applyAlignment="1" applyProtection="1">
      <alignment horizontal="center" shrinkToFit="1"/>
      <protection hidden="1"/>
    </xf>
    <xf numFmtId="0" fontId="124" fillId="38" borderId="0" xfId="0" applyFont="1" applyFill="1" applyAlignment="1" applyProtection="1">
      <alignment horizontal="center" shrinkToFit="1"/>
      <protection hidden="1"/>
    </xf>
    <xf numFmtId="0" fontId="131" fillId="38" borderId="0" xfId="0" applyFont="1" applyFill="1" applyAlignment="1" applyProtection="1">
      <alignment vertical="center"/>
      <protection hidden="1"/>
    </xf>
    <xf numFmtId="0" fontId="119" fillId="38" borderId="0" xfId="0" applyFont="1" applyFill="1" applyAlignment="1" applyProtection="1">
      <alignment horizontal="center" vertical="center" shrinkToFit="1"/>
      <protection hidden="1"/>
    </xf>
    <xf numFmtId="0" fontId="119" fillId="38" borderId="0" xfId="0" applyFont="1" applyFill="1" applyAlignment="1" applyProtection="1">
      <alignment horizontal="center" vertical="center"/>
      <protection hidden="1"/>
    </xf>
    <xf numFmtId="165" fontId="119" fillId="38" borderId="0" xfId="0" applyNumberFormat="1" applyFont="1" applyFill="1" applyAlignment="1" applyProtection="1">
      <alignment horizontal="center" vertical="center"/>
      <protection hidden="1"/>
    </xf>
    <xf numFmtId="1" fontId="119" fillId="38" borderId="0" xfId="0" applyNumberFormat="1" applyFont="1" applyFill="1" applyAlignment="1" applyProtection="1">
      <alignment horizontal="center"/>
      <protection hidden="1"/>
    </xf>
    <xf numFmtId="0" fontId="124" fillId="38" borderId="0" xfId="0" applyFont="1" applyFill="1" applyAlignment="1" applyProtection="1">
      <alignment horizontal="center" vertical="center"/>
      <protection hidden="1"/>
    </xf>
    <xf numFmtId="0" fontId="119" fillId="38" borderId="0" xfId="0" applyFont="1" applyFill="1" applyAlignment="1" applyProtection="1">
      <alignment shrinkToFit="1" readingOrder="1"/>
      <protection hidden="1"/>
    </xf>
    <xf numFmtId="0" fontId="119" fillId="38" borderId="0" xfId="0" applyFont="1" applyFill="1" applyAlignment="1" applyProtection="1">
      <alignment shrinkToFit="1"/>
      <protection hidden="1"/>
    </xf>
    <xf numFmtId="0" fontId="119" fillId="38" borderId="0" xfId="0" applyFont="1" applyFill="1" applyProtection="1">
      <protection hidden="1"/>
    </xf>
    <xf numFmtId="0" fontId="124" fillId="38" borderId="0" xfId="0" applyFont="1" applyFill="1" applyAlignment="1" applyProtection="1">
      <alignment horizontal="center"/>
      <protection hidden="1"/>
    </xf>
    <xf numFmtId="1" fontId="119" fillId="38" borderId="0" xfId="0" applyNumberFormat="1" applyFont="1" applyFill="1" applyProtection="1">
      <protection hidden="1"/>
    </xf>
    <xf numFmtId="1" fontId="119" fillId="38" borderId="0" xfId="0" applyNumberFormat="1" applyFont="1" applyFill="1" applyAlignment="1" applyProtection="1">
      <alignment shrinkToFit="1"/>
      <protection hidden="1"/>
    </xf>
    <xf numFmtId="0" fontId="135" fillId="38" borderId="0" xfId="0" applyFont="1" applyFill="1" applyAlignment="1" applyProtection="1">
      <alignment horizontal="left" vertical="center"/>
      <protection hidden="1"/>
    </xf>
    <xf numFmtId="0" fontId="119" fillId="38" borderId="0" xfId="0" applyFont="1" applyFill="1" applyAlignment="1" applyProtection="1">
      <alignment horizontal="center"/>
      <protection hidden="1"/>
    </xf>
    <xf numFmtId="0" fontId="131" fillId="38" borderId="0" xfId="0" applyFont="1" applyFill="1" applyProtection="1">
      <protection hidden="1"/>
    </xf>
    <xf numFmtId="0" fontId="135" fillId="38" borderId="0" xfId="0" applyFont="1" applyFill="1" applyProtection="1">
      <protection hidden="1"/>
    </xf>
    <xf numFmtId="0" fontId="120" fillId="46" borderId="0" xfId="0" applyFont="1" applyFill="1" applyAlignment="1" applyProtection="1">
      <alignment horizontal="left"/>
      <protection hidden="1"/>
    </xf>
    <xf numFmtId="0" fontId="119" fillId="46" borderId="0" xfId="0" applyFont="1" applyFill="1" applyProtection="1">
      <protection hidden="1"/>
    </xf>
    <xf numFmtId="0" fontId="119" fillId="46" borderId="0" xfId="0" applyFont="1" applyFill="1" applyAlignment="1" applyProtection="1">
      <alignment horizontal="center" vertical="center" shrinkToFit="1"/>
      <protection hidden="1"/>
    </xf>
    <xf numFmtId="0" fontId="138" fillId="38" borderId="0" xfId="0" applyFont="1" applyFill="1" applyAlignment="1" applyProtection="1">
      <alignment vertical="center"/>
      <protection hidden="1"/>
    </xf>
    <xf numFmtId="0" fontId="128" fillId="38" borderId="0" xfId="0" applyFont="1" applyFill="1" applyAlignment="1" applyProtection="1">
      <alignment horizontal="center" vertical="center" shrinkToFit="1"/>
      <protection hidden="1"/>
    </xf>
    <xf numFmtId="0" fontId="128" fillId="38" borderId="0" xfId="0" applyFont="1" applyFill="1" applyProtection="1">
      <protection hidden="1"/>
    </xf>
    <xf numFmtId="0" fontId="139" fillId="38" borderId="0" xfId="0" applyFont="1" applyFill="1" applyAlignment="1" applyProtection="1">
      <alignment horizontal="center"/>
      <protection hidden="1"/>
    </xf>
    <xf numFmtId="14" fontId="128" fillId="38" borderId="0" xfId="0" applyNumberFormat="1" applyFont="1" applyFill="1" applyAlignment="1" applyProtection="1">
      <alignment horizontal="center" shrinkToFit="1"/>
      <protection hidden="1"/>
    </xf>
    <xf numFmtId="0" fontId="128" fillId="38" borderId="0" xfId="0" applyFont="1" applyFill="1" applyAlignment="1" applyProtection="1">
      <alignment horizontal="center"/>
      <protection hidden="1"/>
    </xf>
    <xf numFmtId="49" fontId="119" fillId="38" borderId="0" xfId="0" applyNumberFormat="1" applyFont="1" applyFill="1" applyAlignment="1" applyProtection="1">
      <alignment horizontal="center" shrinkToFit="1"/>
      <protection hidden="1"/>
    </xf>
    <xf numFmtId="165" fontId="119" fillId="38" borderId="0" xfId="0" applyNumberFormat="1" applyFont="1" applyFill="1" applyAlignment="1" applyProtection="1">
      <alignment horizontal="center"/>
      <protection hidden="1"/>
    </xf>
    <xf numFmtId="0" fontId="140" fillId="38" borderId="0" xfId="0" applyFont="1" applyFill="1" applyProtection="1">
      <protection hidden="1"/>
    </xf>
    <xf numFmtId="0" fontId="141" fillId="38" borderId="0" xfId="0" applyFont="1" applyFill="1" applyAlignment="1" applyProtection="1">
      <alignment horizontal="right"/>
      <protection hidden="1"/>
    </xf>
    <xf numFmtId="0" fontId="119" fillId="38" borderId="0" xfId="0" applyFont="1" applyFill="1" applyAlignment="1" applyProtection="1">
      <alignment horizontal="right"/>
      <protection hidden="1"/>
    </xf>
    <xf numFmtId="0" fontId="69" fillId="38" borderId="0" xfId="0" applyFont="1" applyFill="1" applyAlignment="1" applyProtection="1">
      <alignment horizontal="left"/>
      <protection hidden="1"/>
    </xf>
    <xf numFmtId="0" fontId="59" fillId="38" borderId="0" xfId="0" applyFont="1" applyFill="1" applyAlignment="1" applyProtection="1">
      <alignment horizontal="center" shrinkToFit="1"/>
      <protection hidden="1"/>
    </xf>
    <xf numFmtId="0" fontId="49" fillId="38" borderId="0" xfId="0" applyFont="1" applyFill="1" applyAlignment="1" applyProtection="1">
      <alignment horizontal="center"/>
      <protection hidden="1"/>
    </xf>
    <xf numFmtId="165" fontId="44" fillId="38" borderId="0" xfId="0" applyNumberFormat="1" applyFont="1" applyFill="1" applyAlignment="1" applyProtection="1">
      <alignment horizontal="center"/>
      <protection hidden="1"/>
    </xf>
    <xf numFmtId="0" fontId="119" fillId="38" borderId="0" xfId="0" applyFont="1" applyFill="1" applyAlignment="1" applyProtection="1">
      <alignment horizontal="center" shrinkToFit="1"/>
      <protection hidden="1"/>
    </xf>
    <xf numFmtId="14" fontId="120" fillId="38" borderId="0" xfId="0" applyNumberFormat="1" applyFont="1" applyFill="1" applyAlignment="1" applyProtection="1">
      <alignment horizontal="center" shrinkToFit="1"/>
      <protection hidden="1"/>
    </xf>
    <xf numFmtId="49" fontId="120" fillId="38" borderId="0" xfId="0" applyNumberFormat="1" applyFont="1" applyFill="1" applyAlignment="1" applyProtection="1">
      <alignment horizontal="center" shrinkToFit="1"/>
      <protection hidden="1"/>
    </xf>
    <xf numFmtId="0" fontId="120" fillId="38" borderId="0" xfId="0" applyFont="1" applyFill="1" applyAlignment="1" applyProtection="1">
      <alignment horizontal="center"/>
      <protection hidden="1"/>
    </xf>
    <xf numFmtId="0" fontId="142" fillId="38" borderId="0" xfId="0" applyFont="1" applyFill="1" applyAlignment="1" applyProtection="1">
      <alignment horizontal="left"/>
      <protection hidden="1"/>
    </xf>
    <xf numFmtId="0" fontId="129" fillId="38" borderId="0" xfId="0" applyFont="1" applyFill="1" applyProtection="1">
      <protection hidden="1"/>
    </xf>
    <xf numFmtId="165" fontId="143" fillId="38" borderId="0" xfId="0" applyNumberFormat="1" applyFont="1" applyFill="1" applyAlignment="1" applyProtection="1">
      <alignment horizontal="left" vertical="center"/>
      <protection hidden="1"/>
    </xf>
    <xf numFmtId="0" fontId="120" fillId="38" borderId="0" xfId="0" applyFont="1" applyFill="1" applyAlignment="1" applyProtection="1">
      <alignment horizontal="left" vertical="center"/>
      <protection hidden="1"/>
    </xf>
    <xf numFmtId="1" fontId="120" fillId="38" borderId="0" xfId="0" applyNumberFormat="1" applyFont="1" applyFill="1" applyAlignment="1" applyProtection="1">
      <alignment horizontal="center" vertical="center"/>
      <protection hidden="1"/>
    </xf>
    <xf numFmtId="1" fontId="125" fillId="38" borderId="16" xfId="0" applyNumberFormat="1" applyFont="1" applyFill="1" applyBorder="1" applyAlignment="1" applyProtection="1">
      <alignment horizontal="center" vertical="center"/>
      <protection hidden="1"/>
    </xf>
    <xf numFmtId="0" fontId="120" fillId="38" borderId="0" xfId="0" applyFont="1" applyFill="1" applyAlignment="1" applyProtection="1">
      <alignment shrinkToFit="1"/>
      <protection hidden="1"/>
    </xf>
    <xf numFmtId="3" fontId="53" fillId="21" borderId="149" xfId="0" applyNumberFormat="1" applyFont="1" applyFill="1" applyBorder="1" applyAlignment="1" applyProtection="1">
      <alignment shrinkToFit="1"/>
      <protection hidden="1"/>
    </xf>
    <xf numFmtId="0" fontId="15" fillId="21" borderId="146" xfId="0" applyFont="1" applyFill="1" applyBorder="1" applyAlignment="1" applyProtection="1">
      <alignment vertical="center" shrinkToFit="1"/>
      <protection hidden="1"/>
    </xf>
    <xf numFmtId="0" fontId="15" fillId="21" borderId="176" xfId="0" applyFont="1" applyFill="1" applyBorder="1" applyAlignment="1" applyProtection="1">
      <alignment vertical="center" shrinkToFit="1"/>
      <protection hidden="1"/>
    </xf>
    <xf numFmtId="0" fontId="129" fillId="38" borderId="177" xfId="0" applyFont="1" applyFill="1" applyBorder="1" applyAlignment="1" applyProtection="1">
      <alignment horizontal="center" shrinkToFit="1"/>
      <protection hidden="1"/>
    </xf>
    <xf numFmtId="0" fontId="129" fillId="38" borderId="178" xfId="0" applyFont="1" applyFill="1" applyBorder="1" applyAlignment="1" applyProtection="1">
      <alignment horizontal="center" shrinkToFit="1"/>
      <protection hidden="1"/>
    </xf>
    <xf numFmtId="0" fontId="129" fillId="38" borderId="179" xfId="0" applyFont="1" applyFill="1" applyBorder="1" applyAlignment="1" applyProtection="1">
      <alignment horizontal="center" shrinkToFit="1"/>
      <protection hidden="1"/>
    </xf>
    <xf numFmtId="0" fontId="129" fillId="38" borderId="180" xfId="0" applyFont="1" applyFill="1" applyBorder="1" applyAlignment="1" applyProtection="1">
      <alignment horizontal="center" shrinkToFit="1"/>
      <protection hidden="1"/>
    </xf>
    <xf numFmtId="3" fontId="145" fillId="38" borderId="149" xfId="0" applyNumberFormat="1" applyFont="1" applyFill="1" applyBorder="1" applyAlignment="1" applyProtection="1">
      <alignment horizontal="center" shrinkToFit="1"/>
      <protection hidden="1"/>
    </xf>
    <xf numFmtId="4" fontId="145" fillId="38" borderId="149" xfId="0" applyNumberFormat="1" applyFont="1" applyFill="1" applyBorder="1" applyAlignment="1" applyProtection="1">
      <alignment horizontal="center" shrinkToFit="1"/>
      <protection hidden="1"/>
    </xf>
    <xf numFmtId="173" fontId="145" fillId="38" borderId="149" xfId="0" applyNumberFormat="1" applyFont="1" applyFill="1" applyBorder="1" applyAlignment="1" applyProtection="1">
      <alignment horizontal="center" shrinkToFit="1"/>
      <protection hidden="1"/>
    </xf>
    <xf numFmtId="4" fontId="145" fillId="38" borderId="173" xfId="0" applyNumberFormat="1" applyFont="1" applyFill="1" applyBorder="1" applyAlignment="1" applyProtection="1">
      <alignment horizontal="center" shrinkToFit="1"/>
      <protection hidden="1"/>
    </xf>
    <xf numFmtId="49" fontId="12" fillId="41" borderId="165" xfId="1713" quotePrefix="1" applyNumberFormat="1" applyFont="1" applyFill="1" applyBorder="1" applyAlignment="1">
      <alignment horizontal="center" shrinkToFit="1"/>
    </xf>
    <xf numFmtId="0" fontId="12" fillId="50" borderId="140" xfId="1713" applyFont="1" applyFill="1" applyBorder="1" applyAlignment="1">
      <alignment horizontal="center" shrinkToFit="1"/>
    </xf>
    <xf numFmtId="0" fontId="12" fillId="51" borderId="155" xfId="1713" applyFont="1" applyFill="1" applyBorder="1" applyAlignment="1">
      <alignment horizontal="center" shrinkToFit="1"/>
    </xf>
    <xf numFmtId="0" fontId="110" fillId="52" borderId="160" xfId="0" applyFont="1" applyFill="1" applyBorder="1" applyAlignment="1" applyProtection="1">
      <alignment horizontal="center" vertical="center" shrinkToFit="1"/>
      <protection hidden="1"/>
    </xf>
    <xf numFmtId="0" fontId="117" fillId="52" borderId="160" xfId="0" applyFont="1" applyFill="1" applyBorder="1" applyAlignment="1" applyProtection="1">
      <alignment horizontal="center" vertical="center" shrinkToFit="1"/>
      <protection hidden="1"/>
    </xf>
    <xf numFmtId="0" fontId="110" fillId="52" borderId="139" xfId="0" applyFont="1" applyFill="1" applyBorder="1" applyAlignment="1" applyProtection="1">
      <alignment horizontal="center" vertical="center" shrinkToFit="1"/>
      <protection hidden="1"/>
    </xf>
    <xf numFmtId="0" fontId="117" fillId="52" borderId="139" xfId="0" applyFont="1" applyFill="1" applyBorder="1" applyAlignment="1" applyProtection="1">
      <alignment horizontal="center" vertical="center" shrinkToFit="1"/>
      <protection hidden="1"/>
    </xf>
    <xf numFmtId="0" fontId="117" fillId="52" borderId="143" xfId="0" applyFont="1" applyFill="1" applyBorder="1" applyAlignment="1" applyProtection="1">
      <alignment horizontal="center" vertical="center" shrinkToFit="1"/>
      <protection hidden="1"/>
    </xf>
    <xf numFmtId="0" fontId="117" fillId="52" borderId="143" xfId="0" applyFont="1" applyFill="1" applyBorder="1" applyAlignment="1" applyProtection="1">
      <alignment horizontal="left" vertical="center" shrinkToFit="1"/>
      <protection hidden="1"/>
    </xf>
    <xf numFmtId="0" fontId="117" fillId="52" borderId="149" xfId="0" applyFont="1" applyFill="1" applyBorder="1" applyAlignment="1" applyProtection="1">
      <alignment horizontal="center" vertical="center" shrinkToFit="1"/>
      <protection hidden="1"/>
    </xf>
    <xf numFmtId="0" fontId="117" fillId="52" borderId="146" xfId="0" applyFont="1" applyFill="1" applyBorder="1" applyAlignment="1" applyProtection="1">
      <alignment vertical="center" shrinkToFit="1"/>
      <protection hidden="1"/>
    </xf>
    <xf numFmtId="14" fontId="117" fillId="52" borderId="150" xfId="0" applyNumberFormat="1" applyFont="1" applyFill="1" applyBorder="1" applyAlignment="1" applyProtection="1">
      <alignment horizontal="center" vertical="center" wrapText="1" shrinkToFit="1"/>
      <protection hidden="1"/>
    </xf>
    <xf numFmtId="14" fontId="117" fillId="52" borderId="141" xfId="0" applyNumberFormat="1" applyFont="1" applyFill="1" applyBorder="1" applyAlignment="1" applyProtection="1">
      <alignment horizontal="center" vertical="center" wrapText="1" shrinkToFit="1"/>
      <protection hidden="1"/>
    </xf>
    <xf numFmtId="14" fontId="117" fillId="52" borderId="144" xfId="0" applyNumberFormat="1" applyFont="1" applyFill="1" applyBorder="1" applyAlignment="1" applyProtection="1">
      <alignment horizontal="center" wrapText="1" shrinkToFit="1"/>
      <protection hidden="1"/>
    </xf>
    <xf numFmtId="0" fontId="117" fillId="52" borderId="200" xfId="0" applyFont="1" applyFill="1" applyBorder="1" applyAlignment="1" applyProtection="1">
      <alignment horizontal="center" vertical="center" shrinkToFit="1" readingOrder="1"/>
      <protection hidden="1"/>
    </xf>
    <xf numFmtId="0" fontId="117" fillId="52" borderId="201" xfId="0" applyFont="1" applyFill="1" applyBorder="1" applyAlignment="1" applyProtection="1">
      <alignment vertical="center" shrinkToFit="1"/>
      <protection hidden="1"/>
    </xf>
    <xf numFmtId="0" fontId="151" fillId="54" borderId="157" xfId="0" applyFont="1" applyFill="1" applyBorder="1" applyAlignment="1" applyProtection="1">
      <alignment horizontal="center" vertical="center" shrinkToFit="1"/>
      <protection hidden="1"/>
    </xf>
    <xf numFmtId="1" fontId="152" fillId="54" borderId="157" xfId="0" applyNumberFormat="1" applyFont="1" applyFill="1" applyBorder="1" applyAlignment="1" applyProtection="1">
      <alignment horizontal="center" vertical="center"/>
      <protection hidden="1"/>
    </xf>
    <xf numFmtId="3" fontId="145" fillId="38" borderId="172" xfId="0" applyNumberFormat="1" applyFont="1" applyFill="1" applyBorder="1" applyAlignment="1" applyProtection="1">
      <alignment horizontal="center" shrinkToFit="1"/>
      <protection hidden="1"/>
    </xf>
    <xf numFmtId="0" fontId="126" fillId="38" borderId="0" xfId="0" applyFont="1" applyFill="1" applyAlignment="1" applyProtection="1">
      <alignment horizontal="left"/>
      <protection hidden="1"/>
    </xf>
    <xf numFmtId="0" fontId="154" fillId="55" borderId="166" xfId="0" applyFont="1" applyFill="1" applyBorder="1" applyAlignment="1">
      <alignment horizontal="left" vertical="center"/>
    </xf>
    <xf numFmtId="0" fontId="135" fillId="55" borderId="166" xfId="0" applyFont="1" applyFill="1" applyBorder="1" applyAlignment="1">
      <alignment horizontal="left" vertical="center"/>
    </xf>
    <xf numFmtId="0" fontId="149" fillId="55" borderId="166" xfId="0" quotePrefix="1" applyFont="1" applyFill="1" applyBorder="1" applyAlignment="1">
      <alignment horizontal="left" vertical="center"/>
    </xf>
    <xf numFmtId="14" fontId="135" fillId="55" borderId="166" xfId="0" applyNumberFormat="1" applyFont="1" applyFill="1" applyBorder="1" applyAlignment="1">
      <alignment horizontal="left" vertical="center"/>
    </xf>
    <xf numFmtId="0" fontId="117" fillId="52" borderId="151" xfId="0" applyFont="1" applyFill="1" applyBorder="1" applyAlignment="1" applyProtection="1">
      <alignment horizontal="center" vertical="center" shrinkToFit="1"/>
      <protection hidden="1"/>
    </xf>
    <xf numFmtId="0" fontId="117" fillId="52" borderId="146" xfId="0" applyFont="1" applyFill="1" applyBorder="1" applyAlignment="1" applyProtection="1">
      <alignment horizontal="center" vertical="center" shrinkToFit="1"/>
      <protection hidden="1"/>
    </xf>
    <xf numFmtId="0" fontId="108" fillId="52" borderId="146" xfId="0" applyFont="1" applyFill="1" applyBorder="1" applyAlignment="1" applyProtection="1">
      <alignment horizontal="left" shrinkToFit="1"/>
      <protection hidden="1"/>
    </xf>
    <xf numFmtId="1" fontId="117" fillId="52" borderId="151" xfId="0" applyNumberFormat="1" applyFont="1" applyFill="1" applyBorder="1" applyAlignment="1" applyProtection="1">
      <alignment horizontal="center" vertical="center" shrinkToFit="1"/>
      <protection hidden="1"/>
    </xf>
    <xf numFmtId="0" fontId="117" fillId="52" borderId="148" xfId="0" applyFont="1" applyFill="1" applyBorder="1" applyAlignment="1" applyProtection="1">
      <alignment vertical="center" shrinkToFit="1"/>
      <protection hidden="1"/>
    </xf>
    <xf numFmtId="0" fontId="155" fillId="54" borderId="150" xfId="0" applyFont="1" applyFill="1" applyBorder="1" applyAlignment="1" applyProtection="1">
      <alignment horizontal="center" vertical="center" shrinkToFit="1"/>
      <protection hidden="1"/>
    </xf>
    <xf numFmtId="0" fontId="155" fillId="54" borderId="144" xfId="0" applyFont="1" applyFill="1" applyBorder="1" applyAlignment="1" applyProtection="1">
      <alignment horizontal="center" vertical="center" shrinkToFit="1"/>
      <protection hidden="1"/>
    </xf>
    <xf numFmtId="49" fontId="12" fillId="42" borderId="142" xfId="1713" quotePrefix="1" applyNumberFormat="1" applyFont="1" applyFill="1" applyBorder="1" applyAlignment="1">
      <alignment horizontal="center" shrinkToFit="1"/>
    </xf>
    <xf numFmtId="49" fontId="12" fillId="42" borderId="142" xfId="1713" applyNumberFormat="1" applyFont="1" applyFill="1" applyBorder="1" applyAlignment="1">
      <alignment horizontal="center" shrinkToFit="1"/>
    </xf>
    <xf numFmtId="1" fontId="12" fillId="42" borderId="145" xfId="0" applyNumberFormat="1" applyFont="1" applyFill="1" applyBorder="1" applyAlignment="1">
      <alignment horizontal="center"/>
    </xf>
    <xf numFmtId="2" fontId="133" fillId="41" borderId="140" xfId="0" applyNumberFormat="1" applyFont="1" applyFill="1" applyBorder="1" applyAlignment="1">
      <alignment horizontal="center" vertical="center" shrinkToFit="1"/>
    </xf>
    <xf numFmtId="2" fontId="107" fillId="42" borderId="140" xfId="0" applyNumberFormat="1" applyFont="1" applyFill="1" applyBorder="1" applyAlignment="1">
      <alignment horizontal="center" vertical="center" shrinkToFit="1"/>
    </xf>
    <xf numFmtId="2" fontId="133" fillId="41" borderId="203" xfId="0" applyNumberFormat="1" applyFont="1" applyFill="1" applyBorder="1" applyAlignment="1">
      <alignment horizontal="center" vertical="center" shrinkToFit="1"/>
    </xf>
    <xf numFmtId="1" fontId="71" fillId="41" borderId="145" xfId="0" applyNumberFormat="1" applyFont="1" applyFill="1" applyBorder="1" applyAlignment="1">
      <alignment horizontal="center" vertical="center" shrinkToFit="1"/>
    </xf>
    <xf numFmtId="1" fontId="71" fillId="42" borderId="145" xfId="0" applyNumberFormat="1" applyFont="1" applyFill="1" applyBorder="1" applyAlignment="1">
      <alignment horizontal="center" vertical="center" shrinkToFit="1"/>
    </xf>
    <xf numFmtId="1" fontId="71" fillId="41" borderId="204" xfId="0" applyNumberFormat="1" applyFont="1" applyFill="1" applyBorder="1" applyAlignment="1">
      <alignment horizontal="center" vertical="center" shrinkToFit="1"/>
    </xf>
    <xf numFmtId="1" fontId="12" fillId="41" borderId="205" xfId="0" applyNumberFormat="1" applyFont="1" applyFill="1" applyBorder="1" applyAlignment="1">
      <alignment horizontal="center" vertical="center" shrinkToFit="1"/>
    </xf>
    <xf numFmtId="1" fontId="12" fillId="42" borderId="205" xfId="0" applyNumberFormat="1" applyFont="1" applyFill="1" applyBorder="1" applyAlignment="1">
      <alignment horizontal="center" vertical="center" shrinkToFit="1"/>
    </xf>
    <xf numFmtId="1" fontId="12" fillId="41" borderId="206" xfId="0" applyNumberFormat="1" applyFont="1" applyFill="1" applyBorder="1" applyAlignment="1">
      <alignment horizontal="center" vertical="center" shrinkToFit="1"/>
    </xf>
    <xf numFmtId="0" fontId="59" fillId="38" borderId="105" xfId="0" applyFont="1" applyFill="1" applyBorder="1" applyAlignment="1" applyProtection="1">
      <alignment horizontal="center" vertical="center" shrinkToFit="1"/>
      <protection hidden="1"/>
    </xf>
    <xf numFmtId="1" fontId="95" fillId="56" borderId="104" xfId="0" applyNumberFormat="1" applyFont="1" applyFill="1" applyBorder="1" applyAlignment="1">
      <alignment horizontal="center" vertical="center" shrinkToFit="1"/>
    </xf>
    <xf numFmtId="0" fontId="0" fillId="38" borderId="111" xfId="0" applyFill="1" applyBorder="1"/>
    <xf numFmtId="172" fontId="12" fillId="38" borderId="111" xfId="0" applyNumberFormat="1" applyFont="1" applyFill="1" applyBorder="1" applyAlignment="1">
      <alignment vertical="center" shrinkToFit="1"/>
    </xf>
    <xf numFmtId="9" fontId="60" fillId="38" borderId="111" xfId="0" applyNumberFormat="1" applyFont="1" applyFill="1" applyBorder="1" applyAlignment="1">
      <alignment horizontal="center" vertical="center"/>
    </xf>
    <xf numFmtId="0" fontId="111" fillId="38" borderId="0" xfId="0" applyFont="1" applyFill="1" applyAlignment="1" applyProtection="1">
      <alignment horizontal="left" shrinkToFit="1"/>
      <protection hidden="1"/>
    </xf>
    <xf numFmtId="0" fontId="157" fillId="38" borderId="0" xfId="0" applyFont="1" applyFill="1" applyAlignment="1" applyProtection="1">
      <alignment horizontal="left" vertical="center"/>
      <protection hidden="1"/>
    </xf>
    <xf numFmtId="4" fontId="146" fillId="44" borderId="150" xfId="0" applyNumberFormat="1" applyFont="1" applyFill="1" applyBorder="1" applyAlignment="1" applyProtection="1">
      <alignment horizontal="center" shrinkToFit="1"/>
      <protection hidden="1"/>
    </xf>
    <xf numFmtId="4" fontId="146" fillId="45" borderId="150" xfId="0" applyNumberFormat="1" applyFont="1" applyFill="1" applyBorder="1" applyAlignment="1" applyProtection="1">
      <alignment horizontal="center" shrinkToFit="1"/>
      <protection hidden="1"/>
    </xf>
    <xf numFmtId="0" fontId="73" fillId="0" borderId="124" xfId="0" applyFont="1" applyBorder="1" applyAlignment="1">
      <alignment shrinkToFit="1"/>
    </xf>
    <xf numFmtId="0" fontId="158" fillId="38" borderId="0" xfId="150" applyFont="1" applyFill="1" applyBorder="1" applyAlignment="1" applyProtection="1">
      <alignment horizontal="center" wrapText="1"/>
      <protection hidden="1"/>
    </xf>
    <xf numFmtId="0" fontId="132" fillId="38" borderId="150" xfId="0" applyFont="1" applyFill="1" applyBorder="1" applyAlignment="1" applyProtection="1">
      <alignment horizontal="center" vertical="center" shrinkToFit="1"/>
      <protection hidden="1"/>
    </xf>
    <xf numFmtId="0" fontId="132" fillId="38" borderId="144" xfId="0" applyFont="1" applyFill="1" applyBorder="1" applyAlignment="1" applyProtection="1">
      <alignment horizontal="center" vertical="center" shrinkToFit="1"/>
      <protection hidden="1"/>
    </xf>
    <xf numFmtId="0" fontId="129" fillId="38" borderId="154" xfId="0" applyFont="1" applyFill="1" applyBorder="1" applyAlignment="1" applyProtection="1">
      <alignment horizontal="center" vertical="center" wrapText="1" shrinkToFit="1"/>
      <protection hidden="1"/>
    </xf>
    <xf numFmtId="0" fontId="128" fillId="38" borderId="0" xfId="0" applyFont="1" applyFill="1" applyAlignment="1" applyProtection="1">
      <alignment shrinkToFit="1"/>
      <protection hidden="1"/>
    </xf>
    <xf numFmtId="0" fontId="113" fillId="42" borderId="140" xfId="150" applyFont="1" applyFill="1" applyBorder="1" applyAlignment="1" applyProtection="1">
      <alignment horizontal="center" shrinkToFit="1"/>
    </xf>
    <xf numFmtId="0" fontId="43" fillId="0" borderId="1" xfId="1713" applyFont="1" applyBorder="1" applyAlignment="1">
      <alignment horizontal="center" shrinkToFit="1"/>
    </xf>
    <xf numFmtId="1" fontId="12" fillId="7" borderId="106" xfId="0" applyNumberFormat="1" applyFont="1" applyFill="1" applyBorder="1" applyAlignment="1">
      <alignment horizontal="center" vertical="center" shrinkToFit="1"/>
    </xf>
    <xf numFmtId="1" fontId="12" fillId="3" borderId="106" xfId="0" applyNumberFormat="1" applyFont="1" applyFill="1" applyBorder="1" applyAlignment="1">
      <alignment horizontal="center" vertical="center" shrinkToFit="1"/>
    </xf>
    <xf numFmtId="0" fontId="61" fillId="38" borderId="0" xfId="0" applyFont="1" applyFill="1"/>
    <xf numFmtId="0" fontId="93" fillId="46" borderId="0" xfId="0" applyFont="1" applyFill="1" applyAlignment="1">
      <alignment vertical="center" shrinkToFit="1"/>
    </xf>
    <xf numFmtId="0" fontId="0" fillId="38" borderId="207" xfId="0" applyFill="1" applyBorder="1" applyProtection="1">
      <protection hidden="1"/>
    </xf>
    <xf numFmtId="0" fontId="12" fillId="0" borderId="0" xfId="0" applyFont="1" applyAlignment="1">
      <alignment horizontal="left" shrinkToFit="1"/>
    </xf>
    <xf numFmtId="0" fontId="12" fillId="0" borderId="0" xfId="0" applyFont="1" applyAlignment="1">
      <alignment horizontal="center" vertical="center" shrinkToFit="1"/>
    </xf>
    <xf numFmtId="0" fontId="70" fillId="0" borderId="0" xfId="0" applyFont="1"/>
    <xf numFmtId="0" fontId="12" fillId="0" borderId="0" xfId="0" applyFont="1" applyAlignment="1">
      <alignment horizontal="center" vertical="center" wrapText="1" shrinkToFit="1"/>
    </xf>
    <xf numFmtId="0" fontId="79" fillId="0" borderId="0" xfId="0" applyFont="1" applyAlignment="1">
      <alignment horizontal="center"/>
    </xf>
    <xf numFmtId="0" fontId="12" fillId="0" borderId="0" xfId="0" applyFont="1" applyAlignment="1">
      <alignment horizontal="center" shrinkToFit="1"/>
    </xf>
    <xf numFmtId="0" fontId="12" fillId="0" borderId="0" xfId="0" applyFont="1" applyAlignment="1">
      <alignment horizontal="left"/>
    </xf>
    <xf numFmtId="0" fontId="159" fillId="38" borderId="0" xfId="0" applyFont="1" applyFill="1" applyAlignment="1" applyProtection="1">
      <alignment horizontal="center"/>
      <protection hidden="1"/>
    </xf>
    <xf numFmtId="0" fontId="0" fillId="0" borderId="208" xfId="0" applyBorder="1"/>
    <xf numFmtId="0" fontId="0" fillId="0" borderId="209" xfId="0" quotePrefix="1" applyBorder="1"/>
    <xf numFmtId="0" fontId="10" fillId="42" borderId="140" xfId="150" applyFont="1" applyFill="1" applyBorder="1" applyAlignment="1" applyProtection="1">
      <alignment horizontal="center" shrinkToFit="1"/>
    </xf>
    <xf numFmtId="0" fontId="10" fillId="41" borderId="155" xfId="150" applyFont="1" applyFill="1" applyBorder="1" applyAlignment="1" applyProtection="1">
      <alignment horizontal="center" shrinkToFit="1"/>
    </xf>
    <xf numFmtId="0" fontId="73" fillId="0" borderId="210" xfId="0" applyFont="1" applyBorder="1" applyAlignment="1">
      <alignment shrinkToFit="1"/>
    </xf>
    <xf numFmtId="0" fontId="160" fillId="0" borderId="0" xfId="0" applyFont="1"/>
    <xf numFmtId="0" fontId="108" fillId="38" borderId="0" xfId="0" applyFont="1" applyFill="1" applyAlignment="1" applyProtection="1">
      <alignment horizontal="center" shrinkToFit="1"/>
      <protection hidden="1"/>
    </xf>
    <xf numFmtId="0" fontId="131" fillId="38" borderId="0" xfId="1713" applyFont="1" applyFill="1" applyAlignment="1" applyProtection="1">
      <alignment horizontal="left" vertical="center" shrinkToFit="1"/>
      <protection hidden="1"/>
    </xf>
    <xf numFmtId="0" fontId="118" fillId="46" borderId="152" xfId="0" applyFont="1" applyFill="1" applyBorder="1" applyAlignment="1" applyProtection="1">
      <alignment horizontal="right" vertical="center" shrinkToFit="1"/>
      <protection hidden="1"/>
    </xf>
    <xf numFmtId="0" fontId="130" fillId="38" borderId="149" xfId="0" applyFont="1" applyFill="1" applyBorder="1" applyAlignment="1" applyProtection="1">
      <alignment horizontal="center" vertical="center" textRotation="90" wrapText="1" shrinkToFit="1"/>
      <protection hidden="1"/>
    </xf>
    <xf numFmtId="0" fontId="130" fillId="38" borderId="146" xfId="0" applyFont="1" applyFill="1" applyBorder="1" applyAlignment="1" applyProtection="1">
      <alignment horizontal="center" vertical="center" textRotation="90" wrapText="1" shrinkToFit="1"/>
      <protection hidden="1"/>
    </xf>
    <xf numFmtId="0" fontId="129" fillId="38" borderId="150" xfId="0" applyFont="1" applyFill="1" applyBorder="1" applyAlignment="1" applyProtection="1">
      <alignment horizontal="center" vertical="center" wrapText="1" shrinkToFit="1"/>
      <protection hidden="1"/>
    </xf>
    <xf numFmtId="0" fontId="129" fillId="38" borderId="144" xfId="0" applyFont="1" applyFill="1" applyBorder="1" applyAlignment="1" applyProtection="1">
      <alignment horizontal="center" vertical="center" wrapText="1" shrinkToFit="1"/>
      <protection hidden="1"/>
    </xf>
    <xf numFmtId="0" fontId="129" fillId="38" borderId="150" xfId="0" applyFont="1" applyFill="1" applyBorder="1" applyAlignment="1" applyProtection="1">
      <alignment horizontal="center" vertical="center" shrinkToFit="1"/>
      <protection hidden="1"/>
    </xf>
    <xf numFmtId="0" fontId="129" fillId="38" borderId="144" xfId="0" applyFont="1" applyFill="1" applyBorder="1" applyAlignment="1" applyProtection="1">
      <alignment horizontal="center" vertical="center" shrinkToFit="1"/>
      <protection hidden="1"/>
    </xf>
    <xf numFmtId="0" fontId="118" fillId="46" borderId="152" xfId="0" applyFont="1" applyFill="1" applyBorder="1" applyAlignment="1" applyProtection="1">
      <alignment horizontal="center" vertical="center" shrinkToFit="1"/>
      <protection hidden="1"/>
    </xf>
    <xf numFmtId="0" fontId="118" fillId="46" borderId="0" xfId="0" applyFont="1" applyFill="1" applyAlignment="1" applyProtection="1">
      <alignment horizontal="center" vertical="center" shrinkToFit="1"/>
      <protection hidden="1"/>
    </xf>
    <xf numFmtId="0" fontId="129" fillId="38" borderId="139" xfId="0" applyFont="1" applyFill="1" applyBorder="1" applyAlignment="1" applyProtection="1">
      <alignment horizontal="center" vertical="center" shrinkToFit="1"/>
      <protection hidden="1"/>
    </xf>
    <xf numFmtId="0" fontId="129" fillId="38" borderId="143" xfId="0" applyFont="1" applyFill="1" applyBorder="1" applyAlignment="1" applyProtection="1">
      <alignment horizontal="center" vertical="center" shrinkToFit="1"/>
      <protection hidden="1"/>
    </xf>
    <xf numFmtId="0" fontId="114" fillId="38" borderId="0" xfId="0" applyFont="1" applyFill="1" applyAlignment="1" applyProtection="1">
      <alignment horizontal="right" vertical="center" shrinkToFit="1"/>
      <protection hidden="1"/>
    </xf>
    <xf numFmtId="0" fontId="109" fillId="38" borderId="0" xfId="0" applyFont="1" applyFill="1" applyAlignment="1" applyProtection="1">
      <alignment horizontal="right" shrinkToFit="1"/>
      <protection hidden="1"/>
    </xf>
    <xf numFmtId="0" fontId="110" fillId="38" borderId="0" xfId="0" applyFont="1" applyFill="1" applyAlignment="1" applyProtection="1">
      <alignment horizontal="left" vertical="center" shrinkToFit="1"/>
      <protection hidden="1"/>
    </xf>
    <xf numFmtId="165" fontId="112" fillId="38" borderId="0" xfId="0" applyNumberFormat="1" applyFont="1" applyFill="1" applyAlignment="1" applyProtection="1">
      <alignment horizontal="center" vertical="center"/>
      <protection hidden="1"/>
    </xf>
    <xf numFmtId="165" fontId="111" fillId="38" borderId="0" xfId="0" applyNumberFormat="1" applyFont="1" applyFill="1" applyAlignment="1" applyProtection="1">
      <alignment horizontal="center" vertical="center"/>
      <protection hidden="1"/>
    </xf>
    <xf numFmtId="165" fontId="112" fillId="38" borderId="0" xfId="0" applyNumberFormat="1" applyFont="1" applyFill="1" applyAlignment="1" applyProtection="1">
      <alignment horizontal="center" vertical="center" shrinkToFit="1"/>
      <protection hidden="1"/>
    </xf>
    <xf numFmtId="165" fontId="111" fillId="38" borderId="0" xfId="0" applyNumberFormat="1" applyFont="1" applyFill="1" applyAlignment="1" applyProtection="1">
      <alignment horizontal="center" vertical="center" shrinkToFit="1"/>
      <protection hidden="1"/>
    </xf>
    <xf numFmtId="0" fontId="129" fillId="38" borderId="149" xfId="0" applyFont="1" applyFill="1" applyBorder="1" applyAlignment="1" applyProtection="1">
      <alignment horizontal="center" vertical="center" shrinkToFit="1"/>
      <protection hidden="1"/>
    </xf>
    <xf numFmtId="0" fontId="132" fillId="38" borderId="160" xfId="0" applyFont="1" applyFill="1" applyBorder="1" applyAlignment="1" applyProtection="1">
      <alignment horizontal="center" vertical="center" wrapText="1" shrinkToFit="1"/>
      <protection hidden="1"/>
    </xf>
    <xf numFmtId="0" fontId="132" fillId="38" borderId="139" xfId="0" applyFont="1" applyFill="1" applyBorder="1" applyAlignment="1" applyProtection="1">
      <alignment horizontal="center" vertical="center" wrapText="1" shrinkToFit="1"/>
      <protection hidden="1"/>
    </xf>
    <xf numFmtId="0" fontId="132" fillId="38" borderId="143" xfId="0" applyFont="1" applyFill="1" applyBorder="1" applyAlignment="1" applyProtection="1">
      <alignment horizontal="center" vertical="center" wrapText="1" shrinkToFit="1"/>
      <protection hidden="1"/>
    </xf>
    <xf numFmtId="0" fontId="130" fillId="38" borderId="150" xfId="0" applyFont="1" applyFill="1" applyBorder="1" applyAlignment="1" applyProtection="1">
      <alignment horizontal="center" vertical="center" wrapText="1" shrinkToFit="1"/>
      <protection hidden="1"/>
    </xf>
    <xf numFmtId="0" fontId="130" fillId="38" borderId="144" xfId="0" applyFont="1" applyFill="1" applyBorder="1" applyAlignment="1" applyProtection="1">
      <alignment horizontal="center" vertical="center" wrapText="1" shrinkToFit="1"/>
      <protection hidden="1"/>
    </xf>
    <xf numFmtId="0" fontId="150" fillId="53" borderId="149" xfId="0" applyFont="1" applyFill="1" applyBorder="1" applyAlignment="1" applyProtection="1">
      <alignment horizontal="center" vertical="center" shrinkToFit="1"/>
      <protection hidden="1"/>
    </xf>
    <xf numFmtId="0" fontId="150" fillId="53" borderId="146" xfId="0" applyFont="1" applyFill="1" applyBorder="1" applyAlignment="1" applyProtection="1">
      <alignment horizontal="center" vertical="center" shrinkToFit="1"/>
      <protection hidden="1"/>
    </xf>
    <xf numFmtId="0" fontId="102" fillId="38" borderId="0" xfId="0" applyFont="1" applyFill="1" applyAlignment="1" applyProtection="1">
      <alignment horizontal="center" vertical="center" shrinkToFit="1"/>
      <protection hidden="1"/>
    </xf>
    <xf numFmtId="0" fontId="135" fillId="38" borderId="0" xfId="0" applyFont="1" applyFill="1" applyAlignment="1" applyProtection="1">
      <alignment horizontal="left" vertical="center" shrinkToFit="1"/>
      <protection hidden="1"/>
    </xf>
    <xf numFmtId="4" fontId="146" fillId="47" borderId="150" xfId="0" applyNumberFormat="1" applyFont="1" applyFill="1" applyBorder="1" applyAlignment="1" applyProtection="1">
      <alignment horizontal="center" vertical="center" shrinkToFit="1"/>
      <protection hidden="1"/>
    </xf>
    <xf numFmtId="0" fontId="129" fillId="38" borderId="174" xfId="0" applyFont="1" applyFill="1" applyBorder="1" applyAlignment="1" applyProtection="1">
      <alignment horizontal="center" vertical="center" shrinkToFit="1"/>
      <protection hidden="1"/>
    </xf>
    <xf numFmtId="0" fontId="129" fillId="38" borderId="175" xfId="0" applyFont="1" applyFill="1" applyBorder="1" applyAlignment="1" applyProtection="1">
      <alignment horizontal="center" vertical="center" shrinkToFit="1"/>
      <protection hidden="1"/>
    </xf>
    <xf numFmtId="0" fontId="129" fillId="38" borderId="181" xfId="0" applyFont="1" applyFill="1" applyBorder="1" applyAlignment="1" applyProtection="1">
      <alignment horizontal="center" shrinkToFit="1"/>
      <protection hidden="1"/>
    </xf>
    <xf numFmtId="0" fontId="129" fillId="38" borderId="182" xfId="0" applyFont="1" applyFill="1" applyBorder="1" applyAlignment="1" applyProtection="1">
      <alignment horizontal="center" shrinkToFit="1"/>
      <protection hidden="1"/>
    </xf>
    <xf numFmtId="0" fontId="129" fillId="38" borderId="183" xfId="0" applyFont="1" applyFill="1" applyBorder="1" applyAlignment="1" applyProtection="1">
      <alignment horizontal="center" shrinkToFit="1"/>
      <protection hidden="1"/>
    </xf>
    <xf numFmtId="0" fontId="129" fillId="38" borderId="184" xfId="0" applyFont="1" applyFill="1" applyBorder="1" applyAlignment="1" applyProtection="1">
      <alignment horizontal="center" shrinkToFit="1"/>
      <protection hidden="1"/>
    </xf>
    <xf numFmtId="3" fontId="120" fillId="38" borderId="196" xfId="0" applyNumberFormat="1" applyFont="1" applyFill="1" applyBorder="1" applyAlignment="1" applyProtection="1">
      <alignment horizontal="center" vertical="center" shrinkToFit="1"/>
      <protection hidden="1"/>
    </xf>
    <xf numFmtId="3" fontId="120" fillId="38" borderId="167" xfId="0" applyNumberFormat="1" applyFont="1" applyFill="1" applyBorder="1" applyAlignment="1" applyProtection="1">
      <alignment horizontal="center" vertical="center" shrinkToFit="1"/>
      <protection hidden="1"/>
    </xf>
    <xf numFmtId="3" fontId="120" fillId="38" borderId="199" xfId="0" applyNumberFormat="1" applyFont="1" applyFill="1" applyBorder="1" applyAlignment="1" applyProtection="1">
      <alignment horizontal="center" vertical="center" shrinkToFit="1"/>
      <protection hidden="1"/>
    </xf>
    <xf numFmtId="49" fontId="120" fillId="38" borderId="195" xfId="0" applyNumberFormat="1" applyFont="1" applyFill="1" applyBorder="1" applyAlignment="1" applyProtection="1">
      <alignment horizontal="center" vertical="center" shrinkToFit="1"/>
      <protection hidden="1"/>
    </xf>
    <xf numFmtId="49" fontId="120" fillId="38" borderId="140" xfId="0" applyNumberFormat="1" applyFont="1" applyFill="1" applyBorder="1" applyAlignment="1" applyProtection="1">
      <alignment horizontal="center" vertical="center" shrinkToFit="1"/>
      <protection hidden="1"/>
    </xf>
    <xf numFmtId="49" fontId="120" fillId="38" borderId="140" xfId="0" quotePrefix="1" applyNumberFormat="1" applyFont="1" applyFill="1" applyBorder="1" applyAlignment="1" applyProtection="1">
      <alignment horizontal="center" vertical="center" shrinkToFit="1"/>
      <protection hidden="1"/>
    </xf>
    <xf numFmtId="49" fontId="120" fillId="38" borderId="171" xfId="0" applyNumberFormat="1" applyFont="1" applyFill="1" applyBorder="1" applyAlignment="1" applyProtection="1">
      <alignment horizontal="center" vertical="center" shrinkToFit="1"/>
      <protection hidden="1"/>
    </xf>
    <xf numFmtId="4" fontId="119" fillId="38" borderId="195" xfId="0" applyNumberFormat="1" applyFont="1" applyFill="1" applyBorder="1" applyAlignment="1" applyProtection="1">
      <alignment horizontal="center" vertical="center"/>
      <protection hidden="1"/>
    </xf>
    <xf numFmtId="4" fontId="119" fillId="38" borderId="140" xfId="0" applyNumberFormat="1" applyFont="1" applyFill="1" applyBorder="1" applyAlignment="1" applyProtection="1">
      <alignment horizontal="center" vertical="center"/>
      <protection hidden="1"/>
    </xf>
    <xf numFmtId="4" fontId="119" fillId="38" borderId="171" xfId="0" applyNumberFormat="1" applyFont="1" applyFill="1" applyBorder="1" applyAlignment="1" applyProtection="1">
      <alignment horizontal="center" vertical="center"/>
      <protection hidden="1"/>
    </xf>
    <xf numFmtId="0" fontId="119" fillId="38" borderId="0" xfId="0" applyFont="1" applyFill="1" applyAlignment="1" applyProtection="1">
      <alignment horizontal="center"/>
      <protection hidden="1"/>
    </xf>
    <xf numFmtId="0" fontId="148" fillId="38" borderId="194" xfId="0" applyFont="1" applyFill="1" applyBorder="1" applyAlignment="1" applyProtection="1">
      <alignment horizontal="left" vertical="center" shrinkToFit="1"/>
      <protection hidden="1"/>
    </xf>
    <xf numFmtId="0" fontId="148" fillId="38" borderId="197" xfId="0" applyFont="1" applyFill="1" applyBorder="1" applyAlignment="1" applyProtection="1">
      <alignment horizontal="left" vertical="center" shrinkToFit="1"/>
      <protection hidden="1"/>
    </xf>
    <xf numFmtId="0" fontId="148" fillId="38" borderId="198" xfId="0" applyFont="1" applyFill="1" applyBorder="1" applyAlignment="1" applyProtection="1">
      <alignment horizontal="left" vertical="center" shrinkToFit="1"/>
      <protection hidden="1"/>
    </xf>
    <xf numFmtId="0" fontId="142" fillId="38" borderId="0" xfId="0" applyFont="1" applyFill="1" applyAlignment="1" applyProtection="1">
      <alignment horizontal="center" shrinkToFit="1"/>
      <protection hidden="1"/>
    </xf>
    <xf numFmtId="3" fontId="119" fillId="38" borderId="140" xfId="0" applyNumberFormat="1" applyFont="1" applyFill="1" applyBorder="1" applyAlignment="1" applyProtection="1">
      <alignment horizontal="center" vertical="center"/>
      <protection hidden="1"/>
    </xf>
    <xf numFmtId="3" fontId="119" fillId="38" borderId="171" xfId="0" applyNumberFormat="1" applyFont="1" applyFill="1" applyBorder="1" applyAlignment="1" applyProtection="1">
      <alignment horizontal="center" vertical="center"/>
      <protection hidden="1"/>
    </xf>
    <xf numFmtId="14" fontId="120" fillId="38" borderId="140" xfId="0" applyNumberFormat="1" applyFont="1" applyFill="1" applyBorder="1" applyAlignment="1" applyProtection="1">
      <alignment horizontal="center" shrinkToFit="1"/>
      <protection hidden="1"/>
    </xf>
    <xf numFmtId="14" fontId="120" fillId="38" borderId="171" xfId="0" applyNumberFormat="1" applyFont="1" applyFill="1" applyBorder="1" applyAlignment="1" applyProtection="1">
      <alignment horizontal="center" shrinkToFit="1"/>
      <protection hidden="1"/>
    </xf>
    <xf numFmtId="0" fontId="119" fillId="38" borderId="140" xfId="0" applyFont="1" applyFill="1" applyBorder="1" applyAlignment="1" applyProtection="1">
      <alignment horizontal="center" vertical="center" wrapText="1"/>
      <protection hidden="1"/>
    </xf>
    <xf numFmtId="0" fontId="119" fillId="38" borderId="171" xfId="0" applyFont="1" applyFill="1" applyBorder="1" applyAlignment="1" applyProtection="1">
      <alignment horizontal="center" vertical="center" wrapText="1"/>
      <protection hidden="1"/>
    </xf>
    <xf numFmtId="14" fontId="120" fillId="38" borderId="195" xfId="0" applyNumberFormat="1" applyFont="1" applyFill="1" applyBorder="1" applyAlignment="1" applyProtection="1">
      <alignment horizontal="center" shrinkToFit="1"/>
      <protection hidden="1"/>
    </xf>
    <xf numFmtId="0" fontId="119" fillId="38" borderId="195" xfId="0" applyFont="1" applyFill="1" applyBorder="1" applyAlignment="1" applyProtection="1">
      <alignment horizontal="center" vertical="center" wrapText="1"/>
      <protection hidden="1"/>
    </xf>
    <xf numFmtId="3" fontId="119" fillId="38" borderId="195" xfId="0" applyNumberFormat="1" applyFont="1" applyFill="1" applyBorder="1" applyAlignment="1" applyProtection="1">
      <alignment horizontal="center" vertical="center"/>
      <protection hidden="1"/>
    </xf>
    <xf numFmtId="0" fontId="122" fillId="38" borderId="186" xfId="0" applyFont="1" applyFill="1" applyBorder="1" applyAlignment="1" applyProtection="1">
      <alignment horizontal="center" vertical="center" wrapText="1"/>
      <protection hidden="1"/>
    </xf>
    <xf numFmtId="0" fontId="122" fillId="38" borderId="187" xfId="0" applyFont="1" applyFill="1" applyBorder="1" applyAlignment="1" applyProtection="1">
      <alignment horizontal="center" vertical="center"/>
      <protection hidden="1"/>
    </xf>
    <xf numFmtId="0" fontId="122" fillId="38" borderId="189" xfId="0" applyFont="1" applyFill="1" applyBorder="1" applyAlignment="1" applyProtection="1">
      <alignment horizontal="center" vertical="center"/>
      <protection hidden="1"/>
    </xf>
    <xf numFmtId="0" fontId="122" fillId="38" borderId="188" xfId="0" applyFont="1" applyFill="1" applyBorder="1" applyAlignment="1" applyProtection="1">
      <alignment horizontal="center" vertical="center"/>
      <protection hidden="1"/>
    </xf>
    <xf numFmtId="0" fontId="122" fillId="38" borderId="169" xfId="0" applyFont="1" applyFill="1" applyBorder="1" applyAlignment="1" applyProtection="1">
      <alignment horizontal="center" vertical="center"/>
      <protection hidden="1"/>
    </xf>
    <xf numFmtId="0" fontId="122" fillId="38" borderId="170" xfId="0" applyFont="1" applyFill="1" applyBorder="1" applyAlignment="1" applyProtection="1">
      <alignment horizontal="center" vertical="center"/>
      <protection hidden="1"/>
    </xf>
    <xf numFmtId="22" fontId="151" fillId="54" borderId="157" xfId="0" applyNumberFormat="1" applyFont="1" applyFill="1" applyBorder="1" applyAlignment="1" applyProtection="1">
      <alignment horizontal="center" vertical="center" shrinkToFit="1"/>
      <protection hidden="1"/>
    </xf>
    <xf numFmtId="22" fontId="151" fillId="54" borderId="159" xfId="0" applyNumberFormat="1" applyFont="1" applyFill="1" applyBorder="1" applyAlignment="1" applyProtection="1">
      <alignment horizontal="center" vertical="center" shrinkToFit="1"/>
      <protection hidden="1"/>
    </xf>
    <xf numFmtId="0" fontId="129" fillId="38" borderId="158" xfId="0" applyFont="1" applyFill="1" applyBorder="1" applyAlignment="1" applyProtection="1">
      <alignment horizontal="right" vertical="center" shrinkToFit="1"/>
      <protection hidden="1"/>
    </xf>
    <xf numFmtId="0" fontId="129" fillId="38" borderId="157" xfId="0" applyFont="1" applyFill="1" applyBorder="1" applyAlignment="1" applyProtection="1">
      <alignment horizontal="right" vertical="center" shrinkToFit="1"/>
      <protection hidden="1"/>
    </xf>
    <xf numFmtId="0" fontId="129" fillId="38" borderId="157" xfId="0" applyFont="1" applyFill="1" applyBorder="1" applyAlignment="1" applyProtection="1">
      <alignment horizontal="left" vertical="center" shrinkToFit="1"/>
      <protection hidden="1"/>
    </xf>
    <xf numFmtId="0" fontId="129" fillId="38" borderId="202" xfId="0" applyFont="1" applyFill="1" applyBorder="1" applyAlignment="1" applyProtection="1">
      <alignment horizontal="left" vertical="center" shrinkToFit="1"/>
      <protection hidden="1"/>
    </xf>
    <xf numFmtId="0" fontId="129" fillId="38" borderId="159" xfId="0" applyFont="1" applyFill="1" applyBorder="1" applyAlignment="1" applyProtection="1">
      <alignment horizontal="left" vertical="center" shrinkToFit="1"/>
      <protection hidden="1"/>
    </xf>
    <xf numFmtId="1" fontId="55" fillId="38" borderId="0" xfId="0" applyNumberFormat="1" applyFont="1" applyFill="1" applyAlignment="1" applyProtection="1">
      <alignment horizontal="center" vertical="center" wrapText="1"/>
      <protection hidden="1"/>
    </xf>
    <xf numFmtId="0" fontId="55" fillId="38" borderId="0" xfId="0" applyFont="1" applyFill="1" applyAlignment="1" applyProtection="1">
      <alignment horizontal="center" vertical="center" wrapText="1"/>
      <protection hidden="1"/>
    </xf>
    <xf numFmtId="0" fontId="118" fillId="38" borderId="160" xfId="0" applyFont="1" applyFill="1" applyBorder="1" applyAlignment="1" applyProtection="1">
      <alignment horizontal="center" vertical="center" wrapText="1" shrinkToFit="1"/>
      <protection hidden="1"/>
    </xf>
    <xf numFmtId="0" fontId="118" fillId="38" borderId="139" xfId="0" applyFont="1" applyFill="1" applyBorder="1" applyAlignment="1" applyProtection="1">
      <alignment horizontal="center" vertical="center" wrapText="1" shrinkToFit="1"/>
      <protection hidden="1"/>
    </xf>
    <xf numFmtId="0" fontId="118" fillId="38" borderId="143" xfId="0" applyFont="1" applyFill="1" applyBorder="1" applyAlignment="1" applyProtection="1">
      <alignment horizontal="center" vertical="center" wrapText="1" shrinkToFit="1"/>
      <protection hidden="1"/>
    </xf>
    <xf numFmtId="0" fontId="118" fillId="38" borderId="161" xfId="0" applyFont="1" applyFill="1" applyBorder="1" applyAlignment="1" applyProtection="1">
      <alignment horizontal="center" vertical="center" wrapText="1" shrinkToFit="1"/>
      <protection hidden="1"/>
    </xf>
    <xf numFmtId="0" fontId="118" fillId="38" borderId="162" xfId="0" applyFont="1" applyFill="1" applyBorder="1" applyAlignment="1" applyProtection="1">
      <alignment horizontal="center" vertical="center" wrapText="1" shrinkToFit="1"/>
      <protection hidden="1"/>
    </xf>
    <xf numFmtId="0" fontId="118" fillId="38" borderId="163" xfId="0" applyFont="1" applyFill="1" applyBorder="1" applyAlignment="1" applyProtection="1">
      <alignment horizontal="center" vertical="center" wrapText="1" shrinkToFit="1"/>
      <protection hidden="1"/>
    </xf>
    <xf numFmtId="0" fontId="153" fillId="54" borderId="0" xfId="0" applyFont="1" applyFill="1" applyAlignment="1" applyProtection="1">
      <alignment horizontal="center" vertical="top" shrinkToFit="1"/>
      <protection hidden="1"/>
    </xf>
    <xf numFmtId="0" fontId="129" fillId="38" borderId="146" xfId="0" applyFont="1" applyFill="1" applyBorder="1" applyAlignment="1" applyProtection="1">
      <alignment horizontal="center" vertical="center" shrinkToFit="1"/>
      <protection hidden="1"/>
    </xf>
    <xf numFmtId="0" fontId="129" fillId="38" borderId="148" xfId="0" applyFont="1" applyFill="1" applyBorder="1" applyAlignment="1" applyProtection="1">
      <alignment horizontal="center" vertical="center" shrinkToFit="1"/>
      <protection hidden="1"/>
    </xf>
    <xf numFmtId="0" fontId="117" fillId="52" borderId="150" xfId="0" applyFont="1" applyFill="1" applyBorder="1" applyAlignment="1" applyProtection="1">
      <alignment horizontal="center" vertical="center" wrapText="1" shrinkToFit="1"/>
      <protection hidden="1"/>
    </xf>
    <xf numFmtId="0" fontId="117" fillId="52" borderId="141" xfId="0" applyFont="1" applyFill="1" applyBorder="1" applyAlignment="1" applyProtection="1">
      <alignment horizontal="center" vertical="center" wrapText="1" shrinkToFit="1"/>
      <protection hidden="1"/>
    </xf>
    <xf numFmtId="0" fontId="117" fillId="52" borderId="144" xfId="0" applyFont="1" applyFill="1" applyBorder="1" applyAlignment="1" applyProtection="1">
      <alignment horizontal="center" vertical="center" wrapText="1" shrinkToFit="1"/>
      <protection hidden="1"/>
    </xf>
    <xf numFmtId="3" fontId="147" fillId="38" borderId="185" xfId="0" applyNumberFormat="1" applyFont="1" applyFill="1" applyBorder="1" applyAlignment="1" applyProtection="1">
      <alignment horizontal="center" vertical="center" shrinkToFit="1"/>
      <protection hidden="1"/>
    </xf>
    <xf numFmtId="3" fontId="147" fillId="38" borderId="168" xfId="0" applyNumberFormat="1" applyFont="1" applyFill="1" applyBorder="1" applyAlignment="1" applyProtection="1">
      <alignment horizontal="center" vertical="center" shrinkToFit="1"/>
      <protection hidden="1"/>
    </xf>
    <xf numFmtId="3" fontId="119" fillId="38" borderId="191" xfId="0" applyNumberFormat="1" applyFont="1" applyFill="1" applyBorder="1" applyAlignment="1" applyProtection="1">
      <alignment horizontal="center" vertical="center" shrinkToFit="1"/>
      <protection hidden="1"/>
    </xf>
    <xf numFmtId="3" fontId="119" fillId="38" borderId="193" xfId="0" applyNumberFormat="1" applyFont="1" applyFill="1" applyBorder="1" applyAlignment="1" applyProtection="1">
      <alignment horizontal="center" vertical="center" shrinkToFit="1"/>
      <protection hidden="1"/>
    </xf>
    <xf numFmtId="3" fontId="119" fillId="38" borderId="187" xfId="0" applyNumberFormat="1" applyFont="1" applyFill="1" applyBorder="1" applyAlignment="1" applyProtection="1">
      <alignment horizontal="center" vertical="center" shrinkToFit="1"/>
      <protection hidden="1"/>
    </xf>
    <xf numFmtId="3" fontId="119" fillId="38" borderId="169" xfId="0" applyNumberFormat="1" applyFont="1" applyFill="1" applyBorder="1" applyAlignment="1" applyProtection="1">
      <alignment horizontal="center" vertical="center" shrinkToFit="1"/>
      <protection hidden="1"/>
    </xf>
    <xf numFmtId="3" fontId="119" fillId="38" borderId="190" xfId="0" applyNumberFormat="1" applyFont="1" applyFill="1" applyBorder="1" applyAlignment="1" applyProtection="1">
      <alignment horizontal="center" vertical="center" shrinkToFit="1"/>
      <protection hidden="1"/>
    </xf>
    <xf numFmtId="3" fontId="119" fillId="38" borderId="192" xfId="0" applyNumberFormat="1" applyFont="1" applyFill="1" applyBorder="1" applyAlignment="1" applyProtection="1">
      <alignment horizontal="center" vertical="center" shrinkToFit="1"/>
      <protection hidden="1"/>
    </xf>
    <xf numFmtId="0" fontId="120" fillId="38" borderId="0" xfId="0" applyFont="1" applyFill="1" applyAlignment="1">
      <alignment horizontal="right" shrinkToFit="1"/>
    </xf>
    <xf numFmtId="0" fontId="122" fillId="38" borderId="0" xfId="0" applyFont="1" applyFill="1" applyAlignment="1">
      <alignment horizontal="left"/>
    </xf>
    <xf numFmtId="0" fontId="120" fillId="38" borderId="0" xfId="0" applyFont="1" applyFill="1" applyAlignment="1">
      <alignment horizontal="center" shrinkToFit="1"/>
    </xf>
    <xf numFmtId="0" fontId="120" fillId="39" borderId="0" xfId="0" applyFont="1" applyFill="1" applyAlignment="1">
      <alignment horizontal="center" shrinkToFit="1"/>
    </xf>
    <xf numFmtId="0" fontId="121" fillId="40" borderId="0" xfId="0" applyFont="1" applyFill="1" applyAlignment="1">
      <alignment horizontal="center" vertical="center"/>
    </xf>
    <xf numFmtId="0" fontId="125" fillId="38" borderId="0" xfId="0" applyFont="1" applyFill="1" applyAlignment="1">
      <alignment horizontal="center" shrinkToFit="1"/>
    </xf>
    <xf numFmtId="0" fontId="126" fillId="38" borderId="0" xfId="0" applyFont="1" applyFill="1" applyAlignment="1">
      <alignment horizontal="center" vertical="center" shrinkToFit="1"/>
    </xf>
    <xf numFmtId="0" fontId="119" fillId="39" borderId="0" xfId="0" applyFont="1" applyFill="1" applyAlignment="1">
      <alignment horizontal="left" shrinkToFit="1"/>
    </xf>
    <xf numFmtId="0" fontId="92" fillId="7" borderId="0" xfId="0" applyFont="1" applyFill="1" applyAlignment="1">
      <alignment horizontal="right" vertical="center" shrinkToFit="1"/>
    </xf>
    <xf numFmtId="0" fontId="47" fillId="7" borderId="90" xfId="0" applyFont="1" applyFill="1" applyBorder="1" applyAlignment="1">
      <alignment horizontal="center" shrinkToFit="1"/>
    </xf>
    <xf numFmtId="0" fontId="47" fillId="7" borderId="79" xfId="0" applyFont="1" applyFill="1" applyBorder="1" applyAlignment="1">
      <alignment horizontal="center" shrinkToFit="1"/>
    </xf>
    <xf numFmtId="0" fontId="47" fillId="7" borderId="117" xfId="0" applyFont="1" applyFill="1" applyBorder="1" applyAlignment="1">
      <alignment horizontal="center" shrinkToFit="1"/>
    </xf>
    <xf numFmtId="0" fontId="47" fillId="7" borderId="118" xfId="0" applyFont="1" applyFill="1" applyBorder="1" applyAlignment="1">
      <alignment horizontal="center" shrinkToFit="1"/>
    </xf>
    <xf numFmtId="0" fontId="98" fillId="25" borderId="0" xfId="0" applyFont="1" applyFill="1" applyAlignment="1">
      <alignment horizontal="center" vertical="center" shrinkToFit="1"/>
    </xf>
    <xf numFmtId="0" fontId="84" fillId="7" borderId="0" xfId="0" applyFont="1" applyFill="1" applyAlignment="1">
      <alignment horizontal="right" shrinkToFit="1"/>
    </xf>
    <xf numFmtId="0" fontId="84" fillId="7" borderId="0" xfId="0" applyFont="1" applyFill="1" applyAlignment="1">
      <alignment horizontal="left" shrinkToFit="1"/>
    </xf>
    <xf numFmtId="0" fontId="129" fillId="46" borderId="0" xfId="0" applyFont="1" applyFill="1" applyAlignment="1">
      <alignment horizontal="left" shrinkToFit="1"/>
    </xf>
    <xf numFmtId="0" fontId="129" fillId="38" borderId="0" xfId="0" applyFont="1" applyFill="1" applyAlignment="1">
      <alignment horizontal="center" shrinkToFit="1"/>
    </xf>
    <xf numFmtId="0" fontId="68" fillId="7" borderId="0" xfId="0" applyFont="1" applyFill="1" applyAlignment="1">
      <alignment horizontal="center"/>
    </xf>
    <xf numFmtId="0" fontId="120" fillId="38" borderId="0" xfId="0" applyFont="1" applyFill="1" applyAlignment="1">
      <alignment horizontal="left" shrinkToFit="1"/>
    </xf>
    <xf numFmtId="0" fontId="54" fillId="0" borderId="0" xfId="0" applyFont="1" applyAlignment="1">
      <alignment horizontal="right" shrinkToFit="1"/>
    </xf>
    <xf numFmtId="0" fontId="54" fillId="0" borderId="0" xfId="0" applyFont="1" applyAlignment="1">
      <alignment shrinkToFit="1"/>
    </xf>
    <xf numFmtId="0" fontId="0" fillId="0" borderId="0" xfId="0" applyAlignment="1">
      <alignment shrinkToFit="1"/>
    </xf>
    <xf numFmtId="0" fontId="98" fillId="27" borderId="0" xfId="0" applyFont="1" applyFill="1" applyAlignment="1">
      <alignment horizontal="center" vertical="center" shrinkToFit="1"/>
    </xf>
    <xf numFmtId="0" fontId="99" fillId="25" borderId="0" xfId="0" applyFont="1" applyFill="1" applyAlignment="1">
      <alignment horizontal="center" vertical="center" shrinkToFit="1"/>
    </xf>
    <xf numFmtId="0" fontId="100" fillId="26" borderId="0" xfId="0" applyFont="1" applyFill="1" applyAlignment="1">
      <alignment horizontal="center" vertical="top"/>
    </xf>
    <xf numFmtId="0" fontId="1" fillId="7" borderId="0" xfId="0" applyFont="1" applyFill="1" applyAlignment="1">
      <alignment horizontal="left" vertical="top" wrapText="1"/>
    </xf>
    <xf numFmtId="0" fontId="0" fillId="9" borderId="14" xfId="0" applyFill="1" applyBorder="1" applyAlignment="1">
      <alignment horizontal="center"/>
    </xf>
    <xf numFmtId="0" fontId="0" fillId="9" borderId="0" xfId="0" applyFill="1" applyAlignment="1">
      <alignment horizontal="center"/>
    </xf>
    <xf numFmtId="0" fontId="0" fillId="9" borderId="8" xfId="0" applyFill="1" applyBorder="1" applyAlignment="1">
      <alignment horizontal="center"/>
    </xf>
    <xf numFmtId="0" fontId="15" fillId="9" borderId="30" xfId="0" applyFont="1" applyFill="1" applyBorder="1" applyAlignment="1">
      <alignment horizontal="center" vertical="center" shrinkToFit="1"/>
    </xf>
    <xf numFmtId="0" fontId="15" fillId="9" borderId="31" xfId="0" applyFont="1" applyFill="1" applyBorder="1" applyAlignment="1">
      <alignment horizontal="center" vertical="center" shrinkToFit="1"/>
    </xf>
    <xf numFmtId="0" fontId="15" fillId="9" borderId="32" xfId="0" applyFont="1" applyFill="1" applyBorder="1" applyAlignment="1">
      <alignment horizontal="center" vertical="center" shrinkToFit="1"/>
    </xf>
    <xf numFmtId="0" fontId="15" fillId="6" borderId="5" xfId="0" applyFont="1" applyFill="1" applyBorder="1" applyAlignment="1">
      <alignment horizontal="center" vertical="center" shrinkToFit="1"/>
    </xf>
    <xf numFmtId="0" fontId="58" fillId="10" borderId="36" xfId="0" applyFont="1" applyFill="1" applyBorder="1" applyAlignment="1">
      <alignment horizontal="center" shrinkToFit="1"/>
    </xf>
    <xf numFmtId="0" fontId="58" fillId="10" borderId="37" xfId="0" applyFont="1" applyFill="1" applyBorder="1" applyAlignment="1">
      <alignment horizontal="center" shrinkToFit="1"/>
    </xf>
    <xf numFmtId="0" fontId="58" fillId="10" borderId="51" xfId="0" applyFont="1" applyFill="1" applyBorder="1" applyAlignment="1">
      <alignment horizontal="center" shrinkToFit="1"/>
    </xf>
    <xf numFmtId="0" fontId="58" fillId="10" borderId="52" xfId="0" applyFont="1" applyFill="1" applyBorder="1" applyAlignment="1">
      <alignment horizontal="center" shrinkToFit="1"/>
    </xf>
    <xf numFmtId="0" fontId="58" fillId="10" borderId="53" xfId="0" applyFont="1" applyFill="1" applyBorder="1" applyAlignment="1">
      <alignment horizontal="center" shrinkToFit="1"/>
    </xf>
    <xf numFmtId="0" fontId="15" fillId="6" borderId="20" xfId="0" applyFont="1" applyFill="1" applyBorder="1" applyAlignment="1">
      <alignment horizontal="center" vertical="center" shrinkToFit="1"/>
    </xf>
    <xf numFmtId="0" fontId="15" fillId="6" borderId="21" xfId="0" applyFont="1" applyFill="1" applyBorder="1" applyAlignment="1">
      <alignment horizontal="center" vertical="center" shrinkToFit="1"/>
    </xf>
    <xf numFmtId="0" fontId="63" fillId="7" borderId="36" xfId="0" applyFont="1" applyFill="1" applyBorder="1" applyAlignment="1">
      <alignment horizontal="center" shrinkToFit="1"/>
    </xf>
    <xf numFmtId="0" fontId="63" fillId="7" borderId="37" xfId="0" applyFont="1" applyFill="1" applyBorder="1" applyAlignment="1">
      <alignment horizontal="center" shrinkToFit="1"/>
    </xf>
    <xf numFmtId="0" fontId="63" fillId="9" borderId="36" xfId="0" applyFont="1" applyFill="1" applyBorder="1" applyAlignment="1">
      <alignment horizontal="center" shrinkToFit="1"/>
    </xf>
    <xf numFmtId="0" fontId="63" fillId="9" borderId="37" xfId="0" applyFont="1" applyFill="1" applyBorder="1" applyAlignment="1">
      <alignment horizontal="center" shrinkToFit="1"/>
    </xf>
    <xf numFmtId="0" fontId="63" fillId="9" borderId="53" xfId="0" applyFont="1" applyFill="1" applyBorder="1" applyAlignment="1">
      <alignment horizontal="center" shrinkToFit="1"/>
    </xf>
    <xf numFmtId="0" fontId="45" fillId="7" borderId="36" xfId="0" applyFont="1" applyFill="1" applyBorder="1" applyAlignment="1">
      <alignment horizontal="center" shrinkToFit="1"/>
    </xf>
    <xf numFmtId="0" fontId="45" fillId="7" borderId="73" xfId="0" applyFont="1" applyFill="1" applyBorder="1" applyAlignment="1">
      <alignment horizontal="center" shrinkToFit="1"/>
    </xf>
    <xf numFmtId="0" fontId="44" fillId="7" borderId="68" xfId="0" applyFont="1" applyFill="1" applyBorder="1" applyAlignment="1">
      <alignment horizontal="center" shrinkToFit="1"/>
    </xf>
    <xf numFmtId="0" fontId="44" fillId="7" borderId="69" xfId="0" applyFont="1" applyFill="1" applyBorder="1" applyAlignment="1">
      <alignment horizontal="center" shrinkToFit="1"/>
    </xf>
    <xf numFmtId="0" fontId="6" fillId="15" borderId="49" xfId="0" applyFont="1" applyFill="1" applyBorder="1" applyAlignment="1">
      <alignment horizontal="center" shrinkToFit="1"/>
    </xf>
    <xf numFmtId="0" fontId="6" fillId="15" borderId="50" xfId="0" applyFont="1" applyFill="1" applyBorder="1" applyAlignment="1">
      <alignment horizontal="center" shrinkToFit="1"/>
    </xf>
    <xf numFmtId="0" fontId="81" fillId="7" borderId="0" xfId="0" applyFont="1" applyFill="1" applyAlignment="1">
      <alignment horizontal="right"/>
    </xf>
    <xf numFmtId="0" fontId="82" fillId="7" borderId="0" xfId="0" applyFont="1" applyFill="1" applyAlignment="1">
      <alignment horizontal="left"/>
    </xf>
    <xf numFmtId="0" fontId="0" fillId="7" borderId="40" xfId="0" applyFill="1" applyBorder="1" applyAlignment="1">
      <alignment horizontal="center" shrinkToFit="1"/>
    </xf>
    <xf numFmtId="0" fontId="0" fillId="7" borderId="41" xfId="0" applyFill="1" applyBorder="1" applyAlignment="1">
      <alignment horizontal="center" shrinkToFit="1"/>
    </xf>
    <xf numFmtId="0" fontId="0" fillId="7" borderId="44" xfId="0" applyFill="1" applyBorder="1" applyAlignment="1">
      <alignment horizontal="center" shrinkToFit="1"/>
    </xf>
    <xf numFmtId="0" fontId="0" fillId="7" borderId="45" xfId="0" applyFill="1" applyBorder="1" applyAlignment="1">
      <alignment horizontal="center" shrinkToFit="1"/>
    </xf>
    <xf numFmtId="0" fontId="0" fillId="7" borderId="60" xfId="0" applyFill="1" applyBorder="1" applyAlignment="1">
      <alignment horizontal="center"/>
    </xf>
    <xf numFmtId="0" fontId="0" fillId="7" borderId="61" xfId="0" applyFill="1" applyBorder="1" applyAlignment="1">
      <alignment horizontal="center"/>
    </xf>
    <xf numFmtId="0" fontId="0" fillId="7" borderId="62" xfId="0" applyFill="1" applyBorder="1" applyAlignment="1">
      <alignment horizontal="center"/>
    </xf>
    <xf numFmtId="0" fontId="0" fillId="7" borderId="63" xfId="0" applyFill="1" applyBorder="1" applyAlignment="1">
      <alignment horizontal="center"/>
    </xf>
    <xf numFmtId="0" fontId="0" fillId="7" borderId="0" xfId="0" applyFill="1" applyAlignment="1">
      <alignment horizontal="center"/>
    </xf>
    <xf numFmtId="0" fontId="0" fillId="7" borderId="64" xfId="0" applyFill="1" applyBorder="1" applyAlignment="1">
      <alignment horizontal="center"/>
    </xf>
    <xf numFmtId="0" fontId="0" fillId="7" borderId="65"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58" fillId="10" borderId="0" xfId="0" applyFont="1" applyFill="1" applyAlignment="1">
      <alignment horizontal="center"/>
    </xf>
  </cellXfs>
  <cellStyles count="2075">
    <cellStyle name="Čárka 2" xfId="2" xr:uid="{00000000-0005-0000-0000-000000000000}"/>
    <cellStyle name="Čárka 2 2" xfId="3" xr:uid="{00000000-0005-0000-0000-000001000000}"/>
    <cellStyle name="Čárka 3" xfId="4" xr:uid="{00000000-0005-0000-0000-000002000000}"/>
    <cellStyle name="Čárka 4" xfId="5" xr:uid="{00000000-0005-0000-0000-000003000000}"/>
    <cellStyle name="Čárka 5" xfId="6" xr:uid="{00000000-0005-0000-0000-000004000000}"/>
    <cellStyle name="Čárka 6" xfId="7" xr:uid="{00000000-0005-0000-0000-000005000000}"/>
    <cellStyle name="Čárka 7" xfId="8" xr:uid="{00000000-0005-0000-0000-000006000000}"/>
    <cellStyle name="Čárka 8" xfId="9" xr:uid="{00000000-0005-0000-0000-000007000000}"/>
    <cellStyle name="Čárka 9" xfId="1" xr:uid="{00000000-0005-0000-0000-000008000000}"/>
    <cellStyle name="epHlavicka" xfId="10" xr:uid="{00000000-0005-0000-0000-000009000000}"/>
    <cellStyle name="epKomentar" xfId="11" xr:uid="{00000000-0005-0000-0000-00000A000000}"/>
    <cellStyle name="epVstup" xfId="12" xr:uid="{00000000-0005-0000-0000-00000B000000}"/>
    <cellStyle name="epVystup" xfId="13" xr:uid="{00000000-0005-0000-0000-00000C000000}"/>
    <cellStyle name="Excel Built-in Normal" xfId="14" xr:uid="{00000000-0005-0000-0000-00000D000000}"/>
    <cellStyle name="Excel Built-in Normal 2" xfId="15" xr:uid="{00000000-0005-0000-0000-00000E000000}"/>
    <cellStyle name="Excel Built-in Normal 2 2" xfId="16" xr:uid="{00000000-0005-0000-0000-00000F000000}"/>
    <cellStyle name="Excel Built-in Normal 2 2 2" xfId="17" xr:uid="{00000000-0005-0000-0000-000010000000}"/>
    <cellStyle name="Excel Built-in Normal 2 2 2 2" xfId="18" xr:uid="{00000000-0005-0000-0000-000011000000}"/>
    <cellStyle name="Excel Built-in Normal 2 2 2 2 2" xfId="19" xr:uid="{00000000-0005-0000-0000-000012000000}"/>
    <cellStyle name="Excel Built-in Normal 2 2 2 2 2 2" xfId="20" xr:uid="{00000000-0005-0000-0000-000013000000}"/>
    <cellStyle name="Excel Built-in Normal 2 2 2 2 2 2 2" xfId="21" xr:uid="{00000000-0005-0000-0000-000014000000}"/>
    <cellStyle name="Excel Built-in Normal 2 2 2 2 2 3" xfId="22" xr:uid="{00000000-0005-0000-0000-000015000000}"/>
    <cellStyle name="Excel Built-in Normal 2 2 2 3" xfId="23" xr:uid="{00000000-0005-0000-0000-000016000000}"/>
    <cellStyle name="Excel Built-in Normal 2 2 2 3 2" xfId="24" xr:uid="{00000000-0005-0000-0000-000017000000}"/>
    <cellStyle name="Excel Built-in Normal 2 2 2 3 2 2" xfId="25" xr:uid="{00000000-0005-0000-0000-000018000000}"/>
    <cellStyle name="Excel Built-in Normal 2 2 2 3 2 2 2" xfId="26" xr:uid="{00000000-0005-0000-0000-000019000000}"/>
    <cellStyle name="Excel Built-in Normal 2 2 2 3 2 3" xfId="27" xr:uid="{00000000-0005-0000-0000-00001A000000}"/>
    <cellStyle name="Excel Built-in Normal 2 2 2 4" xfId="28" xr:uid="{00000000-0005-0000-0000-00001B000000}"/>
    <cellStyle name="Excel Built-in Normal 2 2 2 4 2" xfId="29" xr:uid="{00000000-0005-0000-0000-00001C000000}"/>
    <cellStyle name="Excel Built-in Normal 2 2 2 4 2 2" xfId="30" xr:uid="{00000000-0005-0000-0000-00001D000000}"/>
    <cellStyle name="Excel Built-in Normal 2 2 2 4 3" xfId="31" xr:uid="{00000000-0005-0000-0000-00001E000000}"/>
    <cellStyle name="Excel Built-in Normal 2 2 3" xfId="32" xr:uid="{00000000-0005-0000-0000-00001F000000}"/>
    <cellStyle name="Excel Built-in Normal 2 2 3 2" xfId="33" xr:uid="{00000000-0005-0000-0000-000020000000}"/>
    <cellStyle name="Excel Built-in Normal 2 2 3 2 2" xfId="34" xr:uid="{00000000-0005-0000-0000-000021000000}"/>
    <cellStyle name="Excel Built-in Normal 2 2 3 2 2 2" xfId="35" xr:uid="{00000000-0005-0000-0000-000022000000}"/>
    <cellStyle name="Excel Built-in Normal 2 2 3 2 3" xfId="36" xr:uid="{00000000-0005-0000-0000-000023000000}"/>
    <cellStyle name="Excel Built-in Normal 2 2 4" xfId="37" xr:uid="{00000000-0005-0000-0000-000024000000}"/>
    <cellStyle name="Excel Built-in Normal 2 2 4 2" xfId="38" xr:uid="{00000000-0005-0000-0000-000025000000}"/>
    <cellStyle name="Excel Built-in Normal 2 2 4 2 2" xfId="39" xr:uid="{00000000-0005-0000-0000-000026000000}"/>
    <cellStyle name="Excel Built-in Normal 2 2 4 3" xfId="40" xr:uid="{00000000-0005-0000-0000-000027000000}"/>
    <cellStyle name="Excel Built-in Normal 2 3" xfId="41" xr:uid="{00000000-0005-0000-0000-000028000000}"/>
    <cellStyle name="Excel Built-in Normal 2 3 2" xfId="42" xr:uid="{00000000-0005-0000-0000-000029000000}"/>
    <cellStyle name="Excel Built-in Normal 2 3 2 2" xfId="43" xr:uid="{00000000-0005-0000-0000-00002A000000}"/>
    <cellStyle name="Excel Built-in Normal 2 3 2 2 2" xfId="44" xr:uid="{00000000-0005-0000-0000-00002B000000}"/>
    <cellStyle name="Excel Built-in Normal 2 3 2 2 2 2" xfId="45" xr:uid="{00000000-0005-0000-0000-00002C000000}"/>
    <cellStyle name="Excel Built-in Normal 2 3 2 2 3" xfId="46" xr:uid="{00000000-0005-0000-0000-00002D000000}"/>
    <cellStyle name="Excel Built-in Normal 2 3 3" xfId="47" xr:uid="{00000000-0005-0000-0000-00002E000000}"/>
    <cellStyle name="Excel Built-in Normal 2 3 3 2" xfId="48" xr:uid="{00000000-0005-0000-0000-00002F000000}"/>
    <cellStyle name="Excel Built-in Normal 2 3 3 2 2" xfId="49" xr:uid="{00000000-0005-0000-0000-000030000000}"/>
    <cellStyle name="Excel Built-in Normal 2 3 3 2 2 2" xfId="50" xr:uid="{00000000-0005-0000-0000-000031000000}"/>
    <cellStyle name="Excel Built-in Normal 2 3 3 2 3" xfId="51" xr:uid="{00000000-0005-0000-0000-000032000000}"/>
    <cellStyle name="Excel Built-in Normal 2 3 4" xfId="52" xr:uid="{00000000-0005-0000-0000-000033000000}"/>
    <cellStyle name="Excel Built-in Normal 2 3 4 2" xfId="53" xr:uid="{00000000-0005-0000-0000-000034000000}"/>
    <cellStyle name="Excel Built-in Normal 2 3 4 2 2" xfId="54" xr:uid="{00000000-0005-0000-0000-000035000000}"/>
    <cellStyle name="Excel Built-in Normal 2 3 4 3" xfId="55" xr:uid="{00000000-0005-0000-0000-000036000000}"/>
    <cellStyle name="Excel Built-in Normal 2 4" xfId="56" xr:uid="{00000000-0005-0000-0000-000037000000}"/>
    <cellStyle name="Excel Built-in Normal 2 4 2" xfId="57" xr:uid="{00000000-0005-0000-0000-000038000000}"/>
    <cellStyle name="Excel Built-in Normal 2 4 2 2" xfId="58" xr:uid="{00000000-0005-0000-0000-000039000000}"/>
    <cellStyle name="Excel Built-in Normal 2 4 2 2 2" xfId="59" xr:uid="{00000000-0005-0000-0000-00003A000000}"/>
    <cellStyle name="Excel Built-in Normal 2 4 2 3" xfId="60" xr:uid="{00000000-0005-0000-0000-00003B000000}"/>
    <cellStyle name="Excel Built-in Normal 2 5" xfId="61" xr:uid="{00000000-0005-0000-0000-00003C000000}"/>
    <cellStyle name="Excel Built-in Normal 2 5 2" xfId="62" xr:uid="{00000000-0005-0000-0000-00003D000000}"/>
    <cellStyle name="Excel Built-in Normal 2 5 2 2" xfId="63" xr:uid="{00000000-0005-0000-0000-00003E000000}"/>
    <cellStyle name="Excel Built-in Normal 2 5 3" xfId="64" xr:uid="{00000000-0005-0000-0000-00003F000000}"/>
    <cellStyle name="Excel Built-in Normal 3" xfId="65" xr:uid="{00000000-0005-0000-0000-000040000000}"/>
    <cellStyle name="Excel Built-in Normal 3 2" xfId="66" xr:uid="{00000000-0005-0000-0000-000041000000}"/>
    <cellStyle name="Excel Built-in Normal 3 2 2" xfId="67" xr:uid="{00000000-0005-0000-0000-000042000000}"/>
    <cellStyle name="Excel Built-in Normal 3 2 2 2" xfId="68" xr:uid="{00000000-0005-0000-0000-000043000000}"/>
    <cellStyle name="Excel Built-in Normal 3 2 2 2 2" xfId="69" xr:uid="{00000000-0005-0000-0000-000044000000}"/>
    <cellStyle name="Excel Built-in Normal 3 2 2 2 2 2" xfId="70" xr:uid="{00000000-0005-0000-0000-000045000000}"/>
    <cellStyle name="Excel Built-in Normal 3 2 2 2 3" xfId="71" xr:uid="{00000000-0005-0000-0000-000046000000}"/>
    <cellStyle name="Excel Built-in Normal 3 2 3" xfId="72" xr:uid="{00000000-0005-0000-0000-000047000000}"/>
    <cellStyle name="Excel Built-in Normal 3 2 3 2" xfId="73" xr:uid="{00000000-0005-0000-0000-000048000000}"/>
    <cellStyle name="Excel Built-in Normal 3 2 3 2 2" xfId="74" xr:uid="{00000000-0005-0000-0000-000049000000}"/>
    <cellStyle name="Excel Built-in Normal 3 2 3 3" xfId="75" xr:uid="{00000000-0005-0000-0000-00004A000000}"/>
    <cellStyle name="Excel Built-in Normal 3 3" xfId="76" xr:uid="{00000000-0005-0000-0000-00004B000000}"/>
    <cellStyle name="Excel Built-in Normal 3 3 2" xfId="77" xr:uid="{00000000-0005-0000-0000-00004C000000}"/>
    <cellStyle name="Excel Built-in Normal 3 3 2 2" xfId="78" xr:uid="{00000000-0005-0000-0000-00004D000000}"/>
    <cellStyle name="Excel Built-in Normal 3 3 2 2 2" xfId="79" xr:uid="{00000000-0005-0000-0000-00004E000000}"/>
    <cellStyle name="Excel Built-in Normal 3 3 2 2 2 2" xfId="80" xr:uid="{00000000-0005-0000-0000-00004F000000}"/>
    <cellStyle name="Excel Built-in Normal 3 3 2 2 3" xfId="81" xr:uid="{00000000-0005-0000-0000-000050000000}"/>
    <cellStyle name="Excel Built-in Normal 3 3 3" xfId="82" xr:uid="{00000000-0005-0000-0000-000051000000}"/>
    <cellStyle name="Excel Built-in Normal 3 3 3 2" xfId="83" xr:uid="{00000000-0005-0000-0000-000052000000}"/>
    <cellStyle name="Excel Built-in Normal 3 3 3 2 2" xfId="84" xr:uid="{00000000-0005-0000-0000-000053000000}"/>
    <cellStyle name="Excel Built-in Normal 3 3 3 2 2 2" xfId="85" xr:uid="{00000000-0005-0000-0000-000054000000}"/>
    <cellStyle name="Excel Built-in Normal 3 3 3 2 3" xfId="86" xr:uid="{00000000-0005-0000-0000-000055000000}"/>
    <cellStyle name="Excel Built-in Normal 3 3 4" xfId="87" xr:uid="{00000000-0005-0000-0000-000056000000}"/>
    <cellStyle name="Excel Built-in Normal 3 3 4 2" xfId="88" xr:uid="{00000000-0005-0000-0000-000057000000}"/>
    <cellStyle name="Excel Built-in Normal 3 3 4 2 2" xfId="89" xr:uid="{00000000-0005-0000-0000-000058000000}"/>
    <cellStyle name="Excel Built-in Normal 3 3 4 3" xfId="90" xr:uid="{00000000-0005-0000-0000-000059000000}"/>
    <cellStyle name="Excel Built-in Normal 3 4" xfId="91" xr:uid="{00000000-0005-0000-0000-00005A000000}"/>
    <cellStyle name="Excel Built-in Normal 3 4 2" xfId="92" xr:uid="{00000000-0005-0000-0000-00005B000000}"/>
    <cellStyle name="Excel Built-in Normal 3 4 2 2" xfId="93" xr:uid="{00000000-0005-0000-0000-00005C000000}"/>
    <cellStyle name="Excel Built-in Normal 3 4 2 2 2" xfId="94" xr:uid="{00000000-0005-0000-0000-00005D000000}"/>
    <cellStyle name="Excel Built-in Normal 3 4 2 3" xfId="95" xr:uid="{00000000-0005-0000-0000-00005E000000}"/>
    <cellStyle name="Excel Built-in Normal 3 5" xfId="96" xr:uid="{00000000-0005-0000-0000-00005F000000}"/>
    <cellStyle name="Excel Built-in Normal 3 5 2" xfId="97" xr:uid="{00000000-0005-0000-0000-000060000000}"/>
    <cellStyle name="Excel Built-in Normal 3 5 2 2" xfId="98" xr:uid="{00000000-0005-0000-0000-000061000000}"/>
    <cellStyle name="Excel Built-in Normal 3 5 3" xfId="99" xr:uid="{00000000-0005-0000-0000-000062000000}"/>
    <cellStyle name="Excel Built-in Normal 4" xfId="100" xr:uid="{00000000-0005-0000-0000-000063000000}"/>
    <cellStyle name="Excel Built-in Normal 4 2" xfId="101" xr:uid="{00000000-0005-0000-0000-000064000000}"/>
    <cellStyle name="Excel Built-in Normal 4 2 2" xfId="102" xr:uid="{00000000-0005-0000-0000-000065000000}"/>
    <cellStyle name="Excel Built-in Normal 4 2 2 2" xfId="103" xr:uid="{00000000-0005-0000-0000-000066000000}"/>
    <cellStyle name="Excel Built-in Normal 4 2 2 2 2" xfId="104" xr:uid="{00000000-0005-0000-0000-000067000000}"/>
    <cellStyle name="Excel Built-in Normal 4 2 2 2 2 2" xfId="105" xr:uid="{00000000-0005-0000-0000-000068000000}"/>
    <cellStyle name="Excel Built-in Normal 4 2 2 2 3" xfId="106" xr:uid="{00000000-0005-0000-0000-000069000000}"/>
    <cellStyle name="Excel Built-in Normal 4 2 3" xfId="107" xr:uid="{00000000-0005-0000-0000-00006A000000}"/>
    <cellStyle name="Excel Built-in Normal 4 2 3 2" xfId="108" xr:uid="{00000000-0005-0000-0000-00006B000000}"/>
    <cellStyle name="Excel Built-in Normal 4 2 3 2 2" xfId="109" xr:uid="{00000000-0005-0000-0000-00006C000000}"/>
    <cellStyle name="Excel Built-in Normal 4 2 3 2 2 2" xfId="110" xr:uid="{00000000-0005-0000-0000-00006D000000}"/>
    <cellStyle name="Excel Built-in Normal 4 2 3 2 3" xfId="111" xr:uid="{00000000-0005-0000-0000-00006E000000}"/>
    <cellStyle name="Excel Built-in Normal 4 2 4" xfId="112" xr:uid="{00000000-0005-0000-0000-00006F000000}"/>
    <cellStyle name="Excel Built-in Normal 4 2 4 2" xfId="113" xr:uid="{00000000-0005-0000-0000-000070000000}"/>
    <cellStyle name="Excel Built-in Normal 4 2 4 2 2" xfId="114" xr:uid="{00000000-0005-0000-0000-000071000000}"/>
    <cellStyle name="Excel Built-in Normal 4 2 4 3" xfId="115" xr:uid="{00000000-0005-0000-0000-000072000000}"/>
    <cellStyle name="Excel Built-in Normal 4 3" xfId="116" xr:uid="{00000000-0005-0000-0000-000073000000}"/>
    <cellStyle name="Excel Built-in Normal 4 3 2" xfId="117" xr:uid="{00000000-0005-0000-0000-000074000000}"/>
    <cellStyle name="Excel Built-in Normal 4 3 2 2" xfId="118" xr:uid="{00000000-0005-0000-0000-000075000000}"/>
    <cellStyle name="Excel Built-in Normal 4 3 2 2 2" xfId="119" xr:uid="{00000000-0005-0000-0000-000076000000}"/>
    <cellStyle name="Excel Built-in Normal 4 3 2 3" xfId="120" xr:uid="{00000000-0005-0000-0000-000077000000}"/>
    <cellStyle name="Excel Built-in Normal 4 4" xfId="121" xr:uid="{00000000-0005-0000-0000-000078000000}"/>
    <cellStyle name="Excel Built-in Normal 4 4 2" xfId="122" xr:uid="{00000000-0005-0000-0000-000079000000}"/>
    <cellStyle name="Excel Built-in Normal 4 4 2 2" xfId="123" xr:uid="{00000000-0005-0000-0000-00007A000000}"/>
    <cellStyle name="Excel Built-in Normal 4 4 3" xfId="124" xr:uid="{00000000-0005-0000-0000-00007B000000}"/>
    <cellStyle name="Excel Built-in Normal 5" xfId="125" xr:uid="{00000000-0005-0000-0000-00007C000000}"/>
    <cellStyle name="Excel Built-in Normal 5 2" xfId="126" xr:uid="{00000000-0005-0000-0000-00007D000000}"/>
    <cellStyle name="Excel Built-in Normal 5 2 2" xfId="127" xr:uid="{00000000-0005-0000-0000-00007E000000}"/>
    <cellStyle name="Excel Built-in Normal 5 2 2 2" xfId="128" xr:uid="{00000000-0005-0000-0000-00007F000000}"/>
    <cellStyle name="Excel Built-in Normal 5 2 2 2 2" xfId="129" xr:uid="{00000000-0005-0000-0000-000080000000}"/>
    <cellStyle name="Excel Built-in Normal 5 2 2 3" xfId="130" xr:uid="{00000000-0005-0000-0000-000081000000}"/>
    <cellStyle name="Excel Built-in Normal 5 3" xfId="131" xr:uid="{00000000-0005-0000-0000-000082000000}"/>
    <cellStyle name="Excel Built-in Normal 5 3 2" xfId="132" xr:uid="{00000000-0005-0000-0000-000083000000}"/>
    <cellStyle name="Excel Built-in Normal 5 3 2 2" xfId="133" xr:uid="{00000000-0005-0000-0000-000084000000}"/>
    <cellStyle name="Excel Built-in Normal 5 3 2 2 2" xfId="134" xr:uid="{00000000-0005-0000-0000-000085000000}"/>
    <cellStyle name="Excel Built-in Normal 5 3 2 3" xfId="135" xr:uid="{00000000-0005-0000-0000-000086000000}"/>
    <cellStyle name="Excel Built-in Normal 5 4" xfId="136" xr:uid="{00000000-0005-0000-0000-000087000000}"/>
    <cellStyle name="Excel Built-in Normal 5 4 2" xfId="137" xr:uid="{00000000-0005-0000-0000-000088000000}"/>
    <cellStyle name="Excel Built-in Normal 5 4 2 2" xfId="138" xr:uid="{00000000-0005-0000-0000-000089000000}"/>
    <cellStyle name="Excel Built-in Normal 5 4 3" xfId="139" xr:uid="{00000000-0005-0000-0000-00008A000000}"/>
    <cellStyle name="Excel Built-in Normal 6" xfId="140" xr:uid="{00000000-0005-0000-0000-00008B000000}"/>
    <cellStyle name="Excel Built-in Normal 6 2" xfId="141" xr:uid="{00000000-0005-0000-0000-00008C000000}"/>
    <cellStyle name="Excel Built-in Normal 6 2 2" xfId="142" xr:uid="{00000000-0005-0000-0000-00008D000000}"/>
    <cellStyle name="Excel Built-in Normal 6 2 2 2" xfId="143" xr:uid="{00000000-0005-0000-0000-00008E000000}"/>
    <cellStyle name="Excel Built-in Normal 6 2 3" xfId="144" xr:uid="{00000000-0005-0000-0000-00008F000000}"/>
    <cellStyle name="Excel Built-in Normal 7" xfId="145" xr:uid="{00000000-0005-0000-0000-000090000000}"/>
    <cellStyle name="Excel Built-in Normal 7 2" xfId="146" xr:uid="{00000000-0005-0000-0000-000091000000}"/>
    <cellStyle name="Excel Built-in Normal 7 2 2" xfId="147" xr:uid="{00000000-0005-0000-0000-000092000000}"/>
    <cellStyle name="Excel Built-in Normal 7 3" xfId="148" xr:uid="{00000000-0005-0000-0000-000093000000}"/>
    <cellStyle name="Excel Built-in Normal 8" xfId="149" xr:uid="{00000000-0005-0000-0000-000094000000}"/>
    <cellStyle name="Hypertextový odkaz" xfId="150" builtinId="8"/>
    <cellStyle name="Hypertextový odkaz 2" xfId="151" xr:uid="{00000000-0005-0000-0000-000096000000}"/>
    <cellStyle name="Hypertextový odkaz 2 2" xfId="152" xr:uid="{00000000-0005-0000-0000-000097000000}"/>
    <cellStyle name="Hypertextový odkaz 2 2 2" xfId="153" xr:uid="{00000000-0005-0000-0000-000098000000}"/>
    <cellStyle name="Hypertextový odkaz 2 2 2 2" xfId="154" xr:uid="{00000000-0005-0000-0000-000099000000}"/>
    <cellStyle name="Hypertextový odkaz 2 2 2 2 2" xfId="155" xr:uid="{00000000-0005-0000-0000-00009A000000}"/>
    <cellStyle name="Hypertextový odkaz 2 2 2 2 2 2" xfId="156" xr:uid="{00000000-0005-0000-0000-00009B000000}"/>
    <cellStyle name="Hypertextový odkaz 2 2 2 2 2 2 2" xfId="157" xr:uid="{00000000-0005-0000-0000-00009C000000}"/>
    <cellStyle name="Hypertextový odkaz 2 2 2 2 2 3" xfId="158" xr:uid="{00000000-0005-0000-0000-00009D000000}"/>
    <cellStyle name="Hypertextový odkaz 2 2 2 2 3" xfId="159" xr:uid="{00000000-0005-0000-0000-00009E000000}"/>
    <cellStyle name="Hypertextový odkaz 2 2 2 3" xfId="160" xr:uid="{00000000-0005-0000-0000-00009F000000}"/>
    <cellStyle name="Hypertextový odkaz 2 2 2 3 2" xfId="161" xr:uid="{00000000-0005-0000-0000-0000A0000000}"/>
    <cellStyle name="Hypertextový odkaz 2 2 2 3 2 2" xfId="162" xr:uid="{00000000-0005-0000-0000-0000A1000000}"/>
    <cellStyle name="Hypertextový odkaz 2 2 2 3 3" xfId="163" xr:uid="{00000000-0005-0000-0000-0000A2000000}"/>
    <cellStyle name="Hypertextový odkaz 2 2 2 4" xfId="164" xr:uid="{00000000-0005-0000-0000-0000A3000000}"/>
    <cellStyle name="Hypertextový odkaz 2 2 3" xfId="165" xr:uid="{00000000-0005-0000-0000-0000A4000000}"/>
    <cellStyle name="Hypertextový odkaz 2 2 3 2" xfId="166" xr:uid="{00000000-0005-0000-0000-0000A5000000}"/>
    <cellStyle name="Hypertextový odkaz 2 2 3 2 2" xfId="167" xr:uid="{00000000-0005-0000-0000-0000A6000000}"/>
    <cellStyle name="Hypertextový odkaz 2 2 3 3" xfId="168" xr:uid="{00000000-0005-0000-0000-0000A7000000}"/>
    <cellStyle name="Hypertextový odkaz 2 2 4" xfId="169" xr:uid="{00000000-0005-0000-0000-0000A8000000}"/>
    <cellStyle name="Hypertextový odkaz 2 3" xfId="170" xr:uid="{00000000-0005-0000-0000-0000A9000000}"/>
    <cellStyle name="Hypertextový odkaz 2 3 2" xfId="171" xr:uid="{00000000-0005-0000-0000-0000AA000000}"/>
    <cellStyle name="Hypertextový odkaz 2 3 2 2" xfId="172" xr:uid="{00000000-0005-0000-0000-0000AB000000}"/>
    <cellStyle name="Hypertextový odkaz 2 3 2 2 2" xfId="173" xr:uid="{00000000-0005-0000-0000-0000AC000000}"/>
    <cellStyle name="Hypertextový odkaz 2 3 2 2 2 2" xfId="174" xr:uid="{00000000-0005-0000-0000-0000AD000000}"/>
    <cellStyle name="Hypertextový odkaz 2 3 2 2 3" xfId="175" xr:uid="{00000000-0005-0000-0000-0000AE000000}"/>
    <cellStyle name="Hypertextový odkaz 2 3 2 3" xfId="176" xr:uid="{00000000-0005-0000-0000-0000AF000000}"/>
    <cellStyle name="Hypertextový odkaz 2 3 3" xfId="177" xr:uid="{00000000-0005-0000-0000-0000B0000000}"/>
    <cellStyle name="Hypertextový odkaz 2 3 3 2" xfId="178" xr:uid="{00000000-0005-0000-0000-0000B1000000}"/>
    <cellStyle name="Hypertextový odkaz 2 3 3 2 2" xfId="179" xr:uid="{00000000-0005-0000-0000-0000B2000000}"/>
    <cellStyle name="Hypertextový odkaz 2 3 3 2 2 2" xfId="180" xr:uid="{00000000-0005-0000-0000-0000B3000000}"/>
    <cellStyle name="Hypertextový odkaz 2 3 3 2 2 2 2" xfId="181" xr:uid="{00000000-0005-0000-0000-0000B4000000}"/>
    <cellStyle name="Hypertextový odkaz 2 3 3 2 2 3" xfId="182" xr:uid="{00000000-0005-0000-0000-0000B5000000}"/>
    <cellStyle name="Hypertextový odkaz 2 3 3 2 3" xfId="183" xr:uid="{00000000-0005-0000-0000-0000B6000000}"/>
    <cellStyle name="Hypertextový odkaz 2 3 3 3" xfId="184" xr:uid="{00000000-0005-0000-0000-0000B7000000}"/>
    <cellStyle name="Hypertextový odkaz 2 3 3 3 2" xfId="185" xr:uid="{00000000-0005-0000-0000-0000B8000000}"/>
    <cellStyle name="Hypertextový odkaz 2 3 3 3 2 2" xfId="186" xr:uid="{00000000-0005-0000-0000-0000B9000000}"/>
    <cellStyle name="Hypertextový odkaz 2 3 3 3 3" xfId="187" xr:uid="{00000000-0005-0000-0000-0000BA000000}"/>
    <cellStyle name="Hypertextový odkaz 2 3 3 4" xfId="188" xr:uid="{00000000-0005-0000-0000-0000BB000000}"/>
    <cellStyle name="Hypertextový odkaz 2 3 4" xfId="189" xr:uid="{00000000-0005-0000-0000-0000BC000000}"/>
    <cellStyle name="Hypertextový odkaz 2 3 4 2" xfId="190" xr:uid="{00000000-0005-0000-0000-0000BD000000}"/>
    <cellStyle name="Hypertextový odkaz 2 3 4 2 2" xfId="191" xr:uid="{00000000-0005-0000-0000-0000BE000000}"/>
    <cellStyle name="Hypertextový odkaz 2 3 4 3" xfId="192" xr:uid="{00000000-0005-0000-0000-0000BF000000}"/>
    <cellStyle name="Hypertextový odkaz 2 3 5" xfId="193" xr:uid="{00000000-0005-0000-0000-0000C0000000}"/>
    <cellStyle name="Hypertextový odkaz 2 4" xfId="194" xr:uid="{00000000-0005-0000-0000-0000C1000000}"/>
    <cellStyle name="Hypertextový odkaz 2 4 2" xfId="195" xr:uid="{00000000-0005-0000-0000-0000C2000000}"/>
    <cellStyle name="Hypertextový odkaz 2 4 2 2" xfId="196" xr:uid="{00000000-0005-0000-0000-0000C3000000}"/>
    <cellStyle name="Hypertextový odkaz 2 4 2 2 2" xfId="197" xr:uid="{00000000-0005-0000-0000-0000C4000000}"/>
    <cellStyle name="Hypertextový odkaz 2 4 2 2 2 2" xfId="198" xr:uid="{00000000-0005-0000-0000-0000C5000000}"/>
    <cellStyle name="Hypertextový odkaz 2 4 2 2 3" xfId="199" xr:uid="{00000000-0005-0000-0000-0000C6000000}"/>
    <cellStyle name="Hypertextový odkaz 2 4 2 3" xfId="200" xr:uid="{00000000-0005-0000-0000-0000C7000000}"/>
    <cellStyle name="Hypertextový odkaz 2 4 3" xfId="201" xr:uid="{00000000-0005-0000-0000-0000C8000000}"/>
    <cellStyle name="Hypertextový odkaz 2 4 3 2" xfId="202" xr:uid="{00000000-0005-0000-0000-0000C9000000}"/>
    <cellStyle name="Hypertextový odkaz 2 4 3 2 2" xfId="203" xr:uid="{00000000-0005-0000-0000-0000CA000000}"/>
    <cellStyle name="Hypertextový odkaz 2 4 3 3" xfId="204" xr:uid="{00000000-0005-0000-0000-0000CB000000}"/>
    <cellStyle name="Hypertextový odkaz 2 4 4" xfId="205" xr:uid="{00000000-0005-0000-0000-0000CC000000}"/>
    <cellStyle name="Hypertextový odkaz 2 5" xfId="206" xr:uid="{00000000-0005-0000-0000-0000CD000000}"/>
    <cellStyle name="Hypertextový odkaz 2 5 2" xfId="207" xr:uid="{00000000-0005-0000-0000-0000CE000000}"/>
    <cellStyle name="Hypertextový odkaz 2 5 2 2" xfId="208" xr:uid="{00000000-0005-0000-0000-0000CF000000}"/>
    <cellStyle name="Hypertextový odkaz 2 5 3" xfId="209" xr:uid="{00000000-0005-0000-0000-0000D0000000}"/>
    <cellStyle name="Hypertextový odkaz 2 6" xfId="210" xr:uid="{00000000-0005-0000-0000-0000D1000000}"/>
    <cellStyle name="Hypertextový odkaz 3" xfId="211" xr:uid="{00000000-0005-0000-0000-0000D2000000}"/>
    <cellStyle name="Hypertextový odkaz 3 2" xfId="212" xr:uid="{00000000-0005-0000-0000-0000D3000000}"/>
    <cellStyle name="Hypertextový odkaz 4" xfId="213" xr:uid="{00000000-0005-0000-0000-0000D4000000}"/>
    <cellStyle name="Hypertextový odkaz 4 2" xfId="214" xr:uid="{00000000-0005-0000-0000-0000D5000000}"/>
    <cellStyle name="Hypertextový odkaz 4 2 2" xfId="215" xr:uid="{00000000-0005-0000-0000-0000D6000000}"/>
    <cellStyle name="Hypertextový odkaz 4 2 2 2" xfId="216" xr:uid="{00000000-0005-0000-0000-0000D7000000}"/>
    <cellStyle name="Hypertextový odkaz 4 2 3" xfId="217" xr:uid="{00000000-0005-0000-0000-0000D8000000}"/>
    <cellStyle name="Hypertextový odkaz 4 3" xfId="218" xr:uid="{00000000-0005-0000-0000-0000D9000000}"/>
    <cellStyle name="Hypertextový odkaz 5" xfId="219" xr:uid="{00000000-0005-0000-0000-0000DA000000}"/>
    <cellStyle name="Hypertextový odkaz 5 2" xfId="220" xr:uid="{00000000-0005-0000-0000-0000DB000000}"/>
    <cellStyle name="Hypertextový odkaz 5 2 2" xfId="221" xr:uid="{00000000-0005-0000-0000-0000DC000000}"/>
    <cellStyle name="Hypertextový odkaz 5 2 2 2" xfId="222" xr:uid="{00000000-0005-0000-0000-0000DD000000}"/>
    <cellStyle name="Hypertextový odkaz 5 2 3" xfId="223" xr:uid="{00000000-0005-0000-0000-0000DE000000}"/>
    <cellStyle name="Hypertextový odkaz 5 3" xfId="224" xr:uid="{00000000-0005-0000-0000-0000DF000000}"/>
    <cellStyle name="Hypertextový odkaz 5 4" xfId="225" xr:uid="{00000000-0005-0000-0000-0000E0000000}"/>
    <cellStyle name="Hypertextový odkaz 6" xfId="226" xr:uid="{00000000-0005-0000-0000-0000E1000000}"/>
    <cellStyle name="Hypertextový odkaz 6 2" xfId="227" xr:uid="{00000000-0005-0000-0000-0000E2000000}"/>
    <cellStyle name="Hypertextový odkaz 6 2 2" xfId="228" xr:uid="{00000000-0005-0000-0000-0000E3000000}"/>
    <cellStyle name="Hypertextový odkaz 6 3" xfId="229" xr:uid="{00000000-0005-0000-0000-0000E4000000}"/>
    <cellStyle name="Měna 2" xfId="230" xr:uid="{00000000-0005-0000-0000-0000E5000000}"/>
    <cellStyle name="Měna 2 2" xfId="231" xr:uid="{00000000-0005-0000-0000-0000E6000000}"/>
    <cellStyle name="Měna 2 2 2" xfId="232" xr:uid="{00000000-0005-0000-0000-0000E7000000}"/>
    <cellStyle name="Měna 2 2 3" xfId="233" xr:uid="{00000000-0005-0000-0000-0000E8000000}"/>
    <cellStyle name="Měna 2 3" xfId="234" xr:uid="{00000000-0005-0000-0000-0000E9000000}"/>
    <cellStyle name="Normální" xfId="0" builtinId="0"/>
    <cellStyle name="Normální 10" xfId="235" xr:uid="{00000000-0005-0000-0000-0000EB000000}"/>
    <cellStyle name="Normální 10 2" xfId="236" xr:uid="{00000000-0005-0000-0000-0000EC000000}"/>
    <cellStyle name="Normální 10 2 2" xfId="237" xr:uid="{00000000-0005-0000-0000-0000ED000000}"/>
    <cellStyle name="Normální 10 2 2 2" xfId="238" xr:uid="{00000000-0005-0000-0000-0000EE000000}"/>
    <cellStyle name="Normální 10 2 2 2 2" xfId="239" xr:uid="{00000000-0005-0000-0000-0000EF000000}"/>
    <cellStyle name="Normální 10 2 2 2 2 2" xfId="240" xr:uid="{00000000-0005-0000-0000-0000F0000000}"/>
    <cellStyle name="Normální 10 2 2 2 2 2 2" xfId="241" xr:uid="{00000000-0005-0000-0000-0000F1000000}"/>
    <cellStyle name="Normální 10 2 2 2 3" xfId="242" xr:uid="{00000000-0005-0000-0000-0000F2000000}"/>
    <cellStyle name="Normální 10 2 2 3" xfId="243" xr:uid="{00000000-0005-0000-0000-0000F3000000}"/>
    <cellStyle name="Normální 10 2 3" xfId="244" xr:uid="{00000000-0005-0000-0000-0000F4000000}"/>
    <cellStyle name="Normální 10 2 3 2" xfId="245" xr:uid="{00000000-0005-0000-0000-0000F5000000}"/>
    <cellStyle name="Normální 10 2 3 2 2" xfId="246" xr:uid="{00000000-0005-0000-0000-0000F6000000}"/>
    <cellStyle name="Normální 10 2 3 2 2 2" xfId="247" xr:uid="{00000000-0005-0000-0000-0000F7000000}"/>
    <cellStyle name="Normální 10 2 3 2 3" xfId="248" xr:uid="{00000000-0005-0000-0000-0000F8000000}"/>
    <cellStyle name="Normální 10 2 3 3" xfId="249" xr:uid="{00000000-0005-0000-0000-0000F9000000}"/>
    <cellStyle name="Normální 10 2 4" xfId="250" xr:uid="{00000000-0005-0000-0000-0000FA000000}"/>
    <cellStyle name="Normální 10 2 4 2" xfId="251" xr:uid="{00000000-0005-0000-0000-0000FB000000}"/>
    <cellStyle name="Normální 10 2 4 2 2" xfId="252" xr:uid="{00000000-0005-0000-0000-0000FC000000}"/>
    <cellStyle name="Normální 10 2 4 3" xfId="253" xr:uid="{00000000-0005-0000-0000-0000FD000000}"/>
    <cellStyle name="Normální 10 2 5" xfId="254" xr:uid="{00000000-0005-0000-0000-0000FE000000}"/>
    <cellStyle name="Normální 10 3" xfId="255" xr:uid="{00000000-0005-0000-0000-0000FF000000}"/>
    <cellStyle name="Normální 10 3 2" xfId="256" xr:uid="{00000000-0005-0000-0000-000000010000}"/>
    <cellStyle name="Normální 10 3 2 2" xfId="257" xr:uid="{00000000-0005-0000-0000-000001010000}"/>
    <cellStyle name="Normální 10 3 2 2 2" xfId="258" xr:uid="{00000000-0005-0000-0000-000002010000}"/>
    <cellStyle name="Normální 10 3 2 3" xfId="259" xr:uid="{00000000-0005-0000-0000-000003010000}"/>
    <cellStyle name="Normální 10 3 3" xfId="260" xr:uid="{00000000-0005-0000-0000-000004010000}"/>
    <cellStyle name="Normální 10 4" xfId="261" xr:uid="{00000000-0005-0000-0000-000005010000}"/>
    <cellStyle name="Normální 10 4 2" xfId="262" xr:uid="{00000000-0005-0000-0000-000006010000}"/>
    <cellStyle name="Normální 10 4 2 2" xfId="263" xr:uid="{00000000-0005-0000-0000-000007010000}"/>
    <cellStyle name="Normální 10 4 3" xfId="264" xr:uid="{00000000-0005-0000-0000-000008010000}"/>
    <cellStyle name="Normální 10 5" xfId="265" xr:uid="{00000000-0005-0000-0000-000009010000}"/>
    <cellStyle name="Normální 11" xfId="266" xr:uid="{00000000-0005-0000-0000-00000A010000}"/>
    <cellStyle name="Normální 11 2" xfId="267" xr:uid="{00000000-0005-0000-0000-00000B010000}"/>
    <cellStyle name="Normální 12" xfId="268" xr:uid="{00000000-0005-0000-0000-00000C010000}"/>
    <cellStyle name="Normální 12 2" xfId="269" xr:uid="{00000000-0005-0000-0000-00000D010000}"/>
    <cellStyle name="Normální 12 2 2" xfId="270" xr:uid="{00000000-0005-0000-0000-00000E010000}"/>
    <cellStyle name="Normální 12 2 2 2" xfId="271" xr:uid="{00000000-0005-0000-0000-00000F010000}"/>
    <cellStyle name="Normální 12 2 2 2 2" xfId="272" xr:uid="{00000000-0005-0000-0000-000010010000}"/>
    <cellStyle name="Normální 12 2 2 2 2 2" xfId="273" xr:uid="{00000000-0005-0000-0000-000011010000}"/>
    <cellStyle name="Normální 12 2 2 2 3" xfId="274" xr:uid="{00000000-0005-0000-0000-000012010000}"/>
    <cellStyle name="Normální 12 2 2 3" xfId="275" xr:uid="{00000000-0005-0000-0000-000013010000}"/>
    <cellStyle name="Normální 12 2 3" xfId="276" xr:uid="{00000000-0005-0000-0000-000014010000}"/>
    <cellStyle name="Normální 12 2 3 2" xfId="277" xr:uid="{00000000-0005-0000-0000-000015010000}"/>
    <cellStyle name="Normální 12 2 3 2 2" xfId="278" xr:uid="{00000000-0005-0000-0000-000016010000}"/>
    <cellStyle name="Normální 12 2 3 2 2 2" xfId="279" xr:uid="{00000000-0005-0000-0000-000017010000}"/>
    <cellStyle name="Normální 12 2 3 2 3" xfId="280" xr:uid="{00000000-0005-0000-0000-000018010000}"/>
    <cellStyle name="Normální 12 2 3 3" xfId="281" xr:uid="{00000000-0005-0000-0000-000019010000}"/>
    <cellStyle name="Normální 12 2 4" xfId="282" xr:uid="{00000000-0005-0000-0000-00001A010000}"/>
    <cellStyle name="Normální 12 2 4 2" xfId="283" xr:uid="{00000000-0005-0000-0000-00001B010000}"/>
    <cellStyle name="Normální 12 2 4 2 2" xfId="284" xr:uid="{00000000-0005-0000-0000-00001C010000}"/>
    <cellStyle name="Normální 12 2 4 3" xfId="285" xr:uid="{00000000-0005-0000-0000-00001D010000}"/>
    <cellStyle name="Normální 12 2 5" xfId="286" xr:uid="{00000000-0005-0000-0000-00001E010000}"/>
    <cellStyle name="Normální 12 3" xfId="287" xr:uid="{00000000-0005-0000-0000-00001F010000}"/>
    <cellStyle name="Normální 12 3 2" xfId="288" xr:uid="{00000000-0005-0000-0000-000020010000}"/>
    <cellStyle name="Normální 12 3 2 2" xfId="289" xr:uid="{00000000-0005-0000-0000-000021010000}"/>
    <cellStyle name="Normální 12 3 2 2 2" xfId="290" xr:uid="{00000000-0005-0000-0000-000022010000}"/>
    <cellStyle name="Normální 12 3 2 3" xfId="291" xr:uid="{00000000-0005-0000-0000-000023010000}"/>
    <cellStyle name="Normální 12 3 3" xfId="292" xr:uid="{00000000-0005-0000-0000-000024010000}"/>
    <cellStyle name="Normální 12 4" xfId="293" xr:uid="{00000000-0005-0000-0000-000025010000}"/>
    <cellStyle name="Normální 12 4 2" xfId="294" xr:uid="{00000000-0005-0000-0000-000026010000}"/>
    <cellStyle name="Normální 12 4 2 2" xfId="295" xr:uid="{00000000-0005-0000-0000-000027010000}"/>
    <cellStyle name="Normální 12 4 3" xfId="296" xr:uid="{00000000-0005-0000-0000-000028010000}"/>
    <cellStyle name="Normální 12 5" xfId="297" xr:uid="{00000000-0005-0000-0000-000029010000}"/>
    <cellStyle name="Normální 13" xfId="298" xr:uid="{00000000-0005-0000-0000-00002A010000}"/>
    <cellStyle name="Normální 13 2" xfId="299" xr:uid="{00000000-0005-0000-0000-00002B010000}"/>
    <cellStyle name="Normální 13 2 2" xfId="300" xr:uid="{00000000-0005-0000-0000-00002C010000}"/>
    <cellStyle name="Normální 13 2 2 2" xfId="301" xr:uid="{00000000-0005-0000-0000-00002D010000}"/>
    <cellStyle name="Normální 13 2 2 2 2" xfId="302" xr:uid="{00000000-0005-0000-0000-00002E010000}"/>
    <cellStyle name="Normální 13 2 2 3" xfId="303" xr:uid="{00000000-0005-0000-0000-00002F010000}"/>
    <cellStyle name="Normální 13 2 3" xfId="304" xr:uid="{00000000-0005-0000-0000-000030010000}"/>
    <cellStyle name="Normální 13 3" xfId="305" xr:uid="{00000000-0005-0000-0000-000031010000}"/>
    <cellStyle name="Normální 13 3 2" xfId="306" xr:uid="{00000000-0005-0000-0000-000032010000}"/>
    <cellStyle name="Normální 13 3 2 2" xfId="307" xr:uid="{00000000-0005-0000-0000-000033010000}"/>
    <cellStyle name="Normální 13 3 3" xfId="308" xr:uid="{00000000-0005-0000-0000-000034010000}"/>
    <cellStyle name="Normální 13 4" xfId="309" xr:uid="{00000000-0005-0000-0000-000035010000}"/>
    <cellStyle name="Normální 14" xfId="310" xr:uid="{00000000-0005-0000-0000-000036010000}"/>
    <cellStyle name="Normální 14 2" xfId="311" xr:uid="{00000000-0005-0000-0000-000037010000}"/>
    <cellStyle name="Normální 14 2 2" xfId="312" xr:uid="{00000000-0005-0000-0000-000038010000}"/>
    <cellStyle name="Normální 14 2 2 2" xfId="313" xr:uid="{00000000-0005-0000-0000-000039010000}"/>
    <cellStyle name="Normální 14 2 2 2 2" xfId="314" xr:uid="{00000000-0005-0000-0000-00003A010000}"/>
    <cellStyle name="Normální 14 2 2 3" xfId="315" xr:uid="{00000000-0005-0000-0000-00003B010000}"/>
    <cellStyle name="Normální 14 2 3" xfId="316" xr:uid="{00000000-0005-0000-0000-00003C010000}"/>
    <cellStyle name="Normální 14 3" xfId="317" xr:uid="{00000000-0005-0000-0000-00003D010000}"/>
    <cellStyle name="Normální 14 3 2" xfId="318" xr:uid="{00000000-0005-0000-0000-00003E010000}"/>
    <cellStyle name="Normální 14 3 2 2" xfId="319" xr:uid="{00000000-0005-0000-0000-00003F010000}"/>
    <cellStyle name="Normální 14 3 2 2 2" xfId="320" xr:uid="{00000000-0005-0000-0000-000040010000}"/>
    <cellStyle name="Normální 14 3 2 3" xfId="321" xr:uid="{00000000-0005-0000-0000-000041010000}"/>
    <cellStyle name="Normální 14 3 3" xfId="322" xr:uid="{00000000-0005-0000-0000-000042010000}"/>
    <cellStyle name="Normální 14 4" xfId="323" xr:uid="{00000000-0005-0000-0000-000043010000}"/>
    <cellStyle name="Normální 14 4 2" xfId="324" xr:uid="{00000000-0005-0000-0000-000044010000}"/>
    <cellStyle name="Normální 14 4 2 2" xfId="325" xr:uid="{00000000-0005-0000-0000-000045010000}"/>
    <cellStyle name="Normální 14 4 3" xfId="326" xr:uid="{00000000-0005-0000-0000-000046010000}"/>
    <cellStyle name="Normální 14 5" xfId="327" xr:uid="{00000000-0005-0000-0000-000047010000}"/>
    <cellStyle name="Normální 15" xfId="328" xr:uid="{00000000-0005-0000-0000-000048010000}"/>
    <cellStyle name="Normální 15 2" xfId="329" xr:uid="{00000000-0005-0000-0000-000049010000}"/>
    <cellStyle name="Normální 15 2 2" xfId="330" xr:uid="{00000000-0005-0000-0000-00004A010000}"/>
    <cellStyle name="Normální 15 2 2 2" xfId="331" xr:uid="{00000000-0005-0000-0000-00004B010000}"/>
    <cellStyle name="Normální 15 2 3" xfId="332" xr:uid="{00000000-0005-0000-0000-00004C010000}"/>
    <cellStyle name="Normální 15 3" xfId="333" xr:uid="{00000000-0005-0000-0000-00004D010000}"/>
    <cellStyle name="Normální 16" xfId="334" xr:uid="{00000000-0005-0000-0000-00004E010000}"/>
    <cellStyle name="Normální 16 2" xfId="335" xr:uid="{00000000-0005-0000-0000-00004F010000}"/>
    <cellStyle name="Normální 16 2 2" xfId="2073" xr:uid="{00000000-0005-0000-0000-000050010000}"/>
    <cellStyle name="Normální 16 3" xfId="336" xr:uid="{00000000-0005-0000-0000-000051010000}"/>
    <cellStyle name="Normální 16 4" xfId="337" xr:uid="{00000000-0005-0000-0000-000052010000}"/>
    <cellStyle name="Normální 16 5" xfId="2072" xr:uid="{00000000-0005-0000-0000-000053010000}"/>
    <cellStyle name="Normální 17" xfId="338" xr:uid="{00000000-0005-0000-0000-000054010000}"/>
    <cellStyle name="Normální 17 2" xfId="339" xr:uid="{00000000-0005-0000-0000-000055010000}"/>
    <cellStyle name="Normální 17 2 2" xfId="340" xr:uid="{00000000-0005-0000-0000-000056010000}"/>
    <cellStyle name="Normální 17 2 2 2" xfId="341" xr:uid="{00000000-0005-0000-0000-000057010000}"/>
    <cellStyle name="Normální 17 2 3" xfId="342" xr:uid="{00000000-0005-0000-0000-000058010000}"/>
    <cellStyle name="Normální 17 3" xfId="343" xr:uid="{00000000-0005-0000-0000-000059010000}"/>
    <cellStyle name="Normální 18" xfId="344" xr:uid="{00000000-0005-0000-0000-00005A010000}"/>
    <cellStyle name="Normální 18 2" xfId="345" xr:uid="{00000000-0005-0000-0000-00005B010000}"/>
    <cellStyle name="Normální 18 2 2" xfId="346" xr:uid="{00000000-0005-0000-0000-00005C010000}"/>
    <cellStyle name="Normální 18 3" xfId="347" xr:uid="{00000000-0005-0000-0000-00005D010000}"/>
    <cellStyle name="Normální 18 3 2" xfId="348" xr:uid="{00000000-0005-0000-0000-00005E010000}"/>
    <cellStyle name="Normální 18 3 2 2" xfId="349" xr:uid="{00000000-0005-0000-0000-00005F010000}"/>
    <cellStyle name="Normální 18 3 3" xfId="350" xr:uid="{00000000-0005-0000-0000-000060010000}"/>
    <cellStyle name="Normální 19" xfId="351" xr:uid="{00000000-0005-0000-0000-000061010000}"/>
    <cellStyle name="Normální 19 2" xfId="352" xr:uid="{00000000-0005-0000-0000-000062010000}"/>
    <cellStyle name="Normální 19 2 2" xfId="353" xr:uid="{00000000-0005-0000-0000-000063010000}"/>
    <cellStyle name="Normální 19 2 2 2" xfId="354" xr:uid="{00000000-0005-0000-0000-000064010000}"/>
    <cellStyle name="Normální 19 2 3" xfId="355" xr:uid="{00000000-0005-0000-0000-000065010000}"/>
    <cellStyle name="Normální 19 3" xfId="356" xr:uid="{00000000-0005-0000-0000-000066010000}"/>
    <cellStyle name="normální 2" xfId="357" xr:uid="{00000000-0005-0000-0000-000067010000}"/>
    <cellStyle name="Normální 2 10" xfId="358" xr:uid="{00000000-0005-0000-0000-000068010000}"/>
    <cellStyle name="Normální 2 10 2" xfId="359" xr:uid="{00000000-0005-0000-0000-000069010000}"/>
    <cellStyle name="Normální 2 10 2 2" xfId="360" xr:uid="{00000000-0005-0000-0000-00006A010000}"/>
    <cellStyle name="Normální 2 10 2 2 2" xfId="361" xr:uid="{00000000-0005-0000-0000-00006B010000}"/>
    <cellStyle name="Normální 2 10 2 3" xfId="362" xr:uid="{00000000-0005-0000-0000-00006C010000}"/>
    <cellStyle name="normální 2 11" xfId="363" xr:uid="{00000000-0005-0000-0000-00006D010000}"/>
    <cellStyle name="normální 2 11 2" xfId="364" xr:uid="{00000000-0005-0000-0000-00006E010000}"/>
    <cellStyle name="normální 2 11 2 2" xfId="365" xr:uid="{00000000-0005-0000-0000-00006F010000}"/>
    <cellStyle name="normální 2 11 2 2 2" xfId="366" xr:uid="{00000000-0005-0000-0000-000070010000}"/>
    <cellStyle name="normální 2 11 2 3" xfId="367" xr:uid="{00000000-0005-0000-0000-000071010000}"/>
    <cellStyle name="normální 2 12" xfId="368" xr:uid="{00000000-0005-0000-0000-000072010000}"/>
    <cellStyle name="normální 2 12 2" xfId="369" xr:uid="{00000000-0005-0000-0000-000073010000}"/>
    <cellStyle name="normální 2 12 2 2" xfId="370" xr:uid="{00000000-0005-0000-0000-000074010000}"/>
    <cellStyle name="normální 2 12 3" xfId="371" xr:uid="{00000000-0005-0000-0000-000075010000}"/>
    <cellStyle name="normální 2 13" xfId="372" xr:uid="{00000000-0005-0000-0000-000076010000}"/>
    <cellStyle name="normální 2 13 2" xfId="373" xr:uid="{00000000-0005-0000-0000-000077010000}"/>
    <cellStyle name="normální 2 13 2 2" xfId="374" xr:uid="{00000000-0005-0000-0000-000078010000}"/>
    <cellStyle name="normální 2 13 3" xfId="375" xr:uid="{00000000-0005-0000-0000-000079010000}"/>
    <cellStyle name="Normální 2 14" xfId="376" xr:uid="{00000000-0005-0000-0000-00007A010000}"/>
    <cellStyle name="Normální 2 15" xfId="377" xr:uid="{00000000-0005-0000-0000-00007B010000}"/>
    <cellStyle name="Normální 2 2" xfId="378" xr:uid="{00000000-0005-0000-0000-00007C010000}"/>
    <cellStyle name="Normální 2 2 2" xfId="379" xr:uid="{00000000-0005-0000-0000-00007D010000}"/>
    <cellStyle name="Normální 2 2 2 2" xfId="380" xr:uid="{00000000-0005-0000-0000-00007E010000}"/>
    <cellStyle name="Normální 2 2 2 2 2" xfId="381" xr:uid="{00000000-0005-0000-0000-00007F010000}"/>
    <cellStyle name="Normální 2 2 2 2 2 2" xfId="382" xr:uid="{00000000-0005-0000-0000-000080010000}"/>
    <cellStyle name="Normální 2 2 2 2 2 2 2" xfId="383" xr:uid="{00000000-0005-0000-0000-000081010000}"/>
    <cellStyle name="Normální 2 2 2 2 2 2 2 2" xfId="384" xr:uid="{00000000-0005-0000-0000-000082010000}"/>
    <cellStyle name="Normální 2 2 2 2 2 2 2 2 2" xfId="385" xr:uid="{00000000-0005-0000-0000-000083010000}"/>
    <cellStyle name="Normální 2 2 2 2 2 2 2 3" xfId="386" xr:uid="{00000000-0005-0000-0000-000084010000}"/>
    <cellStyle name="Normální 2 2 2 2 2 3" xfId="387" xr:uid="{00000000-0005-0000-0000-000085010000}"/>
    <cellStyle name="Normální 2 2 2 2 2 3 2" xfId="388" xr:uid="{00000000-0005-0000-0000-000086010000}"/>
    <cellStyle name="Normální 2 2 2 2 2 3 2 2" xfId="389" xr:uid="{00000000-0005-0000-0000-000087010000}"/>
    <cellStyle name="Normální 2 2 2 2 2 3 3" xfId="390" xr:uid="{00000000-0005-0000-0000-000088010000}"/>
    <cellStyle name="Normální 2 2 2 2 3" xfId="391" xr:uid="{00000000-0005-0000-0000-000089010000}"/>
    <cellStyle name="Normální 2 2 2 2 3 2" xfId="392" xr:uid="{00000000-0005-0000-0000-00008A010000}"/>
    <cellStyle name="Normální 2 2 2 2 3 2 2" xfId="393" xr:uid="{00000000-0005-0000-0000-00008B010000}"/>
    <cellStyle name="Normální 2 2 2 2 3 3" xfId="394" xr:uid="{00000000-0005-0000-0000-00008C010000}"/>
    <cellStyle name="Normální 2 2 2 3" xfId="395" xr:uid="{00000000-0005-0000-0000-00008D010000}"/>
    <cellStyle name="Normální 2 2 2 3 2" xfId="396" xr:uid="{00000000-0005-0000-0000-00008E010000}"/>
    <cellStyle name="Normální 2 2 2 3 2 2" xfId="397" xr:uid="{00000000-0005-0000-0000-00008F010000}"/>
    <cellStyle name="Normální 2 2 2 3 2 2 2" xfId="398" xr:uid="{00000000-0005-0000-0000-000090010000}"/>
    <cellStyle name="Normální 2 2 2 3 2 2 2 2" xfId="399" xr:uid="{00000000-0005-0000-0000-000091010000}"/>
    <cellStyle name="Normální 2 2 2 3 2 2 3" xfId="400" xr:uid="{00000000-0005-0000-0000-000092010000}"/>
    <cellStyle name="Normální 2 2 2 3 3" xfId="401" xr:uid="{00000000-0005-0000-0000-000093010000}"/>
    <cellStyle name="Normální 2 2 2 3 3 2" xfId="402" xr:uid="{00000000-0005-0000-0000-000094010000}"/>
    <cellStyle name="Normální 2 2 2 3 3 2 2" xfId="403" xr:uid="{00000000-0005-0000-0000-000095010000}"/>
    <cellStyle name="Normální 2 2 2 3 3 2 2 2" xfId="404" xr:uid="{00000000-0005-0000-0000-000096010000}"/>
    <cellStyle name="Normální 2 2 2 3 3 2 2 2 2" xfId="405" xr:uid="{00000000-0005-0000-0000-000097010000}"/>
    <cellStyle name="Normální 2 2 2 3 3 2 2 3" xfId="406" xr:uid="{00000000-0005-0000-0000-000098010000}"/>
    <cellStyle name="Normální 2 2 2 3 3 3" xfId="407" xr:uid="{00000000-0005-0000-0000-000099010000}"/>
    <cellStyle name="Normální 2 2 2 3 3 3 2" xfId="408" xr:uid="{00000000-0005-0000-0000-00009A010000}"/>
    <cellStyle name="Normální 2 2 2 3 3 3 2 2" xfId="409" xr:uid="{00000000-0005-0000-0000-00009B010000}"/>
    <cellStyle name="Normální 2 2 2 3 3 3 3" xfId="410" xr:uid="{00000000-0005-0000-0000-00009C010000}"/>
    <cellStyle name="Normální 2 2 2 3 4" xfId="411" xr:uid="{00000000-0005-0000-0000-00009D010000}"/>
    <cellStyle name="Normální 2 2 2 3 4 2" xfId="412" xr:uid="{00000000-0005-0000-0000-00009E010000}"/>
    <cellStyle name="Normální 2 2 2 3 4 2 2" xfId="413" xr:uid="{00000000-0005-0000-0000-00009F010000}"/>
    <cellStyle name="Normální 2 2 2 3 4 3" xfId="414" xr:uid="{00000000-0005-0000-0000-0000A0010000}"/>
    <cellStyle name="Normální 2 2 2 4" xfId="415" xr:uid="{00000000-0005-0000-0000-0000A1010000}"/>
    <cellStyle name="Normální 2 2 2 4 2" xfId="416" xr:uid="{00000000-0005-0000-0000-0000A2010000}"/>
    <cellStyle name="Normální 2 2 2 4 2 2" xfId="417" xr:uid="{00000000-0005-0000-0000-0000A3010000}"/>
    <cellStyle name="Normální 2 2 2 4 2 2 2" xfId="418" xr:uid="{00000000-0005-0000-0000-0000A4010000}"/>
    <cellStyle name="Normální 2 2 2 4 2 2 2 2" xfId="419" xr:uid="{00000000-0005-0000-0000-0000A5010000}"/>
    <cellStyle name="Normální 2 2 2 4 2 2 3" xfId="420" xr:uid="{00000000-0005-0000-0000-0000A6010000}"/>
    <cellStyle name="Normální 2 2 2 4 3" xfId="421" xr:uid="{00000000-0005-0000-0000-0000A7010000}"/>
    <cellStyle name="Normální 2 2 2 4 3 2" xfId="422" xr:uid="{00000000-0005-0000-0000-0000A8010000}"/>
    <cellStyle name="Normální 2 2 2 4 3 2 2" xfId="423" xr:uid="{00000000-0005-0000-0000-0000A9010000}"/>
    <cellStyle name="Normální 2 2 2 4 3 3" xfId="424" xr:uid="{00000000-0005-0000-0000-0000AA010000}"/>
    <cellStyle name="Normální 2 2 2 5" xfId="425" xr:uid="{00000000-0005-0000-0000-0000AB010000}"/>
    <cellStyle name="Normální 2 2 2 5 2" xfId="426" xr:uid="{00000000-0005-0000-0000-0000AC010000}"/>
    <cellStyle name="Normální 2 2 2 5 2 2" xfId="427" xr:uid="{00000000-0005-0000-0000-0000AD010000}"/>
    <cellStyle name="Normální 2 2 2 5 3" xfId="428" xr:uid="{00000000-0005-0000-0000-0000AE010000}"/>
    <cellStyle name="Normální 2 2 2 6" xfId="429" xr:uid="{00000000-0005-0000-0000-0000AF010000}"/>
    <cellStyle name="Normální 2 2 3" xfId="430" xr:uid="{00000000-0005-0000-0000-0000B0010000}"/>
    <cellStyle name="Normální 2 2 3 2" xfId="431" xr:uid="{00000000-0005-0000-0000-0000B1010000}"/>
    <cellStyle name="Normální 2 2 3 2 2" xfId="432" xr:uid="{00000000-0005-0000-0000-0000B2010000}"/>
    <cellStyle name="Normální 2 2 3 2 2 2" xfId="433" xr:uid="{00000000-0005-0000-0000-0000B3010000}"/>
    <cellStyle name="Normální 2 2 3 2 2 2 2" xfId="434" xr:uid="{00000000-0005-0000-0000-0000B4010000}"/>
    <cellStyle name="Normální 2 2 3 2 2 3" xfId="435" xr:uid="{00000000-0005-0000-0000-0000B5010000}"/>
    <cellStyle name="Normální 2 2 3 3" xfId="436" xr:uid="{00000000-0005-0000-0000-0000B6010000}"/>
    <cellStyle name="Normální 2 2 3 3 2" xfId="437" xr:uid="{00000000-0005-0000-0000-0000B7010000}"/>
    <cellStyle name="Normální 2 2 3 3 2 2" xfId="438" xr:uid="{00000000-0005-0000-0000-0000B8010000}"/>
    <cellStyle name="Normální 2 2 3 3 2 2 2" xfId="439" xr:uid="{00000000-0005-0000-0000-0000B9010000}"/>
    <cellStyle name="Normální 2 2 3 3 2 2 2 2" xfId="440" xr:uid="{00000000-0005-0000-0000-0000BA010000}"/>
    <cellStyle name="Normální 2 2 3 3 2 2 3" xfId="441" xr:uid="{00000000-0005-0000-0000-0000BB010000}"/>
    <cellStyle name="Normální 2 2 3 3 3" xfId="442" xr:uid="{00000000-0005-0000-0000-0000BC010000}"/>
    <cellStyle name="Normální 2 2 3 3 3 2" xfId="443" xr:uid="{00000000-0005-0000-0000-0000BD010000}"/>
    <cellStyle name="Normální 2 2 3 3 3 2 2" xfId="444" xr:uid="{00000000-0005-0000-0000-0000BE010000}"/>
    <cellStyle name="Normální 2 2 3 3 3 3" xfId="445" xr:uid="{00000000-0005-0000-0000-0000BF010000}"/>
    <cellStyle name="Normální 2 2 3 4" xfId="446" xr:uid="{00000000-0005-0000-0000-0000C0010000}"/>
    <cellStyle name="Normální 2 2 3 4 2" xfId="447" xr:uid="{00000000-0005-0000-0000-0000C1010000}"/>
    <cellStyle name="Normální 2 2 3 4 2 2" xfId="448" xr:uid="{00000000-0005-0000-0000-0000C2010000}"/>
    <cellStyle name="Normální 2 2 3 4 3" xfId="449" xr:uid="{00000000-0005-0000-0000-0000C3010000}"/>
    <cellStyle name="Normální 2 2 4" xfId="450" xr:uid="{00000000-0005-0000-0000-0000C4010000}"/>
    <cellStyle name="Normální 2 2 4 2" xfId="451" xr:uid="{00000000-0005-0000-0000-0000C5010000}"/>
    <cellStyle name="Normální 2 2 4 2 2" xfId="452" xr:uid="{00000000-0005-0000-0000-0000C6010000}"/>
    <cellStyle name="Normální 2 2 4 2 2 2" xfId="453" xr:uid="{00000000-0005-0000-0000-0000C7010000}"/>
    <cellStyle name="Normální 2 2 4 2 2 2 2" xfId="454" xr:uid="{00000000-0005-0000-0000-0000C8010000}"/>
    <cellStyle name="Normální 2 2 4 2 2 3" xfId="455" xr:uid="{00000000-0005-0000-0000-0000C9010000}"/>
    <cellStyle name="Normální 2 2 4 3" xfId="456" xr:uid="{00000000-0005-0000-0000-0000CA010000}"/>
    <cellStyle name="Normální 2 2 4 3 2" xfId="457" xr:uid="{00000000-0005-0000-0000-0000CB010000}"/>
    <cellStyle name="Normální 2 2 4 3 2 2" xfId="458" xr:uid="{00000000-0005-0000-0000-0000CC010000}"/>
    <cellStyle name="Normální 2 2 4 3 3" xfId="459" xr:uid="{00000000-0005-0000-0000-0000CD010000}"/>
    <cellStyle name="Normální 2 2 5" xfId="460" xr:uid="{00000000-0005-0000-0000-0000CE010000}"/>
    <cellStyle name="Normální 2 2 5 2" xfId="461" xr:uid="{00000000-0005-0000-0000-0000CF010000}"/>
    <cellStyle name="Normální 2 2 5 2 2" xfId="462" xr:uid="{00000000-0005-0000-0000-0000D0010000}"/>
    <cellStyle name="Normální 2 2 5 3" xfId="463" xr:uid="{00000000-0005-0000-0000-0000D1010000}"/>
    <cellStyle name="Normální 2 3" xfId="464" xr:uid="{00000000-0005-0000-0000-0000D2010000}"/>
    <cellStyle name="Normální 2 3 2" xfId="465" xr:uid="{00000000-0005-0000-0000-0000D3010000}"/>
    <cellStyle name="Normální 2 3 2 2" xfId="466" xr:uid="{00000000-0005-0000-0000-0000D4010000}"/>
    <cellStyle name="Normální 2 3 2 2 2" xfId="467" xr:uid="{00000000-0005-0000-0000-0000D5010000}"/>
    <cellStyle name="Normální 2 3 2 2 2 2" xfId="468" xr:uid="{00000000-0005-0000-0000-0000D6010000}"/>
    <cellStyle name="Normální 2 3 2 2 2 2 2" xfId="469" xr:uid="{00000000-0005-0000-0000-0000D7010000}"/>
    <cellStyle name="Normální 2 3 2 2 2 2 2 2" xfId="470" xr:uid="{00000000-0005-0000-0000-0000D8010000}"/>
    <cellStyle name="Normální 2 3 2 2 2 2 3" xfId="471" xr:uid="{00000000-0005-0000-0000-0000D9010000}"/>
    <cellStyle name="Normální 2 3 2 2 3" xfId="472" xr:uid="{00000000-0005-0000-0000-0000DA010000}"/>
    <cellStyle name="Normální 2 3 2 2 3 2" xfId="473" xr:uid="{00000000-0005-0000-0000-0000DB010000}"/>
    <cellStyle name="Normální 2 3 2 2 3 2 2" xfId="474" xr:uid="{00000000-0005-0000-0000-0000DC010000}"/>
    <cellStyle name="Normální 2 3 2 2 3 3" xfId="475" xr:uid="{00000000-0005-0000-0000-0000DD010000}"/>
    <cellStyle name="Normální 2 3 2 3" xfId="476" xr:uid="{00000000-0005-0000-0000-0000DE010000}"/>
    <cellStyle name="Normální 2 3 2 3 2" xfId="477" xr:uid="{00000000-0005-0000-0000-0000DF010000}"/>
    <cellStyle name="Normální 2 3 2 3 2 2" xfId="478" xr:uid="{00000000-0005-0000-0000-0000E0010000}"/>
    <cellStyle name="Normální 2 3 2 3 3" xfId="479" xr:uid="{00000000-0005-0000-0000-0000E1010000}"/>
    <cellStyle name="Normální 2 3 3" xfId="480" xr:uid="{00000000-0005-0000-0000-0000E2010000}"/>
    <cellStyle name="Normální 2 3 3 2" xfId="481" xr:uid="{00000000-0005-0000-0000-0000E3010000}"/>
    <cellStyle name="Normální 2 3 3 2 2" xfId="482" xr:uid="{00000000-0005-0000-0000-0000E4010000}"/>
    <cellStyle name="Normální 2 3 3 2 2 2" xfId="483" xr:uid="{00000000-0005-0000-0000-0000E5010000}"/>
    <cellStyle name="Normální 2 3 3 2 2 2 2" xfId="484" xr:uid="{00000000-0005-0000-0000-0000E6010000}"/>
    <cellStyle name="Normální 2 3 3 2 2 3" xfId="485" xr:uid="{00000000-0005-0000-0000-0000E7010000}"/>
    <cellStyle name="Normální 2 3 3 3" xfId="486" xr:uid="{00000000-0005-0000-0000-0000E8010000}"/>
    <cellStyle name="Normální 2 3 3 3 2" xfId="487" xr:uid="{00000000-0005-0000-0000-0000E9010000}"/>
    <cellStyle name="Normální 2 3 3 3 2 2" xfId="488" xr:uid="{00000000-0005-0000-0000-0000EA010000}"/>
    <cellStyle name="Normální 2 3 3 3 2 2 2" xfId="489" xr:uid="{00000000-0005-0000-0000-0000EB010000}"/>
    <cellStyle name="Normální 2 3 3 3 2 2 2 2" xfId="490" xr:uid="{00000000-0005-0000-0000-0000EC010000}"/>
    <cellStyle name="Normální 2 3 3 3 2 2 3" xfId="491" xr:uid="{00000000-0005-0000-0000-0000ED010000}"/>
    <cellStyle name="Normální 2 3 3 3 3" xfId="492" xr:uid="{00000000-0005-0000-0000-0000EE010000}"/>
    <cellStyle name="Normální 2 3 3 3 3 2" xfId="493" xr:uid="{00000000-0005-0000-0000-0000EF010000}"/>
    <cellStyle name="Normální 2 3 3 3 3 2 2" xfId="494" xr:uid="{00000000-0005-0000-0000-0000F0010000}"/>
    <cellStyle name="Normální 2 3 3 3 3 3" xfId="495" xr:uid="{00000000-0005-0000-0000-0000F1010000}"/>
    <cellStyle name="Normální 2 3 3 4" xfId="496" xr:uid="{00000000-0005-0000-0000-0000F2010000}"/>
    <cellStyle name="Normální 2 3 3 4 2" xfId="497" xr:uid="{00000000-0005-0000-0000-0000F3010000}"/>
    <cellStyle name="Normální 2 3 3 4 2 2" xfId="498" xr:uid="{00000000-0005-0000-0000-0000F4010000}"/>
    <cellStyle name="Normální 2 3 3 4 3" xfId="499" xr:uid="{00000000-0005-0000-0000-0000F5010000}"/>
    <cellStyle name="Normální 2 3 4" xfId="500" xr:uid="{00000000-0005-0000-0000-0000F6010000}"/>
    <cellStyle name="Normální 2 3 4 2" xfId="501" xr:uid="{00000000-0005-0000-0000-0000F7010000}"/>
    <cellStyle name="Normální 2 3 4 2 2" xfId="502" xr:uid="{00000000-0005-0000-0000-0000F8010000}"/>
    <cellStyle name="Normální 2 3 4 2 2 2" xfId="503" xr:uid="{00000000-0005-0000-0000-0000F9010000}"/>
    <cellStyle name="Normální 2 3 4 2 2 2 2" xfId="504" xr:uid="{00000000-0005-0000-0000-0000FA010000}"/>
    <cellStyle name="Normální 2 3 4 2 2 3" xfId="505" xr:uid="{00000000-0005-0000-0000-0000FB010000}"/>
    <cellStyle name="Normální 2 3 4 3" xfId="506" xr:uid="{00000000-0005-0000-0000-0000FC010000}"/>
    <cellStyle name="Normální 2 3 4 3 2" xfId="507" xr:uid="{00000000-0005-0000-0000-0000FD010000}"/>
    <cellStyle name="Normální 2 3 4 3 2 2" xfId="508" xr:uid="{00000000-0005-0000-0000-0000FE010000}"/>
    <cellStyle name="Normální 2 3 4 3 3" xfId="509" xr:uid="{00000000-0005-0000-0000-0000FF010000}"/>
    <cellStyle name="Normální 2 3 5" xfId="510" xr:uid="{00000000-0005-0000-0000-000000020000}"/>
    <cellStyle name="Normální 2 3 5 2" xfId="511" xr:uid="{00000000-0005-0000-0000-000001020000}"/>
    <cellStyle name="Normální 2 3 5 2 2" xfId="512" xr:uid="{00000000-0005-0000-0000-000002020000}"/>
    <cellStyle name="Normální 2 3 5 3" xfId="513" xr:uid="{00000000-0005-0000-0000-000003020000}"/>
    <cellStyle name="Normální 2 3 6" xfId="514" xr:uid="{00000000-0005-0000-0000-000004020000}"/>
    <cellStyle name="normální 2 4" xfId="515" xr:uid="{00000000-0005-0000-0000-000005020000}"/>
    <cellStyle name="normální 2 4 2" xfId="516" xr:uid="{00000000-0005-0000-0000-000006020000}"/>
    <cellStyle name="normální 2 4 2 2" xfId="517" xr:uid="{00000000-0005-0000-0000-000007020000}"/>
    <cellStyle name="normální 2 4 2 2 2" xfId="518" xr:uid="{00000000-0005-0000-0000-000008020000}"/>
    <cellStyle name="normální 2 4 2 2 2 2" xfId="519" xr:uid="{00000000-0005-0000-0000-000009020000}"/>
    <cellStyle name="normální 2 4 2 2 2 2 2" xfId="520" xr:uid="{00000000-0005-0000-0000-00000A020000}"/>
    <cellStyle name="normální 2 4 2 2 2 2 2 2" xfId="521" xr:uid="{00000000-0005-0000-0000-00000B020000}"/>
    <cellStyle name="normální 2 4 2 2 2 2 3" xfId="522" xr:uid="{00000000-0005-0000-0000-00000C020000}"/>
    <cellStyle name="normální 2 4 2 2 3" xfId="523" xr:uid="{00000000-0005-0000-0000-00000D020000}"/>
    <cellStyle name="normální 2 4 2 2 3 2" xfId="524" xr:uid="{00000000-0005-0000-0000-00000E020000}"/>
    <cellStyle name="normální 2 4 2 2 3 2 2" xfId="525" xr:uid="{00000000-0005-0000-0000-00000F020000}"/>
    <cellStyle name="normální 2 4 2 2 3 3" xfId="526" xr:uid="{00000000-0005-0000-0000-000010020000}"/>
    <cellStyle name="normální 2 4 2 3" xfId="527" xr:uid="{00000000-0005-0000-0000-000011020000}"/>
    <cellStyle name="normální 2 4 2 3 2" xfId="528" xr:uid="{00000000-0005-0000-0000-000012020000}"/>
    <cellStyle name="normální 2 4 2 3 2 2" xfId="529" xr:uid="{00000000-0005-0000-0000-000013020000}"/>
    <cellStyle name="normální 2 4 2 3 3" xfId="530" xr:uid="{00000000-0005-0000-0000-000014020000}"/>
    <cellStyle name="normální 2 4 3" xfId="531" xr:uid="{00000000-0005-0000-0000-000015020000}"/>
    <cellStyle name="normální 2 4 3 2" xfId="532" xr:uid="{00000000-0005-0000-0000-000016020000}"/>
    <cellStyle name="normální 2 4 3 2 2" xfId="533" xr:uid="{00000000-0005-0000-0000-000017020000}"/>
    <cellStyle name="normální 2 4 3 2 2 2" xfId="534" xr:uid="{00000000-0005-0000-0000-000018020000}"/>
    <cellStyle name="normální 2 4 3 2 2 2 2" xfId="535" xr:uid="{00000000-0005-0000-0000-000019020000}"/>
    <cellStyle name="normální 2 4 3 2 2 3" xfId="536" xr:uid="{00000000-0005-0000-0000-00001A020000}"/>
    <cellStyle name="normální 2 4 3 3" xfId="537" xr:uid="{00000000-0005-0000-0000-00001B020000}"/>
    <cellStyle name="normální 2 4 3 3 2" xfId="538" xr:uid="{00000000-0005-0000-0000-00001C020000}"/>
    <cellStyle name="normální 2 4 3 3 2 2" xfId="539" xr:uid="{00000000-0005-0000-0000-00001D020000}"/>
    <cellStyle name="normální 2 4 3 3 2 2 2" xfId="540" xr:uid="{00000000-0005-0000-0000-00001E020000}"/>
    <cellStyle name="normální 2 4 3 3 2 2 2 2" xfId="541" xr:uid="{00000000-0005-0000-0000-00001F020000}"/>
    <cellStyle name="normální 2 4 3 3 2 2 3" xfId="542" xr:uid="{00000000-0005-0000-0000-000020020000}"/>
    <cellStyle name="normální 2 4 3 3 3" xfId="543" xr:uid="{00000000-0005-0000-0000-000021020000}"/>
    <cellStyle name="normální 2 4 3 3 3 2" xfId="544" xr:uid="{00000000-0005-0000-0000-000022020000}"/>
    <cellStyle name="normální 2 4 3 3 3 2 2" xfId="545" xr:uid="{00000000-0005-0000-0000-000023020000}"/>
    <cellStyle name="normální 2 4 3 3 3 3" xfId="546" xr:uid="{00000000-0005-0000-0000-000024020000}"/>
    <cellStyle name="normální 2 4 3 4" xfId="547" xr:uid="{00000000-0005-0000-0000-000025020000}"/>
    <cellStyle name="normální 2 4 3 4 2" xfId="548" xr:uid="{00000000-0005-0000-0000-000026020000}"/>
    <cellStyle name="normální 2 4 3 4 2 2" xfId="549" xr:uid="{00000000-0005-0000-0000-000027020000}"/>
    <cellStyle name="normální 2 4 3 4 3" xfId="550" xr:uid="{00000000-0005-0000-0000-000028020000}"/>
    <cellStyle name="normální 2 4 4" xfId="551" xr:uid="{00000000-0005-0000-0000-000029020000}"/>
    <cellStyle name="normální 2 4 4 2" xfId="552" xr:uid="{00000000-0005-0000-0000-00002A020000}"/>
    <cellStyle name="normální 2 4 4 2 2" xfId="553" xr:uid="{00000000-0005-0000-0000-00002B020000}"/>
    <cellStyle name="normální 2 4 4 2 2 2" xfId="554" xr:uid="{00000000-0005-0000-0000-00002C020000}"/>
    <cellStyle name="normální 2 4 4 2 2 2 2" xfId="555" xr:uid="{00000000-0005-0000-0000-00002D020000}"/>
    <cellStyle name="normální 2 4 4 2 2 3" xfId="556" xr:uid="{00000000-0005-0000-0000-00002E020000}"/>
    <cellStyle name="normální 2 4 4 3" xfId="557" xr:uid="{00000000-0005-0000-0000-00002F020000}"/>
    <cellStyle name="normální 2 4 4 3 2" xfId="558" xr:uid="{00000000-0005-0000-0000-000030020000}"/>
    <cellStyle name="normální 2 4 4 3 2 2" xfId="559" xr:uid="{00000000-0005-0000-0000-000031020000}"/>
    <cellStyle name="normální 2 4 4 3 3" xfId="560" xr:uid="{00000000-0005-0000-0000-000032020000}"/>
    <cellStyle name="normální 2 4 5" xfId="561" xr:uid="{00000000-0005-0000-0000-000033020000}"/>
    <cellStyle name="normální 2 4 5 2" xfId="562" xr:uid="{00000000-0005-0000-0000-000034020000}"/>
    <cellStyle name="normální 2 4 5 2 2" xfId="563" xr:uid="{00000000-0005-0000-0000-000035020000}"/>
    <cellStyle name="normální 2 4 5 3" xfId="564" xr:uid="{00000000-0005-0000-0000-000036020000}"/>
    <cellStyle name="normální 2 4 6" xfId="565" xr:uid="{00000000-0005-0000-0000-000037020000}"/>
    <cellStyle name="normální 2 5" xfId="566" xr:uid="{00000000-0005-0000-0000-000038020000}"/>
    <cellStyle name="normální 2 5 2" xfId="567" xr:uid="{00000000-0005-0000-0000-000039020000}"/>
    <cellStyle name="normální 2 5 2 2" xfId="568" xr:uid="{00000000-0005-0000-0000-00003A020000}"/>
    <cellStyle name="normální 2 5 2 2 2" xfId="569" xr:uid="{00000000-0005-0000-0000-00003B020000}"/>
    <cellStyle name="normální 2 5 2 2 2 2" xfId="570" xr:uid="{00000000-0005-0000-0000-00003C020000}"/>
    <cellStyle name="normální 2 5 2 2 2 2 2" xfId="571" xr:uid="{00000000-0005-0000-0000-00003D020000}"/>
    <cellStyle name="normální 2 5 2 2 2 2 2 2" xfId="572" xr:uid="{00000000-0005-0000-0000-00003E020000}"/>
    <cellStyle name="normální 2 5 2 2 2 2 3" xfId="573" xr:uid="{00000000-0005-0000-0000-00003F020000}"/>
    <cellStyle name="normální 2 5 2 2 3" xfId="574" xr:uid="{00000000-0005-0000-0000-000040020000}"/>
    <cellStyle name="normální 2 5 2 2 3 2" xfId="575" xr:uid="{00000000-0005-0000-0000-000041020000}"/>
    <cellStyle name="normální 2 5 2 2 3 2 2" xfId="576" xr:uid="{00000000-0005-0000-0000-000042020000}"/>
    <cellStyle name="normální 2 5 2 2 3 3" xfId="577" xr:uid="{00000000-0005-0000-0000-000043020000}"/>
    <cellStyle name="normální 2 5 2 3" xfId="578" xr:uid="{00000000-0005-0000-0000-000044020000}"/>
    <cellStyle name="normální 2 5 2 3 2" xfId="579" xr:uid="{00000000-0005-0000-0000-000045020000}"/>
    <cellStyle name="normální 2 5 2 3 2 2" xfId="580" xr:uid="{00000000-0005-0000-0000-000046020000}"/>
    <cellStyle name="normální 2 5 2 3 3" xfId="581" xr:uid="{00000000-0005-0000-0000-000047020000}"/>
    <cellStyle name="normální 2 5 3" xfId="582" xr:uid="{00000000-0005-0000-0000-000048020000}"/>
    <cellStyle name="normální 2 5 3 2" xfId="583" xr:uid="{00000000-0005-0000-0000-000049020000}"/>
    <cellStyle name="normální 2 5 3 2 2" xfId="584" xr:uid="{00000000-0005-0000-0000-00004A020000}"/>
    <cellStyle name="normální 2 5 3 2 2 2" xfId="585" xr:uid="{00000000-0005-0000-0000-00004B020000}"/>
    <cellStyle name="normální 2 5 3 2 2 2 2" xfId="586" xr:uid="{00000000-0005-0000-0000-00004C020000}"/>
    <cellStyle name="normální 2 5 3 2 2 3" xfId="587" xr:uid="{00000000-0005-0000-0000-00004D020000}"/>
    <cellStyle name="normální 2 5 3 3" xfId="588" xr:uid="{00000000-0005-0000-0000-00004E020000}"/>
    <cellStyle name="normální 2 5 3 3 2" xfId="589" xr:uid="{00000000-0005-0000-0000-00004F020000}"/>
    <cellStyle name="normální 2 5 3 3 2 2" xfId="590" xr:uid="{00000000-0005-0000-0000-000050020000}"/>
    <cellStyle name="normální 2 5 3 3 2 2 2" xfId="591" xr:uid="{00000000-0005-0000-0000-000051020000}"/>
    <cellStyle name="normální 2 5 3 3 2 2 2 2" xfId="592" xr:uid="{00000000-0005-0000-0000-000052020000}"/>
    <cellStyle name="normální 2 5 3 3 2 2 3" xfId="593" xr:uid="{00000000-0005-0000-0000-000053020000}"/>
    <cellStyle name="normální 2 5 3 3 3" xfId="594" xr:uid="{00000000-0005-0000-0000-000054020000}"/>
    <cellStyle name="normální 2 5 3 3 3 2" xfId="595" xr:uid="{00000000-0005-0000-0000-000055020000}"/>
    <cellStyle name="normální 2 5 3 3 3 2 2" xfId="596" xr:uid="{00000000-0005-0000-0000-000056020000}"/>
    <cellStyle name="normální 2 5 3 3 3 3" xfId="597" xr:uid="{00000000-0005-0000-0000-000057020000}"/>
    <cellStyle name="normální 2 5 3 4" xfId="598" xr:uid="{00000000-0005-0000-0000-000058020000}"/>
    <cellStyle name="normální 2 5 3 4 2" xfId="599" xr:uid="{00000000-0005-0000-0000-000059020000}"/>
    <cellStyle name="normální 2 5 3 4 2 2" xfId="600" xr:uid="{00000000-0005-0000-0000-00005A020000}"/>
    <cellStyle name="normální 2 5 3 4 3" xfId="601" xr:uid="{00000000-0005-0000-0000-00005B020000}"/>
    <cellStyle name="normální 2 5 4" xfId="602" xr:uid="{00000000-0005-0000-0000-00005C020000}"/>
    <cellStyle name="normální 2 5 4 2" xfId="603" xr:uid="{00000000-0005-0000-0000-00005D020000}"/>
    <cellStyle name="normální 2 5 4 2 2" xfId="604" xr:uid="{00000000-0005-0000-0000-00005E020000}"/>
    <cellStyle name="normální 2 5 4 2 2 2" xfId="605" xr:uid="{00000000-0005-0000-0000-00005F020000}"/>
    <cellStyle name="normální 2 5 4 2 2 2 2" xfId="606" xr:uid="{00000000-0005-0000-0000-000060020000}"/>
    <cellStyle name="normální 2 5 4 2 2 3" xfId="607" xr:uid="{00000000-0005-0000-0000-000061020000}"/>
    <cellStyle name="normální 2 5 4 3" xfId="608" xr:uid="{00000000-0005-0000-0000-000062020000}"/>
    <cellStyle name="normální 2 5 4 3 2" xfId="609" xr:uid="{00000000-0005-0000-0000-000063020000}"/>
    <cellStyle name="normální 2 5 4 3 2 2" xfId="610" xr:uid="{00000000-0005-0000-0000-000064020000}"/>
    <cellStyle name="normální 2 5 4 3 3" xfId="611" xr:uid="{00000000-0005-0000-0000-000065020000}"/>
    <cellStyle name="normální 2 5 5" xfId="612" xr:uid="{00000000-0005-0000-0000-000066020000}"/>
    <cellStyle name="normální 2 5 5 2" xfId="613" xr:uid="{00000000-0005-0000-0000-000067020000}"/>
    <cellStyle name="normální 2 5 5 2 2" xfId="614" xr:uid="{00000000-0005-0000-0000-000068020000}"/>
    <cellStyle name="normální 2 5 5 3" xfId="615" xr:uid="{00000000-0005-0000-0000-000069020000}"/>
    <cellStyle name="normální 2 5 6" xfId="616" xr:uid="{00000000-0005-0000-0000-00006A020000}"/>
    <cellStyle name="normální 2 6" xfId="617" xr:uid="{00000000-0005-0000-0000-00006B020000}"/>
    <cellStyle name="normální 2 6 2" xfId="618" xr:uid="{00000000-0005-0000-0000-00006C020000}"/>
    <cellStyle name="normální 2 6 2 2" xfId="619" xr:uid="{00000000-0005-0000-0000-00006D020000}"/>
    <cellStyle name="normální 2 6 2 2 2" xfId="620" xr:uid="{00000000-0005-0000-0000-00006E020000}"/>
    <cellStyle name="normální 2 6 2 2 2 2" xfId="621" xr:uid="{00000000-0005-0000-0000-00006F020000}"/>
    <cellStyle name="normální 2 6 2 2 2 2 2" xfId="622" xr:uid="{00000000-0005-0000-0000-000070020000}"/>
    <cellStyle name="normální 2 6 2 2 2 2 2 2" xfId="623" xr:uid="{00000000-0005-0000-0000-000071020000}"/>
    <cellStyle name="normální 2 6 2 2 2 2 3" xfId="624" xr:uid="{00000000-0005-0000-0000-000072020000}"/>
    <cellStyle name="normální 2 6 2 2 3" xfId="625" xr:uid="{00000000-0005-0000-0000-000073020000}"/>
    <cellStyle name="normální 2 6 2 2 3 2" xfId="626" xr:uid="{00000000-0005-0000-0000-000074020000}"/>
    <cellStyle name="normální 2 6 2 2 3 2 2" xfId="627" xr:uid="{00000000-0005-0000-0000-000075020000}"/>
    <cellStyle name="normální 2 6 2 2 3 3" xfId="628" xr:uid="{00000000-0005-0000-0000-000076020000}"/>
    <cellStyle name="normální 2 6 2 3" xfId="629" xr:uid="{00000000-0005-0000-0000-000077020000}"/>
    <cellStyle name="normální 2 6 2 3 2" xfId="630" xr:uid="{00000000-0005-0000-0000-000078020000}"/>
    <cellStyle name="normální 2 6 2 3 2 2" xfId="631" xr:uid="{00000000-0005-0000-0000-000079020000}"/>
    <cellStyle name="normální 2 6 2 3 3" xfId="632" xr:uid="{00000000-0005-0000-0000-00007A020000}"/>
    <cellStyle name="normální 2 6 3" xfId="633" xr:uid="{00000000-0005-0000-0000-00007B020000}"/>
    <cellStyle name="normální 2 6 3 2" xfId="634" xr:uid="{00000000-0005-0000-0000-00007C020000}"/>
    <cellStyle name="normální 2 6 3 2 2" xfId="635" xr:uid="{00000000-0005-0000-0000-00007D020000}"/>
    <cellStyle name="normální 2 6 3 2 2 2" xfId="636" xr:uid="{00000000-0005-0000-0000-00007E020000}"/>
    <cellStyle name="normální 2 6 3 2 2 2 2" xfId="637" xr:uid="{00000000-0005-0000-0000-00007F020000}"/>
    <cellStyle name="normální 2 6 3 2 2 3" xfId="638" xr:uid="{00000000-0005-0000-0000-000080020000}"/>
    <cellStyle name="normální 2 6 3 3" xfId="639" xr:uid="{00000000-0005-0000-0000-000081020000}"/>
    <cellStyle name="normální 2 6 3 3 2" xfId="640" xr:uid="{00000000-0005-0000-0000-000082020000}"/>
    <cellStyle name="normální 2 6 3 3 2 2" xfId="641" xr:uid="{00000000-0005-0000-0000-000083020000}"/>
    <cellStyle name="normální 2 6 3 3 2 2 2" xfId="642" xr:uid="{00000000-0005-0000-0000-000084020000}"/>
    <cellStyle name="normální 2 6 3 3 2 2 2 2" xfId="643" xr:uid="{00000000-0005-0000-0000-000085020000}"/>
    <cellStyle name="normální 2 6 3 3 2 2 3" xfId="644" xr:uid="{00000000-0005-0000-0000-000086020000}"/>
    <cellStyle name="normální 2 6 3 3 3" xfId="645" xr:uid="{00000000-0005-0000-0000-000087020000}"/>
    <cellStyle name="normální 2 6 3 3 3 2" xfId="646" xr:uid="{00000000-0005-0000-0000-000088020000}"/>
    <cellStyle name="normální 2 6 3 3 3 2 2" xfId="647" xr:uid="{00000000-0005-0000-0000-000089020000}"/>
    <cellStyle name="normální 2 6 3 3 3 3" xfId="648" xr:uid="{00000000-0005-0000-0000-00008A020000}"/>
    <cellStyle name="normální 2 6 3 4" xfId="649" xr:uid="{00000000-0005-0000-0000-00008B020000}"/>
    <cellStyle name="normální 2 6 3 4 2" xfId="650" xr:uid="{00000000-0005-0000-0000-00008C020000}"/>
    <cellStyle name="normální 2 6 3 4 2 2" xfId="651" xr:uid="{00000000-0005-0000-0000-00008D020000}"/>
    <cellStyle name="normální 2 6 3 4 3" xfId="652" xr:uid="{00000000-0005-0000-0000-00008E020000}"/>
    <cellStyle name="normální 2 6 4" xfId="653" xr:uid="{00000000-0005-0000-0000-00008F020000}"/>
    <cellStyle name="normální 2 6 4 2" xfId="654" xr:uid="{00000000-0005-0000-0000-000090020000}"/>
    <cellStyle name="normální 2 6 4 2 2" xfId="655" xr:uid="{00000000-0005-0000-0000-000091020000}"/>
    <cellStyle name="normální 2 6 4 2 2 2" xfId="656" xr:uid="{00000000-0005-0000-0000-000092020000}"/>
    <cellStyle name="normální 2 6 4 2 2 2 2" xfId="657" xr:uid="{00000000-0005-0000-0000-000093020000}"/>
    <cellStyle name="normální 2 6 4 2 2 3" xfId="658" xr:uid="{00000000-0005-0000-0000-000094020000}"/>
    <cellStyle name="normální 2 6 4 3" xfId="659" xr:uid="{00000000-0005-0000-0000-000095020000}"/>
    <cellStyle name="normální 2 6 4 3 2" xfId="660" xr:uid="{00000000-0005-0000-0000-000096020000}"/>
    <cellStyle name="normální 2 6 4 3 2 2" xfId="661" xr:uid="{00000000-0005-0000-0000-000097020000}"/>
    <cellStyle name="normální 2 6 4 3 3" xfId="662" xr:uid="{00000000-0005-0000-0000-000098020000}"/>
    <cellStyle name="normální 2 6 5" xfId="663" xr:uid="{00000000-0005-0000-0000-000099020000}"/>
    <cellStyle name="normální 2 6 5 2" xfId="664" xr:uid="{00000000-0005-0000-0000-00009A020000}"/>
    <cellStyle name="normální 2 6 5 2 2" xfId="665" xr:uid="{00000000-0005-0000-0000-00009B020000}"/>
    <cellStyle name="normální 2 6 5 3" xfId="666" xr:uid="{00000000-0005-0000-0000-00009C020000}"/>
    <cellStyle name="normální 2 6 6" xfId="667" xr:uid="{00000000-0005-0000-0000-00009D020000}"/>
    <cellStyle name="normální 2 7" xfId="668" xr:uid="{00000000-0005-0000-0000-00009E020000}"/>
    <cellStyle name="normální 2 7 2" xfId="669" xr:uid="{00000000-0005-0000-0000-00009F020000}"/>
    <cellStyle name="normální 2 7 2 2" xfId="670" xr:uid="{00000000-0005-0000-0000-0000A0020000}"/>
    <cellStyle name="normální 2 7 2 2 2" xfId="671" xr:uid="{00000000-0005-0000-0000-0000A1020000}"/>
    <cellStyle name="normální 2 7 2 2 2 2" xfId="672" xr:uid="{00000000-0005-0000-0000-0000A2020000}"/>
    <cellStyle name="normální 2 7 2 2 3" xfId="673" xr:uid="{00000000-0005-0000-0000-0000A3020000}"/>
    <cellStyle name="normální 2 7 3" xfId="674" xr:uid="{00000000-0005-0000-0000-0000A4020000}"/>
    <cellStyle name="normální 2 7 3 2" xfId="675" xr:uid="{00000000-0005-0000-0000-0000A5020000}"/>
    <cellStyle name="normální 2 7 3 2 2" xfId="676" xr:uid="{00000000-0005-0000-0000-0000A6020000}"/>
    <cellStyle name="normální 2 7 3 2 2 2" xfId="677" xr:uid="{00000000-0005-0000-0000-0000A7020000}"/>
    <cellStyle name="normální 2 7 3 2 2 2 2" xfId="678" xr:uid="{00000000-0005-0000-0000-0000A8020000}"/>
    <cellStyle name="normální 2 7 3 2 2 3" xfId="679" xr:uid="{00000000-0005-0000-0000-0000A9020000}"/>
    <cellStyle name="normální 2 7 3 3" xfId="680" xr:uid="{00000000-0005-0000-0000-0000AA020000}"/>
    <cellStyle name="normální 2 7 3 3 2" xfId="681" xr:uid="{00000000-0005-0000-0000-0000AB020000}"/>
    <cellStyle name="normální 2 7 3 3 2 2" xfId="682" xr:uid="{00000000-0005-0000-0000-0000AC020000}"/>
    <cellStyle name="normální 2 7 3 3 3" xfId="683" xr:uid="{00000000-0005-0000-0000-0000AD020000}"/>
    <cellStyle name="normální 2 7 4" xfId="684" xr:uid="{00000000-0005-0000-0000-0000AE020000}"/>
    <cellStyle name="normální 2 7 4 2" xfId="685" xr:uid="{00000000-0005-0000-0000-0000AF020000}"/>
    <cellStyle name="normální 2 7 4 2 2" xfId="686" xr:uid="{00000000-0005-0000-0000-0000B0020000}"/>
    <cellStyle name="normální 2 7 4 3" xfId="687" xr:uid="{00000000-0005-0000-0000-0000B1020000}"/>
    <cellStyle name="normální 2 8" xfId="688" xr:uid="{00000000-0005-0000-0000-0000B2020000}"/>
    <cellStyle name="normální 2 8 2" xfId="689" xr:uid="{00000000-0005-0000-0000-0000B3020000}"/>
    <cellStyle name="normální 2 8 2 2" xfId="690" xr:uid="{00000000-0005-0000-0000-0000B4020000}"/>
    <cellStyle name="normální 2 8 2 2 2" xfId="691" xr:uid="{00000000-0005-0000-0000-0000B5020000}"/>
    <cellStyle name="normální 2 8 2 3" xfId="692" xr:uid="{00000000-0005-0000-0000-0000B6020000}"/>
    <cellStyle name="normální 2 9" xfId="693" xr:uid="{00000000-0005-0000-0000-0000B7020000}"/>
    <cellStyle name="normální 2 9 2" xfId="694" xr:uid="{00000000-0005-0000-0000-0000B8020000}"/>
    <cellStyle name="normální 2 9 2 2" xfId="695" xr:uid="{00000000-0005-0000-0000-0000B9020000}"/>
    <cellStyle name="normální 2 9 2 2 2" xfId="696" xr:uid="{00000000-0005-0000-0000-0000BA020000}"/>
    <cellStyle name="normální 2 9 2 2 2 2" xfId="697" xr:uid="{00000000-0005-0000-0000-0000BB020000}"/>
    <cellStyle name="normální 2 9 2 2 3" xfId="698" xr:uid="{00000000-0005-0000-0000-0000BC020000}"/>
    <cellStyle name="normální 2 9 3" xfId="699" xr:uid="{00000000-0005-0000-0000-0000BD020000}"/>
    <cellStyle name="normální 2 9 3 2" xfId="700" xr:uid="{00000000-0005-0000-0000-0000BE020000}"/>
    <cellStyle name="normální 2 9 3 2 2" xfId="701" xr:uid="{00000000-0005-0000-0000-0000BF020000}"/>
    <cellStyle name="normální 2 9 3 3" xfId="702" xr:uid="{00000000-0005-0000-0000-0000C0020000}"/>
    <cellStyle name="Normální 20" xfId="703" xr:uid="{00000000-0005-0000-0000-0000C1020000}"/>
    <cellStyle name="Normální 20 2" xfId="704" xr:uid="{00000000-0005-0000-0000-0000C2020000}"/>
    <cellStyle name="Normální 20 2 2" xfId="705" xr:uid="{00000000-0005-0000-0000-0000C3020000}"/>
    <cellStyle name="Normální 20 3" xfId="706" xr:uid="{00000000-0005-0000-0000-0000C4020000}"/>
    <cellStyle name="Normální 20 4" xfId="707" xr:uid="{00000000-0005-0000-0000-0000C5020000}"/>
    <cellStyle name="Normální 3" xfId="708" xr:uid="{00000000-0005-0000-0000-0000C6020000}"/>
    <cellStyle name="Normální 3 2" xfId="709" xr:uid="{00000000-0005-0000-0000-0000C7020000}"/>
    <cellStyle name="Normální 3 2 2" xfId="710" xr:uid="{00000000-0005-0000-0000-0000C8020000}"/>
    <cellStyle name="Normální 3 2 2 2" xfId="711" xr:uid="{00000000-0005-0000-0000-0000C9020000}"/>
    <cellStyle name="Normální 3 2 2 2 2" xfId="712" xr:uid="{00000000-0005-0000-0000-0000CA020000}"/>
    <cellStyle name="Normální 3 2 2 2 2 2" xfId="713" xr:uid="{00000000-0005-0000-0000-0000CB020000}"/>
    <cellStyle name="Normální 3 2 2 2 2 2 2" xfId="714" xr:uid="{00000000-0005-0000-0000-0000CC020000}"/>
    <cellStyle name="Normální 3 2 2 2 2 2 2 2" xfId="715" xr:uid="{00000000-0005-0000-0000-0000CD020000}"/>
    <cellStyle name="Normální 3 2 2 2 2 2 2 2 2" xfId="716" xr:uid="{00000000-0005-0000-0000-0000CE020000}"/>
    <cellStyle name="Normální 3 2 2 2 2 2 2 3" xfId="717" xr:uid="{00000000-0005-0000-0000-0000CF020000}"/>
    <cellStyle name="Normální 3 2 2 2 2 3" xfId="718" xr:uid="{00000000-0005-0000-0000-0000D0020000}"/>
    <cellStyle name="Normální 3 2 2 2 2 3 2" xfId="719" xr:uid="{00000000-0005-0000-0000-0000D1020000}"/>
    <cellStyle name="Normální 3 2 2 2 2 3 2 2" xfId="720" xr:uid="{00000000-0005-0000-0000-0000D2020000}"/>
    <cellStyle name="Normální 3 2 2 2 2 3 3" xfId="721" xr:uid="{00000000-0005-0000-0000-0000D3020000}"/>
    <cellStyle name="Normální 3 2 2 2 3" xfId="722" xr:uid="{00000000-0005-0000-0000-0000D4020000}"/>
    <cellStyle name="Normální 3 2 2 2 3 2" xfId="723" xr:uid="{00000000-0005-0000-0000-0000D5020000}"/>
    <cellStyle name="Normální 3 2 2 2 3 2 2" xfId="724" xr:uid="{00000000-0005-0000-0000-0000D6020000}"/>
    <cellStyle name="Normální 3 2 2 2 3 3" xfId="725" xr:uid="{00000000-0005-0000-0000-0000D7020000}"/>
    <cellStyle name="Normální 3 2 2 3" xfId="726" xr:uid="{00000000-0005-0000-0000-0000D8020000}"/>
    <cellStyle name="Normální 3 2 2 3 2" xfId="727" xr:uid="{00000000-0005-0000-0000-0000D9020000}"/>
    <cellStyle name="Normální 3 2 2 3 2 2" xfId="728" xr:uid="{00000000-0005-0000-0000-0000DA020000}"/>
    <cellStyle name="Normální 3 2 2 3 2 2 2" xfId="729" xr:uid="{00000000-0005-0000-0000-0000DB020000}"/>
    <cellStyle name="Normální 3 2 2 3 2 2 2 2" xfId="730" xr:uid="{00000000-0005-0000-0000-0000DC020000}"/>
    <cellStyle name="Normální 3 2 2 3 2 2 3" xfId="731" xr:uid="{00000000-0005-0000-0000-0000DD020000}"/>
    <cellStyle name="Normální 3 2 2 3 3" xfId="732" xr:uid="{00000000-0005-0000-0000-0000DE020000}"/>
    <cellStyle name="Normální 3 2 2 3 3 2" xfId="733" xr:uid="{00000000-0005-0000-0000-0000DF020000}"/>
    <cellStyle name="Normální 3 2 2 3 3 2 2" xfId="734" xr:uid="{00000000-0005-0000-0000-0000E0020000}"/>
    <cellStyle name="Normální 3 2 2 3 3 2 2 2" xfId="735" xr:uid="{00000000-0005-0000-0000-0000E1020000}"/>
    <cellStyle name="Normální 3 2 2 3 3 2 2 2 2" xfId="736" xr:uid="{00000000-0005-0000-0000-0000E2020000}"/>
    <cellStyle name="Normální 3 2 2 3 3 2 2 3" xfId="737" xr:uid="{00000000-0005-0000-0000-0000E3020000}"/>
    <cellStyle name="Normální 3 2 2 3 3 3" xfId="738" xr:uid="{00000000-0005-0000-0000-0000E4020000}"/>
    <cellStyle name="Normální 3 2 2 3 3 3 2" xfId="739" xr:uid="{00000000-0005-0000-0000-0000E5020000}"/>
    <cellStyle name="Normální 3 2 2 3 3 3 2 2" xfId="740" xr:uid="{00000000-0005-0000-0000-0000E6020000}"/>
    <cellStyle name="Normální 3 2 2 3 3 3 3" xfId="741" xr:uid="{00000000-0005-0000-0000-0000E7020000}"/>
    <cellStyle name="Normální 3 2 2 3 4" xfId="742" xr:uid="{00000000-0005-0000-0000-0000E8020000}"/>
    <cellStyle name="Normální 3 2 2 3 4 2" xfId="743" xr:uid="{00000000-0005-0000-0000-0000E9020000}"/>
    <cellStyle name="Normální 3 2 2 3 4 2 2" xfId="744" xr:uid="{00000000-0005-0000-0000-0000EA020000}"/>
    <cellStyle name="Normální 3 2 2 3 4 3" xfId="745" xr:uid="{00000000-0005-0000-0000-0000EB020000}"/>
    <cellStyle name="Normální 3 2 2 4" xfId="746" xr:uid="{00000000-0005-0000-0000-0000EC020000}"/>
    <cellStyle name="Normální 3 2 2 4 2" xfId="747" xr:uid="{00000000-0005-0000-0000-0000ED020000}"/>
    <cellStyle name="Normální 3 2 2 4 2 2" xfId="748" xr:uid="{00000000-0005-0000-0000-0000EE020000}"/>
    <cellStyle name="Normální 3 2 2 4 2 2 2" xfId="749" xr:uid="{00000000-0005-0000-0000-0000EF020000}"/>
    <cellStyle name="Normální 3 2 2 4 2 2 2 2" xfId="750" xr:uid="{00000000-0005-0000-0000-0000F0020000}"/>
    <cellStyle name="Normální 3 2 2 4 2 2 3" xfId="751" xr:uid="{00000000-0005-0000-0000-0000F1020000}"/>
    <cellStyle name="Normální 3 2 2 4 3" xfId="752" xr:uid="{00000000-0005-0000-0000-0000F2020000}"/>
    <cellStyle name="Normální 3 2 2 4 3 2" xfId="753" xr:uid="{00000000-0005-0000-0000-0000F3020000}"/>
    <cellStyle name="Normální 3 2 2 4 3 2 2" xfId="754" xr:uid="{00000000-0005-0000-0000-0000F4020000}"/>
    <cellStyle name="Normální 3 2 2 4 3 3" xfId="755" xr:uid="{00000000-0005-0000-0000-0000F5020000}"/>
    <cellStyle name="Normální 3 2 2 5" xfId="756" xr:uid="{00000000-0005-0000-0000-0000F6020000}"/>
    <cellStyle name="Normální 3 2 2 5 2" xfId="757" xr:uid="{00000000-0005-0000-0000-0000F7020000}"/>
    <cellStyle name="Normální 3 2 2 5 2 2" xfId="758" xr:uid="{00000000-0005-0000-0000-0000F8020000}"/>
    <cellStyle name="Normální 3 2 2 5 3" xfId="759" xr:uid="{00000000-0005-0000-0000-0000F9020000}"/>
    <cellStyle name="Normální 3 2 2 6" xfId="760" xr:uid="{00000000-0005-0000-0000-0000FA020000}"/>
    <cellStyle name="Normální 3 2 3" xfId="761" xr:uid="{00000000-0005-0000-0000-0000FB020000}"/>
    <cellStyle name="Normální 3 2 3 2" xfId="762" xr:uid="{00000000-0005-0000-0000-0000FC020000}"/>
    <cellStyle name="Normální 3 2 3 2 2" xfId="763" xr:uid="{00000000-0005-0000-0000-0000FD020000}"/>
    <cellStyle name="Normální 3 2 3 2 2 2" xfId="764" xr:uid="{00000000-0005-0000-0000-0000FE020000}"/>
    <cellStyle name="Normální 3 2 3 2 2 2 2" xfId="765" xr:uid="{00000000-0005-0000-0000-0000FF020000}"/>
    <cellStyle name="Normální 3 2 3 2 2 3" xfId="766" xr:uid="{00000000-0005-0000-0000-000000030000}"/>
    <cellStyle name="Normální 3 2 3 3" xfId="767" xr:uid="{00000000-0005-0000-0000-000001030000}"/>
    <cellStyle name="Normální 3 2 3 3 2" xfId="768" xr:uid="{00000000-0005-0000-0000-000002030000}"/>
    <cellStyle name="Normální 3 2 3 3 2 2" xfId="769" xr:uid="{00000000-0005-0000-0000-000003030000}"/>
    <cellStyle name="Normální 3 2 3 3 2 2 2" xfId="770" xr:uid="{00000000-0005-0000-0000-000004030000}"/>
    <cellStyle name="Normální 3 2 3 3 2 2 2 2" xfId="771" xr:uid="{00000000-0005-0000-0000-000005030000}"/>
    <cellStyle name="Normální 3 2 3 3 2 2 3" xfId="772" xr:uid="{00000000-0005-0000-0000-000006030000}"/>
    <cellStyle name="Normální 3 2 3 3 3" xfId="773" xr:uid="{00000000-0005-0000-0000-000007030000}"/>
    <cellStyle name="Normální 3 2 3 3 3 2" xfId="774" xr:uid="{00000000-0005-0000-0000-000008030000}"/>
    <cellStyle name="Normální 3 2 3 3 3 2 2" xfId="775" xr:uid="{00000000-0005-0000-0000-000009030000}"/>
    <cellStyle name="Normální 3 2 3 3 3 3" xfId="776" xr:uid="{00000000-0005-0000-0000-00000A030000}"/>
    <cellStyle name="Normální 3 2 3 4" xfId="777" xr:uid="{00000000-0005-0000-0000-00000B030000}"/>
    <cellStyle name="Normální 3 2 3 4 2" xfId="778" xr:uid="{00000000-0005-0000-0000-00000C030000}"/>
    <cellStyle name="Normální 3 2 3 4 2 2" xfId="779" xr:uid="{00000000-0005-0000-0000-00000D030000}"/>
    <cellStyle name="Normální 3 2 3 4 3" xfId="780" xr:uid="{00000000-0005-0000-0000-00000E030000}"/>
    <cellStyle name="Normální 3 2 4" xfId="781" xr:uid="{00000000-0005-0000-0000-00000F030000}"/>
    <cellStyle name="Normální 3 2 4 2" xfId="782" xr:uid="{00000000-0005-0000-0000-000010030000}"/>
    <cellStyle name="Normální 3 2 4 2 2" xfId="783" xr:uid="{00000000-0005-0000-0000-000011030000}"/>
    <cellStyle name="Normální 3 2 4 2 2 2" xfId="784" xr:uid="{00000000-0005-0000-0000-000012030000}"/>
    <cellStyle name="Normální 3 2 4 2 2 2 2" xfId="785" xr:uid="{00000000-0005-0000-0000-000013030000}"/>
    <cellStyle name="Normální 3 2 4 2 2 3" xfId="786" xr:uid="{00000000-0005-0000-0000-000014030000}"/>
    <cellStyle name="Normální 3 2 4 3" xfId="787" xr:uid="{00000000-0005-0000-0000-000015030000}"/>
    <cellStyle name="Normální 3 2 4 3 2" xfId="788" xr:uid="{00000000-0005-0000-0000-000016030000}"/>
    <cellStyle name="Normální 3 2 4 3 2 2" xfId="789" xr:uid="{00000000-0005-0000-0000-000017030000}"/>
    <cellStyle name="Normální 3 2 4 3 3" xfId="790" xr:uid="{00000000-0005-0000-0000-000018030000}"/>
    <cellStyle name="Normální 3 2 5" xfId="791" xr:uid="{00000000-0005-0000-0000-000019030000}"/>
    <cellStyle name="Normální 3 2 5 2" xfId="792" xr:uid="{00000000-0005-0000-0000-00001A030000}"/>
    <cellStyle name="Normální 3 2 5 2 2" xfId="793" xr:uid="{00000000-0005-0000-0000-00001B030000}"/>
    <cellStyle name="Normální 3 2 5 3" xfId="794" xr:uid="{00000000-0005-0000-0000-00001C030000}"/>
    <cellStyle name="Normální 3 3" xfId="795" xr:uid="{00000000-0005-0000-0000-00001D030000}"/>
    <cellStyle name="Normální 3 3 2" xfId="796" xr:uid="{00000000-0005-0000-0000-00001E030000}"/>
    <cellStyle name="Normální 3 3 2 2" xfId="797" xr:uid="{00000000-0005-0000-0000-00001F030000}"/>
    <cellStyle name="Normální 3 3 2 2 2" xfId="798" xr:uid="{00000000-0005-0000-0000-000020030000}"/>
    <cellStyle name="Normální 3 3 2 2 2 2" xfId="799" xr:uid="{00000000-0005-0000-0000-000021030000}"/>
    <cellStyle name="Normální 3 3 2 2 2 2 2" xfId="800" xr:uid="{00000000-0005-0000-0000-000022030000}"/>
    <cellStyle name="Normální 3 3 2 2 2 2 2 2" xfId="801" xr:uid="{00000000-0005-0000-0000-000023030000}"/>
    <cellStyle name="Normální 3 3 2 2 2 2 3" xfId="802" xr:uid="{00000000-0005-0000-0000-000024030000}"/>
    <cellStyle name="Normální 3 3 2 2 3" xfId="803" xr:uid="{00000000-0005-0000-0000-000025030000}"/>
    <cellStyle name="Normální 3 3 2 2 3 2" xfId="804" xr:uid="{00000000-0005-0000-0000-000026030000}"/>
    <cellStyle name="Normální 3 3 2 2 3 2 2" xfId="805" xr:uid="{00000000-0005-0000-0000-000027030000}"/>
    <cellStyle name="Normální 3 3 2 2 3 3" xfId="806" xr:uid="{00000000-0005-0000-0000-000028030000}"/>
    <cellStyle name="Normální 3 3 2 3" xfId="807" xr:uid="{00000000-0005-0000-0000-000029030000}"/>
    <cellStyle name="Normální 3 3 2 3 2" xfId="808" xr:uid="{00000000-0005-0000-0000-00002A030000}"/>
    <cellStyle name="Normální 3 3 2 3 2 2" xfId="809" xr:uid="{00000000-0005-0000-0000-00002B030000}"/>
    <cellStyle name="Normální 3 3 2 3 3" xfId="810" xr:uid="{00000000-0005-0000-0000-00002C030000}"/>
    <cellStyle name="Normální 3 3 3" xfId="811" xr:uid="{00000000-0005-0000-0000-00002D030000}"/>
    <cellStyle name="Normální 3 3 3 2" xfId="812" xr:uid="{00000000-0005-0000-0000-00002E030000}"/>
    <cellStyle name="Normální 3 3 3 2 2" xfId="813" xr:uid="{00000000-0005-0000-0000-00002F030000}"/>
    <cellStyle name="Normální 3 3 3 2 2 2" xfId="814" xr:uid="{00000000-0005-0000-0000-000030030000}"/>
    <cellStyle name="Normální 3 3 3 2 2 2 2" xfId="815" xr:uid="{00000000-0005-0000-0000-000031030000}"/>
    <cellStyle name="Normální 3 3 3 2 2 3" xfId="816" xr:uid="{00000000-0005-0000-0000-000032030000}"/>
    <cellStyle name="Normální 3 3 3 3" xfId="817" xr:uid="{00000000-0005-0000-0000-000033030000}"/>
    <cellStyle name="Normální 3 3 3 3 2" xfId="818" xr:uid="{00000000-0005-0000-0000-000034030000}"/>
    <cellStyle name="Normální 3 3 3 3 2 2" xfId="819" xr:uid="{00000000-0005-0000-0000-000035030000}"/>
    <cellStyle name="Normální 3 3 3 3 2 2 2" xfId="820" xr:uid="{00000000-0005-0000-0000-000036030000}"/>
    <cellStyle name="Normální 3 3 3 3 2 2 2 2" xfId="821" xr:uid="{00000000-0005-0000-0000-000037030000}"/>
    <cellStyle name="Normální 3 3 3 3 2 2 3" xfId="822" xr:uid="{00000000-0005-0000-0000-000038030000}"/>
    <cellStyle name="Normální 3 3 3 3 3" xfId="823" xr:uid="{00000000-0005-0000-0000-000039030000}"/>
    <cellStyle name="Normální 3 3 3 3 3 2" xfId="824" xr:uid="{00000000-0005-0000-0000-00003A030000}"/>
    <cellStyle name="Normální 3 3 3 3 3 2 2" xfId="825" xr:uid="{00000000-0005-0000-0000-00003B030000}"/>
    <cellStyle name="Normální 3 3 3 3 3 3" xfId="826" xr:uid="{00000000-0005-0000-0000-00003C030000}"/>
    <cellStyle name="Normální 3 3 3 4" xfId="827" xr:uid="{00000000-0005-0000-0000-00003D030000}"/>
    <cellStyle name="Normální 3 3 3 4 2" xfId="828" xr:uid="{00000000-0005-0000-0000-00003E030000}"/>
    <cellStyle name="Normální 3 3 3 4 2 2" xfId="829" xr:uid="{00000000-0005-0000-0000-00003F030000}"/>
    <cellStyle name="Normální 3 3 3 4 3" xfId="830" xr:uid="{00000000-0005-0000-0000-000040030000}"/>
    <cellStyle name="Normální 3 3 4" xfId="831" xr:uid="{00000000-0005-0000-0000-000041030000}"/>
    <cellStyle name="Normální 3 3 4 2" xfId="832" xr:uid="{00000000-0005-0000-0000-000042030000}"/>
    <cellStyle name="Normální 3 3 4 2 2" xfId="833" xr:uid="{00000000-0005-0000-0000-000043030000}"/>
    <cellStyle name="Normální 3 3 4 2 2 2" xfId="834" xr:uid="{00000000-0005-0000-0000-000044030000}"/>
    <cellStyle name="Normální 3 3 4 2 2 2 2" xfId="835" xr:uid="{00000000-0005-0000-0000-000045030000}"/>
    <cellStyle name="Normální 3 3 4 2 2 3" xfId="836" xr:uid="{00000000-0005-0000-0000-000046030000}"/>
    <cellStyle name="Normální 3 3 4 3" xfId="837" xr:uid="{00000000-0005-0000-0000-000047030000}"/>
    <cellStyle name="Normální 3 3 4 3 2" xfId="838" xr:uid="{00000000-0005-0000-0000-000048030000}"/>
    <cellStyle name="Normální 3 3 4 3 2 2" xfId="839" xr:uid="{00000000-0005-0000-0000-000049030000}"/>
    <cellStyle name="Normální 3 3 4 3 3" xfId="840" xr:uid="{00000000-0005-0000-0000-00004A030000}"/>
    <cellStyle name="Normální 3 3 5" xfId="841" xr:uid="{00000000-0005-0000-0000-00004B030000}"/>
    <cellStyle name="Normální 3 3 5 2" xfId="842" xr:uid="{00000000-0005-0000-0000-00004C030000}"/>
    <cellStyle name="Normální 3 3 5 2 2" xfId="843" xr:uid="{00000000-0005-0000-0000-00004D030000}"/>
    <cellStyle name="Normální 3 3 5 3" xfId="844" xr:uid="{00000000-0005-0000-0000-00004E030000}"/>
    <cellStyle name="Normální 3 3 6" xfId="845" xr:uid="{00000000-0005-0000-0000-00004F030000}"/>
    <cellStyle name="Normální 3 4" xfId="846" xr:uid="{00000000-0005-0000-0000-000050030000}"/>
    <cellStyle name="Normální 3 4 2" xfId="847" xr:uid="{00000000-0005-0000-0000-000051030000}"/>
    <cellStyle name="Normální 3 4 2 2" xfId="848" xr:uid="{00000000-0005-0000-0000-000052030000}"/>
    <cellStyle name="Normální 3 4 2 2 2" xfId="849" xr:uid="{00000000-0005-0000-0000-000053030000}"/>
    <cellStyle name="Normální 3 4 2 2 2 2" xfId="850" xr:uid="{00000000-0005-0000-0000-000054030000}"/>
    <cellStyle name="Normální 3 4 2 2 3" xfId="851" xr:uid="{00000000-0005-0000-0000-000055030000}"/>
    <cellStyle name="Normální 3 4 3" xfId="852" xr:uid="{00000000-0005-0000-0000-000056030000}"/>
    <cellStyle name="Normální 3 4 3 2" xfId="853" xr:uid="{00000000-0005-0000-0000-000057030000}"/>
    <cellStyle name="Normální 3 4 3 2 2" xfId="854" xr:uid="{00000000-0005-0000-0000-000058030000}"/>
    <cellStyle name="Normální 3 4 3 2 2 2" xfId="855" xr:uid="{00000000-0005-0000-0000-000059030000}"/>
    <cellStyle name="Normální 3 4 3 2 2 2 2" xfId="856" xr:uid="{00000000-0005-0000-0000-00005A030000}"/>
    <cellStyle name="Normální 3 4 3 2 2 3" xfId="857" xr:uid="{00000000-0005-0000-0000-00005B030000}"/>
    <cellStyle name="Normální 3 4 3 3" xfId="858" xr:uid="{00000000-0005-0000-0000-00005C030000}"/>
    <cellStyle name="Normální 3 4 3 3 2" xfId="859" xr:uid="{00000000-0005-0000-0000-00005D030000}"/>
    <cellStyle name="Normální 3 4 3 3 2 2" xfId="860" xr:uid="{00000000-0005-0000-0000-00005E030000}"/>
    <cellStyle name="Normální 3 4 3 3 3" xfId="861" xr:uid="{00000000-0005-0000-0000-00005F030000}"/>
    <cellStyle name="Normální 3 4 4" xfId="862" xr:uid="{00000000-0005-0000-0000-000060030000}"/>
    <cellStyle name="Normální 3 4 4 2" xfId="863" xr:uid="{00000000-0005-0000-0000-000061030000}"/>
    <cellStyle name="Normální 3 4 4 2 2" xfId="864" xr:uid="{00000000-0005-0000-0000-000062030000}"/>
    <cellStyle name="Normální 3 4 4 3" xfId="865" xr:uid="{00000000-0005-0000-0000-000063030000}"/>
    <cellStyle name="Normální 3 5" xfId="866" xr:uid="{00000000-0005-0000-0000-000064030000}"/>
    <cellStyle name="Normální 3 5 2" xfId="867" xr:uid="{00000000-0005-0000-0000-000065030000}"/>
    <cellStyle name="Normální 3 5 2 2" xfId="868" xr:uid="{00000000-0005-0000-0000-000066030000}"/>
    <cellStyle name="Normální 3 5 2 2 2" xfId="869" xr:uid="{00000000-0005-0000-0000-000067030000}"/>
    <cellStyle name="Normální 3 5 2 2 2 2" xfId="870" xr:uid="{00000000-0005-0000-0000-000068030000}"/>
    <cellStyle name="Normální 3 5 2 2 3" xfId="871" xr:uid="{00000000-0005-0000-0000-000069030000}"/>
    <cellStyle name="Normální 3 5 3" xfId="872" xr:uid="{00000000-0005-0000-0000-00006A030000}"/>
    <cellStyle name="Normální 3 5 3 2" xfId="873" xr:uid="{00000000-0005-0000-0000-00006B030000}"/>
    <cellStyle name="Normální 3 5 3 2 2" xfId="874" xr:uid="{00000000-0005-0000-0000-00006C030000}"/>
    <cellStyle name="Normální 3 5 3 3" xfId="875" xr:uid="{00000000-0005-0000-0000-00006D030000}"/>
    <cellStyle name="Normální 3 6" xfId="876" xr:uid="{00000000-0005-0000-0000-00006E030000}"/>
    <cellStyle name="Normální 3 6 2" xfId="877" xr:uid="{00000000-0005-0000-0000-00006F030000}"/>
    <cellStyle name="Normální 3 6 2 2" xfId="878" xr:uid="{00000000-0005-0000-0000-000070030000}"/>
    <cellStyle name="Normální 3 6 3" xfId="879" xr:uid="{00000000-0005-0000-0000-000071030000}"/>
    <cellStyle name="Normální 31" xfId="2074" xr:uid="{8E404D1A-ABDB-4E05-94CA-E2BB77BA7E2F}"/>
    <cellStyle name="normální 4" xfId="880" xr:uid="{00000000-0005-0000-0000-000072030000}"/>
    <cellStyle name="normální 4 10" xfId="881" xr:uid="{00000000-0005-0000-0000-000073030000}"/>
    <cellStyle name="normální 4 10 2" xfId="882" xr:uid="{00000000-0005-0000-0000-000074030000}"/>
    <cellStyle name="normální 4 10 2 2" xfId="883" xr:uid="{00000000-0005-0000-0000-000075030000}"/>
    <cellStyle name="normální 4 10 3" xfId="884" xr:uid="{00000000-0005-0000-0000-000076030000}"/>
    <cellStyle name="normální 4 11" xfId="885" xr:uid="{00000000-0005-0000-0000-000077030000}"/>
    <cellStyle name="Normální 4 2" xfId="886" xr:uid="{00000000-0005-0000-0000-000078030000}"/>
    <cellStyle name="Normální 4 2 2" xfId="887" xr:uid="{00000000-0005-0000-0000-000079030000}"/>
    <cellStyle name="Normální 4 2 2 2" xfId="888" xr:uid="{00000000-0005-0000-0000-00007A030000}"/>
    <cellStyle name="Normální 4 2 2 2 2" xfId="889" xr:uid="{00000000-0005-0000-0000-00007B030000}"/>
    <cellStyle name="Normální 4 2 2 2 2 2" xfId="890" xr:uid="{00000000-0005-0000-0000-00007C030000}"/>
    <cellStyle name="Normální 4 2 2 2 2 2 2" xfId="891" xr:uid="{00000000-0005-0000-0000-00007D030000}"/>
    <cellStyle name="Normální 4 2 2 2 2 2 2 2" xfId="892" xr:uid="{00000000-0005-0000-0000-00007E030000}"/>
    <cellStyle name="Normální 4 2 2 2 2 2 3" xfId="893" xr:uid="{00000000-0005-0000-0000-00007F030000}"/>
    <cellStyle name="Normální 4 2 2 2 3" xfId="894" xr:uid="{00000000-0005-0000-0000-000080030000}"/>
    <cellStyle name="Normální 4 2 2 2 3 2" xfId="895" xr:uid="{00000000-0005-0000-0000-000081030000}"/>
    <cellStyle name="Normální 4 2 2 2 3 2 2" xfId="896" xr:uid="{00000000-0005-0000-0000-000082030000}"/>
    <cellStyle name="Normální 4 2 2 2 3 3" xfId="897" xr:uid="{00000000-0005-0000-0000-000083030000}"/>
    <cellStyle name="Normální 4 2 2 3" xfId="898" xr:uid="{00000000-0005-0000-0000-000084030000}"/>
    <cellStyle name="Normální 4 2 2 3 2" xfId="899" xr:uid="{00000000-0005-0000-0000-000085030000}"/>
    <cellStyle name="Normální 4 2 2 3 2 2" xfId="900" xr:uid="{00000000-0005-0000-0000-000086030000}"/>
    <cellStyle name="Normální 4 2 2 3 3" xfId="901" xr:uid="{00000000-0005-0000-0000-000087030000}"/>
    <cellStyle name="Normální 4 2 3" xfId="902" xr:uid="{00000000-0005-0000-0000-000088030000}"/>
    <cellStyle name="Normální 4 2 3 2" xfId="903" xr:uid="{00000000-0005-0000-0000-000089030000}"/>
    <cellStyle name="Normální 4 2 3 2 2" xfId="904" xr:uid="{00000000-0005-0000-0000-00008A030000}"/>
    <cellStyle name="Normální 4 2 3 2 2 2" xfId="905" xr:uid="{00000000-0005-0000-0000-00008B030000}"/>
    <cellStyle name="Normální 4 2 3 2 2 2 2" xfId="906" xr:uid="{00000000-0005-0000-0000-00008C030000}"/>
    <cellStyle name="Normální 4 2 3 2 2 3" xfId="907" xr:uid="{00000000-0005-0000-0000-00008D030000}"/>
    <cellStyle name="Normální 4 2 3 3" xfId="908" xr:uid="{00000000-0005-0000-0000-00008E030000}"/>
    <cellStyle name="Normální 4 2 3 3 2" xfId="909" xr:uid="{00000000-0005-0000-0000-00008F030000}"/>
    <cellStyle name="Normální 4 2 3 3 2 2" xfId="910" xr:uid="{00000000-0005-0000-0000-000090030000}"/>
    <cellStyle name="Normální 4 2 3 3 2 2 2" xfId="911" xr:uid="{00000000-0005-0000-0000-000091030000}"/>
    <cellStyle name="Normální 4 2 3 3 2 2 2 2" xfId="912" xr:uid="{00000000-0005-0000-0000-000092030000}"/>
    <cellStyle name="Normální 4 2 3 3 2 2 3" xfId="913" xr:uid="{00000000-0005-0000-0000-000093030000}"/>
    <cellStyle name="Normální 4 2 3 3 3" xfId="914" xr:uid="{00000000-0005-0000-0000-000094030000}"/>
    <cellStyle name="Normální 4 2 3 3 3 2" xfId="915" xr:uid="{00000000-0005-0000-0000-000095030000}"/>
    <cellStyle name="Normální 4 2 3 3 3 2 2" xfId="916" xr:uid="{00000000-0005-0000-0000-000096030000}"/>
    <cellStyle name="Normální 4 2 3 3 3 3" xfId="917" xr:uid="{00000000-0005-0000-0000-000097030000}"/>
    <cellStyle name="Normální 4 2 3 4" xfId="918" xr:uid="{00000000-0005-0000-0000-000098030000}"/>
    <cellStyle name="Normální 4 2 3 4 2" xfId="919" xr:uid="{00000000-0005-0000-0000-000099030000}"/>
    <cellStyle name="Normální 4 2 3 4 2 2" xfId="920" xr:uid="{00000000-0005-0000-0000-00009A030000}"/>
    <cellStyle name="Normální 4 2 3 4 3" xfId="921" xr:uid="{00000000-0005-0000-0000-00009B030000}"/>
    <cellStyle name="Normální 4 2 4" xfId="922" xr:uid="{00000000-0005-0000-0000-00009C030000}"/>
    <cellStyle name="Normální 4 2 4 2" xfId="923" xr:uid="{00000000-0005-0000-0000-00009D030000}"/>
    <cellStyle name="Normální 4 2 4 2 2" xfId="924" xr:uid="{00000000-0005-0000-0000-00009E030000}"/>
    <cellStyle name="Normální 4 2 4 2 2 2" xfId="925" xr:uid="{00000000-0005-0000-0000-00009F030000}"/>
    <cellStyle name="Normální 4 2 4 2 2 2 2" xfId="926" xr:uid="{00000000-0005-0000-0000-0000A0030000}"/>
    <cellStyle name="Normální 4 2 4 2 2 3" xfId="927" xr:uid="{00000000-0005-0000-0000-0000A1030000}"/>
    <cellStyle name="Normální 4 2 4 3" xfId="928" xr:uid="{00000000-0005-0000-0000-0000A2030000}"/>
    <cellStyle name="Normální 4 2 4 3 2" xfId="929" xr:uid="{00000000-0005-0000-0000-0000A3030000}"/>
    <cellStyle name="Normální 4 2 4 3 2 2" xfId="930" xr:uid="{00000000-0005-0000-0000-0000A4030000}"/>
    <cellStyle name="Normální 4 2 4 3 3" xfId="931" xr:uid="{00000000-0005-0000-0000-0000A5030000}"/>
    <cellStyle name="Normální 4 2 5" xfId="932" xr:uid="{00000000-0005-0000-0000-0000A6030000}"/>
    <cellStyle name="Normální 4 2 5 2" xfId="933" xr:uid="{00000000-0005-0000-0000-0000A7030000}"/>
    <cellStyle name="Normální 4 2 5 2 2" xfId="934" xr:uid="{00000000-0005-0000-0000-0000A8030000}"/>
    <cellStyle name="Normální 4 2 5 3" xfId="935" xr:uid="{00000000-0005-0000-0000-0000A9030000}"/>
    <cellStyle name="Normální 4 2 6" xfId="936" xr:uid="{00000000-0005-0000-0000-0000AA030000}"/>
    <cellStyle name="normální 4 3" xfId="937" xr:uid="{00000000-0005-0000-0000-0000AB030000}"/>
    <cellStyle name="normální 4 3 2" xfId="938" xr:uid="{00000000-0005-0000-0000-0000AC030000}"/>
    <cellStyle name="normální 4 3 2 2" xfId="939" xr:uid="{00000000-0005-0000-0000-0000AD030000}"/>
    <cellStyle name="normální 4 3 2 2 2" xfId="940" xr:uid="{00000000-0005-0000-0000-0000AE030000}"/>
    <cellStyle name="normální 4 3 2 2 2 2" xfId="941" xr:uid="{00000000-0005-0000-0000-0000AF030000}"/>
    <cellStyle name="normální 4 3 2 2 2 2 2" xfId="942" xr:uid="{00000000-0005-0000-0000-0000B0030000}"/>
    <cellStyle name="normální 4 3 2 2 2 3" xfId="943" xr:uid="{00000000-0005-0000-0000-0000B1030000}"/>
    <cellStyle name="normální 4 3 2 2 3" xfId="944" xr:uid="{00000000-0005-0000-0000-0000B2030000}"/>
    <cellStyle name="normální 4 3 2 3" xfId="945" xr:uid="{00000000-0005-0000-0000-0000B3030000}"/>
    <cellStyle name="normální 4 3 2 3 2" xfId="946" xr:uid="{00000000-0005-0000-0000-0000B4030000}"/>
    <cellStyle name="normální 4 3 2 3 2 2" xfId="947" xr:uid="{00000000-0005-0000-0000-0000B5030000}"/>
    <cellStyle name="normální 4 3 2 3 2 2 2" xfId="948" xr:uid="{00000000-0005-0000-0000-0000B6030000}"/>
    <cellStyle name="normální 4 3 2 3 2 3" xfId="949" xr:uid="{00000000-0005-0000-0000-0000B7030000}"/>
    <cellStyle name="normální 4 3 2 3 3" xfId="950" xr:uid="{00000000-0005-0000-0000-0000B8030000}"/>
    <cellStyle name="normální 4 3 2 4" xfId="951" xr:uid="{00000000-0005-0000-0000-0000B9030000}"/>
    <cellStyle name="normální 4 3 2 4 2" xfId="952" xr:uid="{00000000-0005-0000-0000-0000BA030000}"/>
    <cellStyle name="normální 4 3 2 4 2 2" xfId="953" xr:uid="{00000000-0005-0000-0000-0000BB030000}"/>
    <cellStyle name="normální 4 3 2 4 3" xfId="954" xr:uid="{00000000-0005-0000-0000-0000BC030000}"/>
    <cellStyle name="normální 4 3 2 5" xfId="955" xr:uid="{00000000-0005-0000-0000-0000BD030000}"/>
    <cellStyle name="normální 4 3 3" xfId="956" xr:uid="{00000000-0005-0000-0000-0000BE030000}"/>
    <cellStyle name="normální 4 3 3 2" xfId="957" xr:uid="{00000000-0005-0000-0000-0000BF030000}"/>
    <cellStyle name="normální 4 3 3 2 2" xfId="958" xr:uid="{00000000-0005-0000-0000-0000C0030000}"/>
    <cellStyle name="normální 4 3 3 2 2 2" xfId="959" xr:uid="{00000000-0005-0000-0000-0000C1030000}"/>
    <cellStyle name="normální 4 3 3 2 2 2 2" xfId="960" xr:uid="{00000000-0005-0000-0000-0000C2030000}"/>
    <cellStyle name="normální 4 3 3 2 2 3" xfId="961" xr:uid="{00000000-0005-0000-0000-0000C3030000}"/>
    <cellStyle name="normální 4 3 3 2 3" xfId="962" xr:uid="{00000000-0005-0000-0000-0000C4030000}"/>
    <cellStyle name="normální 4 3 3 3" xfId="963" xr:uid="{00000000-0005-0000-0000-0000C5030000}"/>
    <cellStyle name="normální 4 3 3 3 2" xfId="964" xr:uid="{00000000-0005-0000-0000-0000C6030000}"/>
    <cellStyle name="normální 4 3 3 3 2 2" xfId="965" xr:uid="{00000000-0005-0000-0000-0000C7030000}"/>
    <cellStyle name="normální 4 3 3 3 2 2 2" xfId="966" xr:uid="{00000000-0005-0000-0000-0000C8030000}"/>
    <cellStyle name="normální 4 3 3 3 2 3" xfId="967" xr:uid="{00000000-0005-0000-0000-0000C9030000}"/>
    <cellStyle name="normální 4 3 3 3 3" xfId="968" xr:uid="{00000000-0005-0000-0000-0000CA030000}"/>
    <cellStyle name="normální 4 3 3 4" xfId="969" xr:uid="{00000000-0005-0000-0000-0000CB030000}"/>
    <cellStyle name="normální 4 3 3 4 2" xfId="970" xr:uid="{00000000-0005-0000-0000-0000CC030000}"/>
    <cellStyle name="normální 4 3 3 4 2 2" xfId="971" xr:uid="{00000000-0005-0000-0000-0000CD030000}"/>
    <cellStyle name="normální 4 3 3 4 2 2 2" xfId="972" xr:uid="{00000000-0005-0000-0000-0000CE030000}"/>
    <cellStyle name="normální 4 3 3 4 2 3" xfId="973" xr:uid="{00000000-0005-0000-0000-0000CF030000}"/>
    <cellStyle name="normální 4 3 3 4 3" xfId="974" xr:uid="{00000000-0005-0000-0000-0000D0030000}"/>
    <cellStyle name="normální 4 3 3 5" xfId="975" xr:uid="{00000000-0005-0000-0000-0000D1030000}"/>
    <cellStyle name="normální 4 3 3 5 2" xfId="976" xr:uid="{00000000-0005-0000-0000-0000D2030000}"/>
    <cellStyle name="normální 4 3 3 5 2 2" xfId="977" xr:uid="{00000000-0005-0000-0000-0000D3030000}"/>
    <cellStyle name="normální 4 3 3 5 3" xfId="978" xr:uid="{00000000-0005-0000-0000-0000D4030000}"/>
    <cellStyle name="normální 4 3 3 6" xfId="979" xr:uid="{00000000-0005-0000-0000-0000D5030000}"/>
    <cellStyle name="normální 4 3 4" xfId="980" xr:uid="{00000000-0005-0000-0000-0000D6030000}"/>
    <cellStyle name="normální 4 3 4 2" xfId="981" xr:uid="{00000000-0005-0000-0000-0000D7030000}"/>
    <cellStyle name="normální 4 3 4 2 2" xfId="982" xr:uid="{00000000-0005-0000-0000-0000D8030000}"/>
    <cellStyle name="normální 4 3 4 2 2 2" xfId="983" xr:uid="{00000000-0005-0000-0000-0000D9030000}"/>
    <cellStyle name="normální 4 3 4 2 3" xfId="984" xr:uid="{00000000-0005-0000-0000-0000DA030000}"/>
    <cellStyle name="normální 4 3 4 3" xfId="985" xr:uid="{00000000-0005-0000-0000-0000DB030000}"/>
    <cellStyle name="normální 4 3 5" xfId="986" xr:uid="{00000000-0005-0000-0000-0000DC030000}"/>
    <cellStyle name="normální 4 3 5 2" xfId="987" xr:uid="{00000000-0005-0000-0000-0000DD030000}"/>
    <cellStyle name="normální 4 3 5 2 2" xfId="988" xr:uid="{00000000-0005-0000-0000-0000DE030000}"/>
    <cellStyle name="normální 4 3 5 3" xfId="989" xr:uid="{00000000-0005-0000-0000-0000DF030000}"/>
    <cellStyle name="normální 4 3 6" xfId="990" xr:uid="{00000000-0005-0000-0000-0000E0030000}"/>
    <cellStyle name="normální 4 4" xfId="991" xr:uid="{00000000-0005-0000-0000-0000E1030000}"/>
    <cellStyle name="normální 4 4 2" xfId="992" xr:uid="{00000000-0005-0000-0000-0000E2030000}"/>
    <cellStyle name="normální 4 4 2 2" xfId="993" xr:uid="{00000000-0005-0000-0000-0000E3030000}"/>
    <cellStyle name="normální 4 4 2 2 2" xfId="994" xr:uid="{00000000-0005-0000-0000-0000E4030000}"/>
    <cellStyle name="normální 4 4 2 2 2 2" xfId="995" xr:uid="{00000000-0005-0000-0000-0000E5030000}"/>
    <cellStyle name="normální 4 4 2 2 2 2 2" xfId="996" xr:uid="{00000000-0005-0000-0000-0000E6030000}"/>
    <cellStyle name="normální 4 4 2 2 2 3" xfId="997" xr:uid="{00000000-0005-0000-0000-0000E7030000}"/>
    <cellStyle name="normální 4 4 2 2 3" xfId="998" xr:uid="{00000000-0005-0000-0000-0000E8030000}"/>
    <cellStyle name="normální 4 4 2 3" xfId="999" xr:uid="{00000000-0005-0000-0000-0000E9030000}"/>
    <cellStyle name="normální 4 4 2 3 2" xfId="1000" xr:uid="{00000000-0005-0000-0000-0000EA030000}"/>
    <cellStyle name="normální 4 4 2 3 2 2" xfId="1001" xr:uid="{00000000-0005-0000-0000-0000EB030000}"/>
    <cellStyle name="normální 4 4 2 3 2 2 2" xfId="1002" xr:uid="{00000000-0005-0000-0000-0000EC030000}"/>
    <cellStyle name="normální 4 4 2 3 2 3" xfId="1003" xr:uid="{00000000-0005-0000-0000-0000ED030000}"/>
    <cellStyle name="normální 4 4 2 3 3" xfId="1004" xr:uid="{00000000-0005-0000-0000-0000EE030000}"/>
    <cellStyle name="normální 4 4 2 4" xfId="1005" xr:uid="{00000000-0005-0000-0000-0000EF030000}"/>
    <cellStyle name="normální 4 4 2 4 2" xfId="1006" xr:uid="{00000000-0005-0000-0000-0000F0030000}"/>
    <cellStyle name="normální 4 4 2 4 2 2" xfId="1007" xr:uid="{00000000-0005-0000-0000-0000F1030000}"/>
    <cellStyle name="normální 4 4 2 4 3" xfId="1008" xr:uid="{00000000-0005-0000-0000-0000F2030000}"/>
    <cellStyle name="normální 4 4 2 5" xfId="1009" xr:uid="{00000000-0005-0000-0000-0000F3030000}"/>
    <cellStyle name="normální 4 4 3" xfId="1010" xr:uid="{00000000-0005-0000-0000-0000F4030000}"/>
    <cellStyle name="normální 4 4 3 2" xfId="1011" xr:uid="{00000000-0005-0000-0000-0000F5030000}"/>
    <cellStyle name="normální 4 4 3 2 2" xfId="1012" xr:uid="{00000000-0005-0000-0000-0000F6030000}"/>
    <cellStyle name="normální 4 4 3 2 2 2" xfId="1013" xr:uid="{00000000-0005-0000-0000-0000F7030000}"/>
    <cellStyle name="normální 4 4 3 2 2 2 2" xfId="1014" xr:uid="{00000000-0005-0000-0000-0000F8030000}"/>
    <cellStyle name="normální 4 4 3 2 2 3" xfId="1015" xr:uid="{00000000-0005-0000-0000-0000F9030000}"/>
    <cellStyle name="normální 4 4 3 2 3" xfId="1016" xr:uid="{00000000-0005-0000-0000-0000FA030000}"/>
    <cellStyle name="normální 4 4 3 3" xfId="1017" xr:uid="{00000000-0005-0000-0000-0000FB030000}"/>
    <cellStyle name="normální 4 4 3 3 2" xfId="1018" xr:uid="{00000000-0005-0000-0000-0000FC030000}"/>
    <cellStyle name="normální 4 4 3 3 2 2" xfId="1019" xr:uid="{00000000-0005-0000-0000-0000FD030000}"/>
    <cellStyle name="normální 4 4 3 3 2 2 2" xfId="1020" xr:uid="{00000000-0005-0000-0000-0000FE030000}"/>
    <cellStyle name="normální 4 4 3 3 2 3" xfId="1021" xr:uid="{00000000-0005-0000-0000-0000FF030000}"/>
    <cellStyle name="normální 4 4 3 3 3" xfId="1022" xr:uid="{00000000-0005-0000-0000-000000040000}"/>
    <cellStyle name="normální 4 4 3 4" xfId="1023" xr:uid="{00000000-0005-0000-0000-000001040000}"/>
    <cellStyle name="normální 4 4 3 4 2" xfId="1024" xr:uid="{00000000-0005-0000-0000-000002040000}"/>
    <cellStyle name="normální 4 4 3 4 2 2" xfId="1025" xr:uid="{00000000-0005-0000-0000-000003040000}"/>
    <cellStyle name="normální 4 4 3 4 2 2 2" xfId="1026" xr:uid="{00000000-0005-0000-0000-000004040000}"/>
    <cellStyle name="normální 4 4 3 4 2 3" xfId="1027" xr:uid="{00000000-0005-0000-0000-000005040000}"/>
    <cellStyle name="normální 4 4 3 4 3" xfId="1028" xr:uid="{00000000-0005-0000-0000-000006040000}"/>
    <cellStyle name="normální 4 4 3 5" xfId="1029" xr:uid="{00000000-0005-0000-0000-000007040000}"/>
    <cellStyle name="normální 4 4 3 5 2" xfId="1030" xr:uid="{00000000-0005-0000-0000-000008040000}"/>
    <cellStyle name="normální 4 4 3 5 2 2" xfId="1031" xr:uid="{00000000-0005-0000-0000-000009040000}"/>
    <cellStyle name="normální 4 4 3 5 3" xfId="1032" xr:uid="{00000000-0005-0000-0000-00000A040000}"/>
    <cellStyle name="normální 4 4 3 6" xfId="1033" xr:uid="{00000000-0005-0000-0000-00000B040000}"/>
    <cellStyle name="normální 4 4 4" xfId="1034" xr:uid="{00000000-0005-0000-0000-00000C040000}"/>
    <cellStyle name="normální 4 4 4 2" xfId="1035" xr:uid="{00000000-0005-0000-0000-00000D040000}"/>
    <cellStyle name="normální 4 4 4 2 2" xfId="1036" xr:uid="{00000000-0005-0000-0000-00000E040000}"/>
    <cellStyle name="normální 4 4 4 2 2 2" xfId="1037" xr:uid="{00000000-0005-0000-0000-00000F040000}"/>
    <cellStyle name="normální 4 4 4 2 3" xfId="1038" xr:uid="{00000000-0005-0000-0000-000010040000}"/>
    <cellStyle name="normální 4 4 4 3" xfId="1039" xr:uid="{00000000-0005-0000-0000-000011040000}"/>
    <cellStyle name="normální 4 4 5" xfId="1040" xr:uid="{00000000-0005-0000-0000-000012040000}"/>
    <cellStyle name="normální 4 4 5 2" xfId="1041" xr:uid="{00000000-0005-0000-0000-000013040000}"/>
    <cellStyle name="normální 4 4 5 2 2" xfId="1042" xr:uid="{00000000-0005-0000-0000-000014040000}"/>
    <cellStyle name="normální 4 4 5 3" xfId="1043" xr:uid="{00000000-0005-0000-0000-000015040000}"/>
    <cellStyle name="normální 4 4 6" xfId="1044" xr:uid="{00000000-0005-0000-0000-000016040000}"/>
    <cellStyle name="normální 4 5" xfId="1045" xr:uid="{00000000-0005-0000-0000-000017040000}"/>
    <cellStyle name="normální 4 5 2" xfId="1046" xr:uid="{00000000-0005-0000-0000-000018040000}"/>
    <cellStyle name="normální 4 5 2 2" xfId="1047" xr:uid="{00000000-0005-0000-0000-000019040000}"/>
    <cellStyle name="normální 4 5 2 2 2" xfId="1048" xr:uid="{00000000-0005-0000-0000-00001A040000}"/>
    <cellStyle name="normální 4 5 2 2 2 2" xfId="1049" xr:uid="{00000000-0005-0000-0000-00001B040000}"/>
    <cellStyle name="normální 4 5 2 2 2 2 2" xfId="1050" xr:uid="{00000000-0005-0000-0000-00001C040000}"/>
    <cellStyle name="normální 4 5 2 2 2 3" xfId="1051" xr:uid="{00000000-0005-0000-0000-00001D040000}"/>
    <cellStyle name="normální 4 5 2 2 3" xfId="1052" xr:uid="{00000000-0005-0000-0000-00001E040000}"/>
    <cellStyle name="normální 4 5 2 3" xfId="1053" xr:uid="{00000000-0005-0000-0000-00001F040000}"/>
    <cellStyle name="normální 4 5 2 3 2" xfId="1054" xr:uid="{00000000-0005-0000-0000-000020040000}"/>
    <cellStyle name="normální 4 5 2 3 2 2" xfId="1055" xr:uid="{00000000-0005-0000-0000-000021040000}"/>
    <cellStyle name="normální 4 5 2 3 2 2 2" xfId="1056" xr:uid="{00000000-0005-0000-0000-000022040000}"/>
    <cellStyle name="normální 4 5 2 3 2 3" xfId="1057" xr:uid="{00000000-0005-0000-0000-000023040000}"/>
    <cellStyle name="normální 4 5 2 3 3" xfId="1058" xr:uid="{00000000-0005-0000-0000-000024040000}"/>
    <cellStyle name="normální 4 5 2 4" xfId="1059" xr:uid="{00000000-0005-0000-0000-000025040000}"/>
    <cellStyle name="normální 4 5 2 4 2" xfId="1060" xr:uid="{00000000-0005-0000-0000-000026040000}"/>
    <cellStyle name="normální 4 5 2 4 2 2" xfId="1061" xr:uid="{00000000-0005-0000-0000-000027040000}"/>
    <cellStyle name="normální 4 5 2 4 3" xfId="1062" xr:uid="{00000000-0005-0000-0000-000028040000}"/>
    <cellStyle name="normální 4 5 2 5" xfId="1063" xr:uid="{00000000-0005-0000-0000-000029040000}"/>
    <cellStyle name="normální 4 5 3" xfId="1064" xr:uid="{00000000-0005-0000-0000-00002A040000}"/>
    <cellStyle name="normální 4 5 3 2" xfId="1065" xr:uid="{00000000-0005-0000-0000-00002B040000}"/>
    <cellStyle name="normální 4 5 3 2 2" xfId="1066" xr:uid="{00000000-0005-0000-0000-00002C040000}"/>
    <cellStyle name="normální 4 5 3 2 2 2" xfId="1067" xr:uid="{00000000-0005-0000-0000-00002D040000}"/>
    <cellStyle name="normální 4 5 3 2 3" xfId="1068" xr:uid="{00000000-0005-0000-0000-00002E040000}"/>
    <cellStyle name="normální 4 5 3 3" xfId="1069" xr:uid="{00000000-0005-0000-0000-00002F040000}"/>
    <cellStyle name="normální 4 5 4" xfId="1070" xr:uid="{00000000-0005-0000-0000-000030040000}"/>
    <cellStyle name="normální 4 5 4 2" xfId="1071" xr:uid="{00000000-0005-0000-0000-000031040000}"/>
    <cellStyle name="normální 4 5 4 2 2" xfId="1072" xr:uid="{00000000-0005-0000-0000-000032040000}"/>
    <cellStyle name="normální 4 5 4 3" xfId="1073" xr:uid="{00000000-0005-0000-0000-000033040000}"/>
    <cellStyle name="normální 4 5 5" xfId="1074" xr:uid="{00000000-0005-0000-0000-000034040000}"/>
    <cellStyle name="normální 4 6" xfId="1075" xr:uid="{00000000-0005-0000-0000-000035040000}"/>
    <cellStyle name="normální 4 6 2" xfId="1076" xr:uid="{00000000-0005-0000-0000-000036040000}"/>
    <cellStyle name="normální 4 6 2 2" xfId="1077" xr:uid="{00000000-0005-0000-0000-000037040000}"/>
    <cellStyle name="normální 4 6 2 2 2" xfId="1078" xr:uid="{00000000-0005-0000-0000-000038040000}"/>
    <cellStyle name="normální 4 6 2 2 2 2" xfId="1079" xr:uid="{00000000-0005-0000-0000-000039040000}"/>
    <cellStyle name="normální 4 6 2 2 2 2 2" xfId="1080" xr:uid="{00000000-0005-0000-0000-00003A040000}"/>
    <cellStyle name="normální 4 6 2 2 2 3" xfId="1081" xr:uid="{00000000-0005-0000-0000-00003B040000}"/>
    <cellStyle name="normální 4 6 2 2 3" xfId="1082" xr:uid="{00000000-0005-0000-0000-00003C040000}"/>
    <cellStyle name="normální 4 6 2 3" xfId="1083" xr:uid="{00000000-0005-0000-0000-00003D040000}"/>
    <cellStyle name="normální 4 6 2 3 2" xfId="1084" xr:uid="{00000000-0005-0000-0000-00003E040000}"/>
    <cellStyle name="normální 4 6 2 3 2 2" xfId="1085" xr:uid="{00000000-0005-0000-0000-00003F040000}"/>
    <cellStyle name="normální 4 6 2 3 2 2 2" xfId="1086" xr:uid="{00000000-0005-0000-0000-000040040000}"/>
    <cellStyle name="normální 4 6 2 3 2 3" xfId="1087" xr:uid="{00000000-0005-0000-0000-000041040000}"/>
    <cellStyle name="normální 4 6 2 3 3" xfId="1088" xr:uid="{00000000-0005-0000-0000-000042040000}"/>
    <cellStyle name="normální 4 6 2 4" xfId="1089" xr:uid="{00000000-0005-0000-0000-000043040000}"/>
    <cellStyle name="normální 4 6 2 4 2" xfId="1090" xr:uid="{00000000-0005-0000-0000-000044040000}"/>
    <cellStyle name="normální 4 6 2 4 2 2" xfId="1091" xr:uid="{00000000-0005-0000-0000-000045040000}"/>
    <cellStyle name="normální 4 6 2 4 3" xfId="1092" xr:uid="{00000000-0005-0000-0000-000046040000}"/>
    <cellStyle name="normální 4 6 2 5" xfId="1093" xr:uid="{00000000-0005-0000-0000-000047040000}"/>
    <cellStyle name="normální 4 6 3" xfId="1094" xr:uid="{00000000-0005-0000-0000-000048040000}"/>
    <cellStyle name="normální 4 6 3 2" xfId="1095" xr:uid="{00000000-0005-0000-0000-000049040000}"/>
    <cellStyle name="normální 4 6 3 2 2" xfId="1096" xr:uid="{00000000-0005-0000-0000-00004A040000}"/>
    <cellStyle name="normální 4 6 3 2 2 2" xfId="1097" xr:uid="{00000000-0005-0000-0000-00004B040000}"/>
    <cellStyle name="normální 4 6 3 2 3" xfId="1098" xr:uid="{00000000-0005-0000-0000-00004C040000}"/>
    <cellStyle name="normální 4 6 3 3" xfId="1099" xr:uid="{00000000-0005-0000-0000-00004D040000}"/>
    <cellStyle name="normální 4 6 4" xfId="1100" xr:uid="{00000000-0005-0000-0000-00004E040000}"/>
    <cellStyle name="normální 4 6 4 2" xfId="1101" xr:uid="{00000000-0005-0000-0000-00004F040000}"/>
    <cellStyle name="normální 4 6 4 2 2" xfId="1102" xr:uid="{00000000-0005-0000-0000-000050040000}"/>
    <cellStyle name="normální 4 6 4 3" xfId="1103" xr:uid="{00000000-0005-0000-0000-000051040000}"/>
    <cellStyle name="normální 4 6 5" xfId="1104" xr:uid="{00000000-0005-0000-0000-000052040000}"/>
    <cellStyle name="normální 4 7" xfId="1105" xr:uid="{00000000-0005-0000-0000-000053040000}"/>
    <cellStyle name="normální 4 7 2" xfId="1106" xr:uid="{00000000-0005-0000-0000-000054040000}"/>
    <cellStyle name="normální 4 7 2 2" xfId="1107" xr:uid="{00000000-0005-0000-0000-000055040000}"/>
    <cellStyle name="normální 4 7 2 2 2" xfId="1108" xr:uid="{00000000-0005-0000-0000-000056040000}"/>
    <cellStyle name="normální 4 7 2 2 2 2" xfId="1109" xr:uid="{00000000-0005-0000-0000-000057040000}"/>
    <cellStyle name="normální 4 7 2 2 2 2 2" xfId="1110" xr:uid="{00000000-0005-0000-0000-000058040000}"/>
    <cellStyle name="normální 4 7 2 2 2 3" xfId="1111" xr:uid="{00000000-0005-0000-0000-000059040000}"/>
    <cellStyle name="normální 4 7 2 2 3" xfId="1112" xr:uid="{00000000-0005-0000-0000-00005A040000}"/>
    <cellStyle name="normální 4 7 2 3" xfId="1113" xr:uid="{00000000-0005-0000-0000-00005B040000}"/>
    <cellStyle name="normální 4 7 2 3 2" xfId="1114" xr:uid="{00000000-0005-0000-0000-00005C040000}"/>
    <cellStyle name="normální 4 7 2 3 2 2" xfId="1115" xr:uid="{00000000-0005-0000-0000-00005D040000}"/>
    <cellStyle name="normální 4 7 2 3 2 2 2" xfId="1116" xr:uid="{00000000-0005-0000-0000-00005E040000}"/>
    <cellStyle name="normální 4 7 2 3 2 3" xfId="1117" xr:uid="{00000000-0005-0000-0000-00005F040000}"/>
    <cellStyle name="normální 4 7 2 3 3" xfId="1118" xr:uid="{00000000-0005-0000-0000-000060040000}"/>
    <cellStyle name="normální 4 7 2 4" xfId="1119" xr:uid="{00000000-0005-0000-0000-000061040000}"/>
    <cellStyle name="normální 4 7 2 4 2" xfId="1120" xr:uid="{00000000-0005-0000-0000-000062040000}"/>
    <cellStyle name="normální 4 7 2 4 2 2" xfId="1121" xr:uid="{00000000-0005-0000-0000-000063040000}"/>
    <cellStyle name="normální 4 7 2 4 3" xfId="1122" xr:uid="{00000000-0005-0000-0000-000064040000}"/>
    <cellStyle name="normální 4 7 2 5" xfId="1123" xr:uid="{00000000-0005-0000-0000-000065040000}"/>
    <cellStyle name="normální 4 7 3" xfId="1124" xr:uid="{00000000-0005-0000-0000-000066040000}"/>
    <cellStyle name="normální 4 7 3 2" xfId="1125" xr:uid="{00000000-0005-0000-0000-000067040000}"/>
    <cellStyle name="normální 4 7 3 2 2" xfId="1126" xr:uid="{00000000-0005-0000-0000-000068040000}"/>
    <cellStyle name="normální 4 7 3 2 2 2" xfId="1127" xr:uid="{00000000-0005-0000-0000-000069040000}"/>
    <cellStyle name="normální 4 7 3 2 3" xfId="1128" xr:uid="{00000000-0005-0000-0000-00006A040000}"/>
    <cellStyle name="normální 4 7 3 3" xfId="1129" xr:uid="{00000000-0005-0000-0000-00006B040000}"/>
    <cellStyle name="normální 4 7 4" xfId="1130" xr:uid="{00000000-0005-0000-0000-00006C040000}"/>
    <cellStyle name="normální 4 7 4 2" xfId="1131" xr:uid="{00000000-0005-0000-0000-00006D040000}"/>
    <cellStyle name="normální 4 7 4 2 2" xfId="1132" xr:uid="{00000000-0005-0000-0000-00006E040000}"/>
    <cellStyle name="normální 4 7 4 3" xfId="1133" xr:uid="{00000000-0005-0000-0000-00006F040000}"/>
    <cellStyle name="normální 4 7 5" xfId="1134" xr:uid="{00000000-0005-0000-0000-000070040000}"/>
    <cellStyle name="normální 4 8" xfId="1135" xr:uid="{00000000-0005-0000-0000-000071040000}"/>
    <cellStyle name="normální 4 8 2" xfId="1136" xr:uid="{00000000-0005-0000-0000-000072040000}"/>
    <cellStyle name="normální 4 8 2 2" xfId="1137" xr:uid="{00000000-0005-0000-0000-000073040000}"/>
    <cellStyle name="normální 4 8 2 2 2" xfId="1138" xr:uid="{00000000-0005-0000-0000-000074040000}"/>
    <cellStyle name="normální 4 8 2 2 2 2" xfId="1139" xr:uid="{00000000-0005-0000-0000-000075040000}"/>
    <cellStyle name="normální 4 8 2 2 3" xfId="1140" xr:uid="{00000000-0005-0000-0000-000076040000}"/>
    <cellStyle name="normální 4 8 2 3" xfId="1141" xr:uid="{00000000-0005-0000-0000-000077040000}"/>
    <cellStyle name="normální 4 8 3" xfId="1142" xr:uid="{00000000-0005-0000-0000-000078040000}"/>
    <cellStyle name="normální 4 8 3 2" xfId="1143" xr:uid="{00000000-0005-0000-0000-000079040000}"/>
    <cellStyle name="normální 4 8 3 2 2" xfId="1144" xr:uid="{00000000-0005-0000-0000-00007A040000}"/>
    <cellStyle name="normální 4 8 3 2 2 2" xfId="1145" xr:uid="{00000000-0005-0000-0000-00007B040000}"/>
    <cellStyle name="normální 4 8 3 2 3" xfId="1146" xr:uid="{00000000-0005-0000-0000-00007C040000}"/>
    <cellStyle name="normální 4 8 3 3" xfId="1147" xr:uid="{00000000-0005-0000-0000-00007D040000}"/>
    <cellStyle name="normální 4 8 4" xfId="1148" xr:uid="{00000000-0005-0000-0000-00007E040000}"/>
    <cellStyle name="normální 4 8 4 2" xfId="1149" xr:uid="{00000000-0005-0000-0000-00007F040000}"/>
    <cellStyle name="normální 4 8 4 2 2" xfId="1150" xr:uid="{00000000-0005-0000-0000-000080040000}"/>
    <cellStyle name="normální 4 8 4 3" xfId="1151" xr:uid="{00000000-0005-0000-0000-000081040000}"/>
    <cellStyle name="normální 4 8 5" xfId="1152" xr:uid="{00000000-0005-0000-0000-000082040000}"/>
    <cellStyle name="normální 4 9" xfId="1153" xr:uid="{00000000-0005-0000-0000-000083040000}"/>
    <cellStyle name="normální 4 9 2" xfId="1154" xr:uid="{00000000-0005-0000-0000-000084040000}"/>
    <cellStyle name="normální 4 9 2 2" xfId="1155" xr:uid="{00000000-0005-0000-0000-000085040000}"/>
    <cellStyle name="normální 4 9 2 2 2" xfId="1156" xr:uid="{00000000-0005-0000-0000-000086040000}"/>
    <cellStyle name="normální 4 9 2 3" xfId="1157" xr:uid="{00000000-0005-0000-0000-000087040000}"/>
    <cellStyle name="normální 4 9 3" xfId="1158" xr:uid="{00000000-0005-0000-0000-000088040000}"/>
    <cellStyle name="Normální 5" xfId="1159" xr:uid="{00000000-0005-0000-0000-000089040000}"/>
    <cellStyle name="Normální 5 2" xfId="1160" xr:uid="{00000000-0005-0000-0000-00008A040000}"/>
    <cellStyle name="Normální 5 2 2" xfId="1161" xr:uid="{00000000-0005-0000-0000-00008B040000}"/>
    <cellStyle name="Normální 5 2 2 2" xfId="1162" xr:uid="{00000000-0005-0000-0000-00008C040000}"/>
    <cellStyle name="Normální 5 2 2 2 2" xfId="1163" xr:uid="{00000000-0005-0000-0000-00008D040000}"/>
    <cellStyle name="Normální 5 2 2 2 2 2" xfId="1164" xr:uid="{00000000-0005-0000-0000-00008E040000}"/>
    <cellStyle name="Normální 5 2 2 2 3" xfId="1165" xr:uid="{00000000-0005-0000-0000-00008F040000}"/>
    <cellStyle name="Normální 5 2 2 3" xfId="1166" xr:uid="{00000000-0005-0000-0000-000090040000}"/>
    <cellStyle name="Normální 5 2 3" xfId="1167" xr:uid="{00000000-0005-0000-0000-000091040000}"/>
    <cellStyle name="Normální 5 2 3 2" xfId="1168" xr:uid="{00000000-0005-0000-0000-000092040000}"/>
    <cellStyle name="Normální 5 2 3 2 2" xfId="1169" xr:uid="{00000000-0005-0000-0000-000093040000}"/>
    <cellStyle name="Normální 5 2 3 2 2 2" xfId="1170" xr:uid="{00000000-0005-0000-0000-000094040000}"/>
    <cellStyle name="Normální 5 2 3 2 3" xfId="1171" xr:uid="{00000000-0005-0000-0000-000095040000}"/>
    <cellStyle name="Normální 5 2 3 3" xfId="1172" xr:uid="{00000000-0005-0000-0000-000096040000}"/>
    <cellStyle name="Normální 5 2 4" xfId="1173" xr:uid="{00000000-0005-0000-0000-000097040000}"/>
    <cellStyle name="Normální 5 2 4 2" xfId="1174" xr:uid="{00000000-0005-0000-0000-000098040000}"/>
    <cellStyle name="Normální 5 2 4 2 2" xfId="1175" xr:uid="{00000000-0005-0000-0000-000099040000}"/>
    <cellStyle name="Normální 5 2 4 3" xfId="1176" xr:uid="{00000000-0005-0000-0000-00009A040000}"/>
    <cellStyle name="Normální 5 2 5" xfId="1177" xr:uid="{00000000-0005-0000-0000-00009B040000}"/>
    <cellStyle name="Normální 5 3" xfId="1178" xr:uid="{00000000-0005-0000-0000-00009C040000}"/>
    <cellStyle name="Normální 5 3 2" xfId="1179" xr:uid="{00000000-0005-0000-0000-00009D040000}"/>
    <cellStyle name="Normální 5 3 2 2" xfId="1180" xr:uid="{00000000-0005-0000-0000-00009E040000}"/>
    <cellStyle name="Normální 5 3 2 2 2" xfId="1181" xr:uid="{00000000-0005-0000-0000-00009F040000}"/>
    <cellStyle name="Normální 5 3 2 2 2 2" xfId="1182" xr:uid="{00000000-0005-0000-0000-0000A0040000}"/>
    <cellStyle name="Normální 5 3 2 2 3" xfId="1183" xr:uid="{00000000-0005-0000-0000-0000A1040000}"/>
    <cellStyle name="Normální 5 3 2 3" xfId="1184" xr:uid="{00000000-0005-0000-0000-0000A2040000}"/>
    <cellStyle name="Normální 5 3 3" xfId="1185" xr:uid="{00000000-0005-0000-0000-0000A3040000}"/>
    <cellStyle name="Normální 5 3 3 2" xfId="1186" xr:uid="{00000000-0005-0000-0000-0000A4040000}"/>
    <cellStyle name="Normální 5 3 3 2 2" xfId="1187" xr:uid="{00000000-0005-0000-0000-0000A5040000}"/>
    <cellStyle name="Normální 5 3 3 2 2 2" xfId="1188" xr:uid="{00000000-0005-0000-0000-0000A6040000}"/>
    <cellStyle name="Normální 5 3 3 2 3" xfId="1189" xr:uid="{00000000-0005-0000-0000-0000A7040000}"/>
    <cellStyle name="Normální 5 3 3 3" xfId="1190" xr:uid="{00000000-0005-0000-0000-0000A8040000}"/>
    <cellStyle name="Normální 5 3 4" xfId="1191" xr:uid="{00000000-0005-0000-0000-0000A9040000}"/>
    <cellStyle name="Normální 5 3 4 2" xfId="1192" xr:uid="{00000000-0005-0000-0000-0000AA040000}"/>
    <cellStyle name="Normální 5 3 4 2 2" xfId="1193" xr:uid="{00000000-0005-0000-0000-0000AB040000}"/>
    <cellStyle name="Normální 5 3 4 2 2 2" xfId="1194" xr:uid="{00000000-0005-0000-0000-0000AC040000}"/>
    <cellStyle name="Normální 5 3 4 2 3" xfId="1195" xr:uid="{00000000-0005-0000-0000-0000AD040000}"/>
    <cellStyle name="Normální 5 3 4 3" xfId="1196" xr:uid="{00000000-0005-0000-0000-0000AE040000}"/>
    <cellStyle name="Normální 5 3 5" xfId="1197" xr:uid="{00000000-0005-0000-0000-0000AF040000}"/>
    <cellStyle name="Normální 5 3 5 2" xfId="1198" xr:uid="{00000000-0005-0000-0000-0000B0040000}"/>
    <cellStyle name="Normální 5 3 5 2 2" xfId="1199" xr:uid="{00000000-0005-0000-0000-0000B1040000}"/>
    <cellStyle name="Normální 5 3 5 3" xfId="1200" xr:uid="{00000000-0005-0000-0000-0000B2040000}"/>
    <cellStyle name="Normální 5 3 6" xfId="1201" xr:uid="{00000000-0005-0000-0000-0000B3040000}"/>
    <cellStyle name="Normální 5 4" xfId="1202" xr:uid="{00000000-0005-0000-0000-0000B4040000}"/>
    <cellStyle name="Normální 5 4 2" xfId="1203" xr:uid="{00000000-0005-0000-0000-0000B5040000}"/>
    <cellStyle name="Normální 5 4 2 2" xfId="1204" xr:uid="{00000000-0005-0000-0000-0000B6040000}"/>
    <cellStyle name="Normální 5 4 2 2 2" xfId="1205" xr:uid="{00000000-0005-0000-0000-0000B7040000}"/>
    <cellStyle name="Normální 5 4 2 3" xfId="1206" xr:uid="{00000000-0005-0000-0000-0000B8040000}"/>
    <cellStyle name="Normální 5 4 3" xfId="1207" xr:uid="{00000000-0005-0000-0000-0000B9040000}"/>
    <cellStyle name="Normální 5 5" xfId="1208" xr:uid="{00000000-0005-0000-0000-0000BA040000}"/>
    <cellStyle name="Normální 5 5 2" xfId="1209" xr:uid="{00000000-0005-0000-0000-0000BB040000}"/>
    <cellStyle name="Normální 5 5 2 2" xfId="1210" xr:uid="{00000000-0005-0000-0000-0000BC040000}"/>
    <cellStyle name="Normální 5 5 3" xfId="1211" xr:uid="{00000000-0005-0000-0000-0000BD040000}"/>
    <cellStyle name="Normální 5 6" xfId="1212" xr:uid="{00000000-0005-0000-0000-0000BE040000}"/>
    <cellStyle name="Normální 6" xfId="1213" xr:uid="{00000000-0005-0000-0000-0000BF040000}"/>
    <cellStyle name="Normální 6 2" xfId="1214" xr:uid="{00000000-0005-0000-0000-0000C0040000}"/>
    <cellStyle name="Normální 6 2 2" xfId="1215" xr:uid="{00000000-0005-0000-0000-0000C1040000}"/>
    <cellStyle name="Normální 6 2 2 2" xfId="1216" xr:uid="{00000000-0005-0000-0000-0000C2040000}"/>
    <cellStyle name="Normální 6 2 2 2 2" xfId="1217" xr:uid="{00000000-0005-0000-0000-0000C3040000}"/>
    <cellStyle name="Normální 6 2 2 2 2 2" xfId="1218" xr:uid="{00000000-0005-0000-0000-0000C4040000}"/>
    <cellStyle name="Normální 6 2 2 2 3" xfId="1219" xr:uid="{00000000-0005-0000-0000-0000C5040000}"/>
    <cellStyle name="Normální 6 2 2 3" xfId="1220" xr:uid="{00000000-0005-0000-0000-0000C6040000}"/>
    <cellStyle name="Normální 6 2 3" xfId="1221" xr:uid="{00000000-0005-0000-0000-0000C7040000}"/>
    <cellStyle name="Normální 6 2 3 2" xfId="1222" xr:uid="{00000000-0005-0000-0000-0000C8040000}"/>
    <cellStyle name="Normální 6 2 3 2 2" xfId="1223" xr:uid="{00000000-0005-0000-0000-0000C9040000}"/>
    <cellStyle name="Normální 6 2 3 2 2 2" xfId="1224" xr:uid="{00000000-0005-0000-0000-0000CA040000}"/>
    <cellStyle name="Normální 6 2 3 2 3" xfId="1225" xr:uid="{00000000-0005-0000-0000-0000CB040000}"/>
    <cellStyle name="Normální 6 2 3 3" xfId="1226" xr:uid="{00000000-0005-0000-0000-0000CC040000}"/>
    <cellStyle name="Normální 6 2 4" xfId="1227" xr:uid="{00000000-0005-0000-0000-0000CD040000}"/>
    <cellStyle name="Normální 6 2 4 2" xfId="1228" xr:uid="{00000000-0005-0000-0000-0000CE040000}"/>
    <cellStyle name="Normální 6 2 4 2 2" xfId="1229" xr:uid="{00000000-0005-0000-0000-0000CF040000}"/>
    <cellStyle name="Normální 6 2 4 2 2 2" xfId="1230" xr:uid="{00000000-0005-0000-0000-0000D0040000}"/>
    <cellStyle name="Normální 6 2 4 2 3" xfId="1231" xr:uid="{00000000-0005-0000-0000-0000D1040000}"/>
    <cellStyle name="Normální 6 2 4 3" xfId="1232" xr:uid="{00000000-0005-0000-0000-0000D2040000}"/>
    <cellStyle name="Normální 6 2 5" xfId="1233" xr:uid="{00000000-0005-0000-0000-0000D3040000}"/>
    <cellStyle name="Normální 6 2 5 2" xfId="1234" xr:uid="{00000000-0005-0000-0000-0000D4040000}"/>
    <cellStyle name="Normální 6 2 5 2 2" xfId="1235" xr:uid="{00000000-0005-0000-0000-0000D5040000}"/>
    <cellStyle name="Normální 6 2 5 3" xfId="1236" xr:uid="{00000000-0005-0000-0000-0000D6040000}"/>
    <cellStyle name="Normální 6 2 6" xfId="1237" xr:uid="{00000000-0005-0000-0000-0000D7040000}"/>
    <cellStyle name="Normální 6 3" xfId="1238" xr:uid="{00000000-0005-0000-0000-0000D8040000}"/>
    <cellStyle name="Normální 6 3 2" xfId="1239" xr:uid="{00000000-0005-0000-0000-0000D9040000}"/>
    <cellStyle name="Normální 6 3 2 2" xfId="1240" xr:uid="{00000000-0005-0000-0000-0000DA040000}"/>
    <cellStyle name="Normální 6 3 3" xfId="1241" xr:uid="{00000000-0005-0000-0000-0000DB040000}"/>
    <cellStyle name="Normální 6 3 3 2" xfId="1242" xr:uid="{00000000-0005-0000-0000-0000DC040000}"/>
    <cellStyle name="Normální 6 3 3 2 2" xfId="1243" xr:uid="{00000000-0005-0000-0000-0000DD040000}"/>
    <cellStyle name="Normální 6 3 3 2 2 2" xfId="1244" xr:uid="{00000000-0005-0000-0000-0000DE040000}"/>
    <cellStyle name="Normální 6 3 3 2 3" xfId="1245" xr:uid="{00000000-0005-0000-0000-0000DF040000}"/>
    <cellStyle name="Normální 6 3 3 3" xfId="1246" xr:uid="{00000000-0005-0000-0000-0000E0040000}"/>
    <cellStyle name="Normální 6 3 4" xfId="1247" xr:uid="{00000000-0005-0000-0000-0000E1040000}"/>
    <cellStyle name="Normální 6 3 4 2" xfId="1248" xr:uid="{00000000-0005-0000-0000-0000E2040000}"/>
    <cellStyle name="Normální 6 3 4 2 2" xfId="1249" xr:uid="{00000000-0005-0000-0000-0000E3040000}"/>
    <cellStyle name="Normální 6 3 4 2 2 2" xfId="1250" xr:uid="{00000000-0005-0000-0000-0000E4040000}"/>
    <cellStyle name="Normální 6 3 4 2 3" xfId="1251" xr:uid="{00000000-0005-0000-0000-0000E5040000}"/>
    <cellStyle name="Normální 6 3 4 3" xfId="1252" xr:uid="{00000000-0005-0000-0000-0000E6040000}"/>
    <cellStyle name="Normální 6 3 5" xfId="1253" xr:uid="{00000000-0005-0000-0000-0000E7040000}"/>
    <cellStyle name="Normální 6 3 5 2" xfId="1254" xr:uid="{00000000-0005-0000-0000-0000E8040000}"/>
    <cellStyle name="Normální 6 3 5 2 2" xfId="1255" xr:uid="{00000000-0005-0000-0000-0000E9040000}"/>
    <cellStyle name="Normální 6 3 5 2 2 2" xfId="1256" xr:uid="{00000000-0005-0000-0000-0000EA040000}"/>
    <cellStyle name="Normální 6 3 5 2 3" xfId="1257" xr:uid="{00000000-0005-0000-0000-0000EB040000}"/>
    <cellStyle name="Normální 6 3 5 3" xfId="1258" xr:uid="{00000000-0005-0000-0000-0000EC040000}"/>
    <cellStyle name="Normální 6 3 6" xfId="1259" xr:uid="{00000000-0005-0000-0000-0000ED040000}"/>
    <cellStyle name="Normální 6 3 6 2" xfId="1260" xr:uid="{00000000-0005-0000-0000-0000EE040000}"/>
    <cellStyle name="Normální 6 3 6 2 2" xfId="1261" xr:uid="{00000000-0005-0000-0000-0000EF040000}"/>
    <cellStyle name="Normální 6 3 6 3" xfId="1262" xr:uid="{00000000-0005-0000-0000-0000F0040000}"/>
    <cellStyle name="Normální 6 3 7" xfId="1263" xr:uid="{00000000-0005-0000-0000-0000F1040000}"/>
    <cellStyle name="Normální 6 4" xfId="1264" xr:uid="{00000000-0005-0000-0000-0000F2040000}"/>
    <cellStyle name="Normální 6 4 2" xfId="1265" xr:uid="{00000000-0005-0000-0000-0000F3040000}"/>
    <cellStyle name="Normální 6 4 2 2" xfId="1266" xr:uid="{00000000-0005-0000-0000-0000F4040000}"/>
    <cellStyle name="Normální 6 4 2 2 2" xfId="1267" xr:uid="{00000000-0005-0000-0000-0000F5040000}"/>
    <cellStyle name="Normální 6 4 2 3" xfId="1268" xr:uid="{00000000-0005-0000-0000-0000F6040000}"/>
    <cellStyle name="Normální 6 4 3" xfId="1269" xr:uid="{00000000-0005-0000-0000-0000F7040000}"/>
    <cellStyle name="Normální 6 5" xfId="1270" xr:uid="{00000000-0005-0000-0000-0000F8040000}"/>
    <cellStyle name="Normální 6 5 2" xfId="1271" xr:uid="{00000000-0005-0000-0000-0000F9040000}"/>
    <cellStyle name="Normální 6 5 2 2" xfId="1272" xr:uid="{00000000-0005-0000-0000-0000FA040000}"/>
    <cellStyle name="Normální 6 5 3" xfId="1273" xr:uid="{00000000-0005-0000-0000-0000FB040000}"/>
    <cellStyle name="Normální 6 6" xfId="1274" xr:uid="{00000000-0005-0000-0000-0000FC040000}"/>
    <cellStyle name="Normální 7" xfId="1275" xr:uid="{00000000-0005-0000-0000-0000FD040000}"/>
    <cellStyle name="Normální 7 10" xfId="1276" xr:uid="{00000000-0005-0000-0000-0000FE040000}"/>
    <cellStyle name="Normální 7 2" xfId="1277" xr:uid="{00000000-0005-0000-0000-0000FF040000}"/>
    <cellStyle name="Normální 7 2 2" xfId="1278" xr:uid="{00000000-0005-0000-0000-000000050000}"/>
    <cellStyle name="Normální 7 2 2 2" xfId="1279" xr:uid="{00000000-0005-0000-0000-000001050000}"/>
    <cellStyle name="Normální 7 2 2 2 2" xfId="1280" xr:uid="{00000000-0005-0000-0000-000002050000}"/>
    <cellStyle name="Normální 7 2 2 2 2 2" xfId="1281" xr:uid="{00000000-0005-0000-0000-000003050000}"/>
    <cellStyle name="Normální 7 2 2 2 2 2 2" xfId="1282" xr:uid="{00000000-0005-0000-0000-000004050000}"/>
    <cellStyle name="Normální 7 2 2 2 2 2 2 2" xfId="1283" xr:uid="{00000000-0005-0000-0000-000005050000}"/>
    <cellStyle name="Normální 7 2 2 2 2 2 3" xfId="1284" xr:uid="{00000000-0005-0000-0000-000006050000}"/>
    <cellStyle name="Normální 7 2 2 2 2 3" xfId="1285" xr:uid="{00000000-0005-0000-0000-000007050000}"/>
    <cellStyle name="Normální 7 2 2 2 3" xfId="1286" xr:uid="{00000000-0005-0000-0000-000008050000}"/>
    <cellStyle name="Normální 7 2 2 2 3 2" xfId="1287" xr:uid="{00000000-0005-0000-0000-000009050000}"/>
    <cellStyle name="Normální 7 2 2 2 3 2 2" xfId="1288" xr:uid="{00000000-0005-0000-0000-00000A050000}"/>
    <cellStyle name="Normální 7 2 2 2 3 2 2 2" xfId="1289" xr:uid="{00000000-0005-0000-0000-00000B050000}"/>
    <cellStyle name="Normální 7 2 2 2 3 2 3" xfId="1290" xr:uid="{00000000-0005-0000-0000-00000C050000}"/>
    <cellStyle name="Normální 7 2 2 2 3 3" xfId="1291" xr:uid="{00000000-0005-0000-0000-00000D050000}"/>
    <cellStyle name="Normální 7 2 2 2 4" xfId="1292" xr:uid="{00000000-0005-0000-0000-00000E050000}"/>
    <cellStyle name="Normální 7 2 2 2 4 2" xfId="1293" xr:uid="{00000000-0005-0000-0000-00000F050000}"/>
    <cellStyle name="Normální 7 2 2 2 4 2 2" xfId="1294" xr:uid="{00000000-0005-0000-0000-000010050000}"/>
    <cellStyle name="Normální 7 2 2 2 4 3" xfId="1295" xr:uid="{00000000-0005-0000-0000-000011050000}"/>
    <cellStyle name="Normální 7 2 2 2 5" xfId="1296" xr:uid="{00000000-0005-0000-0000-000012050000}"/>
    <cellStyle name="Normální 7 2 2 3" xfId="1297" xr:uid="{00000000-0005-0000-0000-000013050000}"/>
    <cellStyle name="Normální 7 2 2 3 2" xfId="1298" xr:uid="{00000000-0005-0000-0000-000014050000}"/>
    <cellStyle name="Normální 7 2 2 3 2 2" xfId="1299" xr:uid="{00000000-0005-0000-0000-000015050000}"/>
    <cellStyle name="Normální 7 2 2 3 2 2 2" xfId="1300" xr:uid="{00000000-0005-0000-0000-000016050000}"/>
    <cellStyle name="Normální 7 2 2 3 2 2 2 2" xfId="1301" xr:uid="{00000000-0005-0000-0000-000017050000}"/>
    <cellStyle name="Normální 7 2 2 3 2 2 3" xfId="1302" xr:uid="{00000000-0005-0000-0000-000018050000}"/>
    <cellStyle name="Normální 7 2 2 3 2 3" xfId="1303" xr:uid="{00000000-0005-0000-0000-000019050000}"/>
    <cellStyle name="Normální 7 2 2 3 3" xfId="1304" xr:uid="{00000000-0005-0000-0000-00001A050000}"/>
    <cellStyle name="Normální 7 2 2 3 3 2" xfId="1305" xr:uid="{00000000-0005-0000-0000-00001B050000}"/>
    <cellStyle name="Normální 7 2 2 3 3 2 2" xfId="1306" xr:uid="{00000000-0005-0000-0000-00001C050000}"/>
    <cellStyle name="Normální 7 2 2 3 3 2 2 2" xfId="1307" xr:uid="{00000000-0005-0000-0000-00001D050000}"/>
    <cellStyle name="Normální 7 2 2 3 3 2 3" xfId="1308" xr:uid="{00000000-0005-0000-0000-00001E050000}"/>
    <cellStyle name="Normální 7 2 2 3 3 3" xfId="1309" xr:uid="{00000000-0005-0000-0000-00001F050000}"/>
    <cellStyle name="Normální 7 2 2 3 4" xfId="1310" xr:uid="{00000000-0005-0000-0000-000020050000}"/>
    <cellStyle name="Normální 7 2 2 3 4 2" xfId="1311" xr:uid="{00000000-0005-0000-0000-000021050000}"/>
    <cellStyle name="Normální 7 2 2 3 4 2 2" xfId="1312" xr:uid="{00000000-0005-0000-0000-000022050000}"/>
    <cellStyle name="Normální 7 2 2 3 4 2 2 2" xfId="1313" xr:uid="{00000000-0005-0000-0000-000023050000}"/>
    <cellStyle name="Normální 7 2 2 3 4 2 3" xfId="1314" xr:uid="{00000000-0005-0000-0000-000024050000}"/>
    <cellStyle name="Normální 7 2 2 3 4 3" xfId="1315" xr:uid="{00000000-0005-0000-0000-000025050000}"/>
    <cellStyle name="Normální 7 2 2 3 5" xfId="1316" xr:uid="{00000000-0005-0000-0000-000026050000}"/>
    <cellStyle name="Normální 7 2 2 3 5 2" xfId="1317" xr:uid="{00000000-0005-0000-0000-000027050000}"/>
    <cellStyle name="Normální 7 2 2 3 5 2 2" xfId="1318" xr:uid="{00000000-0005-0000-0000-000028050000}"/>
    <cellStyle name="Normální 7 2 2 3 5 3" xfId="1319" xr:uid="{00000000-0005-0000-0000-000029050000}"/>
    <cellStyle name="Normální 7 2 2 3 6" xfId="1320" xr:uid="{00000000-0005-0000-0000-00002A050000}"/>
    <cellStyle name="Normální 7 2 2 4" xfId="1321" xr:uid="{00000000-0005-0000-0000-00002B050000}"/>
    <cellStyle name="Normální 7 2 2 4 2" xfId="1322" xr:uid="{00000000-0005-0000-0000-00002C050000}"/>
    <cellStyle name="Normální 7 2 2 4 2 2" xfId="1323" xr:uid="{00000000-0005-0000-0000-00002D050000}"/>
    <cellStyle name="Normální 7 2 2 4 2 2 2" xfId="1324" xr:uid="{00000000-0005-0000-0000-00002E050000}"/>
    <cellStyle name="Normální 7 2 2 4 2 3" xfId="1325" xr:uid="{00000000-0005-0000-0000-00002F050000}"/>
    <cellStyle name="Normální 7 2 2 4 3" xfId="1326" xr:uid="{00000000-0005-0000-0000-000030050000}"/>
    <cellStyle name="Normální 7 2 2 5" xfId="1327" xr:uid="{00000000-0005-0000-0000-000031050000}"/>
    <cellStyle name="Normální 7 2 2 5 2" xfId="1328" xr:uid="{00000000-0005-0000-0000-000032050000}"/>
    <cellStyle name="Normální 7 2 2 5 2 2" xfId="1329" xr:uid="{00000000-0005-0000-0000-000033050000}"/>
    <cellStyle name="Normální 7 2 2 5 3" xfId="1330" xr:uid="{00000000-0005-0000-0000-000034050000}"/>
    <cellStyle name="Normální 7 2 2 6" xfId="1331" xr:uid="{00000000-0005-0000-0000-000035050000}"/>
    <cellStyle name="Normální 7 2 3" xfId="1332" xr:uid="{00000000-0005-0000-0000-000036050000}"/>
    <cellStyle name="Normální 7 2 3 2" xfId="1333" xr:uid="{00000000-0005-0000-0000-000037050000}"/>
    <cellStyle name="Normální 7 2 3 2 2" xfId="1334" xr:uid="{00000000-0005-0000-0000-000038050000}"/>
    <cellStyle name="Normální 7 2 3 2 2 2" xfId="1335" xr:uid="{00000000-0005-0000-0000-000039050000}"/>
    <cellStyle name="Normální 7 2 3 2 2 2 2" xfId="1336" xr:uid="{00000000-0005-0000-0000-00003A050000}"/>
    <cellStyle name="Normální 7 2 3 2 2 2 2 2" xfId="1337" xr:uid="{00000000-0005-0000-0000-00003B050000}"/>
    <cellStyle name="Normální 7 2 3 2 2 2 3" xfId="1338" xr:uid="{00000000-0005-0000-0000-00003C050000}"/>
    <cellStyle name="Normální 7 2 3 2 2 3" xfId="1339" xr:uid="{00000000-0005-0000-0000-00003D050000}"/>
    <cellStyle name="Normální 7 2 3 2 3" xfId="1340" xr:uid="{00000000-0005-0000-0000-00003E050000}"/>
    <cellStyle name="Normální 7 2 3 2 3 2" xfId="1341" xr:uid="{00000000-0005-0000-0000-00003F050000}"/>
    <cellStyle name="Normální 7 2 3 2 3 2 2" xfId="1342" xr:uid="{00000000-0005-0000-0000-000040050000}"/>
    <cellStyle name="Normální 7 2 3 2 3 2 2 2" xfId="1343" xr:uid="{00000000-0005-0000-0000-000041050000}"/>
    <cellStyle name="Normální 7 2 3 2 3 2 3" xfId="1344" xr:uid="{00000000-0005-0000-0000-000042050000}"/>
    <cellStyle name="Normální 7 2 3 2 3 3" xfId="1345" xr:uid="{00000000-0005-0000-0000-000043050000}"/>
    <cellStyle name="Normální 7 2 3 2 4" xfId="1346" xr:uid="{00000000-0005-0000-0000-000044050000}"/>
    <cellStyle name="Normální 7 2 3 2 4 2" xfId="1347" xr:uid="{00000000-0005-0000-0000-000045050000}"/>
    <cellStyle name="Normální 7 2 3 2 4 2 2" xfId="1348" xr:uid="{00000000-0005-0000-0000-000046050000}"/>
    <cellStyle name="Normální 7 2 3 2 4 3" xfId="1349" xr:uid="{00000000-0005-0000-0000-000047050000}"/>
    <cellStyle name="Normální 7 2 3 2 5" xfId="1350" xr:uid="{00000000-0005-0000-0000-000048050000}"/>
    <cellStyle name="Normální 7 2 3 3" xfId="1351" xr:uid="{00000000-0005-0000-0000-000049050000}"/>
    <cellStyle name="Normální 7 2 3 3 2" xfId="1352" xr:uid="{00000000-0005-0000-0000-00004A050000}"/>
    <cellStyle name="Normální 7 2 3 3 2 2" xfId="1353" xr:uid="{00000000-0005-0000-0000-00004B050000}"/>
    <cellStyle name="Normální 7 2 3 3 2 2 2" xfId="1354" xr:uid="{00000000-0005-0000-0000-00004C050000}"/>
    <cellStyle name="Normální 7 2 3 3 2 3" xfId="1355" xr:uid="{00000000-0005-0000-0000-00004D050000}"/>
    <cellStyle name="Normální 7 2 3 3 3" xfId="1356" xr:uid="{00000000-0005-0000-0000-00004E050000}"/>
    <cellStyle name="Normální 7 2 3 4" xfId="1357" xr:uid="{00000000-0005-0000-0000-00004F050000}"/>
    <cellStyle name="Normální 7 2 3 4 2" xfId="1358" xr:uid="{00000000-0005-0000-0000-000050050000}"/>
    <cellStyle name="Normální 7 2 3 4 2 2" xfId="1359" xr:uid="{00000000-0005-0000-0000-000051050000}"/>
    <cellStyle name="Normální 7 2 3 4 3" xfId="1360" xr:uid="{00000000-0005-0000-0000-000052050000}"/>
    <cellStyle name="Normální 7 2 3 5" xfId="1361" xr:uid="{00000000-0005-0000-0000-000053050000}"/>
    <cellStyle name="Normální 7 2 4" xfId="1362" xr:uid="{00000000-0005-0000-0000-000054050000}"/>
    <cellStyle name="Normální 7 2 4 2" xfId="1363" xr:uid="{00000000-0005-0000-0000-000055050000}"/>
    <cellStyle name="Normální 7 2 4 2 2" xfId="1364" xr:uid="{00000000-0005-0000-0000-000056050000}"/>
    <cellStyle name="Normální 7 2 4 2 2 2" xfId="1365" xr:uid="{00000000-0005-0000-0000-000057050000}"/>
    <cellStyle name="Normální 7 2 4 2 2 2 2" xfId="1366" xr:uid="{00000000-0005-0000-0000-000058050000}"/>
    <cellStyle name="Normální 7 2 4 2 2 2 2 2" xfId="1367" xr:uid="{00000000-0005-0000-0000-000059050000}"/>
    <cellStyle name="Normální 7 2 4 2 2 2 3" xfId="1368" xr:uid="{00000000-0005-0000-0000-00005A050000}"/>
    <cellStyle name="Normální 7 2 4 2 2 3" xfId="1369" xr:uid="{00000000-0005-0000-0000-00005B050000}"/>
    <cellStyle name="Normální 7 2 4 2 3" xfId="1370" xr:uid="{00000000-0005-0000-0000-00005C050000}"/>
    <cellStyle name="Normální 7 2 4 2 3 2" xfId="1371" xr:uid="{00000000-0005-0000-0000-00005D050000}"/>
    <cellStyle name="Normální 7 2 4 2 3 2 2" xfId="1372" xr:uid="{00000000-0005-0000-0000-00005E050000}"/>
    <cellStyle name="Normální 7 2 4 2 3 2 2 2" xfId="1373" xr:uid="{00000000-0005-0000-0000-00005F050000}"/>
    <cellStyle name="Normální 7 2 4 2 3 2 3" xfId="1374" xr:uid="{00000000-0005-0000-0000-000060050000}"/>
    <cellStyle name="Normální 7 2 4 2 3 3" xfId="1375" xr:uid="{00000000-0005-0000-0000-000061050000}"/>
    <cellStyle name="Normální 7 2 4 2 4" xfId="1376" xr:uid="{00000000-0005-0000-0000-000062050000}"/>
    <cellStyle name="Normální 7 2 4 2 4 2" xfId="1377" xr:uid="{00000000-0005-0000-0000-000063050000}"/>
    <cellStyle name="Normální 7 2 4 2 4 2 2" xfId="1378" xr:uid="{00000000-0005-0000-0000-000064050000}"/>
    <cellStyle name="Normální 7 2 4 2 4 3" xfId="1379" xr:uid="{00000000-0005-0000-0000-000065050000}"/>
    <cellStyle name="Normální 7 2 4 2 5" xfId="1380" xr:uid="{00000000-0005-0000-0000-000066050000}"/>
    <cellStyle name="Normální 7 2 4 3" xfId="1381" xr:uid="{00000000-0005-0000-0000-000067050000}"/>
    <cellStyle name="Normální 7 2 4 3 2" xfId="1382" xr:uid="{00000000-0005-0000-0000-000068050000}"/>
    <cellStyle name="Normální 7 2 4 3 2 2" xfId="1383" xr:uid="{00000000-0005-0000-0000-000069050000}"/>
    <cellStyle name="Normální 7 2 4 3 2 2 2" xfId="1384" xr:uid="{00000000-0005-0000-0000-00006A050000}"/>
    <cellStyle name="Normální 7 2 4 3 2 3" xfId="1385" xr:uid="{00000000-0005-0000-0000-00006B050000}"/>
    <cellStyle name="Normální 7 2 4 3 3" xfId="1386" xr:uid="{00000000-0005-0000-0000-00006C050000}"/>
    <cellStyle name="Normální 7 2 4 4" xfId="1387" xr:uid="{00000000-0005-0000-0000-00006D050000}"/>
    <cellStyle name="Normální 7 2 4 4 2" xfId="1388" xr:uid="{00000000-0005-0000-0000-00006E050000}"/>
    <cellStyle name="Normální 7 2 4 4 2 2" xfId="1389" xr:uid="{00000000-0005-0000-0000-00006F050000}"/>
    <cellStyle name="Normální 7 2 4 4 3" xfId="1390" xr:uid="{00000000-0005-0000-0000-000070050000}"/>
    <cellStyle name="Normální 7 2 4 5" xfId="1391" xr:uid="{00000000-0005-0000-0000-000071050000}"/>
    <cellStyle name="Normální 7 2 5" xfId="1392" xr:uid="{00000000-0005-0000-0000-000072050000}"/>
    <cellStyle name="Normální 7 2 5 2" xfId="1393" xr:uid="{00000000-0005-0000-0000-000073050000}"/>
    <cellStyle name="Normální 7 2 5 2 2" xfId="1394" xr:uid="{00000000-0005-0000-0000-000074050000}"/>
    <cellStyle name="Normální 7 2 5 2 2 2" xfId="1395" xr:uid="{00000000-0005-0000-0000-000075050000}"/>
    <cellStyle name="Normální 7 2 5 2 2 2 2" xfId="1396" xr:uid="{00000000-0005-0000-0000-000076050000}"/>
    <cellStyle name="Normální 7 2 5 2 2 2 2 2" xfId="1397" xr:uid="{00000000-0005-0000-0000-000077050000}"/>
    <cellStyle name="Normální 7 2 5 2 2 2 3" xfId="1398" xr:uid="{00000000-0005-0000-0000-000078050000}"/>
    <cellStyle name="Normální 7 2 5 2 2 3" xfId="1399" xr:uid="{00000000-0005-0000-0000-000079050000}"/>
    <cellStyle name="Normální 7 2 5 2 3" xfId="1400" xr:uid="{00000000-0005-0000-0000-00007A050000}"/>
    <cellStyle name="Normální 7 2 5 2 3 2" xfId="1401" xr:uid="{00000000-0005-0000-0000-00007B050000}"/>
    <cellStyle name="Normální 7 2 5 2 3 2 2" xfId="1402" xr:uid="{00000000-0005-0000-0000-00007C050000}"/>
    <cellStyle name="Normální 7 2 5 2 3 2 2 2" xfId="1403" xr:uid="{00000000-0005-0000-0000-00007D050000}"/>
    <cellStyle name="Normální 7 2 5 2 3 2 3" xfId="1404" xr:uid="{00000000-0005-0000-0000-00007E050000}"/>
    <cellStyle name="Normální 7 2 5 2 3 3" xfId="1405" xr:uid="{00000000-0005-0000-0000-00007F050000}"/>
    <cellStyle name="Normální 7 2 5 2 4" xfId="1406" xr:uid="{00000000-0005-0000-0000-000080050000}"/>
    <cellStyle name="Normální 7 2 5 2 4 2" xfId="1407" xr:uid="{00000000-0005-0000-0000-000081050000}"/>
    <cellStyle name="Normální 7 2 5 2 4 2 2" xfId="1408" xr:uid="{00000000-0005-0000-0000-000082050000}"/>
    <cellStyle name="Normální 7 2 5 2 4 3" xfId="1409" xr:uid="{00000000-0005-0000-0000-000083050000}"/>
    <cellStyle name="Normální 7 2 5 2 5" xfId="1410" xr:uid="{00000000-0005-0000-0000-000084050000}"/>
    <cellStyle name="Normální 7 2 5 3" xfId="1411" xr:uid="{00000000-0005-0000-0000-000085050000}"/>
    <cellStyle name="Normální 7 2 5 3 2" xfId="1412" xr:uid="{00000000-0005-0000-0000-000086050000}"/>
    <cellStyle name="Normální 7 2 5 3 2 2" xfId="1413" xr:uid="{00000000-0005-0000-0000-000087050000}"/>
    <cellStyle name="Normální 7 2 5 3 2 2 2" xfId="1414" xr:uid="{00000000-0005-0000-0000-000088050000}"/>
    <cellStyle name="Normální 7 2 5 3 2 3" xfId="1415" xr:uid="{00000000-0005-0000-0000-000089050000}"/>
    <cellStyle name="Normální 7 2 5 3 3" xfId="1416" xr:uid="{00000000-0005-0000-0000-00008A050000}"/>
    <cellStyle name="Normální 7 2 5 4" xfId="1417" xr:uid="{00000000-0005-0000-0000-00008B050000}"/>
    <cellStyle name="Normální 7 2 5 4 2" xfId="1418" xr:uid="{00000000-0005-0000-0000-00008C050000}"/>
    <cellStyle name="Normální 7 2 5 4 2 2" xfId="1419" xr:uid="{00000000-0005-0000-0000-00008D050000}"/>
    <cellStyle name="Normální 7 2 5 4 3" xfId="1420" xr:uid="{00000000-0005-0000-0000-00008E050000}"/>
    <cellStyle name="Normální 7 2 5 5" xfId="1421" xr:uid="{00000000-0005-0000-0000-00008F050000}"/>
    <cellStyle name="Normální 7 2 6" xfId="1422" xr:uid="{00000000-0005-0000-0000-000090050000}"/>
    <cellStyle name="Normální 7 2 6 2" xfId="1423" xr:uid="{00000000-0005-0000-0000-000091050000}"/>
    <cellStyle name="Normální 7 2 6 2 2" xfId="1424" xr:uid="{00000000-0005-0000-0000-000092050000}"/>
    <cellStyle name="Normální 7 2 6 2 2 2" xfId="1425" xr:uid="{00000000-0005-0000-0000-000093050000}"/>
    <cellStyle name="Normální 7 2 6 2 2 2 2" xfId="1426" xr:uid="{00000000-0005-0000-0000-000094050000}"/>
    <cellStyle name="Normální 7 2 6 2 2 3" xfId="1427" xr:uid="{00000000-0005-0000-0000-000095050000}"/>
    <cellStyle name="Normální 7 2 6 2 3" xfId="1428" xr:uid="{00000000-0005-0000-0000-000096050000}"/>
    <cellStyle name="Normální 7 2 6 3" xfId="1429" xr:uid="{00000000-0005-0000-0000-000097050000}"/>
    <cellStyle name="Normální 7 2 6 3 2" xfId="1430" xr:uid="{00000000-0005-0000-0000-000098050000}"/>
    <cellStyle name="Normální 7 2 6 3 2 2" xfId="1431" xr:uid="{00000000-0005-0000-0000-000099050000}"/>
    <cellStyle name="Normální 7 2 6 3 2 2 2" xfId="1432" xr:uid="{00000000-0005-0000-0000-00009A050000}"/>
    <cellStyle name="Normální 7 2 6 3 2 3" xfId="1433" xr:uid="{00000000-0005-0000-0000-00009B050000}"/>
    <cellStyle name="Normální 7 2 6 3 3" xfId="1434" xr:uid="{00000000-0005-0000-0000-00009C050000}"/>
    <cellStyle name="Normální 7 2 6 4" xfId="1435" xr:uid="{00000000-0005-0000-0000-00009D050000}"/>
    <cellStyle name="Normální 7 2 6 4 2" xfId="1436" xr:uid="{00000000-0005-0000-0000-00009E050000}"/>
    <cellStyle name="Normální 7 2 6 4 2 2" xfId="1437" xr:uid="{00000000-0005-0000-0000-00009F050000}"/>
    <cellStyle name="Normální 7 2 6 4 3" xfId="1438" xr:uid="{00000000-0005-0000-0000-0000A0050000}"/>
    <cellStyle name="Normální 7 2 6 5" xfId="1439" xr:uid="{00000000-0005-0000-0000-0000A1050000}"/>
    <cellStyle name="Normální 7 2 7" xfId="1440" xr:uid="{00000000-0005-0000-0000-0000A2050000}"/>
    <cellStyle name="Normální 7 2 7 2" xfId="1441" xr:uid="{00000000-0005-0000-0000-0000A3050000}"/>
    <cellStyle name="Normální 7 2 7 2 2" xfId="1442" xr:uid="{00000000-0005-0000-0000-0000A4050000}"/>
    <cellStyle name="Normální 7 2 7 2 2 2" xfId="1443" xr:uid="{00000000-0005-0000-0000-0000A5050000}"/>
    <cellStyle name="Normální 7 2 7 2 3" xfId="1444" xr:uid="{00000000-0005-0000-0000-0000A6050000}"/>
    <cellStyle name="Normální 7 2 7 3" xfId="1445" xr:uid="{00000000-0005-0000-0000-0000A7050000}"/>
    <cellStyle name="Normální 7 2 8" xfId="1446" xr:uid="{00000000-0005-0000-0000-0000A8050000}"/>
    <cellStyle name="Normální 7 2 8 2" xfId="1447" xr:uid="{00000000-0005-0000-0000-0000A9050000}"/>
    <cellStyle name="Normální 7 2 8 2 2" xfId="1448" xr:uid="{00000000-0005-0000-0000-0000AA050000}"/>
    <cellStyle name="Normální 7 2 8 3" xfId="1449" xr:uid="{00000000-0005-0000-0000-0000AB050000}"/>
    <cellStyle name="Normální 7 2 9" xfId="1450" xr:uid="{00000000-0005-0000-0000-0000AC050000}"/>
    <cellStyle name="Normální 7 3" xfId="1451" xr:uid="{00000000-0005-0000-0000-0000AD050000}"/>
    <cellStyle name="Normální 7 3 2" xfId="1452" xr:uid="{00000000-0005-0000-0000-0000AE050000}"/>
    <cellStyle name="Normální 7 3 2 2" xfId="1453" xr:uid="{00000000-0005-0000-0000-0000AF050000}"/>
    <cellStyle name="Normální 7 3 2 2 2" xfId="1454" xr:uid="{00000000-0005-0000-0000-0000B0050000}"/>
    <cellStyle name="Normální 7 3 2 2 2 2" xfId="1455" xr:uid="{00000000-0005-0000-0000-0000B1050000}"/>
    <cellStyle name="Normální 7 3 2 2 2 2 2" xfId="1456" xr:uid="{00000000-0005-0000-0000-0000B2050000}"/>
    <cellStyle name="Normální 7 3 2 2 2 2 2 2" xfId="1457" xr:uid="{00000000-0005-0000-0000-0000B3050000}"/>
    <cellStyle name="Normální 7 3 2 2 2 2 3" xfId="1458" xr:uid="{00000000-0005-0000-0000-0000B4050000}"/>
    <cellStyle name="Normální 7 3 2 2 2 3" xfId="1459" xr:uid="{00000000-0005-0000-0000-0000B5050000}"/>
    <cellStyle name="Normální 7 3 2 2 3" xfId="1460" xr:uid="{00000000-0005-0000-0000-0000B6050000}"/>
    <cellStyle name="Normální 7 3 2 2 3 2" xfId="1461" xr:uid="{00000000-0005-0000-0000-0000B7050000}"/>
    <cellStyle name="Normální 7 3 2 2 3 2 2" xfId="1462" xr:uid="{00000000-0005-0000-0000-0000B8050000}"/>
    <cellStyle name="Normální 7 3 2 2 3 2 2 2" xfId="1463" xr:uid="{00000000-0005-0000-0000-0000B9050000}"/>
    <cellStyle name="Normální 7 3 2 2 3 2 3" xfId="1464" xr:uid="{00000000-0005-0000-0000-0000BA050000}"/>
    <cellStyle name="Normální 7 3 2 2 3 3" xfId="1465" xr:uid="{00000000-0005-0000-0000-0000BB050000}"/>
    <cellStyle name="Normální 7 3 2 2 4" xfId="1466" xr:uid="{00000000-0005-0000-0000-0000BC050000}"/>
    <cellStyle name="Normální 7 3 2 2 4 2" xfId="1467" xr:uid="{00000000-0005-0000-0000-0000BD050000}"/>
    <cellStyle name="Normální 7 3 2 2 4 2 2" xfId="1468" xr:uid="{00000000-0005-0000-0000-0000BE050000}"/>
    <cellStyle name="Normální 7 3 2 2 4 3" xfId="1469" xr:uid="{00000000-0005-0000-0000-0000BF050000}"/>
    <cellStyle name="Normální 7 3 2 2 5" xfId="1470" xr:uid="{00000000-0005-0000-0000-0000C0050000}"/>
    <cellStyle name="Normální 7 3 2 3" xfId="1471" xr:uid="{00000000-0005-0000-0000-0000C1050000}"/>
    <cellStyle name="Normální 7 3 2 3 2" xfId="1472" xr:uid="{00000000-0005-0000-0000-0000C2050000}"/>
    <cellStyle name="Normální 7 3 2 3 2 2" xfId="1473" xr:uid="{00000000-0005-0000-0000-0000C3050000}"/>
    <cellStyle name="Normální 7 3 2 3 2 2 2" xfId="1474" xr:uid="{00000000-0005-0000-0000-0000C4050000}"/>
    <cellStyle name="Normální 7 3 2 3 2 3" xfId="1475" xr:uid="{00000000-0005-0000-0000-0000C5050000}"/>
    <cellStyle name="Normální 7 3 2 3 3" xfId="1476" xr:uid="{00000000-0005-0000-0000-0000C6050000}"/>
    <cellStyle name="Normální 7 3 2 4" xfId="1477" xr:uid="{00000000-0005-0000-0000-0000C7050000}"/>
    <cellStyle name="Normální 7 3 2 4 2" xfId="1478" xr:uid="{00000000-0005-0000-0000-0000C8050000}"/>
    <cellStyle name="Normální 7 3 2 4 2 2" xfId="1479" xr:uid="{00000000-0005-0000-0000-0000C9050000}"/>
    <cellStyle name="Normální 7 3 2 4 3" xfId="1480" xr:uid="{00000000-0005-0000-0000-0000CA050000}"/>
    <cellStyle name="Normální 7 3 2 5" xfId="1481" xr:uid="{00000000-0005-0000-0000-0000CB050000}"/>
    <cellStyle name="Normální 7 3 3" xfId="1482" xr:uid="{00000000-0005-0000-0000-0000CC050000}"/>
    <cellStyle name="Normální 7 3 3 2" xfId="1483" xr:uid="{00000000-0005-0000-0000-0000CD050000}"/>
    <cellStyle name="Normální 7 3 3 2 2" xfId="1484" xr:uid="{00000000-0005-0000-0000-0000CE050000}"/>
    <cellStyle name="Normální 7 3 3 2 2 2" xfId="1485" xr:uid="{00000000-0005-0000-0000-0000CF050000}"/>
    <cellStyle name="Normální 7 3 3 2 2 2 2" xfId="1486" xr:uid="{00000000-0005-0000-0000-0000D0050000}"/>
    <cellStyle name="Normální 7 3 3 2 2 3" xfId="1487" xr:uid="{00000000-0005-0000-0000-0000D1050000}"/>
    <cellStyle name="Normální 7 3 3 2 3" xfId="1488" xr:uid="{00000000-0005-0000-0000-0000D2050000}"/>
    <cellStyle name="Normální 7 3 3 3" xfId="1489" xr:uid="{00000000-0005-0000-0000-0000D3050000}"/>
    <cellStyle name="Normální 7 3 3 3 2" xfId="1490" xr:uid="{00000000-0005-0000-0000-0000D4050000}"/>
    <cellStyle name="Normální 7 3 3 3 2 2" xfId="1491" xr:uid="{00000000-0005-0000-0000-0000D5050000}"/>
    <cellStyle name="Normální 7 3 3 3 2 2 2" xfId="1492" xr:uid="{00000000-0005-0000-0000-0000D6050000}"/>
    <cellStyle name="Normální 7 3 3 3 2 3" xfId="1493" xr:uid="{00000000-0005-0000-0000-0000D7050000}"/>
    <cellStyle name="Normální 7 3 3 3 3" xfId="1494" xr:uid="{00000000-0005-0000-0000-0000D8050000}"/>
    <cellStyle name="Normální 7 3 3 4" xfId="1495" xr:uid="{00000000-0005-0000-0000-0000D9050000}"/>
    <cellStyle name="Normální 7 3 3 4 2" xfId="1496" xr:uid="{00000000-0005-0000-0000-0000DA050000}"/>
    <cellStyle name="Normální 7 3 3 4 2 2" xfId="1497" xr:uid="{00000000-0005-0000-0000-0000DB050000}"/>
    <cellStyle name="Normální 7 3 3 4 3" xfId="1498" xr:uid="{00000000-0005-0000-0000-0000DC050000}"/>
    <cellStyle name="Normální 7 3 3 5" xfId="1499" xr:uid="{00000000-0005-0000-0000-0000DD050000}"/>
    <cellStyle name="Normální 7 3 4" xfId="1500" xr:uid="{00000000-0005-0000-0000-0000DE050000}"/>
    <cellStyle name="Normální 7 3 4 2" xfId="1501" xr:uid="{00000000-0005-0000-0000-0000DF050000}"/>
    <cellStyle name="Normální 7 3 4 2 2" xfId="1502" xr:uid="{00000000-0005-0000-0000-0000E0050000}"/>
    <cellStyle name="Normální 7 3 4 2 2 2" xfId="1503" xr:uid="{00000000-0005-0000-0000-0000E1050000}"/>
    <cellStyle name="Normální 7 3 4 2 2 2 2" xfId="1504" xr:uid="{00000000-0005-0000-0000-0000E2050000}"/>
    <cellStyle name="Normální 7 3 4 2 2 3" xfId="1505" xr:uid="{00000000-0005-0000-0000-0000E3050000}"/>
    <cellStyle name="Normální 7 3 4 2 3" xfId="1506" xr:uid="{00000000-0005-0000-0000-0000E4050000}"/>
    <cellStyle name="Normální 7 3 4 3" xfId="1507" xr:uid="{00000000-0005-0000-0000-0000E5050000}"/>
    <cellStyle name="Normální 7 3 4 3 2" xfId="1508" xr:uid="{00000000-0005-0000-0000-0000E6050000}"/>
    <cellStyle name="Normální 7 3 4 3 2 2" xfId="1509" xr:uid="{00000000-0005-0000-0000-0000E7050000}"/>
    <cellStyle name="Normální 7 3 4 3 2 2 2" xfId="1510" xr:uid="{00000000-0005-0000-0000-0000E8050000}"/>
    <cellStyle name="Normální 7 3 4 3 2 3" xfId="1511" xr:uid="{00000000-0005-0000-0000-0000E9050000}"/>
    <cellStyle name="Normální 7 3 4 3 3" xfId="1512" xr:uid="{00000000-0005-0000-0000-0000EA050000}"/>
    <cellStyle name="Normální 7 3 4 4" xfId="1513" xr:uid="{00000000-0005-0000-0000-0000EB050000}"/>
    <cellStyle name="Normální 7 3 4 4 2" xfId="1514" xr:uid="{00000000-0005-0000-0000-0000EC050000}"/>
    <cellStyle name="Normální 7 3 4 4 2 2" xfId="1515" xr:uid="{00000000-0005-0000-0000-0000ED050000}"/>
    <cellStyle name="Normální 7 3 4 4 2 2 2" xfId="1516" xr:uid="{00000000-0005-0000-0000-0000EE050000}"/>
    <cellStyle name="Normální 7 3 4 4 2 3" xfId="1517" xr:uid="{00000000-0005-0000-0000-0000EF050000}"/>
    <cellStyle name="Normální 7 3 4 4 3" xfId="1518" xr:uid="{00000000-0005-0000-0000-0000F0050000}"/>
    <cellStyle name="Normální 7 3 4 5" xfId="1519" xr:uid="{00000000-0005-0000-0000-0000F1050000}"/>
    <cellStyle name="Normální 7 3 4 5 2" xfId="1520" xr:uid="{00000000-0005-0000-0000-0000F2050000}"/>
    <cellStyle name="Normální 7 3 4 5 2 2" xfId="1521" xr:uid="{00000000-0005-0000-0000-0000F3050000}"/>
    <cellStyle name="Normální 7 3 4 5 3" xfId="1522" xr:uid="{00000000-0005-0000-0000-0000F4050000}"/>
    <cellStyle name="Normální 7 3 4 6" xfId="1523" xr:uid="{00000000-0005-0000-0000-0000F5050000}"/>
    <cellStyle name="Normální 7 3 5" xfId="1524" xr:uid="{00000000-0005-0000-0000-0000F6050000}"/>
    <cellStyle name="Normální 7 3 5 2" xfId="1525" xr:uid="{00000000-0005-0000-0000-0000F7050000}"/>
    <cellStyle name="Normální 7 3 5 2 2" xfId="1526" xr:uid="{00000000-0005-0000-0000-0000F8050000}"/>
    <cellStyle name="Normální 7 3 5 2 2 2" xfId="1527" xr:uid="{00000000-0005-0000-0000-0000F9050000}"/>
    <cellStyle name="Normální 7 3 5 2 3" xfId="1528" xr:uid="{00000000-0005-0000-0000-0000FA050000}"/>
    <cellStyle name="Normální 7 3 5 3" xfId="1529" xr:uid="{00000000-0005-0000-0000-0000FB050000}"/>
    <cellStyle name="Normální 7 3 6" xfId="1530" xr:uid="{00000000-0005-0000-0000-0000FC050000}"/>
    <cellStyle name="Normální 7 3 6 2" xfId="1531" xr:uid="{00000000-0005-0000-0000-0000FD050000}"/>
    <cellStyle name="Normální 7 3 6 2 2" xfId="1532" xr:uid="{00000000-0005-0000-0000-0000FE050000}"/>
    <cellStyle name="Normální 7 3 6 3" xfId="1533" xr:uid="{00000000-0005-0000-0000-0000FF050000}"/>
    <cellStyle name="Normální 7 3 7" xfId="1534" xr:uid="{00000000-0005-0000-0000-000000060000}"/>
    <cellStyle name="Normální 7 4" xfId="1535" xr:uid="{00000000-0005-0000-0000-000001060000}"/>
    <cellStyle name="Normální 7 4 2" xfId="1536" xr:uid="{00000000-0005-0000-0000-000002060000}"/>
    <cellStyle name="Normální 7 4 2 2" xfId="1537" xr:uid="{00000000-0005-0000-0000-000003060000}"/>
    <cellStyle name="Normální 7 4 2 2 2" xfId="1538" xr:uid="{00000000-0005-0000-0000-000004060000}"/>
    <cellStyle name="Normální 7 4 2 2 2 2" xfId="1539" xr:uid="{00000000-0005-0000-0000-000005060000}"/>
    <cellStyle name="Normální 7 4 2 2 2 2 2" xfId="1540" xr:uid="{00000000-0005-0000-0000-000006060000}"/>
    <cellStyle name="Normální 7 4 2 2 2 3" xfId="1541" xr:uid="{00000000-0005-0000-0000-000007060000}"/>
    <cellStyle name="Normální 7 4 2 2 3" xfId="1542" xr:uid="{00000000-0005-0000-0000-000008060000}"/>
    <cellStyle name="Normální 7 4 2 3" xfId="1543" xr:uid="{00000000-0005-0000-0000-000009060000}"/>
    <cellStyle name="Normální 7 4 2 3 2" xfId="1544" xr:uid="{00000000-0005-0000-0000-00000A060000}"/>
    <cellStyle name="Normální 7 4 2 3 2 2" xfId="1545" xr:uid="{00000000-0005-0000-0000-00000B060000}"/>
    <cellStyle name="Normální 7 4 2 3 2 2 2" xfId="1546" xr:uid="{00000000-0005-0000-0000-00000C060000}"/>
    <cellStyle name="Normální 7 4 2 3 2 3" xfId="1547" xr:uid="{00000000-0005-0000-0000-00000D060000}"/>
    <cellStyle name="Normální 7 4 2 3 3" xfId="1548" xr:uid="{00000000-0005-0000-0000-00000E060000}"/>
    <cellStyle name="Normální 7 4 2 4" xfId="1549" xr:uid="{00000000-0005-0000-0000-00000F060000}"/>
    <cellStyle name="Normální 7 4 2 4 2" xfId="1550" xr:uid="{00000000-0005-0000-0000-000010060000}"/>
    <cellStyle name="Normální 7 4 2 4 2 2" xfId="1551" xr:uid="{00000000-0005-0000-0000-000011060000}"/>
    <cellStyle name="Normální 7 4 2 4 3" xfId="1552" xr:uid="{00000000-0005-0000-0000-000012060000}"/>
    <cellStyle name="Normální 7 4 2 5" xfId="1553" xr:uid="{00000000-0005-0000-0000-000013060000}"/>
    <cellStyle name="Normální 7 4 3" xfId="1554" xr:uid="{00000000-0005-0000-0000-000014060000}"/>
    <cellStyle name="Normální 7 4 3 2" xfId="1555" xr:uid="{00000000-0005-0000-0000-000015060000}"/>
    <cellStyle name="Normální 7 4 3 2 2" xfId="1556" xr:uid="{00000000-0005-0000-0000-000016060000}"/>
    <cellStyle name="Normální 7 4 3 2 2 2" xfId="1557" xr:uid="{00000000-0005-0000-0000-000017060000}"/>
    <cellStyle name="Normální 7 4 3 2 3" xfId="1558" xr:uid="{00000000-0005-0000-0000-000018060000}"/>
    <cellStyle name="Normální 7 4 3 3" xfId="1559" xr:uid="{00000000-0005-0000-0000-000019060000}"/>
    <cellStyle name="Normální 7 4 4" xfId="1560" xr:uid="{00000000-0005-0000-0000-00001A060000}"/>
    <cellStyle name="Normální 7 4 4 2" xfId="1561" xr:uid="{00000000-0005-0000-0000-00001B060000}"/>
    <cellStyle name="Normální 7 4 4 2 2" xfId="1562" xr:uid="{00000000-0005-0000-0000-00001C060000}"/>
    <cellStyle name="Normální 7 4 4 3" xfId="1563" xr:uid="{00000000-0005-0000-0000-00001D060000}"/>
    <cellStyle name="Normální 7 4 5" xfId="1564" xr:uid="{00000000-0005-0000-0000-00001E060000}"/>
    <cellStyle name="Normální 7 5" xfId="1565" xr:uid="{00000000-0005-0000-0000-00001F060000}"/>
    <cellStyle name="Normální 7 5 2" xfId="1566" xr:uid="{00000000-0005-0000-0000-000020060000}"/>
    <cellStyle name="Normální 7 5 2 2" xfId="1567" xr:uid="{00000000-0005-0000-0000-000021060000}"/>
    <cellStyle name="Normální 7 5 2 2 2" xfId="1568" xr:uid="{00000000-0005-0000-0000-000022060000}"/>
    <cellStyle name="Normální 7 5 2 2 2 2" xfId="1569" xr:uid="{00000000-0005-0000-0000-000023060000}"/>
    <cellStyle name="Normální 7 5 2 2 2 2 2" xfId="1570" xr:uid="{00000000-0005-0000-0000-000024060000}"/>
    <cellStyle name="Normální 7 5 2 2 2 3" xfId="1571" xr:uid="{00000000-0005-0000-0000-000025060000}"/>
    <cellStyle name="Normální 7 5 2 2 3" xfId="1572" xr:uid="{00000000-0005-0000-0000-000026060000}"/>
    <cellStyle name="Normální 7 5 2 3" xfId="1573" xr:uid="{00000000-0005-0000-0000-000027060000}"/>
    <cellStyle name="Normální 7 5 2 3 2" xfId="1574" xr:uid="{00000000-0005-0000-0000-000028060000}"/>
    <cellStyle name="Normální 7 5 2 3 2 2" xfId="1575" xr:uid="{00000000-0005-0000-0000-000029060000}"/>
    <cellStyle name="Normální 7 5 2 3 2 2 2" xfId="1576" xr:uid="{00000000-0005-0000-0000-00002A060000}"/>
    <cellStyle name="Normální 7 5 2 3 2 3" xfId="1577" xr:uid="{00000000-0005-0000-0000-00002B060000}"/>
    <cellStyle name="Normální 7 5 2 3 3" xfId="1578" xr:uid="{00000000-0005-0000-0000-00002C060000}"/>
    <cellStyle name="Normální 7 5 2 4" xfId="1579" xr:uid="{00000000-0005-0000-0000-00002D060000}"/>
    <cellStyle name="Normální 7 5 2 4 2" xfId="1580" xr:uid="{00000000-0005-0000-0000-00002E060000}"/>
    <cellStyle name="Normální 7 5 2 4 2 2" xfId="1581" xr:uid="{00000000-0005-0000-0000-00002F060000}"/>
    <cellStyle name="Normální 7 5 2 4 3" xfId="1582" xr:uid="{00000000-0005-0000-0000-000030060000}"/>
    <cellStyle name="Normální 7 5 2 5" xfId="1583" xr:uid="{00000000-0005-0000-0000-000031060000}"/>
    <cellStyle name="Normální 7 5 3" xfId="1584" xr:uid="{00000000-0005-0000-0000-000032060000}"/>
    <cellStyle name="Normální 7 5 3 2" xfId="1585" xr:uid="{00000000-0005-0000-0000-000033060000}"/>
    <cellStyle name="Normální 7 5 3 2 2" xfId="1586" xr:uid="{00000000-0005-0000-0000-000034060000}"/>
    <cellStyle name="Normální 7 5 3 2 2 2" xfId="1587" xr:uid="{00000000-0005-0000-0000-000035060000}"/>
    <cellStyle name="Normální 7 5 3 2 3" xfId="1588" xr:uid="{00000000-0005-0000-0000-000036060000}"/>
    <cellStyle name="Normální 7 5 3 3" xfId="1589" xr:uid="{00000000-0005-0000-0000-000037060000}"/>
    <cellStyle name="Normální 7 5 4" xfId="1590" xr:uid="{00000000-0005-0000-0000-000038060000}"/>
    <cellStyle name="Normální 7 5 4 2" xfId="1591" xr:uid="{00000000-0005-0000-0000-000039060000}"/>
    <cellStyle name="Normální 7 5 4 2 2" xfId="1592" xr:uid="{00000000-0005-0000-0000-00003A060000}"/>
    <cellStyle name="Normální 7 5 4 3" xfId="1593" xr:uid="{00000000-0005-0000-0000-00003B060000}"/>
    <cellStyle name="Normální 7 5 5" xfId="1594" xr:uid="{00000000-0005-0000-0000-00003C060000}"/>
    <cellStyle name="Normální 7 6" xfId="1595" xr:uid="{00000000-0005-0000-0000-00003D060000}"/>
    <cellStyle name="Normální 7 6 2" xfId="1596" xr:uid="{00000000-0005-0000-0000-00003E060000}"/>
    <cellStyle name="Normální 7 6 2 2" xfId="1597" xr:uid="{00000000-0005-0000-0000-00003F060000}"/>
    <cellStyle name="Normální 7 6 2 2 2" xfId="1598" xr:uid="{00000000-0005-0000-0000-000040060000}"/>
    <cellStyle name="Normální 7 6 2 2 2 2" xfId="1599" xr:uid="{00000000-0005-0000-0000-000041060000}"/>
    <cellStyle name="Normální 7 6 2 2 2 2 2" xfId="1600" xr:uid="{00000000-0005-0000-0000-000042060000}"/>
    <cellStyle name="Normální 7 6 2 2 2 3" xfId="1601" xr:uid="{00000000-0005-0000-0000-000043060000}"/>
    <cellStyle name="Normální 7 6 2 2 3" xfId="1602" xr:uid="{00000000-0005-0000-0000-000044060000}"/>
    <cellStyle name="Normální 7 6 2 3" xfId="1603" xr:uid="{00000000-0005-0000-0000-000045060000}"/>
    <cellStyle name="Normální 7 6 2 3 2" xfId="1604" xr:uid="{00000000-0005-0000-0000-000046060000}"/>
    <cellStyle name="Normální 7 6 2 3 2 2" xfId="1605" xr:uid="{00000000-0005-0000-0000-000047060000}"/>
    <cellStyle name="Normální 7 6 2 3 2 2 2" xfId="1606" xr:uid="{00000000-0005-0000-0000-000048060000}"/>
    <cellStyle name="Normální 7 6 2 3 2 3" xfId="1607" xr:uid="{00000000-0005-0000-0000-000049060000}"/>
    <cellStyle name="Normální 7 6 2 3 3" xfId="1608" xr:uid="{00000000-0005-0000-0000-00004A060000}"/>
    <cellStyle name="Normální 7 6 2 4" xfId="1609" xr:uid="{00000000-0005-0000-0000-00004B060000}"/>
    <cellStyle name="Normální 7 6 2 4 2" xfId="1610" xr:uid="{00000000-0005-0000-0000-00004C060000}"/>
    <cellStyle name="Normální 7 6 2 4 2 2" xfId="1611" xr:uid="{00000000-0005-0000-0000-00004D060000}"/>
    <cellStyle name="Normální 7 6 2 4 3" xfId="1612" xr:uid="{00000000-0005-0000-0000-00004E060000}"/>
    <cellStyle name="Normální 7 6 2 5" xfId="1613" xr:uid="{00000000-0005-0000-0000-00004F060000}"/>
    <cellStyle name="Normální 7 6 3" xfId="1614" xr:uid="{00000000-0005-0000-0000-000050060000}"/>
    <cellStyle name="Normální 7 6 3 2" xfId="1615" xr:uid="{00000000-0005-0000-0000-000051060000}"/>
    <cellStyle name="Normální 7 6 3 2 2" xfId="1616" xr:uid="{00000000-0005-0000-0000-000052060000}"/>
    <cellStyle name="Normální 7 6 3 2 2 2" xfId="1617" xr:uid="{00000000-0005-0000-0000-000053060000}"/>
    <cellStyle name="Normální 7 6 3 2 3" xfId="1618" xr:uid="{00000000-0005-0000-0000-000054060000}"/>
    <cellStyle name="Normální 7 6 3 3" xfId="1619" xr:uid="{00000000-0005-0000-0000-000055060000}"/>
    <cellStyle name="Normální 7 6 4" xfId="1620" xr:uid="{00000000-0005-0000-0000-000056060000}"/>
    <cellStyle name="Normální 7 6 4 2" xfId="1621" xr:uid="{00000000-0005-0000-0000-000057060000}"/>
    <cellStyle name="Normální 7 6 4 2 2" xfId="1622" xr:uid="{00000000-0005-0000-0000-000058060000}"/>
    <cellStyle name="Normální 7 6 4 3" xfId="1623" xr:uid="{00000000-0005-0000-0000-000059060000}"/>
    <cellStyle name="Normální 7 6 5" xfId="1624" xr:uid="{00000000-0005-0000-0000-00005A060000}"/>
    <cellStyle name="Normální 7 7" xfId="1625" xr:uid="{00000000-0005-0000-0000-00005B060000}"/>
    <cellStyle name="Normální 7 7 2" xfId="1626" xr:uid="{00000000-0005-0000-0000-00005C060000}"/>
    <cellStyle name="Normální 7 7 2 2" xfId="1627" xr:uid="{00000000-0005-0000-0000-00005D060000}"/>
    <cellStyle name="Normální 7 7 2 2 2" xfId="1628" xr:uid="{00000000-0005-0000-0000-00005E060000}"/>
    <cellStyle name="Normální 7 7 2 2 2 2" xfId="1629" xr:uid="{00000000-0005-0000-0000-00005F060000}"/>
    <cellStyle name="Normální 7 7 2 2 3" xfId="1630" xr:uid="{00000000-0005-0000-0000-000060060000}"/>
    <cellStyle name="Normální 7 7 2 3" xfId="1631" xr:uid="{00000000-0005-0000-0000-000061060000}"/>
    <cellStyle name="Normální 7 7 3" xfId="1632" xr:uid="{00000000-0005-0000-0000-000062060000}"/>
    <cellStyle name="Normální 7 7 3 2" xfId="1633" xr:uid="{00000000-0005-0000-0000-000063060000}"/>
    <cellStyle name="Normální 7 7 3 2 2" xfId="1634" xr:uid="{00000000-0005-0000-0000-000064060000}"/>
    <cellStyle name="Normální 7 7 3 2 2 2" xfId="1635" xr:uid="{00000000-0005-0000-0000-000065060000}"/>
    <cellStyle name="Normální 7 7 3 2 3" xfId="1636" xr:uid="{00000000-0005-0000-0000-000066060000}"/>
    <cellStyle name="Normální 7 7 3 3" xfId="1637" xr:uid="{00000000-0005-0000-0000-000067060000}"/>
    <cellStyle name="Normální 7 7 4" xfId="1638" xr:uid="{00000000-0005-0000-0000-000068060000}"/>
    <cellStyle name="Normální 7 7 4 2" xfId="1639" xr:uid="{00000000-0005-0000-0000-000069060000}"/>
    <cellStyle name="Normální 7 7 4 2 2" xfId="1640" xr:uid="{00000000-0005-0000-0000-00006A060000}"/>
    <cellStyle name="Normální 7 7 4 3" xfId="1641" xr:uid="{00000000-0005-0000-0000-00006B060000}"/>
    <cellStyle name="Normální 7 7 5" xfId="1642" xr:uid="{00000000-0005-0000-0000-00006C060000}"/>
    <cellStyle name="Normální 7 8" xfId="1643" xr:uid="{00000000-0005-0000-0000-00006D060000}"/>
    <cellStyle name="Normální 7 8 2" xfId="1644" xr:uid="{00000000-0005-0000-0000-00006E060000}"/>
    <cellStyle name="Normální 7 8 2 2" xfId="1645" xr:uid="{00000000-0005-0000-0000-00006F060000}"/>
    <cellStyle name="Normální 7 8 2 2 2" xfId="1646" xr:uid="{00000000-0005-0000-0000-000070060000}"/>
    <cellStyle name="Normální 7 8 2 3" xfId="1647" xr:uid="{00000000-0005-0000-0000-000071060000}"/>
    <cellStyle name="Normální 7 8 3" xfId="1648" xr:uid="{00000000-0005-0000-0000-000072060000}"/>
    <cellStyle name="Normální 7 9" xfId="1649" xr:uid="{00000000-0005-0000-0000-000073060000}"/>
    <cellStyle name="Normální 7 9 2" xfId="1650" xr:uid="{00000000-0005-0000-0000-000074060000}"/>
    <cellStyle name="Normální 7 9 2 2" xfId="1651" xr:uid="{00000000-0005-0000-0000-000075060000}"/>
    <cellStyle name="Normální 7 9 3" xfId="1652" xr:uid="{00000000-0005-0000-0000-000076060000}"/>
    <cellStyle name="Normální 8" xfId="1653" xr:uid="{00000000-0005-0000-0000-000077060000}"/>
    <cellStyle name="Normální 8 2" xfId="1654" xr:uid="{00000000-0005-0000-0000-000078060000}"/>
    <cellStyle name="Normální 8 2 2" xfId="1655" xr:uid="{00000000-0005-0000-0000-000079060000}"/>
    <cellStyle name="Normální 8 2 2 2" xfId="1656" xr:uid="{00000000-0005-0000-0000-00007A060000}"/>
    <cellStyle name="Normální 8 2 2 2 2" xfId="1657" xr:uid="{00000000-0005-0000-0000-00007B060000}"/>
    <cellStyle name="Normální 8 2 2 2 2 2" xfId="1658" xr:uid="{00000000-0005-0000-0000-00007C060000}"/>
    <cellStyle name="Normální 8 2 2 2 3" xfId="1659" xr:uid="{00000000-0005-0000-0000-00007D060000}"/>
    <cellStyle name="Normální 8 2 2 3" xfId="1660" xr:uid="{00000000-0005-0000-0000-00007E060000}"/>
    <cellStyle name="Normální 8 2 3" xfId="1661" xr:uid="{00000000-0005-0000-0000-00007F060000}"/>
    <cellStyle name="Normální 8 2 3 2" xfId="1662" xr:uid="{00000000-0005-0000-0000-000080060000}"/>
    <cellStyle name="Normální 8 2 3 2 2" xfId="1663" xr:uid="{00000000-0005-0000-0000-000081060000}"/>
    <cellStyle name="Normální 8 2 3 2 2 2" xfId="1664" xr:uid="{00000000-0005-0000-0000-000082060000}"/>
    <cellStyle name="Normální 8 2 3 2 3" xfId="1665" xr:uid="{00000000-0005-0000-0000-000083060000}"/>
    <cellStyle name="Normální 8 2 3 3" xfId="1666" xr:uid="{00000000-0005-0000-0000-000084060000}"/>
    <cellStyle name="Normální 8 2 4" xfId="1667" xr:uid="{00000000-0005-0000-0000-000085060000}"/>
    <cellStyle name="Normální 8 2 4 2" xfId="1668" xr:uid="{00000000-0005-0000-0000-000086060000}"/>
    <cellStyle name="Normální 8 2 4 2 2" xfId="1669" xr:uid="{00000000-0005-0000-0000-000087060000}"/>
    <cellStyle name="Normální 8 2 4 3" xfId="1670" xr:uid="{00000000-0005-0000-0000-000088060000}"/>
    <cellStyle name="Normální 8 2 5" xfId="1671" xr:uid="{00000000-0005-0000-0000-000089060000}"/>
    <cellStyle name="Normální 8 3" xfId="1672" xr:uid="{00000000-0005-0000-0000-00008A060000}"/>
    <cellStyle name="Normální 8 3 2" xfId="1673" xr:uid="{00000000-0005-0000-0000-00008B060000}"/>
    <cellStyle name="Normální 8 3 2 2" xfId="1674" xr:uid="{00000000-0005-0000-0000-00008C060000}"/>
    <cellStyle name="Normální 8 3 2 2 2" xfId="1675" xr:uid="{00000000-0005-0000-0000-00008D060000}"/>
    <cellStyle name="Normální 8 3 2 3" xfId="1676" xr:uid="{00000000-0005-0000-0000-00008E060000}"/>
    <cellStyle name="Normální 8 3 3" xfId="1677" xr:uid="{00000000-0005-0000-0000-00008F060000}"/>
    <cellStyle name="Normální 8 4" xfId="1678" xr:uid="{00000000-0005-0000-0000-000090060000}"/>
    <cellStyle name="Normální 8 4 2" xfId="1679" xr:uid="{00000000-0005-0000-0000-000091060000}"/>
    <cellStyle name="Normální 8 4 2 2" xfId="1680" xr:uid="{00000000-0005-0000-0000-000092060000}"/>
    <cellStyle name="Normální 8 4 3" xfId="1681" xr:uid="{00000000-0005-0000-0000-000093060000}"/>
    <cellStyle name="Normální 8 5" xfId="1682" xr:uid="{00000000-0005-0000-0000-000094060000}"/>
    <cellStyle name="Normální 9" xfId="1683" xr:uid="{00000000-0005-0000-0000-000095060000}"/>
    <cellStyle name="Normální 9 2" xfId="1684" xr:uid="{00000000-0005-0000-0000-000096060000}"/>
    <cellStyle name="Normální 9 2 2" xfId="1685" xr:uid="{00000000-0005-0000-0000-000097060000}"/>
    <cellStyle name="Normální 9 2 2 2" xfId="1686" xr:uid="{00000000-0005-0000-0000-000098060000}"/>
    <cellStyle name="Normální 9 2 2 2 2" xfId="1687" xr:uid="{00000000-0005-0000-0000-000099060000}"/>
    <cellStyle name="Normální 9 2 2 2 2 2" xfId="1688" xr:uid="{00000000-0005-0000-0000-00009A060000}"/>
    <cellStyle name="Normální 9 2 2 2 3" xfId="1689" xr:uid="{00000000-0005-0000-0000-00009B060000}"/>
    <cellStyle name="Normální 9 2 2 3" xfId="1690" xr:uid="{00000000-0005-0000-0000-00009C060000}"/>
    <cellStyle name="Normální 9 2 3" xfId="1691" xr:uid="{00000000-0005-0000-0000-00009D060000}"/>
    <cellStyle name="Normální 9 2 3 2" xfId="1692" xr:uid="{00000000-0005-0000-0000-00009E060000}"/>
    <cellStyle name="Normální 9 2 3 2 2" xfId="1693" xr:uid="{00000000-0005-0000-0000-00009F060000}"/>
    <cellStyle name="Normální 9 2 3 2 2 2" xfId="1694" xr:uid="{00000000-0005-0000-0000-0000A0060000}"/>
    <cellStyle name="Normální 9 2 3 2 3" xfId="1695" xr:uid="{00000000-0005-0000-0000-0000A1060000}"/>
    <cellStyle name="Normální 9 2 3 3" xfId="1696" xr:uid="{00000000-0005-0000-0000-0000A2060000}"/>
    <cellStyle name="Normální 9 2 4" xfId="1697" xr:uid="{00000000-0005-0000-0000-0000A3060000}"/>
    <cellStyle name="Normální 9 2 4 2" xfId="1698" xr:uid="{00000000-0005-0000-0000-0000A4060000}"/>
    <cellStyle name="Normální 9 2 4 2 2" xfId="1699" xr:uid="{00000000-0005-0000-0000-0000A5060000}"/>
    <cellStyle name="Normální 9 2 4 3" xfId="1700" xr:uid="{00000000-0005-0000-0000-0000A6060000}"/>
    <cellStyle name="Normální 9 2 5" xfId="1701" xr:uid="{00000000-0005-0000-0000-0000A7060000}"/>
    <cellStyle name="Normální 9 3" xfId="1702" xr:uid="{00000000-0005-0000-0000-0000A8060000}"/>
    <cellStyle name="Normální 9 3 2" xfId="1703" xr:uid="{00000000-0005-0000-0000-0000A9060000}"/>
    <cellStyle name="Normální 9 3 2 2" xfId="1704" xr:uid="{00000000-0005-0000-0000-0000AA060000}"/>
    <cellStyle name="Normální 9 3 2 2 2" xfId="1705" xr:uid="{00000000-0005-0000-0000-0000AB060000}"/>
    <cellStyle name="Normální 9 3 2 3" xfId="1706" xr:uid="{00000000-0005-0000-0000-0000AC060000}"/>
    <cellStyle name="Normální 9 3 3" xfId="1707" xr:uid="{00000000-0005-0000-0000-0000AD060000}"/>
    <cellStyle name="Normální 9 4" xfId="1708" xr:uid="{00000000-0005-0000-0000-0000AE060000}"/>
    <cellStyle name="Normální 9 4 2" xfId="1709" xr:uid="{00000000-0005-0000-0000-0000AF060000}"/>
    <cellStyle name="Normální 9 4 2 2" xfId="1710" xr:uid="{00000000-0005-0000-0000-0000B0060000}"/>
    <cellStyle name="Normální 9 4 3" xfId="1711" xr:uid="{00000000-0005-0000-0000-0000B1060000}"/>
    <cellStyle name="Normální 9 5" xfId="1712" xr:uid="{00000000-0005-0000-0000-0000B2060000}"/>
    <cellStyle name="normální_List1" xfId="1713" xr:uid="{00000000-0005-0000-0000-0000B3060000}"/>
    <cellStyle name="Standard_B9804100" xfId="1714" xr:uid="{00000000-0005-0000-0000-0000B6060000}"/>
    <cellStyle name="Styl 1" xfId="1715" xr:uid="{00000000-0005-0000-0000-0000B7060000}"/>
    <cellStyle name="Styl 1 2" xfId="1716" xr:uid="{00000000-0005-0000-0000-0000B8060000}"/>
    <cellStyle name="Styl 1 2 2" xfId="1717" xr:uid="{00000000-0005-0000-0000-0000B9060000}"/>
    <cellStyle name="Styl 1 2 2 2" xfId="1718" xr:uid="{00000000-0005-0000-0000-0000BA060000}"/>
    <cellStyle name="Styl 1 2 2 2 2" xfId="1719" xr:uid="{00000000-0005-0000-0000-0000BB060000}"/>
    <cellStyle name="Styl 1 2 2 2 2 2" xfId="1720" xr:uid="{00000000-0005-0000-0000-0000BC060000}"/>
    <cellStyle name="Styl 1 2 2 2 2 2 2" xfId="1721" xr:uid="{00000000-0005-0000-0000-0000BD060000}"/>
    <cellStyle name="Styl 1 2 2 2 2 2 2 2" xfId="1722" xr:uid="{00000000-0005-0000-0000-0000BE060000}"/>
    <cellStyle name="Styl 1 2 2 2 2 2 3" xfId="1723" xr:uid="{00000000-0005-0000-0000-0000BF060000}"/>
    <cellStyle name="Styl 1 2 2 2 2 3" xfId="1724" xr:uid="{00000000-0005-0000-0000-0000C0060000}"/>
    <cellStyle name="Styl 1 2 2 2 3" xfId="1725" xr:uid="{00000000-0005-0000-0000-0000C1060000}"/>
    <cellStyle name="Styl 1 2 2 2 3 2" xfId="1726" xr:uid="{00000000-0005-0000-0000-0000C2060000}"/>
    <cellStyle name="Styl 1 2 2 2 3 2 2" xfId="1727" xr:uid="{00000000-0005-0000-0000-0000C3060000}"/>
    <cellStyle name="Styl 1 2 2 2 3 3" xfId="1728" xr:uid="{00000000-0005-0000-0000-0000C4060000}"/>
    <cellStyle name="Styl 1 2 2 2 4" xfId="1729" xr:uid="{00000000-0005-0000-0000-0000C5060000}"/>
    <cellStyle name="Styl 1 2 2 3" xfId="1730" xr:uid="{00000000-0005-0000-0000-0000C6060000}"/>
    <cellStyle name="Styl 1 2 2 3 2" xfId="1731" xr:uid="{00000000-0005-0000-0000-0000C7060000}"/>
    <cellStyle name="Styl 1 2 2 3 2 2" xfId="1732" xr:uid="{00000000-0005-0000-0000-0000C8060000}"/>
    <cellStyle name="Styl 1 2 2 3 3" xfId="1733" xr:uid="{00000000-0005-0000-0000-0000C9060000}"/>
    <cellStyle name="Styl 1 2 2 4" xfId="1734" xr:uid="{00000000-0005-0000-0000-0000CA060000}"/>
    <cellStyle name="Styl 1 2 3" xfId="1735" xr:uid="{00000000-0005-0000-0000-0000CB060000}"/>
    <cellStyle name="Styl 1 2 3 2" xfId="1736" xr:uid="{00000000-0005-0000-0000-0000CC060000}"/>
    <cellStyle name="Styl 1 2 3 2 2" xfId="1737" xr:uid="{00000000-0005-0000-0000-0000CD060000}"/>
    <cellStyle name="Styl 1 2 3 2 2 2" xfId="1738" xr:uid="{00000000-0005-0000-0000-0000CE060000}"/>
    <cellStyle name="Styl 1 2 3 2 2 2 2" xfId="1739" xr:uid="{00000000-0005-0000-0000-0000CF060000}"/>
    <cellStyle name="Styl 1 2 3 2 2 3" xfId="1740" xr:uid="{00000000-0005-0000-0000-0000D0060000}"/>
    <cellStyle name="Styl 1 2 3 2 3" xfId="1741" xr:uid="{00000000-0005-0000-0000-0000D1060000}"/>
    <cellStyle name="Styl 1 2 3 3" xfId="1742" xr:uid="{00000000-0005-0000-0000-0000D2060000}"/>
    <cellStyle name="Styl 1 2 3 3 2" xfId="1743" xr:uid="{00000000-0005-0000-0000-0000D3060000}"/>
    <cellStyle name="Styl 1 2 3 3 2 2" xfId="1744" xr:uid="{00000000-0005-0000-0000-0000D4060000}"/>
    <cellStyle name="Styl 1 2 3 3 2 2 2" xfId="1745" xr:uid="{00000000-0005-0000-0000-0000D5060000}"/>
    <cellStyle name="Styl 1 2 3 3 2 2 2 2" xfId="1746" xr:uid="{00000000-0005-0000-0000-0000D6060000}"/>
    <cellStyle name="Styl 1 2 3 3 2 2 3" xfId="1747" xr:uid="{00000000-0005-0000-0000-0000D7060000}"/>
    <cellStyle name="Styl 1 2 3 3 2 3" xfId="1748" xr:uid="{00000000-0005-0000-0000-0000D8060000}"/>
    <cellStyle name="Styl 1 2 3 3 3" xfId="1749" xr:uid="{00000000-0005-0000-0000-0000D9060000}"/>
    <cellStyle name="Styl 1 2 3 3 3 2" xfId="1750" xr:uid="{00000000-0005-0000-0000-0000DA060000}"/>
    <cellStyle name="Styl 1 2 3 3 3 2 2" xfId="1751" xr:uid="{00000000-0005-0000-0000-0000DB060000}"/>
    <cellStyle name="Styl 1 2 3 3 3 3" xfId="1752" xr:uid="{00000000-0005-0000-0000-0000DC060000}"/>
    <cellStyle name="Styl 1 2 3 3 4" xfId="1753" xr:uid="{00000000-0005-0000-0000-0000DD060000}"/>
    <cellStyle name="Styl 1 2 3 4" xfId="1754" xr:uid="{00000000-0005-0000-0000-0000DE060000}"/>
    <cellStyle name="Styl 1 2 3 4 2" xfId="1755" xr:uid="{00000000-0005-0000-0000-0000DF060000}"/>
    <cellStyle name="Styl 1 2 3 4 2 2" xfId="1756" xr:uid="{00000000-0005-0000-0000-0000E0060000}"/>
    <cellStyle name="Styl 1 2 3 4 3" xfId="1757" xr:uid="{00000000-0005-0000-0000-0000E1060000}"/>
    <cellStyle name="Styl 1 2 3 5" xfId="1758" xr:uid="{00000000-0005-0000-0000-0000E2060000}"/>
    <cellStyle name="Styl 1 2 4" xfId="1759" xr:uid="{00000000-0005-0000-0000-0000E3060000}"/>
    <cellStyle name="Styl 1 2 4 2" xfId="1760" xr:uid="{00000000-0005-0000-0000-0000E4060000}"/>
    <cellStyle name="Styl 1 2 4 2 2" xfId="1761" xr:uid="{00000000-0005-0000-0000-0000E5060000}"/>
    <cellStyle name="Styl 1 2 4 2 2 2" xfId="1762" xr:uid="{00000000-0005-0000-0000-0000E6060000}"/>
    <cellStyle name="Styl 1 2 4 2 2 2 2" xfId="1763" xr:uid="{00000000-0005-0000-0000-0000E7060000}"/>
    <cellStyle name="Styl 1 2 4 2 2 3" xfId="1764" xr:uid="{00000000-0005-0000-0000-0000E8060000}"/>
    <cellStyle name="Styl 1 2 4 2 3" xfId="1765" xr:uid="{00000000-0005-0000-0000-0000E9060000}"/>
    <cellStyle name="Styl 1 2 4 3" xfId="1766" xr:uid="{00000000-0005-0000-0000-0000EA060000}"/>
    <cellStyle name="Styl 1 2 4 3 2" xfId="1767" xr:uid="{00000000-0005-0000-0000-0000EB060000}"/>
    <cellStyle name="Styl 1 2 4 3 2 2" xfId="1768" xr:uid="{00000000-0005-0000-0000-0000EC060000}"/>
    <cellStyle name="Styl 1 2 4 3 3" xfId="1769" xr:uid="{00000000-0005-0000-0000-0000ED060000}"/>
    <cellStyle name="Styl 1 2 4 4" xfId="1770" xr:uid="{00000000-0005-0000-0000-0000EE060000}"/>
    <cellStyle name="Styl 1 2 5" xfId="1771" xr:uid="{00000000-0005-0000-0000-0000EF060000}"/>
    <cellStyle name="Styl 1 2 5 2" xfId="1772" xr:uid="{00000000-0005-0000-0000-0000F0060000}"/>
    <cellStyle name="Styl 1 2 5 2 2" xfId="1773" xr:uid="{00000000-0005-0000-0000-0000F1060000}"/>
    <cellStyle name="Styl 1 2 5 3" xfId="1774" xr:uid="{00000000-0005-0000-0000-0000F2060000}"/>
    <cellStyle name="Styl 1 2 6" xfId="1775" xr:uid="{00000000-0005-0000-0000-0000F3060000}"/>
    <cellStyle name="Styl 1 3" xfId="1776" xr:uid="{00000000-0005-0000-0000-0000F4060000}"/>
    <cellStyle name="Styl 1 3 2" xfId="1777" xr:uid="{00000000-0005-0000-0000-0000F5060000}"/>
    <cellStyle name="Styl 1 3 2 2" xfId="1778" xr:uid="{00000000-0005-0000-0000-0000F6060000}"/>
    <cellStyle name="Styl 1 3 2 2 2" xfId="1779" xr:uid="{00000000-0005-0000-0000-0000F7060000}"/>
    <cellStyle name="Styl 1 3 2 2 2 2" xfId="1780" xr:uid="{00000000-0005-0000-0000-0000F8060000}"/>
    <cellStyle name="Styl 1 3 2 2 3" xfId="1781" xr:uid="{00000000-0005-0000-0000-0000F9060000}"/>
    <cellStyle name="Styl 1 3 2 3" xfId="1782" xr:uid="{00000000-0005-0000-0000-0000FA060000}"/>
    <cellStyle name="Styl 1 3 3" xfId="1783" xr:uid="{00000000-0005-0000-0000-0000FB060000}"/>
    <cellStyle name="Styl 1 3 3 2" xfId="1784" xr:uid="{00000000-0005-0000-0000-0000FC060000}"/>
    <cellStyle name="Styl 1 3 3 2 2" xfId="1785" xr:uid="{00000000-0005-0000-0000-0000FD060000}"/>
    <cellStyle name="Styl 1 3 3 2 2 2" xfId="1786" xr:uid="{00000000-0005-0000-0000-0000FE060000}"/>
    <cellStyle name="Styl 1 3 3 2 2 2 2" xfId="1787" xr:uid="{00000000-0005-0000-0000-0000FF060000}"/>
    <cellStyle name="Styl 1 3 3 2 2 3" xfId="1788" xr:uid="{00000000-0005-0000-0000-000000070000}"/>
    <cellStyle name="Styl 1 3 3 2 3" xfId="1789" xr:uid="{00000000-0005-0000-0000-000001070000}"/>
    <cellStyle name="Styl 1 3 3 3" xfId="1790" xr:uid="{00000000-0005-0000-0000-000002070000}"/>
    <cellStyle name="Styl 1 3 3 3 2" xfId="1791" xr:uid="{00000000-0005-0000-0000-000003070000}"/>
    <cellStyle name="Styl 1 3 3 3 2 2" xfId="1792" xr:uid="{00000000-0005-0000-0000-000004070000}"/>
    <cellStyle name="Styl 1 3 3 3 3" xfId="1793" xr:uid="{00000000-0005-0000-0000-000005070000}"/>
    <cellStyle name="Styl 1 3 3 4" xfId="1794" xr:uid="{00000000-0005-0000-0000-000006070000}"/>
    <cellStyle name="Styl 1 3 4" xfId="1795" xr:uid="{00000000-0005-0000-0000-000007070000}"/>
    <cellStyle name="Styl 1 3 4 2" xfId="1796" xr:uid="{00000000-0005-0000-0000-000008070000}"/>
    <cellStyle name="Styl 1 3 4 2 2" xfId="1797" xr:uid="{00000000-0005-0000-0000-000009070000}"/>
    <cellStyle name="Styl 1 3 4 3" xfId="1798" xr:uid="{00000000-0005-0000-0000-00000A070000}"/>
    <cellStyle name="Styl 1 3 5" xfId="1799" xr:uid="{00000000-0005-0000-0000-00000B070000}"/>
    <cellStyle name="Styl 1 4" xfId="1800" xr:uid="{00000000-0005-0000-0000-00000C070000}"/>
    <cellStyle name="Styl 1 4 2" xfId="1801" xr:uid="{00000000-0005-0000-0000-00000D070000}"/>
    <cellStyle name="Styl 1 4 2 2" xfId="1802" xr:uid="{00000000-0005-0000-0000-00000E070000}"/>
    <cellStyle name="Styl 1 4 2 2 2" xfId="1803" xr:uid="{00000000-0005-0000-0000-00000F070000}"/>
    <cellStyle name="Styl 1 4 2 2 2 2" xfId="1804" xr:uid="{00000000-0005-0000-0000-000010070000}"/>
    <cellStyle name="Styl 1 4 2 2 3" xfId="1805" xr:uid="{00000000-0005-0000-0000-000011070000}"/>
    <cellStyle name="Styl 1 4 2 3" xfId="1806" xr:uid="{00000000-0005-0000-0000-000012070000}"/>
    <cellStyle name="Styl 1 4 3" xfId="1807" xr:uid="{00000000-0005-0000-0000-000013070000}"/>
    <cellStyle name="Styl 1 4 3 2" xfId="1808" xr:uid="{00000000-0005-0000-0000-000014070000}"/>
    <cellStyle name="Styl 1 4 3 2 2" xfId="1809" xr:uid="{00000000-0005-0000-0000-000015070000}"/>
    <cellStyle name="Styl 1 4 3 3" xfId="1810" xr:uid="{00000000-0005-0000-0000-000016070000}"/>
    <cellStyle name="Styl 1 4 4" xfId="1811" xr:uid="{00000000-0005-0000-0000-000017070000}"/>
    <cellStyle name="Styl 1 5" xfId="1812" xr:uid="{00000000-0005-0000-0000-000018070000}"/>
    <cellStyle name="Styl 1 5 2" xfId="1813" xr:uid="{00000000-0005-0000-0000-000019070000}"/>
    <cellStyle name="Styl 1 5 2 2" xfId="1814" xr:uid="{00000000-0005-0000-0000-00001A070000}"/>
    <cellStyle name="Styl 1 5 3" xfId="1815" xr:uid="{00000000-0005-0000-0000-00001B070000}"/>
    <cellStyle name="Styl 1 6" xfId="1816" xr:uid="{00000000-0005-0000-0000-00001C070000}"/>
    <cellStyle name="Styl 2" xfId="1817" xr:uid="{00000000-0005-0000-0000-00001D070000}"/>
    <cellStyle name="Styl 2 2" xfId="1818" xr:uid="{00000000-0005-0000-0000-00001E070000}"/>
    <cellStyle name="Styl 2 2 2" xfId="1819" xr:uid="{00000000-0005-0000-0000-00001F070000}"/>
    <cellStyle name="Styl 2 2 2 2" xfId="1820" xr:uid="{00000000-0005-0000-0000-000020070000}"/>
    <cellStyle name="Styl 2 2 2 2 2" xfId="1821" xr:uid="{00000000-0005-0000-0000-000021070000}"/>
    <cellStyle name="Styl 2 2 2 2 2 2" xfId="1822" xr:uid="{00000000-0005-0000-0000-000022070000}"/>
    <cellStyle name="Styl 2 2 2 2 2 2 2" xfId="1823" xr:uid="{00000000-0005-0000-0000-000023070000}"/>
    <cellStyle name="Styl 2 2 2 2 2 2 2 2" xfId="1824" xr:uid="{00000000-0005-0000-0000-000024070000}"/>
    <cellStyle name="Styl 2 2 2 2 2 2 3" xfId="1825" xr:uid="{00000000-0005-0000-0000-000025070000}"/>
    <cellStyle name="Styl 2 2 2 2 2 3" xfId="1826" xr:uid="{00000000-0005-0000-0000-000026070000}"/>
    <cellStyle name="Styl 2 2 2 2 3" xfId="1827" xr:uid="{00000000-0005-0000-0000-000027070000}"/>
    <cellStyle name="Styl 2 2 2 2 3 2" xfId="1828" xr:uid="{00000000-0005-0000-0000-000028070000}"/>
    <cellStyle name="Styl 2 2 2 2 3 2 2" xfId="1829" xr:uid="{00000000-0005-0000-0000-000029070000}"/>
    <cellStyle name="Styl 2 2 2 2 3 3" xfId="1830" xr:uid="{00000000-0005-0000-0000-00002A070000}"/>
    <cellStyle name="Styl 2 2 2 2 4" xfId="1831" xr:uid="{00000000-0005-0000-0000-00002B070000}"/>
    <cellStyle name="Styl 2 2 2 3" xfId="1832" xr:uid="{00000000-0005-0000-0000-00002C070000}"/>
    <cellStyle name="Styl 2 2 2 3 2" xfId="1833" xr:uid="{00000000-0005-0000-0000-00002D070000}"/>
    <cellStyle name="Styl 2 2 2 3 2 2" xfId="1834" xr:uid="{00000000-0005-0000-0000-00002E070000}"/>
    <cellStyle name="Styl 2 2 2 3 3" xfId="1835" xr:uid="{00000000-0005-0000-0000-00002F070000}"/>
    <cellStyle name="Styl 2 2 2 4" xfId="1836" xr:uid="{00000000-0005-0000-0000-000030070000}"/>
    <cellStyle name="Styl 2 2 3" xfId="1837" xr:uid="{00000000-0005-0000-0000-000031070000}"/>
    <cellStyle name="Styl 2 2 3 2" xfId="1838" xr:uid="{00000000-0005-0000-0000-000032070000}"/>
    <cellStyle name="Styl 2 2 3 2 2" xfId="1839" xr:uid="{00000000-0005-0000-0000-000033070000}"/>
    <cellStyle name="Styl 2 2 3 2 2 2" xfId="1840" xr:uid="{00000000-0005-0000-0000-000034070000}"/>
    <cellStyle name="Styl 2 2 3 2 2 2 2" xfId="1841" xr:uid="{00000000-0005-0000-0000-000035070000}"/>
    <cellStyle name="Styl 2 2 3 2 2 3" xfId="1842" xr:uid="{00000000-0005-0000-0000-000036070000}"/>
    <cellStyle name="Styl 2 2 3 2 3" xfId="1843" xr:uid="{00000000-0005-0000-0000-000037070000}"/>
    <cellStyle name="Styl 2 2 3 3" xfId="1844" xr:uid="{00000000-0005-0000-0000-000038070000}"/>
    <cellStyle name="Styl 2 2 3 3 2" xfId="1845" xr:uid="{00000000-0005-0000-0000-000039070000}"/>
    <cellStyle name="Styl 2 2 3 3 2 2" xfId="1846" xr:uid="{00000000-0005-0000-0000-00003A070000}"/>
    <cellStyle name="Styl 2 2 3 3 2 2 2" xfId="1847" xr:uid="{00000000-0005-0000-0000-00003B070000}"/>
    <cellStyle name="Styl 2 2 3 3 2 2 2 2" xfId="1848" xr:uid="{00000000-0005-0000-0000-00003C070000}"/>
    <cellStyle name="Styl 2 2 3 3 2 2 3" xfId="1849" xr:uid="{00000000-0005-0000-0000-00003D070000}"/>
    <cellStyle name="Styl 2 2 3 3 2 3" xfId="1850" xr:uid="{00000000-0005-0000-0000-00003E070000}"/>
    <cellStyle name="Styl 2 2 3 3 3" xfId="1851" xr:uid="{00000000-0005-0000-0000-00003F070000}"/>
    <cellStyle name="Styl 2 2 3 3 3 2" xfId="1852" xr:uid="{00000000-0005-0000-0000-000040070000}"/>
    <cellStyle name="Styl 2 2 3 3 3 2 2" xfId="1853" xr:uid="{00000000-0005-0000-0000-000041070000}"/>
    <cellStyle name="Styl 2 2 3 3 3 3" xfId="1854" xr:uid="{00000000-0005-0000-0000-000042070000}"/>
    <cellStyle name="Styl 2 2 3 3 4" xfId="1855" xr:uid="{00000000-0005-0000-0000-000043070000}"/>
    <cellStyle name="Styl 2 2 3 4" xfId="1856" xr:uid="{00000000-0005-0000-0000-000044070000}"/>
    <cellStyle name="Styl 2 2 3 4 2" xfId="1857" xr:uid="{00000000-0005-0000-0000-000045070000}"/>
    <cellStyle name="Styl 2 2 3 4 2 2" xfId="1858" xr:uid="{00000000-0005-0000-0000-000046070000}"/>
    <cellStyle name="Styl 2 2 3 4 3" xfId="1859" xr:uid="{00000000-0005-0000-0000-000047070000}"/>
    <cellStyle name="Styl 2 2 3 5" xfId="1860" xr:uid="{00000000-0005-0000-0000-000048070000}"/>
    <cellStyle name="Styl 2 2 4" xfId="1861" xr:uid="{00000000-0005-0000-0000-000049070000}"/>
    <cellStyle name="Styl 2 2 4 2" xfId="1862" xr:uid="{00000000-0005-0000-0000-00004A070000}"/>
    <cellStyle name="Styl 2 2 4 2 2" xfId="1863" xr:uid="{00000000-0005-0000-0000-00004B070000}"/>
    <cellStyle name="Styl 2 2 4 2 2 2" xfId="1864" xr:uid="{00000000-0005-0000-0000-00004C070000}"/>
    <cellStyle name="Styl 2 2 4 2 2 2 2" xfId="1865" xr:uid="{00000000-0005-0000-0000-00004D070000}"/>
    <cellStyle name="Styl 2 2 4 2 2 3" xfId="1866" xr:uid="{00000000-0005-0000-0000-00004E070000}"/>
    <cellStyle name="Styl 2 2 4 2 3" xfId="1867" xr:uid="{00000000-0005-0000-0000-00004F070000}"/>
    <cellStyle name="Styl 2 2 4 3" xfId="1868" xr:uid="{00000000-0005-0000-0000-000050070000}"/>
    <cellStyle name="Styl 2 2 4 3 2" xfId="1869" xr:uid="{00000000-0005-0000-0000-000051070000}"/>
    <cellStyle name="Styl 2 2 4 3 2 2" xfId="1870" xr:uid="{00000000-0005-0000-0000-000052070000}"/>
    <cellStyle name="Styl 2 2 4 3 3" xfId="1871" xr:uid="{00000000-0005-0000-0000-000053070000}"/>
    <cellStyle name="Styl 2 2 4 4" xfId="1872" xr:uid="{00000000-0005-0000-0000-000054070000}"/>
    <cellStyle name="Styl 2 2 5" xfId="1873" xr:uid="{00000000-0005-0000-0000-000055070000}"/>
    <cellStyle name="Styl 2 2 5 2" xfId="1874" xr:uid="{00000000-0005-0000-0000-000056070000}"/>
    <cellStyle name="Styl 2 2 5 2 2" xfId="1875" xr:uid="{00000000-0005-0000-0000-000057070000}"/>
    <cellStyle name="Styl 2 2 5 3" xfId="1876" xr:uid="{00000000-0005-0000-0000-000058070000}"/>
    <cellStyle name="Styl 2 2 6" xfId="1877" xr:uid="{00000000-0005-0000-0000-000059070000}"/>
    <cellStyle name="Styl 2 3" xfId="1878" xr:uid="{00000000-0005-0000-0000-00005A070000}"/>
    <cellStyle name="Styl 2 3 2" xfId="1879" xr:uid="{00000000-0005-0000-0000-00005B070000}"/>
    <cellStyle name="Styl 2 3 2 2" xfId="1880" xr:uid="{00000000-0005-0000-0000-00005C070000}"/>
    <cellStyle name="Styl 2 3 2 2 2" xfId="1881" xr:uid="{00000000-0005-0000-0000-00005D070000}"/>
    <cellStyle name="Styl 2 3 2 2 2 2" xfId="1882" xr:uid="{00000000-0005-0000-0000-00005E070000}"/>
    <cellStyle name="Styl 2 3 2 2 2 2 2" xfId="1883" xr:uid="{00000000-0005-0000-0000-00005F070000}"/>
    <cellStyle name="Styl 2 3 2 2 2 3" xfId="1884" xr:uid="{00000000-0005-0000-0000-000060070000}"/>
    <cellStyle name="Styl 2 3 2 2 3" xfId="1885" xr:uid="{00000000-0005-0000-0000-000061070000}"/>
    <cellStyle name="Styl 2 3 2 3" xfId="1886" xr:uid="{00000000-0005-0000-0000-000062070000}"/>
    <cellStyle name="Styl 2 3 2 3 2" xfId="1887" xr:uid="{00000000-0005-0000-0000-000063070000}"/>
    <cellStyle name="Styl 2 3 2 3 2 2" xfId="1888" xr:uid="{00000000-0005-0000-0000-000064070000}"/>
    <cellStyle name="Styl 2 3 2 3 3" xfId="1889" xr:uid="{00000000-0005-0000-0000-000065070000}"/>
    <cellStyle name="Styl 2 3 2 4" xfId="1890" xr:uid="{00000000-0005-0000-0000-000066070000}"/>
    <cellStyle name="Styl 2 3 3" xfId="1891" xr:uid="{00000000-0005-0000-0000-000067070000}"/>
    <cellStyle name="Styl 2 3 3 2" xfId="1892" xr:uid="{00000000-0005-0000-0000-000068070000}"/>
    <cellStyle name="Styl 2 3 3 2 2" xfId="1893" xr:uid="{00000000-0005-0000-0000-000069070000}"/>
    <cellStyle name="Styl 2 3 3 3" xfId="1894" xr:uid="{00000000-0005-0000-0000-00006A070000}"/>
    <cellStyle name="Styl 2 3 4" xfId="1895" xr:uid="{00000000-0005-0000-0000-00006B070000}"/>
    <cellStyle name="Styl 2 4" xfId="1896" xr:uid="{00000000-0005-0000-0000-00006C070000}"/>
    <cellStyle name="Styl 2 4 2" xfId="1897" xr:uid="{00000000-0005-0000-0000-00006D070000}"/>
    <cellStyle name="Styl 2 4 2 2" xfId="1898" xr:uid="{00000000-0005-0000-0000-00006E070000}"/>
    <cellStyle name="Styl 2 4 2 2 2" xfId="1899" xr:uid="{00000000-0005-0000-0000-00006F070000}"/>
    <cellStyle name="Styl 2 4 2 2 2 2" xfId="1900" xr:uid="{00000000-0005-0000-0000-000070070000}"/>
    <cellStyle name="Styl 2 4 2 2 3" xfId="1901" xr:uid="{00000000-0005-0000-0000-000071070000}"/>
    <cellStyle name="Styl 2 4 2 3" xfId="1902" xr:uid="{00000000-0005-0000-0000-000072070000}"/>
    <cellStyle name="Styl 2 4 3" xfId="1903" xr:uid="{00000000-0005-0000-0000-000073070000}"/>
    <cellStyle name="Styl 2 4 3 2" xfId="1904" xr:uid="{00000000-0005-0000-0000-000074070000}"/>
    <cellStyle name="Styl 2 4 3 2 2" xfId="1905" xr:uid="{00000000-0005-0000-0000-000075070000}"/>
    <cellStyle name="Styl 2 4 3 2 2 2" xfId="1906" xr:uid="{00000000-0005-0000-0000-000076070000}"/>
    <cellStyle name="Styl 2 4 3 2 2 2 2" xfId="1907" xr:uid="{00000000-0005-0000-0000-000077070000}"/>
    <cellStyle name="Styl 2 4 3 2 2 3" xfId="1908" xr:uid="{00000000-0005-0000-0000-000078070000}"/>
    <cellStyle name="Styl 2 4 3 2 3" xfId="1909" xr:uid="{00000000-0005-0000-0000-000079070000}"/>
    <cellStyle name="Styl 2 4 3 3" xfId="1910" xr:uid="{00000000-0005-0000-0000-00007A070000}"/>
    <cellStyle name="Styl 2 4 3 3 2" xfId="1911" xr:uid="{00000000-0005-0000-0000-00007B070000}"/>
    <cellStyle name="Styl 2 4 3 3 2 2" xfId="1912" xr:uid="{00000000-0005-0000-0000-00007C070000}"/>
    <cellStyle name="Styl 2 4 3 3 3" xfId="1913" xr:uid="{00000000-0005-0000-0000-00007D070000}"/>
    <cellStyle name="Styl 2 4 3 4" xfId="1914" xr:uid="{00000000-0005-0000-0000-00007E070000}"/>
    <cellStyle name="Styl 2 4 4" xfId="1915" xr:uid="{00000000-0005-0000-0000-00007F070000}"/>
    <cellStyle name="Styl 2 4 4 2" xfId="1916" xr:uid="{00000000-0005-0000-0000-000080070000}"/>
    <cellStyle name="Styl 2 4 4 2 2" xfId="1917" xr:uid="{00000000-0005-0000-0000-000081070000}"/>
    <cellStyle name="Styl 2 4 4 3" xfId="1918" xr:uid="{00000000-0005-0000-0000-000082070000}"/>
    <cellStyle name="Styl 2 4 5" xfId="1919" xr:uid="{00000000-0005-0000-0000-000083070000}"/>
    <cellStyle name="Styl 2 5" xfId="1920" xr:uid="{00000000-0005-0000-0000-000084070000}"/>
    <cellStyle name="Styl 2 5 2" xfId="1921" xr:uid="{00000000-0005-0000-0000-000085070000}"/>
    <cellStyle name="Styl 2 5 2 2" xfId="1922" xr:uid="{00000000-0005-0000-0000-000086070000}"/>
    <cellStyle name="Styl 2 5 2 2 2" xfId="1923" xr:uid="{00000000-0005-0000-0000-000087070000}"/>
    <cellStyle name="Styl 2 5 2 2 2 2" xfId="1924" xr:uid="{00000000-0005-0000-0000-000088070000}"/>
    <cellStyle name="Styl 2 5 2 2 3" xfId="1925" xr:uid="{00000000-0005-0000-0000-000089070000}"/>
    <cellStyle name="Styl 2 5 2 3" xfId="1926" xr:uid="{00000000-0005-0000-0000-00008A070000}"/>
    <cellStyle name="Styl 2 5 3" xfId="1927" xr:uid="{00000000-0005-0000-0000-00008B070000}"/>
    <cellStyle name="Styl 2 5 3 2" xfId="1928" xr:uid="{00000000-0005-0000-0000-00008C070000}"/>
    <cellStyle name="Styl 2 5 3 2 2" xfId="1929" xr:uid="{00000000-0005-0000-0000-00008D070000}"/>
    <cellStyle name="Styl 2 5 3 3" xfId="1930" xr:uid="{00000000-0005-0000-0000-00008E070000}"/>
    <cellStyle name="Styl 2 5 4" xfId="1931" xr:uid="{00000000-0005-0000-0000-00008F070000}"/>
    <cellStyle name="Styl 2 6" xfId="1932" xr:uid="{00000000-0005-0000-0000-000090070000}"/>
    <cellStyle name="Styl 2 6 2" xfId="1933" xr:uid="{00000000-0005-0000-0000-000091070000}"/>
    <cellStyle name="Styl 2 6 3" xfId="1934" xr:uid="{00000000-0005-0000-0000-000092070000}"/>
    <cellStyle name="Styl 2 7" xfId="1935" xr:uid="{00000000-0005-0000-0000-000093070000}"/>
    <cellStyle name="Styl 2 7 2" xfId="1936" xr:uid="{00000000-0005-0000-0000-000094070000}"/>
    <cellStyle name="Styl 2 7 2 2" xfId="1937" xr:uid="{00000000-0005-0000-0000-000095070000}"/>
    <cellStyle name="Styl 2 7 3" xfId="1938" xr:uid="{00000000-0005-0000-0000-000096070000}"/>
    <cellStyle name="Styl 2 8" xfId="1939" xr:uid="{00000000-0005-0000-0000-000097070000}"/>
    <cellStyle name="常规 144" xfId="1940" xr:uid="{00000000-0005-0000-0000-000098070000}"/>
    <cellStyle name="常规 144 2" xfId="1941" xr:uid="{00000000-0005-0000-0000-000099070000}"/>
    <cellStyle name="常规 144 2 2" xfId="1942" xr:uid="{00000000-0005-0000-0000-00009A070000}"/>
    <cellStyle name="常规 144 3" xfId="1943" xr:uid="{00000000-0005-0000-0000-00009B070000}"/>
    <cellStyle name="常规 2" xfId="1944" xr:uid="{00000000-0005-0000-0000-00009C070000}"/>
    <cellStyle name="常规 2 17" xfId="1945" xr:uid="{00000000-0005-0000-0000-00009D070000}"/>
    <cellStyle name="常规 2 17 2" xfId="1946" xr:uid="{00000000-0005-0000-0000-00009E070000}"/>
    <cellStyle name="常规 2 17 2 2" xfId="1947" xr:uid="{00000000-0005-0000-0000-00009F070000}"/>
    <cellStyle name="常规 2 17 2 2 2" xfId="1948" xr:uid="{00000000-0005-0000-0000-0000A0070000}"/>
    <cellStyle name="常规 2 17 2 3" xfId="1949" xr:uid="{00000000-0005-0000-0000-0000A1070000}"/>
    <cellStyle name="常规 2 17 3" xfId="1950" xr:uid="{00000000-0005-0000-0000-0000A2070000}"/>
    <cellStyle name="常规 2 2" xfId="1951" xr:uid="{00000000-0005-0000-0000-0000A3070000}"/>
    <cellStyle name="常规 2 2 2" xfId="1952" xr:uid="{00000000-0005-0000-0000-0000A4070000}"/>
    <cellStyle name="常规 2 2 2 2" xfId="1953" xr:uid="{00000000-0005-0000-0000-0000A5070000}"/>
    <cellStyle name="常规 2 2 2 2 2" xfId="1954" xr:uid="{00000000-0005-0000-0000-0000A6070000}"/>
    <cellStyle name="常规 2 2 2 2 2 2" xfId="1955" xr:uid="{00000000-0005-0000-0000-0000A7070000}"/>
    <cellStyle name="常规 2 2 2 2 3" xfId="1956" xr:uid="{00000000-0005-0000-0000-0000A8070000}"/>
    <cellStyle name="常规 2 2 3" xfId="1957" xr:uid="{00000000-0005-0000-0000-0000A9070000}"/>
    <cellStyle name="常规 2 2 3 2" xfId="1958" xr:uid="{00000000-0005-0000-0000-0000AA070000}"/>
    <cellStyle name="常规 2 2 3 2 2" xfId="1959" xr:uid="{00000000-0005-0000-0000-0000AB070000}"/>
    <cellStyle name="常规 2 2 3 2 2 2" xfId="1960" xr:uid="{00000000-0005-0000-0000-0000AC070000}"/>
    <cellStyle name="常规 2 2 3 2 2 2 2" xfId="1961" xr:uid="{00000000-0005-0000-0000-0000AD070000}"/>
    <cellStyle name="常规 2 2 3 2 2 3" xfId="1962" xr:uid="{00000000-0005-0000-0000-0000AE070000}"/>
    <cellStyle name="常规 2 2 3 3" xfId="1963" xr:uid="{00000000-0005-0000-0000-0000AF070000}"/>
    <cellStyle name="常规 2 2 3 3 2" xfId="1964" xr:uid="{00000000-0005-0000-0000-0000B0070000}"/>
    <cellStyle name="常规 2 2 3 3 2 2" xfId="1965" xr:uid="{00000000-0005-0000-0000-0000B1070000}"/>
    <cellStyle name="常规 2 2 3 3 3" xfId="1966" xr:uid="{00000000-0005-0000-0000-0000B2070000}"/>
    <cellStyle name="常规 2 2 4" xfId="1967" xr:uid="{00000000-0005-0000-0000-0000B3070000}"/>
    <cellStyle name="常规 2 2 4 2" xfId="1968" xr:uid="{00000000-0005-0000-0000-0000B4070000}"/>
    <cellStyle name="常规 2 2 4 2 2" xfId="1969" xr:uid="{00000000-0005-0000-0000-0000B5070000}"/>
    <cellStyle name="常规 2 2 4 3" xfId="1970" xr:uid="{00000000-0005-0000-0000-0000B6070000}"/>
    <cellStyle name="常规 2 3" xfId="1971" xr:uid="{00000000-0005-0000-0000-0000B7070000}"/>
    <cellStyle name="常规 2 3 2" xfId="1972" xr:uid="{00000000-0005-0000-0000-0000B8070000}"/>
    <cellStyle name="常规 2 3 2 2" xfId="1973" xr:uid="{00000000-0005-0000-0000-0000B9070000}"/>
    <cellStyle name="常规 2 3 2 2 2" xfId="1974" xr:uid="{00000000-0005-0000-0000-0000BA070000}"/>
    <cellStyle name="常规 2 3 2 2 2 2" xfId="1975" xr:uid="{00000000-0005-0000-0000-0000BB070000}"/>
    <cellStyle name="常规 2 3 2 2 3" xfId="1976" xr:uid="{00000000-0005-0000-0000-0000BC070000}"/>
    <cellStyle name="常规 2 3 3" xfId="1977" xr:uid="{00000000-0005-0000-0000-0000BD070000}"/>
    <cellStyle name="常规 2 3 3 2" xfId="1978" xr:uid="{00000000-0005-0000-0000-0000BE070000}"/>
    <cellStyle name="常规 2 3 3 2 2" xfId="1979" xr:uid="{00000000-0005-0000-0000-0000BF070000}"/>
    <cellStyle name="常规 2 3 3 3" xfId="1980" xr:uid="{00000000-0005-0000-0000-0000C0070000}"/>
    <cellStyle name="常规 2 4" xfId="1981" xr:uid="{00000000-0005-0000-0000-0000C1070000}"/>
    <cellStyle name="常规 2 4 2" xfId="1982" xr:uid="{00000000-0005-0000-0000-0000C2070000}"/>
    <cellStyle name="常规 2 4 2 2" xfId="1983" xr:uid="{00000000-0005-0000-0000-0000C3070000}"/>
    <cellStyle name="常规 2 4 3" xfId="1984" xr:uid="{00000000-0005-0000-0000-0000C4070000}"/>
    <cellStyle name="常规 3" xfId="1985" xr:uid="{00000000-0005-0000-0000-0000C5070000}"/>
    <cellStyle name="常规 3 14" xfId="1986" xr:uid="{00000000-0005-0000-0000-0000C6070000}"/>
    <cellStyle name="常规 3 14 2" xfId="1987" xr:uid="{00000000-0005-0000-0000-0000C7070000}"/>
    <cellStyle name="超链接 2" xfId="1988" xr:uid="{00000000-0005-0000-0000-0000C8070000}"/>
    <cellStyle name="超链接 2 2" xfId="1989" xr:uid="{00000000-0005-0000-0000-0000C9070000}"/>
    <cellStyle name="超链接 2 2 2" xfId="1990" xr:uid="{00000000-0005-0000-0000-0000CA070000}"/>
    <cellStyle name="超链接 2 2 2 2" xfId="1991" xr:uid="{00000000-0005-0000-0000-0000CB070000}"/>
    <cellStyle name="超链接 2 2 2 2 2" xfId="1992" xr:uid="{00000000-0005-0000-0000-0000CC070000}"/>
    <cellStyle name="超链接 2 2 2 2 2 2" xfId="1993" xr:uid="{00000000-0005-0000-0000-0000CD070000}"/>
    <cellStyle name="超链接 2 2 2 2 2 2 2" xfId="1994" xr:uid="{00000000-0005-0000-0000-0000CE070000}"/>
    <cellStyle name="超链接 2 2 2 2 2 3" xfId="1995" xr:uid="{00000000-0005-0000-0000-0000CF070000}"/>
    <cellStyle name="超链接 2 2 2 2 3" xfId="1996" xr:uid="{00000000-0005-0000-0000-0000D0070000}"/>
    <cellStyle name="超链接 2 2 2 3" xfId="1997" xr:uid="{00000000-0005-0000-0000-0000D1070000}"/>
    <cellStyle name="超链接 2 2 2 3 2" xfId="1998" xr:uid="{00000000-0005-0000-0000-0000D2070000}"/>
    <cellStyle name="超链接 2 2 2 3 2 2" xfId="1999" xr:uid="{00000000-0005-0000-0000-0000D3070000}"/>
    <cellStyle name="超链接 2 2 2 3 2 2 2" xfId="2000" xr:uid="{00000000-0005-0000-0000-0000D4070000}"/>
    <cellStyle name="超链接 2 2 2 3 2 2 2 2" xfId="2001" xr:uid="{00000000-0005-0000-0000-0000D5070000}"/>
    <cellStyle name="超链接 2 2 2 3 2 2 3" xfId="2002" xr:uid="{00000000-0005-0000-0000-0000D6070000}"/>
    <cellStyle name="超链接 2 2 2 3 2 3" xfId="2003" xr:uid="{00000000-0005-0000-0000-0000D7070000}"/>
    <cellStyle name="超链接 2 2 2 3 3" xfId="2004" xr:uid="{00000000-0005-0000-0000-0000D8070000}"/>
    <cellStyle name="超链接 2 2 2 3 3 2" xfId="2005" xr:uid="{00000000-0005-0000-0000-0000D9070000}"/>
    <cellStyle name="超链接 2 2 2 3 3 2 2" xfId="2006" xr:uid="{00000000-0005-0000-0000-0000DA070000}"/>
    <cellStyle name="超链接 2 2 2 3 3 3" xfId="2007" xr:uid="{00000000-0005-0000-0000-0000DB070000}"/>
    <cellStyle name="超链接 2 2 2 3 4" xfId="2008" xr:uid="{00000000-0005-0000-0000-0000DC070000}"/>
    <cellStyle name="超链接 2 2 2 4" xfId="2009" xr:uid="{00000000-0005-0000-0000-0000DD070000}"/>
    <cellStyle name="超链接 2 2 2 4 2" xfId="2010" xr:uid="{00000000-0005-0000-0000-0000DE070000}"/>
    <cellStyle name="超链接 2 2 2 4 2 2" xfId="2011" xr:uid="{00000000-0005-0000-0000-0000DF070000}"/>
    <cellStyle name="超链接 2 2 2 4 3" xfId="2012" xr:uid="{00000000-0005-0000-0000-0000E0070000}"/>
    <cellStyle name="超链接 2 2 2 5" xfId="2013" xr:uid="{00000000-0005-0000-0000-0000E1070000}"/>
    <cellStyle name="超链接 2 2 3" xfId="2014" xr:uid="{00000000-0005-0000-0000-0000E2070000}"/>
    <cellStyle name="超链接 2 2 3 2" xfId="2015" xr:uid="{00000000-0005-0000-0000-0000E3070000}"/>
    <cellStyle name="超链接 2 2 3 2 2" xfId="2016" xr:uid="{00000000-0005-0000-0000-0000E4070000}"/>
    <cellStyle name="超链接 2 2 3 2 2 2" xfId="2017" xr:uid="{00000000-0005-0000-0000-0000E5070000}"/>
    <cellStyle name="超链接 2 2 3 2 2 2 2" xfId="2018" xr:uid="{00000000-0005-0000-0000-0000E6070000}"/>
    <cellStyle name="超链接 2 2 3 2 2 3" xfId="2019" xr:uid="{00000000-0005-0000-0000-0000E7070000}"/>
    <cellStyle name="超链接 2 2 3 2 3" xfId="2020" xr:uid="{00000000-0005-0000-0000-0000E8070000}"/>
    <cellStyle name="超链接 2 2 3 3" xfId="2021" xr:uid="{00000000-0005-0000-0000-0000E9070000}"/>
    <cellStyle name="超链接 2 2 3 3 2" xfId="2022" xr:uid="{00000000-0005-0000-0000-0000EA070000}"/>
    <cellStyle name="超链接 2 2 3 3 2 2" xfId="2023" xr:uid="{00000000-0005-0000-0000-0000EB070000}"/>
    <cellStyle name="超链接 2 2 3 3 3" xfId="2024" xr:uid="{00000000-0005-0000-0000-0000EC070000}"/>
    <cellStyle name="超链接 2 2 3 4" xfId="2025" xr:uid="{00000000-0005-0000-0000-0000ED070000}"/>
    <cellStyle name="超链接 2 2 4" xfId="2026" xr:uid="{00000000-0005-0000-0000-0000EE070000}"/>
    <cellStyle name="超链接 2 2 4 2" xfId="2027" xr:uid="{00000000-0005-0000-0000-0000EF070000}"/>
    <cellStyle name="超链接 2 2 4 2 2" xfId="2028" xr:uid="{00000000-0005-0000-0000-0000F0070000}"/>
    <cellStyle name="超链接 2 2 4 3" xfId="2029" xr:uid="{00000000-0005-0000-0000-0000F1070000}"/>
    <cellStyle name="超链接 2 2 5" xfId="2030" xr:uid="{00000000-0005-0000-0000-0000F2070000}"/>
    <cellStyle name="超链接 2 3" xfId="2031" xr:uid="{00000000-0005-0000-0000-0000F3070000}"/>
    <cellStyle name="超链接 2 3 2" xfId="2032" xr:uid="{00000000-0005-0000-0000-0000F4070000}"/>
    <cellStyle name="超链接 2 3 2 2" xfId="2033" xr:uid="{00000000-0005-0000-0000-0000F5070000}"/>
    <cellStyle name="超链接 2 3 2 2 2" xfId="2034" xr:uid="{00000000-0005-0000-0000-0000F6070000}"/>
    <cellStyle name="超链接 2 3 2 2 2 2" xfId="2035" xr:uid="{00000000-0005-0000-0000-0000F7070000}"/>
    <cellStyle name="超链接 2 3 2 2 3" xfId="2036" xr:uid="{00000000-0005-0000-0000-0000F8070000}"/>
    <cellStyle name="超链接 2 3 2 3" xfId="2037" xr:uid="{00000000-0005-0000-0000-0000F9070000}"/>
    <cellStyle name="超链接 2 3 3" xfId="2038" xr:uid="{00000000-0005-0000-0000-0000FA070000}"/>
    <cellStyle name="超链接 2 3 3 2" xfId="2039" xr:uid="{00000000-0005-0000-0000-0000FB070000}"/>
    <cellStyle name="超链接 2 3 3 2 2" xfId="2040" xr:uid="{00000000-0005-0000-0000-0000FC070000}"/>
    <cellStyle name="超链接 2 3 3 2 2 2" xfId="2041" xr:uid="{00000000-0005-0000-0000-0000FD070000}"/>
    <cellStyle name="超链接 2 3 3 2 2 2 2" xfId="2042" xr:uid="{00000000-0005-0000-0000-0000FE070000}"/>
    <cellStyle name="超链接 2 3 3 2 2 3" xfId="2043" xr:uid="{00000000-0005-0000-0000-0000FF070000}"/>
    <cellStyle name="超链接 2 3 3 2 3" xfId="2044" xr:uid="{00000000-0005-0000-0000-000000080000}"/>
    <cellStyle name="超链接 2 3 3 3" xfId="2045" xr:uid="{00000000-0005-0000-0000-000001080000}"/>
    <cellStyle name="超链接 2 3 3 3 2" xfId="2046" xr:uid="{00000000-0005-0000-0000-000002080000}"/>
    <cellStyle name="超链接 2 3 3 3 2 2" xfId="2047" xr:uid="{00000000-0005-0000-0000-000003080000}"/>
    <cellStyle name="超链接 2 3 3 3 3" xfId="2048" xr:uid="{00000000-0005-0000-0000-000004080000}"/>
    <cellStyle name="超链接 2 3 3 4" xfId="2049" xr:uid="{00000000-0005-0000-0000-000005080000}"/>
    <cellStyle name="超链接 2 3 4" xfId="2050" xr:uid="{00000000-0005-0000-0000-000006080000}"/>
    <cellStyle name="超链接 2 3 4 2" xfId="2051" xr:uid="{00000000-0005-0000-0000-000007080000}"/>
    <cellStyle name="超链接 2 3 4 2 2" xfId="2052" xr:uid="{00000000-0005-0000-0000-000008080000}"/>
    <cellStyle name="超链接 2 3 4 3" xfId="2053" xr:uid="{00000000-0005-0000-0000-000009080000}"/>
    <cellStyle name="超链接 2 3 5" xfId="2054" xr:uid="{00000000-0005-0000-0000-00000A080000}"/>
    <cellStyle name="超链接 2 4" xfId="2055" xr:uid="{00000000-0005-0000-0000-00000B080000}"/>
    <cellStyle name="超链接 2 4 2" xfId="2056" xr:uid="{00000000-0005-0000-0000-00000C080000}"/>
    <cellStyle name="超链接 2 4 2 2" xfId="2057" xr:uid="{00000000-0005-0000-0000-00000D080000}"/>
    <cellStyle name="超链接 2 4 2 2 2" xfId="2058" xr:uid="{00000000-0005-0000-0000-00000E080000}"/>
    <cellStyle name="超链接 2 4 2 2 2 2" xfId="2059" xr:uid="{00000000-0005-0000-0000-00000F080000}"/>
    <cellStyle name="超链接 2 4 2 2 3" xfId="2060" xr:uid="{00000000-0005-0000-0000-000010080000}"/>
    <cellStyle name="超链接 2 4 2 3" xfId="2061" xr:uid="{00000000-0005-0000-0000-000011080000}"/>
    <cellStyle name="超链接 2 4 3" xfId="2062" xr:uid="{00000000-0005-0000-0000-000012080000}"/>
    <cellStyle name="超链接 2 4 3 2" xfId="2063" xr:uid="{00000000-0005-0000-0000-000013080000}"/>
    <cellStyle name="超链接 2 4 3 2 2" xfId="2064" xr:uid="{00000000-0005-0000-0000-000014080000}"/>
    <cellStyle name="超链接 2 4 3 3" xfId="2065" xr:uid="{00000000-0005-0000-0000-000015080000}"/>
    <cellStyle name="超链接 2 4 4" xfId="2066" xr:uid="{00000000-0005-0000-0000-000016080000}"/>
    <cellStyle name="超链接 2 5" xfId="2067" xr:uid="{00000000-0005-0000-0000-000017080000}"/>
    <cellStyle name="超链接 2 5 2" xfId="2068" xr:uid="{00000000-0005-0000-0000-000018080000}"/>
    <cellStyle name="超链接 2 5 2 2" xfId="2069" xr:uid="{00000000-0005-0000-0000-000019080000}"/>
    <cellStyle name="超链接 2 5 3" xfId="2070" xr:uid="{00000000-0005-0000-0000-00001A080000}"/>
    <cellStyle name="超链接 2 6" xfId="2071" xr:uid="{00000000-0005-0000-0000-00001B080000}"/>
  </cellStyles>
  <dxfs count="67">
    <dxf>
      <fill>
        <patternFill>
          <bgColor theme="0"/>
        </patternFill>
      </fill>
      <border>
        <left/>
        <right/>
        <top/>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FF0000"/>
      </font>
      <fill>
        <gradientFill type="path" left="0.5" right="0.5" top="0.5" bottom="0.5">
          <stop position="0">
            <color rgb="FFFFFF00"/>
          </stop>
          <stop position="1">
            <color theme="9" tint="0.80001220740379042"/>
          </stop>
        </gradientFill>
      </fill>
      <border>
        <left style="thin">
          <color theme="0" tint="-0.14996795556505021"/>
        </left>
        <right style="thin">
          <color theme="0" tint="-0.14996795556505021"/>
        </right>
        <top style="thin">
          <color auto="1"/>
        </top>
        <bottom style="thin">
          <color auto="1"/>
        </bottom>
      </border>
    </dxf>
    <dxf>
      <font>
        <color rgb="FF9C0006"/>
      </font>
      <fill>
        <patternFill>
          <bgColor rgb="FFFFC7CE"/>
        </patternFill>
      </fill>
    </dxf>
    <dxf>
      <font>
        <b/>
        <i val="0"/>
        <color rgb="FFFF0000"/>
      </font>
      <fill>
        <patternFill>
          <bgColor rgb="FFFFFF00"/>
        </patternFill>
      </fill>
      <border>
        <left style="dashed">
          <color rgb="FFFF0000"/>
        </left>
        <right style="dashed">
          <color rgb="FFFF0000"/>
        </right>
        <top style="dashed">
          <color rgb="FFFF0000"/>
        </top>
        <bottom style="dashed">
          <color rgb="FFFF0000"/>
        </bottom>
        <vertical/>
        <horizontal/>
      </border>
    </dxf>
    <dxf>
      <font>
        <b val="0"/>
        <i/>
        <strike/>
        <color theme="0" tint="-0.14993743705557422"/>
      </font>
      <fill>
        <patternFill>
          <bgColor theme="0"/>
        </patternFill>
      </fill>
    </dxf>
    <dxf>
      <font>
        <b/>
        <i val="0"/>
      </font>
      <fill>
        <gradientFill>
          <stop position="0">
            <color rgb="FFF0F4F0"/>
          </stop>
          <stop position="0.5">
            <color rgb="FFF4D7A1"/>
          </stop>
          <stop position="1">
            <color rgb="FFF0F4F0"/>
          </stop>
        </gradientFill>
      </fill>
      <border>
        <left style="hair">
          <color rgb="FFC46A3A"/>
        </left>
        <right style="hair">
          <color rgb="FFC46A3A"/>
        </right>
        <top style="hair">
          <color rgb="FFC46A3A"/>
        </top>
        <bottom style="hair">
          <color rgb="FFC46A3A"/>
        </bottom>
      </border>
    </dxf>
    <dxf>
      <font>
        <b val="0"/>
        <i/>
        <color rgb="FFFF0000"/>
      </font>
      <fill>
        <gradientFill type="path" left="0.5" right="0.5" top="0.5" bottom="0.5">
          <stop position="0">
            <color theme="0"/>
          </stop>
          <stop position="1">
            <color theme="9" tint="0.80001220740379042"/>
          </stop>
        </gradientFill>
      </fill>
      <border>
        <left style="hair">
          <color rgb="FFC46A3A"/>
        </left>
        <right style="hair">
          <color rgb="FFC46A3A"/>
        </right>
        <top style="hair">
          <color rgb="FFC46A3A"/>
        </top>
        <bottom style="hair">
          <color rgb="FFC46A3A"/>
        </bottom>
      </border>
    </dxf>
    <dxf>
      <font>
        <color rgb="FFFF0000"/>
      </font>
      <border>
        <left style="hair">
          <color rgb="FFC46A3A"/>
        </left>
        <right style="hair">
          <color rgb="FFC46A3A"/>
        </right>
        <top style="hair">
          <color rgb="FFC46A3A"/>
        </top>
        <bottom style="hair">
          <color rgb="FFC46A3A"/>
        </bottom>
      </border>
    </dxf>
    <dxf>
      <font>
        <b/>
        <i/>
      </font>
      <fill>
        <gradientFill type="path" left="0.5" right="0.5" top="0.5" bottom="0.5">
          <stop position="0">
            <color rgb="FF008000"/>
          </stop>
          <stop position="1">
            <color rgb="FFE3F3D1"/>
          </stop>
        </gradientFill>
      </fill>
      <border>
        <left style="thin">
          <color rgb="FFD9D9D9"/>
        </left>
        <right style="thin">
          <color rgb="FFD9D9D9"/>
        </right>
        <top style="thin">
          <color rgb="FFD9D9D9"/>
        </top>
        <bottom style="thin">
          <color rgb="FFD9D9D9"/>
        </bottom>
      </border>
    </dxf>
    <dxf>
      <font>
        <b/>
        <i/>
        <color rgb="FFFF0000"/>
      </font>
      <fill>
        <gradientFill type="path" left="0.5" right="0.5" top="0.5" bottom="0.5">
          <stop position="0">
            <color rgb="FFFFFF00"/>
          </stop>
          <stop position="1">
            <color theme="9" tint="0.80001220740379042"/>
          </stop>
        </gradientFill>
      </fill>
      <border>
        <left style="thin">
          <color theme="0" tint="-0.14993743705557422"/>
        </left>
        <right style="thin">
          <color theme="0" tint="-0.14993743705557422"/>
        </right>
        <top style="thin">
          <color theme="0" tint="-0.14993743705557422"/>
        </top>
        <bottom style="thin">
          <color theme="0" tint="-0.14993743705557422"/>
        </bottom>
      </border>
    </dxf>
    <dxf>
      <font>
        <b/>
        <i val="0"/>
      </font>
      <fill>
        <gradientFill type="path" left="0.5" right="0.5" top="0.5" bottom="0.5">
          <stop position="0">
            <color theme="9"/>
          </stop>
          <stop position="1">
            <color theme="9" tint="0.80001220740379042"/>
          </stop>
        </gradientFill>
      </fill>
      <border>
        <left style="hair">
          <color rgb="FFC46A3A"/>
        </left>
        <right style="hair">
          <color rgb="FFC46A3A"/>
        </right>
        <top style="hair">
          <color rgb="FFC46A3A"/>
        </top>
        <bottom style="hair">
          <color rgb="FFC46A3A"/>
        </bottom>
      </border>
    </dxf>
    <dxf>
      <fill>
        <gradientFill type="path" left="0.5" right="0.5" top="0.5" bottom="0.5">
          <stop position="0">
            <color rgb="FFFFFF00"/>
          </stop>
          <stop position="1">
            <color theme="0"/>
          </stop>
        </gradientFill>
      </fill>
      <border>
        <left style="hair">
          <color rgb="FFC46A3A"/>
        </left>
        <right style="hair">
          <color rgb="FFC46A3A"/>
        </right>
        <top style="hair">
          <color rgb="FFC46A3A"/>
        </top>
        <bottom style="hair">
          <color rgb="FFC46A3A"/>
        </bottom>
      </border>
    </dxf>
    <dxf>
      <font>
        <b/>
        <i val="0"/>
        <color auto="1"/>
      </font>
      <fill>
        <gradientFill type="path" left="0.5" right="0.5" top="0.5" bottom="0.5">
          <stop position="0">
            <color rgb="FFFF7575"/>
          </stop>
          <stop position="1">
            <color theme="5" tint="0.80001220740379042"/>
          </stop>
        </gradientFill>
      </fill>
      <border>
        <left style="hair">
          <color rgb="FFC46A3A"/>
        </left>
        <right style="hair">
          <color rgb="FFC46A3A"/>
        </right>
        <top style="hair">
          <color rgb="FFC46A3A"/>
        </top>
        <bottom style="hair">
          <color rgb="FFC46A3A"/>
        </bottom>
      </border>
    </dxf>
    <dxf>
      <font>
        <color rgb="FF9C0006"/>
      </font>
      <fill>
        <patternFill>
          <bgColor rgb="FFFFC7CE"/>
        </patternFill>
      </fill>
    </dxf>
    <dxf>
      <font>
        <b val="0"/>
        <i/>
        <strike/>
        <color theme="0" tint="-0.34998626667073579"/>
      </font>
      <fill>
        <patternFill>
          <bgColor theme="1"/>
        </patternFill>
      </fill>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2" formatCode="0.00"/>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1" formatCode="0"/>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1" formatCode="0"/>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19" formatCode="dd/mm/yyyy"/>
      <fill>
        <patternFill patternType="solid">
          <fgColor indexed="64"/>
          <bgColor theme="0" tint="-4.9989318521683403E-2"/>
        </patternFill>
      </fill>
      <alignment horizontal="center" vertical="bottom" textRotation="0" wrapText="0" indent="0" justifyLastLine="0" shrinkToFit="1" readingOrder="1"/>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border diagonalUp="0" diagonalDown="0">
        <top style="thin">
          <color theme="0" tint="-0.14990691854609822"/>
        </top>
        <bottom style="thin">
          <color theme="0" tint="-0.14990691854609822"/>
        </bottom>
        <horizontal style="thin">
          <color theme="0" tint="-0.14990691854609822"/>
        </horizontal>
      </border>
    </dxf>
    <dxf>
      <font>
        <b val="0"/>
        <i val="0"/>
        <strike val="0"/>
        <condense val="0"/>
        <extend val="0"/>
        <outline val="0"/>
        <shadow val="0"/>
        <u val="none"/>
        <vertAlign val="baseline"/>
        <sz val="8"/>
        <color auto="1"/>
        <name val="Arial"/>
        <family val="2"/>
        <charset val="238"/>
        <scheme val="none"/>
      </font>
      <fill>
        <patternFill patternType="solid">
          <fgColor indexed="64"/>
          <bgColor theme="1"/>
        </patternFill>
      </fill>
      <alignment horizontal="center" vertical="bottom" textRotation="0" wrapText="0" indent="0" justifyLastLine="0" shrinkToFit="1" readingOrder="1"/>
      <border diagonalUp="0" diagonalDown="0">
        <left style="thin">
          <color indexed="64"/>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border diagonalUp="0" diagonalDown="0">
        <top style="thin">
          <color theme="0" tint="-0.14990691854609822"/>
        </top>
        <bottom style="thin">
          <color theme="0" tint="-0.14990691854609822"/>
        </bottom>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border diagonalUp="0" diagonalDown="0">
        <top style="thin">
          <color theme="0" tint="-0.14990691854609822"/>
        </top>
        <bottom style="thin">
          <color theme="0" tint="-0.14990691854609822"/>
        </bottom>
        <horizontal style="thin">
          <color theme="0" tint="-0.14990691854609822"/>
        </horizontal>
      </border>
    </dxf>
    <dxf>
      <font>
        <b/>
        <i val="0"/>
        <strike val="0"/>
        <condense val="0"/>
        <extend val="0"/>
        <outline val="0"/>
        <shadow val="0"/>
        <u val="none"/>
        <vertAlign val="baseline"/>
        <sz val="8"/>
        <color auto="1"/>
        <name val="Arial"/>
        <family val="2"/>
        <charset val="238"/>
        <scheme val="none"/>
      </font>
      <numFmt numFmtId="2" formatCode="0.00"/>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i val="0"/>
        <strike val="0"/>
        <condense val="0"/>
        <extend val="0"/>
        <outline val="0"/>
        <shadow val="0"/>
        <u val="none"/>
        <vertAlign val="baseline"/>
        <sz val="8"/>
        <color auto="1"/>
        <name val="Arial"/>
        <family val="2"/>
        <charset val="238"/>
        <scheme val="none"/>
      </font>
      <numFmt numFmtId="1" formatCode="0"/>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1" formatCode="0"/>
      <fill>
        <patternFill patternType="solid">
          <fgColor indexed="64"/>
          <bgColor theme="0" tint="-4.9989318521683403E-2"/>
        </patternFill>
      </fill>
      <alignment horizontal="center" vertical="center"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border diagonalUp="0" diagonalDown="0">
        <top style="thin">
          <color theme="0" tint="-0.14990691854609822"/>
        </top>
        <bottom style="thin">
          <color theme="0" tint="-0.14990691854609822"/>
        </bottom>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left" vertical="bottom" textRotation="0" wrapText="0" indent="0" justifyLastLine="0" shrinkToFit="1" readingOrder="0"/>
      <border diagonalUp="0" diagonalDown="0">
        <left style="thin">
          <color theme="0" tint="-0.14996795556505021"/>
        </left>
        <right/>
        <top style="thin">
          <color theme="0" tint="-0.14990691854609822"/>
        </top>
        <bottom style="thin">
          <color theme="0" tint="-0.14990691854609822"/>
        </bottom>
        <vertical/>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left" vertical="center" textRotation="0" wrapText="0" indent="0" justifyLastLine="0" shrinkToFit="1" readingOrder="0"/>
      <border diagonalUp="0" diagonalDown="0">
        <left style="thin">
          <color indexed="64"/>
        </left>
        <right/>
        <top style="thin">
          <color theme="0" tint="-0.14990691854609822"/>
        </top>
        <bottom style="thin">
          <color theme="0" tint="-0.14990691854609822"/>
        </bottom>
        <vertical/>
        <horizontal style="thin">
          <color theme="0" tint="-0.14990691854609822"/>
        </horizontal>
      </border>
    </dxf>
    <dxf>
      <border diagonalUp="0" diagonalDown="0">
        <top style="thin">
          <color theme="0" tint="-0.14990691854609822"/>
        </top>
        <bottom style="thin">
          <color theme="0" tint="-0.14990691854609822"/>
        </bottom>
        <horizontal style="thin">
          <color theme="0" tint="-0.14990691854609822"/>
        </horizontal>
      </border>
    </dxf>
    <dxf>
      <font>
        <b val="0"/>
        <i val="0"/>
        <strike val="0"/>
        <condense val="0"/>
        <extend val="0"/>
        <outline val="0"/>
        <shadow val="0"/>
        <u val="none"/>
        <vertAlign val="baseline"/>
        <sz val="8"/>
        <color auto="1"/>
        <name val="Arial"/>
        <family val="2"/>
        <charset val="238"/>
        <scheme val="none"/>
      </font>
      <numFmt numFmtId="0" formatCode="General"/>
      <fill>
        <patternFill patternType="solid">
          <fgColor indexed="64"/>
          <bgColor theme="0" tint="-4.9989318521683403E-2"/>
        </patternFill>
      </fill>
      <alignment horizontal="center" vertical="center" textRotation="0" wrapText="0" indent="0" justifyLastLine="0" shrinkToFit="1" readingOrder="0"/>
      <border diagonalUp="0" diagonalDown="0">
        <left/>
        <right/>
        <top style="thin">
          <color theme="0" tint="-0.14990691854609822"/>
        </top>
        <bottom style="thin">
          <color theme="0" tint="-0.14990691854609822"/>
        </bottom>
        <vertical/>
        <horizontal style="thin">
          <color theme="0" tint="-0.14990691854609822"/>
        </horizontal>
      </border>
    </dxf>
    <dxf>
      <border diagonalUp="0" diagonalDown="0">
        <left/>
        <right style="medium">
          <color rgb="FFC46A3A"/>
        </right>
        <bottom style="medium">
          <color rgb="FFC46A3A"/>
        </bottom>
      </border>
    </dxf>
    <dxf>
      <font>
        <b val="0"/>
        <i val="0"/>
        <strike val="0"/>
        <condense val="0"/>
        <extend val="0"/>
        <outline val="0"/>
        <shadow val="0"/>
        <u val="none"/>
        <vertAlign val="baseline"/>
        <sz val="8"/>
        <color auto="1"/>
        <name val="Arial"/>
        <family val="2"/>
        <charset val="238"/>
        <scheme val="none"/>
      </font>
      <fill>
        <patternFill patternType="solid">
          <fgColor indexed="64"/>
          <bgColor theme="0" tint="-4.9989318521683403E-2"/>
        </patternFill>
      </fill>
      <alignment horizontal="center" vertical="bottom" textRotation="0" wrapText="0" indent="0" justifyLastLine="0" shrinkToFit="1" readingOrder="0"/>
    </dxf>
    <dxf>
      <font>
        <b/>
        <i val="0"/>
        <strike val="0"/>
        <condense val="0"/>
        <extend val="0"/>
        <outline val="0"/>
        <shadow val="0"/>
        <u val="none"/>
        <vertAlign val="baseline"/>
        <sz val="8"/>
        <color rgb="FF2B2B2B"/>
        <name val="Arial"/>
        <family val="2"/>
        <charset val="238"/>
        <scheme val="none"/>
      </font>
      <fill>
        <patternFill patternType="solid">
          <fgColor indexed="64"/>
          <bgColor rgb="FF2B2B2B"/>
        </patternFill>
      </fill>
      <alignment horizontal="center" vertical="center" textRotation="0" wrapText="0" indent="0" justifyLastLine="0" shrinkToFit="1" readingOrder="0"/>
      <border diagonalUp="0" diagonalDown="0">
        <left style="thin">
          <color theme="1"/>
        </left>
        <right style="thin">
          <color theme="1"/>
        </right>
        <top/>
        <bottom/>
        <vertical style="thin">
          <color theme="1"/>
        </vertical>
        <horizontal/>
      </border>
    </dxf>
    <dxf>
      <fill>
        <patternFill>
          <bgColor theme="0" tint="-4.9989318521683403E-2"/>
        </patternFill>
      </fill>
    </dxf>
    <dxf>
      <fill>
        <patternFill>
          <bgColor theme="0"/>
        </patternFill>
      </fill>
    </dxf>
    <dxf>
      <border>
        <left style="thin">
          <color auto="1"/>
        </left>
        <right style="double">
          <color auto="1"/>
        </right>
        <top style="thin">
          <color auto="1"/>
        </top>
        <bottom style="double">
          <color auto="1"/>
        </bottom>
        <vertical/>
        <horizontal style="thin">
          <color theme="1"/>
        </horizontal>
      </border>
    </dxf>
  </dxfs>
  <tableStyles count="1" defaultTableStyle="TableStyleMedium2" defaultPivotStyle="PivotStyleLight16">
    <tableStyle name="Styl tabulky 1" pivot="0" count="3" xr9:uid="{D2A272DF-BA90-4EE7-974B-D53BDB8D5C6A}">
      <tableStyleElement type="wholeTable" dxfId="66"/>
      <tableStyleElement type="firstRowStripe" dxfId="65"/>
      <tableStyleElement type="secondRowStripe" dxfId="64"/>
    </tableStyle>
  </tableStyles>
  <colors>
    <mruColors>
      <color rgb="FFF5F5F5"/>
      <color rgb="FF2B2B2B"/>
      <color rgb="FFFFFFFF"/>
      <color rgb="FFCF865D"/>
      <color rgb="FF8A3F1F"/>
      <color rgb="FFF0F4F0"/>
      <color rgb="FFF4D7A1"/>
      <color rgb="FFC46A3A"/>
      <color rgb="FFDDE5DD"/>
      <color rgb="FFC7F5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fmlaLink="$AI$1"/>
</file>

<file path=xl/ctrlProps/ctrlProp10.xml><?xml version="1.0" encoding="utf-8"?>
<formControlPr xmlns="http://schemas.microsoft.com/office/spreadsheetml/2009/9/main" objectType="Radio" noThreeD="1"/>
</file>

<file path=xl/ctrlProps/ctrlProp11.xml><?xml version="1.0" encoding="utf-8"?>
<formControlPr xmlns="http://schemas.microsoft.com/office/spreadsheetml/2009/9/main" objectType="Radio" noThreeD="1"/>
</file>

<file path=xl/ctrlProps/ctrlProp12.xml><?xml version="1.0" encoding="utf-8"?>
<formControlPr xmlns="http://schemas.microsoft.com/office/spreadsheetml/2009/9/main" objectType="Radio" noThreeD="1"/>
</file>

<file path=xl/ctrlProps/ctrlProp13.xml><?xml version="1.0" encoding="utf-8"?>
<formControlPr xmlns="http://schemas.microsoft.com/office/spreadsheetml/2009/9/main" objectType="Radio" noThreeD="1"/>
</file>

<file path=xl/ctrlProps/ctrlProp14.xml><?xml version="1.0" encoding="utf-8"?>
<formControlPr xmlns="http://schemas.microsoft.com/office/spreadsheetml/2009/9/main" objectType="Radio" noThreeD="1"/>
</file>

<file path=xl/ctrlProps/ctrlProp2.xml><?xml version="1.0" encoding="utf-8"?>
<formControlPr xmlns="http://schemas.microsoft.com/office/spreadsheetml/2009/9/main" objectType="Drop" dropLines="2" dropStyle="combo" dx="22" fmlaLink="$AC$6" fmlaRange="$AC$4:$AC$5" sel="2" val="0"/>
</file>

<file path=xl/ctrlProps/ctrlProp3.xml><?xml version="1.0" encoding="utf-8"?>
<formControlPr xmlns="http://schemas.microsoft.com/office/spreadsheetml/2009/9/main" objectType="Radio" checked="Checked" firstButton="1" fmlaLink="$AC$7" noThreeD="1"/>
</file>

<file path=xl/ctrlProps/ctrlProp4.xml><?xml version="1.0" encoding="utf-8"?>
<formControlPr xmlns="http://schemas.microsoft.com/office/spreadsheetml/2009/9/main" objectType="Radio" noThreeD="1"/>
</file>

<file path=xl/ctrlProps/ctrlProp5.xml><?xml version="1.0" encoding="utf-8"?>
<formControlPr xmlns="http://schemas.microsoft.com/office/spreadsheetml/2009/9/main" objectType="Radio" noThreeD="1"/>
</file>

<file path=xl/ctrlProps/ctrlProp6.xml><?xml version="1.0" encoding="utf-8"?>
<formControlPr xmlns="http://schemas.microsoft.com/office/spreadsheetml/2009/9/main" objectType="Radio" noThreeD="1"/>
</file>

<file path=xl/ctrlProps/ctrlProp7.xml><?xml version="1.0" encoding="utf-8"?>
<formControlPr xmlns="http://schemas.microsoft.com/office/spreadsheetml/2009/9/main" objectType="Radio" noThreeD="1"/>
</file>

<file path=xl/ctrlProps/ctrlProp8.xml><?xml version="1.0" encoding="utf-8"?>
<formControlPr xmlns="http://schemas.microsoft.com/office/spreadsheetml/2009/9/main" objectType="Radio" noThreeD="1"/>
</file>

<file path=xl/ctrlProps/ctrlProp9.xml><?xml version="1.0" encoding="utf-8"?>
<formControlPr xmlns="http://schemas.microsoft.com/office/spreadsheetml/2009/9/main" objectType="Radio" noThreeD="1"/>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media/image14.png"/><Relationship Id="rId26" Type="http://schemas.openxmlformats.org/officeDocument/2006/relationships/image" Target="../media/image22.emf"/><Relationship Id="rId3" Type="http://schemas.openxmlformats.org/officeDocument/2006/relationships/image" Target="../media/image2.emf"/><Relationship Id="rId21" Type="http://schemas.openxmlformats.org/officeDocument/2006/relationships/image" Target="../media/image17.png"/><Relationship Id="rId7" Type="http://schemas.openxmlformats.org/officeDocument/2006/relationships/hyperlink" Target="https://youtu.be/7sRS-jRmeBw" TargetMode="External"/><Relationship Id="rId12" Type="http://schemas.openxmlformats.org/officeDocument/2006/relationships/image" Target="../media/image10.png"/><Relationship Id="rId17" Type="http://schemas.openxmlformats.org/officeDocument/2006/relationships/hyperlink" Target="https://www.klasektrading.cz/ger/so-nutzen-sie-unsere-interaktive-preisliste" TargetMode="External"/><Relationship Id="rId25" Type="http://schemas.openxmlformats.org/officeDocument/2006/relationships/image" Target="../media/image21.png"/><Relationship Id="rId2" Type="http://schemas.openxmlformats.org/officeDocument/2006/relationships/hyperlink" Target="https://www.klasektrading.cz/jak-pouzivat-nas-interaktivni-cenik" TargetMode="External"/><Relationship Id="rId16" Type="http://schemas.openxmlformats.org/officeDocument/2006/relationships/image" Target="../media/image13.png"/><Relationship Id="rId20"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5.emf"/><Relationship Id="rId11" Type="http://schemas.openxmlformats.org/officeDocument/2006/relationships/image" Target="../media/image9.png"/><Relationship Id="rId24" Type="http://schemas.openxmlformats.org/officeDocument/2006/relationships/image" Target="../media/image20.png"/><Relationship Id="rId5" Type="http://schemas.openxmlformats.org/officeDocument/2006/relationships/image" Target="../media/image4.emf"/><Relationship Id="rId15" Type="http://schemas.openxmlformats.org/officeDocument/2006/relationships/hyperlink" Target="https://www.klasektrading.cz/eng/how-to-use-our-interactive-price-list" TargetMode="External"/><Relationship Id="rId23" Type="http://schemas.openxmlformats.org/officeDocument/2006/relationships/image" Target="../media/image19.png"/><Relationship Id="rId10" Type="http://schemas.openxmlformats.org/officeDocument/2006/relationships/image" Target="../media/image8.emf"/><Relationship Id="rId19" Type="http://schemas.openxmlformats.org/officeDocument/2006/relationships/image" Target="../media/image15.emf"/><Relationship Id="rId4" Type="http://schemas.openxmlformats.org/officeDocument/2006/relationships/image" Target="../media/image3.emf"/><Relationship Id="rId9" Type="http://schemas.openxmlformats.org/officeDocument/2006/relationships/image" Target="../media/image7.png"/><Relationship Id="rId14" Type="http://schemas.openxmlformats.org/officeDocument/2006/relationships/image" Target="../media/image12.png"/><Relationship Id="rId22"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jpg"/></Relationships>
</file>

<file path=xl/drawings/_rels/vmlDrawing1.vml.rels><?xml version="1.0" encoding="UTF-8" standalone="yes"?>
<Relationships xmlns="http://schemas.openxmlformats.org/package/2006/relationships"><Relationship Id="rId8" Type="http://schemas.openxmlformats.org/officeDocument/2006/relationships/image" Target="../media/image30.emf"/><Relationship Id="rId3" Type="http://schemas.openxmlformats.org/officeDocument/2006/relationships/image" Target="../media/image25.emf"/><Relationship Id="rId7" Type="http://schemas.openxmlformats.org/officeDocument/2006/relationships/image" Target="../media/image29.emf"/><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emf"/><Relationship Id="rId5" Type="http://schemas.openxmlformats.org/officeDocument/2006/relationships/image" Target="../media/image27.emf"/><Relationship Id="rId10" Type="http://schemas.openxmlformats.org/officeDocument/2006/relationships/image" Target="../media/image32.emf"/><Relationship Id="rId4" Type="http://schemas.openxmlformats.org/officeDocument/2006/relationships/image" Target="../media/image26.emf"/><Relationship Id="rId9" Type="http://schemas.openxmlformats.org/officeDocument/2006/relationships/image" Target="../media/image3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21</xdr:col>
      <xdr:colOff>381000</xdr:colOff>
      <xdr:row>989</xdr:row>
      <xdr:rowOff>4430</xdr:rowOff>
    </xdr:from>
    <xdr:to>
      <xdr:col>25</xdr:col>
      <xdr:colOff>101334</xdr:colOff>
      <xdr:row>989</xdr:row>
      <xdr:rowOff>74084</xdr:rowOff>
    </xdr:to>
    <xdr:sp macro="" textlink="">
      <xdr:nvSpPr>
        <xdr:cNvPr id="6" name="Obdélník 5">
          <a:extLst>
            <a:ext uri="{FF2B5EF4-FFF2-40B4-BE49-F238E27FC236}">
              <a16:creationId xmlns:a16="http://schemas.microsoft.com/office/drawing/2014/main" id="{00000000-0008-0000-0000-000006000000}"/>
            </a:ext>
          </a:extLst>
        </xdr:cNvPr>
        <xdr:cNvSpPr/>
      </xdr:nvSpPr>
      <xdr:spPr>
        <a:xfrm flipV="1">
          <a:off x="12562417" y="230424763"/>
          <a:ext cx="4250000" cy="69654"/>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21</xdr:col>
      <xdr:colOff>276225</xdr:colOff>
      <xdr:row>986</xdr:row>
      <xdr:rowOff>89297</xdr:rowOff>
    </xdr:from>
    <xdr:to>
      <xdr:col>21</xdr:col>
      <xdr:colOff>276225</xdr:colOff>
      <xdr:row>989</xdr:row>
      <xdr:rowOff>5953</xdr:rowOff>
    </xdr:to>
    <xdr:sp macro="" textlink="">
      <xdr:nvSpPr>
        <xdr:cNvPr id="20" name="Obdélník 19">
          <a:extLst>
            <a:ext uri="{FF2B5EF4-FFF2-40B4-BE49-F238E27FC236}">
              <a16:creationId xmlns:a16="http://schemas.microsoft.com/office/drawing/2014/main" id="{00000000-0008-0000-0000-000014000000}"/>
            </a:ext>
          </a:extLst>
        </xdr:cNvPr>
        <xdr:cNvSpPr/>
      </xdr:nvSpPr>
      <xdr:spPr>
        <a:xfrm>
          <a:off x="12271080" y="267719646"/>
          <a:ext cx="0" cy="592266"/>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22</xdr:col>
      <xdr:colOff>2847976</xdr:colOff>
      <xdr:row>986</xdr:row>
      <xdr:rowOff>152400</xdr:rowOff>
    </xdr:from>
    <xdr:to>
      <xdr:col>25</xdr:col>
      <xdr:colOff>107024</xdr:colOff>
      <xdr:row>989</xdr:row>
      <xdr:rowOff>5953</xdr:rowOff>
    </xdr:to>
    <xdr:sp macro="" textlink="">
      <xdr:nvSpPr>
        <xdr:cNvPr id="21" name="Obdélník 20">
          <a:extLst>
            <a:ext uri="{FF2B5EF4-FFF2-40B4-BE49-F238E27FC236}">
              <a16:creationId xmlns:a16="http://schemas.microsoft.com/office/drawing/2014/main" id="{00000000-0008-0000-0000-000015000000}"/>
            </a:ext>
          </a:extLst>
        </xdr:cNvPr>
        <xdr:cNvSpPr/>
      </xdr:nvSpPr>
      <xdr:spPr>
        <a:xfrm>
          <a:off x="15601951" y="234734100"/>
          <a:ext cx="116548" cy="529828"/>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21</xdr:col>
      <xdr:colOff>388306</xdr:colOff>
      <xdr:row>986</xdr:row>
      <xdr:rowOff>95250</xdr:rowOff>
    </xdr:from>
    <xdr:to>
      <xdr:col>25</xdr:col>
      <xdr:colOff>105833</xdr:colOff>
      <xdr:row>987</xdr:row>
      <xdr:rowOff>42801</xdr:rowOff>
    </xdr:to>
    <xdr:sp macro="" textlink="">
      <xdr:nvSpPr>
        <xdr:cNvPr id="22" name="Obdélník 21">
          <a:extLst>
            <a:ext uri="{FF2B5EF4-FFF2-40B4-BE49-F238E27FC236}">
              <a16:creationId xmlns:a16="http://schemas.microsoft.com/office/drawing/2014/main" id="{00000000-0008-0000-0000-000016000000}"/>
            </a:ext>
          </a:extLst>
        </xdr:cNvPr>
        <xdr:cNvSpPr/>
      </xdr:nvSpPr>
      <xdr:spPr>
        <a:xfrm>
          <a:off x="12569723" y="229944083"/>
          <a:ext cx="4247193" cy="138051"/>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22</xdr:col>
      <xdr:colOff>3256</xdr:colOff>
      <xdr:row>986</xdr:row>
      <xdr:rowOff>89297</xdr:rowOff>
    </xdr:from>
    <xdr:to>
      <xdr:col>22</xdr:col>
      <xdr:colOff>3256</xdr:colOff>
      <xdr:row>989</xdr:row>
      <xdr:rowOff>5953</xdr:rowOff>
    </xdr:to>
    <xdr:sp macro="" textlink="">
      <xdr:nvSpPr>
        <xdr:cNvPr id="48" name="Obdélník 47">
          <a:extLst>
            <a:ext uri="{FF2B5EF4-FFF2-40B4-BE49-F238E27FC236}">
              <a16:creationId xmlns:a16="http://schemas.microsoft.com/office/drawing/2014/main" id="{00000000-0008-0000-0000-000030000000}"/>
            </a:ext>
          </a:extLst>
        </xdr:cNvPr>
        <xdr:cNvSpPr/>
      </xdr:nvSpPr>
      <xdr:spPr>
        <a:xfrm>
          <a:off x="12275000" y="267719646"/>
          <a:ext cx="0" cy="592266"/>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mc:AlternateContent xmlns:mc="http://schemas.openxmlformats.org/markup-compatibility/2006">
    <mc:Choice xmlns:a14="http://schemas.microsoft.com/office/drawing/2010/main" Requires="a14">
      <xdr:twoCellAnchor editAs="oneCell">
        <xdr:from>
          <xdr:col>0</xdr:col>
          <xdr:colOff>8284</xdr:colOff>
          <xdr:row>4</xdr:row>
          <xdr:rowOff>30607</xdr:rowOff>
        </xdr:from>
        <xdr:to>
          <xdr:col>3</xdr:col>
          <xdr:colOff>10584</xdr:colOff>
          <xdr:row>11</xdr:row>
          <xdr:rowOff>63500</xdr:rowOff>
        </xdr:to>
        <xdr:pic>
          <xdr:nvPicPr>
            <xdr:cNvPr id="53" name="Obrázek 52">
              <a:extLst>
                <a:ext uri="{FF2B5EF4-FFF2-40B4-BE49-F238E27FC236}">
                  <a16:creationId xmlns:a16="http://schemas.microsoft.com/office/drawing/2014/main" id="{00000000-0008-0000-0000-000035000000}"/>
                </a:ext>
              </a:extLst>
            </xdr:cNvPr>
            <xdr:cNvPicPr>
              <a:picLocks noChangeAspect="1" noChangeArrowheads="1"/>
              <a:extLst>
                <a:ext uri="{84589F7E-364E-4C9E-8A38-B11213B215E9}">
                  <a14:cameraTool cellRange="HLAVIČKA!$BP$40:$BS$44" spid="_x0000_s446308"/>
                </a:ext>
              </a:extLst>
            </xdr:cNvPicPr>
          </xdr:nvPicPr>
          <xdr:blipFill>
            <a:blip xmlns:r="http://schemas.openxmlformats.org/officeDocument/2006/relationships" r:embed="rId1"/>
            <a:srcRect/>
            <a:stretch>
              <a:fillRect/>
            </a:stretch>
          </xdr:blipFill>
          <xdr:spPr bwMode="auto">
            <a:xfrm>
              <a:off x="8284" y="665607"/>
              <a:ext cx="1335800" cy="509143"/>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xdr:colOff>
          <xdr:row>8</xdr:row>
          <xdr:rowOff>124500</xdr:rowOff>
        </xdr:from>
        <xdr:to>
          <xdr:col>19</xdr:col>
          <xdr:colOff>190501</xdr:colOff>
          <xdr:row>11</xdr:row>
          <xdr:rowOff>143045</xdr:rowOff>
        </xdr:to>
        <xdr:pic>
          <xdr:nvPicPr>
            <xdr:cNvPr id="54" name="Obrázek 53">
              <a:hlinkClick xmlns:r="http://schemas.openxmlformats.org/officeDocument/2006/relationships" r:id="rId2"/>
              <a:extLst>
                <a:ext uri="{FF2B5EF4-FFF2-40B4-BE49-F238E27FC236}">
                  <a16:creationId xmlns:a16="http://schemas.microsoft.com/office/drawing/2014/main" id="{00000000-0008-0000-0000-000036000000}"/>
                </a:ext>
              </a:extLst>
            </xdr:cNvPr>
            <xdr:cNvPicPr>
              <a:picLocks noChangeAspect="1" noChangeArrowheads="1"/>
              <a:extLst>
                <a:ext uri="{84589F7E-364E-4C9E-8A38-B11213B215E9}">
                  <a14:cameraTool cellRange="HLAVIČKA!$BK$49" spid="_x0000_s446309"/>
                </a:ext>
              </a:extLst>
            </xdr:cNvPicPr>
          </xdr:nvPicPr>
          <xdr:blipFill>
            <a:blip xmlns:r="http://schemas.openxmlformats.org/officeDocument/2006/relationships" r:embed="rId3"/>
            <a:srcRect/>
            <a:stretch>
              <a:fillRect/>
            </a:stretch>
          </xdr:blipFill>
          <xdr:spPr bwMode="auto">
            <a:xfrm>
              <a:off x="10477501" y="1077000"/>
              <a:ext cx="899583" cy="17729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391583</xdr:colOff>
      <xdr:row>986</xdr:row>
      <xdr:rowOff>133349</xdr:rowOff>
    </xdr:from>
    <xdr:to>
      <xdr:col>22</xdr:col>
      <xdr:colOff>0</xdr:colOff>
      <xdr:row>989</xdr:row>
      <xdr:rowOff>28575</xdr:rowOff>
    </xdr:to>
    <xdr:sp macro="" textlink="">
      <xdr:nvSpPr>
        <xdr:cNvPr id="52" name="Obdélník 51">
          <a:extLst>
            <a:ext uri="{FF2B5EF4-FFF2-40B4-BE49-F238E27FC236}">
              <a16:creationId xmlns:a16="http://schemas.microsoft.com/office/drawing/2014/main" id="{00000000-0008-0000-0000-000034000000}"/>
            </a:ext>
          </a:extLst>
        </xdr:cNvPr>
        <xdr:cNvSpPr/>
      </xdr:nvSpPr>
      <xdr:spPr>
        <a:xfrm>
          <a:off x="12573000" y="229982182"/>
          <a:ext cx="137583" cy="466726"/>
        </a:xfrm>
        <a:prstGeom prst="rect">
          <a:avLst/>
        </a:prstGeom>
        <a:pattFill prst="wdUpDiag">
          <a:fgClr>
            <a:schemeClr val="tx1"/>
          </a:fgClr>
          <a:bgClr>
            <a:srgbClr val="FFFF0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mc:AlternateContent xmlns:mc="http://schemas.openxmlformats.org/markup-compatibility/2006">
    <mc:Choice xmlns:a14="http://schemas.microsoft.com/office/drawing/2010/main" Requires="a14">
      <xdr:twoCellAnchor editAs="oneCell">
        <xdr:from>
          <xdr:col>22</xdr:col>
          <xdr:colOff>151219</xdr:colOff>
          <xdr:row>990</xdr:row>
          <xdr:rowOff>85517</xdr:rowOff>
        </xdr:from>
        <xdr:to>
          <xdr:col>22</xdr:col>
          <xdr:colOff>3938118</xdr:colOff>
          <xdr:row>999</xdr:row>
          <xdr:rowOff>103841</xdr:rowOff>
        </xdr:to>
        <xdr:pic>
          <xdr:nvPicPr>
            <xdr:cNvPr id="4" name="Obrázek 3">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HLAVIČKA!$BU$2:$BX$8" spid="_x0000_s446310"/>
                </a:ext>
              </a:extLst>
            </xdr:cNvPicPr>
          </xdr:nvPicPr>
          <xdr:blipFill>
            <a:blip xmlns:r="http://schemas.openxmlformats.org/officeDocument/2006/relationships" r:embed="rId4"/>
            <a:srcRect/>
            <a:stretch>
              <a:fillRect/>
            </a:stretch>
          </xdr:blipFill>
          <xdr:spPr bwMode="auto">
            <a:xfrm>
              <a:off x="12861802" y="230696350"/>
              <a:ext cx="3786899" cy="173282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74527</xdr:colOff>
          <xdr:row>0</xdr:row>
          <xdr:rowOff>75273</xdr:rowOff>
        </xdr:from>
        <xdr:to>
          <xdr:col>30</xdr:col>
          <xdr:colOff>113488</xdr:colOff>
          <xdr:row>8</xdr:row>
          <xdr:rowOff>21167</xdr:rowOff>
        </xdr:to>
        <xdr:pic>
          <xdr:nvPicPr>
            <xdr:cNvPr id="11" name="Obrázek 10">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HLAVIČKA!$CA$4:$CH$7" spid="_x0000_s446311"/>
                </a:ext>
              </a:extLst>
            </xdr:cNvPicPr>
          </xdr:nvPicPr>
          <xdr:blipFill>
            <a:blip xmlns:r="http://schemas.openxmlformats.org/officeDocument/2006/relationships" r:embed="rId5"/>
            <a:srcRect/>
            <a:stretch>
              <a:fillRect/>
            </a:stretch>
          </xdr:blipFill>
          <xdr:spPr bwMode="auto">
            <a:xfrm>
              <a:off x="11811444" y="75273"/>
              <a:ext cx="6685294" cy="898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124158</xdr:colOff>
          <xdr:row>4</xdr:row>
          <xdr:rowOff>17638</xdr:rowOff>
        </xdr:from>
        <xdr:to>
          <xdr:col>17</xdr:col>
          <xdr:colOff>306916</xdr:colOff>
          <xdr:row>12</xdr:row>
          <xdr:rowOff>10010</xdr:rowOff>
        </xdr:to>
        <xdr:pic>
          <xdr:nvPicPr>
            <xdr:cNvPr id="14" name="Obrázek 13">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HLAVIČKA!$C$76:$K$78" spid="_x0000_s446312"/>
                </a:ext>
              </a:extLst>
            </xdr:cNvPicPr>
          </xdr:nvPicPr>
          <xdr:blipFill>
            <a:blip xmlns:r="http://schemas.openxmlformats.org/officeDocument/2006/relationships" r:embed="rId6"/>
            <a:srcRect/>
            <a:stretch>
              <a:fillRect/>
            </a:stretch>
          </xdr:blipFill>
          <xdr:spPr bwMode="auto">
            <a:xfrm>
              <a:off x="5733325" y="652638"/>
              <a:ext cx="4024508" cy="62737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xdr:row>
          <xdr:rowOff>0</xdr:rowOff>
        </xdr:from>
        <xdr:to>
          <xdr:col>9</xdr:col>
          <xdr:colOff>438150</xdr:colOff>
          <xdr:row>9</xdr:row>
          <xdr:rowOff>0</xdr:rowOff>
        </xdr:to>
        <xdr:sp macro="" textlink="">
          <xdr:nvSpPr>
            <xdr:cNvPr id="155554" name="Check Box 6050" hidden="1">
              <a:extLst>
                <a:ext uri="{63B3BB69-23CF-44E3-9099-C40C66FF867C}">
                  <a14:compatExt spid="_x0000_s155554"/>
                </a:ext>
                <a:ext uri="{FF2B5EF4-FFF2-40B4-BE49-F238E27FC236}">
                  <a16:creationId xmlns:a16="http://schemas.microsoft.com/office/drawing/2014/main" id="{00000000-0008-0000-0000-0000A25F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2434166</xdr:colOff>
      <xdr:row>0</xdr:row>
      <xdr:rowOff>48685</xdr:rowOff>
    </xdr:from>
    <xdr:to>
      <xdr:col>5</xdr:col>
      <xdr:colOff>31004</xdr:colOff>
      <xdr:row>3</xdr:row>
      <xdr:rowOff>5984</xdr:rowOff>
    </xdr:to>
    <xdr:pic>
      <xdr:nvPicPr>
        <xdr:cNvPr id="12" name="Obrázek 11">
          <a:hlinkClick xmlns:r="http://schemas.openxmlformats.org/officeDocument/2006/relationships" r:id="rId7"/>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stretch>
          <a:fillRect/>
        </a:stretch>
      </xdr:blipFill>
      <xdr:spPr>
        <a:xfrm>
          <a:off x="3809999" y="48685"/>
          <a:ext cx="771838" cy="433549"/>
        </a:xfrm>
        <a:prstGeom prst="rect">
          <a:avLst/>
        </a:prstGeom>
      </xdr:spPr>
    </xdr:pic>
    <xdr:clientData/>
  </xdr:twoCellAnchor>
  <xdr:twoCellAnchor editAs="oneCell">
    <xdr:from>
      <xdr:col>0</xdr:col>
      <xdr:colOff>116417</xdr:colOff>
      <xdr:row>0</xdr:row>
      <xdr:rowOff>0</xdr:rowOff>
    </xdr:from>
    <xdr:to>
      <xdr:col>3</xdr:col>
      <xdr:colOff>0</xdr:colOff>
      <xdr:row>4</xdr:row>
      <xdr:rowOff>22226</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16417" y="0"/>
          <a:ext cx="1217083" cy="6572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102659</xdr:colOff>
          <xdr:row>1</xdr:row>
          <xdr:rowOff>52916</xdr:rowOff>
        </xdr:from>
        <xdr:to>
          <xdr:col>3</xdr:col>
          <xdr:colOff>2354893</xdr:colOff>
          <xdr:row>8</xdr:row>
          <xdr:rowOff>95249</xdr:rowOff>
        </xdr:to>
        <xdr:pic>
          <xdr:nvPicPr>
            <xdr:cNvPr id="9" name="Obrázek 8">
              <a:extLst>
                <a:ext uri="{FF2B5EF4-FFF2-40B4-BE49-F238E27FC236}">
                  <a16:creationId xmlns:a16="http://schemas.microsoft.com/office/drawing/2014/main" id="{F7EEC490-D27F-0CB9-02E7-8531B5706336}"/>
                </a:ext>
              </a:extLst>
            </xdr:cNvPr>
            <xdr:cNvPicPr>
              <a:picLocks noChangeAspect="1" noChangeArrowheads="1"/>
              <a:extLst>
                <a:ext uri="{84589F7E-364E-4C9E-8A38-B11213B215E9}">
                  <a14:cameraTool cellRange="HLAVIČKA!$CJ$57:$CO$62" spid="_x0000_s446313"/>
                </a:ext>
              </a:extLst>
            </xdr:cNvPicPr>
          </xdr:nvPicPr>
          <xdr:blipFill>
            <a:blip xmlns:r="http://schemas.openxmlformats.org/officeDocument/2006/relationships" r:embed="rId10"/>
            <a:srcRect/>
            <a:stretch>
              <a:fillRect/>
            </a:stretch>
          </xdr:blipFill>
          <xdr:spPr bwMode="auto">
            <a:xfrm>
              <a:off x="1478492" y="211666"/>
              <a:ext cx="2252234" cy="83608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504825</xdr:colOff>
          <xdr:row>986</xdr:row>
          <xdr:rowOff>171450</xdr:rowOff>
        </xdr:from>
        <xdr:to>
          <xdr:col>23</xdr:col>
          <xdr:colOff>0</xdr:colOff>
          <xdr:row>989</xdr:row>
          <xdr:rowOff>0</xdr:rowOff>
        </xdr:to>
        <xdr:sp macro="" textlink="">
          <xdr:nvSpPr>
            <xdr:cNvPr id="9254" name="Drop Down 38" hidden="1">
              <a:extLst>
                <a:ext uri="{63B3BB69-23CF-44E3-9099-C40C66FF867C}">
                  <a14:compatExt spid="_x0000_s9254"/>
                </a:ext>
                <a:ext uri="{FF2B5EF4-FFF2-40B4-BE49-F238E27FC236}">
                  <a16:creationId xmlns:a16="http://schemas.microsoft.com/office/drawing/2014/main" id="{00000000-0008-0000-0000-00002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18</xdr:col>
      <xdr:colOff>10583</xdr:colOff>
      <xdr:row>1</xdr:row>
      <xdr:rowOff>59972</xdr:rowOff>
    </xdr:from>
    <xdr:to>
      <xdr:col>19</xdr:col>
      <xdr:colOff>146163</xdr:colOff>
      <xdr:row>2</xdr:row>
      <xdr:rowOff>137583</xdr:rowOff>
    </xdr:to>
    <xdr:pic>
      <xdr:nvPicPr>
        <xdr:cNvPr id="15" name="Obrázek 14">
          <a:extLst>
            <a:ext uri="{FF2B5EF4-FFF2-40B4-BE49-F238E27FC236}">
              <a16:creationId xmlns:a16="http://schemas.microsoft.com/office/drawing/2014/main" id="{961710EF-EA7A-CEA9-1E91-F00E7BBADBCA}"/>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b="43624"/>
        <a:stretch/>
      </xdr:blipFill>
      <xdr:spPr>
        <a:xfrm>
          <a:off x="10488083" y="218722"/>
          <a:ext cx="844663" cy="236361"/>
        </a:xfrm>
        <a:prstGeom prst="rect">
          <a:avLst/>
        </a:prstGeom>
        <a:ln>
          <a:noFill/>
        </a:ln>
        <a:effectLst>
          <a:glow rad="63500">
            <a:schemeClr val="bg1">
              <a:alpha val="40000"/>
            </a:schemeClr>
          </a:glow>
        </a:effectLst>
      </xdr:spPr>
    </xdr:pic>
    <xdr:clientData/>
  </xdr:twoCellAnchor>
  <xdr:twoCellAnchor editAs="oneCell">
    <xdr:from>
      <xdr:col>5</xdr:col>
      <xdr:colOff>130528</xdr:colOff>
      <xdr:row>0</xdr:row>
      <xdr:rowOff>63502</xdr:rowOff>
    </xdr:from>
    <xdr:to>
      <xdr:col>18</xdr:col>
      <xdr:colOff>21166</xdr:colOff>
      <xdr:row>3</xdr:row>
      <xdr:rowOff>95370</xdr:rowOff>
    </xdr:to>
    <xdr:pic>
      <xdr:nvPicPr>
        <xdr:cNvPr id="13" name="Obrázek 12">
          <a:extLst>
            <a:ext uri="{FF2B5EF4-FFF2-40B4-BE49-F238E27FC236}">
              <a16:creationId xmlns:a16="http://schemas.microsoft.com/office/drawing/2014/main" id="{6810B600-C2FB-0811-E098-6F095517EDE3}"/>
            </a:ext>
          </a:extLst>
        </xdr:cNvPr>
        <xdr:cNvPicPr>
          <a:picLocks noChangeAspect="1"/>
        </xdr:cNvPicPr>
      </xdr:nvPicPr>
      <xdr:blipFill>
        <a:blip xmlns:r="http://schemas.openxmlformats.org/officeDocument/2006/relationships" r:embed="rId12"/>
        <a:stretch>
          <a:fillRect/>
        </a:stretch>
      </xdr:blipFill>
      <xdr:spPr>
        <a:xfrm>
          <a:off x="4639028" y="63502"/>
          <a:ext cx="5817305" cy="508118"/>
        </a:xfrm>
        <a:prstGeom prst="rect">
          <a:avLst/>
        </a:prstGeom>
      </xdr:spPr>
    </xdr:pic>
    <xdr:clientData/>
  </xdr:twoCellAnchor>
  <xdr:twoCellAnchor>
    <xdr:from>
      <xdr:col>18</xdr:col>
      <xdr:colOff>253997</xdr:colOff>
      <xdr:row>4</xdr:row>
      <xdr:rowOff>43250</xdr:rowOff>
    </xdr:from>
    <xdr:to>
      <xdr:col>18</xdr:col>
      <xdr:colOff>660346</xdr:colOff>
      <xdr:row>11</xdr:row>
      <xdr:rowOff>90235</xdr:rowOff>
    </xdr:to>
    <xdr:grpSp>
      <xdr:nvGrpSpPr>
        <xdr:cNvPr id="212130" name="Skupina 212129">
          <a:hlinkClick xmlns:r="http://schemas.openxmlformats.org/officeDocument/2006/relationships" r:id="rId2"/>
          <a:extLst>
            <a:ext uri="{FF2B5EF4-FFF2-40B4-BE49-F238E27FC236}">
              <a16:creationId xmlns:a16="http://schemas.microsoft.com/office/drawing/2014/main" id="{2802775F-FA0F-144D-69E2-A21C08D3EC99}"/>
            </a:ext>
          </a:extLst>
        </xdr:cNvPr>
        <xdr:cNvGrpSpPr/>
      </xdr:nvGrpSpPr>
      <xdr:grpSpPr>
        <a:xfrm>
          <a:off x="10689164" y="678250"/>
          <a:ext cx="406349" cy="523235"/>
          <a:chOff x="18520831" y="921667"/>
          <a:chExt cx="406349" cy="523235"/>
        </a:xfrm>
      </xdr:grpSpPr>
      <xdr:pic>
        <xdr:nvPicPr>
          <xdr:cNvPr id="25" name="Obrázek 24">
            <a:extLst>
              <a:ext uri="{FF2B5EF4-FFF2-40B4-BE49-F238E27FC236}">
                <a16:creationId xmlns:a16="http://schemas.microsoft.com/office/drawing/2014/main" id="{D4BBA90D-6573-5EAC-09A2-E0EDF4CD0FA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520831" y="921667"/>
            <a:ext cx="406349" cy="406349"/>
          </a:xfrm>
          <a:prstGeom prst="rect">
            <a:avLst/>
          </a:prstGeom>
        </xdr:spPr>
      </xdr:pic>
      <xdr:pic>
        <xdr:nvPicPr>
          <xdr:cNvPr id="31" name="Obrázek 30">
            <a:extLst>
              <a:ext uri="{FF2B5EF4-FFF2-40B4-BE49-F238E27FC236}">
                <a16:creationId xmlns:a16="http://schemas.microsoft.com/office/drawing/2014/main" id="{464482F1-F675-28B8-A840-FBB01EDE5D7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8658415" y="1121831"/>
            <a:ext cx="211667" cy="323071"/>
          </a:xfrm>
          <a:prstGeom prst="rect">
            <a:avLst/>
          </a:prstGeom>
        </xdr:spPr>
      </xdr:pic>
    </xdr:grpSp>
    <xdr:clientData/>
  </xdr:twoCellAnchor>
  <xdr:twoCellAnchor>
    <xdr:from>
      <xdr:col>19</xdr:col>
      <xdr:colOff>149998</xdr:colOff>
      <xdr:row>4</xdr:row>
      <xdr:rowOff>43250</xdr:rowOff>
    </xdr:from>
    <xdr:to>
      <xdr:col>19</xdr:col>
      <xdr:colOff>556347</xdr:colOff>
      <xdr:row>11</xdr:row>
      <xdr:rowOff>90235</xdr:rowOff>
    </xdr:to>
    <xdr:grpSp>
      <xdr:nvGrpSpPr>
        <xdr:cNvPr id="212132" name="Skupina 212131">
          <a:hlinkClick xmlns:r="http://schemas.openxmlformats.org/officeDocument/2006/relationships" r:id="rId15"/>
          <a:extLst>
            <a:ext uri="{FF2B5EF4-FFF2-40B4-BE49-F238E27FC236}">
              <a16:creationId xmlns:a16="http://schemas.microsoft.com/office/drawing/2014/main" id="{2F84FC74-7BFC-64FD-3C73-3B0B7D2378C2}"/>
            </a:ext>
          </a:extLst>
        </xdr:cNvPr>
        <xdr:cNvGrpSpPr/>
      </xdr:nvGrpSpPr>
      <xdr:grpSpPr>
        <a:xfrm>
          <a:off x="11294248" y="678250"/>
          <a:ext cx="406349" cy="523235"/>
          <a:chOff x="19125915" y="921667"/>
          <a:chExt cx="406349" cy="523235"/>
        </a:xfrm>
      </xdr:grpSpPr>
      <xdr:pic>
        <xdr:nvPicPr>
          <xdr:cNvPr id="27" name="Obrázek 26">
            <a:extLst>
              <a:ext uri="{FF2B5EF4-FFF2-40B4-BE49-F238E27FC236}">
                <a16:creationId xmlns:a16="http://schemas.microsoft.com/office/drawing/2014/main" id="{17EB3AEE-BA83-EF3B-336F-431DF86C2A14}"/>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9125915" y="921667"/>
            <a:ext cx="406349" cy="406349"/>
          </a:xfrm>
          <a:prstGeom prst="rect">
            <a:avLst/>
          </a:prstGeom>
        </xdr:spPr>
      </xdr:pic>
      <xdr:pic>
        <xdr:nvPicPr>
          <xdr:cNvPr id="212128" name="Obrázek 212127">
            <a:extLst>
              <a:ext uri="{FF2B5EF4-FFF2-40B4-BE49-F238E27FC236}">
                <a16:creationId xmlns:a16="http://schemas.microsoft.com/office/drawing/2014/main" id="{BECD8D96-F99E-1B48-C70E-A99B7D519E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9251081" y="1121831"/>
            <a:ext cx="211667" cy="323071"/>
          </a:xfrm>
          <a:prstGeom prst="rect">
            <a:avLst/>
          </a:prstGeom>
        </xdr:spPr>
      </xdr:pic>
    </xdr:grpSp>
    <xdr:clientData/>
  </xdr:twoCellAnchor>
  <xdr:twoCellAnchor>
    <xdr:from>
      <xdr:col>17</xdr:col>
      <xdr:colOff>666748</xdr:colOff>
      <xdr:row>4</xdr:row>
      <xdr:rowOff>43250</xdr:rowOff>
    </xdr:from>
    <xdr:to>
      <xdr:col>18</xdr:col>
      <xdr:colOff>46514</xdr:colOff>
      <xdr:row>11</xdr:row>
      <xdr:rowOff>90235</xdr:rowOff>
    </xdr:to>
    <xdr:grpSp>
      <xdr:nvGrpSpPr>
        <xdr:cNvPr id="212133" name="Skupina 212132">
          <a:hlinkClick xmlns:r="http://schemas.openxmlformats.org/officeDocument/2006/relationships" r:id="rId17"/>
          <a:extLst>
            <a:ext uri="{FF2B5EF4-FFF2-40B4-BE49-F238E27FC236}">
              <a16:creationId xmlns:a16="http://schemas.microsoft.com/office/drawing/2014/main" id="{417EC2C7-6CF5-1D3C-441E-3F06B53221E0}"/>
            </a:ext>
          </a:extLst>
        </xdr:cNvPr>
        <xdr:cNvGrpSpPr/>
      </xdr:nvGrpSpPr>
      <xdr:grpSpPr>
        <a:xfrm>
          <a:off x="10075331" y="678250"/>
          <a:ext cx="406350" cy="523235"/>
          <a:chOff x="17906999" y="921667"/>
          <a:chExt cx="406349" cy="523235"/>
        </a:xfrm>
      </xdr:grpSpPr>
      <xdr:pic>
        <xdr:nvPicPr>
          <xdr:cNvPr id="29" name="Obrázek 28">
            <a:extLst>
              <a:ext uri="{FF2B5EF4-FFF2-40B4-BE49-F238E27FC236}">
                <a16:creationId xmlns:a16="http://schemas.microsoft.com/office/drawing/2014/main" id="{FDF7FF48-7705-B522-BC50-65F4EA0A65AF}"/>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7906999" y="921667"/>
            <a:ext cx="406349" cy="406349"/>
          </a:xfrm>
          <a:prstGeom prst="rect">
            <a:avLst/>
          </a:prstGeom>
        </xdr:spPr>
      </xdr:pic>
      <xdr:pic>
        <xdr:nvPicPr>
          <xdr:cNvPr id="212129" name="Obrázek 212128">
            <a:extLst>
              <a:ext uri="{FF2B5EF4-FFF2-40B4-BE49-F238E27FC236}">
                <a16:creationId xmlns:a16="http://schemas.microsoft.com/office/drawing/2014/main" id="{3C7EFF89-783C-4260-D958-8F93B93411B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8023414" y="1121831"/>
            <a:ext cx="211667" cy="323071"/>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18</xdr:col>
          <xdr:colOff>9525</xdr:colOff>
          <xdr:row>8</xdr:row>
          <xdr:rowOff>104775</xdr:rowOff>
        </xdr:from>
        <xdr:to>
          <xdr:col>19</xdr:col>
          <xdr:colOff>200025</xdr:colOff>
          <xdr:row>11</xdr:row>
          <xdr:rowOff>148167</xdr:rowOff>
        </xdr:to>
        <xdr:pic>
          <xdr:nvPicPr>
            <xdr:cNvPr id="428262" name="Obrázek 53">
              <a:hlinkClick xmlns:r="http://schemas.openxmlformats.org/officeDocument/2006/relationships" r:id="rId2"/>
              <a:extLst>
                <a:ext uri="{FF2B5EF4-FFF2-40B4-BE49-F238E27FC236}">
                  <a16:creationId xmlns:a16="http://schemas.microsoft.com/office/drawing/2014/main" id="{03610A78-16CF-B85A-5898-03870B60478A}"/>
                </a:ext>
              </a:extLst>
            </xdr:cNvPr>
            <xdr:cNvPicPr>
              <a:picLocks noChangeAspect="1" noChangeArrowheads="1"/>
              <a:extLst>
                <a:ext uri="{84589F7E-364E-4C9E-8A38-B11213B215E9}">
                  <a14:cameraTool cellRange="HLAVIČKA!$BK$49" spid="_x0000_s446314"/>
                </a:ext>
              </a:extLst>
            </xdr:cNvPicPr>
          </xdr:nvPicPr>
          <xdr:blipFill>
            <a:blip xmlns:r="http://schemas.openxmlformats.org/officeDocument/2006/relationships" r:embed="rId19"/>
            <a:srcRect/>
            <a:stretch>
              <a:fillRect/>
            </a:stretch>
          </xdr:blipFill>
          <xdr:spPr bwMode="auto">
            <a:xfrm>
              <a:off x="10444692" y="1057275"/>
              <a:ext cx="899583" cy="20214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361328</xdr:colOff>
      <xdr:row>8</xdr:row>
      <xdr:rowOff>126998</xdr:rowOff>
    </xdr:from>
    <xdr:to>
      <xdr:col>25</xdr:col>
      <xdr:colOff>256335</xdr:colOff>
      <xdr:row>15</xdr:row>
      <xdr:rowOff>147312</xdr:rowOff>
    </xdr:to>
    <xdr:grpSp>
      <xdr:nvGrpSpPr>
        <xdr:cNvPr id="428264" name="Skupina 18">
          <a:extLst>
            <a:ext uri="{FF2B5EF4-FFF2-40B4-BE49-F238E27FC236}">
              <a16:creationId xmlns:a16="http://schemas.microsoft.com/office/drawing/2014/main" id="{041003C1-F819-1A77-E335-67074D789798}"/>
            </a:ext>
          </a:extLst>
        </xdr:cNvPr>
        <xdr:cNvGrpSpPr>
          <a:grpSpLocks/>
        </xdr:cNvGrpSpPr>
      </xdr:nvGrpSpPr>
      <xdr:grpSpPr bwMode="auto">
        <a:xfrm>
          <a:off x="12542745" y="1079498"/>
          <a:ext cx="4424673" cy="337814"/>
          <a:chOff x="123317" y="11438"/>
          <a:chExt cx="40605" cy="3473"/>
        </a:xfrm>
      </xdr:grpSpPr>
      <mc:AlternateContent xmlns:mc="http://schemas.openxmlformats.org/markup-compatibility/2006">
        <mc:Choice xmlns:a14="http://schemas.microsoft.com/office/drawing/2010/main" Requires="a14">
          <xdr:grpSp>
            <xdr:nvGrpSpPr>
              <xdr:cNvPr id="428274" name="Skupina 17">
                <a:extLst>
                  <a:ext uri="{FF2B5EF4-FFF2-40B4-BE49-F238E27FC236}">
                    <a16:creationId xmlns:a16="http://schemas.microsoft.com/office/drawing/2014/main" id="{74797589-B7E3-80D3-03F0-D31510688F69}"/>
                  </a:ext>
                </a:extLst>
              </xdr:cNvPr>
              <xdr:cNvGrpSpPr>
                <a:grpSpLocks/>
              </xdr:cNvGrpSpPr>
            </xdr:nvGrpSpPr>
            <xdr:grpSpPr bwMode="auto">
              <a:xfrm>
                <a:off x="123366" y="11438"/>
                <a:ext cx="40556" cy="1607"/>
                <a:chOff x="123366" y="11438"/>
                <a:chExt cx="40555" cy="1606"/>
              </a:xfrm>
            </xdr:grpSpPr>
            <xdr:sp macro="" textlink="">
              <xdr:nvSpPr>
                <xdr:cNvPr id="9246" name="Option Button 30" hidden="1">
                  <a:extLst>
                    <a:ext uri="{63B3BB69-23CF-44E3-9099-C40C66FF867C}">
                      <a14:compatExt spid="_x0000_s9246"/>
                    </a:ext>
                    <a:ext uri="{FF2B5EF4-FFF2-40B4-BE49-F238E27FC236}">
                      <a16:creationId xmlns:a16="http://schemas.microsoft.com/office/drawing/2014/main" id="{00000000-0008-0000-0000-00001E240000}"/>
                    </a:ext>
                  </a:extLst>
                </xdr:cNvPr>
                <xdr:cNvSpPr/>
              </xdr:nvSpPr>
              <xdr:spPr bwMode="auto">
                <a:xfrm>
                  <a:off x="123366" y="11438"/>
                  <a:ext cx="2978"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cs-CZ" sz="800" b="0" i="0" u="none" strike="noStrike" baseline="0">
                      <a:solidFill>
                        <a:srgbClr val="000000"/>
                      </a:solidFill>
                      <a:latin typeface="Segoe UI"/>
                      <a:cs typeface="Segoe UI"/>
                    </a:rPr>
                    <a:t> </a:t>
                  </a:r>
                </a:p>
              </xdr:txBody>
            </xdr:sp>
            <xdr:sp macro="" textlink="">
              <xdr:nvSpPr>
                <xdr:cNvPr id="9247" name="Option Button 31" hidden="1">
                  <a:extLst>
                    <a:ext uri="{63B3BB69-23CF-44E3-9099-C40C66FF867C}">
                      <a14:compatExt spid="_x0000_s9247"/>
                    </a:ext>
                    <a:ext uri="{FF2B5EF4-FFF2-40B4-BE49-F238E27FC236}">
                      <a16:creationId xmlns:a16="http://schemas.microsoft.com/office/drawing/2014/main" id="{00000000-0008-0000-0000-00001F240000}"/>
                    </a:ext>
                  </a:extLst>
                </xdr:cNvPr>
                <xdr:cNvSpPr/>
              </xdr:nvSpPr>
              <xdr:spPr bwMode="auto">
                <a:xfrm>
                  <a:off x="133741" y="11438"/>
                  <a:ext cx="2634"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Option Button 42"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147171" y="11438"/>
                  <a:ext cx="2750"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0" name="Option Button 44" hidden="1">
                  <a:extLst>
                    <a:ext uri="{63B3BB69-23CF-44E3-9099-C40C66FF867C}">
                      <a14:compatExt spid="_x0000_s9260"/>
                    </a:ext>
                    <a:ext uri="{FF2B5EF4-FFF2-40B4-BE49-F238E27FC236}">
                      <a16:creationId xmlns:a16="http://schemas.microsoft.com/office/drawing/2014/main" id="{00000000-0008-0000-0000-00002C240000}"/>
                    </a:ext>
                  </a:extLst>
                </xdr:cNvPr>
                <xdr:cNvSpPr/>
              </xdr:nvSpPr>
              <xdr:spPr bwMode="auto">
                <a:xfrm>
                  <a:off x="137121" y="11438"/>
                  <a:ext cx="2749"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Option Button 45" hidden="1">
                  <a:extLst>
                    <a:ext uri="{63B3BB69-23CF-44E3-9099-C40C66FF867C}">
                      <a14:compatExt spid="_x0000_s9261"/>
                    </a:ext>
                    <a:ext uri="{FF2B5EF4-FFF2-40B4-BE49-F238E27FC236}">
                      <a16:creationId xmlns:a16="http://schemas.microsoft.com/office/drawing/2014/main" id="{00000000-0008-0000-0000-00002D240000}"/>
                    </a:ext>
                  </a:extLst>
                </xdr:cNvPr>
                <xdr:cNvSpPr/>
              </xdr:nvSpPr>
              <xdr:spPr bwMode="auto">
                <a:xfrm>
                  <a:off x="143838" y="11438"/>
                  <a:ext cx="2749"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Option Button 46" hidden="1">
                  <a:extLst>
                    <a:ext uri="{63B3BB69-23CF-44E3-9099-C40C66FF867C}">
                      <a14:compatExt spid="_x0000_s9262"/>
                    </a:ext>
                    <a:ext uri="{FF2B5EF4-FFF2-40B4-BE49-F238E27FC236}">
                      <a16:creationId xmlns:a16="http://schemas.microsoft.com/office/drawing/2014/main" id="{00000000-0008-0000-0000-00002E240000}"/>
                    </a:ext>
                  </a:extLst>
                </xdr:cNvPr>
                <xdr:cNvSpPr/>
              </xdr:nvSpPr>
              <xdr:spPr bwMode="auto">
                <a:xfrm>
                  <a:off x="140547" y="11438"/>
                  <a:ext cx="2520"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Option Button 47" hidden="1">
                  <a:extLst>
                    <a:ext uri="{63B3BB69-23CF-44E3-9099-C40C66FF867C}">
                      <a14:compatExt spid="_x0000_s9263"/>
                    </a:ext>
                    <a:ext uri="{FF2B5EF4-FFF2-40B4-BE49-F238E27FC236}">
                      <a16:creationId xmlns:a16="http://schemas.microsoft.com/office/drawing/2014/main" id="{00000000-0008-0000-0000-00002F240000}"/>
                    </a:ext>
                  </a:extLst>
                </xdr:cNvPr>
                <xdr:cNvSpPr/>
              </xdr:nvSpPr>
              <xdr:spPr bwMode="auto">
                <a:xfrm>
                  <a:off x="127058" y="11438"/>
                  <a:ext cx="2750"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Option Button 48" hidden="1">
                  <a:extLst>
                    <a:ext uri="{63B3BB69-23CF-44E3-9099-C40C66FF867C}">
                      <a14:compatExt spid="_x0000_s9264"/>
                    </a:ext>
                    <a:ext uri="{FF2B5EF4-FFF2-40B4-BE49-F238E27FC236}">
                      <a16:creationId xmlns:a16="http://schemas.microsoft.com/office/drawing/2014/main" id="{00000000-0008-0000-0000-000030240000}"/>
                    </a:ext>
                  </a:extLst>
                </xdr:cNvPr>
                <xdr:cNvSpPr/>
              </xdr:nvSpPr>
              <xdr:spPr bwMode="auto">
                <a:xfrm>
                  <a:off x="130119" y="11438"/>
                  <a:ext cx="2873"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Option Button 49" hidden="1">
                  <a:extLst>
                    <a:ext uri="{63B3BB69-23CF-44E3-9099-C40C66FF867C}">
                      <a14:compatExt spid="_x0000_s9265"/>
                    </a:ext>
                    <a:ext uri="{FF2B5EF4-FFF2-40B4-BE49-F238E27FC236}">
                      <a16:creationId xmlns:a16="http://schemas.microsoft.com/office/drawing/2014/main" id="{00000000-0008-0000-0000-000031240000}"/>
                    </a:ext>
                  </a:extLst>
                </xdr:cNvPr>
                <xdr:cNvSpPr/>
              </xdr:nvSpPr>
              <xdr:spPr bwMode="auto">
                <a:xfrm>
                  <a:off x="153796" y="11438"/>
                  <a:ext cx="2978"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6" name="Option Button 50" hidden="1">
                  <a:extLst>
                    <a:ext uri="{63B3BB69-23CF-44E3-9099-C40C66FF867C}">
                      <a14:compatExt spid="_x0000_s9266"/>
                    </a:ext>
                    <a:ext uri="{FF2B5EF4-FFF2-40B4-BE49-F238E27FC236}">
                      <a16:creationId xmlns:a16="http://schemas.microsoft.com/office/drawing/2014/main" id="{00000000-0008-0000-0000-000032240000}"/>
                    </a:ext>
                  </a:extLst>
                </xdr:cNvPr>
                <xdr:cNvSpPr/>
              </xdr:nvSpPr>
              <xdr:spPr bwMode="auto">
                <a:xfrm>
                  <a:off x="150508" y="11438"/>
                  <a:ext cx="2635"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9" name="Option Button 53" hidden="1">
                  <a:extLst>
                    <a:ext uri="{63B3BB69-23CF-44E3-9099-C40C66FF867C}">
                      <a14:compatExt spid="_x0000_s9269"/>
                    </a:ext>
                    <a:ext uri="{FF2B5EF4-FFF2-40B4-BE49-F238E27FC236}">
                      <a16:creationId xmlns:a16="http://schemas.microsoft.com/office/drawing/2014/main" id="{00000000-0008-0000-0000-000035240000}"/>
                    </a:ext>
                  </a:extLst>
                </xdr:cNvPr>
                <xdr:cNvSpPr/>
              </xdr:nvSpPr>
              <xdr:spPr bwMode="auto">
                <a:xfrm>
                  <a:off x="157443" y="11438"/>
                  <a:ext cx="3212"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0" name="Option Button 54" hidden="1">
                  <a:extLst>
                    <a:ext uri="{63B3BB69-23CF-44E3-9099-C40C66FF867C}">
                      <a14:compatExt spid="_x0000_s9270"/>
                    </a:ext>
                    <a:ext uri="{FF2B5EF4-FFF2-40B4-BE49-F238E27FC236}">
                      <a16:creationId xmlns:a16="http://schemas.microsoft.com/office/drawing/2014/main" id="{00000000-0008-0000-0000-000036240000}"/>
                    </a:ext>
                  </a:extLst>
                </xdr:cNvPr>
                <xdr:cNvSpPr/>
              </xdr:nvSpPr>
              <xdr:spPr bwMode="auto">
                <a:xfrm>
                  <a:off x="160828" y="11438"/>
                  <a:ext cx="3093" cy="16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pic>
        <xdr:nvPicPr>
          <xdr:cNvPr id="428275" name="Obrázek 6">
            <a:extLst>
              <a:ext uri="{FF2B5EF4-FFF2-40B4-BE49-F238E27FC236}">
                <a16:creationId xmlns:a16="http://schemas.microsoft.com/office/drawing/2014/main" id="{74CEE957-F800-5F85-9F2F-A3117492EB28}"/>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3317" y="13354"/>
            <a:ext cx="39839" cy="155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18</xdr:col>
      <xdr:colOff>257175</xdr:colOff>
      <xdr:row>4</xdr:row>
      <xdr:rowOff>47625</xdr:rowOff>
    </xdr:from>
    <xdr:to>
      <xdr:col>18</xdr:col>
      <xdr:colOff>657225</xdr:colOff>
      <xdr:row>11</xdr:row>
      <xdr:rowOff>85725</xdr:rowOff>
    </xdr:to>
    <xdr:grpSp>
      <xdr:nvGrpSpPr>
        <xdr:cNvPr id="428265" name="Skupina 212129">
          <a:hlinkClick xmlns:r="http://schemas.openxmlformats.org/officeDocument/2006/relationships" r:id="rId2"/>
          <a:extLst>
            <a:ext uri="{FF2B5EF4-FFF2-40B4-BE49-F238E27FC236}">
              <a16:creationId xmlns:a16="http://schemas.microsoft.com/office/drawing/2014/main" id="{FFDB3071-0228-0E4D-2FBD-2AC0C40104DE}"/>
            </a:ext>
          </a:extLst>
        </xdr:cNvPr>
        <xdr:cNvGrpSpPr>
          <a:grpSpLocks/>
        </xdr:cNvGrpSpPr>
      </xdr:nvGrpSpPr>
      <xdr:grpSpPr bwMode="auto">
        <a:xfrm>
          <a:off x="10692342" y="682625"/>
          <a:ext cx="400050" cy="514350"/>
          <a:chOff x="185208" y="9216"/>
          <a:chExt cx="4063" cy="5232"/>
        </a:xfrm>
      </xdr:grpSpPr>
      <xdr:pic>
        <xdr:nvPicPr>
          <xdr:cNvPr id="428272" name="Obrázek 24">
            <a:extLst>
              <a:ext uri="{FF2B5EF4-FFF2-40B4-BE49-F238E27FC236}">
                <a16:creationId xmlns:a16="http://schemas.microsoft.com/office/drawing/2014/main" id="{603F0E6D-2C39-369B-C94D-05FA6EF8E31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85182" y="9200"/>
            <a:ext cx="4085" cy="408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8273" name="Obrázek 30">
            <a:extLst>
              <a:ext uri="{FF2B5EF4-FFF2-40B4-BE49-F238E27FC236}">
                <a16:creationId xmlns:a16="http://schemas.microsoft.com/office/drawing/2014/main" id="{E8083750-8FCE-49D6-1328-19B4278C2D95}"/>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86585" y="11212"/>
            <a:ext cx="2133" cy="323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19</xdr:col>
      <xdr:colOff>152400</xdr:colOff>
      <xdr:row>4</xdr:row>
      <xdr:rowOff>47625</xdr:rowOff>
    </xdr:from>
    <xdr:to>
      <xdr:col>19</xdr:col>
      <xdr:colOff>552450</xdr:colOff>
      <xdr:row>11</xdr:row>
      <xdr:rowOff>85725</xdr:rowOff>
    </xdr:to>
    <xdr:grpSp>
      <xdr:nvGrpSpPr>
        <xdr:cNvPr id="428266" name="Skupina 212131">
          <a:hlinkClick xmlns:r="http://schemas.openxmlformats.org/officeDocument/2006/relationships" r:id="rId15"/>
          <a:extLst>
            <a:ext uri="{FF2B5EF4-FFF2-40B4-BE49-F238E27FC236}">
              <a16:creationId xmlns:a16="http://schemas.microsoft.com/office/drawing/2014/main" id="{3046DB7C-BD78-C128-BEE4-BEE79E611875}"/>
            </a:ext>
          </a:extLst>
        </xdr:cNvPr>
        <xdr:cNvGrpSpPr>
          <a:grpSpLocks/>
        </xdr:cNvGrpSpPr>
      </xdr:nvGrpSpPr>
      <xdr:grpSpPr bwMode="auto">
        <a:xfrm>
          <a:off x="11296650" y="682625"/>
          <a:ext cx="400050" cy="514350"/>
          <a:chOff x="191259" y="9216"/>
          <a:chExt cx="4063" cy="5232"/>
        </a:xfrm>
      </xdr:grpSpPr>
      <xdr:pic>
        <xdr:nvPicPr>
          <xdr:cNvPr id="428270" name="Obrázek 26">
            <a:extLst>
              <a:ext uri="{FF2B5EF4-FFF2-40B4-BE49-F238E27FC236}">
                <a16:creationId xmlns:a16="http://schemas.microsoft.com/office/drawing/2014/main" id="{42463C5C-A4F5-17CC-0986-ACBD657D3059}"/>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1278" y="9200"/>
            <a:ext cx="4024" cy="408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8271" name="Obrázek 212127">
            <a:extLst>
              <a:ext uri="{FF2B5EF4-FFF2-40B4-BE49-F238E27FC236}">
                <a16:creationId xmlns:a16="http://schemas.microsoft.com/office/drawing/2014/main" id="{58F07BD5-6394-2ACA-1ED2-7AABE849B526}"/>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2498" y="11212"/>
            <a:ext cx="2133" cy="323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666750</xdr:colOff>
      <xdr:row>4</xdr:row>
      <xdr:rowOff>47625</xdr:rowOff>
    </xdr:from>
    <xdr:to>
      <xdr:col>18</xdr:col>
      <xdr:colOff>47625</xdr:colOff>
      <xdr:row>11</xdr:row>
      <xdr:rowOff>85725</xdr:rowOff>
    </xdr:to>
    <xdr:grpSp>
      <xdr:nvGrpSpPr>
        <xdr:cNvPr id="428267" name="Skupina 212132">
          <a:hlinkClick xmlns:r="http://schemas.openxmlformats.org/officeDocument/2006/relationships" r:id="rId17"/>
          <a:extLst>
            <a:ext uri="{FF2B5EF4-FFF2-40B4-BE49-F238E27FC236}">
              <a16:creationId xmlns:a16="http://schemas.microsoft.com/office/drawing/2014/main" id="{A213C5B5-83FB-EF36-099D-FD92D3676014}"/>
            </a:ext>
          </a:extLst>
        </xdr:cNvPr>
        <xdr:cNvGrpSpPr>
          <a:grpSpLocks/>
        </xdr:cNvGrpSpPr>
      </xdr:nvGrpSpPr>
      <xdr:grpSpPr bwMode="auto">
        <a:xfrm>
          <a:off x="10075333" y="682625"/>
          <a:ext cx="407459" cy="514350"/>
          <a:chOff x="179069" y="9216"/>
          <a:chExt cx="4063" cy="5232"/>
        </a:xfrm>
      </xdr:grpSpPr>
      <xdr:pic>
        <xdr:nvPicPr>
          <xdr:cNvPr id="428268" name="Obrázek 28">
            <a:extLst>
              <a:ext uri="{FF2B5EF4-FFF2-40B4-BE49-F238E27FC236}">
                <a16:creationId xmlns:a16="http://schemas.microsoft.com/office/drawing/2014/main" id="{D128C6B0-897C-A83F-BB24-B943E88565E9}"/>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79086" y="9200"/>
            <a:ext cx="4024" cy="408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8269" name="Obrázek 212128">
            <a:extLst>
              <a:ext uri="{FF2B5EF4-FFF2-40B4-BE49-F238E27FC236}">
                <a16:creationId xmlns:a16="http://schemas.microsoft.com/office/drawing/2014/main" id="{3005ABE8-69AA-1A7C-8289-93C3E0CDAF12}"/>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80245" y="11212"/>
            <a:ext cx="2133" cy="323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36</xdr:col>
      <xdr:colOff>592667</xdr:colOff>
      <xdr:row>0</xdr:row>
      <xdr:rowOff>10584</xdr:rowOff>
    </xdr:from>
    <xdr:to>
      <xdr:col>39</xdr:col>
      <xdr:colOff>550334</xdr:colOff>
      <xdr:row>15</xdr:row>
      <xdr:rowOff>211509</xdr:rowOff>
    </xdr:to>
    <xdr:pic>
      <xdr:nvPicPr>
        <xdr:cNvPr id="34" name="Obrázek 33">
          <a:extLst>
            <a:ext uri="{FF2B5EF4-FFF2-40B4-BE49-F238E27FC236}">
              <a16:creationId xmlns:a16="http://schemas.microsoft.com/office/drawing/2014/main" id="{39B2E331-F9DA-24C4-BCC7-8173E39D97CD}"/>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4892000" y="10584"/>
          <a:ext cx="2211917" cy="14709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30</xdr:col>
          <xdr:colOff>243417</xdr:colOff>
          <xdr:row>4</xdr:row>
          <xdr:rowOff>148167</xdr:rowOff>
        </xdr:from>
        <xdr:to>
          <xdr:col>33</xdr:col>
          <xdr:colOff>443442</xdr:colOff>
          <xdr:row>15</xdr:row>
          <xdr:rowOff>122767</xdr:rowOff>
        </xdr:to>
        <xdr:pic>
          <xdr:nvPicPr>
            <xdr:cNvPr id="37" name="Obrázek 36">
              <a:extLst>
                <a:ext uri="{FF2B5EF4-FFF2-40B4-BE49-F238E27FC236}">
                  <a16:creationId xmlns:a16="http://schemas.microsoft.com/office/drawing/2014/main" id="{1242772E-2EA3-2CA1-B7F9-73B4E5FB7535}"/>
                </a:ext>
              </a:extLst>
            </xdr:cNvPr>
            <xdr:cNvPicPr>
              <a:picLocks noChangeAspect="1" noChangeArrowheads="1"/>
              <a:extLst>
                <a:ext uri="{84589F7E-364E-4C9E-8A38-B11213B215E9}">
                  <a14:cameraTool cellRange="HLAVIČKA!$BC$17:$BH$20" spid="_x0000_s446315"/>
                </a:ext>
              </a:extLst>
            </xdr:cNvPicPr>
          </xdr:nvPicPr>
          <xdr:blipFill>
            <a:blip xmlns:r="http://schemas.openxmlformats.org/officeDocument/2006/relationships" r:embed="rId26"/>
            <a:srcRect/>
            <a:stretch>
              <a:fillRect/>
            </a:stretch>
          </xdr:blipFill>
          <xdr:spPr bwMode="auto">
            <a:xfrm>
              <a:off x="18626667" y="783167"/>
              <a:ext cx="3660775" cy="6096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106089</xdr:colOff>
      <xdr:row>75</xdr:row>
      <xdr:rowOff>155197</xdr:rowOff>
    </xdr:from>
    <xdr:to>
      <xdr:col>3</xdr:col>
      <xdr:colOff>180974</xdr:colOff>
      <xdr:row>77</xdr:row>
      <xdr:rowOff>45783</xdr:rowOff>
    </xdr:to>
    <xdr:pic>
      <xdr:nvPicPr>
        <xdr:cNvPr id="4" name="Obráze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527" y="13841431"/>
          <a:ext cx="378494" cy="384696"/>
        </a:xfrm>
        <a:prstGeom prst="rect">
          <a:avLst/>
        </a:prstGeom>
      </xdr:spPr>
    </xdr:pic>
    <xdr:clientData/>
  </xdr:twoCellAnchor>
  <xdr:twoCellAnchor editAs="oneCell">
    <xdr:from>
      <xdr:col>9</xdr:col>
      <xdr:colOff>415651</xdr:colOff>
      <xdr:row>75</xdr:row>
      <xdr:rowOff>149244</xdr:rowOff>
    </xdr:from>
    <xdr:to>
      <xdr:col>10</xdr:col>
      <xdr:colOff>188117</xdr:colOff>
      <xdr:row>77</xdr:row>
      <xdr:rowOff>39830</xdr:rowOff>
    </xdr:to>
    <xdr:pic>
      <xdr:nvPicPr>
        <xdr:cNvPr id="2" name="Obráze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1269" y="13842832"/>
          <a:ext cx="377583" cy="383645"/>
        </a:xfrm>
        <a:prstGeom prst="rect">
          <a:avLst/>
        </a:prstGeom>
      </xdr:spPr>
    </xdr:pic>
    <xdr:clientData/>
  </xdr:twoCellAnchor>
  <xdr:twoCellAnchor editAs="oneCell">
    <xdr:from>
      <xdr:col>69</xdr:col>
      <xdr:colOff>331019</xdr:colOff>
      <xdr:row>33</xdr:row>
      <xdr:rowOff>39700</xdr:rowOff>
    </xdr:from>
    <xdr:to>
      <xdr:col>69</xdr:col>
      <xdr:colOff>599435</xdr:colOff>
      <xdr:row>34</xdr:row>
      <xdr:rowOff>67663</xdr:rowOff>
    </xdr:to>
    <xdr:pic>
      <xdr:nvPicPr>
        <xdr:cNvPr id="19" name="Obráze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638084" y="5365417"/>
          <a:ext cx="268416" cy="218463"/>
        </a:xfrm>
        <a:prstGeom prst="rect">
          <a:avLst/>
        </a:prstGeom>
      </xdr:spPr>
    </xdr:pic>
    <xdr:clientData/>
  </xdr:twoCellAnchor>
  <xdr:twoCellAnchor editAs="oneCell">
    <xdr:from>
      <xdr:col>51</xdr:col>
      <xdr:colOff>177361</xdr:colOff>
      <xdr:row>25</xdr:row>
      <xdr:rowOff>68294</xdr:rowOff>
    </xdr:from>
    <xdr:to>
      <xdr:col>51</xdr:col>
      <xdr:colOff>328448</xdr:colOff>
      <xdr:row>26</xdr:row>
      <xdr:rowOff>1685</xdr:rowOff>
    </xdr:to>
    <xdr:pic>
      <xdr:nvPicPr>
        <xdr:cNvPr id="24" name="Obráze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423913" y="4134484"/>
          <a:ext cx="151087" cy="123891"/>
        </a:xfrm>
        <a:prstGeom prst="rect">
          <a:avLst/>
        </a:prstGeom>
      </xdr:spPr>
    </xdr:pic>
    <xdr:clientData/>
  </xdr:twoCellAnchor>
  <xdr:twoCellAnchor>
    <xdr:from>
      <xdr:col>4</xdr:col>
      <xdr:colOff>67235</xdr:colOff>
      <xdr:row>76</xdr:row>
      <xdr:rowOff>11206</xdr:rowOff>
    </xdr:from>
    <xdr:to>
      <xdr:col>4</xdr:col>
      <xdr:colOff>329113</xdr:colOff>
      <xdr:row>77</xdr:row>
      <xdr:rowOff>16954</xdr:rowOff>
    </xdr:to>
    <xdr:sp macro="" textlink="">
      <xdr:nvSpPr>
        <xdr:cNvPr id="5" name="Obdélník 4">
          <a:extLst>
            <a:ext uri="{FF2B5EF4-FFF2-40B4-BE49-F238E27FC236}">
              <a16:creationId xmlns:a16="http://schemas.microsoft.com/office/drawing/2014/main" id="{00000000-0008-0000-0600-000005000000}"/>
            </a:ext>
          </a:extLst>
        </xdr:cNvPr>
        <xdr:cNvSpPr/>
      </xdr:nvSpPr>
      <xdr:spPr>
        <a:xfrm>
          <a:off x="1860176" y="13917706"/>
          <a:ext cx="261878" cy="229866"/>
        </a:xfrm>
        <a:prstGeom prst="rect">
          <a:avLst/>
        </a:prstGeom>
        <a:solidFill>
          <a:srgbClr val="8A3F1F"/>
        </a:solidFill>
        <a:ln cmpd="dbl">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161192</xdr:colOff>
      <xdr:row>0</xdr:row>
      <xdr:rowOff>43961</xdr:rowOff>
    </xdr:from>
    <xdr:to>
      <xdr:col>12</xdr:col>
      <xdr:colOff>165588</xdr:colOff>
      <xdr:row>13</xdr:row>
      <xdr:rowOff>92319</xdr:rowOff>
    </xdr:to>
    <xdr:pic>
      <xdr:nvPicPr>
        <xdr:cNvPr id="7" name="Obrázek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1865" y="43961"/>
          <a:ext cx="1828800" cy="2590800"/>
        </a:xfrm>
        <a:prstGeom prst="rect">
          <a:avLst/>
        </a:prstGeom>
        <a:ln>
          <a:noFill/>
        </a:ln>
        <a:effectLst>
          <a:softEdge rad="112500"/>
        </a:effectLst>
      </xdr:spPr>
    </xdr:pic>
    <xdr:clientData/>
  </xdr:twoCellAnchor>
  <xdr:twoCellAnchor editAs="oneCell">
    <xdr:from>
      <xdr:col>0</xdr:col>
      <xdr:colOff>161193</xdr:colOff>
      <xdr:row>0</xdr:row>
      <xdr:rowOff>58615</xdr:rowOff>
    </xdr:from>
    <xdr:to>
      <xdr:col>1</xdr:col>
      <xdr:colOff>1108981</xdr:colOff>
      <xdr:row>3</xdr:row>
      <xdr:rowOff>95251</xdr:rowOff>
    </xdr:to>
    <xdr:pic>
      <xdr:nvPicPr>
        <xdr:cNvPr id="8" name="Obrázek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193" y="58615"/>
          <a:ext cx="1204230" cy="6081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klasektrading.cz/static/public/uploads/files/dostupno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klasektrading.cz/static/public/uploads/files/Ceny_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klasektrading.cz/static/public/uploads/files/hmotnos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klasektrading.cz/static/public/uploads/files/Pale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Videa"/>
    </sheetNames>
    <sheetDataSet>
      <sheetData sheetId="0">
        <row r="1">
          <cell r="A1" t="str">
            <v>Kód</v>
          </cell>
          <cell r="B1" t="str">
            <v>CZ</v>
          </cell>
          <cell r="C1" t="str">
            <v>odpočet</v>
          </cell>
          <cell r="D1" t="str">
            <v>množství</v>
          </cell>
          <cell r="E1" t="str">
            <v>POSLEDNÍ</v>
          </cell>
        </row>
        <row r="2">
          <cell r="A2" t="str">
            <v>Datum:</v>
          </cell>
          <cell r="B2">
            <v>46107.472268518519</v>
          </cell>
          <cell r="C2" t="str">
            <v>dní</v>
          </cell>
          <cell r="E2" t="str">
            <v>KUSY</v>
          </cell>
        </row>
        <row r="3">
          <cell r="A3" t="str">
            <v>BD1L</v>
          </cell>
          <cell r="B3" t="str">
            <v>VYPRODÁNO</v>
          </cell>
          <cell r="D3">
            <v>0</v>
          </cell>
        </row>
        <row r="4">
          <cell r="A4" t="str">
            <v>BD1XL</v>
          </cell>
          <cell r="B4" t="str">
            <v>VYPRODÁNO</v>
          </cell>
          <cell r="D4">
            <v>0</v>
          </cell>
        </row>
        <row r="5">
          <cell r="A5" t="str">
            <v>BD1XXL</v>
          </cell>
          <cell r="B5" t="str">
            <v>VYPRODÁNO</v>
          </cell>
          <cell r="D5">
            <v>0</v>
          </cell>
        </row>
        <row r="6">
          <cell r="A6" t="str">
            <v>BDLE1L</v>
          </cell>
          <cell r="B6" t="str">
            <v>31.03.2026</v>
          </cell>
          <cell r="C6">
            <v>5</v>
          </cell>
          <cell r="D6">
            <v>15</v>
          </cell>
        </row>
        <row r="7">
          <cell r="A7" t="str">
            <v>BDLE1M</v>
          </cell>
          <cell r="B7" t="str">
            <v>31.03.2026</v>
          </cell>
          <cell r="C7">
            <v>5</v>
          </cell>
          <cell r="D7">
            <v>15</v>
          </cell>
        </row>
        <row r="8">
          <cell r="A8" t="str">
            <v>BDLE1XL</v>
          </cell>
          <cell r="B8" t="str">
            <v>31.03.2026</v>
          </cell>
          <cell r="C8">
            <v>5</v>
          </cell>
          <cell r="D8">
            <v>15</v>
          </cell>
        </row>
        <row r="9">
          <cell r="A9" t="str">
            <v>BDLE1XXL</v>
          </cell>
          <cell r="B9" t="str">
            <v>DOCHÁZÍ</v>
          </cell>
          <cell r="D9">
            <v>10</v>
          </cell>
          <cell r="E9">
            <v>1</v>
          </cell>
        </row>
        <row r="10">
          <cell r="A10" t="str">
            <v>BK1B</v>
          </cell>
          <cell r="B10" t="str">
            <v>VYPRODÁNO</v>
          </cell>
          <cell r="D10">
            <v>0</v>
          </cell>
        </row>
        <row r="11">
          <cell r="A11" t="str">
            <v>BK1B(1)</v>
          </cell>
          <cell r="B11" t="str">
            <v>VYPRODÁNO</v>
          </cell>
          <cell r="D11">
            <v>0</v>
          </cell>
        </row>
        <row r="12">
          <cell r="A12" t="str">
            <v>BK1M</v>
          </cell>
          <cell r="B12" t="str">
            <v>VYPRODÁNO</v>
          </cell>
          <cell r="D12">
            <v>0</v>
          </cell>
        </row>
        <row r="13">
          <cell r="A13" t="str">
            <v>BK1M(1)</v>
          </cell>
          <cell r="B13" t="str">
            <v>VYPRODÁNO</v>
          </cell>
          <cell r="D13">
            <v>0</v>
          </cell>
        </row>
        <row r="14">
          <cell r="A14" t="str">
            <v>BK1P</v>
          </cell>
          <cell r="B14" t="str">
            <v>SKLADEM</v>
          </cell>
          <cell r="D14" t="str">
            <v>100+</v>
          </cell>
        </row>
        <row r="15">
          <cell r="A15" t="str">
            <v>BK1P(1)</v>
          </cell>
          <cell r="B15" t="str">
            <v>31.08.2026</v>
          </cell>
          <cell r="C15">
            <v>158</v>
          </cell>
          <cell r="D15">
            <v>0</v>
          </cell>
        </row>
        <row r="16">
          <cell r="A16" t="str">
            <v>BK1P(2)</v>
          </cell>
          <cell r="B16" t="str">
            <v>VYPRODÁNO</v>
          </cell>
          <cell r="D16">
            <v>0</v>
          </cell>
        </row>
        <row r="17">
          <cell r="A17" t="str">
            <v>BK2V</v>
          </cell>
          <cell r="B17" t="str">
            <v>SKLADEM</v>
          </cell>
          <cell r="D17">
            <v>0</v>
          </cell>
        </row>
        <row r="18">
          <cell r="A18" t="str">
            <v>BK2V(1)</v>
          </cell>
          <cell r="B18" t="str">
            <v>VYPRODÁNO</v>
          </cell>
          <cell r="D18">
            <v>0</v>
          </cell>
        </row>
        <row r="19">
          <cell r="A19" t="str">
            <v>BP30S</v>
          </cell>
          <cell r="B19" t="str">
            <v>SKLADEM</v>
          </cell>
          <cell r="D19">
            <v>0</v>
          </cell>
        </row>
        <row r="20">
          <cell r="A20" t="str">
            <v>BP60S</v>
          </cell>
          <cell r="B20" t="str">
            <v>SKLADEM</v>
          </cell>
          <cell r="D20">
            <v>0</v>
          </cell>
        </row>
        <row r="21">
          <cell r="A21" t="str">
            <v>BP80S</v>
          </cell>
          <cell r="B21" t="str">
            <v>VYPRODÁNO</v>
          </cell>
          <cell r="D21">
            <v>0</v>
          </cell>
        </row>
        <row r="22">
          <cell r="A22" t="str">
            <v>C100008R</v>
          </cell>
          <cell r="B22" t="str">
            <v>VYPRODÁNO</v>
          </cell>
          <cell r="D22">
            <v>0</v>
          </cell>
        </row>
        <row r="23">
          <cell r="A23" t="str">
            <v>C10008R</v>
          </cell>
          <cell r="B23" t="str">
            <v>SKLADEM</v>
          </cell>
          <cell r="D23">
            <v>0</v>
          </cell>
        </row>
        <row r="24">
          <cell r="A24" t="str">
            <v>C10014A</v>
          </cell>
          <cell r="B24" t="str">
            <v>SKLADEM</v>
          </cell>
          <cell r="D24">
            <v>0</v>
          </cell>
        </row>
        <row r="25">
          <cell r="A25" t="str">
            <v>C10014A14</v>
          </cell>
          <cell r="B25" t="str">
            <v>VYPRODÁNO</v>
          </cell>
          <cell r="D25">
            <v>0</v>
          </cell>
        </row>
        <row r="26">
          <cell r="A26" t="str">
            <v>C10014A14 E</v>
          </cell>
          <cell r="B26" t="str">
            <v>VYPRODÁNO</v>
          </cell>
          <cell r="D26">
            <v>0</v>
          </cell>
        </row>
        <row r="27">
          <cell r="A27" t="str">
            <v>C10014L</v>
          </cell>
          <cell r="B27" t="str">
            <v>VYPRODÁNO</v>
          </cell>
          <cell r="D27">
            <v>0</v>
          </cell>
        </row>
        <row r="28">
          <cell r="A28" t="str">
            <v>C10014L14</v>
          </cell>
          <cell r="B28" t="str">
            <v>VYPRODÁNO</v>
          </cell>
          <cell r="D28">
            <v>0</v>
          </cell>
        </row>
        <row r="29">
          <cell r="A29" t="str">
            <v>C10014L14 E</v>
          </cell>
          <cell r="B29" t="str">
            <v>VYPRODÁNO</v>
          </cell>
          <cell r="D29">
            <v>0</v>
          </cell>
        </row>
        <row r="30">
          <cell r="A30" t="str">
            <v>C10020BP14</v>
          </cell>
          <cell r="B30" t="str">
            <v>SKLADEM</v>
          </cell>
          <cell r="D30">
            <v>0</v>
          </cell>
        </row>
        <row r="31">
          <cell r="A31" t="str">
            <v>C10020BPF14</v>
          </cell>
          <cell r="B31" t="str">
            <v>VYPRODÁNO</v>
          </cell>
          <cell r="D31">
            <v>0</v>
          </cell>
        </row>
        <row r="32">
          <cell r="A32" t="str">
            <v>C10020BPS14</v>
          </cell>
          <cell r="B32" t="str">
            <v>SKLADEM</v>
          </cell>
          <cell r="D32">
            <v>0</v>
          </cell>
        </row>
        <row r="33">
          <cell r="A33" t="str">
            <v>C10020BPW14</v>
          </cell>
          <cell r="B33" t="str">
            <v>VYPRODÁNO</v>
          </cell>
          <cell r="D33">
            <v>0</v>
          </cell>
        </row>
        <row r="34">
          <cell r="A34" t="str">
            <v>C10020NID14</v>
          </cell>
          <cell r="B34" t="str">
            <v>31.08.2026</v>
          </cell>
          <cell r="C34">
            <v>158</v>
          </cell>
          <cell r="D34">
            <v>0</v>
          </cell>
        </row>
        <row r="35">
          <cell r="A35" t="str">
            <v>C10020XBP14</v>
          </cell>
          <cell r="B35" t="str">
            <v>SKLADEM</v>
          </cell>
          <cell r="D35">
            <v>0</v>
          </cell>
        </row>
        <row r="36">
          <cell r="A36" t="str">
            <v>C10020XBPW14</v>
          </cell>
          <cell r="B36" t="str">
            <v>DOCHÁZÍ</v>
          </cell>
          <cell r="D36">
            <v>0</v>
          </cell>
          <cell r="E36">
            <v>54</v>
          </cell>
        </row>
        <row r="37">
          <cell r="A37" t="str">
            <v>C10020XBPW14 E</v>
          </cell>
          <cell r="B37" t="str">
            <v>VYPRODÁNO</v>
          </cell>
          <cell r="D37">
            <v>0</v>
          </cell>
        </row>
        <row r="38">
          <cell r="A38" t="str">
            <v>C10020XPR14</v>
          </cell>
          <cell r="B38" t="str">
            <v>SKLADEM</v>
          </cell>
          <cell r="D38">
            <v>0</v>
          </cell>
        </row>
        <row r="39">
          <cell r="A39" t="str">
            <v>C10020XPR14 E</v>
          </cell>
          <cell r="B39" t="str">
            <v>VYPRODÁNO</v>
          </cell>
          <cell r="D39">
            <v>0</v>
          </cell>
        </row>
        <row r="40">
          <cell r="A40" t="str">
            <v>C10020XTS14</v>
          </cell>
          <cell r="B40" t="str">
            <v>SKLADEM</v>
          </cell>
          <cell r="D40">
            <v>0</v>
          </cell>
        </row>
        <row r="41">
          <cell r="A41" t="str">
            <v>C10025B</v>
          </cell>
          <cell r="B41" t="str">
            <v>VYPRODÁNO</v>
          </cell>
          <cell r="D41">
            <v>0</v>
          </cell>
        </row>
        <row r="42">
          <cell r="A42" t="str">
            <v>C10025B E</v>
          </cell>
          <cell r="B42" t="str">
            <v>VYPRODÁNO</v>
          </cell>
          <cell r="D42">
            <v>0</v>
          </cell>
        </row>
        <row r="43">
          <cell r="A43" t="str">
            <v>C10025BP</v>
          </cell>
          <cell r="B43" t="str">
            <v>VYPRODÁNO</v>
          </cell>
          <cell r="D43">
            <v>0</v>
          </cell>
        </row>
        <row r="44">
          <cell r="A44" t="str">
            <v>C10025BPS</v>
          </cell>
          <cell r="B44" t="str">
            <v>SKLADEM</v>
          </cell>
          <cell r="D44" t="str">
            <v>100+</v>
          </cell>
        </row>
        <row r="45">
          <cell r="A45" t="str">
            <v>C10025BPW/C14</v>
          </cell>
          <cell r="B45" t="str">
            <v>SKLADEM</v>
          </cell>
          <cell r="D45">
            <v>0</v>
          </cell>
        </row>
        <row r="46">
          <cell r="A46" t="str">
            <v>C10025BPW/C14(T)</v>
          </cell>
          <cell r="B46" t="str">
            <v>SKLADEM</v>
          </cell>
          <cell r="D46">
            <v>0</v>
          </cell>
        </row>
        <row r="47">
          <cell r="A47" t="str">
            <v>C10025COMA</v>
          </cell>
          <cell r="B47" t="str">
            <v>VYPRODÁNO</v>
          </cell>
          <cell r="D47">
            <v>0</v>
          </cell>
        </row>
        <row r="48">
          <cell r="A48" t="str">
            <v>C10025COMB</v>
          </cell>
          <cell r="B48" t="str">
            <v>VYPRODÁNO</v>
          </cell>
          <cell r="D48">
            <v>0</v>
          </cell>
        </row>
        <row r="49">
          <cell r="A49" t="str">
            <v>C10025I</v>
          </cell>
          <cell r="B49" t="str">
            <v>SKLADEM</v>
          </cell>
          <cell r="D49">
            <v>0</v>
          </cell>
        </row>
        <row r="50">
          <cell r="A50" t="str">
            <v>C10025I E</v>
          </cell>
          <cell r="B50" t="str">
            <v>VYPRODÁNO</v>
          </cell>
          <cell r="D50">
            <v>0</v>
          </cell>
        </row>
        <row r="51">
          <cell r="A51" t="str">
            <v>C10025P</v>
          </cell>
          <cell r="B51" t="str">
            <v>VYPRODÁNO</v>
          </cell>
          <cell r="D51">
            <v>0</v>
          </cell>
        </row>
        <row r="52">
          <cell r="A52" t="str">
            <v>C10025PR1</v>
          </cell>
          <cell r="B52" t="str">
            <v>SKLADEM</v>
          </cell>
          <cell r="D52">
            <v>0</v>
          </cell>
        </row>
        <row r="53">
          <cell r="A53" t="str">
            <v>C10025PR2</v>
          </cell>
          <cell r="B53" t="str">
            <v>VYPRODÁNO</v>
          </cell>
          <cell r="D53">
            <v>0</v>
          </cell>
        </row>
        <row r="54">
          <cell r="A54" t="str">
            <v>C10025S</v>
          </cell>
          <cell r="B54" t="str">
            <v>VYPRODÁNO</v>
          </cell>
          <cell r="D54">
            <v>0</v>
          </cell>
        </row>
        <row r="55">
          <cell r="A55" t="str">
            <v>C10025S E</v>
          </cell>
          <cell r="B55" t="str">
            <v>VYPRODÁNO</v>
          </cell>
          <cell r="D55">
            <v>0</v>
          </cell>
        </row>
        <row r="56">
          <cell r="A56" t="str">
            <v>C10025SIG/C</v>
          </cell>
          <cell r="B56" t="str">
            <v>SKLADEM</v>
          </cell>
          <cell r="D56">
            <v>75</v>
          </cell>
        </row>
        <row r="57">
          <cell r="A57" t="str">
            <v>C10025SIG/C(T)</v>
          </cell>
          <cell r="B57" t="str">
            <v>SKLADEM</v>
          </cell>
          <cell r="D57">
            <v>0</v>
          </cell>
        </row>
        <row r="58">
          <cell r="A58" t="str">
            <v>C10025SIG/IC14</v>
          </cell>
          <cell r="B58" t="str">
            <v>VYPRODÁNO</v>
          </cell>
          <cell r="D58">
            <v>0</v>
          </cell>
        </row>
        <row r="59">
          <cell r="A59" t="str">
            <v>C10025X E</v>
          </cell>
          <cell r="B59" t="str">
            <v>VYPRODÁNO</v>
          </cell>
          <cell r="D59">
            <v>0</v>
          </cell>
        </row>
        <row r="60">
          <cell r="A60" t="str">
            <v>C10030XF/C14</v>
          </cell>
          <cell r="B60" t="str">
            <v>SKLADEM</v>
          </cell>
          <cell r="D60">
            <v>0</v>
          </cell>
        </row>
        <row r="61">
          <cell r="A61" t="str">
            <v>C10030XF/C14(T)</v>
          </cell>
          <cell r="B61" t="str">
            <v>SKLADEM</v>
          </cell>
          <cell r="D61">
            <v>0</v>
          </cell>
        </row>
        <row r="62">
          <cell r="A62" t="str">
            <v>C1003AD</v>
          </cell>
          <cell r="B62" t="str">
            <v>VYPRODÁNO</v>
          </cell>
          <cell r="D62">
            <v>0</v>
          </cell>
        </row>
        <row r="63">
          <cell r="A63" t="str">
            <v>C1003B</v>
          </cell>
          <cell r="B63" t="str">
            <v>VYPRODÁNO</v>
          </cell>
          <cell r="D63">
            <v>0</v>
          </cell>
        </row>
        <row r="64">
          <cell r="A64" t="str">
            <v>C1003B/C14</v>
          </cell>
          <cell r="B64" t="str">
            <v>VYPRODÁNO</v>
          </cell>
          <cell r="D64">
            <v>0</v>
          </cell>
        </row>
        <row r="65">
          <cell r="A65" t="str">
            <v>C1003B/C14(T)</v>
          </cell>
          <cell r="B65" t="str">
            <v>VYPRODÁNO</v>
          </cell>
          <cell r="D65">
            <v>0</v>
          </cell>
        </row>
        <row r="66">
          <cell r="A66" t="str">
            <v>C1003BB/C</v>
          </cell>
          <cell r="B66" t="str">
            <v>DOCHÁZÍ</v>
          </cell>
          <cell r="D66">
            <v>0</v>
          </cell>
          <cell r="E66">
            <v>62</v>
          </cell>
        </row>
        <row r="67">
          <cell r="A67" t="str">
            <v>C1003BB/C(T)</v>
          </cell>
          <cell r="B67" t="str">
            <v>DOCHÁZÍ</v>
          </cell>
          <cell r="D67">
            <v>0</v>
          </cell>
          <cell r="E67">
            <v>62</v>
          </cell>
        </row>
        <row r="68">
          <cell r="A68" t="str">
            <v>C1003BO/C</v>
          </cell>
          <cell r="B68" t="str">
            <v>VYPRODÁNO</v>
          </cell>
          <cell r="D68">
            <v>0</v>
          </cell>
        </row>
        <row r="69">
          <cell r="A69" t="str">
            <v>C1003BO/C(T)</v>
          </cell>
          <cell r="B69" t="str">
            <v>VYPRODÁNO</v>
          </cell>
          <cell r="D69">
            <v>0</v>
          </cell>
        </row>
        <row r="70">
          <cell r="A70" t="str">
            <v>C1003BO/C14</v>
          </cell>
          <cell r="B70" t="str">
            <v>VYPRODÁNO</v>
          </cell>
          <cell r="D70">
            <v>0</v>
          </cell>
        </row>
        <row r="71">
          <cell r="A71" t="str">
            <v>C1003BO/C14 E</v>
          </cell>
          <cell r="B71" t="str">
            <v>VYPRODÁNO</v>
          </cell>
          <cell r="D71">
            <v>0</v>
          </cell>
        </row>
        <row r="72">
          <cell r="A72" t="str">
            <v>C1003BP/C</v>
          </cell>
          <cell r="B72" t="str">
            <v>VYPRODÁNO</v>
          </cell>
          <cell r="D72">
            <v>0</v>
          </cell>
        </row>
        <row r="73">
          <cell r="A73" t="str">
            <v>C1003BP/C(T)</v>
          </cell>
          <cell r="B73" t="str">
            <v>VYPRODÁNO</v>
          </cell>
          <cell r="D73">
            <v>0</v>
          </cell>
        </row>
        <row r="74">
          <cell r="A74" t="str">
            <v>C1003BPF/C</v>
          </cell>
          <cell r="B74" t="str">
            <v>VYPRODÁNO</v>
          </cell>
          <cell r="D74">
            <v>0</v>
          </cell>
        </row>
        <row r="75">
          <cell r="A75" t="str">
            <v>C1003BPF/C(T)</v>
          </cell>
          <cell r="B75" t="str">
            <v>VYPRODÁNO</v>
          </cell>
          <cell r="D75">
            <v>0</v>
          </cell>
        </row>
        <row r="76">
          <cell r="A76" t="str">
            <v>C1003BPS/C</v>
          </cell>
          <cell r="B76" t="str">
            <v>SKLADEM</v>
          </cell>
          <cell r="D76">
            <v>0</v>
          </cell>
        </row>
        <row r="77">
          <cell r="A77" t="str">
            <v>C1003BPW/C14</v>
          </cell>
          <cell r="B77" t="str">
            <v>VYPRODÁNO</v>
          </cell>
          <cell r="D77">
            <v>0</v>
          </cell>
        </row>
        <row r="78">
          <cell r="A78" t="str">
            <v>C1003BPW/C14(T)</v>
          </cell>
          <cell r="B78" t="str">
            <v>VYPRODÁNO</v>
          </cell>
          <cell r="D78">
            <v>0</v>
          </cell>
        </row>
        <row r="79">
          <cell r="A79" t="str">
            <v>C1003C</v>
          </cell>
          <cell r="B79" t="str">
            <v>VYPRODÁNO</v>
          </cell>
          <cell r="D79">
            <v>0</v>
          </cell>
        </row>
        <row r="80">
          <cell r="A80" t="str">
            <v>C1003D</v>
          </cell>
          <cell r="B80" t="str">
            <v>VYPRODÁNO</v>
          </cell>
          <cell r="D80">
            <v>0</v>
          </cell>
        </row>
        <row r="81">
          <cell r="A81" t="str">
            <v>C1003DU/C</v>
          </cell>
          <cell r="B81" t="str">
            <v>VYPRODÁNO</v>
          </cell>
          <cell r="D81">
            <v>0</v>
          </cell>
        </row>
        <row r="82">
          <cell r="A82" t="str">
            <v>C1003DU/C(T)</v>
          </cell>
          <cell r="B82" t="str">
            <v>VYPRODÁNO</v>
          </cell>
          <cell r="D82">
            <v>0</v>
          </cell>
        </row>
        <row r="83">
          <cell r="A83" t="str">
            <v>C1003E</v>
          </cell>
          <cell r="B83" t="str">
            <v>VYPRODÁNO</v>
          </cell>
          <cell r="D83">
            <v>0</v>
          </cell>
        </row>
        <row r="84">
          <cell r="A84" t="str">
            <v>C1003F</v>
          </cell>
          <cell r="B84" t="str">
            <v>VYPRODÁNO</v>
          </cell>
          <cell r="D84">
            <v>0</v>
          </cell>
        </row>
        <row r="85">
          <cell r="A85" t="str">
            <v>C1003F/C</v>
          </cell>
          <cell r="B85" t="str">
            <v>SKLADEM</v>
          </cell>
          <cell r="D85">
            <v>0</v>
          </cell>
        </row>
        <row r="86">
          <cell r="A86" t="str">
            <v>C1003F/C14</v>
          </cell>
          <cell r="B86" t="str">
            <v>SKLADEM</v>
          </cell>
          <cell r="D86">
            <v>0</v>
          </cell>
        </row>
        <row r="87">
          <cell r="A87" t="str">
            <v>C1003H</v>
          </cell>
          <cell r="B87" t="str">
            <v>VYPRODÁNO</v>
          </cell>
          <cell r="D87">
            <v>0</v>
          </cell>
        </row>
        <row r="88">
          <cell r="A88" t="str">
            <v>C1003CH</v>
          </cell>
          <cell r="B88" t="str">
            <v>VYPRODÁNO</v>
          </cell>
          <cell r="D88">
            <v>0</v>
          </cell>
        </row>
        <row r="89">
          <cell r="A89" t="str">
            <v>C1003I</v>
          </cell>
          <cell r="B89" t="str">
            <v>VYPRODÁNO</v>
          </cell>
          <cell r="D89">
            <v>0</v>
          </cell>
        </row>
        <row r="90">
          <cell r="A90" t="str">
            <v>C1003J</v>
          </cell>
          <cell r="B90" t="str">
            <v>VYPRODÁNO</v>
          </cell>
          <cell r="D90">
            <v>0</v>
          </cell>
        </row>
        <row r="91">
          <cell r="A91" t="str">
            <v>C1003K</v>
          </cell>
          <cell r="B91" t="str">
            <v>VYPRODÁNO</v>
          </cell>
          <cell r="D91">
            <v>0</v>
          </cell>
        </row>
        <row r="92">
          <cell r="A92" t="str">
            <v>C1003L</v>
          </cell>
          <cell r="B92" t="str">
            <v>VYPRODÁNO</v>
          </cell>
          <cell r="D92">
            <v>0</v>
          </cell>
        </row>
        <row r="93">
          <cell r="A93" t="str">
            <v>C1003M</v>
          </cell>
          <cell r="B93" t="str">
            <v>VYPRODÁNO</v>
          </cell>
          <cell r="D93">
            <v>0</v>
          </cell>
        </row>
        <row r="94">
          <cell r="A94" t="str">
            <v>C1003NID/C</v>
          </cell>
          <cell r="B94" t="str">
            <v>VYPRODÁNO</v>
          </cell>
          <cell r="D94">
            <v>0</v>
          </cell>
        </row>
        <row r="95">
          <cell r="A95" t="str">
            <v>C1003NID/C(T)</v>
          </cell>
          <cell r="B95" t="str">
            <v>VYPRODÁNO</v>
          </cell>
          <cell r="D95">
            <v>0</v>
          </cell>
        </row>
        <row r="96">
          <cell r="A96" t="str">
            <v>C1003NO/C14</v>
          </cell>
          <cell r="B96" t="str">
            <v>VYPRODÁNO</v>
          </cell>
          <cell r="D96">
            <v>0</v>
          </cell>
        </row>
        <row r="97">
          <cell r="A97" t="str">
            <v>C1003NO/C14(T)</v>
          </cell>
          <cell r="B97" t="str">
            <v>VYPRODÁNO</v>
          </cell>
          <cell r="D97">
            <v>0</v>
          </cell>
        </row>
        <row r="98">
          <cell r="A98" t="str">
            <v>C1003O</v>
          </cell>
          <cell r="B98" t="str">
            <v>VYPRODÁNO</v>
          </cell>
          <cell r="D98">
            <v>0</v>
          </cell>
        </row>
        <row r="99">
          <cell r="A99" t="str">
            <v>C1003P</v>
          </cell>
          <cell r="B99" t="str">
            <v>VYPRODÁNO</v>
          </cell>
          <cell r="D99">
            <v>0</v>
          </cell>
        </row>
        <row r="100">
          <cell r="A100" t="str">
            <v>C1003Q</v>
          </cell>
          <cell r="B100" t="str">
            <v>VYPRODÁNO</v>
          </cell>
          <cell r="D100">
            <v>0</v>
          </cell>
        </row>
        <row r="101">
          <cell r="A101" t="str">
            <v>C1003R</v>
          </cell>
          <cell r="B101" t="str">
            <v>VYPRODÁNO</v>
          </cell>
          <cell r="D101">
            <v>0</v>
          </cell>
        </row>
        <row r="102">
          <cell r="A102" t="str">
            <v>C1003S</v>
          </cell>
          <cell r="B102" t="str">
            <v>VYPRODÁNO</v>
          </cell>
          <cell r="D102">
            <v>0</v>
          </cell>
        </row>
        <row r="103">
          <cell r="A103" t="str">
            <v>C1003SIG/C</v>
          </cell>
          <cell r="B103" t="str">
            <v>SKLADEM</v>
          </cell>
          <cell r="D103">
            <v>0</v>
          </cell>
        </row>
        <row r="104">
          <cell r="A104" t="str">
            <v>C1003SIG/C(T)</v>
          </cell>
          <cell r="B104" t="str">
            <v>SKLADEM</v>
          </cell>
          <cell r="D104">
            <v>0</v>
          </cell>
        </row>
        <row r="105">
          <cell r="A105" t="str">
            <v>C1003T</v>
          </cell>
          <cell r="B105" t="str">
            <v>VYPRODÁNO</v>
          </cell>
          <cell r="D105">
            <v>0</v>
          </cell>
        </row>
        <row r="106">
          <cell r="A106" t="str">
            <v>C1003U</v>
          </cell>
          <cell r="B106" t="str">
            <v>VYPRODÁNO</v>
          </cell>
          <cell r="D106">
            <v>0</v>
          </cell>
        </row>
        <row r="107">
          <cell r="A107" t="str">
            <v>C1003V</v>
          </cell>
          <cell r="B107" t="str">
            <v>VYPRODÁNO</v>
          </cell>
          <cell r="D107">
            <v>0</v>
          </cell>
        </row>
        <row r="108">
          <cell r="A108" t="str">
            <v>C1003VS/C</v>
          </cell>
          <cell r="B108" t="str">
            <v>DOCHÁZÍ</v>
          </cell>
          <cell r="D108">
            <v>0</v>
          </cell>
          <cell r="E108">
            <v>59</v>
          </cell>
        </row>
        <row r="109">
          <cell r="A109" t="str">
            <v>C1003VS/C(T)</v>
          </cell>
          <cell r="B109" t="str">
            <v>DOCHÁZÍ</v>
          </cell>
          <cell r="D109">
            <v>0</v>
          </cell>
          <cell r="E109">
            <v>59</v>
          </cell>
        </row>
        <row r="110">
          <cell r="A110" t="str">
            <v>C1003W</v>
          </cell>
          <cell r="B110" t="str">
            <v>VYPRODÁNO</v>
          </cell>
          <cell r="D110">
            <v>0</v>
          </cell>
        </row>
        <row r="111">
          <cell r="A111" t="str">
            <v>C1003W/C</v>
          </cell>
          <cell r="B111" t="str">
            <v>VYPRODÁNO</v>
          </cell>
          <cell r="D111">
            <v>0</v>
          </cell>
        </row>
        <row r="112">
          <cell r="A112" t="str">
            <v>C1003W/C(T)</v>
          </cell>
          <cell r="B112" t="str">
            <v>VYPRODÁNO</v>
          </cell>
          <cell r="D112">
            <v>0</v>
          </cell>
        </row>
        <row r="113">
          <cell r="A113" t="str">
            <v>C1003W/C14</v>
          </cell>
          <cell r="B113" t="str">
            <v>VYPRODÁNO</v>
          </cell>
          <cell r="D113">
            <v>0</v>
          </cell>
        </row>
        <row r="114">
          <cell r="A114" t="str">
            <v>C1003W/C14 E</v>
          </cell>
          <cell r="B114" t="str">
            <v>VYPRODÁNO</v>
          </cell>
          <cell r="D114">
            <v>0</v>
          </cell>
        </row>
        <row r="115">
          <cell r="A115" t="str">
            <v>C1003W/C14(T)</v>
          </cell>
          <cell r="B115" t="str">
            <v>VYPRODÁNO</v>
          </cell>
          <cell r="D115">
            <v>0</v>
          </cell>
        </row>
        <row r="116">
          <cell r="A116" t="str">
            <v>C1003WT</v>
          </cell>
          <cell r="B116" t="str">
            <v>VYPRODÁNO</v>
          </cell>
          <cell r="D116">
            <v>0</v>
          </cell>
        </row>
        <row r="117">
          <cell r="A117" t="str">
            <v>C1003X</v>
          </cell>
          <cell r="B117" t="str">
            <v>VYPRODÁNO</v>
          </cell>
          <cell r="D117">
            <v>0</v>
          </cell>
        </row>
        <row r="118">
          <cell r="A118" t="str">
            <v>C1003Y</v>
          </cell>
          <cell r="B118" t="str">
            <v>VYPRODÁNO</v>
          </cell>
          <cell r="D118">
            <v>0</v>
          </cell>
        </row>
        <row r="119">
          <cell r="A119" t="str">
            <v>C1008CC</v>
          </cell>
          <cell r="B119" t="str">
            <v>31.08.2026</v>
          </cell>
          <cell r="C119">
            <v>158</v>
          </cell>
          <cell r="D119">
            <v>0</v>
          </cell>
        </row>
        <row r="120">
          <cell r="A120" t="str">
            <v>C100MB</v>
          </cell>
          <cell r="B120" t="str">
            <v>VYPRODÁNO</v>
          </cell>
          <cell r="D120">
            <v>0</v>
          </cell>
        </row>
        <row r="121">
          <cell r="A121" t="str">
            <v>C100MN</v>
          </cell>
          <cell r="B121" t="str">
            <v>SKLADEM</v>
          </cell>
          <cell r="D121">
            <v>0</v>
          </cell>
        </row>
        <row r="122">
          <cell r="A122" t="str">
            <v>C100MPT</v>
          </cell>
          <cell r="B122" t="str">
            <v>SKLADEM</v>
          </cell>
          <cell r="D122">
            <v>0</v>
          </cell>
        </row>
        <row r="123">
          <cell r="A123" t="str">
            <v>C100MPT/C14</v>
          </cell>
          <cell r="B123" t="str">
            <v>SKLADEM</v>
          </cell>
          <cell r="D123">
            <v>0</v>
          </cell>
        </row>
        <row r="124">
          <cell r="A124" t="str">
            <v>C100MPT/C14(T)</v>
          </cell>
          <cell r="B124" t="str">
            <v>SKLADEM</v>
          </cell>
          <cell r="D124">
            <v>0</v>
          </cell>
        </row>
        <row r="125">
          <cell r="A125" t="str">
            <v>C100MTS/C14</v>
          </cell>
          <cell r="B125" t="str">
            <v>SKLADEM</v>
          </cell>
          <cell r="D125">
            <v>0</v>
          </cell>
        </row>
        <row r="126">
          <cell r="A126" t="str">
            <v>C100MTS/C14(T)</v>
          </cell>
          <cell r="B126" t="str">
            <v>SKLADEM</v>
          </cell>
          <cell r="D126">
            <v>0</v>
          </cell>
        </row>
        <row r="127">
          <cell r="A127" t="str">
            <v>C10545GI/C</v>
          </cell>
          <cell r="B127" t="str">
            <v>SKLADEM</v>
          </cell>
          <cell r="D127">
            <v>0</v>
          </cell>
        </row>
        <row r="128">
          <cell r="A128" t="str">
            <v>C10545GI/C(T)</v>
          </cell>
          <cell r="B128" t="str">
            <v>SKLADEM</v>
          </cell>
          <cell r="D128">
            <v>0</v>
          </cell>
        </row>
        <row r="129">
          <cell r="A129" t="str">
            <v>C105M1</v>
          </cell>
          <cell r="B129" t="str">
            <v>VYPRODÁNO</v>
          </cell>
          <cell r="D129">
            <v>0</v>
          </cell>
        </row>
        <row r="130">
          <cell r="A130" t="str">
            <v>C105M2</v>
          </cell>
          <cell r="B130" t="str">
            <v>VYPRODÁNO</v>
          </cell>
          <cell r="D130">
            <v>0</v>
          </cell>
        </row>
        <row r="131">
          <cell r="A131" t="str">
            <v>C106MB</v>
          </cell>
          <cell r="B131" t="str">
            <v>SKLADEM</v>
          </cell>
          <cell r="D131" t="str">
            <v>100+</v>
          </cell>
        </row>
        <row r="132">
          <cell r="A132" t="str">
            <v>C106MB E</v>
          </cell>
          <cell r="B132" t="str">
            <v>VYPRODÁNO</v>
          </cell>
          <cell r="D132">
            <v>0</v>
          </cell>
        </row>
        <row r="133">
          <cell r="A133" t="str">
            <v>C106MH</v>
          </cell>
          <cell r="B133" t="str">
            <v>SKLADEM</v>
          </cell>
          <cell r="D133">
            <v>0</v>
          </cell>
        </row>
        <row r="134">
          <cell r="A134" t="str">
            <v>C106MH E</v>
          </cell>
          <cell r="B134" t="str">
            <v>VYPRODÁNO</v>
          </cell>
          <cell r="D134">
            <v>0</v>
          </cell>
        </row>
        <row r="135">
          <cell r="A135" t="str">
            <v>C109MD</v>
          </cell>
          <cell r="B135" t="str">
            <v>VYPRODÁNO</v>
          </cell>
          <cell r="D135">
            <v>0</v>
          </cell>
        </row>
        <row r="136">
          <cell r="A136" t="str">
            <v>C109MD/P</v>
          </cell>
          <cell r="B136" t="str">
            <v>VYPRODÁNO</v>
          </cell>
          <cell r="D136">
            <v>0</v>
          </cell>
        </row>
        <row r="137">
          <cell r="A137" t="str">
            <v>C109MG</v>
          </cell>
          <cell r="B137" t="str">
            <v>SKLADEM</v>
          </cell>
          <cell r="D137">
            <v>0</v>
          </cell>
        </row>
        <row r="138">
          <cell r="A138" t="str">
            <v>C109MG/P</v>
          </cell>
          <cell r="B138" t="str">
            <v>VYPRODÁNO</v>
          </cell>
          <cell r="D138">
            <v>0</v>
          </cell>
        </row>
        <row r="139">
          <cell r="A139" t="str">
            <v>C109MM</v>
          </cell>
          <cell r="B139" t="str">
            <v>SKLADEM</v>
          </cell>
          <cell r="D139">
            <v>0</v>
          </cell>
        </row>
        <row r="140">
          <cell r="A140" t="str">
            <v>C111MA</v>
          </cell>
          <cell r="B140" t="str">
            <v>VYPRODÁNO</v>
          </cell>
          <cell r="D140">
            <v>0</v>
          </cell>
        </row>
        <row r="141">
          <cell r="A141" t="str">
            <v>C111MF/C</v>
          </cell>
          <cell r="B141" t="str">
            <v>VYPRODÁNO</v>
          </cell>
          <cell r="D141">
            <v>0</v>
          </cell>
        </row>
        <row r="142">
          <cell r="A142" t="str">
            <v>C111MF/C(T)</v>
          </cell>
          <cell r="B142" t="str">
            <v>VYPRODÁNO</v>
          </cell>
          <cell r="D142">
            <v>0</v>
          </cell>
        </row>
        <row r="143">
          <cell r="A143" t="str">
            <v>C1163MB/C</v>
          </cell>
          <cell r="B143" t="str">
            <v>VYPRODÁNO</v>
          </cell>
          <cell r="D143">
            <v>0</v>
          </cell>
        </row>
        <row r="144">
          <cell r="A144" t="str">
            <v>C1163MB/C14</v>
          </cell>
          <cell r="B144" t="str">
            <v>DOCHÁZÍ</v>
          </cell>
          <cell r="D144">
            <v>0</v>
          </cell>
          <cell r="E144">
            <v>11</v>
          </cell>
        </row>
        <row r="145">
          <cell r="A145" t="str">
            <v>C1163MB/C14 E</v>
          </cell>
          <cell r="B145" t="str">
            <v>VYPRODÁNO</v>
          </cell>
          <cell r="D145">
            <v>0</v>
          </cell>
        </row>
        <row r="146">
          <cell r="A146" t="str">
            <v>C1163MB/C14(T)</v>
          </cell>
          <cell r="B146" t="str">
            <v>DOCHÁZÍ</v>
          </cell>
          <cell r="D146">
            <v>0</v>
          </cell>
          <cell r="E146">
            <v>11</v>
          </cell>
        </row>
        <row r="147">
          <cell r="A147" t="str">
            <v>C12230XPT/C14</v>
          </cell>
          <cell r="B147" t="str">
            <v>SKLADEM</v>
          </cell>
          <cell r="D147">
            <v>0</v>
          </cell>
        </row>
        <row r="148">
          <cell r="A148" t="str">
            <v>C12230XPT/C14(T)</v>
          </cell>
          <cell r="B148" t="str">
            <v>SKLADEM</v>
          </cell>
          <cell r="D148">
            <v>0</v>
          </cell>
        </row>
        <row r="149">
          <cell r="A149" t="str">
            <v>C123MSIG/C</v>
          </cell>
          <cell r="B149" t="str">
            <v>VYPRODÁNO</v>
          </cell>
          <cell r="D149">
            <v>0</v>
          </cell>
        </row>
        <row r="150">
          <cell r="A150" t="str">
            <v>C123MSIG/C(T)</v>
          </cell>
          <cell r="B150" t="str">
            <v>VYPRODÁNO</v>
          </cell>
          <cell r="D150">
            <v>0</v>
          </cell>
        </row>
        <row r="151">
          <cell r="A151" t="str">
            <v>C123MSIG/I14C</v>
          </cell>
          <cell r="B151" t="str">
            <v>VYPRODÁNO</v>
          </cell>
          <cell r="D151">
            <v>0</v>
          </cell>
        </row>
        <row r="152">
          <cell r="A152" t="str">
            <v>C123MSIG/I14C(T)</v>
          </cell>
          <cell r="B152" t="str">
            <v>VYPRODÁNO</v>
          </cell>
          <cell r="D152">
            <v>0</v>
          </cell>
        </row>
        <row r="153">
          <cell r="A153" t="str">
            <v>C12820F/C</v>
          </cell>
          <cell r="B153" t="str">
            <v>14.04.2026</v>
          </cell>
          <cell r="C153">
            <v>19</v>
          </cell>
          <cell r="D153" t="str">
            <v>100+</v>
          </cell>
        </row>
        <row r="154">
          <cell r="A154" t="str">
            <v>C12820F/C(T)</v>
          </cell>
          <cell r="B154" t="str">
            <v>14.04.2026</v>
          </cell>
          <cell r="C154">
            <v>19</v>
          </cell>
          <cell r="D154">
            <v>0</v>
          </cell>
        </row>
        <row r="155">
          <cell r="A155" t="str">
            <v>C12820F/C14</v>
          </cell>
          <cell r="B155" t="str">
            <v>SKLADEM</v>
          </cell>
          <cell r="D155">
            <v>0</v>
          </cell>
        </row>
        <row r="156">
          <cell r="A156" t="str">
            <v>C12820F/C14 E</v>
          </cell>
          <cell r="B156" t="str">
            <v>VYPRODÁNO</v>
          </cell>
          <cell r="D156">
            <v>0</v>
          </cell>
        </row>
        <row r="157">
          <cell r="A157" t="str">
            <v>C12820F/C14(T)</v>
          </cell>
          <cell r="B157" t="str">
            <v>SKLADEM</v>
          </cell>
          <cell r="D157">
            <v>0</v>
          </cell>
        </row>
        <row r="158">
          <cell r="A158" t="str">
            <v>C12820NID/C</v>
          </cell>
          <cell r="B158" t="str">
            <v>VYPRODÁNO</v>
          </cell>
          <cell r="D158">
            <v>0</v>
          </cell>
        </row>
        <row r="159">
          <cell r="A159" t="str">
            <v>C12820NID/C(T)</v>
          </cell>
          <cell r="B159" t="str">
            <v>VYPRODÁNO</v>
          </cell>
          <cell r="D159">
            <v>0</v>
          </cell>
        </row>
        <row r="160">
          <cell r="A160" t="str">
            <v>C1283XMZ2</v>
          </cell>
          <cell r="B160" t="str">
            <v>VYPRODÁNO</v>
          </cell>
          <cell r="D160">
            <v>0</v>
          </cell>
        </row>
        <row r="161">
          <cell r="A161" t="str">
            <v>C1283Z</v>
          </cell>
          <cell r="B161" t="str">
            <v>VYPRODÁNO</v>
          </cell>
          <cell r="D161">
            <v>0</v>
          </cell>
        </row>
        <row r="162">
          <cell r="A162" t="str">
            <v>C128MS/C</v>
          </cell>
          <cell r="B162" t="str">
            <v>VYPRODÁNO</v>
          </cell>
          <cell r="D162">
            <v>0</v>
          </cell>
        </row>
        <row r="163">
          <cell r="A163" t="str">
            <v>C128MS/C E</v>
          </cell>
          <cell r="B163" t="str">
            <v>VYPRODÁNO</v>
          </cell>
          <cell r="D163">
            <v>0</v>
          </cell>
        </row>
        <row r="164">
          <cell r="A164" t="str">
            <v>C128MS/C(T)</v>
          </cell>
          <cell r="B164" t="str">
            <v>VYPRODÁNO</v>
          </cell>
          <cell r="D164">
            <v>0</v>
          </cell>
        </row>
        <row r="165">
          <cell r="A165" t="str">
            <v>C128MS/C14</v>
          </cell>
          <cell r="B165" t="str">
            <v>SKLADEM</v>
          </cell>
          <cell r="D165" t="str">
            <v>100+</v>
          </cell>
        </row>
        <row r="166">
          <cell r="A166" t="str">
            <v>C128MS/C14(T)</v>
          </cell>
          <cell r="B166" t="str">
            <v>SKLADEM</v>
          </cell>
          <cell r="D166">
            <v>0</v>
          </cell>
        </row>
        <row r="167">
          <cell r="A167" t="str">
            <v>C128XMB/C</v>
          </cell>
          <cell r="B167" t="str">
            <v>SKLADEM</v>
          </cell>
          <cell r="D167">
            <v>0</v>
          </cell>
        </row>
        <row r="168">
          <cell r="A168" t="str">
            <v>C128XMB/C E</v>
          </cell>
          <cell r="B168" t="str">
            <v>VYPRODÁNO</v>
          </cell>
          <cell r="D168">
            <v>0</v>
          </cell>
        </row>
        <row r="169">
          <cell r="A169" t="str">
            <v>C128XMB/C(T)</v>
          </cell>
          <cell r="B169" t="str">
            <v>SKLADEM</v>
          </cell>
          <cell r="D169">
            <v>0</v>
          </cell>
        </row>
        <row r="170">
          <cell r="A170" t="str">
            <v>C128XMB/C14</v>
          </cell>
          <cell r="B170" t="str">
            <v>VYPRODÁNO</v>
          </cell>
          <cell r="D170">
            <v>0</v>
          </cell>
        </row>
        <row r="171">
          <cell r="A171" t="str">
            <v>C128XMPT/C</v>
          </cell>
          <cell r="B171" t="str">
            <v>SKLADEM</v>
          </cell>
          <cell r="D171">
            <v>0</v>
          </cell>
        </row>
        <row r="172">
          <cell r="A172" t="str">
            <v>C128XMPT/C(T)</v>
          </cell>
          <cell r="B172" t="str">
            <v>SKLADEM</v>
          </cell>
          <cell r="D172">
            <v>0</v>
          </cell>
        </row>
        <row r="173">
          <cell r="A173" t="str">
            <v>C13020B</v>
          </cell>
          <cell r="B173" t="str">
            <v>31.08.2026</v>
          </cell>
          <cell r="C173">
            <v>158</v>
          </cell>
          <cell r="D173">
            <v>0</v>
          </cell>
        </row>
        <row r="174">
          <cell r="A174" t="str">
            <v>C13020B E</v>
          </cell>
          <cell r="B174" t="str">
            <v>VYPRODÁNO</v>
          </cell>
          <cell r="D174">
            <v>0</v>
          </cell>
        </row>
        <row r="175">
          <cell r="A175" t="str">
            <v>C13020BP</v>
          </cell>
          <cell r="B175" t="str">
            <v>DOCHÁZÍ</v>
          </cell>
          <cell r="D175" t="str">
            <v>100+</v>
          </cell>
          <cell r="E175">
            <v>15</v>
          </cell>
        </row>
        <row r="176">
          <cell r="A176" t="str">
            <v>C13020F</v>
          </cell>
          <cell r="B176" t="str">
            <v>VYPRODÁNO</v>
          </cell>
          <cell r="D176">
            <v>0</v>
          </cell>
        </row>
        <row r="177">
          <cell r="A177" t="str">
            <v>C13020F E</v>
          </cell>
          <cell r="B177" t="str">
            <v>VYPRODÁNO</v>
          </cell>
          <cell r="D177">
            <v>0</v>
          </cell>
        </row>
        <row r="178">
          <cell r="A178" t="str">
            <v>C13020M</v>
          </cell>
          <cell r="B178" t="str">
            <v>SKLADEM</v>
          </cell>
          <cell r="D178">
            <v>0</v>
          </cell>
        </row>
        <row r="179">
          <cell r="A179" t="str">
            <v>C13020M E</v>
          </cell>
          <cell r="B179" t="str">
            <v>VYPRODÁNO</v>
          </cell>
          <cell r="D179">
            <v>0</v>
          </cell>
        </row>
        <row r="180">
          <cell r="A180" t="str">
            <v>C13020S</v>
          </cell>
          <cell r="B180" t="str">
            <v>VYPRODÁNO</v>
          </cell>
          <cell r="D180">
            <v>0</v>
          </cell>
        </row>
        <row r="181">
          <cell r="A181" t="str">
            <v>C13020S E</v>
          </cell>
          <cell r="B181" t="str">
            <v>VYPRODÁNO</v>
          </cell>
          <cell r="D181">
            <v>0</v>
          </cell>
        </row>
        <row r="182">
          <cell r="A182" t="str">
            <v>C13220B/C</v>
          </cell>
          <cell r="B182" t="str">
            <v>SKLADEM</v>
          </cell>
          <cell r="D182" t="str">
            <v>100+</v>
          </cell>
        </row>
        <row r="183">
          <cell r="A183" t="str">
            <v>C13220B/C(T)</v>
          </cell>
          <cell r="B183" t="str">
            <v>SKLADEM</v>
          </cell>
          <cell r="D183">
            <v>0</v>
          </cell>
        </row>
        <row r="184">
          <cell r="A184" t="str">
            <v>C13220B/C14</v>
          </cell>
          <cell r="B184" t="str">
            <v>SKLADEM</v>
          </cell>
          <cell r="D184">
            <v>0</v>
          </cell>
        </row>
        <row r="185">
          <cell r="A185" t="str">
            <v>C13220B/C14 E</v>
          </cell>
          <cell r="B185" t="str">
            <v>VYPRODÁNO</v>
          </cell>
          <cell r="D185">
            <v>0</v>
          </cell>
        </row>
        <row r="186">
          <cell r="A186" t="str">
            <v>C13220B/C14(T)</v>
          </cell>
          <cell r="B186" t="str">
            <v>SKLADEM</v>
          </cell>
          <cell r="D186">
            <v>0</v>
          </cell>
        </row>
        <row r="187">
          <cell r="A187" t="str">
            <v>C13220TS/C14</v>
          </cell>
          <cell r="B187" t="str">
            <v>SKLADEM</v>
          </cell>
          <cell r="D187">
            <v>0</v>
          </cell>
        </row>
        <row r="188">
          <cell r="A188" t="str">
            <v>C13220TS/C14(T)</v>
          </cell>
          <cell r="B188" t="str">
            <v>SKLADEM</v>
          </cell>
          <cell r="D188">
            <v>0</v>
          </cell>
        </row>
        <row r="189">
          <cell r="A189" t="str">
            <v>C132XMPT/C</v>
          </cell>
          <cell r="B189" t="str">
            <v>SKLADEM</v>
          </cell>
          <cell r="D189">
            <v>0</v>
          </cell>
        </row>
        <row r="190">
          <cell r="A190" t="str">
            <v>C132XMPT/C(T)</v>
          </cell>
          <cell r="B190" t="str">
            <v>SKLADEM</v>
          </cell>
          <cell r="D190">
            <v>0</v>
          </cell>
        </row>
        <row r="191">
          <cell r="A191" t="str">
            <v>C132XMPT/C14</v>
          </cell>
          <cell r="B191" t="str">
            <v>VYPRODÁNO</v>
          </cell>
          <cell r="D191">
            <v>0</v>
          </cell>
        </row>
        <row r="192">
          <cell r="A192" t="str">
            <v>C132XMPT/C14(T)</v>
          </cell>
          <cell r="B192" t="str">
            <v>VYPRODÁNO</v>
          </cell>
          <cell r="D192">
            <v>0</v>
          </cell>
        </row>
        <row r="193">
          <cell r="A193" t="str">
            <v>C13420B</v>
          </cell>
          <cell r="B193" t="str">
            <v>VYPRODÁNO</v>
          </cell>
          <cell r="D193">
            <v>0</v>
          </cell>
        </row>
        <row r="194">
          <cell r="A194" t="str">
            <v>C13420B E</v>
          </cell>
          <cell r="B194" t="str">
            <v>VYPRODÁNO</v>
          </cell>
          <cell r="D194">
            <v>0</v>
          </cell>
        </row>
        <row r="195">
          <cell r="A195" t="str">
            <v>C13420H</v>
          </cell>
          <cell r="B195" t="str">
            <v>SKLADEM</v>
          </cell>
          <cell r="D195">
            <v>0</v>
          </cell>
        </row>
        <row r="196">
          <cell r="A196" t="str">
            <v>C13420H E</v>
          </cell>
          <cell r="B196" t="str">
            <v>VYPRODÁNO</v>
          </cell>
          <cell r="D196">
            <v>0</v>
          </cell>
        </row>
        <row r="197">
          <cell r="A197" t="str">
            <v>C136XMK/C14</v>
          </cell>
          <cell r="B197" t="str">
            <v>SKLADEM</v>
          </cell>
          <cell r="D197">
            <v>0</v>
          </cell>
        </row>
        <row r="198">
          <cell r="A198" t="str">
            <v>C136XMK/C14(T)</v>
          </cell>
          <cell r="B198" t="str">
            <v>SKLADEM</v>
          </cell>
          <cell r="D198">
            <v>0</v>
          </cell>
        </row>
        <row r="199">
          <cell r="A199" t="str">
            <v>C136XMTS/C14</v>
          </cell>
          <cell r="B199" t="str">
            <v>SKLADEM</v>
          </cell>
          <cell r="D199">
            <v>0</v>
          </cell>
        </row>
        <row r="200">
          <cell r="A200" t="str">
            <v>C136XMTS/C14(T)</v>
          </cell>
          <cell r="B200" t="str">
            <v>SKLADEM</v>
          </cell>
          <cell r="D200">
            <v>0</v>
          </cell>
        </row>
        <row r="201">
          <cell r="A201" t="str">
            <v>C14025XFS/C</v>
          </cell>
          <cell r="B201" t="str">
            <v>SKLADEM</v>
          </cell>
          <cell r="D201">
            <v>0</v>
          </cell>
        </row>
        <row r="202">
          <cell r="A202" t="str">
            <v>C14025XFS/C(T)</v>
          </cell>
          <cell r="B202" t="str">
            <v>SKLADEM</v>
          </cell>
          <cell r="D202">
            <v>0</v>
          </cell>
        </row>
        <row r="203">
          <cell r="A203" t="str">
            <v>C14025XFS/C14</v>
          </cell>
          <cell r="B203" t="str">
            <v>SKLADEM</v>
          </cell>
          <cell r="D203">
            <v>0</v>
          </cell>
        </row>
        <row r="204">
          <cell r="A204" t="str">
            <v>C14025XFS/C14(T)</v>
          </cell>
          <cell r="B204" t="str">
            <v>SKLADEM</v>
          </cell>
          <cell r="D204">
            <v>0</v>
          </cell>
        </row>
        <row r="205">
          <cell r="A205" t="str">
            <v>C1503/C</v>
          </cell>
          <cell r="B205" t="str">
            <v>VYPRODÁNO</v>
          </cell>
          <cell r="D205">
            <v>0</v>
          </cell>
        </row>
        <row r="206">
          <cell r="A206" t="str">
            <v>C1503A</v>
          </cell>
          <cell r="B206" t="str">
            <v>VYPRODÁNO</v>
          </cell>
          <cell r="D206">
            <v>0</v>
          </cell>
        </row>
        <row r="207">
          <cell r="A207" t="str">
            <v>C1503BPF/C</v>
          </cell>
          <cell r="B207" t="str">
            <v>SKLADEM</v>
          </cell>
          <cell r="D207">
            <v>0</v>
          </cell>
        </row>
        <row r="208">
          <cell r="A208" t="str">
            <v>C1503BPF/C(T)</v>
          </cell>
          <cell r="B208" t="str">
            <v>SKLADEM</v>
          </cell>
          <cell r="D208">
            <v>0</v>
          </cell>
        </row>
        <row r="209">
          <cell r="A209" t="str">
            <v>C1503X</v>
          </cell>
          <cell r="B209" t="str">
            <v>VYPRODÁNO</v>
          </cell>
          <cell r="D209">
            <v>0</v>
          </cell>
        </row>
        <row r="210">
          <cell r="A210" t="str">
            <v>C1503X/C</v>
          </cell>
          <cell r="B210" t="str">
            <v>SKLADEM</v>
          </cell>
          <cell r="D210" t="str">
            <v>100+</v>
          </cell>
        </row>
        <row r="211">
          <cell r="A211" t="str">
            <v>C1503X/C(T)</v>
          </cell>
          <cell r="B211" t="str">
            <v>SKLADEM</v>
          </cell>
          <cell r="D211">
            <v>0</v>
          </cell>
        </row>
        <row r="212">
          <cell r="A212" t="str">
            <v>C150MF/C</v>
          </cell>
          <cell r="B212" t="str">
            <v>SKLADEM</v>
          </cell>
          <cell r="D212">
            <v>0</v>
          </cell>
        </row>
        <row r="213">
          <cell r="A213" t="str">
            <v>C150MF/C(T)</v>
          </cell>
          <cell r="B213" t="str">
            <v>SKLADEM</v>
          </cell>
          <cell r="D213">
            <v>0</v>
          </cell>
        </row>
        <row r="214">
          <cell r="A214" t="str">
            <v>C150MF/C14</v>
          </cell>
          <cell r="B214" t="str">
            <v>SKLADEM</v>
          </cell>
          <cell r="D214" t="str">
            <v>100+</v>
          </cell>
        </row>
        <row r="215">
          <cell r="A215" t="str">
            <v>C150MF/C14 E</v>
          </cell>
          <cell r="B215" t="str">
            <v>VYPRODÁNO</v>
          </cell>
          <cell r="D215">
            <v>0</v>
          </cell>
        </row>
        <row r="216">
          <cell r="A216" t="str">
            <v>C150MF/C14(T)</v>
          </cell>
          <cell r="B216" t="str">
            <v>SKLADEM</v>
          </cell>
          <cell r="D216">
            <v>0</v>
          </cell>
        </row>
        <row r="217">
          <cell r="A217" t="str">
            <v>C150MPT/C</v>
          </cell>
          <cell r="B217" t="str">
            <v>SKLADEM</v>
          </cell>
          <cell r="D217">
            <v>77</v>
          </cell>
        </row>
        <row r="218">
          <cell r="A218" t="str">
            <v>C150MPT/C(T)</v>
          </cell>
          <cell r="B218" t="str">
            <v>SKLADEM</v>
          </cell>
          <cell r="D218">
            <v>0</v>
          </cell>
        </row>
        <row r="219">
          <cell r="A219" t="str">
            <v>C16100A</v>
          </cell>
          <cell r="B219" t="str">
            <v>VYPRODÁNO</v>
          </cell>
          <cell r="D219">
            <v>0</v>
          </cell>
        </row>
        <row r="220">
          <cell r="A220" t="str">
            <v>C1614E14</v>
          </cell>
          <cell r="B220" t="str">
            <v>SKLADEM</v>
          </cell>
          <cell r="D220" t="str">
            <v>100+</v>
          </cell>
        </row>
        <row r="221">
          <cell r="A221" t="str">
            <v>C1614E14 E</v>
          </cell>
          <cell r="B221" t="str">
            <v>VYPRODÁNO</v>
          </cell>
          <cell r="D221">
            <v>0</v>
          </cell>
        </row>
        <row r="222">
          <cell r="A222" t="str">
            <v>C1614R14</v>
          </cell>
          <cell r="B222" t="str">
            <v>VYPRODÁNO</v>
          </cell>
          <cell r="D222">
            <v>0</v>
          </cell>
        </row>
        <row r="223">
          <cell r="A223" t="str">
            <v>C1614R14 E</v>
          </cell>
          <cell r="B223" t="str">
            <v>VYPRODÁNO</v>
          </cell>
          <cell r="D223">
            <v>0</v>
          </cell>
        </row>
        <row r="224">
          <cell r="A224" t="str">
            <v>C1620B</v>
          </cell>
          <cell r="B224" t="str">
            <v>VYPRODÁNO</v>
          </cell>
          <cell r="D224">
            <v>0</v>
          </cell>
        </row>
        <row r="225">
          <cell r="A225" t="str">
            <v>C1620B E</v>
          </cell>
          <cell r="B225" t="str">
            <v>VYPRODÁNO</v>
          </cell>
          <cell r="D225">
            <v>0</v>
          </cell>
        </row>
        <row r="226">
          <cell r="A226" t="str">
            <v>C1620B14</v>
          </cell>
          <cell r="B226" t="str">
            <v>VYPRODÁNO</v>
          </cell>
          <cell r="D226">
            <v>0</v>
          </cell>
        </row>
        <row r="227">
          <cell r="A227" t="str">
            <v>C1620BPF</v>
          </cell>
          <cell r="B227" t="str">
            <v>SKLADEM</v>
          </cell>
          <cell r="D227" t="str">
            <v>100+</v>
          </cell>
        </row>
        <row r="228">
          <cell r="A228" t="str">
            <v>C1620DU</v>
          </cell>
          <cell r="B228" t="str">
            <v>14.04.2026</v>
          </cell>
          <cell r="C228">
            <v>19</v>
          </cell>
          <cell r="D228" t="str">
            <v>100+</v>
          </cell>
        </row>
        <row r="229">
          <cell r="A229" t="str">
            <v>C1620DU(5)</v>
          </cell>
          <cell r="B229" t="str">
            <v>VYPRODÁNO</v>
          </cell>
          <cell r="D229">
            <v>0</v>
          </cell>
        </row>
        <row r="230">
          <cell r="A230" t="str">
            <v>C1620DU(S)</v>
          </cell>
          <cell r="B230" t="str">
            <v>VYPRODÁNO</v>
          </cell>
          <cell r="D230">
            <v>0</v>
          </cell>
        </row>
        <row r="231">
          <cell r="A231" t="str">
            <v>C1620DUI14</v>
          </cell>
          <cell r="B231" t="str">
            <v>VYPRODÁNO</v>
          </cell>
          <cell r="D231">
            <v>0</v>
          </cell>
        </row>
        <row r="232">
          <cell r="A232" t="str">
            <v>C1620DUI14(1)</v>
          </cell>
          <cell r="B232" t="str">
            <v>VYPRODÁNO</v>
          </cell>
          <cell r="D232">
            <v>0</v>
          </cell>
        </row>
        <row r="233">
          <cell r="A233" t="str">
            <v>C1620F</v>
          </cell>
          <cell r="B233" t="str">
            <v>SKLADEM</v>
          </cell>
          <cell r="D233">
            <v>0</v>
          </cell>
        </row>
        <row r="234">
          <cell r="A234" t="str">
            <v>C1620F E</v>
          </cell>
          <cell r="B234" t="str">
            <v>VYPRODÁNO</v>
          </cell>
          <cell r="D234">
            <v>0</v>
          </cell>
        </row>
        <row r="235">
          <cell r="A235" t="str">
            <v>C1620F14</v>
          </cell>
          <cell r="B235" t="str">
            <v>01.04.2026</v>
          </cell>
          <cell r="C235">
            <v>6</v>
          </cell>
          <cell r="D235" t="str">
            <v>100+</v>
          </cell>
        </row>
        <row r="236">
          <cell r="A236" t="str">
            <v>C1620F14 E</v>
          </cell>
          <cell r="B236" t="str">
            <v>VYPRODÁNO</v>
          </cell>
          <cell r="D236">
            <v>0</v>
          </cell>
        </row>
        <row r="237">
          <cell r="A237" t="str">
            <v>C1620H</v>
          </cell>
          <cell r="B237" t="str">
            <v>SKLADEM</v>
          </cell>
          <cell r="D237" t="str">
            <v>100+</v>
          </cell>
        </row>
        <row r="238">
          <cell r="A238" t="str">
            <v>C1620H E</v>
          </cell>
          <cell r="B238" t="str">
            <v>VYPRODÁNO</v>
          </cell>
          <cell r="D238">
            <v>0</v>
          </cell>
        </row>
        <row r="239">
          <cell r="A239" t="str">
            <v>C1620H14</v>
          </cell>
          <cell r="B239" t="str">
            <v>SKLADEM</v>
          </cell>
          <cell r="D239">
            <v>0</v>
          </cell>
        </row>
        <row r="240">
          <cell r="A240" t="str">
            <v>C1620K</v>
          </cell>
          <cell r="B240" t="str">
            <v>VYPRODÁNO</v>
          </cell>
          <cell r="D240">
            <v>0</v>
          </cell>
        </row>
        <row r="241">
          <cell r="A241" t="str">
            <v>C1620K14</v>
          </cell>
          <cell r="B241" t="str">
            <v>VYPRODÁNO</v>
          </cell>
          <cell r="D241">
            <v>0</v>
          </cell>
        </row>
        <row r="242">
          <cell r="A242" t="str">
            <v>C1620M</v>
          </cell>
          <cell r="B242" t="str">
            <v>VYPRODÁNO</v>
          </cell>
          <cell r="D242">
            <v>0</v>
          </cell>
        </row>
        <row r="243">
          <cell r="A243" t="str">
            <v>C1620M E</v>
          </cell>
          <cell r="B243" t="str">
            <v>VYPRODÁNO</v>
          </cell>
          <cell r="D243">
            <v>0</v>
          </cell>
        </row>
        <row r="244">
          <cell r="A244" t="str">
            <v>C1620M14</v>
          </cell>
          <cell r="B244" t="str">
            <v>VYPRODÁNO</v>
          </cell>
          <cell r="D244">
            <v>0</v>
          </cell>
        </row>
        <row r="245">
          <cell r="A245" t="str">
            <v>C1620M14 E</v>
          </cell>
          <cell r="B245" t="str">
            <v>VYPRODÁNO</v>
          </cell>
          <cell r="D245">
            <v>0</v>
          </cell>
        </row>
        <row r="246">
          <cell r="A246" t="str">
            <v>C1620MIX</v>
          </cell>
          <cell r="B246" t="str">
            <v>VYPRODÁNO</v>
          </cell>
          <cell r="D246">
            <v>0</v>
          </cell>
        </row>
        <row r="247">
          <cell r="A247" t="str">
            <v>C1620MIX14</v>
          </cell>
          <cell r="B247" t="str">
            <v>VYPRODÁNO</v>
          </cell>
          <cell r="D247">
            <v>0</v>
          </cell>
        </row>
        <row r="248">
          <cell r="A248" t="str">
            <v>C1620N</v>
          </cell>
          <cell r="B248" t="str">
            <v>SKLADEM</v>
          </cell>
          <cell r="D248" t="str">
            <v>100+</v>
          </cell>
        </row>
        <row r="249">
          <cell r="A249" t="str">
            <v>C1620N E</v>
          </cell>
          <cell r="B249" t="str">
            <v>VYPRODÁNO</v>
          </cell>
          <cell r="D249">
            <v>0</v>
          </cell>
        </row>
        <row r="250">
          <cell r="A250" t="str">
            <v>C1620N14</v>
          </cell>
          <cell r="B250" t="str">
            <v>VYPRODÁNO</v>
          </cell>
          <cell r="D250">
            <v>0</v>
          </cell>
        </row>
        <row r="251">
          <cell r="A251" t="str">
            <v>C1620T</v>
          </cell>
          <cell r="B251" t="str">
            <v>VYPRODÁNO</v>
          </cell>
          <cell r="D251">
            <v>0</v>
          </cell>
        </row>
        <row r="252">
          <cell r="A252" t="str">
            <v>C1620T14</v>
          </cell>
          <cell r="B252" t="str">
            <v>VYPRODÁNO</v>
          </cell>
          <cell r="D252">
            <v>0</v>
          </cell>
        </row>
        <row r="253">
          <cell r="A253" t="str">
            <v>C1625A</v>
          </cell>
          <cell r="B253" t="str">
            <v>VYPRODÁNO</v>
          </cell>
          <cell r="D253">
            <v>0</v>
          </cell>
        </row>
        <row r="254">
          <cell r="A254" t="str">
            <v>C1625A14</v>
          </cell>
          <cell r="B254" t="str">
            <v>VYPRODÁNO</v>
          </cell>
          <cell r="D254">
            <v>0</v>
          </cell>
        </row>
        <row r="255">
          <cell r="A255" t="str">
            <v>C1625B</v>
          </cell>
          <cell r="B255" t="str">
            <v>SKLADEM</v>
          </cell>
          <cell r="D255">
            <v>0</v>
          </cell>
        </row>
        <row r="256">
          <cell r="A256" t="str">
            <v>C1625B14</v>
          </cell>
          <cell r="B256" t="str">
            <v>VYPRODÁNO</v>
          </cell>
          <cell r="D256">
            <v>0</v>
          </cell>
        </row>
        <row r="257">
          <cell r="A257" t="str">
            <v>C1625BPF</v>
          </cell>
          <cell r="B257" t="str">
            <v>VYPRODÁNO</v>
          </cell>
          <cell r="D257">
            <v>0</v>
          </cell>
        </row>
        <row r="258">
          <cell r="A258" t="str">
            <v>C1625C</v>
          </cell>
          <cell r="B258" t="str">
            <v>VYPRODÁNO</v>
          </cell>
          <cell r="D258">
            <v>0</v>
          </cell>
        </row>
        <row r="259">
          <cell r="A259" t="str">
            <v>C1625D</v>
          </cell>
          <cell r="B259" t="str">
            <v>SKLADEM</v>
          </cell>
          <cell r="D259">
            <v>0</v>
          </cell>
        </row>
        <row r="260">
          <cell r="A260" t="str">
            <v>C1625D E</v>
          </cell>
          <cell r="B260" t="str">
            <v>VYPRODÁNO</v>
          </cell>
          <cell r="D260">
            <v>0</v>
          </cell>
        </row>
        <row r="261">
          <cell r="A261" t="str">
            <v>C1625D14</v>
          </cell>
          <cell r="B261" t="str">
            <v>SKLADEM</v>
          </cell>
          <cell r="D261">
            <v>0</v>
          </cell>
        </row>
        <row r="262">
          <cell r="A262" t="str">
            <v>C1625E14</v>
          </cell>
          <cell r="B262" t="str">
            <v>VYPRODÁNO</v>
          </cell>
          <cell r="D262">
            <v>0</v>
          </cell>
        </row>
        <row r="263">
          <cell r="A263" t="str">
            <v>C1625ES</v>
          </cell>
          <cell r="B263" t="str">
            <v>VYPRODÁNO</v>
          </cell>
          <cell r="D263">
            <v>0</v>
          </cell>
        </row>
        <row r="264">
          <cell r="A264" t="str">
            <v>C1625ES E</v>
          </cell>
          <cell r="B264" t="str">
            <v>VYPRODÁNO</v>
          </cell>
          <cell r="D264">
            <v>0</v>
          </cell>
        </row>
        <row r="265">
          <cell r="A265" t="str">
            <v>C1625F</v>
          </cell>
          <cell r="B265" t="str">
            <v>SKLADEM</v>
          </cell>
          <cell r="D265">
            <v>0</v>
          </cell>
        </row>
        <row r="266">
          <cell r="A266" t="str">
            <v>C1625F14</v>
          </cell>
          <cell r="B266" t="str">
            <v>SKLADEM</v>
          </cell>
          <cell r="D266">
            <v>0</v>
          </cell>
        </row>
        <row r="267">
          <cell r="A267" t="str">
            <v>C1625G</v>
          </cell>
          <cell r="B267" t="str">
            <v>SKLADEM</v>
          </cell>
          <cell r="D267">
            <v>0</v>
          </cell>
        </row>
        <row r="268">
          <cell r="A268" t="str">
            <v>C1625K</v>
          </cell>
          <cell r="B268" t="str">
            <v>VYPRODÁNO</v>
          </cell>
          <cell r="D268">
            <v>0</v>
          </cell>
        </row>
        <row r="269">
          <cell r="A269" t="str">
            <v>C163A</v>
          </cell>
          <cell r="B269" t="str">
            <v>SKLADEM</v>
          </cell>
          <cell r="D269">
            <v>0</v>
          </cell>
        </row>
        <row r="270">
          <cell r="A270" t="str">
            <v>C163A/P</v>
          </cell>
          <cell r="B270" t="str">
            <v>VYPRODÁNO</v>
          </cell>
          <cell r="D270">
            <v>0</v>
          </cell>
        </row>
        <row r="271">
          <cell r="A271" t="str">
            <v>C163A14</v>
          </cell>
          <cell r="B271" t="str">
            <v>SKLADEM</v>
          </cell>
          <cell r="D271">
            <v>0</v>
          </cell>
        </row>
        <row r="272">
          <cell r="A272" t="str">
            <v>C163B</v>
          </cell>
          <cell r="B272" t="str">
            <v>SKLADEM</v>
          </cell>
          <cell r="D272">
            <v>0</v>
          </cell>
        </row>
        <row r="273">
          <cell r="A273" t="str">
            <v>C163B14</v>
          </cell>
          <cell r="B273" t="str">
            <v>VYPRODÁNO</v>
          </cell>
          <cell r="D273">
            <v>0</v>
          </cell>
        </row>
        <row r="274">
          <cell r="A274" t="str">
            <v>C163BP</v>
          </cell>
          <cell r="B274" t="str">
            <v>SKLADEM</v>
          </cell>
          <cell r="D274">
            <v>0</v>
          </cell>
        </row>
        <row r="275">
          <cell r="A275" t="str">
            <v>C163C</v>
          </cell>
          <cell r="B275" t="str">
            <v>VYPRODÁNO</v>
          </cell>
          <cell r="D275">
            <v>0</v>
          </cell>
        </row>
        <row r="276">
          <cell r="A276" t="str">
            <v>C163C E</v>
          </cell>
          <cell r="B276" t="str">
            <v>VYPRODÁNO</v>
          </cell>
          <cell r="D276">
            <v>0</v>
          </cell>
        </row>
        <row r="277">
          <cell r="A277" t="str">
            <v>C163C14</v>
          </cell>
          <cell r="B277" t="str">
            <v>VYPRODÁNO</v>
          </cell>
          <cell r="D277">
            <v>0</v>
          </cell>
        </row>
        <row r="278">
          <cell r="A278" t="str">
            <v>C163D</v>
          </cell>
          <cell r="B278" t="str">
            <v>VYPRODÁNO</v>
          </cell>
          <cell r="D278">
            <v>0</v>
          </cell>
        </row>
        <row r="279">
          <cell r="A279" t="str">
            <v>C163D14</v>
          </cell>
          <cell r="B279" t="str">
            <v>VYPRODÁNO</v>
          </cell>
          <cell r="D279">
            <v>0</v>
          </cell>
        </row>
        <row r="280">
          <cell r="A280" t="str">
            <v>C163E</v>
          </cell>
          <cell r="B280" t="str">
            <v>SKLADEM</v>
          </cell>
          <cell r="D280">
            <v>0</v>
          </cell>
        </row>
        <row r="281">
          <cell r="A281" t="str">
            <v>C163E14</v>
          </cell>
          <cell r="B281" t="str">
            <v>VYPRODÁNO</v>
          </cell>
          <cell r="D281">
            <v>0</v>
          </cell>
        </row>
        <row r="282">
          <cell r="A282" t="str">
            <v>C163F</v>
          </cell>
          <cell r="B282" t="str">
            <v>VYPRODÁNO</v>
          </cell>
          <cell r="D282">
            <v>0</v>
          </cell>
        </row>
        <row r="283">
          <cell r="A283" t="str">
            <v>C163F E</v>
          </cell>
          <cell r="B283" t="str">
            <v>VYPRODÁNO</v>
          </cell>
          <cell r="D283">
            <v>0</v>
          </cell>
        </row>
        <row r="284">
          <cell r="A284" t="str">
            <v>C163G</v>
          </cell>
          <cell r="B284" t="str">
            <v>VYPRODÁNO</v>
          </cell>
          <cell r="D284">
            <v>0</v>
          </cell>
        </row>
        <row r="285">
          <cell r="A285" t="str">
            <v>C163G E</v>
          </cell>
          <cell r="B285" t="str">
            <v>VYPRODÁNO</v>
          </cell>
          <cell r="D285">
            <v>0</v>
          </cell>
        </row>
        <row r="286">
          <cell r="A286" t="str">
            <v>C163G14</v>
          </cell>
          <cell r="B286" t="str">
            <v>VYPRODÁNO</v>
          </cell>
          <cell r="D286">
            <v>0</v>
          </cell>
        </row>
        <row r="287">
          <cell r="A287" t="str">
            <v>C163H</v>
          </cell>
          <cell r="B287" t="str">
            <v>VYPRODÁNO</v>
          </cell>
          <cell r="D287">
            <v>0</v>
          </cell>
        </row>
        <row r="288">
          <cell r="A288" t="str">
            <v>C163H E</v>
          </cell>
          <cell r="B288" t="str">
            <v>VYPRODÁNO</v>
          </cell>
          <cell r="D288">
            <v>0</v>
          </cell>
        </row>
        <row r="289">
          <cell r="A289" t="str">
            <v>C163H14</v>
          </cell>
          <cell r="B289" t="str">
            <v>VYPRODÁNO</v>
          </cell>
          <cell r="D289">
            <v>0</v>
          </cell>
        </row>
        <row r="290">
          <cell r="A290" t="str">
            <v>C163I</v>
          </cell>
          <cell r="B290" t="str">
            <v>VYPRODÁNO</v>
          </cell>
          <cell r="D290">
            <v>0</v>
          </cell>
        </row>
        <row r="291">
          <cell r="A291" t="str">
            <v>C163I E</v>
          </cell>
          <cell r="B291" t="str">
            <v>VYPRODÁNO</v>
          </cell>
          <cell r="D291">
            <v>0</v>
          </cell>
        </row>
        <row r="292">
          <cell r="A292" t="str">
            <v>C163I14</v>
          </cell>
          <cell r="B292" t="str">
            <v>VYPRODÁNO</v>
          </cell>
          <cell r="D292">
            <v>0</v>
          </cell>
        </row>
        <row r="293">
          <cell r="A293" t="str">
            <v>C163K</v>
          </cell>
          <cell r="B293" t="str">
            <v>SKLADEM</v>
          </cell>
          <cell r="D293">
            <v>0</v>
          </cell>
        </row>
        <row r="294">
          <cell r="A294" t="str">
            <v>C163K14</v>
          </cell>
          <cell r="B294" t="str">
            <v>VYPRODÁNO</v>
          </cell>
          <cell r="D294">
            <v>0</v>
          </cell>
        </row>
        <row r="295">
          <cell r="A295" t="str">
            <v>C163L</v>
          </cell>
          <cell r="B295" t="str">
            <v>SKLADEM</v>
          </cell>
          <cell r="D295">
            <v>0</v>
          </cell>
        </row>
        <row r="296">
          <cell r="A296" t="str">
            <v>C163L E</v>
          </cell>
          <cell r="B296" t="str">
            <v>VYPRODÁNO</v>
          </cell>
          <cell r="D296">
            <v>0</v>
          </cell>
        </row>
        <row r="297">
          <cell r="A297" t="str">
            <v>C163L/P</v>
          </cell>
          <cell r="B297" t="str">
            <v>VYPRODÁNO</v>
          </cell>
          <cell r="D297">
            <v>0</v>
          </cell>
        </row>
        <row r="298">
          <cell r="A298" t="str">
            <v>C163L14</v>
          </cell>
          <cell r="B298" t="str">
            <v>VYPRODÁNO</v>
          </cell>
          <cell r="D298">
            <v>0</v>
          </cell>
        </row>
        <row r="299">
          <cell r="A299" t="str">
            <v>C163R</v>
          </cell>
          <cell r="B299" t="str">
            <v>VYPRODÁNO</v>
          </cell>
          <cell r="D299">
            <v>0</v>
          </cell>
        </row>
        <row r="300">
          <cell r="A300" t="str">
            <v>C163R E</v>
          </cell>
          <cell r="B300" t="str">
            <v>VYPRODÁNO</v>
          </cell>
          <cell r="D300">
            <v>0</v>
          </cell>
        </row>
        <row r="301">
          <cell r="A301" t="str">
            <v>C163R14</v>
          </cell>
          <cell r="B301" t="str">
            <v>VYPRODÁNO</v>
          </cell>
          <cell r="D301">
            <v>0</v>
          </cell>
        </row>
        <row r="302">
          <cell r="A302" t="str">
            <v>C163S</v>
          </cell>
          <cell r="B302" t="str">
            <v>VYPRODÁNO</v>
          </cell>
          <cell r="D302">
            <v>0</v>
          </cell>
        </row>
        <row r="303">
          <cell r="A303" t="str">
            <v>C163S E</v>
          </cell>
          <cell r="B303" t="str">
            <v>VYPRODÁNO</v>
          </cell>
          <cell r="D303">
            <v>0</v>
          </cell>
        </row>
        <row r="304">
          <cell r="A304" t="str">
            <v>C163S14</v>
          </cell>
          <cell r="B304" t="str">
            <v>VYPRODÁNO</v>
          </cell>
          <cell r="D304">
            <v>0</v>
          </cell>
        </row>
        <row r="305">
          <cell r="A305" t="str">
            <v>C163SIG</v>
          </cell>
          <cell r="B305" t="str">
            <v>SKLADEM</v>
          </cell>
          <cell r="D305">
            <v>0</v>
          </cell>
        </row>
        <row r="306">
          <cell r="A306" t="str">
            <v>C163SIGI14</v>
          </cell>
          <cell r="B306" t="str">
            <v>VYPRODÁNO</v>
          </cell>
          <cell r="D306">
            <v>0</v>
          </cell>
        </row>
        <row r="307">
          <cell r="A307" t="str">
            <v>C165BR</v>
          </cell>
          <cell r="B307" t="str">
            <v>VYPRODÁNO</v>
          </cell>
          <cell r="D307">
            <v>0</v>
          </cell>
        </row>
        <row r="308">
          <cell r="A308" t="str">
            <v>C165CC</v>
          </cell>
          <cell r="B308" t="str">
            <v>VYPRODÁNO</v>
          </cell>
          <cell r="D308">
            <v>0</v>
          </cell>
        </row>
        <row r="309">
          <cell r="A309" t="str">
            <v>C165CD</v>
          </cell>
          <cell r="B309" t="str">
            <v>VYPRODÁNO</v>
          </cell>
          <cell r="D309">
            <v>0</v>
          </cell>
        </row>
        <row r="310">
          <cell r="A310" t="str">
            <v>C165D</v>
          </cell>
          <cell r="B310" t="str">
            <v>VYPRODÁNO</v>
          </cell>
          <cell r="D310">
            <v>0</v>
          </cell>
        </row>
        <row r="311">
          <cell r="A311" t="str">
            <v>C165D E</v>
          </cell>
          <cell r="B311" t="str">
            <v>VYPRODÁNO</v>
          </cell>
          <cell r="D311">
            <v>0</v>
          </cell>
        </row>
        <row r="312">
          <cell r="A312" t="str">
            <v>C165DC</v>
          </cell>
          <cell r="B312" t="str">
            <v>VYPRODÁNO</v>
          </cell>
          <cell r="D312">
            <v>0</v>
          </cell>
        </row>
        <row r="313">
          <cell r="A313" t="str">
            <v>C165FF</v>
          </cell>
          <cell r="B313" t="str">
            <v>VYPRODÁNO</v>
          </cell>
          <cell r="D313">
            <v>0</v>
          </cell>
        </row>
        <row r="314">
          <cell r="A314" t="str">
            <v>C165CH</v>
          </cell>
          <cell r="B314" t="str">
            <v>VYPRODÁNO</v>
          </cell>
          <cell r="D314">
            <v>0</v>
          </cell>
        </row>
        <row r="315">
          <cell r="A315" t="str">
            <v>C165JA</v>
          </cell>
          <cell r="B315" t="str">
            <v>SKLADEM</v>
          </cell>
          <cell r="D315">
            <v>0</v>
          </cell>
        </row>
        <row r="316">
          <cell r="A316" t="str">
            <v>C165JE</v>
          </cell>
          <cell r="B316" t="str">
            <v>VYPRODÁNO</v>
          </cell>
          <cell r="D316">
            <v>0</v>
          </cell>
        </row>
        <row r="317">
          <cell r="A317" t="str">
            <v>C165P</v>
          </cell>
          <cell r="B317" t="str">
            <v>SKLADEM</v>
          </cell>
          <cell r="D317">
            <v>0</v>
          </cell>
        </row>
        <row r="318">
          <cell r="A318" t="str">
            <v>C165P E</v>
          </cell>
          <cell r="B318" t="str">
            <v>VYPRODÁNO</v>
          </cell>
          <cell r="D318">
            <v>0</v>
          </cell>
        </row>
        <row r="319">
          <cell r="A319" t="str">
            <v>C165RC</v>
          </cell>
          <cell r="B319" t="str">
            <v>VYPRODÁNO</v>
          </cell>
          <cell r="D319">
            <v>0</v>
          </cell>
        </row>
        <row r="320">
          <cell r="A320" t="str">
            <v>C165RW</v>
          </cell>
          <cell r="B320" t="str">
            <v>VYPRODÁNO</v>
          </cell>
          <cell r="D320">
            <v>0</v>
          </cell>
        </row>
        <row r="321">
          <cell r="A321" t="str">
            <v>C165SW</v>
          </cell>
          <cell r="B321" t="str">
            <v>VYPRODÁNO</v>
          </cell>
          <cell r="D321">
            <v>0</v>
          </cell>
        </row>
        <row r="322">
          <cell r="A322" t="str">
            <v>C165T</v>
          </cell>
          <cell r="B322" t="str">
            <v>VYPRODÁNO</v>
          </cell>
          <cell r="D322">
            <v>0</v>
          </cell>
        </row>
        <row r="323">
          <cell r="A323" t="str">
            <v>C165TI</v>
          </cell>
          <cell r="B323" t="str">
            <v>VYPRODÁNO</v>
          </cell>
          <cell r="D323">
            <v>0</v>
          </cell>
        </row>
        <row r="324">
          <cell r="A324" t="str">
            <v>C1675P</v>
          </cell>
          <cell r="B324" t="str">
            <v>VYPRODÁNO</v>
          </cell>
          <cell r="D324">
            <v>0</v>
          </cell>
        </row>
        <row r="325">
          <cell r="A325" t="str">
            <v>C1675V</v>
          </cell>
          <cell r="B325" t="str">
            <v>VYPRODÁNO</v>
          </cell>
          <cell r="D325">
            <v>0</v>
          </cell>
        </row>
        <row r="326">
          <cell r="A326" t="str">
            <v>C168MF/C</v>
          </cell>
          <cell r="B326" t="str">
            <v>VYPRODÁNO</v>
          </cell>
          <cell r="D326">
            <v>0</v>
          </cell>
        </row>
        <row r="327">
          <cell r="A327" t="str">
            <v>C168MF/C(T)</v>
          </cell>
          <cell r="B327" t="str">
            <v>VYPRODÁNO</v>
          </cell>
          <cell r="D327">
            <v>0</v>
          </cell>
        </row>
        <row r="328">
          <cell r="A328" t="str">
            <v>C168MP/C</v>
          </cell>
          <cell r="B328" t="str">
            <v>VYPRODÁNO</v>
          </cell>
          <cell r="D328">
            <v>0</v>
          </cell>
        </row>
        <row r="329">
          <cell r="A329" t="str">
            <v>C168MR</v>
          </cell>
          <cell r="B329" t="str">
            <v>VYPRODÁNO</v>
          </cell>
          <cell r="D329">
            <v>0</v>
          </cell>
        </row>
        <row r="330">
          <cell r="A330" t="str">
            <v>C175MA</v>
          </cell>
          <cell r="B330" t="str">
            <v>VYPRODÁNO</v>
          </cell>
          <cell r="D330">
            <v>0</v>
          </cell>
        </row>
        <row r="331">
          <cell r="A331" t="str">
            <v>C175MF/C</v>
          </cell>
          <cell r="B331" t="str">
            <v>VYPRODÁNO</v>
          </cell>
          <cell r="D331">
            <v>0</v>
          </cell>
        </row>
        <row r="332">
          <cell r="A332" t="str">
            <v>C175MF/C(T)</v>
          </cell>
          <cell r="B332" t="str">
            <v>VYPRODÁNO</v>
          </cell>
          <cell r="D332">
            <v>0</v>
          </cell>
        </row>
        <row r="333">
          <cell r="A333" t="str">
            <v>C175MSIG/C</v>
          </cell>
          <cell r="B333" t="str">
            <v>SKLADEM</v>
          </cell>
          <cell r="D333">
            <v>0</v>
          </cell>
        </row>
        <row r="334">
          <cell r="A334" t="str">
            <v>C175MSIG/C E</v>
          </cell>
          <cell r="B334" t="str">
            <v>VYPRODÁNO</v>
          </cell>
          <cell r="D334">
            <v>0</v>
          </cell>
        </row>
        <row r="335">
          <cell r="A335" t="str">
            <v>C175MSIG/C(T)</v>
          </cell>
          <cell r="B335" t="str">
            <v>SKLADEM</v>
          </cell>
          <cell r="D335">
            <v>0</v>
          </cell>
        </row>
        <row r="336">
          <cell r="A336" t="str">
            <v>C175MZ/C</v>
          </cell>
          <cell r="B336" t="str">
            <v>VYPRODÁNO</v>
          </cell>
          <cell r="D336">
            <v>0</v>
          </cell>
        </row>
        <row r="337">
          <cell r="A337" t="str">
            <v>C17625Z</v>
          </cell>
          <cell r="B337" t="str">
            <v>VYPRODÁNO</v>
          </cell>
          <cell r="D337">
            <v>0</v>
          </cell>
        </row>
        <row r="338">
          <cell r="A338" t="str">
            <v>C17825W/C</v>
          </cell>
          <cell r="B338" t="str">
            <v>SKLADEM</v>
          </cell>
          <cell r="D338">
            <v>80</v>
          </cell>
        </row>
        <row r="339">
          <cell r="A339" t="str">
            <v>C17825W/C E</v>
          </cell>
          <cell r="B339" t="str">
            <v>VYPRODÁNO</v>
          </cell>
          <cell r="D339">
            <v>0</v>
          </cell>
        </row>
        <row r="340">
          <cell r="A340" t="str">
            <v>C17825W/C(T)</v>
          </cell>
          <cell r="B340" t="str">
            <v>SKLADEM</v>
          </cell>
          <cell r="D340">
            <v>0</v>
          </cell>
        </row>
        <row r="341">
          <cell r="A341" t="str">
            <v>C17825W/C14</v>
          </cell>
          <cell r="B341" t="str">
            <v>VYPRODÁNO</v>
          </cell>
          <cell r="D341">
            <v>0</v>
          </cell>
        </row>
        <row r="342">
          <cell r="A342" t="str">
            <v>C18020SIG/C</v>
          </cell>
          <cell r="B342" t="str">
            <v>SKLADEM</v>
          </cell>
          <cell r="D342">
            <v>0</v>
          </cell>
        </row>
        <row r="343">
          <cell r="A343" t="str">
            <v>C18020SIG/C(T)</v>
          </cell>
          <cell r="B343" t="str">
            <v>SKLADEM</v>
          </cell>
          <cell r="D343">
            <v>0</v>
          </cell>
        </row>
        <row r="344">
          <cell r="A344" t="str">
            <v>C180MA</v>
          </cell>
          <cell r="B344" t="str">
            <v>VYPRODÁNO</v>
          </cell>
          <cell r="D344">
            <v>0</v>
          </cell>
        </row>
        <row r="345">
          <cell r="A345" t="str">
            <v>C188MF/C</v>
          </cell>
          <cell r="B345" t="str">
            <v>VYPRODÁNO</v>
          </cell>
          <cell r="D345">
            <v>0</v>
          </cell>
        </row>
        <row r="346">
          <cell r="A346" t="str">
            <v>C188MF/C(T)</v>
          </cell>
          <cell r="B346" t="str">
            <v>VYPRODÁNO</v>
          </cell>
          <cell r="D346">
            <v>0</v>
          </cell>
        </row>
        <row r="347">
          <cell r="A347" t="str">
            <v>C188MP</v>
          </cell>
          <cell r="B347" t="str">
            <v>VYPRODÁNO</v>
          </cell>
          <cell r="D347">
            <v>0</v>
          </cell>
        </row>
        <row r="348">
          <cell r="A348" t="str">
            <v>C188MP/C</v>
          </cell>
          <cell r="B348" t="str">
            <v>VYPRODÁNO</v>
          </cell>
          <cell r="D348">
            <v>0</v>
          </cell>
        </row>
        <row r="349">
          <cell r="A349" t="str">
            <v>C188MR</v>
          </cell>
          <cell r="B349" t="str">
            <v>VYPRODÁNO</v>
          </cell>
          <cell r="D349">
            <v>0</v>
          </cell>
        </row>
        <row r="350">
          <cell r="A350" t="str">
            <v>C188MR/C</v>
          </cell>
          <cell r="B350" t="str">
            <v>VYPRODÁNO</v>
          </cell>
          <cell r="D350">
            <v>0</v>
          </cell>
        </row>
        <row r="351">
          <cell r="A351" t="str">
            <v>C19220F/C</v>
          </cell>
          <cell r="B351" t="str">
            <v>SKLADEM</v>
          </cell>
          <cell r="D351" t="str">
            <v>100+</v>
          </cell>
        </row>
        <row r="352">
          <cell r="A352" t="str">
            <v>C19220F/C(T)</v>
          </cell>
          <cell r="B352" t="str">
            <v>SKLADEM</v>
          </cell>
          <cell r="D352">
            <v>0</v>
          </cell>
        </row>
        <row r="353">
          <cell r="A353" t="str">
            <v>C19220F/C14</v>
          </cell>
          <cell r="B353" t="str">
            <v>SKLADEM</v>
          </cell>
          <cell r="D353">
            <v>0</v>
          </cell>
        </row>
        <row r="354">
          <cell r="A354" t="str">
            <v>C19220F/C14 E</v>
          </cell>
          <cell r="B354" t="str">
            <v>VYPRODÁNO</v>
          </cell>
          <cell r="D354">
            <v>0</v>
          </cell>
        </row>
        <row r="355">
          <cell r="A355" t="str">
            <v>C19220F/C14(T)</v>
          </cell>
          <cell r="B355" t="str">
            <v>SKLADEM</v>
          </cell>
          <cell r="D355">
            <v>0</v>
          </cell>
        </row>
        <row r="356">
          <cell r="A356" t="str">
            <v>C19225MF/C14</v>
          </cell>
          <cell r="B356" t="str">
            <v>SKLADEM</v>
          </cell>
          <cell r="D356">
            <v>0</v>
          </cell>
        </row>
        <row r="357">
          <cell r="A357" t="str">
            <v>C19225MF/C14 E</v>
          </cell>
          <cell r="B357" t="str">
            <v>VYPRODÁNO</v>
          </cell>
          <cell r="D357">
            <v>0</v>
          </cell>
        </row>
        <row r="358">
          <cell r="A358" t="str">
            <v>C19225MF/C14(T)</v>
          </cell>
          <cell r="B358" t="str">
            <v>SKLADEM</v>
          </cell>
          <cell r="D358">
            <v>0</v>
          </cell>
        </row>
        <row r="359">
          <cell r="A359" t="str">
            <v>C1923MZ</v>
          </cell>
          <cell r="B359" t="str">
            <v>VYPRODÁNO</v>
          </cell>
          <cell r="D359">
            <v>0</v>
          </cell>
        </row>
        <row r="360">
          <cell r="A360" t="str">
            <v>C1923XMF/C</v>
          </cell>
          <cell r="B360" t="str">
            <v>DOCHÁZÍ</v>
          </cell>
          <cell r="D360" t="str">
            <v>100+</v>
          </cell>
          <cell r="E360">
            <v>44</v>
          </cell>
        </row>
        <row r="361">
          <cell r="A361" t="str">
            <v>C1923XMZ2</v>
          </cell>
          <cell r="B361" t="str">
            <v>VYPRODÁNO</v>
          </cell>
          <cell r="D361">
            <v>0</v>
          </cell>
        </row>
        <row r="362">
          <cell r="A362" t="str">
            <v>C1923Z</v>
          </cell>
          <cell r="B362" t="str">
            <v>VYPRODÁNO</v>
          </cell>
          <cell r="D362">
            <v>0</v>
          </cell>
        </row>
        <row r="363">
          <cell r="A363" t="str">
            <v>C192MSIG/C</v>
          </cell>
          <cell r="B363" t="str">
            <v>VYPRODÁNO</v>
          </cell>
          <cell r="D363">
            <v>0</v>
          </cell>
        </row>
        <row r="364">
          <cell r="A364" t="str">
            <v>C192MSIG/C(T)</v>
          </cell>
          <cell r="B364" t="str">
            <v>VYPRODÁNO</v>
          </cell>
          <cell r="D364">
            <v>0</v>
          </cell>
        </row>
        <row r="365">
          <cell r="A365" t="str">
            <v>C193A</v>
          </cell>
          <cell r="B365" t="str">
            <v>VYPRODÁNO</v>
          </cell>
          <cell r="D365">
            <v>0</v>
          </cell>
        </row>
        <row r="366">
          <cell r="A366" t="str">
            <v>C193A E</v>
          </cell>
          <cell r="B366" t="str">
            <v>VYPRODÁNO</v>
          </cell>
          <cell r="D366">
            <v>0</v>
          </cell>
        </row>
        <row r="367">
          <cell r="A367" t="str">
            <v>C193A14</v>
          </cell>
          <cell r="B367" t="str">
            <v>VYPRODÁNO</v>
          </cell>
          <cell r="D367">
            <v>0</v>
          </cell>
        </row>
        <row r="368">
          <cell r="A368" t="str">
            <v>C193B E</v>
          </cell>
          <cell r="B368" t="str">
            <v>VYPRODÁNO</v>
          </cell>
          <cell r="D368">
            <v>0</v>
          </cell>
        </row>
        <row r="369">
          <cell r="A369" t="str">
            <v>C193BP</v>
          </cell>
          <cell r="B369" t="str">
            <v>SKLADEM</v>
          </cell>
          <cell r="D369">
            <v>0</v>
          </cell>
        </row>
        <row r="370">
          <cell r="A370" t="str">
            <v>C193C</v>
          </cell>
          <cell r="B370" t="str">
            <v>SKLADEM</v>
          </cell>
          <cell r="D370">
            <v>0</v>
          </cell>
        </row>
        <row r="371">
          <cell r="A371" t="str">
            <v>C193C14</v>
          </cell>
          <cell r="B371" t="str">
            <v>VYPRODÁNO</v>
          </cell>
          <cell r="D371">
            <v>0</v>
          </cell>
        </row>
        <row r="372">
          <cell r="A372" t="str">
            <v>C193D</v>
          </cell>
          <cell r="B372" t="str">
            <v>SKLADEM</v>
          </cell>
          <cell r="D372">
            <v>0</v>
          </cell>
        </row>
        <row r="373">
          <cell r="A373" t="str">
            <v>C193D E</v>
          </cell>
          <cell r="B373" t="str">
            <v>VYPRODÁNO</v>
          </cell>
          <cell r="D373">
            <v>0</v>
          </cell>
        </row>
        <row r="374">
          <cell r="A374" t="str">
            <v>C193D14</v>
          </cell>
          <cell r="B374" t="str">
            <v>VYPRODÁNO</v>
          </cell>
          <cell r="D374">
            <v>0</v>
          </cell>
        </row>
        <row r="375">
          <cell r="A375" t="str">
            <v>C193E</v>
          </cell>
          <cell r="B375" t="str">
            <v>VYPRODÁNO</v>
          </cell>
          <cell r="D375">
            <v>0</v>
          </cell>
        </row>
        <row r="376">
          <cell r="A376" t="str">
            <v>C193E14</v>
          </cell>
          <cell r="B376" t="str">
            <v>VYPRODÁNO</v>
          </cell>
          <cell r="D376">
            <v>0</v>
          </cell>
        </row>
        <row r="377">
          <cell r="A377" t="str">
            <v>C193F</v>
          </cell>
          <cell r="B377" t="str">
            <v>VYPRODÁNO</v>
          </cell>
          <cell r="D377">
            <v>0</v>
          </cell>
        </row>
        <row r="378">
          <cell r="A378" t="str">
            <v>C193F14</v>
          </cell>
          <cell r="B378" t="str">
            <v>VYPRODÁNO</v>
          </cell>
          <cell r="D378">
            <v>0</v>
          </cell>
        </row>
        <row r="379">
          <cell r="A379" t="str">
            <v>C193G</v>
          </cell>
          <cell r="B379" t="str">
            <v>VYPRODÁNO</v>
          </cell>
          <cell r="D379">
            <v>0</v>
          </cell>
        </row>
        <row r="380">
          <cell r="A380" t="str">
            <v>C193H</v>
          </cell>
          <cell r="B380" t="str">
            <v>VYPRODÁNO</v>
          </cell>
          <cell r="D380">
            <v>0</v>
          </cell>
        </row>
        <row r="381">
          <cell r="A381" t="str">
            <v>C193H E</v>
          </cell>
          <cell r="B381" t="str">
            <v>VYPRODÁNO</v>
          </cell>
          <cell r="D381">
            <v>0</v>
          </cell>
        </row>
        <row r="382">
          <cell r="A382" t="str">
            <v>C193H14</v>
          </cell>
          <cell r="B382" t="str">
            <v>VYPRODÁNO</v>
          </cell>
          <cell r="D382">
            <v>0</v>
          </cell>
        </row>
        <row r="383">
          <cell r="A383" t="str">
            <v>C193I</v>
          </cell>
          <cell r="B383" t="str">
            <v>SKLADEM</v>
          </cell>
          <cell r="D383">
            <v>0</v>
          </cell>
        </row>
        <row r="384">
          <cell r="A384" t="str">
            <v>C193I14</v>
          </cell>
          <cell r="B384" t="str">
            <v>VYPRODÁNO</v>
          </cell>
          <cell r="D384">
            <v>0</v>
          </cell>
        </row>
        <row r="385">
          <cell r="A385" t="str">
            <v>C193J</v>
          </cell>
          <cell r="B385" t="str">
            <v>SKLADEM</v>
          </cell>
          <cell r="D385">
            <v>0</v>
          </cell>
        </row>
        <row r="386">
          <cell r="A386" t="str">
            <v>C193J14</v>
          </cell>
          <cell r="B386" t="str">
            <v>VYPRODÁNO</v>
          </cell>
          <cell r="D386">
            <v>0</v>
          </cell>
        </row>
        <row r="387">
          <cell r="A387" t="str">
            <v>C193KA</v>
          </cell>
          <cell r="B387" t="str">
            <v>VYPRODÁNO</v>
          </cell>
          <cell r="D387">
            <v>0</v>
          </cell>
        </row>
        <row r="388">
          <cell r="A388" t="str">
            <v>C193W</v>
          </cell>
          <cell r="B388" t="str">
            <v>VYPRODÁNO</v>
          </cell>
          <cell r="D388">
            <v>0</v>
          </cell>
        </row>
        <row r="389">
          <cell r="A389" t="str">
            <v>C193W E</v>
          </cell>
          <cell r="B389" t="str">
            <v>VYPRODÁNO</v>
          </cell>
          <cell r="D389">
            <v>0</v>
          </cell>
        </row>
        <row r="390">
          <cell r="A390" t="str">
            <v>C193W14</v>
          </cell>
          <cell r="B390" t="str">
            <v>VYPRODÁNO</v>
          </cell>
          <cell r="D390">
            <v>0</v>
          </cell>
        </row>
        <row r="391">
          <cell r="A391" t="str">
            <v>C19620SIG/C</v>
          </cell>
          <cell r="B391" t="str">
            <v>VYPRODÁNO</v>
          </cell>
          <cell r="D391">
            <v>0</v>
          </cell>
        </row>
        <row r="392">
          <cell r="A392" t="str">
            <v>C19620SIG/C(T)</v>
          </cell>
          <cell r="B392" t="str">
            <v>VYPRODÁNO</v>
          </cell>
          <cell r="D392">
            <v>0</v>
          </cell>
        </row>
        <row r="393">
          <cell r="A393" t="str">
            <v>C19620SIG/IC14</v>
          </cell>
          <cell r="B393" t="str">
            <v>VYPRODÁNO</v>
          </cell>
          <cell r="D393">
            <v>0</v>
          </cell>
        </row>
        <row r="394">
          <cell r="A394" t="str">
            <v>C19625/C14</v>
          </cell>
          <cell r="B394" t="str">
            <v>DOCHÁZÍ</v>
          </cell>
          <cell r="D394">
            <v>0</v>
          </cell>
          <cell r="E394">
            <v>30</v>
          </cell>
        </row>
        <row r="395">
          <cell r="A395" t="str">
            <v>C19625/C14 E</v>
          </cell>
          <cell r="B395" t="str">
            <v>VYPRODÁNO</v>
          </cell>
          <cell r="D395">
            <v>0</v>
          </cell>
        </row>
        <row r="396">
          <cell r="A396" t="str">
            <v>C19625/C14(T)</v>
          </cell>
          <cell r="B396" t="str">
            <v>DOCHÁZÍ</v>
          </cell>
          <cell r="D396">
            <v>0</v>
          </cell>
          <cell r="E396">
            <v>30</v>
          </cell>
        </row>
        <row r="397">
          <cell r="A397" t="str">
            <v>C19625F/C</v>
          </cell>
          <cell r="B397" t="str">
            <v>SKLADEM</v>
          </cell>
          <cell r="D397">
            <v>0</v>
          </cell>
        </row>
        <row r="398">
          <cell r="A398" t="str">
            <v>C19625F/C(T)</v>
          </cell>
          <cell r="B398" t="str">
            <v>SKLADEM</v>
          </cell>
          <cell r="D398">
            <v>0</v>
          </cell>
        </row>
        <row r="399">
          <cell r="A399" t="str">
            <v>C20020BP</v>
          </cell>
          <cell r="B399" t="str">
            <v>VYPRODÁNO</v>
          </cell>
          <cell r="D399">
            <v>0</v>
          </cell>
        </row>
        <row r="400">
          <cell r="A400" t="str">
            <v>C20020BPF</v>
          </cell>
          <cell r="B400" t="str">
            <v>VYPRODÁNO</v>
          </cell>
          <cell r="D400">
            <v>0</v>
          </cell>
        </row>
        <row r="401">
          <cell r="A401" t="str">
            <v>C20020BPS</v>
          </cell>
          <cell r="B401" t="str">
            <v>SKLADEM</v>
          </cell>
          <cell r="D401">
            <v>0</v>
          </cell>
        </row>
        <row r="402">
          <cell r="A402" t="str">
            <v>C20020PR</v>
          </cell>
          <cell r="B402" t="str">
            <v>SKLADEM</v>
          </cell>
          <cell r="D402" t="str">
            <v>100+</v>
          </cell>
        </row>
        <row r="403">
          <cell r="A403" t="str">
            <v>C20020XBP</v>
          </cell>
          <cell r="B403" t="str">
            <v>SKLADEM</v>
          </cell>
          <cell r="D403">
            <v>0</v>
          </cell>
        </row>
        <row r="404">
          <cell r="A404" t="str">
            <v>C20020XBPW</v>
          </cell>
          <cell r="B404" t="str">
            <v>VYPRODÁNO</v>
          </cell>
          <cell r="D404">
            <v>0</v>
          </cell>
        </row>
        <row r="405">
          <cell r="A405" t="str">
            <v>C20020XPR</v>
          </cell>
          <cell r="B405" t="str">
            <v>SKLADEM</v>
          </cell>
          <cell r="D405">
            <v>0</v>
          </cell>
        </row>
        <row r="406">
          <cell r="A406" t="str">
            <v>C20020XPR E</v>
          </cell>
          <cell r="B406" t="str">
            <v>VYPRODÁNO</v>
          </cell>
          <cell r="D406">
            <v>0</v>
          </cell>
        </row>
        <row r="407">
          <cell r="A407" t="str">
            <v>C20020XPR/C14</v>
          </cell>
          <cell r="B407" t="str">
            <v>SKLADEM</v>
          </cell>
          <cell r="D407">
            <v>0</v>
          </cell>
        </row>
        <row r="408">
          <cell r="A408" t="str">
            <v>C20020XPR/C14(T)</v>
          </cell>
          <cell r="B408" t="str">
            <v>SKLADEM</v>
          </cell>
          <cell r="D408">
            <v>0</v>
          </cell>
        </row>
        <row r="409">
          <cell r="A409" t="str">
            <v>C20020XTS/C14</v>
          </cell>
          <cell r="B409" t="str">
            <v>SKLADEM</v>
          </cell>
          <cell r="D409">
            <v>0</v>
          </cell>
        </row>
        <row r="410">
          <cell r="A410" t="str">
            <v>C20020XTS/C14(T)</v>
          </cell>
          <cell r="B410" t="str">
            <v>SKLADEM</v>
          </cell>
          <cell r="D410">
            <v>0</v>
          </cell>
        </row>
        <row r="411">
          <cell r="A411" t="str">
            <v>C20025BPF/C</v>
          </cell>
          <cell r="B411" t="str">
            <v>VYPRODÁNO</v>
          </cell>
          <cell r="D411">
            <v>0</v>
          </cell>
        </row>
        <row r="412">
          <cell r="A412" t="str">
            <v>C20025BPF/C(T)</v>
          </cell>
          <cell r="B412" t="str">
            <v>VYPRODÁNO</v>
          </cell>
          <cell r="D412">
            <v>0</v>
          </cell>
        </row>
        <row r="413">
          <cell r="A413" t="str">
            <v>C20025BPS/C</v>
          </cell>
          <cell r="B413" t="str">
            <v>VYPRODÁNO</v>
          </cell>
          <cell r="D413">
            <v>0</v>
          </cell>
        </row>
        <row r="414">
          <cell r="A414" t="str">
            <v>C20025F/C</v>
          </cell>
          <cell r="B414" t="str">
            <v>SKLADEM</v>
          </cell>
          <cell r="D414">
            <v>0</v>
          </cell>
        </row>
        <row r="415">
          <cell r="A415" t="str">
            <v>C20025F/C(T)</v>
          </cell>
          <cell r="B415" t="str">
            <v>SKLADEM</v>
          </cell>
          <cell r="D415">
            <v>0</v>
          </cell>
        </row>
        <row r="416">
          <cell r="A416" t="str">
            <v>C2003A</v>
          </cell>
          <cell r="B416" t="str">
            <v>VYPRODÁNO</v>
          </cell>
          <cell r="D416">
            <v>0</v>
          </cell>
        </row>
        <row r="417">
          <cell r="A417" t="str">
            <v>C2003BP/C</v>
          </cell>
          <cell r="B417" t="str">
            <v>SKLADEM</v>
          </cell>
          <cell r="D417" t="str">
            <v>100+</v>
          </cell>
        </row>
        <row r="418">
          <cell r="A418" t="str">
            <v>C2003BP/C(T)</v>
          </cell>
          <cell r="B418" t="str">
            <v>SKLADEM</v>
          </cell>
          <cell r="D418">
            <v>0</v>
          </cell>
        </row>
        <row r="419">
          <cell r="A419" t="str">
            <v>C2003DU/C</v>
          </cell>
          <cell r="B419" t="str">
            <v>VYPRODÁNO</v>
          </cell>
          <cell r="D419">
            <v>0</v>
          </cell>
        </row>
        <row r="420">
          <cell r="A420" t="str">
            <v>C2003DU/C(T)</v>
          </cell>
          <cell r="B420" t="str">
            <v>VYPRODÁNO</v>
          </cell>
          <cell r="D420">
            <v>0</v>
          </cell>
        </row>
        <row r="421">
          <cell r="A421" t="str">
            <v>C2003F/C</v>
          </cell>
          <cell r="B421" t="str">
            <v>SKLADEM</v>
          </cell>
          <cell r="D421">
            <v>0</v>
          </cell>
        </row>
        <row r="422">
          <cell r="A422" t="str">
            <v>C2003SIG/C</v>
          </cell>
          <cell r="B422" t="str">
            <v>SKLADEM</v>
          </cell>
          <cell r="D422">
            <v>0</v>
          </cell>
        </row>
        <row r="423">
          <cell r="A423" t="str">
            <v>C2003SIG/C(T)</v>
          </cell>
          <cell r="B423" t="str">
            <v>SKLADEM</v>
          </cell>
          <cell r="D423">
            <v>0</v>
          </cell>
        </row>
        <row r="424">
          <cell r="A424" t="str">
            <v>C2003T</v>
          </cell>
          <cell r="B424" t="str">
            <v>VYPRODÁNO</v>
          </cell>
          <cell r="D424">
            <v>0</v>
          </cell>
        </row>
        <row r="425">
          <cell r="A425" t="str">
            <v>C2003U</v>
          </cell>
          <cell r="B425" t="str">
            <v>VYPRODÁNO</v>
          </cell>
          <cell r="D425">
            <v>0</v>
          </cell>
        </row>
        <row r="426">
          <cell r="A426" t="str">
            <v>C2003U/C</v>
          </cell>
          <cell r="B426" t="str">
            <v>SKLADEM</v>
          </cell>
          <cell r="D426" t="str">
            <v>100+</v>
          </cell>
        </row>
        <row r="427">
          <cell r="A427" t="str">
            <v>C2003U/C(T)</v>
          </cell>
          <cell r="B427" t="str">
            <v>SKLADEM</v>
          </cell>
          <cell r="D427">
            <v>0</v>
          </cell>
        </row>
        <row r="428">
          <cell r="A428" t="str">
            <v>C2003X</v>
          </cell>
          <cell r="B428" t="str">
            <v>VYPRODÁNO</v>
          </cell>
          <cell r="D428">
            <v>0</v>
          </cell>
        </row>
        <row r="429">
          <cell r="A429" t="str">
            <v>C200MF/C</v>
          </cell>
          <cell r="B429" t="str">
            <v>SKLADEM</v>
          </cell>
          <cell r="D429">
            <v>0</v>
          </cell>
        </row>
        <row r="430">
          <cell r="A430" t="str">
            <v>C200MF/C(T)</v>
          </cell>
          <cell r="B430" t="str">
            <v>SKLADEM</v>
          </cell>
          <cell r="D430">
            <v>0</v>
          </cell>
        </row>
        <row r="431">
          <cell r="A431" t="str">
            <v>C200MF/C14</v>
          </cell>
          <cell r="B431" t="str">
            <v>SKLADEM</v>
          </cell>
          <cell r="D431" t="str">
            <v>100+</v>
          </cell>
        </row>
        <row r="432">
          <cell r="A432" t="str">
            <v>C200MF/C14 E</v>
          </cell>
          <cell r="B432" t="str">
            <v>VYPRODÁNO</v>
          </cell>
          <cell r="D432">
            <v>0</v>
          </cell>
        </row>
        <row r="433">
          <cell r="A433" t="str">
            <v>C200MF/C14(T)</v>
          </cell>
          <cell r="B433" t="str">
            <v>SKLADEM</v>
          </cell>
          <cell r="D433">
            <v>0</v>
          </cell>
        </row>
        <row r="434">
          <cell r="A434" t="str">
            <v>C200MF/IC14</v>
          </cell>
          <cell r="B434" t="str">
            <v>VYPRODÁNO</v>
          </cell>
          <cell r="D434">
            <v>0</v>
          </cell>
        </row>
        <row r="435">
          <cell r="A435" t="str">
            <v>C200MNID/C</v>
          </cell>
          <cell r="B435" t="str">
            <v>VYPRODÁNO</v>
          </cell>
          <cell r="D435">
            <v>0</v>
          </cell>
        </row>
        <row r="436">
          <cell r="A436" t="str">
            <v>C200MNID/C(T)</v>
          </cell>
          <cell r="B436" t="str">
            <v>VYPRODÁNO</v>
          </cell>
          <cell r="D436">
            <v>0</v>
          </cell>
        </row>
        <row r="437">
          <cell r="A437" t="str">
            <v>C2030PA</v>
          </cell>
          <cell r="B437" t="str">
            <v>VYPRODÁNO</v>
          </cell>
          <cell r="D437">
            <v>0</v>
          </cell>
        </row>
        <row r="438">
          <cell r="A438" t="str">
            <v>C2030PB</v>
          </cell>
          <cell r="B438" t="str">
            <v>VYPRODÁNO</v>
          </cell>
          <cell r="D438">
            <v>0</v>
          </cell>
        </row>
        <row r="439">
          <cell r="A439" t="str">
            <v>C2030XXA</v>
          </cell>
          <cell r="B439" t="str">
            <v>VYPRODÁNO</v>
          </cell>
          <cell r="D439">
            <v>0</v>
          </cell>
        </row>
        <row r="440">
          <cell r="A440" t="str">
            <v>C204XMPT/C</v>
          </cell>
          <cell r="B440" t="str">
            <v>SKLADEM</v>
          </cell>
          <cell r="D440" t="str">
            <v>100+</v>
          </cell>
        </row>
        <row r="441">
          <cell r="A441" t="str">
            <v>C204XMPT/C(T)</v>
          </cell>
          <cell r="B441" t="str">
            <v>SKLADEM</v>
          </cell>
          <cell r="D441">
            <v>0</v>
          </cell>
        </row>
        <row r="442">
          <cell r="A442" t="str">
            <v>C204XMPT/C14</v>
          </cell>
          <cell r="B442" t="str">
            <v>31.08.2026</v>
          </cell>
          <cell r="C442">
            <v>158</v>
          </cell>
          <cell r="D442">
            <v>0</v>
          </cell>
        </row>
        <row r="443">
          <cell r="A443" t="str">
            <v>C204XMPT/C14(T)</v>
          </cell>
          <cell r="B443" t="str">
            <v>31.08.2026</v>
          </cell>
          <cell r="C443">
            <v>158</v>
          </cell>
          <cell r="D443">
            <v>0</v>
          </cell>
        </row>
        <row r="444">
          <cell r="A444" t="str">
            <v>C20814XPR</v>
          </cell>
          <cell r="B444" t="str">
            <v>VYPRODÁNO</v>
          </cell>
          <cell r="D444">
            <v>0</v>
          </cell>
        </row>
        <row r="445">
          <cell r="A445" t="str">
            <v>C20814XPR14</v>
          </cell>
          <cell r="B445" t="str">
            <v>SKLADEM</v>
          </cell>
          <cell r="D445">
            <v>0</v>
          </cell>
        </row>
        <row r="446">
          <cell r="A446" t="str">
            <v>C210M1</v>
          </cell>
          <cell r="B446" t="str">
            <v>VYPRODÁNO</v>
          </cell>
          <cell r="D446">
            <v>0</v>
          </cell>
        </row>
        <row r="447">
          <cell r="A447" t="str">
            <v>C212MF/C</v>
          </cell>
          <cell r="B447" t="str">
            <v>SKLADEM</v>
          </cell>
          <cell r="D447" t="str">
            <v>100+</v>
          </cell>
        </row>
        <row r="448">
          <cell r="A448" t="str">
            <v>C212MF/C(T)</v>
          </cell>
          <cell r="B448" t="str">
            <v>SKLADEM</v>
          </cell>
          <cell r="D448">
            <v>0</v>
          </cell>
        </row>
        <row r="449">
          <cell r="A449" t="str">
            <v>C216XMFS/C</v>
          </cell>
          <cell r="B449" t="str">
            <v>SKLADEM</v>
          </cell>
          <cell r="D449">
            <v>0</v>
          </cell>
        </row>
        <row r="450">
          <cell r="A450" t="str">
            <v>C216XMFS/C(T)</v>
          </cell>
          <cell r="B450" t="str">
            <v>SKLADEM</v>
          </cell>
          <cell r="D450">
            <v>0</v>
          </cell>
        </row>
        <row r="451">
          <cell r="A451" t="str">
            <v>C216XMFS/C14</v>
          </cell>
          <cell r="B451" t="str">
            <v>SKLADEM</v>
          </cell>
          <cell r="D451">
            <v>0</v>
          </cell>
        </row>
        <row r="452">
          <cell r="A452" t="str">
            <v>C216XMFS/C14(T)</v>
          </cell>
          <cell r="B452" t="str">
            <v>SKLADEM</v>
          </cell>
          <cell r="D452">
            <v>0</v>
          </cell>
        </row>
        <row r="453">
          <cell r="A453" t="str">
            <v>C219XMPT/C</v>
          </cell>
          <cell r="B453" t="str">
            <v>SKLADEM</v>
          </cell>
          <cell r="D453" t="str">
            <v>100+</v>
          </cell>
        </row>
        <row r="454">
          <cell r="A454" t="str">
            <v>C219XMPT/C(T)</v>
          </cell>
          <cell r="B454" t="str">
            <v>SKLADEM</v>
          </cell>
          <cell r="D454">
            <v>0</v>
          </cell>
        </row>
        <row r="455">
          <cell r="A455" t="str">
            <v>C2223XMK/C</v>
          </cell>
          <cell r="B455" t="str">
            <v>VYPRODÁNO</v>
          </cell>
          <cell r="D455">
            <v>0</v>
          </cell>
        </row>
        <row r="456">
          <cell r="A456" t="str">
            <v>C222MA/C</v>
          </cell>
          <cell r="B456" t="str">
            <v>VYPRODÁNO</v>
          </cell>
          <cell r="D456">
            <v>0</v>
          </cell>
        </row>
        <row r="457">
          <cell r="A457" t="str">
            <v>C222MF/C</v>
          </cell>
          <cell r="B457" t="str">
            <v>SKLADEM</v>
          </cell>
          <cell r="D457">
            <v>0</v>
          </cell>
        </row>
        <row r="458">
          <cell r="A458" t="str">
            <v>C222MF/C(T)</v>
          </cell>
          <cell r="B458" t="str">
            <v>SKLADEM</v>
          </cell>
          <cell r="D458">
            <v>0</v>
          </cell>
        </row>
        <row r="459">
          <cell r="A459" t="str">
            <v>C222MNID/C</v>
          </cell>
          <cell r="B459" t="str">
            <v>VYPRODÁNO</v>
          </cell>
          <cell r="D459">
            <v>0</v>
          </cell>
        </row>
        <row r="460">
          <cell r="A460" t="str">
            <v>C222MNID/C(T)</v>
          </cell>
          <cell r="B460" t="str">
            <v>VYPRODÁNO</v>
          </cell>
          <cell r="D460">
            <v>0</v>
          </cell>
        </row>
        <row r="461">
          <cell r="A461" t="str">
            <v>C222MNPT/C</v>
          </cell>
          <cell r="B461" t="str">
            <v>SKLADEM</v>
          </cell>
          <cell r="D461">
            <v>0</v>
          </cell>
        </row>
        <row r="462">
          <cell r="A462" t="str">
            <v>C222MNPT/C(T)</v>
          </cell>
          <cell r="B462" t="str">
            <v>SKLADEM</v>
          </cell>
          <cell r="D462">
            <v>0</v>
          </cell>
        </row>
        <row r="463">
          <cell r="A463" t="str">
            <v>C223MF/C</v>
          </cell>
          <cell r="B463" t="str">
            <v>VYPRODÁNO</v>
          </cell>
          <cell r="D463">
            <v>0</v>
          </cell>
        </row>
        <row r="464">
          <cell r="A464" t="str">
            <v>C223MF/C E</v>
          </cell>
          <cell r="B464" t="str">
            <v>VYPRODÁNO</v>
          </cell>
          <cell r="D464">
            <v>0</v>
          </cell>
        </row>
        <row r="465">
          <cell r="A465" t="str">
            <v>C223MF/C(T)</v>
          </cell>
          <cell r="B465" t="str">
            <v>VYPRODÁNO</v>
          </cell>
          <cell r="D465">
            <v>0</v>
          </cell>
        </row>
        <row r="466">
          <cell r="A466" t="str">
            <v>C223MF/C14</v>
          </cell>
          <cell r="B466" t="str">
            <v>VYPRODÁNO</v>
          </cell>
          <cell r="D466">
            <v>0</v>
          </cell>
        </row>
        <row r="467">
          <cell r="A467" t="str">
            <v>C223MM/C</v>
          </cell>
          <cell r="B467" t="str">
            <v>VYPRODÁNO</v>
          </cell>
          <cell r="D467">
            <v>0</v>
          </cell>
        </row>
        <row r="468">
          <cell r="A468" t="str">
            <v>C223MM/C E</v>
          </cell>
          <cell r="B468" t="str">
            <v>VYPRODÁNO</v>
          </cell>
          <cell r="D468">
            <v>0</v>
          </cell>
        </row>
        <row r="469">
          <cell r="A469" t="str">
            <v>C223MM/C14</v>
          </cell>
          <cell r="B469" t="str">
            <v>VYPRODÁNO</v>
          </cell>
          <cell r="D469">
            <v>0</v>
          </cell>
        </row>
        <row r="470">
          <cell r="A470" t="str">
            <v>C223XMK/C</v>
          </cell>
          <cell r="B470" t="str">
            <v>SKLADEM</v>
          </cell>
          <cell r="D470" t="str">
            <v>100+</v>
          </cell>
        </row>
        <row r="471">
          <cell r="A471" t="str">
            <v>C223XMK/C(T)</v>
          </cell>
          <cell r="B471" t="str">
            <v>SKLADEM</v>
          </cell>
          <cell r="D471">
            <v>0</v>
          </cell>
        </row>
        <row r="472">
          <cell r="A472" t="str">
            <v>C223XMK/C14</v>
          </cell>
          <cell r="B472" t="str">
            <v>SKLADEM</v>
          </cell>
          <cell r="D472" t="str">
            <v>100+</v>
          </cell>
        </row>
        <row r="473">
          <cell r="A473" t="str">
            <v>C223XMK/C14(T)</v>
          </cell>
          <cell r="B473" t="str">
            <v>SKLADEM</v>
          </cell>
          <cell r="D473">
            <v>0</v>
          </cell>
        </row>
        <row r="474">
          <cell r="A474" t="str">
            <v>C239MSIG/C</v>
          </cell>
          <cell r="B474" t="str">
            <v>VYPRODÁNO</v>
          </cell>
          <cell r="D474">
            <v>0</v>
          </cell>
        </row>
        <row r="475">
          <cell r="A475" t="str">
            <v>C239MSIG/C(T)</v>
          </cell>
          <cell r="B475" t="str">
            <v>VYPRODÁNO</v>
          </cell>
          <cell r="D475">
            <v>0</v>
          </cell>
        </row>
        <row r="476">
          <cell r="A476" t="str">
            <v>C23MA</v>
          </cell>
          <cell r="B476" t="str">
            <v>VYPRODÁNO</v>
          </cell>
          <cell r="D476">
            <v>0</v>
          </cell>
        </row>
        <row r="477">
          <cell r="A477" t="str">
            <v>C23MC</v>
          </cell>
          <cell r="B477" t="str">
            <v>VYPRODÁNO</v>
          </cell>
          <cell r="D477">
            <v>0</v>
          </cell>
        </row>
        <row r="478">
          <cell r="A478" t="str">
            <v>C23MC E</v>
          </cell>
          <cell r="B478" t="str">
            <v>VYPRODÁNO</v>
          </cell>
          <cell r="D478">
            <v>0</v>
          </cell>
        </row>
        <row r="479">
          <cell r="A479" t="str">
            <v>C23MO</v>
          </cell>
          <cell r="B479" t="str">
            <v>SKLADEM</v>
          </cell>
          <cell r="D479">
            <v>0</v>
          </cell>
        </row>
        <row r="480">
          <cell r="A480" t="str">
            <v>C2463A</v>
          </cell>
          <cell r="B480" t="str">
            <v>VYPRODÁNO</v>
          </cell>
          <cell r="D480">
            <v>0</v>
          </cell>
        </row>
        <row r="481">
          <cell r="A481" t="str">
            <v>C2463A E</v>
          </cell>
          <cell r="B481" t="str">
            <v>VYPRODÁNO</v>
          </cell>
          <cell r="D481">
            <v>0</v>
          </cell>
        </row>
        <row r="482">
          <cell r="A482" t="str">
            <v>C2463B</v>
          </cell>
          <cell r="B482" t="str">
            <v>SKLADEM</v>
          </cell>
          <cell r="D482">
            <v>0</v>
          </cell>
        </row>
        <row r="483">
          <cell r="A483" t="str">
            <v>C24MG</v>
          </cell>
          <cell r="B483" t="str">
            <v>VYPRODÁNO</v>
          </cell>
          <cell r="D483">
            <v>0</v>
          </cell>
        </row>
        <row r="484">
          <cell r="A484" t="str">
            <v>C24MH</v>
          </cell>
          <cell r="B484" t="str">
            <v>SKLADEM</v>
          </cell>
          <cell r="D484">
            <v>0</v>
          </cell>
        </row>
        <row r="485">
          <cell r="A485" t="str">
            <v>C24MS</v>
          </cell>
          <cell r="B485" t="str">
            <v>VYPRODÁNO</v>
          </cell>
          <cell r="D485">
            <v>0</v>
          </cell>
        </row>
        <row r="486">
          <cell r="A486" t="str">
            <v>C2505D</v>
          </cell>
          <cell r="B486" t="str">
            <v>SKLADEM</v>
          </cell>
          <cell r="D486">
            <v>0</v>
          </cell>
        </row>
        <row r="487">
          <cell r="A487" t="str">
            <v>C2508R</v>
          </cell>
          <cell r="B487" t="str">
            <v>SKLADEM</v>
          </cell>
          <cell r="D487">
            <v>0</v>
          </cell>
        </row>
        <row r="488">
          <cell r="A488" t="str">
            <v>C2520BP</v>
          </cell>
          <cell r="B488" t="str">
            <v>SKLADEM</v>
          </cell>
          <cell r="D488">
            <v>0</v>
          </cell>
        </row>
        <row r="489">
          <cell r="A489" t="str">
            <v>C2520BPW</v>
          </cell>
          <cell r="B489" t="str">
            <v>VYPRODÁNO</v>
          </cell>
          <cell r="D489">
            <v>0</v>
          </cell>
        </row>
        <row r="490">
          <cell r="A490" t="str">
            <v>C2520DI</v>
          </cell>
          <cell r="B490" t="str">
            <v>SKLADEM</v>
          </cell>
          <cell r="D490">
            <v>0</v>
          </cell>
        </row>
        <row r="491">
          <cell r="A491" t="str">
            <v>C2520DI14</v>
          </cell>
          <cell r="B491" t="str">
            <v>SKLADEM</v>
          </cell>
          <cell r="D491">
            <v>0</v>
          </cell>
        </row>
        <row r="492">
          <cell r="A492" t="str">
            <v>C2520DU</v>
          </cell>
          <cell r="B492" t="str">
            <v>VYPRODÁNO</v>
          </cell>
          <cell r="D492">
            <v>0</v>
          </cell>
        </row>
        <row r="493">
          <cell r="A493" t="str">
            <v>C2520DU E</v>
          </cell>
          <cell r="B493" t="str">
            <v>VYPRODÁNO</v>
          </cell>
          <cell r="D493">
            <v>0</v>
          </cell>
        </row>
        <row r="494">
          <cell r="A494" t="str">
            <v>C2520DU14</v>
          </cell>
          <cell r="B494" t="str">
            <v>VYPRODÁNO</v>
          </cell>
          <cell r="D494">
            <v>0</v>
          </cell>
        </row>
        <row r="495">
          <cell r="A495" t="str">
            <v>C2520E</v>
          </cell>
          <cell r="B495" t="str">
            <v>VYPRODÁNO</v>
          </cell>
          <cell r="D495">
            <v>0</v>
          </cell>
        </row>
        <row r="496">
          <cell r="A496" t="str">
            <v>C2520E E</v>
          </cell>
          <cell r="B496" t="str">
            <v>VYPRODÁNO</v>
          </cell>
          <cell r="D496">
            <v>0</v>
          </cell>
        </row>
        <row r="497">
          <cell r="A497" t="str">
            <v>C2520H</v>
          </cell>
          <cell r="B497" t="str">
            <v>VYPRODÁNO</v>
          </cell>
          <cell r="D497">
            <v>0</v>
          </cell>
        </row>
        <row r="498">
          <cell r="A498" t="str">
            <v>C2520H E</v>
          </cell>
          <cell r="B498" t="str">
            <v>VYPRODÁNO</v>
          </cell>
          <cell r="D498">
            <v>0</v>
          </cell>
        </row>
        <row r="499">
          <cell r="A499" t="str">
            <v>C2520H14</v>
          </cell>
          <cell r="B499" t="str">
            <v>VYPRODÁNO</v>
          </cell>
          <cell r="D499">
            <v>0</v>
          </cell>
        </row>
        <row r="500">
          <cell r="A500" t="str">
            <v>C2520HA</v>
          </cell>
          <cell r="B500" t="str">
            <v>VYPRODÁNO</v>
          </cell>
          <cell r="D500">
            <v>0</v>
          </cell>
        </row>
        <row r="501">
          <cell r="A501" t="str">
            <v>C2520HA E</v>
          </cell>
          <cell r="B501" t="str">
            <v>VYPRODÁNO</v>
          </cell>
          <cell r="D501">
            <v>0</v>
          </cell>
        </row>
        <row r="502">
          <cell r="A502" t="str">
            <v>C2520HA14</v>
          </cell>
          <cell r="B502" t="str">
            <v>VYPRODÁNO</v>
          </cell>
          <cell r="D502">
            <v>0</v>
          </cell>
        </row>
        <row r="503">
          <cell r="A503" t="str">
            <v>C2520MIX</v>
          </cell>
          <cell r="B503" t="str">
            <v>VYPRODÁNO</v>
          </cell>
          <cell r="D503">
            <v>0</v>
          </cell>
        </row>
        <row r="504">
          <cell r="A504" t="str">
            <v>C2520MIX14</v>
          </cell>
          <cell r="B504" t="str">
            <v>VYPRODÁNO</v>
          </cell>
          <cell r="D504">
            <v>0</v>
          </cell>
        </row>
        <row r="505">
          <cell r="A505" t="str">
            <v>C2520P</v>
          </cell>
          <cell r="B505" t="str">
            <v>VYPRODÁNO</v>
          </cell>
          <cell r="D505">
            <v>0</v>
          </cell>
        </row>
        <row r="506">
          <cell r="A506" t="str">
            <v>C2520P14</v>
          </cell>
          <cell r="B506" t="str">
            <v>VYPRODÁNO</v>
          </cell>
          <cell r="D506">
            <v>0</v>
          </cell>
        </row>
        <row r="507">
          <cell r="A507" t="str">
            <v>C2520PI</v>
          </cell>
          <cell r="B507" t="str">
            <v>VYPRODÁNO</v>
          </cell>
          <cell r="D507">
            <v>0</v>
          </cell>
        </row>
        <row r="508">
          <cell r="A508" t="str">
            <v>C2520PO</v>
          </cell>
          <cell r="B508" t="str">
            <v>VYPRODÁNO</v>
          </cell>
          <cell r="D508">
            <v>0</v>
          </cell>
        </row>
        <row r="509">
          <cell r="A509" t="str">
            <v>C2520PO E</v>
          </cell>
          <cell r="B509" t="str">
            <v>VYPRODÁNO</v>
          </cell>
          <cell r="D509">
            <v>0</v>
          </cell>
        </row>
        <row r="510">
          <cell r="A510" t="str">
            <v>C2520PO14</v>
          </cell>
          <cell r="B510" t="str">
            <v>VYPRODÁNO</v>
          </cell>
          <cell r="D510">
            <v>0</v>
          </cell>
        </row>
        <row r="511">
          <cell r="A511" t="str">
            <v>C2520R</v>
          </cell>
          <cell r="B511" t="str">
            <v>06.04.2026</v>
          </cell>
          <cell r="C511">
            <v>11</v>
          </cell>
          <cell r="D511" t="str">
            <v>100+</v>
          </cell>
        </row>
        <row r="512">
          <cell r="A512" t="str">
            <v>C2520R E</v>
          </cell>
          <cell r="B512" t="str">
            <v>VYPRODÁNO</v>
          </cell>
          <cell r="D512">
            <v>0</v>
          </cell>
        </row>
        <row r="513">
          <cell r="A513" t="str">
            <v>C2520R14</v>
          </cell>
          <cell r="B513" t="str">
            <v>VYPRODÁNO</v>
          </cell>
          <cell r="D513">
            <v>0</v>
          </cell>
        </row>
        <row r="514">
          <cell r="A514" t="str">
            <v>C2520SE</v>
          </cell>
          <cell r="B514" t="str">
            <v>SKLADEM</v>
          </cell>
          <cell r="D514" t="str">
            <v>100+</v>
          </cell>
        </row>
        <row r="515">
          <cell r="A515" t="str">
            <v>C2520SE E</v>
          </cell>
          <cell r="B515" t="str">
            <v>VYPRODÁNO</v>
          </cell>
          <cell r="D515">
            <v>0</v>
          </cell>
        </row>
        <row r="516">
          <cell r="A516" t="str">
            <v>C2520SE14</v>
          </cell>
          <cell r="B516" t="str">
            <v>SKLADEM</v>
          </cell>
          <cell r="D516">
            <v>0</v>
          </cell>
        </row>
        <row r="517">
          <cell r="A517" t="str">
            <v>C2520SE14 E</v>
          </cell>
          <cell r="B517" t="str">
            <v>VYPRODÁNO</v>
          </cell>
          <cell r="D517">
            <v>0</v>
          </cell>
        </row>
        <row r="518">
          <cell r="A518" t="str">
            <v>C2520SIG</v>
          </cell>
          <cell r="B518" t="str">
            <v>SKLADEM</v>
          </cell>
          <cell r="D518">
            <v>0</v>
          </cell>
        </row>
        <row r="519">
          <cell r="A519" t="str">
            <v>C2520SIGI14</v>
          </cell>
          <cell r="B519" t="str">
            <v>VYPRODÁNO</v>
          </cell>
          <cell r="D519">
            <v>0</v>
          </cell>
        </row>
        <row r="520">
          <cell r="A520" t="str">
            <v>C2520SL</v>
          </cell>
          <cell r="B520" t="str">
            <v>DOCHÁZÍ</v>
          </cell>
          <cell r="D520">
            <v>0</v>
          </cell>
          <cell r="E520">
            <v>12</v>
          </cell>
        </row>
        <row r="521">
          <cell r="A521" t="str">
            <v>C2520ST</v>
          </cell>
          <cell r="B521" t="str">
            <v>SKLADEM</v>
          </cell>
          <cell r="D521" t="str">
            <v>100+</v>
          </cell>
        </row>
        <row r="522">
          <cell r="A522" t="str">
            <v>C2520ST E</v>
          </cell>
          <cell r="B522" t="str">
            <v>VYPRODÁNO</v>
          </cell>
          <cell r="D522">
            <v>0</v>
          </cell>
        </row>
        <row r="523">
          <cell r="A523" t="str">
            <v>C2520ST14</v>
          </cell>
          <cell r="B523" t="str">
            <v>VYPRODÁNO</v>
          </cell>
          <cell r="D523">
            <v>0</v>
          </cell>
        </row>
        <row r="524">
          <cell r="A524" t="str">
            <v>C2520T</v>
          </cell>
          <cell r="B524" t="str">
            <v>SKLADEM</v>
          </cell>
          <cell r="D524" t="str">
            <v>100+</v>
          </cell>
        </row>
        <row r="525">
          <cell r="A525" t="str">
            <v>C2520T14</v>
          </cell>
          <cell r="B525" t="str">
            <v>SKLADEM</v>
          </cell>
          <cell r="D525" t="str">
            <v>100+</v>
          </cell>
        </row>
        <row r="526">
          <cell r="A526" t="str">
            <v>C2520V</v>
          </cell>
          <cell r="B526" t="str">
            <v>VYPRODÁNO</v>
          </cell>
          <cell r="D526">
            <v>0</v>
          </cell>
        </row>
        <row r="527">
          <cell r="A527" t="str">
            <v>C2520V E</v>
          </cell>
          <cell r="B527" t="str">
            <v>VYPRODÁNO</v>
          </cell>
          <cell r="D527">
            <v>0</v>
          </cell>
        </row>
        <row r="528">
          <cell r="A528" t="str">
            <v>C2520V14</v>
          </cell>
          <cell r="B528" t="str">
            <v>VYPRODÁNO</v>
          </cell>
          <cell r="D528">
            <v>0</v>
          </cell>
        </row>
        <row r="529">
          <cell r="A529" t="str">
            <v>C2520VI</v>
          </cell>
          <cell r="B529" t="str">
            <v>VYPRODÁNO</v>
          </cell>
          <cell r="D529">
            <v>0</v>
          </cell>
        </row>
        <row r="530">
          <cell r="A530" t="str">
            <v>C2520VI E</v>
          </cell>
          <cell r="B530" t="str">
            <v>VYPRODÁNO</v>
          </cell>
          <cell r="D530">
            <v>0</v>
          </cell>
        </row>
        <row r="531">
          <cell r="A531" t="str">
            <v>C2520VI14</v>
          </cell>
          <cell r="B531" t="str">
            <v>VYPRODÁNO</v>
          </cell>
          <cell r="D531">
            <v>0</v>
          </cell>
        </row>
        <row r="532">
          <cell r="A532" t="str">
            <v>C2520Y</v>
          </cell>
          <cell r="B532" t="str">
            <v>VYPRODÁNO</v>
          </cell>
          <cell r="D532">
            <v>0</v>
          </cell>
        </row>
        <row r="533">
          <cell r="A533" t="str">
            <v>C2520Y E</v>
          </cell>
          <cell r="B533" t="str">
            <v>VYPRODÁNO</v>
          </cell>
          <cell r="D533">
            <v>0</v>
          </cell>
        </row>
        <row r="534">
          <cell r="A534" t="str">
            <v>C2520Y14</v>
          </cell>
          <cell r="B534" t="str">
            <v>VYPRODÁNO</v>
          </cell>
          <cell r="D534">
            <v>0</v>
          </cell>
        </row>
        <row r="535">
          <cell r="A535" t="str">
            <v>C2520Z</v>
          </cell>
          <cell r="B535" t="str">
            <v>SKLADEM</v>
          </cell>
          <cell r="D535">
            <v>0</v>
          </cell>
        </row>
        <row r="536">
          <cell r="A536" t="str">
            <v>C2520Z14</v>
          </cell>
          <cell r="B536" t="str">
            <v>VYPRODÁNO</v>
          </cell>
          <cell r="D536">
            <v>0</v>
          </cell>
        </row>
        <row r="537">
          <cell r="A537" t="str">
            <v>C25220XFS/C</v>
          </cell>
          <cell r="B537" t="str">
            <v>SKLADEM</v>
          </cell>
          <cell r="D537">
            <v>0</v>
          </cell>
        </row>
        <row r="538">
          <cell r="A538" t="str">
            <v>C25220XFS/C(T)</v>
          </cell>
          <cell r="B538" t="str">
            <v>SKLADEM</v>
          </cell>
          <cell r="D538">
            <v>0</v>
          </cell>
        </row>
        <row r="539">
          <cell r="A539" t="str">
            <v>C25220XFS/C14</v>
          </cell>
          <cell r="B539" t="str">
            <v>SKLADEM</v>
          </cell>
          <cell r="D539">
            <v>0</v>
          </cell>
        </row>
        <row r="540">
          <cell r="A540" t="str">
            <v>C25220XFS/C14(T)</v>
          </cell>
          <cell r="B540" t="str">
            <v>SKLADEM</v>
          </cell>
          <cell r="D540">
            <v>0</v>
          </cell>
        </row>
        <row r="541">
          <cell r="A541" t="str">
            <v>C2525A</v>
          </cell>
          <cell r="B541" t="str">
            <v>VYPRODÁNO</v>
          </cell>
          <cell r="D541">
            <v>0</v>
          </cell>
        </row>
        <row r="542">
          <cell r="A542" t="str">
            <v>C2525A14</v>
          </cell>
          <cell r="B542" t="str">
            <v>VYPRODÁNO</v>
          </cell>
          <cell r="D542">
            <v>0</v>
          </cell>
        </row>
        <row r="543">
          <cell r="A543" t="str">
            <v>C2525BPW</v>
          </cell>
          <cell r="B543" t="str">
            <v>SKLADEM</v>
          </cell>
          <cell r="D543">
            <v>0</v>
          </cell>
        </row>
        <row r="544">
          <cell r="A544" t="str">
            <v>C2525C</v>
          </cell>
          <cell r="B544" t="str">
            <v>SKLADEM</v>
          </cell>
          <cell r="D544">
            <v>0</v>
          </cell>
        </row>
        <row r="545">
          <cell r="A545" t="str">
            <v>C2525C E</v>
          </cell>
          <cell r="B545" t="str">
            <v>VYPRODÁNO</v>
          </cell>
          <cell r="D545">
            <v>0</v>
          </cell>
        </row>
        <row r="546">
          <cell r="A546" t="str">
            <v>C2525C14</v>
          </cell>
          <cell r="B546" t="str">
            <v>VYPRODÁNO</v>
          </cell>
          <cell r="D546">
            <v>0</v>
          </cell>
        </row>
        <row r="547">
          <cell r="A547" t="str">
            <v>C2525C14 E</v>
          </cell>
          <cell r="B547" t="str">
            <v>VYPRODÁNO</v>
          </cell>
          <cell r="D547">
            <v>0</v>
          </cell>
        </row>
        <row r="548">
          <cell r="A548" t="str">
            <v>C2525DU</v>
          </cell>
          <cell r="B548" t="str">
            <v>SKLADEM</v>
          </cell>
          <cell r="D548">
            <v>0</v>
          </cell>
        </row>
        <row r="549">
          <cell r="A549" t="str">
            <v>C2525DU E</v>
          </cell>
          <cell r="B549" t="str">
            <v>VYPRODÁNO</v>
          </cell>
          <cell r="D549">
            <v>0</v>
          </cell>
        </row>
        <row r="550">
          <cell r="A550" t="str">
            <v>C2525F</v>
          </cell>
          <cell r="B550" t="str">
            <v>VYPRODÁNO</v>
          </cell>
          <cell r="D550">
            <v>0</v>
          </cell>
        </row>
        <row r="551">
          <cell r="A551" t="str">
            <v>C2525F14</v>
          </cell>
          <cell r="B551" t="str">
            <v>VYPRODÁNO</v>
          </cell>
          <cell r="D551">
            <v>0</v>
          </cell>
        </row>
        <row r="552">
          <cell r="A552" t="str">
            <v>C2525GO</v>
          </cell>
          <cell r="B552" t="str">
            <v>VYPRODÁNO</v>
          </cell>
          <cell r="D552">
            <v>0</v>
          </cell>
        </row>
        <row r="553">
          <cell r="A553" t="str">
            <v>C2525GR</v>
          </cell>
          <cell r="B553" t="str">
            <v>VYPRODÁNO</v>
          </cell>
          <cell r="D553">
            <v>0</v>
          </cell>
        </row>
        <row r="554">
          <cell r="A554" t="str">
            <v>C2525GR14</v>
          </cell>
          <cell r="B554" t="str">
            <v>VYPRODÁNO</v>
          </cell>
          <cell r="D554">
            <v>0</v>
          </cell>
        </row>
        <row r="555">
          <cell r="A555" t="str">
            <v>C2525L</v>
          </cell>
          <cell r="B555" t="str">
            <v>SKLADEM</v>
          </cell>
          <cell r="D555">
            <v>0</v>
          </cell>
        </row>
        <row r="556">
          <cell r="A556" t="str">
            <v>C2525M</v>
          </cell>
          <cell r="B556" t="str">
            <v>VYPRODÁNO</v>
          </cell>
          <cell r="D556">
            <v>0</v>
          </cell>
        </row>
        <row r="557">
          <cell r="A557" t="str">
            <v>C2525M14</v>
          </cell>
          <cell r="B557" t="str">
            <v>VYPRODÁNO</v>
          </cell>
          <cell r="D557">
            <v>0</v>
          </cell>
        </row>
        <row r="558">
          <cell r="A558" t="str">
            <v>C2525SC14</v>
          </cell>
          <cell r="B558" t="str">
            <v>SKLADEM</v>
          </cell>
          <cell r="D558">
            <v>0</v>
          </cell>
        </row>
        <row r="559">
          <cell r="A559" t="str">
            <v>C2525SIG</v>
          </cell>
          <cell r="B559" t="str">
            <v>SKLADEM</v>
          </cell>
          <cell r="D559">
            <v>0</v>
          </cell>
        </row>
        <row r="560">
          <cell r="A560" t="str">
            <v>C2525SIG E</v>
          </cell>
          <cell r="B560" t="str">
            <v>VYPRODÁNO</v>
          </cell>
          <cell r="D560">
            <v>0</v>
          </cell>
        </row>
        <row r="561">
          <cell r="A561" t="str">
            <v>C2525SIG14</v>
          </cell>
          <cell r="B561" t="str">
            <v>VYPRODÁNO</v>
          </cell>
          <cell r="D561">
            <v>0</v>
          </cell>
        </row>
        <row r="562">
          <cell r="A562" t="str">
            <v>C2525SIGI14</v>
          </cell>
          <cell r="B562" t="str">
            <v>VYPRODÁNO</v>
          </cell>
          <cell r="D562">
            <v>0</v>
          </cell>
        </row>
        <row r="563">
          <cell r="A563" t="str">
            <v>C2525T</v>
          </cell>
          <cell r="B563" t="str">
            <v>VYPRODÁNO</v>
          </cell>
          <cell r="D563">
            <v>0</v>
          </cell>
        </row>
        <row r="564">
          <cell r="A564" t="str">
            <v>C2525T E</v>
          </cell>
          <cell r="B564" t="str">
            <v>VYPRODÁNO</v>
          </cell>
          <cell r="D564">
            <v>0</v>
          </cell>
        </row>
        <row r="565">
          <cell r="A565" t="str">
            <v>C2525T14</v>
          </cell>
          <cell r="B565" t="str">
            <v>VYPRODÁNO</v>
          </cell>
          <cell r="D565">
            <v>0</v>
          </cell>
        </row>
        <row r="566">
          <cell r="A566" t="str">
            <v>C2525T14 E</v>
          </cell>
          <cell r="B566" t="str">
            <v>VYPRODÁNO</v>
          </cell>
          <cell r="D566">
            <v>0</v>
          </cell>
        </row>
        <row r="567">
          <cell r="A567" t="str">
            <v>C253A</v>
          </cell>
          <cell r="B567" t="str">
            <v>VYPRODÁNO</v>
          </cell>
          <cell r="D567">
            <v>0</v>
          </cell>
        </row>
        <row r="568">
          <cell r="A568" t="str">
            <v>C253A/P</v>
          </cell>
          <cell r="B568" t="str">
            <v>VYPRODÁNO</v>
          </cell>
          <cell r="D568">
            <v>0</v>
          </cell>
        </row>
        <row r="569">
          <cell r="A569" t="str">
            <v>C253B</v>
          </cell>
          <cell r="B569" t="str">
            <v>VYPRODÁNO</v>
          </cell>
          <cell r="D569">
            <v>0</v>
          </cell>
        </row>
        <row r="570">
          <cell r="A570" t="str">
            <v>C253B E</v>
          </cell>
          <cell r="B570" t="str">
            <v>VYPRODÁNO</v>
          </cell>
          <cell r="D570">
            <v>0</v>
          </cell>
        </row>
        <row r="571">
          <cell r="A571" t="str">
            <v>C253B14</v>
          </cell>
          <cell r="B571" t="str">
            <v>SKLADEM</v>
          </cell>
          <cell r="D571" t="str">
            <v>100+</v>
          </cell>
        </row>
        <row r="572">
          <cell r="A572" t="str">
            <v>C253BP14</v>
          </cell>
          <cell r="B572" t="str">
            <v>SKLADEM</v>
          </cell>
          <cell r="D572" t="str">
            <v>100+</v>
          </cell>
        </row>
        <row r="573">
          <cell r="A573" t="str">
            <v>C253BPF14</v>
          </cell>
          <cell r="B573" t="str">
            <v>VYPRODÁNO</v>
          </cell>
          <cell r="D573">
            <v>0</v>
          </cell>
        </row>
        <row r="574">
          <cell r="A574" t="str">
            <v>C253C</v>
          </cell>
          <cell r="B574" t="str">
            <v>VYPRODÁNO</v>
          </cell>
          <cell r="D574">
            <v>0</v>
          </cell>
        </row>
        <row r="575">
          <cell r="A575" t="str">
            <v>C253C E</v>
          </cell>
          <cell r="B575" t="str">
            <v>VYPRODÁNO</v>
          </cell>
          <cell r="D575">
            <v>0</v>
          </cell>
        </row>
        <row r="576">
          <cell r="A576" t="str">
            <v>C253C/P</v>
          </cell>
          <cell r="B576" t="str">
            <v>VYPRODÁNO</v>
          </cell>
          <cell r="D576">
            <v>0</v>
          </cell>
        </row>
        <row r="577">
          <cell r="A577" t="str">
            <v>C253C14</v>
          </cell>
          <cell r="B577" t="str">
            <v>VYPRODÁNO</v>
          </cell>
          <cell r="D577">
            <v>0</v>
          </cell>
        </row>
        <row r="578">
          <cell r="A578" t="str">
            <v>C253COMA</v>
          </cell>
          <cell r="B578" t="str">
            <v>VYPRODÁNO</v>
          </cell>
          <cell r="D578">
            <v>0</v>
          </cell>
        </row>
        <row r="579">
          <cell r="A579" t="str">
            <v>C253COMB</v>
          </cell>
          <cell r="B579" t="str">
            <v>VYPRODÁNO</v>
          </cell>
          <cell r="D579">
            <v>0</v>
          </cell>
        </row>
        <row r="580">
          <cell r="A580" t="str">
            <v>C253D</v>
          </cell>
          <cell r="B580" t="str">
            <v>VYPRODÁNO</v>
          </cell>
          <cell r="D580">
            <v>0</v>
          </cell>
        </row>
        <row r="581">
          <cell r="A581" t="str">
            <v>C253D/P</v>
          </cell>
          <cell r="B581" t="str">
            <v>VYPRODÁNO</v>
          </cell>
          <cell r="D581">
            <v>0</v>
          </cell>
        </row>
        <row r="582">
          <cell r="A582" t="str">
            <v>C253D14</v>
          </cell>
          <cell r="B582" t="str">
            <v>VYPRODÁNO</v>
          </cell>
          <cell r="D582">
            <v>0</v>
          </cell>
        </row>
        <row r="583">
          <cell r="A583" t="str">
            <v>C253DIA</v>
          </cell>
          <cell r="B583" t="str">
            <v>VYPRODÁNO</v>
          </cell>
          <cell r="D583">
            <v>0</v>
          </cell>
        </row>
        <row r="584">
          <cell r="A584" t="str">
            <v>C253DU</v>
          </cell>
          <cell r="B584" t="str">
            <v>SKLADEM</v>
          </cell>
          <cell r="D584">
            <v>0</v>
          </cell>
        </row>
        <row r="585">
          <cell r="A585" t="str">
            <v>C253DU E</v>
          </cell>
          <cell r="B585" t="str">
            <v>VYPRODÁNO</v>
          </cell>
          <cell r="D585">
            <v>0</v>
          </cell>
        </row>
        <row r="586">
          <cell r="A586" t="str">
            <v>C253DU/P</v>
          </cell>
          <cell r="B586" t="str">
            <v>VYPRODÁNO</v>
          </cell>
          <cell r="D586">
            <v>0</v>
          </cell>
        </row>
        <row r="587">
          <cell r="A587" t="str">
            <v>C253DUI14</v>
          </cell>
          <cell r="B587" t="str">
            <v>VYPRODÁNO</v>
          </cell>
          <cell r="D587">
            <v>0</v>
          </cell>
        </row>
        <row r="588">
          <cell r="A588" t="str">
            <v>C253E</v>
          </cell>
          <cell r="B588" t="str">
            <v>VYPRODÁNO</v>
          </cell>
          <cell r="D588">
            <v>0</v>
          </cell>
        </row>
        <row r="589">
          <cell r="A589" t="str">
            <v>C253E E</v>
          </cell>
          <cell r="B589" t="str">
            <v>VYPRODÁNO</v>
          </cell>
          <cell r="D589">
            <v>0</v>
          </cell>
        </row>
        <row r="590">
          <cell r="A590" t="str">
            <v>C253E/P</v>
          </cell>
          <cell r="B590" t="str">
            <v>VYPRODÁNO</v>
          </cell>
          <cell r="D590">
            <v>0</v>
          </cell>
        </row>
        <row r="591">
          <cell r="A591" t="str">
            <v>C253E14</v>
          </cell>
          <cell r="B591" t="str">
            <v>SKLADEM</v>
          </cell>
          <cell r="D591" t="str">
            <v>100+</v>
          </cell>
        </row>
        <row r="592">
          <cell r="A592" t="str">
            <v>C253EH</v>
          </cell>
          <cell r="B592" t="str">
            <v>VYPRODÁNO</v>
          </cell>
          <cell r="D592">
            <v>0</v>
          </cell>
        </row>
        <row r="593">
          <cell r="A593" t="str">
            <v>C253F</v>
          </cell>
          <cell r="B593" t="str">
            <v>VYPRODÁNO</v>
          </cell>
          <cell r="D593">
            <v>0</v>
          </cell>
        </row>
        <row r="594">
          <cell r="A594" t="str">
            <v>C253F14</v>
          </cell>
          <cell r="B594" t="str">
            <v>SKLADEM</v>
          </cell>
          <cell r="D594">
            <v>0</v>
          </cell>
        </row>
        <row r="595">
          <cell r="A595" t="str">
            <v>C253F14 E</v>
          </cell>
          <cell r="B595" t="str">
            <v>VYPRODÁNO</v>
          </cell>
          <cell r="D595">
            <v>0</v>
          </cell>
        </row>
        <row r="596">
          <cell r="A596" t="str">
            <v>C253FE</v>
          </cell>
          <cell r="B596" t="str">
            <v>VYPRODÁNO</v>
          </cell>
          <cell r="D596">
            <v>0</v>
          </cell>
        </row>
        <row r="597">
          <cell r="A597" t="str">
            <v>C253FE14</v>
          </cell>
          <cell r="B597" t="str">
            <v>VYPRODÁNO</v>
          </cell>
          <cell r="D597">
            <v>0</v>
          </cell>
        </row>
        <row r="598">
          <cell r="A598" t="str">
            <v>C253FE14 E</v>
          </cell>
          <cell r="B598" t="str">
            <v>VYPRODÁNO</v>
          </cell>
          <cell r="D598">
            <v>0</v>
          </cell>
        </row>
        <row r="599">
          <cell r="A599" t="str">
            <v>C253FR</v>
          </cell>
          <cell r="B599" t="str">
            <v>SKLADEM</v>
          </cell>
          <cell r="D599" t="str">
            <v>100+</v>
          </cell>
        </row>
        <row r="600">
          <cell r="A600" t="str">
            <v>C253G</v>
          </cell>
          <cell r="B600" t="str">
            <v>VYPRODÁNO</v>
          </cell>
          <cell r="D600">
            <v>0</v>
          </cell>
        </row>
        <row r="601">
          <cell r="A601" t="str">
            <v>C253G14</v>
          </cell>
          <cell r="B601" t="str">
            <v>VYPRODÁNO</v>
          </cell>
          <cell r="D601">
            <v>0</v>
          </cell>
        </row>
        <row r="602">
          <cell r="A602" t="str">
            <v>C253G14 E</v>
          </cell>
          <cell r="B602" t="str">
            <v>VYPRODÁNO</v>
          </cell>
          <cell r="D602">
            <v>0</v>
          </cell>
        </row>
        <row r="603">
          <cell r="A603" t="str">
            <v>C253H</v>
          </cell>
          <cell r="B603" t="str">
            <v>VYPRODÁNO</v>
          </cell>
          <cell r="D603">
            <v>0</v>
          </cell>
        </row>
        <row r="604">
          <cell r="A604" t="str">
            <v>C253H E</v>
          </cell>
          <cell r="B604" t="str">
            <v>VYPRODÁNO</v>
          </cell>
          <cell r="D604">
            <v>0</v>
          </cell>
        </row>
        <row r="605">
          <cell r="A605" t="str">
            <v>C253CH</v>
          </cell>
          <cell r="B605" t="str">
            <v>DOCHÁZÍ</v>
          </cell>
          <cell r="D605">
            <v>0</v>
          </cell>
          <cell r="E605">
            <v>1</v>
          </cell>
        </row>
        <row r="606">
          <cell r="A606" t="str">
            <v>C253I E</v>
          </cell>
          <cell r="B606" t="str">
            <v>VYPRODÁNO</v>
          </cell>
          <cell r="D606">
            <v>0</v>
          </cell>
        </row>
        <row r="607">
          <cell r="A607" t="str">
            <v>C253I14</v>
          </cell>
          <cell r="B607" t="str">
            <v>VYPRODÁNO</v>
          </cell>
          <cell r="D607">
            <v>0</v>
          </cell>
        </row>
        <row r="608">
          <cell r="A608" t="str">
            <v>C253J</v>
          </cell>
          <cell r="B608" t="str">
            <v>VYPRODÁNO</v>
          </cell>
          <cell r="D608">
            <v>0</v>
          </cell>
        </row>
        <row r="609">
          <cell r="A609" t="str">
            <v>C253L</v>
          </cell>
          <cell r="B609" t="str">
            <v>VYPRODÁNO</v>
          </cell>
          <cell r="D609">
            <v>0</v>
          </cell>
        </row>
        <row r="610">
          <cell r="A610" t="str">
            <v>C253M</v>
          </cell>
          <cell r="B610" t="str">
            <v>VYPRODÁNO</v>
          </cell>
          <cell r="D610">
            <v>0</v>
          </cell>
        </row>
        <row r="611">
          <cell r="A611" t="str">
            <v>C253MIX/E</v>
          </cell>
          <cell r="B611" t="str">
            <v>VYPRODÁNO</v>
          </cell>
          <cell r="D611">
            <v>0</v>
          </cell>
        </row>
        <row r="612">
          <cell r="A612" t="str">
            <v>C253MY</v>
          </cell>
          <cell r="B612" t="str">
            <v>SKLADEM</v>
          </cell>
          <cell r="D612" t="str">
            <v>100+</v>
          </cell>
        </row>
        <row r="613">
          <cell r="A613" t="str">
            <v>C253N</v>
          </cell>
          <cell r="B613" t="str">
            <v>VYPRODÁNO</v>
          </cell>
          <cell r="D613">
            <v>0</v>
          </cell>
        </row>
        <row r="614">
          <cell r="A614" t="str">
            <v>C253NID14</v>
          </cell>
          <cell r="B614" t="str">
            <v>VYPRODÁNO</v>
          </cell>
          <cell r="D614">
            <v>0</v>
          </cell>
        </row>
        <row r="615">
          <cell r="A615" t="str">
            <v>C253NO14</v>
          </cell>
          <cell r="B615" t="str">
            <v>SKLADEM</v>
          </cell>
          <cell r="D615">
            <v>0</v>
          </cell>
        </row>
        <row r="616">
          <cell r="A616" t="str">
            <v>C253NO14 E</v>
          </cell>
          <cell r="B616" t="str">
            <v>VYPRODÁNO</v>
          </cell>
          <cell r="D616">
            <v>0</v>
          </cell>
        </row>
        <row r="617">
          <cell r="A617" t="str">
            <v>C253O</v>
          </cell>
          <cell r="B617" t="str">
            <v>SKLADEM</v>
          </cell>
          <cell r="D617">
            <v>0</v>
          </cell>
        </row>
        <row r="618">
          <cell r="A618" t="str">
            <v>C253P</v>
          </cell>
          <cell r="B618" t="str">
            <v>VYPRODÁNO</v>
          </cell>
          <cell r="D618">
            <v>0</v>
          </cell>
        </row>
        <row r="619">
          <cell r="A619" t="str">
            <v>C253P/2</v>
          </cell>
          <cell r="B619" t="str">
            <v>VYPRODÁNO</v>
          </cell>
          <cell r="D619">
            <v>0</v>
          </cell>
        </row>
        <row r="620">
          <cell r="A620" t="str">
            <v>C253P/2(1)</v>
          </cell>
          <cell r="B620" t="str">
            <v>VYPRODÁNO</v>
          </cell>
          <cell r="D620">
            <v>0</v>
          </cell>
        </row>
        <row r="621">
          <cell r="A621" t="str">
            <v>C253Q/D</v>
          </cell>
          <cell r="B621" t="str">
            <v>VYPRODÁNO</v>
          </cell>
          <cell r="D621">
            <v>0</v>
          </cell>
        </row>
        <row r="622">
          <cell r="A622" t="str">
            <v>C253R</v>
          </cell>
          <cell r="B622" t="str">
            <v>VYPRODÁNO</v>
          </cell>
          <cell r="D622">
            <v>0</v>
          </cell>
        </row>
        <row r="623">
          <cell r="A623" t="str">
            <v>C253RUB</v>
          </cell>
          <cell r="B623" t="str">
            <v>VYPRODÁNO</v>
          </cell>
          <cell r="D623">
            <v>0</v>
          </cell>
        </row>
        <row r="624">
          <cell r="A624" t="str">
            <v>C253S</v>
          </cell>
          <cell r="B624" t="str">
            <v>VYPRODÁNO</v>
          </cell>
          <cell r="D624">
            <v>0</v>
          </cell>
        </row>
        <row r="625">
          <cell r="A625" t="str">
            <v>C253SIG</v>
          </cell>
          <cell r="B625" t="str">
            <v>31.08.2026</v>
          </cell>
          <cell r="C625">
            <v>158</v>
          </cell>
          <cell r="D625">
            <v>0</v>
          </cell>
        </row>
        <row r="626">
          <cell r="A626" t="str">
            <v>C253SIGN14</v>
          </cell>
          <cell r="B626" t="str">
            <v>VYPRODÁNO</v>
          </cell>
          <cell r="D626">
            <v>0</v>
          </cell>
        </row>
        <row r="627">
          <cell r="A627" t="str">
            <v>C253SIGN14 E</v>
          </cell>
          <cell r="B627" t="str">
            <v>VYPRODÁNO</v>
          </cell>
          <cell r="D627">
            <v>0</v>
          </cell>
        </row>
        <row r="628">
          <cell r="A628" t="str">
            <v>C253SK</v>
          </cell>
          <cell r="B628" t="str">
            <v>VYPRODÁNO</v>
          </cell>
          <cell r="D628">
            <v>0</v>
          </cell>
        </row>
        <row r="629">
          <cell r="A629" t="str">
            <v>C253SK14</v>
          </cell>
          <cell r="B629" t="str">
            <v>VYPRODÁNO</v>
          </cell>
          <cell r="D629">
            <v>0</v>
          </cell>
        </row>
        <row r="630">
          <cell r="A630" t="str">
            <v>C253ST</v>
          </cell>
          <cell r="B630" t="str">
            <v>VYPRODÁNO</v>
          </cell>
          <cell r="D630">
            <v>0</v>
          </cell>
        </row>
        <row r="631">
          <cell r="A631" t="str">
            <v>C253T</v>
          </cell>
          <cell r="B631" t="str">
            <v>VYPRODÁNO</v>
          </cell>
          <cell r="D631">
            <v>0</v>
          </cell>
        </row>
        <row r="632">
          <cell r="A632" t="str">
            <v>C253TH</v>
          </cell>
          <cell r="B632" t="str">
            <v>VYPRODÁNO</v>
          </cell>
          <cell r="D632">
            <v>0</v>
          </cell>
        </row>
        <row r="633">
          <cell r="A633" t="str">
            <v>C253TH14</v>
          </cell>
          <cell r="B633" t="str">
            <v>SKLADEM</v>
          </cell>
          <cell r="D633">
            <v>0</v>
          </cell>
        </row>
        <row r="634">
          <cell r="A634" t="str">
            <v>C253TH14 E</v>
          </cell>
          <cell r="B634" t="str">
            <v>VYPRODÁNO</v>
          </cell>
          <cell r="D634">
            <v>0</v>
          </cell>
        </row>
        <row r="635">
          <cell r="A635" t="str">
            <v>C253U</v>
          </cell>
          <cell r="B635" t="str">
            <v>VYPRODÁNO</v>
          </cell>
          <cell r="D635">
            <v>0</v>
          </cell>
        </row>
        <row r="636">
          <cell r="A636" t="str">
            <v>C253V</v>
          </cell>
          <cell r="B636" t="str">
            <v>VYPRODÁNO</v>
          </cell>
          <cell r="D636">
            <v>0</v>
          </cell>
        </row>
        <row r="637">
          <cell r="A637" t="str">
            <v>C253W</v>
          </cell>
          <cell r="B637" t="str">
            <v>VYPRODÁNO</v>
          </cell>
          <cell r="D637">
            <v>0</v>
          </cell>
        </row>
        <row r="638">
          <cell r="A638" t="str">
            <v>C253X</v>
          </cell>
          <cell r="B638" t="str">
            <v>VYPRODÁNO</v>
          </cell>
          <cell r="D638">
            <v>0</v>
          </cell>
        </row>
        <row r="639">
          <cell r="A639" t="str">
            <v>C253XMPT/C</v>
          </cell>
          <cell r="B639" t="str">
            <v>SKLADEM</v>
          </cell>
          <cell r="D639">
            <v>0</v>
          </cell>
        </row>
        <row r="640">
          <cell r="A640" t="str">
            <v>C253XMPT/C(T)</v>
          </cell>
          <cell r="B640" t="str">
            <v>SKLADEM</v>
          </cell>
          <cell r="D640">
            <v>0</v>
          </cell>
        </row>
        <row r="641">
          <cell r="A641" t="str">
            <v>C253XXA14</v>
          </cell>
          <cell r="B641" t="str">
            <v>VYPRODÁNO</v>
          </cell>
          <cell r="D641">
            <v>0</v>
          </cell>
        </row>
        <row r="642">
          <cell r="A642" t="str">
            <v>C253XXB14</v>
          </cell>
          <cell r="B642" t="str">
            <v>VYPRODÁNO</v>
          </cell>
          <cell r="D642">
            <v>0</v>
          </cell>
        </row>
        <row r="643">
          <cell r="A643" t="str">
            <v>C253Y</v>
          </cell>
          <cell r="B643" t="str">
            <v>VYPRODÁNO</v>
          </cell>
          <cell r="D643">
            <v>0</v>
          </cell>
        </row>
        <row r="644">
          <cell r="A644" t="str">
            <v>C253Z</v>
          </cell>
          <cell r="B644" t="str">
            <v>VYPRODÁNO</v>
          </cell>
          <cell r="D644">
            <v>0</v>
          </cell>
        </row>
        <row r="645">
          <cell r="A645" t="str">
            <v>C253Z/1</v>
          </cell>
          <cell r="B645" t="str">
            <v>VYPRODÁNO</v>
          </cell>
          <cell r="D645">
            <v>0</v>
          </cell>
        </row>
        <row r="646">
          <cell r="A646" t="str">
            <v>C253Z/2</v>
          </cell>
          <cell r="B646" t="str">
            <v>VYPRODÁNO</v>
          </cell>
          <cell r="D646">
            <v>0</v>
          </cell>
        </row>
        <row r="647">
          <cell r="A647" t="str">
            <v>C2545DI</v>
          </cell>
          <cell r="B647" t="str">
            <v>SKLADEM</v>
          </cell>
          <cell r="D647">
            <v>0</v>
          </cell>
        </row>
        <row r="648">
          <cell r="A648" t="str">
            <v>C2545MA</v>
          </cell>
          <cell r="B648" t="str">
            <v>VYPRODÁNO</v>
          </cell>
          <cell r="D648">
            <v>0</v>
          </cell>
        </row>
        <row r="649">
          <cell r="A649" t="str">
            <v>C2545NO</v>
          </cell>
          <cell r="B649" t="str">
            <v>SKLADEM</v>
          </cell>
          <cell r="D649">
            <v>0</v>
          </cell>
        </row>
        <row r="650">
          <cell r="A650" t="str">
            <v>C255BP</v>
          </cell>
          <cell r="B650" t="str">
            <v>VYPRODÁNO</v>
          </cell>
          <cell r="D650">
            <v>0</v>
          </cell>
        </row>
        <row r="651">
          <cell r="A651" t="str">
            <v>C255BP E</v>
          </cell>
          <cell r="B651" t="str">
            <v>VYPRODÁNO</v>
          </cell>
          <cell r="D651">
            <v>0</v>
          </cell>
        </row>
        <row r="652">
          <cell r="A652" t="str">
            <v>C255D</v>
          </cell>
          <cell r="B652" t="str">
            <v>VYPRODÁNO</v>
          </cell>
          <cell r="D652">
            <v>0</v>
          </cell>
        </row>
        <row r="653">
          <cell r="A653" t="str">
            <v>C255E</v>
          </cell>
          <cell r="B653" t="str">
            <v>VYPRODÁNO</v>
          </cell>
          <cell r="D653">
            <v>0</v>
          </cell>
        </row>
        <row r="654">
          <cell r="A654" t="str">
            <v>C255E E</v>
          </cell>
          <cell r="B654" t="str">
            <v>VYPRODÁNO</v>
          </cell>
          <cell r="D654">
            <v>0</v>
          </cell>
        </row>
        <row r="655">
          <cell r="A655" t="str">
            <v>C255CH</v>
          </cell>
          <cell r="B655" t="str">
            <v>VYPRODÁNO</v>
          </cell>
          <cell r="D655">
            <v>0</v>
          </cell>
        </row>
        <row r="656">
          <cell r="A656" t="str">
            <v>C255CH E</v>
          </cell>
          <cell r="B656" t="str">
            <v>VYPRODÁNO</v>
          </cell>
          <cell r="D656">
            <v>0</v>
          </cell>
        </row>
        <row r="657">
          <cell r="A657" t="str">
            <v>C255L</v>
          </cell>
          <cell r="B657" t="str">
            <v>VYPRODÁNO</v>
          </cell>
          <cell r="D657">
            <v>0</v>
          </cell>
        </row>
        <row r="658">
          <cell r="A658" t="str">
            <v>C255M</v>
          </cell>
          <cell r="B658" t="str">
            <v>VYPRODÁNO</v>
          </cell>
          <cell r="D658">
            <v>0</v>
          </cell>
        </row>
        <row r="659">
          <cell r="A659" t="str">
            <v>C255Z</v>
          </cell>
          <cell r="B659" t="str">
            <v>VYPRODÁNO</v>
          </cell>
          <cell r="D659">
            <v>0</v>
          </cell>
        </row>
        <row r="660">
          <cell r="A660" t="str">
            <v>C25620F/C</v>
          </cell>
          <cell r="B660" t="str">
            <v>SKLADEM</v>
          </cell>
          <cell r="D660" t="str">
            <v>100+</v>
          </cell>
        </row>
        <row r="661">
          <cell r="A661" t="str">
            <v>C25620F/C(T)</v>
          </cell>
          <cell r="B661" t="str">
            <v>SKLADEM</v>
          </cell>
          <cell r="D661">
            <v>0</v>
          </cell>
        </row>
        <row r="662">
          <cell r="A662" t="str">
            <v>C25620F/C14</v>
          </cell>
          <cell r="B662" t="str">
            <v>SKLADEM</v>
          </cell>
          <cell r="D662">
            <v>0</v>
          </cell>
        </row>
        <row r="663">
          <cell r="A663" t="str">
            <v>C25620F/C14 E</v>
          </cell>
          <cell r="B663" t="str">
            <v>VYPRODÁNO</v>
          </cell>
          <cell r="D663">
            <v>0</v>
          </cell>
        </row>
        <row r="664">
          <cell r="A664" t="str">
            <v>C25620F/C14(T)</v>
          </cell>
          <cell r="B664" t="str">
            <v>SKLADEM</v>
          </cell>
          <cell r="D664">
            <v>0</v>
          </cell>
        </row>
        <row r="665">
          <cell r="A665" t="str">
            <v>C2563F/C</v>
          </cell>
          <cell r="B665" t="str">
            <v>VYPRODÁNO</v>
          </cell>
          <cell r="D665">
            <v>0</v>
          </cell>
        </row>
        <row r="666">
          <cell r="A666" t="str">
            <v>C2563F/C(T)</v>
          </cell>
          <cell r="B666" t="str">
            <v>VYPRODÁNO</v>
          </cell>
          <cell r="D666">
            <v>0</v>
          </cell>
        </row>
        <row r="667">
          <cell r="A667" t="str">
            <v>C2563XMF/C</v>
          </cell>
          <cell r="B667" t="str">
            <v>SKLADEM</v>
          </cell>
          <cell r="D667" t="str">
            <v>100+</v>
          </cell>
        </row>
        <row r="668">
          <cell r="A668" t="str">
            <v>C2563XMF/C(T)</v>
          </cell>
          <cell r="B668" t="str">
            <v>SKLADEM</v>
          </cell>
          <cell r="D668">
            <v>0</v>
          </cell>
        </row>
        <row r="669">
          <cell r="A669" t="str">
            <v>C256XMPT/C</v>
          </cell>
          <cell r="B669" t="str">
            <v>VYPRODÁNO</v>
          </cell>
          <cell r="D669">
            <v>0</v>
          </cell>
        </row>
        <row r="670">
          <cell r="A670" t="str">
            <v>C256XMPT/C(T)</v>
          </cell>
          <cell r="B670" t="str">
            <v>VYPRODÁNO</v>
          </cell>
          <cell r="D670">
            <v>0</v>
          </cell>
        </row>
        <row r="671">
          <cell r="A671" t="str">
            <v>C2575C</v>
          </cell>
          <cell r="B671" t="str">
            <v>SKLADEM</v>
          </cell>
          <cell r="D671">
            <v>0</v>
          </cell>
        </row>
        <row r="672">
          <cell r="A672" t="str">
            <v>C26020F/C</v>
          </cell>
          <cell r="B672" t="str">
            <v>DOCHÁZÍ</v>
          </cell>
          <cell r="D672">
            <v>0</v>
          </cell>
          <cell r="E672">
            <v>24</v>
          </cell>
        </row>
        <row r="673">
          <cell r="A673" t="str">
            <v>C26020F/C(T)</v>
          </cell>
          <cell r="B673" t="str">
            <v>DOCHÁZÍ</v>
          </cell>
          <cell r="D673">
            <v>0</v>
          </cell>
          <cell r="E673">
            <v>24</v>
          </cell>
        </row>
        <row r="674">
          <cell r="A674" t="str">
            <v>C26020G/C</v>
          </cell>
          <cell r="B674" t="str">
            <v>VYPRODÁNO</v>
          </cell>
          <cell r="D674">
            <v>0</v>
          </cell>
        </row>
        <row r="675">
          <cell r="A675" t="str">
            <v>C26020NID/C</v>
          </cell>
          <cell r="B675" t="str">
            <v>VYPRODÁNO</v>
          </cell>
          <cell r="D675">
            <v>0</v>
          </cell>
        </row>
        <row r="676">
          <cell r="A676" t="str">
            <v>C26020NID/C(T)</v>
          </cell>
          <cell r="B676" t="str">
            <v>VYPRODÁNO</v>
          </cell>
          <cell r="D676">
            <v>0</v>
          </cell>
        </row>
        <row r="677">
          <cell r="A677" t="str">
            <v>C26020Z E</v>
          </cell>
          <cell r="B677" t="str">
            <v>VYPRODÁNO</v>
          </cell>
          <cell r="D677">
            <v>0</v>
          </cell>
        </row>
        <row r="678">
          <cell r="A678" t="str">
            <v>C26420N/C</v>
          </cell>
          <cell r="B678" t="str">
            <v>SKLADEM</v>
          </cell>
          <cell r="D678">
            <v>0</v>
          </cell>
        </row>
        <row r="679">
          <cell r="A679" t="str">
            <v>C26420N/C(T)</v>
          </cell>
          <cell r="B679" t="str">
            <v>SKLADEM</v>
          </cell>
          <cell r="D679">
            <v>0</v>
          </cell>
        </row>
        <row r="680">
          <cell r="A680" t="str">
            <v>C26420N/C14</v>
          </cell>
          <cell r="B680" t="str">
            <v>SKLADEM</v>
          </cell>
          <cell r="D680">
            <v>0</v>
          </cell>
        </row>
        <row r="681">
          <cell r="A681" t="str">
            <v>C26420N/C14 E</v>
          </cell>
          <cell r="B681" t="str">
            <v>VYPRODÁNO</v>
          </cell>
          <cell r="D681">
            <v>0</v>
          </cell>
        </row>
        <row r="682">
          <cell r="A682" t="str">
            <v>C26420N/C14(T)</v>
          </cell>
          <cell r="B682" t="str">
            <v>SKLADEM</v>
          </cell>
          <cell r="D682">
            <v>0</v>
          </cell>
        </row>
        <row r="683">
          <cell r="A683" t="str">
            <v>C26425Z</v>
          </cell>
          <cell r="B683" t="str">
            <v>VYPRODÁNO</v>
          </cell>
          <cell r="D683">
            <v>0</v>
          </cell>
        </row>
        <row r="684">
          <cell r="A684" t="str">
            <v>C26820F/C</v>
          </cell>
          <cell r="B684" t="str">
            <v>SKLADEM</v>
          </cell>
          <cell r="D684">
            <v>0</v>
          </cell>
        </row>
        <row r="685">
          <cell r="A685" t="str">
            <v>C26820F/C E</v>
          </cell>
          <cell r="B685" t="str">
            <v>VYPRODÁNO</v>
          </cell>
          <cell r="D685">
            <v>0</v>
          </cell>
        </row>
        <row r="686">
          <cell r="A686" t="str">
            <v>C26820F/C(T)</v>
          </cell>
          <cell r="B686" t="str">
            <v>SKLADEM</v>
          </cell>
          <cell r="D686">
            <v>0</v>
          </cell>
        </row>
        <row r="687">
          <cell r="A687" t="str">
            <v>C293MA</v>
          </cell>
          <cell r="B687" t="str">
            <v>VYPRODÁNO</v>
          </cell>
          <cell r="D687">
            <v>0</v>
          </cell>
        </row>
        <row r="688">
          <cell r="A688" t="str">
            <v>C293MA E</v>
          </cell>
          <cell r="B688" t="str">
            <v>VYPRODÁNO</v>
          </cell>
          <cell r="D688">
            <v>0</v>
          </cell>
        </row>
        <row r="689">
          <cell r="A689" t="str">
            <v>C293MA14</v>
          </cell>
          <cell r="B689" t="str">
            <v>VYPRODÁNO</v>
          </cell>
          <cell r="D689">
            <v>0</v>
          </cell>
        </row>
        <row r="690">
          <cell r="A690" t="str">
            <v>C293MS</v>
          </cell>
          <cell r="B690" t="str">
            <v>VYPRODÁNO</v>
          </cell>
          <cell r="D690">
            <v>0</v>
          </cell>
        </row>
        <row r="691">
          <cell r="A691" t="str">
            <v>C293MS E</v>
          </cell>
          <cell r="B691" t="str">
            <v>VYPRODÁNO</v>
          </cell>
          <cell r="D691">
            <v>0</v>
          </cell>
        </row>
        <row r="692">
          <cell r="A692" t="str">
            <v>C293MS14</v>
          </cell>
          <cell r="B692" t="str">
            <v>VYPRODÁNO</v>
          </cell>
          <cell r="D692">
            <v>0</v>
          </cell>
        </row>
        <row r="693">
          <cell r="A693" t="str">
            <v>C30008R</v>
          </cell>
          <cell r="B693" t="str">
            <v>VYPRODÁNO</v>
          </cell>
          <cell r="D693">
            <v>0</v>
          </cell>
        </row>
        <row r="694">
          <cell r="A694" t="str">
            <v>C30025BPW/C</v>
          </cell>
          <cell r="B694" t="str">
            <v>VYPRODÁNO</v>
          </cell>
          <cell r="D694">
            <v>0</v>
          </cell>
        </row>
        <row r="695">
          <cell r="A695" t="str">
            <v>C30025BPW/C(T)</v>
          </cell>
          <cell r="B695" t="str">
            <v>VYPRODÁNO</v>
          </cell>
          <cell r="D695">
            <v>0</v>
          </cell>
        </row>
        <row r="696">
          <cell r="A696" t="str">
            <v>C30025F/C</v>
          </cell>
          <cell r="B696" t="str">
            <v>SKLADEM</v>
          </cell>
          <cell r="D696" t="str">
            <v>100+</v>
          </cell>
        </row>
        <row r="697">
          <cell r="A697" t="str">
            <v>C30025F/C(T)</v>
          </cell>
          <cell r="B697" t="str">
            <v>SKLADEM</v>
          </cell>
          <cell r="D697">
            <v>0</v>
          </cell>
        </row>
        <row r="698">
          <cell r="A698" t="str">
            <v>C30025NID/C</v>
          </cell>
          <cell r="B698" t="str">
            <v>VYPRODÁNO</v>
          </cell>
          <cell r="D698">
            <v>0</v>
          </cell>
        </row>
        <row r="699">
          <cell r="A699" t="str">
            <v>C30025NID/C(T)</v>
          </cell>
          <cell r="B699" t="str">
            <v>VYPRODÁNO</v>
          </cell>
          <cell r="D699">
            <v>0</v>
          </cell>
        </row>
        <row r="700">
          <cell r="A700" t="str">
            <v>C30025T</v>
          </cell>
          <cell r="B700" t="str">
            <v>VYPRODÁNO</v>
          </cell>
          <cell r="D700">
            <v>0</v>
          </cell>
        </row>
        <row r="701">
          <cell r="A701" t="str">
            <v>C304MK</v>
          </cell>
          <cell r="B701" t="str">
            <v>SKLADEM</v>
          </cell>
          <cell r="D701">
            <v>0</v>
          </cell>
        </row>
        <row r="702">
          <cell r="A702" t="str">
            <v>C320D</v>
          </cell>
          <cell r="B702" t="str">
            <v>SKLADEM</v>
          </cell>
          <cell r="D702">
            <v>0</v>
          </cell>
        </row>
        <row r="703">
          <cell r="A703" t="str">
            <v>C320DI14</v>
          </cell>
          <cell r="B703" t="str">
            <v>VYPRODÁNO</v>
          </cell>
          <cell r="D703">
            <v>0</v>
          </cell>
        </row>
        <row r="704">
          <cell r="A704" t="str">
            <v>C32MXA</v>
          </cell>
          <cell r="B704" t="str">
            <v>VYPRODÁNO</v>
          </cell>
          <cell r="D704">
            <v>0</v>
          </cell>
        </row>
        <row r="705">
          <cell r="A705" t="str">
            <v>C32MXB</v>
          </cell>
          <cell r="B705" t="str">
            <v>VYPRODÁNO</v>
          </cell>
          <cell r="D705">
            <v>0</v>
          </cell>
        </row>
        <row r="706">
          <cell r="A706" t="str">
            <v>C32MXC</v>
          </cell>
          <cell r="B706" t="str">
            <v>VYPRODÁNO</v>
          </cell>
          <cell r="D706">
            <v>0</v>
          </cell>
        </row>
        <row r="707">
          <cell r="A707" t="str">
            <v>C330D</v>
          </cell>
          <cell r="B707" t="str">
            <v>SKLADEM</v>
          </cell>
          <cell r="D707">
            <v>0</v>
          </cell>
        </row>
        <row r="708">
          <cell r="A708" t="str">
            <v>C330DI14</v>
          </cell>
          <cell r="B708" t="str">
            <v>VYPRODÁNO</v>
          </cell>
          <cell r="D708">
            <v>0</v>
          </cell>
        </row>
        <row r="709">
          <cell r="A709" t="str">
            <v>C33MSIG</v>
          </cell>
          <cell r="B709" t="str">
            <v>VYPRODÁNO</v>
          </cell>
          <cell r="D709">
            <v>0</v>
          </cell>
        </row>
        <row r="710">
          <cell r="A710" t="str">
            <v>C33MSIGI14</v>
          </cell>
          <cell r="B710" t="str">
            <v>VYPRODÁNO</v>
          </cell>
          <cell r="D710">
            <v>0</v>
          </cell>
        </row>
        <row r="711">
          <cell r="A711" t="str">
            <v>C3430XXA</v>
          </cell>
          <cell r="B711" t="str">
            <v>VYPRODÁNO</v>
          </cell>
          <cell r="D711">
            <v>0</v>
          </cell>
        </row>
        <row r="712">
          <cell r="A712" t="str">
            <v>C3430XXB</v>
          </cell>
          <cell r="B712" t="str">
            <v>VYPRODÁNO</v>
          </cell>
          <cell r="D712">
            <v>0</v>
          </cell>
        </row>
        <row r="713">
          <cell r="A713" t="str">
            <v>C3430XXC</v>
          </cell>
          <cell r="B713" t="str">
            <v>VYPRODÁNO</v>
          </cell>
          <cell r="D713">
            <v>0</v>
          </cell>
        </row>
        <row r="714">
          <cell r="A714" t="str">
            <v>C34MXXA</v>
          </cell>
          <cell r="B714" t="str">
            <v>VYPRODÁNO</v>
          </cell>
          <cell r="D714">
            <v>0</v>
          </cell>
        </row>
        <row r="715">
          <cell r="A715" t="str">
            <v>C34MXXA14</v>
          </cell>
          <cell r="B715" t="str">
            <v>VYPRODÁNO</v>
          </cell>
          <cell r="D715">
            <v>0</v>
          </cell>
        </row>
        <row r="716">
          <cell r="A716" t="str">
            <v>C34MXXB</v>
          </cell>
          <cell r="B716" t="str">
            <v>VYPRODÁNO</v>
          </cell>
          <cell r="D716">
            <v>0</v>
          </cell>
        </row>
        <row r="717">
          <cell r="A717" t="str">
            <v>C34MXXB14</v>
          </cell>
          <cell r="B717" t="str">
            <v>VYPRODÁNO</v>
          </cell>
          <cell r="D717">
            <v>0</v>
          </cell>
        </row>
        <row r="718">
          <cell r="A718" t="str">
            <v>C3545MF</v>
          </cell>
          <cell r="B718" t="str">
            <v>SKLADEM</v>
          </cell>
          <cell r="D718">
            <v>0</v>
          </cell>
        </row>
        <row r="719">
          <cell r="A719" t="str">
            <v>C3545NO</v>
          </cell>
          <cell r="B719" t="str">
            <v>SKLADEM</v>
          </cell>
          <cell r="D719">
            <v>0</v>
          </cell>
        </row>
        <row r="720">
          <cell r="A720" t="str">
            <v>C363A</v>
          </cell>
          <cell r="B720" t="str">
            <v>VYPRODÁNO</v>
          </cell>
          <cell r="D720">
            <v>0</v>
          </cell>
        </row>
        <row r="721">
          <cell r="A721" t="str">
            <v>C363B</v>
          </cell>
          <cell r="B721" t="str">
            <v>VYPRODÁNO</v>
          </cell>
          <cell r="D721">
            <v>0</v>
          </cell>
        </row>
        <row r="722">
          <cell r="A722" t="str">
            <v>C363BPF</v>
          </cell>
          <cell r="B722" t="str">
            <v>VYPRODÁNO</v>
          </cell>
          <cell r="D722">
            <v>0</v>
          </cell>
        </row>
        <row r="723">
          <cell r="A723" t="str">
            <v>C363C</v>
          </cell>
          <cell r="B723" t="str">
            <v>VYPRODÁNO</v>
          </cell>
          <cell r="D723">
            <v>0</v>
          </cell>
        </row>
        <row r="724">
          <cell r="A724" t="str">
            <v>C363DR</v>
          </cell>
          <cell r="B724" t="str">
            <v>SKLADEM</v>
          </cell>
          <cell r="D724">
            <v>0</v>
          </cell>
        </row>
        <row r="725">
          <cell r="A725" t="str">
            <v>C363E</v>
          </cell>
          <cell r="B725" t="str">
            <v>VYPRODÁNO</v>
          </cell>
          <cell r="D725">
            <v>0</v>
          </cell>
        </row>
        <row r="726">
          <cell r="A726" t="str">
            <v>C363E E</v>
          </cell>
          <cell r="B726" t="str">
            <v>VYPRODÁNO</v>
          </cell>
          <cell r="D726">
            <v>0</v>
          </cell>
        </row>
        <row r="727">
          <cell r="A727" t="str">
            <v>C363F</v>
          </cell>
          <cell r="B727" t="str">
            <v>VYPRODÁNO</v>
          </cell>
          <cell r="D727">
            <v>0</v>
          </cell>
        </row>
        <row r="728">
          <cell r="A728" t="str">
            <v>C363G</v>
          </cell>
          <cell r="B728" t="str">
            <v>VYPRODÁNO</v>
          </cell>
          <cell r="D728">
            <v>0</v>
          </cell>
        </row>
        <row r="729">
          <cell r="A729" t="str">
            <v>C363H</v>
          </cell>
          <cell r="B729" t="str">
            <v>VYPRODÁNO</v>
          </cell>
          <cell r="D729">
            <v>0</v>
          </cell>
        </row>
        <row r="730">
          <cell r="A730" t="str">
            <v>C363H E</v>
          </cell>
          <cell r="B730" t="str">
            <v>VYPRODÁNO</v>
          </cell>
          <cell r="D730">
            <v>0</v>
          </cell>
        </row>
        <row r="731">
          <cell r="A731" t="str">
            <v>C363CH</v>
          </cell>
          <cell r="B731" t="str">
            <v>VYPRODÁNO</v>
          </cell>
          <cell r="D731">
            <v>0</v>
          </cell>
        </row>
        <row r="732">
          <cell r="A732" t="str">
            <v>C363I</v>
          </cell>
          <cell r="B732" t="str">
            <v>VYPRODÁNO</v>
          </cell>
          <cell r="D732">
            <v>0</v>
          </cell>
        </row>
        <row r="733">
          <cell r="A733" t="str">
            <v>C363J</v>
          </cell>
          <cell r="B733" t="str">
            <v>VYPRODÁNO</v>
          </cell>
          <cell r="D733">
            <v>0</v>
          </cell>
        </row>
        <row r="734">
          <cell r="A734" t="str">
            <v>C363J E</v>
          </cell>
          <cell r="B734" t="str">
            <v>VYPRODÁNO</v>
          </cell>
          <cell r="D734">
            <v>0</v>
          </cell>
        </row>
        <row r="735">
          <cell r="A735" t="str">
            <v>C363K</v>
          </cell>
          <cell r="B735" t="str">
            <v>VYPRODÁNO</v>
          </cell>
          <cell r="D735">
            <v>0</v>
          </cell>
        </row>
        <row r="736">
          <cell r="A736" t="str">
            <v>C363K E</v>
          </cell>
          <cell r="B736" t="str">
            <v>VYPRODÁNO</v>
          </cell>
          <cell r="D736">
            <v>0</v>
          </cell>
        </row>
        <row r="737">
          <cell r="A737" t="str">
            <v>C363PA</v>
          </cell>
          <cell r="B737" t="str">
            <v>SKLADEM</v>
          </cell>
          <cell r="D737">
            <v>0</v>
          </cell>
        </row>
        <row r="738">
          <cell r="A738" t="str">
            <v>C363PL</v>
          </cell>
          <cell r="B738" t="str">
            <v>SKLADEM</v>
          </cell>
          <cell r="D738">
            <v>0</v>
          </cell>
        </row>
        <row r="739">
          <cell r="A739" t="str">
            <v>C363SIG</v>
          </cell>
          <cell r="B739" t="str">
            <v>VYPRODÁNO</v>
          </cell>
          <cell r="D739">
            <v>0</v>
          </cell>
        </row>
        <row r="740">
          <cell r="A740" t="str">
            <v>C363WO</v>
          </cell>
          <cell r="B740" t="str">
            <v>VYPRODÁNO</v>
          </cell>
          <cell r="D740">
            <v>0</v>
          </cell>
        </row>
        <row r="741">
          <cell r="A741" t="str">
            <v>C3645BA</v>
          </cell>
          <cell r="B741" t="str">
            <v>SKLADEM</v>
          </cell>
          <cell r="D741">
            <v>0</v>
          </cell>
        </row>
        <row r="742">
          <cell r="A742" t="str">
            <v>C3645SE</v>
          </cell>
          <cell r="B742" t="str">
            <v>SKLADEM</v>
          </cell>
          <cell r="D742">
            <v>0</v>
          </cell>
        </row>
        <row r="743">
          <cell r="A743" t="str">
            <v>C365B</v>
          </cell>
          <cell r="B743" t="str">
            <v>VYPRODÁNO</v>
          </cell>
          <cell r="D743">
            <v>0</v>
          </cell>
        </row>
        <row r="744">
          <cell r="A744" t="str">
            <v>C365B E</v>
          </cell>
          <cell r="B744" t="str">
            <v>VYPRODÁNO</v>
          </cell>
          <cell r="D744">
            <v>0</v>
          </cell>
        </row>
        <row r="745">
          <cell r="A745" t="str">
            <v>C365DU</v>
          </cell>
          <cell r="B745" t="str">
            <v>SKLADEM</v>
          </cell>
          <cell r="D745">
            <v>0</v>
          </cell>
        </row>
        <row r="746">
          <cell r="A746" t="str">
            <v>C365DU E</v>
          </cell>
          <cell r="B746" t="str">
            <v>VYPRODÁNO</v>
          </cell>
          <cell r="D746">
            <v>0</v>
          </cell>
        </row>
        <row r="747">
          <cell r="A747" t="str">
            <v>C365P</v>
          </cell>
          <cell r="B747" t="str">
            <v>VYPRODÁNO</v>
          </cell>
          <cell r="D747">
            <v>0</v>
          </cell>
        </row>
        <row r="748">
          <cell r="A748" t="str">
            <v>C365P E</v>
          </cell>
          <cell r="B748" t="str">
            <v>VYPRODÁNO</v>
          </cell>
          <cell r="D748">
            <v>0</v>
          </cell>
        </row>
        <row r="749">
          <cell r="A749" t="str">
            <v>C365S</v>
          </cell>
          <cell r="B749" t="str">
            <v>VYPRODÁNO</v>
          </cell>
          <cell r="D749">
            <v>0</v>
          </cell>
        </row>
        <row r="750">
          <cell r="A750" t="str">
            <v>C365S E</v>
          </cell>
          <cell r="B750" t="str">
            <v>VYPRODÁNO</v>
          </cell>
          <cell r="D750">
            <v>0</v>
          </cell>
        </row>
        <row r="751">
          <cell r="A751" t="str">
            <v>C365V</v>
          </cell>
          <cell r="B751" t="str">
            <v>VYPRODÁNO</v>
          </cell>
          <cell r="D751">
            <v>0</v>
          </cell>
        </row>
        <row r="752">
          <cell r="A752" t="str">
            <v>C365V E</v>
          </cell>
          <cell r="B752" t="str">
            <v>VYPRODÁNO</v>
          </cell>
          <cell r="D752">
            <v>0</v>
          </cell>
        </row>
        <row r="753">
          <cell r="A753" t="str">
            <v>C36MH</v>
          </cell>
          <cell r="B753" t="str">
            <v>SKLADEM</v>
          </cell>
          <cell r="D753">
            <v>0</v>
          </cell>
        </row>
        <row r="754">
          <cell r="A754" t="str">
            <v>C36MH E</v>
          </cell>
          <cell r="B754" t="str">
            <v>VYPRODÁNO</v>
          </cell>
          <cell r="D754">
            <v>0</v>
          </cell>
        </row>
        <row r="755">
          <cell r="A755" t="str">
            <v>C36MS</v>
          </cell>
          <cell r="B755" t="str">
            <v>VYPRODÁNO</v>
          </cell>
          <cell r="D755">
            <v>0</v>
          </cell>
        </row>
        <row r="756">
          <cell r="A756" t="str">
            <v>C36MS E</v>
          </cell>
          <cell r="B756" t="str">
            <v>VYPRODÁNO</v>
          </cell>
          <cell r="D756">
            <v>0</v>
          </cell>
        </row>
        <row r="757">
          <cell r="A757" t="str">
            <v>C379XMK/C</v>
          </cell>
          <cell r="B757" t="str">
            <v>SKLADEM</v>
          </cell>
          <cell r="D757">
            <v>10</v>
          </cell>
        </row>
        <row r="758">
          <cell r="A758" t="str">
            <v>C379XMK/C(T)</v>
          </cell>
          <cell r="B758" t="str">
            <v>SKLADEM</v>
          </cell>
          <cell r="D758">
            <v>0</v>
          </cell>
        </row>
        <row r="759">
          <cell r="A759" t="str">
            <v>C39020F/C</v>
          </cell>
          <cell r="B759" t="str">
            <v>SKLADEM</v>
          </cell>
          <cell r="D759">
            <v>0</v>
          </cell>
        </row>
        <row r="760">
          <cell r="A760" t="str">
            <v>C39020F/C(T)</v>
          </cell>
          <cell r="B760" t="str">
            <v>SKLADEM</v>
          </cell>
          <cell r="D760">
            <v>0</v>
          </cell>
        </row>
        <row r="761">
          <cell r="A761" t="str">
            <v>C39020Z</v>
          </cell>
          <cell r="B761" t="str">
            <v>VYPRODÁNO</v>
          </cell>
          <cell r="D761">
            <v>0</v>
          </cell>
        </row>
        <row r="762">
          <cell r="A762" t="str">
            <v>C39MPT</v>
          </cell>
          <cell r="B762" t="str">
            <v>SKLADEM</v>
          </cell>
          <cell r="D762">
            <v>0</v>
          </cell>
        </row>
        <row r="763">
          <cell r="A763" t="str">
            <v>C39MPT14</v>
          </cell>
          <cell r="B763" t="str">
            <v>VYPRODÁNO</v>
          </cell>
          <cell r="D763">
            <v>0</v>
          </cell>
        </row>
        <row r="764">
          <cell r="A764" t="str">
            <v>C40020XPR/C14</v>
          </cell>
          <cell r="B764" t="str">
            <v>SKLADEM</v>
          </cell>
          <cell r="D764">
            <v>0</v>
          </cell>
        </row>
        <row r="765">
          <cell r="A765" t="str">
            <v>C40020XPR/C14(T)</v>
          </cell>
          <cell r="B765" t="str">
            <v>SKLADEM</v>
          </cell>
          <cell r="D765">
            <v>0</v>
          </cell>
        </row>
        <row r="766">
          <cell r="A766" t="str">
            <v>C40025F/C</v>
          </cell>
          <cell r="B766" t="str">
            <v>SKLADEM</v>
          </cell>
          <cell r="D766">
            <v>0</v>
          </cell>
        </row>
        <row r="767">
          <cell r="A767" t="str">
            <v>C40025F/C(T)</v>
          </cell>
          <cell r="B767" t="str">
            <v>SKLADEM</v>
          </cell>
          <cell r="D767">
            <v>0</v>
          </cell>
        </row>
        <row r="768">
          <cell r="A768" t="str">
            <v>C40025F/C14</v>
          </cell>
          <cell r="B768" t="str">
            <v>VYPRODÁNO</v>
          </cell>
          <cell r="D768">
            <v>0</v>
          </cell>
        </row>
        <row r="769">
          <cell r="A769" t="str">
            <v>C4025XXA</v>
          </cell>
          <cell r="B769" t="str">
            <v>VYPRODÁNO</v>
          </cell>
          <cell r="D769">
            <v>0</v>
          </cell>
        </row>
        <row r="770">
          <cell r="A770" t="str">
            <v>C4025XXA14</v>
          </cell>
          <cell r="B770" t="str">
            <v>VYPRODÁNO</v>
          </cell>
          <cell r="D770">
            <v>0</v>
          </cell>
        </row>
        <row r="771">
          <cell r="A771" t="str">
            <v>C4025XXB</v>
          </cell>
          <cell r="B771" t="str">
            <v>VYPRODÁNO</v>
          </cell>
          <cell r="D771">
            <v>0</v>
          </cell>
        </row>
        <row r="772">
          <cell r="A772" t="str">
            <v>C4025XXB14</v>
          </cell>
          <cell r="B772" t="str">
            <v>VYPRODÁNO</v>
          </cell>
          <cell r="D772">
            <v>0</v>
          </cell>
        </row>
        <row r="773">
          <cell r="A773" t="str">
            <v>C40FMB</v>
          </cell>
          <cell r="B773" t="str">
            <v>VYPRODÁNO</v>
          </cell>
          <cell r="D773">
            <v>0</v>
          </cell>
        </row>
        <row r="774">
          <cell r="A774" t="str">
            <v>C40FMH</v>
          </cell>
          <cell r="B774" t="str">
            <v>SKLADEM</v>
          </cell>
          <cell r="D774">
            <v>0</v>
          </cell>
        </row>
        <row r="775">
          <cell r="A775" t="str">
            <v>C40FMP</v>
          </cell>
          <cell r="B775" t="str">
            <v>VYPRODÁNO</v>
          </cell>
          <cell r="D775">
            <v>0</v>
          </cell>
        </row>
        <row r="776">
          <cell r="A776" t="str">
            <v>C41MSIG</v>
          </cell>
          <cell r="B776" t="str">
            <v>VYPRODÁNO</v>
          </cell>
          <cell r="D776">
            <v>0</v>
          </cell>
        </row>
        <row r="777">
          <cell r="A777" t="str">
            <v>C41MSIGI14</v>
          </cell>
          <cell r="B777" t="str">
            <v>VYPRODÁNO</v>
          </cell>
          <cell r="D777">
            <v>0</v>
          </cell>
        </row>
        <row r="778">
          <cell r="A778" t="str">
            <v>C424MH/C</v>
          </cell>
          <cell r="B778" t="str">
            <v>VYPRODÁNO</v>
          </cell>
          <cell r="D778">
            <v>0</v>
          </cell>
        </row>
        <row r="779">
          <cell r="A779" t="str">
            <v>C424MH/C E</v>
          </cell>
          <cell r="B779" t="str">
            <v>VYPRODÁNO</v>
          </cell>
          <cell r="D779">
            <v>0</v>
          </cell>
        </row>
        <row r="780">
          <cell r="A780" t="str">
            <v>C424MH/C14</v>
          </cell>
          <cell r="B780" t="str">
            <v>VYPRODÁNO</v>
          </cell>
          <cell r="D780">
            <v>0</v>
          </cell>
        </row>
        <row r="781">
          <cell r="A781" t="str">
            <v>C42MH</v>
          </cell>
          <cell r="B781" t="str">
            <v>VYPRODÁNO</v>
          </cell>
          <cell r="D781">
            <v>0</v>
          </cell>
        </row>
        <row r="782">
          <cell r="A782" t="str">
            <v>C42MM</v>
          </cell>
          <cell r="B782" t="str">
            <v>SKLADEM</v>
          </cell>
          <cell r="D782">
            <v>0</v>
          </cell>
        </row>
        <row r="783">
          <cell r="A783" t="str">
            <v>C42MU</v>
          </cell>
          <cell r="B783" t="str">
            <v>VYPRODÁNO</v>
          </cell>
          <cell r="D783">
            <v>0</v>
          </cell>
        </row>
        <row r="784">
          <cell r="A784" t="str">
            <v>C42MXXA</v>
          </cell>
          <cell r="B784" t="str">
            <v>VYPRODÁNO</v>
          </cell>
          <cell r="D784">
            <v>0</v>
          </cell>
        </row>
        <row r="785">
          <cell r="A785" t="str">
            <v>C42MXXA14</v>
          </cell>
          <cell r="B785" t="str">
            <v>VYPRODÁNO</v>
          </cell>
          <cell r="D785">
            <v>0</v>
          </cell>
        </row>
        <row r="786">
          <cell r="A786" t="str">
            <v>C42XM1</v>
          </cell>
          <cell r="B786" t="str">
            <v>VYPRODÁNO</v>
          </cell>
          <cell r="D786">
            <v>0</v>
          </cell>
        </row>
        <row r="787">
          <cell r="A787" t="str">
            <v>C42XM2</v>
          </cell>
          <cell r="B787" t="str">
            <v>VYPRODÁNO</v>
          </cell>
          <cell r="D787">
            <v>0</v>
          </cell>
        </row>
        <row r="788">
          <cell r="A788" t="str">
            <v>C42XMB</v>
          </cell>
          <cell r="B788" t="str">
            <v>VYPRODÁNO</v>
          </cell>
          <cell r="D788">
            <v>0</v>
          </cell>
        </row>
        <row r="789">
          <cell r="A789" t="str">
            <v>C42XMK</v>
          </cell>
          <cell r="B789" t="str">
            <v>VYPRODÁNO</v>
          </cell>
          <cell r="D789">
            <v>0</v>
          </cell>
        </row>
        <row r="790">
          <cell r="A790" t="str">
            <v>C42XMK E</v>
          </cell>
          <cell r="B790" t="str">
            <v>VYPRODÁNO</v>
          </cell>
          <cell r="D790">
            <v>0</v>
          </cell>
        </row>
        <row r="791">
          <cell r="A791" t="str">
            <v>C42XMS</v>
          </cell>
          <cell r="B791" t="str">
            <v>VYPRODÁNO</v>
          </cell>
          <cell r="D791">
            <v>0</v>
          </cell>
        </row>
        <row r="792">
          <cell r="A792" t="str">
            <v>C42XMV</v>
          </cell>
          <cell r="B792" t="str">
            <v>VYPRODÁNO</v>
          </cell>
          <cell r="D792">
            <v>0</v>
          </cell>
        </row>
        <row r="793">
          <cell r="A793" t="str">
            <v>C446MM/C</v>
          </cell>
          <cell r="B793" t="str">
            <v>VYPRODÁNO</v>
          </cell>
          <cell r="D793">
            <v>0</v>
          </cell>
        </row>
        <row r="794">
          <cell r="A794" t="str">
            <v>C446MM/C(T)</v>
          </cell>
          <cell r="B794" t="str">
            <v>VYPRODÁNO</v>
          </cell>
          <cell r="D794">
            <v>0</v>
          </cell>
        </row>
        <row r="795">
          <cell r="A795" t="str">
            <v>C46MA</v>
          </cell>
          <cell r="B795" t="str">
            <v>VYPRODÁNO</v>
          </cell>
          <cell r="D795">
            <v>0</v>
          </cell>
        </row>
        <row r="796">
          <cell r="A796" t="str">
            <v>C46MA14</v>
          </cell>
          <cell r="B796" t="str">
            <v>VYPRODÁNO</v>
          </cell>
          <cell r="D796">
            <v>0</v>
          </cell>
        </row>
        <row r="797">
          <cell r="A797" t="str">
            <v>C47MB</v>
          </cell>
          <cell r="B797" t="str">
            <v>SKLADEM</v>
          </cell>
          <cell r="D797">
            <v>0</v>
          </cell>
        </row>
        <row r="798">
          <cell r="A798" t="str">
            <v>C47MB E</v>
          </cell>
          <cell r="B798" t="str">
            <v>VYPRODÁNO</v>
          </cell>
          <cell r="D798">
            <v>0</v>
          </cell>
        </row>
        <row r="799">
          <cell r="A799" t="str">
            <v>C47MI</v>
          </cell>
          <cell r="B799" t="str">
            <v>VYPRODÁNO</v>
          </cell>
          <cell r="D799">
            <v>0</v>
          </cell>
        </row>
        <row r="800">
          <cell r="A800" t="str">
            <v>C47MT</v>
          </cell>
          <cell r="B800" t="str">
            <v>VYPRODÁNO</v>
          </cell>
          <cell r="D800">
            <v>0</v>
          </cell>
        </row>
        <row r="801">
          <cell r="A801" t="str">
            <v>C47MT E</v>
          </cell>
          <cell r="B801" t="str">
            <v>VYPRODÁNO</v>
          </cell>
          <cell r="D801">
            <v>0</v>
          </cell>
        </row>
        <row r="802">
          <cell r="A802" t="str">
            <v>C47XM1</v>
          </cell>
          <cell r="B802" t="str">
            <v>VYPRODÁNO</v>
          </cell>
          <cell r="D802">
            <v>0</v>
          </cell>
        </row>
        <row r="803">
          <cell r="A803" t="str">
            <v>C47XM2</v>
          </cell>
          <cell r="B803" t="str">
            <v>VYPRODÁNO</v>
          </cell>
          <cell r="D803">
            <v>0</v>
          </cell>
        </row>
        <row r="804">
          <cell r="A804" t="str">
            <v>C47XM2 E</v>
          </cell>
          <cell r="B804" t="str">
            <v>VYPRODÁNO</v>
          </cell>
          <cell r="D804">
            <v>0</v>
          </cell>
        </row>
        <row r="805">
          <cell r="A805" t="str">
            <v>C47XM3</v>
          </cell>
          <cell r="B805" t="str">
            <v>VYPRODÁNO</v>
          </cell>
          <cell r="D805">
            <v>0</v>
          </cell>
        </row>
        <row r="806">
          <cell r="A806" t="str">
            <v>C47XM4</v>
          </cell>
          <cell r="B806" t="str">
            <v>VYPRODÁNO</v>
          </cell>
          <cell r="D806">
            <v>0</v>
          </cell>
        </row>
        <row r="807">
          <cell r="A807" t="str">
            <v>C47XMA</v>
          </cell>
          <cell r="B807" t="str">
            <v>VYPRODÁNO</v>
          </cell>
          <cell r="D807">
            <v>0</v>
          </cell>
        </row>
        <row r="808">
          <cell r="A808" t="str">
            <v>C47XMCOMA</v>
          </cell>
          <cell r="B808" t="str">
            <v>VYPRODÁNO</v>
          </cell>
          <cell r="D808">
            <v>0</v>
          </cell>
        </row>
        <row r="809">
          <cell r="A809" t="str">
            <v>C47XMCOMB</v>
          </cell>
          <cell r="B809" t="str">
            <v>VYPRODÁNO</v>
          </cell>
          <cell r="D809">
            <v>0</v>
          </cell>
        </row>
        <row r="810">
          <cell r="A810" t="str">
            <v>C47XMF</v>
          </cell>
          <cell r="B810" t="str">
            <v>VYPRODÁNO</v>
          </cell>
          <cell r="D810">
            <v>0</v>
          </cell>
        </row>
        <row r="811">
          <cell r="A811" t="str">
            <v>C47XMS</v>
          </cell>
          <cell r="B811" t="str">
            <v>VYPRODÁNO</v>
          </cell>
          <cell r="D811">
            <v>0</v>
          </cell>
        </row>
        <row r="812">
          <cell r="A812" t="str">
            <v>C47XMT</v>
          </cell>
          <cell r="B812" t="str">
            <v>SKLADEM</v>
          </cell>
          <cell r="D812">
            <v>0</v>
          </cell>
        </row>
        <row r="813">
          <cell r="A813" t="str">
            <v>C4825MP</v>
          </cell>
          <cell r="B813" t="str">
            <v>31.08.2026</v>
          </cell>
          <cell r="C813">
            <v>158</v>
          </cell>
          <cell r="D813">
            <v>0</v>
          </cell>
        </row>
        <row r="814">
          <cell r="A814" t="str">
            <v>C4825MP14</v>
          </cell>
          <cell r="B814" t="str">
            <v>VYPRODÁNO</v>
          </cell>
          <cell r="D814">
            <v>0</v>
          </cell>
        </row>
        <row r="815">
          <cell r="A815" t="str">
            <v>C4825MQ</v>
          </cell>
          <cell r="B815" t="str">
            <v>VYPRODÁNO</v>
          </cell>
          <cell r="D815">
            <v>0</v>
          </cell>
        </row>
        <row r="816">
          <cell r="A816" t="str">
            <v>C4825MQ14</v>
          </cell>
          <cell r="B816" t="str">
            <v>VYPRODÁNO</v>
          </cell>
          <cell r="D816">
            <v>0</v>
          </cell>
        </row>
        <row r="817">
          <cell r="A817" t="str">
            <v>C48MA</v>
          </cell>
          <cell r="B817" t="str">
            <v>VYPRODÁNO</v>
          </cell>
          <cell r="D817">
            <v>0</v>
          </cell>
        </row>
        <row r="818">
          <cell r="A818" t="str">
            <v>C48MA14</v>
          </cell>
          <cell r="B818" t="str">
            <v>VYPRODÁNO</v>
          </cell>
          <cell r="D818">
            <v>0</v>
          </cell>
        </row>
        <row r="819">
          <cell r="A819" t="str">
            <v>C4920B</v>
          </cell>
          <cell r="B819" t="str">
            <v>VYPRODÁNO</v>
          </cell>
          <cell r="D819">
            <v>0</v>
          </cell>
        </row>
        <row r="820">
          <cell r="A820" t="str">
            <v>C4920B E</v>
          </cell>
          <cell r="B820" t="str">
            <v>VYPRODÁNO</v>
          </cell>
          <cell r="D820">
            <v>0</v>
          </cell>
        </row>
        <row r="821">
          <cell r="A821" t="str">
            <v>C4920B14</v>
          </cell>
          <cell r="B821" t="str">
            <v>VYPRODÁNO</v>
          </cell>
          <cell r="D821">
            <v>0</v>
          </cell>
        </row>
        <row r="822">
          <cell r="A822" t="str">
            <v>C4920B14 E</v>
          </cell>
          <cell r="B822" t="str">
            <v>VYPRODÁNO</v>
          </cell>
          <cell r="D822">
            <v>0</v>
          </cell>
        </row>
        <row r="823">
          <cell r="A823" t="str">
            <v>C4920BPF</v>
          </cell>
          <cell r="B823" t="str">
            <v>SKLADEM</v>
          </cell>
          <cell r="D823" t="str">
            <v>100+</v>
          </cell>
        </row>
        <row r="824">
          <cell r="A824" t="str">
            <v>C4920D</v>
          </cell>
          <cell r="B824" t="str">
            <v>VYPRODÁNO</v>
          </cell>
          <cell r="D824">
            <v>0</v>
          </cell>
        </row>
        <row r="825">
          <cell r="A825" t="str">
            <v>C4920D E</v>
          </cell>
          <cell r="B825" t="str">
            <v>VYPRODÁNO</v>
          </cell>
          <cell r="D825">
            <v>0</v>
          </cell>
        </row>
        <row r="826">
          <cell r="A826" t="str">
            <v>C4920D14</v>
          </cell>
          <cell r="B826" t="str">
            <v>VYPRODÁNO</v>
          </cell>
          <cell r="D826">
            <v>0</v>
          </cell>
        </row>
        <row r="827">
          <cell r="A827" t="str">
            <v>C4920DR</v>
          </cell>
          <cell r="B827" t="str">
            <v>SKLADEM</v>
          </cell>
          <cell r="D827" t="str">
            <v>100+</v>
          </cell>
        </row>
        <row r="828">
          <cell r="A828" t="str">
            <v>C4920DR14</v>
          </cell>
          <cell r="B828" t="str">
            <v>SKLADEM</v>
          </cell>
          <cell r="D828">
            <v>0</v>
          </cell>
        </row>
        <row r="829">
          <cell r="A829" t="str">
            <v>C4920K</v>
          </cell>
          <cell r="B829" t="str">
            <v>SKLADEM</v>
          </cell>
          <cell r="D829">
            <v>0</v>
          </cell>
        </row>
        <row r="830">
          <cell r="A830" t="str">
            <v>C4920K E</v>
          </cell>
          <cell r="B830" t="str">
            <v>VYPRODÁNO</v>
          </cell>
          <cell r="D830">
            <v>0</v>
          </cell>
        </row>
        <row r="831">
          <cell r="A831" t="str">
            <v>C4920K14</v>
          </cell>
          <cell r="B831" t="str">
            <v>VYPRODÁNO</v>
          </cell>
          <cell r="D831">
            <v>0</v>
          </cell>
        </row>
        <row r="832">
          <cell r="A832" t="str">
            <v>C4920K14 E</v>
          </cell>
          <cell r="B832" t="str">
            <v>VYPRODÁNO</v>
          </cell>
          <cell r="D832">
            <v>0</v>
          </cell>
        </row>
        <row r="833">
          <cell r="A833" t="str">
            <v>C4920NID</v>
          </cell>
          <cell r="B833" t="str">
            <v>VYPRODÁNO</v>
          </cell>
          <cell r="D833">
            <v>0</v>
          </cell>
        </row>
        <row r="834">
          <cell r="A834" t="str">
            <v>C4920S</v>
          </cell>
          <cell r="B834" t="str">
            <v>SKLADEM</v>
          </cell>
          <cell r="D834">
            <v>0</v>
          </cell>
        </row>
        <row r="835">
          <cell r="A835" t="str">
            <v>C4920S E</v>
          </cell>
          <cell r="B835" t="str">
            <v>VYPRODÁNO</v>
          </cell>
          <cell r="D835">
            <v>0</v>
          </cell>
        </row>
        <row r="836">
          <cell r="A836" t="str">
            <v>C4920S14</v>
          </cell>
          <cell r="B836" t="str">
            <v>SKLADEM</v>
          </cell>
          <cell r="D836">
            <v>0</v>
          </cell>
        </row>
        <row r="837">
          <cell r="A837" t="str">
            <v>C4920S14 E</v>
          </cell>
          <cell r="B837" t="str">
            <v>VYPRODÁNO</v>
          </cell>
          <cell r="D837">
            <v>0</v>
          </cell>
        </row>
        <row r="838">
          <cell r="A838" t="str">
            <v>C4920SIG</v>
          </cell>
          <cell r="B838" t="str">
            <v>SKLADEM</v>
          </cell>
          <cell r="D838">
            <v>0</v>
          </cell>
        </row>
        <row r="839">
          <cell r="A839" t="str">
            <v>C4920SIG E</v>
          </cell>
          <cell r="B839" t="str">
            <v>VYPRODÁNO</v>
          </cell>
          <cell r="D839">
            <v>0</v>
          </cell>
        </row>
        <row r="840">
          <cell r="A840" t="str">
            <v>C4920SIG14</v>
          </cell>
          <cell r="B840" t="str">
            <v>VYPRODÁNO</v>
          </cell>
          <cell r="D840">
            <v>0</v>
          </cell>
        </row>
        <row r="841">
          <cell r="A841" t="str">
            <v>C4920SIGI14</v>
          </cell>
          <cell r="B841" t="str">
            <v>VYPRODÁNO</v>
          </cell>
          <cell r="D841">
            <v>0</v>
          </cell>
        </row>
        <row r="842">
          <cell r="A842" t="str">
            <v>C4925BO</v>
          </cell>
          <cell r="B842" t="str">
            <v>VYPRODÁNO</v>
          </cell>
          <cell r="D842">
            <v>0</v>
          </cell>
        </row>
        <row r="843">
          <cell r="A843" t="str">
            <v>C4925BO E</v>
          </cell>
          <cell r="B843" t="str">
            <v>VYPRODÁNO</v>
          </cell>
          <cell r="D843">
            <v>0</v>
          </cell>
        </row>
        <row r="844">
          <cell r="A844" t="str">
            <v>C4925BP14</v>
          </cell>
          <cell r="B844" t="str">
            <v>SKLADEM</v>
          </cell>
          <cell r="D844">
            <v>0</v>
          </cell>
        </row>
        <row r="845">
          <cell r="A845" t="str">
            <v>C4925D</v>
          </cell>
          <cell r="B845" t="str">
            <v>SKLADEM</v>
          </cell>
          <cell r="D845">
            <v>0</v>
          </cell>
        </row>
        <row r="846">
          <cell r="A846" t="str">
            <v>C4925D E</v>
          </cell>
          <cell r="B846" t="str">
            <v>VYPRODÁNO</v>
          </cell>
          <cell r="D846">
            <v>0</v>
          </cell>
        </row>
        <row r="847">
          <cell r="A847" t="str">
            <v>C4925G</v>
          </cell>
          <cell r="B847" t="str">
            <v>SKLADEM</v>
          </cell>
          <cell r="D847">
            <v>0</v>
          </cell>
        </row>
        <row r="848">
          <cell r="A848" t="str">
            <v>C4925G |</v>
          </cell>
          <cell r="B848" t="str">
            <v>VYPRODÁNO</v>
          </cell>
          <cell r="D848">
            <v>0</v>
          </cell>
        </row>
        <row r="849">
          <cell r="A849" t="str">
            <v>C4925G E</v>
          </cell>
          <cell r="B849" t="str">
            <v>VYPRODÁNO</v>
          </cell>
          <cell r="D849">
            <v>0</v>
          </cell>
        </row>
        <row r="850">
          <cell r="A850" t="str">
            <v>C4925G14</v>
          </cell>
          <cell r="B850" t="str">
            <v>VYPRODÁNO</v>
          </cell>
          <cell r="D850">
            <v>0</v>
          </cell>
        </row>
        <row r="851">
          <cell r="A851" t="str">
            <v>C4925GI</v>
          </cell>
          <cell r="B851" t="str">
            <v>VYPRODÁNO</v>
          </cell>
          <cell r="D851">
            <v>0</v>
          </cell>
        </row>
        <row r="852">
          <cell r="A852" t="str">
            <v>C4925NO14</v>
          </cell>
          <cell r="B852" t="str">
            <v>SKLADEM</v>
          </cell>
          <cell r="D852">
            <v>0</v>
          </cell>
        </row>
        <row r="853">
          <cell r="A853" t="str">
            <v>C4925NO14 E</v>
          </cell>
          <cell r="B853" t="str">
            <v>VYPRODÁNO</v>
          </cell>
          <cell r="D853">
            <v>0</v>
          </cell>
        </row>
        <row r="854">
          <cell r="A854" t="str">
            <v>C4925P</v>
          </cell>
          <cell r="B854" t="str">
            <v>SKLADEM</v>
          </cell>
          <cell r="D854">
            <v>0</v>
          </cell>
        </row>
        <row r="855">
          <cell r="A855" t="str">
            <v>C4925P14</v>
          </cell>
          <cell r="B855" t="str">
            <v>VYPRODÁNO</v>
          </cell>
          <cell r="D855">
            <v>0</v>
          </cell>
        </row>
        <row r="856">
          <cell r="A856" t="str">
            <v>C4925SIG</v>
          </cell>
          <cell r="B856" t="str">
            <v>SKLADEM</v>
          </cell>
          <cell r="D856">
            <v>0</v>
          </cell>
        </row>
        <row r="857">
          <cell r="A857" t="str">
            <v>C4925SIG E</v>
          </cell>
          <cell r="B857" t="str">
            <v>VYPRODÁNO</v>
          </cell>
          <cell r="D857">
            <v>0</v>
          </cell>
        </row>
        <row r="858">
          <cell r="A858" t="str">
            <v>C4925SIG14</v>
          </cell>
          <cell r="B858" t="str">
            <v>VYPRODÁNO</v>
          </cell>
          <cell r="D858">
            <v>0</v>
          </cell>
        </row>
        <row r="859">
          <cell r="A859" t="str">
            <v>C4925V</v>
          </cell>
          <cell r="B859" t="str">
            <v>SKLADEM</v>
          </cell>
          <cell r="D859">
            <v>0</v>
          </cell>
        </row>
        <row r="860">
          <cell r="A860" t="str">
            <v>C4925V14</v>
          </cell>
          <cell r="B860" t="str">
            <v>SKLADEM</v>
          </cell>
          <cell r="D860">
            <v>0</v>
          </cell>
        </row>
        <row r="861">
          <cell r="A861" t="str">
            <v>C4925VS</v>
          </cell>
          <cell r="B861" t="str">
            <v>VYPRODÁNO</v>
          </cell>
          <cell r="D861">
            <v>0</v>
          </cell>
        </row>
        <row r="862">
          <cell r="A862" t="str">
            <v>C493A</v>
          </cell>
          <cell r="B862" t="str">
            <v>VYPRODÁNO</v>
          </cell>
          <cell r="D862">
            <v>0</v>
          </cell>
        </row>
        <row r="863">
          <cell r="A863" t="str">
            <v>C493A E</v>
          </cell>
          <cell r="B863" t="str">
            <v>VYPRODÁNO</v>
          </cell>
          <cell r="D863">
            <v>0</v>
          </cell>
        </row>
        <row r="864">
          <cell r="A864" t="str">
            <v>C493A/P</v>
          </cell>
          <cell r="B864" t="str">
            <v>VYPRODÁNO</v>
          </cell>
          <cell r="D864">
            <v>0</v>
          </cell>
        </row>
        <row r="865">
          <cell r="A865" t="str">
            <v>C493B</v>
          </cell>
          <cell r="B865" t="str">
            <v>VYPRODÁNO</v>
          </cell>
          <cell r="D865">
            <v>0</v>
          </cell>
        </row>
        <row r="866">
          <cell r="A866" t="str">
            <v>C493B E</v>
          </cell>
          <cell r="B866" t="str">
            <v>VYPRODÁNO</v>
          </cell>
          <cell r="D866">
            <v>0</v>
          </cell>
        </row>
        <row r="867">
          <cell r="A867" t="str">
            <v>C493BP</v>
          </cell>
          <cell r="B867" t="str">
            <v>VYPRODÁNO</v>
          </cell>
          <cell r="D867">
            <v>0</v>
          </cell>
        </row>
        <row r="868">
          <cell r="A868" t="str">
            <v>C493BPF</v>
          </cell>
          <cell r="B868" t="str">
            <v>VYPRODÁNO</v>
          </cell>
          <cell r="D868">
            <v>0</v>
          </cell>
        </row>
        <row r="869">
          <cell r="A869" t="str">
            <v>C493BPS</v>
          </cell>
          <cell r="B869" t="str">
            <v>SKLADEM</v>
          </cell>
          <cell r="D869">
            <v>0</v>
          </cell>
        </row>
        <row r="870">
          <cell r="A870" t="str">
            <v>C493BW</v>
          </cell>
          <cell r="B870" t="str">
            <v>SKLADEM</v>
          </cell>
          <cell r="D870">
            <v>0</v>
          </cell>
        </row>
        <row r="871">
          <cell r="A871" t="str">
            <v>C493C</v>
          </cell>
          <cell r="B871" t="str">
            <v>VYPRODÁNO</v>
          </cell>
          <cell r="D871">
            <v>0</v>
          </cell>
        </row>
        <row r="872">
          <cell r="A872" t="str">
            <v>C493CR</v>
          </cell>
          <cell r="B872" t="str">
            <v>VYPRODÁNO</v>
          </cell>
          <cell r="D872">
            <v>0</v>
          </cell>
        </row>
        <row r="873">
          <cell r="A873" t="str">
            <v>C493D/P</v>
          </cell>
          <cell r="B873" t="str">
            <v>VYPRODÁNO</v>
          </cell>
          <cell r="D873">
            <v>0</v>
          </cell>
        </row>
        <row r="874">
          <cell r="A874" t="str">
            <v>C493DU</v>
          </cell>
          <cell r="B874" t="str">
            <v>DOCHÁZÍ</v>
          </cell>
          <cell r="D874">
            <v>0</v>
          </cell>
          <cell r="E874">
            <v>56</v>
          </cell>
        </row>
        <row r="875">
          <cell r="A875" t="str">
            <v>C493DU E</v>
          </cell>
          <cell r="B875" t="str">
            <v>VYPRODÁNO</v>
          </cell>
          <cell r="D875">
            <v>0</v>
          </cell>
        </row>
        <row r="876">
          <cell r="A876" t="str">
            <v>C493DZ</v>
          </cell>
          <cell r="B876" t="str">
            <v>VYPRODÁNO</v>
          </cell>
          <cell r="D876">
            <v>0</v>
          </cell>
        </row>
        <row r="877">
          <cell r="A877" t="str">
            <v>C493DZ E</v>
          </cell>
          <cell r="B877" t="str">
            <v>VYPRODÁNO</v>
          </cell>
          <cell r="D877">
            <v>0</v>
          </cell>
        </row>
        <row r="878">
          <cell r="A878" t="str">
            <v>C493E</v>
          </cell>
          <cell r="B878" t="str">
            <v>VYPRODÁNO</v>
          </cell>
          <cell r="D878">
            <v>0</v>
          </cell>
        </row>
        <row r="879">
          <cell r="A879" t="str">
            <v>C493F</v>
          </cell>
          <cell r="B879" t="str">
            <v>VYPRODÁNO</v>
          </cell>
          <cell r="D879">
            <v>0</v>
          </cell>
        </row>
        <row r="880">
          <cell r="A880" t="str">
            <v>C493G</v>
          </cell>
          <cell r="B880" t="str">
            <v>VYPRODÁNO</v>
          </cell>
          <cell r="D880">
            <v>0</v>
          </cell>
        </row>
        <row r="881">
          <cell r="A881" t="str">
            <v>C493G/2</v>
          </cell>
          <cell r="B881" t="str">
            <v>VYPRODÁNO</v>
          </cell>
          <cell r="D881">
            <v>0</v>
          </cell>
        </row>
        <row r="882">
          <cell r="A882" t="str">
            <v>C493GH</v>
          </cell>
          <cell r="B882" t="str">
            <v>SKLADEM</v>
          </cell>
          <cell r="D882">
            <v>0</v>
          </cell>
        </row>
        <row r="883">
          <cell r="A883" t="str">
            <v>C493GH E</v>
          </cell>
          <cell r="B883" t="str">
            <v>VYPRODÁNO</v>
          </cell>
          <cell r="D883">
            <v>0</v>
          </cell>
        </row>
        <row r="884">
          <cell r="A884" t="str">
            <v>C493H</v>
          </cell>
          <cell r="B884" t="str">
            <v>VYPRODÁNO</v>
          </cell>
          <cell r="D884">
            <v>0</v>
          </cell>
        </row>
        <row r="885">
          <cell r="A885" t="str">
            <v>C493H E</v>
          </cell>
          <cell r="B885" t="str">
            <v>VYPRODÁNO</v>
          </cell>
          <cell r="D885">
            <v>0</v>
          </cell>
        </row>
        <row r="886">
          <cell r="A886" t="str">
            <v>C493CH</v>
          </cell>
          <cell r="B886" t="str">
            <v>VYPRODÁNO</v>
          </cell>
          <cell r="D886">
            <v>0</v>
          </cell>
        </row>
        <row r="887">
          <cell r="A887" t="str">
            <v>C493CH E</v>
          </cell>
          <cell r="B887" t="str">
            <v>VYPRODÁNO</v>
          </cell>
          <cell r="D887">
            <v>0</v>
          </cell>
        </row>
        <row r="888">
          <cell r="A888" t="str">
            <v>C493J</v>
          </cell>
          <cell r="B888" t="str">
            <v>VYPRODÁNO</v>
          </cell>
          <cell r="D888">
            <v>0</v>
          </cell>
        </row>
        <row r="889">
          <cell r="A889" t="str">
            <v>C493L</v>
          </cell>
          <cell r="B889" t="str">
            <v>VYPRODÁNO</v>
          </cell>
          <cell r="D889">
            <v>0</v>
          </cell>
        </row>
        <row r="890">
          <cell r="A890" t="str">
            <v>C493LI</v>
          </cell>
          <cell r="B890" t="str">
            <v>SKLADEM</v>
          </cell>
          <cell r="D890">
            <v>0</v>
          </cell>
        </row>
        <row r="891">
          <cell r="A891" t="str">
            <v>C493M</v>
          </cell>
          <cell r="B891" t="str">
            <v>VYPRODÁNO</v>
          </cell>
          <cell r="D891">
            <v>0</v>
          </cell>
        </row>
        <row r="892">
          <cell r="A892" t="str">
            <v>C493MA</v>
          </cell>
          <cell r="B892" t="str">
            <v>SKLADEM</v>
          </cell>
          <cell r="D892">
            <v>0</v>
          </cell>
        </row>
        <row r="893">
          <cell r="A893" t="str">
            <v>C493O</v>
          </cell>
          <cell r="B893" t="str">
            <v>VYPRODÁNO</v>
          </cell>
          <cell r="D893">
            <v>0</v>
          </cell>
        </row>
        <row r="894">
          <cell r="A894" t="str">
            <v>C493P</v>
          </cell>
          <cell r="B894" t="str">
            <v>VYPRODÁNO</v>
          </cell>
          <cell r="D894">
            <v>0</v>
          </cell>
        </row>
        <row r="895">
          <cell r="A895" t="str">
            <v>C493PR</v>
          </cell>
          <cell r="B895" t="str">
            <v>DOCHÁZÍ</v>
          </cell>
          <cell r="D895">
            <v>0</v>
          </cell>
          <cell r="E895">
            <v>2</v>
          </cell>
        </row>
        <row r="896">
          <cell r="A896" t="str">
            <v>C493Q</v>
          </cell>
          <cell r="B896" t="str">
            <v>VYPRODÁNO</v>
          </cell>
          <cell r="D896">
            <v>0</v>
          </cell>
        </row>
        <row r="897">
          <cell r="A897" t="str">
            <v>C493R</v>
          </cell>
          <cell r="B897" t="str">
            <v>VYPRODÁNO</v>
          </cell>
          <cell r="D897">
            <v>0</v>
          </cell>
        </row>
        <row r="898">
          <cell r="A898" t="str">
            <v>C493RG</v>
          </cell>
          <cell r="B898" t="str">
            <v>SKLADEM</v>
          </cell>
          <cell r="D898">
            <v>0</v>
          </cell>
        </row>
        <row r="899">
          <cell r="A899" t="str">
            <v>C493RG E</v>
          </cell>
          <cell r="B899" t="str">
            <v>VYPRODÁNO</v>
          </cell>
          <cell r="D899">
            <v>0</v>
          </cell>
        </row>
        <row r="900">
          <cell r="A900" t="str">
            <v>C493RU</v>
          </cell>
          <cell r="B900" t="str">
            <v>SKLADEM</v>
          </cell>
          <cell r="D900">
            <v>0</v>
          </cell>
        </row>
        <row r="901">
          <cell r="A901" t="str">
            <v>C493RU E</v>
          </cell>
          <cell r="B901" t="str">
            <v>VYPRODÁNO</v>
          </cell>
          <cell r="D901">
            <v>0</v>
          </cell>
        </row>
        <row r="902">
          <cell r="A902" t="str">
            <v>C493SH</v>
          </cell>
          <cell r="B902" t="str">
            <v>VYPRODÁNO</v>
          </cell>
          <cell r="D902">
            <v>0</v>
          </cell>
        </row>
        <row r="903">
          <cell r="A903" t="str">
            <v>C493SK</v>
          </cell>
          <cell r="B903" t="str">
            <v>VYPRODÁNO</v>
          </cell>
          <cell r="D903">
            <v>0</v>
          </cell>
        </row>
        <row r="904">
          <cell r="A904" t="str">
            <v>C493SW</v>
          </cell>
          <cell r="B904" t="str">
            <v>SKLADEM</v>
          </cell>
          <cell r="D904">
            <v>0</v>
          </cell>
        </row>
        <row r="905">
          <cell r="A905" t="str">
            <v>C493SW E</v>
          </cell>
          <cell r="B905" t="str">
            <v>VYPRODÁNO</v>
          </cell>
          <cell r="D905">
            <v>0</v>
          </cell>
        </row>
        <row r="906">
          <cell r="A906" t="str">
            <v>C493T</v>
          </cell>
          <cell r="B906" t="str">
            <v>VYPRODÁNO</v>
          </cell>
          <cell r="D906">
            <v>0</v>
          </cell>
        </row>
        <row r="907">
          <cell r="A907" t="str">
            <v>C493T E</v>
          </cell>
          <cell r="B907" t="str">
            <v>VYPRODÁNO</v>
          </cell>
          <cell r="D907">
            <v>0</v>
          </cell>
        </row>
        <row r="908">
          <cell r="A908" t="str">
            <v>C493TO</v>
          </cell>
          <cell r="B908" t="str">
            <v>VYPRODÁNO</v>
          </cell>
          <cell r="D908">
            <v>0</v>
          </cell>
        </row>
        <row r="909">
          <cell r="A909" t="str">
            <v>C493W</v>
          </cell>
          <cell r="B909" t="str">
            <v>VYPRODÁNO</v>
          </cell>
          <cell r="D909">
            <v>0</v>
          </cell>
        </row>
        <row r="910">
          <cell r="A910" t="str">
            <v>C493X</v>
          </cell>
          <cell r="B910" t="str">
            <v>VYPRODÁNO</v>
          </cell>
          <cell r="D910">
            <v>0</v>
          </cell>
        </row>
        <row r="911">
          <cell r="A911" t="str">
            <v>C493Z</v>
          </cell>
          <cell r="B911" t="str">
            <v>VYPRODÁNO</v>
          </cell>
          <cell r="D911">
            <v>0</v>
          </cell>
        </row>
        <row r="912">
          <cell r="A912" t="str">
            <v>C493Z/2</v>
          </cell>
          <cell r="B912" t="str">
            <v>VYPRODÁNO</v>
          </cell>
          <cell r="D912">
            <v>0</v>
          </cell>
        </row>
        <row r="913">
          <cell r="A913" t="str">
            <v>C493Z/3</v>
          </cell>
          <cell r="B913" t="str">
            <v>VYPRODÁNO</v>
          </cell>
          <cell r="D913">
            <v>0</v>
          </cell>
        </row>
        <row r="914">
          <cell r="A914" t="str">
            <v>C493Z/4</v>
          </cell>
          <cell r="B914" t="str">
            <v>VYPRODÁNO</v>
          </cell>
          <cell r="D914">
            <v>0</v>
          </cell>
        </row>
        <row r="915">
          <cell r="A915" t="str">
            <v>C493Z/5</v>
          </cell>
          <cell r="B915" t="str">
            <v>VYPRODÁNO</v>
          </cell>
          <cell r="D915">
            <v>0</v>
          </cell>
        </row>
        <row r="916">
          <cell r="A916" t="str">
            <v>C495GW E</v>
          </cell>
          <cell r="B916" t="str">
            <v>VYPRODÁNO</v>
          </cell>
          <cell r="D916">
            <v>0</v>
          </cell>
        </row>
        <row r="917">
          <cell r="A917" t="str">
            <v>C495V</v>
          </cell>
          <cell r="B917" t="str">
            <v>VYPRODÁNO</v>
          </cell>
          <cell r="D917">
            <v>0</v>
          </cell>
        </row>
        <row r="918">
          <cell r="A918" t="str">
            <v>C495V E</v>
          </cell>
          <cell r="B918" t="str">
            <v>VYPRODÁNO</v>
          </cell>
          <cell r="D918">
            <v>0</v>
          </cell>
        </row>
        <row r="919">
          <cell r="A919" t="str">
            <v>C495X</v>
          </cell>
          <cell r="B919" t="str">
            <v>VYPRODÁNO</v>
          </cell>
          <cell r="D919">
            <v>0</v>
          </cell>
        </row>
        <row r="920">
          <cell r="A920" t="str">
            <v>C495X E</v>
          </cell>
          <cell r="B920" t="str">
            <v>VYPRODÁNO</v>
          </cell>
          <cell r="D920">
            <v>0</v>
          </cell>
        </row>
        <row r="921">
          <cell r="A921" t="str">
            <v>C4963V</v>
          </cell>
          <cell r="B921" t="str">
            <v>VYPRODÁNO</v>
          </cell>
          <cell r="D921">
            <v>0</v>
          </cell>
        </row>
        <row r="922">
          <cell r="A922" t="str">
            <v>C503AA</v>
          </cell>
          <cell r="B922" t="str">
            <v>VYPRODÁNO</v>
          </cell>
          <cell r="D922">
            <v>0</v>
          </cell>
        </row>
        <row r="923">
          <cell r="A923" t="str">
            <v>C503AB</v>
          </cell>
          <cell r="B923" t="str">
            <v>VYPRODÁNO</v>
          </cell>
          <cell r="D923">
            <v>0</v>
          </cell>
        </row>
        <row r="924">
          <cell r="A924" t="str">
            <v>C503AC</v>
          </cell>
          <cell r="B924" t="str">
            <v>VYPRODÁNO</v>
          </cell>
          <cell r="D924">
            <v>0</v>
          </cell>
        </row>
        <row r="925">
          <cell r="A925" t="str">
            <v>C503BB</v>
          </cell>
          <cell r="B925" t="str">
            <v>VYPRODÁNO</v>
          </cell>
          <cell r="D925">
            <v>0</v>
          </cell>
        </row>
        <row r="926">
          <cell r="A926" t="str">
            <v>C503BI</v>
          </cell>
          <cell r="B926" t="str">
            <v>SKLADEM</v>
          </cell>
          <cell r="D926">
            <v>0</v>
          </cell>
        </row>
        <row r="927">
          <cell r="A927" t="str">
            <v>C503BO</v>
          </cell>
          <cell r="B927" t="str">
            <v>VYPRODÁNO</v>
          </cell>
          <cell r="D927">
            <v>0</v>
          </cell>
        </row>
        <row r="928">
          <cell r="A928" t="str">
            <v>C503BO E</v>
          </cell>
          <cell r="B928" t="str">
            <v>VYPRODÁNO</v>
          </cell>
          <cell r="D928">
            <v>0</v>
          </cell>
        </row>
        <row r="929">
          <cell r="A929" t="str">
            <v>C503BPW/C14</v>
          </cell>
          <cell r="B929" t="str">
            <v>VYPRODÁNO</v>
          </cell>
          <cell r="D929">
            <v>0</v>
          </cell>
        </row>
        <row r="930">
          <cell r="A930" t="str">
            <v>C503BPW/C14(T)</v>
          </cell>
          <cell r="B930" t="str">
            <v>VYPRODÁNO</v>
          </cell>
          <cell r="D930">
            <v>0</v>
          </cell>
        </row>
        <row r="931">
          <cell r="A931" t="str">
            <v>C503BW/C14</v>
          </cell>
          <cell r="B931" t="str">
            <v>SKLADEM</v>
          </cell>
          <cell r="D931">
            <v>0</v>
          </cell>
        </row>
        <row r="932">
          <cell r="A932" t="str">
            <v>C503BW/C14(T)</v>
          </cell>
          <cell r="B932" t="str">
            <v>SKLADEM</v>
          </cell>
          <cell r="D932">
            <v>0</v>
          </cell>
        </row>
        <row r="933">
          <cell r="A933" t="str">
            <v>C503C</v>
          </cell>
          <cell r="B933" t="str">
            <v>VYPRODÁNO</v>
          </cell>
          <cell r="D933">
            <v>0</v>
          </cell>
        </row>
        <row r="934">
          <cell r="A934" t="str">
            <v>C503D</v>
          </cell>
          <cell r="B934" t="str">
            <v>VYPRODÁNO</v>
          </cell>
          <cell r="D934">
            <v>0</v>
          </cell>
        </row>
        <row r="935">
          <cell r="A935" t="str">
            <v>C503DU</v>
          </cell>
          <cell r="B935" t="str">
            <v>VYPRODÁNO</v>
          </cell>
          <cell r="D935">
            <v>0</v>
          </cell>
        </row>
        <row r="936">
          <cell r="A936" t="str">
            <v>C503DU E</v>
          </cell>
          <cell r="B936" t="str">
            <v>VYPRODÁNO</v>
          </cell>
          <cell r="D936">
            <v>0</v>
          </cell>
        </row>
        <row r="937">
          <cell r="A937" t="str">
            <v>C503E</v>
          </cell>
          <cell r="B937" t="str">
            <v>VYPRODÁNO</v>
          </cell>
          <cell r="D937">
            <v>0</v>
          </cell>
        </row>
        <row r="938">
          <cell r="A938" t="str">
            <v>C503F</v>
          </cell>
          <cell r="B938" t="str">
            <v>VYPRODÁNO</v>
          </cell>
          <cell r="D938">
            <v>0</v>
          </cell>
        </row>
        <row r="939">
          <cell r="A939" t="str">
            <v>C503F/C14</v>
          </cell>
          <cell r="B939" t="str">
            <v>SKLADEM</v>
          </cell>
          <cell r="D939">
            <v>0</v>
          </cell>
        </row>
        <row r="940">
          <cell r="A940" t="str">
            <v>C503F/C14 E</v>
          </cell>
          <cell r="B940" t="str">
            <v>VYPRODÁNO</v>
          </cell>
          <cell r="D940">
            <v>0</v>
          </cell>
        </row>
        <row r="941">
          <cell r="A941" t="str">
            <v>C503F/C14(T)</v>
          </cell>
          <cell r="B941" t="str">
            <v>SKLADEM</v>
          </cell>
          <cell r="D941">
            <v>0</v>
          </cell>
        </row>
        <row r="942">
          <cell r="A942" t="str">
            <v>C503G</v>
          </cell>
          <cell r="B942" t="str">
            <v>VYPRODÁNO</v>
          </cell>
          <cell r="D942">
            <v>0</v>
          </cell>
        </row>
        <row r="943">
          <cell r="A943" t="str">
            <v>C503H</v>
          </cell>
          <cell r="B943" t="str">
            <v>VYPRODÁNO</v>
          </cell>
          <cell r="D943">
            <v>0</v>
          </cell>
        </row>
        <row r="944">
          <cell r="A944" t="str">
            <v>C503CH</v>
          </cell>
          <cell r="B944" t="str">
            <v>VYPRODÁNO</v>
          </cell>
          <cell r="D944">
            <v>0</v>
          </cell>
        </row>
        <row r="945">
          <cell r="A945" t="str">
            <v>C503I</v>
          </cell>
          <cell r="B945" t="str">
            <v>VYPRODÁNO</v>
          </cell>
          <cell r="D945">
            <v>0</v>
          </cell>
        </row>
        <row r="946">
          <cell r="A946" t="str">
            <v>C503J</v>
          </cell>
          <cell r="B946" t="str">
            <v>VYPRODÁNO</v>
          </cell>
          <cell r="D946">
            <v>0</v>
          </cell>
        </row>
        <row r="947">
          <cell r="A947" t="str">
            <v>C503K</v>
          </cell>
          <cell r="B947" t="str">
            <v>VYPRODÁNO</v>
          </cell>
          <cell r="D947">
            <v>0</v>
          </cell>
        </row>
        <row r="948">
          <cell r="A948" t="str">
            <v>C503L</v>
          </cell>
          <cell r="B948" t="str">
            <v>VYPRODÁNO</v>
          </cell>
          <cell r="D948">
            <v>0</v>
          </cell>
        </row>
        <row r="949">
          <cell r="A949" t="str">
            <v>C503M</v>
          </cell>
          <cell r="B949" t="str">
            <v>VYPRODÁNO</v>
          </cell>
          <cell r="D949">
            <v>0</v>
          </cell>
        </row>
        <row r="950">
          <cell r="A950" t="str">
            <v>C503ME</v>
          </cell>
          <cell r="B950" t="str">
            <v>VYPRODÁNO</v>
          </cell>
          <cell r="D950">
            <v>0</v>
          </cell>
        </row>
        <row r="951">
          <cell r="A951" t="str">
            <v>C503ME/C14</v>
          </cell>
          <cell r="B951" t="str">
            <v>VYPRODÁNO</v>
          </cell>
          <cell r="D951">
            <v>0</v>
          </cell>
        </row>
        <row r="952">
          <cell r="A952" t="str">
            <v>C503ME/C14 E</v>
          </cell>
          <cell r="B952" t="str">
            <v>VYPRODÁNO</v>
          </cell>
          <cell r="D952">
            <v>0</v>
          </cell>
        </row>
        <row r="953">
          <cell r="A953" t="str">
            <v>C503ME/C14(T)</v>
          </cell>
          <cell r="B953" t="str">
            <v>VYPRODÁNO</v>
          </cell>
          <cell r="D953">
            <v>0</v>
          </cell>
        </row>
        <row r="954">
          <cell r="A954" t="str">
            <v>C503N</v>
          </cell>
          <cell r="B954" t="str">
            <v>VYPRODÁNO</v>
          </cell>
          <cell r="D954">
            <v>0</v>
          </cell>
        </row>
        <row r="955">
          <cell r="A955" t="str">
            <v>C503NID/C14</v>
          </cell>
          <cell r="B955" t="str">
            <v>VYPRODÁNO</v>
          </cell>
          <cell r="D955">
            <v>0</v>
          </cell>
        </row>
        <row r="956">
          <cell r="A956" t="str">
            <v>C503NID/C14(T)</v>
          </cell>
          <cell r="B956" t="str">
            <v>VYPRODÁNO</v>
          </cell>
          <cell r="D956">
            <v>0</v>
          </cell>
        </row>
        <row r="957">
          <cell r="A957" t="str">
            <v>C503O</v>
          </cell>
          <cell r="B957" t="str">
            <v>VYPRODÁNO</v>
          </cell>
          <cell r="D957">
            <v>0</v>
          </cell>
        </row>
        <row r="958">
          <cell r="A958" t="str">
            <v>C503P</v>
          </cell>
          <cell r="B958" t="str">
            <v>VYPRODÁNO</v>
          </cell>
          <cell r="D958">
            <v>0</v>
          </cell>
        </row>
        <row r="959">
          <cell r="A959" t="str">
            <v>C503Q</v>
          </cell>
          <cell r="B959" t="str">
            <v>VYPRODÁNO</v>
          </cell>
          <cell r="D959">
            <v>0</v>
          </cell>
        </row>
        <row r="960">
          <cell r="A960" t="str">
            <v>C503R</v>
          </cell>
          <cell r="B960" t="str">
            <v>VYPRODÁNO</v>
          </cell>
          <cell r="D960">
            <v>0</v>
          </cell>
        </row>
        <row r="961">
          <cell r="A961" t="str">
            <v>C503RA</v>
          </cell>
          <cell r="B961" t="str">
            <v>SKLADEM</v>
          </cell>
          <cell r="D961">
            <v>0</v>
          </cell>
        </row>
        <row r="962">
          <cell r="A962" t="str">
            <v>C503RA E</v>
          </cell>
          <cell r="B962" t="str">
            <v>VYPRODÁNO</v>
          </cell>
          <cell r="D962">
            <v>0</v>
          </cell>
        </row>
        <row r="963">
          <cell r="A963" t="str">
            <v>C503RO</v>
          </cell>
          <cell r="B963" t="str">
            <v>SKLADEM</v>
          </cell>
          <cell r="D963">
            <v>0</v>
          </cell>
        </row>
        <row r="964">
          <cell r="A964" t="str">
            <v>C503RO E</v>
          </cell>
          <cell r="B964" t="str">
            <v>VYPRODÁNO</v>
          </cell>
          <cell r="D964">
            <v>0</v>
          </cell>
        </row>
        <row r="965">
          <cell r="A965" t="str">
            <v>C503RO/C14</v>
          </cell>
          <cell r="B965" t="str">
            <v>SKLADEM</v>
          </cell>
          <cell r="D965" t="str">
            <v>100+</v>
          </cell>
        </row>
        <row r="966">
          <cell r="A966" t="str">
            <v>C503RO/C14 E</v>
          </cell>
          <cell r="B966" t="str">
            <v>VYPRODÁNO</v>
          </cell>
          <cell r="D966">
            <v>0</v>
          </cell>
        </row>
        <row r="967">
          <cell r="A967" t="str">
            <v>C503RO/C14(T)</v>
          </cell>
          <cell r="B967" t="str">
            <v>SKLADEM</v>
          </cell>
          <cell r="D967">
            <v>0</v>
          </cell>
        </row>
        <row r="968">
          <cell r="A968" t="str">
            <v>C503S</v>
          </cell>
          <cell r="B968" t="str">
            <v>VYPRODÁNO</v>
          </cell>
          <cell r="D968">
            <v>0</v>
          </cell>
        </row>
        <row r="969">
          <cell r="A969" t="str">
            <v>C503SIG/C14</v>
          </cell>
          <cell r="B969" t="str">
            <v>SKLADEM</v>
          </cell>
          <cell r="D969">
            <v>0</v>
          </cell>
        </row>
        <row r="970">
          <cell r="A970" t="str">
            <v>C503SIG/C14(T)</v>
          </cell>
          <cell r="B970" t="str">
            <v>SKLADEM</v>
          </cell>
          <cell r="D970">
            <v>0</v>
          </cell>
        </row>
        <row r="971">
          <cell r="A971" t="str">
            <v>C503SIGA</v>
          </cell>
          <cell r="B971" t="str">
            <v>SKLADEM</v>
          </cell>
          <cell r="D971">
            <v>0</v>
          </cell>
        </row>
        <row r="972">
          <cell r="A972" t="str">
            <v>C503SIGB</v>
          </cell>
          <cell r="B972" t="str">
            <v>VYPRODÁNO</v>
          </cell>
          <cell r="D972">
            <v>0</v>
          </cell>
        </row>
        <row r="973">
          <cell r="A973" t="str">
            <v>C503T</v>
          </cell>
          <cell r="B973" t="str">
            <v>VYPRODÁNO</v>
          </cell>
          <cell r="D973">
            <v>0</v>
          </cell>
        </row>
        <row r="974">
          <cell r="A974" t="str">
            <v>C503TS/C14</v>
          </cell>
          <cell r="B974" t="str">
            <v>SKLADEM</v>
          </cell>
          <cell r="D974">
            <v>0</v>
          </cell>
        </row>
        <row r="975">
          <cell r="A975" t="str">
            <v>C503TS/C14(T)</v>
          </cell>
          <cell r="B975" t="str">
            <v>SKLADEM</v>
          </cell>
          <cell r="D975">
            <v>0</v>
          </cell>
        </row>
        <row r="976">
          <cell r="A976" t="str">
            <v>C503U</v>
          </cell>
          <cell r="B976" t="str">
            <v>VYPRODÁNO</v>
          </cell>
          <cell r="D976">
            <v>0</v>
          </cell>
        </row>
        <row r="977">
          <cell r="A977" t="str">
            <v>C503V</v>
          </cell>
          <cell r="B977" t="str">
            <v>VYPRODÁNO</v>
          </cell>
          <cell r="D977">
            <v>0</v>
          </cell>
        </row>
        <row r="978">
          <cell r="A978" t="str">
            <v>C503W</v>
          </cell>
          <cell r="B978" t="str">
            <v>VYPRODÁNO</v>
          </cell>
          <cell r="D978">
            <v>0</v>
          </cell>
        </row>
        <row r="979">
          <cell r="A979" t="str">
            <v>C503WI</v>
          </cell>
          <cell r="B979" t="str">
            <v>VYPRODÁNO</v>
          </cell>
          <cell r="D979">
            <v>0</v>
          </cell>
        </row>
        <row r="980">
          <cell r="A980" t="str">
            <v>C503Y</v>
          </cell>
          <cell r="B980" t="str">
            <v>VYPRODÁNO</v>
          </cell>
          <cell r="D980">
            <v>0</v>
          </cell>
        </row>
        <row r="981">
          <cell r="A981" t="str">
            <v>C505V</v>
          </cell>
          <cell r="B981" t="str">
            <v>VYPRODÁNO</v>
          </cell>
          <cell r="D981">
            <v>0</v>
          </cell>
        </row>
        <row r="982">
          <cell r="A982" t="str">
            <v>C505V/C</v>
          </cell>
          <cell r="B982" t="str">
            <v>SKLADEM</v>
          </cell>
          <cell r="D982">
            <v>0</v>
          </cell>
        </row>
        <row r="983">
          <cell r="A983" t="str">
            <v>C505V/C(T)</v>
          </cell>
          <cell r="B983" t="str">
            <v>SKLADEM</v>
          </cell>
          <cell r="D983">
            <v>0</v>
          </cell>
        </row>
        <row r="984">
          <cell r="A984" t="str">
            <v>C505X</v>
          </cell>
          <cell r="B984" t="str">
            <v>VYPRODÁNO</v>
          </cell>
          <cell r="D984">
            <v>0</v>
          </cell>
        </row>
        <row r="985">
          <cell r="A985" t="str">
            <v>C505X/C</v>
          </cell>
          <cell r="B985" t="str">
            <v>SKLADEM</v>
          </cell>
          <cell r="D985">
            <v>0</v>
          </cell>
        </row>
        <row r="986">
          <cell r="A986" t="str">
            <v>C505X/C(T)</v>
          </cell>
          <cell r="B986" t="str">
            <v>SKLADEM</v>
          </cell>
          <cell r="D986">
            <v>0</v>
          </cell>
        </row>
        <row r="987">
          <cell r="A987" t="str">
            <v>C505Z</v>
          </cell>
          <cell r="B987" t="str">
            <v>VYPRODÁNO</v>
          </cell>
          <cell r="D987">
            <v>0</v>
          </cell>
        </row>
        <row r="988">
          <cell r="A988" t="str">
            <v>C50MCOMA</v>
          </cell>
          <cell r="B988" t="str">
            <v>VYPRODÁNO</v>
          </cell>
          <cell r="D988">
            <v>0</v>
          </cell>
        </row>
        <row r="989">
          <cell r="A989" t="str">
            <v>C50MCH</v>
          </cell>
          <cell r="B989" t="str">
            <v>SKLADEM</v>
          </cell>
          <cell r="D989">
            <v>0</v>
          </cell>
        </row>
        <row r="990">
          <cell r="A990" t="str">
            <v>C50MCH14</v>
          </cell>
          <cell r="B990" t="str">
            <v>VYPRODÁNO</v>
          </cell>
          <cell r="D990">
            <v>0</v>
          </cell>
        </row>
        <row r="991">
          <cell r="A991" t="str">
            <v>C50MCH14 E</v>
          </cell>
          <cell r="B991" t="str">
            <v>VYPRODÁNO</v>
          </cell>
          <cell r="D991">
            <v>0</v>
          </cell>
        </row>
        <row r="992">
          <cell r="A992" t="str">
            <v>C50MNID</v>
          </cell>
          <cell r="B992" t="str">
            <v>VYPRODÁNO</v>
          </cell>
          <cell r="D992">
            <v>0</v>
          </cell>
        </row>
        <row r="993">
          <cell r="A993" t="str">
            <v>C50MNID14</v>
          </cell>
          <cell r="B993" t="str">
            <v>VYPRODÁNO</v>
          </cell>
          <cell r="D993">
            <v>0</v>
          </cell>
        </row>
        <row r="994">
          <cell r="A994" t="str">
            <v>C50MO</v>
          </cell>
          <cell r="B994" t="str">
            <v>SKLADEM</v>
          </cell>
          <cell r="D994" t="str">
            <v>100+</v>
          </cell>
        </row>
        <row r="995">
          <cell r="A995" t="str">
            <v>C50MO E</v>
          </cell>
          <cell r="B995" t="str">
            <v>VYPRODÁNO</v>
          </cell>
          <cell r="D995">
            <v>0</v>
          </cell>
        </row>
        <row r="996">
          <cell r="A996" t="str">
            <v>C50MO14</v>
          </cell>
          <cell r="B996" t="str">
            <v>VYPRODÁNO</v>
          </cell>
          <cell r="D996">
            <v>0</v>
          </cell>
        </row>
        <row r="997">
          <cell r="A997" t="str">
            <v>C50MO14 E</v>
          </cell>
          <cell r="B997" t="str">
            <v>VYPRODÁNO</v>
          </cell>
          <cell r="D997">
            <v>0</v>
          </cell>
        </row>
        <row r="998">
          <cell r="A998" t="str">
            <v>C52020F/C</v>
          </cell>
          <cell r="B998" t="str">
            <v>DOCHÁZÍ</v>
          </cell>
          <cell r="D998" t="str">
            <v>100+</v>
          </cell>
          <cell r="E998">
            <v>59</v>
          </cell>
        </row>
        <row r="999">
          <cell r="A999" t="str">
            <v>C52020F/C(T)</v>
          </cell>
          <cell r="B999" t="str">
            <v>DOCHÁZÍ</v>
          </cell>
          <cell r="D999">
            <v>0</v>
          </cell>
          <cell r="E999">
            <v>59</v>
          </cell>
        </row>
        <row r="1000">
          <cell r="A1000" t="str">
            <v>C5230XXA</v>
          </cell>
          <cell r="B1000" t="str">
            <v>VYPRODÁNO</v>
          </cell>
          <cell r="D1000">
            <v>0</v>
          </cell>
        </row>
        <row r="1001">
          <cell r="A1001" t="str">
            <v>C5230XXB</v>
          </cell>
          <cell r="B1001" t="str">
            <v>VYPRODÁNO</v>
          </cell>
          <cell r="D1001">
            <v>0</v>
          </cell>
        </row>
        <row r="1002">
          <cell r="A1002" t="str">
            <v>C52FMF</v>
          </cell>
          <cell r="B1002" t="str">
            <v>VYPRODÁNO</v>
          </cell>
          <cell r="D1002">
            <v>0</v>
          </cell>
        </row>
        <row r="1003">
          <cell r="A1003" t="str">
            <v>C52FMF14</v>
          </cell>
          <cell r="B1003" t="str">
            <v>VYPRODÁNO</v>
          </cell>
          <cell r="D1003">
            <v>0</v>
          </cell>
        </row>
        <row r="1004">
          <cell r="A1004" t="str">
            <v>C52FMP</v>
          </cell>
          <cell r="B1004" t="str">
            <v>VYPRODÁNO</v>
          </cell>
          <cell r="D1004">
            <v>0</v>
          </cell>
        </row>
        <row r="1005">
          <cell r="A1005" t="str">
            <v>C52FMP14</v>
          </cell>
          <cell r="B1005" t="str">
            <v>VYPRODÁNO</v>
          </cell>
          <cell r="D1005">
            <v>0</v>
          </cell>
        </row>
        <row r="1006">
          <cell r="A1006" t="str">
            <v>C52MXA</v>
          </cell>
          <cell r="B1006" t="str">
            <v>VYPRODÁNO</v>
          </cell>
          <cell r="D1006">
            <v>0</v>
          </cell>
        </row>
        <row r="1007">
          <cell r="A1007" t="str">
            <v>C52MXB</v>
          </cell>
          <cell r="B1007" t="str">
            <v>VYPRODÁNO</v>
          </cell>
          <cell r="D1007">
            <v>0</v>
          </cell>
        </row>
        <row r="1008">
          <cell r="A1008" t="str">
            <v>C52MXC</v>
          </cell>
          <cell r="B1008" t="str">
            <v>VYPRODÁNO</v>
          </cell>
          <cell r="D1008">
            <v>0</v>
          </cell>
        </row>
        <row r="1009">
          <cell r="A1009" t="str">
            <v>C5330XXA</v>
          </cell>
          <cell r="B1009" t="str">
            <v>VYPRODÁNO</v>
          </cell>
          <cell r="D1009">
            <v>0</v>
          </cell>
        </row>
        <row r="1010">
          <cell r="A1010" t="str">
            <v>C53620F/C</v>
          </cell>
          <cell r="B1010" t="str">
            <v>SKLADEM</v>
          </cell>
          <cell r="D1010">
            <v>0</v>
          </cell>
        </row>
        <row r="1011">
          <cell r="A1011" t="str">
            <v>C53620F/C(T)</v>
          </cell>
          <cell r="B1011" t="str">
            <v>SKLADEM</v>
          </cell>
          <cell r="D1011">
            <v>0</v>
          </cell>
        </row>
        <row r="1012">
          <cell r="A1012" t="str">
            <v>C56MXXA</v>
          </cell>
          <cell r="B1012" t="str">
            <v>VYPRODÁNO</v>
          </cell>
          <cell r="D1012">
            <v>0</v>
          </cell>
        </row>
        <row r="1013">
          <cell r="A1013" t="str">
            <v>C583MN/C</v>
          </cell>
          <cell r="B1013" t="str">
            <v>VYPRODÁNO</v>
          </cell>
          <cell r="D1013">
            <v>0</v>
          </cell>
        </row>
        <row r="1014">
          <cell r="A1014" t="str">
            <v>C583MN/C14</v>
          </cell>
          <cell r="B1014" t="str">
            <v>VYPRODÁNO</v>
          </cell>
          <cell r="D1014">
            <v>0</v>
          </cell>
        </row>
        <row r="1015">
          <cell r="A1015" t="str">
            <v>C583MN/C14 E</v>
          </cell>
          <cell r="B1015" t="str">
            <v>VYPRODÁNO</v>
          </cell>
          <cell r="D1015">
            <v>0</v>
          </cell>
        </row>
        <row r="1016">
          <cell r="A1016" t="str">
            <v>C583MN/C14(T)</v>
          </cell>
          <cell r="B1016" t="str">
            <v>VYPRODÁNO</v>
          </cell>
          <cell r="D1016">
            <v>0</v>
          </cell>
        </row>
        <row r="1017">
          <cell r="A1017" t="str">
            <v>C6020XXA</v>
          </cell>
          <cell r="B1017" t="str">
            <v>VYPRODÁNO</v>
          </cell>
          <cell r="D1017">
            <v>0</v>
          </cell>
        </row>
        <row r="1018">
          <cell r="A1018" t="str">
            <v>C6020XXA14</v>
          </cell>
          <cell r="B1018" t="str">
            <v>VYPRODÁNO</v>
          </cell>
          <cell r="D1018">
            <v>0</v>
          </cell>
        </row>
        <row r="1019">
          <cell r="A1019" t="str">
            <v>C6020XXB</v>
          </cell>
          <cell r="B1019" t="str">
            <v>VYPRODÁNO</v>
          </cell>
          <cell r="D1019">
            <v>0</v>
          </cell>
        </row>
        <row r="1020">
          <cell r="A1020" t="str">
            <v>C6020XXB14</v>
          </cell>
          <cell r="B1020" t="str">
            <v>VYPRODÁNO</v>
          </cell>
          <cell r="D1020">
            <v>0</v>
          </cell>
        </row>
        <row r="1021">
          <cell r="A1021" t="str">
            <v>C60MXXA</v>
          </cell>
          <cell r="B1021" t="str">
            <v>VYPRODÁNO</v>
          </cell>
          <cell r="D1021">
            <v>0</v>
          </cell>
        </row>
        <row r="1022">
          <cell r="A1022" t="str">
            <v>C60MXXA14</v>
          </cell>
          <cell r="B1022" t="str">
            <v>VYPRODÁNO</v>
          </cell>
          <cell r="D1022">
            <v>0</v>
          </cell>
        </row>
        <row r="1023">
          <cell r="A1023" t="str">
            <v>C60MXXB</v>
          </cell>
          <cell r="B1023" t="str">
            <v>VYPRODÁNO</v>
          </cell>
          <cell r="D1023">
            <v>0</v>
          </cell>
        </row>
        <row r="1024">
          <cell r="A1024" t="str">
            <v>C60MXXB14</v>
          </cell>
          <cell r="B1024" t="str">
            <v>VYPRODÁNO</v>
          </cell>
          <cell r="D1024">
            <v>0</v>
          </cell>
        </row>
        <row r="1025">
          <cell r="A1025" t="str">
            <v>C61MA</v>
          </cell>
          <cell r="B1025" t="str">
            <v>VYPRODÁNO</v>
          </cell>
          <cell r="D1025">
            <v>0</v>
          </cell>
        </row>
        <row r="1026">
          <cell r="A1026" t="str">
            <v>C61MA14</v>
          </cell>
          <cell r="B1026" t="str">
            <v>VYPRODÁNO</v>
          </cell>
          <cell r="D1026">
            <v>0</v>
          </cell>
        </row>
        <row r="1027">
          <cell r="A1027" t="str">
            <v>C61MB</v>
          </cell>
          <cell r="B1027" t="str">
            <v>VYPRODÁNO</v>
          </cell>
          <cell r="D1027">
            <v>0</v>
          </cell>
        </row>
        <row r="1028">
          <cell r="A1028" t="str">
            <v>C61MB14</v>
          </cell>
          <cell r="B1028" t="str">
            <v>VYPRODÁNO</v>
          </cell>
          <cell r="D1028">
            <v>0</v>
          </cell>
        </row>
        <row r="1029">
          <cell r="A1029" t="str">
            <v>C61MXXA</v>
          </cell>
          <cell r="B1029" t="str">
            <v>VYPRODÁNO</v>
          </cell>
          <cell r="D1029">
            <v>0</v>
          </cell>
        </row>
        <row r="1030">
          <cell r="A1030" t="str">
            <v>C61MXXA14</v>
          </cell>
          <cell r="B1030" t="str">
            <v>VYPRODÁNO</v>
          </cell>
          <cell r="D1030">
            <v>0</v>
          </cell>
        </row>
        <row r="1031">
          <cell r="A1031" t="str">
            <v>C62MXXA</v>
          </cell>
          <cell r="B1031" t="str">
            <v>VYPRODÁNO</v>
          </cell>
          <cell r="D1031">
            <v>0</v>
          </cell>
        </row>
        <row r="1032">
          <cell r="A1032" t="str">
            <v>C62SMA</v>
          </cell>
          <cell r="B1032" t="str">
            <v>VYPRODÁNO</v>
          </cell>
          <cell r="D1032">
            <v>0</v>
          </cell>
        </row>
        <row r="1033">
          <cell r="A1033" t="str">
            <v>C62SMA E</v>
          </cell>
          <cell r="B1033" t="str">
            <v>VYPRODÁNO</v>
          </cell>
          <cell r="D1033">
            <v>0</v>
          </cell>
        </row>
        <row r="1034">
          <cell r="A1034" t="str">
            <v>C62SMT</v>
          </cell>
          <cell r="B1034" t="str">
            <v>VYPRODÁNO</v>
          </cell>
          <cell r="D1034">
            <v>0</v>
          </cell>
        </row>
        <row r="1035">
          <cell r="A1035" t="str">
            <v>C62SMT E</v>
          </cell>
          <cell r="B1035" t="str">
            <v>VYPRODÁNO</v>
          </cell>
          <cell r="D1035">
            <v>0</v>
          </cell>
        </row>
        <row r="1036">
          <cell r="A1036" t="str">
            <v>C63MM</v>
          </cell>
          <cell r="B1036" t="str">
            <v>SKLADEM</v>
          </cell>
          <cell r="D1036">
            <v>0</v>
          </cell>
        </row>
        <row r="1037">
          <cell r="A1037" t="str">
            <v>C63MP</v>
          </cell>
          <cell r="B1037" t="str">
            <v>VYPRODÁNO</v>
          </cell>
          <cell r="D1037">
            <v>0</v>
          </cell>
        </row>
        <row r="1038">
          <cell r="A1038" t="str">
            <v>C63MP E</v>
          </cell>
          <cell r="B1038" t="str">
            <v>VYPRODÁNO</v>
          </cell>
          <cell r="D1038">
            <v>0</v>
          </cell>
        </row>
        <row r="1039">
          <cell r="A1039" t="str">
            <v>C63MR</v>
          </cell>
          <cell r="B1039" t="str">
            <v>VYPRODÁNO</v>
          </cell>
          <cell r="D1039">
            <v>0</v>
          </cell>
        </row>
        <row r="1040">
          <cell r="A1040" t="str">
            <v>C6420B</v>
          </cell>
          <cell r="B1040" t="str">
            <v>SKLADEM</v>
          </cell>
          <cell r="D1040">
            <v>0</v>
          </cell>
        </row>
        <row r="1041">
          <cell r="A1041" t="str">
            <v>C6420B E</v>
          </cell>
          <cell r="B1041" t="str">
            <v>VYPRODÁNO</v>
          </cell>
          <cell r="D1041">
            <v>0</v>
          </cell>
        </row>
        <row r="1042">
          <cell r="A1042" t="str">
            <v>C6420B14</v>
          </cell>
          <cell r="B1042" t="str">
            <v>VYPRODÁNO</v>
          </cell>
          <cell r="D1042">
            <v>0</v>
          </cell>
        </row>
        <row r="1043">
          <cell r="A1043" t="str">
            <v>C6420B14 E</v>
          </cell>
          <cell r="B1043" t="str">
            <v>VYPRODÁNO</v>
          </cell>
          <cell r="D1043">
            <v>0</v>
          </cell>
        </row>
        <row r="1044">
          <cell r="A1044" t="str">
            <v>C6420BPW</v>
          </cell>
          <cell r="B1044" t="str">
            <v>SKLADEM</v>
          </cell>
          <cell r="D1044" t="str">
            <v>100+</v>
          </cell>
        </row>
        <row r="1045">
          <cell r="A1045" t="str">
            <v>C6420D</v>
          </cell>
          <cell r="B1045" t="str">
            <v>SKLADEM</v>
          </cell>
          <cell r="D1045">
            <v>0</v>
          </cell>
        </row>
        <row r="1046">
          <cell r="A1046" t="str">
            <v>C6420D14</v>
          </cell>
          <cell r="B1046" t="str">
            <v>SKLADEM</v>
          </cell>
          <cell r="D1046">
            <v>0</v>
          </cell>
        </row>
        <row r="1047">
          <cell r="A1047" t="str">
            <v>C6420D14 E</v>
          </cell>
          <cell r="B1047" t="str">
            <v>VYPRODÁNO</v>
          </cell>
          <cell r="D1047">
            <v>0</v>
          </cell>
        </row>
        <row r="1048">
          <cell r="A1048" t="str">
            <v>C6420DU/C</v>
          </cell>
          <cell r="B1048" t="str">
            <v>SKLADEM</v>
          </cell>
          <cell r="D1048">
            <v>0</v>
          </cell>
        </row>
        <row r="1049">
          <cell r="A1049" t="str">
            <v>C6420DU/IC14</v>
          </cell>
          <cell r="B1049" t="str">
            <v>VYPRODÁNO</v>
          </cell>
          <cell r="D1049">
            <v>0</v>
          </cell>
        </row>
        <row r="1050">
          <cell r="A1050" t="str">
            <v>C6420DU/IC14(1)</v>
          </cell>
          <cell r="B1050" t="str">
            <v>VYPRODÁNO</v>
          </cell>
          <cell r="D1050">
            <v>0</v>
          </cell>
        </row>
        <row r="1051">
          <cell r="A1051" t="str">
            <v>C6420G</v>
          </cell>
          <cell r="B1051" t="str">
            <v>SKLADEM</v>
          </cell>
          <cell r="D1051">
            <v>0</v>
          </cell>
        </row>
        <row r="1052">
          <cell r="A1052" t="str">
            <v>C6420G E</v>
          </cell>
          <cell r="B1052" t="str">
            <v>VYPRODÁNO</v>
          </cell>
          <cell r="D1052">
            <v>0</v>
          </cell>
        </row>
        <row r="1053">
          <cell r="A1053" t="str">
            <v>C6420G14</v>
          </cell>
          <cell r="B1053" t="str">
            <v>VYPRODÁNO</v>
          </cell>
          <cell r="D1053">
            <v>0</v>
          </cell>
        </row>
        <row r="1054">
          <cell r="A1054" t="str">
            <v>C6420G14 E</v>
          </cell>
          <cell r="B1054" t="str">
            <v>VYPRODÁNO</v>
          </cell>
          <cell r="D1054">
            <v>0</v>
          </cell>
        </row>
        <row r="1055">
          <cell r="A1055" t="str">
            <v>C6420H</v>
          </cell>
          <cell r="B1055" t="str">
            <v>VYPRODÁNO</v>
          </cell>
          <cell r="D1055">
            <v>0</v>
          </cell>
        </row>
        <row r="1056">
          <cell r="A1056" t="str">
            <v>C6420H14</v>
          </cell>
          <cell r="B1056" t="str">
            <v>VYPRODÁNO</v>
          </cell>
          <cell r="D1056">
            <v>0</v>
          </cell>
        </row>
        <row r="1057">
          <cell r="A1057" t="str">
            <v>C6420H14 E</v>
          </cell>
          <cell r="B1057" t="str">
            <v>VYPRODÁNO</v>
          </cell>
          <cell r="D1057">
            <v>0</v>
          </cell>
        </row>
        <row r="1058">
          <cell r="A1058" t="str">
            <v>C6420HE</v>
          </cell>
          <cell r="B1058" t="str">
            <v>VYPRODÁNO</v>
          </cell>
          <cell r="D1058">
            <v>0</v>
          </cell>
        </row>
        <row r="1059">
          <cell r="A1059" t="str">
            <v>C6420HE14</v>
          </cell>
          <cell r="B1059" t="str">
            <v>VYPRODÁNO</v>
          </cell>
          <cell r="D1059">
            <v>0</v>
          </cell>
        </row>
        <row r="1060">
          <cell r="A1060" t="str">
            <v>C6420HE14 E</v>
          </cell>
          <cell r="B1060" t="str">
            <v>VYPRODÁNO</v>
          </cell>
          <cell r="D1060">
            <v>0</v>
          </cell>
        </row>
        <row r="1061">
          <cell r="A1061" t="str">
            <v>C6425XPT</v>
          </cell>
          <cell r="B1061" t="str">
            <v>SKLADEM</v>
          </cell>
          <cell r="D1061">
            <v>0</v>
          </cell>
        </row>
        <row r="1062">
          <cell r="A1062" t="str">
            <v>C6438P</v>
          </cell>
          <cell r="B1062" t="str">
            <v>VYPRODÁNO</v>
          </cell>
          <cell r="D1062">
            <v>0</v>
          </cell>
        </row>
        <row r="1063">
          <cell r="A1063" t="str">
            <v>C643A</v>
          </cell>
          <cell r="B1063" t="str">
            <v>VYPRODÁNO</v>
          </cell>
          <cell r="D1063">
            <v>0</v>
          </cell>
        </row>
        <row r="1064">
          <cell r="A1064" t="str">
            <v>C643B</v>
          </cell>
          <cell r="B1064" t="str">
            <v>VYPRODÁNO</v>
          </cell>
          <cell r="D1064">
            <v>0</v>
          </cell>
        </row>
        <row r="1065">
          <cell r="A1065" t="str">
            <v>C643B E</v>
          </cell>
          <cell r="B1065" t="str">
            <v>VYPRODÁNO</v>
          </cell>
          <cell r="D1065">
            <v>0</v>
          </cell>
        </row>
        <row r="1066">
          <cell r="A1066" t="str">
            <v>C643BI</v>
          </cell>
          <cell r="B1066" t="str">
            <v>SKLADEM</v>
          </cell>
          <cell r="D1066">
            <v>0</v>
          </cell>
        </row>
        <row r="1067">
          <cell r="A1067" t="str">
            <v>C643BI E</v>
          </cell>
          <cell r="B1067" t="str">
            <v>VYPRODÁNO</v>
          </cell>
          <cell r="D1067">
            <v>0</v>
          </cell>
        </row>
        <row r="1068">
          <cell r="A1068" t="str">
            <v>C643BI14</v>
          </cell>
          <cell r="B1068" t="str">
            <v>VYPRODÁNO</v>
          </cell>
          <cell r="D1068">
            <v>0</v>
          </cell>
        </row>
        <row r="1069">
          <cell r="A1069" t="str">
            <v>C643BPF</v>
          </cell>
          <cell r="B1069" t="str">
            <v>VYPRODÁNO</v>
          </cell>
          <cell r="D1069">
            <v>0</v>
          </cell>
        </row>
        <row r="1070">
          <cell r="A1070" t="str">
            <v>C643C</v>
          </cell>
          <cell r="B1070" t="str">
            <v>VYPRODÁNO</v>
          </cell>
          <cell r="D1070">
            <v>0</v>
          </cell>
        </row>
        <row r="1071">
          <cell r="A1071" t="str">
            <v>C643C E</v>
          </cell>
          <cell r="B1071" t="str">
            <v>VYPRODÁNO</v>
          </cell>
          <cell r="D1071">
            <v>0</v>
          </cell>
        </row>
        <row r="1072">
          <cell r="A1072" t="str">
            <v>C643C/P</v>
          </cell>
          <cell r="B1072" t="str">
            <v>VYPRODÁNO</v>
          </cell>
          <cell r="D1072">
            <v>0</v>
          </cell>
        </row>
        <row r="1073">
          <cell r="A1073" t="str">
            <v>C643D</v>
          </cell>
          <cell r="B1073" t="str">
            <v>VYPRODÁNO</v>
          </cell>
          <cell r="D1073">
            <v>0</v>
          </cell>
        </row>
        <row r="1074">
          <cell r="A1074" t="str">
            <v>C643D E</v>
          </cell>
          <cell r="B1074" t="str">
            <v>VYPRODÁNO</v>
          </cell>
          <cell r="D1074">
            <v>0</v>
          </cell>
        </row>
        <row r="1075">
          <cell r="A1075" t="str">
            <v>C643E</v>
          </cell>
          <cell r="B1075" t="str">
            <v>VYPRODÁNO</v>
          </cell>
          <cell r="D1075">
            <v>0</v>
          </cell>
        </row>
        <row r="1076">
          <cell r="A1076" t="str">
            <v>C643E E</v>
          </cell>
          <cell r="B1076" t="str">
            <v>VYPRODÁNO</v>
          </cell>
          <cell r="D1076">
            <v>0</v>
          </cell>
        </row>
        <row r="1077">
          <cell r="A1077" t="str">
            <v>C643H</v>
          </cell>
          <cell r="B1077" t="str">
            <v>SKLADEM</v>
          </cell>
          <cell r="D1077">
            <v>0</v>
          </cell>
        </row>
        <row r="1078">
          <cell r="A1078" t="str">
            <v>C643M</v>
          </cell>
          <cell r="B1078" t="str">
            <v>VYPRODÁNO</v>
          </cell>
          <cell r="D1078">
            <v>0</v>
          </cell>
        </row>
        <row r="1079">
          <cell r="A1079" t="str">
            <v>C643MCOMA</v>
          </cell>
          <cell r="B1079" t="str">
            <v>VYPRODÁNO</v>
          </cell>
          <cell r="D1079">
            <v>0</v>
          </cell>
        </row>
        <row r="1080">
          <cell r="A1080" t="str">
            <v>C643MN</v>
          </cell>
          <cell r="B1080" t="str">
            <v>VYPRODÁNO</v>
          </cell>
          <cell r="D1080">
            <v>0</v>
          </cell>
        </row>
        <row r="1081">
          <cell r="A1081" t="str">
            <v>C643MN E</v>
          </cell>
          <cell r="B1081" t="str">
            <v>VYPRODÁNO</v>
          </cell>
          <cell r="D1081">
            <v>0</v>
          </cell>
        </row>
        <row r="1082">
          <cell r="A1082" t="str">
            <v>C643MZ1</v>
          </cell>
          <cell r="B1082" t="str">
            <v>VYPRODÁNO</v>
          </cell>
          <cell r="D1082">
            <v>0</v>
          </cell>
        </row>
        <row r="1083">
          <cell r="A1083" t="str">
            <v>C643MZ2</v>
          </cell>
          <cell r="B1083" t="str">
            <v>VYPRODÁNO</v>
          </cell>
          <cell r="D1083">
            <v>0</v>
          </cell>
        </row>
        <row r="1084">
          <cell r="A1084" t="str">
            <v>C643MZ3</v>
          </cell>
          <cell r="B1084" t="str">
            <v>VYPRODÁNO</v>
          </cell>
          <cell r="D1084">
            <v>0</v>
          </cell>
        </row>
        <row r="1085">
          <cell r="A1085" t="str">
            <v>C643MZ4</v>
          </cell>
          <cell r="B1085" t="str">
            <v>VYPRODÁNO</v>
          </cell>
          <cell r="D1085">
            <v>0</v>
          </cell>
        </row>
        <row r="1086">
          <cell r="A1086" t="str">
            <v>C643XMCOMA</v>
          </cell>
          <cell r="B1086" t="str">
            <v>VYPRODÁNO</v>
          </cell>
          <cell r="D1086">
            <v>0</v>
          </cell>
        </row>
        <row r="1087">
          <cell r="A1087" t="str">
            <v>C643XMCOMB</v>
          </cell>
          <cell r="B1087" t="str">
            <v>VYPRODÁNO</v>
          </cell>
          <cell r="D1087">
            <v>0</v>
          </cell>
        </row>
        <row r="1088">
          <cell r="A1088" t="str">
            <v>C643XMO</v>
          </cell>
          <cell r="B1088" t="str">
            <v>SKLADEM</v>
          </cell>
          <cell r="D1088">
            <v>0</v>
          </cell>
        </row>
        <row r="1089">
          <cell r="A1089" t="str">
            <v>C643XMO E</v>
          </cell>
          <cell r="B1089" t="str">
            <v>VYPRODÁNO</v>
          </cell>
          <cell r="D1089">
            <v>0</v>
          </cell>
        </row>
        <row r="1090">
          <cell r="A1090" t="str">
            <v>C643XMS</v>
          </cell>
          <cell r="B1090" t="str">
            <v>DOCHÁZÍ</v>
          </cell>
          <cell r="D1090">
            <v>0</v>
          </cell>
          <cell r="E1090">
            <v>20</v>
          </cell>
        </row>
        <row r="1091">
          <cell r="A1091" t="str">
            <v>C643XMS E</v>
          </cell>
          <cell r="B1091" t="str">
            <v>VYPRODÁNO</v>
          </cell>
          <cell r="D1091">
            <v>0</v>
          </cell>
        </row>
        <row r="1092">
          <cell r="A1092" t="str">
            <v>C643XMZ5</v>
          </cell>
          <cell r="B1092" t="str">
            <v>VYPRODÁNO</v>
          </cell>
          <cell r="D1092">
            <v>0</v>
          </cell>
        </row>
        <row r="1093">
          <cell r="A1093" t="str">
            <v>C643XMZ6</v>
          </cell>
          <cell r="B1093" t="str">
            <v>VYPRODÁNO</v>
          </cell>
          <cell r="D1093">
            <v>0</v>
          </cell>
        </row>
        <row r="1094">
          <cell r="A1094" t="str">
            <v>C643XMZ7</v>
          </cell>
          <cell r="B1094" t="str">
            <v>VYPRODÁNO</v>
          </cell>
          <cell r="D1094">
            <v>0</v>
          </cell>
        </row>
        <row r="1095">
          <cell r="A1095" t="str">
            <v>C643Z</v>
          </cell>
          <cell r="B1095" t="str">
            <v>VYPRODÁNO</v>
          </cell>
          <cell r="D1095">
            <v>0</v>
          </cell>
        </row>
        <row r="1096">
          <cell r="A1096" t="str">
            <v>C643ZO</v>
          </cell>
          <cell r="B1096" t="str">
            <v>VYPRODÁNO</v>
          </cell>
          <cell r="D1096">
            <v>0</v>
          </cell>
        </row>
        <row r="1097">
          <cell r="A1097" t="str">
            <v>C64MNID14</v>
          </cell>
          <cell r="B1097" t="str">
            <v>VYPRODÁNO</v>
          </cell>
          <cell r="D1097">
            <v>0</v>
          </cell>
        </row>
        <row r="1098">
          <cell r="A1098" t="str">
            <v>C64MP</v>
          </cell>
          <cell r="B1098" t="str">
            <v>SKLADEM</v>
          </cell>
          <cell r="D1098">
            <v>0</v>
          </cell>
        </row>
        <row r="1099">
          <cell r="A1099" t="str">
            <v>C64MP E</v>
          </cell>
          <cell r="B1099" t="str">
            <v>VYPRODÁNO</v>
          </cell>
          <cell r="D1099">
            <v>0</v>
          </cell>
        </row>
        <row r="1100">
          <cell r="A1100" t="str">
            <v>C64MP14</v>
          </cell>
          <cell r="B1100" t="str">
            <v>VYPRODÁNO</v>
          </cell>
          <cell r="D1100">
            <v>0</v>
          </cell>
        </row>
        <row r="1101">
          <cell r="A1101" t="str">
            <v>C64MPR</v>
          </cell>
          <cell r="B1101" t="str">
            <v>VYPRODÁNO</v>
          </cell>
          <cell r="D1101">
            <v>0</v>
          </cell>
        </row>
        <row r="1102">
          <cell r="A1102" t="str">
            <v>C64MSIG</v>
          </cell>
          <cell r="B1102" t="str">
            <v>VYPRODÁNO</v>
          </cell>
          <cell r="D1102">
            <v>0</v>
          </cell>
        </row>
        <row r="1103">
          <cell r="A1103" t="str">
            <v>C64MSIG E</v>
          </cell>
          <cell r="B1103" t="str">
            <v>VYPRODÁNO</v>
          </cell>
          <cell r="D1103">
            <v>0</v>
          </cell>
        </row>
        <row r="1104">
          <cell r="A1104" t="str">
            <v>C64MT</v>
          </cell>
          <cell r="B1104" t="str">
            <v>SKLADEM</v>
          </cell>
          <cell r="D1104">
            <v>0</v>
          </cell>
        </row>
        <row r="1105">
          <cell r="A1105" t="str">
            <v>C64MT E</v>
          </cell>
          <cell r="B1105" t="str">
            <v>VYPRODÁNO</v>
          </cell>
          <cell r="D1105">
            <v>0</v>
          </cell>
        </row>
        <row r="1106">
          <cell r="A1106" t="str">
            <v>C64MT14</v>
          </cell>
          <cell r="B1106" t="str">
            <v>VYPRODÁNO</v>
          </cell>
          <cell r="D1106">
            <v>0</v>
          </cell>
        </row>
        <row r="1107">
          <cell r="A1107" t="str">
            <v>C64MTE</v>
          </cell>
          <cell r="B1107" t="str">
            <v>VYPRODÁNO</v>
          </cell>
          <cell r="D1107">
            <v>0</v>
          </cell>
        </row>
        <row r="1108">
          <cell r="A1108" t="str">
            <v>C64MXXA</v>
          </cell>
          <cell r="B1108" t="str">
            <v>VYPRODÁNO</v>
          </cell>
          <cell r="D1108">
            <v>0</v>
          </cell>
        </row>
        <row r="1109">
          <cell r="A1109" t="str">
            <v>C64MXXB</v>
          </cell>
          <cell r="B1109" t="str">
            <v>VYPRODÁNO</v>
          </cell>
          <cell r="D1109">
            <v>0</v>
          </cell>
        </row>
        <row r="1110">
          <cell r="A1110" t="str">
            <v>C6620L</v>
          </cell>
          <cell r="B1110" t="str">
            <v>SKLADEM</v>
          </cell>
          <cell r="D1110">
            <v>0</v>
          </cell>
        </row>
        <row r="1111">
          <cell r="A1111" t="str">
            <v>C6620L E</v>
          </cell>
          <cell r="B1111" t="str">
            <v>VYPRODÁNO</v>
          </cell>
          <cell r="D1111">
            <v>0</v>
          </cell>
        </row>
        <row r="1112">
          <cell r="A1112" t="str">
            <v>C6620L14</v>
          </cell>
          <cell r="B1112" t="str">
            <v>VYPRODÁNO</v>
          </cell>
          <cell r="D1112">
            <v>0</v>
          </cell>
        </row>
        <row r="1113">
          <cell r="A1113" t="str">
            <v>C6620P</v>
          </cell>
          <cell r="B1113" t="str">
            <v>31.08.2026</v>
          </cell>
          <cell r="C1113">
            <v>158</v>
          </cell>
          <cell r="D1113">
            <v>0</v>
          </cell>
        </row>
        <row r="1114">
          <cell r="A1114" t="str">
            <v>C6620P E</v>
          </cell>
          <cell r="B1114" t="str">
            <v>VYPRODÁNO</v>
          </cell>
          <cell r="D1114">
            <v>0</v>
          </cell>
        </row>
        <row r="1115">
          <cell r="A1115" t="str">
            <v>C6620P14</v>
          </cell>
          <cell r="B1115" t="str">
            <v>SKLADEM</v>
          </cell>
          <cell r="D1115">
            <v>0</v>
          </cell>
        </row>
        <row r="1116">
          <cell r="A1116" t="str">
            <v>C6620S14</v>
          </cell>
          <cell r="B1116" t="str">
            <v>VYPRODÁNO</v>
          </cell>
          <cell r="D1116">
            <v>0</v>
          </cell>
        </row>
        <row r="1117">
          <cell r="A1117" t="str">
            <v>C6620SIG</v>
          </cell>
          <cell r="B1117" t="str">
            <v>VYPRODÁNO</v>
          </cell>
          <cell r="D1117">
            <v>0</v>
          </cell>
        </row>
        <row r="1118">
          <cell r="A1118" t="str">
            <v>C6620SIGI14</v>
          </cell>
          <cell r="B1118" t="str">
            <v>VYPRODÁNO</v>
          </cell>
          <cell r="D1118">
            <v>0</v>
          </cell>
        </row>
        <row r="1119">
          <cell r="A1119" t="str">
            <v>C6620XXA</v>
          </cell>
          <cell r="B1119" t="str">
            <v>VYPRODÁNO</v>
          </cell>
          <cell r="D1119">
            <v>0</v>
          </cell>
        </row>
        <row r="1120">
          <cell r="A1120" t="str">
            <v>C6620XXA14</v>
          </cell>
          <cell r="B1120" t="str">
            <v>VYPRODÁNO</v>
          </cell>
          <cell r="D1120">
            <v>0</v>
          </cell>
        </row>
        <row r="1121">
          <cell r="A1121" t="str">
            <v>C6620XXB</v>
          </cell>
          <cell r="B1121" t="str">
            <v>VYPRODÁNO</v>
          </cell>
          <cell r="D1121">
            <v>0</v>
          </cell>
        </row>
        <row r="1122">
          <cell r="A1122" t="str">
            <v>C6620XXB14</v>
          </cell>
          <cell r="B1122" t="str">
            <v>VYPRODÁNO</v>
          </cell>
          <cell r="D1122">
            <v>0</v>
          </cell>
        </row>
        <row r="1123">
          <cell r="A1123" t="str">
            <v>C6625XXA</v>
          </cell>
          <cell r="B1123" t="str">
            <v>VYPRODÁNO</v>
          </cell>
          <cell r="D1123">
            <v>0</v>
          </cell>
        </row>
        <row r="1124">
          <cell r="A1124" t="str">
            <v>C66SMMA</v>
          </cell>
          <cell r="B1124" t="str">
            <v>VYPRODÁNO</v>
          </cell>
          <cell r="D1124">
            <v>0</v>
          </cell>
        </row>
        <row r="1125">
          <cell r="A1125" t="str">
            <v>C66SMMA E</v>
          </cell>
          <cell r="B1125" t="str">
            <v>VYPRODÁNO</v>
          </cell>
          <cell r="D1125">
            <v>0</v>
          </cell>
        </row>
        <row r="1126">
          <cell r="A1126" t="str">
            <v>C66SMMO</v>
          </cell>
          <cell r="B1126" t="str">
            <v>SKLADEM</v>
          </cell>
          <cell r="D1126">
            <v>0</v>
          </cell>
        </row>
        <row r="1127">
          <cell r="A1127" t="str">
            <v>C66SMMO E</v>
          </cell>
          <cell r="B1127" t="str">
            <v>VYPRODÁNO</v>
          </cell>
          <cell r="D1127">
            <v>0</v>
          </cell>
        </row>
        <row r="1128">
          <cell r="A1128" t="str">
            <v>C68XMCS</v>
          </cell>
          <cell r="B1128" t="str">
            <v>VYPRODÁNO</v>
          </cell>
          <cell r="D1128">
            <v>0</v>
          </cell>
        </row>
        <row r="1129">
          <cell r="A1129" t="str">
            <v>C68XMCS14</v>
          </cell>
          <cell r="B1129" t="str">
            <v>VYPRODÁNO</v>
          </cell>
          <cell r="D1129">
            <v>0</v>
          </cell>
        </row>
        <row r="1130">
          <cell r="A1130" t="str">
            <v>C68XMPT</v>
          </cell>
          <cell r="B1130" t="str">
            <v>DOCHÁZÍ</v>
          </cell>
          <cell r="D1130">
            <v>99</v>
          </cell>
          <cell r="E1130">
            <v>38</v>
          </cell>
        </row>
        <row r="1131">
          <cell r="A1131" t="str">
            <v>C68XMPT14</v>
          </cell>
          <cell r="B1131" t="str">
            <v>SKLADEM</v>
          </cell>
          <cell r="D1131">
            <v>0</v>
          </cell>
        </row>
        <row r="1132">
          <cell r="A1132" t="str">
            <v>C68XMPT14 E</v>
          </cell>
          <cell r="B1132" t="str">
            <v>VYPRODÁNO</v>
          </cell>
          <cell r="D1132">
            <v>0</v>
          </cell>
        </row>
        <row r="1133">
          <cell r="A1133" t="str">
            <v>C69MXXA</v>
          </cell>
          <cell r="B1133" t="str">
            <v>VYPRODÁNO</v>
          </cell>
          <cell r="D1133">
            <v>0</v>
          </cell>
        </row>
        <row r="1134">
          <cell r="A1134" t="str">
            <v>C755R</v>
          </cell>
          <cell r="B1134" t="str">
            <v>VYPRODÁNO</v>
          </cell>
          <cell r="D1134">
            <v>0</v>
          </cell>
        </row>
        <row r="1135">
          <cell r="A1135" t="str">
            <v>C755R/C</v>
          </cell>
          <cell r="B1135" t="str">
            <v>SKLADEM</v>
          </cell>
          <cell r="D1135">
            <v>0</v>
          </cell>
        </row>
        <row r="1136">
          <cell r="A1136" t="str">
            <v>C755R/C(T)</v>
          </cell>
          <cell r="B1136" t="str">
            <v>SKLADEM</v>
          </cell>
          <cell r="D1136">
            <v>0</v>
          </cell>
        </row>
        <row r="1137">
          <cell r="A1137" t="str">
            <v>C755Z</v>
          </cell>
          <cell r="B1137" t="str">
            <v>VYPRODÁNO</v>
          </cell>
          <cell r="D1137">
            <v>0</v>
          </cell>
        </row>
        <row r="1138">
          <cell r="A1138" t="str">
            <v>C75MXXA</v>
          </cell>
          <cell r="B1138" t="str">
            <v>VYPRODÁNO</v>
          </cell>
          <cell r="D1138">
            <v>0</v>
          </cell>
        </row>
        <row r="1139">
          <cell r="A1139" t="str">
            <v>C78FMK</v>
          </cell>
          <cell r="B1139" t="str">
            <v>VYPRODÁNO</v>
          </cell>
          <cell r="D1139">
            <v>0</v>
          </cell>
        </row>
        <row r="1140">
          <cell r="A1140" t="str">
            <v>C78FMP</v>
          </cell>
          <cell r="B1140" t="str">
            <v>VYPRODÁNO</v>
          </cell>
          <cell r="D1140">
            <v>0</v>
          </cell>
        </row>
        <row r="1141">
          <cell r="A1141" t="str">
            <v>C78FMT</v>
          </cell>
          <cell r="B1141" t="str">
            <v>VYPRODÁNO</v>
          </cell>
          <cell r="D1141">
            <v>0</v>
          </cell>
        </row>
        <row r="1142">
          <cell r="A1142" t="str">
            <v>C78MXXA</v>
          </cell>
          <cell r="B1142" t="str">
            <v>VYPRODÁNO</v>
          </cell>
          <cell r="D1142">
            <v>0</v>
          </cell>
        </row>
        <row r="1143">
          <cell r="A1143" t="str">
            <v>C80020XPR/C</v>
          </cell>
          <cell r="B1143" t="str">
            <v>VYPRODÁNO</v>
          </cell>
          <cell r="D1143">
            <v>0</v>
          </cell>
        </row>
        <row r="1144">
          <cell r="A1144" t="str">
            <v>C80020XPR/C(T)</v>
          </cell>
          <cell r="B1144" t="str">
            <v>VYPRODÁNO</v>
          </cell>
          <cell r="D1144">
            <v>0</v>
          </cell>
        </row>
        <row r="1145">
          <cell r="A1145" t="str">
            <v>C84M12E/C</v>
          </cell>
          <cell r="B1145" t="str">
            <v>VYPRODÁNO</v>
          </cell>
          <cell r="D1145">
            <v>0</v>
          </cell>
        </row>
        <row r="1146">
          <cell r="A1146" t="str">
            <v>C84M12E/C(T)</v>
          </cell>
          <cell r="B1146" t="str">
            <v>VYPRODÁNO</v>
          </cell>
          <cell r="D1146">
            <v>0</v>
          </cell>
        </row>
        <row r="1147">
          <cell r="A1147" t="str">
            <v>C84M12F/C</v>
          </cell>
          <cell r="B1147" t="str">
            <v>SKLADEM</v>
          </cell>
          <cell r="D1147">
            <v>0</v>
          </cell>
        </row>
        <row r="1148">
          <cell r="A1148" t="str">
            <v>C84M12F/C(T)</v>
          </cell>
          <cell r="B1148" t="str">
            <v>SKLADEM</v>
          </cell>
          <cell r="D1148">
            <v>0</v>
          </cell>
        </row>
        <row r="1149">
          <cell r="A1149" t="str">
            <v>C84M12S/C</v>
          </cell>
          <cell r="B1149" t="str">
            <v>VYPRODÁNO</v>
          </cell>
          <cell r="D1149">
            <v>0</v>
          </cell>
        </row>
        <row r="1150">
          <cell r="A1150" t="str">
            <v>C84M12S/C(T)</v>
          </cell>
          <cell r="B1150" t="str">
            <v>VYPRODÁNO</v>
          </cell>
          <cell r="D1150">
            <v>0</v>
          </cell>
        </row>
        <row r="1151">
          <cell r="A1151" t="str">
            <v>C84MA</v>
          </cell>
          <cell r="B1151" t="str">
            <v>VYPRODÁNO</v>
          </cell>
          <cell r="D1151">
            <v>0</v>
          </cell>
        </row>
        <row r="1152">
          <cell r="A1152" t="str">
            <v>C84MA/K</v>
          </cell>
          <cell r="B1152" t="str">
            <v>VYPRODÁNO</v>
          </cell>
          <cell r="D1152">
            <v>0</v>
          </cell>
        </row>
        <row r="1153">
          <cell r="A1153" t="str">
            <v>C84MC</v>
          </cell>
          <cell r="B1153" t="str">
            <v>VYPRODÁNO</v>
          </cell>
          <cell r="D1153">
            <v>0</v>
          </cell>
        </row>
        <row r="1154">
          <cell r="A1154" t="str">
            <v>C84MC/C</v>
          </cell>
          <cell r="B1154" t="str">
            <v>DOCHÁZÍ</v>
          </cell>
          <cell r="D1154">
            <v>0</v>
          </cell>
          <cell r="E1154">
            <v>17</v>
          </cell>
        </row>
        <row r="1155">
          <cell r="A1155" t="str">
            <v>C84MC/C(T)</v>
          </cell>
          <cell r="B1155" t="str">
            <v>DOCHÁZÍ</v>
          </cell>
          <cell r="D1155">
            <v>0</v>
          </cell>
          <cell r="E1155">
            <v>17</v>
          </cell>
        </row>
        <row r="1156">
          <cell r="A1156" t="str">
            <v>C84MD</v>
          </cell>
          <cell r="B1156" t="str">
            <v>VYPRODÁNO</v>
          </cell>
          <cell r="D1156">
            <v>0</v>
          </cell>
        </row>
        <row r="1157">
          <cell r="A1157" t="str">
            <v>C84ME</v>
          </cell>
          <cell r="B1157" t="str">
            <v>VYPRODÁNO</v>
          </cell>
          <cell r="D1157">
            <v>0</v>
          </cell>
        </row>
        <row r="1158">
          <cell r="A1158" t="str">
            <v>C84MF/C</v>
          </cell>
          <cell r="B1158" t="str">
            <v>VYPRODÁNO</v>
          </cell>
          <cell r="D1158">
            <v>0</v>
          </cell>
        </row>
        <row r="1159">
          <cell r="A1159" t="str">
            <v>C84MS</v>
          </cell>
          <cell r="B1159" t="str">
            <v>VYPRODÁNO</v>
          </cell>
          <cell r="D1159">
            <v>0</v>
          </cell>
        </row>
        <row r="1160">
          <cell r="A1160" t="str">
            <v>C84MZ</v>
          </cell>
          <cell r="B1160" t="str">
            <v>VYPRODÁNO</v>
          </cell>
          <cell r="D1160">
            <v>0</v>
          </cell>
        </row>
        <row r="1161">
          <cell r="A1161" t="str">
            <v>C8825BR</v>
          </cell>
          <cell r="B1161" t="str">
            <v>VYPRODÁNO</v>
          </cell>
          <cell r="D1161">
            <v>0</v>
          </cell>
        </row>
        <row r="1162">
          <cell r="A1162" t="str">
            <v>C8825G</v>
          </cell>
          <cell r="B1162" t="str">
            <v>11.05.2026</v>
          </cell>
          <cell r="C1162">
            <v>46</v>
          </cell>
          <cell r="D1162" t="str">
            <v>100+</v>
          </cell>
        </row>
        <row r="1163">
          <cell r="A1163" t="str">
            <v>C8825G E</v>
          </cell>
          <cell r="B1163" t="str">
            <v>VYPRODÁNO</v>
          </cell>
          <cell r="D1163">
            <v>0</v>
          </cell>
        </row>
        <row r="1164">
          <cell r="A1164" t="str">
            <v>C8825M</v>
          </cell>
          <cell r="B1164" t="str">
            <v>VYPRODÁNO</v>
          </cell>
          <cell r="D1164">
            <v>0</v>
          </cell>
        </row>
        <row r="1165">
          <cell r="A1165" t="str">
            <v>C8825M E</v>
          </cell>
          <cell r="B1165" t="str">
            <v>VYPRODÁNO</v>
          </cell>
          <cell r="D1165">
            <v>0</v>
          </cell>
        </row>
        <row r="1166">
          <cell r="A1166" t="str">
            <v>C8825P</v>
          </cell>
          <cell r="B1166" t="str">
            <v>VYPRODÁNO</v>
          </cell>
          <cell r="D1166">
            <v>0</v>
          </cell>
        </row>
        <row r="1167">
          <cell r="A1167" t="str">
            <v>C8825PA</v>
          </cell>
          <cell r="B1167" t="str">
            <v>SKLADEM</v>
          </cell>
          <cell r="D1167">
            <v>0</v>
          </cell>
        </row>
        <row r="1168">
          <cell r="A1168" t="str">
            <v>C8825PA E</v>
          </cell>
          <cell r="B1168" t="str">
            <v>VYPRODÁNO</v>
          </cell>
          <cell r="D1168">
            <v>0</v>
          </cell>
        </row>
        <row r="1169">
          <cell r="A1169" t="str">
            <v>C8825VI</v>
          </cell>
          <cell r="B1169" t="str">
            <v>VYPRODÁNO</v>
          </cell>
          <cell r="D1169">
            <v>0</v>
          </cell>
        </row>
        <row r="1170">
          <cell r="A1170" t="str">
            <v>C8925B</v>
          </cell>
          <cell r="B1170" t="str">
            <v>VYPRODÁNO</v>
          </cell>
          <cell r="D1170">
            <v>0</v>
          </cell>
        </row>
        <row r="1171">
          <cell r="A1171" t="str">
            <v>C8925B E</v>
          </cell>
          <cell r="B1171" t="str">
            <v>VYPRODÁNO</v>
          </cell>
          <cell r="D1171">
            <v>0</v>
          </cell>
        </row>
        <row r="1172">
          <cell r="A1172" t="str">
            <v>C8925M</v>
          </cell>
          <cell r="B1172" t="str">
            <v>VYPRODÁNO</v>
          </cell>
          <cell r="D1172">
            <v>0</v>
          </cell>
        </row>
        <row r="1173">
          <cell r="A1173" t="str">
            <v>C8925M E</v>
          </cell>
          <cell r="B1173" t="str">
            <v>VYPRODÁNO</v>
          </cell>
          <cell r="D1173">
            <v>0</v>
          </cell>
        </row>
        <row r="1174">
          <cell r="A1174" t="str">
            <v>C8925N</v>
          </cell>
          <cell r="B1174" t="str">
            <v>VYPRODÁNO</v>
          </cell>
          <cell r="D1174">
            <v>0</v>
          </cell>
        </row>
        <row r="1175">
          <cell r="A1175" t="str">
            <v>C8925N E</v>
          </cell>
          <cell r="B1175" t="str">
            <v>VYPRODÁNO</v>
          </cell>
          <cell r="D1175">
            <v>0</v>
          </cell>
        </row>
        <row r="1176">
          <cell r="A1176" t="str">
            <v>C8925N14</v>
          </cell>
          <cell r="B1176" t="str">
            <v>VYPRODÁNO</v>
          </cell>
          <cell r="D1176">
            <v>0</v>
          </cell>
        </row>
        <row r="1177">
          <cell r="A1177" t="str">
            <v>C9020C</v>
          </cell>
          <cell r="B1177" t="str">
            <v>VYPRODÁNO</v>
          </cell>
          <cell r="D1177">
            <v>0</v>
          </cell>
        </row>
        <row r="1178">
          <cell r="A1178" t="str">
            <v>C9020C E</v>
          </cell>
          <cell r="B1178" t="str">
            <v>VYPRODÁNO</v>
          </cell>
          <cell r="D1178">
            <v>0</v>
          </cell>
        </row>
        <row r="1179">
          <cell r="A1179" t="str">
            <v>C9020SIG</v>
          </cell>
          <cell r="B1179" t="str">
            <v>DOCHÁZÍ</v>
          </cell>
          <cell r="D1179">
            <v>0</v>
          </cell>
          <cell r="E1179">
            <v>62</v>
          </cell>
        </row>
        <row r="1180">
          <cell r="A1180" t="str">
            <v>C9020SIG E</v>
          </cell>
          <cell r="B1180" t="str">
            <v>VYPRODÁNO</v>
          </cell>
          <cell r="D1180">
            <v>0</v>
          </cell>
        </row>
        <row r="1181">
          <cell r="A1181" t="str">
            <v>C9020SIG14</v>
          </cell>
          <cell r="B1181" t="str">
            <v>VYPRODÁNO</v>
          </cell>
          <cell r="D1181">
            <v>0</v>
          </cell>
        </row>
        <row r="1182">
          <cell r="A1182" t="str">
            <v>C9020V</v>
          </cell>
          <cell r="B1182" t="str">
            <v>DOCHÁZÍ</v>
          </cell>
          <cell r="D1182">
            <v>0</v>
          </cell>
          <cell r="E1182">
            <v>85</v>
          </cell>
        </row>
        <row r="1183">
          <cell r="A1183" t="str">
            <v>C9020V E</v>
          </cell>
          <cell r="B1183" t="str">
            <v>VYPRODÁNO</v>
          </cell>
          <cell r="D1183">
            <v>0</v>
          </cell>
        </row>
        <row r="1184">
          <cell r="A1184" t="str">
            <v>C9020X</v>
          </cell>
          <cell r="B1184" t="str">
            <v>31.07.2026</v>
          </cell>
          <cell r="C1184">
            <v>127</v>
          </cell>
          <cell r="D1184">
            <v>0</v>
          </cell>
        </row>
        <row r="1185">
          <cell r="A1185" t="str">
            <v>C9020X E</v>
          </cell>
          <cell r="B1185" t="str">
            <v>VYPRODÁNO</v>
          </cell>
          <cell r="D1185">
            <v>0</v>
          </cell>
        </row>
        <row r="1186">
          <cell r="A1186" t="str">
            <v>C920H14</v>
          </cell>
          <cell r="B1186" t="str">
            <v>VYPRODÁNO</v>
          </cell>
          <cell r="D1186">
            <v>0</v>
          </cell>
        </row>
        <row r="1187">
          <cell r="A1187" t="str">
            <v>C920L</v>
          </cell>
          <cell r="B1187" t="str">
            <v>SKLADEM</v>
          </cell>
          <cell r="D1187" t="str">
            <v>100+</v>
          </cell>
        </row>
        <row r="1188">
          <cell r="A1188" t="str">
            <v>C920L14</v>
          </cell>
          <cell r="B1188" t="str">
            <v>VYPRODÁNO</v>
          </cell>
          <cell r="D1188">
            <v>0</v>
          </cell>
        </row>
        <row r="1189">
          <cell r="A1189" t="str">
            <v>C920M</v>
          </cell>
          <cell r="B1189" t="str">
            <v>SKLADEM</v>
          </cell>
          <cell r="D1189">
            <v>0</v>
          </cell>
        </row>
        <row r="1190">
          <cell r="A1190" t="str">
            <v>C920M14</v>
          </cell>
          <cell r="B1190" t="str">
            <v>VYPRODÁNO</v>
          </cell>
          <cell r="D1190">
            <v>0</v>
          </cell>
        </row>
        <row r="1191">
          <cell r="A1191" t="str">
            <v>C9625MF/C14</v>
          </cell>
          <cell r="B1191" t="str">
            <v>31.08.2026</v>
          </cell>
          <cell r="C1191">
            <v>158</v>
          </cell>
          <cell r="D1191">
            <v>0</v>
          </cell>
        </row>
        <row r="1192">
          <cell r="A1192" t="str">
            <v>C9625MF/C14 E</v>
          </cell>
          <cell r="B1192" t="str">
            <v>VYPRODÁNO</v>
          </cell>
          <cell r="D1192">
            <v>0</v>
          </cell>
        </row>
        <row r="1193">
          <cell r="A1193" t="str">
            <v>C9625MF/C14(T)</v>
          </cell>
          <cell r="B1193" t="str">
            <v>31.08.2026</v>
          </cell>
          <cell r="C1193">
            <v>158</v>
          </cell>
          <cell r="D1193">
            <v>0</v>
          </cell>
        </row>
        <row r="1194">
          <cell r="A1194" t="str">
            <v>C96MB</v>
          </cell>
          <cell r="B1194" t="str">
            <v>SKLADEM</v>
          </cell>
          <cell r="D1194">
            <v>0</v>
          </cell>
        </row>
        <row r="1195">
          <cell r="A1195" t="str">
            <v>C9825C/C</v>
          </cell>
          <cell r="B1195" t="str">
            <v>SKLADEM</v>
          </cell>
          <cell r="D1195">
            <v>0</v>
          </cell>
        </row>
        <row r="1196">
          <cell r="A1196" t="str">
            <v>C9825C/C E</v>
          </cell>
          <cell r="B1196" t="str">
            <v>VYPRODÁNO</v>
          </cell>
          <cell r="D1196">
            <v>0</v>
          </cell>
        </row>
        <row r="1197">
          <cell r="A1197" t="str">
            <v>C9825C/C(T)</v>
          </cell>
          <cell r="B1197" t="str">
            <v>SKLADEM</v>
          </cell>
          <cell r="D1197">
            <v>0</v>
          </cell>
        </row>
        <row r="1198">
          <cell r="A1198" t="str">
            <v>C9825C/C14</v>
          </cell>
          <cell r="B1198" t="str">
            <v>SKLADEM</v>
          </cell>
          <cell r="D1198">
            <v>0</v>
          </cell>
        </row>
        <row r="1199">
          <cell r="A1199" t="str">
            <v>C9825C/C14 E</v>
          </cell>
          <cell r="B1199" t="str">
            <v>VYPRODÁNO</v>
          </cell>
          <cell r="D1199">
            <v>0</v>
          </cell>
        </row>
        <row r="1200">
          <cell r="A1200" t="str">
            <v>C9825C/C14(T)</v>
          </cell>
          <cell r="B1200" t="str">
            <v>SKLADEM</v>
          </cell>
          <cell r="D1200">
            <v>0</v>
          </cell>
        </row>
        <row r="1201">
          <cell r="A1201" t="str">
            <v>C9825DU/C</v>
          </cell>
          <cell r="B1201" t="str">
            <v>VYPRODÁNO</v>
          </cell>
          <cell r="D1201">
            <v>0</v>
          </cell>
        </row>
        <row r="1202">
          <cell r="A1202" t="str">
            <v>C9825DU/C E</v>
          </cell>
          <cell r="B1202" t="str">
            <v>VYPRODÁNO</v>
          </cell>
          <cell r="D1202">
            <v>0</v>
          </cell>
        </row>
        <row r="1203">
          <cell r="A1203" t="str">
            <v>C9825SIG/C</v>
          </cell>
          <cell r="B1203" t="str">
            <v>VYPRODÁNO</v>
          </cell>
          <cell r="D1203">
            <v>0</v>
          </cell>
        </row>
        <row r="1204">
          <cell r="A1204" t="str">
            <v>C9825SIG/C E</v>
          </cell>
          <cell r="B1204" t="str">
            <v>VYPRODÁNO</v>
          </cell>
          <cell r="D1204">
            <v>0</v>
          </cell>
        </row>
        <row r="1205">
          <cell r="A1205" t="str">
            <v>C9825SIG/C(T)</v>
          </cell>
          <cell r="B1205" t="str">
            <v>VYPRODÁNO</v>
          </cell>
          <cell r="D1205">
            <v>0</v>
          </cell>
        </row>
        <row r="1206">
          <cell r="A1206" t="str">
            <v>C9825SIG/C14</v>
          </cell>
          <cell r="B1206" t="str">
            <v>SKLADEM</v>
          </cell>
          <cell r="D1206" t="str">
            <v>100+</v>
          </cell>
        </row>
        <row r="1207">
          <cell r="A1207" t="str">
            <v>C9825SIG/C14(T)</v>
          </cell>
          <cell r="B1207" t="str">
            <v>SKLADEM</v>
          </cell>
          <cell r="D1207">
            <v>0</v>
          </cell>
        </row>
        <row r="1208">
          <cell r="A1208" t="str">
            <v>C98MXXA</v>
          </cell>
          <cell r="B1208" t="str">
            <v>VYPRODÁNO</v>
          </cell>
          <cell r="D1208">
            <v>0</v>
          </cell>
        </row>
        <row r="1209">
          <cell r="A1209" t="str">
            <v xml:space="preserve">Catalog </v>
          </cell>
          <cell r="B1209" t="str">
            <v>VYPRODÁNO</v>
          </cell>
          <cell r="D1209">
            <v>0</v>
          </cell>
        </row>
        <row r="1210">
          <cell r="A1210" t="str">
            <v>CD1</v>
          </cell>
          <cell r="B1210" t="str">
            <v>VYPRODÁNO</v>
          </cell>
          <cell r="D1210">
            <v>0</v>
          </cell>
        </row>
        <row r="1211">
          <cell r="A1211" t="str">
            <v>CDK1</v>
          </cell>
          <cell r="B1211" t="str">
            <v>31.08.2026</v>
          </cell>
          <cell r="C1211">
            <v>158</v>
          </cell>
          <cell r="D1211">
            <v>0</v>
          </cell>
        </row>
        <row r="1212">
          <cell r="A1212" t="str">
            <v>CDK1(1)</v>
          </cell>
          <cell r="B1212" t="str">
            <v>SKLADEM</v>
          </cell>
          <cell r="D1212">
            <v>0</v>
          </cell>
        </row>
        <row r="1213">
          <cell r="A1213" t="str">
            <v>CDLE1</v>
          </cell>
          <cell r="B1213" t="str">
            <v>SKLADEM</v>
          </cell>
          <cell r="D1213" t="str">
            <v>100+</v>
          </cell>
        </row>
        <row r="1214">
          <cell r="A1214" t="str">
            <v>CF10020G</v>
          </cell>
          <cell r="B1214" t="str">
            <v>VYPRODÁNO</v>
          </cell>
          <cell r="D1214">
            <v>0</v>
          </cell>
        </row>
        <row r="1215">
          <cell r="A1215" t="str">
            <v>CF10020G E</v>
          </cell>
          <cell r="B1215" t="str">
            <v>VYPRODÁNO</v>
          </cell>
          <cell r="D1215">
            <v>0</v>
          </cell>
        </row>
        <row r="1216">
          <cell r="A1216" t="str">
            <v>CF10020P</v>
          </cell>
          <cell r="B1216" t="str">
            <v>31.08.2026</v>
          </cell>
          <cell r="C1216">
            <v>158</v>
          </cell>
          <cell r="D1216">
            <v>0</v>
          </cell>
        </row>
        <row r="1217">
          <cell r="A1217" t="str">
            <v>CF10020P E</v>
          </cell>
          <cell r="B1217" t="str">
            <v>VYPRODÁNO</v>
          </cell>
          <cell r="D1217">
            <v>0</v>
          </cell>
        </row>
        <row r="1218">
          <cell r="A1218" t="str">
            <v>CF1003E</v>
          </cell>
          <cell r="B1218" t="str">
            <v>VYPRODÁNO</v>
          </cell>
          <cell r="D1218">
            <v>0</v>
          </cell>
        </row>
        <row r="1219">
          <cell r="A1219" t="str">
            <v>CF1003L</v>
          </cell>
          <cell r="B1219" t="str">
            <v>VYPRODÁNO</v>
          </cell>
          <cell r="D1219">
            <v>0</v>
          </cell>
        </row>
        <row r="1220">
          <cell r="A1220" t="str">
            <v>CF1003P/C</v>
          </cell>
          <cell r="B1220" t="str">
            <v>VYPRODÁNO</v>
          </cell>
          <cell r="D1220">
            <v>0</v>
          </cell>
        </row>
        <row r="1221">
          <cell r="A1221" t="str">
            <v>CF1003P/C(T)</v>
          </cell>
          <cell r="B1221" t="str">
            <v>VYPRODÁNO</v>
          </cell>
          <cell r="D1221">
            <v>0</v>
          </cell>
        </row>
        <row r="1222">
          <cell r="A1222" t="str">
            <v>CF1003R</v>
          </cell>
          <cell r="B1222" t="str">
            <v>VYPRODÁNO</v>
          </cell>
          <cell r="D1222">
            <v>0</v>
          </cell>
        </row>
        <row r="1223">
          <cell r="A1223" t="str">
            <v>CF1003T</v>
          </cell>
          <cell r="B1223" t="str">
            <v>VYPRODÁNO</v>
          </cell>
          <cell r="D1223">
            <v>0</v>
          </cell>
        </row>
        <row r="1224">
          <cell r="A1224" t="str">
            <v>CF1003X1</v>
          </cell>
          <cell r="B1224" t="str">
            <v>VYPRODÁNO</v>
          </cell>
          <cell r="D1224">
            <v>0</v>
          </cell>
        </row>
        <row r="1225">
          <cell r="A1225" t="str">
            <v>CF1003X10</v>
          </cell>
          <cell r="B1225" t="str">
            <v>VYPRODÁNO</v>
          </cell>
          <cell r="D1225">
            <v>0</v>
          </cell>
        </row>
        <row r="1226">
          <cell r="A1226" t="str">
            <v>CF1003X11</v>
          </cell>
          <cell r="B1226" t="str">
            <v>VYPRODÁNO</v>
          </cell>
          <cell r="D1226">
            <v>0</v>
          </cell>
        </row>
        <row r="1227">
          <cell r="A1227" t="str">
            <v>CF1003X12</v>
          </cell>
          <cell r="B1227" t="str">
            <v>VYPRODÁNO</v>
          </cell>
          <cell r="D1227">
            <v>0</v>
          </cell>
        </row>
        <row r="1228">
          <cell r="A1228" t="str">
            <v>CF1003X13</v>
          </cell>
          <cell r="B1228" t="str">
            <v>VYPRODÁNO</v>
          </cell>
          <cell r="D1228">
            <v>0</v>
          </cell>
        </row>
        <row r="1229">
          <cell r="A1229" t="str">
            <v>CF1003X14</v>
          </cell>
          <cell r="B1229" t="str">
            <v>VYPRODÁNO</v>
          </cell>
          <cell r="D1229">
            <v>0</v>
          </cell>
        </row>
        <row r="1230">
          <cell r="A1230" t="str">
            <v>CF1003X15</v>
          </cell>
          <cell r="B1230" t="str">
            <v>VYPRODÁNO</v>
          </cell>
          <cell r="D1230">
            <v>0</v>
          </cell>
        </row>
        <row r="1231">
          <cell r="A1231" t="str">
            <v>CF1003X16</v>
          </cell>
          <cell r="B1231" t="str">
            <v>VYPRODÁNO</v>
          </cell>
          <cell r="D1231">
            <v>0</v>
          </cell>
        </row>
        <row r="1232">
          <cell r="A1232" t="str">
            <v>CF1003X17</v>
          </cell>
          <cell r="B1232" t="str">
            <v>VYPRODÁNO</v>
          </cell>
          <cell r="D1232">
            <v>0</v>
          </cell>
        </row>
        <row r="1233">
          <cell r="A1233" t="str">
            <v>CF1003X18</v>
          </cell>
          <cell r="B1233" t="str">
            <v>VYPRODÁNO</v>
          </cell>
          <cell r="D1233">
            <v>0</v>
          </cell>
        </row>
        <row r="1234">
          <cell r="A1234" t="str">
            <v>CF1003X19</v>
          </cell>
          <cell r="B1234" t="str">
            <v>VYPRODÁNO</v>
          </cell>
          <cell r="D1234">
            <v>0</v>
          </cell>
        </row>
        <row r="1235">
          <cell r="A1235" t="str">
            <v>CF1003X2</v>
          </cell>
          <cell r="B1235" t="str">
            <v>VYPRODÁNO</v>
          </cell>
          <cell r="D1235">
            <v>0</v>
          </cell>
        </row>
        <row r="1236">
          <cell r="A1236" t="str">
            <v>CF1003X20</v>
          </cell>
          <cell r="B1236" t="str">
            <v>VYPRODÁNO</v>
          </cell>
          <cell r="D1236">
            <v>0</v>
          </cell>
        </row>
        <row r="1237">
          <cell r="A1237" t="str">
            <v>CF1003X21</v>
          </cell>
          <cell r="B1237" t="str">
            <v>VYPRODÁNO</v>
          </cell>
          <cell r="D1237">
            <v>0</v>
          </cell>
        </row>
        <row r="1238">
          <cell r="A1238" t="str">
            <v>CF1003X22</v>
          </cell>
          <cell r="B1238" t="str">
            <v>VYPRODÁNO</v>
          </cell>
          <cell r="D1238">
            <v>0</v>
          </cell>
        </row>
        <row r="1239">
          <cell r="A1239" t="str">
            <v>CF1003X23</v>
          </cell>
          <cell r="B1239" t="str">
            <v>VYPRODÁNO</v>
          </cell>
          <cell r="D1239">
            <v>0</v>
          </cell>
        </row>
        <row r="1240">
          <cell r="A1240" t="str">
            <v>CF1003X24</v>
          </cell>
          <cell r="B1240" t="str">
            <v>VYPRODÁNO</v>
          </cell>
          <cell r="D1240">
            <v>0</v>
          </cell>
        </row>
        <row r="1241">
          <cell r="A1241" t="str">
            <v>CF1003X25</v>
          </cell>
          <cell r="B1241" t="str">
            <v>VYPRODÁNO</v>
          </cell>
          <cell r="D1241">
            <v>0</v>
          </cell>
        </row>
        <row r="1242">
          <cell r="A1242" t="str">
            <v>CF1003X26</v>
          </cell>
          <cell r="B1242" t="str">
            <v>VYPRODÁNO</v>
          </cell>
          <cell r="D1242">
            <v>0</v>
          </cell>
        </row>
        <row r="1243">
          <cell r="A1243" t="str">
            <v>CF1003X27</v>
          </cell>
          <cell r="B1243" t="str">
            <v>VYPRODÁNO</v>
          </cell>
          <cell r="D1243">
            <v>0</v>
          </cell>
        </row>
        <row r="1244">
          <cell r="A1244" t="str">
            <v>CF1003X28</v>
          </cell>
          <cell r="B1244" t="str">
            <v>VYPRODÁNO</v>
          </cell>
          <cell r="D1244">
            <v>0</v>
          </cell>
        </row>
        <row r="1245">
          <cell r="A1245" t="str">
            <v>CF1003X29</v>
          </cell>
          <cell r="B1245" t="str">
            <v>VYPRODÁNO</v>
          </cell>
          <cell r="D1245">
            <v>0</v>
          </cell>
        </row>
        <row r="1246">
          <cell r="A1246" t="str">
            <v>CF1003X3</v>
          </cell>
          <cell r="B1246" t="str">
            <v>VYPRODÁNO</v>
          </cell>
          <cell r="D1246">
            <v>0</v>
          </cell>
        </row>
        <row r="1247">
          <cell r="A1247" t="str">
            <v>CF1003X30</v>
          </cell>
          <cell r="B1247" t="str">
            <v>VYPRODÁNO</v>
          </cell>
          <cell r="D1247">
            <v>0</v>
          </cell>
        </row>
        <row r="1248">
          <cell r="A1248" t="str">
            <v>CF1003X31</v>
          </cell>
          <cell r="B1248" t="str">
            <v>VYPRODÁNO</v>
          </cell>
          <cell r="D1248">
            <v>0</v>
          </cell>
        </row>
        <row r="1249">
          <cell r="A1249" t="str">
            <v>CF1003X32</v>
          </cell>
          <cell r="B1249" t="str">
            <v>VYPRODÁNO</v>
          </cell>
          <cell r="D1249">
            <v>0</v>
          </cell>
        </row>
        <row r="1250">
          <cell r="A1250" t="str">
            <v>CF1003X4</v>
          </cell>
          <cell r="B1250" t="str">
            <v>VYPRODÁNO</v>
          </cell>
          <cell r="D1250">
            <v>0</v>
          </cell>
        </row>
        <row r="1251">
          <cell r="A1251" t="str">
            <v>CF1003X48</v>
          </cell>
          <cell r="B1251" t="str">
            <v>VYPRODÁNO</v>
          </cell>
          <cell r="D1251">
            <v>0</v>
          </cell>
        </row>
        <row r="1252">
          <cell r="A1252" t="str">
            <v>CF1003X5</v>
          </cell>
          <cell r="B1252" t="str">
            <v>VYPRODÁNO</v>
          </cell>
          <cell r="D1252">
            <v>0</v>
          </cell>
        </row>
        <row r="1253">
          <cell r="A1253" t="str">
            <v>CF1003X50</v>
          </cell>
          <cell r="B1253" t="str">
            <v>VYPRODÁNO</v>
          </cell>
          <cell r="D1253">
            <v>0</v>
          </cell>
        </row>
        <row r="1254">
          <cell r="A1254" t="str">
            <v>CF1003X51</v>
          </cell>
          <cell r="B1254" t="str">
            <v>VYPRODÁNO</v>
          </cell>
          <cell r="D1254">
            <v>0</v>
          </cell>
        </row>
        <row r="1255">
          <cell r="A1255" t="str">
            <v>CF1003X53</v>
          </cell>
          <cell r="B1255" t="str">
            <v>VYPRODÁNO</v>
          </cell>
          <cell r="D1255">
            <v>0</v>
          </cell>
        </row>
        <row r="1256">
          <cell r="A1256" t="str">
            <v>CF1003X54</v>
          </cell>
          <cell r="B1256" t="str">
            <v>VYPRODÁNO</v>
          </cell>
          <cell r="D1256">
            <v>0</v>
          </cell>
        </row>
        <row r="1257">
          <cell r="A1257" t="str">
            <v>CF1003X6</v>
          </cell>
          <cell r="B1257" t="str">
            <v>VYPRODÁNO</v>
          </cell>
          <cell r="D1257">
            <v>0</v>
          </cell>
        </row>
        <row r="1258">
          <cell r="A1258" t="str">
            <v>CF1003X7</v>
          </cell>
          <cell r="B1258" t="str">
            <v>VYPRODÁNO</v>
          </cell>
          <cell r="D1258">
            <v>0</v>
          </cell>
        </row>
        <row r="1259">
          <cell r="A1259" t="str">
            <v>CF1003X8</v>
          </cell>
          <cell r="B1259" t="str">
            <v>VYPRODÁNO</v>
          </cell>
          <cell r="D1259">
            <v>0</v>
          </cell>
        </row>
        <row r="1260">
          <cell r="A1260" t="str">
            <v>CF1003X9</v>
          </cell>
          <cell r="B1260" t="str">
            <v>VYPRODÁNO</v>
          </cell>
          <cell r="D1260">
            <v>0</v>
          </cell>
        </row>
        <row r="1261">
          <cell r="A1261" t="str">
            <v>CF1352X6</v>
          </cell>
          <cell r="B1261" t="str">
            <v>SKLADEM</v>
          </cell>
          <cell r="D1261">
            <v>0</v>
          </cell>
        </row>
        <row r="1262">
          <cell r="A1262" t="str">
            <v>CF1352X7</v>
          </cell>
          <cell r="B1262" t="str">
            <v>VYPRODÁNO</v>
          </cell>
          <cell r="D1262">
            <v>0</v>
          </cell>
        </row>
        <row r="1263">
          <cell r="A1263" t="str">
            <v>CF1352X8</v>
          </cell>
          <cell r="B1263" t="str">
            <v>VYPRODÁNO</v>
          </cell>
          <cell r="D1263">
            <v>0</v>
          </cell>
        </row>
        <row r="1264">
          <cell r="A1264" t="str">
            <v>CF2525A</v>
          </cell>
          <cell r="B1264" t="str">
            <v>VYPRODÁNO</v>
          </cell>
          <cell r="D1264">
            <v>0</v>
          </cell>
        </row>
        <row r="1265">
          <cell r="A1265" t="str">
            <v>CF2525A E</v>
          </cell>
          <cell r="B1265" t="str">
            <v>VYPRODÁNO</v>
          </cell>
          <cell r="D1265">
            <v>0</v>
          </cell>
        </row>
        <row r="1266">
          <cell r="A1266" t="str">
            <v>CF2525A14</v>
          </cell>
          <cell r="B1266" t="str">
            <v>VYPRODÁNO</v>
          </cell>
          <cell r="D1266">
            <v>0</v>
          </cell>
        </row>
        <row r="1267">
          <cell r="A1267" t="str">
            <v>CF2525D</v>
          </cell>
          <cell r="B1267" t="str">
            <v>SKLADEM</v>
          </cell>
          <cell r="D1267">
            <v>0</v>
          </cell>
        </row>
        <row r="1268">
          <cell r="A1268" t="str">
            <v>CF2525D E</v>
          </cell>
          <cell r="B1268" t="str">
            <v>VYPRODÁNO</v>
          </cell>
          <cell r="D1268">
            <v>0</v>
          </cell>
        </row>
        <row r="1269">
          <cell r="A1269" t="str">
            <v>CF2525G</v>
          </cell>
          <cell r="B1269" t="str">
            <v>VYPRODÁNO</v>
          </cell>
          <cell r="D1269">
            <v>0</v>
          </cell>
        </row>
        <row r="1270">
          <cell r="A1270" t="str">
            <v>CF2525G14</v>
          </cell>
          <cell r="B1270" t="str">
            <v>VYPRODÁNO</v>
          </cell>
          <cell r="D1270">
            <v>0</v>
          </cell>
        </row>
        <row r="1271">
          <cell r="A1271" t="str">
            <v>CF2525G14 E</v>
          </cell>
          <cell r="B1271" t="str">
            <v>VYPRODÁNO</v>
          </cell>
          <cell r="D1271">
            <v>0</v>
          </cell>
        </row>
        <row r="1272">
          <cell r="A1272" t="str">
            <v>CF2525O</v>
          </cell>
          <cell r="B1272" t="str">
            <v>31.08.2026</v>
          </cell>
          <cell r="C1272">
            <v>158</v>
          </cell>
          <cell r="D1272">
            <v>0</v>
          </cell>
        </row>
        <row r="1273">
          <cell r="A1273" t="str">
            <v>CF2525O14</v>
          </cell>
          <cell r="B1273" t="str">
            <v>VYPRODÁNO</v>
          </cell>
          <cell r="D1273">
            <v>0</v>
          </cell>
        </row>
        <row r="1274">
          <cell r="A1274" t="str">
            <v>CF2525R</v>
          </cell>
          <cell r="B1274" t="str">
            <v>VYPRODÁNO</v>
          </cell>
          <cell r="D1274">
            <v>0</v>
          </cell>
        </row>
        <row r="1275">
          <cell r="A1275" t="str">
            <v>CF2525R14</v>
          </cell>
          <cell r="B1275" t="str">
            <v>VYPRODÁNO</v>
          </cell>
          <cell r="D1275">
            <v>0</v>
          </cell>
        </row>
        <row r="1276">
          <cell r="A1276" t="str">
            <v>CF2525S</v>
          </cell>
          <cell r="B1276" t="str">
            <v>SKLADEM</v>
          </cell>
          <cell r="D1276">
            <v>0</v>
          </cell>
        </row>
        <row r="1277">
          <cell r="A1277" t="str">
            <v>CF2525S14</v>
          </cell>
          <cell r="B1277" t="str">
            <v>VYPRODÁNO</v>
          </cell>
          <cell r="D1277">
            <v>0</v>
          </cell>
        </row>
        <row r="1278">
          <cell r="A1278" t="str">
            <v>CF2525XXA</v>
          </cell>
          <cell r="B1278" t="str">
            <v>VYPRODÁNO</v>
          </cell>
          <cell r="D1278">
            <v>0</v>
          </cell>
        </row>
        <row r="1279">
          <cell r="A1279" t="str">
            <v>CF2525XXA14</v>
          </cell>
          <cell r="B1279" t="str">
            <v>VYPRODÁNO</v>
          </cell>
          <cell r="D1279">
            <v>0</v>
          </cell>
        </row>
        <row r="1280">
          <cell r="A1280" t="str">
            <v>CF253C</v>
          </cell>
          <cell r="B1280" t="str">
            <v>VYPRODÁNO</v>
          </cell>
          <cell r="D1280">
            <v>0</v>
          </cell>
        </row>
        <row r="1281">
          <cell r="A1281" t="str">
            <v>CF253C14</v>
          </cell>
          <cell r="B1281" t="str">
            <v>VYPRODÁNO</v>
          </cell>
          <cell r="D1281">
            <v>0</v>
          </cell>
        </row>
        <row r="1282">
          <cell r="A1282" t="str">
            <v>CF253D</v>
          </cell>
          <cell r="B1282" t="str">
            <v>VYPRODÁNO</v>
          </cell>
          <cell r="D1282">
            <v>0</v>
          </cell>
        </row>
        <row r="1283">
          <cell r="A1283" t="str">
            <v>CF253D14</v>
          </cell>
          <cell r="B1283" t="str">
            <v>SKLADEM</v>
          </cell>
          <cell r="D1283">
            <v>0</v>
          </cell>
        </row>
        <row r="1284">
          <cell r="A1284" t="str">
            <v>CF253K</v>
          </cell>
          <cell r="B1284" t="str">
            <v>VYPRODÁNO</v>
          </cell>
          <cell r="D1284">
            <v>0</v>
          </cell>
        </row>
        <row r="1285">
          <cell r="A1285" t="str">
            <v>CF253K E</v>
          </cell>
          <cell r="B1285" t="str">
            <v>VYPRODÁNO</v>
          </cell>
          <cell r="D1285">
            <v>0</v>
          </cell>
        </row>
        <row r="1286">
          <cell r="A1286" t="str">
            <v>CF253K14</v>
          </cell>
          <cell r="B1286" t="str">
            <v>SKLADEM</v>
          </cell>
          <cell r="D1286">
            <v>0</v>
          </cell>
        </row>
        <row r="1287">
          <cell r="A1287" t="str">
            <v>CF253L</v>
          </cell>
          <cell r="B1287" t="str">
            <v>VYPRODÁNO</v>
          </cell>
          <cell r="D1287">
            <v>0</v>
          </cell>
        </row>
        <row r="1288">
          <cell r="A1288" t="str">
            <v>CF253L E</v>
          </cell>
          <cell r="B1288" t="str">
            <v>VYPRODÁNO</v>
          </cell>
          <cell r="D1288">
            <v>0</v>
          </cell>
        </row>
        <row r="1289">
          <cell r="A1289" t="str">
            <v>CF253L14</v>
          </cell>
          <cell r="B1289" t="str">
            <v>VYPRODÁNO</v>
          </cell>
          <cell r="D1289">
            <v>0</v>
          </cell>
        </row>
        <row r="1290">
          <cell r="A1290" t="str">
            <v>CF253R</v>
          </cell>
          <cell r="B1290" t="str">
            <v>VYPRODÁNO</v>
          </cell>
          <cell r="D1290">
            <v>0</v>
          </cell>
        </row>
        <row r="1291">
          <cell r="A1291" t="str">
            <v>CF253R E</v>
          </cell>
          <cell r="B1291" t="str">
            <v>VYPRODÁNO</v>
          </cell>
          <cell r="D1291">
            <v>0</v>
          </cell>
        </row>
        <row r="1292">
          <cell r="A1292" t="str">
            <v>CF253R14</v>
          </cell>
          <cell r="B1292" t="str">
            <v>VYPRODÁNO</v>
          </cell>
          <cell r="D1292">
            <v>0</v>
          </cell>
        </row>
        <row r="1293">
          <cell r="A1293" t="str">
            <v>CF253STA</v>
          </cell>
          <cell r="B1293" t="str">
            <v>VYPRODÁNO</v>
          </cell>
          <cell r="D1293">
            <v>0</v>
          </cell>
        </row>
        <row r="1294">
          <cell r="A1294" t="str">
            <v>CF253STB</v>
          </cell>
          <cell r="B1294" t="str">
            <v>VYPRODÁNO</v>
          </cell>
          <cell r="D1294">
            <v>0</v>
          </cell>
        </row>
        <row r="1295">
          <cell r="A1295" t="str">
            <v>CF253STC</v>
          </cell>
          <cell r="B1295" t="str">
            <v>VYPRODÁNO</v>
          </cell>
          <cell r="D1295">
            <v>0</v>
          </cell>
        </row>
        <row r="1296">
          <cell r="A1296" t="str">
            <v>CF253STD</v>
          </cell>
          <cell r="B1296" t="str">
            <v>VYPRODÁNO</v>
          </cell>
          <cell r="D1296">
            <v>0</v>
          </cell>
        </row>
        <row r="1297">
          <cell r="A1297" t="str">
            <v>CF253STE</v>
          </cell>
          <cell r="B1297" t="str">
            <v>VYPRODÁNO</v>
          </cell>
          <cell r="D1297">
            <v>0</v>
          </cell>
        </row>
        <row r="1298">
          <cell r="A1298" t="str">
            <v>CF253STF</v>
          </cell>
          <cell r="B1298" t="str">
            <v>VYPRODÁNO</v>
          </cell>
          <cell r="D1298">
            <v>0</v>
          </cell>
        </row>
        <row r="1299">
          <cell r="A1299" t="str">
            <v>CF253STG</v>
          </cell>
          <cell r="B1299" t="str">
            <v>VYPRODÁNO</v>
          </cell>
          <cell r="D1299">
            <v>0</v>
          </cell>
        </row>
        <row r="1300">
          <cell r="A1300" t="str">
            <v>CF253W</v>
          </cell>
          <cell r="B1300" t="str">
            <v>VYPRODÁNO</v>
          </cell>
          <cell r="D1300">
            <v>0</v>
          </cell>
        </row>
        <row r="1301">
          <cell r="A1301" t="str">
            <v>CF253W14</v>
          </cell>
          <cell r="B1301" t="str">
            <v>VYPRODÁNO</v>
          </cell>
          <cell r="D1301">
            <v>0</v>
          </cell>
        </row>
        <row r="1302">
          <cell r="A1302" t="str">
            <v>CF253XXA14</v>
          </cell>
          <cell r="B1302" t="str">
            <v>VYPRODÁNO</v>
          </cell>
          <cell r="D1302">
            <v>0</v>
          </cell>
        </row>
        <row r="1303">
          <cell r="A1303" t="str">
            <v>CF253XXB14</v>
          </cell>
          <cell r="B1303" t="str">
            <v>VYPRODÁNO</v>
          </cell>
          <cell r="D1303">
            <v>0</v>
          </cell>
        </row>
        <row r="1304">
          <cell r="A1304" t="str">
            <v>CF2702X6</v>
          </cell>
          <cell r="B1304" t="str">
            <v>VYPRODÁNO</v>
          </cell>
          <cell r="D1304">
            <v>0</v>
          </cell>
        </row>
        <row r="1305">
          <cell r="A1305" t="str">
            <v>CF2702X7</v>
          </cell>
          <cell r="B1305" t="str">
            <v>VYPRODÁNO</v>
          </cell>
          <cell r="D1305">
            <v>0</v>
          </cell>
        </row>
        <row r="1306">
          <cell r="A1306" t="str">
            <v>CF2702X8</v>
          </cell>
          <cell r="B1306" t="str">
            <v>VYPRODÁNO</v>
          </cell>
          <cell r="D1306">
            <v>0</v>
          </cell>
        </row>
        <row r="1307">
          <cell r="A1307" t="str">
            <v>CF3025XXA</v>
          </cell>
          <cell r="B1307" t="str">
            <v>VYPRODÁNO</v>
          </cell>
          <cell r="D1307">
            <v>0</v>
          </cell>
        </row>
        <row r="1308">
          <cell r="A1308" t="str">
            <v>CF3025XXA14</v>
          </cell>
          <cell r="B1308" t="str">
            <v>VYPRODÁNO</v>
          </cell>
          <cell r="D1308">
            <v>0</v>
          </cell>
        </row>
        <row r="1309">
          <cell r="A1309" t="str">
            <v>CF3025XXB</v>
          </cell>
          <cell r="B1309" t="str">
            <v>VYPRODÁNO</v>
          </cell>
          <cell r="D1309">
            <v>0</v>
          </cell>
        </row>
        <row r="1310">
          <cell r="A1310" t="str">
            <v>CF3025XXB14</v>
          </cell>
          <cell r="B1310" t="str">
            <v>VYPRODÁNO</v>
          </cell>
          <cell r="D1310">
            <v>0</v>
          </cell>
        </row>
        <row r="1311">
          <cell r="A1311" t="str">
            <v>CF363C</v>
          </cell>
          <cell r="B1311" t="str">
            <v>VYPRODÁNO</v>
          </cell>
          <cell r="D1311">
            <v>0</v>
          </cell>
        </row>
        <row r="1312">
          <cell r="A1312" t="str">
            <v>CF363H</v>
          </cell>
          <cell r="B1312" t="str">
            <v>VYPRODÁNO</v>
          </cell>
          <cell r="D1312">
            <v>0</v>
          </cell>
        </row>
        <row r="1313">
          <cell r="A1313" t="str">
            <v>CF363L</v>
          </cell>
          <cell r="B1313" t="str">
            <v>VYPRODÁNO</v>
          </cell>
          <cell r="D1313">
            <v>0</v>
          </cell>
        </row>
        <row r="1314">
          <cell r="A1314" t="str">
            <v>CF363L E</v>
          </cell>
          <cell r="B1314" t="str">
            <v>VYPRODÁNO</v>
          </cell>
          <cell r="D1314">
            <v>0</v>
          </cell>
        </row>
        <row r="1315">
          <cell r="A1315" t="str">
            <v>CF363S</v>
          </cell>
          <cell r="B1315" t="str">
            <v>SKLADEM</v>
          </cell>
          <cell r="D1315">
            <v>0</v>
          </cell>
        </row>
        <row r="1316">
          <cell r="A1316" t="str">
            <v>CF363V</v>
          </cell>
          <cell r="B1316" t="str">
            <v>VYPRODÁNO</v>
          </cell>
          <cell r="D1316">
            <v>0</v>
          </cell>
        </row>
        <row r="1317">
          <cell r="A1317" t="str">
            <v>CF363V E</v>
          </cell>
          <cell r="B1317" t="str">
            <v>VYPRODÁNO</v>
          </cell>
          <cell r="D1317">
            <v>0</v>
          </cell>
        </row>
        <row r="1318">
          <cell r="A1318" t="str">
            <v>CF363V/P</v>
          </cell>
          <cell r="B1318" t="str">
            <v>VYPRODÁNO</v>
          </cell>
          <cell r="D1318">
            <v>0</v>
          </cell>
        </row>
        <row r="1319">
          <cell r="A1319" t="str">
            <v>CF4025P</v>
          </cell>
          <cell r="B1319" t="str">
            <v>VYPRODÁNO</v>
          </cell>
          <cell r="D1319">
            <v>0</v>
          </cell>
        </row>
        <row r="1320">
          <cell r="A1320" t="str">
            <v>CF4920A</v>
          </cell>
          <cell r="B1320" t="str">
            <v>SKLADEM</v>
          </cell>
          <cell r="D1320" t="str">
            <v>100+</v>
          </cell>
        </row>
        <row r="1321">
          <cell r="A1321" t="str">
            <v>CF4920A E</v>
          </cell>
          <cell r="B1321" t="str">
            <v>VYPRODÁNO</v>
          </cell>
          <cell r="D1321">
            <v>0</v>
          </cell>
        </row>
        <row r="1322">
          <cell r="A1322" t="str">
            <v>CF4920A14</v>
          </cell>
          <cell r="B1322" t="str">
            <v>VYPRODÁNO</v>
          </cell>
          <cell r="D1322">
            <v>0</v>
          </cell>
        </row>
        <row r="1323">
          <cell r="A1323" t="str">
            <v>CF4920F</v>
          </cell>
          <cell r="B1323" t="str">
            <v>VYPRODÁNO</v>
          </cell>
          <cell r="D1323">
            <v>0</v>
          </cell>
        </row>
        <row r="1324">
          <cell r="A1324" t="str">
            <v>CF4920F E</v>
          </cell>
          <cell r="B1324" t="str">
            <v>VYPRODÁNO</v>
          </cell>
          <cell r="D1324">
            <v>0</v>
          </cell>
        </row>
        <row r="1325">
          <cell r="A1325" t="str">
            <v>CF4920G</v>
          </cell>
          <cell r="B1325" t="str">
            <v>SKLADEM</v>
          </cell>
          <cell r="D1325">
            <v>0</v>
          </cell>
        </row>
        <row r="1326">
          <cell r="A1326" t="str">
            <v>CF4920G E</v>
          </cell>
          <cell r="B1326" t="str">
            <v>VYPRODÁNO</v>
          </cell>
          <cell r="D1326">
            <v>0</v>
          </cell>
        </row>
        <row r="1327">
          <cell r="A1327" t="str">
            <v>CF4920G14</v>
          </cell>
          <cell r="B1327" t="str">
            <v>SKLADEM</v>
          </cell>
          <cell r="D1327">
            <v>0</v>
          </cell>
        </row>
        <row r="1328">
          <cell r="A1328" t="str">
            <v>CF4920J</v>
          </cell>
          <cell r="B1328" t="str">
            <v>SKLADEM</v>
          </cell>
          <cell r="D1328">
            <v>0</v>
          </cell>
        </row>
        <row r="1329">
          <cell r="A1329" t="str">
            <v>CF4920J E</v>
          </cell>
          <cell r="B1329" t="str">
            <v>VYPRODÁNO</v>
          </cell>
          <cell r="D1329">
            <v>0</v>
          </cell>
        </row>
        <row r="1330">
          <cell r="A1330" t="str">
            <v>CF4920J14</v>
          </cell>
          <cell r="B1330" t="str">
            <v>VYPRODÁNO</v>
          </cell>
          <cell r="D1330">
            <v>0</v>
          </cell>
        </row>
        <row r="1331">
          <cell r="A1331" t="str">
            <v>CF4920S</v>
          </cell>
          <cell r="B1331" t="str">
            <v>VYPRODÁNO</v>
          </cell>
          <cell r="D1331">
            <v>0</v>
          </cell>
        </row>
        <row r="1332">
          <cell r="A1332" t="str">
            <v>CF4920S E</v>
          </cell>
          <cell r="B1332" t="str">
            <v>VYPRODÁNO</v>
          </cell>
          <cell r="D1332">
            <v>0</v>
          </cell>
        </row>
        <row r="1333">
          <cell r="A1333" t="str">
            <v>CF4920V</v>
          </cell>
          <cell r="B1333" t="str">
            <v>VYPRODÁNO</v>
          </cell>
          <cell r="D1333">
            <v>0</v>
          </cell>
        </row>
        <row r="1334">
          <cell r="A1334" t="str">
            <v>CF4920V E</v>
          </cell>
          <cell r="B1334" t="str">
            <v>VYPRODÁNO</v>
          </cell>
          <cell r="D1334">
            <v>0</v>
          </cell>
        </row>
        <row r="1335">
          <cell r="A1335" t="str">
            <v>CF4920VIP</v>
          </cell>
          <cell r="B1335" t="str">
            <v>VYPRODÁNO</v>
          </cell>
          <cell r="D1335">
            <v>0</v>
          </cell>
        </row>
        <row r="1336">
          <cell r="A1336" t="str">
            <v>CF4920VIP E</v>
          </cell>
          <cell r="B1336" t="str">
            <v>VYPRODÁNO</v>
          </cell>
          <cell r="D1336">
            <v>0</v>
          </cell>
        </row>
        <row r="1337">
          <cell r="A1337" t="str">
            <v>CF4920VIP14</v>
          </cell>
          <cell r="B1337" t="str">
            <v>VYPRODÁNO</v>
          </cell>
          <cell r="D1337">
            <v>0</v>
          </cell>
        </row>
        <row r="1338">
          <cell r="A1338" t="str">
            <v>CF4925B</v>
          </cell>
          <cell r="B1338" t="str">
            <v>SKLADEM</v>
          </cell>
          <cell r="D1338">
            <v>0</v>
          </cell>
        </row>
        <row r="1339">
          <cell r="A1339" t="str">
            <v>CF4925B E</v>
          </cell>
          <cell r="B1339" t="str">
            <v>VYPRODÁNO</v>
          </cell>
          <cell r="D1339">
            <v>0</v>
          </cell>
        </row>
        <row r="1340">
          <cell r="A1340" t="str">
            <v>CF4925B14</v>
          </cell>
          <cell r="B1340" t="str">
            <v>31.08.2026</v>
          </cell>
          <cell r="C1340">
            <v>158</v>
          </cell>
          <cell r="D1340">
            <v>0</v>
          </cell>
        </row>
        <row r="1341">
          <cell r="A1341" t="str">
            <v>CF4925D</v>
          </cell>
          <cell r="B1341" t="str">
            <v>SKLADEM</v>
          </cell>
          <cell r="D1341">
            <v>0</v>
          </cell>
        </row>
        <row r="1342">
          <cell r="A1342" t="str">
            <v>CF4925D E</v>
          </cell>
          <cell r="B1342" t="str">
            <v>VYPRODÁNO</v>
          </cell>
          <cell r="D1342">
            <v>0</v>
          </cell>
        </row>
        <row r="1343">
          <cell r="A1343" t="str">
            <v>CF4925S</v>
          </cell>
          <cell r="B1343" t="str">
            <v>SKLADEM</v>
          </cell>
          <cell r="D1343">
            <v>0</v>
          </cell>
        </row>
        <row r="1344">
          <cell r="A1344" t="str">
            <v>CF493D</v>
          </cell>
          <cell r="B1344" t="str">
            <v>VYPRODÁNO</v>
          </cell>
          <cell r="D1344">
            <v>0</v>
          </cell>
        </row>
        <row r="1345">
          <cell r="A1345" t="str">
            <v>CF493ME</v>
          </cell>
          <cell r="B1345" t="str">
            <v>DOCHÁZÍ</v>
          </cell>
          <cell r="D1345">
            <v>0</v>
          </cell>
          <cell r="E1345">
            <v>19</v>
          </cell>
        </row>
        <row r="1346">
          <cell r="A1346" t="str">
            <v>CF493ME E</v>
          </cell>
          <cell r="B1346" t="str">
            <v>VYPRODÁNO</v>
          </cell>
          <cell r="D1346">
            <v>0</v>
          </cell>
        </row>
        <row r="1347">
          <cell r="A1347" t="str">
            <v>CF493MO</v>
          </cell>
          <cell r="B1347" t="str">
            <v>VYPRODÁNO</v>
          </cell>
          <cell r="D1347">
            <v>0</v>
          </cell>
        </row>
        <row r="1348">
          <cell r="A1348" t="str">
            <v>CF493MO E</v>
          </cell>
          <cell r="B1348" t="str">
            <v>VYPRODÁNO</v>
          </cell>
          <cell r="D1348">
            <v>0</v>
          </cell>
        </row>
        <row r="1349">
          <cell r="A1349" t="str">
            <v>CF493SA</v>
          </cell>
          <cell r="B1349" t="str">
            <v>DOCHÁZÍ</v>
          </cell>
          <cell r="D1349">
            <v>0</v>
          </cell>
          <cell r="E1349">
            <v>7</v>
          </cell>
        </row>
        <row r="1350">
          <cell r="A1350" t="str">
            <v>CF493ST</v>
          </cell>
          <cell r="B1350" t="str">
            <v>SKLADEM</v>
          </cell>
          <cell r="D1350">
            <v>0</v>
          </cell>
        </row>
        <row r="1351">
          <cell r="A1351" t="str">
            <v>CF493STA</v>
          </cell>
          <cell r="B1351" t="str">
            <v>VYPRODÁNO</v>
          </cell>
          <cell r="D1351">
            <v>0</v>
          </cell>
        </row>
        <row r="1352">
          <cell r="A1352" t="str">
            <v>CF493STC</v>
          </cell>
          <cell r="B1352" t="str">
            <v>VYPRODÁNO</v>
          </cell>
          <cell r="D1352">
            <v>0</v>
          </cell>
        </row>
        <row r="1353">
          <cell r="A1353" t="str">
            <v>CF493STK</v>
          </cell>
          <cell r="B1353" t="str">
            <v>VYPRODÁNO</v>
          </cell>
          <cell r="D1353">
            <v>0</v>
          </cell>
        </row>
        <row r="1354">
          <cell r="A1354" t="str">
            <v>CF493STL</v>
          </cell>
          <cell r="B1354" t="str">
            <v>VYPRODÁNO</v>
          </cell>
          <cell r="D1354">
            <v>0</v>
          </cell>
        </row>
        <row r="1355">
          <cell r="A1355" t="str">
            <v>CF493STO</v>
          </cell>
          <cell r="B1355" t="str">
            <v>VYPRODÁNO</v>
          </cell>
          <cell r="D1355">
            <v>0</v>
          </cell>
        </row>
        <row r="1356">
          <cell r="A1356" t="str">
            <v>CF493V</v>
          </cell>
          <cell r="B1356" t="str">
            <v>VYPRODÁNO</v>
          </cell>
          <cell r="D1356">
            <v>0</v>
          </cell>
        </row>
        <row r="1357">
          <cell r="A1357" t="str">
            <v>CF493W</v>
          </cell>
          <cell r="B1357" t="str">
            <v>SKLADEM</v>
          </cell>
          <cell r="D1357">
            <v>0</v>
          </cell>
        </row>
        <row r="1358">
          <cell r="A1358" t="str">
            <v>CF493Y</v>
          </cell>
          <cell r="B1358" t="str">
            <v>VYPRODÁNO</v>
          </cell>
          <cell r="D1358">
            <v>0</v>
          </cell>
        </row>
        <row r="1359">
          <cell r="A1359" t="str">
            <v>CF493Z</v>
          </cell>
          <cell r="B1359" t="str">
            <v>VYPRODÁNO</v>
          </cell>
          <cell r="D1359">
            <v>0</v>
          </cell>
        </row>
        <row r="1360">
          <cell r="A1360" t="str">
            <v>CF493Z/2</v>
          </cell>
          <cell r="B1360" t="str">
            <v>VYPRODÁNO</v>
          </cell>
          <cell r="D1360">
            <v>0</v>
          </cell>
        </row>
        <row r="1361">
          <cell r="A1361" t="str">
            <v>CF503X1</v>
          </cell>
          <cell r="B1361" t="str">
            <v>VYPRODÁNO</v>
          </cell>
          <cell r="D1361">
            <v>0</v>
          </cell>
        </row>
        <row r="1362">
          <cell r="A1362" t="str">
            <v>CF503X10</v>
          </cell>
          <cell r="B1362" t="str">
            <v>VYPRODÁNO</v>
          </cell>
          <cell r="D1362">
            <v>0</v>
          </cell>
        </row>
        <row r="1363">
          <cell r="A1363" t="str">
            <v>CF503X11</v>
          </cell>
          <cell r="B1363" t="str">
            <v>VYPRODÁNO</v>
          </cell>
          <cell r="D1363">
            <v>0</v>
          </cell>
        </row>
        <row r="1364">
          <cell r="A1364" t="str">
            <v>CF503X12</v>
          </cell>
          <cell r="B1364" t="str">
            <v>SKLADEM</v>
          </cell>
          <cell r="D1364">
            <v>0</v>
          </cell>
        </row>
        <row r="1365">
          <cell r="A1365" t="str">
            <v>CF503X13</v>
          </cell>
          <cell r="B1365" t="str">
            <v>VYPRODÁNO</v>
          </cell>
          <cell r="D1365">
            <v>0</v>
          </cell>
        </row>
        <row r="1366">
          <cell r="A1366" t="str">
            <v>CF503X14</v>
          </cell>
          <cell r="B1366" t="str">
            <v>SKLADEM</v>
          </cell>
          <cell r="D1366">
            <v>0</v>
          </cell>
        </row>
        <row r="1367">
          <cell r="A1367" t="str">
            <v>CF503X15</v>
          </cell>
          <cell r="B1367" t="str">
            <v>SKLADEM</v>
          </cell>
          <cell r="D1367">
            <v>0</v>
          </cell>
        </row>
        <row r="1368">
          <cell r="A1368" t="str">
            <v>CF503X16</v>
          </cell>
          <cell r="B1368" t="str">
            <v>VYPRODÁNO</v>
          </cell>
          <cell r="D1368">
            <v>0</v>
          </cell>
        </row>
        <row r="1369">
          <cell r="A1369" t="str">
            <v>CF503X17</v>
          </cell>
          <cell r="B1369" t="str">
            <v>SKLADEM</v>
          </cell>
          <cell r="D1369">
            <v>0</v>
          </cell>
        </row>
        <row r="1370">
          <cell r="A1370" t="str">
            <v>CF503X18</v>
          </cell>
          <cell r="B1370" t="str">
            <v>VYPRODÁNO</v>
          </cell>
          <cell r="D1370">
            <v>0</v>
          </cell>
        </row>
        <row r="1371">
          <cell r="A1371" t="str">
            <v>CF503X19</v>
          </cell>
          <cell r="B1371" t="str">
            <v>VYPRODÁNO</v>
          </cell>
          <cell r="D1371">
            <v>0</v>
          </cell>
        </row>
        <row r="1372">
          <cell r="A1372" t="str">
            <v>CF503X2</v>
          </cell>
          <cell r="B1372" t="str">
            <v>VYPRODÁNO</v>
          </cell>
          <cell r="D1372">
            <v>0</v>
          </cell>
        </row>
        <row r="1373">
          <cell r="A1373" t="str">
            <v>CF503X20</v>
          </cell>
          <cell r="B1373" t="str">
            <v>VYPRODÁNO</v>
          </cell>
          <cell r="D1373">
            <v>0</v>
          </cell>
        </row>
        <row r="1374">
          <cell r="A1374" t="str">
            <v>CF503X21</v>
          </cell>
          <cell r="B1374" t="str">
            <v>VYPRODÁNO</v>
          </cell>
          <cell r="D1374">
            <v>0</v>
          </cell>
        </row>
        <row r="1375">
          <cell r="A1375" t="str">
            <v>CF503X22</v>
          </cell>
          <cell r="B1375" t="str">
            <v>VYPRODÁNO</v>
          </cell>
          <cell r="D1375">
            <v>0</v>
          </cell>
        </row>
        <row r="1376">
          <cell r="A1376" t="str">
            <v>CF503X23</v>
          </cell>
          <cell r="B1376" t="str">
            <v>VYPRODÁNO</v>
          </cell>
          <cell r="D1376">
            <v>0</v>
          </cell>
        </row>
        <row r="1377">
          <cell r="A1377" t="str">
            <v>CF503X24</v>
          </cell>
          <cell r="B1377" t="str">
            <v>VYPRODÁNO</v>
          </cell>
          <cell r="D1377">
            <v>0</v>
          </cell>
        </row>
        <row r="1378">
          <cell r="A1378" t="str">
            <v>CF503X25</v>
          </cell>
          <cell r="B1378" t="str">
            <v>VYPRODÁNO</v>
          </cell>
          <cell r="D1378">
            <v>0</v>
          </cell>
        </row>
        <row r="1379">
          <cell r="A1379" t="str">
            <v>CF503X26</v>
          </cell>
          <cell r="B1379" t="str">
            <v>VYPRODÁNO</v>
          </cell>
          <cell r="D1379">
            <v>0</v>
          </cell>
        </row>
        <row r="1380">
          <cell r="A1380" t="str">
            <v>CF503X27</v>
          </cell>
          <cell r="B1380" t="str">
            <v>VYPRODÁNO</v>
          </cell>
          <cell r="D1380">
            <v>0</v>
          </cell>
        </row>
        <row r="1381">
          <cell r="A1381" t="str">
            <v>CF503X28</v>
          </cell>
          <cell r="B1381" t="str">
            <v>VYPRODÁNO</v>
          </cell>
          <cell r="D1381">
            <v>0</v>
          </cell>
        </row>
        <row r="1382">
          <cell r="A1382" t="str">
            <v>CF503X29</v>
          </cell>
          <cell r="B1382" t="str">
            <v>SKLADEM</v>
          </cell>
          <cell r="D1382">
            <v>0</v>
          </cell>
        </row>
        <row r="1383">
          <cell r="A1383" t="str">
            <v>CF503X3</v>
          </cell>
          <cell r="B1383" t="str">
            <v>SKLADEM</v>
          </cell>
          <cell r="D1383">
            <v>0</v>
          </cell>
        </row>
        <row r="1384">
          <cell r="A1384" t="str">
            <v>CF503X30</v>
          </cell>
          <cell r="B1384" t="str">
            <v>VYPRODÁNO</v>
          </cell>
          <cell r="D1384">
            <v>0</v>
          </cell>
        </row>
        <row r="1385">
          <cell r="A1385" t="str">
            <v>CF503X31</v>
          </cell>
          <cell r="B1385" t="str">
            <v>VYPRODÁNO</v>
          </cell>
          <cell r="D1385">
            <v>0</v>
          </cell>
        </row>
        <row r="1386">
          <cell r="A1386" t="str">
            <v>CF503X32</v>
          </cell>
          <cell r="B1386" t="str">
            <v>VYPRODÁNO</v>
          </cell>
          <cell r="D1386">
            <v>0</v>
          </cell>
        </row>
        <row r="1387">
          <cell r="A1387" t="str">
            <v>CF503X4</v>
          </cell>
          <cell r="B1387" t="str">
            <v>SKLADEM</v>
          </cell>
          <cell r="D1387">
            <v>0</v>
          </cell>
        </row>
        <row r="1388">
          <cell r="A1388" t="str">
            <v>CF503X48</v>
          </cell>
          <cell r="B1388" t="str">
            <v>SKLADEM</v>
          </cell>
          <cell r="D1388">
            <v>0</v>
          </cell>
        </row>
        <row r="1389">
          <cell r="A1389" t="str">
            <v>CF503X5</v>
          </cell>
          <cell r="B1389" t="str">
            <v>SKLADEM</v>
          </cell>
          <cell r="D1389">
            <v>0</v>
          </cell>
        </row>
        <row r="1390">
          <cell r="A1390" t="str">
            <v>CF503X50</v>
          </cell>
          <cell r="B1390" t="str">
            <v>VYPRODÁNO</v>
          </cell>
          <cell r="D1390">
            <v>0</v>
          </cell>
        </row>
        <row r="1391">
          <cell r="A1391" t="str">
            <v>CF503X51</v>
          </cell>
          <cell r="B1391" t="str">
            <v>VYPRODÁNO</v>
          </cell>
          <cell r="D1391">
            <v>0</v>
          </cell>
        </row>
        <row r="1392">
          <cell r="A1392" t="str">
            <v>CF503X53</v>
          </cell>
          <cell r="B1392" t="str">
            <v>VYPRODÁNO</v>
          </cell>
          <cell r="D1392">
            <v>0</v>
          </cell>
        </row>
        <row r="1393">
          <cell r="A1393" t="str">
            <v>CF503X54</v>
          </cell>
          <cell r="B1393" t="str">
            <v>SKLADEM</v>
          </cell>
          <cell r="D1393">
            <v>0</v>
          </cell>
        </row>
        <row r="1394">
          <cell r="A1394" t="str">
            <v>CF503X6</v>
          </cell>
          <cell r="B1394" t="str">
            <v>VYPRODÁNO</v>
          </cell>
          <cell r="D1394">
            <v>0</v>
          </cell>
        </row>
        <row r="1395">
          <cell r="A1395" t="str">
            <v>CF503X7</v>
          </cell>
          <cell r="B1395" t="str">
            <v>SKLADEM</v>
          </cell>
          <cell r="D1395">
            <v>0</v>
          </cell>
        </row>
        <row r="1396">
          <cell r="A1396" t="str">
            <v>CF503X8</v>
          </cell>
          <cell r="B1396" t="str">
            <v>SKLADEM</v>
          </cell>
          <cell r="D1396">
            <v>0</v>
          </cell>
        </row>
        <row r="1397">
          <cell r="A1397" t="str">
            <v>CF503X9</v>
          </cell>
          <cell r="B1397" t="str">
            <v>VYPRODÁNO</v>
          </cell>
          <cell r="D1397">
            <v>0</v>
          </cell>
        </row>
        <row r="1398">
          <cell r="A1398" t="str">
            <v>CF643A</v>
          </cell>
          <cell r="B1398" t="str">
            <v>VYPRODÁNO</v>
          </cell>
          <cell r="D1398">
            <v>0</v>
          </cell>
        </row>
        <row r="1399">
          <cell r="A1399" t="str">
            <v>CF643B</v>
          </cell>
          <cell r="B1399" t="str">
            <v>VYPRODÁNO</v>
          </cell>
          <cell r="D1399">
            <v>0</v>
          </cell>
        </row>
        <row r="1400">
          <cell r="A1400" t="str">
            <v>CF643BP</v>
          </cell>
          <cell r="B1400" t="str">
            <v>VYPRODÁNO</v>
          </cell>
          <cell r="D1400">
            <v>0</v>
          </cell>
        </row>
        <row r="1401">
          <cell r="A1401" t="str">
            <v>CF643C</v>
          </cell>
          <cell r="B1401" t="str">
            <v>VYPRODÁNO</v>
          </cell>
          <cell r="D1401">
            <v>0</v>
          </cell>
        </row>
        <row r="1402">
          <cell r="A1402" t="str">
            <v>CF643G</v>
          </cell>
          <cell r="B1402" t="str">
            <v>VYPRODÁNO</v>
          </cell>
          <cell r="D1402">
            <v>0</v>
          </cell>
        </row>
        <row r="1403">
          <cell r="A1403" t="str">
            <v>CF643M</v>
          </cell>
          <cell r="B1403" t="str">
            <v>06.04.2026</v>
          </cell>
          <cell r="C1403">
            <v>11</v>
          </cell>
          <cell r="D1403" t="str">
            <v>100+</v>
          </cell>
        </row>
        <row r="1404">
          <cell r="A1404" t="str">
            <v>CF643M E</v>
          </cell>
          <cell r="B1404" t="str">
            <v>VYPRODÁNO</v>
          </cell>
          <cell r="D1404">
            <v>0</v>
          </cell>
        </row>
        <row r="1405">
          <cell r="A1405" t="str">
            <v>CF643T</v>
          </cell>
          <cell r="B1405" t="str">
            <v>SKLADEM</v>
          </cell>
          <cell r="D1405">
            <v>0</v>
          </cell>
        </row>
        <row r="1406">
          <cell r="A1406" t="str">
            <v>CF643Z</v>
          </cell>
          <cell r="B1406" t="str">
            <v>VYPRODÁNO</v>
          </cell>
          <cell r="D1406">
            <v>0</v>
          </cell>
        </row>
        <row r="1407">
          <cell r="A1407" t="str">
            <v>CF9825BR/C</v>
          </cell>
          <cell r="B1407" t="str">
            <v>VYPRODÁNO</v>
          </cell>
          <cell r="D1407">
            <v>0</v>
          </cell>
        </row>
        <row r="1408">
          <cell r="A1408" t="str">
            <v>CF9825DU/C</v>
          </cell>
          <cell r="B1408" t="str">
            <v>VYPRODÁNO</v>
          </cell>
          <cell r="D1408">
            <v>0</v>
          </cell>
        </row>
        <row r="1409">
          <cell r="A1409" t="str">
            <v>CKF2535S</v>
          </cell>
          <cell r="B1409" t="str">
            <v>VYPRODÁNO</v>
          </cell>
          <cell r="D1409">
            <v>0</v>
          </cell>
        </row>
        <row r="1410">
          <cell r="A1410" t="str">
            <v>CM9825DU/C</v>
          </cell>
          <cell r="B1410" t="str">
            <v>VYPRODÁNO</v>
          </cell>
          <cell r="D1410">
            <v>0</v>
          </cell>
        </row>
        <row r="1411">
          <cell r="A1411" t="str">
            <v>CM9825DU/C E</v>
          </cell>
          <cell r="B1411" t="str">
            <v>VYPRODÁNO</v>
          </cell>
          <cell r="D1411">
            <v>0</v>
          </cell>
        </row>
        <row r="1412">
          <cell r="A1412" t="str">
            <v>CON40F</v>
          </cell>
          <cell r="B1412" t="str">
            <v>VYPRODÁNO</v>
          </cell>
          <cell r="D1412">
            <v>0</v>
          </cell>
        </row>
        <row r="1413">
          <cell r="A1413" t="str">
            <v>CON40P</v>
          </cell>
          <cell r="B1413" t="str">
            <v>VYPRODÁNO</v>
          </cell>
          <cell r="D1413">
            <v>0</v>
          </cell>
        </row>
        <row r="1414">
          <cell r="A1414" t="str">
            <v>CON40S</v>
          </cell>
          <cell r="B1414" t="str">
            <v>VYPRODÁNO</v>
          </cell>
          <cell r="D1414">
            <v>0</v>
          </cell>
        </row>
        <row r="1415">
          <cell r="A1415" t="str">
            <v>CON80F</v>
          </cell>
          <cell r="B1415" t="str">
            <v>VYPRODÁNO</v>
          </cell>
          <cell r="D1415">
            <v>0</v>
          </cell>
        </row>
        <row r="1416">
          <cell r="A1416" t="str">
            <v>CON80P</v>
          </cell>
          <cell r="B1416" t="str">
            <v>SKLADEM</v>
          </cell>
          <cell r="D1416">
            <v>0</v>
          </cell>
        </row>
        <row r="1417">
          <cell r="A1417" t="str">
            <v>CON80P (G)</v>
          </cell>
          <cell r="B1417" t="str">
            <v>VYPRODÁNO</v>
          </cell>
          <cell r="D1417">
            <v>0</v>
          </cell>
        </row>
        <row r="1418">
          <cell r="A1418" t="str">
            <v>CON80S</v>
          </cell>
          <cell r="B1418" t="str">
            <v>VYPRODÁNO</v>
          </cell>
          <cell r="D1418">
            <v>0</v>
          </cell>
        </row>
        <row r="1419">
          <cell r="A1419" t="str">
            <v>CP5DU14(G)</v>
          </cell>
          <cell r="B1419" t="str">
            <v>VYPRODÁNO</v>
          </cell>
          <cell r="D1419">
            <v>0</v>
          </cell>
        </row>
        <row r="1420">
          <cell r="A1420" t="str">
            <v>CP5DU14(G)1</v>
          </cell>
          <cell r="B1420" t="str">
            <v>VYPRODÁNO</v>
          </cell>
          <cell r="D1420">
            <v>0</v>
          </cell>
        </row>
        <row r="1421">
          <cell r="A1421" t="str">
            <v>CP5DU14(R)</v>
          </cell>
          <cell r="B1421" t="str">
            <v>VYPRODÁNO</v>
          </cell>
          <cell r="D1421">
            <v>0</v>
          </cell>
        </row>
        <row r="1422">
          <cell r="A1422" t="str">
            <v>CP5DU14(R)1</v>
          </cell>
          <cell r="B1422" t="str">
            <v>VYPRODÁNO</v>
          </cell>
          <cell r="D1422">
            <v>0</v>
          </cell>
        </row>
        <row r="1423">
          <cell r="A1423" t="str">
            <v>CS1003X10</v>
          </cell>
          <cell r="B1423" t="str">
            <v>VYPRODÁNO</v>
          </cell>
          <cell r="D1423">
            <v>0</v>
          </cell>
        </row>
        <row r="1424">
          <cell r="A1424" t="str">
            <v>CS1003X11</v>
          </cell>
          <cell r="B1424" t="str">
            <v>VYPRODÁNO</v>
          </cell>
          <cell r="D1424">
            <v>0</v>
          </cell>
        </row>
        <row r="1425">
          <cell r="A1425" t="str">
            <v>CS1003X12</v>
          </cell>
          <cell r="B1425" t="str">
            <v>VYPRODÁNO</v>
          </cell>
          <cell r="D1425">
            <v>0</v>
          </cell>
        </row>
        <row r="1426">
          <cell r="A1426" t="str">
            <v>CS1003X13</v>
          </cell>
          <cell r="B1426" t="str">
            <v>VYPRODÁNO</v>
          </cell>
          <cell r="D1426">
            <v>0</v>
          </cell>
        </row>
        <row r="1427">
          <cell r="A1427" t="str">
            <v>CS1003X14</v>
          </cell>
          <cell r="B1427" t="str">
            <v>VYPRODÁNO</v>
          </cell>
          <cell r="D1427">
            <v>0</v>
          </cell>
        </row>
        <row r="1428">
          <cell r="A1428" t="str">
            <v>CS1003X15</v>
          </cell>
          <cell r="B1428" t="str">
            <v>VYPRODÁNO</v>
          </cell>
          <cell r="D1428">
            <v>0</v>
          </cell>
        </row>
        <row r="1429">
          <cell r="A1429" t="str">
            <v>CS1003X16</v>
          </cell>
          <cell r="B1429" t="str">
            <v>VYPRODÁNO</v>
          </cell>
          <cell r="D1429">
            <v>0</v>
          </cell>
        </row>
        <row r="1430">
          <cell r="A1430" t="str">
            <v>CS1003X17</v>
          </cell>
          <cell r="B1430" t="str">
            <v>VYPRODÁNO</v>
          </cell>
          <cell r="D1430">
            <v>0</v>
          </cell>
        </row>
        <row r="1431">
          <cell r="A1431" t="str">
            <v>CS1003X18</v>
          </cell>
          <cell r="B1431" t="str">
            <v>VYPRODÁNO</v>
          </cell>
          <cell r="D1431">
            <v>0</v>
          </cell>
        </row>
        <row r="1432">
          <cell r="A1432" t="str">
            <v>CS1003X19</v>
          </cell>
          <cell r="B1432" t="str">
            <v>VYPRODÁNO</v>
          </cell>
          <cell r="D1432">
            <v>0</v>
          </cell>
        </row>
        <row r="1433">
          <cell r="A1433" t="str">
            <v>CS1003X20</v>
          </cell>
          <cell r="B1433" t="str">
            <v>VYPRODÁNO</v>
          </cell>
          <cell r="D1433">
            <v>0</v>
          </cell>
        </row>
        <row r="1434">
          <cell r="A1434" t="str">
            <v>CS1003X21</v>
          </cell>
          <cell r="B1434" t="str">
            <v>VYPRODÁNO</v>
          </cell>
          <cell r="D1434">
            <v>0</v>
          </cell>
        </row>
        <row r="1435">
          <cell r="A1435" t="str">
            <v>CS1003X22</v>
          </cell>
          <cell r="B1435" t="str">
            <v>VYPRODÁNO</v>
          </cell>
          <cell r="D1435">
            <v>0</v>
          </cell>
        </row>
        <row r="1436">
          <cell r="A1436" t="str">
            <v>CS1003X23</v>
          </cell>
          <cell r="B1436" t="str">
            <v>VYPRODÁNO</v>
          </cell>
          <cell r="D1436">
            <v>0</v>
          </cell>
        </row>
        <row r="1437">
          <cell r="A1437" t="str">
            <v>CS1003X24</v>
          </cell>
          <cell r="B1437" t="str">
            <v>VYPRODÁNO</v>
          </cell>
          <cell r="D1437">
            <v>0</v>
          </cell>
        </row>
        <row r="1438">
          <cell r="A1438" t="str">
            <v>CS1003X25</v>
          </cell>
          <cell r="B1438" t="str">
            <v>VYPRODÁNO</v>
          </cell>
          <cell r="D1438">
            <v>0</v>
          </cell>
        </row>
        <row r="1439">
          <cell r="A1439" t="str">
            <v>CS1003X26</v>
          </cell>
          <cell r="B1439" t="str">
            <v>VYPRODÁNO</v>
          </cell>
          <cell r="D1439">
            <v>0</v>
          </cell>
        </row>
        <row r="1440">
          <cell r="A1440" t="str">
            <v>CS1003X27</v>
          </cell>
          <cell r="B1440" t="str">
            <v>VYPRODÁNO</v>
          </cell>
          <cell r="D1440">
            <v>0</v>
          </cell>
        </row>
        <row r="1441">
          <cell r="A1441" t="str">
            <v>CS1003X28</v>
          </cell>
          <cell r="B1441" t="str">
            <v>VYPRODÁNO</v>
          </cell>
          <cell r="D1441">
            <v>0</v>
          </cell>
        </row>
        <row r="1442">
          <cell r="A1442" t="str">
            <v>CS1003X29</v>
          </cell>
          <cell r="B1442" t="str">
            <v>VYPRODÁNO</v>
          </cell>
          <cell r="D1442">
            <v>0</v>
          </cell>
        </row>
        <row r="1443">
          <cell r="A1443" t="str">
            <v>CS1003X31</v>
          </cell>
          <cell r="B1443" t="str">
            <v>VYPRODÁNO</v>
          </cell>
          <cell r="D1443">
            <v>0</v>
          </cell>
        </row>
        <row r="1444">
          <cell r="A1444" t="str">
            <v>CS1003X32</v>
          </cell>
          <cell r="B1444" t="str">
            <v>VYPRODÁNO</v>
          </cell>
          <cell r="D1444">
            <v>0</v>
          </cell>
        </row>
        <row r="1445">
          <cell r="A1445" t="str">
            <v>CS1003X33</v>
          </cell>
          <cell r="B1445" t="str">
            <v>VYPRODÁNO</v>
          </cell>
          <cell r="D1445">
            <v>0</v>
          </cell>
        </row>
        <row r="1446">
          <cell r="A1446" t="str">
            <v>CS1003X34</v>
          </cell>
          <cell r="B1446" t="str">
            <v>VYPRODÁNO</v>
          </cell>
          <cell r="D1446">
            <v>0</v>
          </cell>
        </row>
        <row r="1447">
          <cell r="A1447" t="str">
            <v>CS1003X35</v>
          </cell>
          <cell r="B1447" t="str">
            <v>VYPRODÁNO</v>
          </cell>
          <cell r="D1447">
            <v>0</v>
          </cell>
        </row>
        <row r="1448">
          <cell r="A1448" t="str">
            <v>CS1003X36</v>
          </cell>
          <cell r="B1448" t="str">
            <v>VYPRODÁNO</v>
          </cell>
          <cell r="D1448">
            <v>0</v>
          </cell>
        </row>
        <row r="1449">
          <cell r="A1449" t="str">
            <v>CS1003X37</v>
          </cell>
          <cell r="B1449" t="str">
            <v>VYPRODÁNO</v>
          </cell>
          <cell r="D1449">
            <v>0</v>
          </cell>
        </row>
        <row r="1450">
          <cell r="A1450" t="str">
            <v>CS1003X38</v>
          </cell>
          <cell r="B1450" t="str">
            <v>VYPRODÁNO</v>
          </cell>
          <cell r="D1450">
            <v>0</v>
          </cell>
        </row>
        <row r="1451">
          <cell r="A1451" t="str">
            <v>CS1003X52</v>
          </cell>
          <cell r="B1451" t="str">
            <v>VYPRODÁNO</v>
          </cell>
          <cell r="D1451">
            <v>0</v>
          </cell>
        </row>
        <row r="1452">
          <cell r="A1452" t="str">
            <v>CS1003X55</v>
          </cell>
          <cell r="B1452" t="str">
            <v>VYPRODÁNO</v>
          </cell>
          <cell r="D1452">
            <v>0</v>
          </cell>
        </row>
        <row r="1453">
          <cell r="A1453" t="str">
            <v>CS1003X8</v>
          </cell>
          <cell r="B1453" t="str">
            <v>VYPRODÁNO</v>
          </cell>
          <cell r="D1453">
            <v>0</v>
          </cell>
        </row>
        <row r="1454">
          <cell r="A1454" t="str">
            <v>CS1003X9</v>
          </cell>
          <cell r="B1454" t="str">
            <v>VYPRODÁNO</v>
          </cell>
          <cell r="D1454">
            <v>0</v>
          </cell>
        </row>
        <row r="1455">
          <cell r="A1455" t="str">
            <v>CS1352X10</v>
          </cell>
          <cell r="B1455" t="str">
            <v>31.08.2026</v>
          </cell>
          <cell r="C1455">
            <v>158</v>
          </cell>
          <cell r="D1455">
            <v>0</v>
          </cell>
        </row>
        <row r="1456">
          <cell r="A1456" t="str">
            <v>CS1352X12</v>
          </cell>
          <cell r="B1456" t="str">
            <v>VYPRODÁNO</v>
          </cell>
          <cell r="D1456">
            <v>0</v>
          </cell>
        </row>
        <row r="1457">
          <cell r="A1457" t="str">
            <v>CS1352X13</v>
          </cell>
          <cell r="B1457" t="str">
            <v>VYPRODÁNO</v>
          </cell>
          <cell r="D1457">
            <v>0</v>
          </cell>
        </row>
        <row r="1458">
          <cell r="A1458" t="str">
            <v>CS1352X14</v>
          </cell>
          <cell r="B1458" t="str">
            <v>SKLADEM</v>
          </cell>
          <cell r="D1458">
            <v>0</v>
          </cell>
        </row>
        <row r="1459">
          <cell r="A1459" t="str">
            <v>CS1352X15</v>
          </cell>
          <cell r="B1459" t="str">
            <v>VYPRODÁNO</v>
          </cell>
          <cell r="D1459">
            <v>0</v>
          </cell>
        </row>
        <row r="1460">
          <cell r="A1460" t="str">
            <v>CS1352X15 E</v>
          </cell>
          <cell r="B1460" t="str">
            <v>VYPRODÁNO</v>
          </cell>
          <cell r="D1460">
            <v>0</v>
          </cell>
        </row>
        <row r="1461">
          <cell r="A1461" t="str">
            <v>CS1352X16</v>
          </cell>
          <cell r="B1461" t="str">
            <v>VYPRODÁNO</v>
          </cell>
          <cell r="D1461">
            <v>0</v>
          </cell>
        </row>
        <row r="1462">
          <cell r="A1462" t="str">
            <v>CS1352X4</v>
          </cell>
          <cell r="B1462" t="str">
            <v>VYPRODÁNO</v>
          </cell>
          <cell r="D1462">
            <v>0</v>
          </cell>
        </row>
        <row r="1463">
          <cell r="A1463" t="str">
            <v>CS1352X5</v>
          </cell>
          <cell r="B1463" t="str">
            <v>VYPRODÁNO</v>
          </cell>
          <cell r="D1463">
            <v>0</v>
          </cell>
        </row>
        <row r="1464">
          <cell r="A1464" t="str">
            <v>CS1352X9</v>
          </cell>
          <cell r="B1464" t="str">
            <v>SKLADEM</v>
          </cell>
          <cell r="D1464">
            <v>0</v>
          </cell>
        </row>
        <row r="1465">
          <cell r="A1465" t="str">
            <v>CS27020F/C</v>
          </cell>
          <cell r="B1465" t="str">
            <v>VYPRODÁNO</v>
          </cell>
          <cell r="D1465">
            <v>0</v>
          </cell>
        </row>
        <row r="1466">
          <cell r="A1466" t="str">
            <v>CS2702X12</v>
          </cell>
          <cell r="B1466" t="str">
            <v>VYPRODÁNO</v>
          </cell>
          <cell r="D1466">
            <v>0</v>
          </cell>
        </row>
        <row r="1467">
          <cell r="A1467" t="str">
            <v>CS2702X13</v>
          </cell>
          <cell r="B1467" t="str">
            <v>VYPRODÁNO</v>
          </cell>
          <cell r="D1467">
            <v>0</v>
          </cell>
        </row>
        <row r="1468">
          <cell r="A1468" t="str">
            <v>CS2702X14</v>
          </cell>
          <cell r="B1468" t="str">
            <v>VYPRODÁNO</v>
          </cell>
          <cell r="D1468">
            <v>0</v>
          </cell>
        </row>
        <row r="1469">
          <cell r="A1469" t="str">
            <v>CS2702X15</v>
          </cell>
          <cell r="B1469" t="str">
            <v>VYPRODÁNO</v>
          </cell>
          <cell r="D1469">
            <v>0</v>
          </cell>
        </row>
        <row r="1470">
          <cell r="A1470" t="str">
            <v>CS2702X4</v>
          </cell>
          <cell r="B1470" t="str">
            <v>VYPRODÁNO</v>
          </cell>
          <cell r="D1470">
            <v>0</v>
          </cell>
        </row>
        <row r="1471">
          <cell r="A1471" t="str">
            <v>CS2702X5</v>
          </cell>
          <cell r="B1471" t="str">
            <v>VYPRODÁNO</v>
          </cell>
          <cell r="D1471">
            <v>0</v>
          </cell>
        </row>
        <row r="1472">
          <cell r="A1472" t="str">
            <v>CS2702X9</v>
          </cell>
          <cell r="B1472" t="str">
            <v>VYPRODÁNO</v>
          </cell>
          <cell r="D1472">
            <v>0</v>
          </cell>
        </row>
        <row r="1473">
          <cell r="A1473" t="str">
            <v>CS2BB</v>
          </cell>
          <cell r="B1473" t="str">
            <v>SKLADEM</v>
          </cell>
          <cell r="D1473">
            <v>0</v>
          </cell>
        </row>
        <row r="1474">
          <cell r="A1474" t="str">
            <v>CS503X10</v>
          </cell>
          <cell r="B1474" t="str">
            <v>VYPRODÁNO</v>
          </cell>
          <cell r="D1474">
            <v>0</v>
          </cell>
        </row>
        <row r="1475">
          <cell r="A1475" t="str">
            <v>CS503X11</v>
          </cell>
          <cell r="B1475" t="str">
            <v>SKLADEM</v>
          </cell>
          <cell r="D1475">
            <v>0</v>
          </cell>
        </row>
        <row r="1476">
          <cell r="A1476" t="str">
            <v>CS503X12</v>
          </cell>
          <cell r="B1476" t="str">
            <v>VYPRODÁNO</v>
          </cell>
          <cell r="D1476">
            <v>0</v>
          </cell>
        </row>
        <row r="1477">
          <cell r="A1477" t="str">
            <v>CS503X13</v>
          </cell>
          <cell r="B1477" t="str">
            <v>VYPRODÁNO</v>
          </cell>
          <cell r="D1477">
            <v>0</v>
          </cell>
        </row>
        <row r="1478">
          <cell r="A1478" t="str">
            <v>CS503X14</v>
          </cell>
          <cell r="B1478" t="str">
            <v>SKLADEM</v>
          </cell>
          <cell r="D1478">
            <v>0</v>
          </cell>
        </row>
        <row r="1479">
          <cell r="A1479" t="str">
            <v>CS503X15</v>
          </cell>
          <cell r="B1479" t="str">
            <v>SKLADEM</v>
          </cell>
          <cell r="D1479">
            <v>0</v>
          </cell>
        </row>
        <row r="1480">
          <cell r="A1480" t="str">
            <v>CS503X16</v>
          </cell>
          <cell r="B1480" t="str">
            <v>VYPRODÁNO</v>
          </cell>
          <cell r="D1480">
            <v>0</v>
          </cell>
        </row>
        <row r="1481">
          <cell r="A1481" t="str">
            <v>CS503X17</v>
          </cell>
          <cell r="B1481" t="str">
            <v>VYPRODÁNO</v>
          </cell>
          <cell r="D1481">
            <v>0</v>
          </cell>
        </row>
        <row r="1482">
          <cell r="A1482" t="str">
            <v>CS503X18</v>
          </cell>
          <cell r="B1482" t="str">
            <v>VYPRODÁNO</v>
          </cell>
          <cell r="D1482">
            <v>0</v>
          </cell>
        </row>
        <row r="1483">
          <cell r="A1483" t="str">
            <v>CS503X19</v>
          </cell>
          <cell r="B1483" t="str">
            <v>SKLADEM</v>
          </cell>
          <cell r="D1483">
            <v>0</v>
          </cell>
        </row>
        <row r="1484">
          <cell r="A1484" t="str">
            <v>CS503X20</v>
          </cell>
          <cell r="B1484" t="str">
            <v>VYPRODÁNO</v>
          </cell>
          <cell r="D1484">
            <v>0</v>
          </cell>
        </row>
        <row r="1485">
          <cell r="A1485" t="str">
            <v>CS503X21</v>
          </cell>
          <cell r="B1485" t="str">
            <v>VYPRODÁNO</v>
          </cell>
          <cell r="D1485">
            <v>0</v>
          </cell>
        </row>
        <row r="1486">
          <cell r="A1486" t="str">
            <v>CS503X22</v>
          </cell>
          <cell r="B1486" t="str">
            <v>VYPRODÁNO</v>
          </cell>
          <cell r="D1486">
            <v>0</v>
          </cell>
        </row>
        <row r="1487">
          <cell r="A1487" t="str">
            <v>CS503X23</v>
          </cell>
          <cell r="B1487" t="str">
            <v>VYPRODÁNO</v>
          </cell>
          <cell r="D1487">
            <v>0</v>
          </cell>
        </row>
        <row r="1488">
          <cell r="A1488" t="str">
            <v>CS503X24</v>
          </cell>
          <cell r="B1488" t="str">
            <v>VYPRODÁNO</v>
          </cell>
          <cell r="D1488">
            <v>0</v>
          </cell>
        </row>
        <row r="1489">
          <cell r="A1489" t="str">
            <v>CS503X25</v>
          </cell>
          <cell r="B1489" t="str">
            <v>VYPRODÁNO</v>
          </cell>
          <cell r="D1489">
            <v>0</v>
          </cell>
        </row>
        <row r="1490">
          <cell r="A1490" t="str">
            <v>CS503X26</v>
          </cell>
          <cell r="B1490" t="str">
            <v>SKLADEM</v>
          </cell>
          <cell r="D1490">
            <v>0</v>
          </cell>
        </row>
        <row r="1491">
          <cell r="A1491" t="str">
            <v>CS503X27</v>
          </cell>
          <cell r="B1491" t="str">
            <v>VYPRODÁNO</v>
          </cell>
          <cell r="D1491">
            <v>0</v>
          </cell>
        </row>
        <row r="1492">
          <cell r="A1492" t="str">
            <v>CS503X28</v>
          </cell>
          <cell r="B1492" t="str">
            <v>VYPRODÁNO</v>
          </cell>
          <cell r="D1492">
            <v>0</v>
          </cell>
        </row>
        <row r="1493">
          <cell r="A1493" t="str">
            <v>CS503X29</v>
          </cell>
          <cell r="B1493" t="str">
            <v>VYPRODÁNO</v>
          </cell>
          <cell r="D1493">
            <v>0</v>
          </cell>
        </row>
        <row r="1494">
          <cell r="A1494" t="str">
            <v>CS503X31</v>
          </cell>
          <cell r="B1494" t="str">
            <v>VYPRODÁNO</v>
          </cell>
          <cell r="D1494">
            <v>0</v>
          </cell>
        </row>
        <row r="1495">
          <cell r="A1495" t="str">
            <v>CS503X32</v>
          </cell>
          <cell r="B1495" t="str">
            <v>VYPRODÁNO</v>
          </cell>
          <cell r="D1495">
            <v>0</v>
          </cell>
        </row>
        <row r="1496">
          <cell r="A1496" t="str">
            <v>CS503X33</v>
          </cell>
          <cell r="B1496" t="str">
            <v>SKLADEM</v>
          </cell>
          <cell r="D1496">
            <v>0</v>
          </cell>
        </row>
        <row r="1497">
          <cell r="A1497" t="str">
            <v>CS503X34</v>
          </cell>
          <cell r="B1497" t="str">
            <v>VYPRODÁNO</v>
          </cell>
          <cell r="D1497">
            <v>0</v>
          </cell>
        </row>
        <row r="1498">
          <cell r="A1498" t="str">
            <v>CS503X35</v>
          </cell>
          <cell r="B1498" t="str">
            <v>VYPRODÁNO</v>
          </cell>
          <cell r="D1498">
            <v>0</v>
          </cell>
        </row>
        <row r="1499">
          <cell r="A1499" t="str">
            <v>CS503X36</v>
          </cell>
          <cell r="B1499" t="str">
            <v>VYPRODÁNO</v>
          </cell>
          <cell r="D1499">
            <v>0</v>
          </cell>
        </row>
        <row r="1500">
          <cell r="A1500" t="str">
            <v>CS503X37</v>
          </cell>
          <cell r="B1500" t="str">
            <v>VYPRODÁNO</v>
          </cell>
          <cell r="D1500">
            <v>0</v>
          </cell>
        </row>
        <row r="1501">
          <cell r="A1501" t="str">
            <v>CS503X38</v>
          </cell>
          <cell r="B1501" t="str">
            <v>SKLADEM</v>
          </cell>
          <cell r="D1501">
            <v>0</v>
          </cell>
        </row>
        <row r="1502">
          <cell r="A1502" t="str">
            <v>CS503X52</v>
          </cell>
          <cell r="B1502" t="str">
            <v>VYPRODÁNO</v>
          </cell>
          <cell r="D1502">
            <v>0</v>
          </cell>
        </row>
        <row r="1503">
          <cell r="A1503" t="str">
            <v>CS503X55</v>
          </cell>
          <cell r="B1503" t="str">
            <v>VYPRODÁNO</v>
          </cell>
          <cell r="D1503">
            <v>0</v>
          </cell>
        </row>
        <row r="1504">
          <cell r="A1504" t="str">
            <v>CS503X8</v>
          </cell>
          <cell r="B1504" t="str">
            <v>SKLADEM</v>
          </cell>
          <cell r="D1504">
            <v>0</v>
          </cell>
        </row>
        <row r="1505">
          <cell r="A1505" t="str">
            <v>CS503X9</v>
          </cell>
          <cell r="B1505" t="str">
            <v>SKLADEM</v>
          </cell>
          <cell r="D1505">
            <v>0</v>
          </cell>
        </row>
        <row r="1506">
          <cell r="A1506" t="str">
            <v>CSS13A</v>
          </cell>
          <cell r="B1506" t="str">
            <v>VYPRODÁNO</v>
          </cell>
          <cell r="D1506">
            <v>0</v>
          </cell>
        </row>
        <row r="1507">
          <cell r="A1507" t="str">
            <v>CSS13B</v>
          </cell>
          <cell r="B1507" t="str">
            <v>VYPRODÁNO</v>
          </cell>
          <cell r="D1507">
            <v>0</v>
          </cell>
        </row>
        <row r="1508">
          <cell r="A1508" t="str">
            <v>CSS13C</v>
          </cell>
          <cell r="B1508" t="str">
            <v>VYPRODÁNO</v>
          </cell>
          <cell r="D1508">
            <v>0</v>
          </cell>
        </row>
        <row r="1509">
          <cell r="A1509" t="str">
            <v>CSS13D</v>
          </cell>
          <cell r="B1509" t="str">
            <v>VYPRODÁNO</v>
          </cell>
          <cell r="D1509">
            <v>0</v>
          </cell>
        </row>
        <row r="1510">
          <cell r="A1510" t="str">
            <v>CSS13E</v>
          </cell>
          <cell r="B1510" t="str">
            <v>VYPRODÁNO</v>
          </cell>
          <cell r="D1510">
            <v>0</v>
          </cell>
        </row>
        <row r="1511">
          <cell r="A1511" t="str">
            <v>CSS13F</v>
          </cell>
          <cell r="B1511" t="str">
            <v>VYPRODÁNO</v>
          </cell>
          <cell r="D1511">
            <v>0</v>
          </cell>
        </row>
        <row r="1512">
          <cell r="A1512" t="str">
            <v>CSS15D</v>
          </cell>
          <cell r="B1512" t="str">
            <v>VYPRODÁNO</v>
          </cell>
          <cell r="D1512">
            <v>0</v>
          </cell>
        </row>
        <row r="1513">
          <cell r="A1513" t="str">
            <v>CSS15F</v>
          </cell>
          <cell r="B1513" t="str">
            <v>VYPRODÁNO</v>
          </cell>
          <cell r="D1513">
            <v>0</v>
          </cell>
        </row>
        <row r="1514">
          <cell r="A1514" t="str">
            <v>CSS15H</v>
          </cell>
          <cell r="B1514" t="str">
            <v>VYPRODÁNO</v>
          </cell>
          <cell r="D1514">
            <v>0</v>
          </cell>
        </row>
        <row r="1515">
          <cell r="A1515" t="str">
            <v>CSS57A</v>
          </cell>
          <cell r="B1515" t="str">
            <v>VYPRODÁNO</v>
          </cell>
          <cell r="D1515">
            <v>0</v>
          </cell>
        </row>
        <row r="1516">
          <cell r="A1516" t="str">
            <v>CSS5B</v>
          </cell>
          <cell r="B1516" t="str">
            <v>VYPRODÁNO</v>
          </cell>
          <cell r="D1516">
            <v>0</v>
          </cell>
        </row>
        <row r="1517">
          <cell r="A1517" t="str">
            <v>CSS7DA</v>
          </cell>
          <cell r="B1517" t="str">
            <v>VYPRODÁNO</v>
          </cell>
          <cell r="D1517">
            <v>0</v>
          </cell>
        </row>
        <row r="1518">
          <cell r="A1518" t="str">
            <v>CSS8A</v>
          </cell>
          <cell r="B1518" t="str">
            <v>VYPRODÁNO</v>
          </cell>
          <cell r="D1518">
            <v>0</v>
          </cell>
        </row>
        <row r="1519">
          <cell r="A1519" t="str">
            <v>CSS8B</v>
          </cell>
          <cell r="B1519" t="str">
            <v>VYPRODÁNO</v>
          </cell>
          <cell r="D1519">
            <v>0</v>
          </cell>
        </row>
        <row r="1520">
          <cell r="A1520" t="str">
            <v>CSS8C</v>
          </cell>
          <cell r="B1520" t="str">
            <v>VYPRODÁNO</v>
          </cell>
          <cell r="D1520">
            <v>0</v>
          </cell>
        </row>
        <row r="1521">
          <cell r="A1521" t="str">
            <v>CSS8D</v>
          </cell>
          <cell r="B1521" t="str">
            <v>VYPRODÁNO</v>
          </cell>
          <cell r="D1521">
            <v>0</v>
          </cell>
        </row>
        <row r="1522">
          <cell r="A1522" t="str">
            <v>CST12S</v>
          </cell>
          <cell r="B1522" t="str">
            <v>SKLADEM</v>
          </cell>
          <cell r="D1522">
            <v>0</v>
          </cell>
        </row>
        <row r="1523">
          <cell r="A1523" t="str">
            <v>CT1920A E</v>
          </cell>
          <cell r="B1523" t="str">
            <v>VYPRODÁNO</v>
          </cell>
          <cell r="D1523">
            <v>0</v>
          </cell>
        </row>
        <row r="1524">
          <cell r="A1524" t="str">
            <v>CT1930XB</v>
          </cell>
          <cell r="B1524" t="str">
            <v>VYPRODÁNO</v>
          </cell>
          <cell r="D1524">
            <v>0</v>
          </cell>
        </row>
        <row r="1525">
          <cell r="A1525" t="str">
            <v>CT2526A E</v>
          </cell>
          <cell r="B1525" t="str">
            <v>VYPRODÁNO</v>
          </cell>
          <cell r="D1525">
            <v>0</v>
          </cell>
        </row>
        <row r="1526">
          <cell r="A1526" t="str">
            <v>CT2526B E</v>
          </cell>
          <cell r="B1526" t="str">
            <v>VYPRODÁNO</v>
          </cell>
          <cell r="D1526">
            <v>0</v>
          </cell>
        </row>
        <row r="1527">
          <cell r="A1527" t="str">
            <v>CT3630A E</v>
          </cell>
          <cell r="B1527" t="str">
            <v>VYPRODÁNO</v>
          </cell>
          <cell r="D1527">
            <v>0</v>
          </cell>
        </row>
        <row r="1528">
          <cell r="A1528" t="str">
            <v>CT3630B E</v>
          </cell>
          <cell r="B1528" t="str">
            <v>VYPRODÁNO</v>
          </cell>
          <cell r="D1528">
            <v>0</v>
          </cell>
        </row>
        <row r="1529">
          <cell r="A1529" t="str">
            <v>CT3630XD</v>
          </cell>
          <cell r="B1529" t="str">
            <v>VYPRODÁNO</v>
          </cell>
          <cell r="D1529">
            <v>0</v>
          </cell>
        </row>
        <row r="1530">
          <cell r="A1530" t="str">
            <v>CT3630XE</v>
          </cell>
          <cell r="B1530" t="str">
            <v>VYPRODÁNO</v>
          </cell>
          <cell r="D1530">
            <v>0</v>
          </cell>
        </row>
        <row r="1531">
          <cell r="A1531" t="str">
            <v>CT4826A E</v>
          </cell>
          <cell r="B1531" t="str">
            <v>VYPRODÁNO</v>
          </cell>
          <cell r="D1531">
            <v>0</v>
          </cell>
        </row>
        <row r="1532">
          <cell r="A1532" t="str">
            <v>CT4830B E</v>
          </cell>
          <cell r="B1532" t="str">
            <v>VYPRODÁNO</v>
          </cell>
          <cell r="D1532">
            <v>0</v>
          </cell>
        </row>
        <row r="1533">
          <cell r="A1533" t="str">
            <v>CV1003A</v>
          </cell>
          <cell r="B1533" t="str">
            <v>VYPRODÁNO</v>
          </cell>
          <cell r="D1533">
            <v>0</v>
          </cell>
        </row>
        <row r="1534">
          <cell r="A1534" t="str">
            <v>CV1003X39</v>
          </cell>
          <cell r="B1534" t="str">
            <v>VYPRODÁNO</v>
          </cell>
          <cell r="D1534">
            <v>0</v>
          </cell>
        </row>
        <row r="1535">
          <cell r="A1535" t="str">
            <v>CV1003X40</v>
          </cell>
          <cell r="B1535" t="str">
            <v>VYPRODÁNO</v>
          </cell>
          <cell r="D1535">
            <v>0</v>
          </cell>
        </row>
        <row r="1536">
          <cell r="A1536" t="str">
            <v>CV1003X41</v>
          </cell>
          <cell r="B1536" t="str">
            <v>VYPRODÁNO</v>
          </cell>
          <cell r="D1536">
            <v>0</v>
          </cell>
        </row>
        <row r="1537">
          <cell r="A1537" t="str">
            <v>CV1003X43</v>
          </cell>
          <cell r="B1537" t="str">
            <v>VYPRODÁNO</v>
          </cell>
          <cell r="D1537">
            <v>0</v>
          </cell>
        </row>
        <row r="1538">
          <cell r="A1538" t="str">
            <v>CV1003X44</v>
          </cell>
          <cell r="B1538" t="str">
            <v>VYPRODÁNO</v>
          </cell>
          <cell r="D1538">
            <v>0</v>
          </cell>
        </row>
        <row r="1539">
          <cell r="A1539" t="str">
            <v>CV1003X45</v>
          </cell>
          <cell r="B1539" t="str">
            <v>VYPRODÁNO</v>
          </cell>
          <cell r="D1539">
            <v>0</v>
          </cell>
        </row>
        <row r="1540">
          <cell r="A1540" t="str">
            <v>CV503X39</v>
          </cell>
          <cell r="B1540" t="str">
            <v>VYPRODÁNO</v>
          </cell>
          <cell r="D1540">
            <v>0</v>
          </cell>
        </row>
        <row r="1541">
          <cell r="A1541" t="str">
            <v>CV503X40</v>
          </cell>
          <cell r="B1541" t="str">
            <v>VYPRODÁNO</v>
          </cell>
          <cell r="D1541">
            <v>0</v>
          </cell>
        </row>
        <row r="1542">
          <cell r="A1542" t="str">
            <v>CV503X41</v>
          </cell>
          <cell r="B1542" t="str">
            <v>VYPRODÁNO</v>
          </cell>
          <cell r="D1542">
            <v>0</v>
          </cell>
        </row>
        <row r="1543">
          <cell r="A1543" t="str">
            <v>CV503X42</v>
          </cell>
          <cell r="B1543" t="str">
            <v>VYPRODÁNO</v>
          </cell>
          <cell r="D1543">
            <v>0</v>
          </cell>
        </row>
        <row r="1544">
          <cell r="A1544" t="str">
            <v>CV503X43</v>
          </cell>
          <cell r="B1544" t="str">
            <v>VYPRODÁNO</v>
          </cell>
          <cell r="D1544">
            <v>0</v>
          </cell>
        </row>
        <row r="1545">
          <cell r="A1545" t="str">
            <v>CV503X44</v>
          </cell>
          <cell r="B1545" t="str">
            <v>VYPRODÁNO</v>
          </cell>
          <cell r="D1545">
            <v>0</v>
          </cell>
        </row>
        <row r="1546">
          <cell r="A1546" t="str">
            <v>CV503X45</v>
          </cell>
          <cell r="B1546" t="str">
            <v>VYPRODÁNO</v>
          </cell>
          <cell r="D1546">
            <v>0</v>
          </cell>
        </row>
        <row r="1547">
          <cell r="A1547" t="str">
            <v>CW1003X14</v>
          </cell>
          <cell r="B1547" t="str">
            <v>VYPRODÁNO</v>
          </cell>
          <cell r="D1547">
            <v>0</v>
          </cell>
        </row>
        <row r="1548">
          <cell r="A1548" t="str">
            <v>CW1003X47</v>
          </cell>
          <cell r="B1548" t="str">
            <v>VYPRODÁNO</v>
          </cell>
          <cell r="D1548">
            <v>0</v>
          </cell>
        </row>
        <row r="1549">
          <cell r="A1549" t="str">
            <v>CW30020A</v>
          </cell>
          <cell r="B1549" t="str">
            <v>VYPRODÁNO</v>
          </cell>
          <cell r="D1549">
            <v>0</v>
          </cell>
        </row>
        <row r="1550">
          <cell r="A1550" t="str">
            <v>CW503X14</v>
          </cell>
          <cell r="B1550" t="str">
            <v>VYPRODÁNO</v>
          </cell>
          <cell r="D1550">
            <v>0</v>
          </cell>
        </row>
        <row r="1551">
          <cell r="A1551" t="str">
            <v>CW503X47</v>
          </cell>
          <cell r="B1551" t="str">
            <v>VYPRODÁNO</v>
          </cell>
          <cell r="D1551">
            <v>0</v>
          </cell>
        </row>
        <row r="1552">
          <cell r="A1552" t="str">
            <v>CX1003X46</v>
          </cell>
          <cell r="B1552" t="str">
            <v>VYPRODÁNO</v>
          </cell>
          <cell r="D1552">
            <v>0</v>
          </cell>
        </row>
        <row r="1553">
          <cell r="A1553" t="str">
            <v>CX1003X49</v>
          </cell>
          <cell r="B1553" t="str">
            <v>VYPRODÁNO</v>
          </cell>
          <cell r="D1553">
            <v>0</v>
          </cell>
        </row>
        <row r="1554">
          <cell r="A1554" t="str">
            <v>CX1352X1</v>
          </cell>
          <cell r="B1554" t="str">
            <v>VYPRODÁNO</v>
          </cell>
          <cell r="D1554">
            <v>0</v>
          </cell>
        </row>
        <row r="1555">
          <cell r="A1555" t="str">
            <v>CX1352X11</v>
          </cell>
          <cell r="B1555" t="str">
            <v>31.08.2026</v>
          </cell>
          <cell r="C1555">
            <v>158</v>
          </cell>
          <cell r="D1555">
            <v>0</v>
          </cell>
        </row>
        <row r="1556">
          <cell r="A1556" t="str">
            <v>CX1352X2</v>
          </cell>
          <cell r="B1556" t="str">
            <v>SKLADEM</v>
          </cell>
          <cell r="D1556">
            <v>0</v>
          </cell>
        </row>
        <row r="1557">
          <cell r="A1557" t="str">
            <v>CX1352X3</v>
          </cell>
          <cell r="B1557" t="str">
            <v>VYPRODÁNO</v>
          </cell>
          <cell r="D1557">
            <v>0</v>
          </cell>
        </row>
        <row r="1558">
          <cell r="A1558" t="str">
            <v>CX1620D</v>
          </cell>
          <cell r="B1558" t="str">
            <v>SKLADEM</v>
          </cell>
          <cell r="D1558">
            <v>0</v>
          </cell>
        </row>
        <row r="1559">
          <cell r="A1559" t="str">
            <v>CX1620X</v>
          </cell>
          <cell r="B1559" t="str">
            <v>SKLADEM</v>
          </cell>
          <cell r="D1559">
            <v>0</v>
          </cell>
        </row>
        <row r="1560">
          <cell r="A1560" t="str">
            <v>CX2702X1</v>
          </cell>
          <cell r="B1560" t="str">
            <v>VYPRODÁNO</v>
          </cell>
          <cell r="D1560">
            <v>0</v>
          </cell>
        </row>
        <row r="1561">
          <cell r="A1561" t="str">
            <v>CX2702X11</v>
          </cell>
          <cell r="B1561" t="str">
            <v>VYPRODÁNO</v>
          </cell>
          <cell r="D1561">
            <v>0</v>
          </cell>
        </row>
        <row r="1562">
          <cell r="A1562" t="str">
            <v>CX2702X2</v>
          </cell>
          <cell r="B1562" t="str">
            <v>VYPRODÁNO</v>
          </cell>
          <cell r="D1562">
            <v>0</v>
          </cell>
        </row>
        <row r="1563">
          <cell r="A1563" t="str">
            <v>CX2702X3</v>
          </cell>
          <cell r="B1563" t="str">
            <v>VYPRODÁNO</v>
          </cell>
          <cell r="D1563">
            <v>0</v>
          </cell>
        </row>
        <row r="1564">
          <cell r="A1564" t="str">
            <v>CX503X46</v>
          </cell>
          <cell r="B1564" t="str">
            <v>VYPRODÁNO</v>
          </cell>
          <cell r="D1564">
            <v>0</v>
          </cell>
        </row>
        <row r="1565">
          <cell r="A1565" t="str">
            <v>CX503X49</v>
          </cell>
          <cell r="B1565" t="str">
            <v>VYPRODÁNO</v>
          </cell>
          <cell r="D1565">
            <v>0</v>
          </cell>
        </row>
        <row r="1566">
          <cell r="A1566" t="str">
            <v>D1D</v>
          </cell>
          <cell r="B1566" t="str">
            <v>06.04.2026</v>
          </cell>
          <cell r="C1566">
            <v>11</v>
          </cell>
          <cell r="D1566" t="str">
            <v>100+</v>
          </cell>
        </row>
        <row r="1567">
          <cell r="A1567" t="str">
            <v>D1D(1)</v>
          </cell>
          <cell r="B1567" t="str">
            <v>VYPRODÁNO</v>
          </cell>
          <cell r="D1567">
            <v>0</v>
          </cell>
        </row>
        <row r="1568">
          <cell r="A1568" t="str">
            <v>D1D(2)</v>
          </cell>
          <cell r="B1568" t="str">
            <v>VYPRODÁNO</v>
          </cell>
          <cell r="D1568">
            <v>0</v>
          </cell>
        </row>
        <row r="1569">
          <cell r="A1569" t="str">
            <v>D1M E</v>
          </cell>
          <cell r="B1569" t="str">
            <v>VYPRODÁNO</v>
          </cell>
          <cell r="D1569">
            <v>0</v>
          </cell>
        </row>
        <row r="1570">
          <cell r="A1570" t="str">
            <v>D2C</v>
          </cell>
          <cell r="B1570" t="str">
            <v>06.04.2026</v>
          </cell>
          <cell r="C1570">
            <v>11</v>
          </cell>
          <cell r="D1570" t="str">
            <v>100+</v>
          </cell>
        </row>
        <row r="1571">
          <cell r="A1571" t="str">
            <v>D2C(1)</v>
          </cell>
          <cell r="B1571" t="str">
            <v>VYPRODÁNO</v>
          </cell>
          <cell r="D1571">
            <v>0</v>
          </cell>
        </row>
        <row r="1572">
          <cell r="A1572" t="str">
            <v>D2CN</v>
          </cell>
          <cell r="B1572" t="str">
            <v>VYPRODÁNO</v>
          </cell>
          <cell r="D1572">
            <v>0</v>
          </cell>
        </row>
        <row r="1573">
          <cell r="A1573" t="str">
            <v>D2CN(1)</v>
          </cell>
          <cell r="B1573" t="str">
            <v>SKLADEM</v>
          </cell>
          <cell r="D1573">
            <v>0</v>
          </cell>
        </row>
        <row r="1574">
          <cell r="A1574" t="str">
            <v>D3SK</v>
          </cell>
          <cell r="B1574" t="str">
            <v>06.04.2026</v>
          </cell>
          <cell r="C1574">
            <v>11</v>
          </cell>
          <cell r="D1574" t="str">
            <v>100+</v>
          </cell>
        </row>
        <row r="1575">
          <cell r="A1575" t="str">
            <v>DBB1E</v>
          </cell>
          <cell r="B1575" t="str">
            <v>SKLADEM</v>
          </cell>
          <cell r="D1575">
            <v>0</v>
          </cell>
        </row>
        <row r="1576">
          <cell r="A1576" t="str">
            <v>DBP1</v>
          </cell>
          <cell r="B1576" t="str">
            <v>VYPRODÁNO</v>
          </cell>
          <cell r="D1576">
            <v>0</v>
          </cell>
        </row>
        <row r="1577">
          <cell r="A1577" t="str">
            <v>DD1</v>
          </cell>
          <cell r="B1577" t="str">
            <v>SKLADEM</v>
          </cell>
          <cell r="D1577">
            <v>0</v>
          </cell>
        </row>
        <row r="1578">
          <cell r="A1578" t="str">
            <v>DF10CM</v>
          </cell>
          <cell r="B1578" t="str">
            <v>SKLADEM</v>
          </cell>
          <cell r="D1578">
            <v>0</v>
          </cell>
        </row>
        <row r="1579">
          <cell r="A1579" t="str">
            <v>DF10CM E</v>
          </cell>
          <cell r="B1579" t="str">
            <v>SKLADEM</v>
          </cell>
          <cell r="D1579">
            <v>0</v>
          </cell>
        </row>
        <row r="1580">
          <cell r="A1580" t="str">
            <v>DF10CM(1)</v>
          </cell>
          <cell r="B1580" t="str">
            <v>VYPRODÁNO</v>
          </cell>
          <cell r="D1580">
            <v>0</v>
          </cell>
        </row>
        <row r="1581">
          <cell r="A1581" t="str">
            <v>DF12CM</v>
          </cell>
          <cell r="B1581" t="str">
            <v>VYPRODÁNO</v>
          </cell>
          <cell r="D1581">
            <v>0</v>
          </cell>
        </row>
        <row r="1582">
          <cell r="A1582" t="str">
            <v>DF12CM0</v>
          </cell>
          <cell r="B1582" t="str">
            <v>VYPRODÁNO</v>
          </cell>
          <cell r="D1582">
            <v>0</v>
          </cell>
        </row>
        <row r="1583">
          <cell r="A1583" t="str">
            <v>DF12CM0-9</v>
          </cell>
          <cell r="B1583" t="str">
            <v>VYPRODÁNO</v>
          </cell>
          <cell r="D1583">
            <v>0</v>
          </cell>
        </row>
        <row r="1584">
          <cell r="A1584" t="str">
            <v>DF12CM1</v>
          </cell>
          <cell r="B1584" t="str">
            <v>VYPRODÁNO</v>
          </cell>
          <cell r="D1584">
            <v>0</v>
          </cell>
        </row>
        <row r="1585">
          <cell r="A1585" t="str">
            <v>DF12CM2</v>
          </cell>
          <cell r="B1585" t="str">
            <v>VYPRODÁNO</v>
          </cell>
          <cell r="D1585">
            <v>0</v>
          </cell>
        </row>
        <row r="1586">
          <cell r="A1586" t="str">
            <v>DF12CM3</v>
          </cell>
          <cell r="B1586" t="str">
            <v>VYPRODÁNO</v>
          </cell>
          <cell r="D1586">
            <v>0</v>
          </cell>
        </row>
        <row r="1587">
          <cell r="A1587" t="str">
            <v>DF12CM4</v>
          </cell>
          <cell r="B1587" t="str">
            <v>VYPRODÁNO</v>
          </cell>
          <cell r="D1587">
            <v>0</v>
          </cell>
        </row>
        <row r="1588">
          <cell r="A1588" t="str">
            <v>DF12CM5</v>
          </cell>
          <cell r="B1588" t="str">
            <v>VYPRODÁNO</v>
          </cell>
          <cell r="D1588">
            <v>0</v>
          </cell>
        </row>
        <row r="1589">
          <cell r="A1589" t="str">
            <v>DF12CM6</v>
          </cell>
          <cell r="B1589" t="str">
            <v>VYPRODÁNO</v>
          </cell>
          <cell r="D1589">
            <v>0</v>
          </cell>
        </row>
        <row r="1590">
          <cell r="A1590" t="str">
            <v>DF12CM7</v>
          </cell>
          <cell r="B1590" t="str">
            <v>VYPRODÁNO</v>
          </cell>
          <cell r="D1590">
            <v>0</v>
          </cell>
        </row>
        <row r="1591">
          <cell r="A1591" t="str">
            <v>DF12CM8</v>
          </cell>
          <cell r="B1591" t="str">
            <v>VYPRODÁNO</v>
          </cell>
          <cell r="D1591">
            <v>0</v>
          </cell>
        </row>
        <row r="1592">
          <cell r="A1592" t="str">
            <v>DF12CM9</v>
          </cell>
          <cell r="B1592" t="str">
            <v>VYPRODÁNO</v>
          </cell>
          <cell r="D1592">
            <v>0</v>
          </cell>
        </row>
        <row r="1593">
          <cell r="A1593" t="str">
            <v>DF15CM</v>
          </cell>
          <cell r="B1593" t="str">
            <v>VYPRODÁNO</v>
          </cell>
          <cell r="D1593">
            <v>0</v>
          </cell>
        </row>
        <row r="1594">
          <cell r="A1594" t="str">
            <v>DF15CM(1)</v>
          </cell>
          <cell r="B1594" t="str">
            <v>VYPRODÁNO</v>
          </cell>
          <cell r="D1594">
            <v>0</v>
          </cell>
        </row>
        <row r="1595">
          <cell r="A1595" t="str">
            <v>DF20CM</v>
          </cell>
          <cell r="B1595" t="str">
            <v>SKLADEM</v>
          </cell>
          <cell r="D1595">
            <v>0</v>
          </cell>
        </row>
        <row r="1596">
          <cell r="A1596" t="str">
            <v>DF20CM E</v>
          </cell>
          <cell r="B1596" t="str">
            <v>VYPRODÁNO</v>
          </cell>
          <cell r="D1596">
            <v>0</v>
          </cell>
        </row>
        <row r="1597">
          <cell r="A1597" t="str">
            <v>DF20CM(1)</v>
          </cell>
          <cell r="B1597" t="str">
            <v>VYPRODÁNO</v>
          </cell>
          <cell r="D1597">
            <v>0</v>
          </cell>
        </row>
        <row r="1598">
          <cell r="A1598" t="str">
            <v>DF20CM(2)</v>
          </cell>
          <cell r="B1598" t="str">
            <v>VYPRODÁNO</v>
          </cell>
          <cell r="D1598">
            <v>0</v>
          </cell>
        </row>
        <row r="1599">
          <cell r="A1599" t="str">
            <v>DF20CM(3)</v>
          </cell>
          <cell r="B1599" t="str">
            <v>VYPRODÁNO</v>
          </cell>
          <cell r="D1599">
            <v>0</v>
          </cell>
        </row>
        <row r="1600">
          <cell r="A1600" t="str">
            <v>DF20CM1S</v>
          </cell>
          <cell r="B1600" t="str">
            <v>VYPRODÁNO</v>
          </cell>
          <cell r="D1600">
            <v>0</v>
          </cell>
        </row>
        <row r="1601">
          <cell r="A1601" t="str">
            <v>DF20CM1Z</v>
          </cell>
          <cell r="B1601" t="str">
            <v>VYPRODÁNO</v>
          </cell>
          <cell r="D1601">
            <v>0</v>
          </cell>
        </row>
        <row r="1602">
          <cell r="A1602" t="str">
            <v>DF20CM-O</v>
          </cell>
          <cell r="B1602" t="str">
            <v>VYPRODÁNO</v>
          </cell>
          <cell r="D1602">
            <v>0</v>
          </cell>
        </row>
        <row r="1603">
          <cell r="A1603" t="str">
            <v>DF30CM</v>
          </cell>
          <cell r="B1603" t="str">
            <v>SKLADEM</v>
          </cell>
          <cell r="D1603">
            <v>0</v>
          </cell>
        </row>
        <row r="1604">
          <cell r="A1604" t="str">
            <v>DF30CM(1)</v>
          </cell>
          <cell r="B1604" t="str">
            <v>VYPRODÁNO</v>
          </cell>
          <cell r="D1604">
            <v>0</v>
          </cell>
        </row>
        <row r="1605">
          <cell r="A1605" t="str">
            <v>DP1B</v>
          </cell>
          <cell r="B1605" t="str">
            <v>VYPRODÁNO</v>
          </cell>
          <cell r="D1605">
            <v>0</v>
          </cell>
        </row>
        <row r="1606">
          <cell r="A1606" t="str">
            <v>DP1B SK</v>
          </cell>
          <cell r="B1606" t="str">
            <v>VYPRODÁNO</v>
          </cell>
          <cell r="D1606">
            <v>0</v>
          </cell>
        </row>
        <row r="1607">
          <cell r="A1607" t="str">
            <v>DP1BP</v>
          </cell>
          <cell r="B1607" t="str">
            <v>31.08.2026</v>
          </cell>
          <cell r="C1607">
            <v>158</v>
          </cell>
          <cell r="D1607">
            <v>0</v>
          </cell>
        </row>
        <row r="1608">
          <cell r="A1608" t="str">
            <v>DP1BP(1)</v>
          </cell>
          <cell r="B1608" t="str">
            <v>VYPRODÁNO</v>
          </cell>
          <cell r="D1608">
            <v>0</v>
          </cell>
        </row>
        <row r="1609">
          <cell r="A1609" t="str">
            <v>DP1BS</v>
          </cell>
          <cell r="B1609" t="str">
            <v>VYPRODÁNO</v>
          </cell>
          <cell r="D1609">
            <v>0</v>
          </cell>
        </row>
        <row r="1610">
          <cell r="A1610" t="str">
            <v>DP1BS(1)</v>
          </cell>
          <cell r="B1610" t="str">
            <v>DOCHÁZÍ</v>
          </cell>
          <cell r="D1610">
            <v>0</v>
          </cell>
          <cell r="E1610">
            <v>16</v>
          </cell>
        </row>
        <row r="1611">
          <cell r="A1611" t="str">
            <v>DP1CB</v>
          </cell>
          <cell r="B1611" t="str">
            <v>SKLADEM</v>
          </cell>
          <cell r="D1611">
            <v>0</v>
          </cell>
        </row>
        <row r="1612">
          <cell r="A1612" t="str">
            <v>DP1CB(1)</v>
          </cell>
          <cell r="B1612" t="str">
            <v>31.08.2026</v>
          </cell>
          <cell r="C1612">
            <v>158</v>
          </cell>
          <cell r="D1612">
            <v>0</v>
          </cell>
        </row>
        <row r="1613">
          <cell r="A1613" t="str">
            <v>DP1EM</v>
          </cell>
          <cell r="B1613" t="str">
            <v>SKLADEM</v>
          </cell>
          <cell r="D1613">
            <v>0</v>
          </cell>
        </row>
        <row r="1614">
          <cell r="A1614" t="str">
            <v>DP1FD</v>
          </cell>
          <cell r="B1614" t="str">
            <v>SKLADEM</v>
          </cell>
          <cell r="D1614">
            <v>0</v>
          </cell>
        </row>
        <row r="1615">
          <cell r="A1615" t="str">
            <v>DP1FD E</v>
          </cell>
          <cell r="B1615" t="str">
            <v>VYPRODÁNO</v>
          </cell>
          <cell r="D1615">
            <v>0</v>
          </cell>
        </row>
        <row r="1616">
          <cell r="A1616" t="str">
            <v>DP1FM</v>
          </cell>
          <cell r="B1616" t="str">
            <v>SKLADEM</v>
          </cell>
          <cell r="D1616">
            <v>0</v>
          </cell>
        </row>
        <row r="1617">
          <cell r="A1617" t="str">
            <v>DP1FR</v>
          </cell>
          <cell r="B1617" t="str">
            <v>SKLADEM</v>
          </cell>
          <cell r="D1617">
            <v>0</v>
          </cell>
        </row>
        <row r="1618">
          <cell r="A1618" t="str">
            <v>DP1FR E</v>
          </cell>
          <cell r="B1618" t="str">
            <v>VYPRODÁNO</v>
          </cell>
          <cell r="D1618">
            <v>0</v>
          </cell>
        </row>
        <row r="1619">
          <cell r="A1619" t="str">
            <v>DP1FR(1)</v>
          </cell>
          <cell r="B1619" t="str">
            <v>VYPRODÁNO</v>
          </cell>
          <cell r="D1619">
            <v>0</v>
          </cell>
        </row>
        <row r="1620">
          <cell r="A1620" t="str">
            <v>DP1M</v>
          </cell>
          <cell r="B1620" t="str">
            <v>SKLADEM</v>
          </cell>
          <cell r="D1620">
            <v>0</v>
          </cell>
        </row>
        <row r="1621">
          <cell r="A1621" t="str">
            <v>DP1M(1)</v>
          </cell>
          <cell r="B1621" t="str">
            <v>31.08.2026</v>
          </cell>
          <cell r="C1621">
            <v>158</v>
          </cell>
          <cell r="D1621">
            <v>0</v>
          </cell>
        </row>
        <row r="1622">
          <cell r="A1622" t="str">
            <v>DP1P</v>
          </cell>
          <cell r="B1622" t="str">
            <v>SKLADEM</v>
          </cell>
          <cell r="D1622">
            <v>0</v>
          </cell>
        </row>
        <row r="1623">
          <cell r="A1623" t="str">
            <v>DP1P(1)</v>
          </cell>
          <cell r="B1623" t="str">
            <v>VYPRODÁNO</v>
          </cell>
          <cell r="D1623">
            <v>0</v>
          </cell>
        </row>
        <row r="1624">
          <cell r="A1624" t="str">
            <v>DP1R</v>
          </cell>
          <cell r="B1624" t="str">
            <v>SKLADEM</v>
          </cell>
          <cell r="D1624">
            <v>0</v>
          </cell>
        </row>
        <row r="1625">
          <cell r="A1625" t="str">
            <v>DP1R(1)</v>
          </cell>
          <cell r="B1625" t="str">
            <v>VYPRODÁNO</v>
          </cell>
          <cell r="D1625">
            <v>0</v>
          </cell>
        </row>
        <row r="1626">
          <cell r="A1626" t="str">
            <v>DP1SW</v>
          </cell>
          <cell r="B1626" t="str">
            <v>SKLADEM</v>
          </cell>
          <cell r="D1626">
            <v>0</v>
          </cell>
        </row>
        <row r="1627">
          <cell r="A1627" t="str">
            <v>DP1T</v>
          </cell>
          <cell r="B1627" t="str">
            <v>SKLADEM</v>
          </cell>
          <cell r="D1627" t="str">
            <v>100+</v>
          </cell>
        </row>
        <row r="1628">
          <cell r="A1628" t="str">
            <v>DP1T SK</v>
          </cell>
          <cell r="B1628" t="str">
            <v>VYPRODÁNO</v>
          </cell>
          <cell r="D1628">
            <v>0</v>
          </cell>
        </row>
        <row r="1629">
          <cell r="A1629" t="str">
            <v>DP1TA</v>
          </cell>
          <cell r="B1629" t="str">
            <v>SKLADEM</v>
          </cell>
          <cell r="D1629">
            <v>0</v>
          </cell>
        </row>
        <row r="1630">
          <cell r="A1630" t="str">
            <v>DP1TA(1)</v>
          </cell>
          <cell r="B1630" t="str">
            <v>VYPRODÁNO</v>
          </cell>
          <cell r="D1630">
            <v>0</v>
          </cell>
        </row>
        <row r="1631">
          <cell r="A1631" t="str">
            <v>DP1VC</v>
          </cell>
          <cell r="B1631" t="str">
            <v>SKLADEM</v>
          </cell>
          <cell r="D1631">
            <v>0</v>
          </cell>
        </row>
        <row r="1632">
          <cell r="A1632" t="str">
            <v>DP1VC SK</v>
          </cell>
          <cell r="B1632" t="str">
            <v>VYPRODÁNO</v>
          </cell>
          <cell r="D1632">
            <v>0</v>
          </cell>
        </row>
        <row r="1633">
          <cell r="A1633" t="str">
            <v>DP1VO</v>
          </cell>
          <cell r="B1633" t="str">
            <v>VYPRODÁNO</v>
          </cell>
          <cell r="D1633">
            <v>0</v>
          </cell>
        </row>
        <row r="1634">
          <cell r="A1634" t="str">
            <v>DP1VO SK</v>
          </cell>
          <cell r="B1634" t="str">
            <v>VYPRODÁNO</v>
          </cell>
          <cell r="D1634">
            <v>0</v>
          </cell>
        </row>
        <row r="1635">
          <cell r="A1635" t="str">
            <v>DP1VR</v>
          </cell>
          <cell r="B1635" t="str">
            <v>SKLADEM</v>
          </cell>
          <cell r="D1635">
            <v>0</v>
          </cell>
        </row>
        <row r="1636">
          <cell r="A1636" t="str">
            <v>DP1Z20</v>
          </cell>
          <cell r="B1636" t="str">
            <v>SKLADEM</v>
          </cell>
          <cell r="D1636">
            <v>0</v>
          </cell>
        </row>
        <row r="1637">
          <cell r="A1637" t="str">
            <v>DP1Z50</v>
          </cell>
          <cell r="B1637" t="str">
            <v>VYPRODÁNO</v>
          </cell>
          <cell r="D1637">
            <v>0</v>
          </cell>
        </row>
        <row r="1638">
          <cell r="A1638" t="str">
            <v>DP2CB</v>
          </cell>
          <cell r="B1638" t="str">
            <v>SKLADEM</v>
          </cell>
          <cell r="D1638">
            <v>0</v>
          </cell>
        </row>
        <row r="1639">
          <cell r="A1639" t="str">
            <v>DP2CB(1)</v>
          </cell>
          <cell r="B1639" t="str">
            <v>11.05.2026</v>
          </cell>
          <cell r="C1639">
            <v>46</v>
          </cell>
          <cell r="D1639" t="str">
            <v>100+</v>
          </cell>
        </row>
        <row r="1640">
          <cell r="A1640" t="str">
            <v>DP2W</v>
          </cell>
          <cell r="B1640" t="str">
            <v>SKLADEM</v>
          </cell>
          <cell r="D1640">
            <v>0</v>
          </cell>
        </row>
        <row r="1641">
          <cell r="A1641" t="str">
            <v>DS1</v>
          </cell>
          <cell r="B1641" t="str">
            <v>SKLADEM</v>
          </cell>
          <cell r="D1641" t="str">
            <v>100+</v>
          </cell>
        </row>
        <row r="1642">
          <cell r="A1642" t="str">
            <v>DS1(1)</v>
          </cell>
          <cell r="B1642" t="str">
            <v>VYPRODÁNO</v>
          </cell>
          <cell r="D1642">
            <v>0</v>
          </cell>
        </row>
        <row r="1643">
          <cell r="A1643" t="str">
            <v>EB15</v>
          </cell>
          <cell r="B1643" t="str">
            <v>SKLADEM</v>
          </cell>
          <cell r="D1643">
            <v>0</v>
          </cell>
        </row>
        <row r="1644">
          <cell r="A1644" t="str">
            <v>EB9</v>
          </cell>
          <cell r="B1644" t="str">
            <v>31.08.2026</v>
          </cell>
          <cell r="C1644">
            <v>158</v>
          </cell>
          <cell r="D1644">
            <v>0</v>
          </cell>
        </row>
        <row r="1645">
          <cell r="A1645" t="str">
            <v>ED500M</v>
          </cell>
          <cell r="B1645" t="str">
            <v>VYPRODÁNO</v>
          </cell>
          <cell r="D1645">
            <v>0</v>
          </cell>
        </row>
        <row r="1646">
          <cell r="A1646" t="str">
            <v>EP03M</v>
          </cell>
          <cell r="B1646" t="str">
            <v>SKLADEM</v>
          </cell>
          <cell r="D1646">
            <v>0</v>
          </cell>
        </row>
        <row r="1647">
          <cell r="A1647" t="str">
            <v>EP1M</v>
          </cell>
          <cell r="B1647" t="str">
            <v>SKLADEM</v>
          </cell>
          <cell r="D1647">
            <v>0</v>
          </cell>
        </row>
        <row r="1648">
          <cell r="A1648" t="str">
            <v>EP2M</v>
          </cell>
          <cell r="B1648" t="str">
            <v>SKLADEM</v>
          </cell>
          <cell r="D1648">
            <v>0</v>
          </cell>
        </row>
        <row r="1649">
          <cell r="A1649" t="str">
            <v>EP3M</v>
          </cell>
          <cell r="B1649" t="str">
            <v>SKLADEM</v>
          </cell>
          <cell r="D1649">
            <v>0</v>
          </cell>
        </row>
        <row r="1650">
          <cell r="A1650" t="str">
            <v>EP5M</v>
          </cell>
          <cell r="B1650" t="str">
            <v>SKLADEM</v>
          </cell>
          <cell r="D1650">
            <v>0</v>
          </cell>
        </row>
        <row r="1651">
          <cell r="A1651" t="str">
            <v>EUR1</v>
          </cell>
          <cell r="B1651" t="str">
            <v>SKLADEM</v>
          </cell>
          <cell r="D1651">
            <v>0</v>
          </cell>
        </row>
        <row r="1652">
          <cell r="A1652" t="str">
            <v>EURO</v>
          </cell>
          <cell r="B1652" t="str">
            <v>VYPRODÁNO</v>
          </cell>
          <cell r="D1652">
            <v>0</v>
          </cell>
        </row>
        <row r="1653">
          <cell r="A1653" t="str">
            <v>EXIT</v>
          </cell>
          <cell r="B1653" t="str">
            <v>VYPRODÁNO</v>
          </cell>
          <cell r="D1653">
            <v>0</v>
          </cell>
        </row>
        <row r="1654">
          <cell r="A1654" t="str">
            <v>F1000C</v>
          </cell>
          <cell r="B1654" t="str">
            <v>VYPRODÁNO</v>
          </cell>
          <cell r="D1654">
            <v>0</v>
          </cell>
        </row>
        <row r="1655">
          <cell r="A1655" t="str">
            <v>F1000MIX</v>
          </cell>
          <cell r="B1655" t="str">
            <v>VYPRODÁNO</v>
          </cell>
          <cell r="D1655">
            <v>0</v>
          </cell>
        </row>
        <row r="1656">
          <cell r="A1656" t="str">
            <v>F1000SC</v>
          </cell>
          <cell r="B1656" t="str">
            <v>VYPRODÁNO</v>
          </cell>
          <cell r="D1656">
            <v>0</v>
          </cell>
        </row>
        <row r="1657">
          <cell r="A1657" t="str">
            <v>F1000SC E</v>
          </cell>
          <cell r="B1657" t="str">
            <v>VYPRODÁNO</v>
          </cell>
          <cell r="D1657">
            <v>0</v>
          </cell>
        </row>
        <row r="1658">
          <cell r="A1658" t="str">
            <v>F1000SS</v>
          </cell>
          <cell r="B1658" t="str">
            <v>31.08.2026</v>
          </cell>
          <cell r="C1658">
            <v>158</v>
          </cell>
          <cell r="D1658">
            <v>0</v>
          </cell>
        </row>
        <row r="1659">
          <cell r="A1659" t="str">
            <v>F100C</v>
          </cell>
          <cell r="B1659" t="str">
            <v>SKLADEM</v>
          </cell>
          <cell r="D1659">
            <v>0</v>
          </cell>
        </row>
        <row r="1660">
          <cell r="A1660" t="str">
            <v>F100DC</v>
          </cell>
          <cell r="B1660" t="str">
            <v>DOCHÁZÍ</v>
          </cell>
          <cell r="D1660" t="str">
            <v>100+</v>
          </cell>
          <cell r="E1660">
            <v>3</v>
          </cell>
        </row>
        <row r="1661">
          <cell r="A1661" t="str">
            <v>F10E</v>
          </cell>
          <cell r="B1661" t="str">
            <v>SKLADEM</v>
          </cell>
          <cell r="D1661">
            <v>0</v>
          </cell>
        </row>
        <row r="1662">
          <cell r="A1662" t="str">
            <v>F11M</v>
          </cell>
          <cell r="B1662" t="str">
            <v>DOCHÁZÍ</v>
          </cell>
          <cell r="D1662">
            <v>0</v>
          </cell>
          <cell r="E1662">
            <v>8</v>
          </cell>
        </row>
        <row r="1663">
          <cell r="A1663" t="str">
            <v>F12C</v>
          </cell>
          <cell r="B1663" t="str">
            <v>VYPRODÁNO</v>
          </cell>
          <cell r="D1663">
            <v>0</v>
          </cell>
        </row>
        <row r="1664">
          <cell r="A1664" t="str">
            <v>F13T</v>
          </cell>
          <cell r="B1664" t="str">
            <v>VYPRODÁNO</v>
          </cell>
          <cell r="D1664">
            <v>0</v>
          </cell>
        </row>
        <row r="1665">
          <cell r="A1665" t="str">
            <v>F14R</v>
          </cell>
          <cell r="B1665" t="str">
            <v>14.04.2026</v>
          </cell>
          <cell r="C1665">
            <v>19</v>
          </cell>
          <cell r="D1665" t="str">
            <v>100+</v>
          </cell>
        </row>
        <row r="1666">
          <cell r="A1666" t="str">
            <v>F14R F</v>
          </cell>
          <cell r="B1666" t="str">
            <v>SKLADEM</v>
          </cell>
          <cell r="D1666">
            <v>0</v>
          </cell>
        </row>
        <row r="1667">
          <cell r="A1667" t="str">
            <v>F1500C</v>
          </cell>
          <cell r="B1667" t="str">
            <v>SKLADEM</v>
          </cell>
          <cell r="D1667">
            <v>0</v>
          </cell>
        </row>
        <row r="1668">
          <cell r="A1668" t="str">
            <v>F1500SC</v>
          </cell>
          <cell r="B1668" t="str">
            <v>VYPRODÁNO</v>
          </cell>
          <cell r="D1668">
            <v>0</v>
          </cell>
        </row>
        <row r="1669">
          <cell r="A1669" t="str">
            <v>F1500SS</v>
          </cell>
          <cell r="B1669" t="str">
            <v>VYPRODÁNO</v>
          </cell>
          <cell r="D1669">
            <v>0</v>
          </cell>
        </row>
        <row r="1670">
          <cell r="A1670" t="str">
            <v>F15BR</v>
          </cell>
          <cell r="B1670" t="str">
            <v>VYPRODÁNO</v>
          </cell>
          <cell r="D1670">
            <v>0</v>
          </cell>
        </row>
        <row r="1671">
          <cell r="A1671" t="str">
            <v>F16CS</v>
          </cell>
          <cell r="B1671" t="str">
            <v>SKLADEM</v>
          </cell>
          <cell r="D1671" t="str">
            <v>100+</v>
          </cell>
        </row>
        <row r="1672">
          <cell r="A1672" t="str">
            <v>F1M</v>
          </cell>
          <cell r="B1672" t="str">
            <v>DOCHÁZÍ</v>
          </cell>
          <cell r="D1672">
            <v>0</v>
          </cell>
          <cell r="E1672">
            <v>14</v>
          </cell>
        </row>
        <row r="1673">
          <cell r="A1673" t="str">
            <v>F1M E</v>
          </cell>
          <cell r="B1673" t="str">
            <v>VYPRODÁNO</v>
          </cell>
          <cell r="D1673">
            <v>0</v>
          </cell>
        </row>
        <row r="1674">
          <cell r="A1674" t="str">
            <v>F1MF</v>
          </cell>
          <cell r="B1674" t="str">
            <v>VYPRODÁNO</v>
          </cell>
          <cell r="D1674">
            <v>0</v>
          </cell>
        </row>
        <row r="1675">
          <cell r="A1675" t="str">
            <v>F1U</v>
          </cell>
          <cell r="B1675" t="str">
            <v>VYPRODÁNO</v>
          </cell>
          <cell r="D1675">
            <v>0</v>
          </cell>
        </row>
        <row r="1676">
          <cell r="A1676" t="str">
            <v>F250C</v>
          </cell>
          <cell r="B1676" t="str">
            <v>31.08.2026</v>
          </cell>
          <cell r="C1676">
            <v>158</v>
          </cell>
          <cell r="D1676">
            <v>0</v>
          </cell>
        </row>
        <row r="1677">
          <cell r="A1677" t="str">
            <v>F250SC</v>
          </cell>
          <cell r="B1677" t="str">
            <v>SKLADEM</v>
          </cell>
          <cell r="D1677">
            <v>0</v>
          </cell>
        </row>
        <row r="1678">
          <cell r="A1678" t="str">
            <v>F250SS</v>
          </cell>
          <cell r="B1678" t="str">
            <v>VYPRODÁNO</v>
          </cell>
          <cell r="D1678">
            <v>0</v>
          </cell>
        </row>
        <row r="1679">
          <cell r="A1679" t="str">
            <v>F2DD</v>
          </cell>
          <cell r="B1679" t="str">
            <v>VYPRODÁNO</v>
          </cell>
          <cell r="D1679">
            <v>0</v>
          </cell>
        </row>
        <row r="1680">
          <cell r="A1680" t="str">
            <v>F2M</v>
          </cell>
          <cell r="B1680" t="str">
            <v>SKLADEM</v>
          </cell>
          <cell r="D1680">
            <v>0</v>
          </cell>
        </row>
        <row r="1681">
          <cell r="A1681" t="str">
            <v>F2VO</v>
          </cell>
          <cell r="B1681" t="str">
            <v>VYPRODÁNO</v>
          </cell>
          <cell r="D1681">
            <v>0</v>
          </cell>
        </row>
        <row r="1682">
          <cell r="A1682" t="str">
            <v>F3CC</v>
          </cell>
          <cell r="B1682" t="str">
            <v>SKLADEM</v>
          </cell>
          <cell r="D1682">
            <v>0</v>
          </cell>
        </row>
        <row r="1683">
          <cell r="A1683" t="str">
            <v>F3N</v>
          </cell>
          <cell r="B1683" t="str">
            <v>VYPRODÁNO</v>
          </cell>
          <cell r="D1683">
            <v>0</v>
          </cell>
        </row>
        <row r="1684">
          <cell r="A1684" t="str">
            <v>F4V</v>
          </cell>
          <cell r="B1684" t="str">
            <v>VYPRODÁNO</v>
          </cell>
          <cell r="D1684">
            <v>0</v>
          </cell>
        </row>
        <row r="1685">
          <cell r="A1685" t="str">
            <v>F500C</v>
          </cell>
          <cell r="B1685" t="str">
            <v>DOCHÁZÍ</v>
          </cell>
          <cell r="D1685">
            <v>0</v>
          </cell>
          <cell r="E1685">
            <v>23</v>
          </cell>
        </row>
        <row r="1686">
          <cell r="A1686" t="str">
            <v>F500NO</v>
          </cell>
          <cell r="B1686" t="str">
            <v>VYPRODÁNO</v>
          </cell>
          <cell r="D1686">
            <v>0</v>
          </cell>
        </row>
        <row r="1687">
          <cell r="A1687" t="str">
            <v>F500SC</v>
          </cell>
          <cell r="B1687" t="str">
            <v>VYPRODÁNO</v>
          </cell>
          <cell r="D1687">
            <v>0</v>
          </cell>
        </row>
        <row r="1688">
          <cell r="A1688" t="str">
            <v>F500SC E</v>
          </cell>
          <cell r="B1688" t="str">
            <v>VYPRODÁNO</v>
          </cell>
          <cell r="D1688">
            <v>0</v>
          </cell>
        </row>
        <row r="1689">
          <cell r="A1689" t="str">
            <v>F500SIG</v>
          </cell>
          <cell r="B1689" t="str">
            <v>SKLADEM</v>
          </cell>
          <cell r="D1689">
            <v>0</v>
          </cell>
        </row>
        <row r="1690">
          <cell r="A1690" t="str">
            <v>F500SS</v>
          </cell>
          <cell r="B1690" t="str">
            <v>SKLADEM</v>
          </cell>
          <cell r="D1690">
            <v>0</v>
          </cell>
        </row>
        <row r="1691">
          <cell r="A1691" t="str">
            <v>F6K</v>
          </cell>
          <cell r="B1691" t="str">
            <v>SKLADEM</v>
          </cell>
          <cell r="D1691">
            <v>0</v>
          </cell>
        </row>
        <row r="1692">
          <cell r="A1692" t="str">
            <v>F7F</v>
          </cell>
          <cell r="B1692" t="str">
            <v>VYPRODÁNO</v>
          </cell>
          <cell r="D1692">
            <v>0</v>
          </cell>
        </row>
        <row r="1693">
          <cell r="A1693" t="str">
            <v>F8B</v>
          </cell>
          <cell r="B1693" t="str">
            <v>SKLADEM</v>
          </cell>
          <cell r="D1693">
            <v>0</v>
          </cell>
        </row>
        <row r="1694">
          <cell r="A1694" t="str">
            <v>F9P</v>
          </cell>
          <cell r="B1694" t="str">
            <v>VYPRODÁNO</v>
          </cell>
          <cell r="D1694">
            <v>0</v>
          </cell>
        </row>
        <row r="1695">
          <cell r="A1695" t="str">
            <v>F-CF253STC</v>
          </cell>
          <cell r="B1695" t="str">
            <v>VYPRODÁNO</v>
          </cell>
          <cell r="D1695">
            <v>0</v>
          </cell>
        </row>
        <row r="1696">
          <cell r="A1696" t="str">
            <v>F-CF253STF</v>
          </cell>
          <cell r="B1696" t="str">
            <v>VYPRODÁNO</v>
          </cell>
          <cell r="D1696">
            <v>0</v>
          </cell>
        </row>
        <row r="1697">
          <cell r="A1697" t="str">
            <v>FM50A</v>
          </cell>
          <cell r="B1697" t="str">
            <v>VYPRODÁNO</v>
          </cell>
          <cell r="D1697">
            <v>0</v>
          </cell>
        </row>
        <row r="1698">
          <cell r="A1698" t="str">
            <v>FM75A</v>
          </cell>
          <cell r="B1698" t="str">
            <v>VYPRODÁNO</v>
          </cell>
          <cell r="D1698">
            <v>0</v>
          </cell>
        </row>
        <row r="1699">
          <cell r="A1699" t="str">
            <v>FP2</v>
          </cell>
          <cell r="B1699" t="str">
            <v>VYPRODÁNO</v>
          </cell>
          <cell r="D1699">
            <v>0</v>
          </cell>
        </row>
        <row r="1700">
          <cell r="A1700" t="str">
            <v>FP3</v>
          </cell>
          <cell r="B1700" t="str">
            <v>VYPRODÁNO</v>
          </cell>
          <cell r="D1700">
            <v>0</v>
          </cell>
        </row>
        <row r="1701">
          <cell r="A1701" t="str">
            <v>FPS1</v>
          </cell>
          <cell r="B1701" t="str">
            <v>SKLADEM</v>
          </cell>
          <cell r="D1701">
            <v>0</v>
          </cell>
        </row>
        <row r="1702">
          <cell r="A1702" t="str">
            <v>HD1</v>
          </cell>
          <cell r="B1702" t="str">
            <v>SKLADEM</v>
          </cell>
          <cell r="D1702">
            <v>0</v>
          </cell>
        </row>
        <row r="1703">
          <cell r="A1703" t="str">
            <v>HDP60B</v>
          </cell>
          <cell r="B1703" t="str">
            <v>SKLADEM</v>
          </cell>
          <cell r="D1703">
            <v>0</v>
          </cell>
        </row>
        <row r="1704">
          <cell r="A1704" t="str">
            <v>HDP60C</v>
          </cell>
          <cell r="B1704" t="str">
            <v>SKLADEM</v>
          </cell>
          <cell r="D1704">
            <v>0</v>
          </cell>
        </row>
        <row r="1705">
          <cell r="A1705" t="str">
            <v>HDP60CER</v>
          </cell>
          <cell r="B1705" t="str">
            <v>VYPRODÁNO</v>
          </cell>
          <cell r="D1705">
            <v>0</v>
          </cell>
        </row>
        <row r="1706">
          <cell r="A1706" t="str">
            <v>HDP60M</v>
          </cell>
          <cell r="B1706" t="str">
            <v>SKLADEM</v>
          </cell>
          <cell r="D1706">
            <v>0</v>
          </cell>
        </row>
        <row r="1707">
          <cell r="A1707" t="str">
            <v>HDP60O</v>
          </cell>
          <cell r="B1707" t="str">
            <v>VYPRODÁNO</v>
          </cell>
          <cell r="D1707">
            <v>0</v>
          </cell>
        </row>
        <row r="1708">
          <cell r="A1708" t="str">
            <v>HDP60ZE</v>
          </cell>
          <cell r="B1708" t="str">
            <v>SKLADEM</v>
          </cell>
          <cell r="D1708">
            <v>0</v>
          </cell>
        </row>
        <row r="1709">
          <cell r="A1709" t="str">
            <v>HDP60ZL</v>
          </cell>
          <cell r="B1709" t="str">
            <v>VYPRODÁNO</v>
          </cell>
          <cell r="D1709">
            <v>0</v>
          </cell>
        </row>
        <row r="1710">
          <cell r="A1710" t="str">
            <v>IF220A</v>
          </cell>
          <cell r="B1710" t="str">
            <v>SKLADEM</v>
          </cell>
          <cell r="D1710">
            <v>0</v>
          </cell>
        </row>
        <row r="1711">
          <cell r="A1711" t="str">
            <v>IF3M10</v>
          </cell>
          <cell r="B1711" t="str">
            <v>VYPRODÁNO</v>
          </cell>
          <cell r="D1711">
            <v>0</v>
          </cell>
        </row>
        <row r="1712">
          <cell r="A1712" t="str">
            <v>IF3MA</v>
          </cell>
          <cell r="B1712" t="str">
            <v>SKLADEM</v>
          </cell>
          <cell r="D1712" t="str">
            <v>100+</v>
          </cell>
        </row>
        <row r="1713">
          <cell r="A1713" t="str">
            <v>IF3MB</v>
          </cell>
          <cell r="B1713" t="str">
            <v>VYPRODÁNO</v>
          </cell>
          <cell r="D1713">
            <v>0</v>
          </cell>
        </row>
        <row r="1714">
          <cell r="A1714" t="str">
            <v>IF530A</v>
          </cell>
          <cell r="B1714" t="str">
            <v>VYPRODÁNO</v>
          </cell>
          <cell r="D1714">
            <v>0</v>
          </cell>
        </row>
        <row r="1715">
          <cell r="A1715" t="str">
            <v>IF560B</v>
          </cell>
          <cell r="B1715" t="str">
            <v>14.04.2026</v>
          </cell>
          <cell r="C1715">
            <v>19</v>
          </cell>
          <cell r="D1715">
            <v>50</v>
          </cell>
        </row>
        <row r="1716">
          <cell r="A1716" t="str">
            <v>IF5M10</v>
          </cell>
          <cell r="B1716" t="str">
            <v>VYPRODÁNO</v>
          </cell>
          <cell r="D1716">
            <v>0</v>
          </cell>
        </row>
        <row r="1717">
          <cell r="A1717" t="str">
            <v>IF660B</v>
          </cell>
          <cell r="B1717" t="str">
            <v>VYPRODÁNO</v>
          </cell>
          <cell r="D1717">
            <v>0</v>
          </cell>
        </row>
        <row r="1718">
          <cell r="A1718" t="str">
            <v>IF8M10</v>
          </cell>
          <cell r="B1718" t="str">
            <v>VYPRODÁNO</v>
          </cell>
          <cell r="D1718">
            <v>0</v>
          </cell>
        </row>
        <row r="1719">
          <cell r="A1719" t="str">
            <v>IS60S</v>
          </cell>
          <cell r="B1719" t="str">
            <v>VYPRODÁNO</v>
          </cell>
          <cell r="D1719">
            <v>0</v>
          </cell>
        </row>
        <row r="1720">
          <cell r="A1720" t="str">
            <v>IV3M</v>
          </cell>
          <cell r="B1720" t="str">
            <v>VYPRODÁNO</v>
          </cell>
          <cell r="D1720">
            <v>0</v>
          </cell>
        </row>
        <row r="1721">
          <cell r="A1721" t="str">
            <v>IV5M</v>
          </cell>
          <cell r="B1721" t="str">
            <v>VYPRODÁNO</v>
          </cell>
          <cell r="D1721">
            <v>0</v>
          </cell>
        </row>
        <row r="1722">
          <cell r="A1722" t="str">
            <v>IV8M</v>
          </cell>
          <cell r="B1722" t="str">
            <v>VYPRODÁNO</v>
          </cell>
          <cell r="D1722">
            <v>0</v>
          </cell>
        </row>
        <row r="1723">
          <cell r="A1723" t="str">
            <v>K01M</v>
          </cell>
          <cell r="B1723" t="str">
            <v>SKLADEM</v>
          </cell>
          <cell r="D1723">
            <v>0</v>
          </cell>
        </row>
        <row r="1724">
          <cell r="A1724" t="str">
            <v>K0201</v>
          </cell>
          <cell r="B1724" t="str">
            <v>VYPRODÁNO</v>
          </cell>
          <cell r="D1724">
            <v>0</v>
          </cell>
        </row>
        <row r="1725">
          <cell r="A1725" t="str">
            <v>K0201(1)</v>
          </cell>
          <cell r="B1725" t="str">
            <v>VYPRODÁNO</v>
          </cell>
          <cell r="D1725">
            <v>0</v>
          </cell>
        </row>
        <row r="1726">
          <cell r="A1726" t="str">
            <v>K0201(2)</v>
          </cell>
          <cell r="B1726" t="str">
            <v>VYPRODÁNO</v>
          </cell>
          <cell r="D1726">
            <v>0</v>
          </cell>
        </row>
        <row r="1727">
          <cell r="A1727" t="str">
            <v>K0203</v>
          </cell>
          <cell r="B1727" t="str">
            <v>VYPRODÁNO</v>
          </cell>
          <cell r="D1727">
            <v>0</v>
          </cell>
        </row>
        <row r="1728">
          <cell r="A1728" t="str">
            <v>K0203(1)</v>
          </cell>
          <cell r="B1728" t="str">
            <v>VYPRODÁNO</v>
          </cell>
          <cell r="D1728">
            <v>0</v>
          </cell>
        </row>
        <row r="1729">
          <cell r="A1729" t="str">
            <v>K0203(2)</v>
          </cell>
          <cell r="B1729" t="str">
            <v>VYPRODÁNO</v>
          </cell>
          <cell r="D1729">
            <v>0</v>
          </cell>
        </row>
        <row r="1730">
          <cell r="A1730" t="str">
            <v>K0203(25)</v>
          </cell>
          <cell r="B1730" t="str">
            <v>VYPRODÁNO</v>
          </cell>
          <cell r="D1730">
            <v>0</v>
          </cell>
        </row>
        <row r="1731">
          <cell r="A1731" t="str">
            <v>K0203/2</v>
          </cell>
          <cell r="B1731" t="str">
            <v>VYPRODÁNO</v>
          </cell>
          <cell r="D1731">
            <v>0</v>
          </cell>
        </row>
        <row r="1732">
          <cell r="A1732" t="str">
            <v>K0203/2(1)</v>
          </cell>
          <cell r="B1732" t="str">
            <v>VYPRODÁNO</v>
          </cell>
          <cell r="D1732">
            <v>0</v>
          </cell>
        </row>
        <row r="1733">
          <cell r="A1733" t="str">
            <v>K0203BP</v>
          </cell>
          <cell r="B1733" t="str">
            <v>SKLADEM</v>
          </cell>
          <cell r="D1733" t="str">
            <v>100+</v>
          </cell>
        </row>
        <row r="1734">
          <cell r="A1734" t="str">
            <v>K0203K</v>
          </cell>
          <cell r="B1734" t="str">
            <v>SKLADEM</v>
          </cell>
          <cell r="D1734" t="str">
            <v>100+</v>
          </cell>
        </row>
        <row r="1735">
          <cell r="A1735" t="str">
            <v>K0203KB</v>
          </cell>
          <cell r="B1735" t="str">
            <v>SKLADEM</v>
          </cell>
          <cell r="D1735">
            <v>0</v>
          </cell>
        </row>
        <row r="1736">
          <cell r="A1736" t="str">
            <v>K1000R</v>
          </cell>
          <cell r="B1736" t="str">
            <v>SKLADEM</v>
          </cell>
          <cell r="D1736" t="str">
            <v>100+</v>
          </cell>
        </row>
        <row r="1737">
          <cell r="A1737" t="str">
            <v>K100R</v>
          </cell>
          <cell r="B1737" t="str">
            <v>SKLADEM</v>
          </cell>
          <cell r="D1737">
            <v>0</v>
          </cell>
        </row>
        <row r="1738">
          <cell r="A1738" t="str">
            <v>K10M</v>
          </cell>
          <cell r="B1738" t="str">
            <v>31.07.2026</v>
          </cell>
          <cell r="C1738">
            <v>127</v>
          </cell>
          <cell r="D1738">
            <v>0</v>
          </cell>
        </row>
        <row r="1739">
          <cell r="A1739" t="str">
            <v>K1969R</v>
          </cell>
          <cell r="B1739" t="str">
            <v>SKLADEM</v>
          </cell>
          <cell r="D1739">
            <v>0</v>
          </cell>
        </row>
        <row r="1740">
          <cell r="A1740" t="str">
            <v>K200R</v>
          </cell>
          <cell r="B1740" t="str">
            <v>SKLADEM</v>
          </cell>
          <cell r="D1740">
            <v>0</v>
          </cell>
        </row>
        <row r="1741">
          <cell r="A1741" t="str">
            <v>K20K</v>
          </cell>
          <cell r="B1741" t="str">
            <v>SKLADEM</v>
          </cell>
          <cell r="D1741">
            <v>0</v>
          </cell>
        </row>
        <row r="1742">
          <cell r="A1742" t="str">
            <v>K5000R</v>
          </cell>
          <cell r="B1742" t="str">
            <v>VYPRODÁNO</v>
          </cell>
          <cell r="D1742">
            <v>0</v>
          </cell>
        </row>
        <row r="1743">
          <cell r="A1743" t="str">
            <v>K500R</v>
          </cell>
          <cell r="B1743" t="str">
            <v>SKLADEM</v>
          </cell>
          <cell r="D1743">
            <v>0</v>
          </cell>
        </row>
        <row r="1744">
          <cell r="A1744" t="str">
            <v>K5M</v>
          </cell>
          <cell r="B1744" t="str">
            <v>VYPRODÁNO</v>
          </cell>
          <cell r="D1744">
            <v>0</v>
          </cell>
        </row>
        <row r="1745">
          <cell r="A1745" t="str">
            <v>K60K</v>
          </cell>
          <cell r="B1745" t="str">
            <v>SKLADEM</v>
          </cell>
          <cell r="D1745">
            <v>0</v>
          </cell>
        </row>
        <row r="1746">
          <cell r="A1746" t="str">
            <v>K-C10025BPW/C14</v>
          </cell>
          <cell r="B1746" t="str">
            <v>SKLADEM</v>
          </cell>
          <cell r="D1746">
            <v>0</v>
          </cell>
        </row>
        <row r="1747">
          <cell r="A1747" t="str">
            <v>K-C10030XF/C14</v>
          </cell>
          <cell r="B1747" t="str">
            <v>SKLADEM</v>
          </cell>
          <cell r="D1747">
            <v>0</v>
          </cell>
        </row>
        <row r="1748">
          <cell r="A1748" t="str">
            <v>K-C1003B/C14</v>
          </cell>
          <cell r="B1748" t="str">
            <v>VYPRODÁNO</v>
          </cell>
          <cell r="D1748">
            <v>0</v>
          </cell>
        </row>
        <row r="1749">
          <cell r="A1749" t="str">
            <v>K-C1003BB/C</v>
          </cell>
          <cell r="B1749" t="str">
            <v>SKLADEM</v>
          </cell>
          <cell r="D1749">
            <v>0</v>
          </cell>
        </row>
        <row r="1750">
          <cell r="A1750" t="str">
            <v>K-C1003BO/C</v>
          </cell>
          <cell r="B1750" t="str">
            <v>VYPRODÁNO</v>
          </cell>
          <cell r="D1750">
            <v>0</v>
          </cell>
        </row>
        <row r="1751">
          <cell r="A1751" t="str">
            <v>K-C1003BP/C</v>
          </cell>
          <cell r="B1751" t="str">
            <v>SKLADEM</v>
          </cell>
          <cell r="D1751">
            <v>0</v>
          </cell>
        </row>
        <row r="1752">
          <cell r="A1752" t="str">
            <v>K-C1003BPF/C</v>
          </cell>
          <cell r="B1752" t="str">
            <v>SKLADEM</v>
          </cell>
          <cell r="D1752">
            <v>0</v>
          </cell>
        </row>
        <row r="1753">
          <cell r="A1753" t="str">
            <v>K-C1003BPW/C14</v>
          </cell>
          <cell r="B1753" t="str">
            <v>VYPRODÁNO</v>
          </cell>
          <cell r="D1753">
            <v>0</v>
          </cell>
        </row>
        <row r="1754">
          <cell r="A1754" t="str">
            <v>K-C1003NO/C14</v>
          </cell>
          <cell r="B1754" t="str">
            <v>SKLADEM</v>
          </cell>
          <cell r="D1754">
            <v>0</v>
          </cell>
        </row>
        <row r="1755">
          <cell r="A1755" t="str">
            <v>K-C1003SIG/C</v>
          </cell>
          <cell r="B1755" t="str">
            <v>SKLADEM</v>
          </cell>
          <cell r="D1755">
            <v>0</v>
          </cell>
        </row>
        <row r="1756">
          <cell r="A1756" t="str">
            <v>K-C1003VS/C</v>
          </cell>
          <cell r="B1756" t="str">
            <v>VYPRODÁNO</v>
          </cell>
          <cell r="D1756">
            <v>0</v>
          </cell>
        </row>
        <row r="1757">
          <cell r="A1757" t="str">
            <v>K-C1003W/C</v>
          </cell>
          <cell r="B1757" t="str">
            <v>VYPRODÁNO</v>
          </cell>
          <cell r="D1757">
            <v>0</v>
          </cell>
        </row>
        <row r="1758">
          <cell r="A1758" t="str">
            <v>K-C1003W/C14</v>
          </cell>
          <cell r="B1758" t="str">
            <v>VYPRODÁNO</v>
          </cell>
          <cell r="D1758">
            <v>0</v>
          </cell>
        </row>
        <row r="1759">
          <cell r="A1759" t="str">
            <v>K-C10545GI/C</v>
          </cell>
          <cell r="B1759" t="str">
            <v>SKLADEM</v>
          </cell>
          <cell r="D1759">
            <v>0</v>
          </cell>
        </row>
        <row r="1760">
          <cell r="A1760" t="str">
            <v>K-C1163MB/C14</v>
          </cell>
          <cell r="B1760" t="str">
            <v>VYPRODÁNO</v>
          </cell>
          <cell r="D1760">
            <v>0</v>
          </cell>
        </row>
        <row r="1761">
          <cell r="A1761" t="str">
            <v>K-C12230XPT/C14</v>
          </cell>
          <cell r="B1761" t="str">
            <v>SKLADEM</v>
          </cell>
          <cell r="D1761">
            <v>0</v>
          </cell>
        </row>
        <row r="1762">
          <cell r="A1762" t="str">
            <v>K-C12820F/C</v>
          </cell>
          <cell r="B1762" t="str">
            <v>VYPRODÁNO</v>
          </cell>
          <cell r="D1762">
            <v>0</v>
          </cell>
        </row>
        <row r="1763">
          <cell r="A1763" t="str">
            <v>K-C12820F/C14</v>
          </cell>
          <cell r="B1763" t="str">
            <v>VYPRODÁNO</v>
          </cell>
          <cell r="D1763">
            <v>0</v>
          </cell>
        </row>
        <row r="1764">
          <cell r="A1764" t="str">
            <v>K-C128XMB/C</v>
          </cell>
          <cell r="B1764" t="str">
            <v>SKLADEM</v>
          </cell>
          <cell r="D1764">
            <v>0</v>
          </cell>
        </row>
        <row r="1765">
          <cell r="A1765" t="str">
            <v>K-C128XMPT/C</v>
          </cell>
          <cell r="B1765" t="str">
            <v>SKLADEM</v>
          </cell>
          <cell r="D1765">
            <v>0</v>
          </cell>
        </row>
        <row r="1766">
          <cell r="A1766" t="str">
            <v>K-C13220B/C14</v>
          </cell>
          <cell r="B1766" t="str">
            <v>SKLADEM</v>
          </cell>
          <cell r="D1766">
            <v>0</v>
          </cell>
        </row>
        <row r="1767">
          <cell r="A1767" t="str">
            <v>K-C132XMPT/C</v>
          </cell>
          <cell r="B1767" t="str">
            <v>SKLADEM</v>
          </cell>
          <cell r="D1767">
            <v>0</v>
          </cell>
        </row>
        <row r="1768">
          <cell r="A1768" t="str">
            <v>K-C132XMPT/C14</v>
          </cell>
          <cell r="B1768" t="str">
            <v>VYPRODÁNO</v>
          </cell>
          <cell r="D1768">
            <v>0</v>
          </cell>
        </row>
        <row r="1769">
          <cell r="A1769" t="str">
            <v>K-C14025XFS/C</v>
          </cell>
          <cell r="B1769" t="str">
            <v>SKLADEM</v>
          </cell>
          <cell r="D1769">
            <v>0</v>
          </cell>
        </row>
        <row r="1770">
          <cell r="A1770" t="str">
            <v>K-C14025XFS/C14</v>
          </cell>
          <cell r="B1770" t="str">
            <v>SKLADEM</v>
          </cell>
          <cell r="D1770">
            <v>0</v>
          </cell>
        </row>
        <row r="1771">
          <cell r="A1771" t="str">
            <v>K-C1503BPF/C</v>
          </cell>
          <cell r="B1771" t="str">
            <v>VYPRODÁNO</v>
          </cell>
          <cell r="D1771">
            <v>0</v>
          </cell>
        </row>
        <row r="1772">
          <cell r="A1772" t="str">
            <v>K-C1503X/C</v>
          </cell>
          <cell r="B1772" t="str">
            <v>VYPRODÁNO</v>
          </cell>
          <cell r="D1772">
            <v>0</v>
          </cell>
        </row>
        <row r="1773">
          <cell r="A1773" t="str">
            <v>K-C150MF/C</v>
          </cell>
          <cell r="B1773" t="str">
            <v>SKLADEM</v>
          </cell>
          <cell r="D1773">
            <v>0</v>
          </cell>
        </row>
        <row r="1774">
          <cell r="A1774" t="str">
            <v>K-C150MPT/C</v>
          </cell>
          <cell r="B1774" t="str">
            <v>SKLADEM</v>
          </cell>
          <cell r="D1774">
            <v>0</v>
          </cell>
        </row>
        <row r="1775">
          <cell r="A1775" t="str">
            <v>K-C175MSIG/C</v>
          </cell>
          <cell r="B1775" t="str">
            <v>SKLADEM</v>
          </cell>
          <cell r="D1775">
            <v>0</v>
          </cell>
        </row>
        <row r="1776">
          <cell r="A1776" t="str">
            <v>K-C18020SIG/C</v>
          </cell>
          <cell r="B1776" t="str">
            <v>SKLADEM</v>
          </cell>
          <cell r="D1776">
            <v>0</v>
          </cell>
        </row>
        <row r="1777">
          <cell r="A1777" t="str">
            <v>K-C180MA</v>
          </cell>
          <cell r="B1777" t="str">
            <v>VYPRODÁNO</v>
          </cell>
          <cell r="D1777">
            <v>0</v>
          </cell>
        </row>
        <row r="1778">
          <cell r="A1778" t="str">
            <v>K-C188MF/C</v>
          </cell>
          <cell r="B1778" t="str">
            <v>VYPRODÁNO</v>
          </cell>
          <cell r="D1778">
            <v>0</v>
          </cell>
        </row>
        <row r="1779">
          <cell r="A1779" t="str">
            <v>K-C19220F/C</v>
          </cell>
          <cell r="B1779" t="str">
            <v>SKLADEM</v>
          </cell>
          <cell r="D1779">
            <v>0</v>
          </cell>
        </row>
        <row r="1780">
          <cell r="A1780" t="str">
            <v>K-C19225MF/C14</v>
          </cell>
          <cell r="B1780" t="str">
            <v>VYPRODÁNO</v>
          </cell>
          <cell r="D1780">
            <v>0</v>
          </cell>
        </row>
        <row r="1781">
          <cell r="A1781" t="str">
            <v>K-C20020XPR/C14</v>
          </cell>
          <cell r="B1781" t="str">
            <v>SKLADEM</v>
          </cell>
          <cell r="D1781">
            <v>0</v>
          </cell>
        </row>
        <row r="1782">
          <cell r="A1782" t="str">
            <v>K-C20025BPF/C</v>
          </cell>
          <cell r="B1782" t="str">
            <v>VYPRODÁNO</v>
          </cell>
          <cell r="D1782">
            <v>0</v>
          </cell>
        </row>
        <row r="1783">
          <cell r="A1783" t="str">
            <v>K-C20025F/C</v>
          </cell>
          <cell r="B1783" t="str">
            <v>VYPRODÁNO</v>
          </cell>
          <cell r="D1783">
            <v>0</v>
          </cell>
        </row>
        <row r="1784">
          <cell r="A1784" t="str">
            <v>K-C2003BP/C</v>
          </cell>
          <cell r="B1784" t="str">
            <v>VYPRODÁNO</v>
          </cell>
          <cell r="D1784">
            <v>0</v>
          </cell>
        </row>
        <row r="1785">
          <cell r="A1785" t="str">
            <v>K-C2003U/C</v>
          </cell>
          <cell r="B1785" t="str">
            <v>VYPRODÁNO</v>
          </cell>
          <cell r="D1785">
            <v>0</v>
          </cell>
        </row>
        <row r="1786">
          <cell r="A1786" t="str">
            <v>K-C200MF/C</v>
          </cell>
          <cell r="B1786" t="str">
            <v>SKLADEM</v>
          </cell>
          <cell r="D1786">
            <v>0</v>
          </cell>
        </row>
        <row r="1787">
          <cell r="A1787" t="str">
            <v>K-C200MF/C14</v>
          </cell>
          <cell r="B1787" t="str">
            <v>VYPRODÁNO</v>
          </cell>
          <cell r="D1787">
            <v>0</v>
          </cell>
        </row>
        <row r="1788">
          <cell r="A1788" t="str">
            <v>K-C200MNID/C</v>
          </cell>
          <cell r="B1788" t="str">
            <v>VYPRODÁNO</v>
          </cell>
          <cell r="D1788">
            <v>0</v>
          </cell>
        </row>
        <row r="1789">
          <cell r="A1789" t="str">
            <v>K-C204XMPT/C</v>
          </cell>
          <cell r="B1789" t="str">
            <v>SKLADEM</v>
          </cell>
          <cell r="D1789">
            <v>0</v>
          </cell>
        </row>
        <row r="1790">
          <cell r="A1790" t="str">
            <v>K-C204XMPT/C14</v>
          </cell>
          <cell r="B1790" t="str">
            <v>SKLADEM</v>
          </cell>
          <cell r="D1790">
            <v>0</v>
          </cell>
        </row>
        <row r="1791">
          <cell r="A1791" t="str">
            <v>K-C212MF/C</v>
          </cell>
          <cell r="B1791" t="str">
            <v>SKLADEM</v>
          </cell>
          <cell r="D1791">
            <v>0</v>
          </cell>
        </row>
        <row r="1792">
          <cell r="A1792" t="str">
            <v>K-C216XMFS/C</v>
          </cell>
          <cell r="B1792" t="str">
            <v>SKLADEM</v>
          </cell>
          <cell r="D1792">
            <v>0</v>
          </cell>
        </row>
        <row r="1793">
          <cell r="A1793" t="str">
            <v>K-C216XMFS/C14</v>
          </cell>
          <cell r="B1793" t="str">
            <v>SKLADEM</v>
          </cell>
          <cell r="D1793">
            <v>0</v>
          </cell>
        </row>
        <row r="1794">
          <cell r="A1794" t="str">
            <v>K-C219XMPT/C</v>
          </cell>
          <cell r="B1794" t="str">
            <v>SKLADEM</v>
          </cell>
          <cell r="D1794">
            <v>0</v>
          </cell>
        </row>
        <row r="1795">
          <cell r="A1795" t="str">
            <v>K-C222MF/C</v>
          </cell>
          <cell r="B1795" t="str">
            <v>SKLADEM</v>
          </cell>
          <cell r="D1795">
            <v>0</v>
          </cell>
        </row>
        <row r="1796">
          <cell r="A1796" t="str">
            <v>K-C222MNID/C</v>
          </cell>
          <cell r="B1796" t="str">
            <v>VYPRODÁNO</v>
          </cell>
          <cell r="D1796">
            <v>0</v>
          </cell>
        </row>
        <row r="1797">
          <cell r="A1797" t="str">
            <v>K-C222MNPT/C</v>
          </cell>
          <cell r="B1797" t="str">
            <v>SKLADEM</v>
          </cell>
          <cell r="D1797">
            <v>0</v>
          </cell>
        </row>
        <row r="1798">
          <cell r="A1798" t="str">
            <v>K-C223XMK/C</v>
          </cell>
          <cell r="B1798" t="str">
            <v>SKLADEM</v>
          </cell>
          <cell r="D1798">
            <v>0</v>
          </cell>
        </row>
        <row r="1799">
          <cell r="A1799" t="str">
            <v>K-C223XMK/C14</v>
          </cell>
          <cell r="B1799" t="str">
            <v>SKLADEM</v>
          </cell>
          <cell r="D1799">
            <v>0</v>
          </cell>
        </row>
        <row r="1800">
          <cell r="A1800" t="str">
            <v>K-C25220XFS/C</v>
          </cell>
          <cell r="B1800" t="str">
            <v>VYPRODÁNO</v>
          </cell>
          <cell r="D1800">
            <v>0</v>
          </cell>
        </row>
        <row r="1801">
          <cell r="A1801" t="str">
            <v>K-C25220XFS/C14</v>
          </cell>
          <cell r="B1801" t="str">
            <v>SKLADEM</v>
          </cell>
          <cell r="D1801">
            <v>0</v>
          </cell>
        </row>
        <row r="1802">
          <cell r="A1802" t="str">
            <v>K-C253XMPT/C</v>
          </cell>
          <cell r="B1802" t="str">
            <v>SKLADEM</v>
          </cell>
          <cell r="D1802">
            <v>0</v>
          </cell>
        </row>
        <row r="1803">
          <cell r="A1803" t="str">
            <v>K-C25620F/C</v>
          </cell>
          <cell r="B1803" t="str">
            <v>SKLADEM</v>
          </cell>
          <cell r="D1803">
            <v>0</v>
          </cell>
        </row>
        <row r="1804">
          <cell r="A1804" t="str">
            <v>K-C2563F/C</v>
          </cell>
          <cell r="B1804" t="str">
            <v>VYPRODÁNO</v>
          </cell>
          <cell r="D1804">
            <v>0</v>
          </cell>
        </row>
        <row r="1805">
          <cell r="A1805" t="str">
            <v>K-C2563XMF/C</v>
          </cell>
          <cell r="B1805" t="str">
            <v>SKLADEM</v>
          </cell>
          <cell r="D1805">
            <v>0</v>
          </cell>
        </row>
        <row r="1806">
          <cell r="A1806" t="str">
            <v>K-C256XMPT/C</v>
          </cell>
          <cell r="B1806" t="str">
            <v>VYPRODÁNO</v>
          </cell>
          <cell r="D1806">
            <v>0</v>
          </cell>
        </row>
        <row r="1807">
          <cell r="A1807" t="str">
            <v>K-C26020F/C</v>
          </cell>
          <cell r="B1807" t="str">
            <v>SKLADEM</v>
          </cell>
          <cell r="D1807">
            <v>0</v>
          </cell>
        </row>
        <row r="1808">
          <cell r="A1808" t="str">
            <v>K-C26420N/C</v>
          </cell>
          <cell r="B1808" t="str">
            <v>SKLADEM</v>
          </cell>
          <cell r="D1808">
            <v>0</v>
          </cell>
        </row>
        <row r="1809">
          <cell r="A1809" t="str">
            <v>K-C30025BPW/C</v>
          </cell>
          <cell r="B1809" t="str">
            <v>SKLADEM</v>
          </cell>
          <cell r="D1809">
            <v>0</v>
          </cell>
        </row>
        <row r="1810">
          <cell r="A1810" t="str">
            <v>K-C30025F/C</v>
          </cell>
          <cell r="B1810" t="str">
            <v>SKLADEM</v>
          </cell>
          <cell r="D1810">
            <v>0</v>
          </cell>
        </row>
        <row r="1811">
          <cell r="A1811" t="str">
            <v>K-C30025NID/C</v>
          </cell>
          <cell r="B1811" t="str">
            <v>VYPRODÁNO</v>
          </cell>
          <cell r="D1811">
            <v>0</v>
          </cell>
        </row>
        <row r="1812">
          <cell r="A1812" t="str">
            <v>K-C379XMK/C</v>
          </cell>
          <cell r="B1812" t="str">
            <v>VYPRODÁNO</v>
          </cell>
          <cell r="D1812">
            <v>0</v>
          </cell>
        </row>
        <row r="1813">
          <cell r="A1813" t="str">
            <v>K-C39020F/C</v>
          </cell>
          <cell r="B1813" t="str">
            <v>SKLADEM</v>
          </cell>
          <cell r="D1813">
            <v>0</v>
          </cell>
        </row>
        <row r="1814">
          <cell r="A1814" t="str">
            <v>K-C40020XPR/C14</v>
          </cell>
          <cell r="B1814" t="str">
            <v>SKLADEM</v>
          </cell>
          <cell r="D1814">
            <v>0</v>
          </cell>
        </row>
        <row r="1815">
          <cell r="A1815" t="str">
            <v>K-C40025F/C</v>
          </cell>
          <cell r="B1815" t="str">
            <v>SKLADEM</v>
          </cell>
          <cell r="D1815">
            <v>0</v>
          </cell>
        </row>
        <row r="1816">
          <cell r="A1816" t="str">
            <v>K-C503BPW/C14</v>
          </cell>
          <cell r="B1816" t="str">
            <v>VYPRODÁNO</v>
          </cell>
          <cell r="D1816">
            <v>0</v>
          </cell>
        </row>
        <row r="1817">
          <cell r="A1817" t="str">
            <v>K-C503BW/C14</v>
          </cell>
          <cell r="B1817" t="str">
            <v>VYPRODÁNO</v>
          </cell>
          <cell r="D1817">
            <v>0</v>
          </cell>
        </row>
        <row r="1818">
          <cell r="A1818" t="str">
            <v>K-C503F/C14</v>
          </cell>
          <cell r="B1818" t="str">
            <v>VYPRODÁNO</v>
          </cell>
          <cell r="D1818">
            <v>0</v>
          </cell>
        </row>
        <row r="1819">
          <cell r="A1819" t="str">
            <v>K-C503ME/C14</v>
          </cell>
          <cell r="B1819" t="str">
            <v>SKLADEM</v>
          </cell>
          <cell r="D1819">
            <v>0</v>
          </cell>
        </row>
        <row r="1820">
          <cell r="A1820" t="str">
            <v>K-C503NID/C14</v>
          </cell>
          <cell r="B1820" t="str">
            <v>SKLADEM</v>
          </cell>
          <cell r="D1820">
            <v>0</v>
          </cell>
        </row>
        <row r="1821">
          <cell r="A1821" t="str">
            <v>K-C503RO/C14</v>
          </cell>
          <cell r="B1821" t="str">
            <v>VYPRODÁNO</v>
          </cell>
          <cell r="D1821">
            <v>0</v>
          </cell>
        </row>
        <row r="1822">
          <cell r="A1822" t="str">
            <v>K-C503SIG/C14</v>
          </cell>
          <cell r="B1822" t="str">
            <v>VYPRODÁNO</v>
          </cell>
          <cell r="D1822">
            <v>0</v>
          </cell>
        </row>
        <row r="1823">
          <cell r="A1823" t="str">
            <v>K-C505V/C</v>
          </cell>
          <cell r="B1823" t="str">
            <v>SKLADEM</v>
          </cell>
          <cell r="D1823">
            <v>0</v>
          </cell>
        </row>
        <row r="1824">
          <cell r="A1824" t="str">
            <v>K-C505X/C</v>
          </cell>
          <cell r="B1824" t="str">
            <v>VYPRODÁNO</v>
          </cell>
          <cell r="D1824">
            <v>0</v>
          </cell>
        </row>
        <row r="1825">
          <cell r="A1825" t="str">
            <v>K-C52020F/C</v>
          </cell>
          <cell r="B1825" t="str">
            <v>SKLADEM</v>
          </cell>
          <cell r="D1825">
            <v>0</v>
          </cell>
        </row>
        <row r="1826">
          <cell r="A1826" t="str">
            <v>K-C53620F/C</v>
          </cell>
          <cell r="B1826" t="str">
            <v>SKLADEM</v>
          </cell>
          <cell r="D1826">
            <v>0</v>
          </cell>
        </row>
        <row r="1827">
          <cell r="A1827" t="str">
            <v>K-C583MN/C14</v>
          </cell>
          <cell r="B1827" t="str">
            <v>VYPRODÁNO</v>
          </cell>
          <cell r="D1827">
            <v>0</v>
          </cell>
        </row>
        <row r="1828">
          <cell r="A1828" t="str">
            <v>K-C755R/C</v>
          </cell>
          <cell r="B1828" t="str">
            <v>SKLADEM</v>
          </cell>
          <cell r="D1828">
            <v>0</v>
          </cell>
        </row>
        <row r="1829">
          <cell r="A1829" t="str">
            <v>K-C80020XPR/C</v>
          </cell>
          <cell r="B1829" t="str">
            <v>VYPRODÁNO</v>
          </cell>
          <cell r="D1829">
            <v>0</v>
          </cell>
        </row>
        <row r="1830">
          <cell r="A1830" t="str">
            <v>K-C84M12E/C</v>
          </cell>
          <cell r="B1830" t="str">
            <v>VYPRODÁNO</v>
          </cell>
          <cell r="D1830">
            <v>0</v>
          </cell>
        </row>
        <row r="1831">
          <cell r="A1831" t="str">
            <v>K-C84M12F/C</v>
          </cell>
          <cell r="B1831" t="str">
            <v>SKLADEM</v>
          </cell>
          <cell r="D1831">
            <v>0</v>
          </cell>
        </row>
        <row r="1832">
          <cell r="A1832" t="str">
            <v>K-C84M12S/C</v>
          </cell>
          <cell r="B1832" t="str">
            <v>SKLADEM</v>
          </cell>
          <cell r="D1832">
            <v>0</v>
          </cell>
        </row>
        <row r="1833">
          <cell r="A1833" t="str">
            <v>K-C84MC/C</v>
          </cell>
          <cell r="B1833" t="str">
            <v>SKLADEM</v>
          </cell>
          <cell r="D1833">
            <v>0</v>
          </cell>
        </row>
        <row r="1834">
          <cell r="A1834" t="str">
            <v>K-C9625MF/C14</v>
          </cell>
          <cell r="B1834" t="str">
            <v>SKLADEM</v>
          </cell>
          <cell r="D1834">
            <v>0</v>
          </cell>
        </row>
        <row r="1835">
          <cell r="A1835" t="str">
            <v>K-C9825C/C</v>
          </cell>
          <cell r="B1835" t="str">
            <v>VYPRODÁNO</v>
          </cell>
          <cell r="D1835">
            <v>0</v>
          </cell>
        </row>
        <row r="1836">
          <cell r="A1836" t="str">
            <v>K-C9825C/C14</v>
          </cell>
          <cell r="B1836" t="str">
            <v>VYPRODÁNO</v>
          </cell>
          <cell r="D1836">
            <v>0</v>
          </cell>
        </row>
        <row r="1837">
          <cell r="A1837" t="str">
            <v>KD1</v>
          </cell>
          <cell r="B1837" t="str">
            <v>VYPRODÁNO</v>
          </cell>
          <cell r="D1837">
            <v>0</v>
          </cell>
        </row>
        <row r="1838">
          <cell r="A1838" t="str">
            <v>KDLE1</v>
          </cell>
          <cell r="B1838" t="str">
            <v>SKLADEM</v>
          </cell>
          <cell r="D1838">
            <v>0</v>
          </cell>
        </row>
        <row r="1839">
          <cell r="A1839" t="str">
            <v>KK2024</v>
          </cell>
          <cell r="B1839" t="str">
            <v>VYPRODÁNO</v>
          </cell>
          <cell r="D1839">
            <v>0</v>
          </cell>
        </row>
        <row r="1840">
          <cell r="A1840" t="str">
            <v>KK2025</v>
          </cell>
          <cell r="B1840" t="str">
            <v>VYPRODÁNO</v>
          </cell>
          <cell r="D1840">
            <v>0</v>
          </cell>
        </row>
        <row r="1841">
          <cell r="A1841" t="str">
            <v>LM0SW</v>
          </cell>
          <cell r="B1841" t="str">
            <v>SKLADEM</v>
          </cell>
          <cell r="D1841">
            <v>0</v>
          </cell>
        </row>
        <row r="1842">
          <cell r="A1842" t="str">
            <v>LM0SW(1)</v>
          </cell>
          <cell r="B1842" t="str">
            <v>VYPRODÁNO</v>
          </cell>
          <cell r="D1842">
            <v>0</v>
          </cell>
        </row>
        <row r="1843">
          <cell r="A1843" t="str">
            <v>LM1O</v>
          </cell>
          <cell r="B1843" t="str">
            <v>SKLADEM</v>
          </cell>
          <cell r="D1843">
            <v>0</v>
          </cell>
        </row>
        <row r="1844">
          <cell r="A1844" t="str">
            <v>LM2C</v>
          </cell>
          <cell r="B1844" t="str">
            <v>SKLADEM</v>
          </cell>
          <cell r="D1844">
            <v>0</v>
          </cell>
        </row>
        <row r="1845">
          <cell r="A1845" t="str">
            <v>LM2V</v>
          </cell>
          <cell r="B1845" t="str">
            <v>SKLADEM</v>
          </cell>
          <cell r="D1845">
            <v>0</v>
          </cell>
        </row>
        <row r="1846">
          <cell r="A1846" t="str">
            <v>LM3T</v>
          </cell>
          <cell r="B1846" t="str">
            <v>SKLADEM</v>
          </cell>
          <cell r="D1846">
            <v>0</v>
          </cell>
        </row>
        <row r="1847">
          <cell r="A1847" t="str">
            <v>LM4O</v>
          </cell>
          <cell r="B1847" t="str">
            <v>SKLADEM</v>
          </cell>
          <cell r="D1847">
            <v>0</v>
          </cell>
        </row>
        <row r="1848">
          <cell r="A1848" t="str">
            <v>LM5W</v>
          </cell>
          <cell r="B1848" t="str">
            <v>SKLADEM</v>
          </cell>
          <cell r="D1848">
            <v>0</v>
          </cell>
        </row>
        <row r="1849">
          <cell r="A1849" t="str">
            <v>LM6M</v>
          </cell>
          <cell r="B1849" t="str">
            <v>SKLADEM</v>
          </cell>
          <cell r="D1849">
            <v>0</v>
          </cell>
        </row>
        <row r="1850">
          <cell r="A1850" t="str">
            <v>LM7S</v>
          </cell>
          <cell r="B1850" t="str">
            <v>SKLADEM</v>
          </cell>
          <cell r="D1850">
            <v>0</v>
          </cell>
        </row>
        <row r="1851">
          <cell r="A1851" t="str">
            <v>LM7S(1)</v>
          </cell>
          <cell r="B1851" t="str">
            <v>VYPRODÁNO</v>
          </cell>
          <cell r="D1851">
            <v>0</v>
          </cell>
        </row>
        <row r="1852">
          <cell r="A1852" t="str">
            <v>LS1</v>
          </cell>
          <cell r="B1852" t="str">
            <v>VYPRODÁNO</v>
          </cell>
          <cell r="D1852">
            <v>0</v>
          </cell>
        </row>
        <row r="1853">
          <cell r="A1853" t="str">
            <v>LS2</v>
          </cell>
          <cell r="B1853" t="str">
            <v>VYPRODÁNO</v>
          </cell>
          <cell r="D1853">
            <v>0</v>
          </cell>
        </row>
        <row r="1854">
          <cell r="A1854" t="str">
            <v>M2</v>
          </cell>
          <cell r="B1854" t="str">
            <v>SKLADEM</v>
          </cell>
          <cell r="D1854">
            <v>0</v>
          </cell>
        </row>
        <row r="1855">
          <cell r="A1855" t="str">
            <v>M25</v>
          </cell>
          <cell r="B1855" t="str">
            <v>VYPRODÁNO</v>
          </cell>
          <cell r="D1855">
            <v>0</v>
          </cell>
        </row>
        <row r="1856">
          <cell r="A1856" t="str">
            <v>M3</v>
          </cell>
          <cell r="B1856" t="str">
            <v>SKLADEM</v>
          </cell>
          <cell r="D1856">
            <v>0</v>
          </cell>
        </row>
        <row r="1857">
          <cell r="A1857" t="str">
            <v>M4</v>
          </cell>
          <cell r="B1857" t="str">
            <v>SKLADEM</v>
          </cell>
          <cell r="D1857">
            <v>0</v>
          </cell>
        </row>
        <row r="1858">
          <cell r="A1858" t="str">
            <v>M5</v>
          </cell>
          <cell r="B1858" t="str">
            <v>SKLADEM</v>
          </cell>
          <cell r="D1858">
            <v>0</v>
          </cell>
        </row>
        <row r="1859">
          <cell r="A1859" t="str">
            <v>M6</v>
          </cell>
          <cell r="B1859" t="str">
            <v>SKLADEM</v>
          </cell>
          <cell r="D1859">
            <v>0</v>
          </cell>
        </row>
        <row r="1860">
          <cell r="A1860" t="str">
            <v>MDLE1L</v>
          </cell>
          <cell r="B1860" t="str">
            <v>SKLADEM</v>
          </cell>
          <cell r="D1860">
            <v>10</v>
          </cell>
        </row>
        <row r="1861">
          <cell r="A1861" t="str">
            <v>MDLE1M</v>
          </cell>
          <cell r="B1861" t="str">
            <v>SKLADEM</v>
          </cell>
          <cell r="D1861">
            <v>10</v>
          </cell>
        </row>
        <row r="1862">
          <cell r="A1862" t="str">
            <v>MDLE1XL</v>
          </cell>
          <cell r="B1862" t="str">
            <v>SKLADEM</v>
          </cell>
          <cell r="D1862">
            <v>7</v>
          </cell>
        </row>
        <row r="1863">
          <cell r="A1863" t="str">
            <v>MDLE1XXL</v>
          </cell>
          <cell r="B1863" t="str">
            <v>SKLADEM</v>
          </cell>
          <cell r="D1863">
            <v>7</v>
          </cell>
        </row>
        <row r="1864">
          <cell r="A1864" t="str">
            <v>N1</v>
          </cell>
          <cell r="B1864" t="str">
            <v>SKLADEM</v>
          </cell>
          <cell r="D1864">
            <v>0</v>
          </cell>
        </row>
        <row r="1865">
          <cell r="A1865" t="str">
            <v>ND1</v>
          </cell>
          <cell r="B1865" t="str">
            <v>SKLADEM</v>
          </cell>
          <cell r="D1865">
            <v>0</v>
          </cell>
        </row>
        <row r="1866">
          <cell r="A1866" t="str">
            <v>NL26</v>
          </cell>
          <cell r="B1866" t="str">
            <v>VYPRODÁNO</v>
          </cell>
          <cell r="D1866">
            <v>0</v>
          </cell>
        </row>
        <row r="1867">
          <cell r="A1867" t="str">
            <v>number</v>
          </cell>
          <cell r="B1867" t="str">
            <v>VYPRODÁNO</v>
          </cell>
          <cell r="D1867">
            <v>0</v>
          </cell>
        </row>
        <row r="1868">
          <cell r="A1868" t="str">
            <v>OS2</v>
          </cell>
          <cell r="B1868" t="str">
            <v>VYPRODÁNO</v>
          </cell>
          <cell r="D1868">
            <v>0</v>
          </cell>
        </row>
        <row r="1869">
          <cell r="A1869" t="str">
            <v>OZ4</v>
          </cell>
          <cell r="B1869" t="str">
            <v>SKLADEM</v>
          </cell>
          <cell r="D1869">
            <v>0</v>
          </cell>
        </row>
        <row r="1870">
          <cell r="A1870" t="str">
            <v>P01</v>
          </cell>
          <cell r="B1870" t="str">
            <v>VYPRODÁNO</v>
          </cell>
          <cell r="D1870">
            <v>0</v>
          </cell>
        </row>
        <row r="1871">
          <cell r="A1871" t="str">
            <v>P05D</v>
          </cell>
          <cell r="B1871" t="str">
            <v>SKLADEM</v>
          </cell>
          <cell r="D1871">
            <v>0</v>
          </cell>
        </row>
        <row r="1872">
          <cell r="A1872" t="str">
            <v>P066D20</v>
          </cell>
          <cell r="B1872" t="str">
            <v>VYPRODÁNO</v>
          </cell>
          <cell r="D1872">
            <v>0</v>
          </cell>
        </row>
        <row r="1873">
          <cell r="A1873" t="str">
            <v>P1</v>
          </cell>
          <cell r="B1873" t="str">
            <v>VYPRODÁNO</v>
          </cell>
          <cell r="D1873">
            <v>0</v>
          </cell>
        </row>
        <row r="1874">
          <cell r="A1874" t="str">
            <v>P10D10</v>
          </cell>
          <cell r="B1874" t="str">
            <v>VYPRODÁNO</v>
          </cell>
          <cell r="D1874">
            <v>0</v>
          </cell>
        </row>
        <row r="1875">
          <cell r="A1875" t="str">
            <v>P10D20</v>
          </cell>
          <cell r="B1875" t="str">
            <v>VYPRODÁNO</v>
          </cell>
          <cell r="D1875">
            <v>0</v>
          </cell>
        </row>
        <row r="1876">
          <cell r="A1876" t="str">
            <v>P11D E</v>
          </cell>
          <cell r="B1876" t="str">
            <v>VYPRODÁNO</v>
          </cell>
          <cell r="D1876">
            <v>0</v>
          </cell>
        </row>
        <row r="1877">
          <cell r="A1877" t="str">
            <v>P170</v>
          </cell>
          <cell r="B1877" t="str">
            <v>01.04.2026</v>
          </cell>
          <cell r="C1877">
            <v>6</v>
          </cell>
          <cell r="D1877" t="str">
            <v>100+</v>
          </cell>
        </row>
        <row r="1878">
          <cell r="A1878" t="str">
            <v>P1D</v>
          </cell>
          <cell r="B1878" t="str">
            <v>SKLADEM</v>
          </cell>
          <cell r="D1878">
            <v>0</v>
          </cell>
        </row>
        <row r="1879">
          <cell r="A1879" t="str">
            <v>P1DB</v>
          </cell>
          <cell r="B1879" t="str">
            <v>VYPRODÁNO</v>
          </cell>
          <cell r="D1879">
            <v>0</v>
          </cell>
        </row>
        <row r="1880">
          <cell r="A1880" t="str">
            <v>P22D E</v>
          </cell>
          <cell r="B1880" t="str">
            <v>VYPRODÁNO</v>
          </cell>
          <cell r="D1880">
            <v>0</v>
          </cell>
        </row>
        <row r="1881">
          <cell r="A1881" t="str">
            <v>P2D</v>
          </cell>
          <cell r="B1881" t="str">
            <v>SKLADEM</v>
          </cell>
          <cell r="D1881">
            <v>0</v>
          </cell>
        </row>
        <row r="1882">
          <cell r="A1882" t="str">
            <v>P2DB</v>
          </cell>
          <cell r="B1882" t="str">
            <v>VYPRODÁNO</v>
          </cell>
          <cell r="D1882">
            <v>0</v>
          </cell>
        </row>
        <row r="1883">
          <cell r="A1883" t="str">
            <v>P30D</v>
          </cell>
          <cell r="B1883" t="str">
            <v>02.04.2026</v>
          </cell>
          <cell r="C1883">
            <v>7</v>
          </cell>
          <cell r="D1883" t="str">
            <v>100+</v>
          </cell>
        </row>
        <row r="1884">
          <cell r="A1884" t="str">
            <v>P30D E</v>
          </cell>
          <cell r="B1884" t="str">
            <v>VYPRODÁNO</v>
          </cell>
          <cell r="D1884">
            <v>0</v>
          </cell>
        </row>
        <row r="1885">
          <cell r="A1885" t="str">
            <v>P30P</v>
          </cell>
          <cell r="B1885" t="str">
            <v>VYPRODÁNO</v>
          </cell>
          <cell r="D1885">
            <v>0</v>
          </cell>
        </row>
        <row r="1886">
          <cell r="A1886" t="str">
            <v>P3B</v>
          </cell>
          <cell r="B1886" t="str">
            <v>VYPRODÁNO</v>
          </cell>
          <cell r="D1886">
            <v>0</v>
          </cell>
        </row>
        <row r="1887">
          <cell r="A1887" t="str">
            <v>P40B20</v>
          </cell>
          <cell r="B1887" t="str">
            <v>VYPRODÁNO</v>
          </cell>
          <cell r="D1887">
            <v>0</v>
          </cell>
        </row>
        <row r="1888">
          <cell r="A1888" t="str">
            <v>P40B25</v>
          </cell>
          <cell r="B1888" t="str">
            <v>SKLADEM</v>
          </cell>
          <cell r="D1888">
            <v>0</v>
          </cell>
        </row>
        <row r="1889">
          <cell r="A1889" t="str">
            <v>P40C20</v>
          </cell>
          <cell r="B1889" t="str">
            <v>VYPRODÁNO</v>
          </cell>
          <cell r="D1889">
            <v>0</v>
          </cell>
        </row>
        <row r="1890">
          <cell r="A1890" t="str">
            <v>P40C25</v>
          </cell>
          <cell r="B1890" t="str">
            <v>SKLADEM</v>
          </cell>
          <cell r="D1890">
            <v>0</v>
          </cell>
        </row>
        <row r="1891">
          <cell r="A1891" t="str">
            <v>P40MO25</v>
          </cell>
          <cell r="B1891" t="str">
            <v>SKLADEM</v>
          </cell>
          <cell r="D1891">
            <v>0</v>
          </cell>
        </row>
        <row r="1892">
          <cell r="A1892" t="str">
            <v>P40Z20</v>
          </cell>
          <cell r="B1892" t="str">
            <v>VYPRODÁNO</v>
          </cell>
          <cell r="D1892">
            <v>0</v>
          </cell>
        </row>
        <row r="1893">
          <cell r="A1893" t="str">
            <v>P40Z25</v>
          </cell>
          <cell r="B1893" t="str">
            <v>SKLADEM</v>
          </cell>
          <cell r="D1893">
            <v>0</v>
          </cell>
        </row>
        <row r="1894">
          <cell r="A1894" t="str">
            <v>P40ZL25</v>
          </cell>
          <cell r="B1894" t="str">
            <v>VYPRODÁNO</v>
          </cell>
          <cell r="D1894">
            <v>0</v>
          </cell>
        </row>
        <row r="1895">
          <cell r="A1895" t="str">
            <v>P44D</v>
          </cell>
          <cell r="B1895" t="str">
            <v>VYPRODÁNO</v>
          </cell>
          <cell r="D1895">
            <v>0</v>
          </cell>
        </row>
        <row r="1896">
          <cell r="A1896" t="str">
            <v>P44D E</v>
          </cell>
          <cell r="B1896" t="str">
            <v>VYPRODÁNO</v>
          </cell>
          <cell r="D1896">
            <v>0</v>
          </cell>
        </row>
        <row r="1897">
          <cell r="A1897" t="str">
            <v>P4A</v>
          </cell>
          <cell r="B1897" t="str">
            <v>VYPRODÁNO</v>
          </cell>
          <cell r="D1897">
            <v>0</v>
          </cell>
        </row>
        <row r="1898">
          <cell r="A1898" t="str">
            <v>P4A(1)</v>
          </cell>
          <cell r="B1898" t="str">
            <v>VYPRODÁNO</v>
          </cell>
          <cell r="D1898">
            <v>0</v>
          </cell>
        </row>
        <row r="1899">
          <cell r="A1899" t="str">
            <v>P4B</v>
          </cell>
          <cell r="B1899" t="str">
            <v>SKLADEM</v>
          </cell>
          <cell r="D1899">
            <v>0</v>
          </cell>
        </row>
        <row r="1900">
          <cell r="A1900" t="str">
            <v>P50D</v>
          </cell>
          <cell r="B1900" t="str">
            <v>01.04.2026</v>
          </cell>
          <cell r="C1900">
            <v>6</v>
          </cell>
          <cell r="D1900" t="str">
            <v>100+</v>
          </cell>
        </row>
        <row r="1901">
          <cell r="A1901" t="str">
            <v>P50D E</v>
          </cell>
          <cell r="B1901" t="str">
            <v>VYPRODÁNO</v>
          </cell>
          <cell r="D1901">
            <v>0</v>
          </cell>
        </row>
        <row r="1902">
          <cell r="A1902" t="str">
            <v>P5A13</v>
          </cell>
          <cell r="B1902" t="str">
            <v>SKLADEM</v>
          </cell>
          <cell r="D1902">
            <v>0</v>
          </cell>
        </row>
        <row r="1903">
          <cell r="A1903" t="str">
            <v>P5C E</v>
          </cell>
          <cell r="B1903" t="str">
            <v>VYPRODÁNO</v>
          </cell>
          <cell r="D1903">
            <v>0</v>
          </cell>
        </row>
        <row r="1904">
          <cell r="A1904" t="str">
            <v>P5C13</v>
          </cell>
          <cell r="B1904" t="str">
            <v>VYPRODÁNO</v>
          </cell>
          <cell r="D1904">
            <v>0</v>
          </cell>
        </row>
        <row r="1905">
          <cell r="A1905" t="str">
            <v>P5D E</v>
          </cell>
          <cell r="B1905" t="str">
            <v>VYPRODÁNO</v>
          </cell>
          <cell r="D1905">
            <v>0</v>
          </cell>
        </row>
        <row r="1906">
          <cell r="A1906" t="str">
            <v>P5D13</v>
          </cell>
          <cell r="B1906" t="str">
            <v>SKLADEM</v>
          </cell>
          <cell r="D1906">
            <v>0</v>
          </cell>
        </row>
        <row r="1907">
          <cell r="A1907" t="str">
            <v>P5D13(W)</v>
          </cell>
          <cell r="B1907" t="str">
            <v>DOCHÁZÍ</v>
          </cell>
          <cell r="D1907">
            <v>0</v>
          </cell>
          <cell r="E1907">
            <v>52</v>
          </cell>
        </row>
        <row r="1908">
          <cell r="A1908" t="str">
            <v>P5DU</v>
          </cell>
          <cell r="B1908" t="str">
            <v>10.04.2026</v>
          </cell>
          <cell r="C1908">
            <v>15</v>
          </cell>
          <cell r="D1908">
            <v>0</v>
          </cell>
        </row>
        <row r="1909">
          <cell r="A1909" t="str">
            <v>P5DU13</v>
          </cell>
          <cell r="B1909" t="str">
            <v>SKLADEM</v>
          </cell>
          <cell r="D1909">
            <v>0</v>
          </cell>
        </row>
        <row r="1910">
          <cell r="A1910" t="str">
            <v>P5DU13(1)</v>
          </cell>
          <cell r="B1910" t="str">
            <v>SKLADEM</v>
          </cell>
          <cell r="D1910">
            <v>0</v>
          </cell>
        </row>
        <row r="1911">
          <cell r="A1911" t="str">
            <v>P5DU13(1)B</v>
          </cell>
          <cell r="B1911" t="str">
            <v>VYPRODÁNO</v>
          </cell>
          <cell r="D1911">
            <v>0</v>
          </cell>
        </row>
        <row r="1912">
          <cell r="A1912" t="str">
            <v>P5DU13(M)</v>
          </cell>
          <cell r="B1912" t="str">
            <v>SKLADEM</v>
          </cell>
          <cell r="D1912" t="str">
            <v>100+</v>
          </cell>
        </row>
        <row r="1913">
          <cell r="A1913" t="str">
            <v>P60V</v>
          </cell>
          <cell r="B1913" t="str">
            <v>VYPRODÁNO</v>
          </cell>
          <cell r="D1913">
            <v>0</v>
          </cell>
        </row>
        <row r="1914">
          <cell r="A1914" t="str">
            <v>P6A11</v>
          </cell>
          <cell r="B1914" t="str">
            <v>VYPRODÁNO</v>
          </cell>
          <cell r="D1914">
            <v>0</v>
          </cell>
        </row>
        <row r="1915">
          <cell r="A1915" t="str">
            <v>P6A11 E</v>
          </cell>
          <cell r="B1915" t="str">
            <v>VYPRODÁNO</v>
          </cell>
          <cell r="D1915">
            <v>0</v>
          </cell>
        </row>
        <row r="1916">
          <cell r="A1916" t="str">
            <v>P6A13</v>
          </cell>
          <cell r="B1916" t="str">
            <v>VYPRODÁNO</v>
          </cell>
          <cell r="D1916">
            <v>0</v>
          </cell>
        </row>
        <row r="1917">
          <cell r="A1917" t="str">
            <v>P6A13(G)</v>
          </cell>
          <cell r="B1917" t="str">
            <v>VYPRODÁNO</v>
          </cell>
          <cell r="D1917">
            <v>0</v>
          </cell>
        </row>
        <row r="1918">
          <cell r="A1918" t="str">
            <v>P6A13(G)F3</v>
          </cell>
          <cell r="B1918" t="str">
            <v>SKLADEM</v>
          </cell>
          <cell r="D1918">
            <v>0</v>
          </cell>
        </row>
        <row r="1919">
          <cell r="A1919" t="str">
            <v>P6A13(G)F3-1</v>
          </cell>
          <cell r="B1919" t="str">
            <v>VYPRODÁNO</v>
          </cell>
          <cell r="D1919">
            <v>0</v>
          </cell>
        </row>
        <row r="1920">
          <cell r="A1920" t="str">
            <v>P6A13(R)</v>
          </cell>
          <cell r="B1920" t="str">
            <v>VYPRODÁNO</v>
          </cell>
          <cell r="D1920">
            <v>0</v>
          </cell>
        </row>
        <row r="1921">
          <cell r="A1921" t="str">
            <v>P6A13(R)F3</v>
          </cell>
          <cell r="B1921" t="str">
            <v>SKLADEM</v>
          </cell>
          <cell r="D1921">
            <v>0</v>
          </cell>
        </row>
        <row r="1922">
          <cell r="A1922" t="str">
            <v>P6A13(R)F3-1</v>
          </cell>
          <cell r="B1922" t="str">
            <v>VYPRODÁNO</v>
          </cell>
          <cell r="D1922">
            <v>0</v>
          </cell>
        </row>
        <row r="1923">
          <cell r="A1923" t="str">
            <v>P6A14</v>
          </cell>
          <cell r="B1923" t="str">
            <v>VYPRODÁNO</v>
          </cell>
          <cell r="D1923">
            <v>0</v>
          </cell>
        </row>
        <row r="1924">
          <cell r="A1924" t="str">
            <v>P6A14(1)</v>
          </cell>
          <cell r="B1924" t="str">
            <v>VYPRODÁNO</v>
          </cell>
          <cell r="D1924">
            <v>0</v>
          </cell>
        </row>
        <row r="1925">
          <cell r="A1925" t="str">
            <v>P6A14F3</v>
          </cell>
          <cell r="B1925" t="str">
            <v>DOCHÁZÍ</v>
          </cell>
          <cell r="D1925" t="str">
            <v>100+</v>
          </cell>
          <cell r="E1925">
            <v>70</v>
          </cell>
        </row>
        <row r="1926">
          <cell r="A1926" t="str">
            <v>P6A14F3(R)</v>
          </cell>
          <cell r="B1926" t="str">
            <v>VYPRODÁNO</v>
          </cell>
          <cell r="D1926">
            <v>0</v>
          </cell>
        </row>
        <row r="1927">
          <cell r="A1927" t="str">
            <v>P6AB13</v>
          </cell>
          <cell r="B1927" t="str">
            <v>VYPRODÁNO</v>
          </cell>
          <cell r="D1927">
            <v>0</v>
          </cell>
        </row>
        <row r="1928">
          <cell r="A1928" t="str">
            <v>P6AE</v>
          </cell>
          <cell r="B1928" t="str">
            <v>01.04.2026</v>
          </cell>
          <cell r="C1928">
            <v>6</v>
          </cell>
          <cell r="D1928" t="str">
            <v>100+</v>
          </cell>
        </row>
        <row r="1929">
          <cell r="A1929" t="str">
            <v>P6AE E</v>
          </cell>
          <cell r="B1929" t="str">
            <v>VYPRODÁNO</v>
          </cell>
          <cell r="D1929">
            <v>0</v>
          </cell>
        </row>
        <row r="1930">
          <cell r="A1930" t="str">
            <v>P6AF11</v>
          </cell>
          <cell r="B1930" t="str">
            <v>VYPRODÁNO</v>
          </cell>
          <cell r="D1930">
            <v>0</v>
          </cell>
        </row>
        <row r="1931">
          <cell r="A1931" t="str">
            <v>P6AF11 E</v>
          </cell>
          <cell r="B1931" t="str">
            <v>VYPRODÁNO</v>
          </cell>
          <cell r="D1931">
            <v>0</v>
          </cell>
        </row>
        <row r="1932">
          <cell r="A1932" t="str">
            <v>P6AF13</v>
          </cell>
          <cell r="B1932" t="str">
            <v>VYPRODÁNO</v>
          </cell>
          <cell r="D1932">
            <v>0</v>
          </cell>
        </row>
        <row r="1933">
          <cell r="A1933" t="str">
            <v>P6AFM</v>
          </cell>
          <cell r="B1933" t="str">
            <v>VYPRODÁNO</v>
          </cell>
          <cell r="D1933">
            <v>0</v>
          </cell>
        </row>
        <row r="1934">
          <cell r="A1934" t="str">
            <v>P6AM</v>
          </cell>
          <cell r="B1934" t="str">
            <v>VYPRODÁNO</v>
          </cell>
          <cell r="D1934">
            <v>0</v>
          </cell>
        </row>
        <row r="1935">
          <cell r="A1935" t="str">
            <v>P6AP13</v>
          </cell>
          <cell r="B1935" t="str">
            <v>VYPRODÁNO</v>
          </cell>
          <cell r="D1935">
            <v>0</v>
          </cell>
        </row>
        <row r="1936">
          <cell r="A1936" t="str">
            <v>P6B11</v>
          </cell>
          <cell r="B1936" t="str">
            <v>VYPRODÁNO</v>
          </cell>
          <cell r="D1936">
            <v>0</v>
          </cell>
        </row>
        <row r="1937">
          <cell r="A1937" t="str">
            <v>P6B11 E</v>
          </cell>
          <cell r="B1937" t="str">
            <v>VYPRODÁNO</v>
          </cell>
          <cell r="D1937">
            <v>0</v>
          </cell>
        </row>
        <row r="1938">
          <cell r="A1938" t="str">
            <v>P7A14</v>
          </cell>
          <cell r="B1938" t="str">
            <v>SKLADEM</v>
          </cell>
          <cell r="D1938">
            <v>0</v>
          </cell>
        </row>
        <row r="1939">
          <cell r="A1939" t="str">
            <v>P7D E</v>
          </cell>
          <cell r="B1939" t="str">
            <v>VYPRODÁNO</v>
          </cell>
          <cell r="D1939">
            <v>0</v>
          </cell>
        </row>
        <row r="1940">
          <cell r="A1940" t="str">
            <v>P7V E</v>
          </cell>
          <cell r="B1940" t="str">
            <v>VYPRODÁNO</v>
          </cell>
          <cell r="D1940">
            <v>0</v>
          </cell>
        </row>
        <row r="1941">
          <cell r="A1941" t="str">
            <v>P8DCH</v>
          </cell>
          <cell r="B1941" t="str">
            <v>VYPRODÁNO</v>
          </cell>
          <cell r="D1941">
            <v>0</v>
          </cell>
        </row>
        <row r="1942">
          <cell r="A1942" t="str">
            <v>P8DCH(CH)</v>
          </cell>
          <cell r="B1942" t="str">
            <v>VYPRODÁNO</v>
          </cell>
          <cell r="D1942">
            <v>0</v>
          </cell>
        </row>
        <row r="1943">
          <cell r="A1943" t="str">
            <v>PB120D</v>
          </cell>
          <cell r="B1943" t="str">
            <v>SKLADEM</v>
          </cell>
          <cell r="D1943" t="str">
            <v>100+</v>
          </cell>
        </row>
        <row r="1944">
          <cell r="A1944" t="str">
            <v>PB120D E</v>
          </cell>
          <cell r="B1944" t="str">
            <v>VYPRODÁNO</v>
          </cell>
          <cell r="D1944">
            <v>0</v>
          </cell>
        </row>
        <row r="1945">
          <cell r="A1945" t="str">
            <v>PK1</v>
          </cell>
          <cell r="B1945" t="str">
            <v>VYPRODÁNO</v>
          </cell>
          <cell r="D1945">
            <v>0</v>
          </cell>
        </row>
        <row r="1946">
          <cell r="A1946" t="str">
            <v>PK2</v>
          </cell>
          <cell r="B1946" t="str">
            <v>VYPRODÁNO</v>
          </cell>
          <cell r="D1946">
            <v>0</v>
          </cell>
        </row>
        <row r="1947">
          <cell r="A1947" t="str">
            <v>PL1CZE</v>
          </cell>
          <cell r="B1947" t="str">
            <v>VYPRODÁNO</v>
          </cell>
          <cell r="D1947">
            <v>0</v>
          </cell>
        </row>
        <row r="1948">
          <cell r="A1948" t="str">
            <v>PL1DU</v>
          </cell>
          <cell r="B1948" t="str">
            <v>SKLADEM</v>
          </cell>
          <cell r="D1948">
            <v>0</v>
          </cell>
        </row>
        <row r="1949">
          <cell r="A1949" t="str">
            <v>PL1SVK</v>
          </cell>
          <cell r="B1949" t="str">
            <v>VYPRODÁNO</v>
          </cell>
          <cell r="D1949">
            <v>0</v>
          </cell>
        </row>
        <row r="1950">
          <cell r="A1950" t="str">
            <v>PL2CZE</v>
          </cell>
          <cell r="B1950" t="str">
            <v>VYPRODÁNO</v>
          </cell>
          <cell r="D1950">
            <v>0</v>
          </cell>
        </row>
        <row r="1951">
          <cell r="A1951" t="str">
            <v>PL2SVK</v>
          </cell>
          <cell r="B1951" t="str">
            <v>VYPRODÁNO</v>
          </cell>
          <cell r="D1951">
            <v>0</v>
          </cell>
        </row>
        <row r="1952">
          <cell r="A1952" t="str">
            <v>PLZ420</v>
          </cell>
          <cell r="B1952" t="str">
            <v>VYPRODÁNO</v>
          </cell>
          <cell r="D1952">
            <v>0</v>
          </cell>
        </row>
        <row r="1953">
          <cell r="A1953" t="str">
            <v>PLZ720D</v>
          </cell>
          <cell r="B1953" t="str">
            <v>VYPRODÁNO</v>
          </cell>
          <cell r="D1953">
            <v>0</v>
          </cell>
        </row>
        <row r="1954">
          <cell r="A1954" t="str">
            <v>PPMD1</v>
          </cell>
          <cell r="B1954" t="str">
            <v>SKLADEM</v>
          </cell>
          <cell r="D1954">
            <v>0</v>
          </cell>
        </row>
        <row r="1955">
          <cell r="A1955" t="str">
            <v>PS05D</v>
          </cell>
          <cell r="B1955" t="str">
            <v>VYPRODÁNO</v>
          </cell>
          <cell r="D1955">
            <v>0</v>
          </cell>
        </row>
        <row r="1956">
          <cell r="A1956" t="str">
            <v>PS05D(1)</v>
          </cell>
          <cell r="B1956" t="str">
            <v>VYPRODÁNO</v>
          </cell>
          <cell r="D1956">
            <v>0</v>
          </cell>
        </row>
        <row r="1957">
          <cell r="A1957" t="str">
            <v>PS10D10</v>
          </cell>
          <cell r="B1957" t="str">
            <v>VYPRODÁNO</v>
          </cell>
          <cell r="D1957">
            <v>0</v>
          </cell>
        </row>
        <row r="1958">
          <cell r="A1958" t="str">
            <v>PS10D10(1)</v>
          </cell>
          <cell r="B1958" t="str">
            <v>VYPRODÁNO</v>
          </cell>
          <cell r="D1958">
            <v>0</v>
          </cell>
        </row>
        <row r="1959">
          <cell r="A1959" t="str">
            <v>R100M</v>
          </cell>
          <cell r="B1959" t="str">
            <v>SKLADEM</v>
          </cell>
          <cell r="D1959">
            <v>0</v>
          </cell>
        </row>
        <row r="1960">
          <cell r="A1960" t="str">
            <v>R12T1</v>
          </cell>
          <cell r="B1960" t="str">
            <v>SKLADEM</v>
          </cell>
          <cell r="D1960">
            <v>0</v>
          </cell>
        </row>
        <row r="1961">
          <cell r="A1961" t="str">
            <v>R12T3</v>
          </cell>
          <cell r="B1961" t="str">
            <v>31.07.2026</v>
          </cell>
          <cell r="C1961">
            <v>127</v>
          </cell>
          <cell r="D1961">
            <v>0</v>
          </cell>
        </row>
        <row r="1962">
          <cell r="A1962" t="str">
            <v>R135A</v>
          </cell>
          <cell r="B1962" t="str">
            <v>VYPRODÁNO</v>
          </cell>
          <cell r="D1962">
            <v>0</v>
          </cell>
        </row>
        <row r="1963">
          <cell r="A1963" t="str">
            <v>R135A E</v>
          </cell>
          <cell r="B1963" t="str">
            <v>VYPRODÁNO</v>
          </cell>
          <cell r="D1963">
            <v>0</v>
          </cell>
        </row>
        <row r="1964">
          <cell r="A1964" t="str">
            <v>R135D</v>
          </cell>
          <cell r="B1964" t="str">
            <v>VYPRODÁNO</v>
          </cell>
          <cell r="D1964">
            <v>0</v>
          </cell>
        </row>
        <row r="1965">
          <cell r="A1965" t="str">
            <v>R170B</v>
          </cell>
          <cell r="B1965" t="str">
            <v>SKLADEM</v>
          </cell>
          <cell r="D1965">
            <v>70</v>
          </cell>
        </row>
        <row r="1966">
          <cell r="A1966" t="str">
            <v>R170B E</v>
          </cell>
          <cell r="B1966" t="str">
            <v>VYPRODÁNO</v>
          </cell>
          <cell r="D1966">
            <v>0</v>
          </cell>
        </row>
        <row r="1967">
          <cell r="A1967" t="str">
            <v>R170M</v>
          </cell>
          <cell r="B1967" t="str">
            <v>SKLADEM</v>
          </cell>
          <cell r="D1967">
            <v>0</v>
          </cell>
        </row>
        <row r="1968">
          <cell r="A1968" t="str">
            <v>R170T</v>
          </cell>
          <cell r="B1968" t="str">
            <v>VYPRODÁNO</v>
          </cell>
          <cell r="D1968">
            <v>0</v>
          </cell>
        </row>
        <row r="1969">
          <cell r="A1969" t="str">
            <v>R170X</v>
          </cell>
          <cell r="B1969" t="str">
            <v>SKLADEM</v>
          </cell>
          <cell r="D1969">
            <v>50</v>
          </cell>
        </row>
        <row r="1970">
          <cell r="A1970" t="str">
            <v>R1A</v>
          </cell>
          <cell r="B1970" t="str">
            <v>VYPRODÁNO</v>
          </cell>
          <cell r="D1970">
            <v>0</v>
          </cell>
        </row>
        <row r="1971">
          <cell r="A1971" t="str">
            <v>R1A14</v>
          </cell>
          <cell r="B1971" t="str">
            <v>VYPRODÁNO</v>
          </cell>
          <cell r="D1971">
            <v>0</v>
          </cell>
        </row>
        <row r="1972">
          <cell r="A1972" t="str">
            <v>R1B</v>
          </cell>
          <cell r="B1972" t="str">
            <v>VYPRODÁNO</v>
          </cell>
          <cell r="D1972">
            <v>0</v>
          </cell>
        </row>
        <row r="1973">
          <cell r="A1973" t="str">
            <v>R1B14</v>
          </cell>
          <cell r="B1973" t="str">
            <v>VYPRODÁNO</v>
          </cell>
          <cell r="D1973">
            <v>0</v>
          </cell>
        </row>
        <row r="1974">
          <cell r="A1974" t="str">
            <v>R1C</v>
          </cell>
          <cell r="B1974" t="str">
            <v>VYPRODÁNO</v>
          </cell>
          <cell r="D1974">
            <v>0</v>
          </cell>
        </row>
        <row r="1975">
          <cell r="A1975" t="str">
            <v>R1C14</v>
          </cell>
          <cell r="B1975" t="str">
            <v>VYPRODÁNO</v>
          </cell>
          <cell r="D1975">
            <v>0</v>
          </cell>
        </row>
        <row r="1976">
          <cell r="A1976" t="str">
            <v>R1D</v>
          </cell>
          <cell r="B1976" t="str">
            <v>VYPRODÁNO</v>
          </cell>
          <cell r="D1976">
            <v>0</v>
          </cell>
        </row>
        <row r="1977">
          <cell r="A1977" t="str">
            <v>R1D14</v>
          </cell>
          <cell r="B1977" t="str">
            <v>VYPRODÁNO</v>
          </cell>
          <cell r="D1977">
            <v>0</v>
          </cell>
        </row>
        <row r="1978">
          <cell r="A1978" t="str">
            <v>R1E</v>
          </cell>
          <cell r="B1978" t="str">
            <v>VYPRODÁNO</v>
          </cell>
          <cell r="D1978">
            <v>0</v>
          </cell>
        </row>
        <row r="1979">
          <cell r="A1979" t="str">
            <v>R1E14</v>
          </cell>
          <cell r="B1979" t="str">
            <v>VYPRODÁNO</v>
          </cell>
          <cell r="D1979">
            <v>0</v>
          </cell>
        </row>
        <row r="1980">
          <cell r="A1980" t="str">
            <v>R1F</v>
          </cell>
          <cell r="B1980" t="str">
            <v>VYPRODÁNO</v>
          </cell>
          <cell r="D1980">
            <v>0</v>
          </cell>
        </row>
        <row r="1981">
          <cell r="A1981" t="str">
            <v>R1F14</v>
          </cell>
          <cell r="B1981" t="str">
            <v>VYPRODÁNO</v>
          </cell>
          <cell r="D1981">
            <v>0</v>
          </cell>
        </row>
        <row r="1982">
          <cell r="A1982" t="str">
            <v>R2A</v>
          </cell>
          <cell r="B1982" t="str">
            <v>VYPRODÁNO</v>
          </cell>
          <cell r="D1982">
            <v>0</v>
          </cell>
        </row>
        <row r="1983">
          <cell r="A1983" t="str">
            <v>R2A14</v>
          </cell>
          <cell r="B1983" t="str">
            <v>VYPRODÁNO</v>
          </cell>
          <cell r="D1983">
            <v>0</v>
          </cell>
        </row>
        <row r="1984">
          <cell r="A1984" t="str">
            <v>R2B</v>
          </cell>
          <cell r="B1984" t="str">
            <v>VYPRODÁNO</v>
          </cell>
          <cell r="D1984">
            <v>0</v>
          </cell>
        </row>
        <row r="1985">
          <cell r="A1985" t="str">
            <v>R2B14</v>
          </cell>
          <cell r="B1985" t="str">
            <v>VYPRODÁNO</v>
          </cell>
          <cell r="D1985">
            <v>0</v>
          </cell>
        </row>
        <row r="1986">
          <cell r="A1986" t="str">
            <v>R2C</v>
          </cell>
          <cell r="B1986" t="str">
            <v>VYPRODÁNO</v>
          </cell>
          <cell r="D1986">
            <v>0</v>
          </cell>
        </row>
        <row r="1987">
          <cell r="A1987" t="str">
            <v>R2C14</v>
          </cell>
          <cell r="B1987" t="str">
            <v>VYPRODÁNO</v>
          </cell>
          <cell r="D1987">
            <v>0</v>
          </cell>
        </row>
        <row r="1988">
          <cell r="A1988" t="str">
            <v>R2D</v>
          </cell>
          <cell r="B1988" t="str">
            <v>VYPRODÁNO</v>
          </cell>
          <cell r="D1988">
            <v>0</v>
          </cell>
        </row>
        <row r="1989">
          <cell r="A1989" t="str">
            <v>R2D14</v>
          </cell>
          <cell r="B1989" t="str">
            <v>VYPRODÁNO</v>
          </cell>
          <cell r="D1989">
            <v>0</v>
          </cell>
        </row>
        <row r="1990">
          <cell r="A1990" t="str">
            <v>R2E</v>
          </cell>
          <cell r="B1990" t="str">
            <v>VYPRODÁNO</v>
          </cell>
          <cell r="D1990">
            <v>0</v>
          </cell>
        </row>
        <row r="1991">
          <cell r="A1991" t="str">
            <v>R2E14</v>
          </cell>
          <cell r="B1991" t="str">
            <v>VYPRODÁNO</v>
          </cell>
          <cell r="D1991">
            <v>0</v>
          </cell>
        </row>
        <row r="1992">
          <cell r="A1992" t="str">
            <v>R2F</v>
          </cell>
          <cell r="B1992" t="str">
            <v>VYPRODÁNO</v>
          </cell>
          <cell r="D1992">
            <v>0</v>
          </cell>
        </row>
        <row r="1993">
          <cell r="A1993" t="str">
            <v>R2F14</v>
          </cell>
          <cell r="B1993" t="str">
            <v>VYPRODÁNO</v>
          </cell>
          <cell r="D1993">
            <v>0</v>
          </cell>
        </row>
        <row r="1994">
          <cell r="A1994" t="str">
            <v>R2G</v>
          </cell>
          <cell r="B1994" t="str">
            <v>VYPRODÁNO</v>
          </cell>
          <cell r="D1994">
            <v>0</v>
          </cell>
        </row>
        <row r="1995">
          <cell r="A1995" t="str">
            <v>R2G14</v>
          </cell>
          <cell r="B1995" t="str">
            <v>VYPRODÁNO</v>
          </cell>
          <cell r="D1995">
            <v>0</v>
          </cell>
        </row>
        <row r="1996">
          <cell r="A1996" t="str">
            <v>R3A</v>
          </cell>
          <cell r="B1996" t="str">
            <v>VYPRODÁNO</v>
          </cell>
          <cell r="D1996">
            <v>0</v>
          </cell>
        </row>
        <row r="1997">
          <cell r="A1997" t="str">
            <v>R3A14</v>
          </cell>
          <cell r="B1997" t="str">
            <v>VYPRODÁNO</v>
          </cell>
          <cell r="D1997">
            <v>0</v>
          </cell>
        </row>
        <row r="1998">
          <cell r="A1998" t="str">
            <v>R3B</v>
          </cell>
          <cell r="B1998" t="str">
            <v>VYPRODÁNO</v>
          </cell>
          <cell r="D1998">
            <v>0</v>
          </cell>
        </row>
        <row r="1999">
          <cell r="A1999" t="str">
            <v>R3B14</v>
          </cell>
          <cell r="B1999" t="str">
            <v>VYPRODÁNO</v>
          </cell>
          <cell r="D1999">
            <v>0</v>
          </cell>
        </row>
        <row r="2000">
          <cell r="A2000" t="str">
            <v>R3C</v>
          </cell>
          <cell r="B2000" t="str">
            <v>VYPRODÁNO</v>
          </cell>
          <cell r="D2000">
            <v>0</v>
          </cell>
        </row>
        <row r="2001">
          <cell r="A2001" t="str">
            <v>R3C14</v>
          </cell>
          <cell r="B2001" t="str">
            <v>VYPRODÁNO</v>
          </cell>
          <cell r="D2001">
            <v>0</v>
          </cell>
        </row>
        <row r="2002">
          <cell r="A2002" t="str">
            <v>R3D</v>
          </cell>
          <cell r="B2002" t="str">
            <v>VYPRODÁNO</v>
          </cell>
          <cell r="D2002">
            <v>0</v>
          </cell>
        </row>
        <row r="2003">
          <cell r="A2003" t="str">
            <v>R3D14</v>
          </cell>
          <cell r="B2003" t="str">
            <v>VYPRODÁNO</v>
          </cell>
          <cell r="D2003">
            <v>0</v>
          </cell>
        </row>
        <row r="2004">
          <cell r="A2004" t="str">
            <v>R3E</v>
          </cell>
          <cell r="B2004" t="str">
            <v>VYPRODÁNO</v>
          </cell>
          <cell r="D2004">
            <v>0</v>
          </cell>
        </row>
        <row r="2005">
          <cell r="A2005" t="str">
            <v>R3E14</v>
          </cell>
          <cell r="B2005" t="str">
            <v>VYPRODÁNO</v>
          </cell>
          <cell r="D2005">
            <v>0</v>
          </cell>
        </row>
        <row r="2006">
          <cell r="A2006" t="str">
            <v>R3F</v>
          </cell>
          <cell r="B2006" t="str">
            <v>VYPRODÁNO</v>
          </cell>
          <cell r="D2006">
            <v>0</v>
          </cell>
        </row>
        <row r="2007">
          <cell r="A2007" t="str">
            <v>R3F14</v>
          </cell>
          <cell r="B2007" t="str">
            <v>VYPRODÁNO</v>
          </cell>
          <cell r="D2007">
            <v>0</v>
          </cell>
        </row>
        <row r="2008">
          <cell r="A2008" t="str">
            <v>R3G</v>
          </cell>
          <cell r="B2008" t="str">
            <v>VYPRODÁNO</v>
          </cell>
          <cell r="D2008">
            <v>0</v>
          </cell>
        </row>
        <row r="2009">
          <cell r="A2009" t="str">
            <v>R4420B</v>
          </cell>
          <cell r="B2009" t="str">
            <v>SKLADEM</v>
          </cell>
          <cell r="D2009">
            <v>0</v>
          </cell>
        </row>
        <row r="2010">
          <cell r="A2010" t="str">
            <v>R4805E</v>
          </cell>
          <cell r="B2010" t="str">
            <v>VYPRODÁNO</v>
          </cell>
          <cell r="D2010">
            <v>0</v>
          </cell>
        </row>
        <row r="2011">
          <cell r="A2011" t="str">
            <v>R4805P</v>
          </cell>
          <cell r="B2011" t="str">
            <v>VYPRODÁNO</v>
          </cell>
          <cell r="D2011">
            <v>0</v>
          </cell>
        </row>
        <row r="2012">
          <cell r="A2012" t="str">
            <v>R4A</v>
          </cell>
          <cell r="B2012" t="str">
            <v>VYPRODÁNO</v>
          </cell>
          <cell r="D2012">
            <v>0</v>
          </cell>
        </row>
        <row r="2013">
          <cell r="A2013" t="str">
            <v>R4A14</v>
          </cell>
          <cell r="B2013" t="str">
            <v>VYPRODÁNO</v>
          </cell>
          <cell r="D2013">
            <v>0</v>
          </cell>
        </row>
        <row r="2014">
          <cell r="A2014" t="str">
            <v>R4B</v>
          </cell>
          <cell r="B2014" t="str">
            <v>VYPRODÁNO</v>
          </cell>
          <cell r="D2014">
            <v>0</v>
          </cell>
        </row>
        <row r="2015">
          <cell r="A2015" t="str">
            <v>R4B14</v>
          </cell>
          <cell r="B2015" t="str">
            <v>VYPRODÁNO</v>
          </cell>
          <cell r="D2015">
            <v>0</v>
          </cell>
        </row>
        <row r="2016">
          <cell r="A2016" t="str">
            <v>R4C</v>
          </cell>
          <cell r="B2016" t="str">
            <v>VYPRODÁNO</v>
          </cell>
          <cell r="D2016">
            <v>0</v>
          </cell>
        </row>
        <row r="2017">
          <cell r="A2017" t="str">
            <v>R4C14</v>
          </cell>
          <cell r="B2017" t="str">
            <v>VYPRODÁNO</v>
          </cell>
          <cell r="D2017">
            <v>0</v>
          </cell>
        </row>
        <row r="2018">
          <cell r="A2018" t="str">
            <v>R4D</v>
          </cell>
          <cell r="B2018" t="str">
            <v>VYPRODÁNO</v>
          </cell>
          <cell r="D2018">
            <v>0</v>
          </cell>
        </row>
        <row r="2019">
          <cell r="A2019" t="str">
            <v>R4D14</v>
          </cell>
          <cell r="B2019" t="str">
            <v>VYPRODÁNO</v>
          </cell>
          <cell r="D2019">
            <v>0</v>
          </cell>
        </row>
        <row r="2020">
          <cell r="A2020" t="str">
            <v>R4E</v>
          </cell>
          <cell r="B2020" t="str">
            <v>VYPRODÁNO</v>
          </cell>
          <cell r="D2020">
            <v>0</v>
          </cell>
        </row>
        <row r="2021">
          <cell r="A2021" t="str">
            <v>R4E14</v>
          </cell>
          <cell r="B2021" t="str">
            <v>VYPRODÁNO</v>
          </cell>
          <cell r="D2021">
            <v>0</v>
          </cell>
        </row>
        <row r="2022">
          <cell r="A2022" t="str">
            <v>R4F</v>
          </cell>
          <cell r="B2022" t="str">
            <v>VYPRODÁNO</v>
          </cell>
          <cell r="D2022">
            <v>0</v>
          </cell>
        </row>
        <row r="2023">
          <cell r="A2023" t="str">
            <v>R4F14</v>
          </cell>
          <cell r="B2023" t="str">
            <v>VYPRODÁNO</v>
          </cell>
          <cell r="D2023">
            <v>0</v>
          </cell>
        </row>
        <row r="2024">
          <cell r="A2024" t="str">
            <v>R5410B</v>
          </cell>
          <cell r="B2024" t="str">
            <v>31.08.2026</v>
          </cell>
          <cell r="C2024">
            <v>158</v>
          </cell>
          <cell r="D2024">
            <v>0</v>
          </cell>
        </row>
        <row r="2025">
          <cell r="A2025" t="str">
            <v>R5420K</v>
          </cell>
          <cell r="B2025" t="str">
            <v>SKLADEM</v>
          </cell>
          <cell r="D2025">
            <v>0</v>
          </cell>
        </row>
        <row r="2026">
          <cell r="A2026" t="str">
            <v>R5808D</v>
          </cell>
          <cell r="B2026" t="str">
            <v>SKLADEM</v>
          </cell>
          <cell r="D2026">
            <v>0</v>
          </cell>
        </row>
        <row r="2027">
          <cell r="A2027" t="str">
            <v>R5808D E</v>
          </cell>
          <cell r="B2027" t="str">
            <v>VYPRODÁNO</v>
          </cell>
          <cell r="D2027">
            <v>0</v>
          </cell>
        </row>
        <row r="2028">
          <cell r="A2028" t="str">
            <v>R5A</v>
          </cell>
          <cell r="B2028" t="str">
            <v>VYPRODÁNO</v>
          </cell>
          <cell r="D2028">
            <v>0</v>
          </cell>
        </row>
        <row r="2029">
          <cell r="A2029" t="str">
            <v>R5A14</v>
          </cell>
          <cell r="B2029" t="str">
            <v>VYPRODÁNO</v>
          </cell>
          <cell r="D2029">
            <v>0</v>
          </cell>
        </row>
        <row r="2030">
          <cell r="A2030" t="str">
            <v>R5B</v>
          </cell>
          <cell r="B2030" t="str">
            <v>VYPRODÁNO</v>
          </cell>
          <cell r="D2030">
            <v>0</v>
          </cell>
        </row>
        <row r="2031">
          <cell r="A2031" t="str">
            <v>R5B14</v>
          </cell>
          <cell r="B2031" t="str">
            <v>VYPRODÁNO</v>
          </cell>
          <cell r="D2031">
            <v>0</v>
          </cell>
        </row>
        <row r="2032">
          <cell r="A2032" t="str">
            <v>R5C</v>
          </cell>
          <cell r="B2032" t="str">
            <v>VYPRODÁNO</v>
          </cell>
          <cell r="D2032">
            <v>0</v>
          </cell>
        </row>
        <row r="2033">
          <cell r="A2033" t="str">
            <v>R5C14</v>
          </cell>
          <cell r="B2033" t="str">
            <v>VYPRODÁNO</v>
          </cell>
          <cell r="D2033">
            <v>0</v>
          </cell>
        </row>
        <row r="2034">
          <cell r="A2034" t="str">
            <v>R5D</v>
          </cell>
          <cell r="B2034" t="str">
            <v>VYPRODÁNO</v>
          </cell>
          <cell r="D2034">
            <v>0</v>
          </cell>
        </row>
        <row r="2035">
          <cell r="A2035" t="str">
            <v>R5D14</v>
          </cell>
          <cell r="B2035" t="str">
            <v>VYPRODÁNO</v>
          </cell>
          <cell r="D2035">
            <v>0</v>
          </cell>
        </row>
        <row r="2036">
          <cell r="A2036" t="str">
            <v>R5E</v>
          </cell>
          <cell r="B2036" t="str">
            <v>VYPRODÁNO</v>
          </cell>
          <cell r="D2036">
            <v>0</v>
          </cell>
        </row>
        <row r="2037">
          <cell r="A2037" t="str">
            <v>R5E14</v>
          </cell>
          <cell r="B2037" t="str">
            <v>VYPRODÁNO</v>
          </cell>
          <cell r="D2037">
            <v>0</v>
          </cell>
        </row>
        <row r="2038">
          <cell r="A2038" t="str">
            <v>R5F</v>
          </cell>
          <cell r="B2038" t="str">
            <v>VYPRODÁNO</v>
          </cell>
          <cell r="D2038">
            <v>0</v>
          </cell>
        </row>
        <row r="2039">
          <cell r="A2039" t="str">
            <v>R5F14</v>
          </cell>
          <cell r="B2039" t="str">
            <v>VYPRODÁNO</v>
          </cell>
          <cell r="D2039">
            <v>0</v>
          </cell>
        </row>
        <row r="2040">
          <cell r="A2040" t="str">
            <v>R6008E</v>
          </cell>
          <cell r="B2040" t="str">
            <v>31.07.2026</v>
          </cell>
          <cell r="C2040">
            <v>127</v>
          </cell>
          <cell r="D2040">
            <v>0</v>
          </cell>
        </row>
        <row r="2041">
          <cell r="A2041" t="str">
            <v>R6008K</v>
          </cell>
          <cell r="B2041" t="str">
            <v>VYPRODÁNO</v>
          </cell>
          <cell r="D2041">
            <v>0</v>
          </cell>
        </row>
        <row r="2042">
          <cell r="A2042" t="str">
            <v>R6008M</v>
          </cell>
          <cell r="B2042" t="str">
            <v>SKLADEM</v>
          </cell>
          <cell r="D2042">
            <v>0</v>
          </cell>
        </row>
        <row r="2043">
          <cell r="A2043" t="str">
            <v>R6020B</v>
          </cell>
          <cell r="B2043" t="str">
            <v>SKLADEM</v>
          </cell>
          <cell r="D2043">
            <v>0</v>
          </cell>
        </row>
        <row r="2044">
          <cell r="A2044" t="str">
            <v>R6020M</v>
          </cell>
          <cell r="B2044" t="str">
            <v>SKLADEM</v>
          </cell>
          <cell r="D2044">
            <v>0</v>
          </cell>
        </row>
        <row r="2045">
          <cell r="A2045" t="str">
            <v>R6508S</v>
          </cell>
          <cell r="B2045" t="str">
            <v>SKLADEM</v>
          </cell>
          <cell r="D2045">
            <v>0</v>
          </cell>
        </row>
        <row r="2046">
          <cell r="A2046" t="str">
            <v>R6520BK</v>
          </cell>
          <cell r="B2046" t="str">
            <v>VYPRODÁNO</v>
          </cell>
          <cell r="D2046">
            <v>0</v>
          </cell>
        </row>
        <row r="2047">
          <cell r="A2047" t="str">
            <v>R6520BK/2</v>
          </cell>
          <cell r="B2047" t="str">
            <v>DOCHÁZÍ</v>
          </cell>
          <cell r="D2047">
            <v>0</v>
          </cell>
          <cell r="E2047">
            <v>12</v>
          </cell>
        </row>
        <row r="2048">
          <cell r="A2048" t="str">
            <v>R6A</v>
          </cell>
          <cell r="B2048" t="str">
            <v>VYPRODÁNO</v>
          </cell>
          <cell r="D2048">
            <v>0</v>
          </cell>
        </row>
        <row r="2049">
          <cell r="A2049" t="str">
            <v>R6A14</v>
          </cell>
          <cell r="B2049" t="str">
            <v>VYPRODÁNO</v>
          </cell>
          <cell r="D2049">
            <v>0</v>
          </cell>
        </row>
        <row r="2050">
          <cell r="A2050" t="str">
            <v>R6B</v>
          </cell>
          <cell r="B2050" t="str">
            <v>VYPRODÁNO</v>
          </cell>
          <cell r="D2050">
            <v>0</v>
          </cell>
        </row>
        <row r="2051">
          <cell r="A2051" t="str">
            <v>R6B14</v>
          </cell>
          <cell r="B2051" t="str">
            <v>VYPRODÁNO</v>
          </cell>
          <cell r="D2051">
            <v>0</v>
          </cell>
        </row>
        <row r="2052">
          <cell r="A2052" t="str">
            <v>R6C</v>
          </cell>
          <cell r="B2052" t="str">
            <v>VYPRODÁNO</v>
          </cell>
          <cell r="D2052">
            <v>0</v>
          </cell>
        </row>
        <row r="2053">
          <cell r="A2053" t="str">
            <v>R6C14</v>
          </cell>
          <cell r="B2053" t="str">
            <v>VYPRODÁNO</v>
          </cell>
          <cell r="D2053">
            <v>0</v>
          </cell>
        </row>
        <row r="2054">
          <cell r="A2054" t="str">
            <v>R6D</v>
          </cell>
          <cell r="B2054" t="str">
            <v>VYPRODÁNO</v>
          </cell>
          <cell r="D2054">
            <v>0</v>
          </cell>
        </row>
        <row r="2055">
          <cell r="A2055" t="str">
            <v>R6D14</v>
          </cell>
          <cell r="B2055" t="str">
            <v>VYPRODÁNO</v>
          </cell>
          <cell r="D2055">
            <v>0</v>
          </cell>
        </row>
        <row r="2056">
          <cell r="A2056" t="str">
            <v>R6E</v>
          </cell>
          <cell r="B2056" t="str">
            <v>VYPRODÁNO</v>
          </cell>
          <cell r="D2056">
            <v>0</v>
          </cell>
        </row>
        <row r="2057">
          <cell r="A2057" t="str">
            <v>R6E14</v>
          </cell>
          <cell r="B2057" t="str">
            <v>VYPRODÁNO</v>
          </cell>
          <cell r="D2057">
            <v>0</v>
          </cell>
        </row>
        <row r="2058">
          <cell r="A2058" t="str">
            <v>R6F</v>
          </cell>
          <cell r="B2058" t="str">
            <v>VYPRODÁNO</v>
          </cell>
          <cell r="D2058">
            <v>0</v>
          </cell>
        </row>
        <row r="2059">
          <cell r="A2059" t="str">
            <v>R6F14</v>
          </cell>
          <cell r="B2059" t="str">
            <v>VYPRODÁNO</v>
          </cell>
          <cell r="D2059">
            <v>0</v>
          </cell>
        </row>
        <row r="2060">
          <cell r="A2060" t="str">
            <v>R7020BK</v>
          </cell>
          <cell r="B2060" t="str">
            <v>VYPRODÁNO</v>
          </cell>
          <cell r="D2060">
            <v>0</v>
          </cell>
        </row>
        <row r="2061">
          <cell r="A2061" t="str">
            <v>R7020K</v>
          </cell>
          <cell r="B2061" t="str">
            <v>SKLADEM</v>
          </cell>
          <cell r="D2061">
            <v>0</v>
          </cell>
        </row>
        <row r="2062">
          <cell r="A2062" t="str">
            <v>R7020M</v>
          </cell>
          <cell r="B2062" t="str">
            <v>SKLADEM</v>
          </cell>
          <cell r="D2062">
            <v>0</v>
          </cell>
        </row>
        <row r="2063">
          <cell r="A2063" t="str">
            <v>R7040B</v>
          </cell>
          <cell r="B2063" t="str">
            <v>VYPRODÁNO</v>
          </cell>
          <cell r="D2063">
            <v>0</v>
          </cell>
        </row>
        <row r="2064">
          <cell r="A2064" t="str">
            <v>R7040C</v>
          </cell>
          <cell r="B2064" t="str">
            <v>SKLADEM</v>
          </cell>
          <cell r="D2064">
            <v>0</v>
          </cell>
        </row>
        <row r="2065">
          <cell r="A2065" t="str">
            <v>R7508E</v>
          </cell>
          <cell r="B2065" t="str">
            <v>SKLADEM</v>
          </cell>
          <cell r="D2065">
            <v>0</v>
          </cell>
        </row>
        <row r="2066">
          <cell r="A2066" t="str">
            <v>R7508SIG</v>
          </cell>
          <cell r="B2066" t="str">
            <v>06.04.2026</v>
          </cell>
          <cell r="C2066">
            <v>11</v>
          </cell>
          <cell r="D2066" t="str">
            <v>100+</v>
          </cell>
        </row>
        <row r="2067">
          <cell r="A2067" t="str">
            <v>R7520K</v>
          </cell>
          <cell r="B2067" t="str">
            <v>VYPRODÁNO</v>
          </cell>
          <cell r="D2067">
            <v>0</v>
          </cell>
        </row>
        <row r="2068">
          <cell r="A2068" t="str">
            <v>R7530B</v>
          </cell>
          <cell r="B2068" t="str">
            <v>VYPRODÁNO</v>
          </cell>
          <cell r="D2068">
            <v>0</v>
          </cell>
        </row>
        <row r="2069">
          <cell r="A2069" t="str">
            <v>R7538A</v>
          </cell>
          <cell r="B2069" t="str">
            <v>VYPRODÁNO</v>
          </cell>
          <cell r="D2069">
            <v>0</v>
          </cell>
        </row>
        <row r="2070">
          <cell r="A2070" t="str">
            <v>R7538B</v>
          </cell>
          <cell r="B2070" t="str">
            <v>VYPRODÁNO</v>
          </cell>
          <cell r="D2070">
            <v>0</v>
          </cell>
        </row>
        <row r="2071">
          <cell r="A2071" t="str">
            <v>R7538C</v>
          </cell>
          <cell r="B2071" t="str">
            <v>VYPRODÁNO</v>
          </cell>
          <cell r="D2071">
            <v>0</v>
          </cell>
        </row>
        <row r="2072">
          <cell r="A2072" t="str">
            <v>R7538D</v>
          </cell>
          <cell r="B2072" t="str">
            <v>VYPRODÁNO</v>
          </cell>
          <cell r="D2072">
            <v>0</v>
          </cell>
        </row>
        <row r="2073">
          <cell r="A2073" t="str">
            <v>R7538E</v>
          </cell>
          <cell r="B2073" t="str">
            <v>VYPRODÁNO</v>
          </cell>
          <cell r="D2073">
            <v>0</v>
          </cell>
        </row>
        <row r="2074">
          <cell r="A2074" t="str">
            <v>R7538F</v>
          </cell>
          <cell r="B2074" t="str">
            <v>VYPRODÁNO</v>
          </cell>
          <cell r="D2074">
            <v>0</v>
          </cell>
        </row>
        <row r="2075">
          <cell r="A2075" t="str">
            <v>R7538F E</v>
          </cell>
          <cell r="B2075" t="str">
            <v>VYPRODÁNO</v>
          </cell>
          <cell r="D2075">
            <v>0</v>
          </cell>
        </row>
        <row r="2076">
          <cell r="A2076" t="str">
            <v>R7538G</v>
          </cell>
          <cell r="B2076" t="str">
            <v>VYPRODÁNO</v>
          </cell>
          <cell r="D2076">
            <v>0</v>
          </cell>
        </row>
        <row r="2077">
          <cell r="A2077" t="str">
            <v>R7538H</v>
          </cell>
          <cell r="B2077" t="str">
            <v>VYPRODÁNO</v>
          </cell>
          <cell r="D2077">
            <v>0</v>
          </cell>
        </row>
        <row r="2078">
          <cell r="A2078" t="str">
            <v>R7538CH</v>
          </cell>
          <cell r="B2078" t="str">
            <v>VYPRODÁNO</v>
          </cell>
          <cell r="D2078">
            <v>0</v>
          </cell>
        </row>
        <row r="2079">
          <cell r="A2079" t="str">
            <v>R7538I</v>
          </cell>
          <cell r="B2079" t="str">
            <v>SKLADEM</v>
          </cell>
          <cell r="D2079">
            <v>0</v>
          </cell>
        </row>
        <row r="2080">
          <cell r="A2080" t="str">
            <v>R7538S</v>
          </cell>
          <cell r="B2080" t="str">
            <v>31.08.2026</v>
          </cell>
          <cell r="C2080">
            <v>158</v>
          </cell>
          <cell r="D2080">
            <v>0</v>
          </cell>
        </row>
        <row r="2081">
          <cell r="A2081" t="str">
            <v>RB1</v>
          </cell>
          <cell r="B2081" t="str">
            <v>SKLADEM</v>
          </cell>
          <cell r="D2081">
            <v>0</v>
          </cell>
        </row>
        <row r="2082">
          <cell r="A2082" t="str">
            <v>RB1(1)</v>
          </cell>
          <cell r="B2082" t="str">
            <v>VYPRODÁNO</v>
          </cell>
          <cell r="D2082">
            <v>0</v>
          </cell>
        </row>
        <row r="2083">
          <cell r="A2083" t="str">
            <v>RB5G</v>
          </cell>
          <cell r="B2083" t="str">
            <v>VYPRODÁNO</v>
          </cell>
          <cell r="D2083">
            <v>0</v>
          </cell>
        </row>
        <row r="2084">
          <cell r="A2084" t="str">
            <v>RB5H</v>
          </cell>
          <cell r="B2084" t="str">
            <v>VYPRODÁNO</v>
          </cell>
          <cell r="D2084">
            <v>0</v>
          </cell>
        </row>
        <row r="2085">
          <cell r="A2085" t="str">
            <v>RBS2014</v>
          </cell>
          <cell r="B2085" t="str">
            <v>VYPRODÁNO</v>
          </cell>
          <cell r="D2085">
            <v>0</v>
          </cell>
        </row>
        <row r="2086">
          <cell r="A2086" t="str">
            <v>RBS75</v>
          </cell>
          <cell r="B2086" t="str">
            <v>VYPRODÁNO</v>
          </cell>
          <cell r="D2086">
            <v>0</v>
          </cell>
        </row>
        <row r="2087">
          <cell r="A2087" t="str">
            <v>RD8</v>
          </cell>
          <cell r="B2087" t="str">
            <v>SKLADEM</v>
          </cell>
          <cell r="D2087">
            <v>0</v>
          </cell>
        </row>
        <row r="2088">
          <cell r="A2088" t="str">
            <v>RDG1B</v>
          </cell>
          <cell r="B2088" t="str">
            <v>SKLADEM</v>
          </cell>
          <cell r="D2088">
            <v>0</v>
          </cell>
        </row>
        <row r="2089">
          <cell r="A2089" t="str">
            <v>RDG1B(1)</v>
          </cell>
          <cell r="B2089" t="str">
            <v>VYPRODÁNO</v>
          </cell>
          <cell r="D2089">
            <v>0</v>
          </cell>
        </row>
        <row r="2090">
          <cell r="A2090" t="str">
            <v>RDG1B-P</v>
          </cell>
          <cell r="B2090" t="str">
            <v>VYPRODÁNO</v>
          </cell>
          <cell r="D2090">
            <v>0</v>
          </cell>
        </row>
        <row r="2091">
          <cell r="A2091" t="str">
            <v>RDG1B-P(1)</v>
          </cell>
          <cell r="B2091" t="str">
            <v>VYPRODÁNO</v>
          </cell>
          <cell r="D2091">
            <v>0</v>
          </cell>
        </row>
        <row r="2092">
          <cell r="A2092" t="str">
            <v>RDG1C</v>
          </cell>
          <cell r="B2092" t="str">
            <v>SKLADEM</v>
          </cell>
          <cell r="D2092">
            <v>0</v>
          </cell>
        </row>
        <row r="2093">
          <cell r="A2093" t="str">
            <v>RDG1C(1)</v>
          </cell>
          <cell r="B2093" t="str">
            <v>VYPRODÁNO</v>
          </cell>
          <cell r="D2093">
            <v>0</v>
          </cell>
        </row>
        <row r="2094">
          <cell r="A2094" t="str">
            <v>RDG1C-P</v>
          </cell>
          <cell r="B2094" t="str">
            <v>VYPRODÁNO</v>
          </cell>
          <cell r="D2094">
            <v>0</v>
          </cell>
        </row>
        <row r="2095">
          <cell r="A2095" t="str">
            <v>RDG1C-P(1)</v>
          </cell>
          <cell r="B2095" t="str">
            <v>VYPRODÁNO</v>
          </cell>
          <cell r="D2095">
            <v>0</v>
          </cell>
        </row>
        <row r="2096">
          <cell r="A2096" t="str">
            <v>RDG1M</v>
          </cell>
          <cell r="B2096" t="str">
            <v>SKLADEM</v>
          </cell>
          <cell r="D2096">
            <v>0</v>
          </cell>
        </row>
        <row r="2097">
          <cell r="A2097" t="str">
            <v>RDG1M(1)</v>
          </cell>
          <cell r="B2097" t="str">
            <v>VYPRODÁNO</v>
          </cell>
          <cell r="D2097">
            <v>0</v>
          </cell>
        </row>
        <row r="2098">
          <cell r="A2098" t="str">
            <v>RDG1M-P</v>
          </cell>
          <cell r="B2098" t="str">
            <v>VYPRODÁNO</v>
          </cell>
          <cell r="D2098">
            <v>0</v>
          </cell>
        </row>
        <row r="2099">
          <cell r="A2099" t="str">
            <v>RDG1M-P(1)</v>
          </cell>
          <cell r="B2099" t="str">
            <v>VYPRODÁNO</v>
          </cell>
          <cell r="D2099">
            <v>0</v>
          </cell>
        </row>
        <row r="2100">
          <cell r="A2100" t="str">
            <v>RDG1O</v>
          </cell>
          <cell r="B2100" t="str">
            <v>VYPRODÁNO</v>
          </cell>
          <cell r="D2100">
            <v>0</v>
          </cell>
        </row>
        <row r="2101">
          <cell r="A2101" t="str">
            <v>RDG1O(1)</v>
          </cell>
          <cell r="B2101" t="str">
            <v>VYPRODÁNO</v>
          </cell>
          <cell r="D2101">
            <v>0</v>
          </cell>
        </row>
        <row r="2102">
          <cell r="A2102" t="str">
            <v>RDG1O-P</v>
          </cell>
          <cell r="B2102" t="str">
            <v>DOCHÁZÍ</v>
          </cell>
          <cell r="D2102">
            <v>0</v>
          </cell>
          <cell r="E2102">
            <v>3</v>
          </cell>
        </row>
        <row r="2103">
          <cell r="A2103" t="str">
            <v>RDG1O-P(1)</v>
          </cell>
          <cell r="B2103" t="str">
            <v>SKLADEM</v>
          </cell>
          <cell r="D2103">
            <v>0</v>
          </cell>
        </row>
        <row r="2104">
          <cell r="A2104" t="str">
            <v>RDG1ZE</v>
          </cell>
          <cell r="B2104" t="str">
            <v>SKLADEM</v>
          </cell>
          <cell r="D2104">
            <v>0</v>
          </cell>
        </row>
        <row r="2105">
          <cell r="A2105" t="str">
            <v>RDG1ZE(1)</v>
          </cell>
          <cell r="B2105" t="str">
            <v>VYPRODÁNO</v>
          </cell>
          <cell r="D2105">
            <v>0</v>
          </cell>
        </row>
        <row r="2106">
          <cell r="A2106" t="str">
            <v>RDG1ZE-P</v>
          </cell>
          <cell r="B2106" t="str">
            <v>VYPRODÁNO</v>
          </cell>
          <cell r="D2106">
            <v>0</v>
          </cell>
        </row>
        <row r="2107">
          <cell r="A2107" t="str">
            <v>RDG1ZE-P(1)</v>
          </cell>
          <cell r="B2107" t="str">
            <v>VYPRODÁNO</v>
          </cell>
          <cell r="D2107">
            <v>0</v>
          </cell>
        </row>
        <row r="2108">
          <cell r="A2108" t="str">
            <v>RDG1ZL</v>
          </cell>
          <cell r="B2108" t="str">
            <v>DOCHÁZÍ</v>
          </cell>
          <cell r="D2108">
            <v>0</v>
          </cell>
          <cell r="E2108">
            <v>35</v>
          </cell>
        </row>
        <row r="2109">
          <cell r="A2109" t="str">
            <v>RDG1ZL(1)</v>
          </cell>
          <cell r="B2109" t="str">
            <v>DOCHÁZÍ</v>
          </cell>
          <cell r="D2109">
            <v>0</v>
          </cell>
          <cell r="E2109">
            <v>6</v>
          </cell>
        </row>
        <row r="2110">
          <cell r="A2110" t="str">
            <v>RDG1ZL-P</v>
          </cell>
          <cell r="B2110" t="str">
            <v>DOCHÁZÍ</v>
          </cell>
          <cell r="D2110">
            <v>0</v>
          </cell>
          <cell r="E2110">
            <v>2</v>
          </cell>
        </row>
        <row r="2111">
          <cell r="A2111" t="str">
            <v>RDG1ZL-P(1)</v>
          </cell>
          <cell r="B2111" t="str">
            <v>SKLADEM</v>
          </cell>
          <cell r="D2111">
            <v>0</v>
          </cell>
        </row>
        <row r="2112">
          <cell r="A2112" t="str">
            <v>RDG25B</v>
          </cell>
          <cell r="B2112" t="str">
            <v>VYPRODÁNO</v>
          </cell>
          <cell r="D2112">
            <v>0</v>
          </cell>
        </row>
        <row r="2113">
          <cell r="A2113" t="str">
            <v>RDG25C</v>
          </cell>
          <cell r="B2113" t="str">
            <v>VYPRODÁNO</v>
          </cell>
          <cell r="D2113">
            <v>0</v>
          </cell>
        </row>
        <row r="2114">
          <cell r="A2114" t="str">
            <v>RDG25CER</v>
          </cell>
          <cell r="B2114" t="str">
            <v>VYPRODÁNO</v>
          </cell>
          <cell r="D2114">
            <v>0</v>
          </cell>
        </row>
        <row r="2115">
          <cell r="A2115" t="str">
            <v>RDG25M</v>
          </cell>
          <cell r="B2115" t="str">
            <v>VYPRODÁNO</v>
          </cell>
          <cell r="D2115">
            <v>0</v>
          </cell>
        </row>
        <row r="2116">
          <cell r="A2116" t="str">
            <v>RDG25O</v>
          </cell>
          <cell r="B2116" t="str">
            <v>VYPRODÁNO</v>
          </cell>
          <cell r="D2116">
            <v>0</v>
          </cell>
        </row>
        <row r="2117">
          <cell r="A2117" t="str">
            <v>RDG25ZE</v>
          </cell>
          <cell r="B2117" t="str">
            <v>VYPRODÁNO</v>
          </cell>
          <cell r="D2117">
            <v>0</v>
          </cell>
        </row>
        <row r="2118">
          <cell r="A2118" t="str">
            <v>RDG25ZL</v>
          </cell>
          <cell r="B2118" t="str">
            <v>VYPRODÁNO</v>
          </cell>
          <cell r="D2118">
            <v>0</v>
          </cell>
        </row>
        <row r="2119">
          <cell r="A2119" t="str">
            <v>RDG2B</v>
          </cell>
          <cell r="B2119" t="str">
            <v>SKLADEM</v>
          </cell>
          <cell r="D2119">
            <v>0</v>
          </cell>
        </row>
        <row r="2120">
          <cell r="A2120" t="str">
            <v>RDG2C</v>
          </cell>
          <cell r="B2120" t="str">
            <v>SKLADEM</v>
          </cell>
          <cell r="D2120">
            <v>0</v>
          </cell>
        </row>
        <row r="2121">
          <cell r="A2121" t="str">
            <v>RDG2M</v>
          </cell>
          <cell r="B2121" t="str">
            <v>SKLADEM</v>
          </cell>
          <cell r="D2121">
            <v>0</v>
          </cell>
        </row>
        <row r="2122">
          <cell r="A2122" t="str">
            <v>RDG3B</v>
          </cell>
          <cell r="B2122" t="str">
            <v>VYPRODÁNO</v>
          </cell>
          <cell r="D2122">
            <v>0</v>
          </cell>
        </row>
        <row r="2123">
          <cell r="A2123" t="str">
            <v>RDG3C</v>
          </cell>
          <cell r="B2123" t="str">
            <v>VYPRODÁNO</v>
          </cell>
          <cell r="D2123">
            <v>0</v>
          </cell>
        </row>
        <row r="2124">
          <cell r="A2124" t="str">
            <v>RDG3M</v>
          </cell>
          <cell r="B2124" t="str">
            <v>VYPRODÁNO</v>
          </cell>
          <cell r="D2124">
            <v>0</v>
          </cell>
        </row>
        <row r="2125">
          <cell r="A2125" t="str">
            <v>RDG60B</v>
          </cell>
          <cell r="B2125" t="str">
            <v>VYPRODÁNO</v>
          </cell>
          <cell r="D2125">
            <v>0</v>
          </cell>
        </row>
        <row r="2126">
          <cell r="A2126" t="str">
            <v>RDG60B(SH)</v>
          </cell>
          <cell r="B2126" t="str">
            <v>SKLADEM</v>
          </cell>
          <cell r="D2126">
            <v>0</v>
          </cell>
        </row>
        <row r="2127">
          <cell r="A2127" t="str">
            <v>RDG60C</v>
          </cell>
          <cell r="B2127" t="str">
            <v>VYPRODÁNO</v>
          </cell>
          <cell r="D2127">
            <v>0</v>
          </cell>
        </row>
        <row r="2128">
          <cell r="A2128" t="str">
            <v>RDG60C(SH)</v>
          </cell>
          <cell r="B2128" t="str">
            <v>VYPRODÁNO</v>
          </cell>
          <cell r="D2128">
            <v>0</v>
          </cell>
        </row>
        <row r="2129">
          <cell r="A2129" t="str">
            <v>RDG60CER</v>
          </cell>
          <cell r="B2129" t="str">
            <v>VYPRODÁNO</v>
          </cell>
          <cell r="D2129">
            <v>0</v>
          </cell>
        </row>
        <row r="2130">
          <cell r="A2130" t="str">
            <v>RDG60CER(SH)</v>
          </cell>
          <cell r="B2130" t="str">
            <v>VYPRODÁNO</v>
          </cell>
          <cell r="D2130">
            <v>0</v>
          </cell>
        </row>
        <row r="2131">
          <cell r="A2131" t="str">
            <v>RDG60M</v>
          </cell>
          <cell r="B2131" t="str">
            <v>VYPRODÁNO</v>
          </cell>
          <cell r="D2131">
            <v>0</v>
          </cell>
        </row>
        <row r="2132">
          <cell r="A2132" t="str">
            <v>RDG60M(SH)</v>
          </cell>
          <cell r="B2132" t="str">
            <v>VYPRODÁNO</v>
          </cell>
          <cell r="D2132">
            <v>0</v>
          </cell>
        </row>
        <row r="2133">
          <cell r="A2133" t="str">
            <v>RDG60O</v>
          </cell>
          <cell r="B2133" t="str">
            <v>VYPRODÁNO</v>
          </cell>
          <cell r="D2133">
            <v>0</v>
          </cell>
        </row>
        <row r="2134">
          <cell r="A2134" t="str">
            <v>RDG60O(SH)</v>
          </cell>
          <cell r="B2134" t="str">
            <v>VYPRODÁNO</v>
          </cell>
          <cell r="D2134">
            <v>0</v>
          </cell>
        </row>
        <row r="2135">
          <cell r="A2135" t="str">
            <v>RDG60R(SH)</v>
          </cell>
          <cell r="B2135" t="str">
            <v>SKLADEM</v>
          </cell>
          <cell r="D2135">
            <v>0</v>
          </cell>
        </row>
        <row r="2136">
          <cell r="A2136" t="str">
            <v>RDG60ZE</v>
          </cell>
          <cell r="B2136" t="str">
            <v>VYPRODÁNO</v>
          </cell>
          <cell r="D2136">
            <v>0</v>
          </cell>
        </row>
        <row r="2137">
          <cell r="A2137" t="str">
            <v>RDG60ZE(SH)</v>
          </cell>
          <cell r="B2137" t="str">
            <v>VYPRODÁNO</v>
          </cell>
          <cell r="D2137">
            <v>0</v>
          </cell>
        </row>
        <row r="2138">
          <cell r="A2138" t="str">
            <v>RDG60ZL</v>
          </cell>
          <cell r="B2138" t="str">
            <v>VYPRODÁNO</v>
          </cell>
          <cell r="D2138">
            <v>0</v>
          </cell>
        </row>
        <row r="2139">
          <cell r="A2139" t="str">
            <v>RDG60ZL(SH)</v>
          </cell>
          <cell r="B2139" t="str">
            <v>SKLADEM</v>
          </cell>
          <cell r="D2139">
            <v>0</v>
          </cell>
        </row>
        <row r="2140">
          <cell r="A2140" t="str">
            <v>RDP60B</v>
          </cell>
          <cell r="B2140" t="str">
            <v>VYPRODÁNO</v>
          </cell>
          <cell r="D2140">
            <v>0</v>
          </cell>
        </row>
        <row r="2141">
          <cell r="A2141" t="str">
            <v>RDP60C</v>
          </cell>
          <cell r="B2141" t="str">
            <v>VYPRODÁNO</v>
          </cell>
          <cell r="D2141">
            <v>0</v>
          </cell>
        </row>
        <row r="2142">
          <cell r="A2142" t="str">
            <v>RDP60CER</v>
          </cell>
          <cell r="B2142" t="str">
            <v>VYPRODÁNO</v>
          </cell>
          <cell r="D2142">
            <v>0</v>
          </cell>
        </row>
        <row r="2143">
          <cell r="A2143" t="str">
            <v>RDP60M</v>
          </cell>
          <cell r="B2143" t="str">
            <v>VYPRODÁNO</v>
          </cell>
          <cell r="D2143">
            <v>0</v>
          </cell>
        </row>
        <row r="2144">
          <cell r="A2144" t="str">
            <v>RDP60O</v>
          </cell>
          <cell r="B2144" t="str">
            <v>VYPRODÁNO</v>
          </cell>
          <cell r="D2144">
            <v>0</v>
          </cell>
        </row>
        <row r="2145">
          <cell r="A2145" t="str">
            <v>RDP60ZE</v>
          </cell>
          <cell r="B2145" t="str">
            <v>VYPRODÁNO</v>
          </cell>
          <cell r="D2145">
            <v>0</v>
          </cell>
        </row>
        <row r="2146">
          <cell r="A2146" t="str">
            <v>RDP60ZL</v>
          </cell>
          <cell r="B2146" t="str">
            <v>VYPRODÁNO</v>
          </cell>
          <cell r="D2146">
            <v>0</v>
          </cell>
        </row>
        <row r="2147">
          <cell r="A2147" t="str">
            <v>RP1</v>
          </cell>
          <cell r="B2147" t="str">
            <v>VYPRODÁNO</v>
          </cell>
          <cell r="D2147">
            <v>0</v>
          </cell>
        </row>
        <row r="2148">
          <cell r="A2148" t="str">
            <v>RP12</v>
          </cell>
          <cell r="B2148" t="str">
            <v>VYPRODÁNO</v>
          </cell>
          <cell r="D2148">
            <v>0</v>
          </cell>
        </row>
        <row r="2149">
          <cell r="A2149" t="str">
            <v>RP2</v>
          </cell>
          <cell r="B2149" t="str">
            <v>VYPRODÁNO</v>
          </cell>
          <cell r="D2149">
            <v>0</v>
          </cell>
        </row>
        <row r="2150">
          <cell r="A2150" t="str">
            <v>RP5DU14</v>
          </cell>
          <cell r="B2150" t="str">
            <v>VYPRODÁNO</v>
          </cell>
          <cell r="D2150">
            <v>0</v>
          </cell>
        </row>
        <row r="2151">
          <cell r="A2151" t="str">
            <v>RP5DU14(1)</v>
          </cell>
          <cell r="B2151" t="str">
            <v>VYPRODÁNO</v>
          </cell>
          <cell r="D2151">
            <v>0</v>
          </cell>
        </row>
        <row r="2152">
          <cell r="A2152" t="str">
            <v>RS1</v>
          </cell>
          <cell r="B2152" t="str">
            <v>SKLADEM</v>
          </cell>
          <cell r="D2152">
            <v>0</v>
          </cell>
        </row>
        <row r="2153">
          <cell r="A2153" t="str">
            <v>RS11E</v>
          </cell>
          <cell r="B2153" t="str">
            <v>VYPRODÁNO</v>
          </cell>
          <cell r="D2153">
            <v>0</v>
          </cell>
        </row>
        <row r="2154">
          <cell r="A2154" t="str">
            <v>RS11E14</v>
          </cell>
          <cell r="B2154" t="str">
            <v>VYPRODÁNO</v>
          </cell>
          <cell r="D2154">
            <v>0</v>
          </cell>
        </row>
        <row r="2155">
          <cell r="A2155" t="str">
            <v>RS11H</v>
          </cell>
          <cell r="B2155" t="str">
            <v>VYPRODÁNO</v>
          </cell>
          <cell r="D2155">
            <v>0</v>
          </cell>
        </row>
        <row r="2156">
          <cell r="A2156" t="str">
            <v>RS11H14</v>
          </cell>
          <cell r="B2156" t="str">
            <v>VYPRODÁNO</v>
          </cell>
          <cell r="D2156">
            <v>0</v>
          </cell>
        </row>
        <row r="2157">
          <cell r="A2157" t="str">
            <v>RS11M</v>
          </cell>
          <cell r="B2157" t="str">
            <v>VYPRODÁNO</v>
          </cell>
          <cell r="D2157">
            <v>0</v>
          </cell>
        </row>
        <row r="2158">
          <cell r="A2158" t="str">
            <v>RS11M14</v>
          </cell>
          <cell r="B2158" t="str">
            <v>VYPRODÁNO</v>
          </cell>
          <cell r="D2158">
            <v>0</v>
          </cell>
        </row>
        <row r="2159">
          <cell r="A2159" t="str">
            <v>RS12C</v>
          </cell>
          <cell r="B2159" t="str">
            <v>VYPRODÁNO</v>
          </cell>
          <cell r="D2159">
            <v>0</v>
          </cell>
        </row>
        <row r="2160">
          <cell r="A2160" t="str">
            <v>RS12C14</v>
          </cell>
          <cell r="B2160" t="str">
            <v>VYPRODÁNO</v>
          </cell>
          <cell r="D2160">
            <v>0</v>
          </cell>
        </row>
        <row r="2161">
          <cell r="A2161" t="str">
            <v>RS18S</v>
          </cell>
          <cell r="B2161" t="str">
            <v>SKLADEM</v>
          </cell>
          <cell r="D2161">
            <v>0</v>
          </cell>
        </row>
        <row r="2162">
          <cell r="A2162" t="str">
            <v>RS18S14</v>
          </cell>
          <cell r="B2162" t="str">
            <v>VYPRODÁNO</v>
          </cell>
          <cell r="D2162">
            <v>0</v>
          </cell>
        </row>
        <row r="2163">
          <cell r="A2163" t="str">
            <v>RS18T</v>
          </cell>
          <cell r="B2163" t="str">
            <v>SKLADEM</v>
          </cell>
          <cell r="D2163">
            <v>0</v>
          </cell>
        </row>
        <row r="2164">
          <cell r="A2164" t="str">
            <v>RS18T14</v>
          </cell>
          <cell r="B2164" t="str">
            <v>VYPRODÁNO</v>
          </cell>
          <cell r="D2164">
            <v>0</v>
          </cell>
        </row>
        <row r="2165">
          <cell r="A2165" t="str">
            <v>RS21Z</v>
          </cell>
          <cell r="B2165" t="str">
            <v>VYPRODÁNO</v>
          </cell>
          <cell r="D2165">
            <v>0</v>
          </cell>
        </row>
        <row r="2166">
          <cell r="A2166" t="str">
            <v>RS21Z E</v>
          </cell>
          <cell r="B2166" t="str">
            <v>VYPRODÁNO</v>
          </cell>
          <cell r="D2166">
            <v>0</v>
          </cell>
        </row>
        <row r="2167">
          <cell r="A2167" t="str">
            <v>RS21Z14</v>
          </cell>
          <cell r="B2167" t="str">
            <v>SKLADEM</v>
          </cell>
          <cell r="D2167">
            <v>0</v>
          </cell>
        </row>
        <row r="2168">
          <cell r="A2168" t="str">
            <v>RS33R</v>
          </cell>
          <cell r="B2168" t="str">
            <v>SKLADEM</v>
          </cell>
          <cell r="D2168">
            <v>0</v>
          </cell>
        </row>
        <row r="2169">
          <cell r="A2169" t="str">
            <v>RS33R14</v>
          </cell>
          <cell r="B2169" t="str">
            <v>SKLADEM</v>
          </cell>
          <cell r="D2169">
            <v>0</v>
          </cell>
        </row>
        <row r="2170">
          <cell r="A2170" t="str">
            <v>RS4D</v>
          </cell>
          <cell r="B2170" t="str">
            <v>SKLADEM</v>
          </cell>
          <cell r="D2170">
            <v>0</v>
          </cell>
        </row>
        <row r="2171">
          <cell r="A2171" t="str">
            <v>RS4D E</v>
          </cell>
          <cell r="B2171" t="str">
            <v>VYPRODÁNO</v>
          </cell>
          <cell r="D2171">
            <v>0</v>
          </cell>
        </row>
        <row r="2172">
          <cell r="A2172" t="str">
            <v>RS4DI14</v>
          </cell>
          <cell r="B2172" t="str">
            <v>VYPRODÁNO</v>
          </cell>
          <cell r="D2172">
            <v>0</v>
          </cell>
        </row>
        <row r="2173">
          <cell r="A2173" t="str">
            <v>RS4H</v>
          </cell>
          <cell r="B2173" t="str">
            <v>VYPRODÁNO</v>
          </cell>
          <cell r="D2173">
            <v>0</v>
          </cell>
        </row>
        <row r="2174">
          <cell r="A2174" t="str">
            <v>RS4H14</v>
          </cell>
          <cell r="B2174" t="str">
            <v>SKLADEM</v>
          </cell>
          <cell r="D2174">
            <v>0</v>
          </cell>
        </row>
        <row r="2175">
          <cell r="A2175" t="str">
            <v>RS5DU</v>
          </cell>
          <cell r="B2175" t="str">
            <v>DOCHÁZÍ</v>
          </cell>
          <cell r="D2175" t="str">
            <v>100+</v>
          </cell>
          <cell r="E2175">
            <v>35</v>
          </cell>
        </row>
        <row r="2176">
          <cell r="A2176" t="str">
            <v>RS5P</v>
          </cell>
          <cell r="B2176" t="str">
            <v>VYPRODÁNO</v>
          </cell>
          <cell r="D2176">
            <v>0</v>
          </cell>
        </row>
        <row r="2177">
          <cell r="A2177" t="str">
            <v>RS5P E</v>
          </cell>
          <cell r="B2177" t="str">
            <v>VYPRODÁNO</v>
          </cell>
          <cell r="D2177">
            <v>0</v>
          </cell>
        </row>
        <row r="2178">
          <cell r="A2178" t="str">
            <v>RS5V</v>
          </cell>
          <cell r="B2178" t="str">
            <v>VYPRODÁNO</v>
          </cell>
          <cell r="D2178">
            <v>0</v>
          </cell>
        </row>
        <row r="2179">
          <cell r="A2179" t="str">
            <v>RS6M SK</v>
          </cell>
          <cell r="B2179" t="str">
            <v>VYPRODÁNO</v>
          </cell>
          <cell r="D2179">
            <v>0</v>
          </cell>
        </row>
        <row r="2180">
          <cell r="A2180" t="str">
            <v>RS6NO14</v>
          </cell>
          <cell r="B2180" t="str">
            <v>VYPRODÁNO</v>
          </cell>
          <cell r="D2180">
            <v>0</v>
          </cell>
        </row>
        <row r="2181">
          <cell r="A2181" t="str">
            <v>RS6O</v>
          </cell>
          <cell r="B2181" t="str">
            <v>31.08.2026</v>
          </cell>
          <cell r="C2181">
            <v>158</v>
          </cell>
          <cell r="D2181">
            <v>0</v>
          </cell>
        </row>
        <row r="2182">
          <cell r="A2182" t="str">
            <v>RS6O SK</v>
          </cell>
          <cell r="B2182" t="str">
            <v>VYPRODÁNO</v>
          </cell>
          <cell r="D2182">
            <v>0</v>
          </cell>
        </row>
        <row r="2183">
          <cell r="A2183" t="str">
            <v>RS6P</v>
          </cell>
          <cell r="B2183" t="str">
            <v>SKLADEM</v>
          </cell>
          <cell r="D2183">
            <v>0</v>
          </cell>
        </row>
        <row r="2184">
          <cell r="A2184" t="str">
            <v>RS6P E</v>
          </cell>
          <cell r="B2184" t="str">
            <v>VYPRODÁNO</v>
          </cell>
          <cell r="D2184">
            <v>0</v>
          </cell>
        </row>
        <row r="2185">
          <cell r="A2185" t="str">
            <v>RS6S</v>
          </cell>
          <cell r="B2185" t="str">
            <v>SKLADEM</v>
          </cell>
          <cell r="D2185">
            <v>0</v>
          </cell>
        </row>
        <row r="2186">
          <cell r="A2186" t="str">
            <v>RS6S SK</v>
          </cell>
          <cell r="B2186" t="str">
            <v>VYPRODÁNO</v>
          </cell>
          <cell r="D2186">
            <v>0</v>
          </cell>
        </row>
        <row r="2187">
          <cell r="A2187" t="str">
            <v>RS6XS</v>
          </cell>
          <cell r="B2187" t="str">
            <v>SKLADEM</v>
          </cell>
          <cell r="D2187">
            <v>0</v>
          </cell>
        </row>
        <row r="2188">
          <cell r="A2188" t="str">
            <v>RS6XS E</v>
          </cell>
          <cell r="B2188" t="str">
            <v>VYPRODÁNO</v>
          </cell>
          <cell r="D2188">
            <v>0</v>
          </cell>
        </row>
        <row r="2189">
          <cell r="A2189" t="str">
            <v>RS7M</v>
          </cell>
          <cell r="B2189" t="str">
            <v>VYPRODÁNO</v>
          </cell>
          <cell r="D2189">
            <v>0</v>
          </cell>
        </row>
        <row r="2190">
          <cell r="A2190" t="str">
            <v>RS7MD</v>
          </cell>
          <cell r="B2190" t="str">
            <v>VYPRODÁNO</v>
          </cell>
          <cell r="D2190">
            <v>0</v>
          </cell>
        </row>
        <row r="2191">
          <cell r="A2191" t="str">
            <v>RS7MD E</v>
          </cell>
          <cell r="B2191" t="str">
            <v>VYPRODÁNO</v>
          </cell>
          <cell r="D2191">
            <v>0</v>
          </cell>
        </row>
        <row r="2192">
          <cell r="A2192" t="str">
            <v>RS7MD14</v>
          </cell>
          <cell r="B2192" t="str">
            <v>06.04.2026</v>
          </cell>
          <cell r="C2192">
            <v>11</v>
          </cell>
          <cell r="D2192">
            <v>75</v>
          </cell>
        </row>
        <row r="2193">
          <cell r="A2193" t="str">
            <v>RS7MD14 E</v>
          </cell>
          <cell r="B2193" t="str">
            <v>VYPRODÁNO</v>
          </cell>
          <cell r="D2193">
            <v>0</v>
          </cell>
        </row>
        <row r="2194">
          <cell r="A2194" t="str">
            <v>RS7T</v>
          </cell>
          <cell r="B2194" t="str">
            <v>VYPRODÁNO</v>
          </cell>
          <cell r="D2194">
            <v>0</v>
          </cell>
        </row>
        <row r="2195">
          <cell r="A2195" t="str">
            <v>RS7T14</v>
          </cell>
          <cell r="B2195" t="str">
            <v>SKLADEM</v>
          </cell>
          <cell r="D2195">
            <v>0</v>
          </cell>
        </row>
        <row r="2196">
          <cell r="A2196" t="str">
            <v>RS9BP14</v>
          </cell>
          <cell r="B2196" t="str">
            <v>VYPRODÁNO</v>
          </cell>
          <cell r="D2196">
            <v>0</v>
          </cell>
        </row>
        <row r="2197">
          <cell r="A2197" t="str">
            <v>RS9P</v>
          </cell>
          <cell r="B2197" t="str">
            <v>VYPRODÁNO</v>
          </cell>
          <cell r="D2197">
            <v>0</v>
          </cell>
        </row>
        <row r="2198">
          <cell r="A2198" t="str">
            <v>RS9P14</v>
          </cell>
          <cell r="B2198" t="str">
            <v>SKLADEM</v>
          </cell>
          <cell r="D2198">
            <v>0</v>
          </cell>
        </row>
        <row r="2199">
          <cell r="A2199" t="str">
            <v>RS9T</v>
          </cell>
          <cell r="B2199" t="str">
            <v>VYPRODÁNO</v>
          </cell>
          <cell r="D2199">
            <v>0</v>
          </cell>
        </row>
        <row r="2200">
          <cell r="A2200" t="str">
            <v>RS9T14</v>
          </cell>
          <cell r="B2200" t="str">
            <v>SKLADEM</v>
          </cell>
          <cell r="D2200" t="str">
            <v>100+</v>
          </cell>
        </row>
        <row r="2201">
          <cell r="A2201" t="str">
            <v>RSD6</v>
          </cell>
          <cell r="B2201" t="str">
            <v>VYPRODÁNO</v>
          </cell>
          <cell r="D2201">
            <v>0</v>
          </cell>
        </row>
        <row r="2202">
          <cell r="A2202" t="str">
            <v>RSK7S</v>
          </cell>
          <cell r="B2202" t="str">
            <v>VYPRODÁNO</v>
          </cell>
          <cell r="D2202">
            <v>0</v>
          </cell>
        </row>
        <row r="2203">
          <cell r="A2203" t="str">
            <v>RSS100</v>
          </cell>
          <cell r="B2203" t="str">
            <v>31.07.2026</v>
          </cell>
          <cell r="C2203">
            <v>127</v>
          </cell>
          <cell r="D2203">
            <v>0</v>
          </cell>
        </row>
        <row r="2204">
          <cell r="A2204" t="str">
            <v>RSS100I14</v>
          </cell>
          <cell r="B2204" t="str">
            <v>VYPRODÁNO</v>
          </cell>
          <cell r="D2204">
            <v>0</v>
          </cell>
        </row>
        <row r="2205">
          <cell r="A2205" t="str">
            <v>RSSF2</v>
          </cell>
          <cell r="B2205" t="str">
            <v>SKLADEM</v>
          </cell>
          <cell r="D2205">
            <v>50</v>
          </cell>
        </row>
        <row r="2206">
          <cell r="A2206" t="str">
            <v>RSSF2 E</v>
          </cell>
          <cell r="B2206" t="str">
            <v>VYPRODÁNO</v>
          </cell>
          <cell r="D2206">
            <v>0</v>
          </cell>
        </row>
        <row r="2207">
          <cell r="A2207" t="str">
            <v>RSSF2I14</v>
          </cell>
          <cell r="B2207" t="str">
            <v>VYPRODÁNO</v>
          </cell>
          <cell r="D2207">
            <v>0</v>
          </cell>
        </row>
        <row r="2208">
          <cell r="A2208" t="str">
            <v>RSSF3</v>
          </cell>
          <cell r="B2208" t="str">
            <v>31.07.2026</v>
          </cell>
          <cell r="C2208">
            <v>127</v>
          </cell>
          <cell r="D2208">
            <v>0</v>
          </cell>
        </row>
        <row r="2209">
          <cell r="A2209" t="str">
            <v>RSSF3I14</v>
          </cell>
          <cell r="B2209" t="str">
            <v>VYPRODÁNO</v>
          </cell>
          <cell r="D2209">
            <v>0</v>
          </cell>
        </row>
        <row r="2210">
          <cell r="A2210" t="str">
            <v>RT1CZE</v>
          </cell>
          <cell r="B2210" t="str">
            <v>VYPRODÁNO</v>
          </cell>
          <cell r="D2210">
            <v>0</v>
          </cell>
        </row>
        <row r="2211">
          <cell r="A2211" t="str">
            <v>RT1SK</v>
          </cell>
          <cell r="B2211" t="str">
            <v>VYPRODÁNO</v>
          </cell>
          <cell r="D2211">
            <v>0</v>
          </cell>
        </row>
        <row r="2212">
          <cell r="A2212" t="str">
            <v>RUD1</v>
          </cell>
          <cell r="B2212" t="str">
            <v>VYPRODÁNO</v>
          </cell>
          <cell r="D2212">
            <v>0</v>
          </cell>
        </row>
        <row r="2213">
          <cell r="A2213" t="str">
            <v>RUN1</v>
          </cell>
          <cell r="B2213" t="str">
            <v>DOCHÁZÍ</v>
          </cell>
          <cell r="D2213">
            <v>0</v>
          </cell>
          <cell r="E2213">
            <v>1</v>
          </cell>
        </row>
        <row r="2214">
          <cell r="A2214" t="str">
            <v>RUSIG1</v>
          </cell>
          <cell r="B2214" t="str">
            <v>VYPRODÁNO</v>
          </cell>
          <cell r="D2214">
            <v>0</v>
          </cell>
        </row>
        <row r="2215">
          <cell r="A2215" t="str">
            <v>S12S</v>
          </cell>
          <cell r="B2215" t="str">
            <v>SKLADEM</v>
          </cell>
          <cell r="D2215">
            <v>0</v>
          </cell>
        </row>
        <row r="2216">
          <cell r="A2216" t="str">
            <v>S12S(1)</v>
          </cell>
          <cell r="B2216" t="str">
            <v>31.08.2026</v>
          </cell>
          <cell r="C2216">
            <v>158</v>
          </cell>
          <cell r="D2216">
            <v>0</v>
          </cell>
        </row>
        <row r="2217">
          <cell r="A2217" t="str">
            <v>S2A</v>
          </cell>
          <cell r="B2217" t="str">
            <v>VYPRODÁNO</v>
          </cell>
          <cell r="D2217">
            <v>0</v>
          </cell>
        </row>
        <row r="2218">
          <cell r="A2218" t="str">
            <v>S2B</v>
          </cell>
          <cell r="B2218" t="str">
            <v>VYPRODÁNO</v>
          </cell>
          <cell r="D2218">
            <v>0</v>
          </cell>
        </row>
        <row r="2219">
          <cell r="A2219" t="str">
            <v>S2E</v>
          </cell>
          <cell r="B2219" t="str">
            <v>VYPRODÁNO</v>
          </cell>
          <cell r="D2219">
            <v>0</v>
          </cell>
        </row>
        <row r="2220">
          <cell r="A2220" t="str">
            <v>S2G</v>
          </cell>
          <cell r="B2220" t="str">
            <v>VYPRODÁNO</v>
          </cell>
          <cell r="D2220">
            <v>0</v>
          </cell>
        </row>
        <row r="2221">
          <cell r="A2221" t="str">
            <v>S2H</v>
          </cell>
          <cell r="B2221" t="str">
            <v>VYPRODÁNO</v>
          </cell>
          <cell r="D2221">
            <v>0</v>
          </cell>
        </row>
        <row r="2222">
          <cell r="A2222" t="str">
            <v>S2CH</v>
          </cell>
          <cell r="B2222" t="str">
            <v>VYPRODÁNO</v>
          </cell>
          <cell r="D2222">
            <v>0</v>
          </cell>
        </row>
        <row r="2223">
          <cell r="A2223" t="str">
            <v>S2J</v>
          </cell>
          <cell r="B2223" t="str">
            <v>VYPRODÁNO</v>
          </cell>
          <cell r="D2223">
            <v>0</v>
          </cell>
        </row>
        <row r="2224">
          <cell r="A2224" t="str">
            <v>S2K</v>
          </cell>
          <cell r="B2224" t="str">
            <v>VYPRODÁNO</v>
          </cell>
          <cell r="D2224">
            <v>0</v>
          </cell>
        </row>
        <row r="2225">
          <cell r="A2225" t="str">
            <v>S2M</v>
          </cell>
          <cell r="B2225" t="str">
            <v>SKLADEM</v>
          </cell>
          <cell r="D2225">
            <v>0</v>
          </cell>
        </row>
        <row r="2226">
          <cell r="A2226" t="str">
            <v>S2MM</v>
          </cell>
          <cell r="B2226" t="str">
            <v>VYPRODÁNO</v>
          </cell>
          <cell r="D2226">
            <v>0</v>
          </cell>
        </row>
        <row r="2227">
          <cell r="A2227" t="str">
            <v>S2N</v>
          </cell>
          <cell r="B2227" t="str">
            <v>VYPRODÁNO</v>
          </cell>
          <cell r="D2227">
            <v>0</v>
          </cell>
        </row>
        <row r="2228">
          <cell r="A2228" t="str">
            <v>S2O</v>
          </cell>
          <cell r="B2228" t="str">
            <v>VYPRODÁNO</v>
          </cell>
          <cell r="D2228">
            <v>0</v>
          </cell>
        </row>
        <row r="2229">
          <cell r="A2229" t="str">
            <v>S2T</v>
          </cell>
          <cell r="B2229" t="str">
            <v>VYPRODÁNO</v>
          </cell>
          <cell r="D2229">
            <v>0</v>
          </cell>
        </row>
        <row r="2230">
          <cell r="A2230" t="str">
            <v>S3A/P</v>
          </cell>
          <cell r="B2230" t="str">
            <v>VYPRODÁNO</v>
          </cell>
          <cell r="D2230">
            <v>0</v>
          </cell>
        </row>
        <row r="2231">
          <cell r="A2231" t="str">
            <v>S3B/P</v>
          </cell>
          <cell r="B2231" t="str">
            <v>VYPRODÁNO</v>
          </cell>
          <cell r="D2231">
            <v>0</v>
          </cell>
        </row>
        <row r="2232">
          <cell r="A2232" t="str">
            <v>S3C/P</v>
          </cell>
          <cell r="B2232" t="str">
            <v>VYPRODÁNO</v>
          </cell>
          <cell r="D2232">
            <v>0</v>
          </cell>
        </row>
        <row r="2233">
          <cell r="A2233" t="str">
            <v>S3D/P</v>
          </cell>
          <cell r="B2233" t="str">
            <v>VYPRODÁNO</v>
          </cell>
          <cell r="D2233">
            <v>0</v>
          </cell>
        </row>
        <row r="2234">
          <cell r="A2234" t="str">
            <v>S3E/P</v>
          </cell>
          <cell r="B2234" t="str">
            <v>VYPRODÁNO</v>
          </cell>
          <cell r="D2234">
            <v>0</v>
          </cell>
        </row>
        <row r="2235">
          <cell r="A2235" t="str">
            <v>S3F/P</v>
          </cell>
          <cell r="B2235" t="str">
            <v>31.08.2026</v>
          </cell>
          <cell r="C2235">
            <v>158</v>
          </cell>
          <cell r="D2235">
            <v>0</v>
          </cell>
        </row>
        <row r="2236">
          <cell r="A2236" t="str">
            <v>S3G/P</v>
          </cell>
          <cell r="B2236" t="str">
            <v>VYPRODÁNO</v>
          </cell>
          <cell r="D2236">
            <v>0</v>
          </cell>
        </row>
        <row r="2237">
          <cell r="A2237" t="str">
            <v>S3H/P</v>
          </cell>
          <cell r="B2237" t="str">
            <v>VYPRODÁNO</v>
          </cell>
          <cell r="D2237">
            <v>0</v>
          </cell>
        </row>
        <row r="2238">
          <cell r="A2238" t="str">
            <v>S3CH/P</v>
          </cell>
          <cell r="B2238" t="str">
            <v>VYPRODÁNO</v>
          </cell>
          <cell r="D2238">
            <v>0</v>
          </cell>
        </row>
        <row r="2239">
          <cell r="A2239" t="str">
            <v>S3I/A</v>
          </cell>
          <cell r="B2239" t="str">
            <v>VYPRODÁNO</v>
          </cell>
          <cell r="D2239">
            <v>0</v>
          </cell>
        </row>
        <row r="2240">
          <cell r="A2240" t="str">
            <v>S3IA/P</v>
          </cell>
          <cell r="B2240" t="str">
            <v>SKLADEM</v>
          </cell>
          <cell r="D2240">
            <v>0</v>
          </cell>
        </row>
        <row r="2241">
          <cell r="A2241" t="str">
            <v>S3J/P</v>
          </cell>
          <cell r="B2241" t="str">
            <v>31.08.2026</v>
          </cell>
          <cell r="C2241">
            <v>158</v>
          </cell>
          <cell r="D2241">
            <v>0</v>
          </cell>
        </row>
        <row r="2242">
          <cell r="A2242" t="str">
            <v>S3K/P</v>
          </cell>
          <cell r="B2242" t="str">
            <v>VYPRODÁNO</v>
          </cell>
          <cell r="D2242">
            <v>0</v>
          </cell>
        </row>
        <row r="2243">
          <cell r="A2243" t="str">
            <v>S3L/P</v>
          </cell>
          <cell r="B2243" t="str">
            <v>VYPRODÁNO</v>
          </cell>
          <cell r="D2243">
            <v>0</v>
          </cell>
        </row>
        <row r="2244">
          <cell r="A2244" t="str">
            <v>S3M/P</v>
          </cell>
          <cell r="B2244" t="str">
            <v>14.04.2026</v>
          </cell>
          <cell r="C2244">
            <v>19</v>
          </cell>
          <cell r="D2244" t="str">
            <v>100+</v>
          </cell>
        </row>
        <row r="2245">
          <cell r="A2245" t="str">
            <v>S3N/P</v>
          </cell>
          <cell r="B2245" t="str">
            <v>VYPRODÁNO</v>
          </cell>
          <cell r="D2245">
            <v>0</v>
          </cell>
        </row>
        <row r="2246">
          <cell r="A2246" t="str">
            <v>S3O</v>
          </cell>
          <cell r="B2246" t="str">
            <v>VYPRODÁNO</v>
          </cell>
          <cell r="D2246">
            <v>0</v>
          </cell>
        </row>
        <row r="2247">
          <cell r="A2247" t="str">
            <v>S3O/P</v>
          </cell>
          <cell r="B2247" t="str">
            <v>VYPRODÁNO</v>
          </cell>
          <cell r="D2247">
            <v>0</v>
          </cell>
        </row>
        <row r="2248">
          <cell r="A2248" t="str">
            <v>S3P/P</v>
          </cell>
          <cell r="B2248" t="str">
            <v>VYPRODÁNO</v>
          </cell>
          <cell r="D2248">
            <v>0</v>
          </cell>
        </row>
        <row r="2249">
          <cell r="A2249" t="str">
            <v>S3R/P</v>
          </cell>
          <cell r="B2249" t="str">
            <v>VYPRODÁNO</v>
          </cell>
          <cell r="D2249">
            <v>0</v>
          </cell>
        </row>
        <row r="2250">
          <cell r="A2250" t="str">
            <v>S3S/P</v>
          </cell>
          <cell r="B2250" t="str">
            <v>31.07.2026</v>
          </cell>
          <cell r="C2250">
            <v>127</v>
          </cell>
          <cell r="D2250">
            <v>0</v>
          </cell>
        </row>
        <row r="2251">
          <cell r="A2251" t="str">
            <v>S3T</v>
          </cell>
          <cell r="B2251" t="str">
            <v>31.08.2026</v>
          </cell>
          <cell r="C2251">
            <v>158</v>
          </cell>
          <cell r="D2251">
            <v>0</v>
          </cell>
        </row>
        <row r="2252">
          <cell r="A2252" t="str">
            <v>S3U</v>
          </cell>
          <cell r="B2252" t="str">
            <v>VYPRODÁNO</v>
          </cell>
          <cell r="D2252">
            <v>0</v>
          </cell>
        </row>
        <row r="2253">
          <cell r="A2253" t="str">
            <v>S3U/P</v>
          </cell>
          <cell r="B2253" t="str">
            <v>VYPRODÁNO</v>
          </cell>
          <cell r="D2253">
            <v>0</v>
          </cell>
        </row>
        <row r="2254">
          <cell r="A2254" t="str">
            <v>S3V/P</v>
          </cell>
          <cell r="B2254" t="str">
            <v>VYPRODÁNO</v>
          </cell>
          <cell r="D2254">
            <v>0</v>
          </cell>
        </row>
        <row r="2255">
          <cell r="A2255" t="str">
            <v>S3W/P</v>
          </cell>
          <cell r="B2255" t="str">
            <v>VYPRODÁNO</v>
          </cell>
          <cell r="D2255">
            <v>0</v>
          </cell>
        </row>
        <row r="2256">
          <cell r="A2256" t="str">
            <v>S3X/P</v>
          </cell>
          <cell r="B2256" t="str">
            <v>VYPRODÁNO</v>
          </cell>
          <cell r="D2256">
            <v>0</v>
          </cell>
        </row>
        <row r="2257">
          <cell r="A2257" t="str">
            <v>S4A/P</v>
          </cell>
          <cell r="B2257" t="str">
            <v>VYPRODÁNO</v>
          </cell>
          <cell r="D2257">
            <v>0</v>
          </cell>
        </row>
        <row r="2258">
          <cell r="A2258" t="str">
            <v>S4B/P</v>
          </cell>
          <cell r="B2258" t="str">
            <v>VYPRODÁNO</v>
          </cell>
          <cell r="D2258">
            <v>0</v>
          </cell>
        </row>
        <row r="2259">
          <cell r="A2259" t="str">
            <v>S4C/P</v>
          </cell>
          <cell r="B2259" t="str">
            <v>SKLADEM</v>
          </cell>
          <cell r="D2259">
            <v>0</v>
          </cell>
        </row>
        <row r="2260">
          <cell r="A2260" t="str">
            <v>S4D/P</v>
          </cell>
          <cell r="B2260" t="str">
            <v>VYPRODÁNO</v>
          </cell>
          <cell r="D2260">
            <v>0</v>
          </cell>
        </row>
        <row r="2261">
          <cell r="A2261" t="str">
            <v>S4E/P</v>
          </cell>
          <cell r="B2261" t="str">
            <v>VYPRODÁNO</v>
          </cell>
          <cell r="D2261">
            <v>0</v>
          </cell>
        </row>
        <row r="2262">
          <cell r="A2262" t="str">
            <v>S4F/P</v>
          </cell>
          <cell r="B2262" t="str">
            <v>VYPRODÁNO</v>
          </cell>
          <cell r="D2262">
            <v>0</v>
          </cell>
        </row>
        <row r="2263">
          <cell r="A2263" t="str">
            <v>S4G/P</v>
          </cell>
          <cell r="B2263" t="str">
            <v>VYPRODÁNO</v>
          </cell>
          <cell r="D2263">
            <v>0</v>
          </cell>
        </row>
        <row r="2264">
          <cell r="A2264" t="str">
            <v>S4H/P</v>
          </cell>
          <cell r="B2264" t="str">
            <v>VYPRODÁNO</v>
          </cell>
          <cell r="D2264">
            <v>0</v>
          </cell>
        </row>
        <row r="2265">
          <cell r="A2265" t="str">
            <v>S4CH/P</v>
          </cell>
          <cell r="B2265" t="str">
            <v>VYPRODÁNO</v>
          </cell>
          <cell r="D2265">
            <v>0</v>
          </cell>
        </row>
        <row r="2266">
          <cell r="A2266" t="str">
            <v>S4I/P</v>
          </cell>
          <cell r="B2266" t="str">
            <v>VYPRODÁNO</v>
          </cell>
          <cell r="D2266">
            <v>0</v>
          </cell>
        </row>
        <row r="2267">
          <cell r="A2267" t="str">
            <v>S4J/P</v>
          </cell>
          <cell r="B2267" t="str">
            <v>SKLADEM</v>
          </cell>
          <cell r="D2267">
            <v>0</v>
          </cell>
        </row>
        <row r="2268">
          <cell r="A2268" t="str">
            <v>S4K</v>
          </cell>
          <cell r="B2268" t="str">
            <v>VYPRODÁNO</v>
          </cell>
          <cell r="D2268">
            <v>0</v>
          </cell>
        </row>
        <row r="2269">
          <cell r="A2269" t="str">
            <v>S4K/P</v>
          </cell>
          <cell r="B2269" t="str">
            <v>SKLADEM</v>
          </cell>
          <cell r="D2269">
            <v>0</v>
          </cell>
        </row>
        <row r="2270">
          <cell r="A2270" t="str">
            <v>S4L/P</v>
          </cell>
          <cell r="B2270" t="str">
            <v>SKLADEM</v>
          </cell>
          <cell r="D2270">
            <v>0</v>
          </cell>
        </row>
        <row r="2271">
          <cell r="A2271" t="str">
            <v>S4M/P</v>
          </cell>
          <cell r="B2271" t="str">
            <v>31.08.2026</v>
          </cell>
          <cell r="C2271">
            <v>158</v>
          </cell>
          <cell r="D2271">
            <v>0</v>
          </cell>
        </row>
        <row r="2272">
          <cell r="A2272" t="str">
            <v>S4MB</v>
          </cell>
          <cell r="B2272" t="str">
            <v>VYPRODÁNO</v>
          </cell>
          <cell r="D2272">
            <v>0</v>
          </cell>
        </row>
        <row r="2273">
          <cell r="A2273" t="str">
            <v>S4N/A</v>
          </cell>
          <cell r="B2273" t="str">
            <v>VYPRODÁNO</v>
          </cell>
          <cell r="D2273">
            <v>0</v>
          </cell>
        </row>
        <row r="2274">
          <cell r="A2274" t="str">
            <v>S4N/B</v>
          </cell>
          <cell r="B2274" t="str">
            <v>VYPRODÁNO</v>
          </cell>
          <cell r="D2274">
            <v>0</v>
          </cell>
        </row>
        <row r="2275">
          <cell r="A2275" t="str">
            <v>S4NA/P</v>
          </cell>
          <cell r="B2275" t="str">
            <v>SKLADEM</v>
          </cell>
          <cell r="D2275">
            <v>0</v>
          </cell>
        </row>
        <row r="2276">
          <cell r="A2276" t="str">
            <v>S4O/P</v>
          </cell>
          <cell r="B2276" t="str">
            <v>31.08.2026</v>
          </cell>
          <cell r="C2276">
            <v>158</v>
          </cell>
          <cell r="D2276">
            <v>0</v>
          </cell>
        </row>
        <row r="2277">
          <cell r="A2277" t="str">
            <v>S4P/P</v>
          </cell>
          <cell r="B2277" t="str">
            <v>SKLADEM</v>
          </cell>
          <cell r="D2277">
            <v>0</v>
          </cell>
        </row>
        <row r="2278">
          <cell r="A2278" t="str">
            <v>S4Q/P</v>
          </cell>
          <cell r="B2278" t="str">
            <v>SKLADEM</v>
          </cell>
          <cell r="D2278">
            <v>0</v>
          </cell>
        </row>
        <row r="2279">
          <cell r="A2279" t="str">
            <v>S4R/P</v>
          </cell>
          <cell r="B2279" t="str">
            <v>VYPRODÁNO</v>
          </cell>
          <cell r="D2279">
            <v>0</v>
          </cell>
        </row>
        <row r="2280">
          <cell r="A2280" t="str">
            <v>S4S/P</v>
          </cell>
          <cell r="B2280" t="str">
            <v>DOCHÁZÍ</v>
          </cell>
          <cell r="D2280">
            <v>0</v>
          </cell>
          <cell r="E2280">
            <v>2</v>
          </cell>
        </row>
        <row r="2281">
          <cell r="A2281" t="str">
            <v>S4T</v>
          </cell>
          <cell r="B2281" t="str">
            <v>31.08.2026</v>
          </cell>
          <cell r="C2281">
            <v>158</v>
          </cell>
          <cell r="D2281">
            <v>0</v>
          </cell>
        </row>
        <row r="2282">
          <cell r="A2282" t="str">
            <v>S4U/P</v>
          </cell>
          <cell r="B2282" t="str">
            <v>VYPRODÁNO</v>
          </cell>
          <cell r="D2282">
            <v>0</v>
          </cell>
        </row>
        <row r="2283">
          <cell r="A2283" t="str">
            <v>S4V/P</v>
          </cell>
          <cell r="B2283" t="str">
            <v>VYPRODÁNO</v>
          </cell>
          <cell r="D2283">
            <v>0</v>
          </cell>
        </row>
        <row r="2284">
          <cell r="A2284" t="str">
            <v>S4W/P</v>
          </cell>
          <cell r="B2284" t="str">
            <v>SKLADEM</v>
          </cell>
          <cell r="D2284">
            <v>0</v>
          </cell>
        </row>
        <row r="2285">
          <cell r="A2285" t="str">
            <v>S4X/P</v>
          </cell>
          <cell r="B2285" t="str">
            <v>VYPRODÁNO</v>
          </cell>
          <cell r="D2285">
            <v>0</v>
          </cell>
        </row>
        <row r="2286">
          <cell r="A2286" t="str">
            <v>S4Y/P</v>
          </cell>
          <cell r="B2286" t="str">
            <v>VYPRODÁNO</v>
          </cell>
          <cell r="D2286">
            <v>0</v>
          </cell>
        </row>
        <row r="2287">
          <cell r="A2287" t="str">
            <v>S4Z/1</v>
          </cell>
          <cell r="B2287" t="str">
            <v>VYPRODÁNO</v>
          </cell>
          <cell r="D2287">
            <v>0</v>
          </cell>
        </row>
        <row r="2288">
          <cell r="A2288" t="str">
            <v>S4Z/2</v>
          </cell>
          <cell r="B2288" t="str">
            <v>VYPRODÁNO</v>
          </cell>
          <cell r="D2288">
            <v>0</v>
          </cell>
        </row>
        <row r="2289">
          <cell r="A2289" t="str">
            <v>S4Z/3</v>
          </cell>
          <cell r="B2289" t="str">
            <v>VYPRODÁNO</v>
          </cell>
          <cell r="D2289">
            <v>0</v>
          </cell>
        </row>
        <row r="2290">
          <cell r="A2290" t="str">
            <v>S4Z/4</v>
          </cell>
          <cell r="B2290" t="str">
            <v>VYPRODÁNO</v>
          </cell>
          <cell r="D2290">
            <v>0</v>
          </cell>
        </row>
        <row r="2291">
          <cell r="A2291" t="str">
            <v>S4Z/P</v>
          </cell>
          <cell r="B2291" t="str">
            <v>VYPRODÁNO</v>
          </cell>
          <cell r="D2291">
            <v>0</v>
          </cell>
        </row>
        <row r="2292">
          <cell r="A2292" t="str">
            <v>S4Z1/P</v>
          </cell>
          <cell r="B2292" t="str">
            <v>VYPRODÁNO</v>
          </cell>
          <cell r="D2292">
            <v>0</v>
          </cell>
        </row>
        <row r="2293">
          <cell r="A2293" t="str">
            <v>S4Z10/P</v>
          </cell>
          <cell r="B2293" t="str">
            <v>VYPRODÁNO</v>
          </cell>
          <cell r="D2293">
            <v>0</v>
          </cell>
        </row>
        <row r="2294">
          <cell r="A2294" t="str">
            <v>S4Z11/P</v>
          </cell>
          <cell r="B2294" t="str">
            <v>SKLADEM</v>
          </cell>
          <cell r="D2294">
            <v>0</v>
          </cell>
        </row>
        <row r="2295">
          <cell r="A2295" t="str">
            <v>S4Z12/P</v>
          </cell>
          <cell r="B2295" t="str">
            <v>VYPRODÁNO</v>
          </cell>
          <cell r="D2295">
            <v>0</v>
          </cell>
        </row>
        <row r="2296">
          <cell r="A2296" t="str">
            <v>S4Z13/P</v>
          </cell>
          <cell r="B2296" t="str">
            <v>VYPRODÁNO</v>
          </cell>
          <cell r="D2296">
            <v>0</v>
          </cell>
        </row>
        <row r="2297">
          <cell r="A2297" t="str">
            <v>S4Z14/P</v>
          </cell>
          <cell r="B2297" t="str">
            <v>VYPRODÁNO</v>
          </cell>
          <cell r="D2297">
            <v>0</v>
          </cell>
        </row>
        <row r="2298">
          <cell r="A2298" t="str">
            <v>S4Z2/P</v>
          </cell>
          <cell r="B2298" t="str">
            <v>VYPRODÁNO</v>
          </cell>
          <cell r="D2298">
            <v>0</v>
          </cell>
        </row>
        <row r="2299">
          <cell r="A2299" t="str">
            <v>S4Z3/P</v>
          </cell>
          <cell r="B2299" t="str">
            <v>VYPRODÁNO</v>
          </cell>
          <cell r="D2299">
            <v>0</v>
          </cell>
        </row>
        <row r="2300">
          <cell r="A2300" t="str">
            <v>S4Z4/P</v>
          </cell>
          <cell r="B2300" t="str">
            <v>VYPRODÁNO</v>
          </cell>
          <cell r="D2300">
            <v>0</v>
          </cell>
        </row>
        <row r="2301">
          <cell r="A2301" t="str">
            <v>S4Z5/P</v>
          </cell>
          <cell r="B2301" t="str">
            <v>14.04.2026</v>
          </cell>
          <cell r="C2301">
            <v>19</v>
          </cell>
          <cell r="D2301">
            <v>20</v>
          </cell>
        </row>
        <row r="2302">
          <cell r="A2302" t="str">
            <v>S4Z6/P</v>
          </cell>
          <cell r="B2302" t="str">
            <v>14.04.2026</v>
          </cell>
          <cell r="C2302">
            <v>19</v>
          </cell>
          <cell r="D2302">
            <v>20</v>
          </cell>
        </row>
        <row r="2303">
          <cell r="A2303" t="str">
            <v>S4Z7/P</v>
          </cell>
          <cell r="B2303" t="str">
            <v>VYPRODÁNO</v>
          </cell>
          <cell r="D2303">
            <v>0</v>
          </cell>
        </row>
        <row r="2304">
          <cell r="A2304" t="str">
            <v>S4Z8/P</v>
          </cell>
          <cell r="B2304" t="str">
            <v>SKLADEM</v>
          </cell>
          <cell r="D2304">
            <v>0</v>
          </cell>
        </row>
        <row r="2305">
          <cell r="A2305" t="str">
            <v>S4Z9/P</v>
          </cell>
          <cell r="B2305" t="str">
            <v>VYPRODÁNO</v>
          </cell>
          <cell r="D2305">
            <v>0</v>
          </cell>
        </row>
        <row r="2306">
          <cell r="A2306" t="str">
            <v>S5A</v>
          </cell>
          <cell r="B2306" t="str">
            <v>VYPRODÁNO</v>
          </cell>
          <cell r="D2306">
            <v>0</v>
          </cell>
        </row>
        <row r="2307">
          <cell r="A2307" t="str">
            <v>S5A/P</v>
          </cell>
          <cell r="B2307" t="str">
            <v>VYPRODÁNO</v>
          </cell>
          <cell r="D2307">
            <v>0</v>
          </cell>
        </row>
        <row r="2308">
          <cell r="A2308" t="str">
            <v>S5B</v>
          </cell>
          <cell r="B2308" t="str">
            <v>VYPRODÁNO</v>
          </cell>
          <cell r="D2308">
            <v>0</v>
          </cell>
        </row>
        <row r="2309">
          <cell r="A2309" t="str">
            <v>S5B/P</v>
          </cell>
          <cell r="B2309" t="str">
            <v>VYPRODÁNO</v>
          </cell>
          <cell r="D2309">
            <v>0</v>
          </cell>
        </row>
        <row r="2310">
          <cell r="A2310" t="str">
            <v>S5C</v>
          </cell>
          <cell r="B2310" t="str">
            <v>VYPRODÁNO</v>
          </cell>
          <cell r="D2310">
            <v>0</v>
          </cell>
        </row>
        <row r="2311">
          <cell r="A2311" t="str">
            <v>S5C/P</v>
          </cell>
          <cell r="B2311" t="str">
            <v>VYPRODÁNO</v>
          </cell>
          <cell r="D2311">
            <v>0</v>
          </cell>
        </row>
        <row r="2312">
          <cell r="A2312" t="str">
            <v>S5D</v>
          </cell>
          <cell r="B2312" t="str">
            <v>VYPRODÁNO</v>
          </cell>
          <cell r="D2312">
            <v>0</v>
          </cell>
        </row>
        <row r="2313">
          <cell r="A2313" t="str">
            <v>S5D/P</v>
          </cell>
          <cell r="B2313" t="str">
            <v>VYPRODÁNO</v>
          </cell>
          <cell r="D2313">
            <v>0</v>
          </cell>
        </row>
        <row r="2314">
          <cell r="A2314" t="str">
            <v>S5E</v>
          </cell>
          <cell r="B2314" t="str">
            <v>VYPRODÁNO</v>
          </cell>
          <cell r="D2314">
            <v>0</v>
          </cell>
        </row>
        <row r="2315">
          <cell r="A2315" t="str">
            <v>S5E/P</v>
          </cell>
          <cell r="B2315" t="str">
            <v>SKLADEM</v>
          </cell>
          <cell r="D2315">
            <v>0</v>
          </cell>
        </row>
        <row r="2316">
          <cell r="A2316" t="str">
            <v>S5F</v>
          </cell>
          <cell r="B2316" t="str">
            <v>VYPRODÁNO</v>
          </cell>
          <cell r="D2316">
            <v>0</v>
          </cell>
        </row>
        <row r="2317">
          <cell r="A2317" t="str">
            <v>S5F/P</v>
          </cell>
          <cell r="B2317" t="str">
            <v>SKLADEM</v>
          </cell>
          <cell r="D2317">
            <v>0</v>
          </cell>
        </row>
        <row r="2318">
          <cell r="A2318" t="str">
            <v>S5G</v>
          </cell>
          <cell r="B2318" t="str">
            <v>VYPRODÁNO</v>
          </cell>
          <cell r="D2318">
            <v>0</v>
          </cell>
        </row>
        <row r="2319">
          <cell r="A2319" t="str">
            <v>S5G/P</v>
          </cell>
          <cell r="B2319" t="str">
            <v>VYPRODÁNO</v>
          </cell>
          <cell r="D2319">
            <v>0</v>
          </cell>
        </row>
        <row r="2320">
          <cell r="A2320" t="str">
            <v>S5H</v>
          </cell>
          <cell r="B2320" t="str">
            <v>VYPRODÁNO</v>
          </cell>
          <cell r="D2320">
            <v>0</v>
          </cell>
        </row>
        <row r="2321">
          <cell r="A2321" t="str">
            <v>S5H/P</v>
          </cell>
          <cell r="B2321" t="str">
            <v>VYPRODÁNO</v>
          </cell>
          <cell r="D2321">
            <v>0</v>
          </cell>
        </row>
        <row r="2322">
          <cell r="A2322" t="str">
            <v>S5CH</v>
          </cell>
          <cell r="B2322" t="str">
            <v>VYPRODÁNO</v>
          </cell>
          <cell r="D2322">
            <v>0</v>
          </cell>
        </row>
        <row r="2323">
          <cell r="A2323" t="str">
            <v>S5CH/P</v>
          </cell>
          <cell r="B2323" t="str">
            <v>VYPRODÁNO</v>
          </cell>
          <cell r="D2323">
            <v>0</v>
          </cell>
        </row>
        <row r="2324">
          <cell r="A2324" t="str">
            <v>S5I</v>
          </cell>
          <cell r="B2324" t="str">
            <v>VYPRODÁNO</v>
          </cell>
          <cell r="D2324">
            <v>0</v>
          </cell>
        </row>
        <row r="2325">
          <cell r="A2325" t="str">
            <v>S5I/P</v>
          </cell>
          <cell r="B2325" t="str">
            <v>VYPRODÁNO</v>
          </cell>
          <cell r="D2325">
            <v>0</v>
          </cell>
        </row>
        <row r="2326">
          <cell r="A2326" t="str">
            <v>S5J</v>
          </cell>
          <cell r="B2326" t="str">
            <v>VYPRODÁNO</v>
          </cell>
          <cell r="D2326">
            <v>0</v>
          </cell>
        </row>
        <row r="2327">
          <cell r="A2327" t="str">
            <v>S5J/P</v>
          </cell>
          <cell r="B2327" t="str">
            <v>VYPRODÁNO</v>
          </cell>
          <cell r="D2327">
            <v>0</v>
          </cell>
        </row>
        <row r="2328">
          <cell r="A2328" t="str">
            <v>S5K</v>
          </cell>
          <cell r="B2328" t="str">
            <v>VYPRODÁNO</v>
          </cell>
          <cell r="D2328">
            <v>0</v>
          </cell>
        </row>
        <row r="2329">
          <cell r="A2329" t="str">
            <v>S5K/P</v>
          </cell>
          <cell r="B2329" t="str">
            <v>SKLADEM</v>
          </cell>
          <cell r="D2329">
            <v>0</v>
          </cell>
        </row>
        <row r="2330">
          <cell r="A2330" t="str">
            <v>S5L</v>
          </cell>
          <cell r="B2330" t="str">
            <v>VYPRODÁNO</v>
          </cell>
          <cell r="D2330">
            <v>0</v>
          </cell>
        </row>
        <row r="2331">
          <cell r="A2331" t="str">
            <v>S5L/P</v>
          </cell>
          <cell r="B2331" t="str">
            <v>VYPRODÁNO</v>
          </cell>
          <cell r="D2331">
            <v>0</v>
          </cell>
        </row>
        <row r="2332">
          <cell r="A2332" t="str">
            <v>S5M/P</v>
          </cell>
          <cell r="B2332" t="str">
            <v>31.07.2026</v>
          </cell>
          <cell r="C2332">
            <v>127</v>
          </cell>
          <cell r="D2332">
            <v>0</v>
          </cell>
        </row>
        <row r="2333">
          <cell r="A2333" t="str">
            <v>S5MA</v>
          </cell>
          <cell r="B2333" t="str">
            <v>VYPRODÁNO</v>
          </cell>
          <cell r="D2333">
            <v>0</v>
          </cell>
        </row>
        <row r="2334">
          <cell r="A2334" t="str">
            <v>S5MB</v>
          </cell>
          <cell r="B2334" t="str">
            <v>VYPRODÁNO</v>
          </cell>
          <cell r="D2334">
            <v>0</v>
          </cell>
        </row>
        <row r="2335">
          <cell r="A2335" t="str">
            <v>S5MX</v>
          </cell>
          <cell r="B2335" t="str">
            <v>VYPRODÁNO</v>
          </cell>
          <cell r="D2335">
            <v>0</v>
          </cell>
        </row>
        <row r="2336">
          <cell r="A2336" t="str">
            <v>S5N</v>
          </cell>
          <cell r="B2336" t="str">
            <v>VYPRODÁNO</v>
          </cell>
          <cell r="D2336">
            <v>0</v>
          </cell>
        </row>
        <row r="2337">
          <cell r="A2337" t="str">
            <v>S5N/P</v>
          </cell>
          <cell r="B2337" t="str">
            <v>VYPRODÁNO</v>
          </cell>
          <cell r="D2337">
            <v>0</v>
          </cell>
        </row>
        <row r="2338">
          <cell r="A2338" t="str">
            <v>S5O</v>
          </cell>
          <cell r="B2338" t="str">
            <v>VYPRODÁNO</v>
          </cell>
          <cell r="D2338">
            <v>0</v>
          </cell>
        </row>
        <row r="2339">
          <cell r="A2339" t="str">
            <v>S5O/P</v>
          </cell>
          <cell r="B2339" t="str">
            <v>VYPRODÁNO</v>
          </cell>
          <cell r="D2339">
            <v>0</v>
          </cell>
        </row>
        <row r="2340">
          <cell r="A2340" t="str">
            <v>S5P</v>
          </cell>
          <cell r="B2340" t="str">
            <v>VYPRODÁNO</v>
          </cell>
          <cell r="D2340">
            <v>0</v>
          </cell>
        </row>
        <row r="2341">
          <cell r="A2341" t="str">
            <v>S5P/P</v>
          </cell>
          <cell r="B2341" t="str">
            <v>VYPRODÁNO</v>
          </cell>
          <cell r="D2341">
            <v>0</v>
          </cell>
        </row>
        <row r="2342">
          <cell r="A2342" t="str">
            <v>S5Q</v>
          </cell>
          <cell r="B2342" t="str">
            <v>VYPRODÁNO</v>
          </cell>
          <cell r="D2342">
            <v>0</v>
          </cell>
        </row>
        <row r="2343">
          <cell r="A2343" t="str">
            <v>S5Q/P</v>
          </cell>
          <cell r="B2343" t="str">
            <v>VYPRODÁNO</v>
          </cell>
          <cell r="D2343">
            <v>0</v>
          </cell>
        </row>
        <row r="2344">
          <cell r="A2344" t="str">
            <v>S5R/P</v>
          </cell>
          <cell r="B2344" t="str">
            <v>VYPRODÁNO</v>
          </cell>
          <cell r="D2344">
            <v>0</v>
          </cell>
        </row>
        <row r="2345">
          <cell r="A2345" t="str">
            <v>S60S</v>
          </cell>
          <cell r="B2345" t="str">
            <v>SKLADEM</v>
          </cell>
          <cell r="D2345">
            <v>0</v>
          </cell>
        </row>
        <row r="2346">
          <cell r="A2346" t="str">
            <v>S60SB</v>
          </cell>
          <cell r="B2346" t="str">
            <v>VYPRODÁNO</v>
          </cell>
          <cell r="D2346">
            <v>0</v>
          </cell>
        </row>
        <row r="2347">
          <cell r="A2347" t="str">
            <v>S60SC</v>
          </cell>
          <cell r="B2347" t="str">
            <v>VYPRODÁNO</v>
          </cell>
          <cell r="D2347">
            <v>0</v>
          </cell>
        </row>
        <row r="2348">
          <cell r="A2348" t="str">
            <v>S60SZ</v>
          </cell>
          <cell r="B2348" t="str">
            <v>VYPRODÁNO</v>
          </cell>
          <cell r="D2348">
            <v>0</v>
          </cell>
        </row>
        <row r="2349">
          <cell r="A2349" t="str">
            <v>S6A</v>
          </cell>
          <cell r="B2349" t="str">
            <v>VYPRODÁNO</v>
          </cell>
          <cell r="D2349">
            <v>0</v>
          </cell>
        </row>
        <row r="2350">
          <cell r="A2350" t="str">
            <v>S6A/P</v>
          </cell>
          <cell r="B2350" t="str">
            <v>VYPRODÁNO</v>
          </cell>
          <cell r="D2350">
            <v>0</v>
          </cell>
        </row>
        <row r="2351">
          <cell r="A2351" t="str">
            <v>S6A/P(9)</v>
          </cell>
          <cell r="B2351" t="str">
            <v>VYPRODÁNO</v>
          </cell>
          <cell r="D2351">
            <v>0</v>
          </cell>
        </row>
        <row r="2352">
          <cell r="A2352" t="str">
            <v>S6B</v>
          </cell>
          <cell r="B2352" t="str">
            <v>VYPRODÁNO</v>
          </cell>
          <cell r="D2352">
            <v>0</v>
          </cell>
        </row>
        <row r="2353">
          <cell r="A2353" t="str">
            <v>S6B/P</v>
          </cell>
          <cell r="B2353" t="str">
            <v>VYPRODÁNO</v>
          </cell>
          <cell r="D2353">
            <v>0</v>
          </cell>
        </row>
        <row r="2354">
          <cell r="A2354" t="str">
            <v>S6B/P(9)</v>
          </cell>
          <cell r="B2354" t="str">
            <v>VYPRODÁNO</v>
          </cell>
          <cell r="D2354">
            <v>0</v>
          </cell>
        </row>
        <row r="2355">
          <cell r="A2355" t="str">
            <v>S6C</v>
          </cell>
          <cell r="B2355" t="str">
            <v>VYPRODÁNO</v>
          </cell>
          <cell r="D2355">
            <v>0</v>
          </cell>
        </row>
        <row r="2356">
          <cell r="A2356" t="str">
            <v>S6C/P</v>
          </cell>
          <cell r="B2356" t="str">
            <v>VYPRODÁNO</v>
          </cell>
          <cell r="D2356">
            <v>0</v>
          </cell>
        </row>
        <row r="2357">
          <cell r="A2357" t="str">
            <v>S6C/P(9)</v>
          </cell>
          <cell r="B2357" t="str">
            <v>VYPRODÁNO</v>
          </cell>
          <cell r="D2357">
            <v>0</v>
          </cell>
        </row>
        <row r="2358">
          <cell r="A2358" t="str">
            <v>S6D</v>
          </cell>
          <cell r="B2358" t="str">
            <v>VYPRODÁNO</v>
          </cell>
          <cell r="D2358">
            <v>0</v>
          </cell>
        </row>
        <row r="2359">
          <cell r="A2359" t="str">
            <v>S6D/P</v>
          </cell>
          <cell r="B2359" t="str">
            <v>VYPRODÁNO</v>
          </cell>
          <cell r="D2359">
            <v>0</v>
          </cell>
        </row>
        <row r="2360">
          <cell r="A2360" t="str">
            <v>S6D/P(9)</v>
          </cell>
          <cell r="B2360" t="str">
            <v>VYPRODÁNO</v>
          </cell>
          <cell r="D2360">
            <v>0</v>
          </cell>
        </row>
        <row r="2361">
          <cell r="A2361" t="str">
            <v>S6E</v>
          </cell>
          <cell r="B2361" t="str">
            <v>VYPRODÁNO</v>
          </cell>
          <cell r="D2361">
            <v>0</v>
          </cell>
        </row>
        <row r="2362">
          <cell r="A2362" t="str">
            <v>S6E/P</v>
          </cell>
          <cell r="B2362" t="str">
            <v>VYPRODÁNO</v>
          </cell>
          <cell r="D2362">
            <v>0</v>
          </cell>
        </row>
        <row r="2363">
          <cell r="A2363" t="str">
            <v>S6E/P(9)</v>
          </cell>
          <cell r="B2363" t="str">
            <v>VYPRODÁNO</v>
          </cell>
          <cell r="D2363">
            <v>0</v>
          </cell>
        </row>
        <row r="2364">
          <cell r="A2364" t="str">
            <v>S6F</v>
          </cell>
          <cell r="B2364" t="str">
            <v>VYPRODÁNO</v>
          </cell>
          <cell r="D2364">
            <v>0</v>
          </cell>
        </row>
        <row r="2365">
          <cell r="A2365" t="str">
            <v>S6F/P</v>
          </cell>
          <cell r="B2365" t="str">
            <v>VYPRODÁNO</v>
          </cell>
          <cell r="D2365">
            <v>0</v>
          </cell>
        </row>
        <row r="2366">
          <cell r="A2366" t="str">
            <v>S6F/P(9)</v>
          </cell>
          <cell r="B2366" t="str">
            <v>31.08.2026</v>
          </cell>
          <cell r="C2366">
            <v>158</v>
          </cell>
          <cell r="D2366">
            <v>0</v>
          </cell>
        </row>
        <row r="2367">
          <cell r="A2367" t="str">
            <v>S6G</v>
          </cell>
          <cell r="B2367" t="str">
            <v>VYPRODÁNO</v>
          </cell>
          <cell r="D2367">
            <v>0</v>
          </cell>
        </row>
        <row r="2368">
          <cell r="A2368" t="str">
            <v>S6G/P</v>
          </cell>
          <cell r="B2368" t="str">
            <v>VYPRODÁNO</v>
          </cell>
          <cell r="D2368">
            <v>0</v>
          </cell>
        </row>
        <row r="2369">
          <cell r="A2369" t="str">
            <v>S6G/P(9)</v>
          </cell>
          <cell r="B2369" t="str">
            <v>VYPRODÁNO</v>
          </cell>
          <cell r="D2369">
            <v>0</v>
          </cell>
        </row>
        <row r="2370">
          <cell r="A2370" t="str">
            <v>S6H</v>
          </cell>
          <cell r="B2370" t="str">
            <v>VYPRODÁNO</v>
          </cell>
          <cell r="D2370">
            <v>0</v>
          </cell>
        </row>
        <row r="2371">
          <cell r="A2371" t="str">
            <v>S6H/P</v>
          </cell>
          <cell r="B2371" t="str">
            <v>VYPRODÁNO</v>
          </cell>
          <cell r="D2371">
            <v>0</v>
          </cell>
        </row>
        <row r="2372">
          <cell r="A2372" t="str">
            <v>S6H/P(9)</v>
          </cell>
          <cell r="B2372" t="str">
            <v>VYPRODÁNO</v>
          </cell>
          <cell r="D2372">
            <v>0</v>
          </cell>
        </row>
        <row r="2373">
          <cell r="A2373" t="str">
            <v>S6CH</v>
          </cell>
          <cell r="B2373" t="str">
            <v>VYPRODÁNO</v>
          </cell>
          <cell r="D2373">
            <v>0</v>
          </cell>
        </row>
        <row r="2374">
          <cell r="A2374" t="str">
            <v>S6CH/P</v>
          </cell>
          <cell r="B2374" t="str">
            <v>VYPRODÁNO</v>
          </cell>
          <cell r="D2374">
            <v>0</v>
          </cell>
        </row>
        <row r="2375">
          <cell r="A2375" t="str">
            <v>S6CH/P(9)</v>
          </cell>
          <cell r="B2375" t="str">
            <v>VYPRODÁNO</v>
          </cell>
          <cell r="D2375">
            <v>0</v>
          </cell>
        </row>
        <row r="2376">
          <cell r="A2376" t="str">
            <v>S6I</v>
          </cell>
          <cell r="B2376" t="str">
            <v>VYPRODÁNO</v>
          </cell>
          <cell r="D2376">
            <v>0</v>
          </cell>
        </row>
        <row r="2377">
          <cell r="A2377" t="str">
            <v>S6I/P</v>
          </cell>
          <cell r="B2377" t="str">
            <v>VYPRODÁNO</v>
          </cell>
          <cell r="D2377">
            <v>0</v>
          </cell>
        </row>
        <row r="2378">
          <cell r="A2378" t="str">
            <v>S6I/P(9)</v>
          </cell>
          <cell r="B2378" t="str">
            <v>SKLADEM</v>
          </cell>
          <cell r="D2378">
            <v>0</v>
          </cell>
        </row>
        <row r="2379">
          <cell r="A2379" t="str">
            <v>S6K</v>
          </cell>
          <cell r="B2379" t="str">
            <v>VYPRODÁNO</v>
          </cell>
          <cell r="D2379">
            <v>0</v>
          </cell>
        </row>
        <row r="2380">
          <cell r="A2380" t="str">
            <v>S6K/P</v>
          </cell>
          <cell r="B2380" t="str">
            <v>VYPRODÁNO</v>
          </cell>
          <cell r="D2380">
            <v>0</v>
          </cell>
        </row>
        <row r="2381">
          <cell r="A2381" t="str">
            <v>S6K/P(9)</v>
          </cell>
          <cell r="B2381" t="str">
            <v>VYPRODÁNO</v>
          </cell>
          <cell r="D2381">
            <v>0</v>
          </cell>
        </row>
        <row r="2382">
          <cell r="A2382" t="str">
            <v>S6M</v>
          </cell>
          <cell r="B2382" t="str">
            <v>SKLADEM</v>
          </cell>
          <cell r="D2382" t="str">
            <v>100+</v>
          </cell>
        </row>
        <row r="2383">
          <cell r="A2383" t="str">
            <v>S6M/P</v>
          </cell>
          <cell r="B2383" t="str">
            <v>VYPRODÁNO</v>
          </cell>
          <cell r="D2383">
            <v>0</v>
          </cell>
        </row>
        <row r="2384">
          <cell r="A2384" t="str">
            <v>S6M/P(9)</v>
          </cell>
          <cell r="B2384" t="str">
            <v>VYPRODÁNO</v>
          </cell>
          <cell r="D2384">
            <v>0</v>
          </cell>
        </row>
        <row r="2385">
          <cell r="A2385" t="str">
            <v>S6MA</v>
          </cell>
          <cell r="B2385" t="str">
            <v>VYPRODÁNO</v>
          </cell>
          <cell r="D2385">
            <v>0</v>
          </cell>
        </row>
        <row r="2386">
          <cell r="A2386" t="str">
            <v>S6MB</v>
          </cell>
          <cell r="B2386" t="str">
            <v>VYPRODÁNO</v>
          </cell>
          <cell r="D2386">
            <v>0</v>
          </cell>
        </row>
        <row r="2387">
          <cell r="A2387" t="str">
            <v>S6MX</v>
          </cell>
          <cell r="B2387" t="str">
            <v>VYPRODÁNO</v>
          </cell>
          <cell r="D2387">
            <v>0</v>
          </cell>
        </row>
        <row r="2388">
          <cell r="A2388" t="str">
            <v>S6N</v>
          </cell>
          <cell r="B2388" t="str">
            <v>VYPRODÁNO</v>
          </cell>
          <cell r="D2388">
            <v>0</v>
          </cell>
        </row>
        <row r="2389">
          <cell r="A2389" t="str">
            <v>S6N/P</v>
          </cell>
          <cell r="B2389" t="str">
            <v>VYPRODÁNO</v>
          </cell>
          <cell r="D2389">
            <v>0</v>
          </cell>
        </row>
        <row r="2390">
          <cell r="A2390" t="str">
            <v>S6N/P(9)</v>
          </cell>
          <cell r="B2390" t="str">
            <v>VYPRODÁNO</v>
          </cell>
          <cell r="D2390">
            <v>0</v>
          </cell>
        </row>
        <row r="2391">
          <cell r="A2391" t="str">
            <v>S6O</v>
          </cell>
          <cell r="B2391" t="str">
            <v>VYPRODÁNO</v>
          </cell>
          <cell r="D2391">
            <v>0</v>
          </cell>
        </row>
        <row r="2392">
          <cell r="A2392" t="str">
            <v>S6O/P</v>
          </cell>
          <cell r="B2392" t="str">
            <v>VYPRODÁNO</v>
          </cell>
          <cell r="D2392">
            <v>0</v>
          </cell>
        </row>
        <row r="2393">
          <cell r="A2393" t="str">
            <v>S6O/P(9)</v>
          </cell>
          <cell r="B2393" t="str">
            <v>VYPRODÁNO</v>
          </cell>
          <cell r="D2393">
            <v>0</v>
          </cell>
        </row>
        <row r="2394">
          <cell r="A2394" t="str">
            <v>S6R</v>
          </cell>
          <cell r="B2394" t="str">
            <v>VYPRODÁNO</v>
          </cell>
          <cell r="D2394">
            <v>0</v>
          </cell>
        </row>
        <row r="2395">
          <cell r="A2395" t="str">
            <v>S6R/P</v>
          </cell>
          <cell r="B2395" t="str">
            <v>VYPRODÁNO</v>
          </cell>
          <cell r="D2395">
            <v>0</v>
          </cell>
        </row>
        <row r="2396">
          <cell r="A2396" t="str">
            <v>S6R/P(9)</v>
          </cell>
          <cell r="B2396" t="str">
            <v>SKLADEM</v>
          </cell>
          <cell r="D2396">
            <v>0</v>
          </cell>
        </row>
        <row r="2397">
          <cell r="A2397" t="str">
            <v>S6S</v>
          </cell>
          <cell r="B2397" t="str">
            <v>VYPRODÁNO</v>
          </cell>
          <cell r="D2397">
            <v>0</v>
          </cell>
        </row>
        <row r="2398">
          <cell r="A2398" t="str">
            <v>S6S/P</v>
          </cell>
          <cell r="B2398" t="str">
            <v>VYPRODÁNO</v>
          </cell>
          <cell r="D2398">
            <v>0</v>
          </cell>
        </row>
        <row r="2399">
          <cell r="A2399" t="str">
            <v>S6S/P(9)</v>
          </cell>
          <cell r="B2399" t="str">
            <v>VYPRODÁNO</v>
          </cell>
          <cell r="D2399">
            <v>0</v>
          </cell>
        </row>
        <row r="2400">
          <cell r="A2400" t="str">
            <v>S6T</v>
          </cell>
          <cell r="B2400" t="str">
            <v>VYPRODÁNO</v>
          </cell>
          <cell r="D2400">
            <v>0</v>
          </cell>
        </row>
        <row r="2401">
          <cell r="A2401" t="str">
            <v>S6T/P</v>
          </cell>
          <cell r="B2401" t="str">
            <v>VYPRODÁNO</v>
          </cell>
          <cell r="D2401">
            <v>0</v>
          </cell>
        </row>
        <row r="2402">
          <cell r="A2402" t="str">
            <v>S6T/P(9)</v>
          </cell>
          <cell r="B2402" t="str">
            <v>VYPRODÁNO</v>
          </cell>
          <cell r="D2402">
            <v>0</v>
          </cell>
        </row>
        <row r="2403">
          <cell r="A2403" t="str">
            <v>S6X</v>
          </cell>
          <cell r="B2403" t="str">
            <v>VYPRODÁNO</v>
          </cell>
          <cell r="D2403">
            <v>0</v>
          </cell>
        </row>
        <row r="2404">
          <cell r="A2404" t="str">
            <v>S6X/P</v>
          </cell>
          <cell r="B2404" t="str">
            <v>VYPRODÁNO</v>
          </cell>
          <cell r="D2404">
            <v>0</v>
          </cell>
        </row>
        <row r="2405">
          <cell r="A2405" t="str">
            <v>S6X/P(9)</v>
          </cell>
          <cell r="B2405" t="str">
            <v>VYPRODÁNO</v>
          </cell>
          <cell r="D2405">
            <v>0</v>
          </cell>
        </row>
        <row r="2406">
          <cell r="A2406" t="str">
            <v>S6Z1/P(9)</v>
          </cell>
          <cell r="B2406" t="str">
            <v>VYPRODÁNO</v>
          </cell>
          <cell r="D2406">
            <v>0</v>
          </cell>
        </row>
        <row r="2407">
          <cell r="A2407" t="str">
            <v>S6Z2/P(9)</v>
          </cell>
          <cell r="B2407" t="str">
            <v>VYPRODÁNO</v>
          </cell>
          <cell r="D2407">
            <v>0</v>
          </cell>
        </row>
        <row r="2408">
          <cell r="A2408" t="str">
            <v>S6Z3/P(9)</v>
          </cell>
          <cell r="B2408" t="str">
            <v>31.08.2026</v>
          </cell>
          <cell r="C2408">
            <v>158</v>
          </cell>
          <cell r="D2408">
            <v>0</v>
          </cell>
        </row>
        <row r="2409">
          <cell r="A2409" t="str">
            <v>S90S</v>
          </cell>
          <cell r="B2409" t="str">
            <v>SKLADEM</v>
          </cell>
          <cell r="D2409" t="str">
            <v>100+</v>
          </cell>
        </row>
        <row r="2410">
          <cell r="A2410" t="str">
            <v>SAMD02</v>
          </cell>
          <cell r="B2410" t="str">
            <v>VYPRODÁNO</v>
          </cell>
          <cell r="D2410">
            <v>0</v>
          </cell>
        </row>
        <row r="2411">
          <cell r="A2411" t="str">
            <v>SD1</v>
          </cell>
          <cell r="B2411" t="str">
            <v>VYPRODÁNO</v>
          </cell>
          <cell r="D2411">
            <v>0</v>
          </cell>
        </row>
        <row r="2412">
          <cell r="A2412" t="str">
            <v>SD2</v>
          </cell>
          <cell r="B2412" t="str">
            <v>VYPRODÁNO</v>
          </cell>
          <cell r="D2412">
            <v>0</v>
          </cell>
        </row>
        <row r="2413">
          <cell r="A2413" t="str">
            <v>SDOR1E</v>
          </cell>
          <cell r="B2413" t="str">
            <v>VYPRODÁNO</v>
          </cell>
          <cell r="D2413">
            <v>0</v>
          </cell>
        </row>
        <row r="2414">
          <cell r="A2414" t="str">
            <v>SDOR1F</v>
          </cell>
          <cell r="B2414" t="str">
            <v>VYPRODÁNO</v>
          </cell>
          <cell r="D2414">
            <v>0</v>
          </cell>
        </row>
        <row r="2415">
          <cell r="A2415" t="str">
            <v>SDUM1E</v>
          </cell>
          <cell r="B2415" t="str">
            <v>VYPRODÁNO</v>
          </cell>
          <cell r="D2415">
            <v>0</v>
          </cell>
        </row>
        <row r="2416">
          <cell r="A2416" t="str">
            <v>SDUM1F</v>
          </cell>
          <cell r="B2416" t="str">
            <v>VYPRODÁNO</v>
          </cell>
          <cell r="D2416">
            <v>0</v>
          </cell>
        </row>
        <row r="2417">
          <cell r="A2417" t="str">
            <v>SDYM1E</v>
          </cell>
          <cell r="B2417" t="str">
            <v>VYPRODÁNO</v>
          </cell>
          <cell r="D2417">
            <v>0</v>
          </cell>
        </row>
        <row r="2418">
          <cell r="A2418" t="str">
            <v>SDYM1F</v>
          </cell>
          <cell r="B2418" t="str">
            <v>VYPRODÁNO</v>
          </cell>
          <cell r="D2418">
            <v>0</v>
          </cell>
        </row>
        <row r="2419">
          <cell r="A2419" t="str">
            <v>SNOS1E</v>
          </cell>
          <cell r="B2419" t="str">
            <v>VYPRODÁNO</v>
          </cell>
          <cell r="D2419">
            <v>0</v>
          </cell>
        </row>
        <row r="2420">
          <cell r="A2420" t="str">
            <v>SNOS1F</v>
          </cell>
          <cell r="B2420" t="str">
            <v>VYPRODÁNO</v>
          </cell>
          <cell r="D2420">
            <v>0</v>
          </cell>
        </row>
        <row r="2421">
          <cell r="A2421" t="str">
            <v>SP24</v>
          </cell>
          <cell r="B2421" t="str">
            <v>VYPRODÁNO</v>
          </cell>
          <cell r="D2421">
            <v>0</v>
          </cell>
        </row>
        <row r="2422">
          <cell r="A2422" t="str">
            <v>SP3C</v>
          </cell>
          <cell r="B2422" t="str">
            <v>SKLADEM</v>
          </cell>
          <cell r="D2422">
            <v>0</v>
          </cell>
        </row>
        <row r="2423">
          <cell r="A2423" t="str">
            <v>SP3C14</v>
          </cell>
          <cell r="B2423" t="str">
            <v>VYPRODÁNO</v>
          </cell>
          <cell r="D2423">
            <v>0</v>
          </cell>
        </row>
        <row r="2424">
          <cell r="A2424" t="str">
            <v>SP60S</v>
          </cell>
          <cell r="B2424" t="str">
            <v>SKLADEM</v>
          </cell>
          <cell r="D2424">
            <v>0</v>
          </cell>
        </row>
        <row r="2425">
          <cell r="A2425" t="str">
            <v>SPAR1E</v>
          </cell>
          <cell r="B2425" t="str">
            <v>VYPRODÁNO</v>
          </cell>
          <cell r="D2425">
            <v>0</v>
          </cell>
        </row>
        <row r="2426">
          <cell r="A2426" t="str">
            <v>SPAR1F</v>
          </cell>
          <cell r="B2426" t="str">
            <v>VYPRODÁNO</v>
          </cell>
          <cell r="D2426">
            <v>0</v>
          </cell>
        </row>
        <row r="2427">
          <cell r="A2427" t="str">
            <v>SPRS1E</v>
          </cell>
          <cell r="B2427" t="str">
            <v>VYPRODÁNO</v>
          </cell>
          <cell r="D2427">
            <v>0</v>
          </cell>
        </row>
        <row r="2428">
          <cell r="A2428" t="str">
            <v>SPRS1F</v>
          </cell>
          <cell r="B2428" t="str">
            <v>VYPRODÁNO</v>
          </cell>
          <cell r="D2428">
            <v>0</v>
          </cell>
        </row>
        <row r="2429">
          <cell r="A2429" t="str">
            <v>SR1930A</v>
          </cell>
          <cell r="B2429" t="str">
            <v>VYPRODÁNO</v>
          </cell>
          <cell r="D2429">
            <v>0</v>
          </cell>
        </row>
        <row r="2430">
          <cell r="A2430" t="str">
            <v>SR1930B</v>
          </cell>
          <cell r="B2430" t="str">
            <v>VYPRODÁNO</v>
          </cell>
          <cell r="D2430">
            <v>0</v>
          </cell>
        </row>
        <row r="2431">
          <cell r="A2431" t="str">
            <v>SR1930C</v>
          </cell>
          <cell r="B2431" t="str">
            <v>VYPRODÁNO</v>
          </cell>
          <cell r="D2431">
            <v>0</v>
          </cell>
        </row>
        <row r="2432">
          <cell r="A2432" t="str">
            <v>SR1930D</v>
          </cell>
          <cell r="B2432" t="str">
            <v>VYPRODÁNO</v>
          </cell>
          <cell r="D2432">
            <v>0</v>
          </cell>
        </row>
        <row r="2433">
          <cell r="A2433" t="str">
            <v>SR1930E</v>
          </cell>
          <cell r="B2433" t="str">
            <v>VYPRODÁNO</v>
          </cell>
          <cell r="D2433">
            <v>0</v>
          </cell>
        </row>
        <row r="2434">
          <cell r="A2434" t="str">
            <v>SR1930F</v>
          </cell>
          <cell r="B2434" t="str">
            <v>VYPRODÁNO</v>
          </cell>
          <cell r="D2434">
            <v>0</v>
          </cell>
        </row>
        <row r="2435">
          <cell r="A2435" t="str">
            <v>SR1930G</v>
          </cell>
          <cell r="B2435" t="str">
            <v>VYPRODÁNO</v>
          </cell>
          <cell r="D2435">
            <v>0</v>
          </cell>
        </row>
        <row r="2436">
          <cell r="A2436" t="str">
            <v>SR1930H</v>
          </cell>
          <cell r="B2436" t="str">
            <v>VYPRODÁNO</v>
          </cell>
          <cell r="D2436">
            <v>0</v>
          </cell>
        </row>
        <row r="2437">
          <cell r="A2437" t="str">
            <v>SR1930CH</v>
          </cell>
          <cell r="B2437" t="str">
            <v>VYPRODÁNO</v>
          </cell>
          <cell r="D2437">
            <v>0</v>
          </cell>
        </row>
        <row r="2438">
          <cell r="A2438" t="str">
            <v>SR1930I</v>
          </cell>
          <cell r="B2438" t="str">
            <v>VYPRODÁNO</v>
          </cell>
          <cell r="D2438">
            <v>0</v>
          </cell>
        </row>
        <row r="2439">
          <cell r="A2439" t="str">
            <v>SR1930J</v>
          </cell>
          <cell r="B2439" t="str">
            <v>VYPRODÁNO</v>
          </cell>
          <cell r="D2439">
            <v>0</v>
          </cell>
        </row>
        <row r="2440">
          <cell r="A2440" t="str">
            <v>SR1930K</v>
          </cell>
          <cell r="B2440" t="str">
            <v>VYPRODÁNO</v>
          </cell>
          <cell r="D2440">
            <v>0</v>
          </cell>
        </row>
        <row r="2441">
          <cell r="A2441" t="str">
            <v>SR1930L</v>
          </cell>
          <cell r="B2441" t="str">
            <v>VYPRODÁNO</v>
          </cell>
          <cell r="D2441">
            <v>0</v>
          </cell>
        </row>
        <row r="2442">
          <cell r="A2442" t="str">
            <v>SR1930M</v>
          </cell>
          <cell r="B2442" t="str">
            <v>VYPRODÁNO</v>
          </cell>
          <cell r="D2442">
            <v>0</v>
          </cell>
        </row>
        <row r="2443">
          <cell r="A2443" t="str">
            <v>SR1930N</v>
          </cell>
          <cell r="B2443" t="str">
            <v>VYPRODÁNO</v>
          </cell>
          <cell r="D2443">
            <v>0</v>
          </cell>
        </row>
        <row r="2444">
          <cell r="A2444" t="str">
            <v>SR1930O</v>
          </cell>
          <cell r="B2444" t="str">
            <v>VYPRODÁNO</v>
          </cell>
          <cell r="D2444">
            <v>0</v>
          </cell>
        </row>
        <row r="2445">
          <cell r="A2445" t="str">
            <v>SR1930P</v>
          </cell>
          <cell r="B2445" t="str">
            <v>VYPRODÁNO</v>
          </cell>
          <cell r="D2445">
            <v>0</v>
          </cell>
        </row>
        <row r="2446">
          <cell r="A2446" t="str">
            <v>SR1930Q</v>
          </cell>
          <cell r="B2446" t="str">
            <v>VYPRODÁNO</v>
          </cell>
          <cell r="D2446">
            <v>0</v>
          </cell>
        </row>
        <row r="2447">
          <cell r="A2447" t="str">
            <v>SR1930R</v>
          </cell>
          <cell r="B2447" t="str">
            <v>VYPRODÁNO</v>
          </cell>
          <cell r="D2447">
            <v>0</v>
          </cell>
        </row>
        <row r="2448">
          <cell r="A2448" t="str">
            <v>SR1930S</v>
          </cell>
          <cell r="B2448" t="str">
            <v>VYPRODÁNO</v>
          </cell>
          <cell r="D2448">
            <v>0</v>
          </cell>
        </row>
        <row r="2449">
          <cell r="A2449" t="str">
            <v>SR550A</v>
          </cell>
          <cell r="B2449" t="str">
            <v>VYPRODÁNO</v>
          </cell>
          <cell r="D2449">
            <v>0</v>
          </cell>
        </row>
        <row r="2450">
          <cell r="A2450" t="str">
            <v>SR550B</v>
          </cell>
          <cell r="B2450" t="str">
            <v>VYPRODÁNO</v>
          </cell>
          <cell r="D2450">
            <v>0</v>
          </cell>
        </row>
        <row r="2451">
          <cell r="A2451" t="str">
            <v>SR550C</v>
          </cell>
          <cell r="B2451" t="str">
            <v>VYPRODÁNO</v>
          </cell>
          <cell r="D2451">
            <v>0</v>
          </cell>
        </row>
        <row r="2452">
          <cell r="A2452" t="str">
            <v>SR550D</v>
          </cell>
          <cell r="B2452" t="str">
            <v>VYPRODÁNO</v>
          </cell>
          <cell r="D2452">
            <v>0</v>
          </cell>
        </row>
        <row r="2453">
          <cell r="A2453" t="str">
            <v>SR550E</v>
          </cell>
          <cell r="B2453" t="str">
            <v>VYPRODÁNO</v>
          </cell>
          <cell r="D2453">
            <v>0</v>
          </cell>
        </row>
        <row r="2454">
          <cell r="A2454" t="str">
            <v>SR550F</v>
          </cell>
          <cell r="B2454" t="str">
            <v>VYPRODÁNO</v>
          </cell>
          <cell r="D2454">
            <v>0</v>
          </cell>
        </row>
        <row r="2455">
          <cell r="A2455" t="str">
            <v>SR550G</v>
          </cell>
          <cell r="B2455" t="str">
            <v>VYPRODÁNO</v>
          </cell>
          <cell r="D2455">
            <v>0</v>
          </cell>
        </row>
        <row r="2456">
          <cell r="A2456" t="str">
            <v>SR550H</v>
          </cell>
          <cell r="B2456" t="str">
            <v>VYPRODÁNO</v>
          </cell>
          <cell r="D2456">
            <v>0</v>
          </cell>
        </row>
        <row r="2457">
          <cell r="A2457" t="str">
            <v>SR550CH</v>
          </cell>
          <cell r="B2457" t="str">
            <v>VYPRODÁNO</v>
          </cell>
          <cell r="D2457">
            <v>0</v>
          </cell>
        </row>
        <row r="2458">
          <cell r="A2458" t="str">
            <v>SR550I</v>
          </cell>
          <cell r="B2458" t="str">
            <v>VYPRODÁNO</v>
          </cell>
          <cell r="D2458">
            <v>0</v>
          </cell>
        </row>
        <row r="2459">
          <cell r="A2459" t="str">
            <v>SR830A</v>
          </cell>
          <cell r="B2459" t="str">
            <v>VYPRODÁNO</v>
          </cell>
          <cell r="D2459">
            <v>0</v>
          </cell>
        </row>
        <row r="2460">
          <cell r="A2460" t="str">
            <v>SR830B</v>
          </cell>
          <cell r="B2460" t="str">
            <v>VYPRODÁNO</v>
          </cell>
          <cell r="D2460">
            <v>0</v>
          </cell>
        </row>
        <row r="2461">
          <cell r="A2461" t="str">
            <v>SR830C</v>
          </cell>
          <cell r="B2461" t="str">
            <v>VYPRODÁNO</v>
          </cell>
          <cell r="D2461">
            <v>0</v>
          </cell>
        </row>
        <row r="2462">
          <cell r="A2462" t="str">
            <v>SR830D</v>
          </cell>
          <cell r="B2462" t="str">
            <v>VYPRODÁNO</v>
          </cell>
          <cell r="D2462">
            <v>0</v>
          </cell>
        </row>
        <row r="2463">
          <cell r="A2463" t="str">
            <v>SR830E</v>
          </cell>
          <cell r="B2463" t="str">
            <v>VYPRODÁNO</v>
          </cell>
          <cell r="D2463">
            <v>0</v>
          </cell>
        </row>
        <row r="2464">
          <cell r="A2464" t="str">
            <v>SR830F</v>
          </cell>
          <cell r="B2464" t="str">
            <v>VYPRODÁNO</v>
          </cell>
          <cell r="D2464">
            <v>0</v>
          </cell>
        </row>
        <row r="2465">
          <cell r="A2465" t="str">
            <v>SR830G</v>
          </cell>
          <cell r="B2465" t="str">
            <v>VYPRODÁNO</v>
          </cell>
          <cell r="D2465">
            <v>0</v>
          </cell>
        </row>
        <row r="2466">
          <cell r="A2466" t="str">
            <v>SR830H</v>
          </cell>
          <cell r="B2466" t="str">
            <v>VYPRODÁNO</v>
          </cell>
          <cell r="D2466">
            <v>0</v>
          </cell>
        </row>
        <row r="2467">
          <cell r="A2467" t="str">
            <v>SR830CH</v>
          </cell>
          <cell r="B2467" t="str">
            <v>VYPRODÁNO</v>
          </cell>
          <cell r="D2467">
            <v>0</v>
          </cell>
        </row>
        <row r="2468">
          <cell r="A2468" t="str">
            <v>SR830I</v>
          </cell>
          <cell r="B2468" t="str">
            <v>VYPRODÁNO</v>
          </cell>
          <cell r="D2468">
            <v>0</v>
          </cell>
        </row>
        <row r="2469">
          <cell r="A2469" t="str">
            <v>SR830J</v>
          </cell>
          <cell r="B2469" t="str">
            <v>VYPRODÁNO</v>
          </cell>
          <cell r="D2469">
            <v>0</v>
          </cell>
        </row>
        <row r="2470">
          <cell r="A2470" t="str">
            <v>SR830K</v>
          </cell>
          <cell r="B2470" t="str">
            <v>VYPRODÁNO</v>
          </cell>
          <cell r="D2470">
            <v>0</v>
          </cell>
        </row>
        <row r="2471">
          <cell r="A2471" t="str">
            <v>SR830L</v>
          </cell>
          <cell r="B2471" t="str">
            <v>VYPRODÁNO</v>
          </cell>
          <cell r="D2471">
            <v>0</v>
          </cell>
        </row>
        <row r="2472">
          <cell r="A2472" t="str">
            <v>SR830M</v>
          </cell>
          <cell r="B2472" t="str">
            <v>VYPRODÁNO</v>
          </cell>
          <cell r="D2472">
            <v>0</v>
          </cell>
        </row>
        <row r="2473">
          <cell r="A2473" t="str">
            <v>SS20D</v>
          </cell>
          <cell r="B2473" t="str">
            <v>30.04.2026</v>
          </cell>
          <cell r="C2473">
            <v>35</v>
          </cell>
          <cell r="D2473" t="str">
            <v>100+</v>
          </cell>
        </row>
        <row r="2474">
          <cell r="A2474" t="str">
            <v>SS20D E</v>
          </cell>
          <cell r="B2474" t="str">
            <v>VYPRODÁNO</v>
          </cell>
          <cell r="D2474">
            <v>0</v>
          </cell>
        </row>
        <row r="2475">
          <cell r="A2475" t="str">
            <v>SS20DI14</v>
          </cell>
          <cell r="B2475" t="str">
            <v>VYPRODÁNO</v>
          </cell>
          <cell r="D2475">
            <v>0</v>
          </cell>
        </row>
        <row r="2476">
          <cell r="A2476" t="str">
            <v>SS25P</v>
          </cell>
          <cell r="B2476" t="str">
            <v>VYPRODÁNO</v>
          </cell>
          <cell r="D2476">
            <v>0</v>
          </cell>
        </row>
        <row r="2477">
          <cell r="A2477" t="str">
            <v>SS25SC</v>
          </cell>
          <cell r="B2477" t="str">
            <v>31.08.2026</v>
          </cell>
          <cell r="C2477">
            <v>158</v>
          </cell>
          <cell r="D2477">
            <v>0</v>
          </cell>
        </row>
        <row r="2478">
          <cell r="A2478" t="str">
            <v>SS30A</v>
          </cell>
          <cell r="B2478" t="str">
            <v>SKLADEM</v>
          </cell>
          <cell r="D2478">
            <v>0</v>
          </cell>
        </row>
        <row r="2479">
          <cell r="A2479" t="str">
            <v>SS30A/2</v>
          </cell>
          <cell r="B2479" t="str">
            <v>VYPRODÁNO</v>
          </cell>
          <cell r="D2479">
            <v>0</v>
          </cell>
        </row>
        <row r="2480">
          <cell r="A2480" t="str">
            <v>SS30B</v>
          </cell>
          <cell r="B2480" t="str">
            <v>VYPRODÁNO</v>
          </cell>
          <cell r="D2480">
            <v>0</v>
          </cell>
        </row>
        <row r="2481">
          <cell r="A2481" t="str">
            <v>SS30C</v>
          </cell>
          <cell r="B2481" t="str">
            <v>VYPRODÁNO</v>
          </cell>
          <cell r="D2481">
            <v>0</v>
          </cell>
        </row>
        <row r="2482">
          <cell r="A2482" t="str">
            <v>SS30D</v>
          </cell>
          <cell r="B2482" t="str">
            <v>SKLADEM</v>
          </cell>
          <cell r="D2482">
            <v>0</v>
          </cell>
        </row>
        <row r="2483">
          <cell r="A2483" t="str">
            <v>SS30D E</v>
          </cell>
          <cell r="B2483" t="str">
            <v>VYPRODÁNO</v>
          </cell>
          <cell r="D2483">
            <v>0</v>
          </cell>
        </row>
        <row r="2484">
          <cell r="A2484" t="str">
            <v>SS30D/2</v>
          </cell>
          <cell r="B2484" t="str">
            <v>VYPRODÁNO</v>
          </cell>
          <cell r="D2484">
            <v>0</v>
          </cell>
        </row>
        <row r="2485">
          <cell r="A2485" t="str">
            <v>SS30F</v>
          </cell>
          <cell r="B2485" t="str">
            <v>VYPRODÁNO</v>
          </cell>
          <cell r="D2485">
            <v>0</v>
          </cell>
        </row>
        <row r="2486">
          <cell r="A2486" t="str">
            <v>SS30G</v>
          </cell>
          <cell r="B2486" t="str">
            <v>VYPRODÁNO</v>
          </cell>
          <cell r="D2486">
            <v>0</v>
          </cell>
        </row>
        <row r="2487">
          <cell r="A2487" t="str">
            <v>SS30H</v>
          </cell>
          <cell r="B2487" t="str">
            <v>VYPRODÁNO</v>
          </cell>
          <cell r="D2487">
            <v>0</v>
          </cell>
        </row>
        <row r="2488">
          <cell r="A2488" t="str">
            <v>SS30CH</v>
          </cell>
          <cell r="B2488" t="str">
            <v>VYPRODÁNO</v>
          </cell>
          <cell r="D2488">
            <v>0</v>
          </cell>
        </row>
        <row r="2489">
          <cell r="A2489" t="str">
            <v>SS30NO</v>
          </cell>
          <cell r="B2489" t="str">
            <v>VYPRODÁNO</v>
          </cell>
          <cell r="D2489">
            <v>0</v>
          </cell>
        </row>
        <row r="2490">
          <cell r="A2490" t="str">
            <v>SS30S</v>
          </cell>
          <cell r="B2490" t="str">
            <v>VYPRODÁNO</v>
          </cell>
          <cell r="D2490">
            <v>0</v>
          </cell>
        </row>
        <row r="2491">
          <cell r="A2491" t="str">
            <v>SS30SIGF2</v>
          </cell>
          <cell r="B2491" t="str">
            <v>SKLADEM</v>
          </cell>
          <cell r="D2491">
            <v>0</v>
          </cell>
        </row>
        <row r="2492">
          <cell r="A2492" t="str">
            <v>SS37K</v>
          </cell>
          <cell r="B2492" t="str">
            <v>SKLADEM</v>
          </cell>
          <cell r="D2492">
            <v>0</v>
          </cell>
        </row>
        <row r="2493">
          <cell r="A2493" t="str">
            <v>SS48K</v>
          </cell>
          <cell r="B2493" t="str">
            <v>VYPRODÁNO</v>
          </cell>
          <cell r="D2493">
            <v>0</v>
          </cell>
        </row>
        <row r="2494">
          <cell r="A2494" t="str">
            <v>SS50A</v>
          </cell>
          <cell r="B2494" t="str">
            <v>VYPRODÁNO</v>
          </cell>
          <cell r="D2494">
            <v>0</v>
          </cell>
        </row>
        <row r="2495">
          <cell r="A2495" t="str">
            <v>SS50A E</v>
          </cell>
          <cell r="B2495" t="str">
            <v>VYPRODÁNO</v>
          </cell>
          <cell r="D2495">
            <v>0</v>
          </cell>
        </row>
        <row r="2496">
          <cell r="A2496" t="str">
            <v>SS50B</v>
          </cell>
          <cell r="B2496" t="str">
            <v>VYPRODÁNO</v>
          </cell>
          <cell r="D2496">
            <v>0</v>
          </cell>
        </row>
        <row r="2497">
          <cell r="A2497" t="str">
            <v>SS50C</v>
          </cell>
          <cell r="B2497" t="str">
            <v>VYPRODÁNO</v>
          </cell>
          <cell r="D2497">
            <v>0</v>
          </cell>
        </row>
        <row r="2498">
          <cell r="A2498" t="str">
            <v>SS50D</v>
          </cell>
          <cell r="B2498" t="str">
            <v>VYPRODÁNO</v>
          </cell>
          <cell r="D2498">
            <v>0</v>
          </cell>
        </row>
        <row r="2499">
          <cell r="A2499" t="str">
            <v>SS50E</v>
          </cell>
          <cell r="B2499" t="str">
            <v>VYPRODÁNO</v>
          </cell>
          <cell r="D2499">
            <v>0</v>
          </cell>
        </row>
        <row r="2500">
          <cell r="A2500" t="str">
            <v>SS50F</v>
          </cell>
          <cell r="B2500" t="str">
            <v>VYPRODÁNO</v>
          </cell>
          <cell r="D2500">
            <v>0</v>
          </cell>
        </row>
        <row r="2501">
          <cell r="A2501" t="str">
            <v>SS50G</v>
          </cell>
          <cell r="B2501" t="str">
            <v>VYPRODÁNO</v>
          </cell>
          <cell r="D2501">
            <v>0</v>
          </cell>
        </row>
        <row r="2502">
          <cell r="A2502" t="str">
            <v>SS50H</v>
          </cell>
          <cell r="B2502" t="str">
            <v>VYPRODÁNO</v>
          </cell>
          <cell r="D2502">
            <v>0</v>
          </cell>
        </row>
        <row r="2503">
          <cell r="A2503" t="str">
            <v>SS50CH</v>
          </cell>
          <cell r="B2503" t="str">
            <v>VYPRODÁNO</v>
          </cell>
          <cell r="D2503">
            <v>0</v>
          </cell>
        </row>
        <row r="2504">
          <cell r="A2504" t="str">
            <v>SS50I</v>
          </cell>
          <cell r="B2504" t="str">
            <v>VYPRODÁNO</v>
          </cell>
          <cell r="D2504">
            <v>0</v>
          </cell>
        </row>
        <row r="2505">
          <cell r="A2505" t="str">
            <v>SS50J</v>
          </cell>
          <cell r="B2505" t="str">
            <v>VYPRODÁNO</v>
          </cell>
          <cell r="D2505">
            <v>0</v>
          </cell>
        </row>
        <row r="2506">
          <cell r="A2506" t="str">
            <v>SS50K</v>
          </cell>
          <cell r="B2506" t="str">
            <v>SKLADEM</v>
          </cell>
          <cell r="D2506">
            <v>0</v>
          </cell>
        </row>
        <row r="2507">
          <cell r="A2507" t="str">
            <v>SS50K E</v>
          </cell>
          <cell r="B2507" t="str">
            <v>VYPRODÁNO</v>
          </cell>
          <cell r="D2507">
            <v>0</v>
          </cell>
        </row>
        <row r="2508">
          <cell r="A2508" t="str">
            <v>SS50L</v>
          </cell>
          <cell r="B2508" t="str">
            <v>VYPRODÁNO</v>
          </cell>
          <cell r="D2508">
            <v>0</v>
          </cell>
        </row>
        <row r="2509">
          <cell r="A2509" t="str">
            <v>SS50M</v>
          </cell>
          <cell r="B2509" t="str">
            <v>VYPRODÁNO</v>
          </cell>
          <cell r="D2509">
            <v>0</v>
          </cell>
        </row>
        <row r="2510">
          <cell r="A2510" t="str">
            <v>SS50N</v>
          </cell>
          <cell r="B2510" t="str">
            <v>VYPRODÁNO</v>
          </cell>
          <cell r="D2510">
            <v>0</v>
          </cell>
        </row>
        <row r="2511">
          <cell r="A2511" t="str">
            <v>SS50O</v>
          </cell>
          <cell r="B2511" t="str">
            <v>VYPRODÁNO</v>
          </cell>
          <cell r="D2511">
            <v>0</v>
          </cell>
        </row>
        <row r="2512">
          <cell r="A2512" t="str">
            <v>SS50P</v>
          </cell>
          <cell r="B2512" t="str">
            <v>VYPRODÁNO</v>
          </cell>
          <cell r="D2512">
            <v>0</v>
          </cell>
        </row>
        <row r="2513">
          <cell r="A2513" t="str">
            <v>SS50Q</v>
          </cell>
          <cell r="B2513" t="str">
            <v>VYPRODÁNO</v>
          </cell>
          <cell r="D2513">
            <v>0</v>
          </cell>
        </row>
        <row r="2514">
          <cell r="A2514" t="str">
            <v>SS50R</v>
          </cell>
          <cell r="B2514" t="str">
            <v>VYPRODÁNO</v>
          </cell>
          <cell r="D2514">
            <v>0</v>
          </cell>
        </row>
        <row r="2515">
          <cell r="A2515" t="str">
            <v>SSIG1E</v>
          </cell>
          <cell r="B2515" t="str">
            <v>VYPRODÁNO</v>
          </cell>
          <cell r="D2515">
            <v>0</v>
          </cell>
        </row>
        <row r="2516">
          <cell r="A2516" t="str">
            <v>SSIG1F</v>
          </cell>
          <cell r="B2516" t="str">
            <v>VYPRODÁNO</v>
          </cell>
          <cell r="D2516">
            <v>0</v>
          </cell>
        </row>
        <row r="2517">
          <cell r="A2517" t="str">
            <v>ST1</v>
          </cell>
          <cell r="B2517" t="str">
            <v>VYPRODÁNO</v>
          </cell>
          <cell r="D2517">
            <v>0</v>
          </cell>
        </row>
        <row r="2518">
          <cell r="A2518" t="str">
            <v>SU45B</v>
          </cell>
          <cell r="B2518" t="str">
            <v>SKLADEM</v>
          </cell>
          <cell r="D2518">
            <v>0</v>
          </cell>
        </row>
        <row r="2519">
          <cell r="A2519" t="str">
            <v>T1</v>
          </cell>
          <cell r="B2519" t="str">
            <v>VYPRODÁNO</v>
          </cell>
          <cell r="D2519">
            <v>0</v>
          </cell>
        </row>
        <row r="2520">
          <cell r="A2520" t="str">
            <v>T2</v>
          </cell>
          <cell r="B2520" t="str">
            <v>SKLADEM</v>
          </cell>
          <cell r="D2520">
            <v>0</v>
          </cell>
        </row>
        <row r="2521">
          <cell r="A2521" t="str">
            <v>TD1L</v>
          </cell>
          <cell r="B2521" t="str">
            <v>VYPRODÁNO</v>
          </cell>
          <cell r="D2521">
            <v>0</v>
          </cell>
        </row>
        <row r="2522">
          <cell r="A2522" t="str">
            <v>TD1M</v>
          </cell>
          <cell r="B2522" t="str">
            <v>VYPRODÁNO</v>
          </cell>
          <cell r="D2522">
            <v>0</v>
          </cell>
        </row>
        <row r="2523">
          <cell r="A2523" t="str">
            <v>TD1XL</v>
          </cell>
          <cell r="B2523" t="str">
            <v>VYPRODÁNO</v>
          </cell>
          <cell r="D2523">
            <v>0</v>
          </cell>
        </row>
        <row r="2524">
          <cell r="A2524" t="str">
            <v>TD1XXL</v>
          </cell>
          <cell r="B2524" t="str">
            <v>VYPRODÁNO</v>
          </cell>
          <cell r="D2524">
            <v>0</v>
          </cell>
        </row>
        <row r="2525">
          <cell r="A2525" t="str">
            <v>TDLE1L</v>
          </cell>
          <cell r="B2525" t="str">
            <v>DOCHÁZÍ</v>
          </cell>
          <cell r="D2525">
            <v>0</v>
          </cell>
          <cell r="E2525">
            <v>8</v>
          </cell>
        </row>
        <row r="2526">
          <cell r="A2526" t="str">
            <v>TDLE1M</v>
          </cell>
          <cell r="B2526" t="str">
            <v>31.03.2026</v>
          </cell>
          <cell r="C2526">
            <v>5</v>
          </cell>
          <cell r="D2526">
            <v>20</v>
          </cell>
        </row>
        <row r="2527">
          <cell r="A2527" t="str">
            <v>TDLE1XL</v>
          </cell>
          <cell r="B2527" t="str">
            <v>SKLADEM</v>
          </cell>
          <cell r="D2527">
            <v>0</v>
          </cell>
        </row>
        <row r="2528">
          <cell r="A2528" t="str">
            <v>TDLE1XXL</v>
          </cell>
          <cell r="B2528" t="str">
            <v>SKLADEM</v>
          </cell>
          <cell r="D2528">
            <v>0</v>
          </cell>
        </row>
        <row r="2529">
          <cell r="A2529" t="str">
            <v>TIDB1L</v>
          </cell>
          <cell r="B2529" t="str">
            <v>SKLADEM</v>
          </cell>
          <cell r="D2529">
            <v>0</v>
          </cell>
        </row>
        <row r="2530">
          <cell r="A2530" t="str">
            <v>TIDB1M</v>
          </cell>
          <cell r="B2530" t="str">
            <v>VYPRODÁNO</v>
          </cell>
          <cell r="D2530">
            <v>0</v>
          </cell>
        </row>
        <row r="2531">
          <cell r="A2531" t="str">
            <v>TIDB1XL</v>
          </cell>
          <cell r="B2531" t="str">
            <v>VYPRODÁNO</v>
          </cell>
          <cell r="D2531">
            <v>0</v>
          </cell>
        </row>
        <row r="2532">
          <cell r="A2532" t="str">
            <v>TIDB1XXL</v>
          </cell>
          <cell r="B2532" t="str">
            <v>VYPRODÁNO</v>
          </cell>
          <cell r="D2532">
            <v>0</v>
          </cell>
        </row>
        <row r="2533">
          <cell r="A2533" t="str">
            <v>TIDC1L</v>
          </cell>
          <cell r="B2533" t="str">
            <v>VYPRODÁNO</v>
          </cell>
          <cell r="D2533">
            <v>0</v>
          </cell>
        </row>
        <row r="2534">
          <cell r="A2534" t="str">
            <v>TIDC1M</v>
          </cell>
          <cell r="B2534" t="str">
            <v>VYPRODÁNO</v>
          </cell>
          <cell r="D2534">
            <v>0</v>
          </cell>
        </row>
        <row r="2535">
          <cell r="A2535" t="str">
            <v>TIDC1XL</v>
          </cell>
          <cell r="B2535" t="str">
            <v>VYPRODÁNO</v>
          </cell>
          <cell r="D2535">
            <v>0</v>
          </cell>
        </row>
        <row r="2536">
          <cell r="A2536" t="str">
            <v>TIDC1XXL</v>
          </cell>
          <cell r="B2536" t="str">
            <v>VYPRODÁNO</v>
          </cell>
          <cell r="D2536">
            <v>0</v>
          </cell>
        </row>
        <row r="2537">
          <cell r="A2537" t="str">
            <v>TK1S</v>
          </cell>
          <cell r="B2537" t="str">
            <v>VYPRODÁNO</v>
          </cell>
          <cell r="D2537">
            <v>0</v>
          </cell>
        </row>
        <row r="2538">
          <cell r="A2538" t="str">
            <v>TPD1L</v>
          </cell>
          <cell r="B2538" t="str">
            <v>SKLADEM</v>
          </cell>
          <cell r="D2538">
            <v>0</v>
          </cell>
        </row>
        <row r="2539">
          <cell r="A2539" t="str">
            <v>TPD1M</v>
          </cell>
          <cell r="B2539" t="str">
            <v>VYPRODÁNO</v>
          </cell>
          <cell r="D2539">
            <v>0</v>
          </cell>
        </row>
        <row r="2540">
          <cell r="A2540" t="str">
            <v>TPD1XL</v>
          </cell>
          <cell r="B2540" t="str">
            <v>VYPRODÁNO</v>
          </cell>
          <cell r="D2540">
            <v>0</v>
          </cell>
        </row>
        <row r="2541">
          <cell r="A2541" t="str">
            <v>TPD1XXL</v>
          </cell>
          <cell r="B2541" t="str">
            <v>VYPRODÁNO</v>
          </cell>
          <cell r="D2541">
            <v>0</v>
          </cell>
        </row>
        <row r="2542">
          <cell r="A2542" t="str">
            <v>TPDLE1L</v>
          </cell>
          <cell r="B2542" t="str">
            <v>VYPRODÁNO</v>
          </cell>
          <cell r="D2542">
            <v>0</v>
          </cell>
        </row>
        <row r="2543">
          <cell r="A2543" t="str">
            <v>TPDLE1M</v>
          </cell>
          <cell r="B2543" t="str">
            <v>VYPRODÁNO</v>
          </cell>
          <cell r="D2543">
            <v>0</v>
          </cell>
        </row>
        <row r="2544">
          <cell r="A2544" t="str">
            <v>TPDLE1XL</v>
          </cell>
          <cell r="B2544" t="str">
            <v>DOCHÁZÍ</v>
          </cell>
          <cell r="D2544">
            <v>0</v>
          </cell>
          <cell r="E2544">
            <v>2</v>
          </cell>
        </row>
        <row r="2545">
          <cell r="A2545" t="str">
            <v>TPDLE1XXL</v>
          </cell>
          <cell r="B2545" t="str">
            <v>VYPRODÁNO</v>
          </cell>
          <cell r="D2545">
            <v>0</v>
          </cell>
        </row>
        <row r="2546">
          <cell r="A2546" t="str">
            <v>U19000</v>
          </cell>
          <cell r="B2546" t="str">
            <v>VYPRODÁNO</v>
          </cell>
          <cell r="D2546">
            <v>0</v>
          </cell>
        </row>
        <row r="2547">
          <cell r="A2547" t="str">
            <v>UZD2</v>
          </cell>
          <cell r="B2547" t="str">
            <v>DOCHÁZÍ</v>
          </cell>
          <cell r="D2547">
            <v>0</v>
          </cell>
          <cell r="E2547">
            <v>5</v>
          </cell>
        </row>
        <row r="2548">
          <cell r="A2548" t="str">
            <v>VDLE1L</v>
          </cell>
          <cell r="B2548" t="str">
            <v>SKLADEM</v>
          </cell>
          <cell r="D2548">
            <v>0</v>
          </cell>
        </row>
        <row r="2549">
          <cell r="A2549" t="str">
            <v>VDLE1M</v>
          </cell>
          <cell r="B2549" t="str">
            <v>SKLADEM</v>
          </cell>
          <cell r="D2549">
            <v>0</v>
          </cell>
        </row>
        <row r="2550">
          <cell r="A2550" t="str">
            <v>VDLE1XL</v>
          </cell>
          <cell r="B2550" t="str">
            <v>SKLADEM</v>
          </cell>
          <cell r="D2550">
            <v>0</v>
          </cell>
        </row>
        <row r="2551">
          <cell r="A2551" t="str">
            <v>VDLE1XXL</v>
          </cell>
          <cell r="B2551" t="str">
            <v>DOCHÁZÍ</v>
          </cell>
          <cell r="D2551">
            <v>0</v>
          </cell>
          <cell r="E2551">
            <v>3</v>
          </cell>
        </row>
        <row r="2552">
          <cell r="A2552" t="str">
            <v>VP12MIX</v>
          </cell>
          <cell r="B2552" t="str">
            <v>SKLADEM</v>
          </cell>
          <cell r="D2552">
            <v>0</v>
          </cell>
        </row>
        <row r="2553">
          <cell r="A2553" t="str">
            <v>VP12T1</v>
          </cell>
          <cell r="B2553" t="str">
            <v>VYPRODÁNO</v>
          </cell>
          <cell r="D2553">
            <v>0</v>
          </cell>
        </row>
        <row r="2554">
          <cell r="A2554" t="str">
            <v>VP12TH</v>
          </cell>
          <cell r="B2554" t="str">
            <v>VYPRODÁNO</v>
          </cell>
          <cell r="D2554">
            <v>0</v>
          </cell>
        </row>
        <row r="2555">
          <cell r="A2555" t="str">
            <v>VP12TS</v>
          </cell>
          <cell r="B2555" t="str">
            <v>VYPRODÁNO</v>
          </cell>
          <cell r="D2555">
            <v>0</v>
          </cell>
        </row>
        <row r="2556">
          <cell r="A2556" t="str">
            <v>VP16A</v>
          </cell>
          <cell r="B2556" t="str">
            <v>SKLADEM</v>
          </cell>
          <cell r="D2556">
            <v>0</v>
          </cell>
        </row>
        <row r="2557">
          <cell r="A2557" t="str">
            <v>VP16A(1)</v>
          </cell>
          <cell r="B2557" t="str">
            <v>31.08.2026</v>
          </cell>
          <cell r="C2557">
            <v>158</v>
          </cell>
          <cell r="D2557">
            <v>0</v>
          </cell>
        </row>
        <row r="2558">
          <cell r="A2558" t="str">
            <v>VP16B</v>
          </cell>
          <cell r="B2558" t="str">
            <v>VYPRODÁNO</v>
          </cell>
          <cell r="D2558">
            <v>0</v>
          </cell>
        </row>
        <row r="2559">
          <cell r="A2559" t="str">
            <v>VP28</v>
          </cell>
          <cell r="B2559" t="str">
            <v>SKLADEM</v>
          </cell>
          <cell r="D2559">
            <v>0</v>
          </cell>
        </row>
        <row r="2560">
          <cell r="A2560" t="str">
            <v>VP28/20</v>
          </cell>
          <cell r="B2560" t="str">
            <v>VYPRODÁNO</v>
          </cell>
          <cell r="D2560">
            <v>0</v>
          </cell>
        </row>
        <row r="2561">
          <cell r="A2561" t="str">
            <v>VP28E</v>
          </cell>
          <cell r="B2561" t="str">
            <v>VYPRODÁNO</v>
          </cell>
          <cell r="D2561">
            <v>0</v>
          </cell>
        </row>
        <row r="2562">
          <cell r="A2562" t="str">
            <v>VP28N</v>
          </cell>
          <cell r="B2562" t="str">
            <v>DOCHÁZÍ</v>
          </cell>
          <cell r="D2562" t="str">
            <v>100+</v>
          </cell>
          <cell r="E2562">
            <v>71</v>
          </cell>
        </row>
        <row r="2563">
          <cell r="A2563" t="str">
            <v>VP40</v>
          </cell>
          <cell r="B2563" t="str">
            <v>DOCHÁZÍ</v>
          </cell>
          <cell r="D2563">
            <v>0</v>
          </cell>
          <cell r="E2563">
            <v>3</v>
          </cell>
        </row>
        <row r="2564">
          <cell r="A2564" t="str">
            <v>VP40/20</v>
          </cell>
          <cell r="B2564" t="str">
            <v>SKLADEM</v>
          </cell>
          <cell r="D2564">
            <v>0</v>
          </cell>
        </row>
        <row r="2565">
          <cell r="A2565" t="str">
            <v>VP40E</v>
          </cell>
          <cell r="B2565" t="str">
            <v>VYPRODÁNO</v>
          </cell>
          <cell r="D2565">
            <v>0</v>
          </cell>
        </row>
        <row r="2566">
          <cell r="A2566" t="str">
            <v>VP40N</v>
          </cell>
          <cell r="B2566" t="str">
            <v>SKLADEM</v>
          </cell>
          <cell r="D2566" t="str">
            <v>100+</v>
          </cell>
        </row>
        <row r="2567">
          <cell r="A2567" t="str">
            <v>VP40P</v>
          </cell>
          <cell r="B2567" t="str">
            <v>VYPRODÁNO</v>
          </cell>
          <cell r="D2567">
            <v>0</v>
          </cell>
        </row>
        <row r="2568">
          <cell r="A2568" t="str">
            <v>VP40TD</v>
          </cell>
          <cell r="B2568" t="str">
            <v>VYPRODÁNO</v>
          </cell>
          <cell r="D2568">
            <v>0</v>
          </cell>
        </row>
        <row r="2569">
          <cell r="A2569" t="str">
            <v>VP40W</v>
          </cell>
          <cell r="B2569" t="str">
            <v>SKLADEM</v>
          </cell>
          <cell r="D2569">
            <v>0</v>
          </cell>
        </row>
        <row r="2570">
          <cell r="A2570" t="str">
            <v>VP70</v>
          </cell>
          <cell r="B2570" t="str">
            <v>SKLADEM</v>
          </cell>
          <cell r="D2570" t="str">
            <v>100+</v>
          </cell>
        </row>
        <row r="2571">
          <cell r="A2571" t="str">
            <v>VP70E</v>
          </cell>
          <cell r="B2571" t="str">
            <v>VYPRODÁNO</v>
          </cell>
          <cell r="D2571">
            <v>0</v>
          </cell>
        </row>
        <row r="2572">
          <cell r="A2572" t="str">
            <v>VP70W</v>
          </cell>
          <cell r="B2572" t="str">
            <v>SKLADEM</v>
          </cell>
          <cell r="D2572">
            <v>0</v>
          </cell>
        </row>
        <row r="2573">
          <cell r="A2573" t="str">
            <v>VP90</v>
          </cell>
          <cell r="B2573" t="str">
            <v>SKLADEM</v>
          </cell>
          <cell r="D2573">
            <v>0</v>
          </cell>
        </row>
        <row r="2574">
          <cell r="A2574" t="str">
            <v>VP90/9</v>
          </cell>
          <cell r="B2574" t="str">
            <v>VYPRODÁNO</v>
          </cell>
          <cell r="D2574">
            <v>0</v>
          </cell>
        </row>
        <row r="2575">
          <cell r="A2575" t="str">
            <v>VP90E</v>
          </cell>
          <cell r="B2575" t="str">
            <v>VYPRODÁNO</v>
          </cell>
          <cell r="D2575">
            <v>0</v>
          </cell>
        </row>
        <row r="2576">
          <cell r="A2576" t="str">
            <v>VV9M</v>
          </cell>
          <cell r="B2576" t="str">
            <v>VYPRODÁNO</v>
          </cell>
          <cell r="D2576">
            <v>0</v>
          </cell>
        </row>
        <row r="2577">
          <cell r="A2577" t="str">
            <v>ZD1</v>
          </cell>
          <cell r="B2577" t="str">
            <v>07.04.2026</v>
          </cell>
          <cell r="C2577">
            <v>12</v>
          </cell>
          <cell r="D2577" t="str">
            <v>100+</v>
          </cell>
        </row>
        <row r="2578">
          <cell r="A2578" t="str">
            <v>ZO-1</v>
          </cell>
          <cell r="B2578" t="str">
            <v>VYPRODÁNO</v>
          </cell>
          <cell r="D2578">
            <v>0</v>
          </cell>
        </row>
        <row r="2579">
          <cell r="A2579" t="str">
            <v>ZS1000M2</v>
          </cell>
          <cell r="B2579" t="str">
            <v>VYPRODÁNO</v>
          </cell>
          <cell r="D2579">
            <v>0</v>
          </cell>
        </row>
        <row r="2580">
          <cell r="A2580" t="str">
            <v>ZS1000M3</v>
          </cell>
          <cell r="B2580" t="str">
            <v>VYPRODÁNO</v>
          </cell>
          <cell r="D2580">
            <v>0</v>
          </cell>
        </row>
        <row r="2581">
          <cell r="A2581" t="str">
            <v>ZS5M</v>
          </cell>
          <cell r="B2581" t="str">
            <v>SKLADEM</v>
          </cell>
          <cell r="D2581" t="str">
            <v>100+</v>
          </cell>
        </row>
        <row r="2582">
          <cell r="A2582" t="str">
            <v>ZSB50M</v>
          </cell>
          <cell r="B2582" t="str">
            <v>VYPRODÁNO</v>
          </cell>
          <cell r="D2582">
            <v>0</v>
          </cell>
        </row>
        <row r="2583">
          <cell r="A2583" t="str">
            <v>RS33R E</v>
          </cell>
          <cell r="B2583" t="str">
            <v>VYPRODÁNO</v>
          </cell>
          <cell r="D2583">
            <v>0</v>
          </cell>
        </row>
        <row r="2584">
          <cell r="A2584" t="str">
            <v>CS2702X15 E</v>
          </cell>
          <cell r="B2584" t="str">
            <v>VYPRODÁNO</v>
          </cell>
          <cell r="D2584">
            <v>0</v>
          </cell>
        </row>
        <row r="2585">
          <cell r="A2585" t="str">
            <v>K-C13220TS/C14(T)</v>
          </cell>
          <cell r="B2585" t="str">
            <v>SKLADEM</v>
          </cell>
          <cell r="D2585">
            <v>0</v>
          </cell>
        </row>
        <row r="2586">
          <cell r="A2586" t="str">
            <v>K-C6420DU/IC14(1)</v>
          </cell>
          <cell r="B2586" t="str">
            <v>VYPRODÁNO</v>
          </cell>
          <cell r="D2586">
            <v>0</v>
          </cell>
        </row>
        <row r="2587">
          <cell r="A2587" t="str">
            <v>C20814XPR14 E</v>
          </cell>
          <cell r="B2587" t="str">
            <v>VYPRODÁNO</v>
          </cell>
          <cell r="D2587">
            <v>0</v>
          </cell>
        </row>
        <row r="2588">
          <cell r="A2588" t="str">
            <v>C10020NID14 E</v>
          </cell>
          <cell r="B2588" t="str">
            <v>VYPRODÁNO</v>
          </cell>
          <cell r="D2588">
            <v>0</v>
          </cell>
        </row>
        <row r="2589">
          <cell r="A2589" t="str">
            <v>C253SIG B</v>
          </cell>
          <cell r="B2589" t="str">
            <v>SKLADEM</v>
          </cell>
          <cell r="D2589">
            <v>0</v>
          </cell>
        </row>
        <row r="2590">
          <cell r="A2590" t="str">
            <v>D1M</v>
          </cell>
          <cell r="B2590" t="str">
            <v>SKLADEM</v>
          </cell>
          <cell r="D2590">
            <v>0</v>
          </cell>
        </row>
        <row r="2591">
          <cell r="A2591" t="str">
            <v>KKD1</v>
          </cell>
          <cell r="B2591" t="str">
            <v>SKLADEM</v>
          </cell>
          <cell r="D2591">
            <v>0</v>
          </cell>
        </row>
        <row r="2592">
          <cell r="A2592" t="str">
            <v>C60020XPR/C</v>
          </cell>
          <cell r="B2592" t="str">
            <v>SKLADEM</v>
          </cell>
          <cell r="D2592">
            <v>0</v>
          </cell>
        </row>
        <row r="2593">
          <cell r="A2593" t="str">
            <v>PBF2D</v>
          </cell>
          <cell r="B2593" t="str">
            <v>SKLADEM</v>
          </cell>
          <cell r="D2593">
            <v>0</v>
          </cell>
        </row>
        <row r="2594">
          <cell r="A2594" t="str">
            <v>PSF2D</v>
          </cell>
          <cell r="B2594" t="str">
            <v>DOCHÁZÍ</v>
          </cell>
          <cell r="D2594">
            <v>0</v>
          </cell>
          <cell r="E2594">
            <v>39</v>
          </cell>
        </row>
        <row r="2595">
          <cell r="A2595" t="str">
            <v>RT1DU</v>
          </cell>
          <cell r="B2595" t="str">
            <v>SKLADEM</v>
          </cell>
          <cell r="D2595">
            <v>0</v>
          </cell>
        </row>
        <row r="2596">
          <cell r="A2596" t="str">
            <v>KK2023</v>
          </cell>
          <cell r="B2596" t="str">
            <v>VYPRODÁNO</v>
          </cell>
          <cell r="D2596">
            <v>0</v>
          </cell>
        </row>
        <row r="2597">
          <cell r="A2597" t="str">
            <v>C60020XPR/C(T)</v>
          </cell>
          <cell r="B2597" t="str">
            <v>SKLADEM</v>
          </cell>
          <cell r="D2597">
            <v>0</v>
          </cell>
        </row>
        <row r="2598">
          <cell r="A2598" t="str">
            <v>K-C6420DU/C</v>
          </cell>
          <cell r="B2598" t="str">
            <v>SKLADEM</v>
          </cell>
          <cell r="D2598">
            <v>0</v>
          </cell>
        </row>
        <row r="2599">
          <cell r="A2599" t="str">
            <v>P05DSP1</v>
          </cell>
          <cell r="B2599" t="str">
            <v>SKLADEM</v>
          </cell>
          <cell r="D2599">
            <v>0</v>
          </cell>
        </row>
        <row r="2600">
          <cell r="A2600" t="str">
            <v>P066D20P1</v>
          </cell>
          <cell r="B2600" t="str">
            <v>SKLADEM</v>
          </cell>
          <cell r="D2600">
            <v>0</v>
          </cell>
        </row>
        <row r="2601">
          <cell r="A2601" t="str">
            <v>P10D20SP1</v>
          </cell>
          <cell r="B2601" t="str">
            <v>07.09.2026</v>
          </cell>
          <cell r="C2601">
            <v>165</v>
          </cell>
          <cell r="D2601">
            <v>0</v>
          </cell>
        </row>
        <row r="2602">
          <cell r="A2602" t="str">
            <v>MDLEZ1M</v>
          </cell>
          <cell r="B2602" t="str">
            <v>SKLADEM</v>
          </cell>
          <cell r="D2602">
            <v>0</v>
          </cell>
        </row>
        <row r="2603">
          <cell r="A2603" t="str">
            <v>MDLEZ1L</v>
          </cell>
          <cell r="B2603" t="str">
            <v>DOCHÁZÍ</v>
          </cell>
          <cell r="D2603">
            <v>0</v>
          </cell>
          <cell r="E2603">
            <v>3</v>
          </cell>
        </row>
        <row r="2604">
          <cell r="A2604" t="str">
            <v>MDLEZ1XL</v>
          </cell>
          <cell r="B2604" t="str">
            <v>DOCHÁZÍ</v>
          </cell>
          <cell r="D2604">
            <v>0</v>
          </cell>
          <cell r="E2604">
            <v>3</v>
          </cell>
        </row>
        <row r="2605">
          <cell r="A2605" t="str">
            <v>MDLEZ1XXL</v>
          </cell>
          <cell r="B2605" t="str">
            <v>SKLADEM</v>
          </cell>
          <cell r="D2605">
            <v>0</v>
          </cell>
        </row>
        <row r="2606">
          <cell r="A2606" t="str">
            <v>C320B</v>
          </cell>
          <cell r="B2606" t="str">
            <v>SKLADEM</v>
          </cell>
          <cell r="D2606" t="str">
            <v>100+</v>
          </cell>
        </row>
        <row r="2607">
          <cell r="A2607" t="str">
            <v>C330B</v>
          </cell>
          <cell r="B2607" t="str">
            <v>SKLADEM</v>
          </cell>
          <cell r="D2607">
            <v>0</v>
          </cell>
        </row>
        <row r="2608">
          <cell r="A2608" t="str">
            <v>C3614B14</v>
          </cell>
          <cell r="B2608" t="str">
            <v>SKLADEM</v>
          </cell>
          <cell r="D2608">
            <v>0</v>
          </cell>
        </row>
        <row r="2609">
          <cell r="A2609" t="str">
            <v>C3620N14</v>
          </cell>
          <cell r="B2609" t="str">
            <v>SKLADEM</v>
          </cell>
          <cell r="D2609">
            <v>0</v>
          </cell>
        </row>
        <row r="2610">
          <cell r="A2610" t="str">
            <v>C3620V</v>
          </cell>
          <cell r="B2610" t="str">
            <v>SKLADEM</v>
          </cell>
          <cell r="D2610">
            <v>0</v>
          </cell>
        </row>
        <row r="2611">
          <cell r="A2611" t="str">
            <v>C3625P</v>
          </cell>
          <cell r="B2611" t="str">
            <v>SKLADEM</v>
          </cell>
          <cell r="D2611">
            <v>0</v>
          </cell>
        </row>
        <row r="2612">
          <cell r="A2612" t="str">
            <v>C3625P14</v>
          </cell>
          <cell r="B2612" t="str">
            <v>SKLADEM</v>
          </cell>
          <cell r="D2612">
            <v>0</v>
          </cell>
        </row>
        <row r="2613">
          <cell r="A2613" t="str">
            <v>C5DU14</v>
          </cell>
          <cell r="B2613" t="str">
            <v>SKLADEM</v>
          </cell>
          <cell r="D2613">
            <v>70</v>
          </cell>
        </row>
        <row r="2614">
          <cell r="A2614" t="str">
            <v>DP1FV</v>
          </cell>
          <cell r="B2614" t="str">
            <v>DOCHÁZÍ</v>
          </cell>
          <cell r="D2614">
            <v>0</v>
          </cell>
          <cell r="E2614">
            <v>7</v>
          </cell>
        </row>
        <row r="2615">
          <cell r="A2615" t="str">
            <v>F17S</v>
          </cell>
          <cell r="B2615" t="str">
            <v>SKLADEM</v>
          </cell>
          <cell r="D2615">
            <v>0</v>
          </cell>
        </row>
        <row r="2616">
          <cell r="A2616" t="str">
            <v>F18NB</v>
          </cell>
          <cell r="B2616" t="str">
            <v>SKLADEM</v>
          </cell>
          <cell r="D2616">
            <v>0</v>
          </cell>
        </row>
        <row r="2617">
          <cell r="A2617" t="str">
            <v>R5DU14</v>
          </cell>
          <cell r="B2617" t="str">
            <v>SKLADEM</v>
          </cell>
          <cell r="D2617" t="str">
            <v>100+</v>
          </cell>
        </row>
        <row r="2618">
          <cell r="A2618" t="str">
            <v>RSS75</v>
          </cell>
          <cell r="B2618" t="str">
            <v>SKLADEM</v>
          </cell>
          <cell r="D2618" t="str">
            <v>100+</v>
          </cell>
        </row>
        <row r="2619">
          <cell r="A2619" t="str">
            <v>HF2244</v>
          </cell>
          <cell r="B2619" t="str">
            <v>SKLADEM</v>
          </cell>
          <cell r="D2619">
            <v>32</v>
          </cell>
        </row>
        <row r="2620">
          <cell r="A2620" t="str">
            <v>HF2243</v>
          </cell>
          <cell r="B2620" t="str">
            <v>SKLADEM</v>
          </cell>
          <cell r="D2620">
            <v>25</v>
          </cell>
        </row>
        <row r="2621">
          <cell r="A2621" t="str">
            <v>HF-51-2227S</v>
          </cell>
          <cell r="B2621" t="str">
            <v>SKLADEM</v>
          </cell>
          <cell r="D2621">
            <v>0</v>
          </cell>
        </row>
        <row r="2622">
          <cell r="A2622" t="str">
            <v>HF-96-2362s</v>
          </cell>
          <cell r="B2622" t="str">
            <v>SKLADEM</v>
          </cell>
          <cell r="D2622">
            <v>0</v>
          </cell>
        </row>
        <row r="2623">
          <cell r="A2623" t="str">
            <v>HF-102-2214</v>
          </cell>
          <cell r="B2623" t="str">
            <v>SKLADEM</v>
          </cell>
          <cell r="D2623">
            <v>0</v>
          </cell>
        </row>
        <row r="2624">
          <cell r="A2624" t="str">
            <v>HF-101-2216</v>
          </cell>
          <cell r="B2624" t="str">
            <v>SKLADEM</v>
          </cell>
          <cell r="D2624">
            <v>0</v>
          </cell>
        </row>
        <row r="2625">
          <cell r="A2625" t="str">
            <v>HF-108-2315</v>
          </cell>
          <cell r="B2625" t="str">
            <v>SKLADEM</v>
          </cell>
          <cell r="D2625">
            <v>0</v>
          </cell>
        </row>
        <row r="2626">
          <cell r="A2626" t="str">
            <v>RKD-24018</v>
          </cell>
          <cell r="B2626" t="str">
            <v>SKLADEM</v>
          </cell>
          <cell r="D2626">
            <v>0</v>
          </cell>
        </row>
        <row r="2627">
          <cell r="A2627" t="str">
            <v>RKD-24019</v>
          </cell>
          <cell r="B2627" t="str">
            <v>SKLADEM</v>
          </cell>
          <cell r="D2627">
            <v>80</v>
          </cell>
        </row>
        <row r="2628">
          <cell r="A2628" t="str">
            <v>HF-90-2402-HF-90-2403</v>
          </cell>
          <cell r="B2628" t="str">
            <v>SKLADEM</v>
          </cell>
          <cell r="D2628">
            <v>0</v>
          </cell>
        </row>
        <row r="2629">
          <cell r="A2629" t="str">
            <v>HF-90-2218-HF-90-2219</v>
          </cell>
          <cell r="B2629" t="str">
            <v>SKLADEM</v>
          </cell>
          <cell r="D2629">
            <v>0</v>
          </cell>
        </row>
        <row r="2630">
          <cell r="A2630" t="str">
            <v>RDG60ZEOCER(SH)</v>
          </cell>
          <cell r="B2630" t="str">
            <v>SKLADEM</v>
          </cell>
          <cell r="D2630">
            <v>0</v>
          </cell>
        </row>
        <row r="2631">
          <cell r="A2631" t="str">
            <v>HF-129-2223A-HF-114-2224</v>
          </cell>
          <cell r="B2631" t="str">
            <v>SKLADEM</v>
          </cell>
          <cell r="D2631">
            <v>0</v>
          </cell>
        </row>
        <row r="2632">
          <cell r="A2632" t="str">
            <v>LM8SA</v>
          </cell>
          <cell r="B2632" t="str">
            <v>06.04.2026</v>
          </cell>
          <cell r="C2632">
            <v>11</v>
          </cell>
          <cell r="D2632" t="str">
            <v>100+</v>
          </cell>
        </row>
        <row r="2633">
          <cell r="A2633" t="str">
            <v>GAT300</v>
          </cell>
          <cell r="B2633" t="str">
            <v>SKLADEM</v>
          </cell>
          <cell r="D2633" t="str">
            <v>100+</v>
          </cell>
        </row>
        <row r="2634">
          <cell r="A2634" t="str">
            <v>SS14D</v>
          </cell>
          <cell r="B2634" t="str">
            <v>SKLADEM</v>
          </cell>
          <cell r="D2634" t="str">
            <v>100+</v>
          </cell>
        </row>
        <row r="2635">
          <cell r="A2635" t="str">
            <v>PBDF2</v>
          </cell>
          <cell r="B2635" t="str">
            <v>SKLADEM</v>
          </cell>
          <cell r="D2635" t="str">
            <v>100+</v>
          </cell>
        </row>
        <row r="2636">
          <cell r="A2636" t="str">
            <v>P2GP1</v>
          </cell>
          <cell r="B2636" t="str">
            <v>SKLADEM</v>
          </cell>
          <cell r="D2636">
            <v>0</v>
          </cell>
        </row>
        <row r="2637">
          <cell r="A2637" t="str">
            <v>RS6SM</v>
          </cell>
          <cell r="B2637" t="str">
            <v>SKLADEM</v>
          </cell>
          <cell r="D2637">
            <v>0</v>
          </cell>
        </row>
        <row r="2638">
          <cell r="A2638" t="str">
            <v>HF24733R</v>
          </cell>
          <cell r="B2638" t="str">
            <v>VYPRODÁNO</v>
          </cell>
          <cell r="D2638">
            <v>0</v>
          </cell>
        </row>
        <row r="2639">
          <cell r="A2639" t="str">
            <v>HF-83-2207</v>
          </cell>
          <cell r="B2639" t="str">
            <v>VYPRODÁNO</v>
          </cell>
          <cell r="D2639">
            <v>0</v>
          </cell>
        </row>
        <row r="2640">
          <cell r="A2640" t="str">
            <v>HF-98-2212</v>
          </cell>
          <cell r="B2640" t="str">
            <v>SKLADEM</v>
          </cell>
          <cell r="D2640" t="str">
            <v>100+</v>
          </cell>
        </row>
        <row r="2641">
          <cell r="A2641" t="str">
            <v>HF-127-2411s</v>
          </cell>
          <cell r="B2641" t="str">
            <v>SKLADEM</v>
          </cell>
          <cell r="D2641" t="str">
            <v>100+</v>
          </cell>
        </row>
        <row r="2642">
          <cell r="A2642" t="str">
            <v>HF-142-2211</v>
          </cell>
          <cell r="B2642" t="str">
            <v>SKLADEM</v>
          </cell>
          <cell r="D2642" t="str">
            <v>100+</v>
          </cell>
        </row>
        <row r="2643">
          <cell r="A2643" t="str">
            <v>HF-148-2217</v>
          </cell>
          <cell r="B2643" t="str">
            <v>SKLADEM</v>
          </cell>
          <cell r="D2643">
            <v>0</v>
          </cell>
        </row>
        <row r="2644">
          <cell r="A2644" t="str">
            <v>HF-78-2423-HF-78-2424</v>
          </cell>
          <cell r="B2644" t="str">
            <v>SKLADEM</v>
          </cell>
          <cell r="D2644">
            <v>0</v>
          </cell>
        </row>
        <row r="2645">
          <cell r="A2645" t="str">
            <v>HF-88-2487-HF-116-2488</v>
          </cell>
          <cell r="B2645" t="str">
            <v>SKLADEM</v>
          </cell>
          <cell r="D2645">
            <v>0</v>
          </cell>
        </row>
        <row r="2646">
          <cell r="A2646" t="str">
            <v>HF-98-24103-HF-96-24104-HF-98-24105-HF-100-24106</v>
          </cell>
          <cell r="B2646" t="str">
            <v>SKLADEM</v>
          </cell>
          <cell r="D2646">
            <v>0</v>
          </cell>
        </row>
        <row r="2647">
          <cell r="A2647" t="str">
            <v>RKD-S03-01</v>
          </cell>
          <cell r="B2647" t="str">
            <v>SKLADEM</v>
          </cell>
          <cell r="D2647">
            <v>0</v>
          </cell>
        </row>
        <row r="2648">
          <cell r="A2648" t="str">
            <v>RKD-S03-02</v>
          </cell>
          <cell r="B2648" t="str">
            <v>SKLADEM</v>
          </cell>
          <cell r="D2648">
            <v>0</v>
          </cell>
        </row>
        <row r="2649">
          <cell r="A2649" t="str">
            <v>RKD-S03-03</v>
          </cell>
          <cell r="B2649" t="str">
            <v>SKLADEM</v>
          </cell>
          <cell r="D2649">
            <v>0</v>
          </cell>
        </row>
        <row r="2650">
          <cell r="A2650" t="str">
            <v>RKD-S04-01</v>
          </cell>
          <cell r="B2650" t="str">
            <v>SKLADEM</v>
          </cell>
          <cell r="D2650">
            <v>0</v>
          </cell>
        </row>
        <row r="2651">
          <cell r="A2651" t="str">
            <v>RKD-S04-04</v>
          </cell>
          <cell r="B2651" t="str">
            <v>SKLADEM</v>
          </cell>
          <cell r="D2651">
            <v>0</v>
          </cell>
        </row>
        <row r="2652">
          <cell r="A2652" t="str">
            <v>RKD-S05-01</v>
          </cell>
          <cell r="B2652" t="str">
            <v>SKLADEM</v>
          </cell>
          <cell r="D2652">
            <v>0</v>
          </cell>
        </row>
        <row r="2653">
          <cell r="A2653" t="str">
            <v>RKD-S05-02</v>
          </cell>
          <cell r="B2653" t="str">
            <v>SKLADEM</v>
          </cell>
          <cell r="D2653">
            <v>0</v>
          </cell>
        </row>
        <row r="2654">
          <cell r="A2654" t="str">
            <v>RKD-S05-03</v>
          </cell>
          <cell r="B2654" t="str">
            <v>SKLADEM</v>
          </cell>
          <cell r="D2654">
            <v>0</v>
          </cell>
        </row>
        <row r="2655">
          <cell r="A2655" t="str">
            <v>RKD-S05-04</v>
          </cell>
          <cell r="B2655" t="str">
            <v>SKLADEM</v>
          </cell>
          <cell r="D2655">
            <v>0</v>
          </cell>
        </row>
        <row r="2656">
          <cell r="A2656" t="str">
            <v>RKD-S05-05</v>
          </cell>
          <cell r="B2656" t="str">
            <v>SKLADEM</v>
          </cell>
          <cell r="D2656">
            <v>0</v>
          </cell>
        </row>
        <row r="2657">
          <cell r="A2657" t="str">
            <v>RKD-S05-09</v>
          </cell>
          <cell r="B2657" t="str">
            <v>SKLADEM</v>
          </cell>
          <cell r="D2657">
            <v>0</v>
          </cell>
        </row>
        <row r="2658">
          <cell r="A2658" t="str">
            <v>RKD-S05-11</v>
          </cell>
          <cell r="B2658" t="str">
            <v>SKLADEM</v>
          </cell>
          <cell r="D2658">
            <v>0</v>
          </cell>
        </row>
        <row r="2659">
          <cell r="A2659" t="str">
            <v>RKD-S05-12</v>
          </cell>
          <cell r="B2659" t="str">
            <v>SKLADEM</v>
          </cell>
          <cell r="D2659">
            <v>0</v>
          </cell>
        </row>
        <row r="2660">
          <cell r="A2660" t="str">
            <v>RKD-S06-01</v>
          </cell>
          <cell r="B2660" t="str">
            <v>SKLADEM</v>
          </cell>
          <cell r="D2660">
            <v>0</v>
          </cell>
        </row>
        <row r="2661">
          <cell r="A2661" t="str">
            <v>RKD-S06-02</v>
          </cell>
          <cell r="B2661" t="str">
            <v>SKLADEM</v>
          </cell>
          <cell r="D2661">
            <v>0</v>
          </cell>
        </row>
        <row r="2662">
          <cell r="A2662" t="str">
            <v>RKD-S06-03</v>
          </cell>
          <cell r="B2662" t="str">
            <v>SKLADEM</v>
          </cell>
          <cell r="D2662">
            <v>0</v>
          </cell>
        </row>
        <row r="2663">
          <cell r="A2663" t="str">
            <v>RKD-S06-04</v>
          </cell>
          <cell r="B2663" t="str">
            <v>SKLADEM</v>
          </cell>
          <cell r="D2663">
            <v>0</v>
          </cell>
        </row>
        <row r="2664">
          <cell r="A2664" t="str">
            <v>RKD-S06-05</v>
          </cell>
          <cell r="B2664" t="str">
            <v>SKLADEM</v>
          </cell>
          <cell r="D2664">
            <v>0</v>
          </cell>
        </row>
        <row r="2665">
          <cell r="A2665" t="str">
            <v>RKD-S06-07</v>
          </cell>
          <cell r="B2665" t="str">
            <v>SKLADEM</v>
          </cell>
          <cell r="D2665">
            <v>0</v>
          </cell>
        </row>
        <row r="2666">
          <cell r="A2666" t="str">
            <v>F19MF1</v>
          </cell>
          <cell r="B2666" t="str">
            <v>SKLADEM</v>
          </cell>
          <cell r="D2666">
            <v>45</v>
          </cell>
        </row>
        <row r="2667">
          <cell r="A2667" t="str">
            <v>CST40S</v>
          </cell>
          <cell r="B2667" t="str">
            <v>SKLADEM</v>
          </cell>
          <cell r="D2667">
            <v>0</v>
          </cell>
        </row>
        <row r="2668">
          <cell r="A2668" t="str">
            <v>F205M</v>
          </cell>
          <cell r="B2668" t="str">
            <v>VYPRODÁNO</v>
          </cell>
          <cell r="D2668">
            <v>0</v>
          </cell>
        </row>
        <row r="2669">
          <cell r="A2669" t="str">
            <v>F216M</v>
          </cell>
          <cell r="B2669" t="str">
            <v>SKLADEM</v>
          </cell>
          <cell r="D2669">
            <v>0</v>
          </cell>
        </row>
        <row r="2670">
          <cell r="A2670" t="str">
            <v>R60508E</v>
          </cell>
          <cell r="B2670" t="str">
            <v>SKLADEM</v>
          </cell>
          <cell r="D2670" t="str">
            <v>100+</v>
          </cell>
        </row>
        <row r="2671">
          <cell r="A2671" t="str">
            <v>SS20SIG14</v>
          </cell>
          <cell r="B2671" t="str">
            <v>SKLADEM</v>
          </cell>
          <cell r="D2671">
            <v>0</v>
          </cell>
        </row>
        <row r="2672">
          <cell r="A2672" t="str">
            <v>RS11HF2</v>
          </cell>
          <cell r="B2672" t="str">
            <v>SKLADEM</v>
          </cell>
          <cell r="D2672">
            <v>0</v>
          </cell>
        </row>
        <row r="2673">
          <cell r="A2673" t="str">
            <v>SP3CF2</v>
          </cell>
          <cell r="B2673" t="str">
            <v>SKLADEM</v>
          </cell>
          <cell r="D2673" t="str">
            <v>100+</v>
          </cell>
        </row>
        <row r="2674">
          <cell r="A2674" t="str">
            <v>RS18TF2</v>
          </cell>
          <cell r="B2674" t="str">
            <v>SKLADEM</v>
          </cell>
          <cell r="D2674" t="str">
            <v>100+</v>
          </cell>
        </row>
        <row r="2675">
          <cell r="A2675" t="str">
            <v>RS18SF2</v>
          </cell>
          <cell r="B2675" t="str">
            <v>SKLADEM</v>
          </cell>
          <cell r="D2675" t="str">
            <v>100+</v>
          </cell>
        </row>
        <row r="2676">
          <cell r="A2676" t="str">
            <v>C6414C14</v>
          </cell>
          <cell r="B2676" t="str">
            <v>SKLADEM</v>
          </cell>
          <cell r="D2676">
            <v>0</v>
          </cell>
        </row>
        <row r="2677">
          <cell r="A2677" t="str">
            <v>C20014F14</v>
          </cell>
          <cell r="B2677" t="str">
            <v>SKLADEM</v>
          </cell>
          <cell r="D2677">
            <v>0</v>
          </cell>
        </row>
        <row r="2678">
          <cell r="A2678" t="str">
            <v>C9016XC14</v>
          </cell>
          <cell r="B2678" t="str">
            <v>SKLADEM</v>
          </cell>
          <cell r="D2678">
            <v>0</v>
          </cell>
        </row>
        <row r="2679">
          <cell r="A2679" t="str">
            <v>C63MXS14</v>
          </cell>
          <cell r="B2679" t="str">
            <v>SKLADEM</v>
          </cell>
          <cell r="D2679">
            <v>0</v>
          </cell>
        </row>
        <row r="2680">
          <cell r="A2680" t="str">
            <v>C3620NO14</v>
          </cell>
          <cell r="B2680" t="str">
            <v>SKLADEM</v>
          </cell>
          <cell r="D2680">
            <v>0</v>
          </cell>
        </row>
        <row r="2681">
          <cell r="A2681" t="str">
            <v>C18820XR/C14</v>
          </cell>
          <cell r="B2681" t="str">
            <v>SKLADEM</v>
          </cell>
          <cell r="D2681">
            <v>0</v>
          </cell>
        </row>
        <row r="2682">
          <cell r="A2682" t="str">
            <v>C19320XR/C14</v>
          </cell>
          <cell r="B2682" t="str">
            <v>SKLADEM</v>
          </cell>
          <cell r="D2682">
            <v>0</v>
          </cell>
        </row>
        <row r="2683">
          <cell r="A2683" t="str">
            <v>C25620NID/C</v>
          </cell>
          <cell r="B2683" t="str">
            <v>SKLADEM</v>
          </cell>
          <cell r="D2683">
            <v>0</v>
          </cell>
        </row>
        <row r="2684">
          <cell r="A2684" t="str">
            <v>C32820XM/C</v>
          </cell>
          <cell r="B2684" t="str">
            <v>SKLADEM</v>
          </cell>
          <cell r="D2684">
            <v>0</v>
          </cell>
        </row>
        <row r="2685">
          <cell r="A2685" t="str">
            <v>C20025I/C</v>
          </cell>
          <cell r="B2685" t="str">
            <v>SKLADEM</v>
          </cell>
          <cell r="D2685">
            <v>0</v>
          </cell>
        </row>
        <row r="2686">
          <cell r="A2686" t="str">
            <v>C1003CY/C</v>
          </cell>
          <cell r="B2686" t="str">
            <v>SKLADEM</v>
          </cell>
          <cell r="D2686" t="str">
            <v>100+</v>
          </cell>
        </row>
        <row r="2687">
          <cell r="A2687" t="str">
            <v>C46MXP</v>
          </cell>
          <cell r="B2687" t="str">
            <v>SKLADEM</v>
          </cell>
          <cell r="D2687">
            <v>50</v>
          </cell>
        </row>
        <row r="2688">
          <cell r="A2688" t="str">
            <v>C48XMF14</v>
          </cell>
          <cell r="B2688" t="str">
            <v>SKLADEM</v>
          </cell>
          <cell r="D2688">
            <v>0</v>
          </cell>
        </row>
        <row r="2689">
          <cell r="A2689" t="str">
            <v>C77MXR14</v>
          </cell>
          <cell r="B2689" t="str">
            <v>SKLADEM</v>
          </cell>
          <cell r="D2689">
            <v>0</v>
          </cell>
        </row>
        <row r="2690">
          <cell r="A2690" t="str">
            <v>C124MXM/C14</v>
          </cell>
          <cell r="B2690" t="str">
            <v>SKLADEM</v>
          </cell>
          <cell r="D2690">
            <v>0</v>
          </cell>
        </row>
        <row r="2691">
          <cell r="A2691" t="str">
            <v>C150MXH/C14</v>
          </cell>
          <cell r="B2691" t="str">
            <v>SKLADEM</v>
          </cell>
          <cell r="D2691">
            <v>0</v>
          </cell>
        </row>
        <row r="2692">
          <cell r="A2692" t="str">
            <v>C154MXB/C14</v>
          </cell>
          <cell r="B2692" t="str">
            <v>SKLADEM</v>
          </cell>
          <cell r="D2692">
            <v>0</v>
          </cell>
        </row>
        <row r="2693">
          <cell r="A2693" t="str">
            <v>C270MXM/C14</v>
          </cell>
          <cell r="B2693" t="str">
            <v>SKLADEM</v>
          </cell>
          <cell r="D2693" t="str">
            <v>100+</v>
          </cell>
        </row>
        <row r="2694">
          <cell r="A2694" t="str">
            <v>C248MXY/C</v>
          </cell>
          <cell r="B2694" t="str">
            <v>SKLADEM</v>
          </cell>
          <cell r="D2694" t="str">
            <v>100+</v>
          </cell>
        </row>
        <row r="2695">
          <cell r="A2695" t="str">
            <v>C252MXB/C</v>
          </cell>
          <cell r="B2695" t="str">
            <v>SKLADEM</v>
          </cell>
          <cell r="D2695">
            <v>0</v>
          </cell>
        </row>
        <row r="2696">
          <cell r="A2696" t="str">
            <v>C316MXF/C</v>
          </cell>
          <cell r="B2696" t="str">
            <v>SKLADEM</v>
          </cell>
          <cell r="D2696">
            <v>0</v>
          </cell>
        </row>
        <row r="2697">
          <cell r="A2697" t="str">
            <v>C342MXG/C</v>
          </cell>
          <cell r="B2697" t="str">
            <v>SKLADEM</v>
          </cell>
          <cell r="D2697">
            <v>0</v>
          </cell>
        </row>
        <row r="2698">
          <cell r="A2698" t="str">
            <v>C500MXB/C</v>
          </cell>
          <cell r="B2698" t="str">
            <v>SKLADEM</v>
          </cell>
          <cell r="D2698">
            <v>0</v>
          </cell>
        </row>
        <row r="2699">
          <cell r="A2699" t="str">
            <v>C1-C2 C425MXM/C14</v>
          </cell>
          <cell r="B2699" t="str">
            <v>SKLADEM</v>
          </cell>
          <cell r="D2699">
            <v>0</v>
          </cell>
        </row>
        <row r="2700">
          <cell r="A2700" t="str">
            <v>C3-C4 C234MXD/C14</v>
          </cell>
          <cell r="B2700" t="str">
            <v>SKLADEM</v>
          </cell>
          <cell r="D2700" t="str">
            <v>100+</v>
          </cell>
        </row>
        <row r="2701">
          <cell r="A2701" t="str">
            <v>C5-C6 C303MXN/C14</v>
          </cell>
          <cell r="B2701" t="str">
            <v>SKLADEM</v>
          </cell>
          <cell r="D2701">
            <v>0</v>
          </cell>
        </row>
        <row r="2702">
          <cell r="A2702" t="str">
            <v>HF-83-2207P</v>
          </cell>
          <cell r="B2702" t="str">
            <v>SKLADEM</v>
          </cell>
          <cell r="D2702" t="str">
            <v>100+</v>
          </cell>
        </row>
        <row r="2703">
          <cell r="A2703" t="str">
            <v>SS25SIG14</v>
          </cell>
          <cell r="B2703" t="str">
            <v>SKLADEM</v>
          </cell>
          <cell r="D2703" t="str">
            <v>100+</v>
          </cell>
        </row>
        <row r="2704">
          <cell r="A2704" t="str">
            <v>C148MXP14</v>
          </cell>
          <cell r="B2704" t="str">
            <v>SKLADEM</v>
          </cell>
          <cell r="D2704" t="str">
            <v>100+</v>
          </cell>
        </row>
        <row r="2705">
          <cell r="A2705" t="str">
            <v>S5DU14</v>
          </cell>
          <cell r="B2705" t="str">
            <v>SKLADEM</v>
          </cell>
          <cell r="D2705">
            <v>0</v>
          </cell>
        </row>
        <row r="2706">
          <cell r="A2706" t="str">
            <v>C18820XR/C14(T)</v>
          </cell>
          <cell r="B2706" t="str">
            <v>SKLADEM</v>
          </cell>
          <cell r="D2706">
            <v>0</v>
          </cell>
        </row>
        <row r="2707">
          <cell r="A2707" t="str">
            <v>C19320XR/C14(T)</v>
          </cell>
          <cell r="B2707" t="str">
            <v>SKLADEM</v>
          </cell>
          <cell r="D2707">
            <v>0</v>
          </cell>
        </row>
        <row r="2708">
          <cell r="A2708" t="str">
            <v>C6420DU/C(T)</v>
          </cell>
          <cell r="B2708" t="str">
            <v>SKLADEM</v>
          </cell>
          <cell r="D2708">
            <v>0</v>
          </cell>
        </row>
        <row r="2709">
          <cell r="A2709" t="str">
            <v>C25620NID/C(T)</v>
          </cell>
          <cell r="B2709" t="str">
            <v>SKLADEM</v>
          </cell>
          <cell r="D2709">
            <v>0</v>
          </cell>
        </row>
        <row r="2710">
          <cell r="A2710" t="str">
            <v>C32820XM/C(T)</v>
          </cell>
          <cell r="B2710" t="str">
            <v>SKLADEM</v>
          </cell>
          <cell r="D2710">
            <v>0</v>
          </cell>
        </row>
        <row r="2711">
          <cell r="A2711" t="str">
            <v>C20025I/C(T)</v>
          </cell>
          <cell r="B2711" t="str">
            <v>SKLADEM</v>
          </cell>
          <cell r="D2711">
            <v>0</v>
          </cell>
        </row>
        <row r="2712">
          <cell r="A2712" t="str">
            <v>C1003F/C14(T)</v>
          </cell>
          <cell r="B2712" t="str">
            <v>SKLADEM</v>
          </cell>
          <cell r="D2712">
            <v>0</v>
          </cell>
        </row>
        <row r="2713">
          <cell r="A2713" t="str">
            <v>C1003CY/C(T)</v>
          </cell>
          <cell r="B2713" t="str">
            <v>SKLADEM</v>
          </cell>
          <cell r="D2713">
            <v>0</v>
          </cell>
        </row>
        <row r="2714">
          <cell r="A2714" t="str">
            <v>C1003BPS/C(T)</v>
          </cell>
          <cell r="B2714" t="str">
            <v>SKLADEM</v>
          </cell>
          <cell r="D2714">
            <v>0</v>
          </cell>
        </row>
        <row r="2715">
          <cell r="A2715" t="str">
            <v>C1003F/C(T)</v>
          </cell>
          <cell r="B2715" t="str">
            <v>SKLADEM</v>
          </cell>
          <cell r="D2715">
            <v>0</v>
          </cell>
        </row>
        <row r="2716">
          <cell r="A2716" t="str">
            <v>C1923XMF/C(T)</v>
          </cell>
          <cell r="B2716" t="str">
            <v>VYPRODÁNO</v>
          </cell>
          <cell r="D2716">
            <v>0</v>
          </cell>
          <cell r="E2716">
            <v>44</v>
          </cell>
        </row>
        <row r="2717">
          <cell r="A2717" t="str">
            <v>C2003F/C(T)</v>
          </cell>
          <cell r="B2717" t="str">
            <v>SKLADEM</v>
          </cell>
          <cell r="D2717">
            <v>0</v>
          </cell>
        </row>
        <row r="2718">
          <cell r="A2718" t="str">
            <v>C124MXM/C14(T)</v>
          </cell>
          <cell r="B2718" t="str">
            <v>SKLADEM</v>
          </cell>
          <cell r="D2718">
            <v>0</v>
          </cell>
        </row>
        <row r="2719">
          <cell r="A2719" t="str">
            <v>C150MXH/C14(T)</v>
          </cell>
          <cell r="B2719" t="str">
            <v>SKLADEM</v>
          </cell>
          <cell r="D2719">
            <v>0</v>
          </cell>
        </row>
        <row r="2720">
          <cell r="A2720" t="str">
            <v>C154MXB/C14(T)</v>
          </cell>
          <cell r="B2720" t="str">
            <v>SKLADEM</v>
          </cell>
          <cell r="D2720">
            <v>0</v>
          </cell>
        </row>
        <row r="2721">
          <cell r="A2721" t="str">
            <v>C270MXM/C14(T)</v>
          </cell>
          <cell r="B2721" t="str">
            <v>SKLADEM</v>
          </cell>
          <cell r="D2721">
            <v>0</v>
          </cell>
        </row>
        <row r="2722">
          <cell r="A2722" t="str">
            <v>C248MXY/C(T)</v>
          </cell>
          <cell r="B2722" t="str">
            <v>SKLADEM</v>
          </cell>
          <cell r="D2722">
            <v>0</v>
          </cell>
        </row>
        <row r="2723">
          <cell r="A2723" t="str">
            <v>C252MXB/C(T)</v>
          </cell>
          <cell r="B2723" t="str">
            <v>SKLADEM</v>
          </cell>
          <cell r="D2723">
            <v>0</v>
          </cell>
        </row>
        <row r="2724">
          <cell r="A2724" t="str">
            <v>C316MXF/C(T)</v>
          </cell>
          <cell r="B2724" t="str">
            <v>SKLADEM</v>
          </cell>
          <cell r="D2724">
            <v>0</v>
          </cell>
        </row>
        <row r="2725">
          <cell r="A2725" t="str">
            <v>C342MXG/C(T)</v>
          </cell>
          <cell r="B2725" t="str">
            <v>SKLADEM</v>
          </cell>
          <cell r="D2725">
            <v>0</v>
          </cell>
        </row>
        <row r="2726">
          <cell r="A2726" t="str">
            <v>C500MXB/C(T)</v>
          </cell>
          <cell r="B2726" t="str">
            <v>SKLADEM</v>
          </cell>
          <cell r="D2726">
            <v>0</v>
          </cell>
        </row>
        <row r="2727">
          <cell r="A2727" t="str">
            <v>C1-C2 C425MXM/C14(T)</v>
          </cell>
          <cell r="B2727" t="str">
            <v>SKLADEM</v>
          </cell>
          <cell r="D2727">
            <v>0</v>
          </cell>
        </row>
        <row r="2728">
          <cell r="A2728" t="str">
            <v>C3-C4 C234MXD/C14(T)</v>
          </cell>
          <cell r="B2728" t="str">
            <v>SKLADEM</v>
          </cell>
          <cell r="D2728">
            <v>0</v>
          </cell>
        </row>
        <row r="2729">
          <cell r="A2729" t="str">
            <v>C5-C6 C303MXN/C14(T)</v>
          </cell>
          <cell r="B2729" t="str">
            <v>SKLADEM</v>
          </cell>
          <cell r="D2729">
            <v>0</v>
          </cell>
        </row>
        <row r="2730">
          <cell r="A2730" t="str">
            <v>HF-80-2366s  HF-80-2367s</v>
          </cell>
          <cell r="B2730" t="str">
            <v>SKLADEM</v>
          </cell>
          <cell r="D2730">
            <v>0</v>
          </cell>
        </row>
        <row r="2731">
          <cell r="A2731" t="str">
            <v>C1625DU</v>
          </cell>
          <cell r="B2731" t="str">
            <v>SKLADEM</v>
          </cell>
          <cell r="D2731">
            <v>0</v>
          </cell>
        </row>
        <row r="2732">
          <cell r="A2732" t="str">
            <v>HF-80-2366S-HF-80-2</v>
          </cell>
          <cell r="B2732" t="str">
            <v>SKLADEM</v>
          </cell>
          <cell r="D2732">
            <v>0</v>
          </cell>
        </row>
        <row r="2733">
          <cell r="A2733" t="str">
            <v>HF-90-2402+HF-90-2403</v>
          </cell>
          <cell r="B2733" t="str">
            <v>SKLADEM</v>
          </cell>
          <cell r="D2733">
            <v>0</v>
          </cell>
        </row>
        <row r="2734">
          <cell r="A2734" t="str">
            <v>HF-129-2223+HF-114-2224</v>
          </cell>
          <cell r="B2734" t="str">
            <v>SKLADEM</v>
          </cell>
          <cell r="D2734">
            <v>0</v>
          </cell>
        </row>
        <row r="2735">
          <cell r="A2735" t="str">
            <v>HF-90-2218HF-90-2219</v>
          </cell>
          <cell r="B2735" t="str">
            <v>SKLADEM</v>
          </cell>
          <cell r="D2735">
            <v>0</v>
          </cell>
        </row>
        <row r="2736">
          <cell r="A2736" t="str">
            <v>HF-80-2366s HF-80-2</v>
          </cell>
          <cell r="B2736" t="str">
            <v>SKLADEM</v>
          </cell>
          <cell r="D2736">
            <v>0</v>
          </cell>
        </row>
        <row r="2737">
          <cell r="A2737" t="str">
            <v>HF-98-24103-HF-96-24104-H</v>
          </cell>
          <cell r="B2737" t="str">
            <v>SKLADEM</v>
          </cell>
          <cell r="D2737">
            <v>0</v>
          </cell>
        </row>
        <row r="2738">
          <cell r="A2738" t="str">
            <v>DP1Z20(1)</v>
          </cell>
          <cell r="B2738" t="str">
            <v>31.08.2026</v>
          </cell>
          <cell r="C2738">
            <v>158</v>
          </cell>
          <cell r="D2738">
            <v>0</v>
          </cell>
        </row>
        <row r="2739">
          <cell r="A2739" t="str">
            <v>RK25002F</v>
          </cell>
          <cell r="B2739" t="str">
            <v>31.08.2026</v>
          </cell>
          <cell r="C2739">
            <v>158</v>
          </cell>
          <cell r="D2739">
            <v>0</v>
          </cell>
        </row>
        <row r="2740">
          <cell r="A2740" t="str">
            <v>R75508SIG</v>
          </cell>
          <cell r="B2740" t="str">
            <v>31.08.2026</v>
          </cell>
          <cell r="C2740">
            <v>158</v>
          </cell>
          <cell r="D2740">
            <v>0</v>
          </cell>
        </row>
        <row r="2741">
          <cell r="A2741" t="str">
            <v>SS25DU14</v>
          </cell>
          <cell r="B2741" t="str">
            <v>31.08.2026</v>
          </cell>
          <cell r="C2741">
            <v>158</v>
          </cell>
          <cell r="D2741">
            <v>0</v>
          </cell>
        </row>
        <row r="2742">
          <cell r="A2742" t="str">
            <v>SS30A14</v>
          </cell>
          <cell r="B2742" t="str">
            <v>31.08.2026</v>
          </cell>
          <cell r="C2742">
            <v>158</v>
          </cell>
          <cell r="D2742">
            <v>0</v>
          </cell>
        </row>
        <row r="2743">
          <cell r="A2743" t="str">
            <v>SS50NO14</v>
          </cell>
          <cell r="B2743" t="str">
            <v>31.08.2026</v>
          </cell>
          <cell r="C2743">
            <v>158</v>
          </cell>
          <cell r="D2743">
            <v>0</v>
          </cell>
        </row>
        <row r="2744">
          <cell r="A2744" t="str">
            <v>SS50DU14</v>
          </cell>
          <cell r="B2744" t="str">
            <v>31.08.2026</v>
          </cell>
          <cell r="C2744">
            <v>158</v>
          </cell>
          <cell r="D2744">
            <v>0</v>
          </cell>
        </row>
        <row r="2745">
          <cell r="A2745" t="str">
            <v>C320X14</v>
          </cell>
          <cell r="B2745" t="str">
            <v>31.08.2026</v>
          </cell>
          <cell r="C2745">
            <v>158</v>
          </cell>
          <cell r="D2745">
            <v>0</v>
          </cell>
        </row>
        <row r="2746">
          <cell r="A2746" t="str">
            <v>HF24733RK</v>
          </cell>
          <cell r="B2746" t="str">
            <v>SKLADEM</v>
          </cell>
          <cell r="D2746">
            <v>0</v>
          </cell>
        </row>
        <row r="2747">
          <cell r="A2747" t="str">
            <v>LO1DU</v>
          </cell>
          <cell r="B2747" t="str">
            <v>SKLADEM</v>
          </cell>
          <cell r="D2747">
            <v>0</v>
          </cell>
        </row>
        <row r="2748">
          <cell r="A2748" t="str">
            <v>C40014W/C14</v>
          </cell>
          <cell r="B2748" t="str">
            <v>31.08.2026</v>
          </cell>
          <cell r="C2748">
            <v>158</v>
          </cell>
          <cell r="D2748">
            <v>0</v>
          </cell>
        </row>
        <row r="2749">
          <cell r="A2749" t="str">
            <v>C16016XP14</v>
          </cell>
          <cell r="B2749" t="str">
            <v>31.08.2026</v>
          </cell>
          <cell r="C2749">
            <v>158</v>
          </cell>
          <cell r="D2749">
            <v>0</v>
          </cell>
        </row>
        <row r="2750">
          <cell r="A2750" t="str">
            <v>C27016XG/C14</v>
          </cell>
          <cell r="B2750" t="str">
            <v>31.08.2026</v>
          </cell>
          <cell r="C2750">
            <v>158</v>
          </cell>
          <cell r="D2750">
            <v>0</v>
          </cell>
        </row>
        <row r="2751">
          <cell r="A2751" t="str">
            <v>C32016XB/C14</v>
          </cell>
          <cell r="B2751" t="str">
            <v>31.08.2026</v>
          </cell>
          <cell r="C2751">
            <v>158</v>
          </cell>
          <cell r="D2751">
            <v>0</v>
          </cell>
        </row>
        <row r="2752">
          <cell r="A2752" t="str">
            <v>C20020N/C14</v>
          </cell>
          <cell r="B2752" t="str">
            <v>31.08.2026</v>
          </cell>
          <cell r="C2752">
            <v>158</v>
          </cell>
          <cell r="D2752">
            <v>0</v>
          </cell>
        </row>
        <row r="2753">
          <cell r="A2753" t="str">
            <v>C30020R/C14</v>
          </cell>
          <cell r="B2753" t="str">
            <v>31.08.2026</v>
          </cell>
          <cell r="C2753">
            <v>158</v>
          </cell>
          <cell r="D2753">
            <v>0</v>
          </cell>
        </row>
        <row r="2754">
          <cell r="A2754" t="str">
            <v>C40020B/C14</v>
          </cell>
          <cell r="B2754" t="str">
            <v>31.08.2026</v>
          </cell>
          <cell r="C2754">
            <v>158</v>
          </cell>
          <cell r="D2754">
            <v>0</v>
          </cell>
        </row>
        <row r="2755">
          <cell r="A2755" t="str">
            <v>C1-C2 C51220I/C14</v>
          </cell>
          <cell r="B2755" t="str">
            <v>31.08.2026</v>
          </cell>
          <cell r="C2755">
            <v>158</v>
          </cell>
          <cell r="D2755">
            <v>0</v>
          </cell>
        </row>
        <row r="2756">
          <cell r="A2756" t="str">
            <v>C1-C2 C65620XH/C14</v>
          </cell>
          <cell r="B2756" t="str">
            <v>31.08.2026</v>
          </cell>
          <cell r="C2756">
            <v>158</v>
          </cell>
          <cell r="D2756">
            <v>0</v>
          </cell>
        </row>
        <row r="2757">
          <cell r="A2757" t="str">
            <v>C1-C2 C80020S/C14</v>
          </cell>
          <cell r="B2757" t="str">
            <v>31.08.2026</v>
          </cell>
          <cell r="C2757">
            <v>158</v>
          </cell>
          <cell r="D2757">
            <v>0</v>
          </cell>
        </row>
        <row r="2758">
          <cell r="A2758" t="str">
            <v>C4925VS14</v>
          </cell>
          <cell r="B2758" t="str">
            <v>31.07.2026</v>
          </cell>
          <cell r="C2758">
            <v>127</v>
          </cell>
          <cell r="D2758">
            <v>0</v>
          </cell>
        </row>
        <row r="2759">
          <cell r="A2759" t="str">
            <v>CF4925S14</v>
          </cell>
          <cell r="B2759" t="str">
            <v>31.08.2026</v>
          </cell>
          <cell r="C2759">
            <v>158</v>
          </cell>
          <cell r="D2759">
            <v>0</v>
          </cell>
        </row>
        <row r="2760">
          <cell r="A2760" t="str">
            <v>C6425DU/C14</v>
          </cell>
          <cell r="B2760" t="str">
            <v>31.08.2026</v>
          </cell>
          <cell r="C2760">
            <v>158</v>
          </cell>
          <cell r="D2760">
            <v>0</v>
          </cell>
        </row>
        <row r="2761">
          <cell r="A2761" t="str">
            <v>C1-C2 C40025F/C14</v>
          </cell>
          <cell r="B2761" t="str">
            <v>31.08.2026</v>
          </cell>
          <cell r="C2761">
            <v>158</v>
          </cell>
          <cell r="D2761">
            <v>0</v>
          </cell>
        </row>
        <row r="2762">
          <cell r="A2762" t="str">
            <v>C1003VS/C14</v>
          </cell>
          <cell r="B2762" t="str">
            <v>31.08.2026</v>
          </cell>
          <cell r="C2762">
            <v>158</v>
          </cell>
          <cell r="D2762">
            <v>0</v>
          </cell>
        </row>
        <row r="2763">
          <cell r="A2763" t="str">
            <v>C1-C2 C1503X/C14</v>
          </cell>
          <cell r="B2763" t="str">
            <v>31.08.2026</v>
          </cell>
          <cell r="C2763">
            <v>158</v>
          </cell>
          <cell r="D2763">
            <v>0</v>
          </cell>
        </row>
        <row r="2764">
          <cell r="A2764" t="str">
            <v>C1-C2 C2003U/C14</v>
          </cell>
          <cell r="B2764" t="str">
            <v>31.08.2026</v>
          </cell>
          <cell r="C2764">
            <v>158</v>
          </cell>
          <cell r="D2764">
            <v>0</v>
          </cell>
        </row>
        <row r="2765">
          <cell r="A2765" t="str">
            <v>C165DU14</v>
          </cell>
          <cell r="B2765" t="str">
            <v>31.08.2026</v>
          </cell>
          <cell r="C2765">
            <v>158</v>
          </cell>
          <cell r="D2765">
            <v>0</v>
          </cell>
        </row>
        <row r="2766">
          <cell r="A2766" t="str">
            <v>C165NO14</v>
          </cell>
          <cell r="B2766" t="str">
            <v>31.08.2026</v>
          </cell>
          <cell r="C2766">
            <v>158</v>
          </cell>
          <cell r="D2766">
            <v>0</v>
          </cell>
        </row>
        <row r="2767">
          <cell r="A2767" t="str">
            <v>C100MXS14</v>
          </cell>
          <cell r="B2767" t="str">
            <v>31.08.2026</v>
          </cell>
          <cell r="C2767">
            <v>158</v>
          </cell>
          <cell r="D2767">
            <v>0</v>
          </cell>
        </row>
        <row r="2768">
          <cell r="A2768" t="str">
            <v>C165MXV14</v>
          </cell>
          <cell r="B2768" t="str">
            <v>31.08.2026</v>
          </cell>
          <cell r="C2768">
            <v>158</v>
          </cell>
          <cell r="D2768">
            <v>0</v>
          </cell>
        </row>
        <row r="2769">
          <cell r="A2769" t="str">
            <v>C170MXR14</v>
          </cell>
          <cell r="B2769" t="str">
            <v>31.08.2026</v>
          </cell>
          <cell r="C2769">
            <v>158</v>
          </cell>
          <cell r="D2769">
            <v>0</v>
          </cell>
        </row>
        <row r="2770">
          <cell r="A2770" t="str">
            <v>C296MXH/C14</v>
          </cell>
          <cell r="B2770" t="str">
            <v>06.04.2026</v>
          </cell>
          <cell r="C2770">
            <v>11</v>
          </cell>
          <cell r="D2770" t="str">
            <v>100+</v>
          </cell>
        </row>
        <row r="2771">
          <cell r="A2771" t="str">
            <v>C330MXR/C14</v>
          </cell>
          <cell r="B2771" t="str">
            <v>31.08.2026</v>
          </cell>
          <cell r="C2771">
            <v>158</v>
          </cell>
          <cell r="D2771">
            <v>0</v>
          </cell>
        </row>
        <row r="2772">
          <cell r="A2772" t="str">
            <v>C510MXU/C14</v>
          </cell>
          <cell r="B2772" t="str">
            <v>31.08.2026</v>
          </cell>
          <cell r="C2772">
            <v>158</v>
          </cell>
          <cell r="D2772">
            <v>0</v>
          </cell>
        </row>
        <row r="2773">
          <cell r="A2773" t="str">
            <v>C1-C2 C632MXN/C14</v>
          </cell>
          <cell r="B2773" t="str">
            <v>31.08.2026</v>
          </cell>
          <cell r="C2773">
            <v>158</v>
          </cell>
          <cell r="D2773">
            <v>0</v>
          </cell>
        </row>
        <row r="2774">
          <cell r="A2774" t="str">
            <v>HF26001s</v>
          </cell>
          <cell r="B2774" t="str">
            <v>31.08.2026</v>
          </cell>
          <cell r="C2774">
            <v>158</v>
          </cell>
          <cell r="D2774">
            <v>0</v>
          </cell>
        </row>
        <row r="2775">
          <cell r="A2775" t="str">
            <v>HF26009s</v>
          </cell>
          <cell r="B2775" t="str">
            <v>31.08.2026</v>
          </cell>
          <cell r="C2775">
            <v>158</v>
          </cell>
          <cell r="D2775">
            <v>0</v>
          </cell>
        </row>
        <row r="2776">
          <cell r="A2776" t="str">
            <v>HF26012</v>
          </cell>
          <cell r="B2776" t="str">
            <v>31.08.2026</v>
          </cell>
          <cell r="C2776">
            <v>158</v>
          </cell>
          <cell r="D2776">
            <v>0</v>
          </cell>
        </row>
        <row r="2777">
          <cell r="A2777" t="str">
            <v>HF26015</v>
          </cell>
          <cell r="B2777" t="str">
            <v>31.08.2026</v>
          </cell>
          <cell r="C2777">
            <v>158</v>
          </cell>
          <cell r="D2777">
            <v>0</v>
          </cell>
        </row>
        <row r="2778">
          <cell r="A2778" t="str">
            <v>HF26016s</v>
          </cell>
          <cell r="B2778" t="str">
            <v>31.08.2026</v>
          </cell>
          <cell r="C2778">
            <v>158</v>
          </cell>
          <cell r="D2778">
            <v>0</v>
          </cell>
        </row>
        <row r="2779">
          <cell r="A2779" t="str">
            <v>HF2387S</v>
          </cell>
          <cell r="B2779" t="str">
            <v>31.08.2026</v>
          </cell>
          <cell r="C2779">
            <v>158</v>
          </cell>
          <cell r="D2779">
            <v>0</v>
          </cell>
        </row>
        <row r="2780">
          <cell r="A2780" t="str">
            <v>HF24090Qs</v>
          </cell>
          <cell r="B2780" t="str">
            <v>31.08.2026</v>
          </cell>
          <cell r="C2780">
            <v>158</v>
          </cell>
          <cell r="D2780">
            <v>0</v>
          </cell>
        </row>
        <row r="2781">
          <cell r="A2781" t="str">
            <v>HF-45-2309s</v>
          </cell>
          <cell r="B2781" t="str">
            <v>31.08.2026</v>
          </cell>
          <cell r="C2781">
            <v>158</v>
          </cell>
          <cell r="D2781">
            <v>0</v>
          </cell>
        </row>
        <row r="2782">
          <cell r="A2782" t="str">
            <v>RK-66-2502</v>
          </cell>
          <cell r="B2782" t="str">
            <v>31.08.2026</v>
          </cell>
          <cell r="C2782">
            <v>158</v>
          </cell>
          <cell r="D2782">
            <v>0</v>
          </cell>
        </row>
        <row r="2783">
          <cell r="A2783" t="str">
            <v>HF-75-2310s</v>
          </cell>
          <cell r="B2783" t="str">
            <v>31.08.2026</v>
          </cell>
          <cell r="C2783">
            <v>158</v>
          </cell>
          <cell r="D2783">
            <v>0</v>
          </cell>
        </row>
        <row r="2784">
          <cell r="A2784" t="str">
            <v>HF-108-2603s</v>
          </cell>
          <cell r="B2784" t="str">
            <v>31.08.2026</v>
          </cell>
          <cell r="C2784">
            <v>158</v>
          </cell>
          <cell r="D2784">
            <v>0</v>
          </cell>
        </row>
        <row r="2785">
          <cell r="A2785" t="str">
            <v>HF-144-2605</v>
          </cell>
          <cell r="B2785" t="str">
            <v>31.08.2026</v>
          </cell>
          <cell r="C2785">
            <v>158</v>
          </cell>
          <cell r="D2785">
            <v>0</v>
          </cell>
        </row>
        <row r="2786">
          <cell r="A2786" t="str">
            <v>HF-75-2608s</v>
          </cell>
          <cell r="B2786" t="str">
            <v>31.08.2026</v>
          </cell>
          <cell r="C2786">
            <v>158</v>
          </cell>
          <cell r="D2786">
            <v>0</v>
          </cell>
        </row>
        <row r="2787">
          <cell r="A2787" t="str">
            <v>RK-98-2555</v>
          </cell>
          <cell r="B2787" t="str">
            <v>31.08.2026</v>
          </cell>
          <cell r="C2787">
            <v>158</v>
          </cell>
          <cell r="D2787">
            <v>0</v>
          </cell>
        </row>
        <row r="2788">
          <cell r="A2788" t="str">
            <v>RK-92-2565 RK-96-2566</v>
          </cell>
          <cell r="B2788" t="str">
            <v>31.08.2026</v>
          </cell>
          <cell r="C2788">
            <v>158</v>
          </cell>
          <cell r="D2788">
            <v>0</v>
          </cell>
        </row>
        <row r="2789">
          <cell r="A2789" t="str">
            <v>HF-96-2418-HF-96-2419</v>
          </cell>
          <cell r="B2789" t="str">
            <v>31.08.2026</v>
          </cell>
          <cell r="C2789">
            <v>158</v>
          </cell>
          <cell r="D2789">
            <v>0</v>
          </cell>
        </row>
        <row r="2790">
          <cell r="A2790" t="str">
            <v>HF-80-2366s  HF-80-2</v>
          </cell>
          <cell r="B2790" t="str">
            <v>SKLADEM</v>
          </cell>
          <cell r="D2790">
            <v>0</v>
          </cell>
        </row>
        <row r="2791">
          <cell r="A2791" t="str">
            <v>F1DB</v>
          </cell>
          <cell r="B2791" t="str">
            <v>31.08.2026</v>
          </cell>
          <cell r="C2791">
            <v>158</v>
          </cell>
          <cell r="D2791">
            <v>0</v>
          </cell>
        </row>
        <row r="2792">
          <cell r="A2792" t="str">
            <v>CB1DB</v>
          </cell>
          <cell r="B2792" t="str">
            <v>31.08.2026</v>
          </cell>
          <cell r="C2792">
            <v>158</v>
          </cell>
          <cell r="D2792">
            <v>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s>
    <sheetDataSet>
      <sheetData sheetId="0">
        <row r="2">
          <cell r="C2" t="str">
            <v>Nově ceny budou zde.</v>
          </cell>
        </row>
        <row r="5">
          <cell r="A5">
            <v>1</v>
          </cell>
        </row>
        <row r="6">
          <cell r="A6" t="str">
            <v xml:space="preserve">Catalog </v>
          </cell>
          <cell r="B6" t="str">
            <v>Základní 2026</v>
          </cell>
          <cell r="C6" t="str">
            <v>Základní 2026</v>
          </cell>
        </row>
        <row r="7">
          <cell r="A7" t="str">
            <v>number</v>
          </cell>
          <cell r="B7" t="str">
            <v>prodejní cena</v>
          </cell>
          <cell r="C7" t="str">
            <v>prodejní cena</v>
          </cell>
        </row>
        <row r="8">
          <cell r="B8" t="str">
            <v>jen číslo</v>
          </cell>
          <cell r="C8" t="str">
            <v>jen číslo</v>
          </cell>
          <cell r="D8" t="str">
            <v>Balení</v>
          </cell>
        </row>
        <row r="10">
          <cell r="A10" t="str">
            <v>BK1P</v>
          </cell>
          <cell r="B10">
            <v>319</v>
          </cell>
          <cell r="C10">
            <v>319</v>
          </cell>
          <cell r="D10">
            <v>6</v>
          </cell>
        </row>
        <row r="11">
          <cell r="A11" t="str">
            <v>BK1P(1)</v>
          </cell>
          <cell r="B11">
            <v>15</v>
          </cell>
          <cell r="C11">
            <v>15</v>
          </cell>
          <cell r="D11">
            <v>150</v>
          </cell>
        </row>
        <row r="12">
          <cell r="A12" t="str">
            <v>BK2V</v>
          </cell>
          <cell r="B12">
            <v>29</v>
          </cell>
          <cell r="C12">
            <v>29</v>
          </cell>
          <cell r="D12">
            <v>100</v>
          </cell>
        </row>
        <row r="13">
          <cell r="A13" t="str">
            <v>S5DU14</v>
          </cell>
          <cell r="B13">
            <v>89</v>
          </cell>
          <cell r="C13">
            <v>89</v>
          </cell>
          <cell r="D13">
            <v>40</v>
          </cell>
        </row>
        <row r="14">
          <cell r="A14" t="str">
            <v>R5DU14</v>
          </cell>
          <cell r="B14">
            <v>89</v>
          </cell>
          <cell r="C14">
            <v>89</v>
          </cell>
          <cell r="D14">
            <v>40</v>
          </cell>
        </row>
        <row r="15">
          <cell r="A15" t="str">
            <v>C5DU14</v>
          </cell>
          <cell r="B15">
            <v>99</v>
          </cell>
          <cell r="C15">
            <v>99</v>
          </cell>
          <cell r="D15">
            <v>40</v>
          </cell>
        </row>
        <row r="16">
          <cell r="A16" t="str">
            <v>DP1CB</v>
          </cell>
          <cell r="B16">
            <v>50</v>
          </cell>
          <cell r="C16">
            <v>50</v>
          </cell>
          <cell r="D16">
            <v>48</v>
          </cell>
        </row>
        <row r="17">
          <cell r="A17" t="str">
            <v>DP1CB(1)</v>
          </cell>
          <cell r="B17">
            <v>59</v>
          </cell>
          <cell r="C17">
            <v>59</v>
          </cell>
          <cell r="D17">
            <v>48</v>
          </cell>
        </row>
        <row r="18">
          <cell r="A18" t="str">
            <v>DP2CB</v>
          </cell>
          <cell r="B18">
            <v>240</v>
          </cell>
          <cell r="C18">
            <v>240</v>
          </cell>
          <cell r="D18">
            <v>12</v>
          </cell>
        </row>
        <row r="19">
          <cell r="A19" t="str">
            <v>DP2CB(1)</v>
          </cell>
          <cell r="B19">
            <v>89</v>
          </cell>
          <cell r="C19">
            <v>89</v>
          </cell>
          <cell r="D19">
            <v>36</v>
          </cell>
        </row>
        <row r="20">
          <cell r="A20" t="str">
            <v>DP1M</v>
          </cell>
          <cell r="B20">
            <v>347</v>
          </cell>
          <cell r="C20">
            <v>347</v>
          </cell>
          <cell r="D20">
            <v>10</v>
          </cell>
        </row>
        <row r="21">
          <cell r="A21" t="str">
            <v>DP1M(1)</v>
          </cell>
          <cell r="B21">
            <v>27</v>
          </cell>
          <cell r="C21">
            <v>27</v>
          </cell>
          <cell r="D21">
            <v>100</v>
          </cell>
        </row>
        <row r="22">
          <cell r="A22" t="str">
            <v>DP1Z20</v>
          </cell>
          <cell r="B22">
            <v>663</v>
          </cell>
          <cell r="C22">
            <v>663</v>
          </cell>
          <cell r="D22">
            <v>4</v>
          </cell>
        </row>
        <row r="23">
          <cell r="A23" t="str">
            <v>DP1Z20(1)</v>
          </cell>
          <cell r="B23" t="str">
            <v>xxx</v>
          </cell>
          <cell r="C23">
            <v>54</v>
          </cell>
          <cell r="D23">
            <v>75</v>
          </cell>
        </row>
        <row r="24">
          <cell r="A24" t="str">
            <v>CDK1</v>
          </cell>
          <cell r="B24">
            <v>85</v>
          </cell>
          <cell r="C24">
            <v>85</v>
          </cell>
          <cell r="D24">
            <v>30</v>
          </cell>
        </row>
        <row r="25">
          <cell r="A25" t="str">
            <v>CDK1(1)</v>
          </cell>
          <cell r="B25">
            <v>133</v>
          </cell>
          <cell r="C25">
            <v>133</v>
          </cell>
          <cell r="D25">
            <v>20</v>
          </cell>
        </row>
        <row r="26">
          <cell r="A26" t="str">
            <v>DP1BP</v>
          </cell>
          <cell r="B26">
            <v>42</v>
          </cell>
          <cell r="C26">
            <v>42</v>
          </cell>
          <cell r="D26">
            <v>36</v>
          </cell>
        </row>
        <row r="27">
          <cell r="A27" t="str">
            <v>F1DB</v>
          </cell>
          <cell r="C27">
            <v>117</v>
          </cell>
          <cell r="D27">
            <v>36</v>
          </cell>
        </row>
        <row r="28">
          <cell r="A28" t="str">
            <v>DP1T</v>
          </cell>
          <cell r="B28">
            <v>45</v>
          </cell>
          <cell r="C28">
            <v>45</v>
          </cell>
          <cell r="D28">
            <v>45</v>
          </cell>
        </row>
        <row r="29">
          <cell r="A29" t="str">
            <v>DP1R</v>
          </cell>
          <cell r="B29">
            <v>60</v>
          </cell>
          <cell r="C29">
            <v>60</v>
          </cell>
          <cell r="D29">
            <v>75</v>
          </cell>
        </row>
        <row r="30">
          <cell r="A30" t="str">
            <v>DP1VR</v>
          </cell>
          <cell r="B30">
            <v>32</v>
          </cell>
          <cell r="C30">
            <v>32</v>
          </cell>
          <cell r="D30">
            <v>120</v>
          </cell>
        </row>
        <row r="31">
          <cell r="A31" t="str">
            <v>DP1EM</v>
          </cell>
          <cell r="B31">
            <v>819</v>
          </cell>
          <cell r="C31">
            <v>819</v>
          </cell>
          <cell r="D31">
            <v>6</v>
          </cell>
        </row>
        <row r="32">
          <cell r="A32" t="str">
            <v>DP1SW</v>
          </cell>
          <cell r="B32">
            <v>176</v>
          </cell>
          <cell r="C32">
            <v>176</v>
          </cell>
          <cell r="D32">
            <v>48</v>
          </cell>
        </row>
        <row r="33">
          <cell r="A33" t="str">
            <v>CB1DB</v>
          </cell>
          <cell r="C33">
            <v>113</v>
          </cell>
          <cell r="D33">
            <v>50</v>
          </cell>
        </row>
        <row r="34">
          <cell r="A34" t="str">
            <v>DP1FR</v>
          </cell>
          <cell r="B34">
            <v>517</v>
          </cell>
          <cell r="C34">
            <v>517</v>
          </cell>
          <cell r="D34">
            <v>10</v>
          </cell>
        </row>
        <row r="35">
          <cell r="A35" t="str">
            <v>DP1FM</v>
          </cell>
          <cell r="B35">
            <v>58</v>
          </cell>
          <cell r="C35">
            <v>58</v>
          </cell>
          <cell r="D35">
            <v>72</v>
          </cell>
        </row>
        <row r="36">
          <cell r="A36" t="str">
            <v>DP1FV</v>
          </cell>
          <cell r="B36">
            <v>77</v>
          </cell>
          <cell r="C36">
            <v>77</v>
          </cell>
          <cell r="D36">
            <v>48</v>
          </cell>
        </row>
        <row r="37">
          <cell r="A37" t="str">
            <v>DP1FD</v>
          </cell>
          <cell r="B37">
            <v>99</v>
          </cell>
          <cell r="C37">
            <v>99</v>
          </cell>
          <cell r="D37">
            <v>40</v>
          </cell>
        </row>
        <row r="38">
          <cell r="A38" t="str">
            <v>F19MF1</v>
          </cell>
          <cell r="B38">
            <v>120</v>
          </cell>
          <cell r="C38">
            <v>120</v>
          </cell>
          <cell r="D38">
            <v>28</v>
          </cell>
        </row>
        <row r="39">
          <cell r="A39" t="str">
            <v>BP30S</v>
          </cell>
          <cell r="B39">
            <v>80</v>
          </cell>
          <cell r="C39">
            <v>80</v>
          </cell>
          <cell r="D39">
            <v>40</v>
          </cell>
        </row>
        <row r="40">
          <cell r="A40" t="str">
            <v>CST12S</v>
          </cell>
          <cell r="B40">
            <v>74</v>
          </cell>
          <cell r="C40">
            <v>74</v>
          </cell>
          <cell r="D40">
            <v>40</v>
          </cell>
        </row>
        <row r="41">
          <cell r="A41" t="str">
            <v>CST40S</v>
          </cell>
          <cell r="B41">
            <v>70</v>
          </cell>
          <cell r="C41">
            <v>70</v>
          </cell>
          <cell r="D41">
            <v>50</v>
          </cell>
        </row>
        <row r="43">
          <cell r="A43" t="str">
            <v>DP1TA</v>
          </cell>
          <cell r="B43">
            <v>51</v>
          </cell>
          <cell r="C43">
            <v>51</v>
          </cell>
          <cell r="D43">
            <v>60</v>
          </cell>
        </row>
        <row r="44">
          <cell r="A44" t="str">
            <v>DP1TA(1)</v>
          </cell>
          <cell r="B44">
            <v>51</v>
          </cell>
          <cell r="C44">
            <v>51</v>
          </cell>
          <cell r="D44">
            <v>60</v>
          </cell>
        </row>
        <row r="45">
          <cell r="A45" t="str">
            <v>DP1BS(1)</v>
          </cell>
          <cell r="B45">
            <v>39</v>
          </cell>
          <cell r="C45">
            <v>39</v>
          </cell>
          <cell r="D45">
            <v>60</v>
          </cell>
        </row>
        <row r="46">
          <cell r="A46" t="str">
            <v>DP1P</v>
          </cell>
          <cell r="B46">
            <v>45</v>
          </cell>
          <cell r="C46">
            <v>45</v>
          </cell>
          <cell r="D46">
            <v>80</v>
          </cell>
        </row>
        <row r="47">
          <cell r="A47" t="str">
            <v>DP2W</v>
          </cell>
          <cell r="B47">
            <v>53</v>
          </cell>
          <cell r="C47">
            <v>53</v>
          </cell>
          <cell r="D47">
            <v>50</v>
          </cell>
        </row>
        <row r="48">
          <cell r="A48" t="str">
            <v>S12S</v>
          </cell>
          <cell r="B48">
            <v>145</v>
          </cell>
          <cell r="C48">
            <v>145</v>
          </cell>
          <cell r="D48">
            <v>24</v>
          </cell>
        </row>
        <row r="49">
          <cell r="A49" t="str">
            <v>S12S(1)</v>
          </cell>
          <cell r="B49" t="str">
            <v>xxx</v>
          </cell>
          <cell r="C49">
            <v>64</v>
          </cell>
          <cell r="D49">
            <v>42</v>
          </cell>
        </row>
        <row r="51">
          <cell r="A51" t="str">
            <v>DP1VC</v>
          </cell>
          <cell r="B51">
            <v>39</v>
          </cell>
          <cell r="C51">
            <v>39</v>
          </cell>
          <cell r="D51">
            <v>80</v>
          </cell>
        </row>
        <row r="52">
          <cell r="A52" t="str">
            <v>LM0SW</v>
          </cell>
          <cell r="B52">
            <v>805</v>
          </cell>
          <cell r="C52">
            <v>805</v>
          </cell>
          <cell r="D52">
            <v>5</v>
          </cell>
        </row>
        <row r="53">
          <cell r="A53" t="str">
            <v>LM1O</v>
          </cell>
          <cell r="B53">
            <v>29</v>
          </cell>
          <cell r="C53">
            <v>29</v>
          </cell>
          <cell r="D53">
            <v>120</v>
          </cell>
        </row>
        <row r="54">
          <cell r="A54" t="str">
            <v>LM2C</v>
          </cell>
          <cell r="B54">
            <v>43</v>
          </cell>
          <cell r="C54">
            <v>43</v>
          </cell>
          <cell r="D54">
            <v>60</v>
          </cell>
        </row>
        <row r="55">
          <cell r="A55" t="str">
            <v>LM2V</v>
          </cell>
          <cell r="B55">
            <v>43</v>
          </cell>
          <cell r="C55">
            <v>43</v>
          </cell>
          <cell r="D55">
            <v>60</v>
          </cell>
        </row>
        <row r="56">
          <cell r="A56" t="str">
            <v>LM3T</v>
          </cell>
          <cell r="B56">
            <v>53</v>
          </cell>
          <cell r="C56">
            <v>53</v>
          </cell>
          <cell r="D56">
            <v>36</v>
          </cell>
        </row>
        <row r="57">
          <cell r="A57" t="str">
            <v>LM4O</v>
          </cell>
          <cell r="B57">
            <v>69</v>
          </cell>
          <cell r="C57">
            <v>69</v>
          </cell>
          <cell r="D57">
            <v>36</v>
          </cell>
        </row>
        <row r="58">
          <cell r="A58" t="str">
            <v>LM5W</v>
          </cell>
          <cell r="B58">
            <v>81</v>
          </cell>
          <cell r="C58">
            <v>81</v>
          </cell>
          <cell r="D58">
            <v>48</v>
          </cell>
        </row>
        <row r="59">
          <cell r="A59" t="str">
            <v>LM6M</v>
          </cell>
          <cell r="B59">
            <v>147</v>
          </cell>
          <cell r="C59">
            <v>147</v>
          </cell>
          <cell r="D59">
            <v>24</v>
          </cell>
        </row>
        <row r="60">
          <cell r="A60" t="str">
            <v>LM7S</v>
          </cell>
          <cell r="B60">
            <v>107</v>
          </cell>
          <cell r="C60">
            <v>107</v>
          </cell>
          <cell r="D60">
            <v>24</v>
          </cell>
        </row>
        <row r="61">
          <cell r="A61" t="str">
            <v>LM8SA</v>
          </cell>
          <cell r="B61">
            <v>101</v>
          </cell>
          <cell r="C61">
            <v>101</v>
          </cell>
          <cell r="D61">
            <v>48</v>
          </cell>
        </row>
        <row r="62">
          <cell r="A62" t="str">
            <v>SU45B</v>
          </cell>
          <cell r="B62">
            <v>931</v>
          </cell>
          <cell r="C62">
            <v>931</v>
          </cell>
          <cell r="D62">
            <v>4</v>
          </cell>
        </row>
        <row r="63">
          <cell r="A63" t="str">
            <v>RD8</v>
          </cell>
          <cell r="B63">
            <v>111</v>
          </cell>
          <cell r="C63">
            <v>111</v>
          </cell>
          <cell r="D63">
            <v>30</v>
          </cell>
        </row>
        <row r="65">
          <cell r="A65" t="str">
            <v>DS1</v>
          </cell>
          <cell r="B65">
            <v>191</v>
          </cell>
          <cell r="C65">
            <v>191</v>
          </cell>
          <cell r="D65">
            <v>40</v>
          </cell>
        </row>
        <row r="66">
          <cell r="A66" t="str">
            <v>RB1</v>
          </cell>
          <cell r="B66">
            <v>356</v>
          </cell>
          <cell r="C66">
            <v>356</v>
          </cell>
          <cell r="D66">
            <v>20</v>
          </cell>
        </row>
        <row r="67">
          <cell r="A67" t="str">
            <v>FPS1</v>
          </cell>
          <cell r="B67">
            <v>127</v>
          </cell>
          <cell r="C67">
            <v>127</v>
          </cell>
          <cell r="D67">
            <v>20</v>
          </cell>
        </row>
        <row r="69">
          <cell r="A69" t="str">
            <v>VP90</v>
          </cell>
          <cell r="B69">
            <v>30</v>
          </cell>
          <cell r="C69">
            <v>30</v>
          </cell>
          <cell r="D69">
            <v>80</v>
          </cell>
        </row>
        <row r="70">
          <cell r="A70" t="str">
            <v>VP70</v>
          </cell>
          <cell r="B70">
            <v>22</v>
          </cell>
          <cell r="C70">
            <v>22</v>
          </cell>
          <cell r="D70">
            <v>72</v>
          </cell>
        </row>
        <row r="71">
          <cell r="A71" t="str">
            <v>VP70W</v>
          </cell>
          <cell r="B71">
            <v>29</v>
          </cell>
          <cell r="C71">
            <v>29</v>
          </cell>
          <cell r="D71">
            <v>72</v>
          </cell>
        </row>
        <row r="72">
          <cell r="A72" t="str">
            <v>VP40</v>
          </cell>
          <cell r="B72">
            <v>16</v>
          </cell>
          <cell r="C72">
            <v>16</v>
          </cell>
          <cell r="D72">
            <v>100</v>
          </cell>
        </row>
        <row r="73">
          <cell r="A73" t="str">
            <v>VP40/20</v>
          </cell>
          <cell r="B73">
            <v>386</v>
          </cell>
          <cell r="C73">
            <v>386</v>
          </cell>
          <cell r="D73">
            <v>10</v>
          </cell>
        </row>
        <row r="74">
          <cell r="A74" t="str">
            <v>VP40W</v>
          </cell>
          <cell r="B74">
            <v>29</v>
          </cell>
          <cell r="C74">
            <v>29</v>
          </cell>
          <cell r="D74">
            <v>100</v>
          </cell>
        </row>
        <row r="75">
          <cell r="A75" t="str">
            <v>VP28</v>
          </cell>
          <cell r="B75">
            <v>185</v>
          </cell>
          <cell r="C75">
            <v>185</v>
          </cell>
          <cell r="D75">
            <v>10</v>
          </cell>
        </row>
        <row r="76">
          <cell r="A76" t="str">
            <v>VP16A</v>
          </cell>
          <cell r="B76">
            <v>78</v>
          </cell>
          <cell r="C76">
            <v>78</v>
          </cell>
          <cell r="D76">
            <v>40</v>
          </cell>
        </row>
        <row r="77">
          <cell r="A77" t="str">
            <v>VP16A(1)</v>
          </cell>
          <cell r="B77">
            <v>140</v>
          </cell>
          <cell r="C77">
            <v>140</v>
          </cell>
          <cell r="D77">
            <v>20</v>
          </cell>
        </row>
        <row r="79">
          <cell r="A79" t="str">
            <v>VP28N</v>
          </cell>
          <cell r="B79">
            <v>39</v>
          </cell>
          <cell r="C79">
            <v>39</v>
          </cell>
          <cell r="D79">
            <v>100</v>
          </cell>
        </row>
        <row r="80">
          <cell r="A80" t="str">
            <v>VP40N</v>
          </cell>
          <cell r="B80">
            <v>34</v>
          </cell>
          <cell r="C80">
            <v>34</v>
          </cell>
          <cell r="D80">
            <v>50</v>
          </cell>
        </row>
        <row r="81">
          <cell r="A81" t="str">
            <v>VP12MIX</v>
          </cell>
          <cell r="B81">
            <v>127</v>
          </cell>
          <cell r="C81">
            <v>127</v>
          </cell>
          <cell r="D81">
            <v>12</v>
          </cell>
        </row>
        <row r="82">
          <cell r="A82" t="str">
            <v>SPRS1E</v>
          </cell>
          <cell r="B82">
            <v>4999</v>
          </cell>
          <cell r="C82">
            <v>4999</v>
          </cell>
          <cell r="D82">
            <v>1</v>
          </cell>
        </row>
        <row r="84">
          <cell r="A84" t="str">
            <v>D1D</v>
          </cell>
          <cell r="B84">
            <v>166</v>
          </cell>
          <cell r="C84">
            <v>166</v>
          </cell>
          <cell r="D84">
            <v>20</v>
          </cell>
        </row>
        <row r="85">
          <cell r="A85" t="str">
            <v>D1M</v>
          </cell>
          <cell r="B85">
            <v>404</v>
          </cell>
          <cell r="C85">
            <v>404</v>
          </cell>
          <cell r="D85">
            <v>8</v>
          </cell>
        </row>
        <row r="86">
          <cell r="A86" t="str">
            <v>D2C</v>
          </cell>
          <cell r="B86">
            <v>94</v>
          </cell>
          <cell r="C86">
            <v>94</v>
          </cell>
          <cell r="D86">
            <v>36</v>
          </cell>
        </row>
        <row r="87">
          <cell r="A87" t="str">
            <v>D2CN(1)</v>
          </cell>
          <cell r="B87">
            <v>94</v>
          </cell>
          <cell r="C87">
            <v>94</v>
          </cell>
          <cell r="D87">
            <v>36</v>
          </cell>
        </row>
        <row r="88">
          <cell r="A88" t="str">
            <v>D3SK</v>
          </cell>
          <cell r="B88">
            <v>52</v>
          </cell>
          <cell r="C88">
            <v>52</v>
          </cell>
          <cell r="D88">
            <v>72</v>
          </cell>
        </row>
        <row r="89">
          <cell r="A89" t="str">
            <v>RDG1B</v>
          </cell>
          <cell r="B89">
            <v>239</v>
          </cell>
          <cell r="C89">
            <v>239</v>
          </cell>
          <cell r="D89">
            <v>12</v>
          </cell>
        </row>
        <row r="90">
          <cell r="A90" t="str">
            <v>RDG1C</v>
          </cell>
          <cell r="B90">
            <v>239</v>
          </cell>
          <cell r="C90">
            <v>239</v>
          </cell>
          <cell r="D90">
            <v>12</v>
          </cell>
        </row>
        <row r="91">
          <cell r="A91" t="str">
            <v>RDG1M</v>
          </cell>
          <cell r="B91">
            <v>239</v>
          </cell>
          <cell r="C91">
            <v>239</v>
          </cell>
          <cell r="D91">
            <v>12</v>
          </cell>
        </row>
        <row r="92">
          <cell r="A92" t="str">
            <v>RDG1ZL</v>
          </cell>
          <cell r="B92">
            <v>63</v>
          </cell>
          <cell r="C92">
            <v>63</v>
          </cell>
          <cell r="D92">
            <v>50</v>
          </cell>
        </row>
        <row r="93">
          <cell r="A93" t="str">
            <v>RDG1ZL(1)</v>
          </cell>
          <cell r="B93">
            <v>63</v>
          </cell>
          <cell r="C93">
            <v>63</v>
          </cell>
          <cell r="D93">
            <v>50</v>
          </cell>
        </row>
        <row r="94">
          <cell r="A94" t="str">
            <v>RDG1ZE</v>
          </cell>
          <cell r="B94">
            <v>239</v>
          </cell>
          <cell r="C94">
            <v>239</v>
          </cell>
          <cell r="D94">
            <v>12</v>
          </cell>
        </row>
        <row r="95">
          <cell r="A95" t="str">
            <v>RDG2B</v>
          </cell>
          <cell r="B95">
            <v>121</v>
          </cell>
          <cell r="C95">
            <v>121</v>
          </cell>
          <cell r="D95">
            <v>50</v>
          </cell>
        </row>
        <row r="96">
          <cell r="A96" t="str">
            <v>RDG2C</v>
          </cell>
          <cell r="B96">
            <v>121</v>
          </cell>
          <cell r="C96">
            <v>121</v>
          </cell>
          <cell r="D96">
            <v>50</v>
          </cell>
        </row>
        <row r="97">
          <cell r="A97" t="str">
            <v>RDG2M</v>
          </cell>
          <cell r="B97">
            <v>121</v>
          </cell>
          <cell r="C97">
            <v>121</v>
          </cell>
          <cell r="D97">
            <v>50</v>
          </cell>
        </row>
        <row r="99">
          <cell r="A99" t="str">
            <v>RDG60B(SH)</v>
          </cell>
          <cell r="B99">
            <v>277</v>
          </cell>
          <cell r="C99">
            <v>277</v>
          </cell>
          <cell r="D99">
            <v>20</v>
          </cell>
        </row>
        <row r="100">
          <cell r="A100" t="str">
            <v>RDG60ZL(SH)</v>
          </cell>
          <cell r="B100">
            <v>277</v>
          </cell>
          <cell r="C100">
            <v>277</v>
          </cell>
          <cell r="D100">
            <v>20</v>
          </cell>
        </row>
        <row r="101">
          <cell r="A101" t="str">
            <v>RDG60R(SH)</v>
          </cell>
          <cell r="B101">
            <v>277</v>
          </cell>
          <cell r="C101">
            <v>277</v>
          </cell>
          <cell r="D101">
            <v>20</v>
          </cell>
        </row>
        <row r="102">
          <cell r="A102" t="str">
            <v>RDG60ZEOCER(SH)</v>
          </cell>
          <cell r="B102">
            <v>169</v>
          </cell>
          <cell r="C102">
            <v>169</v>
          </cell>
          <cell r="D102">
            <v>36</v>
          </cell>
        </row>
        <row r="104">
          <cell r="A104" t="str">
            <v>RDG1ZL-P</v>
          </cell>
          <cell r="B104">
            <v>370</v>
          </cell>
          <cell r="C104">
            <v>370</v>
          </cell>
          <cell r="D104">
            <v>25</v>
          </cell>
        </row>
        <row r="105">
          <cell r="A105" t="str">
            <v>RDG1ZL-P(1)</v>
          </cell>
          <cell r="B105">
            <v>370</v>
          </cell>
          <cell r="C105">
            <v>370</v>
          </cell>
          <cell r="D105">
            <v>25</v>
          </cell>
        </row>
        <row r="106">
          <cell r="A106" t="str">
            <v>RDG1O-P</v>
          </cell>
          <cell r="B106">
            <v>370</v>
          </cell>
          <cell r="C106">
            <v>370</v>
          </cell>
          <cell r="D106">
            <v>25</v>
          </cell>
        </row>
        <row r="107">
          <cell r="A107" t="str">
            <v>RDG1O-P(1)</v>
          </cell>
          <cell r="B107">
            <v>370</v>
          </cell>
          <cell r="C107">
            <v>370</v>
          </cell>
          <cell r="D107">
            <v>25</v>
          </cell>
        </row>
        <row r="109">
          <cell r="A109" t="str">
            <v>RDP60M</v>
          </cell>
          <cell r="B109">
            <v>362</v>
          </cell>
          <cell r="C109">
            <v>362</v>
          </cell>
          <cell r="D109">
            <v>20</v>
          </cell>
        </row>
        <row r="110">
          <cell r="A110" t="str">
            <v>HDP60B</v>
          </cell>
          <cell r="B110">
            <v>307</v>
          </cell>
          <cell r="C110">
            <v>307</v>
          </cell>
          <cell r="D110">
            <v>20</v>
          </cell>
        </row>
        <row r="111">
          <cell r="A111" t="str">
            <v>HDP60C</v>
          </cell>
          <cell r="B111">
            <v>307</v>
          </cell>
          <cell r="C111">
            <v>307</v>
          </cell>
          <cell r="D111">
            <v>20</v>
          </cell>
        </row>
        <row r="112">
          <cell r="A112" t="str">
            <v>HDP60M</v>
          </cell>
          <cell r="B112">
            <v>307</v>
          </cell>
          <cell r="C112">
            <v>307</v>
          </cell>
          <cell r="D112">
            <v>20</v>
          </cell>
        </row>
        <row r="113">
          <cell r="A113" t="str">
            <v>HDP60ZE</v>
          </cell>
          <cell r="B113">
            <v>307</v>
          </cell>
          <cell r="C113">
            <v>307</v>
          </cell>
          <cell r="D113">
            <v>20</v>
          </cell>
        </row>
        <row r="115">
          <cell r="A115" t="str">
            <v>P40C25</v>
          </cell>
          <cell r="B115">
            <v>239</v>
          </cell>
          <cell r="C115">
            <v>239</v>
          </cell>
          <cell r="D115">
            <v>20</v>
          </cell>
        </row>
        <row r="116">
          <cell r="A116" t="str">
            <v>P40Z25</v>
          </cell>
          <cell r="B116">
            <v>239</v>
          </cell>
          <cell r="C116">
            <v>239</v>
          </cell>
          <cell r="D116">
            <v>20</v>
          </cell>
        </row>
        <row r="117">
          <cell r="A117" t="str">
            <v>P40B25</v>
          </cell>
          <cell r="B117">
            <v>239</v>
          </cell>
          <cell r="C117">
            <v>239</v>
          </cell>
          <cell r="D117">
            <v>20</v>
          </cell>
        </row>
        <row r="118">
          <cell r="A118" t="str">
            <v>P40MO25</v>
          </cell>
          <cell r="B118">
            <v>239</v>
          </cell>
          <cell r="C118">
            <v>239</v>
          </cell>
          <cell r="D118">
            <v>20</v>
          </cell>
        </row>
        <row r="119">
          <cell r="A119" t="str">
            <v>SP60S</v>
          </cell>
          <cell r="B119">
            <v>142</v>
          </cell>
          <cell r="C119">
            <v>142</v>
          </cell>
          <cell r="D119">
            <v>100</v>
          </cell>
        </row>
        <row r="120">
          <cell r="A120" t="str">
            <v>BP60S</v>
          </cell>
          <cell r="B120">
            <v>91</v>
          </cell>
          <cell r="C120">
            <v>91</v>
          </cell>
          <cell r="D120">
            <v>30</v>
          </cell>
        </row>
        <row r="122">
          <cell r="A122" t="str">
            <v>S90S</v>
          </cell>
          <cell r="B122">
            <v>79</v>
          </cell>
          <cell r="C122">
            <v>79</v>
          </cell>
          <cell r="D122">
            <v>36</v>
          </cell>
        </row>
        <row r="123">
          <cell r="A123" t="str">
            <v>S60S</v>
          </cell>
          <cell r="B123">
            <v>97</v>
          </cell>
          <cell r="C123">
            <v>97</v>
          </cell>
          <cell r="D123">
            <v>30</v>
          </cell>
        </row>
        <row r="125">
          <cell r="A125" t="str">
            <v>F1M</v>
          </cell>
          <cell r="B125">
            <v>119</v>
          </cell>
          <cell r="C125">
            <v>119</v>
          </cell>
          <cell r="D125">
            <v>36</v>
          </cell>
        </row>
        <row r="126">
          <cell r="A126" t="str">
            <v>F2M</v>
          </cell>
          <cell r="B126">
            <v>105</v>
          </cell>
          <cell r="C126">
            <v>105</v>
          </cell>
          <cell r="D126">
            <v>50</v>
          </cell>
        </row>
        <row r="127">
          <cell r="A127" t="str">
            <v>F3CC</v>
          </cell>
          <cell r="B127">
            <v>80</v>
          </cell>
          <cell r="C127">
            <v>80</v>
          </cell>
          <cell r="D127">
            <v>48</v>
          </cell>
        </row>
        <row r="128">
          <cell r="A128" t="str">
            <v>F6K</v>
          </cell>
          <cell r="B128">
            <v>135</v>
          </cell>
          <cell r="C128">
            <v>135</v>
          </cell>
          <cell r="D128">
            <v>12</v>
          </cell>
        </row>
        <row r="129">
          <cell r="A129" t="str">
            <v>F16CS</v>
          </cell>
          <cell r="B129">
            <v>166</v>
          </cell>
          <cell r="C129">
            <v>166</v>
          </cell>
          <cell r="D129">
            <v>20</v>
          </cell>
        </row>
        <row r="130">
          <cell r="A130" t="str">
            <v>F8B</v>
          </cell>
          <cell r="B130">
            <v>67</v>
          </cell>
          <cell r="C130">
            <v>67</v>
          </cell>
          <cell r="D130">
            <v>50</v>
          </cell>
        </row>
        <row r="131">
          <cell r="A131" t="str">
            <v>F10E</v>
          </cell>
          <cell r="B131">
            <v>103</v>
          </cell>
          <cell r="C131">
            <v>103</v>
          </cell>
          <cell r="D131">
            <v>36</v>
          </cell>
        </row>
        <row r="132">
          <cell r="A132" t="str">
            <v>F11M</v>
          </cell>
          <cell r="B132">
            <v>184</v>
          </cell>
          <cell r="C132">
            <v>184</v>
          </cell>
          <cell r="D132">
            <v>12</v>
          </cell>
        </row>
        <row r="133">
          <cell r="A133" t="str">
            <v>F14R</v>
          </cell>
          <cell r="B133">
            <v>294</v>
          </cell>
          <cell r="C133">
            <v>294</v>
          </cell>
          <cell r="D133">
            <v>8</v>
          </cell>
        </row>
        <row r="134">
          <cell r="A134" t="str">
            <v>F14R F</v>
          </cell>
          <cell r="B134">
            <v>530</v>
          </cell>
          <cell r="C134">
            <v>530</v>
          </cell>
          <cell r="D134">
            <v>4</v>
          </cell>
        </row>
        <row r="135">
          <cell r="A135" t="str">
            <v>F17S</v>
          </cell>
          <cell r="B135">
            <v>215</v>
          </cell>
          <cell r="C135">
            <v>215</v>
          </cell>
          <cell r="D135">
            <v>10</v>
          </cell>
        </row>
        <row r="136">
          <cell r="A136" t="str">
            <v>F18NB</v>
          </cell>
          <cell r="B136">
            <v>257</v>
          </cell>
          <cell r="C136">
            <v>257</v>
          </cell>
          <cell r="D136">
            <v>12</v>
          </cell>
        </row>
        <row r="137">
          <cell r="A137" t="str">
            <v>F216M</v>
          </cell>
          <cell r="B137">
            <v>301</v>
          </cell>
          <cell r="C137">
            <v>301</v>
          </cell>
          <cell r="D137">
            <v>15</v>
          </cell>
        </row>
        <row r="138">
          <cell r="A138" t="str">
            <v>RK25002F</v>
          </cell>
          <cell r="B138">
            <v>348</v>
          </cell>
          <cell r="C138">
            <v>348</v>
          </cell>
          <cell r="D138">
            <v>24</v>
          </cell>
        </row>
        <row r="140">
          <cell r="A140" t="str">
            <v>F100C</v>
          </cell>
          <cell r="B140">
            <v>189</v>
          </cell>
          <cell r="C140">
            <v>189</v>
          </cell>
          <cell r="D140">
            <v>20</v>
          </cell>
        </row>
        <row r="141">
          <cell r="A141" t="str">
            <v>F100DC</v>
          </cell>
          <cell r="B141">
            <v>140</v>
          </cell>
          <cell r="C141">
            <v>140</v>
          </cell>
          <cell r="D141">
            <v>20</v>
          </cell>
        </row>
        <row r="142">
          <cell r="A142" t="str">
            <v>F250SC</v>
          </cell>
          <cell r="B142">
            <v>131</v>
          </cell>
          <cell r="C142">
            <v>131</v>
          </cell>
          <cell r="D142">
            <v>25</v>
          </cell>
        </row>
        <row r="143">
          <cell r="A143" t="str">
            <v>F250C</v>
          </cell>
          <cell r="B143">
            <v>131</v>
          </cell>
          <cell r="C143">
            <v>131</v>
          </cell>
          <cell r="D143">
            <v>25</v>
          </cell>
        </row>
        <row r="144">
          <cell r="A144" t="str">
            <v>F500SIG</v>
          </cell>
          <cell r="B144">
            <v>424</v>
          </cell>
          <cell r="C144">
            <v>424</v>
          </cell>
          <cell r="D144">
            <v>15</v>
          </cell>
        </row>
        <row r="145">
          <cell r="A145" t="str">
            <v>F500SS</v>
          </cell>
          <cell r="B145">
            <v>315</v>
          </cell>
          <cell r="C145">
            <v>315</v>
          </cell>
          <cell r="D145">
            <v>15</v>
          </cell>
        </row>
        <row r="146">
          <cell r="A146" t="str">
            <v>F500C</v>
          </cell>
          <cell r="B146">
            <v>315</v>
          </cell>
          <cell r="C146">
            <v>315</v>
          </cell>
          <cell r="D146">
            <v>15</v>
          </cell>
        </row>
        <row r="147">
          <cell r="A147" t="str">
            <v>F1000SS</v>
          </cell>
          <cell r="B147">
            <v>259</v>
          </cell>
          <cell r="C147">
            <v>259</v>
          </cell>
          <cell r="D147">
            <v>12</v>
          </cell>
        </row>
        <row r="148">
          <cell r="A148" t="str">
            <v>F1500C</v>
          </cell>
          <cell r="B148">
            <v>306</v>
          </cell>
          <cell r="C148">
            <v>306</v>
          </cell>
          <cell r="D148">
            <v>12</v>
          </cell>
        </row>
        <row r="150">
          <cell r="A150" t="str">
            <v>F3N</v>
          </cell>
          <cell r="B150">
            <v>60</v>
          </cell>
          <cell r="C150">
            <v>60</v>
          </cell>
          <cell r="D150">
            <v>48</v>
          </cell>
        </row>
        <row r="151">
          <cell r="A151" t="str">
            <v>DF10CM</v>
          </cell>
          <cell r="B151">
            <v>28</v>
          </cell>
          <cell r="C151">
            <v>28</v>
          </cell>
          <cell r="D151">
            <v>100</v>
          </cell>
        </row>
        <row r="152">
          <cell r="A152" t="str">
            <v>DF20CM</v>
          </cell>
          <cell r="B152">
            <v>50</v>
          </cell>
          <cell r="C152">
            <v>50</v>
          </cell>
          <cell r="D152">
            <v>50</v>
          </cell>
        </row>
        <row r="153">
          <cell r="A153" t="str">
            <v>DF30CM</v>
          </cell>
          <cell r="B153">
            <v>69</v>
          </cell>
          <cell r="C153">
            <v>69</v>
          </cell>
          <cell r="D153">
            <v>50</v>
          </cell>
        </row>
        <row r="155">
          <cell r="A155" t="str">
            <v>CON80P</v>
          </cell>
          <cell r="B155">
            <v>88</v>
          </cell>
          <cell r="C155">
            <v>88</v>
          </cell>
          <cell r="D155">
            <v>36</v>
          </cell>
        </row>
        <row r="157">
          <cell r="A157" t="str">
            <v>R4420B</v>
          </cell>
          <cell r="B157">
            <v>76</v>
          </cell>
          <cell r="C157">
            <v>76</v>
          </cell>
          <cell r="D157">
            <v>24</v>
          </cell>
        </row>
        <row r="158">
          <cell r="A158" t="str">
            <v>R7040C</v>
          </cell>
          <cell r="B158">
            <v>75</v>
          </cell>
          <cell r="C158">
            <v>75</v>
          </cell>
          <cell r="D158">
            <v>36</v>
          </cell>
        </row>
        <row r="160">
          <cell r="A160" t="str">
            <v>R5410B</v>
          </cell>
          <cell r="B160">
            <v>58</v>
          </cell>
          <cell r="C160">
            <v>58</v>
          </cell>
          <cell r="D160">
            <v>40</v>
          </cell>
        </row>
        <row r="161">
          <cell r="A161" t="str">
            <v>R5420K</v>
          </cell>
          <cell r="B161">
            <v>226</v>
          </cell>
          <cell r="C161">
            <v>226</v>
          </cell>
          <cell r="D161">
            <v>15</v>
          </cell>
        </row>
        <row r="162">
          <cell r="A162" t="str">
            <v>R7020K</v>
          </cell>
          <cell r="B162">
            <v>239</v>
          </cell>
          <cell r="C162">
            <v>239</v>
          </cell>
          <cell r="D162">
            <v>15</v>
          </cell>
        </row>
        <row r="163">
          <cell r="A163" t="str">
            <v>R6020B</v>
          </cell>
          <cell r="B163">
            <v>206</v>
          </cell>
          <cell r="C163">
            <v>206</v>
          </cell>
          <cell r="D163">
            <v>15</v>
          </cell>
        </row>
        <row r="164">
          <cell r="A164" t="str">
            <v>R6520BK/2</v>
          </cell>
          <cell r="B164">
            <v>106</v>
          </cell>
          <cell r="C164">
            <v>106</v>
          </cell>
          <cell r="D164">
            <v>25</v>
          </cell>
        </row>
        <row r="165">
          <cell r="A165" t="str">
            <v>R6020M</v>
          </cell>
          <cell r="B165">
            <v>110</v>
          </cell>
          <cell r="C165">
            <v>110</v>
          </cell>
          <cell r="D165">
            <v>30</v>
          </cell>
        </row>
        <row r="166">
          <cell r="A166" t="str">
            <v>R7020M</v>
          </cell>
          <cell r="B166">
            <v>241</v>
          </cell>
          <cell r="C166">
            <v>241</v>
          </cell>
          <cell r="D166">
            <v>15</v>
          </cell>
        </row>
        <row r="168">
          <cell r="A168" t="str">
            <v>R60508E</v>
          </cell>
          <cell r="B168">
            <v>126</v>
          </cell>
          <cell r="C168">
            <v>126</v>
          </cell>
          <cell r="D168">
            <v>24</v>
          </cell>
        </row>
        <row r="169">
          <cell r="A169" t="str">
            <v>R6508S</v>
          </cell>
          <cell r="B169">
            <v>206</v>
          </cell>
          <cell r="C169">
            <v>206</v>
          </cell>
          <cell r="D169">
            <v>24</v>
          </cell>
        </row>
        <row r="170">
          <cell r="A170" t="str">
            <v>R75508SIG</v>
          </cell>
          <cell r="B170">
            <v>149</v>
          </cell>
          <cell r="C170">
            <v>149</v>
          </cell>
          <cell r="D170">
            <v>24</v>
          </cell>
        </row>
        <row r="172">
          <cell r="A172" t="str">
            <v>R5808D</v>
          </cell>
          <cell r="B172">
            <v>96</v>
          </cell>
          <cell r="C172">
            <v>96</v>
          </cell>
          <cell r="D172">
            <v>48</v>
          </cell>
        </row>
        <row r="173">
          <cell r="A173" t="str">
            <v>R6008E</v>
          </cell>
          <cell r="B173">
            <v>88</v>
          </cell>
          <cell r="C173">
            <v>88</v>
          </cell>
          <cell r="D173">
            <v>24</v>
          </cell>
        </row>
        <row r="174">
          <cell r="A174" t="str">
            <v>R6008M</v>
          </cell>
          <cell r="B174">
            <v>190</v>
          </cell>
          <cell r="C174">
            <v>190</v>
          </cell>
          <cell r="D174">
            <v>24</v>
          </cell>
        </row>
        <row r="175">
          <cell r="A175" t="str">
            <v>R7508E</v>
          </cell>
          <cell r="B175">
            <v>179</v>
          </cell>
          <cell r="C175">
            <v>179</v>
          </cell>
          <cell r="D175">
            <v>24</v>
          </cell>
        </row>
        <row r="176">
          <cell r="A176" t="str">
            <v>R7508SIG</v>
          </cell>
          <cell r="B176">
            <v>209</v>
          </cell>
          <cell r="C176">
            <v>209</v>
          </cell>
          <cell r="D176">
            <v>24</v>
          </cell>
        </row>
        <row r="178">
          <cell r="A178" t="str">
            <v>R7538S</v>
          </cell>
          <cell r="B178">
            <v>139</v>
          </cell>
          <cell r="C178">
            <v>139</v>
          </cell>
          <cell r="D178">
            <v>25</v>
          </cell>
        </row>
        <row r="179">
          <cell r="A179" t="str">
            <v>R7538I</v>
          </cell>
          <cell r="B179">
            <v>128</v>
          </cell>
          <cell r="C179">
            <v>128</v>
          </cell>
          <cell r="D179">
            <v>25</v>
          </cell>
        </row>
        <row r="181">
          <cell r="A181" t="str">
            <v>GAT300</v>
          </cell>
          <cell r="B181">
            <v>439</v>
          </cell>
          <cell r="C181">
            <v>439</v>
          </cell>
          <cell r="D181">
            <v>8</v>
          </cell>
        </row>
        <row r="182">
          <cell r="A182" t="str">
            <v>R100M</v>
          </cell>
          <cell r="B182">
            <v>65</v>
          </cell>
          <cell r="C182">
            <v>65</v>
          </cell>
          <cell r="D182">
            <v>40</v>
          </cell>
        </row>
        <row r="184">
          <cell r="A184" t="str">
            <v>SS14D</v>
          </cell>
          <cell r="B184">
            <v>88</v>
          </cell>
          <cell r="C184">
            <v>88</v>
          </cell>
          <cell r="D184">
            <v>40</v>
          </cell>
        </row>
        <row r="185">
          <cell r="A185" t="str">
            <v>SS20D</v>
          </cell>
          <cell r="B185">
            <v>115</v>
          </cell>
          <cell r="C185">
            <v>115</v>
          </cell>
          <cell r="D185">
            <v>30</v>
          </cell>
        </row>
        <row r="186">
          <cell r="A186" t="str">
            <v>SS20SIG14</v>
          </cell>
          <cell r="B186">
            <v>115</v>
          </cell>
          <cell r="C186">
            <v>115</v>
          </cell>
          <cell r="D186">
            <v>30</v>
          </cell>
        </row>
        <row r="187">
          <cell r="A187" t="str">
            <v>SS25SC</v>
          </cell>
          <cell r="B187">
            <v>151</v>
          </cell>
          <cell r="C187">
            <v>151</v>
          </cell>
          <cell r="D187">
            <v>24</v>
          </cell>
        </row>
        <row r="188">
          <cell r="A188" t="str">
            <v>SS25SIG14</v>
          </cell>
          <cell r="B188">
            <v>114</v>
          </cell>
          <cell r="C188">
            <v>114</v>
          </cell>
          <cell r="D188">
            <v>24</v>
          </cell>
        </row>
        <row r="189">
          <cell r="A189" t="str">
            <v>SS25DU14</v>
          </cell>
          <cell r="B189">
            <v>114</v>
          </cell>
          <cell r="C189">
            <v>114</v>
          </cell>
          <cell r="D189">
            <v>24</v>
          </cell>
        </row>
        <row r="190">
          <cell r="A190" t="str">
            <v>SS30A14</v>
          </cell>
          <cell r="B190">
            <v>117</v>
          </cell>
          <cell r="C190">
            <v>117</v>
          </cell>
          <cell r="D190">
            <v>30</v>
          </cell>
        </row>
        <row r="191">
          <cell r="A191" t="str">
            <v>SS30SIGF2</v>
          </cell>
          <cell r="B191">
            <v>135</v>
          </cell>
          <cell r="C191">
            <v>135</v>
          </cell>
          <cell r="D191">
            <v>30</v>
          </cell>
        </row>
        <row r="193">
          <cell r="A193" t="str">
            <v>SS30D</v>
          </cell>
          <cell r="B193">
            <v>125</v>
          </cell>
          <cell r="C193">
            <v>125</v>
          </cell>
          <cell r="D193">
            <v>30</v>
          </cell>
        </row>
        <row r="194">
          <cell r="A194" t="str">
            <v>SS30A</v>
          </cell>
          <cell r="B194">
            <v>117</v>
          </cell>
          <cell r="C194">
            <v>117</v>
          </cell>
          <cell r="D194">
            <v>30</v>
          </cell>
        </row>
        <row r="195">
          <cell r="A195" t="str">
            <v>SS37K</v>
          </cell>
          <cell r="B195">
            <v>220</v>
          </cell>
          <cell r="C195">
            <v>220</v>
          </cell>
          <cell r="D195">
            <v>18</v>
          </cell>
        </row>
        <row r="196">
          <cell r="A196" t="str">
            <v>SS50K</v>
          </cell>
          <cell r="B196">
            <v>458</v>
          </cell>
          <cell r="C196">
            <v>458</v>
          </cell>
          <cell r="D196">
            <v>9</v>
          </cell>
        </row>
        <row r="198">
          <cell r="A198" t="str">
            <v>SS50NO14</v>
          </cell>
          <cell r="B198">
            <v>319</v>
          </cell>
          <cell r="C198">
            <v>319</v>
          </cell>
          <cell r="D198">
            <v>9</v>
          </cell>
        </row>
        <row r="199">
          <cell r="A199" t="str">
            <v>SS50DU14</v>
          </cell>
          <cell r="B199">
            <v>319</v>
          </cell>
          <cell r="C199">
            <v>319</v>
          </cell>
          <cell r="D199">
            <v>9</v>
          </cell>
        </row>
        <row r="201">
          <cell r="A201" t="str">
            <v>C320D</v>
          </cell>
          <cell r="B201">
            <v>186</v>
          </cell>
          <cell r="C201">
            <v>186</v>
          </cell>
          <cell r="D201">
            <v>20</v>
          </cell>
        </row>
        <row r="202">
          <cell r="A202" t="str">
            <v>C320B</v>
          </cell>
          <cell r="B202">
            <v>186</v>
          </cell>
          <cell r="C202">
            <v>186</v>
          </cell>
          <cell r="D202">
            <v>20</v>
          </cell>
        </row>
        <row r="203">
          <cell r="A203" t="str">
            <v>C320X14</v>
          </cell>
          <cell r="B203">
            <v>186</v>
          </cell>
          <cell r="C203">
            <v>186</v>
          </cell>
          <cell r="D203">
            <v>20</v>
          </cell>
        </row>
        <row r="205">
          <cell r="A205" t="str">
            <v>C330D</v>
          </cell>
          <cell r="B205">
            <v>109</v>
          </cell>
          <cell r="C205">
            <v>109</v>
          </cell>
          <cell r="D205">
            <v>18</v>
          </cell>
        </row>
        <row r="206">
          <cell r="A206" t="str">
            <v>C330B</v>
          </cell>
          <cell r="B206">
            <v>109</v>
          </cell>
          <cell r="C206">
            <v>109</v>
          </cell>
          <cell r="D206">
            <v>18</v>
          </cell>
        </row>
        <row r="208">
          <cell r="A208" t="str">
            <v>CS2BB</v>
          </cell>
          <cell r="B208">
            <v>1556</v>
          </cell>
          <cell r="C208">
            <v>1556</v>
          </cell>
          <cell r="D208">
            <v>4</v>
          </cell>
        </row>
        <row r="210">
          <cell r="A210" t="str">
            <v>K0203BP</v>
          </cell>
          <cell r="B210">
            <v>64</v>
          </cell>
          <cell r="C210">
            <v>64</v>
          </cell>
          <cell r="D210">
            <v>50</v>
          </cell>
        </row>
        <row r="211">
          <cell r="A211" t="str">
            <v>P05DSP1</v>
          </cell>
          <cell r="B211">
            <v>58</v>
          </cell>
          <cell r="C211">
            <v>58</v>
          </cell>
          <cell r="D211">
            <v>200</v>
          </cell>
        </row>
        <row r="212">
          <cell r="A212" t="str">
            <v>P10D20SP1</v>
          </cell>
          <cell r="B212">
            <v>98</v>
          </cell>
          <cell r="C212">
            <v>98</v>
          </cell>
          <cell r="D212">
            <v>100</v>
          </cell>
        </row>
        <row r="214">
          <cell r="A214" t="str">
            <v>P1D</v>
          </cell>
          <cell r="B214">
            <v>439</v>
          </cell>
          <cell r="C214">
            <v>439</v>
          </cell>
          <cell r="D214">
            <v>6</v>
          </cell>
        </row>
        <row r="215">
          <cell r="A215" t="str">
            <v>P2D</v>
          </cell>
          <cell r="B215">
            <v>530</v>
          </cell>
          <cell r="C215">
            <v>530</v>
          </cell>
          <cell r="D215">
            <v>6</v>
          </cell>
        </row>
        <row r="216">
          <cell r="A216" t="str">
            <v>K0203K</v>
          </cell>
          <cell r="B216">
            <v>43</v>
          </cell>
          <cell r="C216">
            <v>43</v>
          </cell>
          <cell r="D216">
            <v>50</v>
          </cell>
        </row>
        <row r="217">
          <cell r="A217" t="str">
            <v>K0203KB</v>
          </cell>
          <cell r="B217">
            <v>25</v>
          </cell>
          <cell r="C217">
            <v>25</v>
          </cell>
          <cell r="D217">
            <v>100</v>
          </cell>
        </row>
        <row r="218">
          <cell r="A218" t="str">
            <v>P05D</v>
          </cell>
          <cell r="B218">
            <v>63</v>
          </cell>
          <cell r="C218">
            <v>63</v>
          </cell>
          <cell r="D218">
            <v>200</v>
          </cell>
        </row>
        <row r="219">
          <cell r="A219" t="str">
            <v>PSF2D</v>
          </cell>
          <cell r="B219">
            <v>29</v>
          </cell>
          <cell r="C219">
            <v>29</v>
          </cell>
          <cell r="D219">
            <v>60</v>
          </cell>
        </row>
        <row r="221">
          <cell r="A221" t="str">
            <v>PBDF2</v>
          </cell>
          <cell r="B221">
            <v>125</v>
          </cell>
          <cell r="C221">
            <v>125</v>
          </cell>
          <cell r="D221">
            <v>24</v>
          </cell>
        </row>
        <row r="222">
          <cell r="A222" t="str">
            <v>PBF2D</v>
          </cell>
          <cell r="B222">
            <v>35</v>
          </cell>
          <cell r="C222">
            <v>35</v>
          </cell>
          <cell r="D222">
            <v>60</v>
          </cell>
        </row>
        <row r="223">
          <cell r="A223" t="str">
            <v>PB120D</v>
          </cell>
          <cell r="B223">
            <v>84</v>
          </cell>
          <cell r="C223">
            <v>84</v>
          </cell>
          <cell r="D223">
            <v>40</v>
          </cell>
        </row>
        <row r="225">
          <cell r="A225" t="str">
            <v>P6A14F3</v>
          </cell>
          <cell r="B225">
            <v>59</v>
          </cell>
          <cell r="C225">
            <v>59</v>
          </cell>
          <cell r="D225">
            <v>50</v>
          </cell>
        </row>
        <row r="226">
          <cell r="A226" t="str">
            <v>P7A14</v>
          </cell>
          <cell r="B226">
            <v>69</v>
          </cell>
          <cell r="C226">
            <v>69</v>
          </cell>
          <cell r="D226">
            <v>40</v>
          </cell>
        </row>
        <row r="227">
          <cell r="A227" t="str">
            <v>P4B</v>
          </cell>
          <cell r="B227">
            <v>49</v>
          </cell>
          <cell r="C227">
            <v>49</v>
          </cell>
          <cell r="D227">
            <v>70</v>
          </cell>
        </row>
        <row r="228">
          <cell r="A228" t="str">
            <v>P5DU13</v>
          </cell>
          <cell r="B228">
            <v>53</v>
          </cell>
          <cell r="C228">
            <v>53</v>
          </cell>
          <cell r="D228">
            <v>50</v>
          </cell>
        </row>
        <row r="229">
          <cell r="A229" t="str">
            <v>P5DU13(M)</v>
          </cell>
          <cell r="B229">
            <v>49</v>
          </cell>
          <cell r="C229">
            <v>49</v>
          </cell>
          <cell r="D229">
            <v>50</v>
          </cell>
        </row>
        <row r="230">
          <cell r="A230" t="str">
            <v>P5DU</v>
          </cell>
          <cell r="B230">
            <v>139</v>
          </cell>
          <cell r="C230">
            <v>139</v>
          </cell>
          <cell r="D230">
            <v>60</v>
          </cell>
        </row>
        <row r="231">
          <cell r="A231" t="str">
            <v>P5A13</v>
          </cell>
          <cell r="B231">
            <v>47</v>
          </cell>
          <cell r="C231">
            <v>47</v>
          </cell>
          <cell r="D231">
            <v>50</v>
          </cell>
        </row>
        <row r="232">
          <cell r="A232" t="str">
            <v>P5D13</v>
          </cell>
          <cell r="B232">
            <v>47</v>
          </cell>
          <cell r="C232">
            <v>47</v>
          </cell>
          <cell r="D232">
            <v>50</v>
          </cell>
        </row>
        <row r="233">
          <cell r="A233" t="str">
            <v>P5D13(W)</v>
          </cell>
          <cell r="B233">
            <v>47</v>
          </cell>
          <cell r="C233">
            <v>47</v>
          </cell>
          <cell r="D233">
            <v>50</v>
          </cell>
        </row>
        <row r="234">
          <cell r="A234" t="str">
            <v>P6A13(G)F3</v>
          </cell>
          <cell r="B234">
            <v>79</v>
          </cell>
          <cell r="C234">
            <v>79</v>
          </cell>
          <cell r="D234">
            <v>60</v>
          </cell>
        </row>
        <row r="235">
          <cell r="A235" t="str">
            <v>P6A13(R)F3</v>
          </cell>
          <cell r="B235">
            <v>79</v>
          </cell>
          <cell r="C235">
            <v>79</v>
          </cell>
          <cell r="D235">
            <v>60</v>
          </cell>
        </row>
        <row r="237">
          <cell r="A237" t="str">
            <v>P066D20P1</v>
          </cell>
          <cell r="B237">
            <v>109</v>
          </cell>
          <cell r="C237">
            <v>109</v>
          </cell>
          <cell r="D237">
            <v>100</v>
          </cell>
        </row>
        <row r="238">
          <cell r="A238" t="str">
            <v>P5DU13(1)</v>
          </cell>
          <cell r="B238">
            <v>79</v>
          </cell>
          <cell r="C238">
            <v>79</v>
          </cell>
          <cell r="D238">
            <v>50</v>
          </cell>
        </row>
        <row r="239">
          <cell r="A239" t="str">
            <v>P2GP1</v>
          </cell>
          <cell r="B239">
            <v>144</v>
          </cell>
          <cell r="C239">
            <v>144</v>
          </cell>
          <cell r="D239">
            <v>75</v>
          </cell>
        </row>
        <row r="241">
          <cell r="A241" t="str">
            <v>P6AE</v>
          </cell>
          <cell r="B241">
            <v>184</v>
          </cell>
          <cell r="C241">
            <v>184</v>
          </cell>
          <cell r="D241">
            <v>60</v>
          </cell>
        </row>
        <row r="242">
          <cell r="A242" t="str">
            <v>P30D</v>
          </cell>
          <cell r="B242">
            <v>205</v>
          </cell>
          <cell r="C242">
            <v>205</v>
          </cell>
          <cell r="D242">
            <v>54</v>
          </cell>
        </row>
        <row r="243">
          <cell r="A243" t="str">
            <v>P50D</v>
          </cell>
          <cell r="B243">
            <v>362</v>
          </cell>
          <cell r="C243">
            <v>362</v>
          </cell>
          <cell r="D243">
            <v>30</v>
          </cell>
        </row>
        <row r="244">
          <cell r="A244" t="str">
            <v>P170</v>
          </cell>
          <cell r="B244">
            <v>538</v>
          </cell>
          <cell r="C244">
            <v>538</v>
          </cell>
          <cell r="D244">
            <v>20</v>
          </cell>
        </row>
        <row r="246">
          <cell r="A246" t="str">
            <v>EB15</v>
          </cell>
          <cell r="B246">
            <v>55</v>
          </cell>
          <cell r="C246">
            <v>55</v>
          </cell>
          <cell r="D246">
            <v>40</v>
          </cell>
        </row>
        <row r="247">
          <cell r="A247" t="str">
            <v>EB9</v>
          </cell>
          <cell r="B247">
            <v>99</v>
          </cell>
          <cell r="C247">
            <v>99</v>
          </cell>
          <cell r="D247">
            <v>40</v>
          </cell>
        </row>
        <row r="248">
          <cell r="A248" t="str">
            <v>K20K</v>
          </cell>
          <cell r="B248">
            <v>112</v>
          </cell>
          <cell r="C248">
            <v>112</v>
          </cell>
          <cell r="D248">
            <v>24</v>
          </cell>
        </row>
        <row r="249">
          <cell r="A249" t="str">
            <v>K60K</v>
          </cell>
          <cell r="B249">
            <v>193</v>
          </cell>
          <cell r="C249">
            <v>193</v>
          </cell>
          <cell r="D249">
            <v>20</v>
          </cell>
        </row>
        <row r="250">
          <cell r="A250" t="str">
            <v>K01M</v>
          </cell>
          <cell r="B250">
            <v>707</v>
          </cell>
          <cell r="C250">
            <v>707</v>
          </cell>
          <cell r="D250">
            <v>8</v>
          </cell>
        </row>
        <row r="251">
          <cell r="A251" t="str">
            <v>K100R</v>
          </cell>
          <cell r="B251">
            <v>239</v>
          </cell>
          <cell r="C251">
            <v>239</v>
          </cell>
          <cell r="D251">
            <v>16</v>
          </cell>
        </row>
        <row r="252">
          <cell r="A252" t="str">
            <v>K200R</v>
          </cell>
          <cell r="B252">
            <v>319</v>
          </cell>
          <cell r="C252">
            <v>319</v>
          </cell>
          <cell r="D252">
            <v>8</v>
          </cell>
        </row>
        <row r="253">
          <cell r="A253" t="str">
            <v>K500R</v>
          </cell>
          <cell r="B253">
            <v>86</v>
          </cell>
          <cell r="C253">
            <v>86</v>
          </cell>
          <cell r="D253">
            <v>32</v>
          </cell>
        </row>
        <row r="254">
          <cell r="A254" t="str">
            <v>K1000R</v>
          </cell>
          <cell r="B254">
            <v>147</v>
          </cell>
          <cell r="C254">
            <v>147</v>
          </cell>
          <cell r="D254">
            <v>16</v>
          </cell>
        </row>
        <row r="255">
          <cell r="A255" t="str">
            <v>K1969R</v>
          </cell>
          <cell r="B255">
            <v>1358</v>
          </cell>
          <cell r="C255">
            <v>1358</v>
          </cell>
          <cell r="D255">
            <v>1</v>
          </cell>
        </row>
        <row r="256">
          <cell r="A256" t="str">
            <v>K10M</v>
          </cell>
          <cell r="B256">
            <v>1699</v>
          </cell>
          <cell r="C256">
            <v>1699</v>
          </cell>
          <cell r="D256">
            <v>1</v>
          </cell>
        </row>
        <row r="257">
          <cell r="A257" t="str">
            <v>DBB1E</v>
          </cell>
          <cell r="B257">
            <v>567</v>
          </cell>
          <cell r="C257">
            <v>567</v>
          </cell>
          <cell r="D257">
            <v>40</v>
          </cell>
        </row>
        <row r="259">
          <cell r="A259" t="str">
            <v>RS1</v>
          </cell>
          <cell r="B259">
            <v>168</v>
          </cell>
          <cell r="C259">
            <v>168</v>
          </cell>
          <cell r="D259">
            <v>20</v>
          </cell>
        </row>
        <row r="260">
          <cell r="A260" t="str">
            <v>RS6P</v>
          </cell>
          <cell r="B260">
            <v>64</v>
          </cell>
          <cell r="C260">
            <v>64</v>
          </cell>
          <cell r="D260">
            <v>50</v>
          </cell>
        </row>
        <row r="261">
          <cell r="A261" t="str">
            <v>RS6O</v>
          </cell>
          <cell r="B261">
            <v>49</v>
          </cell>
          <cell r="C261">
            <v>49</v>
          </cell>
          <cell r="D261">
            <v>50</v>
          </cell>
        </row>
        <row r="262">
          <cell r="A262" t="str">
            <v>RS6S</v>
          </cell>
          <cell r="B262">
            <v>54</v>
          </cell>
          <cell r="C262">
            <v>54</v>
          </cell>
          <cell r="D262">
            <v>50</v>
          </cell>
        </row>
        <row r="263">
          <cell r="A263" t="str">
            <v>RS6SM</v>
          </cell>
          <cell r="B263">
            <v>102</v>
          </cell>
          <cell r="C263">
            <v>102</v>
          </cell>
          <cell r="D263">
            <v>36</v>
          </cell>
        </row>
        <row r="264">
          <cell r="A264" t="str">
            <v>R12T1</v>
          </cell>
          <cell r="B264">
            <v>104</v>
          </cell>
          <cell r="C264">
            <v>104</v>
          </cell>
          <cell r="D264">
            <v>36</v>
          </cell>
        </row>
        <row r="265">
          <cell r="A265" t="str">
            <v>R12T3</v>
          </cell>
          <cell r="B265">
            <v>220</v>
          </cell>
          <cell r="C265">
            <v>220</v>
          </cell>
          <cell r="D265">
            <v>24</v>
          </cell>
        </row>
        <row r="266">
          <cell r="A266" t="str">
            <v>RSD6</v>
          </cell>
          <cell r="B266">
            <v>590</v>
          </cell>
          <cell r="C266">
            <v>590</v>
          </cell>
          <cell r="D266">
            <v>20</v>
          </cell>
        </row>
        <row r="267">
          <cell r="A267" t="str">
            <v>RS6XS</v>
          </cell>
          <cell r="B267">
            <v>262</v>
          </cell>
          <cell r="C267">
            <v>262</v>
          </cell>
          <cell r="D267">
            <v>18</v>
          </cell>
        </row>
        <row r="268">
          <cell r="A268" t="str">
            <v>RS5DU</v>
          </cell>
          <cell r="B268">
            <v>207</v>
          </cell>
          <cell r="C268">
            <v>207</v>
          </cell>
          <cell r="D268">
            <v>20</v>
          </cell>
        </row>
        <row r="269">
          <cell r="A269" t="str">
            <v>HF24733RK</v>
          </cell>
          <cell r="B269">
            <v>341</v>
          </cell>
          <cell r="C269">
            <v>341</v>
          </cell>
          <cell r="D269">
            <v>20</v>
          </cell>
        </row>
        <row r="270">
          <cell r="A270" t="str">
            <v>RS4H14</v>
          </cell>
          <cell r="B270">
            <v>82</v>
          </cell>
          <cell r="C270">
            <v>82</v>
          </cell>
          <cell r="D270">
            <v>50</v>
          </cell>
        </row>
        <row r="271">
          <cell r="A271" t="str">
            <v>RS7MD14</v>
          </cell>
          <cell r="B271">
            <v>193</v>
          </cell>
          <cell r="C271">
            <v>193</v>
          </cell>
          <cell r="D271">
            <v>30</v>
          </cell>
        </row>
        <row r="272">
          <cell r="A272" t="str">
            <v>RS7T14</v>
          </cell>
          <cell r="B272">
            <v>267</v>
          </cell>
          <cell r="C272">
            <v>267</v>
          </cell>
          <cell r="D272">
            <v>20</v>
          </cell>
        </row>
        <row r="273">
          <cell r="A273" t="str">
            <v>RS9T14</v>
          </cell>
          <cell r="B273">
            <v>327</v>
          </cell>
          <cell r="C273">
            <v>327</v>
          </cell>
          <cell r="D273">
            <v>20</v>
          </cell>
        </row>
        <row r="274">
          <cell r="A274" t="str">
            <v>RS9P14</v>
          </cell>
          <cell r="B274">
            <v>327</v>
          </cell>
          <cell r="C274">
            <v>327</v>
          </cell>
          <cell r="D274">
            <v>20</v>
          </cell>
        </row>
        <row r="275">
          <cell r="A275" t="str">
            <v>RS11HF2</v>
          </cell>
          <cell r="B275">
            <v>534</v>
          </cell>
          <cell r="C275">
            <v>534</v>
          </cell>
          <cell r="D275">
            <v>12</v>
          </cell>
        </row>
        <row r="276">
          <cell r="A276" t="str">
            <v>SP3CF2</v>
          </cell>
          <cell r="B276">
            <v>576</v>
          </cell>
          <cell r="C276">
            <v>576</v>
          </cell>
          <cell r="D276">
            <v>12</v>
          </cell>
        </row>
        <row r="277">
          <cell r="A277" t="str">
            <v>RS18TF2</v>
          </cell>
          <cell r="B277">
            <v>912</v>
          </cell>
          <cell r="C277">
            <v>912</v>
          </cell>
          <cell r="D277">
            <v>10</v>
          </cell>
        </row>
        <row r="278">
          <cell r="A278" t="str">
            <v>RS18SF2</v>
          </cell>
          <cell r="B278">
            <v>912</v>
          </cell>
          <cell r="C278">
            <v>912</v>
          </cell>
          <cell r="D278">
            <v>10</v>
          </cell>
        </row>
        <row r="279">
          <cell r="A279" t="str">
            <v>RS21Z14</v>
          </cell>
          <cell r="B279">
            <v>813</v>
          </cell>
          <cell r="C279">
            <v>813</v>
          </cell>
          <cell r="D279">
            <v>5</v>
          </cell>
        </row>
        <row r="280">
          <cell r="A280" t="str">
            <v>RS33R14</v>
          </cell>
          <cell r="B280">
            <v>1289</v>
          </cell>
          <cell r="C280">
            <v>1289</v>
          </cell>
          <cell r="D280">
            <v>6</v>
          </cell>
        </row>
        <row r="281">
          <cell r="A281" t="str">
            <v>RSSF2</v>
          </cell>
          <cell r="B281">
            <v>427</v>
          </cell>
          <cell r="C281">
            <v>427</v>
          </cell>
          <cell r="D281">
            <v>8</v>
          </cell>
        </row>
        <row r="282">
          <cell r="A282" t="str">
            <v>RSS75</v>
          </cell>
          <cell r="B282">
            <v>718</v>
          </cell>
          <cell r="C282">
            <v>718</v>
          </cell>
          <cell r="D282">
            <v>8</v>
          </cell>
        </row>
        <row r="284">
          <cell r="A284" t="str">
            <v>RS4D</v>
          </cell>
          <cell r="B284">
            <v>146</v>
          </cell>
          <cell r="C284">
            <v>146</v>
          </cell>
          <cell r="D284">
            <v>24</v>
          </cell>
        </row>
        <row r="285">
          <cell r="A285" t="str">
            <v>SP3C</v>
          </cell>
          <cell r="B285">
            <v>576</v>
          </cell>
          <cell r="C285">
            <v>576</v>
          </cell>
          <cell r="D285">
            <v>12</v>
          </cell>
        </row>
        <row r="286">
          <cell r="A286" t="str">
            <v>RS18T</v>
          </cell>
          <cell r="B286">
            <v>912</v>
          </cell>
          <cell r="C286">
            <v>912</v>
          </cell>
          <cell r="D286">
            <v>10</v>
          </cell>
        </row>
        <row r="287">
          <cell r="A287" t="str">
            <v>RS18S</v>
          </cell>
          <cell r="B287">
            <v>912</v>
          </cell>
          <cell r="C287">
            <v>912</v>
          </cell>
          <cell r="D287">
            <v>10</v>
          </cell>
        </row>
        <row r="288">
          <cell r="A288" t="str">
            <v>RS33R</v>
          </cell>
          <cell r="B288">
            <v>1289</v>
          </cell>
          <cell r="C288">
            <v>1289</v>
          </cell>
          <cell r="D288">
            <v>6</v>
          </cell>
        </row>
        <row r="289">
          <cell r="A289" t="str">
            <v>RSS100</v>
          </cell>
          <cell r="B289">
            <v>655</v>
          </cell>
          <cell r="C289">
            <v>655</v>
          </cell>
          <cell r="D289">
            <v>8</v>
          </cell>
        </row>
        <row r="290">
          <cell r="A290" t="str">
            <v>R170B</v>
          </cell>
          <cell r="B290">
            <v>614</v>
          </cell>
          <cell r="C290">
            <v>614</v>
          </cell>
          <cell r="D290">
            <v>12</v>
          </cell>
        </row>
        <row r="291">
          <cell r="A291" t="str">
            <v>R170X</v>
          </cell>
          <cell r="B291">
            <v>949</v>
          </cell>
          <cell r="C291">
            <v>949</v>
          </cell>
          <cell r="D291">
            <v>6</v>
          </cell>
        </row>
        <row r="292">
          <cell r="A292" t="str">
            <v>R170M</v>
          </cell>
          <cell r="B292">
            <v>1375</v>
          </cell>
          <cell r="C292">
            <v>1375</v>
          </cell>
          <cell r="D292">
            <v>4</v>
          </cell>
        </row>
        <row r="293">
          <cell r="A293" t="str">
            <v>RSSF3</v>
          </cell>
          <cell r="B293">
            <v>1493</v>
          </cell>
          <cell r="C293">
            <v>1493</v>
          </cell>
          <cell r="D293">
            <v>4</v>
          </cell>
        </row>
        <row r="295">
          <cell r="A295" t="str">
            <v>TIDB1L</v>
          </cell>
          <cell r="B295">
            <v>380</v>
          </cell>
          <cell r="C295">
            <v>380</v>
          </cell>
          <cell r="D295">
            <v>1</v>
          </cell>
        </row>
        <row r="296">
          <cell r="A296" t="str">
            <v>TPD1L</v>
          </cell>
          <cell r="B296">
            <v>880</v>
          </cell>
          <cell r="C296">
            <v>880</v>
          </cell>
          <cell r="D296">
            <v>1</v>
          </cell>
        </row>
        <row r="297">
          <cell r="A297" t="str">
            <v>TPD1XL</v>
          </cell>
          <cell r="B297">
            <v>880</v>
          </cell>
          <cell r="C297">
            <v>880</v>
          </cell>
          <cell r="D297">
            <v>1</v>
          </cell>
        </row>
        <row r="298">
          <cell r="A298" t="str">
            <v>BD1XXL</v>
          </cell>
          <cell r="B298">
            <v>1800</v>
          </cell>
          <cell r="C298">
            <v>1800</v>
          </cell>
          <cell r="D298">
            <v>1</v>
          </cell>
        </row>
        <row r="300">
          <cell r="A300" t="str">
            <v>TDLE1M</v>
          </cell>
          <cell r="B300">
            <v>380</v>
          </cell>
          <cell r="C300">
            <v>380</v>
          </cell>
          <cell r="D300">
            <v>1</v>
          </cell>
        </row>
        <row r="301">
          <cell r="A301" t="str">
            <v>TDLE1L</v>
          </cell>
          <cell r="B301">
            <v>380</v>
          </cell>
          <cell r="C301">
            <v>380</v>
          </cell>
          <cell r="D301">
            <v>1</v>
          </cell>
        </row>
        <row r="302">
          <cell r="A302" t="str">
            <v>TDLE1XL</v>
          </cell>
          <cell r="B302">
            <v>380</v>
          </cell>
          <cell r="C302">
            <v>380</v>
          </cell>
          <cell r="D302">
            <v>1</v>
          </cell>
        </row>
        <row r="303">
          <cell r="A303" t="str">
            <v>TDLE1XXL</v>
          </cell>
          <cell r="B303">
            <v>380</v>
          </cell>
          <cell r="C303">
            <v>380</v>
          </cell>
          <cell r="D303">
            <v>1</v>
          </cell>
        </row>
        <row r="305">
          <cell r="A305" t="str">
            <v>TPDLE1M</v>
          </cell>
          <cell r="B305">
            <v>900</v>
          </cell>
          <cell r="C305">
            <v>900</v>
          </cell>
          <cell r="D305">
            <v>1</v>
          </cell>
        </row>
        <row r="306">
          <cell r="A306" t="str">
            <v>TPDLE1L</v>
          </cell>
          <cell r="B306">
            <v>900</v>
          </cell>
          <cell r="C306">
            <v>900</v>
          </cell>
          <cell r="D306">
            <v>1</v>
          </cell>
        </row>
        <row r="307">
          <cell r="A307" t="str">
            <v>TPDLE1XL</v>
          </cell>
          <cell r="B307">
            <v>900</v>
          </cell>
          <cell r="C307">
            <v>900</v>
          </cell>
          <cell r="D307">
            <v>1</v>
          </cell>
        </row>
        <row r="308">
          <cell r="A308" t="str">
            <v>TPDLE1XXL</v>
          </cell>
          <cell r="B308">
            <v>900</v>
          </cell>
          <cell r="C308">
            <v>900</v>
          </cell>
          <cell r="D308">
            <v>1</v>
          </cell>
        </row>
        <row r="310">
          <cell r="A310" t="str">
            <v>VDLE1M</v>
          </cell>
          <cell r="B310">
            <v>1830</v>
          </cell>
          <cell r="C310">
            <v>1830</v>
          </cell>
          <cell r="D310">
            <v>1</v>
          </cell>
        </row>
        <row r="311">
          <cell r="A311" t="str">
            <v>VDLE1L</v>
          </cell>
          <cell r="B311">
            <v>1830</v>
          </cell>
          <cell r="C311">
            <v>1830</v>
          </cell>
          <cell r="D311">
            <v>1</v>
          </cell>
        </row>
        <row r="312">
          <cell r="A312" t="str">
            <v>VDLE1XL</v>
          </cell>
          <cell r="B312">
            <v>1830</v>
          </cell>
          <cell r="C312">
            <v>1830</v>
          </cell>
          <cell r="D312">
            <v>1</v>
          </cell>
        </row>
        <row r="313">
          <cell r="A313" t="str">
            <v>VDLE1XXL</v>
          </cell>
          <cell r="B313">
            <v>1830</v>
          </cell>
          <cell r="C313">
            <v>1830</v>
          </cell>
          <cell r="D313">
            <v>1</v>
          </cell>
        </row>
        <row r="315">
          <cell r="A315" t="str">
            <v>BDLE1M</v>
          </cell>
          <cell r="B315">
            <v>2330</v>
          </cell>
          <cell r="C315">
            <v>2330</v>
          </cell>
          <cell r="D315">
            <v>1</v>
          </cell>
        </row>
        <row r="316">
          <cell r="A316" t="str">
            <v>BDLE1L</v>
          </cell>
          <cell r="B316">
            <v>2330</v>
          </cell>
          <cell r="C316">
            <v>2330</v>
          </cell>
          <cell r="D316">
            <v>1</v>
          </cell>
        </row>
        <row r="317">
          <cell r="A317" t="str">
            <v>BDLE1XL</v>
          </cell>
          <cell r="B317">
            <v>2330</v>
          </cell>
          <cell r="C317">
            <v>2330</v>
          </cell>
          <cell r="D317">
            <v>1</v>
          </cell>
        </row>
        <row r="318">
          <cell r="A318" t="str">
            <v>BDLE1XXL</v>
          </cell>
          <cell r="B318">
            <v>2330</v>
          </cell>
          <cell r="C318">
            <v>2330</v>
          </cell>
          <cell r="D318">
            <v>1</v>
          </cell>
        </row>
        <row r="320">
          <cell r="A320" t="str">
            <v>MDLE1M</v>
          </cell>
          <cell r="B320">
            <v>1780</v>
          </cell>
          <cell r="C320">
            <v>1780</v>
          </cell>
          <cell r="D320">
            <v>1</v>
          </cell>
        </row>
        <row r="321">
          <cell r="A321" t="str">
            <v>MDLE1L</v>
          </cell>
          <cell r="B321">
            <v>1780</v>
          </cell>
          <cell r="C321">
            <v>1780</v>
          </cell>
          <cell r="D321">
            <v>1</v>
          </cell>
        </row>
        <row r="322">
          <cell r="A322" t="str">
            <v>MDLE1XL</v>
          </cell>
          <cell r="B322">
            <v>1780</v>
          </cell>
          <cell r="C322">
            <v>1780</v>
          </cell>
          <cell r="D322">
            <v>1</v>
          </cell>
        </row>
        <row r="323">
          <cell r="A323" t="str">
            <v>MDLE1XXL</v>
          </cell>
          <cell r="B323">
            <v>1780</v>
          </cell>
          <cell r="C323">
            <v>1780</v>
          </cell>
          <cell r="D323">
            <v>1</v>
          </cell>
        </row>
        <row r="325">
          <cell r="A325" t="str">
            <v>MDLEZ1M</v>
          </cell>
          <cell r="B325">
            <v>1380</v>
          </cell>
          <cell r="C325">
            <v>1380</v>
          </cell>
          <cell r="D325">
            <v>1</v>
          </cell>
        </row>
        <row r="326">
          <cell r="A326" t="str">
            <v>MDLEZ1L</v>
          </cell>
          <cell r="B326">
            <v>1380</v>
          </cell>
          <cell r="C326">
            <v>1380</v>
          </cell>
          <cell r="D326">
            <v>1</v>
          </cell>
        </row>
        <row r="327">
          <cell r="A327" t="str">
            <v>MDLEZ1XL</v>
          </cell>
          <cell r="B327">
            <v>1380</v>
          </cell>
          <cell r="C327">
            <v>1380</v>
          </cell>
          <cell r="D327">
            <v>1</v>
          </cell>
        </row>
        <row r="328">
          <cell r="A328" t="str">
            <v>MDLEZ1XXL</v>
          </cell>
          <cell r="B328">
            <v>1380</v>
          </cell>
          <cell r="C328">
            <v>1380</v>
          </cell>
          <cell r="D328">
            <v>1</v>
          </cell>
        </row>
        <row r="330">
          <cell r="A330" t="str">
            <v>KDLE1</v>
          </cell>
          <cell r="B330">
            <v>300</v>
          </cell>
          <cell r="C330">
            <v>300</v>
          </cell>
          <cell r="D330">
            <v>1</v>
          </cell>
        </row>
        <row r="331">
          <cell r="A331" t="str">
            <v>CDLE1</v>
          </cell>
          <cell r="B331">
            <v>360</v>
          </cell>
          <cell r="C331">
            <v>360</v>
          </cell>
          <cell r="D331">
            <v>1</v>
          </cell>
        </row>
        <row r="333">
          <cell r="A333" t="str">
            <v>N1</v>
          </cell>
          <cell r="B333">
            <v>40</v>
          </cell>
          <cell r="C333">
            <v>40</v>
          </cell>
          <cell r="D333">
            <v>24</v>
          </cell>
        </row>
        <row r="334">
          <cell r="A334" t="str">
            <v>RUN1</v>
          </cell>
          <cell r="B334">
            <v>2199</v>
          </cell>
          <cell r="C334">
            <v>2199</v>
          </cell>
          <cell r="D334">
            <v>1</v>
          </cell>
        </row>
        <row r="335">
          <cell r="A335" t="str">
            <v>RT1DU</v>
          </cell>
          <cell r="B335">
            <v>3500</v>
          </cell>
          <cell r="C335">
            <v>3500</v>
          </cell>
          <cell r="D335">
            <v>1</v>
          </cell>
        </row>
        <row r="336">
          <cell r="A336" t="str">
            <v>PL1DU</v>
          </cell>
          <cell r="B336">
            <v>36</v>
          </cell>
          <cell r="C336">
            <v>36</v>
          </cell>
          <cell r="D336">
            <v>1</v>
          </cell>
        </row>
        <row r="337">
          <cell r="A337" t="str">
            <v>ZD1</v>
          </cell>
          <cell r="B337">
            <v>1880</v>
          </cell>
          <cell r="C337">
            <v>1880</v>
          </cell>
          <cell r="D337">
            <v>1</v>
          </cell>
        </row>
        <row r="338">
          <cell r="A338" t="str">
            <v>UZD2</v>
          </cell>
          <cell r="B338">
            <v>175</v>
          </cell>
          <cell r="C338">
            <v>175</v>
          </cell>
          <cell r="D338">
            <v>1</v>
          </cell>
        </row>
        <row r="339">
          <cell r="A339" t="str">
            <v>ND1</v>
          </cell>
          <cell r="B339">
            <v>14</v>
          </cell>
          <cell r="C339">
            <v>14</v>
          </cell>
          <cell r="D339">
            <v>1</v>
          </cell>
        </row>
        <row r="340">
          <cell r="A340" t="str">
            <v>T2</v>
          </cell>
          <cell r="B340">
            <v>20</v>
          </cell>
          <cell r="C340">
            <v>20</v>
          </cell>
          <cell r="D340">
            <v>1</v>
          </cell>
        </row>
        <row r="341">
          <cell r="A341" t="str">
            <v>KK2025</v>
          </cell>
          <cell r="B341">
            <v>958</v>
          </cell>
          <cell r="C341">
            <v>958</v>
          </cell>
          <cell r="D341">
            <v>1</v>
          </cell>
        </row>
        <row r="342">
          <cell r="A342" t="str">
            <v>HD1</v>
          </cell>
          <cell r="B342">
            <v>320</v>
          </cell>
          <cell r="C342">
            <v>320</v>
          </cell>
          <cell r="D342">
            <v>1</v>
          </cell>
        </row>
        <row r="343">
          <cell r="A343" t="str">
            <v>PPMD1</v>
          </cell>
          <cell r="B343">
            <v>262</v>
          </cell>
          <cell r="C343">
            <v>262</v>
          </cell>
          <cell r="D343">
            <v>1</v>
          </cell>
        </row>
        <row r="344">
          <cell r="A344" t="str">
            <v>DD1</v>
          </cell>
          <cell r="B344">
            <v>1071</v>
          </cell>
          <cell r="C344">
            <v>1071</v>
          </cell>
          <cell r="D344">
            <v>1</v>
          </cell>
        </row>
        <row r="345">
          <cell r="A345" t="str">
            <v>KKD1</v>
          </cell>
          <cell r="B345">
            <v>88</v>
          </cell>
          <cell r="C345">
            <v>88</v>
          </cell>
          <cell r="D345">
            <v>1</v>
          </cell>
        </row>
        <row r="346">
          <cell r="A346" t="str">
            <v>LO1DU</v>
          </cell>
          <cell r="B346">
            <v>120</v>
          </cell>
          <cell r="C346">
            <v>120</v>
          </cell>
          <cell r="D346">
            <v>1</v>
          </cell>
        </row>
        <row r="348">
          <cell r="A348" t="str">
            <v>OZ4</v>
          </cell>
          <cell r="B348">
            <v>1000</v>
          </cell>
          <cell r="C348">
            <v>1000</v>
          </cell>
          <cell r="D348">
            <v>1</v>
          </cell>
        </row>
        <row r="349">
          <cell r="A349" t="str">
            <v>ZS5M</v>
          </cell>
          <cell r="B349">
            <v>70</v>
          </cell>
          <cell r="C349">
            <v>70</v>
          </cell>
          <cell r="D349">
            <v>100</v>
          </cell>
        </row>
        <row r="351">
          <cell r="A351" t="str">
            <v>C2508R</v>
          </cell>
          <cell r="B351">
            <v>160</v>
          </cell>
          <cell r="C351">
            <v>160</v>
          </cell>
          <cell r="D351">
            <v>15</v>
          </cell>
        </row>
        <row r="352">
          <cell r="A352" t="str">
            <v>C10008R</v>
          </cell>
          <cell r="B352">
            <v>151</v>
          </cell>
          <cell r="C352">
            <v>151</v>
          </cell>
          <cell r="D352">
            <v>30</v>
          </cell>
        </row>
        <row r="354">
          <cell r="A354" t="str">
            <v>C1008CC</v>
          </cell>
          <cell r="B354">
            <v>113</v>
          </cell>
          <cell r="C354">
            <v>113</v>
          </cell>
          <cell r="D354">
            <v>24</v>
          </cell>
        </row>
        <row r="356">
          <cell r="A356" t="str">
            <v>C1614E14</v>
          </cell>
          <cell r="B356">
            <v>106</v>
          </cell>
          <cell r="C356">
            <v>106</v>
          </cell>
          <cell r="D356">
            <v>50</v>
          </cell>
        </row>
        <row r="358">
          <cell r="A358" t="str">
            <v>C3614B14</v>
          </cell>
          <cell r="B358">
            <v>220</v>
          </cell>
          <cell r="C358">
            <v>220</v>
          </cell>
          <cell r="D358">
            <v>30</v>
          </cell>
        </row>
        <row r="360">
          <cell r="A360" t="str">
            <v>C6414C14</v>
          </cell>
          <cell r="B360">
            <v>386</v>
          </cell>
          <cell r="C360">
            <v>386</v>
          </cell>
          <cell r="D360">
            <v>12</v>
          </cell>
        </row>
        <row r="362">
          <cell r="A362" t="str">
            <v>C10014A</v>
          </cell>
          <cell r="B362">
            <v>571</v>
          </cell>
          <cell r="C362">
            <v>571</v>
          </cell>
          <cell r="D362">
            <v>12</v>
          </cell>
        </row>
        <row r="364">
          <cell r="A364" t="str">
            <v>C20014F14</v>
          </cell>
          <cell r="B364">
            <v>1220</v>
          </cell>
          <cell r="C364">
            <v>1220</v>
          </cell>
          <cell r="D364">
            <v>3</v>
          </cell>
        </row>
        <row r="366">
          <cell r="A366" t="str">
            <v>C40014W/C14</v>
          </cell>
          <cell r="B366">
            <v>2318</v>
          </cell>
          <cell r="C366">
            <v>2318</v>
          </cell>
          <cell r="D366">
            <v>1</v>
          </cell>
        </row>
        <row r="368">
          <cell r="A368" t="str">
            <v>C20814XPR14</v>
          </cell>
          <cell r="B368">
            <v>1533</v>
          </cell>
          <cell r="C368">
            <v>1533</v>
          </cell>
          <cell r="D368">
            <v>4</v>
          </cell>
        </row>
        <row r="370">
          <cell r="A370" t="str">
            <v>C9016XC14</v>
          </cell>
          <cell r="B370">
            <v>787</v>
          </cell>
          <cell r="C370">
            <v>787</v>
          </cell>
          <cell r="D370">
            <v>6</v>
          </cell>
        </row>
        <row r="372">
          <cell r="A372" t="str">
            <v>C16016XP14</v>
          </cell>
          <cell r="B372">
            <v>1432</v>
          </cell>
          <cell r="C372">
            <v>1432</v>
          </cell>
          <cell r="D372">
            <v>3</v>
          </cell>
        </row>
        <row r="374">
          <cell r="A374" t="str">
            <v>C27016XG/C14</v>
          </cell>
          <cell r="B374">
            <v>2587</v>
          </cell>
          <cell r="C374">
            <v>2587</v>
          </cell>
          <cell r="D374">
            <v>1</v>
          </cell>
        </row>
        <row r="375">
          <cell r="A375" t="str">
            <v>C32016XB/C14</v>
          </cell>
          <cell r="B375">
            <v>3105</v>
          </cell>
          <cell r="C375">
            <v>3105</v>
          </cell>
          <cell r="D375">
            <v>1</v>
          </cell>
        </row>
        <row r="377">
          <cell r="A377" t="str">
            <v>C63MXS14</v>
          </cell>
          <cell r="B377">
            <v>558</v>
          </cell>
          <cell r="C377">
            <v>558</v>
          </cell>
          <cell r="D377">
            <v>8</v>
          </cell>
        </row>
        <row r="379">
          <cell r="A379" t="str">
            <v>C920L</v>
          </cell>
          <cell r="B379">
            <v>75</v>
          </cell>
          <cell r="C379">
            <v>75</v>
          </cell>
          <cell r="D379">
            <v>40</v>
          </cell>
        </row>
        <row r="380">
          <cell r="A380" t="str">
            <v>C920M</v>
          </cell>
          <cell r="B380">
            <v>75</v>
          </cell>
          <cell r="C380">
            <v>75</v>
          </cell>
          <cell r="D380">
            <v>40</v>
          </cell>
        </row>
        <row r="382">
          <cell r="A382" t="str">
            <v>C1620DU</v>
          </cell>
          <cell r="B382">
            <v>131</v>
          </cell>
          <cell r="C382">
            <v>131</v>
          </cell>
          <cell r="D382">
            <v>24</v>
          </cell>
        </row>
        <row r="383">
          <cell r="A383" t="str">
            <v>C1620DU(5)</v>
          </cell>
          <cell r="B383">
            <v>131</v>
          </cell>
          <cell r="C383">
            <v>131</v>
          </cell>
          <cell r="D383">
            <v>24</v>
          </cell>
        </row>
        <row r="384">
          <cell r="A384" t="str">
            <v>C1620BPF</v>
          </cell>
          <cell r="B384">
            <v>116</v>
          </cell>
          <cell r="C384">
            <v>116</v>
          </cell>
          <cell r="D384">
            <v>24</v>
          </cell>
        </row>
        <row r="385">
          <cell r="A385" t="str">
            <v>C1620H</v>
          </cell>
          <cell r="B385">
            <v>123</v>
          </cell>
          <cell r="C385">
            <v>123</v>
          </cell>
          <cell r="D385">
            <v>24</v>
          </cell>
        </row>
        <row r="386">
          <cell r="A386" t="str">
            <v>C1620N</v>
          </cell>
          <cell r="B386">
            <v>123</v>
          </cell>
          <cell r="C386">
            <v>123</v>
          </cell>
          <cell r="D386">
            <v>24</v>
          </cell>
        </row>
        <row r="387">
          <cell r="A387" t="str">
            <v>C1620F</v>
          </cell>
          <cell r="B387">
            <v>123</v>
          </cell>
          <cell r="C387">
            <v>123</v>
          </cell>
          <cell r="D387">
            <v>24</v>
          </cell>
        </row>
        <row r="389">
          <cell r="A389" t="str">
            <v>C1620H14</v>
          </cell>
          <cell r="B389">
            <v>123</v>
          </cell>
          <cell r="C389">
            <v>123</v>
          </cell>
          <cell r="D389">
            <v>24</v>
          </cell>
        </row>
        <row r="390">
          <cell r="A390" t="str">
            <v>C1620F14</v>
          </cell>
          <cell r="B390">
            <v>123</v>
          </cell>
          <cell r="C390">
            <v>123</v>
          </cell>
          <cell r="D390">
            <v>24</v>
          </cell>
        </row>
        <row r="392">
          <cell r="A392" t="str">
            <v>CX1620D</v>
          </cell>
          <cell r="B392">
            <v>163</v>
          </cell>
          <cell r="C392">
            <v>163</v>
          </cell>
          <cell r="D392">
            <v>16</v>
          </cell>
        </row>
        <row r="393">
          <cell r="A393" t="str">
            <v>CX1620X</v>
          </cell>
          <cell r="B393">
            <v>163</v>
          </cell>
          <cell r="C393">
            <v>163</v>
          </cell>
          <cell r="D393">
            <v>16</v>
          </cell>
        </row>
        <row r="395">
          <cell r="A395" t="str">
            <v>C2520BP</v>
          </cell>
          <cell r="B395">
            <v>179</v>
          </cell>
          <cell r="C395">
            <v>179</v>
          </cell>
          <cell r="D395">
            <v>12</v>
          </cell>
        </row>
        <row r="396">
          <cell r="A396" t="str">
            <v>C2520SIG</v>
          </cell>
          <cell r="B396">
            <v>243</v>
          </cell>
          <cell r="C396">
            <v>243</v>
          </cell>
          <cell r="D396">
            <v>12</v>
          </cell>
        </row>
        <row r="397">
          <cell r="A397" t="str">
            <v>C2520Z</v>
          </cell>
          <cell r="B397">
            <v>189</v>
          </cell>
          <cell r="C397">
            <v>189</v>
          </cell>
          <cell r="D397">
            <v>12</v>
          </cell>
        </row>
        <row r="398">
          <cell r="A398" t="str">
            <v>C2520DI</v>
          </cell>
          <cell r="B398">
            <v>189</v>
          </cell>
          <cell r="C398">
            <v>189</v>
          </cell>
          <cell r="D398">
            <v>12</v>
          </cell>
        </row>
        <row r="399">
          <cell r="A399" t="str">
            <v>C2520T</v>
          </cell>
          <cell r="B399">
            <v>189</v>
          </cell>
          <cell r="C399">
            <v>189</v>
          </cell>
          <cell r="D399">
            <v>12</v>
          </cell>
        </row>
        <row r="400">
          <cell r="A400" t="str">
            <v>C2520SE</v>
          </cell>
          <cell r="B400">
            <v>189</v>
          </cell>
          <cell r="C400">
            <v>189</v>
          </cell>
          <cell r="D400">
            <v>12</v>
          </cell>
        </row>
        <row r="401">
          <cell r="A401" t="str">
            <v>C2520ST</v>
          </cell>
          <cell r="B401">
            <v>189</v>
          </cell>
          <cell r="C401">
            <v>189</v>
          </cell>
          <cell r="D401">
            <v>12</v>
          </cell>
        </row>
        <row r="402">
          <cell r="A402" t="str">
            <v>C2520SL</v>
          </cell>
          <cell r="B402">
            <v>189</v>
          </cell>
          <cell r="C402">
            <v>189</v>
          </cell>
          <cell r="D402">
            <v>12</v>
          </cell>
        </row>
        <row r="403">
          <cell r="A403" t="str">
            <v>C2520R</v>
          </cell>
          <cell r="B403">
            <v>189</v>
          </cell>
          <cell r="C403">
            <v>189</v>
          </cell>
          <cell r="D403">
            <v>12</v>
          </cell>
        </row>
        <row r="404">
          <cell r="A404" t="str">
            <v>C2520VI</v>
          </cell>
          <cell r="B404">
            <v>189</v>
          </cell>
          <cell r="C404">
            <v>189</v>
          </cell>
          <cell r="D404">
            <v>12</v>
          </cell>
        </row>
        <row r="406">
          <cell r="A406" t="str">
            <v>C2520DI14</v>
          </cell>
          <cell r="B406">
            <v>189</v>
          </cell>
          <cell r="C406">
            <v>189</v>
          </cell>
          <cell r="D406">
            <v>12</v>
          </cell>
        </row>
        <row r="407">
          <cell r="A407" t="str">
            <v>C2520T14</v>
          </cell>
          <cell r="B407">
            <v>189</v>
          </cell>
          <cell r="C407">
            <v>189</v>
          </cell>
          <cell r="D407">
            <v>12</v>
          </cell>
        </row>
        <row r="408">
          <cell r="A408" t="str">
            <v>C2520SE14</v>
          </cell>
          <cell r="B408">
            <v>189</v>
          </cell>
          <cell r="C408">
            <v>189</v>
          </cell>
          <cell r="D408">
            <v>12</v>
          </cell>
        </row>
        <row r="410">
          <cell r="A410" t="str">
            <v>C3620V</v>
          </cell>
          <cell r="B410">
            <v>274</v>
          </cell>
          <cell r="C410">
            <v>274</v>
          </cell>
          <cell r="D410">
            <v>10</v>
          </cell>
        </row>
        <row r="412">
          <cell r="A412" t="str">
            <v>C3620N14</v>
          </cell>
          <cell r="B412">
            <v>274</v>
          </cell>
          <cell r="C412">
            <v>274</v>
          </cell>
          <cell r="D412">
            <v>10</v>
          </cell>
        </row>
        <row r="413">
          <cell r="A413" t="str">
            <v>C3620NO14</v>
          </cell>
          <cell r="B413">
            <v>325</v>
          </cell>
          <cell r="C413">
            <v>325</v>
          </cell>
          <cell r="D413">
            <v>10</v>
          </cell>
        </row>
        <row r="415">
          <cell r="A415" t="str">
            <v>C4920BPF</v>
          </cell>
          <cell r="B415">
            <v>351</v>
          </cell>
          <cell r="C415">
            <v>351</v>
          </cell>
          <cell r="D415">
            <v>8</v>
          </cell>
        </row>
        <row r="416">
          <cell r="A416" t="str">
            <v>C4920SIG</v>
          </cell>
          <cell r="B416">
            <v>445</v>
          </cell>
          <cell r="C416">
            <v>445</v>
          </cell>
          <cell r="D416">
            <v>8</v>
          </cell>
        </row>
        <row r="417">
          <cell r="A417" t="str">
            <v>C4920DR</v>
          </cell>
          <cell r="B417">
            <v>354</v>
          </cell>
          <cell r="C417">
            <v>354</v>
          </cell>
          <cell r="D417">
            <v>8</v>
          </cell>
        </row>
        <row r="418">
          <cell r="A418" t="str">
            <v>C4920K</v>
          </cell>
          <cell r="B418">
            <v>354</v>
          </cell>
          <cell r="C418">
            <v>354</v>
          </cell>
          <cell r="D418">
            <v>8</v>
          </cell>
        </row>
        <row r="419">
          <cell r="A419" t="str">
            <v>C4920S</v>
          </cell>
          <cell r="B419">
            <v>354</v>
          </cell>
          <cell r="C419">
            <v>354</v>
          </cell>
          <cell r="D419">
            <v>8</v>
          </cell>
        </row>
        <row r="421">
          <cell r="A421" t="str">
            <v>C4920DR14</v>
          </cell>
          <cell r="B421">
            <v>354</v>
          </cell>
          <cell r="C421">
            <v>354</v>
          </cell>
          <cell r="D421">
            <v>8</v>
          </cell>
        </row>
        <row r="422">
          <cell r="A422" t="str">
            <v>C4920S14</v>
          </cell>
          <cell r="B422">
            <v>354</v>
          </cell>
          <cell r="C422">
            <v>354</v>
          </cell>
          <cell r="D422">
            <v>8</v>
          </cell>
        </row>
        <row r="424">
          <cell r="A424" t="str">
            <v>CF4920G</v>
          </cell>
          <cell r="B424">
            <v>439</v>
          </cell>
          <cell r="C424">
            <v>439</v>
          </cell>
          <cell r="D424">
            <v>6</v>
          </cell>
        </row>
        <row r="425">
          <cell r="A425" t="str">
            <v>CF4920J</v>
          </cell>
          <cell r="B425">
            <v>439</v>
          </cell>
          <cell r="C425">
            <v>439</v>
          </cell>
          <cell r="D425">
            <v>6</v>
          </cell>
        </row>
        <row r="426">
          <cell r="A426" t="str">
            <v>CF4920A</v>
          </cell>
          <cell r="B426">
            <v>439</v>
          </cell>
          <cell r="C426">
            <v>439</v>
          </cell>
          <cell r="D426">
            <v>6</v>
          </cell>
        </row>
        <row r="428">
          <cell r="A428" t="str">
            <v>CF4920G14</v>
          </cell>
          <cell r="B428">
            <v>439</v>
          </cell>
          <cell r="C428">
            <v>439</v>
          </cell>
          <cell r="D428">
            <v>6</v>
          </cell>
        </row>
        <row r="430">
          <cell r="A430" t="str">
            <v>C6420BPW</v>
          </cell>
          <cell r="B430">
            <v>459</v>
          </cell>
          <cell r="C430">
            <v>459</v>
          </cell>
          <cell r="D430">
            <v>6</v>
          </cell>
        </row>
        <row r="431">
          <cell r="A431" t="str">
            <v>C6420B</v>
          </cell>
          <cell r="B431">
            <v>469</v>
          </cell>
          <cell r="C431">
            <v>469</v>
          </cell>
          <cell r="D431">
            <v>6</v>
          </cell>
        </row>
        <row r="432">
          <cell r="A432" t="str">
            <v>C6420G</v>
          </cell>
          <cell r="B432">
            <v>469</v>
          </cell>
          <cell r="C432">
            <v>469</v>
          </cell>
          <cell r="D432">
            <v>6</v>
          </cell>
        </row>
        <row r="433">
          <cell r="A433" t="str">
            <v>C6420D</v>
          </cell>
          <cell r="B433">
            <v>469</v>
          </cell>
          <cell r="C433">
            <v>469</v>
          </cell>
          <cell r="D433">
            <v>6</v>
          </cell>
        </row>
        <row r="435">
          <cell r="A435" t="str">
            <v>C6420D14</v>
          </cell>
          <cell r="B435">
            <v>469</v>
          </cell>
          <cell r="C435">
            <v>469</v>
          </cell>
          <cell r="D435">
            <v>6</v>
          </cell>
        </row>
        <row r="437">
          <cell r="A437" t="str">
            <v>C6620P</v>
          </cell>
          <cell r="B437">
            <v>702</v>
          </cell>
          <cell r="C437">
            <v>702</v>
          </cell>
          <cell r="D437">
            <v>4</v>
          </cell>
        </row>
        <row r="438">
          <cell r="A438" t="str">
            <v>C6620L</v>
          </cell>
          <cell r="B438">
            <v>702</v>
          </cell>
          <cell r="C438">
            <v>702</v>
          </cell>
          <cell r="D438">
            <v>4</v>
          </cell>
        </row>
        <row r="440">
          <cell r="A440" t="str">
            <v>C6620P14</v>
          </cell>
          <cell r="B440">
            <v>702</v>
          </cell>
          <cell r="C440">
            <v>702</v>
          </cell>
          <cell r="D440">
            <v>4</v>
          </cell>
        </row>
        <row r="442">
          <cell r="A442" t="str">
            <v>C9020SIG</v>
          </cell>
          <cell r="B442">
            <v>750</v>
          </cell>
          <cell r="C442">
            <v>750</v>
          </cell>
          <cell r="D442">
            <v>6</v>
          </cell>
        </row>
        <row r="443">
          <cell r="A443" t="str">
            <v>C9020V</v>
          </cell>
          <cell r="B443">
            <v>639</v>
          </cell>
          <cell r="C443">
            <v>639</v>
          </cell>
          <cell r="D443">
            <v>6</v>
          </cell>
        </row>
        <row r="444">
          <cell r="A444" t="str">
            <v>C9020X</v>
          </cell>
          <cell r="B444">
            <v>639</v>
          </cell>
          <cell r="C444">
            <v>639</v>
          </cell>
          <cell r="D444">
            <v>6</v>
          </cell>
        </row>
        <row r="446">
          <cell r="A446" t="str">
            <v>C10020BP14</v>
          </cell>
          <cell r="B446">
            <v>649</v>
          </cell>
          <cell r="C446">
            <v>649</v>
          </cell>
          <cell r="D446">
            <v>4</v>
          </cell>
        </row>
        <row r="447">
          <cell r="A447" t="str">
            <v>C10020BPS14</v>
          </cell>
          <cell r="B447">
            <v>649</v>
          </cell>
          <cell r="C447">
            <v>649</v>
          </cell>
          <cell r="D447">
            <v>4</v>
          </cell>
        </row>
        <row r="448">
          <cell r="A448" t="str">
            <v>C10020NID14</v>
          </cell>
          <cell r="B448">
            <v>669</v>
          </cell>
          <cell r="C448">
            <v>669</v>
          </cell>
          <cell r="D448">
            <v>4</v>
          </cell>
        </row>
        <row r="450">
          <cell r="A450" t="str">
            <v>C10020XBPW14</v>
          </cell>
          <cell r="B450">
            <v>939</v>
          </cell>
          <cell r="C450">
            <v>939</v>
          </cell>
          <cell r="D450">
            <v>4</v>
          </cell>
        </row>
        <row r="451">
          <cell r="A451" t="str">
            <v>C10020XBP14</v>
          </cell>
          <cell r="B451">
            <v>939</v>
          </cell>
          <cell r="C451">
            <v>939</v>
          </cell>
          <cell r="D451">
            <v>4</v>
          </cell>
        </row>
        <row r="452">
          <cell r="A452" t="str">
            <v>C10020XTS14</v>
          </cell>
          <cell r="B452">
            <v>939</v>
          </cell>
          <cell r="C452">
            <v>939</v>
          </cell>
          <cell r="D452">
            <v>4</v>
          </cell>
        </row>
        <row r="453">
          <cell r="A453" t="str">
            <v>C10020XPR14</v>
          </cell>
          <cell r="B453">
            <v>939</v>
          </cell>
          <cell r="C453">
            <v>939</v>
          </cell>
          <cell r="D453">
            <v>4</v>
          </cell>
        </row>
        <row r="455">
          <cell r="A455" t="str">
            <v>CF10020P</v>
          </cell>
          <cell r="B455">
            <v>949</v>
          </cell>
          <cell r="C455">
            <v>949</v>
          </cell>
          <cell r="D455">
            <v>2</v>
          </cell>
        </row>
        <row r="457">
          <cell r="A457" t="str">
            <v>C13020BP</v>
          </cell>
          <cell r="B457">
            <v>899</v>
          </cell>
          <cell r="C457">
            <v>899</v>
          </cell>
          <cell r="D457">
            <v>3</v>
          </cell>
        </row>
        <row r="458">
          <cell r="A458" t="str">
            <v>C13020M</v>
          </cell>
          <cell r="B458">
            <v>939</v>
          </cell>
          <cell r="C458">
            <v>939</v>
          </cell>
          <cell r="D458">
            <v>3</v>
          </cell>
        </row>
        <row r="459">
          <cell r="A459" t="str">
            <v>C13020B</v>
          </cell>
          <cell r="B459">
            <v>939</v>
          </cell>
          <cell r="C459">
            <v>939</v>
          </cell>
          <cell r="D459">
            <v>3</v>
          </cell>
        </row>
        <row r="461">
          <cell r="A461" t="str">
            <v>C13420H</v>
          </cell>
          <cell r="B461">
            <v>1367</v>
          </cell>
          <cell r="C461">
            <v>1367</v>
          </cell>
          <cell r="D461">
            <v>2</v>
          </cell>
        </row>
        <row r="463">
          <cell r="A463" t="str">
            <v>C20020BPS</v>
          </cell>
          <cell r="B463">
            <v>1449</v>
          </cell>
          <cell r="C463">
            <v>1449</v>
          </cell>
          <cell r="D463">
            <v>2</v>
          </cell>
        </row>
        <row r="464">
          <cell r="A464" t="str">
            <v>C20020PR</v>
          </cell>
          <cell r="B464">
            <v>1499</v>
          </cell>
          <cell r="C464">
            <v>1499</v>
          </cell>
          <cell r="D464">
            <v>2</v>
          </cell>
        </row>
        <row r="466">
          <cell r="A466" t="str">
            <v>C20020XBP</v>
          </cell>
          <cell r="B466">
            <v>1899</v>
          </cell>
          <cell r="C466">
            <v>1899</v>
          </cell>
          <cell r="D466">
            <v>2</v>
          </cell>
        </row>
        <row r="467">
          <cell r="A467" t="str">
            <v>C20020XPR</v>
          </cell>
          <cell r="B467">
            <v>1959</v>
          </cell>
          <cell r="C467">
            <v>1959</v>
          </cell>
          <cell r="D467">
            <v>2</v>
          </cell>
        </row>
        <row r="469">
          <cell r="A469" t="str">
            <v>C12820F/C14</v>
          </cell>
          <cell r="B469">
            <v>1139</v>
          </cell>
          <cell r="C469">
            <v>1139</v>
          </cell>
          <cell r="D469">
            <v>1</v>
          </cell>
        </row>
        <row r="470">
          <cell r="A470" t="str">
            <v>C13220B/C14</v>
          </cell>
          <cell r="B470">
            <v>1682</v>
          </cell>
          <cell r="C470">
            <v>1682</v>
          </cell>
          <cell r="D470">
            <v>1</v>
          </cell>
        </row>
        <row r="471">
          <cell r="A471" t="str">
            <v>C13220TS/C14</v>
          </cell>
          <cell r="B471">
            <v>1682</v>
          </cell>
          <cell r="C471">
            <v>1682</v>
          </cell>
          <cell r="D471">
            <v>1</v>
          </cell>
        </row>
        <row r="472">
          <cell r="A472" t="str">
            <v>C18820XR/C14</v>
          </cell>
          <cell r="B472">
            <v>1992</v>
          </cell>
          <cell r="C472">
            <v>1992</v>
          </cell>
          <cell r="D472">
            <v>1</v>
          </cell>
        </row>
        <row r="473">
          <cell r="A473" t="str">
            <v>C20020N/C14</v>
          </cell>
          <cell r="B473">
            <v>1379</v>
          </cell>
          <cell r="C473">
            <v>1379</v>
          </cell>
          <cell r="D473">
            <v>1</v>
          </cell>
        </row>
        <row r="474">
          <cell r="A474" t="str">
            <v>C20020XPR/C14</v>
          </cell>
          <cell r="B474">
            <v>2096</v>
          </cell>
          <cell r="C474">
            <v>2096</v>
          </cell>
          <cell r="D474">
            <v>1</v>
          </cell>
        </row>
        <row r="475">
          <cell r="A475" t="str">
            <v>C20020XTS/C14</v>
          </cell>
          <cell r="B475">
            <v>2096</v>
          </cell>
          <cell r="C475">
            <v>2096</v>
          </cell>
          <cell r="D475">
            <v>1</v>
          </cell>
        </row>
        <row r="476">
          <cell r="A476" t="str">
            <v>C19320XR/C14</v>
          </cell>
          <cell r="B476">
            <v>2523</v>
          </cell>
          <cell r="C476">
            <v>2523</v>
          </cell>
          <cell r="D476">
            <v>1</v>
          </cell>
        </row>
        <row r="478">
          <cell r="A478" t="str">
            <v>C19220F/C14</v>
          </cell>
          <cell r="B478">
            <v>1734</v>
          </cell>
          <cell r="C478">
            <v>1734</v>
          </cell>
          <cell r="D478">
            <v>1</v>
          </cell>
        </row>
        <row r="479">
          <cell r="A479" t="str">
            <v>C25220XFS/C14</v>
          </cell>
          <cell r="B479">
            <v>2950</v>
          </cell>
          <cell r="C479">
            <v>2950</v>
          </cell>
          <cell r="D479">
            <v>1</v>
          </cell>
        </row>
        <row r="480">
          <cell r="A480" t="str">
            <v>C25620F/C14</v>
          </cell>
          <cell r="B480">
            <v>2626</v>
          </cell>
          <cell r="C480">
            <v>2626</v>
          </cell>
          <cell r="D480">
            <v>1</v>
          </cell>
        </row>
        <row r="481">
          <cell r="A481" t="str">
            <v>C26420N/C14</v>
          </cell>
          <cell r="B481">
            <v>3338</v>
          </cell>
          <cell r="C481">
            <v>3338</v>
          </cell>
          <cell r="D481">
            <v>1</v>
          </cell>
        </row>
        <row r="482">
          <cell r="A482" t="str">
            <v>C30020R/C14</v>
          </cell>
          <cell r="B482">
            <v>2099</v>
          </cell>
          <cell r="C482">
            <v>2099</v>
          </cell>
          <cell r="D482">
            <v>1</v>
          </cell>
        </row>
        <row r="483">
          <cell r="A483" t="str">
            <v>C40020B/C14</v>
          </cell>
          <cell r="B483">
            <v>2799</v>
          </cell>
          <cell r="C483">
            <v>2799</v>
          </cell>
          <cell r="D483">
            <v>1</v>
          </cell>
        </row>
        <row r="484">
          <cell r="A484" t="str">
            <v>C40020XPR/C14</v>
          </cell>
          <cell r="B484">
            <v>4269</v>
          </cell>
          <cell r="C484">
            <v>4269</v>
          </cell>
          <cell r="D484">
            <v>1</v>
          </cell>
        </row>
        <row r="485">
          <cell r="A485" t="str">
            <v>C1-C2 C51220I/C14</v>
          </cell>
          <cell r="B485">
            <v>4243</v>
          </cell>
          <cell r="C485">
            <v>4243</v>
          </cell>
          <cell r="D485">
            <v>1</v>
          </cell>
        </row>
        <row r="486">
          <cell r="A486" t="str">
            <v>C1-C2 C65620XH/C14</v>
          </cell>
          <cell r="B486">
            <v>7478</v>
          </cell>
          <cell r="C486">
            <v>7478</v>
          </cell>
          <cell r="D486">
            <v>1</v>
          </cell>
        </row>
        <row r="487">
          <cell r="A487" t="str">
            <v>C1-C2 C80020S/C14</v>
          </cell>
          <cell r="B487">
            <v>6259</v>
          </cell>
          <cell r="C487">
            <v>6259</v>
          </cell>
          <cell r="D487">
            <v>1</v>
          </cell>
        </row>
        <row r="489">
          <cell r="A489" t="str">
            <v>C6420DU/C</v>
          </cell>
          <cell r="B489">
            <v>690</v>
          </cell>
          <cell r="C489">
            <v>690</v>
          </cell>
          <cell r="D489">
            <v>6</v>
          </cell>
        </row>
        <row r="490">
          <cell r="A490" t="str">
            <v>C12820F/C</v>
          </cell>
          <cell r="B490">
            <v>1139</v>
          </cell>
          <cell r="C490">
            <v>1139</v>
          </cell>
          <cell r="D490">
            <v>1</v>
          </cell>
        </row>
        <row r="491">
          <cell r="A491" t="str">
            <v>C13220B/C</v>
          </cell>
          <cell r="B491">
            <v>1682</v>
          </cell>
          <cell r="C491">
            <v>1682</v>
          </cell>
          <cell r="D491">
            <v>1</v>
          </cell>
        </row>
        <row r="492">
          <cell r="A492" t="str">
            <v>C19220F/C</v>
          </cell>
          <cell r="B492">
            <v>1682</v>
          </cell>
          <cell r="C492">
            <v>1682</v>
          </cell>
          <cell r="D492">
            <v>1</v>
          </cell>
        </row>
        <row r="493">
          <cell r="A493" t="str">
            <v>C25220XFS/C</v>
          </cell>
          <cell r="B493">
            <v>2561</v>
          </cell>
          <cell r="C493">
            <v>2561</v>
          </cell>
          <cell r="D493">
            <v>1</v>
          </cell>
        </row>
        <row r="494">
          <cell r="A494" t="str">
            <v>C25620NID/C</v>
          </cell>
          <cell r="B494">
            <v>2186</v>
          </cell>
          <cell r="C494">
            <v>2186</v>
          </cell>
          <cell r="D494">
            <v>1</v>
          </cell>
        </row>
        <row r="495">
          <cell r="A495" t="str">
            <v>C25620F/C</v>
          </cell>
          <cell r="B495">
            <v>2186</v>
          </cell>
          <cell r="C495">
            <v>2186</v>
          </cell>
          <cell r="D495">
            <v>1</v>
          </cell>
        </row>
        <row r="496">
          <cell r="A496" t="str">
            <v>C26420N/C</v>
          </cell>
          <cell r="B496">
            <v>3208</v>
          </cell>
          <cell r="C496">
            <v>3208</v>
          </cell>
          <cell r="D496">
            <v>1</v>
          </cell>
        </row>
        <row r="497">
          <cell r="A497" t="str">
            <v>C32820XM/C</v>
          </cell>
          <cell r="B497">
            <v>3726</v>
          </cell>
          <cell r="C497">
            <v>3726</v>
          </cell>
          <cell r="D497">
            <v>1</v>
          </cell>
        </row>
        <row r="499">
          <cell r="A499" t="str">
            <v>C18020SIG/C</v>
          </cell>
          <cell r="B499">
            <v>2135</v>
          </cell>
          <cell r="C499">
            <v>2135</v>
          </cell>
          <cell r="D499">
            <v>1</v>
          </cell>
        </row>
        <row r="500">
          <cell r="A500" t="str">
            <v>C26020F/C</v>
          </cell>
          <cell r="B500">
            <v>2199</v>
          </cell>
          <cell r="C500">
            <v>2199</v>
          </cell>
          <cell r="D500">
            <v>1</v>
          </cell>
        </row>
        <row r="501">
          <cell r="A501" t="str">
            <v>C26820F/C</v>
          </cell>
          <cell r="B501">
            <v>3170</v>
          </cell>
          <cell r="C501">
            <v>3170</v>
          </cell>
          <cell r="D501">
            <v>1</v>
          </cell>
        </row>
        <row r="502">
          <cell r="A502" t="str">
            <v>C39020F/C</v>
          </cell>
          <cell r="B502">
            <v>3493</v>
          </cell>
          <cell r="C502">
            <v>3493</v>
          </cell>
          <cell r="D502">
            <v>1</v>
          </cell>
        </row>
        <row r="503">
          <cell r="A503" t="str">
            <v>C52020F/C</v>
          </cell>
          <cell r="B503">
            <v>4528</v>
          </cell>
          <cell r="C503">
            <v>4528</v>
          </cell>
          <cell r="D503">
            <v>1</v>
          </cell>
        </row>
        <row r="504">
          <cell r="A504" t="str">
            <v>C53620F/C</v>
          </cell>
          <cell r="B504">
            <v>6184</v>
          </cell>
          <cell r="C504">
            <v>6184</v>
          </cell>
          <cell r="D504">
            <v>1</v>
          </cell>
        </row>
        <row r="505">
          <cell r="A505" t="str">
            <v>C60020XPR/C</v>
          </cell>
          <cell r="B505">
            <v>6339</v>
          </cell>
          <cell r="C505">
            <v>6339</v>
          </cell>
          <cell r="D505">
            <v>1</v>
          </cell>
        </row>
        <row r="507">
          <cell r="A507" t="str">
            <v>C1625B</v>
          </cell>
          <cell r="B507">
            <v>208</v>
          </cell>
          <cell r="C507">
            <v>208</v>
          </cell>
          <cell r="D507">
            <v>12</v>
          </cell>
        </row>
        <row r="508">
          <cell r="A508" t="str">
            <v>C1625D</v>
          </cell>
          <cell r="B508">
            <v>208</v>
          </cell>
          <cell r="C508">
            <v>208</v>
          </cell>
          <cell r="D508">
            <v>12</v>
          </cell>
        </row>
        <row r="509">
          <cell r="A509" t="str">
            <v>C1625F</v>
          </cell>
          <cell r="B509">
            <v>208</v>
          </cell>
          <cell r="C509">
            <v>208</v>
          </cell>
          <cell r="D509">
            <v>12</v>
          </cell>
        </row>
        <row r="510">
          <cell r="A510" t="str">
            <v>C1625G</v>
          </cell>
          <cell r="B510">
            <v>208</v>
          </cell>
          <cell r="C510">
            <v>208</v>
          </cell>
          <cell r="D510">
            <v>12</v>
          </cell>
        </row>
        <row r="512">
          <cell r="A512" t="str">
            <v>C1625DU</v>
          </cell>
          <cell r="B512">
            <v>220</v>
          </cell>
          <cell r="C512">
            <v>220</v>
          </cell>
          <cell r="D512">
            <v>12</v>
          </cell>
        </row>
        <row r="513">
          <cell r="A513" t="str">
            <v>C1625D14</v>
          </cell>
          <cell r="B513">
            <v>208</v>
          </cell>
          <cell r="C513">
            <v>208</v>
          </cell>
          <cell r="D513">
            <v>12</v>
          </cell>
        </row>
        <row r="514">
          <cell r="A514" t="str">
            <v>C1625F14</v>
          </cell>
          <cell r="B514">
            <v>208</v>
          </cell>
          <cell r="C514">
            <v>208</v>
          </cell>
          <cell r="D514">
            <v>12</v>
          </cell>
        </row>
        <row r="516">
          <cell r="A516" t="str">
            <v>C2525BPW</v>
          </cell>
          <cell r="B516">
            <v>309</v>
          </cell>
          <cell r="C516">
            <v>309</v>
          </cell>
          <cell r="D516">
            <v>12</v>
          </cell>
        </row>
        <row r="517">
          <cell r="A517" t="str">
            <v>C2525SIG</v>
          </cell>
          <cell r="B517">
            <v>354</v>
          </cell>
          <cell r="C517">
            <v>354</v>
          </cell>
          <cell r="D517">
            <v>12</v>
          </cell>
        </row>
        <row r="518">
          <cell r="A518" t="str">
            <v>C2525DU</v>
          </cell>
          <cell r="B518">
            <v>334</v>
          </cell>
          <cell r="C518">
            <v>334</v>
          </cell>
          <cell r="D518">
            <v>12</v>
          </cell>
        </row>
        <row r="519">
          <cell r="A519" t="str">
            <v>C2525C</v>
          </cell>
          <cell r="B519">
            <v>319</v>
          </cell>
          <cell r="C519">
            <v>319</v>
          </cell>
          <cell r="D519">
            <v>12</v>
          </cell>
        </row>
        <row r="520">
          <cell r="A520" t="str">
            <v>C2525L</v>
          </cell>
          <cell r="B520">
            <v>319</v>
          </cell>
          <cell r="C520">
            <v>319</v>
          </cell>
          <cell r="D520">
            <v>12</v>
          </cell>
        </row>
        <row r="522">
          <cell r="A522" t="str">
            <v>C2525SC14</v>
          </cell>
          <cell r="B522">
            <v>404</v>
          </cell>
          <cell r="C522">
            <v>404</v>
          </cell>
          <cell r="D522">
            <v>8</v>
          </cell>
        </row>
        <row r="524">
          <cell r="A524" t="str">
            <v>CF2525D</v>
          </cell>
          <cell r="B524">
            <v>385</v>
          </cell>
          <cell r="C524">
            <v>385</v>
          </cell>
          <cell r="D524">
            <v>10</v>
          </cell>
        </row>
        <row r="525">
          <cell r="A525" t="str">
            <v>CF2525O</v>
          </cell>
          <cell r="B525">
            <v>385</v>
          </cell>
          <cell r="C525">
            <v>385</v>
          </cell>
          <cell r="D525">
            <v>10</v>
          </cell>
        </row>
        <row r="526">
          <cell r="A526" t="str">
            <v>CF2525S</v>
          </cell>
          <cell r="B526">
            <v>385</v>
          </cell>
          <cell r="C526">
            <v>385</v>
          </cell>
          <cell r="D526">
            <v>10</v>
          </cell>
        </row>
        <row r="528">
          <cell r="A528" t="str">
            <v>C3625P</v>
          </cell>
          <cell r="B528">
            <v>459</v>
          </cell>
          <cell r="C528">
            <v>459</v>
          </cell>
          <cell r="D528">
            <v>8</v>
          </cell>
        </row>
        <row r="530">
          <cell r="A530" t="str">
            <v>C3625P14</v>
          </cell>
          <cell r="B530">
            <v>459</v>
          </cell>
          <cell r="C530">
            <v>459</v>
          </cell>
          <cell r="D530">
            <v>8</v>
          </cell>
        </row>
        <row r="532">
          <cell r="A532" t="str">
            <v>C4825MP</v>
          </cell>
          <cell r="B532">
            <v>664</v>
          </cell>
          <cell r="C532">
            <v>664</v>
          </cell>
          <cell r="D532">
            <v>6</v>
          </cell>
        </row>
        <row r="534">
          <cell r="A534" t="str">
            <v>C4925G</v>
          </cell>
          <cell r="B534">
            <v>625</v>
          </cell>
          <cell r="C534">
            <v>625</v>
          </cell>
          <cell r="D534">
            <v>6</v>
          </cell>
        </row>
        <row r="535">
          <cell r="A535" t="str">
            <v>C4925P</v>
          </cell>
          <cell r="B535">
            <v>625</v>
          </cell>
          <cell r="C535">
            <v>625</v>
          </cell>
          <cell r="D535">
            <v>6</v>
          </cell>
        </row>
        <row r="536">
          <cell r="A536" t="str">
            <v>C4925V</v>
          </cell>
          <cell r="B536">
            <v>625</v>
          </cell>
          <cell r="C536">
            <v>625</v>
          </cell>
          <cell r="D536">
            <v>6</v>
          </cell>
        </row>
        <row r="538">
          <cell r="A538" t="str">
            <v>C4925BP14</v>
          </cell>
          <cell r="B538">
            <v>619</v>
          </cell>
          <cell r="C538">
            <v>619</v>
          </cell>
          <cell r="D538">
            <v>6</v>
          </cell>
        </row>
        <row r="539">
          <cell r="A539" t="str">
            <v>C4925NO14</v>
          </cell>
          <cell r="B539">
            <v>660</v>
          </cell>
          <cell r="C539">
            <v>660</v>
          </cell>
          <cell r="D539">
            <v>6</v>
          </cell>
        </row>
        <row r="540">
          <cell r="A540" t="str">
            <v>C4925V14</v>
          </cell>
          <cell r="B540">
            <v>625</v>
          </cell>
          <cell r="C540">
            <v>625</v>
          </cell>
          <cell r="D540">
            <v>6</v>
          </cell>
        </row>
        <row r="541">
          <cell r="A541" t="str">
            <v>C4925VS14</v>
          </cell>
          <cell r="B541">
            <v>645</v>
          </cell>
          <cell r="C541">
            <v>645</v>
          </cell>
          <cell r="D541">
            <v>6</v>
          </cell>
        </row>
        <row r="543">
          <cell r="A543" t="str">
            <v>C4925SIG</v>
          </cell>
          <cell r="B543">
            <v>785</v>
          </cell>
          <cell r="C543">
            <v>785</v>
          </cell>
          <cell r="D543">
            <v>6</v>
          </cell>
        </row>
        <row r="544">
          <cell r="A544" t="str">
            <v>C4925D</v>
          </cell>
          <cell r="B544">
            <v>660</v>
          </cell>
          <cell r="C544">
            <v>660</v>
          </cell>
          <cell r="D544">
            <v>6</v>
          </cell>
        </row>
        <row r="546">
          <cell r="A546" t="str">
            <v>CF4925S14</v>
          </cell>
          <cell r="B546">
            <v>769</v>
          </cell>
          <cell r="C546">
            <v>769</v>
          </cell>
          <cell r="D546">
            <v>4</v>
          </cell>
        </row>
        <row r="547">
          <cell r="A547" t="str">
            <v>CF4925B14</v>
          </cell>
          <cell r="B547">
            <v>769</v>
          </cell>
          <cell r="C547">
            <v>769</v>
          </cell>
          <cell r="D547">
            <v>4</v>
          </cell>
        </row>
        <row r="549">
          <cell r="A549" t="str">
            <v>CF4925S</v>
          </cell>
          <cell r="B549">
            <v>769</v>
          </cell>
          <cell r="C549">
            <v>769</v>
          </cell>
          <cell r="D549">
            <v>4</v>
          </cell>
        </row>
        <row r="550">
          <cell r="A550" t="str">
            <v>CF4925D</v>
          </cell>
          <cell r="B550">
            <v>818</v>
          </cell>
          <cell r="C550">
            <v>818</v>
          </cell>
          <cell r="D550">
            <v>4</v>
          </cell>
        </row>
        <row r="551">
          <cell r="A551" t="str">
            <v>CF4925B</v>
          </cell>
          <cell r="B551">
            <v>769</v>
          </cell>
          <cell r="C551">
            <v>769</v>
          </cell>
          <cell r="D551">
            <v>4</v>
          </cell>
        </row>
        <row r="553">
          <cell r="A553" t="str">
            <v>C6425XPT</v>
          </cell>
          <cell r="B553">
            <v>1061</v>
          </cell>
          <cell r="C553">
            <v>1061</v>
          </cell>
          <cell r="D553">
            <v>3</v>
          </cell>
        </row>
        <row r="555">
          <cell r="A555" t="str">
            <v>C8825G</v>
          </cell>
          <cell r="B555">
            <v>1146</v>
          </cell>
          <cell r="C555">
            <v>1146</v>
          </cell>
          <cell r="D555">
            <v>2</v>
          </cell>
        </row>
        <row r="556">
          <cell r="A556" t="str">
            <v>C8825PA</v>
          </cell>
          <cell r="B556">
            <v>1146</v>
          </cell>
          <cell r="C556">
            <v>1146</v>
          </cell>
          <cell r="D556">
            <v>2</v>
          </cell>
        </row>
        <row r="557">
          <cell r="A557" t="str">
            <v>C8825BR</v>
          </cell>
          <cell r="B557">
            <v>1146</v>
          </cell>
          <cell r="C557">
            <v>1146</v>
          </cell>
          <cell r="D557">
            <v>2</v>
          </cell>
        </row>
        <row r="559">
          <cell r="A559" t="str">
            <v>C10025BPS</v>
          </cell>
          <cell r="B559">
            <v>1259</v>
          </cell>
          <cell r="C559">
            <v>1259</v>
          </cell>
          <cell r="D559">
            <v>2</v>
          </cell>
        </row>
        <row r="560">
          <cell r="A560" t="str">
            <v>C10025PR1</v>
          </cell>
          <cell r="B560">
            <v>1319</v>
          </cell>
          <cell r="C560">
            <v>1319</v>
          </cell>
          <cell r="D560">
            <v>2</v>
          </cell>
        </row>
        <row r="561">
          <cell r="A561" t="str">
            <v>C10025I</v>
          </cell>
          <cell r="B561">
            <v>1319</v>
          </cell>
          <cell r="C561">
            <v>1319</v>
          </cell>
          <cell r="D561">
            <v>2</v>
          </cell>
        </row>
        <row r="563">
          <cell r="A563" t="str">
            <v>C6425DU/C14</v>
          </cell>
          <cell r="B563">
            <v>957</v>
          </cell>
          <cell r="C563">
            <v>957</v>
          </cell>
          <cell r="D563">
            <v>1</v>
          </cell>
        </row>
        <row r="564">
          <cell r="A564" t="str">
            <v>C9625MF/C14</v>
          </cell>
          <cell r="B564">
            <v>1708</v>
          </cell>
          <cell r="C564">
            <v>1708</v>
          </cell>
          <cell r="D564">
            <v>1</v>
          </cell>
        </row>
        <row r="565">
          <cell r="A565" t="str">
            <v>C9825C/C14</v>
          </cell>
          <cell r="B565">
            <v>1568</v>
          </cell>
          <cell r="C565">
            <v>1568</v>
          </cell>
          <cell r="D565">
            <v>1</v>
          </cell>
        </row>
        <row r="566">
          <cell r="A566" t="str">
            <v>C9825SIG/C14</v>
          </cell>
          <cell r="B566">
            <v>1709</v>
          </cell>
          <cell r="C566">
            <v>1709</v>
          </cell>
          <cell r="D566">
            <v>1</v>
          </cell>
        </row>
        <row r="567">
          <cell r="A567" t="str">
            <v>C10025BPW/C14</v>
          </cell>
          <cell r="B567">
            <v>1559</v>
          </cell>
          <cell r="C567">
            <v>1559</v>
          </cell>
          <cell r="D567">
            <v>1</v>
          </cell>
        </row>
        <row r="568">
          <cell r="A568" t="str">
            <v>C14025XFS/C14</v>
          </cell>
          <cell r="B568">
            <v>2685</v>
          </cell>
          <cell r="C568">
            <v>2685</v>
          </cell>
          <cell r="D568">
            <v>1</v>
          </cell>
        </row>
        <row r="569">
          <cell r="A569" t="str">
            <v>C19225MF/C14</v>
          </cell>
          <cell r="B569">
            <v>3454</v>
          </cell>
          <cell r="C569">
            <v>3454</v>
          </cell>
          <cell r="D569">
            <v>1</v>
          </cell>
        </row>
        <row r="570">
          <cell r="A570" t="str">
            <v>C19625/C14</v>
          </cell>
          <cell r="B570">
            <v>2862</v>
          </cell>
          <cell r="C570">
            <v>2862</v>
          </cell>
          <cell r="D570">
            <v>1</v>
          </cell>
        </row>
        <row r="571">
          <cell r="A571" t="str">
            <v>C1-C2 C40025F/C14</v>
          </cell>
          <cell r="B571">
            <v>5408</v>
          </cell>
          <cell r="C571">
            <v>5408</v>
          </cell>
          <cell r="D571">
            <v>1</v>
          </cell>
        </row>
        <row r="573">
          <cell r="A573" t="str">
            <v>C9825C/C</v>
          </cell>
          <cell r="B573">
            <v>1568</v>
          </cell>
          <cell r="C573">
            <v>1568</v>
          </cell>
          <cell r="D573">
            <v>1</v>
          </cell>
        </row>
        <row r="574">
          <cell r="A574" t="str">
            <v>C10025SIG/C</v>
          </cell>
          <cell r="B574">
            <v>1552</v>
          </cell>
          <cell r="C574">
            <v>1552</v>
          </cell>
          <cell r="D574">
            <v>1</v>
          </cell>
        </row>
        <row r="575">
          <cell r="A575" t="str">
            <v>C14025XFS/C</v>
          </cell>
          <cell r="B575">
            <v>2685</v>
          </cell>
          <cell r="C575">
            <v>2685</v>
          </cell>
          <cell r="D575">
            <v>1</v>
          </cell>
        </row>
        <row r="576">
          <cell r="A576" t="str">
            <v>C19625F/C</v>
          </cell>
          <cell r="B576">
            <v>2862</v>
          </cell>
          <cell r="C576">
            <v>2862</v>
          </cell>
          <cell r="D576">
            <v>1</v>
          </cell>
        </row>
        <row r="577">
          <cell r="A577" t="str">
            <v>C20025I/C</v>
          </cell>
          <cell r="B577">
            <v>2749</v>
          </cell>
          <cell r="C577">
            <v>2749</v>
          </cell>
          <cell r="D577">
            <v>1</v>
          </cell>
        </row>
        <row r="579">
          <cell r="A579" t="str">
            <v>C17825W/C</v>
          </cell>
          <cell r="B579">
            <v>3558</v>
          </cell>
          <cell r="C579">
            <v>3558</v>
          </cell>
          <cell r="D579">
            <v>1</v>
          </cell>
        </row>
        <row r="580">
          <cell r="A580" t="str">
            <v>C20025F/C</v>
          </cell>
          <cell r="B580">
            <v>2999</v>
          </cell>
          <cell r="C580">
            <v>2999</v>
          </cell>
          <cell r="D580">
            <v>1</v>
          </cell>
        </row>
        <row r="581">
          <cell r="A581" t="str">
            <v>C30025F/C</v>
          </cell>
          <cell r="B581">
            <v>4339</v>
          </cell>
          <cell r="C581">
            <v>4339</v>
          </cell>
          <cell r="D581">
            <v>1</v>
          </cell>
        </row>
        <row r="582">
          <cell r="A582" t="str">
            <v>C40025F/C</v>
          </cell>
          <cell r="B582">
            <v>5822</v>
          </cell>
          <cell r="C582">
            <v>5822</v>
          </cell>
          <cell r="D582">
            <v>1</v>
          </cell>
        </row>
        <row r="584">
          <cell r="A584" t="str">
            <v>C163BP</v>
          </cell>
          <cell r="B584">
            <v>299</v>
          </cell>
          <cell r="C584">
            <v>299</v>
          </cell>
          <cell r="D584">
            <v>10</v>
          </cell>
        </row>
        <row r="585">
          <cell r="A585" t="str">
            <v>C163SIG</v>
          </cell>
          <cell r="B585">
            <v>348</v>
          </cell>
          <cell r="C585">
            <v>348</v>
          </cell>
          <cell r="D585">
            <v>10</v>
          </cell>
        </row>
        <row r="586">
          <cell r="A586" t="str">
            <v>C163A</v>
          </cell>
          <cell r="B586">
            <v>321</v>
          </cell>
          <cell r="C586">
            <v>321</v>
          </cell>
          <cell r="D586">
            <v>10</v>
          </cell>
        </row>
        <row r="587">
          <cell r="A587" t="str">
            <v>C163B</v>
          </cell>
          <cell r="B587">
            <v>321</v>
          </cell>
          <cell r="C587">
            <v>321</v>
          </cell>
          <cell r="D587">
            <v>10</v>
          </cell>
        </row>
        <row r="588">
          <cell r="A588" t="str">
            <v>C163L</v>
          </cell>
          <cell r="B588">
            <v>321</v>
          </cell>
          <cell r="C588">
            <v>321</v>
          </cell>
          <cell r="D588">
            <v>10</v>
          </cell>
        </row>
        <row r="589">
          <cell r="A589" t="str">
            <v>C163E</v>
          </cell>
          <cell r="B589">
            <v>321</v>
          </cell>
          <cell r="C589">
            <v>321</v>
          </cell>
          <cell r="D589">
            <v>10</v>
          </cell>
        </row>
        <row r="590">
          <cell r="A590" t="str">
            <v>C163K</v>
          </cell>
          <cell r="B590">
            <v>321</v>
          </cell>
          <cell r="C590">
            <v>321</v>
          </cell>
          <cell r="D590">
            <v>10</v>
          </cell>
        </row>
        <row r="592">
          <cell r="A592" t="str">
            <v>C163A14</v>
          </cell>
          <cell r="B592">
            <v>321</v>
          </cell>
          <cell r="C592">
            <v>321</v>
          </cell>
          <cell r="D592">
            <v>10</v>
          </cell>
        </row>
        <row r="594">
          <cell r="A594" t="str">
            <v>C193BP</v>
          </cell>
          <cell r="B594">
            <v>359</v>
          </cell>
          <cell r="C594">
            <v>359</v>
          </cell>
          <cell r="D594">
            <v>8</v>
          </cell>
        </row>
        <row r="595">
          <cell r="A595" t="str">
            <v>C193C</v>
          </cell>
          <cell r="B595">
            <v>369</v>
          </cell>
          <cell r="C595">
            <v>369</v>
          </cell>
          <cell r="D595">
            <v>8</v>
          </cell>
        </row>
        <row r="596">
          <cell r="A596" t="str">
            <v>C193D</v>
          </cell>
          <cell r="B596">
            <v>369</v>
          </cell>
          <cell r="C596">
            <v>369</v>
          </cell>
          <cell r="D596">
            <v>8</v>
          </cell>
        </row>
        <row r="597">
          <cell r="A597" t="str">
            <v>C193J</v>
          </cell>
          <cell r="B597">
            <v>369</v>
          </cell>
          <cell r="C597">
            <v>369</v>
          </cell>
          <cell r="D597">
            <v>8</v>
          </cell>
        </row>
        <row r="598">
          <cell r="A598" t="str">
            <v>C193I</v>
          </cell>
          <cell r="B598">
            <v>369</v>
          </cell>
          <cell r="C598">
            <v>369</v>
          </cell>
          <cell r="D598">
            <v>8</v>
          </cell>
        </row>
        <row r="600">
          <cell r="A600" t="str">
            <v>C253SIG</v>
          </cell>
          <cell r="B600">
            <v>582</v>
          </cell>
          <cell r="C600">
            <v>582</v>
          </cell>
          <cell r="D600">
            <v>6</v>
          </cell>
        </row>
        <row r="601">
          <cell r="A601" t="str">
            <v>C253SIG B</v>
          </cell>
          <cell r="B601">
            <v>582</v>
          </cell>
          <cell r="C601">
            <v>582</v>
          </cell>
          <cell r="D601">
            <v>6</v>
          </cell>
        </row>
        <row r="602">
          <cell r="A602" t="str">
            <v>C253FR</v>
          </cell>
          <cell r="B602">
            <v>499</v>
          </cell>
          <cell r="C602">
            <v>499</v>
          </cell>
          <cell r="D602">
            <v>6</v>
          </cell>
        </row>
        <row r="603">
          <cell r="A603" t="str">
            <v>C253MY</v>
          </cell>
          <cell r="B603">
            <v>499</v>
          </cell>
          <cell r="C603">
            <v>499</v>
          </cell>
          <cell r="D603">
            <v>6</v>
          </cell>
        </row>
        <row r="604">
          <cell r="A604" t="str">
            <v>C253DU</v>
          </cell>
          <cell r="B604">
            <v>539</v>
          </cell>
          <cell r="C604">
            <v>539</v>
          </cell>
          <cell r="D604">
            <v>6</v>
          </cell>
        </row>
        <row r="606">
          <cell r="A606" t="str">
            <v>C253BP14</v>
          </cell>
          <cell r="B606">
            <v>469</v>
          </cell>
          <cell r="C606">
            <v>469</v>
          </cell>
          <cell r="D606">
            <v>6</v>
          </cell>
        </row>
        <row r="607">
          <cell r="A607" t="str">
            <v>C253NO14</v>
          </cell>
          <cell r="B607">
            <v>539</v>
          </cell>
          <cell r="C607">
            <v>539</v>
          </cell>
          <cell r="D607">
            <v>6</v>
          </cell>
        </row>
        <row r="608">
          <cell r="A608" t="str">
            <v>C253B14</v>
          </cell>
          <cell r="B608">
            <v>499</v>
          </cell>
          <cell r="C608">
            <v>499</v>
          </cell>
          <cell r="D608">
            <v>6</v>
          </cell>
        </row>
        <row r="609">
          <cell r="A609" t="str">
            <v>C253TH14</v>
          </cell>
          <cell r="B609">
            <v>499</v>
          </cell>
          <cell r="C609">
            <v>499</v>
          </cell>
          <cell r="D609">
            <v>6</v>
          </cell>
        </row>
        <row r="610">
          <cell r="A610" t="str">
            <v>C253E14</v>
          </cell>
          <cell r="B610">
            <v>499</v>
          </cell>
          <cell r="C610">
            <v>499</v>
          </cell>
          <cell r="D610">
            <v>6</v>
          </cell>
        </row>
        <row r="612">
          <cell r="A612" t="str">
            <v>C253F14</v>
          </cell>
          <cell r="B612">
            <v>499</v>
          </cell>
          <cell r="C612">
            <v>499</v>
          </cell>
          <cell r="D612">
            <v>6</v>
          </cell>
        </row>
        <row r="614">
          <cell r="A614" t="str">
            <v>CF253R14</v>
          </cell>
          <cell r="B614">
            <v>569</v>
          </cell>
          <cell r="C614">
            <v>569</v>
          </cell>
          <cell r="D614">
            <v>6</v>
          </cell>
        </row>
        <row r="615">
          <cell r="A615" t="str">
            <v>CF253D14</v>
          </cell>
          <cell r="B615">
            <v>569</v>
          </cell>
          <cell r="C615">
            <v>569</v>
          </cell>
          <cell r="D615">
            <v>6</v>
          </cell>
        </row>
        <row r="616">
          <cell r="A616" t="str">
            <v>CF253K14</v>
          </cell>
          <cell r="B616">
            <v>569</v>
          </cell>
          <cell r="C616">
            <v>569</v>
          </cell>
          <cell r="D616">
            <v>6</v>
          </cell>
        </row>
        <row r="618">
          <cell r="A618" t="str">
            <v>C363PL</v>
          </cell>
          <cell r="B618">
            <v>709</v>
          </cell>
          <cell r="C618">
            <v>709</v>
          </cell>
          <cell r="D618">
            <v>4</v>
          </cell>
        </row>
        <row r="619">
          <cell r="A619" t="str">
            <v>C363PA</v>
          </cell>
          <cell r="B619">
            <v>709</v>
          </cell>
          <cell r="C619">
            <v>709</v>
          </cell>
          <cell r="D619">
            <v>4</v>
          </cell>
        </row>
        <row r="620">
          <cell r="A620" t="str">
            <v>C363DR</v>
          </cell>
          <cell r="B620">
            <v>709</v>
          </cell>
          <cell r="C620">
            <v>709</v>
          </cell>
          <cell r="D620">
            <v>4</v>
          </cell>
        </row>
        <row r="622">
          <cell r="A622" t="str">
            <v>CF363S</v>
          </cell>
          <cell r="B622">
            <v>929</v>
          </cell>
          <cell r="C622">
            <v>929</v>
          </cell>
          <cell r="D622">
            <v>4</v>
          </cell>
        </row>
        <row r="624">
          <cell r="A624" t="str">
            <v>C493BPS</v>
          </cell>
          <cell r="B624">
            <v>969</v>
          </cell>
          <cell r="C624">
            <v>969</v>
          </cell>
          <cell r="D624">
            <v>2</v>
          </cell>
        </row>
        <row r="625">
          <cell r="A625" t="str">
            <v>C493PR</v>
          </cell>
          <cell r="B625">
            <v>979</v>
          </cell>
          <cell r="C625">
            <v>979</v>
          </cell>
          <cell r="D625">
            <v>2</v>
          </cell>
        </row>
        <row r="626">
          <cell r="A626" t="str">
            <v>C493RU</v>
          </cell>
          <cell r="B626">
            <v>979</v>
          </cell>
          <cell r="C626">
            <v>979</v>
          </cell>
          <cell r="D626">
            <v>2</v>
          </cell>
        </row>
        <row r="627">
          <cell r="A627" t="str">
            <v>C493MA</v>
          </cell>
          <cell r="B627">
            <v>979</v>
          </cell>
          <cell r="C627">
            <v>979</v>
          </cell>
          <cell r="D627">
            <v>2</v>
          </cell>
        </row>
        <row r="628">
          <cell r="A628" t="str">
            <v>C493LI</v>
          </cell>
          <cell r="B628">
            <v>979</v>
          </cell>
          <cell r="C628">
            <v>979</v>
          </cell>
          <cell r="D628">
            <v>2</v>
          </cell>
        </row>
        <row r="629">
          <cell r="A629" t="str">
            <v>C493DU</v>
          </cell>
          <cell r="B629">
            <v>999</v>
          </cell>
          <cell r="C629">
            <v>999</v>
          </cell>
          <cell r="D629">
            <v>2</v>
          </cell>
        </row>
        <row r="630">
          <cell r="A630" t="str">
            <v>C493SW</v>
          </cell>
          <cell r="B630">
            <v>999</v>
          </cell>
          <cell r="C630">
            <v>999</v>
          </cell>
          <cell r="D630">
            <v>2</v>
          </cell>
        </row>
        <row r="631">
          <cell r="A631" t="str">
            <v>C493GH</v>
          </cell>
          <cell r="B631">
            <v>999</v>
          </cell>
          <cell r="C631">
            <v>999</v>
          </cell>
          <cell r="D631">
            <v>2</v>
          </cell>
        </row>
        <row r="632">
          <cell r="A632" t="str">
            <v>C493RG</v>
          </cell>
          <cell r="B632">
            <v>999</v>
          </cell>
          <cell r="C632">
            <v>999</v>
          </cell>
          <cell r="D632">
            <v>2</v>
          </cell>
        </row>
        <row r="633">
          <cell r="A633" t="str">
            <v>C493BW</v>
          </cell>
          <cell r="B633">
            <v>999</v>
          </cell>
          <cell r="C633">
            <v>999</v>
          </cell>
          <cell r="D633">
            <v>2</v>
          </cell>
        </row>
        <row r="635">
          <cell r="A635" t="str">
            <v>CF493ST</v>
          </cell>
          <cell r="B635">
            <v>1239</v>
          </cell>
          <cell r="C635">
            <v>1239</v>
          </cell>
          <cell r="D635">
            <v>2</v>
          </cell>
        </row>
        <row r="636">
          <cell r="A636" t="str">
            <v>CF493SA</v>
          </cell>
          <cell r="B636">
            <v>1239</v>
          </cell>
          <cell r="C636">
            <v>1239</v>
          </cell>
          <cell r="D636">
            <v>2</v>
          </cell>
        </row>
        <row r="637">
          <cell r="A637" t="str">
            <v>CF493W</v>
          </cell>
          <cell r="B637">
            <v>1239</v>
          </cell>
          <cell r="C637">
            <v>1239</v>
          </cell>
          <cell r="D637">
            <v>2</v>
          </cell>
        </row>
        <row r="638">
          <cell r="A638" t="str">
            <v>CF493ME</v>
          </cell>
          <cell r="B638">
            <v>1239</v>
          </cell>
          <cell r="C638">
            <v>1239</v>
          </cell>
          <cell r="D638">
            <v>2</v>
          </cell>
        </row>
        <row r="640">
          <cell r="A640" t="str">
            <v>C503SIGA</v>
          </cell>
          <cell r="B640">
            <v>1100</v>
          </cell>
          <cell r="C640">
            <v>1100</v>
          </cell>
          <cell r="D640">
            <v>2</v>
          </cell>
        </row>
        <row r="641">
          <cell r="A641" t="str">
            <v>C503RA</v>
          </cell>
          <cell r="B641">
            <v>969</v>
          </cell>
          <cell r="C641">
            <v>969</v>
          </cell>
          <cell r="D641">
            <v>2</v>
          </cell>
        </row>
        <row r="642">
          <cell r="A642" t="str">
            <v>C503RO</v>
          </cell>
          <cell r="B642">
            <v>969</v>
          </cell>
          <cell r="C642">
            <v>969</v>
          </cell>
          <cell r="D642">
            <v>2</v>
          </cell>
        </row>
        <row r="643">
          <cell r="A643" t="str">
            <v>C503BI</v>
          </cell>
          <cell r="B643">
            <v>969</v>
          </cell>
          <cell r="C643">
            <v>969</v>
          </cell>
          <cell r="D643">
            <v>2</v>
          </cell>
        </row>
        <row r="645">
          <cell r="A645" t="str">
            <v>C643BI</v>
          </cell>
          <cell r="B645">
            <v>1379</v>
          </cell>
          <cell r="C645">
            <v>1379</v>
          </cell>
          <cell r="D645">
            <v>2</v>
          </cell>
        </row>
        <row r="646">
          <cell r="A646" t="str">
            <v>C643H</v>
          </cell>
          <cell r="B646">
            <v>1379</v>
          </cell>
          <cell r="C646">
            <v>1379</v>
          </cell>
          <cell r="D646">
            <v>2</v>
          </cell>
        </row>
        <row r="648">
          <cell r="A648" t="str">
            <v>CF643M</v>
          </cell>
          <cell r="B648">
            <v>1699</v>
          </cell>
          <cell r="C648">
            <v>1699</v>
          </cell>
          <cell r="D648">
            <v>2</v>
          </cell>
        </row>
        <row r="649">
          <cell r="A649" t="str">
            <v>CF643T</v>
          </cell>
          <cell r="B649">
            <v>1699</v>
          </cell>
          <cell r="C649">
            <v>1699</v>
          </cell>
          <cell r="D649">
            <v>2</v>
          </cell>
        </row>
        <row r="651">
          <cell r="A651" t="str">
            <v>C643XMO</v>
          </cell>
          <cell r="B651">
            <v>1599</v>
          </cell>
          <cell r="C651">
            <v>1599</v>
          </cell>
          <cell r="D651">
            <v>2</v>
          </cell>
        </row>
        <row r="652">
          <cell r="A652" t="str">
            <v>C643XMS</v>
          </cell>
          <cell r="B652">
            <v>1599</v>
          </cell>
          <cell r="C652">
            <v>1599</v>
          </cell>
          <cell r="D652">
            <v>2</v>
          </cell>
        </row>
        <row r="654">
          <cell r="A654" t="str">
            <v>C503BW/C14</v>
          </cell>
          <cell r="B654">
            <v>1129</v>
          </cell>
          <cell r="C654">
            <v>1129</v>
          </cell>
          <cell r="D654">
            <v>1</v>
          </cell>
        </row>
        <row r="655">
          <cell r="A655" t="str">
            <v>C503TS/C14</v>
          </cell>
          <cell r="B655">
            <v>1129</v>
          </cell>
          <cell r="C655">
            <v>1129</v>
          </cell>
          <cell r="D655">
            <v>1</v>
          </cell>
        </row>
        <row r="656">
          <cell r="A656" t="str">
            <v>C503RO/C14</v>
          </cell>
          <cell r="B656">
            <v>1129</v>
          </cell>
          <cell r="C656">
            <v>1129</v>
          </cell>
          <cell r="D656">
            <v>1</v>
          </cell>
        </row>
        <row r="657">
          <cell r="A657" t="str">
            <v>C503F/C14</v>
          </cell>
          <cell r="B657">
            <v>1129</v>
          </cell>
          <cell r="C657">
            <v>1129</v>
          </cell>
          <cell r="D657">
            <v>1</v>
          </cell>
        </row>
        <row r="658">
          <cell r="A658" t="str">
            <v>C503SIG/C14</v>
          </cell>
          <cell r="B658">
            <v>1345</v>
          </cell>
          <cell r="C658">
            <v>1345</v>
          </cell>
          <cell r="D658">
            <v>1</v>
          </cell>
        </row>
        <row r="659">
          <cell r="A659" t="str">
            <v>C1003F/C14</v>
          </cell>
          <cell r="B659">
            <v>1999</v>
          </cell>
          <cell r="C659">
            <v>1999</v>
          </cell>
          <cell r="D659">
            <v>1</v>
          </cell>
        </row>
        <row r="660">
          <cell r="A660" t="str">
            <v>C1003VS/C14</v>
          </cell>
          <cell r="B660">
            <v>2070</v>
          </cell>
          <cell r="C660">
            <v>2070</v>
          </cell>
          <cell r="D660">
            <v>1</v>
          </cell>
        </row>
        <row r="661">
          <cell r="A661" t="str">
            <v>C1003CY/C</v>
          </cell>
          <cell r="B661">
            <v>1999</v>
          </cell>
          <cell r="C661">
            <v>1999</v>
          </cell>
          <cell r="D661">
            <v>1</v>
          </cell>
        </row>
        <row r="662">
          <cell r="A662" t="str">
            <v>C10030XF/C14</v>
          </cell>
          <cell r="B662">
            <v>2911</v>
          </cell>
          <cell r="C662">
            <v>2911</v>
          </cell>
          <cell r="D662">
            <v>1</v>
          </cell>
        </row>
        <row r="663">
          <cell r="A663" t="str">
            <v>C1163MB/C14</v>
          </cell>
          <cell r="B663">
            <v>3558</v>
          </cell>
          <cell r="C663">
            <v>3558</v>
          </cell>
          <cell r="D663">
            <v>1</v>
          </cell>
        </row>
        <row r="664">
          <cell r="A664" t="str">
            <v>C12230XPT/C14</v>
          </cell>
          <cell r="B664">
            <v>3312</v>
          </cell>
          <cell r="C664">
            <v>3312</v>
          </cell>
          <cell r="D664">
            <v>1</v>
          </cell>
        </row>
        <row r="666">
          <cell r="A666" t="str">
            <v>C1-C2 C1503X/C14</v>
          </cell>
          <cell r="B666">
            <v>3079</v>
          </cell>
          <cell r="C666">
            <v>3079</v>
          </cell>
          <cell r="D666">
            <v>1</v>
          </cell>
        </row>
        <row r="667">
          <cell r="A667" t="str">
            <v>C1-C2 C2003U/C14</v>
          </cell>
          <cell r="B667">
            <v>4089</v>
          </cell>
          <cell r="C667">
            <v>4089</v>
          </cell>
          <cell r="D667">
            <v>1</v>
          </cell>
        </row>
        <row r="669">
          <cell r="A669" t="str">
            <v>C1003BP/C</v>
          </cell>
          <cell r="B669">
            <v>2099</v>
          </cell>
          <cell r="C669">
            <v>2099</v>
          </cell>
          <cell r="D669">
            <v>1</v>
          </cell>
        </row>
        <row r="670">
          <cell r="A670" t="str">
            <v>C1003BPS/C</v>
          </cell>
          <cell r="B670">
            <v>2099</v>
          </cell>
          <cell r="C670">
            <v>2099</v>
          </cell>
          <cell r="D670">
            <v>1</v>
          </cell>
        </row>
        <row r="671">
          <cell r="A671" t="str">
            <v>C1003BB/C</v>
          </cell>
          <cell r="B671">
            <v>2399</v>
          </cell>
          <cell r="C671">
            <v>2399</v>
          </cell>
          <cell r="D671">
            <v>1</v>
          </cell>
        </row>
        <row r="672">
          <cell r="A672" t="str">
            <v>C1003F/C</v>
          </cell>
          <cell r="B672">
            <v>2399</v>
          </cell>
          <cell r="C672">
            <v>2399</v>
          </cell>
          <cell r="D672">
            <v>1</v>
          </cell>
        </row>
        <row r="673">
          <cell r="A673" t="str">
            <v>C1003SIG/C</v>
          </cell>
          <cell r="B673">
            <v>2846</v>
          </cell>
          <cell r="C673">
            <v>2846</v>
          </cell>
          <cell r="D673">
            <v>1</v>
          </cell>
        </row>
        <row r="674">
          <cell r="A674" t="str">
            <v>C1003VS/C</v>
          </cell>
          <cell r="B674">
            <v>2471</v>
          </cell>
          <cell r="C674">
            <v>2471</v>
          </cell>
          <cell r="D674">
            <v>1</v>
          </cell>
        </row>
        <row r="675">
          <cell r="A675" t="str">
            <v>C128XMPT/C</v>
          </cell>
          <cell r="B675">
            <v>3752</v>
          </cell>
          <cell r="C675">
            <v>3752</v>
          </cell>
          <cell r="D675">
            <v>1</v>
          </cell>
        </row>
        <row r="676">
          <cell r="A676" t="str">
            <v>C128XMB/C</v>
          </cell>
          <cell r="B676">
            <v>3499</v>
          </cell>
          <cell r="C676">
            <v>3499</v>
          </cell>
          <cell r="D676">
            <v>1</v>
          </cell>
        </row>
        <row r="677">
          <cell r="A677" t="str">
            <v>C1503X/C</v>
          </cell>
          <cell r="B677">
            <v>3499</v>
          </cell>
          <cell r="C677">
            <v>3499</v>
          </cell>
          <cell r="D677">
            <v>1</v>
          </cell>
        </row>
        <row r="678">
          <cell r="A678" t="str">
            <v>C1503BPF/C</v>
          </cell>
          <cell r="B678">
            <v>3439</v>
          </cell>
          <cell r="C678">
            <v>3439</v>
          </cell>
          <cell r="D678">
            <v>1</v>
          </cell>
        </row>
        <row r="679">
          <cell r="A679" t="str">
            <v>C1923XMF/C</v>
          </cell>
          <cell r="B679">
            <v>5278</v>
          </cell>
          <cell r="C679">
            <v>5278</v>
          </cell>
          <cell r="D679">
            <v>1</v>
          </cell>
        </row>
        <row r="680">
          <cell r="A680" t="str">
            <v>C2003BP/C</v>
          </cell>
          <cell r="B680">
            <v>4189</v>
          </cell>
          <cell r="C680">
            <v>4189</v>
          </cell>
          <cell r="D680">
            <v>1</v>
          </cell>
        </row>
        <row r="681">
          <cell r="A681" t="str">
            <v>C2003U/C</v>
          </cell>
          <cell r="B681">
            <v>4399</v>
          </cell>
          <cell r="C681">
            <v>4399</v>
          </cell>
          <cell r="D681">
            <v>1</v>
          </cell>
        </row>
        <row r="682">
          <cell r="A682" t="str">
            <v>C2003F/C</v>
          </cell>
          <cell r="B682">
            <v>4399</v>
          </cell>
          <cell r="C682">
            <v>4399</v>
          </cell>
          <cell r="D682">
            <v>1</v>
          </cell>
        </row>
        <row r="683">
          <cell r="A683" t="str">
            <v>C2003SIG/C</v>
          </cell>
          <cell r="B683">
            <v>5045</v>
          </cell>
          <cell r="C683">
            <v>5045</v>
          </cell>
          <cell r="D683">
            <v>1</v>
          </cell>
        </row>
        <row r="684">
          <cell r="A684" t="str">
            <v>C2563XMF/C</v>
          </cell>
          <cell r="B684">
            <v>6857</v>
          </cell>
          <cell r="C684">
            <v>6857</v>
          </cell>
          <cell r="D684">
            <v>1</v>
          </cell>
        </row>
        <row r="686">
          <cell r="A686" t="str">
            <v>C165DU14</v>
          </cell>
          <cell r="B686">
            <v>970</v>
          </cell>
          <cell r="C686">
            <v>970</v>
          </cell>
          <cell r="D686">
            <v>3</v>
          </cell>
        </row>
        <row r="687">
          <cell r="A687" t="str">
            <v>C165NO14</v>
          </cell>
          <cell r="B687">
            <v>970</v>
          </cell>
          <cell r="C687">
            <v>970</v>
          </cell>
          <cell r="D687">
            <v>3</v>
          </cell>
        </row>
        <row r="689">
          <cell r="A689" t="str">
            <v>C165JA</v>
          </cell>
          <cell r="B689">
            <v>1105</v>
          </cell>
          <cell r="C689">
            <v>1105</v>
          </cell>
          <cell r="D689">
            <v>3</v>
          </cell>
        </row>
        <row r="690">
          <cell r="A690" t="str">
            <v>C165P</v>
          </cell>
          <cell r="B690">
            <v>1105</v>
          </cell>
          <cell r="C690">
            <v>1105</v>
          </cell>
          <cell r="D690">
            <v>3</v>
          </cell>
        </row>
        <row r="692">
          <cell r="A692" t="str">
            <v>C2545NO</v>
          </cell>
          <cell r="B692">
            <v>1387</v>
          </cell>
          <cell r="C692">
            <v>1387</v>
          </cell>
          <cell r="D692">
            <v>2</v>
          </cell>
        </row>
        <row r="693">
          <cell r="A693" t="str">
            <v>C2545DI</v>
          </cell>
          <cell r="B693">
            <v>1387</v>
          </cell>
          <cell r="C693">
            <v>1387</v>
          </cell>
          <cell r="D693">
            <v>2</v>
          </cell>
        </row>
        <row r="695">
          <cell r="A695" t="str">
            <v>C255BP</v>
          </cell>
          <cell r="B695">
            <v>1721</v>
          </cell>
          <cell r="C695">
            <v>1721</v>
          </cell>
          <cell r="D695">
            <v>2</v>
          </cell>
        </row>
        <row r="697">
          <cell r="A697" t="str">
            <v>C3545MF</v>
          </cell>
          <cell r="B697">
            <v>1942</v>
          </cell>
          <cell r="C697">
            <v>1942</v>
          </cell>
          <cell r="D697">
            <v>2</v>
          </cell>
        </row>
        <row r="698">
          <cell r="A698" t="str">
            <v>C3545NO</v>
          </cell>
          <cell r="B698">
            <v>1942</v>
          </cell>
          <cell r="C698">
            <v>1942</v>
          </cell>
          <cell r="D698">
            <v>2</v>
          </cell>
        </row>
        <row r="700">
          <cell r="A700" t="str">
            <v>C3645BA</v>
          </cell>
          <cell r="B700">
            <v>1970</v>
          </cell>
          <cell r="C700">
            <v>1970</v>
          </cell>
          <cell r="D700">
            <v>2</v>
          </cell>
        </row>
        <row r="701">
          <cell r="A701" t="str">
            <v>C3645SE</v>
          </cell>
          <cell r="B701">
            <v>1970</v>
          </cell>
          <cell r="C701">
            <v>1970</v>
          </cell>
          <cell r="D701">
            <v>2</v>
          </cell>
        </row>
        <row r="703">
          <cell r="A703" t="str">
            <v>C365DU</v>
          </cell>
          <cell r="B703">
            <v>2599</v>
          </cell>
          <cell r="C703">
            <v>2599</v>
          </cell>
          <cell r="D703">
            <v>2</v>
          </cell>
        </row>
        <row r="705">
          <cell r="A705" t="str">
            <v>C505X/C</v>
          </cell>
          <cell r="B705">
            <v>3599</v>
          </cell>
          <cell r="C705">
            <v>3599</v>
          </cell>
          <cell r="D705">
            <v>1</v>
          </cell>
        </row>
        <row r="706">
          <cell r="A706" t="str">
            <v>C505V/C</v>
          </cell>
          <cell r="B706">
            <v>3599</v>
          </cell>
          <cell r="C706">
            <v>3599</v>
          </cell>
          <cell r="D706">
            <v>1</v>
          </cell>
        </row>
        <row r="707">
          <cell r="A707" t="str">
            <v>C755R/C</v>
          </cell>
          <cell r="B707">
            <v>5249</v>
          </cell>
          <cell r="C707">
            <v>5249</v>
          </cell>
          <cell r="D707">
            <v>1</v>
          </cell>
        </row>
        <row r="708">
          <cell r="A708" t="str">
            <v>C10545GI/C</v>
          </cell>
          <cell r="B708">
            <v>6543</v>
          </cell>
          <cell r="C708">
            <v>6543</v>
          </cell>
          <cell r="D708">
            <v>1</v>
          </cell>
        </row>
        <row r="710">
          <cell r="A710" t="str">
            <v>C2505D</v>
          </cell>
          <cell r="B710">
            <v>1949</v>
          </cell>
          <cell r="C710">
            <v>1949</v>
          </cell>
          <cell r="D710">
            <v>2</v>
          </cell>
        </row>
        <row r="712">
          <cell r="A712" t="str">
            <v>C2463B</v>
          </cell>
          <cell r="B712">
            <v>3940</v>
          </cell>
          <cell r="C712">
            <v>3940</v>
          </cell>
          <cell r="D712">
            <v>2</v>
          </cell>
        </row>
        <row r="714">
          <cell r="A714" t="str">
            <v>C2575C</v>
          </cell>
          <cell r="B714">
            <v>6499</v>
          </cell>
          <cell r="C714">
            <v>6499</v>
          </cell>
          <cell r="D714">
            <v>1</v>
          </cell>
        </row>
        <row r="717">
          <cell r="A717" t="str">
            <v>C39MPT</v>
          </cell>
          <cell r="B717">
            <v>608</v>
          </cell>
          <cell r="C717">
            <v>608</v>
          </cell>
          <cell r="D717">
            <v>8</v>
          </cell>
        </row>
        <row r="719">
          <cell r="A719" t="str">
            <v>C46MXP</v>
          </cell>
          <cell r="B719">
            <v>541</v>
          </cell>
          <cell r="C719">
            <v>541</v>
          </cell>
          <cell r="D719">
            <v>6</v>
          </cell>
        </row>
        <row r="721">
          <cell r="A721" t="str">
            <v>C48XMF14</v>
          </cell>
          <cell r="B721">
            <v>1035</v>
          </cell>
          <cell r="C721">
            <v>1035</v>
          </cell>
          <cell r="D721">
            <v>4</v>
          </cell>
        </row>
        <row r="723">
          <cell r="A723" t="str">
            <v>C50MO</v>
          </cell>
          <cell r="B723">
            <v>770</v>
          </cell>
          <cell r="C723">
            <v>770</v>
          </cell>
          <cell r="D723">
            <v>6</v>
          </cell>
        </row>
        <row r="724">
          <cell r="A724" t="str">
            <v>C50MCH</v>
          </cell>
          <cell r="B724">
            <v>770</v>
          </cell>
          <cell r="C724">
            <v>770</v>
          </cell>
          <cell r="D724">
            <v>6</v>
          </cell>
        </row>
        <row r="726">
          <cell r="A726" t="str">
            <v>C64MT</v>
          </cell>
          <cell r="B726">
            <v>744</v>
          </cell>
          <cell r="C726">
            <v>744</v>
          </cell>
          <cell r="D726">
            <v>4</v>
          </cell>
        </row>
        <row r="727">
          <cell r="A727" t="str">
            <v>C64MP</v>
          </cell>
          <cell r="B727">
            <v>744</v>
          </cell>
          <cell r="C727">
            <v>744</v>
          </cell>
          <cell r="D727">
            <v>4</v>
          </cell>
        </row>
        <row r="729">
          <cell r="A729" t="str">
            <v>C68XMPT</v>
          </cell>
          <cell r="B729">
            <v>938</v>
          </cell>
          <cell r="C729">
            <v>938</v>
          </cell>
          <cell r="D729">
            <v>6</v>
          </cell>
        </row>
        <row r="731">
          <cell r="A731" t="str">
            <v>C68XMPT14</v>
          </cell>
          <cell r="B731">
            <v>938</v>
          </cell>
          <cell r="C731">
            <v>938</v>
          </cell>
          <cell r="D731">
            <v>6</v>
          </cell>
        </row>
        <row r="733">
          <cell r="A733" t="str">
            <v>C77MXR14</v>
          </cell>
          <cell r="B733">
            <v>1067</v>
          </cell>
          <cell r="C733">
            <v>1067</v>
          </cell>
          <cell r="D733">
            <v>4</v>
          </cell>
        </row>
        <row r="735">
          <cell r="A735" t="str">
            <v>C100MXS14</v>
          </cell>
          <cell r="B735">
            <v>912</v>
          </cell>
          <cell r="C735">
            <v>912</v>
          </cell>
          <cell r="D735">
            <v>4</v>
          </cell>
        </row>
        <row r="737">
          <cell r="A737" t="str">
            <v>C148MXP14</v>
          </cell>
          <cell r="B737">
            <v>1369</v>
          </cell>
          <cell r="C737">
            <v>1369</v>
          </cell>
          <cell r="D737">
            <v>2</v>
          </cell>
        </row>
        <row r="739">
          <cell r="A739" t="str">
            <v>C165MXV14</v>
          </cell>
          <cell r="B739">
            <v>1552</v>
          </cell>
          <cell r="C739">
            <v>1552</v>
          </cell>
          <cell r="D739">
            <v>2</v>
          </cell>
        </row>
        <row r="741">
          <cell r="A741" t="str">
            <v>C170MXR14</v>
          </cell>
          <cell r="B741">
            <v>1579</v>
          </cell>
          <cell r="C741">
            <v>1579</v>
          </cell>
          <cell r="D741">
            <v>2</v>
          </cell>
        </row>
        <row r="744">
          <cell r="A744" t="str">
            <v>C40FMH</v>
          </cell>
          <cell r="B744">
            <v>655</v>
          </cell>
          <cell r="C744">
            <v>655</v>
          </cell>
          <cell r="D744">
            <v>8</v>
          </cell>
        </row>
        <row r="746">
          <cell r="A746" t="str">
            <v>C100MPT</v>
          </cell>
          <cell r="B746">
            <v>1799</v>
          </cell>
          <cell r="C746">
            <v>1799</v>
          </cell>
          <cell r="D746">
            <v>2</v>
          </cell>
        </row>
        <row r="747">
          <cell r="A747" t="str">
            <v>C100MN</v>
          </cell>
          <cell r="B747">
            <v>1799</v>
          </cell>
          <cell r="C747">
            <v>1799</v>
          </cell>
          <cell r="D747">
            <v>2</v>
          </cell>
        </row>
        <row r="749">
          <cell r="A749" t="str">
            <v>C106MH</v>
          </cell>
          <cell r="B749">
            <v>1682</v>
          </cell>
          <cell r="C749">
            <v>1682</v>
          </cell>
          <cell r="D749">
            <v>2</v>
          </cell>
        </row>
        <row r="750">
          <cell r="A750" t="str">
            <v>C106MB</v>
          </cell>
          <cell r="B750">
            <v>1682</v>
          </cell>
          <cell r="C750">
            <v>1682</v>
          </cell>
          <cell r="D750">
            <v>2</v>
          </cell>
        </row>
        <row r="752">
          <cell r="A752" t="str">
            <v>C109MG</v>
          </cell>
          <cell r="B752">
            <v>1488</v>
          </cell>
          <cell r="C752">
            <v>1488</v>
          </cell>
          <cell r="D752">
            <v>2</v>
          </cell>
        </row>
        <row r="753">
          <cell r="A753" t="str">
            <v>C109MM</v>
          </cell>
          <cell r="B753">
            <v>1488</v>
          </cell>
          <cell r="C753">
            <v>1488</v>
          </cell>
          <cell r="D753">
            <v>2</v>
          </cell>
        </row>
        <row r="755">
          <cell r="A755" t="str">
            <v>C100MTS/C14</v>
          </cell>
          <cell r="B755">
            <v>1637</v>
          </cell>
          <cell r="C755">
            <v>1637</v>
          </cell>
          <cell r="D755">
            <v>1</v>
          </cell>
        </row>
        <row r="756">
          <cell r="A756" t="str">
            <v>C100MPT/C14</v>
          </cell>
          <cell r="B756">
            <v>1637</v>
          </cell>
          <cell r="C756">
            <v>1637</v>
          </cell>
          <cell r="D756">
            <v>1</v>
          </cell>
        </row>
        <row r="757">
          <cell r="A757" t="str">
            <v>C124MXM/C14</v>
          </cell>
          <cell r="B757">
            <v>1734</v>
          </cell>
          <cell r="C757">
            <v>1734</v>
          </cell>
          <cell r="D757">
            <v>1</v>
          </cell>
        </row>
        <row r="758">
          <cell r="A758" t="str">
            <v>C128MS/C14</v>
          </cell>
          <cell r="B758">
            <v>1599</v>
          </cell>
          <cell r="C758">
            <v>1599</v>
          </cell>
          <cell r="D758">
            <v>1</v>
          </cell>
        </row>
        <row r="759">
          <cell r="A759" t="str">
            <v>C136XMTS/C14</v>
          </cell>
          <cell r="B759">
            <v>2225</v>
          </cell>
          <cell r="C759">
            <v>2225</v>
          </cell>
          <cell r="D759">
            <v>1</v>
          </cell>
        </row>
        <row r="760">
          <cell r="A760" t="str">
            <v>C136XMK/C14</v>
          </cell>
          <cell r="B760">
            <v>2225</v>
          </cell>
          <cell r="C760">
            <v>2225</v>
          </cell>
          <cell r="D760">
            <v>1</v>
          </cell>
        </row>
        <row r="761">
          <cell r="A761" t="str">
            <v>C150MXH/C14</v>
          </cell>
          <cell r="B761">
            <v>2484</v>
          </cell>
          <cell r="C761">
            <v>2484</v>
          </cell>
          <cell r="D761">
            <v>1</v>
          </cell>
        </row>
        <row r="762">
          <cell r="A762" t="str">
            <v>C154MXB/C14</v>
          </cell>
          <cell r="B762">
            <v>2342</v>
          </cell>
          <cell r="C762">
            <v>2342</v>
          </cell>
          <cell r="D762">
            <v>1</v>
          </cell>
        </row>
        <row r="763">
          <cell r="A763" t="str">
            <v>C270MXM/C14</v>
          </cell>
          <cell r="B763">
            <v>2820</v>
          </cell>
          <cell r="C763">
            <v>2820</v>
          </cell>
          <cell r="D763">
            <v>1</v>
          </cell>
        </row>
        <row r="764">
          <cell r="A764" t="str">
            <v>C296MXH/C14</v>
          </cell>
          <cell r="B764">
            <v>2975</v>
          </cell>
          <cell r="C764">
            <v>2975</v>
          </cell>
          <cell r="D764">
            <v>1</v>
          </cell>
        </row>
        <row r="765">
          <cell r="A765" t="str">
            <v>C330MXR/C14</v>
          </cell>
          <cell r="B765">
            <v>3234</v>
          </cell>
          <cell r="C765">
            <v>3234</v>
          </cell>
          <cell r="D765">
            <v>1</v>
          </cell>
        </row>
        <row r="767">
          <cell r="A767" t="str">
            <v>C150MF/C14</v>
          </cell>
          <cell r="B767">
            <v>2820</v>
          </cell>
          <cell r="C767">
            <v>2820</v>
          </cell>
          <cell r="D767">
            <v>1</v>
          </cell>
        </row>
        <row r="768">
          <cell r="A768" t="str">
            <v>C200MF/C14</v>
          </cell>
          <cell r="B768">
            <v>3790</v>
          </cell>
          <cell r="C768">
            <v>3790</v>
          </cell>
          <cell r="D768">
            <v>1</v>
          </cell>
        </row>
        <row r="769">
          <cell r="A769" t="str">
            <v>C204XMPT/C14</v>
          </cell>
          <cell r="B769">
            <v>3157</v>
          </cell>
          <cell r="C769">
            <v>3157</v>
          </cell>
          <cell r="D769">
            <v>1</v>
          </cell>
        </row>
        <row r="770">
          <cell r="A770" t="str">
            <v>C216XMFS/C14</v>
          </cell>
          <cell r="B770">
            <v>3182</v>
          </cell>
          <cell r="C770">
            <v>3182</v>
          </cell>
          <cell r="D770">
            <v>1</v>
          </cell>
        </row>
        <row r="771">
          <cell r="A771" t="str">
            <v>C223XMK/C14</v>
          </cell>
          <cell r="B771">
            <v>4204</v>
          </cell>
          <cell r="C771">
            <v>4204</v>
          </cell>
          <cell r="D771">
            <v>1</v>
          </cell>
        </row>
        <row r="772">
          <cell r="A772" t="str">
            <v>C510MXU/C14</v>
          </cell>
          <cell r="B772">
            <v>4851</v>
          </cell>
          <cell r="C772">
            <v>4851</v>
          </cell>
          <cell r="D772">
            <v>1</v>
          </cell>
        </row>
        <row r="774">
          <cell r="A774" t="str">
            <v>C132XMPT/C</v>
          </cell>
          <cell r="B774">
            <v>3053</v>
          </cell>
          <cell r="C774">
            <v>3053</v>
          </cell>
          <cell r="D774">
            <v>1</v>
          </cell>
        </row>
        <row r="775">
          <cell r="A775" t="str">
            <v>C150MPT/C</v>
          </cell>
          <cell r="B775">
            <v>2820</v>
          </cell>
          <cell r="C775">
            <v>2820</v>
          </cell>
          <cell r="D775">
            <v>1</v>
          </cell>
        </row>
        <row r="776">
          <cell r="A776" t="str">
            <v>C150MF/C</v>
          </cell>
          <cell r="B776">
            <v>2820</v>
          </cell>
          <cell r="C776">
            <v>2820</v>
          </cell>
          <cell r="D776">
            <v>1</v>
          </cell>
        </row>
        <row r="777">
          <cell r="A777" t="str">
            <v>C200MF/C</v>
          </cell>
          <cell r="B777">
            <v>3790</v>
          </cell>
          <cell r="C777">
            <v>3790</v>
          </cell>
          <cell r="D777">
            <v>1</v>
          </cell>
        </row>
        <row r="778">
          <cell r="A778" t="str">
            <v>C204XMPT/C</v>
          </cell>
          <cell r="B778">
            <v>3157</v>
          </cell>
          <cell r="C778">
            <v>3157</v>
          </cell>
          <cell r="D778">
            <v>1</v>
          </cell>
        </row>
        <row r="779">
          <cell r="A779" t="str">
            <v>C216XMFS/C</v>
          </cell>
          <cell r="B779">
            <v>3182</v>
          </cell>
          <cell r="C779">
            <v>3182</v>
          </cell>
          <cell r="D779">
            <v>1</v>
          </cell>
        </row>
        <row r="780">
          <cell r="A780" t="str">
            <v>C223XMK/C</v>
          </cell>
          <cell r="B780">
            <v>4204</v>
          </cell>
          <cell r="C780">
            <v>4204</v>
          </cell>
          <cell r="D780">
            <v>1</v>
          </cell>
        </row>
        <row r="781">
          <cell r="A781" t="str">
            <v>C248MXY/C</v>
          </cell>
          <cell r="B781">
            <v>4321</v>
          </cell>
          <cell r="C781">
            <v>4321</v>
          </cell>
          <cell r="D781">
            <v>1</v>
          </cell>
        </row>
        <row r="782">
          <cell r="A782" t="str">
            <v>C252MXB/C</v>
          </cell>
          <cell r="B782">
            <v>5123</v>
          </cell>
          <cell r="C782">
            <v>5123</v>
          </cell>
          <cell r="D782">
            <v>1</v>
          </cell>
        </row>
        <row r="783">
          <cell r="A783" t="str">
            <v>C316MXF/C</v>
          </cell>
          <cell r="B783">
            <v>4981</v>
          </cell>
          <cell r="C783">
            <v>4981</v>
          </cell>
          <cell r="D783">
            <v>1</v>
          </cell>
        </row>
        <row r="784">
          <cell r="A784" t="str">
            <v>C342MXG/C</v>
          </cell>
          <cell r="B784">
            <v>5369</v>
          </cell>
          <cell r="C784">
            <v>5369</v>
          </cell>
          <cell r="D784">
            <v>1</v>
          </cell>
        </row>
        <row r="785">
          <cell r="A785" t="str">
            <v>C500MXB/C</v>
          </cell>
          <cell r="B785">
            <v>4657</v>
          </cell>
          <cell r="C785">
            <v>4657</v>
          </cell>
          <cell r="D785">
            <v>1</v>
          </cell>
        </row>
        <row r="787">
          <cell r="A787" t="str">
            <v>C1-C2 C425MXM/C14</v>
          </cell>
          <cell r="B787">
            <v>7154</v>
          </cell>
          <cell r="C787">
            <v>7154</v>
          </cell>
          <cell r="D787">
            <v>1</v>
          </cell>
        </row>
        <row r="788">
          <cell r="A788" t="str">
            <v>C3-C4 C234MXD/C14</v>
          </cell>
          <cell r="B788">
            <v>7245</v>
          </cell>
          <cell r="C788">
            <v>7245</v>
          </cell>
          <cell r="D788">
            <v>1</v>
          </cell>
        </row>
        <row r="789">
          <cell r="A789" t="str">
            <v>C5-C6 C303MXN/C14</v>
          </cell>
          <cell r="B789">
            <v>7866</v>
          </cell>
          <cell r="C789">
            <v>7866</v>
          </cell>
          <cell r="D789">
            <v>1</v>
          </cell>
        </row>
        <row r="790">
          <cell r="A790" t="str">
            <v>C1-C2 C632MXN/C14</v>
          </cell>
          <cell r="B790">
            <v>10099</v>
          </cell>
          <cell r="C790">
            <v>10099</v>
          </cell>
          <cell r="D790">
            <v>1</v>
          </cell>
        </row>
        <row r="792">
          <cell r="A792" t="str">
            <v>C212MF/C</v>
          </cell>
          <cell r="B792">
            <v>3558</v>
          </cell>
          <cell r="C792">
            <v>3558</v>
          </cell>
          <cell r="D792">
            <v>1</v>
          </cell>
        </row>
        <row r="793">
          <cell r="A793" t="str">
            <v>C219XMPT/C</v>
          </cell>
          <cell r="B793">
            <v>5999</v>
          </cell>
          <cell r="C793">
            <v>5999</v>
          </cell>
          <cell r="D793">
            <v>1</v>
          </cell>
        </row>
        <row r="794">
          <cell r="A794" t="str">
            <v>C253XMPT/C</v>
          </cell>
          <cell r="B794">
            <v>6520</v>
          </cell>
          <cell r="C794">
            <v>6520</v>
          </cell>
          <cell r="D794">
            <v>1</v>
          </cell>
        </row>
        <row r="795">
          <cell r="A795" t="str">
            <v>C379XMK/C</v>
          </cell>
          <cell r="B795">
            <v>9699</v>
          </cell>
          <cell r="C795">
            <v>9699</v>
          </cell>
          <cell r="D795">
            <v>1</v>
          </cell>
        </row>
        <row r="798">
          <cell r="A798" t="str">
            <v>C23MO</v>
          </cell>
          <cell r="B798">
            <v>794</v>
          </cell>
          <cell r="C798">
            <v>794</v>
          </cell>
          <cell r="D798">
            <v>6</v>
          </cell>
        </row>
        <row r="800">
          <cell r="A800" t="str">
            <v>C24MH</v>
          </cell>
          <cell r="B800">
            <v>499</v>
          </cell>
          <cell r="C800">
            <v>499</v>
          </cell>
          <cell r="D800">
            <v>8</v>
          </cell>
        </row>
        <row r="802">
          <cell r="A802" t="str">
            <v>C36MH</v>
          </cell>
          <cell r="B802">
            <v>1674</v>
          </cell>
          <cell r="C802">
            <v>1674</v>
          </cell>
          <cell r="D802">
            <v>3</v>
          </cell>
        </row>
        <row r="804">
          <cell r="A804" t="str">
            <v>C42MM</v>
          </cell>
          <cell r="B804">
            <v>1031</v>
          </cell>
          <cell r="C804">
            <v>1031</v>
          </cell>
          <cell r="D804">
            <v>4</v>
          </cell>
        </row>
        <row r="806">
          <cell r="A806" t="str">
            <v>C47MB</v>
          </cell>
          <cell r="B806">
            <v>1622</v>
          </cell>
          <cell r="C806">
            <v>1622</v>
          </cell>
          <cell r="D806">
            <v>2</v>
          </cell>
        </row>
        <row r="807">
          <cell r="A807" t="str">
            <v>C47XMT</v>
          </cell>
          <cell r="B807">
            <v>1771</v>
          </cell>
          <cell r="C807">
            <v>1771</v>
          </cell>
          <cell r="D807">
            <v>2</v>
          </cell>
        </row>
        <row r="809">
          <cell r="A809" t="str">
            <v>C63MM</v>
          </cell>
          <cell r="B809">
            <v>1617</v>
          </cell>
          <cell r="C809">
            <v>1617</v>
          </cell>
          <cell r="D809">
            <v>3</v>
          </cell>
        </row>
        <row r="811">
          <cell r="A811" t="str">
            <v>C66SMMO</v>
          </cell>
          <cell r="B811">
            <v>1885</v>
          </cell>
          <cell r="C811">
            <v>1885</v>
          </cell>
          <cell r="D811">
            <v>2</v>
          </cell>
        </row>
        <row r="813">
          <cell r="A813" t="str">
            <v>C84M12F/C</v>
          </cell>
          <cell r="B813">
            <v>3186</v>
          </cell>
          <cell r="C813">
            <v>3186</v>
          </cell>
          <cell r="D813">
            <v>1</v>
          </cell>
        </row>
        <row r="814">
          <cell r="A814" t="str">
            <v>C84MC/C</v>
          </cell>
          <cell r="B814">
            <v>3899</v>
          </cell>
          <cell r="C814">
            <v>3899</v>
          </cell>
          <cell r="D814">
            <v>1</v>
          </cell>
        </row>
        <row r="815">
          <cell r="A815" t="str">
            <v>C175MSIG/C</v>
          </cell>
          <cell r="B815">
            <v>6543</v>
          </cell>
          <cell r="C815">
            <v>6543</v>
          </cell>
          <cell r="D815">
            <v>1</v>
          </cell>
        </row>
        <row r="816">
          <cell r="A816" t="str">
            <v>C222MNPT/C</v>
          </cell>
          <cell r="B816">
            <v>7999</v>
          </cell>
          <cell r="C816">
            <v>7999</v>
          </cell>
          <cell r="D816">
            <v>1</v>
          </cell>
        </row>
        <row r="817">
          <cell r="A817" t="str">
            <v>C222MF/C</v>
          </cell>
          <cell r="B817">
            <v>7799</v>
          </cell>
          <cell r="C817">
            <v>7799</v>
          </cell>
          <cell r="D817">
            <v>1</v>
          </cell>
        </row>
        <row r="819">
          <cell r="A819" t="str">
            <v>C96MB</v>
          </cell>
          <cell r="B819">
            <v>6999</v>
          </cell>
          <cell r="C819">
            <v>6999</v>
          </cell>
          <cell r="D819">
            <v>1</v>
          </cell>
        </row>
        <row r="820">
          <cell r="A820" t="str">
            <v>C304MK</v>
          </cell>
          <cell r="B820">
            <v>14999</v>
          </cell>
          <cell r="C820">
            <v>14999</v>
          </cell>
          <cell r="D820">
            <v>1</v>
          </cell>
        </row>
        <row r="822">
          <cell r="A822" t="str">
            <v>HF26001s</v>
          </cell>
          <cell r="B822">
            <v>410</v>
          </cell>
          <cell r="C822">
            <v>410</v>
          </cell>
          <cell r="D822">
            <v>8</v>
          </cell>
        </row>
        <row r="823">
          <cell r="A823" t="str">
            <v>HF26009s</v>
          </cell>
          <cell r="B823">
            <v>720</v>
          </cell>
          <cell r="C823">
            <v>720</v>
          </cell>
          <cell r="D823">
            <v>4</v>
          </cell>
        </row>
        <row r="824">
          <cell r="A824" t="str">
            <v>HF26012</v>
          </cell>
          <cell r="B824">
            <v>560</v>
          </cell>
          <cell r="C824">
            <v>560</v>
          </cell>
          <cell r="D824">
            <v>6</v>
          </cell>
        </row>
        <row r="825">
          <cell r="A825" t="str">
            <v>HF26015</v>
          </cell>
          <cell r="B825">
            <v>720</v>
          </cell>
          <cell r="C825">
            <v>720</v>
          </cell>
          <cell r="D825">
            <v>4</v>
          </cell>
        </row>
        <row r="826">
          <cell r="A826" t="str">
            <v>HF26016s</v>
          </cell>
          <cell r="B826">
            <v>677</v>
          </cell>
          <cell r="C826">
            <v>677</v>
          </cell>
          <cell r="D826">
            <v>4</v>
          </cell>
        </row>
        <row r="827">
          <cell r="A827" t="str">
            <v>HF2387S</v>
          </cell>
          <cell r="B827">
            <v>720</v>
          </cell>
          <cell r="C827">
            <v>720</v>
          </cell>
          <cell r="D827">
            <v>6</v>
          </cell>
        </row>
        <row r="828">
          <cell r="A828" t="str">
            <v>HF24090Qs</v>
          </cell>
          <cell r="B828">
            <v>796</v>
          </cell>
          <cell r="C828">
            <v>796</v>
          </cell>
          <cell r="D828">
            <v>4</v>
          </cell>
        </row>
        <row r="829">
          <cell r="A829" t="str">
            <v>HF2244</v>
          </cell>
          <cell r="B829">
            <v>802</v>
          </cell>
          <cell r="C829">
            <v>802</v>
          </cell>
          <cell r="D829">
            <v>4</v>
          </cell>
        </row>
        <row r="830">
          <cell r="A830" t="str">
            <v>HF2243</v>
          </cell>
          <cell r="B830">
            <v>830</v>
          </cell>
          <cell r="C830">
            <v>830</v>
          </cell>
          <cell r="D830">
            <v>4</v>
          </cell>
        </row>
        <row r="832">
          <cell r="A832" t="str">
            <v>HF-45-2309s</v>
          </cell>
          <cell r="B832">
            <v>1929</v>
          </cell>
          <cell r="C832">
            <v>1929</v>
          </cell>
          <cell r="D832">
            <v>1</v>
          </cell>
        </row>
        <row r="833">
          <cell r="A833" t="str">
            <v>HF-51-2227s</v>
          </cell>
          <cell r="B833">
            <v>2017</v>
          </cell>
          <cell r="C833">
            <v>2017</v>
          </cell>
          <cell r="D833">
            <v>1</v>
          </cell>
        </row>
        <row r="834">
          <cell r="A834" t="str">
            <v>RK-66-2502</v>
          </cell>
          <cell r="B834">
            <v>2719</v>
          </cell>
          <cell r="C834">
            <v>2719</v>
          </cell>
          <cell r="D834">
            <v>1</v>
          </cell>
        </row>
        <row r="835">
          <cell r="A835" t="str">
            <v>HF-75-2310s</v>
          </cell>
          <cell r="B835">
            <v>1967</v>
          </cell>
          <cell r="C835">
            <v>1967</v>
          </cell>
          <cell r="D835">
            <v>1</v>
          </cell>
        </row>
        <row r="836">
          <cell r="A836" t="str">
            <v>HF-108-2603s</v>
          </cell>
          <cell r="B836">
            <v>2243</v>
          </cell>
          <cell r="C836">
            <v>2243</v>
          </cell>
          <cell r="D836">
            <v>1</v>
          </cell>
        </row>
        <row r="837">
          <cell r="A837" t="str">
            <v>HF-144-2605</v>
          </cell>
          <cell r="B837">
            <v>3044</v>
          </cell>
          <cell r="C837">
            <v>3044</v>
          </cell>
          <cell r="D837">
            <v>1</v>
          </cell>
        </row>
        <row r="838">
          <cell r="A838" t="str">
            <v>HF-75-2608s</v>
          </cell>
          <cell r="B838">
            <v>2293</v>
          </cell>
          <cell r="C838">
            <v>2293</v>
          </cell>
          <cell r="D838">
            <v>1</v>
          </cell>
        </row>
        <row r="839">
          <cell r="A839" t="str">
            <v>RK-98-2555</v>
          </cell>
          <cell r="B839">
            <v>3934</v>
          </cell>
          <cell r="C839">
            <v>3934</v>
          </cell>
          <cell r="D839">
            <v>1</v>
          </cell>
        </row>
        <row r="840">
          <cell r="A840" t="str">
            <v>HF-96-2362s</v>
          </cell>
          <cell r="B840">
            <v>4197</v>
          </cell>
          <cell r="C840">
            <v>4197</v>
          </cell>
          <cell r="D840">
            <v>1</v>
          </cell>
        </row>
        <row r="841">
          <cell r="A841" t="str">
            <v>HF-102-2214</v>
          </cell>
          <cell r="B841">
            <v>3057</v>
          </cell>
          <cell r="C841">
            <v>3057</v>
          </cell>
          <cell r="D841">
            <v>1</v>
          </cell>
        </row>
        <row r="842">
          <cell r="A842" t="str">
            <v>HF-101-2216</v>
          </cell>
          <cell r="B842">
            <v>3358</v>
          </cell>
          <cell r="C842">
            <v>3358</v>
          </cell>
          <cell r="D842">
            <v>1</v>
          </cell>
        </row>
        <row r="843">
          <cell r="A843" t="str">
            <v>HF-108-2315</v>
          </cell>
          <cell r="B843">
            <v>3470</v>
          </cell>
          <cell r="C843">
            <v>3470</v>
          </cell>
          <cell r="D843">
            <v>1</v>
          </cell>
        </row>
        <row r="844">
          <cell r="A844" t="str">
            <v>HF-83-2207P</v>
          </cell>
          <cell r="B844">
            <v>2982</v>
          </cell>
          <cell r="C844">
            <v>2982</v>
          </cell>
          <cell r="D844">
            <v>1</v>
          </cell>
        </row>
        <row r="845">
          <cell r="A845" t="str">
            <v>HF-98-2212</v>
          </cell>
          <cell r="B845">
            <v>3445</v>
          </cell>
          <cell r="C845">
            <v>3445</v>
          </cell>
          <cell r="D845">
            <v>1</v>
          </cell>
        </row>
        <row r="846">
          <cell r="A846" t="str">
            <v>HF-127-2411s</v>
          </cell>
          <cell r="B846">
            <v>4134</v>
          </cell>
          <cell r="C846">
            <v>4134</v>
          </cell>
          <cell r="D846">
            <v>1</v>
          </cell>
        </row>
        <row r="847">
          <cell r="A847" t="str">
            <v>HF-142-2211</v>
          </cell>
          <cell r="B847">
            <v>3571</v>
          </cell>
          <cell r="C847">
            <v>3571</v>
          </cell>
          <cell r="D847">
            <v>1</v>
          </cell>
        </row>
        <row r="848">
          <cell r="A848" t="str">
            <v>HF-148-2217</v>
          </cell>
          <cell r="B848">
            <v>3633</v>
          </cell>
          <cell r="C848">
            <v>3633</v>
          </cell>
          <cell r="D848">
            <v>1</v>
          </cell>
        </row>
        <row r="849">
          <cell r="A849" t="str">
            <v>RKD-24018</v>
          </cell>
          <cell r="B849">
            <v>19457</v>
          </cell>
          <cell r="C849">
            <v>19457</v>
          </cell>
          <cell r="D849">
            <v>1</v>
          </cell>
        </row>
        <row r="850">
          <cell r="A850" t="str">
            <v>RKD-24019</v>
          </cell>
          <cell r="B850">
            <v>24399</v>
          </cell>
          <cell r="C850">
            <v>24399</v>
          </cell>
          <cell r="D850">
            <v>1</v>
          </cell>
        </row>
        <row r="852">
          <cell r="A852" t="str">
            <v>HF-90-2402-HF-90-2403</v>
          </cell>
          <cell r="B852">
            <v>7304</v>
          </cell>
          <cell r="C852">
            <v>7304</v>
          </cell>
          <cell r="D852">
            <v>1</v>
          </cell>
        </row>
        <row r="853">
          <cell r="A853" t="str">
            <v>HF-129-2223A-HF-114-2224</v>
          </cell>
          <cell r="B853">
            <v>7517</v>
          </cell>
          <cell r="C853">
            <v>7517</v>
          </cell>
          <cell r="D853">
            <v>1</v>
          </cell>
        </row>
        <row r="854">
          <cell r="A854" t="str">
            <v>HF-90-2218-HF-90-2219</v>
          </cell>
          <cell r="B854">
            <v>6502</v>
          </cell>
          <cell r="C854">
            <v>6502</v>
          </cell>
          <cell r="D854">
            <v>1</v>
          </cell>
        </row>
        <row r="855">
          <cell r="A855" t="str">
            <v>HF-78-2423-HF-78-2424</v>
          </cell>
          <cell r="B855">
            <v>5951</v>
          </cell>
          <cell r="C855">
            <v>5951</v>
          </cell>
          <cell r="D855">
            <v>1</v>
          </cell>
        </row>
        <row r="856">
          <cell r="A856" t="str">
            <v>HF-80-2366s  HF-80-2367s</v>
          </cell>
          <cell r="B856">
            <v>7329</v>
          </cell>
          <cell r="C856">
            <v>7329</v>
          </cell>
          <cell r="D856">
            <v>1</v>
          </cell>
        </row>
        <row r="857">
          <cell r="A857" t="str">
            <v>RK-92-2565 RK-96-2566</v>
          </cell>
          <cell r="B857">
            <v>7630</v>
          </cell>
          <cell r="C857">
            <v>7630</v>
          </cell>
          <cell r="D857">
            <v>1</v>
          </cell>
        </row>
        <row r="858">
          <cell r="A858" t="str">
            <v>HF-96-2418-HF-96-2419</v>
          </cell>
          <cell r="B858">
            <v>7768</v>
          </cell>
          <cell r="C858">
            <v>7768</v>
          </cell>
          <cell r="D858">
            <v>1</v>
          </cell>
        </row>
        <row r="859">
          <cell r="A859" t="str">
            <v>HF-88-2487-HF-116-2488</v>
          </cell>
          <cell r="B859">
            <v>9271</v>
          </cell>
          <cell r="C859">
            <v>9271</v>
          </cell>
          <cell r="D859">
            <v>1</v>
          </cell>
        </row>
        <row r="860">
          <cell r="A860" t="str">
            <v>HF-98-24103-HF-96-24104-HF-98-24105-HF-100-24106</v>
          </cell>
          <cell r="B860">
            <v>18399</v>
          </cell>
          <cell r="C860">
            <v>18399</v>
          </cell>
          <cell r="D860">
            <v>1</v>
          </cell>
        </row>
        <row r="862">
          <cell r="A862" t="str">
            <v>CX1352X2</v>
          </cell>
          <cell r="B862">
            <v>1617</v>
          </cell>
          <cell r="C862">
            <v>1617</v>
          </cell>
          <cell r="D862">
            <v>2</v>
          </cell>
        </row>
        <row r="863">
          <cell r="A863" t="str">
            <v>CF1352X6</v>
          </cell>
          <cell r="B863">
            <v>1617</v>
          </cell>
          <cell r="C863">
            <v>1617</v>
          </cell>
          <cell r="D863">
            <v>2</v>
          </cell>
        </row>
        <row r="864">
          <cell r="A864" t="str">
            <v>CS1352X9</v>
          </cell>
          <cell r="B864">
            <v>1617</v>
          </cell>
          <cell r="C864">
            <v>1617</v>
          </cell>
          <cell r="D864">
            <v>2</v>
          </cell>
        </row>
        <row r="865">
          <cell r="A865" t="str">
            <v>CS1352X10</v>
          </cell>
          <cell r="B865">
            <v>1617</v>
          </cell>
          <cell r="C865">
            <v>1617</v>
          </cell>
          <cell r="D865">
            <v>2</v>
          </cell>
        </row>
        <row r="866">
          <cell r="A866" t="str">
            <v>CX1352X11</v>
          </cell>
          <cell r="B866">
            <v>1617</v>
          </cell>
          <cell r="C866">
            <v>1617</v>
          </cell>
          <cell r="D866">
            <v>2</v>
          </cell>
        </row>
        <row r="867">
          <cell r="A867" t="str">
            <v>CS1352X14</v>
          </cell>
          <cell r="B867">
            <v>1617</v>
          </cell>
          <cell r="C867">
            <v>1617</v>
          </cell>
          <cell r="D867">
            <v>2</v>
          </cell>
        </row>
        <row r="869">
          <cell r="A869" t="str">
            <v>C253CH</v>
          </cell>
          <cell r="B869">
            <v>535</v>
          </cell>
          <cell r="C869">
            <v>535</v>
          </cell>
          <cell r="D869">
            <v>6</v>
          </cell>
        </row>
        <row r="870">
          <cell r="A870" t="str">
            <v>C253O</v>
          </cell>
          <cell r="B870">
            <v>535</v>
          </cell>
          <cell r="C870">
            <v>535</v>
          </cell>
          <cell r="D870">
            <v>6</v>
          </cell>
        </row>
        <row r="872">
          <cell r="A872" t="str">
            <v>CF503X3</v>
          </cell>
          <cell r="B872">
            <v>1499</v>
          </cell>
          <cell r="C872">
            <v>1499</v>
          </cell>
          <cell r="D872">
            <v>2</v>
          </cell>
        </row>
        <row r="873">
          <cell r="A873" t="str">
            <v>CF503X4</v>
          </cell>
          <cell r="B873">
            <v>1499</v>
          </cell>
          <cell r="C873">
            <v>1499</v>
          </cell>
          <cell r="D873">
            <v>2</v>
          </cell>
        </row>
        <row r="874">
          <cell r="A874" t="str">
            <v>CF503X5</v>
          </cell>
          <cell r="B874">
            <v>1499</v>
          </cell>
          <cell r="C874">
            <v>1499</v>
          </cell>
          <cell r="D874">
            <v>2</v>
          </cell>
        </row>
        <row r="875">
          <cell r="A875" t="str">
            <v>CF503X7</v>
          </cell>
          <cell r="B875">
            <v>1499</v>
          </cell>
          <cell r="C875">
            <v>1499</v>
          </cell>
          <cell r="D875">
            <v>2</v>
          </cell>
        </row>
        <row r="876">
          <cell r="A876" t="str">
            <v>CF503X8</v>
          </cell>
          <cell r="B876">
            <v>1499</v>
          </cell>
          <cell r="C876">
            <v>1499</v>
          </cell>
          <cell r="D876">
            <v>2</v>
          </cell>
        </row>
        <row r="877">
          <cell r="A877" t="str">
            <v>CF503X12</v>
          </cell>
          <cell r="B877">
            <v>1499</v>
          </cell>
          <cell r="C877">
            <v>1499</v>
          </cell>
          <cell r="D877">
            <v>2</v>
          </cell>
        </row>
        <row r="878">
          <cell r="A878" t="str">
            <v>CF503X14</v>
          </cell>
          <cell r="B878">
            <v>1499</v>
          </cell>
          <cell r="C878">
            <v>1499</v>
          </cell>
          <cell r="D878">
            <v>2</v>
          </cell>
        </row>
        <row r="879">
          <cell r="A879" t="str">
            <v>CF503X15</v>
          </cell>
          <cell r="B879">
            <v>1499</v>
          </cell>
          <cell r="C879">
            <v>1499</v>
          </cell>
          <cell r="D879">
            <v>2</v>
          </cell>
        </row>
        <row r="880">
          <cell r="A880" t="str">
            <v>CF503X17</v>
          </cell>
          <cell r="B880">
            <v>1499</v>
          </cell>
          <cell r="C880">
            <v>1499</v>
          </cell>
          <cell r="D880">
            <v>2</v>
          </cell>
        </row>
        <row r="881">
          <cell r="A881" t="str">
            <v>CF503X29</v>
          </cell>
          <cell r="B881">
            <v>1499</v>
          </cell>
          <cell r="C881">
            <v>1499</v>
          </cell>
          <cell r="D881">
            <v>2</v>
          </cell>
        </row>
        <row r="882">
          <cell r="A882" t="str">
            <v>CF503X48</v>
          </cell>
          <cell r="B882">
            <v>1499</v>
          </cell>
          <cell r="C882">
            <v>1499</v>
          </cell>
          <cell r="D882">
            <v>2</v>
          </cell>
        </row>
        <row r="883">
          <cell r="A883" t="str">
            <v>CF503X54</v>
          </cell>
          <cell r="B883">
            <v>1953</v>
          </cell>
          <cell r="C883">
            <v>1953</v>
          </cell>
          <cell r="D883">
            <v>2</v>
          </cell>
        </row>
        <row r="885">
          <cell r="A885" t="str">
            <v>CS503X8</v>
          </cell>
          <cell r="B885">
            <v>1499</v>
          </cell>
          <cell r="C885">
            <v>1499</v>
          </cell>
          <cell r="D885">
            <v>2</v>
          </cell>
        </row>
        <row r="886">
          <cell r="A886" t="str">
            <v>CS503X9</v>
          </cell>
          <cell r="B886">
            <v>1499</v>
          </cell>
          <cell r="C886">
            <v>1499</v>
          </cell>
          <cell r="D886">
            <v>2</v>
          </cell>
        </row>
        <row r="887">
          <cell r="A887" t="str">
            <v>CS503X11</v>
          </cell>
          <cell r="B887">
            <v>1499</v>
          </cell>
          <cell r="C887">
            <v>1499</v>
          </cell>
          <cell r="D887">
            <v>2</v>
          </cell>
        </row>
        <row r="888">
          <cell r="A888" t="str">
            <v>CS503X14</v>
          </cell>
          <cell r="B888">
            <v>1499</v>
          </cell>
          <cell r="C888">
            <v>1499</v>
          </cell>
          <cell r="D888">
            <v>2</v>
          </cell>
        </row>
        <row r="889">
          <cell r="A889" t="str">
            <v>CS503X15</v>
          </cell>
          <cell r="B889">
            <v>1499</v>
          </cell>
          <cell r="C889">
            <v>1499</v>
          </cell>
          <cell r="D889">
            <v>2</v>
          </cell>
        </row>
        <row r="890">
          <cell r="A890" t="str">
            <v>CS503X19</v>
          </cell>
          <cell r="B890">
            <v>1499</v>
          </cell>
          <cell r="C890">
            <v>1499</v>
          </cell>
          <cell r="D890">
            <v>2</v>
          </cell>
        </row>
        <row r="891">
          <cell r="A891" t="str">
            <v>CS503X26</v>
          </cell>
          <cell r="B891">
            <v>1499</v>
          </cell>
          <cell r="C891">
            <v>1499</v>
          </cell>
          <cell r="D891">
            <v>2</v>
          </cell>
        </row>
        <row r="892">
          <cell r="A892" t="str">
            <v>CS503X33</v>
          </cell>
          <cell r="B892">
            <v>1499</v>
          </cell>
          <cell r="C892">
            <v>1499</v>
          </cell>
          <cell r="D892">
            <v>2</v>
          </cell>
        </row>
        <row r="893">
          <cell r="A893" t="str">
            <v>CS503X38</v>
          </cell>
          <cell r="B893">
            <v>1499</v>
          </cell>
          <cell r="C893">
            <v>1499</v>
          </cell>
          <cell r="D893">
            <v>2</v>
          </cell>
        </row>
        <row r="895">
          <cell r="A895" t="str">
            <v>S2M</v>
          </cell>
          <cell r="B895">
            <v>1024</v>
          </cell>
          <cell r="C895">
            <v>1024</v>
          </cell>
          <cell r="D895">
            <v>12</v>
          </cell>
        </row>
        <row r="897">
          <cell r="A897" t="str">
            <v>S3F/P</v>
          </cell>
          <cell r="B897">
            <v>940</v>
          </cell>
          <cell r="C897">
            <v>940</v>
          </cell>
          <cell r="D897">
            <v>12</v>
          </cell>
        </row>
        <row r="898">
          <cell r="A898" t="str">
            <v>S3IA/P</v>
          </cell>
          <cell r="B898">
            <v>940</v>
          </cell>
          <cell r="C898">
            <v>940</v>
          </cell>
          <cell r="D898">
            <v>12</v>
          </cell>
        </row>
        <row r="899">
          <cell r="A899" t="str">
            <v>S3J/P</v>
          </cell>
          <cell r="B899">
            <v>940</v>
          </cell>
          <cell r="C899">
            <v>940</v>
          </cell>
          <cell r="D899">
            <v>12</v>
          </cell>
        </row>
        <row r="900">
          <cell r="A900" t="str">
            <v>S3S/P</v>
          </cell>
          <cell r="B900">
            <v>940</v>
          </cell>
          <cell r="C900">
            <v>940</v>
          </cell>
          <cell r="D900">
            <v>12</v>
          </cell>
        </row>
        <row r="901">
          <cell r="A901" t="str">
            <v>S3T</v>
          </cell>
          <cell r="B901">
            <v>1100</v>
          </cell>
          <cell r="C901">
            <v>1100</v>
          </cell>
          <cell r="D901">
            <v>12</v>
          </cell>
        </row>
        <row r="902">
          <cell r="A902" t="str">
            <v>S3M/P</v>
          </cell>
          <cell r="B902">
            <v>940</v>
          </cell>
          <cell r="C902">
            <v>940</v>
          </cell>
          <cell r="D902">
            <v>12</v>
          </cell>
        </row>
        <row r="904">
          <cell r="A904" t="str">
            <v>S4T</v>
          </cell>
          <cell r="B904">
            <v>1300</v>
          </cell>
          <cell r="C904">
            <v>1300</v>
          </cell>
          <cell r="D904">
            <v>9</v>
          </cell>
        </row>
        <row r="906">
          <cell r="A906" t="str">
            <v>S4C/P</v>
          </cell>
          <cell r="B906">
            <v>1160</v>
          </cell>
          <cell r="C906">
            <v>1160</v>
          </cell>
          <cell r="D906">
            <v>9</v>
          </cell>
        </row>
        <row r="907">
          <cell r="A907" t="str">
            <v>S4J/P</v>
          </cell>
          <cell r="B907">
            <v>1160</v>
          </cell>
          <cell r="C907">
            <v>1160</v>
          </cell>
          <cell r="D907">
            <v>9</v>
          </cell>
        </row>
        <row r="908">
          <cell r="A908" t="str">
            <v>S4K/P</v>
          </cell>
          <cell r="B908">
            <v>1160</v>
          </cell>
          <cell r="C908">
            <v>1160</v>
          </cell>
          <cell r="D908">
            <v>9</v>
          </cell>
        </row>
        <row r="909">
          <cell r="A909" t="str">
            <v>S4L/P</v>
          </cell>
          <cell r="B909">
            <v>1160</v>
          </cell>
          <cell r="C909">
            <v>1160</v>
          </cell>
          <cell r="D909">
            <v>9</v>
          </cell>
        </row>
        <row r="910">
          <cell r="A910" t="str">
            <v>S4NA/P</v>
          </cell>
          <cell r="B910">
            <v>1160</v>
          </cell>
          <cell r="C910">
            <v>1160</v>
          </cell>
          <cell r="D910">
            <v>9</v>
          </cell>
        </row>
        <row r="911">
          <cell r="A911" t="str">
            <v>S4O/P</v>
          </cell>
          <cell r="B911">
            <v>1160</v>
          </cell>
          <cell r="C911">
            <v>1160</v>
          </cell>
          <cell r="D911">
            <v>9</v>
          </cell>
        </row>
        <row r="912">
          <cell r="A912" t="str">
            <v>S4P/P</v>
          </cell>
          <cell r="B912">
            <v>1160</v>
          </cell>
          <cell r="C912">
            <v>1160</v>
          </cell>
          <cell r="D912">
            <v>9</v>
          </cell>
        </row>
        <row r="913">
          <cell r="A913" t="str">
            <v>S4Q/P</v>
          </cell>
          <cell r="B913">
            <v>1220</v>
          </cell>
          <cell r="C913">
            <v>1220</v>
          </cell>
          <cell r="D913">
            <v>9</v>
          </cell>
        </row>
        <row r="914">
          <cell r="A914" t="str">
            <v>S4S/P</v>
          </cell>
          <cell r="B914">
            <v>1160</v>
          </cell>
          <cell r="C914">
            <v>1160</v>
          </cell>
          <cell r="D914">
            <v>9</v>
          </cell>
        </row>
        <row r="915">
          <cell r="A915" t="str">
            <v>S4W/P</v>
          </cell>
          <cell r="B915">
            <v>1160</v>
          </cell>
          <cell r="C915">
            <v>1160</v>
          </cell>
          <cell r="D915">
            <v>9</v>
          </cell>
        </row>
        <row r="916">
          <cell r="A916" t="str">
            <v>S4Z5/P</v>
          </cell>
          <cell r="B916">
            <v>1160</v>
          </cell>
          <cell r="C916">
            <v>1160</v>
          </cell>
          <cell r="D916">
            <v>9</v>
          </cell>
        </row>
        <row r="917">
          <cell r="A917" t="str">
            <v>S4Z6/P</v>
          </cell>
          <cell r="B917">
            <v>1160</v>
          </cell>
          <cell r="C917">
            <v>1160</v>
          </cell>
          <cell r="D917">
            <v>9</v>
          </cell>
        </row>
        <row r="918">
          <cell r="A918" t="str">
            <v>S4Z8/P</v>
          </cell>
          <cell r="B918">
            <v>1160</v>
          </cell>
          <cell r="C918">
            <v>1160</v>
          </cell>
          <cell r="D918">
            <v>9</v>
          </cell>
        </row>
        <row r="919">
          <cell r="A919" t="str">
            <v>S4Z11/P</v>
          </cell>
          <cell r="B919">
            <v>1160</v>
          </cell>
          <cell r="C919">
            <v>1160</v>
          </cell>
          <cell r="D919">
            <v>9</v>
          </cell>
        </row>
        <row r="920">
          <cell r="A920" t="str">
            <v>S4M/P</v>
          </cell>
          <cell r="B920">
            <v>1232</v>
          </cell>
          <cell r="C920">
            <v>1232</v>
          </cell>
          <cell r="D920">
            <v>9</v>
          </cell>
        </row>
        <row r="922">
          <cell r="A922" t="str">
            <v>S5E/P</v>
          </cell>
          <cell r="B922">
            <v>530</v>
          </cell>
          <cell r="C922">
            <v>530</v>
          </cell>
          <cell r="D922">
            <v>16</v>
          </cell>
        </row>
        <row r="923">
          <cell r="A923" t="str">
            <v>S5F/P</v>
          </cell>
          <cell r="B923">
            <v>500</v>
          </cell>
          <cell r="C923">
            <v>500</v>
          </cell>
          <cell r="D923">
            <v>16</v>
          </cell>
        </row>
        <row r="924">
          <cell r="A924" t="str">
            <v>S5K/P</v>
          </cell>
          <cell r="B924">
            <v>500</v>
          </cell>
          <cell r="C924">
            <v>500</v>
          </cell>
          <cell r="D924">
            <v>16</v>
          </cell>
        </row>
        <row r="925">
          <cell r="A925" t="str">
            <v>S5M/P</v>
          </cell>
          <cell r="B925">
            <v>500</v>
          </cell>
          <cell r="C925">
            <v>500</v>
          </cell>
          <cell r="D925">
            <v>16</v>
          </cell>
        </row>
        <row r="927">
          <cell r="A927" t="str">
            <v>S6M</v>
          </cell>
          <cell r="B927">
            <v>817</v>
          </cell>
          <cell r="C927">
            <v>817</v>
          </cell>
          <cell r="D927">
            <v>9</v>
          </cell>
        </row>
        <row r="929">
          <cell r="A929" t="str">
            <v>S6F/P(9)</v>
          </cell>
          <cell r="B929">
            <v>835</v>
          </cell>
          <cell r="C929">
            <v>835</v>
          </cell>
          <cell r="D929">
            <v>9</v>
          </cell>
        </row>
        <row r="930">
          <cell r="A930" t="str">
            <v>S6I/P(9)</v>
          </cell>
          <cell r="B930">
            <v>884</v>
          </cell>
          <cell r="C930">
            <v>884</v>
          </cell>
          <cell r="D930">
            <v>9</v>
          </cell>
        </row>
        <row r="931">
          <cell r="A931" t="str">
            <v>S6R/P(9)</v>
          </cell>
          <cell r="B931">
            <v>934</v>
          </cell>
          <cell r="C931">
            <v>934</v>
          </cell>
          <cell r="D931">
            <v>9</v>
          </cell>
        </row>
        <row r="932">
          <cell r="A932" t="str">
            <v>S6Z3/P(9)</v>
          </cell>
          <cell r="B932">
            <v>835</v>
          </cell>
          <cell r="C932">
            <v>835</v>
          </cell>
          <cell r="D932">
            <v>9</v>
          </cell>
        </row>
        <row r="934">
          <cell r="A934" t="str">
            <v>RKD-S03-01</v>
          </cell>
          <cell r="B934">
            <v>347</v>
          </cell>
          <cell r="C934">
            <v>347</v>
          </cell>
          <cell r="D934">
            <v>30</v>
          </cell>
        </row>
        <row r="935">
          <cell r="A935" t="str">
            <v>RKD-S03-02</v>
          </cell>
          <cell r="B935">
            <v>1242</v>
          </cell>
          <cell r="C935">
            <v>1242</v>
          </cell>
          <cell r="D935">
            <v>12</v>
          </cell>
        </row>
        <row r="936">
          <cell r="A936" t="str">
            <v>RKD-S03-03</v>
          </cell>
          <cell r="B936">
            <v>1242</v>
          </cell>
          <cell r="C936">
            <v>1242</v>
          </cell>
          <cell r="D936">
            <v>12</v>
          </cell>
        </row>
        <row r="937">
          <cell r="A937" t="str">
            <v>RKD-S04-01</v>
          </cell>
          <cell r="B937">
            <v>1585</v>
          </cell>
          <cell r="C937">
            <v>1585</v>
          </cell>
          <cell r="D937">
            <v>9</v>
          </cell>
        </row>
        <row r="938">
          <cell r="A938" t="str">
            <v>RKD-S04-04</v>
          </cell>
          <cell r="B938">
            <v>1838</v>
          </cell>
          <cell r="C938">
            <v>1838</v>
          </cell>
          <cell r="D938">
            <v>9</v>
          </cell>
        </row>
        <row r="939">
          <cell r="A939" t="str">
            <v>RKD-S05-01</v>
          </cell>
          <cell r="B939">
            <v>855</v>
          </cell>
          <cell r="C939">
            <v>855</v>
          </cell>
          <cell r="D939">
            <v>24</v>
          </cell>
        </row>
        <row r="940">
          <cell r="A940" t="str">
            <v>RKD-S05-02</v>
          </cell>
          <cell r="B940">
            <v>745</v>
          </cell>
          <cell r="C940">
            <v>745</v>
          </cell>
          <cell r="D940">
            <v>24</v>
          </cell>
        </row>
        <row r="941">
          <cell r="A941" t="str">
            <v>RKD-S05-03</v>
          </cell>
          <cell r="B941">
            <v>745</v>
          </cell>
          <cell r="C941">
            <v>745</v>
          </cell>
          <cell r="D941">
            <v>24</v>
          </cell>
        </row>
        <row r="942">
          <cell r="A942" t="str">
            <v>RKD-S05-04</v>
          </cell>
          <cell r="B942">
            <v>855</v>
          </cell>
          <cell r="C942">
            <v>855</v>
          </cell>
          <cell r="D942">
            <v>24</v>
          </cell>
        </row>
        <row r="943">
          <cell r="A943" t="str">
            <v>RKD-S05-05</v>
          </cell>
          <cell r="B943">
            <v>690</v>
          </cell>
          <cell r="C943">
            <v>690</v>
          </cell>
          <cell r="D943">
            <v>24</v>
          </cell>
        </row>
        <row r="944">
          <cell r="A944" t="str">
            <v>RKD-S05-09</v>
          </cell>
          <cell r="B944">
            <v>745</v>
          </cell>
          <cell r="C944">
            <v>745</v>
          </cell>
          <cell r="D944">
            <v>24</v>
          </cell>
        </row>
        <row r="945">
          <cell r="A945" t="str">
            <v>RKD-S05-11</v>
          </cell>
          <cell r="B945">
            <v>745</v>
          </cell>
          <cell r="C945">
            <v>745</v>
          </cell>
          <cell r="D945">
            <v>24</v>
          </cell>
        </row>
        <row r="946">
          <cell r="A946" t="str">
            <v>RKD-S05-12</v>
          </cell>
          <cell r="B946">
            <v>745</v>
          </cell>
          <cell r="C946">
            <v>745</v>
          </cell>
          <cell r="D946">
            <v>24</v>
          </cell>
        </row>
        <row r="947">
          <cell r="A947" t="str">
            <v>RKD-S06-01</v>
          </cell>
          <cell r="B947">
            <v>1281</v>
          </cell>
          <cell r="C947">
            <v>1281</v>
          </cell>
          <cell r="D947">
            <v>9</v>
          </cell>
        </row>
        <row r="948">
          <cell r="A948" t="str">
            <v>RKD-S06-02</v>
          </cell>
          <cell r="B948">
            <v>1193</v>
          </cell>
          <cell r="C948">
            <v>1193</v>
          </cell>
          <cell r="D948">
            <v>9</v>
          </cell>
        </row>
        <row r="949">
          <cell r="A949" t="str">
            <v>RKD-S06-03</v>
          </cell>
          <cell r="B949">
            <v>1718</v>
          </cell>
          <cell r="C949">
            <v>1718</v>
          </cell>
          <cell r="D949">
            <v>9</v>
          </cell>
        </row>
        <row r="950">
          <cell r="A950" t="str">
            <v>RKD-S06-04</v>
          </cell>
          <cell r="B950">
            <v>1805</v>
          </cell>
          <cell r="C950">
            <v>1805</v>
          </cell>
          <cell r="D950">
            <v>9</v>
          </cell>
        </row>
        <row r="951">
          <cell r="A951" t="str">
            <v>RKD-S06-05</v>
          </cell>
          <cell r="B951">
            <v>1805</v>
          </cell>
          <cell r="C951">
            <v>1805</v>
          </cell>
          <cell r="D951">
            <v>9</v>
          </cell>
        </row>
        <row r="952">
          <cell r="A952" t="str">
            <v>RKD-S06-07</v>
          </cell>
          <cell r="B952">
            <v>2067</v>
          </cell>
          <cell r="C952">
            <v>2067</v>
          </cell>
          <cell r="D952">
            <v>9</v>
          </cell>
        </row>
        <row r="954">
          <cell r="A954" t="str">
            <v>M2</v>
          </cell>
          <cell r="B954">
            <v>80</v>
          </cell>
          <cell r="C954">
            <v>80</v>
          </cell>
          <cell r="D954">
            <v>1</v>
          </cell>
        </row>
        <row r="955">
          <cell r="A955" t="str">
            <v>M3</v>
          </cell>
          <cell r="B955">
            <v>220</v>
          </cell>
          <cell r="C955">
            <v>220</v>
          </cell>
          <cell r="D955">
            <v>1</v>
          </cell>
        </row>
        <row r="956">
          <cell r="A956" t="str">
            <v>M4</v>
          </cell>
          <cell r="B956">
            <v>400</v>
          </cell>
          <cell r="C956">
            <v>400</v>
          </cell>
          <cell r="D956">
            <v>1</v>
          </cell>
        </row>
        <row r="957">
          <cell r="A957" t="str">
            <v>M5</v>
          </cell>
          <cell r="B957">
            <v>590</v>
          </cell>
          <cell r="C957">
            <v>590</v>
          </cell>
          <cell r="D957">
            <v>1</v>
          </cell>
        </row>
        <row r="958">
          <cell r="A958" t="str">
            <v>M6</v>
          </cell>
          <cell r="B958">
            <v>770</v>
          </cell>
          <cell r="C958">
            <v>770</v>
          </cell>
          <cell r="D958">
            <v>1</v>
          </cell>
        </row>
        <row r="960">
          <cell r="A960" t="str">
            <v>IF220A</v>
          </cell>
          <cell r="B960">
            <v>185</v>
          </cell>
          <cell r="C960">
            <v>185</v>
          </cell>
          <cell r="D960">
            <v>24</v>
          </cell>
        </row>
        <row r="961">
          <cell r="A961" t="str">
            <v>IF3MA</v>
          </cell>
          <cell r="B961">
            <v>273</v>
          </cell>
          <cell r="C961">
            <v>273</v>
          </cell>
          <cell r="D961">
            <v>24</v>
          </cell>
        </row>
        <row r="962">
          <cell r="A962" t="str">
            <v>IF560B</v>
          </cell>
          <cell r="B962">
            <v>1151</v>
          </cell>
          <cell r="C962">
            <v>1151</v>
          </cell>
          <cell r="D962">
            <v>10</v>
          </cell>
        </row>
        <row r="964">
          <cell r="A964" t="str">
            <v>EP03M</v>
          </cell>
          <cell r="B964">
            <v>600</v>
          </cell>
          <cell r="C964">
            <v>600</v>
          </cell>
          <cell r="D964">
            <v>20</v>
          </cell>
        </row>
        <row r="965">
          <cell r="A965" t="str">
            <v>EP1M</v>
          </cell>
          <cell r="B965">
            <v>650</v>
          </cell>
          <cell r="C965">
            <v>650</v>
          </cell>
          <cell r="D965">
            <v>20</v>
          </cell>
        </row>
        <row r="966">
          <cell r="A966" t="str">
            <v>EP2M</v>
          </cell>
          <cell r="B966">
            <v>820</v>
          </cell>
          <cell r="C966">
            <v>820</v>
          </cell>
          <cell r="D966">
            <v>20</v>
          </cell>
        </row>
        <row r="967">
          <cell r="A967" t="str">
            <v>EP3M</v>
          </cell>
          <cell r="B967">
            <v>540</v>
          </cell>
          <cell r="C967">
            <v>540</v>
          </cell>
          <cell r="D967">
            <v>20</v>
          </cell>
        </row>
        <row r="968">
          <cell r="A968" t="str">
            <v>EP5M</v>
          </cell>
          <cell r="B968">
            <v>820</v>
          </cell>
          <cell r="C968">
            <v>820</v>
          </cell>
          <cell r="D968">
            <v>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Data 2024"/>
      <sheetName val="dATA2025"/>
    </sheetNames>
    <sheetDataSet>
      <sheetData sheetId="0">
        <row r="1">
          <cell r="A1" t="str">
            <v xml:space="preserve">Catalog </v>
          </cell>
          <cell r="B1" t="str">
            <v>Weight 15</v>
          </cell>
          <cell r="C1" t="str">
            <v>NEQ/ NEC 11</v>
          </cell>
          <cell r="D1" t="str">
            <v>CBM 10</v>
          </cell>
        </row>
        <row r="2">
          <cell r="A2" t="str">
            <v>BK1P</v>
          </cell>
          <cell r="B2">
            <v>7100</v>
          </cell>
          <cell r="C2">
            <v>18</v>
          </cell>
          <cell r="D2">
            <v>2.1527999999999999E-2</v>
          </cell>
        </row>
        <row r="3">
          <cell r="A3" t="str">
            <v>BK1P(1)</v>
          </cell>
          <cell r="B3">
            <v>7100</v>
          </cell>
          <cell r="C3">
            <v>18</v>
          </cell>
          <cell r="D3">
            <v>2.1527999999999999E-2</v>
          </cell>
        </row>
        <row r="4">
          <cell r="A4" t="str">
            <v>BK2V</v>
          </cell>
          <cell r="B4">
            <v>9800</v>
          </cell>
          <cell r="C4">
            <v>12.000000000000002</v>
          </cell>
          <cell r="D4">
            <v>3.2911999999999997E-2</v>
          </cell>
        </row>
        <row r="5">
          <cell r="A5" t="str">
            <v>S5DU14</v>
          </cell>
          <cell r="B5">
            <v>12000</v>
          </cell>
          <cell r="C5">
            <v>3000</v>
          </cell>
          <cell r="D5">
            <v>1.3595999999999999E-2</v>
          </cell>
        </row>
        <row r="6">
          <cell r="A6" t="str">
            <v>R5DU14</v>
          </cell>
          <cell r="B6">
            <v>12000</v>
          </cell>
          <cell r="C6">
            <v>3600</v>
          </cell>
          <cell r="D6">
            <v>1.3595999999999999E-2</v>
          </cell>
        </row>
        <row r="7">
          <cell r="A7" t="str">
            <v>C5DU14</v>
          </cell>
          <cell r="B7">
            <v>15500</v>
          </cell>
          <cell r="C7">
            <v>4200</v>
          </cell>
          <cell r="D7">
            <v>2.7059999999999997E-2</v>
          </cell>
        </row>
        <row r="8">
          <cell r="A8" t="str">
            <v>DP1CB</v>
          </cell>
          <cell r="B8">
            <v>3800</v>
          </cell>
          <cell r="C8">
            <v>1152</v>
          </cell>
          <cell r="D8">
            <v>2.4288000000000001E-2</v>
          </cell>
        </row>
        <row r="9">
          <cell r="A9" t="str">
            <v>DP1CB(1)</v>
          </cell>
          <cell r="B9">
            <v>4800</v>
          </cell>
          <cell r="C9">
            <v>2304</v>
          </cell>
          <cell r="D9">
            <v>2.4288000000000001E-2</v>
          </cell>
        </row>
        <row r="10">
          <cell r="A10" t="str">
            <v>DP2CB</v>
          </cell>
          <cell r="B10">
            <v>6500</v>
          </cell>
          <cell r="C10">
            <v>1296</v>
          </cell>
          <cell r="D10">
            <v>3.5749999999999997E-2</v>
          </cell>
        </row>
        <row r="11">
          <cell r="A11" t="str">
            <v>DP2CB(1)</v>
          </cell>
          <cell r="B11">
            <v>6500</v>
          </cell>
          <cell r="C11">
            <v>1296</v>
          </cell>
          <cell r="D11">
            <v>3.2009999999999997E-2</v>
          </cell>
        </row>
        <row r="12">
          <cell r="A12" t="str">
            <v>DP1M</v>
          </cell>
          <cell r="B12">
            <v>7200</v>
          </cell>
          <cell r="C12">
            <v>4800</v>
          </cell>
          <cell r="D12">
            <v>3.2447999999999998E-2</v>
          </cell>
        </row>
        <row r="13">
          <cell r="A13" t="str">
            <v>DP1M(1)</v>
          </cell>
          <cell r="B13">
            <v>7200</v>
          </cell>
          <cell r="C13">
            <v>5000</v>
          </cell>
          <cell r="D13">
            <v>3.2447999999999998E-2</v>
          </cell>
        </row>
        <row r="14">
          <cell r="A14" t="str">
            <v>DP1Z20</v>
          </cell>
          <cell r="B14">
            <v>3200</v>
          </cell>
          <cell r="C14">
            <v>2112</v>
          </cell>
          <cell r="D14">
            <v>1.990625E-2</v>
          </cell>
        </row>
        <row r="15">
          <cell r="A15" t="str">
            <v>DP1Z20(1)</v>
          </cell>
          <cell r="B15">
            <v>5000</v>
          </cell>
          <cell r="C15">
            <v>3300</v>
          </cell>
          <cell r="D15">
            <v>1.990625E-2</v>
          </cell>
        </row>
        <row r="16">
          <cell r="A16" t="str">
            <v>CDK1</v>
          </cell>
          <cell r="B16">
            <v>4000</v>
          </cell>
          <cell r="C16">
            <v>792.00000000000011</v>
          </cell>
          <cell r="D16">
            <v>1.5911999999999999E-2</v>
          </cell>
        </row>
        <row r="17">
          <cell r="A17" t="str">
            <v>CDK1(1)</v>
          </cell>
          <cell r="B17">
            <v>4000</v>
          </cell>
          <cell r="C17">
            <v>768.00000000000011</v>
          </cell>
          <cell r="D17">
            <v>1.5911999999999999E-2</v>
          </cell>
        </row>
        <row r="18">
          <cell r="A18" t="str">
            <v>DP1BP</v>
          </cell>
          <cell r="B18">
            <v>2000</v>
          </cell>
          <cell r="C18">
            <v>360</v>
          </cell>
          <cell r="D18">
            <v>7.3514999999999995E-3</v>
          </cell>
        </row>
        <row r="19">
          <cell r="A19" t="str">
            <v>CB1DB</v>
          </cell>
          <cell r="B19">
            <v>15500</v>
          </cell>
          <cell r="C19">
            <v>93</v>
          </cell>
          <cell r="D19">
            <v>2.4149E-2</v>
          </cell>
        </row>
        <row r="20">
          <cell r="A20" t="str">
            <v>DP1T</v>
          </cell>
          <cell r="B20">
            <v>8500</v>
          </cell>
          <cell r="C20">
            <v>2835</v>
          </cell>
          <cell r="D20">
            <v>1.6363349999999999E-2</v>
          </cell>
        </row>
        <row r="21">
          <cell r="A21" t="str">
            <v>DP1R</v>
          </cell>
          <cell r="B21">
            <v>6500</v>
          </cell>
          <cell r="C21">
            <v>2400</v>
          </cell>
          <cell r="D21">
            <v>1.9558499999999999E-2</v>
          </cell>
        </row>
        <row r="22">
          <cell r="A22" t="str">
            <v>DP1VR</v>
          </cell>
          <cell r="B22">
            <v>7800</v>
          </cell>
          <cell r="C22">
            <v>2592</v>
          </cell>
          <cell r="D22">
            <v>3.6424999999999999E-2</v>
          </cell>
        </row>
        <row r="23">
          <cell r="A23" t="str">
            <v>DP1EM</v>
          </cell>
          <cell r="B23">
            <v>3000</v>
          </cell>
          <cell r="C23">
            <v>489.59999999999997</v>
          </cell>
          <cell r="D23">
            <v>4.3428000000000001E-2</v>
          </cell>
        </row>
        <row r="24">
          <cell r="A24" t="str">
            <v>DP1SW</v>
          </cell>
          <cell r="B24">
            <v>10000</v>
          </cell>
          <cell r="C24">
            <v>2304</v>
          </cell>
          <cell r="D24">
            <v>8.0212499999999992E-2</v>
          </cell>
        </row>
        <row r="25">
          <cell r="A25" t="str">
            <v>F1DB</v>
          </cell>
          <cell r="B25">
            <v>14000</v>
          </cell>
          <cell r="C25">
            <v>90</v>
          </cell>
          <cell r="D25">
            <v>2.18595E-2</v>
          </cell>
        </row>
        <row r="26">
          <cell r="A26" t="str">
            <v>DP1FR</v>
          </cell>
          <cell r="B26">
            <v>6600</v>
          </cell>
          <cell r="C26">
            <v>1600</v>
          </cell>
          <cell r="D26">
            <v>3.2507999999999995E-2</v>
          </cell>
        </row>
        <row r="27">
          <cell r="A27" t="str">
            <v>DP1FM</v>
          </cell>
          <cell r="B27">
            <v>6000</v>
          </cell>
          <cell r="C27">
            <v>1728</v>
          </cell>
          <cell r="D27">
            <v>3.1121999999999997E-2</v>
          </cell>
        </row>
        <row r="28">
          <cell r="A28" t="str">
            <v>DP1FV</v>
          </cell>
          <cell r="B28">
            <v>7500</v>
          </cell>
          <cell r="C28">
            <v>2160</v>
          </cell>
          <cell r="D28">
            <v>3.3319999999999995E-2</v>
          </cell>
        </row>
        <row r="29">
          <cell r="A29" t="str">
            <v>DP1FD</v>
          </cell>
          <cell r="B29">
            <v>7450</v>
          </cell>
          <cell r="C29">
            <v>1200</v>
          </cell>
          <cell r="D29">
            <v>3.2168249999999995E-2</v>
          </cell>
        </row>
        <row r="30">
          <cell r="A30" t="str">
            <v>F19MF1</v>
          </cell>
          <cell r="B30">
            <v>8800</v>
          </cell>
          <cell r="C30">
            <v>1050</v>
          </cell>
          <cell r="D30">
            <v>4.6054400000000002E-2</v>
          </cell>
        </row>
        <row r="31">
          <cell r="A31" t="str">
            <v>BP30S</v>
          </cell>
          <cell r="B31">
            <v>10000</v>
          </cell>
          <cell r="C31">
            <v>1440</v>
          </cell>
          <cell r="D31">
            <v>1.2332249999999999E-2</v>
          </cell>
        </row>
        <row r="32">
          <cell r="A32" t="str">
            <v>CST12S</v>
          </cell>
          <cell r="B32">
            <v>10000</v>
          </cell>
          <cell r="C32">
            <v>1536.0000000000002</v>
          </cell>
          <cell r="D32">
            <v>1.7249999999999998E-2</v>
          </cell>
        </row>
        <row r="33">
          <cell r="A33" t="str">
            <v>CST40S</v>
          </cell>
          <cell r="B33">
            <v>8000</v>
          </cell>
          <cell r="C33">
            <v>1500</v>
          </cell>
          <cell r="D33">
            <v>2.1904E-2</v>
          </cell>
        </row>
        <row r="34">
          <cell r="B34" t="str">
            <v/>
          </cell>
        </row>
        <row r="35">
          <cell r="A35" t="str">
            <v>DP1TA</v>
          </cell>
          <cell r="B35">
            <v>3500</v>
          </cell>
          <cell r="C35">
            <v>240</v>
          </cell>
          <cell r="D35">
            <v>3.3724999999999998E-2</v>
          </cell>
        </row>
        <row r="36">
          <cell r="A36" t="str">
            <v>DP1TA(1)</v>
          </cell>
          <cell r="B36">
            <v>3500</v>
          </cell>
          <cell r="C36">
            <v>240</v>
          </cell>
          <cell r="D36">
            <v>3.3724999999999998E-2</v>
          </cell>
        </row>
        <row r="37">
          <cell r="A37" t="str">
            <v>DP1BS(1)</v>
          </cell>
          <cell r="B37">
            <v>2500</v>
          </cell>
          <cell r="C37">
            <v>120</v>
          </cell>
          <cell r="D37">
            <v>3.6755499999999997E-2</v>
          </cell>
        </row>
        <row r="38">
          <cell r="A38" t="str">
            <v>DP1P</v>
          </cell>
          <cell r="B38">
            <v>10000</v>
          </cell>
          <cell r="C38">
            <v>1440</v>
          </cell>
          <cell r="D38">
            <v>2.2386E-2</v>
          </cell>
        </row>
        <row r="39">
          <cell r="A39" t="str">
            <v>DP2W</v>
          </cell>
          <cell r="B39">
            <v>9000</v>
          </cell>
          <cell r="C39">
            <v>625</v>
          </cell>
          <cell r="D39">
            <v>3.0992499999999999E-2</v>
          </cell>
        </row>
        <row r="40">
          <cell r="A40" t="str">
            <v>S12S</v>
          </cell>
          <cell r="B40">
            <v>7000</v>
          </cell>
          <cell r="C40">
            <v>2688</v>
          </cell>
          <cell r="D40">
            <v>2.8999999999999998E-2</v>
          </cell>
        </row>
        <row r="41">
          <cell r="A41" t="str">
            <v>S12S(1)</v>
          </cell>
          <cell r="B41">
            <v>7500</v>
          </cell>
          <cell r="C41">
            <v>2688</v>
          </cell>
          <cell r="D41">
            <v>2.8999999999999998E-2</v>
          </cell>
        </row>
        <row r="42">
          <cell r="B42" t="str">
            <v/>
          </cell>
        </row>
        <row r="43">
          <cell r="A43" t="str">
            <v>DP1VC</v>
          </cell>
          <cell r="B43">
            <v>3700</v>
          </cell>
          <cell r="C43">
            <v>504.00000000000006</v>
          </cell>
          <cell r="D43">
            <v>2.2164599999999996E-2</v>
          </cell>
        </row>
        <row r="44">
          <cell r="A44" t="str">
            <v>LM0SW</v>
          </cell>
          <cell r="B44">
            <v>7500</v>
          </cell>
          <cell r="C44">
            <v>1920.0000000000002</v>
          </cell>
          <cell r="D44">
            <v>1.8919999999999999E-2</v>
          </cell>
        </row>
        <row r="45">
          <cell r="A45" t="str">
            <v>LM1O</v>
          </cell>
          <cell r="B45">
            <v>4700</v>
          </cell>
          <cell r="C45">
            <v>2400</v>
          </cell>
          <cell r="D45">
            <v>2.6099999999999998E-2</v>
          </cell>
        </row>
        <row r="46">
          <cell r="A46" t="str">
            <v>LM2C</v>
          </cell>
          <cell r="B46">
            <v>6300</v>
          </cell>
          <cell r="C46">
            <v>2160</v>
          </cell>
          <cell r="D46">
            <v>4.3987499999999999E-2</v>
          </cell>
        </row>
        <row r="47">
          <cell r="A47" t="str">
            <v>LM2V</v>
          </cell>
          <cell r="B47">
            <v>5600</v>
          </cell>
          <cell r="C47">
            <v>2160</v>
          </cell>
          <cell r="D47">
            <v>3.9973874999999999E-2</v>
          </cell>
        </row>
        <row r="48">
          <cell r="A48" t="str">
            <v>LM3T</v>
          </cell>
          <cell r="B48">
            <v>4500</v>
          </cell>
          <cell r="C48">
            <v>1296</v>
          </cell>
          <cell r="D48">
            <v>3.6380249999999996E-2</v>
          </cell>
        </row>
        <row r="49">
          <cell r="A49" t="str">
            <v>LM4O</v>
          </cell>
          <cell r="B49">
            <v>5000</v>
          </cell>
          <cell r="C49">
            <v>2016</v>
          </cell>
          <cell r="D49">
            <v>3.3743999999999996E-2</v>
          </cell>
        </row>
        <row r="50">
          <cell r="A50" t="str">
            <v>LM5W</v>
          </cell>
          <cell r="B50">
            <v>11000</v>
          </cell>
          <cell r="C50">
            <v>2880</v>
          </cell>
          <cell r="D50">
            <v>5.3689499999999994E-2</v>
          </cell>
        </row>
        <row r="51">
          <cell r="A51" t="str">
            <v>LM6M</v>
          </cell>
          <cell r="B51">
            <v>6000</v>
          </cell>
          <cell r="C51">
            <v>1344</v>
          </cell>
          <cell r="D51">
            <v>6.7229999999999998E-2</v>
          </cell>
        </row>
        <row r="52">
          <cell r="A52" t="str">
            <v>LM7S</v>
          </cell>
          <cell r="B52">
            <v>5000</v>
          </cell>
          <cell r="C52">
            <v>720</v>
          </cell>
          <cell r="D52">
            <v>3.3728000000000001E-2</v>
          </cell>
        </row>
        <row r="53">
          <cell r="A53" t="str">
            <v>LM8SA</v>
          </cell>
          <cell r="B53">
            <v>9000</v>
          </cell>
          <cell r="C53">
            <v>1920</v>
          </cell>
          <cell r="D53">
            <v>4.0823999999999999E-2</v>
          </cell>
        </row>
        <row r="54">
          <cell r="A54" t="str">
            <v>SU45B</v>
          </cell>
          <cell r="B54">
            <v>6500</v>
          </cell>
          <cell r="C54">
            <v>356</v>
          </cell>
          <cell r="D54">
            <v>6.5831749999999994E-2</v>
          </cell>
        </row>
        <row r="55">
          <cell r="A55" t="str">
            <v>RD8</v>
          </cell>
          <cell r="B55">
            <v>7500</v>
          </cell>
          <cell r="C55">
            <v>570</v>
          </cell>
          <cell r="D55">
            <v>8.9055999999999996E-2</v>
          </cell>
        </row>
        <row r="56">
          <cell r="B56" t="str">
            <v/>
          </cell>
        </row>
        <row r="57">
          <cell r="A57" t="str">
            <v>DS1</v>
          </cell>
          <cell r="B57">
            <v>10800</v>
          </cell>
          <cell r="C57">
            <v>2920</v>
          </cell>
          <cell r="D57">
            <v>5.7342249999999997E-2</v>
          </cell>
        </row>
        <row r="58">
          <cell r="A58" t="str">
            <v>RB1</v>
          </cell>
          <cell r="B58">
            <v>15500</v>
          </cell>
          <cell r="C58">
            <v>4640</v>
          </cell>
          <cell r="D58">
            <v>8.5176000000000002E-2</v>
          </cell>
        </row>
        <row r="59">
          <cell r="A59" t="str">
            <v>FPS1</v>
          </cell>
          <cell r="B59">
            <v>5000</v>
          </cell>
          <cell r="C59">
            <v>1250</v>
          </cell>
          <cell r="D59">
            <v>2.9497499999999999E-2</v>
          </cell>
        </row>
        <row r="60">
          <cell r="B60" t="str">
            <v/>
          </cell>
        </row>
        <row r="61">
          <cell r="A61" t="str">
            <v>VP90</v>
          </cell>
          <cell r="B61">
            <v>14000</v>
          </cell>
          <cell r="C61">
            <v>2640</v>
          </cell>
          <cell r="D61">
            <v>3.0689999999999999E-2</v>
          </cell>
        </row>
        <row r="62">
          <cell r="A62" t="str">
            <v>VP70</v>
          </cell>
          <cell r="B62">
            <v>11500</v>
          </cell>
          <cell r="C62">
            <v>2620.7999999999997</v>
          </cell>
          <cell r="D62">
            <v>2.1245699999999999E-2</v>
          </cell>
        </row>
        <row r="63">
          <cell r="A63" t="str">
            <v>VP70W</v>
          </cell>
          <cell r="B63">
            <v>11500</v>
          </cell>
          <cell r="C63">
            <v>2620.7999999999997</v>
          </cell>
          <cell r="D63">
            <v>2.1245699999999999E-2</v>
          </cell>
        </row>
        <row r="64">
          <cell r="A64" t="str">
            <v>VP40</v>
          </cell>
          <cell r="B64">
            <v>11500</v>
          </cell>
          <cell r="C64">
            <v>4350</v>
          </cell>
          <cell r="D64">
            <v>1.6565625E-2</v>
          </cell>
        </row>
        <row r="65">
          <cell r="A65" t="str">
            <v>VP40/20</v>
          </cell>
          <cell r="B65">
            <v>22000</v>
          </cell>
          <cell r="C65">
            <v>8700</v>
          </cell>
          <cell r="D65">
            <v>2.6553824999999996E-2</v>
          </cell>
        </row>
        <row r="66">
          <cell r="A66" t="str">
            <v>VP40W</v>
          </cell>
          <cell r="B66">
            <v>11500</v>
          </cell>
          <cell r="C66">
            <v>4350</v>
          </cell>
          <cell r="D66">
            <v>1.9460249999999998E-2</v>
          </cell>
        </row>
        <row r="67">
          <cell r="A67" t="str">
            <v>VP28</v>
          </cell>
          <cell r="B67">
            <v>10500</v>
          </cell>
          <cell r="C67">
            <v>4800</v>
          </cell>
          <cell r="D67">
            <v>2.0789999999999999E-2</v>
          </cell>
        </row>
        <row r="68">
          <cell r="A68" t="str">
            <v>VP16A</v>
          </cell>
          <cell r="B68">
            <v>13000</v>
          </cell>
          <cell r="C68">
            <v>3840</v>
          </cell>
          <cell r="D68">
            <v>2.7213624999999998E-2</v>
          </cell>
        </row>
        <row r="69">
          <cell r="A69" t="str">
            <v>VP16A(1)</v>
          </cell>
          <cell r="B69">
            <v>13600</v>
          </cell>
          <cell r="C69">
            <v>3840</v>
          </cell>
          <cell r="D69">
            <v>2.7213624999999998E-2</v>
          </cell>
        </row>
        <row r="70">
          <cell r="B70" t="str">
            <v/>
          </cell>
        </row>
        <row r="71">
          <cell r="A71" t="str">
            <v>VP28N</v>
          </cell>
          <cell r="B71">
            <v>13100</v>
          </cell>
          <cell r="C71">
            <v>4800</v>
          </cell>
          <cell r="D71">
            <v>5.1999999999999998E-2</v>
          </cell>
        </row>
        <row r="72">
          <cell r="A72" t="str">
            <v>VP40N</v>
          </cell>
          <cell r="B72">
            <v>6200</v>
          </cell>
          <cell r="C72">
            <v>1760.0000000000002</v>
          </cell>
          <cell r="D72">
            <v>2.4022249999999998E-2</v>
          </cell>
        </row>
        <row r="73">
          <cell r="A73" t="str">
            <v>VP12MIX</v>
          </cell>
          <cell r="B73">
            <v>2500</v>
          </cell>
          <cell r="C73">
            <v>180</v>
          </cell>
          <cell r="D73">
            <v>2.5687999999999999E-2</v>
          </cell>
        </row>
        <row r="74">
          <cell r="A74" t="str">
            <v>SPRS1E</v>
          </cell>
          <cell r="B74" t="str">
            <v/>
          </cell>
          <cell r="D74">
            <v>0</v>
          </cell>
        </row>
        <row r="75">
          <cell r="B75" t="str">
            <v/>
          </cell>
        </row>
        <row r="76">
          <cell r="A76" t="str">
            <v>D1D</v>
          </cell>
          <cell r="B76">
            <v>17800</v>
          </cell>
          <cell r="C76">
            <v>1872.0000000000002</v>
          </cell>
          <cell r="D76">
            <v>3.7434749999999996E-2</v>
          </cell>
        </row>
        <row r="77">
          <cell r="A77" t="str">
            <v>D1M</v>
          </cell>
          <cell r="B77">
            <v>15000</v>
          </cell>
          <cell r="C77">
            <v>1600</v>
          </cell>
          <cell r="D77">
            <v>3.2657624999999996E-2</v>
          </cell>
        </row>
        <row r="78">
          <cell r="A78" t="str">
            <v>D2C</v>
          </cell>
          <cell r="B78">
            <v>13600</v>
          </cell>
          <cell r="C78">
            <v>4320</v>
          </cell>
          <cell r="D78">
            <v>2.6731249999999998E-2</v>
          </cell>
        </row>
        <row r="79">
          <cell r="A79" t="str">
            <v>D2CN(1)</v>
          </cell>
          <cell r="B79">
            <v>14300</v>
          </cell>
          <cell r="C79">
            <v>4320</v>
          </cell>
          <cell r="D79">
            <v>2.6731249999999998E-2</v>
          </cell>
        </row>
        <row r="80">
          <cell r="A80" t="str">
            <v>D3SK</v>
          </cell>
          <cell r="B80">
            <v>8300</v>
          </cell>
          <cell r="C80">
            <v>5472</v>
          </cell>
          <cell r="D80">
            <v>1.4137499999999999E-2</v>
          </cell>
        </row>
        <row r="81">
          <cell r="A81" t="str">
            <v>RDG1B</v>
          </cell>
          <cell r="B81">
            <v>8700</v>
          </cell>
          <cell r="C81">
            <v>4800</v>
          </cell>
          <cell r="D81">
            <v>1.7198999999999999E-2</v>
          </cell>
        </row>
        <row r="82">
          <cell r="A82" t="str">
            <v>RDG1C</v>
          </cell>
          <cell r="B82">
            <v>8700</v>
          </cell>
          <cell r="C82">
            <v>4800</v>
          </cell>
          <cell r="D82">
            <v>1.7198999999999999E-2</v>
          </cell>
        </row>
        <row r="83">
          <cell r="A83" t="str">
            <v>RDG1M</v>
          </cell>
          <cell r="B83">
            <v>8700</v>
          </cell>
          <cell r="C83">
            <v>4800</v>
          </cell>
          <cell r="D83">
            <v>1.7198999999999999E-2</v>
          </cell>
        </row>
        <row r="84">
          <cell r="A84" t="str">
            <v>RDG1ZL</v>
          </cell>
          <cell r="B84">
            <v>8700</v>
          </cell>
          <cell r="C84">
            <v>5000</v>
          </cell>
          <cell r="D84">
            <v>1.7198999999999999E-2</v>
          </cell>
        </row>
        <row r="85">
          <cell r="A85" t="str">
            <v>RDG1ZL(1)</v>
          </cell>
          <cell r="B85">
            <v>8700</v>
          </cell>
          <cell r="C85">
            <v>5000</v>
          </cell>
          <cell r="D85">
            <v>1.7198999999999999E-2</v>
          </cell>
        </row>
        <row r="86">
          <cell r="A86" t="str">
            <v>RDG1ZE</v>
          </cell>
          <cell r="B86">
            <v>8700</v>
          </cell>
          <cell r="C86">
            <v>4800</v>
          </cell>
          <cell r="D86">
            <v>1.7198999999999999E-2</v>
          </cell>
        </row>
        <row r="87">
          <cell r="A87" t="str">
            <v>RDG2B</v>
          </cell>
          <cell r="B87">
            <v>17000</v>
          </cell>
          <cell r="C87">
            <v>12000</v>
          </cell>
          <cell r="D87">
            <v>3.6358000000000001E-2</v>
          </cell>
        </row>
        <row r="88">
          <cell r="A88" t="str">
            <v>RDG2C</v>
          </cell>
          <cell r="B88">
            <v>17000</v>
          </cell>
          <cell r="C88">
            <v>12000</v>
          </cell>
          <cell r="D88">
            <v>3.6358000000000001E-2</v>
          </cell>
        </row>
        <row r="89">
          <cell r="A89" t="str">
            <v>RDG2M</v>
          </cell>
          <cell r="B89">
            <v>17000</v>
          </cell>
          <cell r="C89">
            <v>12000</v>
          </cell>
          <cell r="D89">
            <v>3.6358000000000001E-2</v>
          </cell>
        </row>
        <row r="90">
          <cell r="B90" t="str">
            <v/>
          </cell>
        </row>
        <row r="91">
          <cell r="A91" t="str">
            <v>RDG60B(SH)</v>
          </cell>
          <cell r="B91">
            <v>12000</v>
          </cell>
          <cell r="C91">
            <v>2500</v>
          </cell>
          <cell r="D91">
            <v>3.61415E-2</v>
          </cell>
        </row>
        <row r="92">
          <cell r="A92" t="str">
            <v>RDG60ZL(SH)</v>
          </cell>
          <cell r="B92">
            <v>12000</v>
          </cell>
          <cell r="C92">
            <v>2500</v>
          </cell>
          <cell r="D92">
            <v>3.61415E-2</v>
          </cell>
        </row>
        <row r="93">
          <cell r="A93" t="str">
            <v>RDG60R(SH)</v>
          </cell>
          <cell r="B93">
            <v>12000</v>
          </cell>
          <cell r="C93">
            <v>2500</v>
          </cell>
          <cell r="D93">
            <v>3.61415E-2</v>
          </cell>
        </row>
        <row r="94">
          <cell r="A94" t="str">
            <v>RDG60ZEOCER(SH)</v>
          </cell>
          <cell r="B94">
            <v>13000</v>
          </cell>
          <cell r="C94">
            <v>2700</v>
          </cell>
          <cell r="D94">
            <v>0</v>
          </cell>
        </row>
        <row r="95">
          <cell r="B95" t="str">
            <v/>
          </cell>
        </row>
        <row r="96">
          <cell r="A96" t="str">
            <v>RDG1ZL-P</v>
          </cell>
          <cell r="B96">
            <v>9500</v>
          </cell>
          <cell r="C96">
            <v>2625</v>
          </cell>
          <cell r="D96">
            <v>2.0475E-2</v>
          </cell>
        </row>
        <row r="97">
          <cell r="A97" t="str">
            <v>RDG1ZL-P(1)</v>
          </cell>
          <cell r="B97">
            <v>9500</v>
          </cell>
          <cell r="C97">
            <v>2625</v>
          </cell>
          <cell r="D97">
            <v>2.0475E-2</v>
          </cell>
        </row>
        <row r="98">
          <cell r="A98" t="str">
            <v>RDG1O-P</v>
          </cell>
          <cell r="B98">
            <v>9500</v>
          </cell>
          <cell r="C98">
            <v>2625</v>
          </cell>
          <cell r="D98">
            <v>2.0475E-2</v>
          </cell>
        </row>
        <row r="99">
          <cell r="A99" t="str">
            <v>RDG1O-P(1)</v>
          </cell>
          <cell r="B99">
            <v>9500</v>
          </cell>
          <cell r="C99">
            <v>2625</v>
          </cell>
          <cell r="D99">
            <v>2.0475E-2</v>
          </cell>
        </row>
        <row r="100">
          <cell r="B100" t="str">
            <v/>
          </cell>
        </row>
        <row r="101">
          <cell r="A101" t="str">
            <v>RDP60M</v>
          </cell>
          <cell r="B101">
            <v>16500</v>
          </cell>
          <cell r="C101">
            <v>4500</v>
          </cell>
          <cell r="D101">
            <v>5.7329999999999999E-2</v>
          </cell>
        </row>
        <row r="102">
          <cell r="A102" t="str">
            <v>HDP60B</v>
          </cell>
          <cell r="B102">
            <v>19000</v>
          </cell>
          <cell r="C102">
            <v>4500</v>
          </cell>
          <cell r="D102">
            <v>5.7329999999999999E-2</v>
          </cell>
        </row>
        <row r="103">
          <cell r="A103" t="str">
            <v>HDP60C</v>
          </cell>
          <cell r="B103">
            <v>19000</v>
          </cell>
          <cell r="C103">
            <v>4500</v>
          </cell>
          <cell r="D103">
            <v>5.7329999999999999E-2</v>
          </cell>
        </row>
        <row r="104">
          <cell r="A104" t="str">
            <v>HDP60M</v>
          </cell>
          <cell r="B104">
            <v>19000</v>
          </cell>
          <cell r="C104">
            <v>4500</v>
          </cell>
          <cell r="D104">
            <v>5.7329999999999999E-2</v>
          </cell>
        </row>
        <row r="105">
          <cell r="A105" t="str">
            <v>HDP60ZE</v>
          </cell>
          <cell r="B105">
            <v>19000</v>
          </cell>
          <cell r="C105">
            <v>4500</v>
          </cell>
          <cell r="D105">
            <v>5.7329999999999999E-2</v>
          </cell>
        </row>
        <row r="106">
          <cell r="B106" t="str">
            <v/>
          </cell>
        </row>
        <row r="107">
          <cell r="A107" t="str">
            <v>P40C25</v>
          </cell>
          <cell r="B107">
            <v>9100</v>
          </cell>
          <cell r="C107">
            <v>4000</v>
          </cell>
          <cell r="D107">
            <v>2.3552E-2</v>
          </cell>
        </row>
        <row r="108">
          <cell r="A108" t="str">
            <v>P40Z25</v>
          </cell>
          <cell r="B108">
            <v>10800</v>
          </cell>
          <cell r="C108">
            <v>4000</v>
          </cell>
          <cell r="D108">
            <v>2.3552E-2</v>
          </cell>
        </row>
        <row r="109">
          <cell r="A109" t="str">
            <v>P40B25</v>
          </cell>
          <cell r="B109">
            <v>10800</v>
          </cell>
          <cell r="C109">
            <v>4000</v>
          </cell>
          <cell r="D109">
            <v>2.3552E-2</v>
          </cell>
        </row>
        <row r="110">
          <cell r="A110" t="str">
            <v>P40MO25</v>
          </cell>
          <cell r="B110">
            <v>9700</v>
          </cell>
          <cell r="C110">
            <v>4000</v>
          </cell>
          <cell r="D110">
            <v>2.3552E-2</v>
          </cell>
        </row>
        <row r="111">
          <cell r="A111" t="str">
            <v>SP60S</v>
          </cell>
          <cell r="B111">
            <v>15000</v>
          </cell>
          <cell r="C111">
            <v>4200</v>
          </cell>
          <cell r="D111">
            <v>2.2303999999999997E-2</v>
          </cell>
        </row>
        <row r="112">
          <cell r="A112" t="str">
            <v>BP60S</v>
          </cell>
          <cell r="B112">
            <v>5500</v>
          </cell>
          <cell r="C112">
            <v>1125</v>
          </cell>
          <cell r="D112">
            <v>2.3625E-2</v>
          </cell>
        </row>
        <row r="113">
          <cell r="B113" t="str">
            <v/>
          </cell>
        </row>
        <row r="114">
          <cell r="A114" t="str">
            <v>S90S</v>
          </cell>
          <cell r="B114">
            <v>8740</v>
          </cell>
          <cell r="C114">
            <v>5400</v>
          </cell>
          <cell r="D114">
            <v>1.3162499999999999E-2</v>
          </cell>
        </row>
        <row r="115">
          <cell r="A115" t="str">
            <v>S60S</v>
          </cell>
          <cell r="B115">
            <v>8000</v>
          </cell>
          <cell r="C115">
            <v>3240</v>
          </cell>
          <cell r="D115">
            <v>1.1109000000000001E-2</v>
          </cell>
        </row>
        <row r="116">
          <cell r="B116" t="str">
            <v/>
          </cell>
        </row>
        <row r="117">
          <cell r="A117" t="str">
            <v>F1M</v>
          </cell>
          <cell r="B117">
            <v>13000</v>
          </cell>
          <cell r="C117">
            <v>3600</v>
          </cell>
          <cell r="D117">
            <v>7.980799999999999E-2</v>
          </cell>
        </row>
        <row r="118">
          <cell r="A118" t="str">
            <v>F2M</v>
          </cell>
          <cell r="B118">
            <v>11500</v>
          </cell>
          <cell r="C118">
            <v>5000</v>
          </cell>
          <cell r="D118">
            <v>5.9894999999999997E-2</v>
          </cell>
        </row>
        <row r="119">
          <cell r="A119" t="str">
            <v>F3CC</v>
          </cell>
          <cell r="B119">
            <v>10000</v>
          </cell>
          <cell r="C119">
            <v>3888</v>
          </cell>
          <cell r="D119">
            <v>3.9199999999999999E-2</v>
          </cell>
        </row>
        <row r="120">
          <cell r="A120" t="str">
            <v>F6K</v>
          </cell>
          <cell r="B120">
            <v>7800</v>
          </cell>
          <cell r="C120">
            <v>2304</v>
          </cell>
          <cell r="D120">
            <v>1.984E-2</v>
          </cell>
        </row>
        <row r="121">
          <cell r="A121" t="str">
            <v>F16CS</v>
          </cell>
          <cell r="B121">
            <v>12000</v>
          </cell>
          <cell r="C121">
            <v>6000</v>
          </cell>
          <cell r="D121">
            <v>4.2020999999999996E-2</v>
          </cell>
        </row>
        <row r="122">
          <cell r="A122" t="str">
            <v>F8B</v>
          </cell>
          <cell r="B122">
            <v>8800</v>
          </cell>
          <cell r="C122">
            <v>3000</v>
          </cell>
          <cell r="D122">
            <v>2.6713999999999998E-2</v>
          </cell>
        </row>
        <row r="123">
          <cell r="A123" t="str">
            <v>F10E</v>
          </cell>
          <cell r="B123">
            <v>13000</v>
          </cell>
          <cell r="C123">
            <v>7200</v>
          </cell>
          <cell r="D123">
            <v>1.0367999999999999E-2</v>
          </cell>
        </row>
        <row r="124">
          <cell r="A124" t="str">
            <v>F11M</v>
          </cell>
          <cell r="B124">
            <v>8400</v>
          </cell>
          <cell r="C124">
            <v>2016</v>
          </cell>
          <cell r="D124">
            <v>6.0735999999999998E-2</v>
          </cell>
        </row>
        <row r="125">
          <cell r="A125" t="str">
            <v>F14R</v>
          </cell>
          <cell r="B125">
            <v>8500</v>
          </cell>
          <cell r="C125">
            <v>624</v>
          </cell>
          <cell r="D125">
            <v>6.8920999999999996E-2</v>
          </cell>
        </row>
        <row r="126">
          <cell r="A126" t="str">
            <v>F14R F</v>
          </cell>
          <cell r="B126">
            <v>4200</v>
          </cell>
          <cell r="C126">
            <v>560</v>
          </cell>
          <cell r="D126">
            <v>4.9571999999999998E-2</v>
          </cell>
        </row>
        <row r="127">
          <cell r="A127" t="str">
            <v>F17S</v>
          </cell>
          <cell r="B127">
            <v>9000</v>
          </cell>
          <cell r="C127">
            <v>1400</v>
          </cell>
          <cell r="D127">
            <v>6.3210000000000002E-2</v>
          </cell>
        </row>
        <row r="128">
          <cell r="A128" t="str">
            <v>F18NB</v>
          </cell>
          <cell r="B128">
            <v>9500</v>
          </cell>
          <cell r="C128">
            <v>1440</v>
          </cell>
          <cell r="D128">
            <v>4.9724999999999998E-2</v>
          </cell>
        </row>
        <row r="129">
          <cell r="A129" t="str">
            <v>F216M</v>
          </cell>
          <cell r="B129">
            <v>11000</v>
          </cell>
          <cell r="C129">
            <v>6000</v>
          </cell>
          <cell r="D129">
            <v>2.4911249999999999E-2</v>
          </cell>
        </row>
        <row r="130">
          <cell r="A130" t="str">
            <v>RK25002F</v>
          </cell>
          <cell r="B130">
            <v>15000</v>
          </cell>
          <cell r="C130">
            <v>4800</v>
          </cell>
          <cell r="D130">
            <v>0</v>
          </cell>
        </row>
        <row r="131">
          <cell r="B131" t="str">
            <v/>
          </cell>
        </row>
        <row r="132">
          <cell r="A132" t="str">
            <v>F100C</v>
          </cell>
          <cell r="B132">
            <v>14000</v>
          </cell>
          <cell r="C132">
            <v>6000</v>
          </cell>
          <cell r="D132">
            <v>4.0194000000000001E-2</v>
          </cell>
        </row>
        <row r="133">
          <cell r="A133" t="str">
            <v>F100DC</v>
          </cell>
          <cell r="B133">
            <v>10000</v>
          </cell>
          <cell r="C133">
            <v>4000</v>
          </cell>
          <cell r="D133">
            <v>3.14925E-2</v>
          </cell>
        </row>
        <row r="134">
          <cell r="A134" t="str">
            <v>F250SC</v>
          </cell>
          <cell r="B134">
            <v>13500</v>
          </cell>
          <cell r="C134">
            <v>7500</v>
          </cell>
          <cell r="D134">
            <v>4.4226000000000001E-2</v>
          </cell>
        </row>
        <row r="135">
          <cell r="A135" t="str">
            <v>F250C</v>
          </cell>
          <cell r="B135">
            <v>13500</v>
          </cell>
          <cell r="C135">
            <v>7500</v>
          </cell>
          <cell r="D135">
            <v>4.4226000000000001E-2</v>
          </cell>
        </row>
        <row r="136">
          <cell r="A136" t="str">
            <v>F500SIG</v>
          </cell>
          <cell r="B136">
            <v>22000</v>
          </cell>
          <cell r="C136">
            <v>7500</v>
          </cell>
          <cell r="D136">
            <v>9.7143499999999994E-2</v>
          </cell>
        </row>
        <row r="137">
          <cell r="A137" t="str">
            <v>F500SS</v>
          </cell>
          <cell r="B137">
            <v>18000</v>
          </cell>
          <cell r="C137">
            <v>10500</v>
          </cell>
          <cell r="D137">
            <v>6.3425999999999996E-2</v>
          </cell>
        </row>
        <row r="138">
          <cell r="A138" t="str">
            <v>F500C</v>
          </cell>
          <cell r="B138">
            <v>17000</v>
          </cell>
          <cell r="C138">
            <v>10500</v>
          </cell>
          <cell r="D138">
            <v>6.3425999999999996E-2</v>
          </cell>
        </row>
        <row r="139">
          <cell r="A139" t="str">
            <v>F1000SS</v>
          </cell>
          <cell r="B139">
            <v>13500</v>
          </cell>
          <cell r="C139">
            <v>7200</v>
          </cell>
          <cell r="D139">
            <v>4.5239999999999995E-2</v>
          </cell>
        </row>
        <row r="140">
          <cell r="A140" t="str">
            <v>F1500C</v>
          </cell>
          <cell r="B140">
            <v>19500</v>
          </cell>
          <cell r="C140">
            <v>9600</v>
          </cell>
          <cell r="D140">
            <v>7.5852000000000003E-2</v>
          </cell>
        </row>
        <row r="141">
          <cell r="B141" t="str">
            <v/>
          </cell>
        </row>
        <row r="142">
          <cell r="A142" t="str">
            <v>F3N</v>
          </cell>
          <cell r="B142">
            <v>4700</v>
          </cell>
          <cell r="C142">
            <v>48</v>
          </cell>
          <cell r="D142">
            <v>5.6159999999999995E-2</v>
          </cell>
        </row>
        <row r="143">
          <cell r="A143" t="str">
            <v>DF10CM</v>
          </cell>
          <cell r="B143">
            <v>8000</v>
          </cell>
          <cell r="C143">
            <v>1800</v>
          </cell>
          <cell r="D143">
            <v>2.3715E-2</v>
          </cell>
        </row>
        <row r="144">
          <cell r="A144" t="str">
            <v>DF20CM</v>
          </cell>
          <cell r="B144">
            <v>8200</v>
          </cell>
          <cell r="C144">
            <v>1800</v>
          </cell>
          <cell r="D144">
            <v>2.2099999999999998E-2</v>
          </cell>
        </row>
        <row r="145">
          <cell r="A145" t="str">
            <v>DF30CM</v>
          </cell>
          <cell r="B145">
            <v>11500</v>
          </cell>
          <cell r="C145">
            <v>2100</v>
          </cell>
          <cell r="D145">
            <v>3.8079999999999996E-2</v>
          </cell>
        </row>
        <row r="146">
          <cell r="B146" t="str">
            <v/>
          </cell>
        </row>
        <row r="147">
          <cell r="A147" t="str">
            <v>CON80P</v>
          </cell>
          <cell r="B147">
            <v>10500</v>
          </cell>
          <cell r="D147">
            <v>7.2170999999999999E-2</v>
          </cell>
        </row>
        <row r="148">
          <cell r="B148" t="str">
            <v/>
          </cell>
        </row>
        <row r="149">
          <cell r="A149" t="str">
            <v>R4420B</v>
          </cell>
          <cell r="B149">
            <v>9664</v>
          </cell>
          <cell r="C149">
            <v>1728</v>
          </cell>
          <cell r="D149">
            <v>2.2079999999999999E-2</v>
          </cell>
        </row>
        <row r="150">
          <cell r="A150" t="str">
            <v>R7040C</v>
          </cell>
          <cell r="B150">
            <v>12500</v>
          </cell>
          <cell r="C150">
            <v>2592</v>
          </cell>
          <cell r="D150">
            <v>1.8089499999999998E-2</v>
          </cell>
        </row>
        <row r="151">
          <cell r="B151" t="str">
            <v/>
          </cell>
        </row>
        <row r="152">
          <cell r="A152" t="str">
            <v>R5410B</v>
          </cell>
          <cell r="B152">
            <v>13600</v>
          </cell>
          <cell r="C152">
            <v>1280</v>
          </cell>
          <cell r="D152">
            <v>3.4720000000000001E-2</v>
          </cell>
        </row>
        <row r="153">
          <cell r="A153" t="str">
            <v>R5420K</v>
          </cell>
          <cell r="B153">
            <v>17000</v>
          </cell>
          <cell r="C153">
            <v>2880</v>
          </cell>
          <cell r="D153">
            <v>3.9199999999999999E-2</v>
          </cell>
        </row>
        <row r="154">
          <cell r="A154" t="str">
            <v>R7020K</v>
          </cell>
          <cell r="B154">
            <v>21930</v>
          </cell>
          <cell r="C154">
            <v>2880</v>
          </cell>
          <cell r="D154">
            <v>4.6511999999999998E-2</v>
          </cell>
        </row>
        <row r="155">
          <cell r="A155" t="str">
            <v>R6020B</v>
          </cell>
          <cell r="B155">
            <v>16335</v>
          </cell>
          <cell r="C155">
            <v>2400</v>
          </cell>
          <cell r="D155">
            <v>3.5959999999999999E-2</v>
          </cell>
        </row>
        <row r="156">
          <cell r="A156" t="str">
            <v>R6520BK/2</v>
          </cell>
          <cell r="B156">
            <v>15800</v>
          </cell>
          <cell r="C156">
            <v>2400</v>
          </cell>
          <cell r="D156">
            <v>3.6431999999999999E-2</v>
          </cell>
        </row>
        <row r="157">
          <cell r="A157" t="str">
            <v>R6020M</v>
          </cell>
          <cell r="B157">
            <v>19920</v>
          </cell>
          <cell r="C157">
            <v>2880</v>
          </cell>
          <cell r="D157">
            <v>4.5166999999999999E-2</v>
          </cell>
        </row>
        <row r="158">
          <cell r="A158" t="str">
            <v>R7020M</v>
          </cell>
          <cell r="B158">
            <v>19500</v>
          </cell>
          <cell r="C158">
            <v>2880</v>
          </cell>
          <cell r="D158">
            <v>4.7879999999999999E-2</v>
          </cell>
        </row>
        <row r="159">
          <cell r="B159" t="str">
            <v/>
          </cell>
        </row>
        <row r="160">
          <cell r="A160" t="str">
            <v>R60508E</v>
          </cell>
          <cell r="B160">
            <v>18500</v>
          </cell>
          <cell r="C160">
            <v>2400</v>
          </cell>
          <cell r="D160">
            <v>4.8483999999999999E-2</v>
          </cell>
        </row>
        <row r="161">
          <cell r="A161" t="str">
            <v>R6508S</v>
          </cell>
          <cell r="B161">
            <v>21000</v>
          </cell>
          <cell r="C161">
            <v>4608</v>
          </cell>
          <cell r="D161">
            <v>4.9279999999999997E-2</v>
          </cell>
        </row>
        <row r="162">
          <cell r="A162" t="str">
            <v>R75508SIG</v>
          </cell>
          <cell r="B162">
            <v>25000</v>
          </cell>
          <cell r="C162">
            <v>3360</v>
          </cell>
          <cell r="D162">
            <v>6.0213999999999997E-2</v>
          </cell>
        </row>
        <row r="163">
          <cell r="B163" t="str">
            <v/>
          </cell>
        </row>
        <row r="164">
          <cell r="A164" t="str">
            <v>R5808D</v>
          </cell>
          <cell r="B164">
            <v>23532</v>
          </cell>
          <cell r="C164">
            <v>3302.3999999999996</v>
          </cell>
          <cell r="D164">
            <v>4.8959999999999997E-2</v>
          </cell>
        </row>
        <row r="165">
          <cell r="A165" t="str">
            <v>R6008E</v>
          </cell>
          <cell r="B165">
            <v>12016</v>
          </cell>
          <cell r="C165">
            <v>1152</v>
          </cell>
          <cell r="D165">
            <v>2.5325299999999999E-2</v>
          </cell>
        </row>
        <row r="166">
          <cell r="A166" t="str">
            <v>R6008M</v>
          </cell>
          <cell r="B166">
            <v>21000</v>
          </cell>
          <cell r="C166">
            <v>2544</v>
          </cell>
          <cell r="D166">
            <v>4.836E-2</v>
          </cell>
        </row>
        <row r="167">
          <cell r="A167" t="str">
            <v>R7508E</v>
          </cell>
          <cell r="B167">
            <v>25200</v>
          </cell>
          <cell r="C167">
            <v>2304</v>
          </cell>
          <cell r="D167">
            <v>5.6672E-2</v>
          </cell>
        </row>
        <row r="168">
          <cell r="A168" t="str">
            <v>R7508SIG</v>
          </cell>
          <cell r="B168">
            <v>26500</v>
          </cell>
          <cell r="C168">
            <v>4800</v>
          </cell>
          <cell r="D168">
            <v>5.6672E-2</v>
          </cell>
        </row>
        <row r="169">
          <cell r="B169" t="str">
            <v/>
          </cell>
        </row>
        <row r="170">
          <cell r="A170" t="str">
            <v>R7538S</v>
          </cell>
          <cell r="B170">
            <v>15800</v>
          </cell>
          <cell r="C170">
            <v>3750</v>
          </cell>
          <cell r="D170">
            <v>3.3957000000000001E-2</v>
          </cell>
        </row>
        <row r="171">
          <cell r="A171" t="str">
            <v>R7538I</v>
          </cell>
          <cell r="B171">
            <v>16000</v>
          </cell>
          <cell r="C171">
            <v>3000</v>
          </cell>
          <cell r="D171">
            <v>3.3957000000000001E-2</v>
          </cell>
        </row>
        <row r="172">
          <cell r="B172" t="str">
            <v/>
          </cell>
        </row>
        <row r="173">
          <cell r="A173" t="str">
            <v>GAT300</v>
          </cell>
          <cell r="B173">
            <v>12500</v>
          </cell>
          <cell r="C173">
            <v>1608</v>
          </cell>
          <cell r="D173">
            <v>6.6062999999999997E-2</v>
          </cell>
        </row>
        <row r="174">
          <cell r="A174" t="str">
            <v>R100M</v>
          </cell>
          <cell r="B174">
            <v>10000</v>
          </cell>
          <cell r="C174">
            <v>1680</v>
          </cell>
          <cell r="D174">
            <v>3.9149999999999997E-2</v>
          </cell>
        </row>
        <row r="175">
          <cell r="B175" t="str">
            <v/>
          </cell>
        </row>
        <row r="176">
          <cell r="A176" t="str">
            <v>SS14D</v>
          </cell>
          <cell r="B176">
            <v>8500</v>
          </cell>
          <cell r="C176">
            <v>2160</v>
          </cell>
          <cell r="D176">
            <v>3.3787499999999998E-2</v>
          </cell>
        </row>
        <row r="177">
          <cell r="A177" t="str">
            <v>SS20D</v>
          </cell>
          <cell r="B177">
            <v>15000</v>
          </cell>
          <cell r="C177">
            <v>2400</v>
          </cell>
          <cell r="D177">
            <v>4.9665000000000001E-2</v>
          </cell>
        </row>
        <row r="178">
          <cell r="A178" t="str">
            <v>SS20SIG14</v>
          </cell>
          <cell r="B178">
            <v>15000</v>
          </cell>
          <cell r="C178">
            <v>3000</v>
          </cell>
          <cell r="D178">
            <v>5.0242499999999995E-2</v>
          </cell>
        </row>
        <row r="179">
          <cell r="A179" t="str">
            <v>SS25SC</v>
          </cell>
          <cell r="B179">
            <v>11500</v>
          </cell>
          <cell r="C179">
            <v>1584</v>
          </cell>
          <cell r="D179">
            <v>4.3511999999999995E-2</v>
          </cell>
        </row>
        <row r="180">
          <cell r="A180" t="str">
            <v>SS25SIG14</v>
          </cell>
          <cell r="B180">
            <v>12000</v>
          </cell>
          <cell r="C180">
            <v>2880</v>
          </cell>
          <cell r="D180">
            <v>4.3511999999999995E-2</v>
          </cell>
        </row>
        <row r="181">
          <cell r="A181" t="str">
            <v>SS25DU14</v>
          </cell>
          <cell r="B181">
            <v>11500</v>
          </cell>
          <cell r="C181">
            <v>2304</v>
          </cell>
          <cell r="D181">
            <v>4.3511999999999995E-2</v>
          </cell>
        </row>
        <row r="182">
          <cell r="A182" t="str">
            <v>SS30A14</v>
          </cell>
          <cell r="B182">
            <v>17550</v>
          </cell>
          <cell r="C182">
            <v>2400</v>
          </cell>
          <cell r="D182">
            <v>6.0290999999999997E-2</v>
          </cell>
        </row>
        <row r="183">
          <cell r="A183" t="str">
            <v>SS30SIGF2</v>
          </cell>
          <cell r="B183">
            <v>19000</v>
          </cell>
          <cell r="C183">
            <v>2880</v>
          </cell>
          <cell r="D183">
            <v>8.5679999999999992E-2</v>
          </cell>
        </row>
        <row r="184">
          <cell r="B184" t="str">
            <v/>
          </cell>
        </row>
        <row r="185">
          <cell r="A185" t="str">
            <v>SS30D</v>
          </cell>
          <cell r="B185">
            <v>17000</v>
          </cell>
          <cell r="C185">
            <v>1920</v>
          </cell>
          <cell r="D185">
            <v>5.3460000000000001E-2</v>
          </cell>
        </row>
        <row r="186">
          <cell r="A186" t="str">
            <v>SS30A</v>
          </cell>
          <cell r="B186">
            <v>17550</v>
          </cell>
          <cell r="C186">
            <v>2400</v>
          </cell>
          <cell r="D186">
            <v>6.0290999999999997E-2</v>
          </cell>
        </row>
        <row r="187">
          <cell r="A187" t="str">
            <v>SS37K</v>
          </cell>
          <cell r="B187">
            <v>19000</v>
          </cell>
          <cell r="C187">
            <v>2520</v>
          </cell>
          <cell r="D187">
            <v>7.835099999999999E-2</v>
          </cell>
        </row>
        <row r="188">
          <cell r="A188" t="str">
            <v>SS50K</v>
          </cell>
          <cell r="B188">
            <v>15000</v>
          </cell>
          <cell r="C188">
            <v>1440</v>
          </cell>
          <cell r="D188">
            <v>9.758E-2</v>
          </cell>
        </row>
        <row r="189">
          <cell r="B189" t="str">
            <v/>
          </cell>
        </row>
        <row r="190">
          <cell r="A190" t="str">
            <v>SS50NO14</v>
          </cell>
          <cell r="B190">
            <v>15000</v>
          </cell>
          <cell r="C190">
            <v>1728</v>
          </cell>
          <cell r="D190">
            <v>9.758E-2</v>
          </cell>
        </row>
        <row r="191">
          <cell r="A191" t="str">
            <v>SS50DU14</v>
          </cell>
          <cell r="B191">
            <v>15000</v>
          </cell>
          <cell r="C191">
            <v>1728</v>
          </cell>
          <cell r="D191">
            <v>9.758E-2</v>
          </cell>
        </row>
        <row r="192">
          <cell r="B192" t="str">
            <v/>
          </cell>
        </row>
        <row r="193">
          <cell r="A193" t="str">
            <v>C320D</v>
          </cell>
          <cell r="B193">
            <v>15000</v>
          </cell>
          <cell r="C193">
            <v>2400</v>
          </cell>
          <cell r="D193">
            <v>5.4022499999999994E-2</v>
          </cell>
        </row>
        <row r="194">
          <cell r="A194" t="str">
            <v>C320B</v>
          </cell>
          <cell r="B194">
            <v>15000</v>
          </cell>
          <cell r="C194">
            <v>2700</v>
          </cell>
          <cell r="D194">
            <v>5.4022499999999994E-2</v>
          </cell>
        </row>
        <row r="195">
          <cell r="A195" t="str">
            <v>C320X14</v>
          </cell>
          <cell r="B195">
            <v>15000</v>
          </cell>
          <cell r="C195">
            <v>2700</v>
          </cell>
          <cell r="D195">
            <v>5.4022499999999994E-2</v>
          </cell>
        </row>
        <row r="196">
          <cell r="B196" t="str">
            <v/>
          </cell>
        </row>
        <row r="197">
          <cell r="A197" t="str">
            <v>C330D</v>
          </cell>
          <cell r="B197">
            <v>8000</v>
          </cell>
          <cell r="C197">
            <v>864</v>
          </cell>
          <cell r="D197">
            <v>2.4624E-2</v>
          </cell>
        </row>
        <row r="198">
          <cell r="A198" t="str">
            <v>C330B</v>
          </cell>
          <cell r="B198">
            <v>8000</v>
          </cell>
          <cell r="C198">
            <v>1080</v>
          </cell>
          <cell r="D198">
            <v>2.3726249999999997E-2</v>
          </cell>
        </row>
        <row r="199">
          <cell r="B199" t="str">
            <v/>
          </cell>
        </row>
        <row r="200">
          <cell r="A200" t="str">
            <v>CS2BB</v>
          </cell>
          <cell r="B200">
            <v>27000</v>
          </cell>
          <cell r="C200">
            <v>4320</v>
          </cell>
          <cell r="D200">
            <v>8.6316999999999991E-2</v>
          </cell>
        </row>
        <row r="201">
          <cell r="B201" t="str">
            <v/>
          </cell>
        </row>
        <row r="202">
          <cell r="A202" t="str">
            <v>K0203BP</v>
          </cell>
          <cell r="B202">
            <v>20000</v>
          </cell>
          <cell r="C202">
            <v>4250</v>
          </cell>
          <cell r="D202">
            <v>2.935625E-2</v>
          </cell>
        </row>
        <row r="203">
          <cell r="A203" t="str">
            <v>P05DSP1</v>
          </cell>
          <cell r="B203">
            <v>10000</v>
          </cell>
          <cell r="C203">
            <v>960</v>
          </cell>
          <cell r="D203">
            <v>2.3369999999999998E-2</v>
          </cell>
        </row>
        <row r="204">
          <cell r="A204" t="str">
            <v>P10D20SP1</v>
          </cell>
          <cell r="B204">
            <v>13500</v>
          </cell>
          <cell r="C204">
            <v>2000</v>
          </cell>
          <cell r="D204">
            <v>3.550325E-2</v>
          </cell>
        </row>
        <row r="205">
          <cell r="B205" t="str">
            <v/>
          </cell>
        </row>
        <row r="206">
          <cell r="A206" t="str">
            <v>P1D</v>
          </cell>
          <cell r="B206">
            <v>12200</v>
          </cell>
          <cell r="C206">
            <v>3110.3999999999996</v>
          </cell>
          <cell r="D206">
            <v>3.4187999999999996E-2</v>
          </cell>
        </row>
        <row r="207">
          <cell r="A207" t="str">
            <v>P2D</v>
          </cell>
          <cell r="B207">
            <v>20800</v>
          </cell>
          <cell r="C207">
            <v>2835</v>
          </cell>
          <cell r="D207">
            <v>5.2339199999999995E-2</v>
          </cell>
        </row>
        <row r="208">
          <cell r="A208" t="str">
            <v>K0203K</v>
          </cell>
          <cell r="B208">
            <v>20000</v>
          </cell>
          <cell r="C208">
            <v>950</v>
          </cell>
          <cell r="D208">
            <v>3.2084999999999995E-2</v>
          </cell>
        </row>
        <row r="209">
          <cell r="A209" t="str">
            <v>K0203KB</v>
          </cell>
          <cell r="B209">
            <v>17000</v>
          </cell>
          <cell r="C209">
            <v>1000</v>
          </cell>
          <cell r="D209">
            <v>3.2751999999999996E-2</v>
          </cell>
        </row>
        <row r="210">
          <cell r="A210" t="str">
            <v>P05D</v>
          </cell>
          <cell r="B210">
            <v>8600</v>
          </cell>
          <cell r="C210">
            <v>600</v>
          </cell>
          <cell r="D210">
            <v>2.4149999999999998E-2</v>
          </cell>
        </row>
        <row r="211">
          <cell r="A211" t="str">
            <v>PSF2D</v>
          </cell>
          <cell r="B211">
            <v>10000</v>
          </cell>
          <cell r="C211">
            <v>210</v>
          </cell>
          <cell r="D211">
            <v>2.1887999999999998E-2</v>
          </cell>
        </row>
        <row r="212">
          <cell r="B212" t="str">
            <v/>
          </cell>
        </row>
        <row r="213">
          <cell r="A213" t="str">
            <v>PBDF2</v>
          </cell>
          <cell r="B213">
            <v>16500</v>
          </cell>
          <cell r="C213">
            <v>2400</v>
          </cell>
          <cell r="D213">
            <v>2.8835674999999998E-2</v>
          </cell>
        </row>
        <row r="214">
          <cell r="A214" t="str">
            <v>PBF2D</v>
          </cell>
          <cell r="B214">
            <v>10000</v>
          </cell>
          <cell r="C214">
            <v>600</v>
          </cell>
          <cell r="D214">
            <v>2.1887999999999998E-2</v>
          </cell>
        </row>
        <row r="215">
          <cell r="A215" t="str">
            <v>PB120D</v>
          </cell>
          <cell r="B215">
            <v>25800</v>
          </cell>
          <cell r="C215">
            <v>1600</v>
          </cell>
          <cell r="D215">
            <v>3.9168000000000001E-2</v>
          </cell>
        </row>
        <row r="216">
          <cell r="B216" t="str">
            <v/>
          </cell>
        </row>
        <row r="217">
          <cell r="A217" t="str">
            <v>P6A14F3</v>
          </cell>
          <cell r="B217">
            <v>16500</v>
          </cell>
          <cell r="C217">
            <v>300</v>
          </cell>
          <cell r="D217">
            <v>2.4947999999999998E-2</v>
          </cell>
        </row>
        <row r="218">
          <cell r="A218" t="str">
            <v>P7A14</v>
          </cell>
          <cell r="B218">
            <v>12000</v>
          </cell>
          <cell r="C218">
            <v>388.8</v>
          </cell>
          <cell r="D218">
            <v>3.47347E-2</v>
          </cell>
        </row>
        <row r="219">
          <cell r="A219" t="str">
            <v>P4B</v>
          </cell>
          <cell r="B219">
            <v>19000</v>
          </cell>
          <cell r="C219">
            <v>688.8</v>
          </cell>
          <cell r="D219">
            <v>2.9791299999999996E-2</v>
          </cell>
        </row>
        <row r="220">
          <cell r="A220" t="str">
            <v>P5DU13</v>
          </cell>
          <cell r="B220">
            <v>15500</v>
          </cell>
          <cell r="C220">
            <v>1000</v>
          </cell>
          <cell r="D220">
            <v>2.64E-2</v>
          </cell>
        </row>
        <row r="221">
          <cell r="A221" t="str">
            <v>P5DU13(M)</v>
          </cell>
          <cell r="B221">
            <v>17200</v>
          </cell>
          <cell r="C221">
            <v>1000</v>
          </cell>
          <cell r="D221">
            <v>2.64E-2</v>
          </cell>
        </row>
        <row r="222">
          <cell r="A222" t="str">
            <v>P5DU</v>
          </cell>
          <cell r="B222">
            <v>12500</v>
          </cell>
          <cell r="C222">
            <v>2400</v>
          </cell>
          <cell r="D222">
            <v>2.9399999999999999E-2</v>
          </cell>
        </row>
        <row r="223">
          <cell r="A223" t="str">
            <v>P5A13</v>
          </cell>
          <cell r="B223">
            <v>15500</v>
          </cell>
          <cell r="C223">
            <v>490.00000000000006</v>
          </cell>
          <cell r="D223">
            <v>2.64E-2</v>
          </cell>
        </row>
        <row r="224">
          <cell r="A224" t="str">
            <v>P5D13</v>
          </cell>
          <cell r="B224">
            <v>15500</v>
          </cell>
          <cell r="C224">
            <v>490.00000000000006</v>
          </cell>
          <cell r="D224">
            <v>2.64E-2</v>
          </cell>
        </row>
        <row r="225">
          <cell r="A225" t="str">
            <v>P5D13(W)</v>
          </cell>
          <cell r="B225">
            <v>15500</v>
          </cell>
          <cell r="C225">
            <v>490.00000000000006</v>
          </cell>
          <cell r="D225">
            <v>2.64E-2</v>
          </cell>
        </row>
        <row r="226">
          <cell r="A226" t="str">
            <v>P6A13(G)F3</v>
          </cell>
          <cell r="B226">
            <v>25000</v>
          </cell>
          <cell r="C226">
            <v>1200</v>
          </cell>
          <cell r="D226">
            <v>3.8376E-2</v>
          </cell>
        </row>
        <row r="227">
          <cell r="A227" t="str">
            <v>P6A13(R)F3</v>
          </cell>
          <cell r="B227">
            <v>25000</v>
          </cell>
          <cell r="C227">
            <v>1200</v>
          </cell>
          <cell r="D227">
            <v>3.8376E-2</v>
          </cell>
        </row>
        <row r="228">
          <cell r="B228" t="str">
            <v/>
          </cell>
        </row>
        <row r="229">
          <cell r="A229" t="str">
            <v>P066D20P1</v>
          </cell>
          <cell r="B229">
            <v>10300</v>
          </cell>
          <cell r="C229">
            <v>1320</v>
          </cell>
          <cell r="D229">
            <v>2.1599999999999998E-2</v>
          </cell>
        </row>
        <row r="230">
          <cell r="A230" t="str">
            <v>P5DU13(1)</v>
          </cell>
          <cell r="B230">
            <v>15500</v>
          </cell>
          <cell r="C230">
            <v>490.00000000000006</v>
          </cell>
          <cell r="D230">
            <v>2.64E-2</v>
          </cell>
        </row>
        <row r="231">
          <cell r="A231" t="str">
            <v>P2GP1</v>
          </cell>
          <cell r="B231">
            <v>15300</v>
          </cell>
          <cell r="C231">
            <v>3000</v>
          </cell>
          <cell r="D231">
            <v>3.0995999999999999E-2</v>
          </cell>
        </row>
        <row r="232">
          <cell r="B232" t="str">
            <v/>
          </cell>
        </row>
        <row r="233">
          <cell r="A233" t="str">
            <v>P6AE</v>
          </cell>
          <cell r="B233">
            <v>16000</v>
          </cell>
          <cell r="C233">
            <v>6000</v>
          </cell>
          <cell r="D233">
            <v>3.2368000000000001E-2</v>
          </cell>
        </row>
        <row r="234">
          <cell r="A234" t="str">
            <v>P30D</v>
          </cell>
          <cell r="B234">
            <v>16000</v>
          </cell>
          <cell r="C234">
            <v>6480</v>
          </cell>
          <cell r="D234">
            <v>3.6080000000000001E-2</v>
          </cell>
        </row>
        <row r="235">
          <cell r="A235" t="str">
            <v>P50D</v>
          </cell>
          <cell r="B235">
            <v>13500</v>
          </cell>
          <cell r="C235">
            <v>6000</v>
          </cell>
          <cell r="D235">
            <v>2.9069999999999999E-2</v>
          </cell>
        </row>
        <row r="236">
          <cell r="A236" t="str">
            <v>P170</v>
          </cell>
          <cell r="B236">
            <v>13000</v>
          </cell>
          <cell r="C236">
            <v>6000</v>
          </cell>
          <cell r="D236">
            <v>3.5639999999999998E-2</v>
          </cell>
        </row>
        <row r="237">
          <cell r="A237" t="str">
            <v>EB9</v>
          </cell>
          <cell r="B237">
            <v>4000</v>
          </cell>
          <cell r="C237">
            <v>1800</v>
          </cell>
        </row>
        <row r="238">
          <cell r="A238" t="str">
            <v>EB15</v>
          </cell>
          <cell r="B238">
            <v>2500</v>
          </cell>
          <cell r="C238">
            <v>1800</v>
          </cell>
          <cell r="D238">
            <v>1.864275E-2</v>
          </cell>
        </row>
        <row r="239">
          <cell r="A239" t="str">
            <v>K20K</v>
          </cell>
          <cell r="B239">
            <v>12376</v>
          </cell>
          <cell r="C239">
            <v>374.40000000000003</v>
          </cell>
          <cell r="D239">
            <v>2.9645299999999999E-2</v>
          </cell>
        </row>
        <row r="240">
          <cell r="A240" t="str">
            <v>K60K</v>
          </cell>
          <cell r="B240">
            <v>15000</v>
          </cell>
          <cell r="C240">
            <v>624</v>
          </cell>
          <cell r="D240">
            <v>4.5791159999999997E-2</v>
          </cell>
        </row>
        <row r="241">
          <cell r="A241" t="str">
            <v>K01M</v>
          </cell>
          <cell r="B241">
            <v>26000</v>
          </cell>
          <cell r="C241">
            <v>4200</v>
          </cell>
          <cell r="D241">
            <v>5.4179999999999999E-2</v>
          </cell>
        </row>
        <row r="242">
          <cell r="A242" t="str">
            <v>K100R</v>
          </cell>
          <cell r="B242">
            <v>27000</v>
          </cell>
          <cell r="C242">
            <v>2160</v>
          </cell>
          <cell r="D242">
            <v>4.095E-2</v>
          </cell>
        </row>
        <row r="243">
          <cell r="A243" t="str">
            <v>K200R</v>
          </cell>
          <cell r="B243">
            <v>21000</v>
          </cell>
          <cell r="C243">
            <v>1944</v>
          </cell>
          <cell r="D243">
            <v>4.4687999999999999E-2</v>
          </cell>
        </row>
        <row r="244">
          <cell r="A244" t="str">
            <v>K500R</v>
          </cell>
          <cell r="B244">
            <v>19500</v>
          </cell>
          <cell r="C244">
            <v>1920</v>
          </cell>
          <cell r="D244">
            <v>3.7224E-2</v>
          </cell>
        </row>
        <row r="245">
          <cell r="A245" t="str">
            <v>K1000R</v>
          </cell>
          <cell r="B245">
            <v>19000</v>
          </cell>
          <cell r="C245">
            <v>1920</v>
          </cell>
          <cell r="D245">
            <v>3.696E-2</v>
          </cell>
        </row>
        <row r="246">
          <cell r="A246" t="str">
            <v>K1969R</v>
          </cell>
          <cell r="B246">
            <v>6000</v>
          </cell>
          <cell r="C246">
            <v>247</v>
          </cell>
          <cell r="D246">
            <v>2.5541999999999999E-2</v>
          </cell>
        </row>
        <row r="247">
          <cell r="A247" t="str">
            <v>K10M</v>
          </cell>
          <cell r="B247">
            <v>8000</v>
          </cell>
          <cell r="C247">
            <v>248</v>
          </cell>
          <cell r="D247">
            <v>3.7205999999999996E-2</v>
          </cell>
        </row>
        <row r="248">
          <cell r="A248" t="str">
            <v>DBB1E</v>
          </cell>
          <cell r="B248">
            <v>16000</v>
          </cell>
          <cell r="C248">
            <v>5000</v>
          </cell>
          <cell r="D248">
            <v>2.9404375E-2</v>
          </cell>
        </row>
        <row r="249">
          <cell r="B249" t="str">
            <v/>
          </cell>
        </row>
        <row r="250">
          <cell r="A250" t="str">
            <v>RS1</v>
          </cell>
          <cell r="B250">
            <v>8920</v>
          </cell>
          <cell r="C250">
            <v>1440</v>
          </cell>
          <cell r="D250">
            <v>3.8774999999999997E-2</v>
          </cell>
        </row>
        <row r="251">
          <cell r="A251" t="str">
            <v>RS6P</v>
          </cell>
          <cell r="B251">
            <v>6800</v>
          </cell>
          <cell r="C251">
            <v>1500</v>
          </cell>
          <cell r="D251">
            <v>2.45025E-2</v>
          </cell>
        </row>
        <row r="252">
          <cell r="A252" t="str">
            <v>RS6O</v>
          </cell>
          <cell r="B252">
            <v>4500</v>
          </cell>
          <cell r="C252">
            <v>1500</v>
          </cell>
          <cell r="D252">
            <v>2.3099999999999999E-2</v>
          </cell>
        </row>
        <row r="253">
          <cell r="A253" t="str">
            <v>RS6S</v>
          </cell>
          <cell r="B253">
            <v>5000</v>
          </cell>
          <cell r="C253">
            <v>1500</v>
          </cell>
          <cell r="D253">
            <v>2.3099999999999999E-2</v>
          </cell>
        </row>
        <row r="254">
          <cell r="A254" t="str">
            <v>RS6SM</v>
          </cell>
          <cell r="B254">
            <v>8000</v>
          </cell>
          <cell r="C254">
            <v>1684.8</v>
          </cell>
          <cell r="D254">
            <v>3.1049999999999998E-2</v>
          </cell>
        </row>
        <row r="255">
          <cell r="A255" t="str">
            <v>R12T1</v>
          </cell>
          <cell r="B255">
            <v>11000</v>
          </cell>
          <cell r="C255">
            <v>1728</v>
          </cell>
          <cell r="D255">
            <v>4.5102999999999997E-2</v>
          </cell>
        </row>
        <row r="256">
          <cell r="A256" t="str">
            <v>R12T3</v>
          </cell>
          <cell r="B256">
            <v>15500</v>
          </cell>
          <cell r="C256">
            <v>2592</v>
          </cell>
          <cell r="D256">
            <v>7.6949999999999991E-2</v>
          </cell>
        </row>
        <row r="257">
          <cell r="A257" t="str">
            <v>RSD6</v>
          </cell>
          <cell r="B257">
            <v>5300</v>
          </cell>
          <cell r="C257">
            <v>960</v>
          </cell>
          <cell r="D257">
            <v>3.5775999999999995E-2</v>
          </cell>
        </row>
        <row r="258">
          <cell r="A258" t="str">
            <v>RS6XS</v>
          </cell>
          <cell r="B258">
            <v>10500</v>
          </cell>
          <cell r="C258">
            <v>2160</v>
          </cell>
          <cell r="D258">
            <v>6.6599999999999993E-2</v>
          </cell>
        </row>
        <row r="259">
          <cell r="A259" t="str">
            <v>RS5DU</v>
          </cell>
          <cell r="B259">
            <v>10600</v>
          </cell>
          <cell r="C259">
            <v>2000</v>
          </cell>
          <cell r="D259">
            <v>5.9941999999999995E-2</v>
          </cell>
        </row>
        <row r="260">
          <cell r="A260" t="str">
            <v>HF24733RK</v>
          </cell>
          <cell r="B260">
            <v>9000</v>
          </cell>
          <cell r="C260">
            <v>2760</v>
          </cell>
          <cell r="D260">
            <v>7.2231749999999997E-2</v>
          </cell>
        </row>
        <row r="261">
          <cell r="A261" t="str">
            <v>RS4H14</v>
          </cell>
          <cell r="B261">
            <v>11700</v>
          </cell>
          <cell r="C261">
            <v>4000</v>
          </cell>
          <cell r="D261">
            <v>5.4566999999999997E-2</v>
          </cell>
        </row>
        <row r="262">
          <cell r="A262" t="str">
            <v>RS7MD14</v>
          </cell>
          <cell r="B262">
            <v>15200</v>
          </cell>
          <cell r="C262">
            <v>4200</v>
          </cell>
          <cell r="D262">
            <v>7.2764999999999996E-2</v>
          </cell>
        </row>
        <row r="263">
          <cell r="A263" t="str">
            <v>RS7T14</v>
          </cell>
          <cell r="B263">
            <v>14900</v>
          </cell>
          <cell r="C263">
            <v>2800</v>
          </cell>
          <cell r="D263">
            <v>0.10012499999999999</v>
          </cell>
        </row>
        <row r="264">
          <cell r="A264" t="str">
            <v>RS9T14</v>
          </cell>
          <cell r="B264">
            <v>17840</v>
          </cell>
          <cell r="C264">
            <v>3600</v>
          </cell>
          <cell r="D264">
            <v>0.10764</v>
          </cell>
        </row>
        <row r="265">
          <cell r="A265" t="str">
            <v>RS9P14</v>
          </cell>
          <cell r="B265">
            <v>17500</v>
          </cell>
          <cell r="C265">
            <v>3600</v>
          </cell>
          <cell r="D265">
            <v>0.10764</v>
          </cell>
        </row>
        <row r="266">
          <cell r="A266" t="str">
            <v>RS11HF2</v>
          </cell>
          <cell r="B266">
            <v>17500</v>
          </cell>
          <cell r="C266">
            <v>8280</v>
          </cell>
          <cell r="D266">
            <v>0.13824400000000001</v>
          </cell>
        </row>
        <row r="267">
          <cell r="A267" t="str">
            <v>SP3CF2</v>
          </cell>
          <cell r="B267">
            <v>20000</v>
          </cell>
          <cell r="C267">
            <v>5820</v>
          </cell>
          <cell r="D267">
            <v>0.119988</v>
          </cell>
        </row>
        <row r="268">
          <cell r="A268" t="str">
            <v>RS18TF2</v>
          </cell>
          <cell r="B268">
            <v>22500</v>
          </cell>
          <cell r="C268">
            <v>7650</v>
          </cell>
          <cell r="D268">
            <v>0.138432</v>
          </cell>
        </row>
        <row r="269">
          <cell r="A269" t="str">
            <v>RS18SF2</v>
          </cell>
          <cell r="B269">
            <v>22500</v>
          </cell>
          <cell r="C269">
            <v>7650</v>
          </cell>
          <cell r="D269">
            <v>0.138432</v>
          </cell>
        </row>
        <row r="270">
          <cell r="A270" t="str">
            <v>RS21Z14</v>
          </cell>
          <cell r="B270">
            <v>10500</v>
          </cell>
          <cell r="C270">
            <v>2100</v>
          </cell>
          <cell r="D270">
            <v>7.6960000000000001E-2</v>
          </cell>
        </row>
        <row r="271">
          <cell r="A271" t="str">
            <v>RS33R14</v>
          </cell>
          <cell r="B271">
            <v>20000</v>
          </cell>
          <cell r="C271">
            <v>3960</v>
          </cell>
          <cell r="D271">
            <v>0.13908399999999999</v>
          </cell>
        </row>
        <row r="272">
          <cell r="A272" t="str">
            <v>RSSF2</v>
          </cell>
          <cell r="B272">
            <v>9000</v>
          </cell>
          <cell r="C272">
            <v>3000</v>
          </cell>
          <cell r="D272">
            <v>7.3079999999999992E-2</v>
          </cell>
        </row>
        <row r="273">
          <cell r="A273" t="str">
            <v>RSS75</v>
          </cell>
          <cell r="B273">
            <v>7000</v>
          </cell>
          <cell r="C273">
            <v>3600</v>
          </cell>
          <cell r="D273">
            <v>0.100842</v>
          </cell>
        </row>
        <row r="274">
          <cell r="B274" t="str">
            <v/>
          </cell>
        </row>
        <row r="275">
          <cell r="A275" t="str">
            <v>RS4D</v>
          </cell>
          <cell r="B275">
            <v>10500</v>
          </cell>
          <cell r="C275">
            <v>3840</v>
          </cell>
          <cell r="D275">
            <v>5.8589999999999996E-2</v>
          </cell>
        </row>
        <row r="276">
          <cell r="A276" t="str">
            <v>SP3C</v>
          </cell>
          <cell r="B276">
            <v>20000</v>
          </cell>
          <cell r="C276">
            <v>8280</v>
          </cell>
          <cell r="D276">
            <v>0.11069999999999999</v>
          </cell>
        </row>
        <row r="277">
          <cell r="A277" t="str">
            <v>RS18T</v>
          </cell>
          <cell r="B277">
            <v>22500</v>
          </cell>
          <cell r="C277">
            <v>7650</v>
          </cell>
          <cell r="D277">
            <v>0.14124</v>
          </cell>
        </row>
        <row r="278">
          <cell r="A278" t="str">
            <v>RS18S</v>
          </cell>
          <cell r="B278">
            <v>22500</v>
          </cell>
          <cell r="C278">
            <v>7650</v>
          </cell>
          <cell r="D278">
            <v>0.14124</v>
          </cell>
        </row>
        <row r="279">
          <cell r="A279" t="str">
            <v>RS33R</v>
          </cell>
          <cell r="B279">
            <v>20000</v>
          </cell>
          <cell r="C279">
            <v>11796</v>
          </cell>
          <cell r="D279">
            <v>0.13908399999999999</v>
          </cell>
        </row>
        <row r="280">
          <cell r="A280" t="str">
            <v>RSS100</v>
          </cell>
          <cell r="B280">
            <v>13400</v>
          </cell>
          <cell r="C280">
            <v>4000</v>
          </cell>
          <cell r="D280">
            <v>9.2069999999999999E-2</v>
          </cell>
        </row>
        <row r="281">
          <cell r="A281" t="str">
            <v>R170B</v>
          </cell>
          <cell r="B281">
            <v>18000</v>
          </cell>
          <cell r="C281">
            <v>4680</v>
          </cell>
          <cell r="D281">
            <v>0.15295799999999998</v>
          </cell>
        </row>
        <row r="282">
          <cell r="A282" t="str">
            <v>R170X</v>
          </cell>
          <cell r="B282">
            <v>13000</v>
          </cell>
          <cell r="C282">
            <v>3510</v>
          </cell>
          <cell r="D282">
            <v>0.11372399999999999</v>
          </cell>
        </row>
        <row r="283">
          <cell r="A283" t="str">
            <v>R170M</v>
          </cell>
          <cell r="B283">
            <v>10700</v>
          </cell>
          <cell r="C283">
            <v>2400</v>
          </cell>
          <cell r="D283">
            <v>8.4083999999999992E-2</v>
          </cell>
        </row>
        <row r="284">
          <cell r="A284" t="str">
            <v>RSSF3</v>
          </cell>
          <cell r="B284">
            <v>11000</v>
          </cell>
          <cell r="C284">
            <v>3120</v>
          </cell>
          <cell r="D284">
            <v>8.4083999999999992E-2</v>
          </cell>
        </row>
        <row r="285">
          <cell r="B285" t="str">
            <v/>
          </cell>
        </row>
        <row r="286">
          <cell r="A286" t="str">
            <v>TIDB1L</v>
          </cell>
          <cell r="B286">
            <v>196</v>
          </cell>
        </row>
        <row r="287">
          <cell r="A287" t="str">
            <v>TPD1L</v>
          </cell>
          <cell r="B287">
            <v>257</v>
          </cell>
        </row>
        <row r="288">
          <cell r="A288" t="str">
            <v>TPD1XL</v>
          </cell>
          <cell r="B288">
            <v>283</v>
          </cell>
        </row>
        <row r="289">
          <cell r="A289" t="str">
            <v>BD1XXL</v>
          </cell>
          <cell r="B289">
            <v>912</v>
          </cell>
        </row>
        <row r="290">
          <cell r="B290" t="str">
            <v/>
          </cell>
        </row>
        <row r="291">
          <cell r="A291" t="str">
            <v>TDLE1M</v>
          </cell>
          <cell r="B291">
            <v>165</v>
          </cell>
        </row>
        <row r="292">
          <cell r="A292" t="str">
            <v>TDLE1L</v>
          </cell>
          <cell r="B292">
            <v>180</v>
          </cell>
        </row>
        <row r="293">
          <cell r="A293" t="str">
            <v>TDLE1XL</v>
          </cell>
          <cell r="B293">
            <v>204</v>
          </cell>
        </row>
        <row r="294">
          <cell r="A294" t="str">
            <v>TDLE1XXL</v>
          </cell>
          <cell r="B294">
            <v>224</v>
          </cell>
        </row>
        <row r="295">
          <cell r="B295" t="str">
            <v/>
          </cell>
        </row>
        <row r="296">
          <cell r="A296" t="str">
            <v>TPDLE1M</v>
          </cell>
          <cell r="B296">
            <v>247</v>
          </cell>
        </row>
        <row r="297">
          <cell r="A297" t="str">
            <v>TPDLE1L</v>
          </cell>
          <cell r="B297">
            <v>257</v>
          </cell>
        </row>
        <row r="298">
          <cell r="A298" t="str">
            <v>TPDLE1XL</v>
          </cell>
          <cell r="B298">
            <v>283</v>
          </cell>
        </row>
        <row r="299">
          <cell r="A299" t="str">
            <v>TPDLE1XXL</v>
          </cell>
          <cell r="B299">
            <v>290</v>
          </cell>
        </row>
        <row r="300">
          <cell r="B300" t="str">
            <v/>
          </cell>
        </row>
        <row r="301">
          <cell r="A301" t="str">
            <v>VDLE1M</v>
          </cell>
          <cell r="B301">
            <v>500</v>
          </cell>
        </row>
        <row r="302">
          <cell r="A302" t="str">
            <v>VDLE1L</v>
          </cell>
          <cell r="B302">
            <v>500</v>
          </cell>
        </row>
        <row r="303">
          <cell r="A303" t="str">
            <v>VDLE1XL</v>
          </cell>
          <cell r="B303">
            <v>500</v>
          </cell>
        </row>
        <row r="304">
          <cell r="A304" t="str">
            <v>VDLE1XXL</v>
          </cell>
          <cell r="B304">
            <v>500</v>
          </cell>
        </row>
        <row r="305">
          <cell r="B305" t="str">
            <v/>
          </cell>
        </row>
        <row r="306">
          <cell r="A306" t="str">
            <v>BDLE1M</v>
          </cell>
          <cell r="B306">
            <v>805</v>
          </cell>
        </row>
        <row r="307">
          <cell r="A307" t="str">
            <v>BDLE1L</v>
          </cell>
          <cell r="B307">
            <v>823</v>
          </cell>
        </row>
        <row r="308">
          <cell r="A308" t="str">
            <v>BDLE1XL</v>
          </cell>
          <cell r="B308">
            <v>862</v>
          </cell>
        </row>
        <row r="309">
          <cell r="A309" t="str">
            <v>BDLE1XXL</v>
          </cell>
          <cell r="B309">
            <v>912</v>
          </cell>
        </row>
        <row r="310">
          <cell r="B310" t="str">
            <v/>
          </cell>
        </row>
        <row r="311">
          <cell r="A311" t="str">
            <v>MDLE1M</v>
          </cell>
          <cell r="B311">
            <v>750</v>
          </cell>
        </row>
        <row r="312">
          <cell r="A312" t="str">
            <v>MDLE1L</v>
          </cell>
          <cell r="B312">
            <v>750</v>
          </cell>
        </row>
        <row r="313">
          <cell r="A313" t="str">
            <v>MDLE1XL</v>
          </cell>
          <cell r="B313">
            <v>750</v>
          </cell>
        </row>
        <row r="314">
          <cell r="A314" t="str">
            <v>MDLE1XXL</v>
          </cell>
          <cell r="B314">
            <v>750</v>
          </cell>
        </row>
        <row r="315">
          <cell r="B315" t="str">
            <v/>
          </cell>
        </row>
        <row r="316">
          <cell r="A316" t="str">
            <v>MDLEZ1M</v>
          </cell>
          <cell r="B316">
            <v>670</v>
          </cell>
        </row>
        <row r="317">
          <cell r="A317" t="str">
            <v>MDLEZ1L</v>
          </cell>
          <cell r="B317">
            <v>670</v>
          </cell>
        </row>
        <row r="318">
          <cell r="A318" t="str">
            <v>MDLEZ1XL</v>
          </cell>
          <cell r="B318">
            <v>670</v>
          </cell>
        </row>
        <row r="319">
          <cell r="A319" t="str">
            <v>MDLEZ1XXL</v>
          </cell>
          <cell r="B319">
            <v>670</v>
          </cell>
        </row>
        <row r="320">
          <cell r="B320" t="str">
            <v/>
          </cell>
        </row>
        <row r="321">
          <cell r="A321" t="str">
            <v>KDLE1</v>
          </cell>
          <cell r="B321">
            <v>72</v>
          </cell>
        </row>
        <row r="322">
          <cell r="A322" t="str">
            <v>CDLE1</v>
          </cell>
          <cell r="B322">
            <v>47</v>
          </cell>
        </row>
        <row r="323">
          <cell r="B323" t="str">
            <v/>
          </cell>
        </row>
        <row r="324">
          <cell r="A324" t="str">
            <v>N1</v>
          </cell>
          <cell r="B324">
            <v>6500</v>
          </cell>
          <cell r="D324">
            <v>1.0163999999999999E-2</v>
          </cell>
        </row>
        <row r="325">
          <cell r="A325" t="str">
            <v>RUN1</v>
          </cell>
          <cell r="B325">
            <v>3100</v>
          </cell>
        </row>
        <row r="326">
          <cell r="A326" t="str">
            <v>RT1DU</v>
          </cell>
          <cell r="B326">
            <v>8200</v>
          </cell>
        </row>
        <row r="327">
          <cell r="A327" t="str">
            <v>PL1DU</v>
          </cell>
          <cell r="B327">
            <v>3</v>
          </cell>
        </row>
        <row r="328">
          <cell r="A328" t="str">
            <v>ZD1</v>
          </cell>
          <cell r="B328">
            <v>900</v>
          </cell>
        </row>
        <row r="329">
          <cell r="A329" t="str">
            <v>UZD2</v>
          </cell>
          <cell r="B329">
            <v>20</v>
          </cell>
        </row>
        <row r="330">
          <cell r="A330" t="str">
            <v>ND1</v>
          </cell>
          <cell r="B330">
            <v>3</v>
          </cell>
        </row>
        <row r="331">
          <cell r="A331" t="str">
            <v>T2</v>
          </cell>
          <cell r="B331">
            <v>5</v>
          </cell>
        </row>
        <row r="332">
          <cell r="A332" t="str">
            <v>KK2025</v>
          </cell>
          <cell r="B332">
            <v>438</v>
          </cell>
        </row>
        <row r="333">
          <cell r="A333" t="str">
            <v>HD1</v>
          </cell>
          <cell r="B333">
            <v>318</v>
          </cell>
        </row>
        <row r="334">
          <cell r="A334" t="str">
            <v>PPMD1</v>
          </cell>
          <cell r="B334">
            <v>34</v>
          </cell>
        </row>
        <row r="335">
          <cell r="A335" t="str">
            <v>DD1</v>
          </cell>
          <cell r="B335">
            <v>354</v>
          </cell>
        </row>
        <row r="336">
          <cell r="A336" t="str">
            <v>KKD1</v>
          </cell>
          <cell r="B336">
            <v>10</v>
          </cell>
        </row>
        <row r="337">
          <cell r="A337" t="str">
            <v>LO1DU</v>
          </cell>
          <cell r="B337">
            <v>100</v>
          </cell>
        </row>
        <row r="338">
          <cell r="B338" t="str">
            <v/>
          </cell>
        </row>
        <row r="339">
          <cell r="A339" t="str">
            <v>OZ4</v>
          </cell>
          <cell r="B339">
            <v>138</v>
          </cell>
          <cell r="D339">
            <v>1.9844000000000001E-2</v>
          </cell>
        </row>
        <row r="340">
          <cell r="A340" t="str">
            <v>ZS5M</v>
          </cell>
          <cell r="B340">
            <v>7000</v>
          </cell>
          <cell r="C340">
            <v>1250</v>
          </cell>
          <cell r="D340">
            <v>2.0299999999999999E-2</v>
          </cell>
        </row>
        <row r="341">
          <cell r="B341" t="str">
            <v/>
          </cell>
        </row>
        <row r="342">
          <cell r="A342" t="str">
            <v>C2508R</v>
          </cell>
          <cell r="B342">
            <v>7500</v>
          </cell>
          <cell r="C342">
            <v>960</v>
          </cell>
          <cell r="D342">
            <v>1.7049999999999999E-2</v>
          </cell>
        </row>
        <row r="343">
          <cell r="A343" t="str">
            <v>C10008R</v>
          </cell>
          <cell r="B343">
            <v>14000</v>
          </cell>
          <cell r="C343">
            <v>1920</v>
          </cell>
          <cell r="D343">
            <v>3.0671999999999998E-2</v>
          </cell>
        </row>
        <row r="344">
          <cell r="B344" t="str">
            <v/>
          </cell>
        </row>
        <row r="345">
          <cell r="A345" t="str">
            <v>C1008CC</v>
          </cell>
          <cell r="B345">
            <v>13500</v>
          </cell>
          <cell r="C345">
            <v>1368</v>
          </cell>
          <cell r="D345">
            <v>3.7409999999999999E-2</v>
          </cell>
        </row>
        <row r="346">
          <cell r="B346" t="str">
            <v/>
          </cell>
        </row>
        <row r="347">
          <cell r="A347" t="str">
            <v>C1614E14</v>
          </cell>
          <cell r="B347">
            <v>14500</v>
          </cell>
          <cell r="C347">
            <v>2100</v>
          </cell>
          <cell r="D347">
            <v>2.7435999999999999E-2</v>
          </cell>
        </row>
        <row r="348">
          <cell r="B348" t="str">
            <v/>
          </cell>
        </row>
        <row r="349">
          <cell r="A349" t="str">
            <v>C3614B14</v>
          </cell>
          <cell r="B349">
            <v>21000</v>
          </cell>
          <cell r="C349">
            <v>3120</v>
          </cell>
          <cell r="D349">
            <v>4.3504999999999995E-2</v>
          </cell>
        </row>
        <row r="350">
          <cell r="B350" t="str">
            <v/>
          </cell>
        </row>
        <row r="351">
          <cell r="A351" t="str">
            <v>C6414C14</v>
          </cell>
          <cell r="B351">
            <v>17000</v>
          </cell>
          <cell r="C351">
            <v>2304</v>
          </cell>
          <cell r="D351">
            <v>3.3440879999999999E-2</v>
          </cell>
        </row>
        <row r="352">
          <cell r="B352" t="str">
            <v/>
          </cell>
        </row>
        <row r="353">
          <cell r="A353" t="str">
            <v>C10014A</v>
          </cell>
          <cell r="B353">
            <v>21000</v>
          </cell>
          <cell r="C353">
            <v>3360</v>
          </cell>
          <cell r="D353">
            <v>4.1495999999999998E-2</v>
          </cell>
        </row>
        <row r="354">
          <cell r="B354" t="str">
            <v/>
          </cell>
        </row>
        <row r="355">
          <cell r="A355" t="str">
            <v>C20014F14</v>
          </cell>
          <cell r="B355">
            <v>13000</v>
          </cell>
          <cell r="C355">
            <v>1500</v>
          </cell>
          <cell r="D355">
            <v>2.4832E-2</v>
          </cell>
        </row>
        <row r="356">
          <cell r="B356" t="str">
            <v/>
          </cell>
        </row>
        <row r="357">
          <cell r="A357" t="str">
            <v>C40014W/C14</v>
          </cell>
          <cell r="B357">
            <v>9000</v>
          </cell>
          <cell r="C357">
            <v>1000</v>
          </cell>
          <cell r="D357">
            <v>0</v>
          </cell>
        </row>
        <row r="358">
          <cell r="B358" t="str">
            <v/>
          </cell>
        </row>
        <row r="359">
          <cell r="A359" t="str">
            <v>C20814XPR14</v>
          </cell>
          <cell r="B359">
            <v>18000</v>
          </cell>
          <cell r="C359">
            <v>1992</v>
          </cell>
          <cell r="D359">
            <v>5.076E-2</v>
          </cell>
        </row>
        <row r="360">
          <cell r="B360" t="str">
            <v/>
          </cell>
        </row>
        <row r="361">
          <cell r="A361" t="str">
            <v>C9016XC14</v>
          </cell>
          <cell r="B361">
            <v>18000</v>
          </cell>
          <cell r="C361">
            <v>2226</v>
          </cell>
          <cell r="D361">
            <v>5.6543999999999997E-2</v>
          </cell>
        </row>
        <row r="362">
          <cell r="B362" t="str">
            <v/>
          </cell>
        </row>
        <row r="363">
          <cell r="A363" t="str">
            <v>C16016XP14</v>
          </cell>
          <cell r="B363">
            <v>13500</v>
          </cell>
          <cell r="C363">
            <v>1497</v>
          </cell>
          <cell r="D363">
            <v>0</v>
          </cell>
        </row>
        <row r="364">
          <cell r="B364" t="str">
            <v/>
          </cell>
        </row>
        <row r="365">
          <cell r="A365" t="str">
            <v>C27016XG/C14</v>
          </cell>
          <cell r="B365">
            <v>9000</v>
          </cell>
          <cell r="C365">
            <v>999</v>
          </cell>
          <cell r="D365">
            <v>3.0039E-2</v>
          </cell>
        </row>
        <row r="366">
          <cell r="A366" t="str">
            <v>C32016XB/C14</v>
          </cell>
          <cell r="B366">
            <v>11000</v>
          </cell>
          <cell r="C366">
            <v>998</v>
          </cell>
          <cell r="D366">
            <v>0</v>
          </cell>
        </row>
        <row r="367">
          <cell r="B367" t="str">
            <v/>
          </cell>
        </row>
        <row r="368">
          <cell r="A368" t="str">
            <v>C63MXS14</v>
          </cell>
          <cell r="B368">
            <v>13000</v>
          </cell>
          <cell r="C368">
            <v>1776</v>
          </cell>
          <cell r="D368">
            <v>3.5997000000000001E-2</v>
          </cell>
        </row>
        <row r="369">
          <cell r="B369" t="str">
            <v/>
          </cell>
        </row>
        <row r="370">
          <cell r="A370" t="str">
            <v>C920L</v>
          </cell>
          <cell r="B370">
            <v>14500</v>
          </cell>
          <cell r="C370">
            <v>2880</v>
          </cell>
          <cell r="D370">
            <v>3.6196874999999996E-2</v>
          </cell>
        </row>
        <row r="371">
          <cell r="A371" t="str">
            <v>C920M</v>
          </cell>
          <cell r="B371">
            <v>14500</v>
          </cell>
          <cell r="C371">
            <v>2880</v>
          </cell>
          <cell r="D371">
            <v>3.6196874999999996E-2</v>
          </cell>
        </row>
        <row r="372">
          <cell r="B372" t="str">
            <v/>
          </cell>
        </row>
        <row r="373">
          <cell r="A373" t="str">
            <v>C1620DU</v>
          </cell>
          <cell r="B373">
            <v>17500</v>
          </cell>
          <cell r="C373">
            <v>3072</v>
          </cell>
          <cell r="D373">
            <v>3.6861499999999991E-2</v>
          </cell>
        </row>
        <row r="374">
          <cell r="A374" t="str">
            <v>C1620DU(5)</v>
          </cell>
          <cell r="B374">
            <v>17500</v>
          </cell>
          <cell r="C374">
            <v>3072</v>
          </cell>
          <cell r="D374">
            <v>3.6861499999999991E-2</v>
          </cell>
        </row>
        <row r="375">
          <cell r="A375" t="str">
            <v>C1620BPF</v>
          </cell>
          <cell r="B375">
            <v>16000</v>
          </cell>
          <cell r="C375">
            <v>2640</v>
          </cell>
          <cell r="D375">
            <v>3.6861499999999991E-2</v>
          </cell>
        </row>
        <row r="376">
          <cell r="A376" t="str">
            <v>C1620H</v>
          </cell>
          <cell r="B376">
            <v>16000</v>
          </cell>
          <cell r="C376">
            <v>3072</v>
          </cell>
          <cell r="D376">
            <v>3.6861499999999991E-2</v>
          </cell>
        </row>
        <row r="377">
          <cell r="A377" t="str">
            <v>C1620N</v>
          </cell>
          <cell r="B377">
            <v>17000</v>
          </cell>
          <cell r="C377">
            <v>3072</v>
          </cell>
          <cell r="D377">
            <v>3.6861499999999991E-2</v>
          </cell>
        </row>
        <row r="378">
          <cell r="A378" t="str">
            <v>C1620F</v>
          </cell>
          <cell r="B378">
            <v>16400</v>
          </cell>
          <cell r="C378">
            <v>3072</v>
          </cell>
          <cell r="D378">
            <v>3.6861499999999991E-2</v>
          </cell>
        </row>
        <row r="379">
          <cell r="B379" t="str">
            <v/>
          </cell>
        </row>
        <row r="380">
          <cell r="A380" t="str">
            <v>C1620H14</v>
          </cell>
          <cell r="B380">
            <v>16400</v>
          </cell>
          <cell r="C380">
            <v>3072</v>
          </cell>
          <cell r="D380">
            <v>3.6861499999999991E-2</v>
          </cell>
        </row>
        <row r="381">
          <cell r="A381" t="str">
            <v>C1620F14</v>
          </cell>
          <cell r="B381">
            <v>16400</v>
          </cell>
          <cell r="C381">
            <v>3072</v>
          </cell>
          <cell r="D381">
            <v>3.6861499999999991E-2</v>
          </cell>
        </row>
        <row r="382">
          <cell r="B382" t="str">
            <v/>
          </cell>
        </row>
        <row r="383">
          <cell r="A383" t="str">
            <v>CX1620D</v>
          </cell>
          <cell r="B383">
            <v>13000</v>
          </cell>
          <cell r="C383">
            <v>2048</v>
          </cell>
          <cell r="D383">
            <v>3.8272E-2</v>
          </cell>
        </row>
        <row r="384">
          <cell r="A384" t="str">
            <v>CX1620X</v>
          </cell>
          <cell r="B384">
            <v>13000</v>
          </cell>
          <cell r="C384">
            <v>2048</v>
          </cell>
          <cell r="D384">
            <v>3.8272E-2</v>
          </cell>
        </row>
        <row r="385">
          <cell r="B385" t="str">
            <v/>
          </cell>
        </row>
        <row r="386">
          <cell r="A386" t="str">
            <v>C2520BP</v>
          </cell>
          <cell r="B386">
            <v>13000</v>
          </cell>
          <cell r="C386">
            <v>2100</v>
          </cell>
          <cell r="D386">
            <v>2.6870999999999999E-2</v>
          </cell>
        </row>
        <row r="387">
          <cell r="A387" t="str">
            <v>C2520SIG</v>
          </cell>
          <cell r="B387">
            <v>15000</v>
          </cell>
          <cell r="C387">
            <v>3900</v>
          </cell>
          <cell r="D387">
            <v>3.6039999999999996E-2</v>
          </cell>
        </row>
        <row r="388">
          <cell r="A388" t="str">
            <v>C2520Z</v>
          </cell>
          <cell r="B388">
            <v>13000</v>
          </cell>
          <cell r="C388">
            <v>2400</v>
          </cell>
          <cell r="D388">
            <v>2.6870999999999999E-2</v>
          </cell>
        </row>
        <row r="389">
          <cell r="A389" t="str">
            <v>C2520DI</v>
          </cell>
          <cell r="B389">
            <v>13000</v>
          </cell>
          <cell r="C389">
            <v>2400</v>
          </cell>
          <cell r="D389">
            <v>2.6870999999999999E-2</v>
          </cell>
        </row>
        <row r="390">
          <cell r="A390" t="str">
            <v>C2520T</v>
          </cell>
          <cell r="B390">
            <v>11600</v>
          </cell>
          <cell r="C390">
            <v>2400</v>
          </cell>
          <cell r="D390">
            <v>2.6870999999999999E-2</v>
          </cell>
        </row>
        <row r="391">
          <cell r="A391" t="str">
            <v>C2520SE</v>
          </cell>
          <cell r="B391">
            <v>11600</v>
          </cell>
          <cell r="C391">
            <v>2400</v>
          </cell>
          <cell r="D391">
            <v>2.6870999999999999E-2</v>
          </cell>
        </row>
        <row r="392">
          <cell r="A392" t="str">
            <v>C2520ST</v>
          </cell>
          <cell r="B392">
            <v>12300</v>
          </cell>
          <cell r="C392">
            <v>2400</v>
          </cell>
          <cell r="D392">
            <v>2.6870999999999999E-2</v>
          </cell>
        </row>
        <row r="393">
          <cell r="A393" t="str">
            <v>C2520SL</v>
          </cell>
          <cell r="B393">
            <v>11600</v>
          </cell>
          <cell r="C393">
            <v>2400</v>
          </cell>
          <cell r="D393">
            <v>2.6870999999999999E-2</v>
          </cell>
        </row>
        <row r="394">
          <cell r="A394" t="str">
            <v>C2520R</v>
          </cell>
          <cell r="B394">
            <v>13440</v>
          </cell>
          <cell r="C394">
            <v>2400</v>
          </cell>
          <cell r="D394">
            <v>2.6870999999999999E-2</v>
          </cell>
        </row>
        <row r="395">
          <cell r="A395" t="str">
            <v>C2520VI</v>
          </cell>
          <cell r="B395">
            <v>13000</v>
          </cell>
          <cell r="C395">
            <v>2400</v>
          </cell>
          <cell r="D395">
            <v>2.6870999999999999E-2</v>
          </cell>
        </row>
        <row r="396">
          <cell r="B396" t="str">
            <v/>
          </cell>
        </row>
        <row r="397">
          <cell r="A397" t="str">
            <v>C2520DI14</v>
          </cell>
          <cell r="B397">
            <v>13100</v>
          </cell>
          <cell r="C397">
            <v>2400</v>
          </cell>
          <cell r="D397">
            <v>2.6870999999999999E-2</v>
          </cell>
        </row>
        <row r="398">
          <cell r="A398" t="str">
            <v>C2520T14</v>
          </cell>
          <cell r="B398">
            <v>13800</v>
          </cell>
          <cell r="C398">
            <v>2400</v>
          </cell>
          <cell r="D398">
            <v>2.6870999999999999E-2</v>
          </cell>
        </row>
        <row r="399">
          <cell r="A399" t="str">
            <v>C2520SE14</v>
          </cell>
          <cell r="B399">
            <v>11600</v>
          </cell>
          <cell r="C399">
            <v>2400</v>
          </cell>
          <cell r="D399">
            <v>2.6870999999999999E-2</v>
          </cell>
        </row>
        <row r="400">
          <cell r="B400" t="str">
            <v/>
          </cell>
        </row>
        <row r="401">
          <cell r="A401" t="str">
            <v>C3620V</v>
          </cell>
          <cell r="B401">
            <v>16000</v>
          </cell>
          <cell r="C401">
            <v>2880</v>
          </cell>
          <cell r="D401">
            <v>3.3264000000000002E-2</v>
          </cell>
        </row>
        <row r="402">
          <cell r="B402" t="str">
            <v/>
          </cell>
        </row>
        <row r="403">
          <cell r="A403" t="str">
            <v>C3620N14</v>
          </cell>
          <cell r="B403">
            <v>16000</v>
          </cell>
          <cell r="C403">
            <v>2880</v>
          </cell>
          <cell r="D403">
            <v>3.3264000000000002E-2</v>
          </cell>
        </row>
        <row r="404">
          <cell r="A404" t="str">
            <v>C3620NO14</v>
          </cell>
          <cell r="B404">
            <v>16000</v>
          </cell>
          <cell r="C404">
            <v>2880</v>
          </cell>
          <cell r="D404">
            <v>3.3264000000000002E-2</v>
          </cell>
        </row>
        <row r="405">
          <cell r="B405" t="str">
            <v/>
          </cell>
        </row>
        <row r="406">
          <cell r="A406" t="str">
            <v>C4920BPF</v>
          </cell>
          <cell r="B406">
            <v>17500</v>
          </cell>
          <cell r="C406">
            <v>2744</v>
          </cell>
          <cell r="D406">
            <v>3.4985249999999996E-2</v>
          </cell>
        </row>
        <row r="407">
          <cell r="A407" t="str">
            <v>C4920SIG</v>
          </cell>
          <cell r="B407">
            <v>18500</v>
          </cell>
          <cell r="C407">
            <v>3992</v>
          </cell>
          <cell r="D407">
            <v>3.4985249999999996E-2</v>
          </cell>
        </row>
        <row r="408">
          <cell r="A408" t="str">
            <v>C4920DR</v>
          </cell>
          <cell r="B408">
            <v>18400</v>
          </cell>
          <cell r="C408">
            <v>3136</v>
          </cell>
          <cell r="D408">
            <v>3.4985249999999996E-2</v>
          </cell>
        </row>
        <row r="409">
          <cell r="A409" t="str">
            <v>C4920K</v>
          </cell>
          <cell r="B409">
            <v>17000</v>
          </cell>
          <cell r="C409">
            <v>3136</v>
          </cell>
          <cell r="D409">
            <v>3.4985249999999996E-2</v>
          </cell>
        </row>
        <row r="410">
          <cell r="A410" t="str">
            <v>C4920S</v>
          </cell>
          <cell r="B410">
            <v>17000</v>
          </cell>
          <cell r="C410">
            <v>3136</v>
          </cell>
          <cell r="D410">
            <v>3.4985249999999996E-2</v>
          </cell>
        </row>
        <row r="411">
          <cell r="B411" t="str">
            <v/>
          </cell>
        </row>
        <row r="412">
          <cell r="A412" t="str">
            <v>C4920DR14</v>
          </cell>
          <cell r="B412">
            <v>17700</v>
          </cell>
          <cell r="C412">
            <v>3136</v>
          </cell>
          <cell r="D412">
            <v>3.4985249999999996E-2</v>
          </cell>
        </row>
        <row r="413">
          <cell r="A413" t="str">
            <v>C4920S14</v>
          </cell>
          <cell r="B413">
            <v>16500</v>
          </cell>
          <cell r="C413">
            <v>3136</v>
          </cell>
          <cell r="D413">
            <v>3.4985249999999996E-2</v>
          </cell>
        </row>
        <row r="414">
          <cell r="B414" t="str">
            <v/>
          </cell>
        </row>
        <row r="415">
          <cell r="A415" t="str">
            <v>CF4920G</v>
          </cell>
          <cell r="B415">
            <v>15500</v>
          </cell>
          <cell r="C415">
            <v>2352</v>
          </cell>
          <cell r="D415">
            <v>4.2601E-2</v>
          </cell>
        </row>
        <row r="416">
          <cell r="A416" t="str">
            <v>CF4920J</v>
          </cell>
          <cell r="B416">
            <v>15500</v>
          </cell>
          <cell r="C416">
            <v>2352</v>
          </cell>
          <cell r="D416">
            <v>4.2601E-2</v>
          </cell>
        </row>
        <row r="417">
          <cell r="A417" t="str">
            <v>CF4920A</v>
          </cell>
          <cell r="B417">
            <v>15500</v>
          </cell>
          <cell r="C417">
            <v>2352</v>
          </cell>
          <cell r="D417">
            <v>4.2601E-2</v>
          </cell>
        </row>
        <row r="418">
          <cell r="B418" t="str">
            <v/>
          </cell>
        </row>
        <row r="419">
          <cell r="A419" t="str">
            <v>CF4920G14</v>
          </cell>
          <cell r="B419">
            <v>15500</v>
          </cell>
          <cell r="C419">
            <v>2352</v>
          </cell>
          <cell r="D419">
            <v>4.2601E-2</v>
          </cell>
        </row>
        <row r="420">
          <cell r="B420" t="str">
            <v/>
          </cell>
        </row>
        <row r="421">
          <cell r="A421" t="str">
            <v>C6420BPW</v>
          </cell>
          <cell r="B421">
            <v>16000</v>
          </cell>
          <cell r="C421">
            <v>2688</v>
          </cell>
          <cell r="D421">
            <v>3.6455999999999995E-2</v>
          </cell>
        </row>
        <row r="422">
          <cell r="A422" t="str">
            <v>C6420B</v>
          </cell>
          <cell r="B422">
            <v>16500</v>
          </cell>
          <cell r="C422">
            <v>2988</v>
          </cell>
          <cell r="D422">
            <v>3.6455999999999995E-2</v>
          </cell>
        </row>
        <row r="423">
          <cell r="A423" t="str">
            <v>C6420G</v>
          </cell>
          <cell r="B423">
            <v>17100</v>
          </cell>
          <cell r="C423">
            <v>2988</v>
          </cell>
          <cell r="D423">
            <v>3.6455999999999995E-2</v>
          </cell>
        </row>
        <row r="424">
          <cell r="A424" t="str">
            <v>C6420D</v>
          </cell>
          <cell r="B424">
            <v>16968</v>
          </cell>
          <cell r="C424">
            <v>2988</v>
          </cell>
          <cell r="D424">
            <v>3.6455999999999995E-2</v>
          </cell>
        </row>
        <row r="425">
          <cell r="B425" t="str">
            <v/>
          </cell>
        </row>
        <row r="426">
          <cell r="A426" t="str">
            <v>C6420D14</v>
          </cell>
          <cell r="B426">
            <v>18500</v>
          </cell>
          <cell r="C426">
            <v>2988</v>
          </cell>
          <cell r="D426">
            <v>3.6455999999999995E-2</v>
          </cell>
        </row>
        <row r="427">
          <cell r="B427" t="str">
            <v/>
          </cell>
        </row>
        <row r="428">
          <cell r="A428" t="str">
            <v>C6620P</v>
          </cell>
          <cell r="B428">
            <v>13300</v>
          </cell>
          <cell r="C428">
            <v>1964</v>
          </cell>
          <cell r="D428">
            <v>5.9062499999999997E-2</v>
          </cell>
        </row>
        <row r="429">
          <cell r="A429" t="str">
            <v>C6620L</v>
          </cell>
          <cell r="B429">
            <v>13400</v>
          </cell>
          <cell r="C429">
            <v>1964</v>
          </cell>
          <cell r="D429">
            <v>5.9062499999999997E-2</v>
          </cell>
        </row>
        <row r="430">
          <cell r="B430" t="str">
            <v/>
          </cell>
        </row>
        <row r="431">
          <cell r="A431" t="str">
            <v>C6620P14</v>
          </cell>
          <cell r="B431">
            <v>14000</v>
          </cell>
          <cell r="C431">
            <v>1964</v>
          </cell>
          <cell r="D431">
            <v>5.9062499999999997E-2</v>
          </cell>
        </row>
        <row r="432">
          <cell r="B432" t="str">
            <v/>
          </cell>
        </row>
        <row r="433">
          <cell r="A433" t="str">
            <v>C9020SIG</v>
          </cell>
          <cell r="B433">
            <v>26700</v>
          </cell>
          <cell r="C433">
            <v>5940</v>
          </cell>
          <cell r="D433">
            <v>4.5967999999999995E-2</v>
          </cell>
        </row>
        <row r="434">
          <cell r="A434" t="str">
            <v>C9020V</v>
          </cell>
          <cell r="B434">
            <v>24000</v>
          </cell>
          <cell r="C434">
            <v>4320</v>
          </cell>
          <cell r="D434">
            <v>4.5967999999999995E-2</v>
          </cell>
        </row>
        <row r="435">
          <cell r="A435" t="str">
            <v>C9020X</v>
          </cell>
          <cell r="B435">
            <v>25300</v>
          </cell>
          <cell r="C435">
            <v>4320</v>
          </cell>
          <cell r="D435">
            <v>4.5967999999999995E-2</v>
          </cell>
        </row>
        <row r="436">
          <cell r="B436" t="str">
            <v/>
          </cell>
        </row>
        <row r="437">
          <cell r="A437" t="str">
            <v>C10020BP14</v>
          </cell>
          <cell r="B437">
            <v>17000</v>
          </cell>
          <cell r="C437">
            <v>2000</v>
          </cell>
          <cell r="D437">
            <v>3.3799999999999997E-2</v>
          </cell>
        </row>
        <row r="438">
          <cell r="A438" t="str">
            <v>C10020BPS14</v>
          </cell>
          <cell r="B438">
            <v>17000</v>
          </cell>
          <cell r="C438">
            <v>2000</v>
          </cell>
          <cell r="D438">
            <v>3.3799999999999997E-2</v>
          </cell>
        </row>
        <row r="439">
          <cell r="A439" t="str">
            <v>C10020NID14</v>
          </cell>
          <cell r="B439">
            <v>16800</v>
          </cell>
          <cell r="C439">
            <v>2000</v>
          </cell>
          <cell r="D439">
            <v>3.3799999999999997E-2</v>
          </cell>
        </row>
        <row r="440">
          <cell r="B440" t="str">
            <v/>
          </cell>
        </row>
        <row r="441">
          <cell r="A441" t="str">
            <v>C10020XBPW14</v>
          </cell>
          <cell r="B441">
            <v>18000</v>
          </cell>
          <cell r="C441">
            <v>2000</v>
          </cell>
          <cell r="D441">
            <v>4.8320999999999996E-2</v>
          </cell>
        </row>
        <row r="442">
          <cell r="A442" t="str">
            <v>C10020XBP14</v>
          </cell>
          <cell r="B442">
            <v>18000</v>
          </cell>
          <cell r="C442">
            <v>2000</v>
          </cell>
          <cell r="D442">
            <v>4.8320999999999996E-2</v>
          </cell>
        </row>
        <row r="443">
          <cell r="A443" t="str">
            <v>C10020XTS14</v>
          </cell>
          <cell r="B443">
            <v>18000</v>
          </cell>
          <cell r="C443">
            <v>2000</v>
          </cell>
          <cell r="D443">
            <v>4.8320999999999996E-2</v>
          </cell>
        </row>
        <row r="444">
          <cell r="A444" t="str">
            <v>C10020XPR14</v>
          </cell>
          <cell r="B444">
            <v>18000</v>
          </cell>
          <cell r="C444">
            <v>2000</v>
          </cell>
          <cell r="D444">
            <v>4.8320999999999996E-2</v>
          </cell>
        </row>
        <row r="445">
          <cell r="B445" t="str">
            <v/>
          </cell>
        </row>
        <row r="446">
          <cell r="A446" t="str">
            <v>CF10020P</v>
          </cell>
          <cell r="B446">
            <v>10100</v>
          </cell>
          <cell r="C446">
            <v>1600</v>
          </cell>
          <cell r="D446">
            <v>2.9951999999999999E-2</v>
          </cell>
        </row>
        <row r="447">
          <cell r="B447" t="str">
            <v/>
          </cell>
        </row>
        <row r="448">
          <cell r="A448" t="str">
            <v>C13020BP</v>
          </cell>
          <cell r="B448">
            <v>17000</v>
          </cell>
          <cell r="C448">
            <v>2730</v>
          </cell>
          <cell r="D448">
            <v>3.8807999999999995E-2</v>
          </cell>
        </row>
        <row r="449">
          <cell r="A449" t="str">
            <v>C13020M</v>
          </cell>
          <cell r="B449">
            <v>17600</v>
          </cell>
          <cell r="C449">
            <v>2991</v>
          </cell>
          <cell r="D449">
            <v>3.8807999999999995E-2</v>
          </cell>
        </row>
        <row r="450">
          <cell r="A450" t="str">
            <v>C13020B</v>
          </cell>
          <cell r="B450">
            <v>17200</v>
          </cell>
          <cell r="C450">
            <v>2991</v>
          </cell>
          <cell r="D450">
            <v>3.8807999999999995E-2</v>
          </cell>
        </row>
        <row r="451">
          <cell r="B451" t="str">
            <v/>
          </cell>
        </row>
        <row r="452">
          <cell r="A452" t="str">
            <v>C13420H</v>
          </cell>
          <cell r="B452">
            <v>13500</v>
          </cell>
          <cell r="C452">
            <v>1998</v>
          </cell>
          <cell r="D452">
            <v>4.648E-2</v>
          </cell>
        </row>
        <row r="453">
          <cell r="B453" t="str">
            <v/>
          </cell>
        </row>
        <row r="454">
          <cell r="A454" t="str">
            <v>C20020BPS</v>
          </cell>
          <cell r="B454">
            <v>18500</v>
          </cell>
          <cell r="C454">
            <v>2000</v>
          </cell>
          <cell r="D454">
            <v>3.4476E-2</v>
          </cell>
        </row>
        <row r="455">
          <cell r="A455" t="str">
            <v>C20020PR</v>
          </cell>
          <cell r="B455">
            <v>18500</v>
          </cell>
          <cell r="C455">
            <v>2000</v>
          </cell>
          <cell r="D455">
            <v>3.4476E-2</v>
          </cell>
        </row>
        <row r="456">
          <cell r="B456" t="str">
            <v/>
          </cell>
        </row>
        <row r="457">
          <cell r="A457" t="str">
            <v>C20020XBP</v>
          </cell>
          <cell r="B457">
            <v>19600</v>
          </cell>
          <cell r="C457">
            <v>2000</v>
          </cell>
          <cell r="D457">
            <v>4.6003999999999996E-2</v>
          </cell>
        </row>
        <row r="458">
          <cell r="A458" t="str">
            <v>C20020XPR</v>
          </cell>
          <cell r="B458">
            <v>19600</v>
          </cell>
          <cell r="C458">
            <v>2000</v>
          </cell>
          <cell r="D458">
            <v>4.6003999999999996E-2</v>
          </cell>
        </row>
        <row r="459">
          <cell r="B459" t="str">
            <v/>
          </cell>
        </row>
        <row r="460">
          <cell r="A460" t="str">
            <v>C12820F/C14</v>
          </cell>
          <cell r="B460">
            <v>6350</v>
          </cell>
          <cell r="C460">
            <v>996</v>
          </cell>
          <cell r="D460">
            <v>1.2937624999999999E-2</v>
          </cell>
        </row>
        <row r="461">
          <cell r="A461" t="str">
            <v>C13220B/C14</v>
          </cell>
          <cell r="B461">
            <v>8000</v>
          </cell>
          <cell r="C461">
            <v>980</v>
          </cell>
          <cell r="D461">
            <v>2.8262499999999999E-2</v>
          </cell>
        </row>
        <row r="462">
          <cell r="A462" t="str">
            <v>C13220TS/C14</v>
          </cell>
          <cell r="B462">
            <v>8000</v>
          </cell>
          <cell r="C462">
            <v>980</v>
          </cell>
          <cell r="D462">
            <v>2.8262499999999999E-2</v>
          </cell>
        </row>
        <row r="463">
          <cell r="A463" t="str">
            <v>C18820XR/C14</v>
          </cell>
          <cell r="B463">
            <v>11000</v>
          </cell>
          <cell r="C463">
            <v>995</v>
          </cell>
          <cell r="D463">
            <v>2.2848E-2</v>
          </cell>
        </row>
        <row r="464">
          <cell r="A464" t="str">
            <v>C20020N/C14</v>
          </cell>
          <cell r="B464">
            <v>9000</v>
          </cell>
          <cell r="C464">
            <v>1000</v>
          </cell>
          <cell r="D464">
            <v>1.95E-2</v>
          </cell>
        </row>
        <row r="465">
          <cell r="A465" t="str">
            <v>C20020XPR/C14</v>
          </cell>
          <cell r="B465">
            <v>10000</v>
          </cell>
          <cell r="C465">
            <v>1000</v>
          </cell>
          <cell r="D465">
            <v>2.5042499999999999E-2</v>
          </cell>
        </row>
        <row r="466">
          <cell r="A466" t="str">
            <v>C20020XTS/C14</v>
          </cell>
          <cell r="B466">
            <v>10000</v>
          </cell>
          <cell r="C466">
            <v>1000</v>
          </cell>
          <cell r="D466">
            <v>2.5042499999999999E-2</v>
          </cell>
        </row>
        <row r="467">
          <cell r="A467" t="str">
            <v>C19320XR/C14</v>
          </cell>
          <cell r="B467">
            <v>9500</v>
          </cell>
          <cell r="C467">
            <v>997</v>
          </cell>
          <cell r="D467">
            <v>2.6672249999999998E-2</v>
          </cell>
        </row>
        <row r="468">
          <cell r="B468" t="str">
            <v/>
          </cell>
        </row>
        <row r="469">
          <cell r="A469" t="str">
            <v>C19220F/C14</v>
          </cell>
          <cell r="B469">
            <v>9580</v>
          </cell>
          <cell r="C469">
            <v>1494</v>
          </cell>
          <cell r="D469">
            <v>1.8269999999999998E-2</v>
          </cell>
        </row>
        <row r="470">
          <cell r="A470" t="str">
            <v>C25220XFS/C14</v>
          </cell>
          <cell r="B470">
            <v>12700</v>
          </cell>
          <cell r="C470">
            <v>1994</v>
          </cell>
          <cell r="D470">
            <v>3.3736499999999996E-2</v>
          </cell>
        </row>
        <row r="471">
          <cell r="A471" t="str">
            <v>C25620F/C14</v>
          </cell>
          <cell r="B471">
            <v>12000</v>
          </cell>
          <cell r="C471">
            <v>1992</v>
          </cell>
          <cell r="D471">
            <v>2.4695999999999999E-2</v>
          </cell>
        </row>
        <row r="472">
          <cell r="A472" t="str">
            <v>C26420N/C14</v>
          </cell>
          <cell r="B472">
            <v>15000</v>
          </cell>
          <cell r="C472">
            <v>1960</v>
          </cell>
          <cell r="D472">
            <v>5.686625E-2</v>
          </cell>
        </row>
        <row r="473">
          <cell r="A473" t="str">
            <v>C30020R/C14</v>
          </cell>
          <cell r="B473">
            <v>14000</v>
          </cell>
          <cell r="C473">
            <v>1500</v>
          </cell>
          <cell r="D473">
            <v>2.886E-2</v>
          </cell>
        </row>
        <row r="474">
          <cell r="A474" t="str">
            <v>C40020B/C14</v>
          </cell>
          <cell r="B474">
            <v>18500</v>
          </cell>
          <cell r="C474">
            <v>2000</v>
          </cell>
          <cell r="D474">
            <v>3.7499999999999999E-2</v>
          </cell>
        </row>
        <row r="475">
          <cell r="A475" t="str">
            <v>C40020XPR/C14</v>
          </cell>
          <cell r="B475">
            <v>18000</v>
          </cell>
          <cell r="C475">
            <v>2000</v>
          </cell>
          <cell r="D475">
            <v>5.0675999999999999E-2</v>
          </cell>
        </row>
        <row r="476">
          <cell r="A476" t="str">
            <v>C1-C2 C51220I/C14</v>
          </cell>
          <cell r="B476">
            <v>24000</v>
          </cell>
          <cell r="C476">
            <v>3894</v>
          </cell>
          <cell r="D476">
            <v>4.9391999999999998E-2</v>
          </cell>
        </row>
        <row r="477">
          <cell r="A477" t="str">
            <v>C1-C2 C65620XH/C14</v>
          </cell>
          <cell r="B477">
            <v>36000</v>
          </cell>
          <cell r="C477">
            <v>3894</v>
          </cell>
          <cell r="D477">
            <v>9.4936499999999993E-2</v>
          </cell>
        </row>
        <row r="478">
          <cell r="A478" t="str">
            <v>C1-C2 C80020S/C14</v>
          </cell>
          <cell r="B478">
            <v>36000</v>
          </cell>
          <cell r="C478">
            <v>4000</v>
          </cell>
          <cell r="D478">
            <v>7.3499999999999996E-2</v>
          </cell>
        </row>
        <row r="479">
          <cell r="B479" t="str">
            <v/>
          </cell>
        </row>
        <row r="480">
          <cell r="A480" t="str">
            <v>C6420DU/C</v>
          </cell>
          <cell r="B480">
            <v>20200</v>
          </cell>
          <cell r="C480">
            <v>2976</v>
          </cell>
          <cell r="D480">
            <v>4.2900000000000001E-2</v>
          </cell>
        </row>
        <row r="481">
          <cell r="A481" t="str">
            <v>C12820F/C</v>
          </cell>
          <cell r="B481">
            <v>6350</v>
          </cell>
          <cell r="C481">
            <v>996</v>
          </cell>
          <cell r="D481">
            <v>1.3829875E-2</v>
          </cell>
        </row>
        <row r="482">
          <cell r="A482" t="str">
            <v>C13220B/C</v>
          </cell>
          <cell r="B482">
            <v>7300</v>
          </cell>
          <cell r="C482">
            <v>980</v>
          </cell>
          <cell r="D482">
            <v>2.8262499999999999E-2</v>
          </cell>
        </row>
        <row r="483">
          <cell r="A483" t="str">
            <v>C19220F/C</v>
          </cell>
          <cell r="B483">
            <v>9580</v>
          </cell>
          <cell r="C483">
            <v>1494</v>
          </cell>
          <cell r="D483">
            <v>1.9529999999999999E-2</v>
          </cell>
        </row>
        <row r="484">
          <cell r="A484" t="str">
            <v>C25220XFS/C</v>
          </cell>
          <cell r="B484">
            <v>12700</v>
          </cell>
          <cell r="C484">
            <v>1994</v>
          </cell>
          <cell r="D484">
            <v>3.3736499999999996E-2</v>
          </cell>
        </row>
        <row r="485">
          <cell r="A485" t="str">
            <v>C25620NID/C</v>
          </cell>
          <cell r="B485">
            <v>13500</v>
          </cell>
          <cell r="C485">
            <v>1992</v>
          </cell>
          <cell r="D485">
            <v>2.6690999999999999E-2</v>
          </cell>
        </row>
        <row r="486">
          <cell r="A486" t="str">
            <v>C25620F/C</v>
          </cell>
          <cell r="B486">
            <v>13500</v>
          </cell>
          <cell r="C486">
            <v>1992</v>
          </cell>
          <cell r="D486">
            <v>2.6690999999999999E-2</v>
          </cell>
        </row>
        <row r="487">
          <cell r="A487" t="str">
            <v>C26420N/C</v>
          </cell>
          <cell r="B487">
            <v>15100</v>
          </cell>
          <cell r="C487">
            <v>1960</v>
          </cell>
          <cell r="D487">
            <v>5.0367249999999995E-2</v>
          </cell>
        </row>
        <row r="488">
          <cell r="A488" t="str">
            <v>C32820XM/C</v>
          </cell>
          <cell r="B488">
            <v>18000</v>
          </cell>
          <cell r="C488">
            <v>1947</v>
          </cell>
          <cell r="D488">
            <v>4.7468249999999997E-2</v>
          </cell>
        </row>
        <row r="489">
          <cell r="B489" t="str">
            <v/>
          </cell>
        </row>
        <row r="490">
          <cell r="A490" t="str">
            <v>C18020SIG/C</v>
          </cell>
          <cell r="B490">
            <v>9000</v>
          </cell>
          <cell r="C490">
            <v>1980</v>
          </cell>
          <cell r="D490">
            <v>1.82125E-2</v>
          </cell>
        </row>
        <row r="491">
          <cell r="A491" t="str">
            <v>C26020F/C</v>
          </cell>
          <cell r="B491">
            <v>12000</v>
          </cell>
          <cell r="C491">
            <v>1994</v>
          </cell>
          <cell r="D491">
            <v>2.8209999999999999E-2</v>
          </cell>
        </row>
        <row r="492">
          <cell r="A492" t="str">
            <v>C26820F/C</v>
          </cell>
          <cell r="B492">
            <v>14500</v>
          </cell>
          <cell r="C492">
            <v>1998</v>
          </cell>
          <cell r="D492">
            <v>4.6304999999999999E-2</v>
          </cell>
        </row>
        <row r="493">
          <cell r="A493" t="str">
            <v>C39020F/C</v>
          </cell>
          <cell r="B493">
            <v>17000</v>
          </cell>
          <cell r="C493">
            <v>2985</v>
          </cell>
          <cell r="D493">
            <v>4.0578999999999997E-2</v>
          </cell>
        </row>
        <row r="494">
          <cell r="A494" t="str">
            <v>C52020F/C</v>
          </cell>
          <cell r="B494">
            <v>24500</v>
          </cell>
          <cell r="C494">
            <v>3988</v>
          </cell>
          <cell r="D494">
            <v>5.3881874999999996E-2</v>
          </cell>
        </row>
        <row r="495">
          <cell r="A495" t="str">
            <v>C53620F/C</v>
          </cell>
          <cell r="B495">
            <v>28900</v>
          </cell>
          <cell r="C495">
            <v>3996</v>
          </cell>
          <cell r="D495">
            <v>9.2960000000000001E-2</v>
          </cell>
        </row>
        <row r="496">
          <cell r="A496" t="str">
            <v>C60020XPR/C</v>
          </cell>
          <cell r="B496">
            <v>30000</v>
          </cell>
          <cell r="C496">
            <v>3000</v>
          </cell>
          <cell r="D496">
            <v>6.8773500000000001E-2</v>
          </cell>
        </row>
        <row r="497">
          <cell r="B497" t="str">
            <v/>
          </cell>
        </row>
        <row r="498">
          <cell r="A498" t="str">
            <v>C1625B</v>
          </cell>
          <cell r="B498">
            <v>15000</v>
          </cell>
          <cell r="C498">
            <v>2496</v>
          </cell>
          <cell r="D498">
            <v>3.2863999999999997E-2</v>
          </cell>
        </row>
        <row r="499">
          <cell r="A499" t="str">
            <v>C1625D</v>
          </cell>
          <cell r="B499">
            <v>14500</v>
          </cell>
          <cell r="C499">
            <v>2496</v>
          </cell>
          <cell r="D499">
            <v>3.2863999999999997E-2</v>
          </cell>
        </row>
        <row r="500">
          <cell r="A500" t="str">
            <v>C1625F</v>
          </cell>
          <cell r="B500">
            <v>15400</v>
          </cell>
          <cell r="C500">
            <v>2496</v>
          </cell>
          <cell r="D500">
            <v>3.2863999999999997E-2</v>
          </cell>
        </row>
        <row r="501">
          <cell r="A501" t="str">
            <v>C1625G</v>
          </cell>
          <cell r="B501">
            <v>16000</v>
          </cell>
          <cell r="C501">
            <v>2496</v>
          </cell>
          <cell r="D501">
            <v>3.2863999999999997E-2</v>
          </cell>
        </row>
        <row r="502">
          <cell r="B502" t="str">
            <v/>
          </cell>
        </row>
        <row r="503">
          <cell r="A503" t="str">
            <v>C1625DU</v>
          </cell>
          <cell r="B503">
            <v>16000</v>
          </cell>
          <cell r="C503">
            <v>3072</v>
          </cell>
          <cell r="D503">
            <v>3.2863999999999997E-2</v>
          </cell>
        </row>
        <row r="504">
          <cell r="A504" t="str">
            <v>C1625D14</v>
          </cell>
          <cell r="B504">
            <v>15000</v>
          </cell>
          <cell r="C504">
            <v>2496</v>
          </cell>
          <cell r="D504">
            <v>3.2863999999999997E-2</v>
          </cell>
        </row>
        <row r="505">
          <cell r="A505" t="str">
            <v>C1625F14</v>
          </cell>
          <cell r="B505">
            <v>15060</v>
          </cell>
          <cell r="C505">
            <v>2496</v>
          </cell>
          <cell r="D505">
            <v>3.2863999999999997E-2</v>
          </cell>
        </row>
        <row r="506">
          <cell r="B506" t="str">
            <v/>
          </cell>
        </row>
        <row r="507">
          <cell r="A507" t="str">
            <v>C2525BPW</v>
          </cell>
          <cell r="B507">
            <v>21000</v>
          </cell>
          <cell r="C507">
            <v>3600</v>
          </cell>
          <cell r="D507">
            <v>4.7185874999999995E-2</v>
          </cell>
        </row>
        <row r="508">
          <cell r="A508" t="str">
            <v>C2525SIG</v>
          </cell>
          <cell r="B508">
            <v>22000</v>
          </cell>
          <cell r="C508">
            <v>5988</v>
          </cell>
          <cell r="D508">
            <v>4.7185874999999995E-2</v>
          </cell>
        </row>
        <row r="509">
          <cell r="A509" t="str">
            <v>C2525DU</v>
          </cell>
          <cell r="B509">
            <v>21000</v>
          </cell>
          <cell r="C509">
            <v>3600</v>
          </cell>
          <cell r="D509">
            <v>4.7185874999999995E-2</v>
          </cell>
        </row>
        <row r="510">
          <cell r="A510" t="str">
            <v>C2525C</v>
          </cell>
          <cell r="B510">
            <v>21000</v>
          </cell>
          <cell r="C510">
            <v>3900</v>
          </cell>
          <cell r="D510">
            <v>4.7185874999999995E-2</v>
          </cell>
        </row>
        <row r="511">
          <cell r="A511" t="str">
            <v>C2525L</v>
          </cell>
          <cell r="B511">
            <v>21000</v>
          </cell>
          <cell r="C511">
            <v>3900</v>
          </cell>
          <cell r="D511">
            <v>4.7185874999999995E-2</v>
          </cell>
        </row>
        <row r="512">
          <cell r="B512" t="str">
            <v/>
          </cell>
        </row>
        <row r="513">
          <cell r="A513" t="str">
            <v>C2525SC14</v>
          </cell>
          <cell r="B513">
            <v>12000</v>
          </cell>
          <cell r="C513">
            <v>2000</v>
          </cell>
          <cell r="D513">
            <v>3.2767999999999999E-2</v>
          </cell>
        </row>
        <row r="514">
          <cell r="B514" t="str">
            <v/>
          </cell>
        </row>
        <row r="515">
          <cell r="A515" t="str">
            <v>CF2525D</v>
          </cell>
          <cell r="B515">
            <v>19500</v>
          </cell>
          <cell r="C515">
            <v>3250</v>
          </cell>
          <cell r="D515">
            <v>7.3631249999999995E-2</v>
          </cell>
        </row>
        <row r="516">
          <cell r="A516" t="str">
            <v>CF2525O</v>
          </cell>
          <cell r="B516">
            <v>19500</v>
          </cell>
          <cell r="C516">
            <v>3250</v>
          </cell>
          <cell r="D516">
            <v>7.3631249999999995E-2</v>
          </cell>
        </row>
        <row r="517">
          <cell r="A517" t="str">
            <v>CF2525S</v>
          </cell>
          <cell r="B517">
            <v>19500</v>
          </cell>
          <cell r="C517">
            <v>3250</v>
          </cell>
          <cell r="D517">
            <v>7.3631249999999995E-2</v>
          </cell>
        </row>
        <row r="518">
          <cell r="B518" t="str">
            <v/>
          </cell>
        </row>
        <row r="519">
          <cell r="A519" t="str">
            <v>C3625P</v>
          </cell>
          <cell r="B519">
            <v>19500</v>
          </cell>
          <cell r="C519">
            <v>3744</v>
          </cell>
          <cell r="D519">
            <v>4.7803999999999999E-2</v>
          </cell>
        </row>
        <row r="520">
          <cell r="B520" t="str">
            <v/>
          </cell>
        </row>
        <row r="521">
          <cell r="A521" t="str">
            <v>C3625P14</v>
          </cell>
          <cell r="B521">
            <v>19500</v>
          </cell>
          <cell r="C521">
            <v>3744</v>
          </cell>
          <cell r="D521">
            <v>4.7803999999999999E-2</v>
          </cell>
        </row>
        <row r="522">
          <cell r="B522" t="str">
            <v/>
          </cell>
        </row>
        <row r="523">
          <cell r="A523" t="str">
            <v>C4825MP</v>
          </cell>
          <cell r="B523">
            <v>23500</v>
          </cell>
          <cell r="C523">
            <v>2976</v>
          </cell>
          <cell r="D523">
            <v>6.2899999999999998E-2</v>
          </cell>
        </row>
        <row r="524">
          <cell r="B524" t="str">
            <v/>
          </cell>
        </row>
        <row r="525">
          <cell r="A525" t="str">
            <v>C4925G</v>
          </cell>
          <cell r="B525">
            <v>20000</v>
          </cell>
          <cell r="C525">
            <v>2988</v>
          </cell>
          <cell r="D525">
            <v>4.8943999999999994E-2</v>
          </cell>
        </row>
        <row r="526">
          <cell r="A526" t="str">
            <v>C4925P</v>
          </cell>
          <cell r="B526">
            <v>20000</v>
          </cell>
          <cell r="C526">
            <v>2988</v>
          </cell>
          <cell r="D526">
            <v>4.8943999999999994E-2</v>
          </cell>
        </row>
        <row r="527">
          <cell r="A527" t="str">
            <v>C4925V</v>
          </cell>
          <cell r="B527">
            <v>20000</v>
          </cell>
          <cell r="C527">
            <v>2988</v>
          </cell>
          <cell r="D527">
            <v>4.8943999999999994E-2</v>
          </cell>
        </row>
        <row r="528">
          <cell r="B528" t="str">
            <v/>
          </cell>
        </row>
        <row r="529">
          <cell r="A529" t="str">
            <v>C4925BP14</v>
          </cell>
          <cell r="B529">
            <v>20000</v>
          </cell>
          <cell r="C529">
            <v>3000</v>
          </cell>
          <cell r="D529">
            <v>4.8943999999999994E-2</v>
          </cell>
        </row>
        <row r="530">
          <cell r="A530" t="str">
            <v>C4925NO14</v>
          </cell>
          <cell r="B530">
            <v>20000</v>
          </cell>
          <cell r="C530">
            <v>2970</v>
          </cell>
          <cell r="D530">
            <v>4.8943999999999994E-2</v>
          </cell>
        </row>
        <row r="531">
          <cell r="A531" t="str">
            <v>C4925V14</v>
          </cell>
          <cell r="B531">
            <v>20000</v>
          </cell>
          <cell r="C531">
            <v>2988</v>
          </cell>
          <cell r="D531">
            <v>4.8943999999999994E-2</v>
          </cell>
        </row>
        <row r="532">
          <cell r="A532" t="str">
            <v>C4925VS14</v>
          </cell>
          <cell r="B532">
            <v>20000</v>
          </cell>
          <cell r="C532">
            <v>2988</v>
          </cell>
          <cell r="D532">
            <v>4.8943999999999994E-2</v>
          </cell>
        </row>
        <row r="533">
          <cell r="B533" t="str">
            <v/>
          </cell>
        </row>
        <row r="534">
          <cell r="A534" t="str">
            <v>C4925SIG</v>
          </cell>
          <cell r="B534">
            <v>20000</v>
          </cell>
          <cell r="C534">
            <v>5880</v>
          </cell>
          <cell r="D534">
            <v>4.8943999999999994E-2</v>
          </cell>
        </row>
        <row r="535">
          <cell r="A535" t="str">
            <v>C4925D</v>
          </cell>
          <cell r="B535">
            <v>20000</v>
          </cell>
          <cell r="C535">
            <v>3528</v>
          </cell>
          <cell r="D535">
            <v>4.8943999999999994E-2</v>
          </cell>
        </row>
        <row r="536">
          <cell r="B536" t="str">
            <v/>
          </cell>
        </row>
        <row r="537">
          <cell r="A537" t="str">
            <v>CF4925S14</v>
          </cell>
          <cell r="B537">
            <v>18500</v>
          </cell>
          <cell r="C537">
            <v>1992</v>
          </cell>
          <cell r="D537">
            <v>5.7854999999999997E-2</v>
          </cell>
        </row>
        <row r="538">
          <cell r="A538" t="str">
            <v>CF4925B14</v>
          </cell>
          <cell r="B538">
            <v>18500</v>
          </cell>
          <cell r="C538">
            <v>1992</v>
          </cell>
          <cell r="D538">
            <v>5.7854999999999997E-2</v>
          </cell>
        </row>
        <row r="539">
          <cell r="B539" t="str">
            <v/>
          </cell>
        </row>
        <row r="540">
          <cell r="A540" t="str">
            <v>CF4925S</v>
          </cell>
          <cell r="B540">
            <v>18500</v>
          </cell>
          <cell r="C540">
            <v>2600</v>
          </cell>
          <cell r="D540">
            <v>5.7854999999999997E-2</v>
          </cell>
        </row>
        <row r="541">
          <cell r="A541" t="str">
            <v>CF4925D</v>
          </cell>
          <cell r="B541">
            <v>18000</v>
          </cell>
          <cell r="C541">
            <v>2352</v>
          </cell>
          <cell r="D541">
            <v>5.7854999999999997E-2</v>
          </cell>
        </row>
        <row r="542">
          <cell r="A542" t="str">
            <v>CF4925B</v>
          </cell>
          <cell r="B542">
            <v>18500</v>
          </cell>
          <cell r="C542">
            <v>2800</v>
          </cell>
          <cell r="D542">
            <v>5.7854999999999997E-2</v>
          </cell>
        </row>
        <row r="543">
          <cell r="B543" t="str">
            <v/>
          </cell>
        </row>
        <row r="544">
          <cell r="A544" t="str">
            <v>C6425XPT</v>
          </cell>
          <cell r="B544">
            <v>18500</v>
          </cell>
          <cell r="C544">
            <v>2880</v>
          </cell>
          <cell r="D544">
            <v>5.6998500000000001E-2</v>
          </cell>
        </row>
        <row r="545">
          <cell r="B545" t="str">
            <v/>
          </cell>
        </row>
        <row r="546">
          <cell r="A546" t="str">
            <v>C8825G</v>
          </cell>
          <cell r="B546">
            <v>12500</v>
          </cell>
          <cell r="C546">
            <v>1996</v>
          </cell>
          <cell r="D546">
            <v>3.07785E-2</v>
          </cell>
        </row>
        <row r="547">
          <cell r="A547" t="str">
            <v>C8825PA</v>
          </cell>
          <cell r="B547">
            <v>12500</v>
          </cell>
          <cell r="C547">
            <v>1996</v>
          </cell>
          <cell r="D547">
            <v>3.07785E-2</v>
          </cell>
        </row>
        <row r="548">
          <cell r="A548" t="str">
            <v>C8825BR</v>
          </cell>
          <cell r="B548">
            <v>12500</v>
          </cell>
          <cell r="C548">
            <v>1996</v>
          </cell>
          <cell r="D548">
            <v>3.2576250000000001E-2</v>
          </cell>
        </row>
        <row r="549">
          <cell r="B549" t="str">
            <v/>
          </cell>
        </row>
        <row r="550">
          <cell r="A550" t="str">
            <v>C10025BPS</v>
          </cell>
          <cell r="B550">
            <v>14000</v>
          </cell>
          <cell r="C550">
            <v>2000</v>
          </cell>
          <cell r="D550">
            <v>3.3728000000000001E-2</v>
          </cell>
        </row>
        <row r="551">
          <cell r="A551" t="str">
            <v>C10025PR1</v>
          </cell>
          <cell r="B551">
            <v>14000</v>
          </cell>
          <cell r="C551">
            <v>2000</v>
          </cell>
          <cell r="D551">
            <v>3.7696E-2</v>
          </cell>
        </row>
        <row r="552">
          <cell r="A552" t="str">
            <v>C10025I</v>
          </cell>
          <cell r="B552">
            <v>14500</v>
          </cell>
          <cell r="C552">
            <v>1990</v>
          </cell>
          <cell r="D552">
            <v>3.7696E-2</v>
          </cell>
        </row>
        <row r="553">
          <cell r="B553" t="str">
            <v/>
          </cell>
        </row>
        <row r="554">
          <cell r="A554" t="str">
            <v>C6425DU/C14</v>
          </cell>
          <cell r="B554">
            <v>5500</v>
          </cell>
          <cell r="C554">
            <v>1000</v>
          </cell>
          <cell r="D554">
            <v>1.3122E-2</v>
          </cell>
        </row>
        <row r="555">
          <cell r="A555" t="str">
            <v>C9625MF/C14</v>
          </cell>
          <cell r="B555">
            <v>9000</v>
          </cell>
          <cell r="C555">
            <v>992</v>
          </cell>
          <cell r="D555">
            <v>2.5271999999999999E-2</v>
          </cell>
        </row>
        <row r="556">
          <cell r="A556" t="str">
            <v>C9825C/C14</v>
          </cell>
          <cell r="B556">
            <v>8000</v>
          </cell>
          <cell r="C556">
            <v>996</v>
          </cell>
          <cell r="D556">
            <v>1.8216E-2</v>
          </cell>
        </row>
        <row r="557">
          <cell r="A557" t="str">
            <v>C9825SIG/C14</v>
          </cell>
          <cell r="B557">
            <v>8300</v>
          </cell>
          <cell r="C557">
            <v>1000</v>
          </cell>
          <cell r="D557">
            <v>1.8216E-2</v>
          </cell>
        </row>
        <row r="558">
          <cell r="A558" t="str">
            <v>C10025BPW/C14</v>
          </cell>
          <cell r="B558">
            <v>9000</v>
          </cell>
          <cell r="C558">
            <v>1000</v>
          </cell>
          <cell r="D558">
            <v>1.7860499999999998E-2</v>
          </cell>
        </row>
        <row r="559">
          <cell r="A559" t="str">
            <v>C14025XFS/C14</v>
          </cell>
          <cell r="B559">
            <v>12800</v>
          </cell>
          <cell r="C559">
            <v>1820</v>
          </cell>
          <cell r="D559">
            <v>3.7949999999999998E-2</v>
          </cell>
        </row>
        <row r="560">
          <cell r="A560" t="str">
            <v>C19225MF/C14</v>
          </cell>
          <cell r="B560">
            <v>18000</v>
          </cell>
          <cell r="C560">
            <v>1984</v>
          </cell>
          <cell r="D560">
            <v>4.9612499999999997E-2</v>
          </cell>
        </row>
        <row r="561">
          <cell r="A561" t="str">
            <v>C19625/C14</v>
          </cell>
          <cell r="B561">
            <v>17500</v>
          </cell>
          <cell r="C561">
            <v>1992</v>
          </cell>
          <cell r="D561">
            <v>3.4847999999999997E-2</v>
          </cell>
        </row>
        <row r="562">
          <cell r="A562" t="str">
            <v>C1-C2 C40025F/C14</v>
          </cell>
          <cell r="B562">
            <v>36000</v>
          </cell>
          <cell r="C562">
            <v>3980</v>
          </cell>
          <cell r="D562">
            <v>7.4295E-2</v>
          </cell>
        </row>
        <row r="563">
          <cell r="B563" t="str">
            <v/>
          </cell>
        </row>
        <row r="564">
          <cell r="A564" t="str">
            <v>C9825C/C</v>
          </cell>
          <cell r="B564">
            <v>8800</v>
          </cell>
          <cell r="C564">
            <v>996</v>
          </cell>
          <cell r="D564">
            <v>1.8216E-2</v>
          </cell>
        </row>
        <row r="565">
          <cell r="A565" t="str">
            <v>C10025SIG/C</v>
          </cell>
          <cell r="B565">
            <v>9500</v>
          </cell>
          <cell r="C565">
            <v>1999</v>
          </cell>
          <cell r="D565">
            <v>1.7135999999999998E-2</v>
          </cell>
        </row>
        <row r="566">
          <cell r="A566" t="str">
            <v>C14025XFS/C</v>
          </cell>
          <cell r="B566">
            <v>12800</v>
          </cell>
          <cell r="C566">
            <v>1820</v>
          </cell>
          <cell r="D566">
            <v>3.7949999999999998E-2</v>
          </cell>
        </row>
        <row r="567">
          <cell r="A567" t="str">
            <v>C19625F/C</v>
          </cell>
          <cell r="B567">
            <v>17500</v>
          </cell>
          <cell r="C567">
            <v>1992</v>
          </cell>
          <cell r="D567">
            <v>3.4847999999999997E-2</v>
          </cell>
        </row>
        <row r="568">
          <cell r="A568" t="str">
            <v>C20025I/C</v>
          </cell>
          <cell r="B568">
            <v>18200</v>
          </cell>
          <cell r="C568">
            <v>1990</v>
          </cell>
          <cell r="D568">
            <v>3.71475E-2</v>
          </cell>
        </row>
        <row r="569">
          <cell r="B569" t="str">
            <v/>
          </cell>
        </row>
        <row r="570">
          <cell r="A570" t="str">
            <v>C17825W/C</v>
          </cell>
          <cell r="B570">
            <v>17300</v>
          </cell>
          <cell r="C570">
            <v>1990</v>
          </cell>
          <cell r="D570">
            <v>5.1275624999999998E-2</v>
          </cell>
        </row>
        <row r="571">
          <cell r="A571" t="str">
            <v>C20025F/C</v>
          </cell>
          <cell r="B571">
            <v>18200</v>
          </cell>
          <cell r="C571">
            <v>1990</v>
          </cell>
          <cell r="D571">
            <v>3.71475E-2</v>
          </cell>
        </row>
        <row r="572">
          <cell r="A572" t="str">
            <v>C30025F/C</v>
          </cell>
          <cell r="B572">
            <v>26800</v>
          </cell>
          <cell r="C572">
            <v>2985</v>
          </cell>
          <cell r="D572">
            <v>5.4404999999999995E-2</v>
          </cell>
        </row>
        <row r="573">
          <cell r="A573" t="str">
            <v>C40025F/C</v>
          </cell>
          <cell r="B573">
            <v>33500</v>
          </cell>
          <cell r="C573">
            <v>3980</v>
          </cell>
          <cell r="D573">
            <v>6.9192000000000004E-2</v>
          </cell>
        </row>
        <row r="574">
          <cell r="B574" t="str">
            <v/>
          </cell>
        </row>
        <row r="575">
          <cell r="A575" t="str">
            <v>C163BP</v>
          </cell>
          <cell r="B575">
            <v>18500</v>
          </cell>
          <cell r="C575">
            <v>2800</v>
          </cell>
          <cell r="D575">
            <v>4.7297249999999999E-2</v>
          </cell>
        </row>
        <row r="576">
          <cell r="A576" t="str">
            <v>C163SIG</v>
          </cell>
          <cell r="B576">
            <v>18500</v>
          </cell>
          <cell r="C576">
            <v>4000</v>
          </cell>
          <cell r="D576">
            <v>4.7297249999999999E-2</v>
          </cell>
        </row>
        <row r="577">
          <cell r="A577" t="str">
            <v>C163A</v>
          </cell>
          <cell r="B577">
            <v>18500</v>
          </cell>
          <cell r="C577">
            <v>3040</v>
          </cell>
          <cell r="D577">
            <v>4.7297249999999999E-2</v>
          </cell>
        </row>
        <row r="578">
          <cell r="A578" t="str">
            <v>C163B</v>
          </cell>
          <cell r="B578">
            <v>18500</v>
          </cell>
          <cell r="C578">
            <v>3040</v>
          </cell>
          <cell r="D578">
            <v>4.7297249999999999E-2</v>
          </cell>
        </row>
        <row r="579">
          <cell r="A579" t="str">
            <v>C163L</v>
          </cell>
          <cell r="B579">
            <v>18500</v>
          </cell>
          <cell r="C579">
            <v>3040</v>
          </cell>
          <cell r="D579">
            <v>4.7297249999999999E-2</v>
          </cell>
        </row>
        <row r="580">
          <cell r="A580" t="str">
            <v>C163E</v>
          </cell>
          <cell r="B580">
            <v>18500</v>
          </cell>
          <cell r="C580">
            <v>3040</v>
          </cell>
          <cell r="D580">
            <v>4.7297249999999999E-2</v>
          </cell>
        </row>
        <row r="581">
          <cell r="A581" t="str">
            <v>C163K</v>
          </cell>
          <cell r="B581">
            <v>18500</v>
          </cell>
          <cell r="C581">
            <v>3040</v>
          </cell>
          <cell r="D581">
            <v>4.7297249999999999E-2</v>
          </cell>
        </row>
        <row r="582">
          <cell r="B582" t="str">
            <v/>
          </cell>
        </row>
        <row r="583">
          <cell r="A583" t="str">
            <v>C163A14</v>
          </cell>
          <cell r="B583">
            <v>18500</v>
          </cell>
          <cell r="C583">
            <v>3040</v>
          </cell>
          <cell r="D583">
            <v>4.7297249999999999E-2</v>
          </cell>
        </row>
        <row r="584">
          <cell r="B584" t="str">
            <v/>
          </cell>
        </row>
        <row r="585">
          <cell r="A585" t="str">
            <v>C193BP</v>
          </cell>
          <cell r="B585">
            <v>17600</v>
          </cell>
          <cell r="C585">
            <v>2584</v>
          </cell>
          <cell r="D585">
            <v>5.4169499999999995E-2</v>
          </cell>
        </row>
        <row r="586">
          <cell r="A586" t="str">
            <v>C193C</v>
          </cell>
          <cell r="B586">
            <v>17600</v>
          </cell>
          <cell r="C586">
            <v>2888</v>
          </cell>
          <cell r="D586">
            <v>5.4169499999999995E-2</v>
          </cell>
        </row>
        <row r="587">
          <cell r="A587" t="str">
            <v>C193D</v>
          </cell>
          <cell r="B587">
            <v>17600</v>
          </cell>
          <cell r="C587">
            <v>2888</v>
          </cell>
          <cell r="D587">
            <v>5.4169499999999995E-2</v>
          </cell>
        </row>
        <row r="588">
          <cell r="A588" t="str">
            <v>C193J</v>
          </cell>
          <cell r="B588">
            <v>17600</v>
          </cell>
          <cell r="C588">
            <v>2888</v>
          </cell>
          <cell r="D588">
            <v>5.4169499999999995E-2</v>
          </cell>
        </row>
        <row r="589">
          <cell r="A589" t="str">
            <v>C193I</v>
          </cell>
          <cell r="B589">
            <v>17600</v>
          </cell>
          <cell r="C589">
            <v>2888</v>
          </cell>
          <cell r="D589">
            <v>5.4169499999999995E-2</v>
          </cell>
        </row>
        <row r="590">
          <cell r="B590" t="str">
            <v/>
          </cell>
        </row>
        <row r="591">
          <cell r="A591" t="str">
            <v>C253SIG</v>
          </cell>
          <cell r="B591">
            <v>21500</v>
          </cell>
          <cell r="C591">
            <v>4350</v>
          </cell>
          <cell r="D591">
            <v>5.3351999999999997E-2</v>
          </cell>
        </row>
        <row r="592">
          <cell r="A592" t="str">
            <v>C253SIG B</v>
          </cell>
          <cell r="B592">
            <v>21500</v>
          </cell>
          <cell r="C592">
            <v>4350</v>
          </cell>
          <cell r="D592">
            <v>4.7652E-2</v>
          </cell>
        </row>
        <row r="593">
          <cell r="A593" t="str">
            <v>C253FR</v>
          </cell>
          <cell r="B593">
            <v>19000</v>
          </cell>
          <cell r="C593">
            <v>2850</v>
          </cell>
          <cell r="D593">
            <v>4.7652E-2</v>
          </cell>
        </row>
        <row r="594">
          <cell r="A594" t="str">
            <v>C253MY</v>
          </cell>
          <cell r="B594">
            <v>20500</v>
          </cell>
          <cell r="C594">
            <v>2850</v>
          </cell>
          <cell r="D594">
            <v>4.7652E-2</v>
          </cell>
        </row>
        <row r="595">
          <cell r="A595" t="str">
            <v>C253DU</v>
          </cell>
          <cell r="B595">
            <v>19500</v>
          </cell>
          <cell r="C595">
            <v>2412</v>
          </cell>
          <cell r="D595">
            <v>4.7652E-2</v>
          </cell>
        </row>
        <row r="596">
          <cell r="B596" t="str">
            <v/>
          </cell>
        </row>
        <row r="597">
          <cell r="A597" t="str">
            <v>C253BP14</v>
          </cell>
          <cell r="B597">
            <v>18000</v>
          </cell>
          <cell r="C597">
            <v>2550</v>
          </cell>
          <cell r="D597">
            <v>4.7652E-2</v>
          </cell>
        </row>
        <row r="598">
          <cell r="A598" t="str">
            <v>C253NO14</v>
          </cell>
          <cell r="B598">
            <v>18800</v>
          </cell>
          <cell r="C598">
            <v>2958</v>
          </cell>
          <cell r="D598">
            <v>4.7652E-2</v>
          </cell>
        </row>
        <row r="599">
          <cell r="A599" t="str">
            <v>C253B14</v>
          </cell>
          <cell r="B599">
            <v>20000</v>
          </cell>
          <cell r="C599">
            <v>2850</v>
          </cell>
          <cell r="D599">
            <v>4.7652E-2</v>
          </cell>
        </row>
        <row r="600">
          <cell r="A600" t="str">
            <v>C253TH14</v>
          </cell>
          <cell r="B600">
            <v>20000</v>
          </cell>
          <cell r="C600">
            <v>2850</v>
          </cell>
          <cell r="D600">
            <v>4.7652E-2</v>
          </cell>
        </row>
        <row r="601">
          <cell r="A601" t="str">
            <v>C253E14</v>
          </cell>
          <cell r="B601">
            <v>19000</v>
          </cell>
          <cell r="C601">
            <v>2850</v>
          </cell>
          <cell r="D601">
            <v>4.7652E-2</v>
          </cell>
        </row>
        <row r="602">
          <cell r="B602" t="str">
            <v/>
          </cell>
        </row>
        <row r="603">
          <cell r="A603" t="str">
            <v>C253F14</v>
          </cell>
          <cell r="B603">
            <v>17500</v>
          </cell>
          <cell r="C603">
            <v>2850</v>
          </cell>
          <cell r="D603">
            <v>4.7652E-2</v>
          </cell>
        </row>
        <row r="604">
          <cell r="B604" t="str">
            <v/>
          </cell>
        </row>
        <row r="605">
          <cell r="A605" t="str">
            <v>CF253R14</v>
          </cell>
          <cell r="B605">
            <v>20000</v>
          </cell>
          <cell r="C605">
            <v>2850</v>
          </cell>
          <cell r="D605">
            <v>8.3071999999999993E-2</v>
          </cell>
        </row>
        <row r="606">
          <cell r="A606" t="str">
            <v>CF253D14</v>
          </cell>
          <cell r="B606">
            <v>20000</v>
          </cell>
          <cell r="C606">
            <v>2850</v>
          </cell>
          <cell r="D606">
            <v>8.3071999999999993E-2</v>
          </cell>
        </row>
        <row r="607">
          <cell r="A607" t="str">
            <v>CF253K14</v>
          </cell>
          <cell r="B607">
            <v>20000</v>
          </cell>
          <cell r="C607">
            <v>2850</v>
          </cell>
          <cell r="D607">
            <v>8.3071999999999993E-2</v>
          </cell>
        </row>
        <row r="608">
          <cell r="B608" t="str">
            <v/>
          </cell>
        </row>
        <row r="609">
          <cell r="A609" t="str">
            <v>C363PL</v>
          </cell>
          <cell r="B609">
            <v>18000</v>
          </cell>
          <cell r="C609">
            <v>2736</v>
          </cell>
          <cell r="D609">
            <v>5.0721124999999999E-2</v>
          </cell>
        </row>
        <row r="610">
          <cell r="A610" t="str">
            <v>C363PA</v>
          </cell>
          <cell r="B610">
            <v>18000</v>
          </cell>
          <cell r="C610">
            <v>2736</v>
          </cell>
          <cell r="D610">
            <v>5.0721124999999999E-2</v>
          </cell>
        </row>
        <row r="611">
          <cell r="A611" t="str">
            <v>C363DR</v>
          </cell>
          <cell r="B611">
            <v>18000</v>
          </cell>
          <cell r="C611">
            <v>2736</v>
          </cell>
          <cell r="D611">
            <v>5.0721124999999999E-2</v>
          </cell>
        </row>
        <row r="612">
          <cell r="B612" t="str">
            <v/>
          </cell>
        </row>
        <row r="613">
          <cell r="A613" t="str">
            <v>CF363S</v>
          </cell>
          <cell r="B613">
            <v>22500</v>
          </cell>
          <cell r="C613">
            <v>2736</v>
          </cell>
          <cell r="D613">
            <v>8.6393125000000001E-2</v>
          </cell>
        </row>
        <row r="614">
          <cell r="B614" t="str">
            <v/>
          </cell>
        </row>
        <row r="615">
          <cell r="A615" t="str">
            <v>C493BPS</v>
          </cell>
          <cell r="B615">
            <v>12500</v>
          </cell>
          <cell r="C615">
            <v>1666</v>
          </cell>
          <cell r="D615">
            <v>3.50595E-2</v>
          </cell>
        </row>
        <row r="616">
          <cell r="A616" t="str">
            <v>C493PR</v>
          </cell>
          <cell r="B616">
            <v>12500</v>
          </cell>
          <cell r="C616">
            <v>1800</v>
          </cell>
          <cell r="D616">
            <v>3.50595E-2</v>
          </cell>
        </row>
        <row r="617">
          <cell r="A617" t="str">
            <v>C493RU</v>
          </cell>
          <cell r="B617">
            <v>14000</v>
          </cell>
          <cell r="C617">
            <v>1862</v>
          </cell>
          <cell r="D617">
            <v>3.50595E-2</v>
          </cell>
        </row>
        <row r="618">
          <cell r="A618" t="str">
            <v>C493MA</v>
          </cell>
          <cell r="B618">
            <v>12500</v>
          </cell>
          <cell r="C618">
            <v>1862</v>
          </cell>
          <cell r="D618">
            <v>3.50595E-2</v>
          </cell>
        </row>
        <row r="619">
          <cell r="A619" t="str">
            <v>C493LI</v>
          </cell>
          <cell r="B619">
            <v>12500</v>
          </cell>
          <cell r="C619">
            <v>1862</v>
          </cell>
          <cell r="D619">
            <v>3.50595E-2</v>
          </cell>
        </row>
        <row r="620">
          <cell r="A620" t="str">
            <v>C493DU</v>
          </cell>
          <cell r="B620">
            <v>12500</v>
          </cell>
          <cell r="C620">
            <v>1618</v>
          </cell>
          <cell r="D620">
            <v>3.50595E-2</v>
          </cell>
        </row>
        <row r="621">
          <cell r="A621" t="str">
            <v>C493SW</v>
          </cell>
          <cell r="B621">
            <v>12500</v>
          </cell>
          <cell r="C621">
            <v>1996</v>
          </cell>
          <cell r="D621">
            <v>3.50595E-2</v>
          </cell>
        </row>
        <row r="622">
          <cell r="A622" t="str">
            <v>C493GH</v>
          </cell>
          <cell r="B622">
            <v>12500</v>
          </cell>
          <cell r="C622">
            <v>1862</v>
          </cell>
          <cell r="D622">
            <v>3.50595E-2</v>
          </cell>
        </row>
        <row r="623">
          <cell r="A623" t="str">
            <v>C493RG</v>
          </cell>
          <cell r="B623">
            <v>12500</v>
          </cell>
          <cell r="C623">
            <v>1862</v>
          </cell>
          <cell r="D623">
            <v>3.50595E-2</v>
          </cell>
        </row>
        <row r="624">
          <cell r="A624" t="str">
            <v>C493BW</v>
          </cell>
          <cell r="B624">
            <v>12500</v>
          </cell>
          <cell r="C624">
            <v>1862</v>
          </cell>
          <cell r="D624">
            <v>3.50595E-2</v>
          </cell>
        </row>
        <row r="625">
          <cell r="B625" t="str">
            <v/>
          </cell>
        </row>
        <row r="626">
          <cell r="A626" t="str">
            <v>CF493ST</v>
          </cell>
          <cell r="B626">
            <v>14500</v>
          </cell>
          <cell r="C626">
            <v>1862</v>
          </cell>
          <cell r="D626">
            <v>5.9639124999999994E-2</v>
          </cell>
        </row>
        <row r="627">
          <cell r="A627" t="str">
            <v>CF493SA</v>
          </cell>
          <cell r="B627">
            <v>14500</v>
          </cell>
          <cell r="C627">
            <v>1862</v>
          </cell>
          <cell r="D627">
            <v>5.9639124999999994E-2</v>
          </cell>
        </row>
        <row r="628">
          <cell r="A628" t="str">
            <v>CF493W</v>
          </cell>
          <cell r="B628">
            <v>14500</v>
          </cell>
          <cell r="C628">
            <v>1862</v>
          </cell>
          <cell r="D628">
            <v>5.9639124999999994E-2</v>
          </cell>
        </row>
        <row r="629">
          <cell r="A629" t="str">
            <v>CF493ME</v>
          </cell>
          <cell r="B629">
            <v>14500</v>
          </cell>
          <cell r="C629">
            <v>1862</v>
          </cell>
          <cell r="D629">
            <v>5.9639124999999994E-2</v>
          </cell>
        </row>
        <row r="630">
          <cell r="B630" t="str">
            <v/>
          </cell>
        </row>
        <row r="631">
          <cell r="A631" t="str">
            <v>C503SIGA</v>
          </cell>
          <cell r="B631">
            <v>13700</v>
          </cell>
          <cell r="C631">
            <v>1998</v>
          </cell>
          <cell r="D631">
            <v>3.1307874999999999E-2</v>
          </cell>
        </row>
        <row r="632">
          <cell r="A632" t="str">
            <v>C503RA</v>
          </cell>
          <cell r="B632">
            <v>12500</v>
          </cell>
          <cell r="C632">
            <v>1900</v>
          </cell>
          <cell r="D632">
            <v>3.1307874999999999E-2</v>
          </cell>
        </row>
        <row r="633">
          <cell r="A633" t="str">
            <v>C503RO</v>
          </cell>
          <cell r="B633">
            <v>12400</v>
          </cell>
          <cell r="C633">
            <v>1900</v>
          </cell>
          <cell r="D633">
            <v>3.1307874999999999E-2</v>
          </cell>
        </row>
        <row r="634">
          <cell r="A634" t="str">
            <v>C503BI</v>
          </cell>
          <cell r="B634">
            <v>12500</v>
          </cell>
          <cell r="C634">
            <v>1900</v>
          </cell>
          <cell r="D634">
            <v>3.1307874999999999E-2</v>
          </cell>
        </row>
        <row r="635">
          <cell r="B635" t="str">
            <v/>
          </cell>
        </row>
        <row r="636">
          <cell r="A636" t="str">
            <v>C643BI</v>
          </cell>
          <cell r="B636">
            <v>17500</v>
          </cell>
          <cell r="C636">
            <v>1996</v>
          </cell>
          <cell r="D636">
            <v>4.4835E-2</v>
          </cell>
        </row>
        <row r="637">
          <cell r="A637" t="str">
            <v>C643H</v>
          </cell>
          <cell r="B637">
            <v>17500</v>
          </cell>
          <cell r="C637">
            <v>1996</v>
          </cell>
          <cell r="D637">
            <v>4.4835E-2</v>
          </cell>
        </row>
        <row r="638">
          <cell r="B638" t="str">
            <v/>
          </cell>
        </row>
        <row r="639">
          <cell r="A639" t="str">
            <v>CF643M</v>
          </cell>
          <cell r="B639">
            <v>19000</v>
          </cell>
          <cell r="C639">
            <v>1996</v>
          </cell>
          <cell r="D639">
            <v>7.3830750000000001E-2</v>
          </cell>
        </row>
        <row r="640">
          <cell r="A640" t="str">
            <v>CF643T</v>
          </cell>
          <cell r="B640">
            <v>18500</v>
          </cell>
          <cell r="C640">
            <v>1996</v>
          </cell>
          <cell r="D640">
            <v>7.3830750000000001E-2</v>
          </cell>
        </row>
        <row r="641">
          <cell r="B641" t="str">
            <v/>
          </cell>
        </row>
        <row r="642">
          <cell r="A642" t="str">
            <v>C643XMO</v>
          </cell>
          <cell r="B642">
            <v>18000</v>
          </cell>
          <cell r="C642">
            <v>1996</v>
          </cell>
          <cell r="D642">
            <v>6.5960124999999994E-2</v>
          </cell>
        </row>
        <row r="643">
          <cell r="A643" t="str">
            <v>C643XMS</v>
          </cell>
          <cell r="B643">
            <v>17700</v>
          </cell>
          <cell r="C643">
            <v>1996</v>
          </cell>
          <cell r="D643">
            <v>6.5960124999999994E-2</v>
          </cell>
        </row>
        <row r="644">
          <cell r="B644" t="str">
            <v/>
          </cell>
        </row>
        <row r="645">
          <cell r="A645" t="str">
            <v>C503BW/C14</v>
          </cell>
          <cell r="B645">
            <v>6600</v>
          </cell>
          <cell r="C645">
            <v>950</v>
          </cell>
          <cell r="D645">
            <v>1.6453124999999999E-2</v>
          </cell>
        </row>
        <row r="646">
          <cell r="A646" t="str">
            <v>C503TS/C14</v>
          </cell>
          <cell r="B646">
            <v>6600</v>
          </cell>
          <cell r="C646">
            <v>950</v>
          </cell>
          <cell r="D646">
            <v>1.6453124999999999E-2</v>
          </cell>
        </row>
        <row r="647">
          <cell r="A647" t="str">
            <v>C503RO/C14</v>
          </cell>
          <cell r="B647">
            <v>6600</v>
          </cell>
          <cell r="C647">
            <v>950</v>
          </cell>
          <cell r="D647">
            <v>1.6453124999999999E-2</v>
          </cell>
        </row>
        <row r="648">
          <cell r="A648" t="str">
            <v>C503F/C14</v>
          </cell>
          <cell r="B648">
            <v>7000</v>
          </cell>
          <cell r="C648">
            <v>950</v>
          </cell>
          <cell r="D648">
            <v>1.6453124999999999E-2</v>
          </cell>
        </row>
        <row r="649">
          <cell r="A649" t="str">
            <v>C503SIG/C14</v>
          </cell>
          <cell r="B649">
            <v>7000</v>
          </cell>
          <cell r="C649">
            <v>1000</v>
          </cell>
          <cell r="D649">
            <v>1.6453124999999999E-2</v>
          </cell>
        </row>
        <row r="650">
          <cell r="A650" t="str">
            <v>C1003F/C14</v>
          </cell>
          <cell r="B650">
            <v>13400</v>
          </cell>
          <cell r="C650">
            <v>1900</v>
          </cell>
          <cell r="D650">
            <v>3.1640624999999999E-2</v>
          </cell>
        </row>
        <row r="651">
          <cell r="A651" t="str">
            <v>C1003VS/C14</v>
          </cell>
          <cell r="B651">
            <v>13400</v>
          </cell>
          <cell r="C651">
            <v>1900</v>
          </cell>
          <cell r="D651">
            <v>3.1640624999999999E-2</v>
          </cell>
        </row>
        <row r="652">
          <cell r="A652" t="str">
            <v>C1003CY/C</v>
          </cell>
          <cell r="B652">
            <v>13400</v>
          </cell>
          <cell r="C652">
            <v>1900</v>
          </cell>
          <cell r="D652">
            <v>3.1640624999999999E-2</v>
          </cell>
        </row>
        <row r="653">
          <cell r="A653" t="str">
            <v>C10030XF/C14</v>
          </cell>
          <cell r="B653">
            <v>12200</v>
          </cell>
          <cell r="C653">
            <v>2000</v>
          </cell>
          <cell r="D653">
            <v>4.6396874999999997E-2</v>
          </cell>
        </row>
        <row r="654">
          <cell r="A654" t="str">
            <v>C1163MB/C14</v>
          </cell>
          <cell r="B654">
            <v>19500</v>
          </cell>
          <cell r="C654">
            <v>1992</v>
          </cell>
          <cell r="D654">
            <v>0.10238399999999999</v>
          </cell>
        </row>
        <row r="655">
          <cell r="A655" t="str">
            <v>C12230XPT/C14</v>
          </cell>
          <cell r="B655">
            <v>18500</v>
          </cell>
          <cell r="C655">
            <v>1998</v>
          </cell>
          <cell r="D655">
            <v>4.9687499999999996E-2</v>
          </cell>
        </row>
        <row r="656">
          <cell r="B656" t="str">
            <v/>
          </cell>
        </row>
        <row r="657">
          <cell r="A657" t="str">
            <v>C1-C2 C1503X/C14</v>
          </cell>
          <cell r="B657">
            <v>21000</v>
          </cell>
          <cell r="C657">
            <v>2750</v>
          </cell>
          <cell r="D657">
            <v>5.2725000000000001E-2</v>
          </cell>
        </row>
        <row r="658">
          <cell r="A658" t="str">
            <v>C1-C2 C2003U/C14</v>
          </cell>
          <cell r="B658">
            <v>27000</v>
          </cell>
          <cell r="C658">
            <v>3800</v>
          </cell>
          <cell r="D658">
            <v>7.03125E-2</v>
          </cell>
        </row>
        <row r="659">
          <cell r="B659" t="str">
            <v/>
          </cell>
        </row>
        <row r="660">
          <cell r="A660" t="str">
            <v>C1003BP/C</v>
          </cell>
          <cell r="B660">
            <v>13500</v>
          </cell>
          <cell r="C660">
            <v>1800</v>
          </cell>
          <cell r="D660">
            <v>3.5624999999999997E-2</v>
          </cell>
        </row>
        <row r="661">
          <cell r="A661" t="str">
            <v>C1003BPS/C</v>
          </cell>
          <cell r="B661">
            <v>12500</v>
          </cell>
          <cell r="C661">
            <v>1800</v>
          </cell>
          <cell r="D661">
            <v>3.5624999999999997E-2</v>
          </cell>
        </row>
        <row r="662">
          <cell r="A662" t="str">
            <v>C1003BB/C</v>
          </cell>
          <cell r="B662">
            <v>13500</v>
          </cell>
          <cell r="C662">
            <v>1900</v>
          </cell>
          <cell r="D662">
            <v>3.5624999999999997E-2</v>
          </cell>
        </row>
        <row r="663">
          <cell r="A663" t="str">
            <v>C1003F/C</v>
          </cell>
          <cell r="B663">
            <v>13500</v>
          </cell>
          <cell r="C663">
            <v>1900</v>
          </cell>
          <cell r="D663">
            <v>3.5624999999999997E-2</v>
          </cell>
        </row>
        <row r="664">
          <cell r="A664" t="str">
            <v>C1003SIG/C</v>
          </cell>
          <cell r="B664">
            <v>14000</v>
          </cell>
          <cell r="C664">
            <v>1998</v>
          </cell>
          <cell r="D664">
            <v>3.5624999999999997E-2</v>
          </cell>
        </row>
        <row r="665">
          <cell r="A665" t="str">
            <v>C1003VS/C</v>
          </cell>
          <cell r="B665">
            <v>13500</v>
          </cell>
          <cell r="C665">
            <v>1900</v>
          </cell>
          <cell r="D665">
            <v>3.5624999999999997E-2</v>
          </cell>
        </row>
        <row r="666">
          <cell r="A666" t="str">
            <v>C128XMPT/C</v>
          </cell>
          <cell r="B666">
            <v>20000</v>
          </cell>
          <cell r="C666">
            <v>1998</v>
          </cell>
          <cell r="D666">
            <v>6.7306249999999998E-2</v>
          </cell>
        </row>
        <row r="667">
          <cell r="A667" t="str">
            <v>C128XMB/C</v>
          </cell>
          <cell r="B667">
            <v>20500</v>
          </cell>
          <cell r="C667">
            <v>1996</v>
          </cell>
          <cell r="D667">
            <v>6.7306249999999998E-2</v>
          </cell>
        </row>
        <row r="668">
          <cell r="A668" t="str">
            <v>C1503X/C</v>
          </cell>
          <cell r="B668">
            <v>21000</v>
          </cell>
          <cell r="C668">
            <v>2850</v>
          </cell>
          <cell r="D668">
            <v>5.2725000000000001E-2</v>
          </cell>
        </row>
        <row r="669">
          <cell r="A669" t="str">
            <v>C1503BPF/C</v>
          </cell>
          <cell r="B669">
            <v>20000</v>
          </cell>
          <cell r="C669">
            <v>2700</v>
          </cell>
          <cell r="D669">
            <v>5.2725000000000001E-2</v>
          </cell>
        </row>
        <row r="670">
          <cell r="A670" t="str">
            <v>C1923XMF/C</v>
          </cell>
          <cell r="B670">
            <v>29500</v>
          </cell>
          <cell r="C670">
            <v>2994</v>
          </cell>
          <cell r="D670">
            <v>0.10326225</v>
          </cell>
        </row>
        <row r="671">
          <cell r="A671" t="str">
            <v>C2003BP/C</v>
          </cell>
          <cell r="B671">
            <v>27000</v>
          </cell>
          <cell r="C671">
            <v>3600</v>
          </cell>
          <cell r="D671">
            <v>7.03125E-2</v>
          </cell>
        </row>
        <row r="672">
          <cell r="A672" t="str">
            <v>C2003U/C</v>
          </cell>
          <cell r="B672">
            <v>27000</v>
          </cell>
          <cell r="C672">
            <v>3800</v>
          </cell>
          <cell r="D672">
            <v>7.03125E-2</v>
          </cell>
        </row>
        <row r="673">
          <cell r="A673" t="str">
            <v>C2003F/C</v>
          </cell>
          <cell r="B673">
            <v>27000</v>
          </cell>
          <cell r="C673">
            <v>3800</v>
          </cell>
          <cell r="D673">
            <v>7.03125E-2</v>
          </cell>
        </row>
        <row r="674">
          <cell r="A674" t="str">
            <v>C2003SIG/C</v>
          </cell>
          <cell r="B674">
            <v>28000</v>
          </cell>
          <cell r="C674">
            <v>3996</v>
          </cell>
          <cell r="D674">
            <v>7.03125E-2</v>
          </cell>
        </row>
        <row r="675">
          <cell r="A675" t="str">
            <v>C2563XMF/C</v>
          </cell>
          <cell r="B675">
            <v>42000</v>
          </cell>
          <cell r="C675">
            <v>3992</v>
          </cell>
          <cell r="D675">
            <v>0.13234374999999998</v>
          </cell>
        </row>
        <row r="676">
          <cell r="B676" t="str">
            <v/>
          </cell>
        </row>
        <row r="677">
          <cell r="A677" t="str">
            <v>C165DU14</v>
          </cell>
          <cell r="B677">
            <v>18500</v>
          </cell>
          <cell r="C677">
            <v>1344</v>
          </cell>
          <cell r="D677">
            <v>5.0999999999999997E-2</v>
          </cell>
        </row>
        <row r="678">
          <cell r="A678" t="str">
            <v>C165NO14</v>
          </cell>
          <cell r="B678">
            <v>18500</v>
          </cell>
          <cell r="C678">
            <v>1344</v>
          </cell>
          <cell r="D678">
            <v>5.0999999999999997E-2</v>
          </cell>
        </row>
        <row r="679">
          <cell r="B679" t="str">
            <v/>
          </cell>
        </row>
        <row r="680">
          <cell r="A680" t="str">
            <v>C165JA</v>
          </cell>
          <cell r="B680">
            <v>18500</v>
          </cell>
          <cell r="C680">
            <v>2400</v>
          </cell>
          <cell r="D680">
            <v>5.0999999999999997E-2</v>
          </cell>
        </row>
        <row r="681">
          <cell r="A681" t="str">
            <v>C165P</v>
          </cell>
          <cell r="B681">
            <v>19000</v>
          </cell>
          <cell r="C681">
            <v>2400</v>
          </cell>
          <cell r="D681">
            <v>5.0999999999999997E-2</v>
          </cell>
        </row>
        <row r="682">
          <cell r="B682" t="str">
            <v/>
          </cell>
        </row>
        <row r="683">
          <cell r="A683" t="str">
            <v>C2545NO</v>
          </cell>
          <cell r="B683">
            <v>20000</v>
          </cell>
          <cell r="C683">
            <v>1980</v>
          </cell>
          <cell r="D683">
            <v>5.0296999999999994E-2</v>
          </cell>
        </row>
        <row r="684">
          <cell r="A684" t="str">
            <v>C2545DI</v>
          </cell>
          <cell r="B684">
            <v>20000</v>
          </cell>
          <cell r="C684">
            <v>1980</v>
          </cell>
          <cell r="D684">
            <v>5.0296999999999994E-2</v>
          </cell>
        </row>
        <row r="685">
          <cell r="B685" t="str">
            <v/>
          </cell>
        </row>
        <row r="686">
          <cell r="A686" t="str">
            <v>C255BP</v>
          </cell>
          <cell r="B686">
            <v>16000</v>
          </cell>
          <cell r="C686">
            <v>2000</v>
          </cell>
          <cell r="D686">
            <v>5.2199999999999996E-2</v>
          </cell>
        </row>
        <row r="687">
          <cell r="B687" t="str">
            <v/>
          </cell>
        </row>
        <row r="688">
          <cell r="A688" t="str">
            <v>C3545MF</v>
          </cell>
          <cell r="B688">
            <v>27000</v>
          </cell>
          <cell r="C688">
            <v>2000</v>
          </cell>
          <cell r="D688">
            <v>6.8475999999999995E-2</v>
          </cell>
        </row>
        <row r="689">
          <cell r="A689" t="str">
            <v>C3545NO</v>
          </cell>
          <cell r="B689">
            <v>27000</v>
          </cell>
          <cell r="C689">
            <v>2000</v>
          </cell>
          <cell r="D689">
            <v>6.8475999999999995E-2</v>
          </cell>
        </row>
        <row r="690">
          <cell r="B690" t="str">
            <v/>
          </cell>
        </row>
        <row r="691">
          <cell r="A691" t="str">
            <v>C3645BA</v>
          </cell>
          <cell r="B691">
            <v>27800</v>
          </cell>
          <cell r="C691">
            <v>2000</v>
          </cell>
          <cell r="D691">
            <v>6.8447999999999995E-2</v>
          </cell>
        </row>
        <row r="692">
          <cell r="A692" t="str">
            <v>C3645SE</v>
          </cell>
          <cell r="B692">
            <v>27800</v>
          </cell>
          <cell r="C692">
            <v>2000</v>
          </cell>
          <cell r="D692">
            <v>6.8447999999999995E-2</v>
          </cell>
        </row>
        <row r="693">
          <cell r="B693" t="str">
            <v/>
          </cell>
        </row>
        <row r="694">
          <cell r="A694" t="str">
            <v>C365DU</v>
          </cell>
          <cell r="B694">
            <v>29500</v>
          </cell>
          <cell r="C694">
            <v>3600</v>
          </cell>
          <cell r="D694">
            <v>7.6449249999999996E-2</v>
          </cell>
        </row>
        <row r="695">
          <cell r="B695" t="str">
            <v/>
          </cell>
        </row>
        <row r="696">
          <cell r="A696" t="str">
            <v>C505X/C</v>
          </cell>
          <cell r="B696">
            <v>20500</v>
          </cell>
          <cell r="C696">
            <v>1998</v>
          </cell>
          <cell r="D696">
            <v>5.7644999999999995E-2</v>
          </cell>
        </row>
        <row r="697">
          <cell r="A697" t="str">
            <v>C505V/C</v>
          </cell>
          <cell r="B697">
            <v>20500</v>
          </cell>
          <cell r="C697">
            <v>1998</v>
          </cell>
          <cell r="D697">
            <v>5.7644999999999995E-2</v>
          </cell>
        </row>
        <row r="698">
          <cell r="A698" t="str">
            <v>C755R/C</v>
          </cell>
          <cell r="B698">
            <v>30200</v>
          </cell>
          <cell r="C698">
            <v>2997</v>
          </cell>
          <cell r="D698">
            <v>8.5522500000000001E-2</v>
          </cell>
        </row>
        <row r="699">
          <cell r="A699" t="str">
            <v>C10545GI/C</v>
          </cell>
          <cell r="B699">
            <v>36000</v>
          </cell>
          <cell r="C699">
            <v>3000</v>
          </cell>
          <cell r="D699">
            <v>9.9066000000000001E-2</v>
          </cell>
        </row>
        <row r="700">
          <cell r="B700" t="str">
            <v/>
          </cell>
        </row>
        <row r="701">
          <cell r="A701" t="str">
            <v>C2505D</v>
          </cell>
          <cell r="B701">
            <v>17000</v>
          </cell>
          <cell r="C701">
            <v>2000</v>
          </cell>
          <cell r="D701">
            <v>6.3488000000000003E-2</v>
          </cell>
        </row>
        <row r="702">
          <cell r="B702" t="str">
            <v/>
          </cell>
        </row>
        <row r="703">
          <cell r="A703" t="str">
            <v>C2463B</v>
          </cell>
          <cell r="B703">
            <v>25100</v>
          </cell>
          <cell r="C703">
            <v>1920</v>
          </cell>
          <cell r="D703">
            <v>9.917999999999999E-2</v>
          </cell>
        </row>
        <row r="704">
          <cell r="B704" t="str">
            <v/>
          </cell>
        </row>
        <row r="705">
          <cell r="A705" t="str">
            <v>C2575C</v>
          </cell>
          <cell r="B705">
            <v>18300</v>
          </cell>
          <cell r="C705">
            <v>3750</v>
          </cell>
          <cell r="D705">
            <v>9.5174999999999996E-2</v>
          </cell>
        </row>
        <row r="706">
          <cell r="B706" t="str">
            <v/>
          </cell>
        </row>
        <row r="707">
          <cell r="B707" t="str">
            <v/>
          </cell>
        </row>
        <row r="708">
          <cell r="A708" t="str">
            <v>C39MPT</v>
          </cell>
          <cell r="B708">
            <v>20200</v>
          </cell>
          <cell r="C708">
            <v>3920</v>
          </cell>
          <cell r="D708">
            <v>0.10309199999999999</v>
          </cell>
        </row>
        <row r="709">
          <cell r="B709" t="str">
            <v/>
          </cell>
        </row>
        <row r="710">
          <cell r="A710" t="str">
            <v>C46MXP</v>
          </cell>
          <cell r="B710">
            <v>18000</v>
          </cell>
          <cell r="C710">
            <v>2292</v>
          </cell>
          <cell r="D710">
            <v>4.3993950000000004E-2</v>
          </cell>
        </row>
        <row r="711">
          <cell r="B711" t="str">
            <v/>
          </cell>
        </row>
        <row r="712">
          <cell r="A712" t="str">
            <v>C48XMF14</v>
          </cell>
          <cell r="B712">
            <v>21000</v>
          </cell>
          <cell r="C712">
            <v>1984</v>
          </cell>
          <cell r="D712">
            <v>8.2264479999999987E-2</v>
          </cell>
        </row>
        <row r="713">
          <cell r="B713" t="str">
            <v/>
          </cell>
        </row>
        <row r="714">
          <cell r="A714" t="str">
            <v>C50MO</v>
          </cell>
          <cell r="B714">
            <v>23500</v>
          </cell>
          <cell r="C714">
            <v>2970</v>
          </cell>
          <cell r="D714">
            <v>6.9599999999999995E-2</v>
          </cell>
        </row>
        <row r="715">
          <cell r="A715" t="str">
            <v>C50MCH</v>
          </cell>
          <cell r="B715">
            <v>23500</v>
          </cell>
          <cell r="C715">
            <v>2970</v>
          </cell>
          <cell r="D715">
            <v>6.9599999999999995E-2</v>
          </cell>
        </row>
        <row r="716">
          <cell r="B716" t="str">
            <v/>
          </cell>
        </row>
        <row r="717">
          <cell r="A717" t="str">
            <v>C64MT</v>
          </cell>
          <cell r="B717">
            <v>15000</v>
          </cell>
          <cell r="C717">
            <v>1980</v>
          </cell>
          <cell r="D717">
            <v>3.2399999999999998E-2</v>
          </cell>
        </row>
        <row r="718">
          <cell r="A718" t="str">
            <v>C64MP</v>
          </cell>
          <cell r="B718">
            <v>15000</v>
          </cell>
          <cell r="C718">
            <v>1980</v>
          </cell>
          <cell r="D718">
            <v>3.2399999999999998E-2</v>
          </cell>
        </row>
        <row r="719">
          <cell r="B719" t="str">
            <v/>
          </cell>
        </row>
        <row r="720">
          <cell r="A720" t="str">
            <v>C68XMPT</v>
          </cell>
          <cell r="B720">
            <v>28000</v>
          </cell>
          <cell r="C720">
            <v>3000</v>
          </cell>
          <cell r="D720">
            <v>9.3080999999999997E-2</v>
          </cell>
        </row>
        <row r="721">
          <cell r="B721" t="str">
            <v/>
          </cell>
        </row>
        <row r="722">
          <cell r="A722" t="str">
            <v>C68XMPT14</v>
          </cell>
          <cell r="B722">
            <v>28000</v>
          </cell>
          <cell r="C722">
            <v>3000</v>
          </cell>
          <cell r="D722">
            <v>9.3080999999999997E-2</v>
          </cell>
        </row>
        <row r="723">
          <cell r="B723" t="str">
            <v/>
          </cell>
        </row>
        <row r="724">
          <cell r="A724" t="str">
            <v>C77MXR14</v>
          </cell>
          <cell r="B724">
            <v>21400</v>
          </cell>
          <cell r="C724">
            <v>1992</v>
          </cell>
          <cell r="D724">
            <v>7.6111909999999991E-2</v>
          </cell>
        </row>
        <row r="725">
          <cell r="B725" t="str">
            <v/>
          </cell>
        </row>
        <row r="726">
          <cell r="A726" t="str">
            <v>C100MXS14</v>
          </cell>
          <cell r="B726">
            <v>13000</v>
          </cell>
          <cell r="C726">
            <v>436</v>
          </cell>
          <cell r="D726">
            <v>0</v>
          </cell>
        </row>
        <row r="727">
          <cell r="B727" t="str">
            <v/>
          </cell>
        </row>
        <row r="728">
          <cell r="A728" t="str">
            <v>C148MXP14</v>
          </cell>
          <cell r="B728">
            <v>15000</v>
          </cell>
          <cell r="C728">
            <v>998</v>
          </cell>
          <cell r="D728">
            <v>2.4624E-2</v>
          </cell>
        </row>
        <row r="729">
          <cell r="B729" t="str">
            <v/>
          </cell>
        </row>
        <row r="730">
          <cell r="A730" t="str">
            <v>C165MXV14</v>
          </cell>
          <cell r="B730">
            <v>10200</v>
          </cell>
          <cell r="C730">
            <v>996</v>
          </cell>
          <cell r="D730">
            <v>0</v>
          </cell>
        </row>
        <row r="731">
          <cell r="B731" t="str">
            <v/>
          </cell>
        </row>
        <row r="732">
          <cell r="A732" t="str">
            <v>C170MXR14</v>
          </cell>
          <cell r="B732">
            <v>9500</v>
          </cell>
          <cell r="C732">
            <v>998</v>
          </cell>
          <cell r="D732">
            <v>0</v>
          </cell>
        </row>
        <row r="733">
          <cell r="B733" t="str">
            <v/>
          </cell>
        </row>
        <row r="734">
          <cell r="B734" t="str">
            <v/>
          </cell>
        </row>
        <row r="735">
          <cell r="A735" t="str">
            <v>C40FMH</v>
          </cell>
          <cell r="B735">
            <v>24900</v>
          </cell>
          <cell r="C735">
            <v>6864</v>
          </cell>
          <cell r="D735">
            <v>6.4712999999999993E-2</v>
          </cell>
        </row>
        <row r="736">
          <cell r="B736" t="str">
            <v/>
          </cell>
        </row>
        <row r="737">
          <cell r="A737" t="str">
            <v>C100MPT</v>
          </cell>
          <cell r="B737">
            <v>15900</v>
          </cell>
          <cell r="C737">
            <v>1996</v>
          </cell>
          <cell r="D737">
            <v>5.6249999999999994E-2</v>
          </cell>
        </row>
        <row r="738">
          <cell r="A738" t="str">
            <v>C100MN</v>
          </cell>
          <cell r="B738">
            <v>15900</v>
          </cell>
          <cell r="C738">
            <v>1976</v>
          </cell>
          <cell r="D738">
            <v>5.6249999999999994E-2</v>
          </cell>
        </row>
        <row r="739">
          <cell r="B739" t="str">
            <v/>
          </cell>
        </row>
        <row r="740">
          <cell r="A740" t="str">
            <v>C106MH</v>
          </cell>
          <cell r="B740">
            <v>16000</v>
          </cell>
          <cell r="C740">
            <v>1990</v>
          </cell>
          <cell r="D740">
            <v>4.6068749999999999E-2</v>
          </cell>
        </row>
        <row r="741">
          <cell r="A741" t="str">
            <v>C106MB</v>
          </cell>
          <cell r="B741">
            <v>16000</v>
          </cell>
          <cell r="C741">
            <v>1990</v>
          </cell>
          <cell r="D741">
            <v>4.6068749999999999E-2</v>
          </cell>
        </row>
        <row r="742">
          <cell r="B742" t="str">
            <v/>
          </cell>
        </row>
        <row r="743">
          <cell r="A743" t="str">
            <v>C109MG</v>
          </cell>
          <cell r="B743">
            <v>14500</v>
          </cell>
          <cell r="C743">
            <v>1996</v>
          </cell>
          <cell r="D743">
            <v>3.7976249999999996E-2</v>
          </cell>
        </row>
        <row r="744">
          <cell r="A744" t="str">
            <v>C109MM</v>
          </cell>
          <cell r="B744">
            <v>14500</v>
          </cell>
          <cell r="C744">
            <v>1996</v>
          </cell>
          <cell r="D744">
            <v>3.7976249999999996E-2</v>
          </cell>
        </row>
        <row r="745">
          <cell r="B745" t="str">
            <v/>
          </cell>
        </row>
        <row r="746">
          <cell r="A746" t="str">
            <v>C100MTS/C14</v>
          </cell>
          <cell r="B746">
            <v>7700</v>
          </cell>
          <cell r="C746">
            <v>1000</v>
          </cell>
          <cell r="D746">
            <v>2.3039999999999998E-2</v>
          </cell>
        </row>
        <row r="747">
          <cell r="A747" t="str">
            <v>C100MPT/C14</v>
          </cell>
          <cell r="B747">
            <v>7700</v>
          </cell>
          <cell r="C747">
            <v>1000</v>
          </cell>
          <cell r="D747">
            <v>2.3039999999999998E-2</v>
          </cell>
        </row>
        <row r="748">
          <cell r="A748" t="str">
            <v>C124MXM/C14</v>
          </cell>
          <cell r="B748">
            <v>9000</v>
          </cell>
          <cell r="C748">
            <v>992</v>
          </cell>
          <cell r="D748">
            <v>2.4015999999999999E-2</v>
          </cell>
        </row>
        <row r="749">
          <cell r="A749" t="str">
            <v>C128MS/C14</v>
          </cell>
          <cell r="B749">
            <v>8000</v>
          </cell>
          <cell r="C749">
            <v>990</v>
          </cell>
          <cell r="D749">
            <v>1.8926249999999999E-2</v>
          </cell>
        </row>
        <row r="750">
          <cell r="A750" t="str">
            <v>C136XMTS/C14</v>
          </cell>
          <cell r="B750">
            <v>9500</v>
          </cell>
          <cell r="C750">
            <v>1000</v>
          </cell>
          <cell r="D750">
            <v>3.2544000000000003E-2</v>
          </cell>
        </row>
        <row r="751">
          <cell r="A751" t="str">
            <v>C136XMK/C14</v>
          </cell>
          <cell r="B751">
            <v>9500</v>
          </cell>
          <cell r="C751">
            <v>1000</v>
          </cell>
          <cell r="D751">
            <v>3.2544000000000003E-2</v>
          </cell>
        </row>
        <row r="752">
          <cell r="A752" t="str">
            <v>C150MXH/C14</v>
          </cell>
          <cell r="B752">
            <v>10000</v>
          </cell>
          <cell r="C752">
            <v>998</v>
          </cell>
          <cell r="D752">
            <v>0</v>
          </cell>
        </row>
        <row r="753">
          <cell r="A753" t="str">
            <v>C154MXB/C14</v>
          </cell>
          <cell r="B753">
            <v>11000</v>
          </cell>
          <cell r="C753">
            <v>996</v>
          </cell>
          <cell r="D753">
            <v>3.6209249999999998E-2</v>
          </cell>
        </row>
        <row r="754">
          <cell r="A754" t="str">
            <v>C270MXM/C14</v>
          </cell>
          <cell r="B754">
            <v>10500</v>
          </cell>
          <cell r="C754">
            <v>998</v>
          </cell>
          <cell r="D754">
            <v>2.5806374999999999E-2</v>
          </cell>
        </row>
        <row r="755">
          <cell r="A755" t="str">
            <v>C296MXH/C14</v>
          </cell>
          <cell r="B755">
            <v>15000</v>
          </cell>
          <cell r="C755">
            <v>998</v>
          </cell>
          <cell r="D755">
            <v>2.4624E-2</v>
          </cell>
        </row>
        <row r="756">
          <cell r="A756" t="str">
            <v>C330MXR/C14</v>
          </cell>
          <cell r="B756">
            <v>15000</v>
          </cell>
          <cell r="C756">
            <v>996</v>
          </cell>
          <cell r="D756">
            <v>0</v>
          </cell>
        </row>
        <row r="757">
          <cell r="B757" t="str">
            <v/>
          </cell>
        </row>
        <row r="758">
          <cell r="A758" t="str">
            <v>C150MF/C14</v>
          </cell>
          <cell r="B758">
            <v>11500</v>
          </cell>
          <cell r="C758">
            <v>1485</v>
          </cell>
          <cell r="D758">
            <v>3.5751999999999999E-2</v>
          </cell>
        </row>
        <row r="759">
          <cell r="A759" t="str">
            <v>C200MF/C14</v>
          </cell>
          <cell r="B759">
            <v>15800</v>
          </cell>
          <cell r="C759">
            <v>1980</v>
          </cell>
          <cell r="D759">
            <v>4.7888E-2</v>
          </cell>
        </row>
        <row r="760">
          <cell r="A760" t="str">
            <v>C204XMPT/C14</v>
          </cell>
          <cell r="B760">
            <v>17000</v>
          </cell>
          <cell r="C760">
            <v>1500</v>
          </cell>
          <cell r="D760">
            <v>4.9148749999999998E-2</v>
          </cell>
        </row>
        <row r="761">
          <cell r="A761" t="str">
            <v>C216XMFS/C14</v>
          </cell>
          <cell r="B761">
            <v>13500</v>
          </cell>
          <cell r="C761">
            <v>1963</v>
          </cell>
          <cell r="D761">
            <v>4.3296000000000001E-2</v>
          </cell>
        </row>
        <row r="762">
          <cell r="A762" t="str">
            <v>C223XMK/C14</v>
          </cell>
          <cell r="B762">
            <v>17000</v>
          </cell>
          <cell r="C762">
            <v>2000</v>
          </cell>
          <cell r="D762">
            <v>5.2135999999999995E-2</v>
          </cell>
        </row>
        <row r="763">
          <cell r="A763" t="str">
            <v>C510MXU/C14</v>
          </cell>
          <cell r="B763">
            <v>22000</v>
          </cell>
          <cell r="C763">
            <v>1497</v>
          </cell>
          <cell r="D763">
            <v>0</v>
          </cell>
        </row>
        <row r="764">
          <cell r="B764" t="str">
            <v/>
          </cell>
        </row>
        <row r="765">
          <cell r="A765" t="str">
            <v>C132XMPT/C</v>
          </cell>
          <cell r="B765">
            <v>13500</v>
          </cell>
          <cell r="C765">
            <v>2000</v>
          </cell>
          <cell r="D765">
            <v>3.9199999999999999E-2</v>
          </cell>
        </row>
        <row r="766">
          <cell r="A766" t="str">
            <v>C150MPT/C</v>
          </cell>
          <cell r="B766">
            <v>11700</v>
          </cell>
          <cell r="C766">
            <v>1498</v>
          </cell>
          <cell r="D766">
            <v>3.5751999999999999E-2</v>
          </cell>
        </row>
        <row r="767">
          <cell r="A767" t="str">
            <v>C150MF/C</v>
          </cell>
          <cell r="B767">
            <v>11700</v>
          </cell>
          <cell r="C767">
            <v>1485</v>
          </cell>
          <cell r="D767">
            <v>3.5751999999999999E-2</v>
          </cell>
        </row>
        <row r="768">
          <cell r="A768" t="str">
            <v>C200MF/C</v>
          </cell>
          <cell r="B768">
            <v>15600</v>
          </cell>
          <cell r="C768">
            <v>1980</v>
          </cell>
          <cell r="D768">
            <v>4.7888E-2</v>
          </cell>
        </row>
        <row r="769">
          <cell r="A769" t="str">
            <v>C204XMPT/C</v>
          </cell>
          <cell r="B769">
            <v>17000</v>
          </cell>
          <cell r="C769">
            <v>1500</v>
          </cell>
          <cell r="D769">
            <v>4.9148749999999998E-2</v>
          </cell>
        </row>
        <row r="770">
          <cell r="A770" t="str">
            <v>C216XMFS/C</v>
          </cell>
          <cell r="B770">
            <v>13500</v>
          </cell>
          <cell r="C770">
            <v>1963</v>
          </cell>
          <cell r="D770">
            <v>4.3296000000000001E-2</v>
          </cell>
        </row>
        <row r="771">
          <cell r="A771" t="str">
            <v>C223XMK/C</v>
          </cell>
          <cell r="B771">
            <v>17000</v>
          </cell>
          <cell r="C771">
            <v>2000</v>
          </cell>
          <cell r="D771">
            <v>5.4879999999999998E-2</v>
          </cell>
        </row>
        <row r="772">
          <cell r="A772" t="str">
            <v>C248MXY/C</v>
          </cell>
          <cell r="B772">
            <v>20000</v>
          </cell>
          <cell r="C772">
            <v>1997</v>
          </cell>
          <cell r="D772">
            <v>6.1559999999999997E-2</v>
          </cell>
        </row>
        <row r="773">
          <cell r="A773" t="str">
            <v>C252MXB/C</v>
          </cell>
          <cell r="B773">
            <v>23000</v>
          </cell>
          <cell r="C773">
            <v>1996</v>
          </cell>
          <cell r="D773">
            <v>6.1170499999999996E-2</v>
          </cell>
        </row>
        <row r="774">
          <cell r="A774" t="str">
            <v>C316MXF/C</v>
          </cell>
          <cell r="B774">
            <v>22000</v>
          </cell>
          <cell r="C774">
            <v>1998</v>
          </cell>
          <cell r="D774">
            <v>6.4295999999999992E-2</v>
          </cell>
        </row>
        <row r="775">
          <cell r="A775" t="str">
            <v>C342MXG/C</v>
          </cell>
          <cell r="B775">
            <v>22500</v>
          </cell>
          <cell r="C775">
            <v>2000</v>
          </cell>
          <cell r="D775">
            <v>6.1645499999999999E-2</v>
          </cell>
        </row>
        <row r="776">
          <cell r="A776" t="str">
            <v>C500MXB/C</v>
          </cell>
          <cell r="B776">
            <v>14500</v>
          </cell>
          <cell r="C776">
            <v>1873</v>
          </cell>
          <cell r="D776">
            <v>3.6063999999999999E-2</v>
          </cell>
        </row>
        <row r="777">
          <cell r="B777" t="str">
            <v/>
          </cell>
        </row>
        <row r="778">
          <cell r="A778" t="str">
            <v>C1-C2 C425MXM/C14</v>
          </cell>
          <cell r="B778">
            <v>29000</v>
          </cell>
          <cell r="C778">
            <v>3835</v>
          </cell>
          <cell r="D778">
            <v>9.6222000000000002E-2</v>
          </cell>
        </row>
        <row r="779">
          <cell r="A779" t="str">
            <v>C3-C4 C234MXD/C14</v>
          </cell>
          <cell r="B779">
            <v>33000</v>
          </cell>
          <cell r="C779">
            <v>3992</v>
          </cell>
          <cell r="D779">
            <v>0.11544</v>
          </cell>
        </row>
        <row r="780">
          <cell r="A780" t="str">
            <v>C5-C6 C303MXN/C14</v>
          </cell>
          <cell r="B780">
            <v>35000</v>
          </cell>
          <cell r="C780">
            <v>3997</v>
          </cell>
          <cell r="D780">
            <v>0</v>
          </cell>
        </row>
        <row r="781">
          <cell r="A781" t="str">
            <v>C1-C2 C632MXN/C14</v>
          </cell>
          <cell r="B781">
            <v>44000</v>
          </cell>
          <cell r="C781">
            <v>3996</v>
          </cell>
          <cell r="D781">
            <v>0.12859199999999998</v>
          </cell>
        </row>
        <row r="782">
          <cell r="B782" t="str">
            <v/>
          </cell>
        </row>
        <row r="783">
          <cell r="A783" t="str">
            <v>C212MF/C</v>
          </cell>
          <cell r="B783">
            <v>17800</v>
          </cell>
          <cell r="C783">
            <v>1990</v>
          </cell>
          <cell r="D783">
            <v>4.7774999999999998E-2</v>
          </cell>
        </row>
        <row r="784">
          <cell r="A784" t="str">
            <v>C219XMPT/C</v>
          </cell>
          <cell r="B784">
            <v>30000</v>
          </cell>
          <cell r="C784">
            <v>4000</v>
          </cell>
          <cell r="D784">
            <v>9.3761499999999998E-2</v>
          </cell>
        </row>
        <row r="785">
          <cell r="A785" t="str">
            <v>C253XMPT/C</v>
          </cell>
          <cell r="B785">
            <v>26300</v>
          </cell>
          <cell r="C785">
            <v>4000</v>
          </cell>
          <cell r="D785">
            <v>8.9033000000000001E-2</v>
          </cell>
        </row>
        <row r="786">
          <cell r="A786" t="str">
            <v>C379XMK/C</v>
          </cell>
          <cell r="B786">
            <v>39500</v>
          </cell>
          <cell r="C786">
            <v>4000</v>
          </cell>
          <cell r="D786">
            <v>0.13455075</v>
          </cell>
        </row>
        <row r="787">
          <cell r="B787" t="str">
            <v/>
          </cell>
        </row>
        <row r="788">
          <cell r="B788" t="str">
            <v/>
          </cell>
        </row>
        <row r="789">
          <cell r="A789" t="str">
            <v>C23MO</v>
          </cell>
          <cell r="B789">
            <v>25500</v>
          </cell>
          <cell r="C789">
            <v>3180</v>
          </cell>
          <cell r="D789">
            <v>6.3997499999999999E-2</v>
          </cell>
        </row>
        <row r="790">
          <cell r="B790" t="str">
            <v/>
          </cell>
        </row>
        <row r="791">
          <cell r="A791" t="str">
            <v>C24MH</v>
          </cell>
          <cell r="B791">
            <v>20156</v>
          </cell>
          <cell r="C791">
            <v>2856</v>
          </cell>
          <cell r="D791">
            <v>4.9202999999999997E-2</v>
          </cell>
        </row>
        <row r="792">
          <cell r="B792" t="str">
            <v/>
          </cell>
        </row>
        <row r="793">
          <cell r="A793" t="str">
            <v>C36MH</v>
          </cell>
          <cell r="B793">
            <v>28000</v>
          </cell>
          <cell r="C793">
            <v>2976</v>
          </cell>
          <cell r="D793">
            <v>8.5319999999999993E-2</v>
          </cell>
        </row>
        <row r="794">
          <cell r="B794" t="str">
            <v/>
          </cell>
        </row>
        <row r="795">
          <cell r="A795" t="str">
            <v>C42MM</v>
          </cell>
          <cell r="B795">
            <v>19600</v>
          </cell>
          <cell r="C795">
            <v>2624</v>
          </cell>
          <cell r="D795">
            <v>5.2336500000000001E-2</v>
          </cell>
        </row>
        <row r="796">
          <cell r="B796" t="str">
            <v/>
          </cell>
        </row>
        <row r="797">
          <cell r="A797" t="str">
            <v>C47MB</v>
          </cell>
          <cell r="B797">
            <v>15500</v>
          </cell>
          <cell r="C797">
            <v>1980</v>
          </cell>
          <cell r="D797">
            <v>4.6149749999999996E-2</v>
          </cell>
        </row>
        <row r="798">
          <cell r="B798" t="str">
            <v/>
          </cell>
        </row>
        <row r="799">
          <cell r="A799" t="str">
            <v>C47XMT</v>
          </cell>
          <cell r="B799">
            <v>18000</v>
          </cell>
          <cell r="C799">
            <v>1996</v>
          </cell>
          <cell r="D799">
            <v>5.6069999999999995E-2</v>
          </cell>
        </row>
        <row r="800">
          <cell r="B800" t="str">
            <v/>
          </cell>
        </row>
        <row r="801">
          <cell r="A801" t="str">
            <v>C63MM</v>
          </cell>
          <cell r="B801">
            <v>24400</v>
          </cell>
          <cell r="C801">
            <v>2994</v>
          </cell>
          <cell r="D801">
            <v>6.3652500000000001E-2</v>
          </cell>
        </row>
        <row r="802">
          <cell r="B802" t="str">
            <v/>
          </cell>
        </row>
        <row r="803">
          <cell r="A803" t="str">
            <v>C66SMMO</v>
          </cell>
          <cell r="B803">
            <v>16000</v>
          </cell>
          <cell r="C803">
            <v>1978</v>
          </cell>
          <cell r="D803">
            <v>5.1749999999999997E-2</v>
          </cell>
        </row>
        <row r="804">
          <cell r="B804" t="str">
            <v/>
          </cell>
        </row>
        <row r="805">
          <cell r="A805" t="str">
            <v>C84M12F/C</v>
          </cell>
          <cell r="B805">
            <v>14500</v>
          </cell>
          <cell r="C805">
            <v>1900</v>
          </cell>
          <cell r="D805">
            <v>3.6477999999999997E-2</v>
          </cell>
        </row>
        <row r="806">
          <cell r="A806" t="str">
            <v>C84MC/C</v>
          </cell>
          <cell r="B806">
            <v>16000</v>
          </cell>
          <cell r="C806">
            <v>1998</v>
          </cell>
          <cell r="D806">
            <v>4.5589499999999998E-2</v>
          </cell>
        </row>
        <row r="807">
          <cell r="A807" t="str">
            <v>C175MSIG/C</v>
          </cell>
          <cell r="B807">
            <v>28600</v>
          </cell>
          <cell r="C807">
            <v>2998</v>
          </cell>
          <cell r="D807">
            <v>9.8549999999999999E-2</v>
          </cell>
        </row>
        <row r="808">
          <cell r="A808" t="str">
            <v>C222MNPT/C</v>
          </cell>
          <cell r="B808">
            <v>37900</v>
          </cell>
          <cell r="C808">
            <v>3999</v>
          </cell>
          <cell r="D808">
            <v>0.13120380000000001</v>
          </cell>
        </row>
        <row r="809">
          <cell r="A809" t="str">
            <v>C222MF/C</v>
          </cell>
          <cell r="B809">
            <v>39000</v>
          </cell>
          <cell r="C809">
            <v>3999</v>
          </cell>
          <cell r="D809">
            <v>0.13120380000000001</v>
          </cell>
        </row>
        <row r="810">
          <cell r="B810" t="str">
            <v/>
          </cell>
        </row>
        <row r="811">
          <cell r="A811" t="str">
            <v>C96MB</v>
          </cell>
          <cell r="B811">
            <v>23500</v>
          </cell>
          <cell r="C811">
            <v>3185</v>
          </cell>
          <cell r="D811">
            <v>7.9849000000000003E-2</v>
          </cell>
        </row>
        <row r="812">
          <cell r="A812" t="str">
            <v>C304MK</v>
          </cell>
          <cell r="B812">
            <v>68500</v>
          </cell>
          <cell r="C812">
            <v>7880</v>
          </cell>
          <cell r="D812">
            <v>0.18307699999999999</v>
          </cell>
        </row>
        <row r="813">
          <cell r="B813" t="str">
            <v/>
          </cell>
        </row>
        <row r="814">
          <cell r="A814" t="str">
            <v>HF26001s</v>
          </cell>
          <cell r="B814">
            <v>14000</v>
          </cell>
          <cell r="D814">
            <v>0</v>
          </cell>
        </row>
        <row r="815">
          <cell r="A815" t="str">
            <v>HF26009s</v>
          </cell>
          <cell r="B815">
            <v>14000</v>
          </cell>
          <cell r="D815">
            <v>0</v>
          </cell>
        </row>
        <row r="816">
          <cell r="A816" t="str">
            <v>HF26012</v>
          </cell>
          <cell r="B816">
            <v>14000</v>
          </cell>
          <cell r="D816">
            <v>0</v>
          </cell>
        </row>
        <row r="817">
          <cell r="A817" t="str">
            <v>HF26015</v>
          </cell>
          <cell r="B817">
            <v>13000</v>
          </cell>
          <cell r="D817">
            <v>0</v>
          </cell>
        </row>
        <row r="818">
          <cell r="A818" t="str">
            <v>HF26016s</v>
          </cell>
          <cell r="B818">
            <v>13000</v>
          </cell>
          <cell r="D818">
            <v>0</v>
          </cell>
        </row>
        <row r="819">
          <cell r="A819" t="str">
            <v>HF2387S</v>
          </cell>
          <cell r="B819">
            <v>17000</v>
          </cell>
          <cell r="C819">
            <v>2580</v>
          </cell>
          <cell r="D819">
            <v>0</v>
          </cell>
        </row>
        <row r="820">
          <cell r="A820" t="str">
            <v>HF24090Qs</v>
          </cell>
          <cell r="B820">
            <v>12000</v>
          </cell>
          <cell r="D820">
            <v>0</v>
          </cell>
        </row>
        <row r="821">
          <cell r="A821" t="str">
            <v>HF2244</v>
          </cell>
          <cell r="B821">
            <v>12350</v>
          </cell>
          <cell r="C821">
            <v>1920</v>
          </cell>
          <cell r="D821">
            <v>3.542E-2</v>
          </cell>
        </row>
        <row r="822">
          <cell r="A822" t="str">
            <v>HF2243</v>
          </cell>
          <cell r="B822">
            <v>14450</v>
          </cell>
          <cell r="C822">
            <v>2000</v>
          </cell>
          <cell r="D822">
            <v>3.61E-2</v>
          </cell>
        </row>
        <row r="823">
          <cell r="B823" t="str">
            <v/>
          </cell>
        </row>
        <row r="824">
          <cell r="A824" t="str">
            <v>HF-45-2309s</v>
          </cell>
          <cell r="B824">
            <v>8000</v>
          </cell>
          <cell r="C824">
            <v>1000</v>
          </cell>
          <cell r="D824">
            <v>1.8216E-2</v>
          </cell>
        </row>
        <row r="825">
          <cell r="A825" t="str">
            <v>HF-51-2227s</v>
          </cell>
          <cell r="B825">
            <v>7600</v>
          </cell>
          <cell r="C825">
            <v>962</v>
          </cell>
          <cell r="D825">
            <v>2.3625E-2</v>
          </cell>
        </row>
        <row r="826">
          <cell r="A826" t="str">
            <v>RK-66-2502</v>
          </cell>
          <cell r="B826">
            <v>11000</v>
          </cell>
          <cell r="C826">
            <v>1411</v>
          </cell>
          <cell r="D826">
            <v>2.5096679999999996E-2</v>
          </cell>
        </row>
        <row r="827">
          <cell r="A827" t="str">
            <v>HF-75-2310s</v>
          </cell>
          <cell r="B827">
            <v>7000</v>
          </cell>
          <cell r="C827">
            <v>955</v>
          </cell>
          <cell r="D827">
            <v>0</v>
          </cell>
        </row>
        <row r="828">
          <cell r="A828" t="str">
            <v>HF-108-2603s</v>
          </cell>
          <cell r="B828">
            <v>12000</v>
          </cell>
          <cell r="D828">
            <v>2.0937999999999998E-2</v>
          </cell>
        </row>
        <row r="829">
          <cell r="A829" t="str">
            <v>HF-144-2605</v>
          </cell>
          <cell r="B829">
            <v>15000</v>
          </cell>
          <cell r="D829">
            <v>2.8879999999999999E-2</v>
          </cell>
        </row>
        <row r="830">
          <cell r="A830" t="str">
            <v>HF-75-2608s</v>
          </cell>
          <cell r="B830">
            <v>11000</v>
          </cell>
          <cell r="D830">
            <v>2.7999999999999997E-2</v>
          </cell>
        </row>
        <row r="831">
          <cell r="A831" t="str">
            <v>RK-98-2555</v>
          </cell>
          <cell r="B831">
            <v>16000</v>
          </cell>
          <cell r="C831">
            <v>1991</v>
          </cell>
          <cell r="D831">
            <v>4.8299999999999996E-2</v>
          </cell>
        </row>
        <row r="832">
          <cell r="A832" t="str">
            <v>HF-96-2362s</v>
          </cell>
          <cell r="B832">
            <v>14400</v>
          </cell>
          <cell r="C832">
            <v>2000</v>
          </cell>
          <cell r="D832">
            <v>5.5079999999999997E-2</v>
          </cell>
        </row>
        <row r="833">
          <cell r="A833" t="str">
            <v>HF-102-2214</v>
          </cell>
          <cell r="B833">
            <v>11650</v>
          </cell>
          <cell r="C833">
            <v>1683</v>
          </cell>
          <cell r="D833">
            <v>3.4470750000000001E-2</v>
          </cell>
        </row>
        <row r="834">
          <cell r="A834" t="str">
            <v>HF-101-2216</v>
          </cell>
          <cell r="B834">
            <v>13400</v>
          </cell>
          <cell r="C834">
            <v>1973</v>
          </cell>
          <cell r="D834">
            <v>3.7207499999999998E-2</v>
          </cell>
        </row>
        <row r="835">
          <cell r="A835" t="str">
            <v>HF-108-2315</v>
          </cell>
          <cell r="B835">
            <v>13000</v>
          </cell>
          <cell r="C835">
            <v>1875</v>
          </cell>
          <cell r="D835">
            <v>3.7402249999999998E-2</v>
          </cell>
        </row>
        <row r="836">
          <cell r="A836" t="str">
            <v>HF-83-2207P</v>
          </cell>
          <cell r="B836">
            <v>10500</v>
          </cell>
          <cell r="C836">
            <v>1281</v>
          </cell>
          <cell r="D836">
            <v>3.1762499999999999E-2</v>
          </cell>
        </row>
        <row r="837">
          <cell r="A837" t="str">
            <v>HF-98-2212</v>
          </cell>
          <cell r="B837">
            <v>13000</v>
          </cell>
          <cell r="C837">
            <v>1960</v>
          </cell>
          <cell r="D837">
            <v>3.7202374999999996E-2</v>
          </cell>
        </row>
        <row r="838">
          <cell r="A838" t="str">
            <v>HF-127-2411s</v>
          </cell>
          <cell r="B838">
            <v>15700</v>
          </cell>
          <cell r="C838">
            <v>1878</v>
          </cell>
          <cell r="D838">
            <v>5.8751999999999999E-2</v>
          </cell>
        </row>
        <row r="839">
          <cell r="A839" t="str">
            <v>HF-142-2211</v>
          </cell>
          <cell r="B839">
            <v>12650</v>
          </cell>
          <cell r="C839">
            <v>1871</v>
          </cell>
          <cell r="D839">
            <v>4.2281249999999999E-2</v>
          </cell>
        </row>
        <row r="840">
          <cell r="A840" t="str">
            <v>HF-148-2217</v>
          </cell>
          <cell r="B840">
            <v>11700</v>
          </cell>
          <cell r="C840">
            <v>1831</v>
          </cell>
          <cell r="D840">
            <v>3.8437499999999999E-2</v>
          </cell>
        </row>
        <row r="841">
          <cell r="A841" t="str">
            <v>RKD-24018</v>
          </cell>
          <cell r="B841">
            <v>63000</v>
          </cell>
          <cell r="C841">
            <v>10432</v>
          </cell>
          <cell r="D841">
            <v>0.23844681000000001</v>
          </cell>
        </row>
        <row r="842">
          <cell r="A842" t="str">
            <v>RKD-24019</v>
          </cell>
          <cell r="B842">
            <v>76000</v>
          </cell>
          <cell r="C842">
            <v>12436</v>
          </cell>
          <cell r="D842">
            <v>0.30038909999999996</v>
          </cell>
        </row>
        <row r="843">
          <cell r="B843" t="str">
            <v/>
          </cell>
        </row>
        <row r="844">
          <cell r="A844" t="str">
            <v>HF-90-2402-HF-90-2403</v>
          </cell>
          <cell r="B844">
            <v>27650</v>
          </cell>
          <cell r="C844">
            <v>3746</v>
          </cell>
          <cell r="D844">
            <v>9.9812249999999991E-2</v>
          </cell>
        </row>
        <row r="845">
          <cell r="A845" t="str">
            <v>HF-129-2223A-HF-114-2224</v>
          </cell>
          <cell r="B845">
            <v>28000</v>
          </cell>
          <cell r="C845">
            <v>3530</v>
          </cell>
          <cell r="D845">
            <v>0.10532699999999999</v>
          </cell>
        </row>
        <row r="846">
          <cell r="A846" t="str">
            <v>HF-90-2218-HF-90-2219</v>
          </cell>
          <cell r="B846">
            <v>25000</v>
          </cell>
          <cell r="C846">
            <v>3662</v>
          </cell>
          <cell r="D846">
            <v>7.7281749999999996E-2</v>
          </cell>
        </row>
        <row r="847">
          <cell r="A847" t="str">
            <v>HF-78-2423-HF-78-2424</v>
          </cell>
          <cell r="B847">
            <v>22850</v>
          </cell>
          <cell r="C847">
            <v>3408</v>
          </cell>
          <cell r="D847">
            <v>7.0199999999999999E-2</v>
          </cell>
        </row>
        <row r="848">
          <cell r="A848" t="str">
            <v>HF-80-2366s  HF-80-2367s</v>
          </cell>
          <cell r="B848">
            <v>25000</v>
          </cell>
          <cell r="C848">
            <v>3299</v>
          </cell>
          <cell r="D848">
            <v>9.9427999999999989E-2</v>
          </cell>
        </row>
        <row r="849">
          <cell r="A849" t="str">
            <v>RK-92-2565 RK-96-2566</v>
          </cell>
          <cell r="B849" t="str">
            <v/>
          </cell>
          <cell r="D849">
            <v>7.0057750000000002E-2</v>
          </cell>
        </row>
        <row r="850">
          <cell r="A850" t="str">
            <v>HF-96-2418-HF-96-2419</v>
          </cell>
          <cell r="B850" t="str">
            <v/>
          </cell>
          <cell r="D850">
            <v>7.9119999999999996E-2</v>
          </cell>
        </row>
        <row r="851">
          <cell r="A851" t="str">
            <v>HF-88-2487-HF-116-2488</v>
          </cell>
          <cell r="B851">
            <v>28000</v>
          </cell>
          <cell r="C851">
            <v>3540</v>
          </cell>
          <cell r="D851">
            <v>0.10832849999999999</v>
          </cell>
        </row>
        <row r="852">
          <cell r="A852" t="str">
            <v>HF-98-24103-HF-96-24104-HF-98-24105-HF-100-24106</v>
          </cell>
          <cell r="B852">
            <v>58600</v>
          </cell>
          <cell r="C852">
            <v>7890</v>
          </cell>
          <cell r="D852">
            <v>0.211641</v>
          </cell>
        </row>
        <row r="853">
          <cell r="B853" t="str">
            <v/>
          </cell>
        </row>
        <row r="854">
          <cell r="A854" t="str">
            <v>CX1352X2</v>
          </cell>
          <cell r="B854">
            <v>14800</v>
          </cell>
          <cell r="C854">
            <v>2000</v>
          </cell>
          <cell r="D854">
            <v>4.9821749999999998E-2</v>
          </cell>
        </row>
        <row r="855">
          <cell r="A855" t="str">
            <v>CF1352X6</v>
          </cell>
          <cell r="B855">
            <v>12800</v>
          </cell>
          <cell r="C855">
            <v>2000</v>
          </cell>
          <cell r="D855">
            <v>4.9821749999999998E-2</v>
          </cell>
        </row>
        <row r="856">
          <cell r="A856" t="str">
            <v>CS1352X9</v>
          </cell>
          <cell r="B856">
            <v>13500</v>
          </cell>
          <cell r="C856">
            <v>2000</v>
          </cell>
          <cell r="D856">
            <v>4.9821749999999998E-2</v>
          </cell>
        </row>
        <row r="857">
          <cell r="A857" t="str">
            <v>CS1352X10</v>
          </cell>
          <cell r="B857">
            <v>13000</v>
          </cell>
          <cell r="C857">
            <v>2000</v>
          </cell>
          <cell r="D857">
            <v>4.9821749999999998E-2</v>
          </cell>
        </row>
        <row r="858">
          <cell r="A858" t="str">
            <v>CX1352X11</v>
          </cell>
          <cell r="B858">
            <v>12600</v>
          </cell>
          <cell r="C858">
            <v>2000</v>
          </cell>
          <cell r="D858">
            <v>4.9821749999999998E-2</v>
          </cell>
        </row>
        <row r="859">
          <cell r="A859" t="str">
            <v>CS1352X14</v>
          </cell>
          <cell r="B859">
            <v>13500</v>
          </cell>
          <cell r="C859">
            <v>2000</v>
          </cell>
          <cell r="D859">
            <v>4.9821749999999998E-2</v>
          </cell>
        </row>
        <row r="860">
          <cell r="B860" t="str">
            <v/>
          </cell>
        </row>
        <row r="861">
          <cell r="A861" t="str">
            <v>C253CH</v>
          </cell>
          <cell r="B861">
            <v>16500</v>
          </cell>
          <cell r="C861">
            <v>2850</v>
          </cell>
          <cell r="D861">
            <v>4.6815999999999997E-2</v>
          </cell>
        </row>
        <row r="862">
          <cell r="A862" t="str">
            <v>C253O</v>
          </cell>
          <cell r="B862">
            <v>18500</v>
          </cell>
          <cell r="C862">
            <v>2850</v>
          </cell>
          <cell r="D862">
            <v>4.6815999999999997E-2</v>
          </cell>
        </row>
        <row r="863">
          <cell r="B863" t="str">
            <v/>
          </cell>
        </row>
        <row r="864">
          <cell r="A864" t="str">
            <v>CF503X3</v>
          </cell>
          <cell r="B864">
            <v>15400</v>
          </cell>
          <cell r="C864">
            <v>1900</v>
          </cell>
          <cell r="D864">
            <v>5.6629124999999995E-2</v>
          </cell>
        </row>
        <row r="865">
          <cell r="A865" t="str">
            <v>CF503X4</v>
          </cell>
          <cell r="B865">
            <v>13900</v>
          </cell>
          <cell r="C865">
            <v>1900</v>
          </cell>
          <cell r="D865">
            <v>5.6629124999999995E-2</v>
          </cell>
        </row>
        <row r="866">
          <cell r="A866" t="str">
            <v>CF503X5</v>
          </cell>
          <cell r="B866">
            <v>13000</v>
          </cell>
          <cell r="C866">
            <v>1900</v>
          </cell>
          <cell r="D866">
            <v>5.6629124999999995E-2</v>
          </cell>
        </row>
        <row r="867">
          <cell r="A867" t="str">
            <v>CF503X7</v>
          </cell>
          <cell r="B867">
            <v>14700</v>
          </cell>
          <cell r="C867">
            <v>1900</v>
          </cell>
          <cell r="D867">
            <v>5.6629124999999995E-2</v>
          </cell>
        </row>
        <row r="868">
          <cell r="A868" t="str">
            <v>CF503X8</v>
          </cell>
          <cell r="B868">
            <v>14800</v>
          </cell>
          <cell r="C868">
            <v>1900</v>
          </cell>
          <cell r="D868">
            <v>5.6629124999999995E-2</v>
          </cell>
        </row>
        <row r="869">
          <cell r="A869" t="str">
            <v>CF503X12</v>
          </cell>
          <cell r="B869">
            <v>15400</v>
          </cell>
          <cell r="C869">
            <v>1900</v>
          </cell>
          <cell r="D869">
            <v>5.6629124999999995E-2</v>
          </cell>
        </row>
        <row r="870">
          <cell r="A870" t="str">
            <v>CF503X14</v>
          </cell>
          <cell r="B870">
            <v>13300</v>
          </cell>
          <cell r="C870">
            <v>1900</v>
          </cell>
          <cell r="D870">
            <v>5.6629124999999995E-2</v>
          </cell>
        </row>
        <row r="871">
          <cell r="A871" t="str">
            <v>CF503X15</v>
          </cell>
          <cell r="B871">
            <v>15000</v>
          </cell>
          <cell r="C871">
            <v>1900</v>
          </cell>
          <cell r="D871">
            <v>5.6629124999999995E-2</v>
          </cell>
        </row>
        <row r="872">
          <cell r="A872" t="str">
            <v>CF503X17</v>
          </cell>
          <cell r="B872">
            <v>14700</v>
          </cell>
          <cell r="C872">
            <v>1900</v>
          </cell>
          <cell r="D872">
            <v>5.6629124999999995E-2</v>
          </cell>
        </row>
        <row r="873">
          <cell r="A873" t="str">
            <v>CF503X29</v>
          </cell>
          <cell r="B873">
            <v>14800</v>
          </cell>
          <cell r="C873">
            <v>1900</v>
          </cell>
          <cell r="D873">
            <v>5.6629124999999995E-2</v>
          </cell>
        </row>
        <row r="874">
          <cell r="A874" t="str">
            <v>CF503X48</v>
          </cell>
          <cell r="B874">
            <v>14500</v>
          </cell>
          <cell r="C874">
            <v>1900</v>
          </cell>
          <cell r="D874">
            <v>5.6629124999999995E-2</v>
          </cell>
        </row>
        <row r="875">
          <cell r="A875" t="str">
            <v>CF503X54</v>
          </cell>
          <cell r="B875">
            <v>14500</v>
          </cell>
          <cell r="C875">
            <v>1900</v>
          </cell>
          <cell r="D875">
            <v>5.6629124999999995E-2</v>
          </cell>
        </row>
        <row r="876">
          <cell r="B876" t="str">
            <v/>
          </cell>
        </row>
        <row r="877">
          <cell r="A877" t="str">
            <v>CS503X8</v>
          </cell>
          <cell r="B877">
            <v>14200</v>
          </cell>
          <cell r="C877">
            <v>1900</v>
          </cell>
          <cell r="D877">
            <v>5.6629124999999995E-2</v>
          </cell>
        </row>
        <row r="878">
          <cell r="A878" t="str">
            <v>CS503X9</v>
          </cell>
          <cell r="B878">
            <v>15500</v>
          </cell>
          <cell r="C878">
            <v>1900</v>
          </cell>
          <cell r="D878">
            <v>5.6629124999999995E-2</v>
          </cell>
        </row>
        <row r="879">
          <cell r="A879" t="str">
            <v>CS503X11</v>
          </cell>
          <cell r="B879">
            <v>14900</v>
          </cell>
          <cell r="C879">
            <v>1900</v>
          </cell>
          <cell r="D879">
            <v>5.6629124999999995E-2</v>
          </cell>
        </row>
        <row r="880">
          <cell r="A880" t="str">
            <v>CS503X14</v>
          </cell>
          <cell r="B880">
            <v>14500</v>
          </cell>
          <cell r="C880">
            <v>1900</v>
          </cell>
          <cell r="D880">
            <v>5.6629124999999995E-2</v>
          </cell>
        </row>
        <row r="881">
          <cell r="A881" t="str">
            <v>CS503X15</v>
          </cell>
          <cell r="B881">
            <v>14100</v>
          </cell>
          <cell r="C881">
            <v>1900</v>
          </cell>
          <cell r="D881">
            <v>5.6629124999999995E-2</v>
          </cell>
        </row>
        <row r="882">
          <cell r="A882" t="str">
            <v>CS503X19</v>
          </cell>
          <cell r="B882">
            <v>14500</v>
          </cell>
          <cell r="C882">
            <v>1900</v>
          </cell>
          <cell r="D882">
            <v>5.6629124999999995E-2</v>
          </cell>
        </row>
        <row r="883">
          <cell r="A883" t="str">
            <v>CS503X26</v>
          </cell>
          <cell r="B883">
            <v>14900</v>
          </cell>
          <cell r="C883">
            <v>1900</v>
          </cell>
          <cell r="D883">
            <v>5.6629124999999995E-2</v>
          </cell>
        </row>
        <row r="884">
          <cell r="A884" t="str">
            <v>CS503X33</v>
          </cell>
          <cell r="B884">
            <v>14100</v>
          </cell>
          <cell r="C884">
            <v>1900</v>
          </cell>
          <cell r="D884">
            <v>5.6629124999999995E-2</v>
          </cell>
        </row>
        <row r="885">
          <cell r="A885" t="str">
            <v>CS503X38</v>
          </cell>
          <cell r="B885">
            <v>14100</v>
          </cell>
          <cell r="C885">
            <v>1900</v>
          </cell>
          <cell r="D885">
            <v>5.6629124999999995E-2</v>
          </cell>
        </row>
        <row r="886">
          <cell r="B886" t="str">
            <v/>
          </cell>
        </row>
        <row r="887">
          <cell r="A887" t="str">
            <v>S2M</v>
          </cell>
          <cell r="B887">
            <v>12000</v>
          </cell>
          <cell r="C887">
            <v>7200</v>
          </cell>
          <cell r="D887">
            <v>4.0500000000000001E-2</v>
          </cell>
        </row>
        <row r="888">
          <cell r="B888" t="str">
            <v/>
          </cell>
        </row>
        <row r="889">
          <cell r="A889" t="str">
            <v>S3F/P</v>
          </cell>
          <cell r="B889">
            <v>15500</v>
          </cell>
          <cell r="C889">
            <v>10800</v>
          </cell>
          <cell r="D889">
            <v>5.0624999999999996E-2</v>
          </cell>
        </row>
        <row r="890">
          <cell r="A890" t="str">
            <v>S3IA/P</v>
          </cell>
          <cell r="B890">
            <v>15100</v>
          </cell>
          <cell r="C890">
            <v>10800</v>
          </cell>
          <cell r="D890">
            <v>5.0624999999999996E-2</v>
          </cell>
        </row>
        <row r="891">
          <cell r="A891" t="str">
            <v>S3J/P</v>
          </cell>
          <cell r="B891">
            <v>15000</v>
          </cell>
          <cell r="C891">
            <v>10800</v>
          </cell>
          <cell r="D891">
            <v>5.0624999999999996E-2</v>
          </cell>
        </row>
        <row r="892">
          <cell r="A892" t="str">
            <v>S3S/P</v>
          </cell>
          <cell r="B892">
            <v>16000</v>
          </cell>
          <cell r="C892">
            <v>10800</v>
          </cell>
          <cell r="D892">
            <v>5.0624999999999996E-2</v>
          </cell>
        </row>
        <row r="893">
          <cell r="A893" t="str">
            <v>S3T</v>
          </cell>
          <cell r="B893">
            <v>15700</v>
          </cell>
          <cell r="C893">
            <v>10800</v>
          </cell>
          <cell r="D893">
            <v>5.0624999999999996E-2</v>
          </cell>
        </row>
        <row r="894">
          <cell r="A894" t="str">
            <v>S3M/P</v>
          </cell>
          <cell r="B894">
            <v>15600</v>
          </cell>
          <cell r="C894">
            <v>10800</v>
          </cell>
          <cell r="D894">
            <v>5.0624999999999996E-2</v>
          </cell>
        </row>
        <row r="895">
          <cell r="B895" t="str">
            <v/>
          </cell>
        </row>
        <row r="896">
          <cell r="A896" t="str">
            <v>S4T</v>
          </cell>
          <cell r="B896">
            <v>13600</v>
          </cell>
          <cell r="C896">
            <v>10800</v>
          </cell>
          <cell r="D896">
            <v>5.0591999999999998E-2</v>
          </cell>
        </row>
        <row r="897">
          <cell r="B897" t="str">
            <v/>
          </cell>
        </row>
        <row r="898">
          <cell r="A898" t="str">
            <v>S4C/P</v>
          </cell>
          <cell r="B898">
            <v>15700</v>
          </cell>
          <cell r="C898">
            <v>10800</v>
          </cell>
          <cell r="D898">
            <v>5.0591999999999998E-2</v>
          </cell>
        </row>
        <row r="899">
          <cell r="A899" t="str">
            <v>S4J/P</v>
          </cell>
          <cell r="B899">
            <v>16500</v>
          </cell>
          <cell r="C899">
            <v>10800</v>
          </cell>
          <cell r="D899">
            <v>5.0591999999999998E-2</v>
          </cell>
        </row>
        <row r="900">
          <cell r="A900" t="str">
            <v>S4K/P</v>
          </cell>
          <cell r="B900">
            <v>17600</v>
          </cell>
          <cell r="C900">
            <v>10800</v>
          </cell>
          <cell r="D900">
            <v>5.0591999999999998E-2</v>
          </cell>
        </row>
        <row r="901">
          <cell r="A901" t="str">
            <v>S4L/P</v>
          </cell>
          <cell r="B901">
            <v>17300</v>
          </cell>
          <cell r="C901">
            <v>10800</v>
          </cell>
          <cell r="D901">
            <v>5.0591999999999998E-2</v>
          </cell>
        </row>
        <row r="902">
          <cell r="A902" t="str">
            <v>S4NA/P</v>
          </cell>
          <cell r="B902">
            <v>15200</v>
          </cell>
          <cell r="C902">
            <v>10800</v>
          </cell>
          <cell r="D902">
            <v>5.0591999999999998E-2</v>
          </cell>
        </row>
        <row r="903">
          <cell r="A903" t="str">
            <v>S4O/P</v>
          </cell>
          <cell r="B903">
            <v>16500</v>
          </cell>
          <cell r="C903">
            <v>10800</v>
          </cell>
          <cell r="D903">
            <v>5.0591999999999998E-2</v>
          </cell>
        </row>
        <row r="904">
          <cell r="A904" t="str">
            <v>S4P/P</v>
          </cell>
          <cell r="B904">
            <v>16700</v>
          </cell>
          <cell r="C904">
            <v>10800</v>
          </cell>
          <cell r="D904">
            <v>5.0591999999999998E-2</v>
          </cell>
        </row>
        <row r="905">
          <cell r="A905" t="str">
            <v>S4Q/P</v>
          </cell>
          <cell r="B905">
            <v>15000</v>
          </cell>
          <cell r="C905">
            <v>10800</v>
          </cell>
          <cell r="D905">
            <v>5.0591999999999998E-2</v>
          </cell>
        </row>
        <row r="906">
          <cell r="A906" t="str">
            <v>S4S/P</v>
          </cell>
          <cell r="B906">
            <v>18400</v>
          </cell>
          <cell r="C906">
            <v>10800</v>
          </cell>
          <cell r="D906">
            <v>5.0591999999999998E-2</v>
          </cell>
        </row>
        <row r="907">
          <cell r="A907" t="str">
            <v>S4W/P</v>
          </cell>
          <cell r="B907">
            <v>16500</v>
          </cell>
          <cell r="C907">
            <v>10800</v>
          </cell>
          <cell r="D907">
            <v>5.0591999999999998E-2</v>
          </cell>
        </row>
        <row r="908">
          <cell r="A908" t="str">
            <v>S4Z5/P</v>
          </cell>
          <cell r="B908">
            <v>15000</v>
          </cell>
          <cell r="C908">
            <v>10800</v>
          </cell>
          <cell r="D908">
            <v>5.0591999999999998E-2</v>
          </cell>
        </row>
        <row r="909">
          <cell r="A909" t="str">
            <v>S4Z6/P</v>
          </cell>
          <cell r="B909">
            <v>15000</v>
          </cell>
          <cell r="C909">
            <v>10800</v>
          </cell>
          <cell r="D909">
            <v>5.0591999999999998E-2</v>
          </cell>
        </row>
        <row r="910">
          <cell r="A910" t="str">
            <v>S4Z8/P</v>
          </cell>
          <cell r="B910">
            <v>17000</v>
          </cell>
          <cell r="C910">
            <v>10800</v>
          </cell>
          <cell r="D910">
            <v>5.0591999999999998E-2</v>
          </cell>
        </row>
        <row r="911">
          <cell r="A911" t="str">
            <v>S4Z11/P</v>
          </cell>
          <cell r="B911">
            <v>16600</v>
          </cell>
          <cell r="C911">
            <v>10800</v>
          </cell>
          <cell r="D911">
            <v>5.0591999999999998E-2</v>
          </cell>
        </row>
        <row r="912">
          <cell r="A912" t="str">
            <v>S4M/P</v>
          </cell>
          <cell r="B912">
            <v>17500</v>
          </cell>
          <cell r="C912">
            <v>10800</v>
          </cell>
          <cell r="D912">
            <v>5.0591999999999998E-2</v>
          </cell>
        </row>
        <row r="913">
          <cell r="B913" t="str">
            <v/>
          </cell>
        </row>
        <row r="914">
          <cell r="A914" t="str">
            <v>S5E/P</v>
          </cell>
          <cell r="B914">
            <v>12600</v>
          </cell>
          <cell r="C914">
            <v>9600</v>
          </cell>
          <cell r="D914">
            <v>4.3217999999999999E-2</v>
          </cell>
        </row>
        <row r="915">
          <cell r="A915" t="str">
            <v>S5F/P</v>
          </cell>
          <cell r="B915">
            <v>13500</v>
          </cell>
          <cell r="C915">
            <v>9600</v>
          </cell>
          <cell r="D915">
            <v>4.3217999999999999E-2</v>
          </cell>
        </row>
        <row r="916">
          <cell r="A916" t="str">
            <v>S5K/P</v>
          </cell>
          <cell r="B916">
            <v>14800</v>
          </cell>
          <cell r="C916">
            <v>9600</v>
          </cell>
          <cell r="D916">
            <v>4.3217999999999999E-2</v>
          </cell>
        </row>
        <row r="917">
          <cell r="A917" t="str">
            <v>S5M/P</v>
          </cell>
          <cell r="B917">
            <v>14000</v>
          </cell>
          <cell r="C917">
            <v>9600</v>
          </cell>
          <cell r="D917">
            <v>4.3217999999999999E-2</v>
          </cell>
        </row>
        <row r="918">
          <cell r="B918" t="str">
            <v/>
          </cell>
        </row>
        <row r="919">
          <cell r="A919" t="str">
            <v>S6M</v>
          </cell>
          <cell r="B919">
            <v>13700</v>
          </cell>
          <cell r="C919">
            <v>9000</v>
          </cell>
          <cell r="D919">
            <v>4.6574999999999998E-2</v>
          </cell>
        </row>
        <row r="920">
          <cell r="B920" t="str">
            <v/>
          </cell>
        </row>
        <row r="921">
          <cell r="A921" t="str">
            <v>S6F/P(9)</v>
          </cell>
          <cell r="B921">
            <v>12000</v>
          </cell>
          <cell r="C921">
            <v>9000</v>
          </cell>
          <cell r="D921">
            <v>4.6574999999999998E-2</v>
          </cell>
        </row>
        <row r="922">
          <cell r="A922" t="str">
            <v>S6I/P(9)</v>
          </cell>
          <cell r="B922">
            <v>12000</v>
          </cell>
          <cell r="C922">
            <v>9000</v>
          </cell>
          <cell r="D922">
            <v>4.6574999999999998E-2</v>
          </cell>
        </row>
        <row r="923">
          <cell r="A923" t="str">
            <v>S6R/P(9)</v>
          </cell>
          <cell r="B923">
            <v>12000</v>
          </cell>
          <cell r="C923">
            <v>9000</v>
          </cell>
          <cell r="D923">
            <v>4.6574999999999998E-2</v>
          </cell>
        </row>
        <row r="924">
          <cell r="A924" t="str">
            <v>S6Z3/P(9)</v>
          </cell>
          <cell r="B924">
            <v>12000</v>
          </cell>
          <cell r="C924">
            <v>9000</v>
          </cell>
          <cell r="D924">
            <v>4.6574999999999998E-2</v>
          </cell>
        </row>
        <row r="925">
          <cell r="B925" t="str">
            <v/>
          </cell>
        </row>
        <row r="926">
          <cell r="A926" t="str">
            <v>RKD-S03-01</v>
          </cell>
          <cell r="B926">
            <v>17000</v>
          </cell>
          <cell r="C926">
            <v>7950</v>
          </cell>
          <cell r="D926">
            <v>4.2623999999999995E-2</v>
          </cell>
        </row>
        <row r="927">
          <cell r="A927" t="str">
            <v>RKD-S03-02</v>
          </cell>
          <cell r="B927">
            <v>17000</v>
          </cell>
          <cell r="C927">
            <v>10152</v>
          </cell>
          <cell r="D927">
            <v>5.2899999999999996E-2</v>
          </cell>
        </row>
        <row r="928">
          <cell r="A928" t="str">
            <v>RKD-S03-03</v>
          </cell>
          <cell r="B928">
            <v>17000</v>
          </cell>
          <cell r="C928">
            <v>10224</v>
          </cell>
          <cell r="D928">
            <v>5.2899999999999996E-2</v>
          </cell>
        </row>
        <row r="929">
          <cell r="A929" t="str">
            <v>RKD-S04-01</v>
          </cell>
          <cell r="B929">
            <v>19000</v>
          </cell>
          <cell r="C929">
            <v>11376</v>
          </cell>
          <cell r="D929">
            <v>5.3792E-2</v>
          </cell>
        </row>
        <row r="930">
          <cell r="A930" t="str">
            <v>RKD-S04-04</v>
          </cell>
          <cell r="B930">
            <v>19000</v>
          </cell>
          <cell r="C930">
            <v>12276</v>
          </cell>
          <cell r="D930">
            <v>5.3792E-2</v>
          </cell>
        </row>
        <row r="931">
          <cell r="A931" t="str">
            <v>RKD-S05-01</v>
          </cell>
          <cell r="B931">
            <v>24000</v>
          </cell>
          <cell r="C931">
            <v>10560</v>
          </cell>
          <cell r="D931">
            <v>6.4599999999999991E-2</v>
          </cell>
        </row>
        <row r="932">
          <cell r="A932" t="str">
            <v>RKD-S05-02</v>
          </cell>
          <cell r="B932">
            <v>24000</v>
          </cell>
          <cell r="C932">
            <v>15480</v>
          </cell>
          <cell r="D932">
            <v>6.4599999999999991E-2</v>
          </cell>
        </row>
        <row r="933">
          <cell r="A933" t="str">
            <v>RKD-S05-03</v>
          </cell>
          <cell r="B933">
            <v>24000</v>
          </cell>
          <cell r="C933">
            <v>15120</v>
          </cell>
          <cell r="D933">
            <v>6.4599999999999991E-2</v>
          </cell>
        </row>
        <row r="934">
          <cell r="A934" t="str">
            <v>RKD-S05-04</v>
          </cell>
          <cell r="B934">
            <v>24000</v>
          </cell>
          <cell r="C934">
            <v>14640</v>
          </cell>
          <cell r="D934">
            <v>6.4599999999999991E-2</v>
          </cell>
        </row>
        <row r="935">
          <cell r="A935" t="str">
            <v>RKD-S05-05</v>
          </cell>
          <cell r="B935">
            <v>24000</v>
          </cell>
          <cell r="C935">
            <v>15360</v>
          </cell>
          <cell r="D935">
            <v>6.4599999999999991E-2</v>
          </cell>
        </row>
        <row r="936">
          <cell r="A936" t="str">
            <v>RKD-S05-09</v>
          </cell>
          <cell r="B936">
            <v>24000</v>
          </cell>
          <cell r="C936">
            <v>14976</v>
          </cell>
          <cell r="D936">
            <v>6.4599999999999991E-2</v>
          </cell>
        </row>
        <row r="937">
          <cell r="A937" t="str">
            <v>RKD-S05-11</v>
          </cell>
          <cell r="B937">
            <v>24000</v>
          </cell>
          <cell r="C937">
            <v>15480</v>
          </cell>
          <cell r="D937">
            <v>6.4599999999999991E-2</v>
          </cell>
        </row>
        <row r="938">
          <cell r="A938" t="str">
            <v>RKD-S05-12</v>
          </cell>
          <cell r="B938">
            <v>24000</v>
          </cell>
          <cell r="C938">
            <v>15480</v>
          </cell>
          <cell r="D938">
            <v>6.4599999999999991E-2</v>
          </cell>
        </row>
        <row r="939">
          <cell r="A939" t="str">
            <v>RKD-S06-01</v>
          </cell>
          <cell r="B939">
            <v>17000</v>
          </cell>
          <cell r="C939">
            <v>9288</v>
          </cell>
          <cell r="D939">
            <v>8.2417999999999991E-2</v>
          </cell>
        </row>
        <row r="940">
          <cell r="A940" t="str">
            <v>RKD-S06-02</v>
          </cell>
          <cell r="B940">
            <v>17000</v>
          </cell>
          <cell r="C940">
            <v>9288</v>
          </cell>
          <cell r="D940">
            <v>8.2417999999999991E-2</v>
          </cell>
        </row>
        <row r="941">
          <cell r="A941" t="str">
            <v>RKD-S06-03</v>
          </cell>
          <cell r="B941">
            <v>17000</v>
          </cell>
          <cell r="C941">
            <v>9837</v>
          </cell>
          <cell r="D941">
            <v>8.2417999999999991E-2</v>
          </cell>
        </row>
        <row r="942">
          <cell r="A942" t="str">
            <v>RKD-S06-04</v>
          </cell>
          <cell r="B942">
            <v>17000</v>
          </cell>
          <cell r="C942">
            <v>9711</v>
          </cell>
          <cell r="D942">
            <v>8.2417999999999991E-2</v>
          </cell>
        </row>
        <row r="943">
          <cell r="A943" t="str">
            <v>RKD-S06-05</v>
          </cell>
          <cell r="B943">
            <v>17000</v>
          </cell>
          <cell r="C943">
            <v>9450</v>
          </cell>
          <cell r="D943">
            <v>8.2417999999999991E-2</v>
          </cell>
        </row>
        <row r="944">
          <cell r="A944" t="str">
            <v>RKD-S06-07</v>
          </cell>
          <cell r="B944">
            <v>17000</v>
          </cell>
          <cell r="C944">
            <v>10476</v>
          </cell>
          <cell r="D944">
            <v>8.2417999999999991E-2</v>
          </cell>
        </row>
        <row r="945">
          <cell r="B945" t="str">
            <v/>
          </cell>
        </row>
        <row r="946">
          <cell r="A946" t="str">
            <v>M2</v>
          </cell>
          <cell r="B946">
            <v>400</v>
          </cell>
          <cell r="D946">
            <v>1.23E-3</v>
          </cell>
        </row>
        <row r="947">
          <cell r="A947" t="str">
            <v>M3</v>
          </cell>
          <cell r="B947">
            <v>700</v>
          </cell>
          <cell r="D947">
            <v>3.2000000000000002E-3</v>
          </cell>
        </row>
        <row r="948">
          <cell r="A948" t="str">
            <v>M4</v>
          </cell>
          <cell r="B948">
            <v>1350</v>
          </cell>
          <cell r="D948">
            <v>6.6E-3</v>
          </cell>
        </row>
        <row r="949">
          <cell r="A949" t="str">
            <v>M5</v>
          </cell>
          <cell r="B949">
            <v>3000</v>
          </cell>
          <cell r="D949">
            <v>1.47E-2</v>
          </cell>
        </row>
        <row r="950">
          <cell r="A950" t="str">
            <v>M6</v>
          </cell>
          <cell r="B950">
            <v>4300</v>
          </cell>
          <cell r="D950">
            <v>2.4E-2</v>
          </cell>
        </row>
        <row r="951">
          <cell r="B951" t="str">
            <v/>
          </cell>
        </row>
        <row r="952">
          <cell r="A952" t="str">
            <v>IF220A</v>
          </cell>
          <cell r="B952">
            <v>12000</v>
          </cell>
          <cell r="C952">
            <v>2400</v>
          </cell>
          <cell r="D952">
            <v>2.0063999999999999E-2</v>
          </cell>
        </row>
        <row r="953">
          <cell r="A953" t="str">
            <v>IF3MA</v>
          </cell>
          <cell r="B953">
            <v>14500</v>
          </cell>
          <cell r="C953">
            <v>3600</v>
          </cell>
          <cell r="D953">
            <v>2.6712E-2</v>
          </cell>
        </row>
        <row r="954">
          <cell r="A954" t="str">
            <v>IF560B</v>
          </cell>
          <cell r="B954">
            <v>15500</v>
          </cell>
          <cell r="C954">
            <v>6000</v>
          </cell>
          <cell r="D954">
            <v>2.9791999999999999E-2</v>
          </cell>
        </row>
        <row r="955">
          <cell r="B955" t="str">
            <v/>
          </cell>
        </row>
        <row r="956">
          <cell r="A956" t="str">
            <v>EP03M</v>
          </cell>
          <cell r="B956">
            <v>9200</v>
          </cell>
          <cell r="C956">
            <v>0.2</v>
          </cell>
          <cell r="D956">
            <v>2.4191999999999998E-2</v>
          </cell>
        </row>
        <row r="957">
          <cell r="A957" t="str">
            <v>EP1M</v>
          </cell>
          <cell r="B957">
            <v>7800</v>
          </cell>
          <cell r="C957">
            <v>0.2</v>
          </cell>
          <cell r="D957">
            <v>2.2463999999999998E-2</v>
          </cell>
        </row>
        <row r="958">
          <cell r="A958" t="str">
            <v>EP2M</v>
          </cell>
          <cell r="B958">
            <v>12000</v>
          </cell>
          <cell r="C958">
            <v>0.2</v>
          </cell>
          <cell r="D958">
            <v>4.1159999999999995E-2</v>
          </cell>
        </row>
        <row r="959">
          <cell r="A959" t="str">
            <v>EP3M</v>
          </cell>
          <cell r="B959">
            <v>10000</v>
          </cell>
          <cell r="C959">
            <v>0.2</v>
          </cell>
          <cell r="D959">
            <v>2.4191999999999998E-2</v>
          </cell>
        </row>
        <row r="960">
          <cell r="A960" t="str">
            <v>EP5M</v>
          </cell>
          <cell r="B960">
            <v>15600</v>
          </cell>
          <cell r="C960">
            <v>0.2</v>
          </cell>
          <cell r="D960">
            <v>4.1159999999999995E-2</v>
          </cell>
        </row>
        <row r="961">
          <cell r="A961" t="str">
            <v>PAL</v>
          </cell>
          <cell r="B961">
            <v>22000</v>
          </cell>
          <cell r="D961">
            <v>0.192</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2"/>
    </sheetNames>
    <sheetDataSet>
      <sheetData sheetId="0">
        <row r="2">
          <cell r="B2">
            <v>2026</v>
          </cell>
        </row>
        <row r="5">
          <cell r="A5">
            <v>1</v>
          </cell>
          <cell r="B5" t="str">
            <v>2a</v>
          </cell>
          <cell r="C5">
            <v>3</v>
          </cell>
          <cell r="D5">
            <v>4</v>
          </cell>
        </row>
        <row r="6">
          <cell r="A6" t="str">
            <v xml:space="preserve">Catalog </v>
          </cell>
          <cell r="B6" t="str">
            <v>Ceníkový</v>
          </cell>
          <cell r="C6" t="str">
            <v xml:space="preserve">Packing </v>
          </cell>
          <cell r="D6" t="str">
            <v>QTY CTN</v>
          </cell>
        </row>
        <row r="7">
          <cell r="A7" t="str">
            <v>number</v>
          </cell>
          <cell r="B7" t="str">
            <v>název</v>
          </cell>
          <cell r="C7" t="str">
            <v>in carton</v>
          </cell>
          <cell r="D7" t="str">
            <v>on</v>
          </cell>
        </row>
        <row r="8">
          <cell r="B8" t="str">
            <v>web</v>
          </cell>
          <cell r="D8" t="str">
            <v>EUROPALET</v>
          </cell>
        </row>
        <row r="9">
          <cell r="A9" t="str">
            <v>BK1P</v>
          </cell>
          <cell r="B9" t="str">
            <v>Pekelné bouchací kuličky</v>
          </cell>
          <cell r="C9" t="str">
            <v>6/50/50</v>
          </cell>
          <cell r="D9">
            <v>63</v>
          </cell>
        </row>
        <row r="10">
          <cell r="A10" t="str">
            <v>BK1P(1)</v>
          </cell>
          <cell r="B10" t="str">
            <v>Dumbum bouchací kuličky</v>
          </cell>
          <cell r="C10" t="str">
            <v>150/100</v>
          </cell>
          <cell r="D10">
            <v>63</v>
          </cell>
        </row>
        <row r="11">
          <cell r="A11" t="str">
            <v>BK2V</v>
          </cell>
          <cell r="B11" t="str">
            <v>Dumbum velké bouchací kuličky</v>
          </cell>
          <cell r="C11" t="str">
            <v>100/75</v>
          </cell>
          <cell r="D11">
            <v>36</v>
          </cell>
        </row>
        <row r="12">
          <cell r="A12" t="str">
            <v>S5DU14</v>
          </cell>
          <cell r="B12" t="str">
            <v>Strobo Dumbum</v>
          </cell>
          <cell r="C12" t="str">
            <v>40/30</v>
          </cell>
          <cell r="D12">
            <v>62</v>
          </cell>
        </row>
        <row r="13">
          <cell r="A13" t="str">
            <v>R5DU14</v>
          </cell>
          <cell r="B13" t="str">
            <v>Rotate Dumbum</v>
          </cell>
          <cell r="C13" t="str">
            <v>40/30</v>
          </cell>
          <cell r="D13">
            <v>62</v>
          </cell>
        </row>
        <row r="14">
          <cell r="A14" t="str">
            <v>C5DU14</v>
          </cell>
          <cell r="B14" t="str">
            <v>Crackling Dumbum</v>
          </cell>
          <cell r="C14" t="str">
            <v>40/30</v>
          </cell>
          <cell r="D14">
            <v>50</v>
          </cell>
        </row>
        <row r="15">
          <cell r="A15" t="str">
            <v>DP1CB</v>
          </cell>
          <cell r="B15" t="str">
            <v>Crazy Ball</v>
          </cell>
          <cell r="C15" t="str">
            <v>48/24</v>
          </cell>
          <cell r="D15">
            <v>49</v>
          </cell>
        </row>
        <row r="16">
          <cell r="A16" t="str">
            <v>DP1CB(1)</v>
          </cell>
          <cell r="B16" t="str">
            <v>Dumbum explosive ball 2</v>
          </cell>
          <cell r="C16" t="str">
            <v>48/24</v>
          </cell>
          <cell r="D16">
            <v>49</v>
          </cell>
        </row>
        <row r="17">
          <cell r="A17" t="str">
            <v>DP2CB</v>
          </cell>
          <cell r="B17" t="str">
            <v>Crazy Ball big</v>
          </cell>
          <cell r="C17" t="str">
            <v>12/6/6</v>
          </cell>
          <cell r="D17">
            <v>36</v>
          </cell>
        </row>
        <row r="18">
          <cell r="A18" t="str">
            <v>DP2CB(1)</v>
          </cell>
          <cell r="B18" t="str">
            <v>Dumbum Explosive ball 3</v>
          </cell>
          <cell r="C18" t="str">
            <v>36/12</v>
          </cell>
          <cell r="D18">
            <v>36</v>
          </cell>
        </row>
        <row r="19">
          <cell r="A19" t="str">
            <v>DP1M</v>
          </cell>
          <cell r="B19" t="str">
            <v>Meteorit</v>
          </cell>
          <cell r="C19" t="str">
            <v>10/40/12</v>
          </cell>
          <cell r="D19">
            <v>42</v>
          </cell>
        </row>
        <row r="20">
          <cell r="A20" t="str">
            <v>DP1Z20</v>
          </cell>
          <cell r="B20" t="str">
            <v>Kalashnikov 20cm</v>
          </cell>
          <cell r="C20" t="str">
            <v>4/20/12</v>
          </cell>
          <cell r="D20">
            <v>54</v>
          </cell>
        </row>
        <row r="21">
          <cell r="A21" t="str">
            <v>CDK1</v>
          </cell>
          <cell r="B21" t="str">
            <v>Crackling Dumbum for kids</v>
          </cell>
          <cell r="C21" t="str">
            <v>30/66</v>
          </cell>
          <cell r="D21">
            <v>90</v>
          </cell>
        </row>
        <row r="22">
          <cell r="A22" t="str">
            <v>CDK1(1)</v>
          </cell>
          <cell r="B22" t="str">
            <v>Crackling Dumbum for kids</v>
          </cell>
          <cell r="C22" t="str">
            <v>20/12/8.</v>
          </cell>
          <cell r="D22">
            <v>90</v>
          </cell>
        </row>
        <row r="23">
          <cell r="A23" t="str">
            <v>DP1BP</v>
          </cell>
          <cell r="B23" t="str">
            <v>Dumbum Bouchající provázky</v>
          </cell>
          <cell r="C23" t="str">
            <v>36/100</v>
          </cell>
          <cell r="D23" t="str">
            <v>144</v>
          </cell>
        </row>
        <row r="24">
          <cell r="A24" t="str">
            <v>DP1T</v>
          </cell>
          <cell r="B24" t="str">
            <v>Tazmánia</v>
          </cell>
          <cell r="C24" t="str">
            <v>45/18</v>
          </cell>
          <cell r="D24">
            <v>80</v>
          </cell>
        </row>
        <row r="25">
          <cell r="A25" t="str">
            <v>DP1R</v>
          </cell>
          <cell r="B25" t="str">
            <v>Rotáček</v>
          </cell>
          <cell r="C25" t="str">
            <v>75/40</v>
          </cell>
          <cell r="D25" t="str">
            <v>32</v>
          </cell>
        </row>
        <row r="26">
          <cell r="A26" t="str">
            <v>DP1VR</v>
          </cell>
          <cell r="B26" t="str">
            <v>Velký Rotáček</v>
          </cell>
          <cell r="C26" t="str">
            <v>120/12</v>
          </cell>
          <cell r="D26" t="str">
            <v>30</v>
          </cell>
        </row>
        <row r="27">
          <cell r="A27" t="str">
            <v>DP1EM</v>
          </cell>
          <cell r="B27" t="str">
            <v>Emoji</v>
          </cell>
          <cell r="C27" t="str">
            <v>6/12/4</v>
          </cell>
          <cell r="D27">
            <v>48</v>
          </cell>
        </row>
        <row r="28">
          <cell r="A28" t="str">
            <v>DP1SW</v>
          </cell>
          <cell r="B28" t="str">
            <v>Scream wheel</v>
          </cell>
          <cell r="C28" t="str">
            <v>48/12</v>
          </cell>
          <cell r="D28">
            <v>20</v>
          </cell>
        </row>
        <row r="29">
          <cell r="A29" t="str">
            <v>DP1FR</v>
          </cell>
          <cell r="B29" t="str">
            <v>Crazy kids fountains</v>
          </cell>
          <cell r="C29" t="str">
            <v>10/20/10</v>
          </cell>
          <cell r="D29" t="str">
            <v>40</v>
          </cell>
        </row>
        <row r="30">
          <cell r="A30" t="str">
            <v>DP1FM</v>
          </cell>
          <cell r="B30" t="str">
            <v>Mini Vulkán</v>
          </cell>
          <cell r="C30" t="str">
            <v>72/8.</v>
          </cell>
          <cell r="D30">
            <v>48</v>
          </cell>
        </row>
        <row r="31">
          <cell r="A31" t="str">
            <v>DP1FV</v>
          </cell>
          <cell r="B31" t="str">
            <v>Vulcano</v>
          </cell>
          <cell r="C31" t="str">
            <v>48/6</v>
          </cell>
          <cell r="D31">
            <v>36</v>
          </cell>
        </row>
        <row r="32">
          <cell r="A32" t="str">
            <v>DP1FD</v>
          </cell>
          <cell r="B32" t="str">
            <v>Párty fountain</v>
          </cell>
          <cell r="C32" t="str">
            <v>40/6</v>
          </cell>
          <cell r="D32">
            <v>42</v>
          </cell>
        </row>
        <row r="33">
          <cell r="A33" t="str">
            <v>F19MF1</v>
          </cell>
          <cell r="B33" t="str">
            <v>Monster colour fountain</v>
          </cell>
          <cell r="C33" t="str">
            <v>28/5.</v>
          </cell>
          <cell r="D33">
            <v>30</v>
          </cell>
        </row>
        <row r="34">
          <cell r="A34" t="str">
            <v>BP30S</v>
          </cell>
          <cell r="B34" t="str">
            <v>Childrens party torch with shining bracelet</v>
          </cell>
          <cell r="C34" t="str">
            <v>40/8</v>
          </cell>
          <cell r="D34">
            <v>75</v>
          </cell>
        </row>
        <row r="35">
          <cell r="A35" t="str">
            <v>CST12S</v>
          </cell>
          <cell r="B35" t="str">
            <v>Crackling and strobe torch</v>
          </cell>
          <cell r="C35" t="str">
            <v>40/12</v>
          </cell>
          <cell r="D35">
            <v>78</v>
          </cell>
        </row>
        <row r="36">
          <cell r="A36" t="str">
            <v>CST40S</v>
          </cell>
          <cell r="B36" t="str">
            <v>Blue/gold and strobe torch</v>
          </cell>
          <cell r="C36" t="str">
            <v>50/4.</v>
          </cell>
          <cell r="D36">
            <v>72</v>
          </cell>
        </row>
        <row r="37">
          <cell r="A37" t="str">
            <v>DP1TA</v>
          </cell>
          <cell r="B37" t="str">
            <v>Tank</v>
          </cell>
          <cell r="C37" t="str">
            <v>60/1</v>
          </cell>
          <cell r="D37">
            <v>32</v>
          </cell>
        </row>
        <row r="38">
          <cell r="A38" t="str">
            <v>DP1TA(1)</v>
          </cell>
          <cell r="B38" t="str">
            <v>Tank</v>
          </cell>
          <cell r="C38" t="str">
            <v>60/1</v>
          </cell>
          <cell r="D38">
            <v>32</v>
          </cell>
        </row>
        <row r="39">
          <cell r="A39" t="str">
            <v>DP1BS(1)</v>
          </cell>
          <cell r="B39" t="str">
            <v>Baby shark</v>
          </cell>
          <cell r="C39" t="str">
            <v>60/1</v>
          </cell>
          <cell r="D39">
            <v>32</v>
          </cell>
        </row>
        <row r="40">
          <cell r="A40" t="str">
            <v>DP1P</v>
          </cell>
          <cell r="B40" t="str">
            <v>Scream mini</v>
          </cell>
          <cell r="C40" t="str">
            <v>80/30</v>
          </cell>
          <cell r="D40">
            <v>42</v>
          </cell>
        </row>
        <row r="41">
          <cell r="A41" t="str">
            <v>DP2W</v>
          </cell>
          <cell r="B41" t="str">
            <v>Scream maxi</v>
          </cell>
          <cell r="C41" t="str">
            <v>50/5</v>
          </cell>
          <cell r="D41">
            <v>56</v>
          </cell>
        </row>
        <row r="42">
          <cell r="A42" t="str">
            <v>S12S</v>
          </cell>
          <cell r="B42" t="str">
            <v>Stroboskop malý</v>
          </cell>
          <cell r="C42" t="str">
            <v>24/8/8.</v>
          </cell>
          <cell r="D42">
            <v>45</v>
          </cell>
        </row>
        <row r="43">
          <cell r="A43" t="str">
            <v>S12S(1)</v>
          </cell>
          <cell r="B43" t="str">
            <v>Stroboskop malý</v>
          </cell>
          <cell r="C43" t="str">
            <v>48/32</v>
          </cell>
          <cell r="D43">
            <v>45</v>
          </cell>
        </row>
        <row r="44">
          <cell r="A44" t="str">
            <v>DP1VC</v>
          </cell>
          <cell r="B44" t="str">
            <v>Včeličky</v>
          </cell>
          <cell r="C44" t="str">
            <v>80/15</v>
          </cell>
          <cell r="D44" t="str">
            <v>48</v>
          </cell>
        </row>
        <row r="45">
          <cell r="A45" t="str">
            <v>LM0SW</v>
          </cell>
          <cell r="B45" t="str">
            <v>Scream Wasp</v>
          </cell>
          <cell r="C45" t="str">
            <v>5/20/12</v>
          </cell>
          <cell r="D45">
            <v>80</v>
          </cell>
        </row>
        <row r="46">
          <cell r="A46" t="str">
            <v>LM1O</v>
          </cell>
          <cell r="B46" t="str">
            <v>Ohnivý motýl</v>
          </cell>
          <cell r="C46" t="str">
            <v>120/10</v>
          </cell>
          <cell r="D46">
            <v>80</v>
          </cell>
        </row>
        <row r="47">
          <cell r="A47" t="str">
            <v>LM2C</v>
          </cell>
          <cell r="B47" t="str">
            <v>Čmelák</v>
          </cell>
          <cell r="C47" t="str">
            <v>60/6</v>
          </cell>
          <cell r="D47">
            <v>24</v>
          </cell>
        </row>
        <row r="48">
          <cell r="A48" t="str">
            <v>LM2V</v>
          </cell>
          <cell r="B48" t="str">
            <v>Vampír</v>
          </cell>
          <cell r="C48" t="str">
            <v>60/6</v>
          </cell>
          <cell r="D48">
            <v>42</v>
          </cell>
        </row>
        <row r="49">
          <cell r="A49" t="str">
            <v>LM3T</v>
          </cell>
          <cell r="B49" t="str">
            <v>Turbo bumble bee</v>
          </cell>
          <cell r="C49" t="str">
            <v>36/3</v>
          </cell>
          <cell r="D49">
            <v>40</v>
          </cell>
        </row>
        <row r="50">
          <cell r="A50" t="str">
            <v>LM4O</v>
          </cell>
          <cell r="B50" t="str">
            <v>Obří motýl</v>
          </cell>
          <cell r="C50" t="str">
            <v>36/4</v>
          </cell>
          <cell r="D50" t="str">
            <v>40</v>
          </cell>
        </row>
        <row r="51">
          <cell r="A51" t="str">
            <v>LM5W</v>
          </cell>
          <cell r="B51" t="str">
            <v>Whistling Airplane</v>
          </cell>
          <cell r="C51" t="str">
            <v>48/4</v>
          </cell>
          <cell r="D51">
            <v>24</v>
          </cell>
        </row>
        <row r="52">
          <cell r="A52" t="str">
            <v>LM6M</v>
          </cell>
          <cell r="B52" t="str">
            <v>Medusa</v>
          </cell>
          <cell r="C52" t="str">
            <v>24/4</v>
          </cell>
          <cell r="D52">
            <v>24</v>
          </cell>
        </row>
        <row r="53">
          <cell r="A53" t="str">
            <v>LM7S</v>
          </cell>
          <cell r="B53" t="str">
            <v>Scream UFO</v>
          </cell>
          <cell r="C53" t="str">
            <v>24/4</v>
          </cell>
          <cell r="D53">
            <v>30</v>
          </cell>
        </row>
        <row r="54">
          <cell r="A54" t="str">
            <v>SU45B</v>
          </cell>
          <cell r="B54" t="str">
            <v>Scream UFO 45 with brocade shell</v>
          </cell>
          <cell r="C54" t="str">
            <v>4/1</v>
          </cell>
          <cell r="D54">
            <v>14</v>
          </cell>
        </row>
        <row r="55">
          <cell r="A55" t="str">
            <v>RD8</v>
          </cell>
          <cell r="B55" t="str">
            <v>Racing drones</v>
          </cell>
          <cell r="C55" t="str">
            <v>30/1.</v>
          </cell>
          <cell r="D55">
            <v>16</v>
          </cell>
        </row>
        <row r="56">
          <cell r="A56" t="str">
            <v>DS1</v>
          </cell>
          <cell r="B56" t="str">
            <v>Dětská sada</v>
          </cell>
          <cell r="C56" t="str">
            <v>40/1</v>
          </cell>
          <cell r="D56">
            <v>25</v>
          </cell>
        </row>
        <row r="57">
          <cell r="A57" t="str">
            <v>RB1</v>
          </cell>
          <cell r="B57" t="str">
            <v>Rodinné balení</v>
          </cell>
          <cell r="C57" t="str">
            <v>20/1</v>
          </cell>
          <cell r="D57" t="str">
            <v>16</v>
          </cell>
        </row>
        <row r="58">
          <cell r="A58" t="str">
            <v>FPS1</v>
          </cell>
          <cell r="B58" t="str">
            <v>Family packing(small)</v>
          </cell>
          <cell r="C58" t="str">
            <v>20/1</v>
          </cell>
          <cell r="D58" t="str">
            <v>28</v>
          </cell>
        </row>
        <row r="59">
          <cell r="A59" t="str">
            <v>VP90</v>
          </cell>
          <cell r="B59" t="str">
            <v>Prskavky 90cm</v>
          </cell>
          <cell r="C59" t="str">
            <v>80/3</v>
          </cell>
          <cell r="D59">
            <v>36</v>
          </cell>
        </row>
        <row r="60">
          <cell r="A60" t="str">
            <v>VP70</v>
          </cell>
          <cell r="B60" t="str">
            <v>Prskavky 70cm</v>
          </cell>
          <cell r="C60" t="str">
            <v>72/4</v>
          </cell>
          <cell r="D60">
            <v>60</v>
          </cell>
        </row>
        <row r="61">
          <cell r="A61" t="str">
            <v>VP70W</v>
          </cell>
          <cell r="B61" t="str">
            <v>Prskavky 70cm - Wedding serie</v>
          </cell>
          <cell r="C61" t="str">
            <v>72/4</v>
          </cell>
          <cell r="D61">
            <v>60</v>
          </cell>
        </row>
        <row r="62">
          <cell r="A62" t="str">
            <v>VP40</v>
          </cell>
          <cell r="B62" t="str">
            <v>Prskavky 40cm</v>
          </cell>
          <cell r="C62" t="str">
            <v>100/10</v>
          </cell>
          <cell r="D62">
            <v>62</v>
          </cell>
        </row>
        <row r="63">
          <cell r="A63" t="str">
            <v>VP40/20</v>
          </cell>
          <cell r="B63" t="str">
            <v>Prskavky 40cm</v>
          </cell>
          <cell r="C63" t="str">
            <v>10/10/20</v>
          </cell>
          <cell r="D63">
            <v>33</v>
          </cell>
        </row>
        <row r="64">
          <cell r="A64" t="str">
            <v>VP40W</v>
          </cell>
          <cell r="B64" t="str">
            <v>Prskavky 40cm - Wedding serie</v>
          </cell>
          <cell r="C64" t="str">
            <v>100/10</v>
          </cell>
          <cell r="D64">
            <v>62</v>
          </cell>
        </row>
        <row r="65">
          <cell r="A65" t="str">
            <v>VP28</v>
          </cell>
          <cell r="B65" t="str">
            <v>Prskavky 28cm</v>
          </cell>
          <cell r="C65" t="str">
            <v>10/20/10</v>
          </cell>
          <cell r="D65">
            <v>48</v>
          </cell>
        </row>
        <row r="66">
          <cell r="A66" t="str">
            <v>VP16A</v>
          </cell>
          <cell r="B66" t="str">
            <v>Prskavky 16cm</v>
          </cell>
          <cell r="C66" t="str">
            <v>40/15/10</v>
          </cell>
          <cell r="D66" t="str">
            <v>25</v>
          </cell>
        </row>
        <row r="67">
          <cell r="A67" t="str">
            <v>VP16A(1)</v>
          </cell>
          <cell r="B67" t="str">
            <v>Prskavky 16cm</v>
          </cell>
          <cell r="C67" t="str">
            <v>40/15/10</v>
          </cell>
          <cell r="D67" t="str">
            <v>25</v>
          </cell>
        </row>
        <row r="68">
          <cell r="A68" t="str">
            <v>VP28N</v>
          </cell>
          <cell r="B68" t="str">
            <v>Neon sparklers 28cm</v>
          </cell>
          <cell r="C68" t="str">
            <v>100/20</v>
          </cell>
          <cell r="D68" t="str">
            <v>24</v>
          </cell>
        </row>
        <row r="69">
          <cell r="A69" t="str">
            <v>VP40N</v>
          </cell>
          <cell r="B69" t="str">
            <v>Neon sparklers 40cm</v>
          </cell>
          <cell r="C69" t="str">
            <v>50/8</v>
          </cell>
          <cell r="D69">
            <v>63</v>
          </cell>
        </row>
        <row r="70">
          <cell r="A70" t="str">
            <v>VP12MIX</v>
          </cell>
          <cell r="B70" t="str">
            <v>Prskavky(mix tvarů)</v>
          </cell>
          <cell r="C70" t="str">
            <v>12/10</v>
          </cell>
          <cell r="D70" t="str">
            <v>54</v>
          </cell>
        </row>
        <row r="71">
          <cell r="A71" t="str">
            <v>D1D</v>
          </cell>
          <cell r="B71" t="str">
            <v>Dýmovničky</v>
          </cell>
          <cell r="C71" t="str">
            <v>20/12/6</v>
          </cell>
          <cell r="D71">
            <v>32</v>
          </cell>
        </row>
        <row r="72">
          <cell r="A72" t="str">
            <v>D1M</v>
          </cell>
          <cell r="B72" t="str">
            <v>Colour smoke ball</v>
          </cell>
          <cell r="C72" t="str">
            <v>8/5/8.</v>
          </cell>
          <cell r="D72">
            <v>15</v>
          </cell>
        </row>
        <row r="73">
          <cell r="A73" t="str">
            <v>D2C</v>
          </cell>
          <cell r="B73" t="str">
            <v>Čmoudík</v>
          </cell>
          <cell r="C73" t="str">
            <v>36/4</v>
          </cell>
          <cell r="D73">
            <v>42</v>
          </cell>
        </row>
        <row r="74">
          <cell r="A74" t="str">
            <v>D2CN(1)</v>
          </cell>
          <cell r="B74" t="str">
            <v>RDG40</v>
          </cell>
          <cell r="C74" t="str">
            <v>36/4</v>
          </cell>
          <cell r="D74">
            <v>42</v>
          </cell>
        </row>
        <row r="75">
          <cell r="A75" t="str">
            <v>D3SK</v>
          </cell>
          <cell r="B75" t="str">
            <v>Dýmovnice proti krtkům</v>
          </cell>
          <cell r="C75" t="str">
            <v>72/4</v>
          </cell>
          <cell r="D75" t="str">
            <v>105</v>
          </cell>
        </row>
        <row r="76">
          <cell r="A76" t="str">
            <v>RDG1B</v>
          </cell>
          <cell r="B76" t="str">
            <v>RDG1-bílá</v>
          </cell>
          <cell r="C76" t="str">
            <v>12/4.</v>
          </cell>
          <cell r="D76">
            <v>70</v>
          </cell>
        </row>
        <row r="77">
          <cell r="A77" t="str">
            <v>RDG1C</v>
          </cell>
          <cell r="B77" t="str">
            <v>RDG1-červená</v>
          </cell>
          <cell r="C77" t="str">
            <v>12/4.</v>
          </cell>
          <cell r="D77">
            <v>70</v>
          </cell>
        </row>
        <row r="78">
          <cell r="A78" t="str">
            <v>RDG1M</v>
          </cell>
          <cell r="B78" t="str">
            <v>RDG1-modrá</v>
          </cell>
          <cell r="C78" t="str">
            <v>12/4.</v>
          </cell>
          <cell r="D78">
            <v>70</v>
          </cell>
        </row>
        <row r="79">
          <cell r="A79" t="str">
            <v>RDG1ZL</v>
          </cell>
          <cell r="B79" t="str">
            <v>RDG1- žlutá</v>
          </cell>
          <cell r="C79" t="str">
            <v>50/1</v>
          </cell>
          <cell r="D79">
            <v>70</v>
          </cell>
        </row>
        <row r="80">
          <cell r="A80" t="str">
            <v>RDG1ZL(1)</v>
          </cell>
          <cell r="B80" t="str">
            <v>RDG1- žlutá</v>
          </cell>
          <cell r="C80" t="str">
            <v>50/1</v>
          </cell>
          <cell r="D80">
            <v>70</v>
          </cell>
        </row>
        <row r="81">
          <cell r="A81" t="str">
            <v>RDG1ZE</v>
          </cell>
          <cell r="B81" t="str">
            <v>RDG1-zelená</v>
          </cell>
          <cell r="C81" t="str">
            <v>12/4.</v>
          </cell>
          <cell r="D81">
            <v>70</v>
          </cell>
        </row>
        <row r="82">
          <cell r="A82" t="str">
            <v>RDG2B</v>
          </cell>
          <cell r="B82" t="str">
            <v>RDG2-bílá</v>
          </cell>
          <cell r="C82" t="str">
            <v>50/1</v>
          </cell>
          <cell r="D82">
            <v>42</v>
          </cell>
        </row>
        <row r="83">
          <cell r="A83" t="str">
            <v>RDG2C</v>
          </cell>
          <cell r="B83" t="str">
            <v>RDG2-červená</v>
          </cell>
          <cell r="C83" t="str">
            <v>50/1</v>
          </cell>
          <cell r="D83">
            <v>42</v>
          </cell>
        </row>
        <row r="84">
          <cell r="A84" t="str">
            <v>RDG2M</v>
          </cell>
          <cell r="B84" t="str">
            <v>RDG2-modrá</v>
          </cell>
          <cell r="C84" t="str">
            <v>50/1</v>
          </cell>
          <cell r="D84">
            <v>42</v>
          </cell>
        </row>
        <row r="85">
          <cell r="A85" t="str">
            <v>RDG60B(SH)</v>
          </cell>
          <cell r="B85" t="str">
            <v>Bílá dýmovnice-škrtací</v>
          </cell>
          <cell r="C85" t="str">
            <v>20/5</v>
          </cell>
          <cell r="D85">
            <v>28</v>
          </cell>
        </row>
        <row r="86">
          <cell r="A86" t="str">
            <v>RDG60ZL(SH)</v>
          </cell>
          <cell r="B86" t="str">
            <v>Žlutá dýmovnice-škrtací</v>
          </cell>
          <cell r="C86" t="str">
            <v>20/5</v>
          </cell>
          <cell r="D86">
            <v>28</v>
          </cell>
        </row>
        <row r="87">
          <cell r="A87" t="str">
            <v>RDG60R(SH)</v>
          </cell>
          <cell r="B87" t="str">
            <v>Růžová dýmovnice-škrtací</v>
          </cell>
          <cell r="C87" t="str">
            <v>20/5</v>
          </cell>
          <cell r="D87">
            <v>36</v>
          </cell>
        </row>
        <row r="88">
          <cell r="A88" t="str">
            <v>RDG1ZL-P</v>
          </cell>
          <cell r="B88" t="str">
            <v>RDG1- žlutá</v>
          </cell>
          <cell r="C88" t="str">
            <v>25/1</v>
          </cell>
          <cell r="D88">
            <v>60</v>
          </cell>
        </row>
        <row r="89">
          <cell r="A89" t="str">
            <v>RDG1ZL-P(1)</v>
          </cell>
          <cell r="B89" t="str">
            <v>RDG1- žlutá</v>
          </cell>
          <cell r="C89" t="str">
            <v>25/1</v>
          </cell>
          <cell r="D89">
            <v>60</v>
          </cell>
        </row>
        <row r="90">
          <cell r="A90" t="str">
            <v>RDG1O-P</v>
          </cell>
          <cell r="B90" t="str">
            <v>RDG1-oranžová</v>
          </cell>
          <cell r="C90" t="str">
            <v>25/1</v>
          </cell>
          <cell r="D90">
            <v>60</v>
          </cell>
        </row>
        <row r="91">
          <cell r="A91" t="str">
            <v>RDG1O-P(1)</v>
          </cell>
          <cell r="B91" t="str">
            <v>RDG1-oranžová</v>
          </cell>
          <cell r="C91" t="str">
            <v>25/1</v>
          </cell>
          <cell r="D91">
            <v>60</v>
          </cell>
        </row>
        <row r="92">
          <cell r="A92" t="str">
            <v>RDP60M</v>
          </cell>
          <cell r="B92" t="str">
            <v>Modrá dýmová pochodeň s trhací pojistkou</v>
          </cell>
          <cell r="C92" t="str">
            <v>20/5</v>
          </cell>
          <cell r="D92" t="str">
            <v>36</v>
          </cell>
        </row>
        <row r="93">
          <cell r="A93" t="str">
            <v>HDP60B</v>
          </cell>
          <cell r="B93" t="str">
            <v>Hooligans dýmová pochodeň bílá</v>
          </cell>
          <cell r="C93" t="str">
            <v>20/5</v>
          </cell>
          <cell r="D93">
            <v>21</v>
          </cell>
        </row>
        <row r="94">
          <cell r="A94" t="str">
            <v>HDP60C</v>
          </cell>
          <cell r="B94" t="str">
            <v>Hooligans dýmová pochodeň červená</v>
          </cell>
          <cell r="C94" t="str">
            <v>20/5</v>
          </cell>
          <cell r="D94">
            <v>21</v>
          </cell>
        </row>
        <row r="95">
          <cell r="A95" t="str">
            <v>HDP60M</v>
          </cell>
          <cell r="B95" t="str">
            <v>Hooligans dýmová pochodeň modrá</v>
          </cell>
          <cell r="C95" t="str">
            <v>20/5</v>
          </cell>
          <cell r="D95">
            <v>21</v>
          </cell>
        </row>
        <row r="96">
          <cell r="A96" t="str">
            <v>HDP60ZE</v>
          </cell>
          <cell r="B96" t="str">
            <v>Hooligans dýmová pochodeň zelená</v>
          </cell>
          <cell r="C96" t="str">
            <v>20/5</v>
          </cell>
          <cell r="D96">
            <v>21</v>
          </cell>
        </row>
        <row r="97">
          <cell r="A97" t="str">
            <v>P40C25</v>
          </cell>
          <cell r="B97" t="str">
            <v>Fotbalová pochodeň červená+dým</v>
          </cell>
          <cell r="C97" t="str">
            <v>20/5</v>
          </cell>
          <cell r="D97" t="str">
            <v>60</v>
          </cell>
        </row>
        <row r="98">
          <cell r="A98" t="str">
            <v>P40Z25</v>
          </cell>
          <cell r="B98" t="str">
            <v>Fotbalová pochodeň zelená+dým</v>
          </cell>
          <cell r="C98" t="str">
            <v>20/5</v>
          </cell>
          <cell r="D98" t="str">
            <v>60</v>
          </cell>
        </row>
        <row r="99">
          <cell r="A99" t="str">
            <v>P40B25</v>
          </cell>
          <cell r="B99" t="str">
            <v>Fotbalová pochodeň bílá+dým</v>
          </cell>
          <cell r="C99" t="str">
            <v>20/5</v>
          </cell>
          <cell r="D99" t="str">
            <v>60</v>
          </cell>
        </row>
        <row r="100">
          <cell r="A100" t="str">
            <v>P40MO25</v>
          </cell>
          <cell r="B100" t="str">
            <v>Fotbalová pochodeň modrá+dým</v>
          </cell>
          <cell r="C100" t="str">
            <v>20/5</v>
          </cell>
          <cell r="D100" t="str">
            <v>60</v>
          </cell>
        </row>
        <row r="101">
          <cell r="A101" t="str">
            <v>SP60S</v>
          </cell>
          <cell r="B101" t="str">
            <v>Signální pochodeň</v>
          </cell>
          <cell r="C101" t="str">
            <v>100/1</v>
          </cell>
          <cell r="D101">
            <v>64</v>
          </cell>
        </row>
        <row r="102">
          <cell r="A102" t="str">
            <v>BP60S</v>
          </cell>
          <cell r="B102" t="str">
            <v>Barevná pochodeň 60sec</v>
          </cell>
          <cell r="C102" t="str">
            <v>30/5</v>
          </cell>
          <cell r="D102">
            <v>66</v>
          </cell>
        </row>
        <row r="103">
          <cell r="A103" t="str">
            <v>S90S</v>
          </cell>
          <cell r="B103" t="str">
            <v>Stroboskop bílý 90sec</v>
          </cell>
          <cell r="C103" t="str">
            <v>36/5</v>
          </cell>
          <cell r="D103" t="str">
            <v>87</v>
          </cell>
        </row>
        <row r="104">
          <cell r="A104" t="str">
            <v>S60S</v>
          </cell>
          <cell r="B104" t="str">
            <v>Stroboskop bílý 60sec</v>
          </cell>
          <cell r="C104" t="str">
            <v>30/6</v>
          </cell>
          <cell r="D104" t="str">
            <v>95</v>
          </cell>
        </row>
        <row r="105">
          <cell r="A105" t="str">
            <v>F1M</v>
          </cell>
          <cell r="B105" t="str">
            <v>Fontánový mix</v>
          </cell>
          <cell r="C105" t="str">
            <v>36/4</v>
          </cell>
          <cell r="D105">
            <v>16</v>
          </cell>
        </row>
        <row r="106">
          <cell r="A106" t="str">
            <v>F2M</v>
          </cell>
          <cell r="B106" t="str">
            <v>Conic fountains 25</v>
          </cell>
          <cell r="C106" t="str">
            <v>50/4</v>
          </cell>
          <cell r="D106">
            <v>20</v>
          </cell>
        </row>
        <row r="107">
          <cell r="A107" t="str">
            <v>F3CC</v>
          </cell>
          <cell r="B107" t="str">
            <v>Colour and crackling</v>
          </cell>
          <cell r="C107" t="str">
            <v>48/3</v>
          </cell>
          <cell r="D107">
            <v>36</v>
          </cell>
        </row>
        <row r="108">
          <cell r="A108" t="str">
            <v>F6K</v>
          </cell>
          <cell r="B108" t="str">
            <v>King fountain</v>
          </cell>
          <cell r="C108" t="str">
            <v>12/1</v>
          </cell>
          <cell r="D108">
            <v>60</v>
          </cell>
        </row>
        <row r="109">
          <cell r="A109" t="str">
            <v>F16CS</v>
          </cell>
          <cell r="B109" t="str">
            <v>Crackling shock</v>
          </cell>
          <cell r="C109" t="str">
            <v>20/3</v>
          </cell>
          <cell r="D109">
            <v>30</v>
          </cell>
        </row>
        <row r="110">
          <cell r="A110" t="str">
            <v>F8B</v>
          </cell>
          <cell r="B110" t="str">
            <v>Barevné fontány</v>
          </cell>
          <cell r="C110" t="str">
            <v>50/5</v>
          </cell>
          <cell r="D110">
            <v>24</v>
          </cell>
        </row>
        <row r="111">
          <cell r="A111" t="str">
            <v>F10E</v>
          </cell>
          <cell r="B111" t="str">
            <v>Explosive fountain</v>
          </cell>
          <cell r="C111" t="str">
            <v>36/8</v>
          </cell>
          <cell r="D111">
            <v>54</v>
          </cell>
        </row>
        <row r="112">
          <cell r="A112" t="str">
            <v>F11M</v>
          </cell>
          <cell r="B112" t="str">
            <v>Monsters fountain</v>
          </cell>
          <cell r="C112" t="str">
            <v>12/1</v>
          </cell>
          <cell r="D112" t="str">
            <v>16</v>
          </cell>
        </row>
        <row r="113">
          <cell r="A113" t="str">
            <v>F14R</v>
          </cell>
          <cell r="B113" t="str">
            <v>Rotate fountain</v>
          </cell>
          <cell r="C113" t="str">
            <v>8/1</v>
          </cell>
          <cell r="D113">
            <v>24</v>
          </cell>
        </row>
        <row r="114">
          <cell r="A114" t="str">
            <v>F14R F</v>
          </cell>
          <cell r="B114" t="str">
            <v>Fire ball</v>
          </cell>
          <cell r="C114" t="str">
            <v>4/1</v>
          </cell>
          <cell r="D114">
            <v>24</v>
          </cell>
        </row>
        <row r="115">
          <cell r="A115" t="str">
            <v>F17S</v>
          </cell>
          <cell r="B115" t="str">
            <v>Snowman</v>
          </cell>
          <cell r="C115" t="str">
            <v>10/1.</v>
          </cell>
          <cell r="D115">
            <v>20</v>
          </cell>
        </row>
        <row r="116">
          <cell r="A116" t="str">
            <v>F18NB</v>
          </cell>
          <cell r="B116" t="str">
            <v>Neon balls</v>
          </cell>
          <cell r="C116" t="str">
            <v>12/1.</v>
          </cell>
          <cell r="D116">
            <v>28</v>
          </cell>
        </row>
        <row r="117">
          <cell r="A117" t="str">
            <v>F216M</v>
          </cell>
          <cell r="B117" t="str">
            <v>6m Fountain</v>
          </cell>
          <cell r="C117" t="str">
            <v>15/2.</v>
          </cell>
          <cell r="D117">
            <v>36</v>
          </cell>
        </row>
        <row r="118">
          <cell r="A118" t="str">
            <v>F100C</v>
          </cell>
          <cell r="B118" t="str">
            <v>Colour Vulkán 100g</v>
          </cell>
          <cell r="C118" t="str">
            <v>20/6</v>
          </cell>
          <cell r="D118">
            <v>30</v>
          </cell>
        </row>
        <row r="119">
          <cell r="A119" t="str">
            <v>F100DC</v>
          </cell>
          <cell r="B119" t="str">
            <v>Double crackling Vulkán 100g</v>
          </cell>
          <cell r="C119" t="str">
            <v>20/4</v>
          </cell>
          <cell r="D119">
            <v>42</v>
          </cell>
        </row>
        <row r="120">
          <cell r="A120" t="str">
            <v>F250SC</v>
          </cell>
          <cell r="B120" t="str">
            <v>Silver crackling Vulkán 250g</v>
          </cell>
          <cell r="C120" t="str">
            <v>25/2</v>
          </cell>
          <cell r="D120">
            <v>32</v>
          </cell>
        </row>
        <row r="121">
          <cell r="A121" t="str">
            <v>F250C</v>
          </cell>
          <cell r="B121" t="str">
            <v>Colour Vulkán 250g</v>
          </cell>
          <cell r="C121" t="str">
            <v>25/2</v>
          </cell>
          <cell r="D121">
            <v>32</v>
          </cell>
        </row>
        <row r="122">
          <cell r="A122" t="str">
            <v>F500SIG</v>
          </cell>
          <cell r="B122" t="str">
            <v>Signature range vulkán 500g</v>
          </cell>
          <cell r="C122" t="str">
            <v>15/2</v>
          </cell>
          <cell r="D122" t="str">
            <v>16</v>
          </cell>
        </row>
        <row r="123">
          <cell r="A123" t="str">
            <v>F500SS</v>
          </cell>
          <cell r="B123" t="str">
            <v>Silver stars Vulkán 500g</v>
          </cell>
          <cell r="C123" t="str">
            <v>15/2</v>
          </cell>
          <cell r="D123">
            <v>15</v>
          </cell>
        </row>
        <row r="124">
          <cell r="A124" t="str">
            <v>F500C</v>
          </cell>
          <cell r="B124" t="str">
            <v>Colour Vulkán 500g</v>
          </cell>
          <cell r="C124" t="str">
            <v>15/2</v>
          </cell>
          <cell r="D124">
            <v>15</v>
          </cell>
        </row>
        <row r="125">
          <cell r="A125" t="str">
            <v>F1000SS</v>
          </cell>
          <cell r="B125" t="str">
            <v>Silver stars Vulkán 1000g</v>
          </cell>
          <cell r="C125" t="str">
            <v>12/1</v>
          </cell>
          <cell r="D125">
            <v>32</v>
          </cell>
        </row>
        <row r="126">
          <cell r="A126" t="str">
            <v>F1500C</v>
          </cell>
          <cell r="B126" t="str">
            <v>Colour Vulkán 1500g</v>
          </cell>
          <cell r="C126" t="str">
            <v>12/1</v>
          </cell>
          <cell r="D126">
            <v>20</v>
          </cell>
        </row>
        <row r="127">
          <cell r="A127" t="str">
            <v>F3N</v>
          </cell>
          <cell r="B127" t="str">
            <v>Narozeninová svíce s melodií</v>
          </cell>
          <cell r="C127" t="str">
            <v>48/1</v>
          </cell>
          <cell r="D127" t="str">
            <v>24</v>
          </cell>
        </row>
        <row r="128">
          <cell r="A128" t="str">
            <v>DF10CM</v>
          </cell>
          <cell r="B128" t="str">
            <v>Dortová fontána 10cm</v>
          </cell>
          <cell r="C128" t="str">
            <v>100/6</v>
          </cell>
          <cell r="D128">
            <v>48</v>
          </cell>
        </row>
        <row r="129">
          <cell r="A129" t="str">
            <v>DF20CM</v>
          </cell>
          <cell r="B129" t="str">
            <v>Dortová fontána 20cm</v>
          </cell>
          <cell r="C129" t="str">
            <v>50/6</v>
          </cell>
          <cell r="D129">
            <v>54</v>
          </cell>
        </row>
        <row r="130">
          <cell r="A130" t="str">
            <v>DF30CM</v>
          </cell>
          <cell r="B130" t="str">
            <v>Dortová fontána 30cm</v>
          </cell>
          <cell r="C130" t="str">
            <v>50/6</v>
          </cell>
          <cell r="D130">
            <v>40</v>
          </cell>
        </row>
        <row r="131">
          <cell r="A131" t="str">
            <v>CON80P</v>
          </cell>
          <cell r="B131" t="str">
            <v>Párty konfety 80cm</v>
          </cell>
          <cell r="C131" t="str">
            <v>36/1</v>
          </cell>
          <cell r="D131" t="str">
            <v>21</v>
          </cell>
        </row>
        <row r="132">
          <cell r="A132" t="str">
            <v>R4420B</v>
          </cell>
          <cell r="B132" t="str">
            <v>Color balls 20ran</v>
          </cell>
          <cell r="C132" t="str">
            <v>24/12</v>
          </cell>
          <cell r="D132">
            <v>50</v>
          </cell>
        </row>
        <row r="133">
          <cell r="A133" t="str">
            <v>R7040C</v>
          </cell>
          <cell r="B133" t="str">
            <v>Color balls 40ran</v>
          </cell>
          <cell r="C133" t="str">
            <v>36/6</v>
          </cell>
          <cell r="D133">
            <v>50</v>
          </cell>
        </row>
        <row r="134">
          <cell r="A134" t="str">
            <v>R5410B</v>
          </cell>
          <cell r="B134" t="str">
            <v>Římská svíce 10ran</v>
          </cell>
          <cell r="C134" t="str">
            <v>40/4</v>
          </cell>
          <cell r="D134">
            <v>40</v>
          </cell>
        </row>
        <row r="135">
          <cell r="A135" t="str">
            <v>R5420K</v>
          </cell>
          <cell r="B135" t="str">
            <v>Práskající komety</v>
          </cell>
          <cell r="C135" t="str">
            <v>15/12</v>
          </cell>
          <cell r="D135">
            <v>36</v>
          </cell>
        </row>
        <row r="136">
          <cell r="A136" t="str">
            <v>R7020K</v>
          </cell>
          <cell r="B136" t="str">
            <v>Práskající komety</v>
          </cell>
          <cell r="C136" t="str">
            <v>15/12</v>
          </cell>
          <cell r="D136">
            <v>24</v>
          </cell>
        </row>
        <row r="137">
          <cell r="A137" t="str">
            <v>R6020B</v>
          </cell>
          <cell r="B137" t="str">
            <v>Římská svíce 20ran</v>
          </cell>
          <cell r="C137" t="str">
            <v>15/10</v>
          </cell>
          <cell r="D137">
            <v>36</v>
          </cell>
        </row>
        <row r="138">
          <cell r="A138" t="str">
            <v>R6520BK/2</v>
          </cell>
          <cell r="B138" t="str">
            <v>Nad Tatrou sa blýska</v>
          </cell>
          <cell r="C138" t="str">
            <v>25/6</v>
          </cell>
          <cell r="D138">
            <v>28</v>
          </cell>
        </row>
        <row r="139">
          <cell r="A139" t="str">
            <v>R6020M</v>
          </cell>
          <cell r="B139" t="str">
            <v>Mix římských svící 20ran</v>
          </cell>
          <cell r="C139" t="str">
            <v>30/6</v>
          </cell>
          <cell r="D139">
            <v>30</v>
          </cell>
        </row>
        <row r="140">
          <cell r="A140" t="str">
            <v>R7020M</v>
          </cell>
          <cell r="B140" t="str">
            <v>Mix římských svící 20ran</v>
          </cell>
          <cell r="C140" t="str">
            <v>15/12</v>
          </cell>
          <cell r="D140">
            <v>27</v>
          </cell>
        </row>
        <row r="141">
          <cell r="A141" t="str">
            <v>R60508E</v>
          </cell>
          <cell r="B141" t="str">
            <v>Římská svíce 5 ran</v>
          </cell>
          <cell r="C141" t="str">
            <v>24/4</v>
          </cell>
          <cell r="D141">
            <v>25</v>
          </cell>
        </row>
        <row r="142">
          <cell r="A142" t="str">
            <v>R6508S</v>
          </cell>
          <cell r="B142" t="str">
            <v>Scream 8sh</v>
          </cell>
          <cell r="C142" t="str">
            <v>24/4</v>
          </cell>
          <cell r="D142">
            <v>30</v>
          </cell>
        </row>
        <row r="143">
          <cell r="A143" t="str">
            <v>R5808D</v>
          </cell>
          <cell r="B143" t="str">
            <v>Dumbum římská svíce 8ran</v>
          </cell>
          <cell r="C143" t="str">
            <v>48/2</v>
          </cell>
          <cell r="D143">
            <v>30</v>
          </cell>
        </row>
        <row r="144">
          <cell r="A144" t="str">
            <v>R6008E</v>
          </cell>
          <cell r="B144" t="str">
            <v>Římská svíce 8ran</v>
          </cell>
          <cell r="C144" t="str">
            <v>24/2</v>
          </cell>
          <cell r="D144">
            <v>63</v>
          </cell>
        </row>
        <row r="145">
          <cell r="A145" t="str">
            <v>R6008M</v>
          </cell>
          <cell r="B145" t="str">
            <v>Mix římských svící 8ran</v>
          </cell>
          <cell r="C145" t="str">
            <v>24/4</v>
          </cell>
          <cell r="D145">
            <v>30</v>
          </cell>
        </row>
        <row r="146">
          <cell r="A146" t="str">
            <v>R7508E</v>
          </cell>
          <cell r="B146" t="str">
            <v>Římská svíce 8ran</v>
          </cell>
          <cell r="C146" t="str">
            <v>24/4</v>
          </cell>
          <cell r="D146">
            <v>25</v>
          </cell>
        </row>
        <row r="147">
          <cell r="A147" t="str">
            <v>R7508SIG</v>
          </cell>
          <cell r="B147" t="str">
            <v>Signature range Roman candle 20mm</v>
          </cell>
          <cell r="C147" t="str">
            <v>24/4</v>
          </cell>
          <cell r="D147">
            <v>21</v>
          </cell>
        </row>
        <row r="148">
          <cell r="A148" t="str">
            <v>R7538S</v>
          </cell>
          <cell r="B148" t="str">
            <v>Signature range Roman candle</v>
          </cell>
          <cell r="C148" t="str">
            <v>25/1</v>
          </cell>
          <cell r="D148">
            <v>36</v>
          </cell>
        </row>
        <row r="149">
          <cell r="A149" t="str">
            <v>R7538I</v>
          </cell>
          <cell r="B149" t="str">
            <v>Římská svíce 8ran</v>
          </cell>
          <cell r="C149" t="str">
            <v>25/1</v>
          </cell>
          <cell r="D149">
            <v>40</v>
          </cell>
        </row>
        <row r="150">
          <cell r="A150" t="str">
            <v>GAT300</v>
          </cell>
          <cell r="B150" t="str">
            <v>Gatlin 300sh</v>
          </cell>
          <cell r="C150" t="str">
            <v>8/1.</v>
          </cell>
          <cell r="D150">
            <v>18</v>
          </cell>
        </row>
        <row r="151">
          <cell r="A151" t="str">
            <v>R100M</v>
          </cell>
          <cell r="B151" t="str">
            <v>Minomet</v>
          </cell>
          <cell r="C151" t="str">
            <v>40/1</v>
          </cell>
          <cell r="D151">
            <v>30</v>
          </cell>
        </row>
        <row r="152">
          <cell r="A152" t="str">
            <v>SS14D</v>
          </cell>
          <cell r="B152" t="str">
            <v>Dumbum salute mine 14mm</v>
          </cell>
          <cell r="C152" t="str">
            <v>40/12</v>
          </cell>
          <cell r="D152">
            <v>24</v>
          </cell>
        </row>
        <row r="153">
          <cell r="A153" t="str">
            <v>SS20D</v>
          </cell>
          <cell r="B153" t="str">
            <v>Dumbum single shot 20mm</v>
          </cell>
          <cell r="C153" t="str">
            <v>30/10</v>
          </cell>
          <cell r="D153">
            <v>28</v>
          </cell>
        </row>
        <row r="154">
          <cell r="A154" t="str">
            <v>SS20SIG14</v>
          </cell>
          <cell r="B154" t="str">
            <v>Signature range single shot 20mm</v>
          </cell>
          <cell r="C154" t="str">
            <v>30/10</v>
          </cell>
          <cell r="D154">
            <v>28</v>
          </cell>
        </row>
        <row r="155">
          <cell r="A155" t="str">
            <v>SS25SC</v>
          </cell>
          <cell r="B155" t="str">
            <v>Scream single shot</v>
          </cell>
          <cell r="C155" t="str">
            <v>24/6</v>
          </cell>
          <cell r="D155">
            <v>36</v>
          </cell>
        </row>
        <row r="156">
          <cell r="A156" t="str">
            <v>SS25SIG14</v>
          </cell>
          <cell r="B156" t="str">
            <v>Signature range single shot 25mm</v>
          </cell>
          <cell r="C156" t="str">
            <v>24/6</v>
          </cell>
          <cell r="D156">
            <v>24</v>
          </cell>
        </row>
        <row r="157">
          <cell r="A157" t="str">
            <v>SS25DU14</v>
          </cell>
          <cell r="B157" t="str">
            <v>Dumbum single shot 25mm</v>
          </cell>
          <cell r="C157" t="str">
            <v>24/6</v>
          </cell>
          <cell r="D157">
            <v>24</v>
          </cell>
        </row>
        <row r="158">
          <cell r="A158" t="str">
            <v>SS30A14</v>
          </cell>
          <cell r="B158" t="str">
            <v>XXL Thunder 30mm</v>
          </cell>
          <cell r="C158" t="str">
            <v>30/4</v>
          </cell>
          <cell r="D158">
            <v>24</v>
          </cell>
        </row>
        <row r="159">
          <cell r="A159" t="str">
            <v>SS30SIGF2</v>
          </cell>
          <cell r="B159" t="str">
            <v>Signature range single shot F2</v>
          </cell>
          <cell r="C159" t="str">
            <v>30/4</v>
          </cell>
          <cell r="D159">
            <v>18</v>
          </cell>
        </row>
        <row r="160">
          <cell r="A160" t="str">
            <v>SS30D</v>
          </cell>
          <cell r="B160" t="str">
            <v>Dumbum shot tube 30mm</v>
          </cell>
          <cell r="C160" t="str">
            <v>30/4</v>
          </cell>
          <cell r="D160">
            <v>24</v>
          </cell>
        </row>
        <row r="161">
          <cell r="A161" t="str">
            <v>SS30A</v>
          </cell>
          <cell r="B161" t="str">
            <v>XXL Thunder 30mm</v>
          </cell>
          <cell r="C161" t="str">
            <v>30/4</v>
          </cell>
          <cell r="D161">
            <v>24</v>
          </cell>
        </row>
        <row r="162">
          <cell r="A162" t="str">
            <v>SS37K</v>
          </cell>
          <cell r="B162" t="str">
            <v>Kulovky v moždíři 37mm</v>
          </cell>
          <cell r="C162" t="str">
            <v>18/4</v>
          </cell>
          <cell r="D162">
            <v>14</v>
          </cell>
        </row>
        <row r="163">
          <cell r="A163" t="str">
            <v>SS50K</v>
          </cell>
          <cell r="B163" t="str">
            <v>No limit! Kulovky v moždíři 50mm</v>
          </cell>
          <cell r="C163" t="str">
            <v>9/4</v>
          </cell>
          <cell r="D163">
            <v>15</v>
          </cell>
        </row>
        <row r="164">
          <cell r="A164" t="str">
            <v>SS50NO14</v>
          </cell>
          <cell r="B164" t="str">
            <v>NO Limit 50mm!</v>
          </cell>
          <cell r="C164" t="str">
            <v>9/4</v>
          </cell>
          <cell r="D164">
            <v>15</v>
          </cell>
        </row>
        <row r="165">
          <cell r="A165" t="str">
            <v>SS50DU14</v>
          </cell>
          <cell r="B165" t="str">
            <v>Dumbum salute mine 50mm</v>
          </cell>
          <cell r="C165" t="str">
            <v>9/4</v>
          </cell>
          <cell r="D165">
            <v>15</v>
          </cell>
        </row>
        <row r="166">
          <cell r="A166" t="str">
            <v>C320D</v>
          </cell>
          <cell r="B166" t="str">
            <v>Dumbum triple</v>
          </cell>
          <cell r="C166" t="str">
            <v>20/5</v>
          </cell>
          <cell r="D166">
            <v>25</v>
          </cell>
        </row>
        <row r="167">
          <cell r="A167" t="str">
            <v>C320B</v>
          </cell>
          <cell r="B167" t="str">
            <v>Brocade war 3</v>
          </cell>
          <cell r="C167" t="str">
            <v>20/5</v>
          </cell>
          <cell r="D167">
            <v>25</v>
          </cell>
        </row>
        <row r="168">
          <cell r="A168" t="str">
            <v>C320X14</v>
          </cell>
          <cell r="B168" t="str">
            <v>XXL Thunder</v>
          </cell>
          <cell r="C168" t="str">
            <v>20/5</v>
          </cell>
          <cell r="D168">
            <v>25</v>
          </cell>
        </row>
        <row r="169">
          <cell r="A169" t="str">
            <v>C330D</v>
          </cell>
          <cell r="B169" t="str">
            <v>Dumbum triple</v>
          </cell>
          <cell r="C169" t="str">
            <v>18/1</v>
          </cell>
          <cell r="D169">
            <v>56</v>
          </cell>
        </row>
        <row r="170">
          <cell r="A170" t="str">
            <v>C330B</v>
          </cell>
          <cell r="B170" t="str">
            <v>Brocade war 3</v>
          </cell>
          <cell r="C170" t="str">
            <v>18/1</v>
          </cell>
          <cell r="D170">
            <v>56</v>
          </cell>
        </row>
        <row r="171">
          <cell r="A171" t="str">
            <v>CS2BB</v>
          </cell>
          <cell r="B171" t="str">
            <v>Big Boss</v>
          </cell>
          <cell r="C171" t="str">
            <v>4/18</v>
          </cell>
          <cell r="D171">
            <v>12</v>
          </cell>
        </row>
        <row r="172">
          <cell r="A172" t="str">
            <v>K0203BP</v>
          </cell>
          <cell r="B172" t="str">
            <v>Dumbum Black Pirat</v>
          </cell>
          <cell r="C172" t="str">
            <v>50/100</v>
          </cell>
          <cell r="D172">
            <v>36</v>
          </cell>
        </row>
        <row r="173">
          <cell r="A173" t="str">
            <v>P10D20SP1</v>
          </cell>
          <cell r="B173" t="str">
            <v>Dumbum 120 (scatch head)</v>
          </cell>
          <cell r="C173" t="str">
            <v>100/20</v>
          </cell>
          <cell r="D173">
            <v>36</v>
          </cell>
        </row>
        <row r="174">
          <cell r="A174" t="str">
            <v>P1D</v>
          </cell>
          <cell r="B174" t="str">
            <v>Dumbum nano</v>
          </cell>
          <cell r="C174" t="str">
            <v>6/54/40</v>
          </cell>
          <cell r="D174">
            <v>42</v>
          </cell>
        </row>
        <row r="175">
          <cell r="A175" t="str">
            <v>P2D</v>
          </cell>
          <cell r="B175" t="str">
            <v>Dumbum micro</v>
          </cell>
          <cell r="C175" t="str">
            <v>6/54/25</v>
          </cell>
          <cell r="D175">
            <v>24</v>
          </cell>
        </row>
        <row r="176">
          <cell r="A176" t="str">
            <v>K0203K</v>
          </cell>
          <cell r="B176" t="str">
            <v>Pirát s knotem</v>
          </cell>
          <cell r="C176" t="str">
            <v>50/100</v>
          </cell>
          <cell r="D176">
            <v>36</v>
          </cell>
        </row>
        <row r="177">
          <cell r="A177" t="str">
            <v>K0203KB</v>
          </cell>
          <cell r="B177" t="str">
            <v>Dumbum Pirát s knotem</v>
          </cell>
          <cell r="C177" t="str">
            <v>100/50</v>
          </cell>
          <cell r="D177">
            <v>35</v>
          </cell>
        </row>
        <row r="178">
          <cell r="A178" t="str">
            <v>P05D</v>
          </cell>
          <cell r="B178" t="str">
            <v>Dumbum F2</v>
          </cell>
          <cell r="C178" t="str">
            <v>200/20</v>
          </cell>
          <cell r="D178" t="str">
            <v>36</v>
          </cell>
        </row>
        <row r="179">
          <cell r="A179" t="str">
            <v>PSF2D</v>
          </cell>
          <cell r="B179" t="str">
            <v>Dumbum Big F2 silver</v>
          </cell>
          <cell r="C179" t="str">
            <v>60/10</v>
          </cell>
          <cell r="D179">
            <v>49</v>
          </cell>
        </row>
        <row r="180">
          <cell r="A180" t="str">
            <v>PBDF2</v>
          </cell>
          <cell r="B180" t="str">
            <v>DumBum Black Thunder</v>
          </cell>
          <cell r="C180" t="str">
            <v>24/100</v>
          </cell>
          <cell r="D180">
            <v>42</v>
          </cell>
        </row>
        <row r="181">
          <cell r="A181" t="str">
            <v>PBF2D</v>
          </cell>
          <cell r="B181" t="str">
            <v>Dumbum Big F2 black</v>
          </cell>
          <cell r="C181" t="str">
            <v>60/10</v>
          </cell>
          <cell r="D181">
            <v>56</v>
          </cell>
        </row>
        <row r="182">
          <cell r="A182" t="str">
            <v>PB120D</v>
          </cell>
          <cell r="B182" t="str">
            <v>Dumbum black edition 120db</v>
          </cell>
          <cell r="C182" t="str">
            <v>40/20</v>
          </cell>
          <cell r="D182">
            <v>25</v>
          </cell>
        </row>
        <row r="183">
          <cell r="A183" t="str">
            <v>P6A14F3</v>
          </cell>
          <cell r="B183" t="str">
            <v>Dumbum</v>
          </cell>
          <cell r="C183" t="str">
            <v>50/30</v>
          </cell>
          <cell r="D183">
            <v>42</v>
          </cell>
        </row>
        <row r="184">
          <cell r="A184" t="str">
            <v>P7A14</v>
          </cell>
          <cell r="B184" t="str">
            <v>Dumbum Silver</v>
          </cell>
          <cell r="C184" t="str">
            <v>40/36</v>
          </cell>
          <cell r="D184">
            <v>30</v>
          </cell>
        </row>
        <row r="185">
          <cell r="A185" t="str">
            <v>P4B</v>
          </cell>
          <cell r="B185" t="str">
            <v>Mini Dumbum</v>
          </cell>
          <cell r="C185" t="str">
            <v>70/24</v>
          </cell>
          <cell r="D185">
            <v>36</v>
          </cell>
        </row>
        <row r="186">
          <cell r="A186" t="str">
            <v>P5DU13</v>
          </cell>
          <cell r="B186" t="str">
            <v>Dumbum 2G+</v>
          </cell>
          <cell r="C186" t="str">
            <v>50/20</v>
          </cell>
          <cell r="D186">
            <v>42</v>
          </cell>
        </row>
        <row r="187">
          <cell r="A187" t="str">
            <v>P5DU13(M)</v>
          </cell>
          <cell r="B187" t="str">
            <v>Dumbum 2G+</v>
          </cell>
          <cell r="C187" t="str">
            <v>50/20</v>
          </cell>
          <cell r="D187">
            <v>42</v>
          </cell>
        </row>
        <row r="188">
          <cell r="A188" t="str">
            <v>P5DU</v>
          </cell>
          <cell r="B188" t="str">
            <v>Dumbum 2G</v>
          </cell>
          <cell r="C188" t="str">
            <v>60/20</v>
          </cell>
          <cell r="D188">
            <v>42</v>
          </cell>
        </row>
        <row r="189">
          <cell r="A189" t="str">
            <v>P5A13</v>
          </cell>
          <cell r="B189" t="str">
            <v>Bomb</v>
          </cell>
          <cell r="C189" t="str">
            <v>50/20</v>
          </cell>
          <cell r="D189">
            <v>42</v>
          </cell>
        </row>
        <row r="190">
          <cell r="A190" t="str">
            <v>P5D13</v>
          </cell>
          <cell r="B190" t="str">
            <v>Viper 1</v>
          </cell>
          <cell r="C190" t="str">
            <v>50/20</v>
          </cell>
          <cell r="D190">
            <v>42</v>
          </cell>
        </row>
        <row r="191">
          <cell r="A191" t="str">
            <v>P5D13(W)</v>
          </cell>
          <cell r="B191" t="str">
            <v>Viper 1 (white)</v>
          </cell>
          <cell r="C191" t="str">
            <v>50/20</v>
          </cell>
          <cell r="D191">
            <v>42</v>
          </cell>
        </row>
        <row r="192">
          <cell r="A192" t="str">
            <v>P6A13(G)F3</v>
          </cell>
          <cell r="B192" t="str">
            <v>Dumbum midlle green</v>
          </cell>
          <cell r="C192" t="str">
            <v>60/20</v>
          </cell>
          <cell r="D192">
            <v>26</v>
          </cell>
        </row>
        <row r="193">
          <cell r="A193" t="str">
            <v>P6A13(R)F3</v>
          </cell>
          <cell r="B193" t="str">
            <v>Dumbum midlle red</v>
          </cell>
          <cell r="C193" t="str">
            <v>60/20</v>
          </cell>
          <cell r="D193">
            <v>26</v>
          </cell>
        </row>
        <row r="194">
          <cell r="A194" t="str">
            <v>P066D20P1</v>
          </cell>
          <cell r="B194" t="str">
            <v>Dumbum P1</v>
          </cell>
          <cell r="C194" t="str">
            <v>100/20</v>
          </cell>
          <cell r="D194">
            <v>60</v>
          </cell>
        </row>
        <row r="195">
          <cell r="A195" t="str">
            <v>P5DU13(1)</v>
          </cell>
          <cell r="B195" t="str">
            <v>Dumbum 2G+</v>
          </cell>
          <cell r="C195" t="str">
            <v>50/20</v>
          </cell>
          <cell r="D195">
            <v>42</v>
          </cell>
        </row>
        <row r="196">
          <cell r="A196" t="str">
            <v>P2GP1</v>
          </cell>
          <cell r="B196" t="str">
            <v>Dumbum 2g edition</v>
          </cell>
          <cell r="C196" t="str">
            <v>75/20.</v>
          </cell>
          <cell r="D196">
            <v>24</v>
          </cell>
        </row>
        <row r="197">
          <cell r="A197" t="str">
            <v>P6AE</v>
          </cell>
          <cell r="B197" t="str">
            <v>Dumbum 5g</v>
          </cell>
          <cell r="C197" t="str">
            <v>60/20</v>
          </cell>
          <cell r="D197">
            <v>40</v>
          </cell>
        </row>
        <row r="198">
          <cell r="A198" t="str">
            <v>P30D</v>
          </cell>
          <cell r="B198" t="str">
            <v>Dumbum 30</v>
          </cell>
          <cell r="C198" t="str">
            <v>54/4</v>
          </cell>
          <cell r="D198">
            <v>42</v>
          </cell>
        </row>
        <row r="199">
          <cell r="A199" t="str">
            <v>P50D</v>
          </cell>
          <cell r="B199" t="str">
            <v>Dumbum 50</v>
          </cell>
          <cell r="C199" t="str">
            <v>30/4</v>
          </cell>
          <cell r="D199">
            <v>36</v>
          </cell>
        </row>
        <row r="200">
          <cell r="A200" t="str">
            <v>P170</v>
          </cell>
          <cell r="B200" t="str">
            <v>Dumbum 170</v>
          </cell>
          <cell r="C200" t="str">
            <v>20/3.</v>
          </cell>
          <cell r="D200">
            <v>28</v>
          </cell>
        </row>
        <row r="201">
          <cell r="A201" t="str">
            <v>EB15</v>
          </cell>
          <cell r="B201" t="str">
            <v>Dumbum Explosive ball 15</v>
          </cell>
          <cell r="C201" t="str">
            <v>40/3</v>
          </cell>
          <cell r="D201" t="str">
            <v>87</v>
          </cell>
        </row>
        <row r="202">
          <cell r="A202" t="str">
            <v>K20K</v>
          </cell>
          <cell r="B202" t="str">
            <v>Kalashnikov 50sh</v>
          </cell>
          <cell r="C202" t="str">
            <v>24/6</v>
          </cell>
          <cell r="D202">
            <v>54</v>
          </cell>
        </row>
        <row r="203">
          <cell r="A203" t="str">
            <v>K60K</v>
          </cell>
          <cell r="B203" t="str">
            <v>Kalashnikov 150sh</v>
          </cell>
          <cell r="C203" t="str">
            <v>20/4</v>
          </cell>
          <cell r="D203">
            <v>20</v>
          </cell>
        </row>
        <row r="204">
          <cell r="A204" t="str">
            <v>K01M</v>
          </cell>
          <cell r="B204" t="str">
            <v>Kalashnikov 70sh</v>
          </cell>
          <cell r="C204" t="str">
            <v>8/30/5</v>
          </cell>
          <cell r="D204">
            <v>24</v>
          </cell>
        </row>
        <row r="205">
          <cell r="A205" t="str">
            <v>K100R</v>
          </cell>
          <cell r="B205" t="str">
            <v>Dumbum black powder 100sh</v>
          </cell>
          <cell r="C205" t="str">
            <v>16/15</v>
          </cell>
          <cell r="D205">
            <v>28</v>
          </cell>
        </row>
        <row r="206">
          <cell r="A206" t="str">
            <v>K200R</v>
          </cell>
          <cell r="B206" t="str">
            <v>Dumbum 200sh</v>
          </cell>
          <cell r="C206" t="str">
            <v>8/10</v>
          </cell>
          <cell r="D206">
            <v>42</v>
          </cell>
        </row>
        <row r="207">
          <cell r="A207" t="str">
            <v>K500R</v>
          </cell>
          <cell r="B207" t="str">
            <v>Kalashnikov 500sh</v>
          </cell>
          <cell r="C207" t="str">
            <v>32/1</v>
          </cell>
          <cell r="D207">
            <v>35</v>
          </cell>
        </row>
        <row r="208">
          <cell r="A208" t="str">
            <v>K1000R</v>
          </cell>
          <cell r="B208" t="str">
            <v>Kalashnikov 1000sh</v>
          </cell>
          <cell r="C208" t="str">
            <v>16/1</v>
          </cell>
          <cell r="D208">
            <v>30</v>
          </cell>
        </row>
        <row r="209">
          <cell r="A209" t="str">
            <v>K1969R</v>
          </cell>
          <cell r="B209" t="str">
            <v>Dračí ocas 5m</v>
          </cell>
          <cell r="C209" t="str">
            <v>1/1</v>
          </cell>
          <cell r="D209">
            <v>52</v>
          </cell>
        </row>
        <row r="210">
          <cell r="A210" t="str">
            <v>K10M</v>
          </cell>
          <cell r="B210" t="str">
            <v>Dračí ocas střední</v>
          </cell>
          <cell r="C210" t="str">
            <v>1/1</v>
          </cell>
          <cell r="D210">
            <v>32</v>
          </cell>
        </row>
        <row r="211">
          <cell r="A211" t="str">
            <v>DBB1E</v>
          </cell>
          <cell r="B211" t="str">
            <v>Dumbum bird bangers</v>
          </cell>
          <cell r="C211" t="str">
            <v>40/50</v>
          </cell>
          <cell r="D211">
            <v>47</v>
          </cell>
        </row>
        <row r="212">
          <cell r="A212" t="str">
            <v>RS1</v>
          </cell>
          <cell r="B212" t="str">
            <v>Scream rocket micro</v>
          </cell>
          <cell r="C212" t="str">
            <v>20/12/12</v>
          </cell>
          <cell r="D212">
            <v>25</v>
          </cell>
        </row>
        <row r="213">
          <cell r="A213" t="str">
            <v>RS6P</v>
          </cell>
          <cell r="B213" t="str">
            <v>Padáčková raketa</v>
          </cell>
          <cell r="C213" t="str">
            <v>50/6</v>
          </cell>
          <cell r="D213">
            <v>48</v>
          </cell>
        </row>
        <row r="214">
          <cell r="A214" t="str">
            <v>RS6O</v>
          </cell>
          <cell r="B214" t="str">
            <v>Ohnivý déšť</v>
          </cell>
          <cell r="C214" t="str">
            <v>50/6</v>
          </cell>
          <cell r="D214">
            <v>54</v>
          </cell>
        </row>
        <row r="215">
          <cell r="A215" t="str">
            <v>RS6S</v>
          </cell>
          <cell r="B215" t="str">
            <v>Scream rocket-mini</v>
          </cell>
          <cell r="C215" t="str">
            <v>50/6</v>
          </cell>
          <cell r="D215">
            <v>63</v>
          </cell>
        </row>
        <row r="216">
          <cell r="A216" t="str">
            <v>RS6SM</v>
          </cell>
          <cell r="B216" t="str">
            <v>Scream rocket-medium</v>
          </cell>
          <cell r="C216" t="str">
            <v>36/6</v>
          </cell>
          <cell r="D216">
            <v>36</v>
          </cell>
        </row>
        <row r="217">
          <cell r="A217" t="str">
            <v>R12T1</v>
          </cell>
          <cell r="B217" t="str">
            <v>Tomahawk rocket 1</v>
          </cell>
          <cell r="C217" t="str">
            <v>36/12</v>
          </cell>
          <cell r="D217">
            <v>24</v>
          </cell>
        </row>
        <row r="218">
          <cell r="A218" t="str">
            <v>R12T3</v>
          </cell>
          <cell r="B218" t="str">
            <v>Tomahawk rocket 3</v>
          </cell>
          <cell r="C218" t="str">
            <v>24/12</v>
          </cell>
          <cell r="D218" t="str">
            <v>18</v>
          </cell>
        </row>
        <row r="219">
          <cell r="A219" t="str">
            <v>RSD6</v>
          </cell>
          <cell r="B219" t="str">
            <v>Scream/Dumbum rocket</v>
          </cell>
          <cell r="C219" t="str">
            <v>20/6</v>
          </cell>
          <cell r="D219" t="str">
            <v>30</v>
          </cell>
        </row>
        <row r="220">
          <cell r="A220" t="str">
            <v>RS6XS</v>
          </cell>
          <cell r="B220" t="str">
            <v>Scream rocket</v>
          </cell>
          <cell r="C220" t="str">
            <v>18/6</v>
          </cell>
          <cell r="D220">
            <v>27</v>
          </cell>
        </row>
        <row r="221">
          <cell r="A221" t="str">
            <v>RS5DU</v>
          </cell>
          <cell r="B221" t="str">
            <v>Dumbum rocket</v>
          </cell>
          <cell r="C221" t="str">
            <v>20/5</v>
          </cell>
          <cell r="D221">
            <v>22</v>
          </cell>
        </row>
        <row r="222">
          <cell r="A222" t="str">
            <v>RS4H14</v>
          </cell>
          <cell r="B222" t="str">
            <v>Hell rocket</v>
          </cell>
          <cell r="C222" t="str">
            <v>50/4</v>
          </cell>
          <cell r="D222">
            <v>30</v>
          </cell>
        </row>
        <row r="223">
          <cell r="A223" t="str">
            <v>RS7MD14</v>
          </cell>
          <cell r="B223" t="str">
            <v>Devil rocket</v>
          </cell>
          <cell r="C223" t="str">
            <v>30/7</v>
          </cell>
          <cell r="D223">
            <v>15</v>
          </cell>
        </row>
        <row r="224">
          <cell r="A224" t="str">
            <v>RS7T14</v>
          </cell>
          <cell r="B224" t="str">
            <v>T2</v>
          </cell>
          <cell r="C224" t="str">
            <v>20/7</v>
          </cell>
          <cell r="D224">
            <v>12</v>
          </cell>
        </row>
        <row r="225">
          <cell r="A225" t="str">
            <v>RS9T14</v>
          </cell>
          <cell r="B225" t="str">
            <v>Troll</v>
          </cell>
          <cell r="C225" t="str">
            <v>20/9</v>
          </cell>
          <cell r="D225">
            <v>10</v>
          </cell>
        </row>
        <row r="226">
          <cell r="A226" t="str">
            <v>RS9P14</v>
          </cell>
          <cell r="B226" t="str">
            <v>Pyro show rocket</v>
          </cell>
          <cell r="C226" t="str">
            <v>20/9</v>
          </cell>
          <cell r="D226">
            <v>10</v>
          </cell>
        </row>
        <row r="227">
          <cell r="A227" t="str">
            <v>RS11HF2</v>
          </cell>
          <cell r="B227" t="str">
            <v>Happy New Year</v>
          </cell>
          <cell r="C227" t="str">
            <v>12/11</v>
          </cell>
          <cell r="D227">
            <v>8</v>
          </cell>
        </row>
        <row r="228">
          <cell r="A228" t="str">
            <v>SP3CF2</v>
          </cell>
          <cell r="B228" t="str">
            <v>Mach one</v>
          </cell>
          <cell r="C228" t="str">
            <v>12/12</v>
          </cell>
          <cell r="D228">
            <v>10</v>
          </cell>
        </row>
        <row r="229">
          <cell r="A229" t="str">
            <v>RS21Z14</v>
          </cell>
          <cell r="B229" t="str">
            <v>Zoombie invasion</v>
          </cell>
          <cell r="C229" t="str">
            <v>5/21</v>
          </cell>
          <cell r="D229">
            <v>18</v>
          </cell>
        </row>
        <row r="230">
          <cell r="A230" t="str">
            <v>RS33R14</v>
          </cell>
          <cell r="B230" t="str">
            <v>Rocket Land</v>
          </cell>
          <cell r="C230" t="str">
            <v>6/33</v>
          </cell>
          <cell r="D230">
            <v>8</v>
          </cell>
        </row>
        <row r="231">
          <cell r="A231" t="str">
            <v>RSSF2</v>
          </cell>
          <cell r="B231" t="str">
            <v>Signature range rocket F2</v>
          </cell>
          <cell r="C231" t="str">
            <v>8/5</v>
          </cell>
          <cell r="D231" t="str">
            <v>18</v>
          </cell>
        </row>
        <row r="232">
          <cell r="A232" t="str">
            <v>RSS75</v>
          </cell>
          <cell r="B232" t="str">
            <v>Shell show</v>
          </cell>
          <cell r="C232" t="str">
            <v>8/6.</v>
          </cell>
          <cell r="D232">
            <v>12</v>
          </cell>
        </row>
        <row r="233">
          <cell r="A233" t="str">
            <v>RS4D</v>
          </cell>
          <cell r="B233" t="str">
            <v>Dumbum rakety</v>
          </cell>
          <cell r="C233" t="str">
            <v>24/4</v>
          </cell>
          <cell r="D233">
            <v>21</v>
          </cell>
        </row>
        <row r="234">
          <cell r="A234" t="str">
            <v>SP3C</v>
          </cell>
          <cell r="B234" t="str">
            <v>Mach one</v>
          </cell>
          <cell r="C234" t="str">
            <v>12/12</v>
          </cell>
          <cell r="D234">
            <v>10</v>
          </cell>
        </row>
        <row r="235">
          <cell r="A235" t="str">
            <v>RS18T</v>
          </cell>
          <cell r="B235" t="str">
            <v>Tiger rocket</v>
          </cell>
          <cell r="C235" t="str">
            <v>10/18</v>
          </cell>
          <cell r="D235">
            <v>8</v>
          </cell>
        </row>
        <row r="236">
          <cell r="A236" t="str">
            <v>RS18S</v>
          </cell>
          <cell r="B236" t="str">
            <v>Storm rocket</v>
          </cell>
          <cell r="C236" t="str">
            <v>10/18</v>
          </cell>
          <cell r="D236">
            <v>8</v>
          </cell>
        </row>
        <row r="237">
          <cell r="A237" t="str">
            <v>RS33R</v>
          </cell>
          <cell r="B237" t="str">
            <v>Rocket Land</v>
          </cell>
          <cell r="C237" t="str">
            <v>6/33</v>
          </cell>
          <cell r="D237">
            <v>8</v>
          </cell>
        </row>
        <row r="238">
          <cell r="A238" t="str">
            <v>RSS100</v>
          </cell>
          <cell r="B238" t="str">
            <v>Signature range rocket 100</v>
          </cell>
          <cell r="C238" t="str">
            <v>8/5</v>
          </cell>
          <cell r="D238">
            <v>15</v>
          </cell>
        </row>
        <row r="239">
          <cell r="A239" t="str">
            <v>R170B</v>
          </cell>
          <cell r="B239" t="str">
            <v>Brocade war rocket</v>
          </cell>
          <cell r="C239" t="str">
            <v>12/2</v>
          </cell>
          <cell r="D239">
            <v>9</v>
          </cell>
        </row>
        <row r="240">
          <cell r="A240" t="str">
            <v>R170X</v>
          </cell>
          <cell r="B240" t="str">
            <v>XXXL rocket</v>
          </cell>
          <cell r="C240" t="str">
            <v>6/3</v>
          </cell>
          <cell r="D240">
            <v>12</v>
          </cell>
        </row>
        <row r="241">
          <cell r="A241" t="str">
            <v>R170M</v>
          </cell>
          <cell r="B241" t="str">
            <v>Big mix rocket</v>
          </cell>
          <cell r="C241" t="str">
            <v>4/5</v>
          </cell>
          <cell r="D241" t="str">
            <v>15</v>
          </cell>
        </row>
        <row r="242">
          <cell r="A242" t="str">
            <v>RSSF3</v>
          </cell>
          <cell r="B242" t="str">
            <v>Signature range rocket F3</v>
          </cell>
          <cell r="C242" t="str">
            <v>4/5</v>
          </cell>
          <cell r="D242">
            <v>15</v>
          </cell>
        </row>
        <row r="243">
          <cell r="A243" t="str">
            <v>N1</v>
          </cell>
          <cell r="B243" t="str">
            <v>Dumbum explosive drink</v>
          </cell>
          <cell r="C243" t="str">
            <v>24/1</v>
          </cell>
          <cell r="D243" t="str">
            <v>120</v>
          </cell>
        </row>
        <row r="244">
          <cell r="A244" t="str">
            <v>ZS5M</v>
          </cell>
          <cell r="B244" t="str">
            <v>Zápalná šňůra 2mm</v>
          </cell>
          <cell r="C244" t="str">
            <v>100/1/5m</v>
          </cell>
          <cell r="D244">
            <v>36</v>
          </cell>
        </row>
        <row r="245">
          <cell r="A245" t="str">
            <v>C2508R</v>
          </cell>
          <cell r="B245" t="str">
            <v>Scream 25</v>
          </cell>
          <cell r="C245" t="str">
            <v>15/4.</v>
          </cell>
          <cell r="D245">
            <v>40</v>
          </cell>
        </row>
        <row r="246">
          <cell r="A246" t="str">
            <v>C10008R</v>
          </cell>
          <cell r="B246" t="str">
            <v>Scream 100</v>
          </cell>
          <cell r="C246" t="str">
            <v>30/1.</v>
          </cell>
          <cell r="D246" t="str">
            <v>21</v>
          </cell>
        </row>
        <row r="247">
          <cell r="A247" t="str">
            <v>C1008CC</v>
          </cell>
          <cell r="B247" t="str">
            <v>Colorful and crackling comet 100</v>
          </cell>
          <cell r="C247" t="str">
            <v>24/1</v>
          </cell>
          <cell r="D247">
            <v>42</v>
          </cell>
        </row>
        <row r="248">
          <cell r="A248" t="str">
            <v>C1614E14</v>
          </cell>
          <cell r="B248" t="str">
            <v>Edwin</v>
          </cell>
          <cell r="C248" t="str">
            <v>50/1</v>
          </cell>
          <cell r="D248">
            <v>48</v>
          </cell>
        </row>
        <row r="249">
          <cell r="A249" t="str">
            <v>C3614B14</v>
          </cell>
          <cell r="B249" t="str">
            <v>Bob</v>
          </cell>
          <cell r="C249" t="str">
            <v>30/1.</v>
          </cell>
          <cell r="D249">
            <v>28</v>
          </cell>
        </row>
        <row r="250">
          <cell r="A250" t="str">
            <v>C6414C14</v>
          </cell>
          <cell r="B250" t="str">
            <v>Cubic</v>
          </cell>
          <cell r="C250" t="str">
            <v>12/1.</v>
          </cell>
          <cell r="D250">
            <v>35</v>
          </cell>
        </row>
        <row r="251">
          <cell r="A251" t="str">
            <v>C10014A</v>
          </cell>
          <cell r="B251" t="str">
            <v>American dream</v>
          </cell>
          <cell r="C251" t="str">
            <v>12/1</v>
          </cell>
          <cell r="D251">
            <v>32</v>
          </cell>
        </row>
        <row r="252">
          <cell r="A252" t="str">
            <v>C20014F14</v>
          </cell>
          <cell r="B252" t="str">
            <v>Flame on</v>
          </cell>
          <cell r="C252" t="str">
            <v>3/1.</v>
          </cell>
          <cell r="D252">
            <v>55</v>
          </cell>
        </row>
        <row r="253">
          <cell r="A253" t="str">
            <v>C20814XPR14</v>
          </cell>
          <cell r="B253" t="str">
            <v>Profi show 208</v>
          </cell>
          <cell r="C253" t="str">
            <v>4/1</v>
          </cell>
          <cell r="D253">
            <v>24</v>
          </cell>
        </row>
        <row r="254">
          <cell r="A254" t="str">
            <v>C9016XC14</v>
          </cell>
          <cell r="B254" t="str">
            <v>Caramba!</v>
          </cell>
          <cell r="C254" t="str">
            <v>6/1.</v>
          </cell>
          <cell r="D254">
            <v>20</v>
          </cell>
        </row>
        <row r="255">
          <cell r="A255" t="str">
            <v>C63MXS14</v>
          </cell>
          <cell r="B255" t="str">
            <v>Sudoku</v>
          </cell>
          <cell r="C255" t="str">
            <v>8/1.</v>
          </cell>
          <cell r="D255">
            <v>36</v>
          </cell>
        </row>
        <row r="256">
          <cell r="A256" t="str">
            <v>C920L</v>
          </cell>
          <cell r="B256" t="str">
            <v>Login</v>
          </cell>
          <cell r="C256" t="str">
            <v>40/1</v>
          </cell>
          <cell r="D256">
            <v>36</v>
          </cell>
        </row>
        <row r="257">
          <cell r="A257" t="str">
            <v>C920M</v>
          </cell>
          <cell r="B257" t="str">
            <v>Major</v>
          </cell>
          <cell r="C257" t="str">
            <v>40/1</v>
          </cell>
          <cell r="D257">
            <v>36</v>
          </cell>
        </row>
        <row r="258">
          <cell r="A258" t="str">
            <v>C1620DU</v>
          </cell>
          <cell r="B258" t="str">
            <v>Dumbum 16</v>
          </cell>
          <cell r="C258" t="str">
            <v>24/1</v>
          </cell>
          <cell r="D258">
            <v>36</v>
          </cell>
        </row>
        <row r="259">
          <cell r="A259" t="str">
            <v>C1620DU(5)</v>
          </cell>
          <cell r="B259" t="str">
            <v>Dumbum 16(5sec)</v>
          </cell>
          <cell r="C259" t="str">
            <v>24/1</v>
          </cell>
          <cell r="D259">
            <v>36</v>
          </cell>
        </row>
        <row r="260">
          <cell r="A260" t="str">
            <v>C1620BPF</v>
          </cell>
          <cell r="B260" t="str">
            <v>Best price Billy</v>
          </cell>
          <cell r="C260" t="str">
            <v>24/1</v>
          </cell>
          <cell r="D260">
            <v>36</v>
          </cell>
        </row>
        <row r="261">
          <cell r="A261" t="str">
            <v>C1620H</v>
          </cell>
          <cell r="B261" t="str">
            <v>Hnusák</v>
          </cell>
          <cell r="C261" t="str">
            <v>24/1</v>
          </cell>
          <cell r="D261">
            <v>36</v>
          </cell>
        </row>
        <row r="262">
          <cell r="A262" t="str">
            <v>C1620N</v>
          </cell>
          <cell r="B262" t="str">
            <v>Nuclear attack</v>
          </cell>
          <cell r="C262" t="str">
            <v>24/1</v>
          </cell>
          <cell r="D262">
            <v>36</v>
          </cell>
        </row>
        <row r="263">
          <cell r="A263" t="str">
            <v>C1620F</v>
          </cell>
          <cell r="B263" t="str">
            <v>Frankinson Harley</v>
          </cell>
          <cell r="C263" t="str">
            <v>24/1</v>
          </cell>
          <cell r="D263">
            <v>36</v>
          </cell>
        </row>
        <row r="264">
          <cell r="A264" t="str">
            <v>C1620H14</v>
          </cell>
          <cell r="B264" t="str">
            <v>Hnusák</v>
          </cell>
          <cell r="C264" t="str">
            <v>24/1</v>
          </cell>
          <cell r="D264">
            <v>36</v>
          </cell>
        </row>
        <row r="265">
          <cell r="A265" t="str">
            <v>C1620F14</v>
          </cell>
          <cell r="B265" t="str">
            <v>Frankinson Harley</v>
          </cell>
          <cell r="C265" t="str">
            <v>24/1</v>
          </cell>
          <cell r="D265">
            <v>36</v>
          </cell>
        </row>
        <row r="266">
          <cell r="A266" t="str">
            <v>CX1620D</v>
          </cell>
          <cell r="B266" t="str">
            <v>Dumbum 16sh X shape</v>
          </cell>
          <cell r="C266" t="str">
            <v>16/1</v>
          </cell>
          <cell r="D266">
            <v>30</v>
          </cell>
        </row>
        <row r="267">
          <cell r="A267" t="str">
            <v>CX1620X</v>
          </cell>
          <cell r="B267" t="str">
            <v>X Show</v>
          </cell>
          <cell r="C267" t="str">
            <v>16/1</v>
          </cell>
          <cell r="D267">
            <v>30</v>
          </cell>
        </row>
        <row r="268">
          <cell r="A268" t="str">
            <v>C2520BP</v>
          </cell>
          <cell r="B268" t="str">
            <v>Best price Firefox</v>
          </cell>
          <cell r="C268" t="str">
            <v>12/1</v>
          </cell>
          <cell r="D268">
            <v>54</v>
          </cell>
        </row>
        <row r="269">
          <cell r="A269" t="str">
            <v>C2520SIG</v>
          </cell>
          <cell r="B269" t="str">
            <v>Signature range 25</v>
          </cell>
          <cell r="C269" t="str">
            <v>12/1</v>
          </cell>
          <cell r="D269">
            <v>40</v>
          </cell>
        </row>
        <row r="270">
          <cell r="A270" t="str">
            <v>C2520Z</v>
          </cell>
          <cell r="B270" t="str">
            <v>Želvoun</v>
          </cell>
          <cell r="C270" t="str">
            <v>12/1</v>
          </cell>
          <cell r="D270">
            <v>54</v>
          </cell>
        </row>
        <row r="271">
          <cell r="A271" t="str">
            <v>C2520DI</v>
          </cell>
          <cell r="B271" t="str">
            <v>Dinomit</v>
          </cell>
          <cell r="C271" t="str">
            <v>12/1</v>
          </cell>
          <cell r="D271">
            <v>54</v>
          </cell>
        </row>
        <row r="272">
          <cell r="A272" t="str">
            <v>C2520T</v>
          </cell>
          <cell r="B272" t="str">
            <v>Turtle Burger</v>
          </cell>
          <cell r="C272" t="str">
            <v>12/1</v>
          </cell>
          <cell r="D272">
            <v>54</v>
          </cell>
        </row>
        <row r="273">
          <cell r="A273" t="str">
            <v>C2520SE</v>
          </cell>
          <cell r="B273" t="str">
            <v>Senior</v>
          </cell>
          <cell r="C273" t="str">
            <v>12/1</v>
          </cell>
          <cell r="D273">
            <v>54</v>
          </cell>
        </row>
        <row r="274">
          <cell r="A274" t="str">
            <v>C2520ST</v>
          </cell>
          <cell r="B274" t="str">
            <v>Střelmistr</v>
          </cell>
          <cell r="C274" t="str">
            <v>12/1</v>
          </cell>
          <cell r="D274">
            <v>54</v>
          </cell>
        </row>
        <row r="275">
          <cell r="A275" t="str">
            <v>C2520SL</v>
          </cell>
          <cell r="B275" t="str">
            <v>Slet čarodejnic</v>
          </cell>
          <cell r="C275" t="str">
            <v>12/1</v>
          </cell>
          <cell r="D275">
            <v>54</v>
          </cell>
        </row>
        <row r="276">
          <cell r="A276" t="str">
            <v>C2520R</v>
          </cell>
          <cell r="B276" t="str">
            <v>Radiation</v>
          </cell>
          <cell r="C276" t="str">
            <v>12/1</v>
          </cell>
          <cell r="D276">
            <v>54</v>
          </cell>
        </row>
        <row r="277">
          <cell r="A277" t="str">
            <v>C2520VI</v>
          </cell>
          <cell r="B277" t="str">
            <v>VIP</v>
          </cell>
          <cell r="C277" t="str">
            <v>12/1</v>
          </cell>
          <cell r="D277">
            <v>54</v>
          </cell>
        </row>
        <row r="278">
          <cell r="A278" t="str">
            <v>C2520DI14</v>
          </cell>
          <cell r="B278" t="str">
            <v>Dinomit</v>
          </cell>
          <cell r="C278" t="str">
            <v>12/1</v>
          </cell>
          <cell r="D278">
            <v>54</v>
          </cell>
        </row>
        <row r="279">
          <cell r="A279" t="str">
            <v>C2520T14</v>
          </cell>
          <cell r="B279" t="str">
            <v>Turtle Burger</v>
          </cell>
          <cell r="C279" t="str">
            <v>12/1</v>
          </cell>
          <cell r="D279">
            <v>54</v>
          </cell>
        </row>
        <row r="280">
          <cell r="A280" t="str">
            <v>C2520SE14</v>
          </cell>
          <cell r="B280" t="str">
            <v>Senior</v>
          </cell>
          <cell r="C280" t="str">
            <v>12/1</v>
          </cell>
          <cell r="D280">
            <v>54</v>
          </cell>
        </row>
        <row r="281">
          <cell r="A281" t="str">
            <v>C3620V</v>
          </cell>
          <cell r="B281" t="str">
            <v>Vampire</v>
          </cell>
          <cell r="C281" t="str">
            <v>10/1.</v>
          </cell>
          <cell r="D281">
            <v>36</v>
          </cell>
        </row>
        <row r="282">
          <cell r="A282" t="str">
            <v>C3620N14</v>
          </cell>
          <cell r="B282" t="str">
            <v>Ninja</v>
          </cell>
          <cell r="C282" t="str">
            <v>10/1.</v>
          </cell>
          <cell r="D282">
            <v>36</v>
          </cell>
        </row>
        <row r="283">
          <cell r="A283" t="str">
            <v>C3620NO14</v>
          </cell>
          <cell r="B283" t="str">
            <v>No sound Fireworks</v>
          </cell>
          <cell r="C283" t="str">
            <v>10/1.</v>
          </cell>
          <cell r="D283">
            <v>33</v>
          </cell>
        </row>
        <row r="284">
          <cell r="A284" t="str">
            <v>C4920BPF</v>
          </cell>
          <cell r="B284" t="str">
            <v>Best price Boominator</v>
          </cell>
          <cell r="C284" t="str">
            <v>8/1</v>
          </cell>
          <cell r="D284">
            <v>36</v>
          </cell>
        </row>
        <row r="285">
          <cell r="A285" t="str">
            <v>C4920SIG</v>
          </cell>
          <cell r="B285" t="str">
            <v>Signature range 49</v>
          </cell>
          <cell r="C285" t="str">
            <v>8/1</v>
          </cell>
          <cell r="D285">
            <v>36</v>
          </cell>
        </row>
        <row r="286">
          <cell r="A286" t="str">
            <v>C4920DR</v>
          </cell>
          <cell r="B286" t="str">
            <v>Dragon army</v>
          </cell>
          <cell r="C286" t="str">
            <v>8/1</v>
          </cell>
          <cell r="D286">
            <v>36</v>
          </cell>
        </row>
        <row r="287">
          <cell r="A287" t="str">
            <v>C4920K</v>
          </cell>
          <cell r="B287" t="str">
            <v>King of Fireworks</v>
          </cell>
          <cell r="C287" t="str">
            <v>8/1</v>
          </cell>
          <cell r="D287">
            <v>36</v>
          </cell>
        </row>
        <row r="288">
          <cell r="A288" t="str">
            <v>C4920S</v>
          </cell>
          <cell r="B288" t="str">
            <v>Šašek</v>
          </cell>
          <cell r="C288" t="str">
            <v>8/1</v>
          </cell>
          <cell r="D288">
            <v>36</v>
          </cell>
        </row>
        <row r="289">
          <cell r="A289" t="str">
            <v>C4920DR14</v>
          </cell>
          <cell r="B289" t="str">
            <v>Dragon army</v>
          </cell>
          <cell r="C289" t="str">
            <v>8/1</v>
          </cell>
          <cell r="D289">
            <v>36</v>
          </cell>
        </row>
        <row r="290">
          <cell r="A290" t="str">
            <v>C4920S14</v>
          </cell>
          <cell r="B290" t="str">
            <v>Šašek</v>
          </cell>
          <cell r="C290" t="str">
            <v>8/1</v>
          </cell>
          <cell r="D290">
            <v>36</v>
          </cell>
        </row>
        <row r="291">
          <cell r="A291" t="str">
            <v>CF4920G</v>
          </cell>
          <cell r="B291" t="str">
            <v>Goldman</v>
          </cell>
          <cell r="C291" t="str">
            <v>6/1</v>
          </cell>
          <cell r="D291">
            <v>24</v>
          </cell>
        </row>
        <row r="292">
          <cell r="A292" t="str">
            <v>CF4920J</v>
          </cell>
          <cell r="B292" t="str">
            <v>Jaga</v>
          </cell>
          <cell r="C292" t="str">
            <v>6/1</v>
          </cell>
          <cell r="D292">
            <v>24</v>
          </cell>
        </row>
        <row r="293">
          <cell r="A293" t="str">
            <v>CF4920A</v>
          </cell>
          <cell r="B293" t="str">
            <v>Assasin Air show</v>
          </cell>
          <cell r="C293" t="str">
            <v>6/1</v>
          </cell>
          <cell r="D293">
            <v>24</v>
          </cell>
        </row>
        <row r="294">
          <cell r="A294" t="str">
            <v>CF4920G14</v>
          </cell>
          <cell r="B294" t="str">
            <v>Goldman</v>
          </cell>
          <cell r="C294" t="str">
            <v>6/1</v>
          </cell>
          <cell r="D294">
            <v>24</v>
          </cell>
        </row>
        <row r="295">
          <cell r="A295" t="str">
            <v>C6420BPW</v>
          </cell>
          <cell r="B295" t="str">
            <v>Best price Zombie zone</v>
          </cell>
          <cell r="C295" t="str">
            <v>6/1</v>
          </cell>
          <cell r="D295">
            <v>32</v>
          </cell>
        </row>
        <row r="296">
          <cell r="A296" t="str">
            <v>C6420B</v>
          </cell>
          <cell r="B296" t="str">
            <v>Breakboo</v>
          </cell>
          <cell r="C296" t="str">
            <v>6/1</v>
          </cell>
          <cell r="D296">
            <v>32</v>
          </cell>
        </row>
        <row r="297">
          <cell r="A297" t="str">
            <v>C6420G</v>
          </cell>
          <cell r="B297" t="str">
            <v>Grouch</v>
          </cell>
          <cell r="C297" t="str">
            <v>6/1</v>
          </cell>
          <cell r="D297">
            <v>32</v>
          </cell>
        </row>
        <row r="298">
          <cell r="A298" t="str">
            <v>C6420D</v>
          </cell>
          <cell r="B298" t="str">
            <v>Devil</v>
          </cell>
          <cell r="C298" t="str">
            <v>6/1</v>
          </cell>
          <cell r="D298">
            <v>32</v>
          </cell>
        </row>
        <row r="299">
          <cell r="A299" t="str">
            <v>C6420D14</v>
          </cell>
          <cell r="B299" t="str">
            <v>Devil</v>
          </cell>
          <cell r="C299" t="str">
            <v>6/1</v>
          </cell>
          <cell r="D299">
            <v>32</v>
          </cell>
        </row>
        <row r="300">
          <cell r="A300" t="str">
            <v>C6620P</v>
          </cell>
          <cell r="B300" t="str">
            <v>Pyromaster</v>
          </cell>
          <cell r="C300" t="str">
            <v>4/1</v>
          </cell>
          <cell r="D300">
            <v>18</v>
          </cell>
        </row>
        <row r="301">
          <cell r="A301" t="str">
            <v>C6620L</v>
          </cell>
          <cell r="B301" t="str">
            <v>Luxury pyro</v>
          </cell>
          <cell r="C301" t="str">
            <v>4/1</v>
          </cell>
          <cell r="D301">
            <v>18</v>
          </cell>
        </row>
        <row r="302">
          <cell r="A302" t="str">
            <v>C6620P14</v>
          </cell>
          <cell r="B302" t="str">
            <v>Pyromaster</v>
          </cell>
          <cell r="C302" t="str">
            <v>4/1</v>
          </cell>
          <cell r="D302">
            <v>18</v>
          </cell>
        </row>
        <row r="303">
          <cell r="A303" t="str">
            <v>C9020SIG</v>
          </cell>
          <cell r="B303" t="str">
            <v>Signature range 90</v>
          </cell>
          <cell r="C303" t="str">
            <v>6/1</v>
          </cell>
          <cell r="D303">
            <v>24</v>
          </cell>
        </row>
        <row r="304">
          <cell r="A304" t="str">
            <v>C9020V</v>
          </cell>
          <cell r="B304" t="str">
            <v>Válka světů</v>
          </cell>
          <cell r="C304" t="str">
            <v>6/1</v>
          </cell>
          <cell r="D304">
            <v>24</v>
          </cell>
        </row>
        <row r="305">
          <cell r="A305" t="str">
            <v>C9020X</v>
          </cell>
          <cell r="B305" t="str">
            <v>Xmas dream</v>
          </cell>
          <cell r="C305" t="str">
            <v>6/1</v>
          </cell>
          <cell r="D305">
            <v>24</v>
          </cell>
        </row>
        <row r="306">
          <cell r="A306" t="str">
            <v>C10020BP14</v>
          </cell>
          <cell r="B306" t="str">
            <v>Best price Vendeta</v>
          </cell>
          <cell r="C306" t="str">
            <v>4/1</v>
          </cell>
          <cell r="D306">
            <v>42</v>
          </cell>
        </row>
        <row r="307">
          <cell r="A307" t="str">
            <v>C10020BPS14</v>
          </cell>
          <cell r="B307" t="str">
            <v>Best price Devils crym</v>
          </cell>
          <cell r="C307" t="str">
            <v>4/1</v>
          </cell>
          <cell r="D307">
            <v>42</v>
          </cell>
        </row>
        <row r="308">
          <cell r="A308" t="str">
            <v>C10020NID14</v>
          </cell>
          <cell r="B308" t="str">
            <v>Bonie and Klyde</v>
          </cell>
          <cell r="C308" t="str">
            <v>4/1</v>
          </cell>
          <cell r="D308">
            <v>42</v>
          </cell>
        </row>
        <row r="309">
          <cell r="A309" t="str">
            <v>C10020XBPW14</v>
          </cell>
          <cell r="B309" t="str">
            <v>Best price Wild fire multi 100</v>
          </cell>
          <cell r="C309" t="str">
            <v>4/1</v>
          </cell>
          <cell r="D309">
            <v>22</v>
          </cell>
        </row>
        <row r="310">
          <cell r="A310" t="str">
            <v>C10020XBP14</v>
          </cell>
          <cell r="B310" t="str">
            <v>Best price multi shape 100</v>
          </cell>
          <cell r="C310" t="str">
            <v>4/1</v>
          </cell>
          <cell r="D310">
            <v>22</v>
          </cell>
        </row>
        <row r="311">
          <cell r="A311" t="str">
            <v>C10020XTS14</v>
          </cell>
          <cell r="B311" t="str">
            <v>Turbo 20mm shots 40</v>
          </cell>
          <cell r="C311" t="str">
            <v>4/1</v>
          </cell>
          <cell r="D311">
            <v>22</v>
          </cell>
        </row>
        <row r="312">
          <cell r="A312" t="str">
            <v>C10020XPR14</v>
          </cell>
          <cell r="B312" t="str">
            <v>Profi show multi shape 100</v>
          </cell>
          <cell r="C312" t="str">
            <v>4/1</v>
          </cell>
          <cell r="D312">
            <v>22</v>
          </cell>
        </row>
        <row r="313">
          <cell r="A313" t="str">
            <v>CF10020P</v>
          </cell>
          <cell r="B313" t="str">
            <v>Platinium serie</v>
          </cell>
          <cell r="C313" t="str">
            <v>2/1</v>
          </cell>
          <cell r="D313">
            <v>45</v>
          </cell>
        </row>
        <row r="314">
          <cell r="A314" t="str">
            <v>C13020BP</v>
          </cell>
          <cell r="B314" t="str">
            <v>Best price Power club</v>
          </cell>
          <cell r="C314" t="str">
            <v>3/1</v>
          </cell>
          <cell r="D314">
            <v>36</v>
          </cell>
        </row>
        <row r="315">
          <cell r="A315" t="str">
            <v>C13020M</v>
          </cell>
          <cell r="B315" t="str">
            <v>Mr.Boom</v>
          </cell>
          <cell r="C315" t="str">
            <v>3/1</v>
          </cell>
          <cell r="D315">
            <v>36</v>
          </cell>
        </row>
        <row r="316">
          <cell r="A316" t="str">
            <v>C13020B</v>
          </cell>
          <cell r="B316" t="str">
            <v>Emperor Fireworks</v>
          </cell>
          <cell r="C316" t="str">
            <v>3/1</v>
          </cell>
          <cell r="D316">
            <v>36</v>
          </cell>
        </row>
        <row r="317">
          <cell r="A317" t="str">
            <v>C13420H</v>
          </cell>
          <cell r="B317" t="str">
            <v>Hell</v>
          </cell>
          <cell r="C317" t="str">
            <v>2/1</v>
          </cell>
          <cell r="D317">
            <v>20</v>
          </cell>
        </row>
        <row r="318">
          <cell r="A318" t="str">
            <v>C20020BPS</v>
          </cell>
          <cell r="B318" t="str">
            <v>Best price Undertown</v>
          </cell>
          <cell r="C318" t="str">
            <v>2/1</v>
          </cell>
          <cell r="D318">
            <v>20</v>
          </cell>
        </row>
        <row r="319">
          <cell r="A319" t="str">
            <v>C20020PR</v>
          </cell>
          <cell r="B319" t="str">
            <v>Profi show 200</v>
          </cell>
          <cell r="C319" t="str">
            <v>2/1</v>
          </cell>
          <cell r="D319">
            <v>20</v>
          </cell>
        </row>
        <row r="320">
          <cell r="A320" t="str">
            <v>C20020XBP</v>
          </cell>
          <cell r="B320" t="str">
            <v>Best price multi shape 200</v>
          </cell>
          <cell r="C320" t="str">
            <v>2/1</v>
          </cell>
          <cell r="D320">
            <v>22</v>
          </cell>
        </row>
        <row r="321">
          <cell r="A321" t="str">
            <v>C20020XPR</v>
          </cell>
          <cell r="B321" t="str">
            <v>Profi show multi shape 200</v>
          </cell>
          <cell r="C321" t="str">
            <v>2/1</v>
          </cell>
          <cell r="D321">
            <v>20</v>
          </cell>
        </row>
        <row r="322">
          <cell r="A322" t="str">
            <v>C12820F/C14</v>
          </cell>
          <cell r="B322" t="str">
            <v>Fireworks show 128</v>
          </cell>
          <cell r="C322" t="str">
            <v>1/1</v>
          </cell>
          <cell r="D322">
            <v>77</v>
          </cell>
        </row>
        <row r="323">
          <cell r="A323" t="str">
            <v>C13220B/C14</v>
          </cell>
          <cell r="B323" t="str">
            <v>Big and Bad</v>
          </cell>
          <cell r="C323" t="str">
            <v>1/1</v>
          </cell>
          <cell r="D323">
            <v>40</v>
          </cell>
        </row>
        <row r="324">
          <cell r="A324" t="str">
            <v>C13220TS/C14</v>
          </cell>
          <cell r="B324" t="str">
            <v>Turbo 20mm shots 60</v>
          </cell>
          <cell r="C324" t="str">
            <v>1/1</v>
          </cell>
          <cell r="D324">
            <v>40</v>
          </cell>
        </row>
        <row r="325">
          <cell r="A325" t="str">
            <v>C18820XR/C14</v>
          </cell>
          <cell r="B325" t="str">
            <v>Revenant</v>
          </cell>
          <cell r="C325" t="str">
            <v>1/1</v>
          </cell>
          <cell r="D325">
            <v>48</v>
          </cell>
        </row>
        <row r="326">
          <cell r="A326" t="str">
            <v>C20020XPR/C14</v>
          </cell>
          <cell r="B326" t="str">
            <v>Profi show multi shape 200</v>
          </cell>
          <cell r="C326" t="str">
            <v>1/1</v>
          </cell>
          <cell r="D326" t="str">
            <v>40</v>
          </cell>
        </row>
        <row r="327">
          <cell r="A327" t="str">
            <v>C20020XTS/C14</v>
          </cell>
          <cell r="B327" t="str">
            <v>Turbo 20mm shots 80</v>
          </cell>
          <cell r="C327" t="str">
            <v>1/1</v>
          </cell>
          <cell r="D327" t="str">
            <v>40</v>
          </cell>
        </row>
        <row r="328">
          <cell r="A328" t="str">
            <v>C19320XR/C14</v>
          </cell>
          <cell r="B328" t="str">
            <v>Romanium</v>
          </cell>
          <cell r="C328" t="str">
            <v>1/1</v>
          </cell>
          <cell r="D328" t="str">
            <v>40</v>
          </cell>
        </row>
        <row r="329">
          <cell r="A329" t="str">
            <v>C19220F/C14</v>
          </cell>
          <cell r="B329" t="str">
            <v>Fireworks show 192</v>
          </cell>
          <cell r="C329" t="str">
            <v>1/1</v>
          </cell>
          <cell r="D329">
            <v>66</v>
          </cell>
        </row>
        <row r="330">
          <cell r="A330" t="str">
            <v>C25220XFS/C14</v>
          </cell>
          <cell r="B330" t="str">
            <v>Profi Fireworks show 252</v>
          </cell>
          <cell r="C330" t="str">
            <v>1/1</v>
          </cell>
          <cell r="D330" t="str">
            <v>40</v>
          </cell>
        </row>
        <row r="331">
          <cell r="A331" t="str">
            <v>C25620F/C14</v>
          </cell>
          <cell r="B331" t="str">
            <v>Fireworks show 256</v>
          </cell>
          <cell r="C331" t="str">
            <v>1/1</v>
          </cell>
          <cell r="D331">
            <v>66</v>
          </cell>
        </row>
        <row r="332">
          <cell r="A332" t="str">
            <v>C26420N/C14</v>
          </cell>
          <cell r="B332" t="str">
            <v>Neverending Sky</v>
          </cell>
          <cell r="C332" t="str">
            <v>1/1</v>
          </cell>
          <cell r="D332">
            <v>18</v>
          </cell>
        </row>
        <row r="333">
          <cell r="A333" t="str">
            <v>C40020XPR/C14</v>
          </cell>
          <cell r="B333" t="str">
            <v>Profi show multi shape 400</v>
          </cell>
          <cell r="C333" t="str">
            <v>1/1</v>
          </cell>
          <cell r="D333" t="str">
            <v>20</v>
          </cell>
        </row>
        <row r="334">
          <cell r="A334" t="str">
            <v>C6420DU/C</v>
          </cell>
          <cell r="B334" t="str">
            <v>Dumbum 64</v>
          </cell>
          <cell r="C334" t="str">
            <v>6/1</v>
          </cell>
          <cell r="D334">
            <v>22</v>
          </cell>
        </row>
        <row r="335">
          <cell r="A335" t="str">
            <v>C12820F/C</v>
          </cell>
          <cell r="B335" t="str">
            <v>Fireworks show 128</v>
          </cell>
          <cell r="C335" t="str">
            <v>1/1</v>
          </cell>
          <cell r="D335">
            <v>77</v>
          </cell>
        </row>
        <row r="336">
          <cell r="A336" t="str">
            <v>C13220B/C</v>
          </cell>
          <cell r="B336" t="str">
            <v>Big and Bad</v>
          </cell>
          <cell r="C336" t="str">
            <v>1/1</v>
          </cell>
          <cell r="D336" t="str">
            <v>36</v>
          </cell>
        </row>
        <row r="337">
          <cell r="A337" t="str">
            <v>C19220F/C</v>
          </cell>
          <cell r="B337" t="str">
            <v>Fireworks show 192</v>
          </cell>
          <cell r="C337" t="str">
            <v>1/1</v>
          </cell>
          <cell r="D337">
            <v>66</v>
          </cell>
        </row>
        <row r="338">
          <cell r="A338" t="str">
            <v>C25220XFS/C</v>
          </cell>
          <cell r="B338" t="str">
            <v>Profi Fireworks show 252</v>
          </cell>
          <cell r="C338" t="str">
            <v>1/1</v>
          </cell>
          <cell r="D338" t="str">
            <v>40</v>
          </cell>
        </row>
        <row r="339">
          <cell r="A339" t="str">
            <v>C25620NID/C</v>
          </cell>
          <cell r="B339" t="str">
            <v>Nidalus</v>
          </cell>
          <cell r="C339" t="str">
            <v>1/1</v>
          </cell>
          <cell r="D339">
            <v>60</v>
          </cell>
        </row>
        <row r="340">
          <cell r="A340" t="str">
            <v>C25620F/C</v>
          </cell>
          <cell r="B340" t="str">
            <v>Fireworks show 256</v>
          </cell>
          <cell r="C340" t="str">
            <v>1/1</v>
          </cell>
          <cell r="D340">
            <v>66</v>
          </cell>
        </row>
        <row r="341">
          <cell r="A341" t="str">
            <v>C26420N/C</v>
          </cell>
          <cell r="B341" t="str">
            <v>Neverending Sky</v>
          </cell>
          <cell r="C341" t="str">
            <v>1/1</v>
          </cell>
          <cell r="D341">
            <v>18</v>
          </cell>
        </row>
        <row r="342">
          <cell r="A342" t="str">
            <v>C32820XM/C</v>
          </cell>
          <cell r="B342" t="str">
            <v>Mucho Power</v>
          </cell>
          <cell r="C342" t="str">
            <v>1/1</v>
          </cell>
          <cell r="D342">
            <v>27</v>
          </cell>
        </row>
        <row r="343">
          <cell r="A343" t="str">
            <v>C18020SIG/C</v>
          </cell>
          <cell r="B343" t="str">
            <v>Signature range 180</v>
          </cell>
          <cell r="C343" t="str">
            <v>1/1</v>
          </cell>
          <cell r="D343">
            <v>66</v>
          </cell>
        </row>
        <row r="344">
          <cell r="A344" t="str">
            <v>C26020F/C</v>
          </cell>
          <cell r="B344" t="str">
            <v>Fireworks show 260</v>
          </cell>
          <cell r="C344" t="str">
            <v>1/1</v>
          </cell>
          <cell r="D344" t="str">
            <v>44</v>
          </cell>
        </row>
        <row r="345">
          <cell r="A345" t="str">
            <v>C26820F/C</v>
          </cell>
          <cell r="B345" t="str">
            <v>Profi Fireworks show 268</v>
          </cell>
          <cell r="C345" t="str">
            <v>1/1</v>
          </cell>
          <cell r="D345" t="str">
            <v>27</v>
          </cell>
        </row>
        <row r="346">
          <cell r="A346" t="str">
            <v>C39020F/C</v>
          </cell>
          <cell r="B346" t="str">
            <v>Fireworks show 390</v>
          </cell>
          <cell r="C346" t="str">
            <v>1/1</v>
          </cell>
          <cell r="D346">
            <v>33</v>
          </cell>
        </row>
        <row r="347">
          <cell r="A347" t="str">
            <v>C52020F/C</v>
          </cell>
          <cell r="B347" t="str">
            <v>Fireworks show 520</v>
          </cell>
          <cell r="C347" t="str">
            <v>1/1</v>
          </cell>
          <cell r="D347">
            <v>24</v>
          </cell>
        </row>
        <row r="348">
          <cell r="A348" t="str">
            <v>C53620F/C</v>
          </cell>
          <cell r="B348" t="str">
            <v>Profi Fireworks show 536</v>
          </cell>
          <cell r="C348" t="str">
            <v>1/1</v>
          </cell>
          <cell r="D348" t="str">
            <v>20</v>
          </cell>
        </row>
        <row r="349">
          <cell r="A349" t="str">
            <v>C60020XPR/C</v>
          </cell>
          <cell r="B349" t="str">
            <v>Profi show multi shape 600</v>
          </cell>
          <cell r="C349" t="str">
            <v>1/1</v>
          </cell>
          <cell r="D349">
            <v>14</v>
          </cell>
        </row>
        <row r="350">
          <cell r="A350" t="str">
            <v>C1625B</v>
          </cell>
          <cell r="B350" t="str">
            <v>Helloween</v>
          </cell>
          <cell r="C350" t="str">
            <v>12/1</v>
          </cell>
          <cell r="D350">
            <v>45</v>
          </cell>
        </row>
        <row r="351">
          <cell r="A351" t="str">
            <v>C1625D</v>
          </cell>
          <cell r="B351" t="str">
            <v>Kamikadze</v>
          </cell>
          <cell r="C351" t="str">
            <v>12/1</v>
          </cell>
          <cell r="D351">
            <v>45</v>
          </cell>
        </row>
        <row r="352">
          <cell r="A352" t="str">
            <v>C1625F</v>
          </cell>
          <cell r="B352" t="str">
            <v>Poker</v>
          </cell>
          <cell r="C352" t="str">
            <v>12/1</v>
          </cell>
          <cell r="D352">
            <v>45</v>
          </cell>
        </row>
        <row r="353">
          <cell r="A353" t="str">
            <v>C1625G</v>
          </cell>
          <cell r="B353" t="str">
            <v>Explo Fungi</v>
          </cell>
          <cell r="C353" t="str">
            <v>12/1</v>
          </cell>
          <cell r="D353">
            <v>45</v>
          </cell>
        </row>
        <row r="354">
          <cell r="A354" t="str">
            <v>C1625DU</v>
          </cell>
          <cell r="B354" t="str">
            <v>Dumbum 16sh</v>
          </cell>
          <cell r="C354" t="str">
            <v>12/1</v>
          </cell>
          <cell r="D354">
            <v>45</v>
          </cell>
        </row>
        <row r="355">
          <cell r="A355" t="str">
            <v>C1625D14</v>
          </cell>
          <cell r="B355" t="str">
            <v>Kamikadze</v>
          </cell>
          <cell r="C355" t="str">
            <v>12/1</v>
          </cell>
          <cell r="D355">
            <v>45</v>
          </cell>
        </row>
        <row r="356">
          <cell r="A356" t="str">
            <v>C1625F14</v>
          </cell>
          <cell r="B356" t="str">
            <v>Poker</v>
          </cell>
          <cell r="C356" t="str">
            <v>12/1</v>
          </cell>
          <cell r="D356">
            <v>45</v>
          </cell>
        </row>
        <row r="357">
          <cell r="A357" t="str">
            <v>C2525BPW</v>
          </cell>
          <cell r="B357" t="str">
            <v>Best price Maxim</v>
          </cell>
          <cell r="C357" t="str">
            <v>12/1</v>
          </cell>
          <cell r="D357">
            <v>20</v>
          </cell>
        </row>
        <row r="358">
          <cell r="A358" t="str">
            <v>C2525SIG</v>
          </cell>
          <cell r="B358" t="str">
            <v>Signature range 25</v>
          </cell>
          <cell r="C358" t="str">
            <v>12/1</v>
          </cell>
          <cell r="D358">
            <v>20</v>
          </cell>
        </row>
        <row r="359">
          <cell r="A359" t="str">
            <v>C2525DU</v>
          </cell>
          <cell r="B359" t="str">
            <v>Dumbum micro</v>
          </cell>
          <cell r="C359" t="str">
            <v>12/1</v>
          </cell>
          <cell r="D359">
            <v>20</v>
          </cell>
        </row>
        <row r="360">
          <cell r="A360" t="str">
            <v>C2525C</v>
          </cell>
          <cell r="B360" t="str">
            <v>Casper</v>
          </cell>
          <cell r="C360" t="str">
            <v>12/1</v>
          </cell>
          <cell r="D360">
            <v>20</v>
          </cell>
        </row>
        <row r="361">
          <cell r="A361" t="str">
            <v>C2525L</v>
          </cell>
          <cell r="B361" t="str">
            <v>Loď Duchů</v>
          </cell>
          <cell r="C361" t="str">
            <v>12/1</v>
          </cell>
          <cell r="D361">
            <v>20</v>
          </cell>
        </row>
        <row r="362">
          <cell r="A362" t="str">
            <v>C2525SC14</v>
          </cell>
          <cell r="B362" t="str">
            <v>Scream battery 25</v>
          </cell>
          <cell r="C362" t="str">
            <v>8/1</v>
          </cell>
          <cell r="D362">
            <v>16</v>
          </cell>
        </row>
        <row r="363">
          <cell r="A363" t="str">
            <v>CF2525D</v>
          </cell>
          <cell r="B363" t="str">
            <v>Dracco</v>
          </cell>
          <cell r="C363" t="str">
            <v>10/1</v>
          </cell>
          <cell r="D363" t="str">
            <v>20</v>
          </cell>
        </row>
        <row r="364">
          <cell r="A364" t="str">
            <v>CF2525O</v>
          </cell>
          <cell r="B364" t="str">
            <v>Ostrov pokladů</v>
          </cell>
          <cell r="C364" t="str">
            <v>10/1</v>
          </cell>
          <cell r="D364" t="str">
            <v>20</v>
          </cell>
        </row>
        <row r="365">
          <cell r="A365" t="str">
            <v>CF2525S</v>
          </cell>
          <cell r="B365" t="str">
            <v>Skřeti</v>
          </cell>
          <cell r="C365" t="str">
            <v>10/1</v>
          </cell>
          <cell r="D365" t="str">
            <v>20</v>
          </cell>
        </row>
        <row r="366">
          <cell r="A366" t="str">
            <v>C3625P</v>
          </cell>
          <cell r="B366" t="str">
            <v>Pyro war</v>
          </cell>
          <cell r="C366" t="str">
            <v>8/1</v>
          </cell>
          <cell r="D366">
            <v>30</v>
          </cell>
        </row>
        <row r="367">
          <cell r="A367" t="str">
            <v>C3625P14</v>
          </cell>
          <cell r="B367" t="str">
            <v>Pyro Fury</v>
          </cell>
          <cell r="C367" t="str">
            <v>8/1</v>
          </cell>
          <cell r="D367">
            <v>30</v>
          </cell>
        </row>
        <row r="368">
          <cell r="A368" t="str">
            <v>C4825MP</v>
          </cell>
          <cell r="B368" t="str">
            <v>Pearates</v>
          </cell>
          <cell r="C368" t="str">
            <v>6/1</v>
          </cell>
          <cell r="D368">
            <v>18</v>
          </cell>
        </row>
        <row r="369">
          <cell r="A369" t="str">
            <v>C4925G</v>
          </cell>
          <cell r="B369" t="str">
            <v>Gas Man</v>
          </cell>
          <cell r="C369" t="str">
            <v>6/1</v>
          </cell>
          <cell r="D369">
            <v>25</v>
          </cell>
        </row>
        <row r="370">
          <cell r="A370" t="str">
            <v>C4925P</v>
          </cell>
          <cell r="B370" t="str">
            <v>Panda</v>
          </cell>
          <cell r="C370" t="str">
            <v>6/1</v>
          </cell>
          <cell r="D370">
            <v>25</v>
          </cell>
        </row>
        <row r="371">
          <cell r="A371" t="str">
            <v>C4925V</v>
          </cell>
          <cell r="B371" t="str">
            <v>Viking</v>
          </cell>
          <cell r="C371" t="str">
            <v>6/1</v>
          </cell>
          <cell r="D371">
            <v>25</v>
          </cell>
        </row>
        <row r="372">
          <cell r="A372" t="str">
            <v>C4925BP14</v>
          </cell>
          <cell r="B372" t="str">
            <v>Best price Mumie</v>
          </cell>
          <cell r="C372" t="str">
            <v>6/1</v>
          </cell>
          <cell r="D372">
            <v>25</v>
          </cell>
        </row>
        <row r="373">
          <cell r="A373" t="str">
            <v>C4925NO14</v>
          </cell>
          <cell r="B373" t="str">
            <v>No sound Fireworks</v>
          </cell>
          <cell r="C373" t="str">
            <v>6/1</v>
          </cell>
          <cell r="D373">
            <v>25</v>
          </cell>
        </row>
        <row r="374">
          <cell r="A374" t="str">
            <v>C4925V14</v>
          </cell>
          <cell r="B374" t="str">
            <v>Viking</v>
          </cell>
          <cell r="C374" t="str">
            <v>6/1</v>
          </cell>
          <cell r="D374">
            <v>25</v>
          </cell>
        </row>
        <row r="375">
          <cell r="A375" t="str">
            <v>C4925VS14</v>
          </cell>
          <cell r="B375" t="str">
            <v>Vše nejlepší k narozeninám</v>
          </cell>
          <cell r="C375" t="str">
            <v>6/1</v>
          </cell>
          <cell r="D375">
            <v>25</v>
          </cell>
        </row>
        <row r="376">
          <cell r="A376" t="str">
            <v>C4925SIG</v>
          </cell>
          <cell r="B376" t="str">
            <v>Signature range 49</v>
          </cell>
          <cell r="C376" t="str">
            <v>6/1</v>
          </cell>
          <cell r="D376">
            <v>25</v>
          </cell>
        </row>
        <row r="377">
          <cell r="A377" t="str">
            <v>C4925D</v>
          </cell>
          <cell r="B377" t="str">
            <v>Dumbum 49</v>
          </cell>
          <cell r="C377" t="str">
            <v>6/1</v>
          </cell>
          <cell r="D377">
            <v>25</v>
          </cell>
        </row>
        <row r="378">
          <cell r="A378" t="str">
            <v>CF4925S14</v>
          </cell>
          <cell r="B378" t="str">
            <v>Super fast gun</v>
          </cell>
          <cell r="C378" t="str">
            <v>4/1</v>
          </cell>
          <cell r="D378">
            <v>16</v>
          </cell>
        </row>
        <row r="379">
          <cell r="A379" t="str">
            <v>CF4925B14</v>
          </cell>
          <cell r="B379" t="str">
            <v>Brocade war 49sh</v>
          </cell>
          <cell r="C379" t="str">
            <v>4/1</v>
          </cell>
          <cell r="D379">
            <v>16</v>
          </cell>
        </row>
        <row r="380">
          <cell r="A380" t="str">
            <v>CF4925S</v>
          </cell>
          <cell r="B380" t="str">
            <v>Super fast gun</v>
          </cell>
          <cell r="C380" t="str">
            <v>4/1</v>
          </cell>
          <cell r="D380">
            <v>16</v>
          </cell>
        </row>
        <row r="381">
          <cell r="A381" t="str">
            <v>CF4925D</v>
          </cell>
          <cell r="B381" t="str">
            <v>Dumbum mini</v>
          </cell>
          <cell r="C381" t="str">
            <v>4/1</v>
          </cell>
          <cell r="D381">
            <v>16</v>
          </cell>
        </row>
        <row r="382">
          <cell r="A382" t="str">
            <v>CF4925B</v>
          </cell>
          <cell r="B382" t="str">
            <v>Brocade war 49sh</v>
          </cell>
          <cell r="C382" t="str">
            <v>4/1</v>
          </cell>
          <cell r="D382">
            <v>16</v>
          </cell>
        </row>
        <row r="383">
          <cell r="A383" t="str">
            <v>C6425XPT</v>
          </cell>
          <cell r="B383" t="str">
            <v>Pyrotechnology 64</v>
          </cell>
          <cell r="C383" t="str">
            <v>3/1</v>
          </cell>
          <cell r="D383">
            <v>24</v>
          </cell>
        </row>
        <row r="384">
          <cell r="A384" t="str">
            <v>C8825G</v>
          </cell>
          <cell r="B384" t="str">
            <v>Graffiti</v>
          </cell>
          <cell r="C384" t="str">
            <v>2/1</v>
          </cell>
          <cell r="D384">
            <v>40</v>
          </cell>
        </row>
        <row r="385">
          <cell r="A385" t="str">
            <v>C8825PA</v>
          </cell>
          <cell r="B385" t="str">
            <v>Partička</v>
          </cell>
          <cell r="C385" t="str">
            <v>2/1</v>
          </cell>
          <cell r="D385">
            <v>40</v>
          </cell>
        </row>
        <row r="386">
          <cell r="A386" t="str">
            <v>C8825BR</v>
          </cell>
          <cell r="B386" t="str">
            <v>Brocade war</v>
          </cell>
          <cell r="C386" t="str">
            <v>2/1</v>
          </cell>
          <cell r="D386">
            <v>40</v>
          </cell>
        </row>
        <row r="387">
          <cell r="A387" t="str">
            <v>C10025BPS</v>
          </cell>
          <cell r="B387" t="str">
            <v>Best price Slow motion 100</v>
          </cell>
          <cell r="C387" t="str">
            <v>2/1</v>
          </cell>
          <cell r="D387">
            <v>30</v>
          </cell>
        </row>
        <row r="388">
          <cell r="A388" t="str">
            <v>C10025PR1</v>
          </cell>
          <cell r="B388" t="str">
            <v>Profi show no.1</v>
          </cell>
          <cell r="C388" t="str">
            <v>2/1</v>
          </cell>
          <cell r="D388">
            <v>30</v>
          </cell>
        </row>
        <row r="389">
          <cell r="A389" t="str">
            <v>C10025I</v>
          </cell>
          <cell r="B389" t="str">
            <v>Indian scream</v>
          </cell>
          <cell r="C389" t="str">
            <v>2/1</v>
          </cell>
          <cell r="D389">
            <v>30</v>
          </cell>
        </row>
        <row r="390">
          <cell r="A390" t="str">
            <v>C9625MF/C14</v>
          </cell>
          <cell r="B390" t="str">
            <v>Profi Fireworks show 96</v>
          </cell>
          <cell r="C390" t="str">
            <v>1/1</v>
          </cell>
          <cell r="D390">
            <v>63</v>
          </cell>
        </row>
        <row r="391">
          <cell r="A391" t="str">
            <v>C9825C/C14</v>
          </cell>
          <cell r="B391" t="str">
            <v>Crazy Night</v>
          </cell>
          <cell r="C391" t="str">
            <v>1/1</v>
          </cell>
          <cell r="D391">
            <v>63</v>
          </cell>
        </row>
        <row r="392">
          <cell r="A392" t="str">
            <v>C9825SIG/C14</v>
          </cell>
          <cell r="B392" t="str">
            <v>Signature range 98</v>
          </cell>
          <cell r="C392" t="str">
            <v>1/1</v>
          </cell>
          <cell r="D392">
            <v>63</v>
          </cell>
        </row>
        <row r="393">
          <cell r="A393" t="str">
            <v>C10025BPW/C14</v>
          </cell>
          <cell r="B393" t="str">
            <v>Best price Atarion</v>
          </cell>
          <cell r="C393" t="str">
            <v>1/1</v>
          </cell>
          <cell r="D393">
            <v>54</v>
          </cell>
        </row>
        <row r="394">
          <cell r="A394" t="str">
            <v>C14025XFS/C14</v>
          </cell>
          <cell r="B394" t="str">
            <v>Profi Fireworks show 140</v>
          </cell>
          <cell r="C394" t="str">
            <v>1/1</v>
          </cell>
          <cell r="D394" t="str">
            <v>32</v>
          </cell>
        </row>
        <row r="395">
          <cell r="A395" t="str">
            <v>C19225MF/C14</v>
          </cell>
          <cell r="B395" t="str">
            <v>Profi Fireworks show 192</v>
          </cell>
          <cell r="C395" t="str">
            <v>1/1</v>
          </cell>
          <cell r="D395">
            <v>20</v>
          </cell>
        </row>
        <row r="396">
          <cell r="A396" t="str">
            <v>C19625/C14</v>
          </cell>
          <cell r="B396" t="str">
            <v>Fireworks show 196</v>
          </cell>
          <cell r="C396" t="str">
            <v>1/1</v>
          </cell>
          <cell r="D396" t="str">
            <v>18</v>
          </cell>
        </row>
        <row r="397">
          <cell r="A397" t="str">
            <v>C1-C2 C40025F/C14</v>
          </cell>
          <cell r="B397" t="str">
            <v>Fuji Fire</v>
          </cell>
          <cell r="C397" t="str">
            <v>1/1</v>
          </cell>
          <cell r="D397">
            <v>18</v>
          </cell>
        </row>
        <row r="398">
          <cell r="A398" t="str">
            <v>C9825C/C</v>
          </cell>
          <cell r="B398" t="str">
            <v>Crazy Night</v>
          </cell>
          <cell r="C398" t="str">
            <v>1/1</v>
          </cell>
          <cell r="D398">
            <v>63</v>
          </cell>
        </row>
        <row r="399">
          <cell r="A399" t="str">
            <v>C10025SIG/C</v>
          </cell>
          <cell r="B399" t="str">
            <v>Signature range 100</v>
          </cell>
          <cell r="C399" t="str">
            <v>1/1</v>
          </cell>
          <cell r="D399" t="str">
            <v>54</v>
          </cell>
        </row>
        <row r="400">
          <cell r="A400" t="str">
            <v>C14025XFS/C</v>
          </cell>
          <cell r="B400" t="str">
            <v>Profi Fireworks show 140</v>
          </cell>
          <cell r="C400" t="str">
            <v>1/1</v>
          </cell>
          <cell r="D400" t="str">
            <v>32</v>
          </cell>
        </row>
        <row r="401">
          <cell r="A401" t="str">
            <v>C19625F/C</v>
          </cell>
          <cell r="B401" t="str">
            <v>Fireworks show 196</v>
          </cell>
          <cell r="C401" t="str">
            <v>1/1</v>
          </cell>
          <cell r="D401" t="str">
            <v>18</v>
          </cell>
        </row>
        <row r="402">
          <cell r="A402" t="str">
            <v>C20025I/C</v>
          </cell>
          <cell r="B402" t="str">
            <v>Identify</v>
          </cell>
          <cell r="C402" t="str">
            <v>1/1</v>
          </cell>
          <cell r="D402">
            <v>36</v>
          </cell>
        </row>
        <row r="403">
          <cell r="A403" t="str">
            <v>C17825W/C</v>
          </cell>
          <cell r="B403" t="str">
            <v>War of worlds</v>
          </cell>
          <cell r="C403" t="str">
            <v>1/1</v>
          </cell>
          <cell r="D403" t="str">
            <v>18</v>
          </cell>
        </row>
        <row r="404">
          <cell r="A404" t="str">
            <v>C20025F/C</v>
          </cell>
          <cell r="B404" t="str">
            <v>Fireworks show 200</v>
          </cell>
          <cell r="C404" t="str">
            <v>1/1</v>
          </cell>
          <cell r="D404">
            <v>36</v>
          </cell>
        </row>
        <row r="405">
          <cell r="A405" t="str">
            <v>C30025F/C</v>
          </cell>
          <cell r="B405" t="str">
            <v>Fireworks show 300</v>
          </cell>
          <cell r="C405" t="str">
            <v>1/1</v>
          </cell>
          <cell r="D405">
            <v>18</v>
          </cell>
        </row>
        <row r="406">
          <cell r="A406" t="str">
            <v>C40025F/C</v>
          </cell>
          <cell r="B406" t="str">
            <v>Fireworks show 400</v>
          </cell>
          <cell r="C406" t="str">
            <v>1/1</v>
          </cell>
          <cell r="D406">
            <v>18</v>
          </cell>
        </row>
        <row r="407">
          <cell r="A407" t="str">
            <v>C163BP</v>
          </cell>
          <cell r="B407" t="str">
            <v>Best price Black Panther</v>
          </cell>
          <cell r="C407" t="str">
            <v>10/1</v>
          </cell>
          <cell r="D407">
            <v>27</v>
          </cell>
        </row>
        <row r="408">
          <cell r="A408" t="str">
            <v>C163SIG</v>
          </cell>
          <cell r="B408" t="str">
            <v>Signature range 16</v>
          </cell>
          <cell r="C408" t="str">
            <v>10/1</v>
          </cell>
          <cell r="D408">
            <v>27</v>
          </cell>
        </row>
        <row r="409">
          <cell r="A409" t="str">
            <v>C163A</v>
          </cell>
          <cell r="B409" t="str">
            <v>Orcs pyro</v>
          </cell>
          <cell r="C409" t="str">
            <v>10/1</v>
          </cell>
          <cell r="D409">
            <v>27</v>
          </cell>
        </row>
        <row r="410">
          <cell r="A410" t="str">
            <v>C163B</v>
          </cell>
          <cell r="B410" t="str">
            <v>Zlobr</v>
          </cell>
          <cell r="C410" t="str">
            <v>10/1</v>
          </cell>
          <cell r="D410">
            <v>27</v>
          </cell>
        </row>
        <row r="411">
          <cell r="A411" t="str">
            <v>C163L</v>
          </cell>
          <cell r="B411" t="str">
            <v>Trolice</v>
          </cell>
          <cell r="C411" t="str">
            <v>10/1</v>
          </cell>
          <cell r="D411">
            <v>27</v>
          </cell>
        </row>
        <row r="412">
          <cell r="A412" t="str">
            <v>C163E</v>
          </cell>
          <cell r="B412" t="str">
            <v>The Sky Breaker</v>
          </cell>
          <cell r="C412" t="str">
            <v>10/1</v>
          </cell>
          <cell r="D412">
            <v>27</v>
          </cell>
        </row>
        <row r="413">
          <cell r="A413" t="str">
            <v>C163K</v>
          </cell>
          <cell r="B413" t="str">
            <v>Kung-fu morče</v>
          </cell>
          <cell r="C413" t="str">
            <v>10/1</v>
          </cell>
          <cell r="D413">
            <v>27</v>
          </cell>
        </row>
        <row r="414">
          <cell r="A414" t="str">
            <v>C163A14</v>
          </cell>
          <cell r="B414" t="str">
            <v>Orcs pyro</v>
          </cell>
          <cell r="C414" t="str">
            <v>10/1</v>
          </cell>
          <cell r="D414">
            <v>27</v>
          </cell>
        </row>
        <row r="415">
          <cell r="A415" t="str">
            <v>C193BP</v>
          </cell>
          <cell r="B415" t="str">
            <v>Best price Explosive Octagon</v>
          </cell>
          <cell r="C415" t="str">
            <v>8/1</v>
          </cell>
          <cell r="D415">
            <v>24</v>
          </cell>
        </row>
        <row r="416">
          <cell r="A416" t="str">
            <v>C193C</v>
          </cell>
          <cell r="B416" t="str">
            <v>Radar</v>
          </cell>
          <cell r="C416" t="str">
            <v>8/1</v>
          </cell>
          <cell r="D416">
            <v>24</v>
          </cell>
        </row>
        <row r="417">
          <cell r="A417" t="str">
            <v>C193D</v>
          </cell>
          <cell r="B417" t="str">
            <v>Super Chip</v>
          </cell>
          <cell r="C417" t="str">
            <v>8/1</v>
          </cell>
          <cell r="D417">
            <v>24</v>
          </cell>
        </row>
        <row r="418">
          <cell r="A418" t="str">
            <v>C193J</v>
          </cell>
          <cell r="B418" t="str">
            <v>Kerberos</v>
          </cell>
          <cell r="C418" t="str">
            <v>8/1</v>
          </cell>
          <cell r="D418">
            <v>24</v>
          </cell>
        </row>
        <row r="419">
          <cell r="A419" t="str">
            <v>C193I</v>
          </cell>
          <cell r="B419" t="str">
            <v>Dragon</v>
          </cell>
          <cell r="C419" t="str">
            <v>8/1</v>
          </cell>
          <cell r="D419">
            <v>24</v>
          </cell>
        </row>
        <row r="420">
          <cell r="A420" t="str">
            <v>C253SIG</v>
          </cell>
          <cell r="B420" t="str">
            <v>Signature range 25</v>
          </cell>
          <cell r="C420" t="str">
            <v>6/1</v>
          </cell>
          <cell r="D420">
            <v>28</v>
          </cell>
        </row>
        <row r="421">
          <cell r="A421" t="str">
            <v>C253SIG B</v>
          </cell>
          <cell r="B421" t="str">
            <v>Signature range 25</v>
          </cell>
          <cell r="C421" t="str">
            <v>6/1</v>
          </cell>
          <cell r="D421">
            <v>32</v>
          </cell>
        </row>
        <row r="422">
          <cell r="A422" t="str">
            <v>C253FR</v>
          </cell>
          <cell r="B422" t="str">
            <v>Frankenstein</v>
          </cell>
          <cell r="C422" t="str">
            <v>6/1</v>
          </cell>
          <cell r="D422">
            <v>28</v>
          </cell>
        </row>
        <row r="423">
          <cell r="A423" t="str">
            <v>C253MY</v>
          </cell>
          <cell r="B423" t="str">
            <v>Mystic</v>
          </cell>
          <cell r="C423" t="str">
            <v>6/1</v>
          </cell>
          <cell r="D423">
            <v>28</v>
          </cell>
        </row>
        <row r="424">
          <cell r="A424" t="str">
            <v>C253DU</v>
          </cell>
          <cell r="B424" t="str">
            <v>Dumbum 25</v>
          </cell>
          <cell r="C424" t="str">
            <v>6/1</v>
          </cell>
          <cell r="D424">
            <v>28</v>
          </cell>
        </row>
        <row r="425">
          <cell r="A425" t="str">
            <v>C253BP14</v>
          </cell>
          <cell r="B425" t="str">
            <v>Best price PIG</v>
          </cell>
          <cell r="C425" t="str">
            <v>6/1</v>
          </cell>
          <cell r="D425">
            <v>28</v>
          </cell>
        </row>
        <row r="426">
          <cell r="A426" t="str">
            <v>C253NO14</v>
          </cell>
          <cell r="B426" t="str">
            <v>No sound Fireworks</v>
          </cell>
          <cell r="C426" t="str">
            <v>6/1</v>
          </cell>
          <cell r="D426">
            <v>28</v>
          </cell>
        </row>
        <row r="427">
          <cell r="A427" t="str">
            <v>C253B14</v>
          </cell>
          <cell r="B427" t="str">
            <v>Frankenstein</v>
          </cell>
          <cell r="C427" t="str">
            <v>6/1</v>
          </cell>
          <cell r="D427">
            <v>28</v>
          </cell>
        </row>
        <row r="428">
          <cell r="A428" t="str">
            <v>C253TH14</v>
          </cell>
          <cell r="B428" t="str">
            <v>The Fire Lion</v>
          </cell>
          <cell r="C428" t="str">
            <v>6/1</v>
          </cell>
          <cell r="D428">
            <v>28</v>
          </cell>
        </row>
        <row r="429">
          <cell r="A429" t="str">
            <v>C253E14</v>
          </cell>
          <cell r="B429" t="str">
            <v>Rocket Rooney</v>
          </cell>
          <cell r="C429" t="str">
            <v>6/1</v>
          </cell>
          <cell r="D429">
            <v>28</v>
          </cell>
        </row>
        <row r="430">
          <cell r="A430" t="str">
            <v>C253F14</v>
          </cell>
          <cell r="B430" t="str">
            <v>Horda</v>
          </cell>
          <cell r="C430" t="str">
            <v>6/1</v>
          </cell>
          <cell r="D430">
            <v>28</v>
          </cell>
        </row>
        <row r="431">
          <cell r="A431" t="str">
            <v>CF253R14</v>
          </cell>
          <cell r="B431" t="str">
            <v>Rarach</v>
          </cell>
          <cell r="C431" t="str">
            <v>6/1</v>
          </cell>
          <cell r="D431">
            <v>16</v>
          </cell>
        </row>
        <row r="432">
          <cell r="A432" t="str">
            <v>CF253D14</v>
          </cell>
          <cell r="B432" t="str">
            <v>Pistols</v>
          </cell>
          <cell r="C432" t="str">
            <v>6/1</v>
          </cell>
          <cell r="D432">
            <v>16</v>
          </cell>
        </row>
        <row r="433">
          <cell r="A433" t="str">
            <v>CF253K14</v>
          </cell>
          <cell r="B433" t="str">
            <v>Klaun</v>
          </cell>
          <cell r="C433" t="str">
            <v>6/1</v>
          </cell>
          <cell r="D433">
            <v>16</v>
          </cell>
        </row>
        <row r="434">
          <cell r="A434" t="str">
            <v>C363PL</v>
          </cell>
          <cell r="B434" t="str">
            <v>Legioner Pyro</v>
          </cell>
          <cell r="C434" t="str">
            <v>4/1</v>
          </cell>
          <cell r="D434">
            <v>28</v>
          </cell>
        </row>
        <row r="435">
          <cell r="A435" t="str">
            <v>C363PA</v>
          </cell>
          <cell r="B435" t="str">
            <v>Panda Killer</v>
          </cell>
          <cell r="C435" t="str">
            <v>4/1</v>
          </cell>
          <cell r="D435">
            <v>28</v>
          </cell>
        </row>
        <row r="436">
          <cell r="A436" t="str">
            <v>C363DR</v>
          </cell>
          <cell r="B436" t="str">
            <v>Drevokocur</v>
          </cell>
          <cell r="C436" t="str">
            <v>4/1</v>
          </cell>
          <cell r="D436">
            <v>28</v>
          </cell>
        </row>
        <row r="437">
          <cell r="A437" t="str">
            <v>CF363S</v>
          </cell>
          <cell r="B437" t="str">
            <v>Stalinovy varhany</v>
          </cell>
          <cell r="C437" t="str">
            <v>4/1</v>
          </cell>
          <cell r="D437">
            <v>14</v>
          </cell>
        </row>
        <row r="438">
          <cell r="A438" t="str">
            <v>C493BPS</v>
          </cell>
          <cell r="B438" t="str">
            <v>Best price Karma</v>
          </cell>
          <cell r="C438" t="str">
            <v>2/1</v>
          </cell>
          <cell r="D438">
            <v>42</v>
          </cell>
        </row>
        <row r="439">
          <cell r="A439" t="str">
            <v>C493PR</v>
          </cell>
          <cell r="B439" t="str">
            <v>Profi show 49</v>
          </cell>
          <cell r="C439" t="str">
            <v>2/1</v>
          </cell>
          <cell r="D439">
            <v>42</v>
          </cell>
        </row>
        <row r="440">
          <cell r="A440" t="str">
            <v>C493RU</v>
          </cell>
          <cell r="B440" t="str">
            <v>Rusbaby</v>
          </cell>
          <cell r="C440" t="str">
            <v>2/1</v>
          </cell>
          <cell r="D440">
            <v>42</v>
          </cell>
        </row>
        <row r="441">
          <cell r="A441" t="str">
            <v>C493MA</v>
          </cell>
          <cell r="B441" t="str">
            <v>Merry Christmas</v>
          </cell>
          <cell r="C441" t="str">
            <v>2/1</v>
          </cell>
          <cell r="D441">
            <v>42</v>
          </cell>
        </row>
        <row r="442">
          <cell r="A442" t="str">
            <v>C493LI</v>
          </cell>
          <cell r="B442" t="str">
            <v>Lion</v>
          </cell>
          <cell r="C442" t="str">
            <v>2/1</v>
          </cell>
          <cell r="D442">
            <v>42</v>
          </cell>
        </row>
        <row r="443">
          <cell r="A443" t="str">
            <v>C493DU</v>
          </cell>
          <cell r="B443" t="str">
            <v>Dumbum 49</v>
          </cell>
          <cell r="C443" t="str">
            <v>2/1</v>
          </cell>
          <cell r="D443">
            <v>42</v>
          </cell>
        </row>
        <row r="444">
          <cell r="A444" t="str">
            <v>C493SW</v>
          </cell>
          <cell r="B444" t="str">
            <v>Super white strobe</v>
          </cell>
          <cell r="C444" t="str">
            <v>2/1</v>
          </cell>
          <cell r="D444">
            <v>42</v>
          </cell>
        </row>
        <row r="445">
          <cell r="A445" t="str">
            <v>C493GH</v>
          </cell>
          <cell r="B445" t="str">
            <v>Ghost</v>
          </cell>
          <cell r="C445" t="str">
            <v>2/1</v>
          </cell>
          <cell r="D445">
            <v>42</v>
          </cell>
        </row>
        <row r="446">
          <cell r="A446" t="str">
            <v>C493RG</v>
          </cell>
          <cell r="B446" t="str">
            <v>Red glittering wilow</v>
          </cell>
          <cell r="C446" t="str">
            <v>2/1</v>
          </cell>
          <cell r="D446">
            <v>42</v>
          </cell>
        </row>
        <row r="447">
          <cell r="A447" t="str">
            <v>C493BW</v>
          </cell>
          <cell r="B447" t="str">
            <v>Brocade War 49</v>
          </cell>
          <cell r="C447" t="str">
            <v>2/1</v>
          </cell>
          <cell r="D447">
            <v>42</v>
          </cell>
        </row>
        <row r="448">
          <cell r="A448" t="str">
            <v>CF493ST</v>
          </cell>
          <cell r="B448" t="str">
            <v>Doctor Storm</v>
          </cell>
          <cell r="C448" t="str">
            <v>2/1</v>
          </cell>
          <cell r="D448">
            <v>14</v>
          </cell>
        </row>
        <row r="449">
          <cell r="A449" t="str">
            <v>CF493SA</v>
          </cell>
          <cell r="B449" t="str">
            <v>Samuraj</v>
          </cell>
          <cell r="C449" t="str">
            <v>2/1</v>
          </cell>
          <cell r="D449">
            <v>14</v>
          </cell>
        </row>
        <row r="450">
          <cell r="A450" t="str">
            <v>CF493W</v>
          </cell>
          <cell r="B450" t="str">
            <v>World</v>
          </cell>
          <cell r="C450" t="str">
            <v>2/1</v>
          </cell>
          <cell r="D450">
            <v>14</v>
          </cell>
        </row>
        <row r="451">
          <cell r="A451" t="str">
            <v>CF493ME</v>
          </cell>
          <cell r="B451" t="str">
            <v>Mechanic</v>
          </cell>
          <cell r="C451" t="str">
            <v>2/1</v>
          </cell>
          <cell r="D451">
            <v>14</v>
          </cell>
        </row>
        <row r="452">
          <cell r="A452" t="str">
            <v>C503SIGA</v>
          </cell>
          <cell r="B452" t="str">
            <v>Signature range 50</v>
          </cell>
          <cell r="C452" t="str">
            <v>2/1</v>
          </cell>
          <cell r="D452">
            <v>36</v>
          </cell>
        </row>
        <row r="453">
          <cell r="A453" t="str">
            <v>C503RA</v>
          </cell>
          <cell r="B453" t="str">
            <v>Ratman</v>
          </cell>
          <cell r="C453" t="str">
            <v>2/1</v>
          </cell>
          <cell r="D453">
            <v>36</v>
          </cell>
        </row>
        <row r="454">
          <cell r="A454" t="str">
            <v>C503RO</v>
          </cell>
          <cell r="B454" t="str">
            <v>Royal</v>
          </cell>
          <cell r="C454" t="str">
            <v>2/1</v>
          </cell>
          <cell r="D454">
            <v>36</v>
          </cell>
        </row>
        <row r="455">
          <cell r="A455" t="str">
            <v>C503BI</v>
          </cell>
          <cell r="B455" t="str">
            <v>Big one</v>
          </cell>
          <cell r="C455" t="str">
            <v>2/1</v>
          </cell>
          <cell r="D455">
            <v>36</v>
          </cell>
        </row>
        <row r="456">
          <cell r="A456" t="str">
            <v>C643BI</v>
          </cell>
          <cell r="B456" t="str">
            <v>Big King</v>
          </cell>
          <cell r="C456" t="str">
            <v>2/1</v>
          </cell>
          <cell r="D456">
            <v>24</v>
          </cell>
        </row>
        <row r="457">
          <cell r="A457" t="str">
            <v>C643H</v>
          </cell>
          <cell r="B457" t="str">
            <v>Ho Chi Minh</v>
          </cell>
          <cell r="C457" t="str">
            <v>2/1</v>
          </cell>
          <cell r="D457">
            <v>24</v>
          </cell>
        </row>
        <row r="458">
          <cell r="A458" t="str">
            <v>CF643M</v>
          </cell>
          <cell r="B458" t="str">
            <v>Mutant</v>
          </cell>
          <cell r="C458" t="str">
            <v>2/1</v>
          </cell>
          <cell r="D458">
            <v>14</v>
          </cell>
        </row>
        <row r="459">
          <cell r="A459" t="str">
            <v>CF643T</v>
          </cell>
          <cell r="B459" t="str">
            <v>Tiger</v>
          </cell>
          <cell r="C459" t="str">
            <v>2/1</v>
          </cell>
          <cell r="D459">
            <v>14</v>
          </cell>
        </row>
        <row r="460">
          <cell r="A460" t="str">
            <v>C643XMO</v>
          </cell>
          <cell r="B460" t="str">
            <v>Only for the best</v>
          </cell>
          <cell r="C460" t="str">
            <v>2/1</v>
          </cell>
          <cell r="D460">
            <v>14</v>
          </cell>
        </row>
        <row r="461">
          <cell r="A461" t="str">
            <v>C643XMS</v>
          </cell>
          <cell r="B461" t="str">
            <v>Show must go on</v>
          </cell>
          <cell r="C461" t="str">
            <v>2/1</v>
          </cell>
          <cell r="D461">
            <v>14</v>
          </cell>
        </row>
        <row r="462">
          <cell r="A462" t="str">
            <v>C503BW/C14</v>
          </cell>
          <cell r="B462" t="str">
            <v>Brocade War 50</v>
          </cell>
          <cell r="C462" t="str">
            <v>1/1</v>
          </cell>
          <cell r="D462" t="str">
            <v>84</v>
          </cell>
        </row>
        <row r="463">
          <cell r="A463" t="str">
            <v>C503TS/C14</v>
          </cell>
          <cell r="B463" t="str">
            <v>Turbo 30mm shots 25</v>
          </cell>
          <cell r="C463" t="str">
            <v>1/1</v>
          </cell>
          <cell r="D463" t="str">
            <v>84</v>
          </cell>
        </row>
        <row r="464">
          <cell r="A464" t="str">
            <v>C503RO/C14</v>
          </cell>
          <cell r="B464" t="str">
            <v>Royal F2</v>
          </cell>
          <cell r="C464" t="str">
            <v>1/1</v>
          </cell>
          <cell r="D464" t="str">
            <v>84</v>
          </cell>
        </row>
        <row r="465">
          <cell r="A465" t="str">
            <v>C503F/C14</v>
          </cell>
          <cell r="B465" t="str">
            <v>Fireworks show 50</v>
          </cell>
          <cell r="C465" t="str">
            <v>1/1</v>
          </cell>
          <cell r="D465" t="str">
            <v>84</v>
          </cell>
        </row>
        <row r="466">
          <cell r="A466" t="str">
            <v>C503SIG/C14</v>
          </cell>
          <cell r="B466" t="str">
            <v>Signature range 50</v>
          </cell>
          <cell r="C466" t="str">
            <v>1/1</v>
          </cell>
          <cell r="D466" t="str">
            <v>84</v>
          </cell>
        </row>
        <row r="467">
          <cell r="A467" t="str">
            <v>C1003F/C14</v>
          </cell>
          <cell r="B467" t="str">
            <v>Fireworks show 100</v>
          </cell>
          <cell r="C467" t="str">
            <v>1/1</v>
          </cell>
          <cell r="D467">
            <v>36</v>
          </cell>
        </row>
        <row r="468">
          <cell r="A468" t="str">
            <v>C1003VS/C14</v>
          </cell>
          <cell r="B468" t="str">
            <v>Vše nejlepší k narozeninám</v>
          </cell>
          <cell r="C468" t="str">
            <v>1/1</v>
          </cell>
          <cell r="D468">
            <v>36</v>
          </cell>
        </row>
        <row r="469">
          <cell r="A469" t="str">
            <v>C1003CY/C</v>
          </cell>
          <cell r="B469" t="str">
            <v>Cyberpunker</v>
          </cell>
          <cell r="C469" t="str">
            <v>1/1</v>
          </cell>
          <cell r="D469">
            <v>36</v>
          </cell>
        </row>
        <row r="470">
          <cell r="A470" t="str">
            <v>C10030XF/C14</v>
          </cell>
          <cell r="B470" t="str">
            <v>Profi Fireworks show 100</v>
          </cell>
          <cell r="C470" t="str">
            <v>1/1</v>
          </cell>
          <cell r="D470">
            <v>24</v>
          </cell>
        </row>
        <row r="471">
          <cell r="A471" t="str">
            <v>C1163MB/C14</v>
          </cell>
          <cell r="B471" t="str">
            <v>Best pyro in town</v>
          </cell>
          <cell r="C471" t="str">
            <v>1/1</v>
          </cell>
          <cell r="D471">
            <v>14</v>
          </cell>
        </row>
        <row r="472">
          <cell r="A472" t="str">
            <v>C12230XPT/C14</v>
          </cell>
          <cell r="B472" t="str">
            <v>Pyrotechnology 122</v>
          </cell>
          <cell r="C472" t="str">
            <v>1/1</v>
          </cell>
          <cell r="D472">
            <v>24</v>
          </cell>
        </row>
        <row r="473">
          <cell r="A473" t="str">
            <v>C1-C2 C1503X/C14</v>
          </cell>
          <cell r="B473" t="str">
            <v>XXXL 150</v>
          </cell>
          <cell r="C473" t="str">
            <v>1/1</v>
          </cell>
          <cell r="D473">
            <v>24</v>
          </cell>
        </row>
        <row r="474">
          <cell r="A474" t="str">
            <v>C1-C2 C2003U/C14</v>
          </cell>
          <cell r="B474" t="str">
            <v>Universe</v>
          </cell>
          <cell r="C474" t="str">
            <v>1/1</v>
          </cell>
          <cell r="D474">
            <v>18</v>
          </cell>
        </row>
        <row r="475">
          <cell r="A475" t="str">
            <v>C1003BP/C</v>
          </cell>
          <cell r="B475" t="str">
            <v>Best price Cyberpunker</v>
          </cell>
          <cell r="C475" t="str">
            <v>1/1</v>
          </cell>
          <cell r="D475">
            <v>36</v>
          </cell>
        </row>
        <row r="476">
          <cell r="A476" t="str">
            <v>C1003BPS/C</v>
          </cell>
          <cell r="B476" t="str">
            <v>Best price Slow motion 100</v>
          </cell>
          <cell r="C476" t="str">
            <v>1/1</v>
          </cell>
          <cell r="D476">
            <v>36</v>
          </cell>
        </row>
        <row r="477">
          <cell r="A477" t="str">
            <v>C1003BB/C</v>
          </cell>
          <cell r="B477" t="str">
            <v>Big Brother</v>
          </cell>
          <cell r="C477" t="str">
            <v>1/1</v>
          </cell>
          <cell r="D477">
            <v>36</v>
          </cell>
        </row>
        <row r="478">
          <cell r="A478" t="str">
            <v>C1003F/C</v>
          </cell>
          <cell r="B478" t="str">
            <v>Fireworks show 100</v>
          </cell>
          <cell r="C478" t="str">
            <v>1/1</v>
          </cell>
          <cell r="D478">
            <v>36</v>
          </cell>
        </row>
        <row r="479">
          <cell r="A479" t="str">
            <v>C1003SIG/C</v>
          </cell>
          <cell r="B479" t="str">
            <v>Signature range 100</v>
          </cell>
          <cell r="C479" t="str">
            <v>1/1</v>
          </cell>
          <cell r="D479">
            <v>36</v>
          </cell>
        </row>
        <row r="480">
          <cell r="A480" t="str">
            <v>C1003VS/C</v>
          </cell>
          <cell r="B480" t="str">
            <v>Vše nejlepší k narozeninám</v>
          </cell>
          <cell r="C480" t="str">
            <v>1/1</v>
          </cell>
          <cell r="D480">
            <v>36</v>
          </cell>
        </row>
        <row r="481">
          <cell r="A481" t="str">
            <v>C128XMPT/C</v>
          </cell>
          <cell r="B481" t="str">
            <v>Pyrotechnology 128</v>
          </cell>
          <cell r="C481" t="str">
            <v>1/1</v>
          </cell>
          <cell r="D481">
            <v>12</v>
          </cell>
        </row>
        <row r="482">
          <cell r="A482" t="str">
            <v>C128XMB/C</v>
          </cell>
          <cell r="B482" t="str">
            <v>Big sellers</v>
          </cell>
          <cell r="C482" t="str">
            <v>1/1</v>
          </cell>
          <cell r="D482">
            <v>12</v>
          </cell>
        </row>
        <row r="483">
          <cell r="A483" t="str">
            <v>C1503X/C</v>
          </cell>
          <cell r="B483" t="str">
            <v>XXXL 150</v>
          </cell>
          <cell r="C483" t="str">
            <v>1/1</v>
          </cell>
          <cell r="D483">
            <v>24</v>
          </cell>
        </row>
        <row r="484">
          <cell r="A484" t="str">
            <v>C1503BPF/C</v>
          </cell>
          <cell r="B484" t="str">
            <v>Best price Paniheon</v>
          </cell>
          <cell r="C484" t="str">
            <v>1/1</v>
          </cell>
          <cell r="D484">
            <v>24</v>
          </cell>
        </row>
        <row r="485">
          <cell r="A485" t="str">
            <v>C1923XMF/C</v>
          </cell>
          <cell r="B485" t="str">
            <v>Profi Fireworks show 192</v>
          </cell>
          <cell r="C485" t="str">
            <v>1/1</v>
          </cell>
          <cell r="D485">
            <v>14</v>
          </cell>
        </row>
        <row r="486">
          <cell r="A486" t="str">
            <v>C2003BP/C</v>
          </cell>
          <cell r="B486" t="str">
            <v>Best price Bright power</v>
          </cell>
          <cell r="C486" t="str">
            <v>1/1</v>
          </cell>
          <cell r="D486">
            <v>18</v>
          </cell>
        </row>
        <row r="487">
          <cell r="A487" t="str">
            <v>C2003U/C</v>
          </cell>
          <cell r="B487" t="str">
            <v>Universe</v>
          </cell>
          <cell r="C487" t="str">
            <v>1/1</v>
          </cell>
          <cell r="D487">
            <v>18</v>
          </cell>
        </row>
        <row r="488">
          <cell r="A488" t="str">
            <v>C2003F/C</v>
          </cell>
          <cell r="B488" t="str">
            <v>Fireworks show 200</v>
          </cell>
          <cell r="C488" t="str">
            <v>1/1</v>
          </cell>
          <cell r="D488">
            <v>18</v>
          </cell>
        </row>
        <row r="489">
          <cell r="A489" t="str">
            <v>C2003SIG/C</v>
          </cell>
          <cell r="B489" t="str">
            <v>Signature range 200</v>
          </cell>
          <cell r="C489" t="str">
            <v>1/1</v>
          </cell>
          <cell r="D489">
            <v>18</v>
          </cell>
        </row>
        <row r="490">
          <cell r="A490" t="str">
            <v>C2563XMF/C</v>
          </cell>
          <cell r="B490" t="str">
            <v>Profi Fireworks show 256</v>
          </cell>
          <cell r="C490" t="str">
            <v>1/1</v>
          </cell>
          <cell r="D490">
            <v>7</v>
          </cell>
        </row>
        <row r="491">
          <cell r="A491" t="str">
            <v>C165DU14</v>
          </cell>
          <cell r="B491" t="str">
            <v>Dumbum salute mine 50mm</v>
          </cell>
          <cell r="C491" t="str">
            <v>3/1</v>
          </cell>
          <cell r="D491">
            <v>25</v>
          </cell>
        </row>
        <row r="492">
          <cell r="A492" t="str">
            <v>C165NO14</v>
          </cell>
          <cell r="B492" t="str">
            <v>NO Limit 16!</v>
          </cell>
          <cell r="C492" t="str">
            <v>3/1</v>
          </cell>
          <cell r="D492">
            <v>25</v>
          </cell>
        </row>
        <row r="493">
          <cell r="A493" t="str">
            <v>C165JA</v>
          </cell>
          <cell r="B493" t="str">
            <v>Jánošík</v>
          </cell>
          <cell r="C493" t="str">
            <v>3/1</v>
          </cell>
          <cell r="D493">
            <v>25</v>
          </cell>
        </row>
        <row r="494">
          <cell r="A494" t="str">
            <v>C165P</v>
          </cell>
          <cell r="B494" t="str">
            <v>Pandora</v>
          </cell>
          <cell r="C494" t="str">
            <v>3/1</v>
          </cell>
          <cell r="D494">
            <v>25</v>
          </cell>
        </row>
        <row r="495">
          <cell r="A495" t="str">
            <v>C2545NO</v>
          </cell>
          <cell r="B495" t="str">
            <v>NO Limit 25!</v>
          </cell>
          <cell r="C495" t="str">
            <v>2/1</v>
          </cell>
          <cell r="D495">
            <v>30</v>
          </cell>
        </row>
        <row r="496">
          <cell r="A496" t="str">
            <v>C2545DI</v>
          </cell>
          <cell r="B496" t="str">
            <v>Diktátor</v>
          </cell>
          <cell r="C496" t="str">
            <v>2/1</v>
          </cell>
          <cell r="D496">
            <v>30</v>
          </cell>
        </row>
        <row r="497">
          <cell r="A497" t="str">
            <v>C255BP</v>
          </cell>
          <cell r="B497" t="str">
            <v>Best price 25</v>
          </cell>
          <cell r="C497" t="str">
            <v>2/1</v>
          </cell>
          <cell r="D497">
            <v>20</v>
          </cell>
        </row>
        <row r="498">
          <cell r="A498" t="str">
            <v>C3545MF</v>
          </cell>
          <cell r="B498" t="str">
            <v>Max Force 35</v>
          </cell>
          <cell r="C498" t="str">
            <v>2/1</v>
          </cell>
          <cell r="D498">
            <v>20</v>
          </cell>
        </row>
        <row r="499">
          <cell r="A499" t="str">
            <v>C3545NO</v>
          </cell>
          <cell r="B499" t="str">
            <v>NO Limit 35!</v>
          </cell>
          <cell r="C499" t="str">
            <v>2/1</v>
          </cell>
          <cell r="D499">
            <v>20</v>
          </cell>
        </row>
        <row r="500">
          <cell r="A500" t="str">
            <v>C3645BA</v>
          </cell>
          <cell r="B500" t="str">
            <v>Baracuda</v>
          </cell>
          <cell r="C500" t="str">
            <v>2/1</v>
          </cell>
          <cell r="D500">
            <v>15</v>
          </cell>
        </row>
        <row r="501">
          <cell r="A501" t="str">
            <v>C3645SE</v>
          </cell>
          <cell r="B501" t="str">
            <v>Wild Fireworks</v>
          </cell>
          <cell r="C501" t="str">
            <v>2/1</v>
          </cell>
          <cell r="D501">
            <v>15</v>
          </cell>
        </row>
        <row r="502">
          <cell r="A502" t="str">
            <v>C365DU</v>
          </cell>
          <cell r="B502" t="str">
            <v>Dumbum big</v>
          </cell>
          <cell r="C502" t="str">
            <v>2/1</v>
          </cell>
          <cell r="D502">
            <v>15</v>
          </cell>
        </row>
        <row r="503">
          <cell r="A503" t="str">
            <v>C505X/C</v>
          </cell>
          <cell r="B503" t="str">
            <v>XXXL 50</v>
          </cell>
          <cell r="C503" t="str">
            <v>1/1</v>
          </cell>
          <cell r="D503">
            <v>20</v>
          </cell>
        </row>
        <row r="504">
          <cell r="A504" t="str">
            <v>C505V/C</v>
          </cell>
          <cell r="B504" t="str">
            <v>Vietnam</v>
          </cell>
          <cell r="C504" t="str">
            <v>1/1</v>
          </cell>
          <cell r="D504">
            <v>20</v>
          </cell>
        </row>
        <row r="505">
          <cell r="A505" t="str">
            <v>C755R/C</v>
          </cell>
          <cell r="B505" t="str">
            <v>Refresh</v>
          </cell>
          <cell r="C505" t="str">
            <v>1/1</v>
          </cell>
          <cell r="D505">
            <v>10</v>
          </cell>
        </row>
        <row r="506">
          <cell r="A506" t="str">
            <v>C10545GI/C</v>
          </cell>
          <cell r="B506" t="str">
            <v>Gigant 105</v>
          </cell>
          <cell r="C506" t="str">
            <v>1/1</v>
          </cell>
          <cell r="D506">
            <v>15</v>
          </cell>
        </row>
        <row r="507">
          <cell r="A507" t="str">
            <v>C2505D</v>
          </cell>
          <cell r="B507" t="str">
            <v>Dumbum 250</v>
          </cell>
          <cell r="C507" t="str">
            <v>2/1</v>
          </cell>
          <cell r="D507">
            <v>20</v>
          </cell>
        </row>
        <row r="508">
          <cell r="A508" t="str">
            <v>C2463B</v>
          </cell>
          <cell r="B508" t="str">
            <v>Big Show</v>
          </cell>
          <cell r="C508" t="str">
            <v>2/1</v>
          </cell>
          <cell r="D508" t="str">
            <v>16</v>
          </cell>
        </row>
        <row r="509">
          <cell r="A509" t="str">
            <v>C2575C</v>
          </cell>
          <cell r="B509" t="str">
            <v>Baterie 25ran,75mm</v>
          </cell>
          <cell r="C509" t="str">
            <v>1/1</v>
          </cell>
          <cell r="D509" t="str">
            <v>24</v>
          </cell>
        </row>
        <row r="510">
          <cell r="A510" t="str">
            <v>C39MPT</v>
          </cell>
          <cell r="B510" t="str">
            <v>Pyrotechnology 39</v>
          </cell>
          <cell r="C510" t="str">
            <v>8/1</v>
          </cell>
          <cell r="D510">
            <v>8</v>
          </cell>
        </row>
        <row r="511">
          <cell r="A511" t="str">
            <v>C46MXP</v>
          </cell>
          <cell r="B511" t="str">
            <v>Pete</v>
          </cell>
          <cell r="C511" t="str">
            <v>6/1.</v>
          </cell>
          <cell r="D511">
            <v>24</v>
          </cell>
        </row>
        <row r="512">
          <cell r="A512" t="str">
            <v>C48XMF14</v>
          </cell>
          <cell r="B512" t="str">
            <v>Fat cat</v>
          </cell>
          <cell r="C512" t="str">
            <v>4/1.</v>
          </cell>
          <cell r="D512">
            <v>16</v>
          </cell>
        </row>
        <row r="513">
          <cell r="A513" t="str">
            <v>C50MO</v>
          </cell>
          <cell r="B513" t="str">
            <v>Ogre</v>
          </cell>
          <cell r="C513" t="str">
            <v>6/1</v>
          </cell>
          <cell r="D513">
            <v>16</v>
          </cell>
        </row>
        <row r="514">
          <cell r="A514" t="str">
            <v>C50MCH</v>
          </cell>
          <cell r="B514" t="str">
            <v>Cheers</v>
          </cell>
          <cell r="C514" t="str">
            <v>6/1</v>
          </cell>
          <cell r="D514">
            <v>16</v>
          </cell>
        </row>
        <row r="515">
          <cell r="A515" t="str">
            <v>C64MT</v>
          </cell>
          <cell r="B515" t="str">
            <v>Texas Holdem</v>
          </cell>
          <cell r="C515" t="str">
            <v>4/1</v>
          </cell>
          <cell r="D515">
            <v>36</v>
          </cell>
        </row>
        <row r="516">
          <cell r="A516" t="str">
            <v>C64MP</v>
          </cell>
          <cell r="B516" t="str">
            <v>Profesionál</v>
          </cell>
          <cell r="C516" t="str">
            <v>4/1</v>
          </cell>
          <cell r="D516">
            <v>36</v>
          </cell>
        </row>
        <row r="517">
          <cell r="A517" t="str">
            <v>C68XMPT</v>
          </cell>
          <cell r="B517" t="str">
            <v>Pyrotechnology 68</v>
          </cell>
          <cell r="C517" t="str">
            <v>6/1</v>
          </cell>
          <cell r="D517">
            <v>15</v>
          </cell>
        </row>
        <row r="518">
          <cell r="A518" t="str">
            <v>C68XMPT14</v>
          </cell>
          <cell r="B518" t="str">
            <v>Pyrotechnology 68</v>
          </cell>
          <cell r="C518" t="str">
            <v>6/1</v>
          </cell>
          <cell r="D518">
            <v>15</v>
          </cell>
        </row>
        <row r="519">
          <cell r="A519" t="str">
            <v>C77MXR14</v>
          </cell>
          <cell r="B519" t="str">
            <v>Reward</v>
          </cell>
          <cell r="C519" t="str">
            <v>4/1.</v>
          </cell>
          <cell r="D519">
            <v>18</v>
          </cell>
        </row>
        <row r="520">
          <cell r="A520" t="str">
            <v>C148MXP14</v>
          </cell>
          <cell r="B520" t="str">
            <v>Psycho</v>
          </cell>
          <cell r="C520" t="str">
            <v>2/1.</v>
          </cell>
          <cell r="D520">
            <v>48</v>
          </cell>
        </row>
        <row r="521">
          <cell r="A521" t="str">
            <v>C40FMH</v>
          </cell>
          <cell r="B521" t="str">
            <v>Heroes</v>
          </cell>
          <cell r="C521" t="str">
            <v>8/1</v>
          </cell>
          <cell r="D521">
            <v>16</v>
          </cell>
        </row>
        <row r="522">
          <cell r="A522" t="str">
            <v>C100MPT</v>
          </cell>
          <cell r="B522" t="str">
            <v>Pyrotechnology 100</v>
          </cell>
          <cell r="C522" t="str">
            <v>2/1</v>
          </cell>
          <cell r="D522">
            <v>16</v>
          </cell>
        </row>
        <row r="523">
          <cell r="A523" t="str">
            <v>C100MN</v>
          </cell>
          <cell r="B523" t="str">
            <v>Night breaker</v>
          </cell>
          <cell r="C523" t="str">
            <v>2/1</v>
          </cell>
          <cell r="D523">
            <v>16</v>
          </cell>
        </row>
        <row r="524">
          <cell r="A524" t="str">
            <v>C106MH</v>
          </cell>
          <cell r="B524" t="str">
            <v>Hamster</v>
          </cell>
          <cell r="C524" t="str">
            <v>2/1</v>
          </cell>
          <cell r="D524">
            <v>24</v>
          </cell>
        </row>
        <row r="525">
          <cell r="A525" t="str">
            <v>C106MB</v>
          </cell>
          <cell r="B525" t="str">
            <v>Bad boy</v>
          </cell>
          <cell r="C525" t="str">
            <v>2/1</v>
          </cell>
          <cell r="D525">
            <v>24</v>
          </cell>
        </row>
        <row r="526">
          <cell r="A526" t="str">
            <v>C109MG</v>
          </cell>
          <cell r="B526" t="str">
            <v>Grand prix</v>
          </cell>
          <cell r="C526" t="str">
            <v>2/1</v>
          </cell>
          <cell r="D526">
            <v>30</v>
          </cell>
        </row>
        <row r="527">
          <cell r="A527" t="str">
            <v>C109MM</v>
          </cell>
          <cell r="B527" t="str">
            <v>Mexico</v>
          </cell>
          <cell r="C527" t="str">
            <v>2/1</v>
          </cell>
          <cell r="D527">
            <v>30</v>
          </cell>
        </row>
        <row r="528">
          <cell r="A528" t="str">
            <v>C100MTS/C14</v>
          </cell>
          <cell r="B528" t="str">
            <v>Turbo multi shots 55</v>
          </cell>
          <cell r="C528" t="str">
            <v>1/1</v>
          </cell>
          <cell r="D528">
            <v>60</v>
          </cell>
        </row>
        <row r="529">
          <cell r="A529" t="str">
            <v>C100MPT/C14</v>
          </cell>
          <cell r="B529" t="str">
            <v>Pyrotechnology 100</v>
          </cell>
          <cell r="C529" t="str">
            <v>1/1</v>
          </cell>
          <cell r="D529">
            <v>60</v>
          </cell>
        </row>
        <row r="530">
          <cell r="A530" t="str">
            <v>C124MXM/C14</v>
          </cell>
          <cell r="B530" t="str">
            <v>Metropolitan</v>
          </cell>
          <cell r="C530" t="str">
            <v>1/1</v>
          </cell>
          <cell r="D530">
            <v>54</v>
          </cell>
        </row>
        <row r="531">
          <cell r="A531" t="str">
            <v>C128MS/C14</v>
          </cell>
          <cell r="B531" t="str">
            <v>Silver Sky</v>
          </cell>
          <cell r="C531" t="str">
            <v>1/1</v>
          </cell>
          <cell r="D531">
            <v>63</v>
          </cell>
        </row>
        <row r="532">
          <cell r="A532" t="str">
            <v>C136XMTS/C14</v>
          </cell>
          <cell r="B532" t="str">
            <v>Turbo multi shots 70</v>
          </cell>
          <cell r="C532" t="str">
            <v>1/1</v>
          </cell>
          <cell r="D532">
            <v>32</v>
          </cell>
        </row>
        <row r="533">
          <cell r="A533" t="str">
            <v>C136XMK/C14</v>
          </cell>
          <cell r="B533" t="str">
            <v>King fireworks 136</v>
          </cell>
          <cell r="C533" t="str">
            <v>1/1</v>
          </cell>
          <cell r="D533">
            <v>32</v>
          </cell>
        </row>
        <row r="534">
          <cell r="A534" t="str">
            <v>C150MXH/C14</v>
          </cell>
          <cell r="B534" t="str">
            <v>Horroroid</v>
          </cell>
          <cell r="C534" t="str">
            <v>1/1</v>
          </cell>
          <cell r="D534">
            <v>32</v>
          </cell>
        </row>
        <row r="535">
          <cell r="A535" t="str">
            <v>C154MXB/C14</v>
          </cell>
          <cell r="B535" t="str">
            <v>Bombardier</v>
          </cell>
          <cell r="C535" t="str">
            <v>1/1</v>
          </cell>
          <cell r="D535">
            <v>36</v>
          </cell>
        </row>
        <row r="536">
          <cell r="A536" t="str">
            <v>C270MXM/C14</v>
          </cell>
          <cell r="B536" t="str">
            <v>Magnum</v>
          </cell>
          <cell r="C536" t="str">
            <v>1/1</v>
          </cell>
          <cell r="D536">
            <v>48</v>
          </cell>
        </row>
        <row r="537">
          <cell r="A537" t="str">
            <v>C150MF/C14</v>
          </cell>
          <cell r="B537" t="str">
            <v>Profi Fireworks show 150</v>
          </cell>
          <cell r="C537" t="str">
            <v>1/1</v>
          </cell>
          <cell r="D537">
            <v>32</v>
          </cell>
        </row>
        <row r="538">
          <cell r="A538" t="str">
            <v>C200MF/C14</v>
          </cell>
          <cell r="B538" t="str">
            <v>Profi Fireworks show 200</v>
          </cell>
          <cell r="C538" t="str">
            <v>1/1</v>
          </cell>
          <cell r="D538">
            <v>24</v>
          </cell>
        </row>
        <row r="539">
          <cell r="A539" t="str">
            <v>C204XMPT/C14</v>
          </cell>
          <cell r="B539" t="str">
            <v>Pyrotechnology 204</v>
          </cell>
          <cell r="C539" t="str">
            <v>1/1</v>
          </cell>
          <cell r="D539">
            <v>21</v>
          </cell>
        </row>
        <row r="540">
          <cell r="A540" t="str">
            <v>C216XMFS/C14</v>
          </cell>
          <cell r="B540" t="str">
            <v>Profi Fireworks show 216</v>
          </cell>
          <cell r="C540" t="str">
            <v>1/1</v>
          </cell>
          <cell r="D540">
            <v>32</v>
          </cell>
        </row>
        <row r="541">
          <cell r="A541" t="str">
            <v>C223XMK/C14</v>
          </cell>
          <cell r="B541" t="str">
            <v>King fireworks 223</v>
          </cell>
          <cell r="C541" t="str">
            <v>1/1</v>
          </cell>
          <cell r="D541">
            <v>18</v>
          </cell>
        </row>
        <row r="542">
          <cell r="A542" t="str">
            <v>C132XMPT/C</v>
          </cell>
          <cell r="B542" t="str">
            <v>Pyrotechnology 132</v>
          </cell>
          <cell r="C542" t="str">
            <v>1/1</v>
          </cell>
          <cell r="D542">
            <v>32</v>
          </cell>
        </row>
        <row r="543">
          <cell r="A543" t="str">
            <v>C150MPT/C</v>
          </cell>
          <cell r="B543" t="str">
            <v>Pyrotechnology 150</v>
          </cell>
          <cell r="C543" t="str">
            <v>1/1</v>
          </cell>
          <cell r="D543">
            <v>32</v>
          </cell>
        </row>
        <row r="544">
          <cell r="A544" t="str">
            <v>C150MF/C</v>
          </cell>
          <cell r="B544" t="str">
            <v>Profi Fireworks show 150</v>
          </cell>
          <cell r="C544" t="str">
            <v>1/1</v>
          </cell>
          <cell r="D544">
            <v>32</v>
          </cell>
        </row>
        <row r="545">
          <cell r="A545" t="str">
            <v>C200MF/C</v>
          </cell>
          <cell r="B545" t="str">
            <v>Profi Fireworks show 200</v>
          </cell>
          <cell r="C545" t="str">
            <v>1/1</v>
          </cell>
          <cell r="D545">
            <v>24</v>
          </cell>
        </row>
        <row r="546">
          <cell r="A546" t="str">
            <v>C204XMPT/C</v>
          </cell>
          <cell r="B546" t="str">
            <v>Pyrotechnology 204</v>
          </cell>
          <cell r="C546" t="str">
            <v>1/1</v>
          </cell>
          <cell r="D546">
            <v>21</v>
          </cell>
        </row>
        <row r="547">
          <cell r="A547" t="str">
            <v>C216XMFS/C</v>
          </cell>
          <cell r="B547" t="str">
            <v>Profi Fireworks show 216</v>
          </cell>
          <cell r="C547" t="str">
            <v>1/1</v>
          </cell>
          <cell r="D547">
            <v>32</v>
          </cell>
        </row>
        <row r="548">
          <cell r="A548" t="str">
            <v>C223XMK/C</v>
          </cell>
          <cell r="B548" t="str">
            <v>King fireworks 223</v>
          </cell>
          <cell r="C548" t="str">
            <v>1/1</v>
          </cell>
          <cell r="D548">
            <v>18</v>
          </cell>
        </row>
        <row r="549">
          <cell r="A549" t="str">
            <v>C248MXY/C</v>
          </cell>
          <cell r="B549" t="str">
            <v>Yakuza</v>
          </cell>
          <cell r="C549" t="str">
            <v>1/1</v>
          </cell>
          <cell r="D549">
            <v>27</v>
          </cell>
        </row>
        <row r="550">
          <cell r="A550" t="str">
            <v>C252MXB/C</v>
          </cell>
          <cell r="B550" t="str">
            <v>Broken city</v>
          </cell>
          <cell r="C550" t="str">
            <v>1/1</v>
          </cell>
          <cell r="D550">
            <v>18</v>
          </cell>
        </row>
        <row r="551">
          <cell r="A551" t="str">
            <v>C316MXF/C</v>
          </cell>
          <cell r="B551" t="str">
            <v>Fortuner</v>
          </cell>
          <cell r="C551" t="str">
            <v>1/1</v>
          </cell>
          <cell r="D551">
            <v>18</v>
          </cell>
        </row>
        <row r="552">
          <cell r="A552" t="str">
            <v>C342MXG/C</v>
          </cell>
          <cell r="B552" t="str">
            <v>Gimme Danger</v>
          </cell>
          <cell r="C552" t="str">
            <v>1/1</v>
          </cell>
          <cell r="D552">
            <v>18</v>
          </cell>
        </row>
        <row r="553">
          <cell r="A553" t="str">
            <v>C500MXB/C</v>
          </cell>
          <cell r="B553" t="str">
            <v>BlackOUT</v>
          </cell>
          <cell r="C553" t="str">
            <v>1/1</v>
          </cell>
          <cell r="D553">
            <v>24</v>
          </cell>
        </row>
        <row r="554">
          <cell r="A554" t="str">
            <v>C1-C2 C425MXM/C14</v>
          </cell>
          <cell r="B554" t="str">
            <v>Megalomania</v>
          </cell>
          <cell r="C554" t="str">
            <v>1/1</v>
          </cell>
          <cell r="D554">
            <v>16</v>
          </cell>
        </row>
        <row r="555">
          <cell r="A555" t="str">
            <v>C212MF/C</v>
          </cell>
          <cell r="B555" t="str">
            <v>Profi Fireworks show 212</v>
          </cell>
          <cell r="C555" t="str">
            <v>1/1</v>
          </cell>
          <cell r="D555">
            <v>24</v>
          </cell>
        </row>
        <row r="556">
          <cell r="A556" t="str">
            <v>C219XMPT/C</v>
          </cell>
          <cell r="B556" t="str">
            <v>Pyrotechnology 219</v>
          </cell>
          <cell r="C556" t="str">
            <v>1/1</v>
          </cell>
          <cell r="D556">
            <v>12</v>
          </cell>
        </row>
        <row r="557">
          <cell r="A557" t="str">
            <v>C253XMPT/C</v>
          </cell>
          <cell r="B557" t="str">
            <v>Pyrotechnology 253</v>
          </cell>
          <cell r="C557" t="str">
            <v>1/1</v>
          </cell>
          <cell r="D557">
            <v>12</v>
          </cell>
        </row>
        <row r="558">
          <cell r="A558" t="str">
            <v>C379XMK/C</v>
          </cell>
          <cell r="B558" t="str">
            <v>King fireworks 379</v>
          </cell>
          <cell r="C558" t="str">
            <v>1/1</v>
          </cell>
          <cell r="D558">
            <v>12</v>
          </cell>
        </row>
        <row r="559">
          <cell r="A559" t="str">
            <v>C23MO</v>
          </cell>
          <cell r="B559" t="str">
            <v>Obelix</v>
          </cell>
          <cell r="C559" t="str">
            <v>6/1</v>
          </cell>
          <cell r="D559">
            <v>12</v>
          </cell>
        </row>
        <row r="560">
          <cell r="A560" t="str">
            <v>C24MH</v>
          </cell>
          <cell r="B560" t="str">
            <v>Hluk</v>
          </cell>
          <cell r="C560" t="str">
            <v>8/1</v>
          </cell>
          <cell r="D560">
            <v>28</v>
          </cell>
        </row>
        <row r="561">
          <cell r="A561" t="str">
            <v>C36MH</v>
          </cell>
          <cell r="B561" t="str">
            <v>Brutal power</v>
          </cell>
          <cell r="C561" t="str">
            <v>3/1</v>
          </cell>
          <cell r="D561">
            <v>15</v>
          </cell>
        </row>
        <row r="562">
          <cell r="A562" t="str">
            <v>C42MM</v>
          </cell>
          <cell r="B562" t="str">
            <v>Magor</v>
          </cell>
          <cell r="C562" t="str">
            <v>4/1</v>
          </cell>
          <cell r="D562">
            <v>24</v>
          </cell>
        </row>
        <row r="563">
          <cell r="A563" t="str">
            <v>C47MB</v>
          </cell>
          <cell r="B563" t="str">
            <v>Big Boss</v>
          </cell>
          <cell r="C563" t="str">
            <v>2/1</v>
          </cell>
          <cell r="D563">
            <v>30</v>
          </cell>
        </row>
        <row r="564">
          <cell r="A564" t="str">
            <v>C47XMT</v>
          </cell>
          <cell r="B564" t="str">
            <v>Tomato killer</v>
          </cell>
          <cell r="C564" t="str">
            <v>2/1</v>
          </cell>
          <cell r="D564">
            <v>10</v>
          </cell>
        </row>
        <row r="565">
          <cell r="A565" t="str">
            <v>C63MM</v>
          </cell>
          <cell r="B565" t="str">
            <v>Myslivec</v>
          </cell>
          <cell r="C565" t="str">
            <v>3/1</v>
          </cell>
          <cell r="D565">
            <v>21</v>
          </cell>
        </row>
        <row r="566">
          <cell r="A566" t="str">
            <v>C66SMMO</v>
          </cell>
          <cell r="B566" t="str">
            <v>Moon Destroyer</v>
          </cell>
          <cell r="C566" t="str">
            <v>2/1</v>
          </cell>
          <cell r="D566">
            <v>20</v>
          </cell>
        </row>
        <row r="567">
          <cell r="A567" t="str">
            <v>C84M12F/C</v>
          </cell>
          <cell r="B567" t="str">
            <v>Fireworks show 84</v>
          </cell>
          <cell r="C567" t="str">
            <v>1/1</v>
          </cell>
          <cell r="D567">
            <v>30</v>
          </cell>
        </row>
        <row r="568">
          <cell r="A568" t="str">
            <v>C84MC/C</v>
          </cell>
          <cell r="B568" t="str">
            <v>City of Earth</v>
          </cell>
          <cell r="C568" t="str">
            <v>1/1</v>
          </cell>
          <cell r="D568">
            <v>24</v>
          </cell>
        </row>
        <row r="569">
          <cell r="A569" t="str">
            <v>C175MSIG/C</v>
          </cell>
          <cell r="B569" t="str">
            <v>Signature range 175</v>
          </cell>
          <cell r="C569" t="str">
            <v>1/1</v>
          </cell>
          <cell r="D569" t="str">
            <v>15</v>
          </cell>
        </row>
        <row r="570">
          <cell r="A570" t="str">
            <v>C222MNPT/C</v>
          </cell>
          <cell r="B570" t="str">
            <v>Pyrotechnology 222</v>
          </cell>
          <cell r="C570" t="str">
            <v>1/1</v>
          </cell>
          <cell r="D570">
            <v>6</v>
          </cell>
        </row>
        <row r="571">
          <cell r="A571" t="str">
            <v>C222MF/C</v>
          </cell>
          <cell r="B571" t="str">
            <v>Profi Fireworks show 222</v>
          </cell>
          <cell r="C571" t="str">
            <v>1/1</v>
          </cell>
          <cell r="D571">
            <v>6</v>
          </cell>
        </row>
        <row r="572">
          <cell r="A572" t="str">
            <v>C96MB</v>
          </cell>
          <cell r="B572" t="str">
            <v>King fireworks 96</v>
          </cell>
          <cell r="C572" t="str">
            <v>1/1</v>
          </cell>
          <cell r="D572">
            <v>20</v>
          </cell>
        </row>
        <row r="573">
          <cell r="A573" t="str">
            <v>C304MK</v>
          </cell>
          <cell r="B573" t="str">
            <v>King fireworks 304</v>
          </cell>
          <cell r="C573" t="str">
            <v>1/1</v>
          </cell>
          <cell r="D573">
            <v>6</v>
          </cell>
        </row>
        <row r="574">
          <cell r="A574" t="str">
            <v>HF2244</v>
          </cell>
          <cell r="B574" t="str">
            <v>Thunderbolt 1 24sh/30mm</v>
          </cell>
          <cell r="C574" t="str">
            <v>4/1</v>
          </cell>
          <cell r="D574">
            <v>36</v>
          </cell>
        </row>
        <row r="575">
          <cell r="A575" t="str">
            <v>HF2243</v>
          </cell>
          <cell r="B575" t="str">
            <v>Vortex 3 25sh/30mm</v>
          </cell>
          <cell r="C575" t="str">
            <v>4/1</v>
          </cell>
          <cell r="D575">
            <v>36</v>
          </cell>
        </row>
        <row r="576">
          <cell r="A576" t="str">
            <v>HF-51-2227s</v>
          </cell>
          <cell r="B576" t="str">
            <v>Peking Opera 1 51sh/30mm</v>
          </cell>
          <cell r="C576" t="str">
            <v>1/1.</v>
          </cell>
          <cell r="D576">
            <v>56</v>
          </cell>
        </row>
        <row r="577">
          <cell r="A577" t="str">
            <v>HF-96-2362s</v>
          </cell>
          <cell r="B577" t="str">
            <v>Song Dynasty 96 shots compound</v>
          </cell>
          <cell r="C577" t="str">
            <v>1/1.</v>
          </cell>
          <cell r="D577">
            <v>14</v>
          </cell>
        </row>
        <row r="578">
          <cell r="A578" t="str">
            <v>HF-102-2214</v>
          </cell>
          <cell r="B578" t="str">
            <v>Krawallig 102sh 25/30mm</v>
          </cell>
          <cell r="C578" t="str">
            <v>1/1.</v>
          </cell>
          <cell r="D578">
            <v>32</v>
          </cell>
        </row>
        <row r="579">
          <cell r="A579" t="str">
            <v>HF-101-2216</v>
          </cell>
          <cell r="B579" t="str">
            <v>Shameless 101sh 30mm</v>
          </cell>
          <cell r="C579" t="str">
            <v>1/1.</v>
          </cell>
          <cell r="D579">
            <v>32</v>
          </cell>
        </row>
        <row r="580">
          <cell r="A580" t="str">
            <v>HF-108-2315</v>
          </cell>
          <cell r="B580" t="str">
            <v>La Belle 108sh 30mm</v>
          </cell>
          <cell r="C580" t="str">
            <v>1/1.</v>
          </cell>
          <cell r="D580">
            <v>38</v>
          </cell>
        </row>
        <row r="581">
          <cell r="A581" t="str">
            <v>HF-98-2212</v>
          </cell>
          <cell r="B581" t="str">
            <v>Kryptonit 98sh 30mm</v>
          </cell>
          <cell r="C581" t="str">
            <v>1/1.</v>
          </cell>
          <cell r="D581">
            <v>32</v>
          </cell>
        </row>
        <row r="582">
          <cell r="A582" t="str">
            <v>HF-127-2411s</v>
          </cell>
          <cell r="B582" t="str">
            <v>Riakeo Beauty 127sh 25/30mm</v>
          </cell>
          <cell r="C582" t="str">
            <v>1/1.</v>
          </cell>
          <cell r="D582">
            <v>21</v>
          </cell>
        </row>
        <row r="583">
          <cell r="A583" t="str">
            <v>HF-142-2211</v>
          </cell>
          <cell r="B583" t="str">
            <v>Cyttorak 142sh 20/25/30mm</v>
          </cell>
          <cell r="C583" t="str">
            <v>1/1.</v>
          </cell>
          <cell r="D583">
            <v>32</v>
          </cell>
        </row>
        <row r="584">
          <cell r="A584" t="str">
            <v>HF-148-2217</v>
          </cell>
          <cell r="B584" t="str">
            <v>Exodus 148sh 20/25mm</v>
          </cell>
          <cell r="C584" t="str">
            <v>1/1.</v>
          </cell>
          <cell r="D584">
            <v>38</v>
          </cell>
        </row>
        <row r="585">
          <cell r="A585" t="str">
            <v>RKD-24018</v>
          </cell>
          <cell r="B585" t="str">
            <v>Magnificent Display Fireworks 388sh 20/30/50mm</v>
          </cell>
          <cell r="C585" t="str">
            <v>1/1.</v>
          </cell>
          <cell r="D585">
            <v>6</v>
          </cell>
        </row>
        <row r="586">
          <cell r="A586" t="str">
            <v>RKD-24019</v>
          </cell>
          <cell r="B586" t="str">
            <v>Miraculous Display Fireworks 618sh 20/25/30mm</v>
          </cell>
          <cell r="C586" t="str">
            <v>1/1.</v>
          </cell>
          <cell r="D586">
            <v>6</v>
          </cell>
        </row>
        <row r="587">
          <cell r="A587" t="str">
            <v>HF-90-2402-HF-90-2403</v>
          </cell>
          <cell r="B587" t="str">
            <v>The great wall 180sh 30mm</v>
          </cell>
          <cell r="C587" t="str">
            <v>1/1.</v>
          </cell>
          <cell r="D587">
            <v>10</v>
          </cell>
        </row>
        <row r="588">
          <cell r="A588" t="str">
            <v>HF-129-2223A-HF-114-2224</v>
          </cell>
          <cell r="B588" t="str">
            <v>Peking Opera 3 243sh 20/25/30mm</v>
          </cell>
          <cell r="C588" t="str">
            <v>1/1.</v>
          </cell>
          <cell r="D588">
            <v>6</v>
          </cell>
        </row>
        <row r="589">
          <cell r="A589" t="str">
            <v>HF-90-2218-HF-90-2219</v>
          </cell>
          <cell r="B589" t="str">
            <v>Tsunami 180sh 30mm</v>
          </cell>
          <cell r="C589" t="str">
            <v>1/1.</v>
          </cell>
          <cell r="D589">
            <v>14</v>
          </cell>
        </row>
        <row r="590">
          <cell r="A590" t="str">
            <v>HF-78-2423-HF-78-2424</v>
          </cell>
          <cell r="B590" t="str">
            <v>Titan 156sh 30mm</v>
          </cell>
          <cell r="C590" t="str">
            <v>1/1.</v>
          </cell>
          <cell r="D590">
            <v>20</v>
          </cell>
        </row>
        <row r="591">
          <cell r="A591" t="str">
            <v>HF-80-2366s  HF-80-2367s</v>
          </cell>
          <cell r="B591" t="str">
            <v>Extraordinary 160sh 30mm</v>
          </cell>
          <cell r="C591" t="str">
            <v>1/1.</v>
          </cell>
          <cell r="D591">
            <v>14</v>
          </cell>
        </row>
        <row r="592">
          <cell r="A592" t="str">
            <v>CX1352X2</v>
          </cell>
          <cell r="B592" t="str">
            <v>Storm new age-X type</v>
          </cell>
          <cell r="C592" t="str">
            <v>2/1</v>
          </cell>
          <cell r="D592">
            <v>20</v>
          </cell>
        </row>
        <row r="593">
          <cell r="A593" t="str">
            <v>CF1352X6</v>
          </cell>
          <cell r="B593" t="str">
            <v>Storm new age-Fan shape</v>
          </cell>
          <cell r="C593" t="str">
            <v>2/1</v>
          </cell>
          <cell r="D593">
            <v>20</v>
          </cell>
        </row>
        <row r="594">
          <cell r="A594" t="str">
            <v>CS1352X9</v>
          </cell>
          <cell r="B594" t="str">
            <v>Storm new age-S type</v>
          </cell>
          <cell r="C594" t="str">
            <v>2/1</v>
          </cell>
          <cell r="D594">
            <v>20</v>
          </cell>
        </row>
        <row r="595">
          <cell r="A595" t="str">
            <v>CS1352X10</v>
          </cell>
          <cell r="B595" t="str">
            <v>Storm new age-S type</v>
          </cell>
          <cell r="C595" t="str">
            <v>2/1</v>
          </cell>
          <cell r="D595">
            <v>20</v>
          </cell>
        </row>
        <row r="596">
          <cell r="A596" t="str">
            <v>CX1352X11</v>
          </cell>
          <cell r="B596" t="str">
            <v>Storm new age-X type</v>
          </cell>
          <cell r="C596" t="str">
            <v>2/1</v>
          </cell>
          <cell r="D596">
            <v>20</v>
          </cell>
        </row>
        <row r="597">
          <cell r="A597" t="str">
            <v>CS1352X14</v>
          </cell>
          <cell r="B597" t="str">
            <v>Storm new age-S type</v>
          </cell>
          <cell r="C597" t="str">
            <v>2/1</v>
          </cell>
          <cell r="D597">
            <v>20</v>
          </cell>
        </row>
        <row r="598">
          <cell r="A598" t="str">
            <v>C253CH</v>
          </cell>
          <cell r="B598" t="str">
            <v>Meteor 25ran</v>
          </cell>
          <cell r="C598" t="str">
            <v>6/1</v>
          </cell>
          <cell r="D598" t="str">
            <v>28</v>
          </cell>
        </row>
        <row r="599">
          <cell r="A599" t="str">
            <v>C253O</v>
          </cell>
          <cell r="B599" t="str">
            <v>Meteor 25ran</v>
          </cell>
          <cell r="C599" t="str">
            <v>6/1</v>
          </cell>
          <cell r="D599" t="str">
            <v>28</v>
          </cell>
        </row>
        <row r="600">
          <cell r="A600" t="str">
            <v>CF503X3</v>
          </cell>
          <cell r="B600" t="str">
            <v>Storm new age</v>
          </cell>
          <cell r="C600" t="str">
            <v>2/1</v>
          </cell>
          <cell r="D600">
            <v>28</v>
          </cell>
        </row>
        <row r="601">
          <cell r="A601" t="str">
            <v>CF503X4</v>
          </cell>
          <cell r="B601" t="str">
            <v>Storm new age</v>
          </cell>
          <cell r="C601" t="str">
            <v>2/1</v>
          </cell>
          <cell r="D601">
            <v>28</v>
          </cell>
        </row>
        <row r="602">
          <cell r="A602" t="str">
            <v>CF503X5</v>
          </cell>
          <cell r="B602" t="str">
            <v>Storm new age</v>
          </cell>
          <cell r="C602" t="str">
            <v>2/1</v>
          </cell>
          <cell r="D602">
            <v>28</v>
          </cell>
        </row>
        <row r="603">
          <cell r="A603" t="str">
            <v>CF503X7</v>
          </cell>
          <cell r="B603" t="str">
            <v>Storm new age</v>
          </cell>
          <cell r="C603" t="str">
            <v>2/1</v>
          </cell>
          <cell r="D603">
            <v>28</v>
          </cell>
        </row>
        <row r="604">
          <cell r="A604" t="str">
            <v>CF503X8</v>
          </cell>
          <cell r="B604" t="str">
            <v>Storm new age</v>
          </cell>
          <cell r="C604" t="str">
            <v>2/1</v>
          </cell>
          <cell r="D604">
            <v>28</v>
          </cell>
        </row>
        <row r="605">
          <cell r="A605" t="str">
            <v>CF503X12</v>
          </cell>
          <cell r="B605" t="str">
            <v>Storm new age</v>
          </cell>
          <cell r="C605" t="str">
            <v>2/1</v>
          </cell>
          <cell r="D605">
            <v>28</v>
          </cell>
        </row>
        <row r="606">
          <cell r="A606" t="str">
            <v>CF503X14</v>
          </cell>
          <cell r="B606" t="str">
            <v>Storm new age</v>
          </cell>
          <cell r="C606" t="str">
            <v>2/1</v>
          </cell>
          <cell r="D606">
            <v>28</v>
          </cell>
        </row>
        <row r="607">
          <cell r="A607" t="str">
            <v>CF503X15</v>
          </cell>
          <cell r="B607" t="str">
            <v>Storm new age</v>
          </cell>
          <cell r="C607" t="str">
            <v>2/1</v>
          </cell>
          <cell r="D607">
            <v>28</v>
          </cell>
        </row>
        <row r="608">
          <cell r="A608" t="str">
            <v>CF503X17</v>
          </cell>
          <cell r="B608" t="str">
            <v>Storm new age</v>
          </cell>
          <cell r="C608" t="str">
            <v>2/1</v>
          </cell>
          <cell r="D608">
            <v>28</v>
          </cell>
        </row>
        <row r="609">
          <cell r="A609" t="str">
            <v>CF503X29</v>
          </cell>
          <cell r="B609" t="str">
            <v>Storm new age</v>
          </cell>
          <cell r="C609" t="str">
            <v>2/1</v>
          </cell>
          <cell r="D609">
            <v>28</v>
          </cell>
        </row>
        <row r="610">
          <cell r="A610" t="str">
            <v>CF503X48</v>
          </cell>
          <cell r="B610" t="str">
            <v>Storm new age</v>
          </cell>
          <cell r="C610" t="str">
            <v>2/1</v>
          </cell>
          <cell r="D610">
            <v>28</v>
          </cell>
        </row>
        <row r="611">
          <cell r="A611" t="str">
            <v>CF503X54</v>
          </cell>
          <cell r="B611" t="str">
            <v>Storm new age</v>
          </cell>
          <cell r="C611" t="str">
            <v>2/1</v>
          </cell>
          <cell r="D611">
            <v>28</v>
          </cell>
        </row>
        <row r="612">
          <cell r="A612" t="str">
            <v>CS503X8</v>
          </cell>
          <cell r="B612" t="str">
            <v>Storm new age</v>
          </cell>
          <cell r="C612" t="str">
            <v>2/1</v>
          </cell>
          <cell r="D612">
            <v>28</v>
          </cell>
        </row>
        <row r="613">
          <cell r="A613" t="str">
            <v>CS503X9</v>
          </cell>
          <cell r="B613" t="str">
            <v>Storm new age</v>
          </cell>
          <cell r="C613" t="str">
            <v>2/1</v>
          </cell>
          <cell r="D613">
            <v>28</v>
          </cell>
        </row>
        <row r="614">
          <cell r="A614" t="str">
            <v>CS503X11</v>
          </cell>
          <cell r="B614" t="str">
            <v>Storm new age</v>
          </cell>
          <cell r="C614" t="str">
            <v>2/1</v>
          </cell>
          <cell r="D614">
            <v>28</v>
          </cell>
        </row>
        <row r="615">
          <cell r="A615" t="str">
            <v>CS503X14</v>
          </cell>
          <cell r="B615" t="str">
            <v>Storm new age</v>
          </cell>
          <cell r="C615" t="str">
            <v>2/1</v>
          </cell>
          <cell r="D615">
            <v>28</v>
          </cell>
        </row>
        <row r="616">
          <cell r="A616" t="str">
            <v>CS503X15</v>
          </cell>
          <cell r="B616" t="str">
            <v>Storm new age</v>
          </cell>
          <cell r="C616" t="str">
            <v>2/1</v>
          </cell>
          <cell r="D616">
            <v>28</v>
          </cell>
        </row>
        <row r="617">
          <cell r="A617" t="str">
            <v>CS503X19</v>
          </cell>
          <cell r="B617" t="str">
            <v>Storm new age</v>
          </cell>
          <cell r="C617" t="str">
            <v>2/1</v>
          </cell>
          <cell r="D617">
            <v>28</v>
          </cell>
        </row>
        <row r="618">
          <cell r="A618" t="str">
            <v>CS503X26</v>
          </cell>
          <cell r="B618" t="str">
            <v>Storm new age</v>
          </cell>
          <cell r="C618" t="str">
            <v>2/1</v>
          </cell>
          <cell r="D618">
            <v>28</v>
          </cell>
        </row>
        <row r="619">
          <cell r="A619" t="str">
            <v>CS503X33</v>
          </cell>
          <cell r="B619" t="str">
            <v>Storm new age</v>
          </cell>
          <cell r="C619" t="str">
            <v>2/1</v>
          </cell>
          <cell r="D619">
            <v>28</v>
          </cell>
        </row>
        <row r="620">
          <cell r="A620" t="str">
            <v>CS503X38</v>
          </cell>
          <cell r="B620" t="str">
            <v>Storm new age</v>
          </cell>
          <cell r="C620" t="str">
            <v>2/1</v>
          </cell>
          <cell r="D620">
            <v>28</v>
          </cell>
        </row>
        <row r="621">
          <cell r="A621" t="str">
            <v>S2M</v>
          </cell>
          <cell r="B621" t="str">
            <v>Shell 50mm mix carton</v>
          </cell>
          <cell r="C621" t="str">
            <v>12/12</v>
          </cell>
          <cell r="D621" t="str">
            <v>23</v>
          </cell>
        </row>
        <row r="622">
          <cell r="A622" t="str">
            <v>S3F/P</v>
          </cell>
          <cell r="B622" t="str">
            <v>Shell 75mm delay cracker wilow</v>
          </cell>
          <cell r="C622" t="str">
            <v>12/6</v>
          </cell>
          <cell r="D622" t="str">
            <v>21</v>
          </cell>
        </row>
        <row r="623">
          <cell r="A623" t="str">
            <v>S3IA/P</v>
          </cell>
          <cell r="B623" t="str">
            <v>Shell 75mm golden ti wilow</v>
          </cell>
          <cell r="C623" t="str">
            <v>12/6</v>
          </cell>
          <cell r="D623" t="str">
            <v>21</v>
          </cell>
        </row>
        <row r="624">
          <cell r="A624" t="str">
            <v>S3J/P</v>
          </cell>
          <cell r="B624" t="str">
            <v>Shell 75mm brocade crown crossete</v>
          </cell>
          <cell r="C624" t="str">
            <v>12/6</v>
          </cell>
          <cell r="D624" t="str">
            <v>21</v>
          </cell>
        </row>
        <row r="625">
          <cell r="A625" t="str">
            <v>S3S/P</v>
          </cell>
          <cell r="B625" t="str">
            <v>Shell 75mm blood red+silver strobe</v>
          </cell>
          <cell r="C625" t="str">
            <v>12/6</v>
          </cell>
          <cell r="D625" t="str">
            <v>21</v>
          </cell>
        </row>
        <row r="626">
          <cell r="A626" t="str">
            <v>S3T</v>
          </cell>
          <cell r="B626" t="str">
            <v>Shell 75mm silver tail to titanium salute</v>
          </cell>
          <cell r="C626" t="str">
            <v>12/6</v>
          </cell>
          <cell r="D626">
            <v>21</v>
          </cell>
        </row>
        <row r="627">
          <cell r="A627" t="str">
            <v>S3M/P</v>
          </cell>
          <cell r="B627" t="str">
            <v>Shell 75mm mix karton-premiun quality</v>
          </cell>
          <cell r="C627" t="str">
            <v>12/6</v>
          </cell>
          <cell r="D627" t="str">
            <v>21</v>
          </cell>
        </row>
        <row r="628">
          <cell r="A628" t="str">
            <v>S4T</v>
          </cell>
          <cell r="B628" t="str">
            <v>Shell 100mm silver tail to titanium salute</v>
          </cell>
          <cell r="C628" t="str">
            <v>9/4</v>
          </cell>
          <cell r="D628" t="str">
            <v>24</v>
          </cell>
        </row>
        <row r="629">
          <cell r="A629" t="str">
            <v>S4C/P</v>
          </cell>
          <cell r="B629" t="str">
            <v>Shell 100mm glitter.palm tree</v>
          </cell>
          <cell r="C629" t="str">
            <v>9/4</v>
          </cell>
          <cell r="D629" t="str">
            <v>24</v>
          </cell>
        </row>
        <row r="630">
          <cell r="A630" t="str">
            <v>S4J/P</v>
          </cell>
          <cell r="B630" t="str">
            <v>Shell 100mm crackling nishiki kamuro</v>
          </cell>
          <cell r="C630" t="str">
            <v>9/4</v>
          </cell>
          <cell r="D630" t="str">
            <v>24</v>
          </cell>
        </row>
        <row r="631">
          <cell r="A631" t="str">
            <v>S4K/P</v>
          </cell>
          <cell r="B631" t="str">
            <v>Shell 100mm silver crown w.red pistil</v>
          </cell>
          <cell r="C631" t="str">
            <v>9/4</v>
          </cell>
          <cell r="D631" t="str">
            <v>24</v>
          </cell>
        </row>
        <row r="632">
          <cell r="A632" t="str">
            <v>S4L/P</v>
          </cell>
          <cell r="B632" t="str">
            <v>Shell 100mm blood red+silver strobe</v>
          </cell>
          <cell r="C632" t="str">
            <v>9/4</v>
          </cell>
          <cell r="D632" t="str">
            <v>24</v>
          </cell>
        </row>
        <row r="633">
          <cell r="A633" t="str">
            <v>S4NA/P</v>
          </cell>
          <cell r="B633" t="str">
            <v>Shell 100mm golden ti wilow</v>
          </cell>
          <cell r="C633" t="str">
            <v>9/4</v>
          </cell>
          <cell r="D633" t="str">
            <v>24</v>
          </cell>
        </row>
        <row r="634">
          <cell r="A634" t="str">
            <v>S4O/P</v>
          </cell>
          <cell r="B634" t="str">
            <v>Shell 100mm silver strobe</v>
          </cell>
          <cell r="C634" t="str">
            <v>9/4</v>
          </cell>
          <cell r="D634" t="str">
            <v>24</v>
          </cell>
        </row>
        <row r="635">
          <cell r="A635" t="str">
            <v>S4P/P</v>
          </cell>
          <cell r="B635" t="str">
            <v>Shell 100mm silver tail to silver palm tree</v>
          </cell>
          <cell r="C635" t="str">
            <v>9/4</v>
          </cell>
          <cell r="D635" t="str">
            <v>24</v>
          </cell>
        </row>
        <row r="636">
          <cell r="A636" t="str">
            <v>S4Q/P</v>
          </cell>
          <cell r="B636" t="str">
            <v>Shell 100mm special strobe red</v>
          </cell>
          <cell r="C636" t="str">
            <v>9/4</v>
          </cell>
          <cell r="D636" t="str">
            <v>24</v>
          </cell>
        </row>
        <row r="637">
          <cell r="A637" t="str">
            <v>S4S/P</v>
          </cell>
          <cell r="B637" t="str">
            <v>Shell 100mm silver wave to blue w.crackling</v>
          </cell>
          <cell r="C637" t="str">
            <v>9/4</v>
          </cell>
          <cell r="D637" t="str">
            <v>24</v>
          </cell>
        </row>
        <row r="638">
          <cell r="A638" t="str">
            <v>S4W/P</v>
          </cell>
          <cell r="B638" t="str">
            <v>Shell 100mm golden wave to red</v>
          </cell>
          <cell r="C638" t="str">
            <v>9/4</v>
          </cell>
          <cell r="D638" t="str">
            <v>24</v>
          </cell>
        </row>
        <row r="639">
          <cell r="A639" t="str">
            <v>S4Z5/P</v>
          </cell>
          <cell r="B639" t="str">
            <v>Shell 100mm red strobe willow</v>
          </cell>
          <cell r="C639" t="str">
            <v>9/4</v>
          </cell>
          <cell r="D639" t="str">
            <v>24</v>
          </cell>
        </row>
        <row r="640">
          <cell r="A640" t="str">
            <v>S4Z6/P</v>
          </cell>
          <cell r="B640" t="str">
            <v>Shell 100mm red three swords man</v>
          </cell>
          <cell r="C640" t="str">
            <v>9/4</v>
          </cell>
          <cell r="D640" t="str">
            <v>24</v>
          </cell>
        </row>
        <row r="641">
          <cell r="A641" t="str">
            <v>S4Z8/P</v>
          </cell>
          <cell r="B641" t="str">
            <v>Shell 100mm brocade crown to color</v>
          </cell>
          <cell r="C641" t="str">
            <v>9/4</v>
          </cell>
          <cell r="D641" t="str">
            <v>24</v>
          </cell>
        </row>
        <row r="642">
          <cell r="A642" t="str">
            <v>S4Z11/P</v>
          </cell>
          <cell r="B642" t="str">
            <v>Shell 100mm crackling waterfall</v>
          </cell>
          <cell r="C642" t="str">
            <v>9/4</v>
          </cell>
          <cell r="D642" t="str">
            <v>24</v>
          </cell>
        </row>
        <row r="643">
          <cell r="A643" t="str">
            <v>S4M/P</v>
          </cell>
          <cell r="B643" t="str">
            <v>Shell 100mm mix carton-premium quality</v>
          </cell>
          <cell r="C643" t="str">
            <v>9/4</v>
          </cell>
          <cell r="D643" t="str">
            <v>24</v>
          </cell>
        </row>
        <row r="644">
          <cell r="A644" t="str">
            <v>S5E/P</v>
          </cell>
          <cell r="B644" t="str">
            <v>Shell 125mm silver glittering red coco crossette</v>
          </cell>
          <cell r="C644" t="str">
            <v>16/1</v>
          </cell>
          <cell r="D644">
            <v>24</v>
          </cell>
        </row>
        <row r="645">
          <cell r="A645" t="str">
            <v>S5F/P</v>
          </cell>
          <cell r="B645" t="str">
            <v>Shell 125mm golden ti wilow</v>
          </cell>
          <cell r="C645" t="str">
            <v>16/1</v>
          </cell>
          <cell r="D645">
            <v>24</v>
          </cell>
        </row>
        <row r="646">
          <cell r="A646" t="str">
            <v>S5K/P</v>
          </cell>
          <cell r="B646" t="str">
            <v>Shell 125mm brocade crown</v>
          </cell>
          <cell r="C646" t="str">
            <v>16/1</v>
          </cell>
          <cell r="D646">
            <v>24</v>
          </cell>
        </row>
        <row r="647">
          <cell r="A647" t="str">
            <v>S5M/P</v>
          </cell>
          <cell r="B647" t="str">
            <v>Shell 125mm mix carton-premium quality</v>
          </cell>
          <cell r="C647" t="str">
            <v>16/1</v>
          </cell>
          <cell r="D647">
            <v>24</v>
          </cell>
        </row>
        <row r="648">
          <cell r="A648" t="str">
            <v>S6M</v>
          </cell>
          <cell r="B648" t="str">
            <v>Shell 150mm mix carton</v>
          </cell>
          <cell r="C648" t="str">
            <v>9/1</v>
          </cell>
          <cell r="D648" t="str">
            <v>24</v>
          </cell>
        </row>
        <row r="649">
          <cell r="A649" t="str">
            <v>S6F/P(9)</v>
          </cell>
          <cell r="B649" t="str">
            <v>Shell 150mm ghost silver to red</v>
          </cell>
          <cell r="C649" t="str">
            <v>9/1</v>
          </cell>
          <cell r="D649" t="str">
            <v>24</v>
          </cell>
        </row>
        <row r="650">
          <cell r="A650" t="str">
            <v>S6I/P(9)</v>
          </cell>
          <cell r="B650" t="str">
            <v>Shell 150mm golden ti wilow</v>
          </cell>
          <cell r="C650" t="str">
            <v>9/1</v>
          </cell>
          <cell r="D650" t="str">
            <v>24</v>
          </cell>
        </row>
        <row r="651">
          <cell r="A651" t="str">
            <v>S6R/P(9)</v>
          </cell>
          <cell r="B651" t="str">
            <v>Shell 150mm silver glittering red coco crossettte</v>
          </cell>
          <cell r="C651" t="str">
            <v>9/1</v>
          </cell>
          <cell r="D651" t="str">
            <v>24</v>
          </cell>
        </row>
        <row r="652">
          <cell r="A652" t="str">
            <v>S6Z3/P(9)</v>
          </cell>
          <cell r="B652" t="str">
            <v>Shell 150mm brocade crown to blue to red strobe w/red strobe pistil</v>
          </cell>
          <cell r="C652" t="str">
            <v>9/1</v>
          </cell>
          <cell r="D652" t="str">
            <v>24</v>
          </cell>
        </row>
        <row r="653">
          <cell r="A653" t="str">
            <v>RKD-S03-02</v>
          </cell>
          <cell r="B653" t="str">
            <v>75mm Nishiki Willow</v>
          </cell>
          <cell r="C653" t="str">
            <v>12/6</v>
          </cell>
          <cell r="D653">
            <v>10</v>
          </cell>
        </row>
        <row r="654">
          <cell r="A654" t="str">
            <v>RKD-S03-03</v>
          </cell>
          <cell r="B654" t="str">
            <v>75mm Gold shinning</v>
          </cell>
          <cell r="C654" t="str">
            <v>12/6</v>
          </cell>
          <cell r="D654">
            <v>11</v>
          </cell>
        </row>
        <row r="655">
          <cell r="A655" t="str">
            <v>RKD-S04-01</v>
          </cell>
          <cell r="B655" t="str">
            <v>100mm Nishiki Willow</v>
          </cell>
          <cell r="C655" t="str">
            <v>9/4</v>
          </cell>
          <cell r="D655">
            <v>20</v>
          </cell>
        </row>
        <row r="656">
          <cell r="A656" t="str">
            <v>RKD-S04-04</v>
          </cell>
          <cell r="B656" t="str">
            <v>100mm Lemon strobe</v>
          </cell>
          <cell r="C656" t="str">
            <v>9/4</v>
          </cell>
          <cell r="D656">
            <v>20</v>
          </cell>
        </row>
        <row r="657">
          <cell r="A657" t="str">
            <v>RKD-S05-01</v>
          </cell>
          <cell r="B657" t="str">
            <v>125mm Gold glittering willow waterfall</v>
          </cell>
          <cell r="C657" t="str">
            <v>24/1</v>
          </cell>
          <cell r="D657">
            <v>20</v>
          </cell>
        </row>
        <row r="658">
          <cell r="A658" t="str">
            <v>RKD-S05-02</v>
          </cell>
          <cell r="B658" t="str">
            <v>125mm Red glittering willow</v>
          </cell>
          <cell r="C658" t="str">
            <v>24/1</v>
          </cell>
          <cell r="D658">
            <v>20</v>
          </cell>
        </row>
        <row r="659">
          <cell r="A659" t="str">
            <v>RKD-S05-03</v>
          </cell>
          <cell r="B659" t="str">
            <v>125mm Nishiki Willow</v>
          </cell>
          <cell r="C659" t="str">
            <v>24/1</v>
          </cell>
          <cell r="D659">
            <v>20</v>
          </cell>
        </row>
        <row r="660">
          <cell r="A660" t="str">
            <v>RKD-S05-04</v>
          </cell>
          <cell r="B660" t="str">
            <v>125mm Gold willow to red wandering star</v>
          </cell>
          <cell r="C660" t="str">
            <v>24/1</v>
          </cell>
          <cell r="D660">
            <v>20</v>
          </cell>
        </row>
        <row r="661">
          <cell r="A661" t="str">
            <v>RKD-S05-05</v>
          </cell>
          <cell r="B661" t="str">
            <v>125mm Blue jellyfish</v>
          </cell>
          <cell r="C661" t="str">
            <v>24/1</v>
          </cell>
          <cell r="D661">
            <v>20</v>
          </cell>
        </row>
        <row r="662">
          <cell r="A662" t="str">
            <v>RKD-S05-09</v>
          </cell>
          <cell r="B662" t="str">
            <v>125mm Gold willow to chrys.with chrys.pistil</v>
          </cell>
          <cell r="C662" t="str">
            <v>24/1</v>
          </cell>
          <cell r="D662">
            <v>20</v>
          </cell>
        </row>
        <row r="663">
          <cell r="A663" t="str">
            <v>RKD-S05-11</v>
          </cell>
          <cell r="B663" t="str">
            <v>125mm Gold glittering willow</v>
          </cell>
          <cell r="C663" t="str">
            <v>24/1</v>
          </cell>
          <cell r="D663">
            <v>20</v>
          </cell>
        </row>
        <row r="664">
          <cell r="A664" t="str">
            <v>RKD-S05-12</v>
          </cell>
          <cell r="B664" t="str">
            <v>125mm Nishiki Willow with white strobe tip</v>
          </cell>
          <cell r="C664" t="str">
            <v>24/1</v>
          </cell>
          <cell r="D664">
            <v>20</v>
          </cell>
        </row>
        <row r="665">
          <cell r="A665" t="str">
            <v>RKD-S06-01</v>
          </cell>
          <cell r="B665" t="str">
            <v>150mm Gold glittering willow</v>
          </cell>
          <cell r="C665" t="str">
            <v>9/1</v>
          </cell>
          <cell r="D665">
            <v>14</v>
          </cell>
        </row>
        <row r="666">
          <cell r="A666" t="str">
            <v>RKD-S06-02</v>
          </cell>
          <cell r="B666" t="str">
            <v>150mm White glittering willow</v>
          </cell>
          <cell r="C666" t="str">
            <v>9/1</v>
          </cell>
          <cell r="D666">
            <v>14</v>
          </cell>
        </row>
        <row r="667">
          <cell r="A667" t="str">
            <v>RKD-S06-03</v>
          </cell>
          <cell r="B667" t="str">
            <v>150mm Nishiki Willow with color dahlia</v>
          </cell>
          <cell r="C667" t="str">
            <v>9/1</v>
          </cell>
          <cell r="D667">
            <v>14</v>
          </cell>
        </row>
        <row r="668">
          <cell r="A668" t="str">
            <v>RKD-S06-04</v>
          </cell>
          <cell r="B668" t="str">
            <v>150mm Nishiki Willow with color pistil rising tail</v>
          </cell>
          <cell r="C668" t="str">
            <v>9/1</v>
          </cell>
          <cell r="D668">
            <v>14</v>
          </cell>
        </row>
        <row r="669">
          <cell r="A669" t="str">
            <v>RKD-S06-05</v>
          </cell>
          <cell r="B669" t="str">
            <v>150mm Gold willow yo red plum into lemon to red to seablue ghost ring with double red plum pistil rising tiger tail</v>
          </cell>
          <cell r="C669" t="str">
            <v>9/1</v>
          </cell>
          <cell r="D669">
            <v>14</v>
          </cell>
        </row>
        <row r="670">
          <cell r="A670" t="str">
            <v>RKD-S06-07</v>
          </cell>
          <cell r="B670" t="str">
            <v>150mm Silver crown to red ring with blue pistil into red to green to dragon eggs magic rising silver tail</v>
          </cell>
          <cell r="C670" t="str">
            <v>9/1</v>
          </cell>
          <cell r="D670">
            <v>14</v>
          </cell>
        </row>
        <row r="671">
          <cell r="A671" t="str">
            <v>IF220A</v>
          </cell>
          <cell r="B671" t="str">
            <v>Interiérová fontána 2m,20sec</v>
          </cell>
          <cell r="C671" t="str">
            <v>24/5</v>
          </cell>
          <cell r="D671">
            <v>70</v>
          </cell>
        </row>
        <row r="672">
          <cell r="A672" t="str">
            <v>IF3MA</v>
          </cell>
          <cell r="B672" t="str">
            <v>Interiérová fontána 3m,30sec</v>
          </cell>
          <cell r="C672" t="str">
            <v>24/5</v>
          </cell>
          <cell r="D672">
            <v>48</v>
          </cell>
        </row>
        <row r="673">
          <cell r="A673" t="str">
            <v>IF560B</v>
          </cell>
          <cell r="B673" t="str">
            <v>Interiérová fontána 5m,60sec</v>
          </cell>
          <cell r="C673" t="str">
            <v>10/5</v>
          </cell>
          <cell r="D673">
            <v>32</v>
          </cell>
        </row>
        <row r="674">
          <cell r="A674" t="str">
            <v>EP03M</v>
          </cell>
          <cell r="B674" t="str">
            <v>Elektrický palník 30cm</v>
          </cell>
          <cell r="C674" t="str">
            <v>20/100</v>
          </cell>
          <cell r="D674">
            <v>30</v>
          </cell>
        </row>
        <row r="675">
          <cell r="A675" t="str">
            <v>EP1M</v>
          </cell>
          <cell r="B675" t="str">
            <v>Elektrický palník 100cm</v>
          </cell>
          <cell r="C675" t="str">
            <v>20/50</v>
          </cell>
          <cell r="D675">
            <v>40</v>
          </cell>
        </row>
        <row r="676">
          <cell r="A676" t="str">
            <v>EP2M</v>
          </cell>
          <cell r="B676" t="str">
            <v>Elektrický palník 200cm</v>
          </cell>
          <cell r="C676" t="str">
            <v>20/50</v>
          </cell>
          <cell r="D676">
            <v>48</v>
          </cell>
        </row>
        <row r="677">
          <cell r="A677" t="str">
            <v>EP3M</v>
          </cell>
          <cell r="B677" t="str">
            <v>Elektrický palník 300cm</v>
          </cell>
          <cell r="C677" t="str">
            <v>20/25</v>
          </cell>
          <cell r="D677">
            <v>48</v>
          </cell>
        </row>
        <row r="678">
          <cell r="A678" t="str">
            <v>EP5M</v>
          </cell>
          <cell r="B678" t="str">
            <v>Elektrický palník 500cm</v>
          </cell>
          <cell r="C678" t="str">
            <v>20/25</v>
          </cell>
          <cell r="D678">
            <v>36</v>
          </cell>
        </row>
        <row r="680">
          <cell r="A680" t="str">
            <v>DP1BS</v>
          </cell>
          <cell r="B680" t="str">
            <v>Baby shark</v>
          </cell>
          <cell r="C680" t="str">
            <v>60/1</v>
          </cell>
          <cell r="D680">
            <v>32</v>
          </cell>
        </row>
        <row r="681">
          <cell r="A681" t="str">
            <v>DP1R(1)</v>
          </cell>
          <cell r="B681" t="str">
            <v>Rotáček</v>
          </cell>
          <cell r="C681" t="str">
            <v>25/20/6</v>
          </cell>
          <cell r="D681">
            <v>32</v>
          </cell>
        </row>
        <row r="682">
          <cell r="A682" t="str">
            <v>DP1T SK</v>
          </cell>
          <cell r="B682" t="str">
            <v xml:space="preserve">Tazmánia </v>
          </cell>
          <cell r="C682" t="str">
            <v>15/18/3</v>
          </cell>
          <cell r="D682">
            <v>66</v>
          </cell>
        </row>
        <row r="683">
          <cell r="A683" t="str">
            <v>DP1Z50</v>
          </cell>
          <cell r="B683" t="str">
            <v>Kalashnikov small-50cm  (Žabák střední)</v>
          </cell>
          <cell r="C683" t="str">
            <v>72/6</v>
          </cell>
          <cell r="D683">
            <v>50</v>
          </cell>
        </row>
        <row r="684">
          <cell r="A684" t="str">
            <v>DP1P(1)</v>
          </cell>
          <cell r="B684" t="str">
            <v>Scream mini  (Píšťalka)</v>
          </cell>
          <cell r="C684" t="str">
            <v>6/40/10</v>
          </cell>
          <cell r="D684">
            <v>42</v>
          </cell>
        </row>
        <row r="685">
          <cell r="A685" t="str">
            <v>BK2V(1)</v>
          </cell>
          <cell r="B685" t="str">
            <v>Dumbum velké bouchací kuličky</v>
          </cell>
          <cell r="C685" t="str">
            <v>6/50/20</v>
          </cell>
          <cell r="D685">
            <v>36</v>
          </cell>
        </row>
        <row r="686">
          <cell r="A686" t="str">
            <v>LM0SW(1)</v>
          </cell>
          <cell r="B686" t="str">
            <v>Scream Wasp</v>
          </cell>
          <cell r="C686" t="str">
            <v>5/40/6</v>
          </cell>
          <cell r="D686">
            <v>80</v>
          </cell>
        </row>
        <row r="687">
          <cell r="A687" t="str">
            <v>P8DCH</v>
          </cell>
          <cell r="B687" t="str">
            <v>8 days Pyro challenge</v>
          </cell>
          <cell r="C687" t="str">
            <v>60/1</v>
          </cell>
          <cell r="D687">
            <v>8</v>
          </cell>
        </row>
        <row r="688">
          <cell r="A688" t="str">
            <v>VP70E</v>
          </cell>
          <cell r="B688" t="str">
            <v xml:space="preserve">Zlaté vánoční prskavky 70cm(exclusive) </v>
          </cell>
          <cell r="C688" t="str">
            <v>72/8</v>
          </cell>
          <cell r="D688">
            <v>38</v>
          </cell>
        </row>
        <row r="689">
          <cell r="A689" t="str">
            <v>VP40E</v>
          </cell>
          <cell r="B689" t="str">
            <v xml:space="preserve">Zlaté vánoční prskavky 40cm(exclusive) </v>
          </cell>
          <cell r="C689" t="str">
            <v>10/10/10</v>
          </cell>
          <cell r="D689">
            <v>60</v>
          </cell>
        </row>
        <row r="690">
          <cell r="A690" t="str">
            <v>VP28E</v>
          </cell>
          <cell r="B690" t="str">
            <v xml:space="preserve">Zlaté vánoční prskavky 28cm(exclusive) </v>
          </cell>
          <cell r="C690" t="str">
            <v>10/20/10</v>
          </cell>
          <cell r="D690">
            <v>42</v>
          </cell>
        </row>
        <row r="691">
          <cell r="A691" t="str">
            <v>VP12TH</v>
          </cell>
          <cell r="B691" t="str">
            <v>Prskavka ve tvaru hvězdy</v>
          </cell>
          <cell r="C691" t="str">
            <v>6/25</v>
          </cell>
          <cell r="D691">
            <v>72</v>
          </cell>
        </row>
        <row r="692">
          <cell r="A692" t="str">
            <v>D2CN</v>
          </cell>
          <cell r="B692" t="str">
            <v>Čmoudík new colour</v>
          </cell>
          <cell r="C692" t="str">
            <v>36/4</v>
          </cell>
          <cell r="D692">
            <v>42</v>
          </cell>
        </row>
        <row r="693">
          <cell r="A693" t="str">
            <v>D2C(1)</v>
          </cell>
          <cell r="B693" t="str">
            <v>Čmoudík- RDG40</v>
          </cell>
          <cell r="C693" t="str">
            <v>36/4</v>
          </cell>
          <cell r="D693">
            <v>42</v>
          </cell>
        </row>
        <row r="694">
          <cell r="A694" t="str">
            <v>RDG1O</v>
          </cell>
          <cell r="B694" t="str">
            <v>RDG1-oranžová</v>
          </cell>
          <cell r="C694" t="str">
            <v>50/1</v>
          </cell>
          <cell r="D694">
            <v>70</v>
          </cell>
        </row>
        <row r="695">
          <cell r="A695" t="str">
            <v>RDG1O(1)</v>
          </cell>
          <cell r="B695" t="str">
            <v>RDG1-oranžová</v>
          </cell>
          <cell r="C695" t="str">
            <v>50/1</v>
          </cell>
          <cell r="D695">
            <v>70</v>
          </cell>
        </row>
        <row r="696">
          <cell r="A696" t="str">
            <v>RDG60M</v>
          </cell>
          <cell r="B696" t="str">
            <v xml:space="preserve">SP9020B / Modrá dýmovnice s trhací pojistkou </v>
          </cell>
          <cell r="C696" t="str">
            <v>20/5</v>
          </cell>
          <cell r="D696">
            <v>36</v>
          </cell>
        </row>
        <row r="697">
          <cell r="A697" t="str">
            <v>RDG60O</v>
          </cell>
          <cell r="B697" t="str">
            <v xml:space="preserve">SP9020O / Oranžová dýmovnice s trhací pojistkou </v>
          </cell>
          <cell r="C697" t="str">
            <v>20/5</v>
          </cell>
          <cell r="D697">
            <v>36</v>
          </cell>
        </row>
        <row r="698">
          <cell r="A698" t="str">
            <v>RDG25B</v>
          </cell>
          <cell r="B698" t="str">
            <v xml:space="preserve">SP9036W / Bílá turbo dýmovnice s trhací pojistkou </v>
          </cell>
          <cell r="C698" t="str">
            <v>20/5</v>
          </cell>
          <cell r="D698">
            <v>45</v>
          </cell>
        </row>
        <row r="699">
          <cell r="A699" t="str">
            <v>RDG25ZL</v>
          </cell>
          <cell r="B699" t="str">
            <v xml:space="preserve">SP9036Y / Žlutá turbo dýmovnice s trhací pojistkou </v>
          </cell>
          <cell r="C699" t="str">
            <v>20/5</v>
          </cell>
          <cell r="D699">
            <v>45</v>
          </cell>
        </row>
        <row r="700">
          <cell r="A700" t="str">
            <v>RDG25ZE</v>
          </cell>
          <cell r="B700" t="str">
            <v xml:space="preserve">SP9036G / Zelená turbo dýmovnice s trhací pojistkou </v>
          </cell>
          <cell r="C700" t="str">
            <v>20/5</v>
          </cell>
          <cell r="D700">
            <v>45</v>
          </cell>
        </row>
        <row r="701">
          <cell r="A701" t="str">
            <v>RDG25O</v>
          </cell>
          <cell r="B701" t="str">
            <v xml:space="preserve">SP9036O / Oranžová turbo dýmovnice s trhací pojistkou </v>
          </cell>
          <cell r="C701" t="str">
            <v>20/5</v>
          </cell>
          <cell r="D701">
            <v>45</v>
          </cell>
        </row>
        <row r="702">
          <cell r="A702" t="str">
            <v>RDG25CER</v>
          </cell>
          <cell r="B702" t="str">
            <v xml:space="preserve">SP9036B2 / Černá turbo dýmovnice s trhací pojistkou </v>
          </cell>
          <cell r="C702" t="str">
            <v>20/5</v>
          </cell>
          <cell r="D702">
            <v>45</v>
          </cell>
        </row>
        <row r="703">
          <cell r="A703" t="str">
            <v>RDG60M(SH)</v>
          </cell>
          <cell r="B703" t="str">
            <v>Modrá dýmovnice-škrtací</v>
          </cell>
          <cell r="C703" t="str">
            <v>20/5</v>
          </cell>
          <cell r="D703">
            <v>28</v>
          </cell>
        </row>
        <row r="704">
          <cell r="A704" t="str">
            <v>RDG60O(SH)</v>
          </cell>
          <cell r="B704" t="str">
            <v>Oranžová dýmovnice-škrtací</v>
          </cell>
          <cell r="C704" t="str">
            <v>20/5</v>
          </cell>
          <cell r="D704">
            <v>36</v>
          </cell>
        </row>
        <row r="705">
          <cell r="A705" t="str">
            <v>RDG1B-P</v>
          </cell>
          <cell r="B705" t="str">
            <v>RDG1-bílá</v>
          </cell>
          <cell r="C705" t="str">
            <v>25/1</v>
          </cell>
          <cell r="D705">
            <v>60</v>
          </cell>
        </row>
        <row r="706">
          <cell r="A706" t="str">
            <v>RDG1ZE-P</v>
          </cell>
          <cell r="B706" t="str">
            <v>RDG1-zelená</v>
          </cell>
          <cell r="C706" t="str">
            <v>25/1</v>
          </cell>
          <cell r="D706">
            <v>60</v>
          </cell>
        </row>
        <row r="707">
          <cell r="A707" t="str">
            <v>RDG1ZE-P(1)</v>
          </cell>
          <cell r="B707" t="str">
            <v>RDG1-zelená</v>
          </cell>
          <cell r="C707" t="str">
            <v>25/1</v>
          </cell>
          <cell r="D707">
            <v>60</v>
          </cell>
        </row>
        <row r="708">
          <cell r="A708" t="str">
            <v>P40ZL25</v>
          </cell>
          <cell r="B708" t="str">
            <v xml:space="preserve">Fotbalová pochodeň žlutá+dým </v>
          </cell>
          <cell r="C708" t="str">
            <v>20/5</v>
          </cell>
          <cell r="D708">
            <v>60</v>
          </cell>
        </row>
        <row r="709">
          <cell r="A709" t="str">
            <v>F15BR</v>
          </cell>
          <cell r="B709" t="str">
            <v>Best rotate fountain</v>
          </cell>
          <cell r="C709" t="str">
            <v>2/1</v>
          </cell>
          <cell r="D709">
            <v>24</v>
          </cell>
        </row>
        <row r="710">
          <cell r="A710" t="str">
            <v>F250SS</v>
          </cell>
          <cell r="B710" t="str">
            <v xml:space="preserve">Silver stars Vulkán 250g </v>
          </cell>
          <cell r="C710" t="str">
            <v>25/2</v>
          </cell>
          <cell r="D710">
            <v>32</v>
          </cell>
        </row>
        <row r="711">
          <cell r="A711" t="str">
            <v>F1000SC</v>
          </cell>
          <cell r="B711" t="str">
            <v xml:space="preserve">Silver crackling Vulkán 1000g </v>
          </cell>
          <cell r="C711" t="str">
            <v>12/1</v>
          </cell>
          <cell r="D711">
            <v>32</v>
          </cell>
        </row>
        <row r="712">
          <cell r="A712" t="str">
            <v>F1500SS</v>
          </cell>
          <cell r="B712" t="str">
            <v xml:space="preserve">Silver stars Vulkán 1500g </v>
          </cell>
          <cell r="C712" t="str">
            <v>12/1</v>
          </cell>
          <cell r="D712">
            <v>20</v>
          </cell>
        </row>
        <row r="713">
          <cell r="A713" t="str">
            <v>DF12CM</v>
          </cell>
          <cell r="B713" t="str">
            <v>Dortová fontána 12cm-zlatá</v>
          </cell>
          <cell r="C713" t="str">
            <v>100/2</v>
          </cell>
          <cell r="D713">
            <v>36</v>
          </cell>
        </row>
        <row r="714">
          <cell r="A714" t="str">
            <v>CON40P</v>
          </cell>
          <cell r="B714" t="str">
            <v>Párty konfety 40cm</v>
          </cell>
          <cell r="C714" t="str">
            <v>72/1</v>
          </cell>
          <cell r="D714">
            <v>16</v>
          </cell>
        </row>
        <row r="715">
          <cell r="A715" t="str">
            <v>CON40S</v>
          </cell>
          <cell r="B715" t="str">
            <v>Svatební konfety 40cm</v>
          </cell>
          <cell r="C715" t="str">
            <v>72/1</v>
          </cell>
          <cell r="D715">
            <v>16</v>
          </cell>
        </row>
        <row r="716">
          <cell r="A716" t="str">
            <v>CON40F</v>
          </cell>
          <cell r="B716" t="str">
            <v>Firemní konfety 40cm</v>
          </cell>
          <cell r="C716" t="str">
            <v>72/1</v>
          </cell>
          <cell r="D716">
            <v>16</v>
          </cell>
        </row>
        <row r="717">
          <cell r="A717" t="str">
            <v>RP5DU14</v>
          </cell>
          <cell r="B717" t="str">
            <v>Rotate Dumbum</v>
          </cell>
          <cell r="C717" t="str">
            <v>50/20</v>
          </cell>
          <cell r="D717">
            <v>72</v>
          </cell>
        </row>
        <row r="718">
          <cell r="A718" t="str">
            <v>CP5DU14(R)</v>
          </cell>
          <cell r="B718" t="str">
            <v>Crackling Dumbum</v>
          </cell>
          <cell r="C718" t="str">
            <v>50/20</v>
          </cell>
          <cell r="D718">
            <v>72</v>
          </cell>
        </row>
        <row r="719">
          <cell r="A719" t="str">
            <v>CP5DU14(R)1</v>
          </cell>
          <cell r="B719" t="str">
            <v>Crackling Dumbum</v>
          </cell>
          <cell r="C719" t="str">
            <v>50/20</v>
          </cell>
          <cell r="D719">
            <v>72</v>
          </cell>
        </row>
        <row r="720">
          <cell r="A720" t="str">
            <v>CP5DU14(G)</v>
          </cell>
          <cell r="B720" t="str">
            <v>Crackling Dumbum</v>
          </cell>
          <cell r="C720" t="str">
            <v>50/20</v>
          </cell>
          <cell r="D720">
            <v>72</v>
          </cell>
        </row>
        <row r="721">
          <cell r="A721" t="str">
            <v>CP5DU14(G)1</v>
          </cell>
          <cell r="B721" t="str">
            <v>Crackling Dumbum</v>
          </cell>
          <cell r="C721" t="str">
            <v>50/20</v>
          </cell>
          <cell r="D721">
            <v>72</v>
          </cell>
        </row>
        <row r="722">
          <cell r="A722" t="str">
            <v>P066D20</v>
          </cell>
          <cell r="B722" t="str">
            <v>SZA1e / Dumbum F3</v>
          </cell>
          <cell r="C722" t="str">
            <v>100/20</v>
          </cell>
          <cell r="D722">
            <v>54</v>
          </cell>
        </row>
        <row r="723">
          <cell r="A723" t="str">
            <v>P10D20</v>
          </cell>
          <cell r="B723" t="str">
            <v>SZA1d / Dumbum 120</v>
          </cell>
          <cell r="C723" t="str">
            <v>90/20</v>
          </cell>
          <cell r="D723">
            <v>36</v>
          </cell>
        </row>
        <row r="724">
          <cell r="A724" t="str">
            <v>P6A14F3(R)</v>
          </cell>
          <cell r="B724" t="str">
            <v>Dumbum red</v>
          </cell>
          <cell r="C724" t="str">
            <v>50/30</v>
          </cell>
          <cell r="D724">
            <v>42</v>
          </cell>
        </row>
        <row r="725">
          <cell r="A725" t="str">
            <v>P4A(1)</v>
          </cell>
          <cell r="B725" t="str">
            <v>Mini Bomb</v>
          </cell>
          <cell r="C725" t="str">
            <v>90/21</v>
          </cell>
          <cell r="D725">
            <v>34</v>
          </cell>
        </row>
        <row r="726">
          <cell r="A726" t="str">
            <v>P6A13(R)F3-1</v>
          </cell>
          <cell r="B726" t="str">
            <v>Dumbum midlle red</v>
          </cell>
          <cell r="C726" t="str">
            <v>60/20</v>
          </cell>
          <cell r="D726">
            <v>26</v>
          </cell>
        </row>
        <row r="727">
          <cell r="A727" t="str">
            <v>PLZ420</v>
          </cell>
          <cell r="B727" t="str">
            <v>Plašič zvěře 420min (Sznur hukowy)</v>
          </cell>
          <cell r="C727" t="str">
            <v>7/12</v>
          </cell>
          <cell r="D727">
            <v>40</v>
          </cell>
        </row>
        <row r="728">
          <cell r="A728" t="str">
            <v>RS11H</v>
          </cell>
          <cell r="B728" t="str">
            <v>Happy New Year</v>
          </cell>
          <cell r="C728" t="str">
            <v>12/11</v>
          </cell>
          <cell r="D728">
            <v>12</v>
          </cell>
        </row>
        <row r="729">
          <cell r="A729" t="str">
            <v>RS21Z</v>
          </cell>
          <cell r="B729" t="str">
            <v>Zoombie invasion</v>
          </cell>
          <cell r="C729" t="str">
            <v>5/21</v>
          </cell>
          <cell r="D729">
            <v>18</v>
          </cell>
        </row>
        <row r="730">
          <cell r="A730" t="str">
            <v>C1620M</v>
          </cell>
          <cell r="B730" t="str">
            <v>Mosquito</v>
          </cell>
          <cell r="C730" t="str">
            <v>24/1</v>
          </cell>
          <cell r="D730">
            <v>36</v>
          </cell>
        </row>
        <row r="731">
          <cell r="A731" t="str">
            <v>C1620M14</v>
          </cell>
          <cell r="B731" t="str">
            <v>Mosquito</v>
          </cell>
          <cell r="C731" t="str">
            <v>24/1</v>
          </cell>
          <cell r="D731">
            <v>36</v>
          </cell>
        </row>
        <row r="732">
          <cell r="A732" t="str">
            <v>C4920NID</v>
          </cell>
          <cell r="B732" t="str">
            <v>New identity series 49</v>
          </cell>
          <cell r="C732" t="str">
            <v>8/1</v>
          </cell>
          <cell r="D732">
            <v>36</v>
          </cell>
        </row>
        <row r="733">
          <cell r="A733" t="str">
            <v>CF4920VIP</v>
          </cell>
          <cell r="B733" t="str">
            <v>Vip Nights</v>
          </cell>
          <cell r="C733" t="str">
            <v>6/1</v>
          </cell>
          <cell r="D733">
            <v>24</v>
          </cell>
        </row>
        <row r="734">
          <cell r="A734" t="str">
            <v>C6420G14</v>
          </cell>
          <cell r="B734" t="str">
            <v>Grouch</v>
          </cell>
          <cell r="C734" t="str">
            <v>6/1</v>
          </cell>
          <cell r="D734">
            <v>32</v>
          </cell>
        </row>
        <row r="735">
          <cell r="A735" t="str">
            <v>C6620SIG</v>
          </cell>
          <cell r="B735" t="str">
            <v>Red Signature range 66/20mm</v>
          </cell>
          <cell r="C735" t="str">
            <v>4/1</v>
          </cell>
          <cell r="D735">
            <v>18</v>
          </cell>
        </row>
        <row r="736">
          <cell r="A736" t="str">
            <v>C6620L14</v>
          </cell>
          <cell r="B736" t="str">
            <v>Luxury pyro</v>
          </cell>
          <cell r="C736" t="str">
            <v>4/1</v>
          </cell>
          <cell r="D736">
            <v>18</v>
          </cell>
        </row>
        <row r="737">
          <cell r="A737" t="str">
            <v>C10020BPF14</v>
          </cell>
          <cell r="B737" t="str">
            <v>Best price-Frozen 100/20mm</v>
          </cell>
          <cell r="C737" t="str">
            <v>4/1</v>
          </cell>
          <cell r="D737">
            <v>24</v>
          </cell>
        </row>
        <row r="738">
          <cell r="A738" t="str">
            <v>CF10020G</v>
          </cell>
          <cell r="B738" t="str">
            <v>Gnome</v>
          </cell>
          <cell r="C738" t="str">
            <v>2/1</v>
          </cell>
          <cell r="D738">
            <v>45</v>
          </cell>
        </row>
        <row r="739">
          <cell r="A739" t="str">
            <v>C13420B</v>
          </cell>
          <cell r="B739" t="str">
            <v>Strike   (Bobr)</v>
          </cell>
          <cell r="C739" t="str">
            <v>2/1</v>
          </cell>
          <cell r="D739">
            <v>20</v>
          </cell>
        </row>
        <row r="740">
          <cell r="A740" t="str">
            <v>C20020BP</v>
          </cell>
          <cell r="B740" t="str">
            <v>Best price 200/20mm</v>
          </cell>
          <cell r="C740" t="str">
            <v>2/1</v>
          </cell>
          <cell r="D740">
            <v>20</v>
          </cell>
        </row>
        <row r="741">
          <cell r="A741" t="str">
            <v>C20020XBPW</v>
          </cell>
          <cell r="B741" t="str">
            <v>Best price Wild fire multi 200/20mm</v>
          </cell>
          <cell r="C741" t="str">
            <v>2/1</v>
          </cell>
          <cell r="D741">
            <v>22</v>
          </cell>
        </row>
        <row r="742">
          <cell r="A742" t="str">
            <v>C12820F/C14(T)</v>
          </cell>
          <cell r="B742" t="str">
            <v>Fireworks show 128/20mm</v>
          </cell>
          <cell r="C742" t="str">
            <v>1/1</v>
          </cell>
          <cell r="D742">
            <v>77</v>
          </cell>
        </row>
        <row r="743">
          <cell r="A743" t="str">
            <v>C13220B/C14(T)</v>
          </cell>
          <cell r="B743" t="str">
            <v>Big and Bad</v>
          </cell>
          <cell r="C743" t="str">
            <v>1/1</v>
          </cell>
          <cell r="D743">
            <v>40</v>
          </cell>
        </row>
        <row r="744">
          <cell r="A744" t="str">
            <v>C13220TS/C14(T)</v>
          </cell>
          <cell r="B744" t="str">
            <v>Turbo 20mm shots 60</v>
          </cell>
          <cell r="C744" t="str">
            <v>1/1</v>
          </cell>
          <cell r="D744">
            <v>36</v>
          </cell>
        </row>
        <row r="745">
          <cell r="A745" t="str">
            <v>C20020XPR/C14(T)</v>
          </cell>
          <cell r="B745" t="str">
            <v>Profi show multi shape 200/20mm</v>
          </cell>
          <cell r="C745" t="str">
            <v>1/1</v>
          </cell>
          <cell r="D745">
            <v>40</v>
          </cell>
        </row>
        <row r="746">
          <cell r="A746" t="str">
            <v>C20020XTS/C14(T)</v>
          </cell>
          <cell r="B746" t="str">
            <v>Turbo 20mm shots 80</v>
          </cell>
          <cell r="C746" t="str">
            <v>1/1</v>
          </cell>
          <cell r="D746">
            <v>40</v>
          </cell>
        </row>
        <row r="747">
          <cell r="A747" t="str">
            <v>C19220F/C14(T)</v>
          </cell>
          <cell r="B747" t="str">
            <v>Fireworks show 192/20mm</v>
          </cell>
          <cell r="C747" t="str">
            <v>1/1</v>
          </cell>
          <cell r="D747">
            <v>66</v>
          </cell>
        </row>
        <row r="748">
          <cell r="A748" t="str">
            <v>C25220XFS/C14(T)</v>
          </cell>
          <cell r="B748" t="str">
            <v>Fireworks show 252</v>
          </cell>
          <cell r="C748" t="str">
            <v>1/1</v>
          </cell>
          <cell r="D748">
            <v>40</v>
          </cell>
        </row>
        <row r="749">
          <cell r="A749" t="str">
            <v>C25620F/C14(T)</v>
          </cell>
          <cell r="B749" t="str">
            <v>Fireworks show 256</v>
          </cell>
          <cell r="C749" t="str">
            <v>1/1</v>
          </cell>
          <cell r="D749">
            <v>66</v>
          </cell>
        </row>
        <row r="750">
          <cell r="A750" t="str">
            <v>C26420N/C14(T)</v>
          </cell>
          <cell r="B750" t="str">
            <v>Neverending Sky</v>
          </cell>
          <cell r="C750" t="str">
            <v>1/1</v>
          </cell>
          <cell r="D750">
            <v>18</v>
          </cell>
        </row>
        <row r="751">
          <cell r="A751" t="str">
            <v>C40020XPR/C14(T)</v>
          </cell>
          <cell r="B751" t="str">
            <v>Profi show multi shape 400/20mm</v>
          </cell>
          <cell r="C751" t="str">
            <v>1/1</v>
          </cell>
          <cell r="D751">
            <v>20</v>
          </cell>
        </row>
        <row r="752">
          <cell r="A752" t="str">
            <v>C12820NID/C</v>
          </cell>
          <cell r="B752" t="str">
            <v>New identity series 128</v>
          </cell>
          <cell r="C752" t="str">
            <v>1/1</v>
          </cell>
          <cell r="D752">
            <v>72</v>
          </cell>
        </row>
        <row r="753">
          <cell r="A753" t="str">
            <v>C19620SIG/C</v>
          </cell>
          <cell r="B753" t="str">
            <v>Signature range 196ran</v>
          </cell>
          <cell r="C753" t="str">
            <v>1/1</v>
          </cell>
          <cell r="D753">
            <v>66</v>
          </cell>
        </row>
        <row r="754">
          <cell r="A754" t="str">
            <v>C12820F/C(T)</v>
          </cell>
          <cell r="B754" t="str">
            <v>Fireworks show 128/20mm</v>
          </cell>
          <cell r="C754" t="str">
            <v>1/1</v>
          </cell>
          <cell r="D754">
            <v>77</v>
          </cell>
        </row>
        <row r="755">
          <cell r="A755" t="str">
            <v>C12820NID/C(T)</v>
          </cell>
          <cell r="B755" t="str">
            <v>New identity series 128</v>
          </cell>
          <cell r="C755" t="str">
            <v>1/1</v>
          </cell>
          <cell r="D755">
            <v>72</v>
          </cell>
        </row>
        <row r="756">
          <cell r="A756" t="str">
            <v>C13220B/C(T)</v>
          </cell>
          <cell r="B756" t="str">
            <v>Big and Bad</v>
          </cell>
          <cell r="C756" t="str">
            <v>1/1</v>
          </cell>
          <cell r="D756">
            <v>36</v>
          </cell>
        </row>
        <row r="757">
          <cell r="A757" t="str">
            <v>C19220F/C(T)</v>
          </cell>
          <cell r="B757" t="str">
            <v>Fireworks show 192/20mm</v>
          </cell>
          <cell r="C757" t="str">
            <v>1/1</v>
          </cell>
          <cell r="D757">
            <v>66</v>
          </cell>
        </row>
        <row r="758">
          <cell r="A758" t="str">
            <v>C19620SIG/C(T)</v>
          </cell>
          <cell r="B758" t="str">
            <v>Signature range 196ran</v>
          </cell>
          <cell r="C758" t="str">
            <v>1/1</v>
          </cell>
          <cell r="D758">
            <v>66</v>
          </cell>
        </row>
        <row r="759">
          <cell r="A759" t="str">
            <v>C25220XFS/C(T)</v>
          </cell>
          <cell r="B759" t="str">
            <v>Fireworks show 252</v>
          </cell>
          <cell r="C759" t="str">
            <v>1/1</v>
          </cell>
          <cell r="D759">
            <v>40</v>
          </cell>
        </row>
        <row r="760">
          <cell r="A760" t="str">
            <v>C25620F/C(T)</v>
          </cell>
          <cell r="B760" t="str">
            <v>Fireworks show 256</v>
          </cell>
          <cell r="C760" t="str">
            <v>1/1</v>
          </cell>
          <cell r="D760">
            <v>66</v>
          </cell>
        </row>
        <row r="761">
          <cell r="A761" t="str">
            <v>C26420N/C(T)</v>
          </cell>
          <cell r="B761" t="str">
            <v>Neverending Sky</v>
          </cell>
          <cell r="C761" t="str">
            <v>1/1</v>
          </cell>
          <cell r="D761">
            <v>18</v>
          </cell>
        </row>
        <row r="762">
          <cell r="A762" t="str">
            <v>C26020NID/C</v>
          </cell>
          <cell r="B762" t="str">
            <v>New identity series 260</v>
          </cell>
          <cell r="C762" t="str">
            <v>1/1</v>
          </cell>
          <cell r="D762">
            <v>44</v>
          </cell>
        </row>
        <row r="763">
          <cell r="A763" t="str">
            <v>C18020SIG/C(T)</v>
          </cell>
          <cell r="B763" t="str">
            <v>Signature range 180ran</v>
          </cell>
          <cell r="C763" t="str">
            <v>1/1</v>
          </cell>
          <cell r="D763">
            <v>66</v>
          </cell>
        </row>
        <row r="764">
          <cell r="A764" t="str">
            <v>C26020F/C(T)</v>
          </cell>
          <cell r="B764" t="str">
            <v>Fireworks show 260</v>
          </cell>
          <cell r="C764" t="str">
            <v>1/1</v>
          </cell>
          <cell r="D764">
            <v>54</v>
          </cell>
        </row>
        <row r="765">
          <cell r="A765" t="str">
            <v>C26020NID/C(T)</v>
          </cell>
          <cell r="B765" t="str">
            <v>New identity series 260</v>
          </cell>
          <cell r="C765" t="str">
            <v>1/1</v>
          </cell>
          <cell r="D765">
            <v>44</v>
          </cell>
        </row>
        <row r="766">
          <cell r="A766" t="str">
            <v>C26820F/C(T)</v>
          </cell>
          <cell r="B766" t="str">
            <v>Fireworks show 268</v>
          </cell>
          <cell r="C766" t="str">
            <v>1/1</v>
          </cell>
          <cell r="D766">
            <v>27</v>
          </cell>
        </row>
        <row r="767">
          <cell r="A767" t="str">
            <v>C39020F/C(T)</v>
          </cell>
          <cell r="B767" t="str">
            <v>Fireworks show 390</v>
          </cell>
          <cell r="C767" t="str">
            <v>1/1</v>
          </cell>
          <cell r="D767">
            <v>33</v>
          </cell>
        </row>
        <row r="768">
          <cell r="A768" t="str">
            <v>C52020F/C(T)</v>
          </cell>
          <cell r="B768" t="str">
            <v>Fireworks show 520</v>
          </cell>
          <cell r="C768" t="str">
            <v>1/1</v>
          </cell>
          <cell r="D768">
            <v>24</v>
          </cell>
        </row>
        <row r="769">
          <cell r="A769" t="str">
            <v>C53620F/C(T)</v>
          </cell>
          <cell r="B769" t="str">
            <v>Fireworks show 536</v>
          </cell>
          <cell r="C769" t="str">
            <v>1/1</v>
          </cell>
          <cell r="D769" t="str">
            <v>20</v>
          </cell>
        </row>
        <row r="770">
          <cell r="A770" t="str">
            <v>C60020XPR/C(T)</v>
          </cell>
          <cell r="B770" t="str">
            <v>Profi show multi shape 600</v>
          </cell>
          <cell r="C770" t="str">
            <v>1/1</v>
          </cell>
          <cell r="D770">
            <v>14</v>
          </cell>
        </row>
        <row r="771">
          <cell r="A771" t="str">
            <v>C1625B14</v>
          </cell>
          <cell r="B771" t="str">
            <v>Helloween</v>
          </cell>
          <cell r="C771" t="str">
            <v>12/1</v>
          </cell>
          <cell r="D771">
            <v>45</v>
          </cell>
        </row>
        <row r="772">
          <cell r="A772" t="str">
            <v>C4925VS</v>
          </cell>
          <cell r="B772" t="str">
            <v>Vše nejlepší k narozeninám</v>
          </cell>
          <cell r="C772" t="str">
            <v>6/1</v>
          </cell>
          <cell r="D772">
            <v>25</v>
          </cell>
        </row>
        <row r="773">
          <cell r="A773" t="str">
            <v>C8825M</v>
          </cell>
          <cell r="B773" t="str">
            <v>Motorhead warior</v>
          </cell>
          <cell r="C773" t="str">
            <v>2/1</v>
          </cell>
          <cell r="D773">
            <v>40</v>
          </cell>
        </row>
        <row r="774">
          <cell r="A774" t="str">
            <v>C8925B</v>
          </cell>
          <cell r="B774" t="str">
            <v>Blue planet eruption</v>
          </cell>
          <cell r="C774" t="str">
            <v>2/1</v>
          </cell>
          <cell r="D774">
            <v>24</v>
          </cell>
        </row>
        <row r="775">
          <cell r="A775" t="str">
            <v>C8925N</v>
          </cell>
          <cell r="B775" t="str">
            <v>Night Chaos</v>
          </cell>
          <cell r="C775" t="str">
            <v>2/1</v>
          </cell>
          <cell r="D775">
            <v>24</v>
          </cell>
        </row>
        <row r="776">
          <cell r="A776" t="str">
            <v>C10025BP</v>
          </cell>
          <cell r="B776" t="str">
            <v>Best price 100/25mm</v>
          </cell>
          <cell r="C776" t="str">
            <v>2/1</v>
          </cell>
          <cell r="D776">
            <v>30</v>
          </cell>
        </row>
        <row r="777">
          <cell r="A777" t="str">
            <v>C10025PR2</v>
          </cell>
          <cell r="B777" t="str">
            <v>Profi show no.2</v>
          </cell>
          <cell r="C777" t="str">
            <v>2/1</v>
          </cell>
          <cell r="D777">
            <v>32</v>
          </cell>
        </row>
        <row r="778">
          <cell r="A778" t="str">
            <v>C9625MF/C14(T)</v>
          </cell>
          <cell r="B778" t="str">
            <v>Profi Fireworks show 96</v>
          </cell>
          <cell r="C778" t="str">
            <v>1/1</v>
          </cell>
          <cell r="D778">
            <v>63</v>
          </cell>
        </row>
        <row r="779">
          <cell r="A779" t="str">
            <v>C9825C/C14(T)</v>
          </cell>
          <cell r="B779" t="str">
            <v>Crazy Night</v>
          </cell>
          <cell r="C779" t="str">
            <v>1/1</v>
          </cell>
          <cell r="D779">
            <v>63</v>
          </cell>
        </row>
        <row r="780">
          <cell r="A780" t="str">
            <v>C9825SIG/C14(T)</v>
          </cell>
          <cell r="B780" t="str">
            <v>Signature range 98ran</v>
          </cell>
          <cell r="C780" t="str">
            <v>1/1</v>
          </cell>
          <cell r="D780">
            <v>63</v>
          </cell>
        </row>
        <row r="781">
          <cell r="A781" t="str">
            <v>C14025XFS/C14(T)</v>
          </cell>
          <cell r="B781" t="str">
            <v>Profi Fireworks show 140</v>
          </cell>
          <cell r="C781" t="str">
            <v>1/1</v>
          </cell>
          <cell r="D781">
            <v>32</v>
          </cell>
        </row>
        <row r="782">
          <cell r="A782" t="str">
            <v>C19225MF/C14(T)</v>
          </cell>
          <cell r="B782" t="str">
            <v>Profi Fireworks show 192</v>
          </cell>
          <cell r="C782" t="str">
            <v>1/1</v>
          </cell>
          <cell r="D782">
            <v>20</v>
          </cell>
        </row>
        <row r="783">
          <cell r="A783" t="str">
            <v>C19625/C14(T)</v>
          </cell>
          <cell r="B783" t="str">
            <v>Fireworks show 196</v>
          </cell>
          <cell r="C783" t="str">
            <v>1/1</v>
          </cell>
          <cell r="D783">
            <v>18</v>
          </cell>
        </row>
        <row r="784">
          <cell r="A784" t="str">
            <v>C9825C/C(T)</v>
          </cell>
          <cell r="B784" t="str">
            <v>Crazy Night</v>
          </cell>
          <cell r="C784" t="str">
            <v>1/1</v>
          </cell>
          <cell r="D784">
            <v>63</v>
          </cell>
        </row>
        <row r="785">
          <cell r="A785" t="str">
            <v>C14025XFS/C(T)</v>
          </cell>
          <cell r="B785" t="str">
            <v>Profi Fireworks show 140</v>
          </cell>
          <cell r="C785" t="str">
            <v>1/1</v>
          </cell>
          <cell r="D785">
            <v>32</v>
          </cell>
        </row>
        <row r="786">
          <cell r="A786" t="str">
            <v>C19625F/C(T)</v>
          </cell>
          <cell r="B786" t="str">
            <v>Fireworks show 196</v>
          </cell>
          <cell r="C786" t="str">
            <v>1/1</v>
          </cell>
          <cell r="D786">
            <v>18</v>
          </cell>
        </row>
        <row r="787">
          <cell r="A787" t="str">
            <v>C9825SIG/C</v>
          </cell>
          <cell r="B787" t="str">
            <v>Signature range 98ran</v>
          </cell>
          <cell r="C787" t="str">
            <v>1/1</v>
          </cell>
          <cell r="D787">
            <v>63</v>
          </cell>
        </row>
        <row r="788">
          <cell r="A788" t="str">
            <v>C20025BPS/C</v>
          </cell>
          <cell r="B788" t="str">
            <v>Best price Slow motion 200/25mm</v>
          </cell>
          <cell r="C788" t="str">
            <v>1/1</v>
          </cell>
          <cell r="D788">
            <v>36</v>
          </cell>
        </row>
        <row r="789">
          <cell r="A789" t="str">
            <v>C30025BPW/C</v>
          </cell>
          <cell r="B789" t="str">
            <v>Best price Wild fire 300/25mm</v>
          </cell>
          <cell r="C789" t="str">
            <v>1/1</v>
          </cell>
          <cell r="D789">
            <v>18</v>
          </cell>
        </row>
        <row r="790">
          <cell r="A790" t="str">
            <v>C9825SIG/C(T)</v>
          </cell>
          <cell r="B790" t="str">
            <v>Signature range 98ran</v>
          </cell>
          <cell r="C790" t="str">
            <v>1/1</v>
          </cell>
          <cell r="D790">
            <v>63</v>
          </cell>
        </row>
        <row r="791">
          <cell r="A791" t="str">
            <v>C17825W/C(T)</v>
          </cell>
          <cell r="B791" t="str">
            <v>War of worlds</v>
          </cell>
          <cell r="C791" t="str">
            <v>1/1</v>
          </cell>
          <cell r="D791">
            <v>18</v>
          </cell>
        </row>
        <row r="792">
          <cell r="A792" t="str">
            <v>C20025F/C(T)</v>
          </cell>
          <cell r="B792" t="str">
            <v>Fireworks show 200/25mm</v>
          </cell>
          <cell r="C792" t="str">
            <v>1/1</v>
          </cell>
          <cell r="D792">
            <v>36</v>
          </cell>
        </row>
        <row r="793">
          <cell r="A793" t="str">
            <v>C30025F/C(T)</v>
          </cell>
          <cell r="B793" t="str">
            <v>Fireworks show 300</v>
          </cell>
          <cell r="C793" t="str">
            <v>1/1</v>
          </cell>
          <cell r="D793">
            <v>18</v>
          </cell>
        </row>
        <row r="794">
          <cell r="A794" t="str">
            <v>C30025BPW/C(T)</v>
          </cell>
          <cell r="B794" t="str">
            <v>Best price Wild fire 300/25mm</v>
          </cell>
          <cell r="C794" t="str">
            <v>1/1</v>
          </cell>
          <cell r="D794">
            <v>18</v>
          </cell>
        </row>
        <row r="795">
          <cell r="A795" t="str">
            <v>C40025F/C(T)</v>
          </cell>
          <cell r="B795" t="str">
            <v>Fireworks show 400</v>
          </cell>
          <cell r="C795" t="str">
            <v>1/1</v>
          </cell>
          <cell r="D795">
            <v>18</v>
          </cell>
        </row>
        <row r="796">
          <cell r="A796" t="str">
            <v>C193F</v>
          </cell>
          <cell r="B796" t="str">
            <v>Maska</v>
          </cell>
          <cell r="C796" t="str">
            <v>8/1</v>
          </cell>
          <cell r="D796">
            <v>24</v>
          </cell>
        </row>
        <row r="797">
          <cell r="A797" t="str">
            <v>C253BPF14</v>
          </cell>
          <cell r="B797" t="str">
            <v>Best price-Frozen 25/30mm</v>
          </cell>
          <cell r="C797" t="str">
            <v>6/1</v>
          </cell>
          <cell r="D797">
            <v>28</v>
          </cell>
        </row>
        <row r="798">
          <cell r="A798" t="str">
            <v>C363BPF</v>
          </cell>
          <cell r="B798" t="str">
            <v>Best price-Frozen 36/30mm</v>
          </cell>
          <cell r="C798" t="str">
            <v>4/1</v>
          </cell>
          <cell r="D798">
            <v>14</v>
          </cell>
        </row>
        <row r="799">
          <cell r="A799" t="str">
            <v>C493BP</v>
          </cell>
          <cell r="B799" t="str">
            <v>Best price 49/30mm</v>
          </cell>
          <cell r="C799" t="str">
            <v>2/1</v>
          </cell>
          <cell r="D799">
            <v>42</v>
          </cell>
        </row>
        <row r="800">
          <cell r="A800" t="str">
            <v>C503WI</v>
          </cell>
          <cell r="B800" t="str">
            <v xml:space="preserve">Winner </v>
          </cell>
          <cell r="C800" t="str">
            <v>2/1</v>
          </cell>
          <cell r="D800">
            <v>36</v>
          </cell>
        </row>
        <row r="801">
          <cell r="A801" t="str">
            <v>C643BPF</v>
          </cell>
          <cell r="B801" t="str">
            <v>Best price-Frozen 64/30mm</v>
          </cell>
          <cell r="C801" t="str">
            <v>2/1</v>
          </cell>
          <cell r="D801">
            <v>24</v>
          </cell>
        </row>
        <row r="802">
          <cell r="A802" t="str">
            <v>C643M</v>
          </cell>
          <cell r="B802" t="str">
            <v>Meteor 64ran</v>
          </cell>
          <cell r="C802" t="str">
            <v>2/1</v>
          </cell>
          <cell r="D802">
            <v>24</v>
          </cell>
        </row>
        <row r="803">
          <cell r="A803" t="str">
            <v>C643MN</v>
          </cell>
          <cell r="B803" t="str">
            <v>New fire Power</v>
          </cell>
          <cell r="C803" t="str">
            <v>2/1</v>
          </cell>
          <cell r="D803">
            <v>12</v>
          </cell>
        </row>
        <row r="804">
          <cell r="A804" t="str">
            <v>C1003B/C14</v>
          </cell>
          <cell r="B804" t="str">
            <v>Big Brother F2</v>
          </cell>
          <cell r="C804" t="str">
            <v>1/1</v>
          </cell>
          <cell r="D804">
            <v>36</v>
          </cell>
        </row>
        <row r="805">
          <cell r="A805" t="str">
            <v>C503BW/C14(T)</v>
          </cell>
          <cell r="B805" t="str">
            <v>Brocade War 50</v>
          </cell>
          <cell r="C805" t="str">
            <v>1/1</v>
          </cell>
          <cell r="D805">
            <v>84</v>
          </cell>
        </row>
        <row r="806">
          <cell r="A806" t="str">
            <v>C503TS/C14(T)</v>
          </cell>
          <cell r="B806" t="str">
            <v>Turbo 30mm shots 25</v>
          </cell>
          <cell r="C806" t="str">
            <v>1/1</v>
          </cell>
          <cell r="D806">
            <v>84</v>
          </cell>
        </row>
        <row r="807">
          <cell r="A807" t="str">
            <v>C503RO/C14(T)</v>
          </cell>
          <cell r="B807" t="str">
            <v>Royal F2</v>
          </cell>
          <cell r="C807" t="str">
            <v>1/1</v>
          </cell>
          <cell r="D807">
            <v>84</v>
          </cell>
        </row>
        <row r="808">
          <cell r="A808" t="str">
            <v>C503F/C14(T)</v>
          </cell>
          <cell r="B808" t="str">
            <v>Fireworks show 50</v>
          </cell>
          <cell r="C808" t="str">
            <v>1/1</v>
          </cell>
          <cell r="D808">
            <v>84</v>
          </cell>
        </row>
        <row r="809">
          <cell r="A809" t="str">
            <v>C503NID/C14(T)</v>
          </cell>
          <cell r="B809" t="str">
            <v>New identity series 50/30mm</v>
          </cell>
          <cell r="C809" t="str">
            <v>1/1</v>
          </cell>
          <cell r="D809">
            <v>84</v>
          </cell>
        </row>
        <row r="810">
          <cell r="A810" t="str">
            <v>C503SIG/C14(T)</v>
          </cell>
          <cell r="B810" t="str">
            <v>Signature range 50/F2</v>
          </cell>
          <cell r="C810" t="str">
            <v>1/1</v>
          </cell>
          <cell r="D810">
            <v>84</v>
          </cell>
        </row>
        <row r="811">
          <cell r="A811" t="str">
            <v>C1003B/C14(T)</v>
          </cell>
          <cell r="B811" t="str">
            <v>Big Brother F2</v>
          </cell>
          <cell r="C811" t="str">
            <v>1/1</v>
          </cell>
          <cell r="D811">
            <v>36</v>
          </cell>
        </row>
        <row r="812">
          <cell r="A812" t="str">
            <v>C1003NO/C14(T)</v>
          </cell>
          <cell r="B812" t="str">
            <v>No sound Fireworks</v>
          </cell>
          <cell r="C812" t="str">
            <v>1/1</v>
          </cell>
          <cell r="D812">
            <v>42</v>
          </cell>
        </row>
        <row r="813">
          <cell r="A813" t="str">
            <v>C10030XF/C14(T)</v>
          </cell>
          <cell r="B813" t="str">
            <v>Profi Fireworks show 100</v>
          </cell>
          <cell r="C813" t="str">
            <v>1/1</v>
          </cell>
          <cell r="D813">
            <v>24</v>
          </cell>
        </row>
        <row r="814">
          <cell r="A814" t="str">
            <v>C1163MB/C14(T)</v>
          </cell>
          <cell r="B814" t="str">
            <v>Best pyro in town</v>
          </cell>
          <cell r="C814" t="str">
            <v>1/1</v>
          </cell>
          <cell r="D814">
            <v>14</v>
          </cell>
        </row>
        <row r="815">
          <cell r="A815" t="str">
            <v>C12230XPT/C14(T)</v>
          </cell>
          <cell r="B815" t="str">
            <v>Pyrotechnology 2020 122sh</v>
          </cell>
          <cell r="C815" t="str">
            <v>1/1</v>
          </cell>
          <cell r="D815">
            <v>24</v>
          </cell>
        </row>
        <row r="816">
          <cell r="A816" t="str">
            <v>CF1003P/C</v>
          </cell>
          <cell r="B816" t="str">
            <v xml:space="preserve">Profi Pyro show </v>
          </cell>
          <cell r="C816" t="str">
            <v>1/1</v>
          </cell>
          <cell r="D816">
            <v>24</v>
          </cell>
        </row>
        <row r="817">
          <cell r="A817" t="str">
            <v>C1003BP/C(T)</v>
          </cell>
          <cell r="B817" t="str">
            <v>Best price 100/30mm</v>
          </cell>
          <cell r="C817" t="str">
            <v>1/1</v>
          </cell>
          <cell r="D817">
            <v>36</v>
          </cell>
        </row>
        <row r="818">
          <cell r="A818" t="str">
            <v>C1003BPF/C(T)</v>
          </cell>
          <cell r="B818" t="str">
            <v>Best price-Frozen 100/30mm</v>
          </cell>
          <cell r="C818" t="str">
            <v>1/1</v>
          </cell>
          <cell r="D818">
            <v>36</v>
          </cell>
        </row>
        <row r="819">
          <cell r="A819" t="str">
            <v>C1003NID/C(T)</v>
          </cell>
          <cell r="B819" t="str">
            <v>New identity series 100/30mm</v>
          </cell>
          <cell r="C819" t="str">
            <v>1/1</v>
          </cell>
          <cell r="D819">
            <v>36</v>
          </cell>
        </row>
        <row r="820">
          <cell r="A820" t="str">
            <v>C1003BB/C(T)</v>
          </cell>
          <cell r="B820" t="str">
            <v>Big Brother</v>
          </cell>
          <cell r="C820" t="str">
            <v>1/1</v>
          </cell>
          <cell r="D820">
            <v>36</v>
          </cell>
        </row>
        <row r="821">
          <cell r="A821" t="str">
            <v>C1003SIG/C(T)</v>
          </cell>
          <cell r="B821" t="str">
            <v>Signature range 100ran</v>
          </cell>
          <cell r="C821" t="str">
            <v>1/1</v>
          </cell>
          <cell r="D821">
            <v>36</v>
          </cell>
        </row>
        <row r="822">
          <cell r="A822" t="str">
            <v>C1003VS/C(T)</v>
          </cell>
          <cell r="B822" t="str">
            <v>Vše nejlepší k narozeninám</v>
          </cell>
          <cell r="C822" t="str">
            <v>1/1</v>
          </cell>
          <cell r="D822">
            <v>36</v>
          </cell>
        </row>
        <row r="823">
          <cell r="A823" t="str">
            <v>CF1003P/C(T)</v>
          </cell>
          <cell r="B823" t="str">
            <v xml:space="preserve">Profi Pyro show </v>
          </cell>
          <cell r="C823" t="str">
            <v>1/1</v>
          </cell>
          <cell r="D823">
            <v>24</v>
          </cell>
        </row>
        <row r="824">
          <cell r="A824" t="str">
            <v>C128XMPT/C(T)</v>
          </cell>
          <cell r="B824" t="str">
            <v>Pyrotechnology 2020 128sh</v>
          </cell>
          <cell r="C824" t="str">
            <v>1/1</v>
          </cell>
          <cell r="D824">
            <v>12</v>
          </cell>
        </row>
        <row r="825">
          <cell r="A825" t="str">
            <v>C128XMB/C(T)</v>
          </cell>
          <cell r="B825" t="str">
            <v>Big sellers</v>
          </cell>
          <cell r="C825" t="str">
            <v>1/1</v>
          </cell>
          <cell r="D825">
            <v>18</v>
          </cell>
        </row>
        <row r="826">
          <cell r="A826" t="str">
            <v>C1503X/C(T)</v>
          </cell>
          <cell r="B826" t="str">
            <v>XXXL 150ran</v>
          </cell>
          <cell r="C826" t="str">
            <v>1/1</v>
          </cell>
          <cell r="D826">
            <v>24</v>
          </cell>
        </row>
        <row r="827">
          <cell r="A827" t="str">
            <v>C1503BPF/C(T)</v>
          </cell>
          <cell r="B827" t="str">
            <v>Best price-Frozen 150/30mm</v>
          </cell>
          <cell r="C827" t="str">
            <v>1/1</v>
          </cell>
          <cell r="D827">
            <v>24</v>
          </cell>
        </row>
        <row r="828">
          <cell r="A828" t="str">
            <v>C2003BP/C(T)</v>
          </cell>
          <cell r="B828" t="str">
            <v>Best price 200/30mm</v>
          </cell>
          <cell r="C828" t="str">
            <v>1/1</v>
          </cell>
          <cell r="D828">
            <v>18</v>
          </cell>
        </row>
        <row r="829">
          <cell r="A829" t="str">
            <v>C2003U/C(T)</v>
          </cell>
          <cell r="B829" t="str">
            <v xml:space="preserve">Universe </v>
          </cell>
          <cell r="C829" t="str">
            <v>1/1</v>
          </cell>
          <cell r="D829">
            <v>18</v>
          </cell>
        </row>
        <row r="830">
          <cell r="A830" t="str">
            <v>C2003SIG/C(T)</v>
          </cell>
          <cell r="B830" t="str">
            <v>Signature range 200ran</v>
          </cell>
          <cell r="C830" t="str">
            <v>1/1</v>
          </cell>
          <cell r="D830">
            <v>18</v>
          </cell>
        </row>
        <row r="831">
          <cell r="A831" t="str">
            <v>C2563XMF/C(T)</v>
          </cell>
          <cell r="B831" t="str">
            <v>Profi Fireworks show 256- I+V+W+FAN</v>
          </cell>
          <cell r="C831" t="str">
            <v>1/1</v>
          </cell>
          <cell r="D831">
            <v>7</v>
          </cell>
        </row>
        <row r="832">
          <cell r="A832" t="str">
            <v>C505X/C(T)</v>
          </cell>
          <cell r="B832" t="str">
            <v>XXXL 50ran</v>
          </cell>
          <cell r="C832" t="str">
            <v>1/1</v>
          </cell>
          <cell r="D832">
            <v>20</v>
          </cell>
        </row>
        <row r="833">
          <cell r="A833" t="str">
            <v>C505V/C(T)</v>
          </cell>
          <cell r="B833" t="str">
            <v xml:space="preserve">Vietnam </v>
          </cell>
          <cell r="C833" t="str">
            <v>1/1</v>
          </cell>
          <cell r="D833">
            <v>20</v>
          </cell>
        </row>
        <row r="834">
          <cell r="A834" t="str">
            <v>C755R/C(T)</v>
          </cell>
          <cell r="B834" t="str">
            <v xml:space="preserve">Refresh </v>
          </cell>
          <cell r="C834" t="str">
            <v>1/1</v>
          </cell>
          <cell r="D834">
            <v>10</v>
          </cell>
        </row>
        <row r="835">
          <cell r="A835" t="str">
            <v>C10545GI/C(T)</v>
          </cell>
          <cell r="B835" t="str">
            <v>Gigant 105</v>
          </cell>
          <cell r="C835" t="str">
            <v>1/1</v>
          </cell>
          <cell r="D835">
            <v>15</v>
          </cell>
        </row>
        <row r="836">
          <cell r="A836" t="str">
            <v>C4963V</v>
          </cell>
          <cell r="B836" t="str">
            <v>No Limit 49! (Victory celebration)</v>
          </cell>
          <cell r="C836" t="str">
            <v>1/1</v>
          </cell>
          <cell r="D836">
            <v>8</v>
          </cell>
        </row>
        <row r="837">
          <cell r="A837" t="str">
            <v>C64MT14</v>
          </cell>
          <cell r="B837" t="str">
            <v>Texas Holdem</v>
          </cell>
          <cell r="C837" t="str">
            <v>4/1</v>
          </cell>
          <cell r="D837">
            <v>36</v>
          </cell>
        </row>
        <row r="838">
          <cell r="A838" t="str">
            <v>C68XMCS</v>
          </cell>
          <cell r="B838" t="str">
            <v>Colorful Sky</v>
          </cell>
          <cell r="C838" t="str">
            <v>6/1</v>
          </cell>
          <cell r="D838">
            <v>15</v>
          </cell>
        </row>
        <row r="839">
          <cell r="A839" t="str">
            <v>C68XMCS14</v>
          </cell>
          <cell r="B839" t="str">
            <v>Colorful Sky</v>
          </cell>
          <cell r="C839" t="str">
            <v>6/1</v>
          </cell>
          <cell r="D839">
            <v>15</v>
          </cell>
        </row>
        <row r="840">
          <cell r="A840" t="str">
            <v>C132XMPT/C14</v>
          </cell>
          <cell r="B840" t="str">
            <v>Pyrotechnology 2020 132sh</v>
          </cell>
          <cell r="C840" t="str">
            <v>1/1</v>
          </cell>
          <cell r="D840">
            <v>32</v>
          </cell>
        </row>
        <row r="841">
          <cell r="A841" t="str">
            <v>C100MTS/C14(T)</v>
          </cell>
          <cell r="B841" t="str">
            <v>Turbo multi shots 55</v>
          </cell>
          <cell r="C841" t="str">
            <v>1/1</v>
          </cell>
          <cell r="D841">
            <v>48</v>
          </cell>
        </row>
        <row r="842">
          <cell r="A842" t="str">
            <v>C100MPT/C14(T)</v>
          </cell>
          <cell r="B842" t="str">
            <v>Pyrotechnology 2020 100sh</v>
          </cell>
          <cell r="C842" t="str">
            <v>1/1</v>
          </cell>
          <cell r="D842">
            <v>48</v>
          </cell>
        </row>
        <row r="843">
          <cell r="A843" t="str">
            <v>C128MS/C14(T)</v>
          </cell>
          <cell r="B843" t="str">
            <v>Silver Sky</v>
          </cell>
          <cell r="C843" t="str">
            <v>1/1</v>
          </cell>
          <cell r="D843">
            <v>63</v>
          </cell>
        </row>
        <row r="844">
          <cell r="A844" t="str">
            <v>C132XMPT/C14(T)</v>
          </cell>
          <cell r="B844" t="str">
            <v>Pyrotechnology 2020 132sh</v>
          </cell>
          <cell r="C844" t="str">
            <v>1/1</v>
          </cell>
          <cell r="D844">
            <v>32</v>
          </cell>
        </row>
        <row r="845">
          <cell r="A845" t="str">
            <v>C136XMTS/C14(T)</v>
          </cell>
          <cell r="B845" t="str">
            <v>Turbo multi shots 70</v>
          </cell>
          <cell r="C845" t="str">
            <v>1/1</v>
          </cell>
          <cell r="D845">
            <v>32</v>
          </cell>
        </row>
        <row r="846">
          <cell r="A846" t="str">
            <v>C136XMK/C14(T)</v>
          </cell>
          <cell r="B846" t="str">
            <v>King fireworks 136</v>
          </cell>
          <cell r="C846" t="str">
            <v>1/1</v>
          </cell>
          <cell r="D846">
            <v>32</v>
          </cell>
        </row>
        <row r="847">
          <cell r="A847" t="str">
            <v>C150MF/C14(T)</v>
          </cell>
          <cell r="B847" t="str">
            <v>Profi Fireworks show 150</v>
          </cell>
          <cell r="C847" t="str">
            <v>1/1</v>
          </cell>
          <cell r="D847">
            <v>32</v>
          </cell>
        </row>
        <row r="848">
          <cell r="A848" t="str">
            <v>C200MF/C14(T)</v>
          </cell>
          <cell r="B848" t="str">
            <v>Profi Fireworks show 200</v>
          </cell>
          <cell r="C848" t="str">
            <v>1/1</v>
          </cell>
          <cell r="D848">
            <v>24</v>
          </cell>
        </row>
        <row r="849">
          <cell r="A849" t="str">
            <v>C204XMPT/C14(T)</v>
          </cell>
          <cell r="B849" t="str">
            <v>Pyrotechnology 2020 204sh</v>
          </cell>
          <cell r="C849" t="str">
            <v>1/1</v>
          </cell>
          <cell r="D849">
            <v>21</v>
          </cell>
        </row>
        <row r="850">
          <cell r="A850" t="str">
            <v>C216XMFS/C14(T)</v>
          </cell>
          <cell r="B850" t="str">
            <v>Profi Fireworks show 216</v>
          </cell>
          <cell r="C850" t="str">
            <v>1/1</v>
          </cell>
          <cell r="D850">
            <v>32</v>
          </cell>
        </row>
        <row r="851">
          <cell r="A851" t="str">
            <v>C223XMK/C14(T)</v>
          </cell>
          <cell r="B851" t="str">
            <v>King fireworks 223</v>
          </cell>
          <cell r="C851" t="str">
            <v>1/1</v>
          </cell>
          <cell r="D851">
            <v>18</v>
          </cell>
        </row>
        <row r="852">
          <cell r="A852" t="str">
            <v>C132XMPT/C(T)</v>
          </cell>
          <cell r="B852" t="str">
            <v>Pyrotechnology 2020 132sh</v>
          </cell>
          <cell r="C852" t="str">
            <v>1/1</v>
          </cell>
          <cell r="D852">
            <v>32</v>
          </cell>
        </row>
        <row r="853">
          <cell r="A853" t="str">
            <v>C150MPT/C(T)</v>
          </cell>
          <cell r="B853" t="str">
            <v>Pyrotechnology 2020 150sh</v>
          </cell>
          <cell r="C853" t="str">
            <v>1/1</v>
          </cell>
          <cell r="D853">
            <v>32</v>
          </cell>
        </row>
        <row r="854">
          <cell r="A854" t="str">
            <v>C150MF/C(T)</v>
          </cell>
          <cell r="B854" t="str">
            <v>Profi Fireworks show 150</v>
          </cell>
          <cell r="C854" t="str">
            <v>1/1</v>
          </cell>
          <cell r="D854">
            <v>32</v>
          </cell>
        </row>
        <row r="855">
          <cell r="A855" t="str">
            <v>C200MF/C(T)</v>
          </cell>
          <cell r="B855" t="str">
            <v>Profi Fireworks show 200</v>
          </cell>
          <cell r="C855" t="str">
            <v>1/1</v>
          </cell>
          <cell r="D855">
            <v>24</v>
          </cell>
        </row>
        <row r="856">
          <cell r="A856" t="str">
            <v>C204XMPT/C(T)</v>
          </cell>
          <cell r="B856" t="str">
            <v>Pyrotechnology 2020 204sh</v>
          </cell>
          <cell r="C856" t="str">
            <v>1/1</v>
          </cell>
          <cell r="D856">
            <v>21</v>
          </cell>
        </row>
        <row r="857">
          <cell r="A857" t="str">
            <v>C216XMFS/C(T)</v>
          </cell>
          <cell r="B857" t="str">
            <v>Profi Fireworks show 216</v>
          </cell>
          <cell r="C857" t="str">
            <v>1/1</v>
          </cell>
          <cell r="D857">
            <v>32</v>
          </cell>
        </row>
        <row r="858">
          <cell r="A858" t="str">
            <v>C223XMK/C(T)</v>
          </cell>
          <cell r="B858" t="str">
            <v>King fireworks 223</v>
          </cell>
          <cell r="C858" t="str">
            <v>1/1</v>
          </cell>
          <cell r="D858">
            <v>18</v>
          </cell>
        </row>
        <row r="859">
          <cell r="A859" t="str">
            <v>C223MF/C</v>
          </cell>
          <cell r="B859" t="str">
            <v>Profi Fireworks show 223</v>
          </cell>
          <cell r="C859" t="str">
            <v>1/1</v>
          </cell>
          <cell r="D859">
            <v>24</v>
          </cell>
        </row>
        <row r="860">
          <cell r="A860" t="str">
            <v>C446MM/C</v>
          </cell>
          <cell r="B860" t="str">
            <v>Mighty thunder</v>
          </cell>
          <cell r="C860" t="str">
            <v>1/1</v>
          </cell>
          <cell r="D860">
            <v>8</v>
          </cell>
        </row>
        <row r="861">
          <cell r="A861" t="str">
            <v>C212MF/C(T)</v>
          </cell>
          <cell r="B861" t="str">
            <v>Profi Fireworks show 212</v>
          </cell>
          <cell r="C861" t="str">
            <v>1/1</v>
          </cell>
          <cell r="D861">
            <v>24</v>
          </cell>
        </row>
        <row r="862">
          <cell r="A862" t="str">
            <v>C219XMPT/C(T)</v>
          </cell>
          <cell r="B862" t="str">
            <v>Pyrotechnology 2020 219sh</v>
          </cell>
          <cell r="C862" t="str">
            <v>1/1</v>
          </cell>
          <cell r="D862">
            <v>12</v>
          </cell>
        </row>
        <row r="863">
          <cell r="A863" t="str">
            <v>C223MF/C(T)</v>
          </cell>
          <cell r="B863" t="str">
            <v>Fireworks show 223</v>
          </cell>
          <cell r="C863" t="str">
            <v>1/1</v>
          </cell>
          <cell r="D863">
            <v>24</v>
          </cell>
        </row>
        <row r="864">
          <cell r="A864" t="str">
            <v>C253XMPT/C(T)</v>
          </cell>
          <cell r="B864" t="str">
            <v>Pyrotechnology 2020 253sh</v>
          </cell>
          <cell r="C864" t="str">
            <v>1/1</v>
          </cell>
          <cell r="D864">
            <v>14</v>
          </cell>
        </row>
        <row r="865">
          <cell r="A865" t="str">
            <v>C379XMK/C(T)</v>
          </cell>
          <cell r="B865" t="str">
            <v>King fireworks 379</v>
          </cell>
          <cell r="C865" t="str">
            <v>1/1</v>
          </cell>
          <cell r="D865">
            <v>14</v>
          </cell>
        </row>
        <row r="866">
          <cell r="A866" t="str">
            <v>C446MM/C(T)</v>
          </cell>
          <cell r="B866" t="str">
            <v>Mighty thunder</v>
          </cell>
          <cell r="C866" t="str">
            <v>1/1</v>
          </cell>
          <cell r="D866">
            <v>8</v>
          </cell>
        </row>
        <row r="867">
          <cell r="A867" t="str">
            <v>C47MI</v>
          </cell>
          <cell r="B867" t="str">
            <v>Ivánek</v>
          </cell>
          <cell r="C867" t="str">
            <v>2/1</v>
          </cell>
          <cell r="D867">
            <v>30</v>
          </cell>
        </row>
        <row r="868">
          <cell r="A868" t="str">
            <v>C47XMA</v>
          </cell>
          <cell r="B868" t="str">
            <v>Angry beats</v>
          </cell>
          <cell r="C868" t="str">
            <v>2/1</v>
          </cell>
          <cell r="D868">
            <v>10</v>
          </cell>
        </row>
        <row r="869">
          <cell r="A869" t="str">
            <v>C62SMT</v>
          </cell>
          <cell r="B869" t="str">
            <v>The Sky Breaker</v>
          </cell>
          <cell r="C869" t="str">
            <v>2/1</v>
          </cell>
          <cell r="D869">
            <v>24</v>
          </cell>
        </row>
        <row r="870">
          <cell r="A870" t="str">
            <v>C63MP</v>
          </cell>
          <cell r="B870" t="str">
            <v>Prehistoric</v>
          </cell>
          <cell r="C870" t="str">
            <v>3/1</v>
          </cell>
          <cell r="D870">
            <v>18</v>
          </cell>
        </row>
        <row r="871">
          <cell r="A871" t="str">
            <v>C84M12S/C</v>
          </cell>
          <cell r="B871" t="str">
            <v>Show time</v>
          </cell>
          <cell r="C871" t="str">
            <v>1/1</v>
          </cell>
          <cell r="D871">
            <v>30</v>
          </cell>
        </row>
        <row r="872">
          <cell r="A872" t="str">
            <v>C175MF/C</v>
          </cell>
          <cell r="B872" t="str">
            <v>Profi Fireworks show 175</v>
          </cell>
          <cell r="C872" t="str">
            <v>1/1</v>
          </cell>
          <cell r="D872">
            <v>15</v>
          </cell>
        </row>
        <row r="873">
          <cell r="A873" t="str">
            <v>C84M12F/C(T)</v>
          </cell>
          <cell r="B873" t="str">
            <v>Fireworks show 84</v>
          </cell>
          <cell r="C873" t="str">
            <v>1/1</v>
          </cell>
          <cell r="D873">
            <v>36</v>
          </cell>
        </row>
        <row r="874">
          <cell r="A874" t="str">
            <v>C84M12S/C(T)</v>
          </cell>
          <cell r="B874" t="str">
            <v>Show time</v>
          </cell>
          <cell r="C874" t="str">
            <v>1/1</v>
          </cell>
          <cell r="D874">
            <v>30</v>
          </cell>
        </row>
        <row r="875">
          <cell r="A875" t="str">
            <v>C84MC/C(T)</v>
          </cell>
          <cell r="B875" t="str">
            <v xml:space="preserve">City of Earth  </v>
          </cell>
          <cell r="C875" t="str">
            <v>1/1</v>
          </cell>
          <cell r="D875">
            <v>24</v>
          </cell>
        </row>
        <row r="876">
          <cell r="A876" t="str">
            <v>C111MF/C(T)</v>
          </cell>
          <cell r="B876" t="str">
            <v>Fireworks show 111</v>
          </cell>
          <cell r="C876" t="str">
            <v>1/1</v>
          </cell>
          <cell r="D876">
            <v>10</v>
          </cell>
        </row>
        <row r="877">
          <cell r="A877" t="str">
            <v>C175MF/C(T)</v>
          </cell>
          <cell r="B877" t="str">
            <v>Profi Fireworks show 175</v>
          </cell>
          <cell r="C877" t="str">
            <v>1/1</v>
          </cell>
          <cell r="D877">
            <v>15</v>
          </cell>
        </row>
        <row r="878">
          <cell r="A878" t="str">
            <v>C175MSIG/C(T)</v>
          </cell>
          <cell r="B878" t="str">
            <v>Signature range 175ran</v>
          </cell>
          <cell r="C878" t="str">
            <v>1/1</v>
          </cell>
          <cell r="D878">
            <v>15</v>
          </cell>
        </row>
        <row r="879">
          <cell r="A879" t="str">
            <v>C222MNPT/C(T)</v>
          </cell>
          <cell r="B879" t="str">
            <v>Pyrotechnology 2020 222sh</v>
          </cell>
          <cell r="C879" t="str">
            <v>1/1</v>
          </cell>
          <cell r="D879">
            <v>6</v>
          </cell>
        </row>
        <row r="880">
          <cell r="A880" t="str">
            <v>C222MF/C(T)</v>
          </cell>
          <cell r="B880" t="str">
            <v>Profi Fireworks show 222</v>
          </cell>
          <cell r="C880" t="str">
            <v>1/1</v>
          </cell>
          <cell r="D880">
            <v>6</v>
          </cell>
        </row>
        <row r="881">
          <cell r="A881" t="str">
            <v>HF-51-2227</v>
          </cell>
          <cell r="B881" t="str">
            <v>Peking Opera 1            51sh/30mm</v>
          </cell>
          <cell r="C881" t="str">
            <v>1/1</v>
          </cell>
          <cell r="D881">
            <v>54</v>
          </cell>
        </row>
        <row r="882">
          <cell r="A882" t="str">
            <v>R7538D</v>
          </cell>
          <cell r="B882" t="str">
            <v xml:space="preserve">Golden tail </v>
          </cell>
          <cell r="C882" t="str">
            <v>1/1</v>
          </cell>
          <cell r="D882">
            <v>40</v>
          </cell>
        </row>
        <row r="883">
          <cell r="A883" t="str">
            <v>R7538CH</v>
          </cell>
          <cell r="B883" t="str">
            <v>Crackling tail</v>
          </cell>
          <cell r="C883" t="str">
            <v>1/1</v>
          </cell>
          <cell r="D883">
            <v>40</v>
          </cell>
        </row>
        <row r="884">
          <cell r="A884" t="str">
            <v>SS30G</v>
          </cell>
          <cell r="B884" t="str">
            <v>Green glitter willow tail</v>
          </cell>
          <cell r="C884" t="str">
            <v>1/1</v>
          </cell>
          <cell r="D884">
            <v>20</v>
          </cell>
        </row>
        <row r="885">
          <cell r="A885" t="str">
            <v>SS30H</v>
          </cell>
          <cell r="B885" t="str">
            <v>Silver glitter willow tail</v>
          </cell>
          <cell r="C885" t="str">
            <v>1/1</v>
          </cell>
          <cell r="D885">
            <v>20</v>
          </cell>
        </row>
        <row r="886">
          <cell r="A886" t="str">
            <v>SS30CH</v>
          </cell>
          <cell r="B886" t="str">
            <v>Crackling tail</v>
          </cell>
          <cell r="C886" t="str">
            <v>1/1</v>
          </cell>
          <cell r="D886">
            <v>20</v>
          </cell>
        </row>
        <row r="887">
          <cell r="A887" t="str">
            <v>SS50F</v>
          </cell>
          <cell r="B887" t="str">
            <v>Sea blue+red glitter mine</v>
          </cell>
          <cell r="C887" t="str">
            <v>1/1</v>
          </cell>
          <cell r="D887">
            <v>20</v>
          </cell>
        </row>
        <row r="888">
          <cell r="A888" t="str">
            <v>SS50M</v>
          </cell>
          <cell r="B888" t="str">
            <v>Special colour strobing mine</v>
          </cell>
          <cell r="C888" t="str">
            <v>1/1</v>
          </cell>
          <cell r="D888">
            <v>20</v>
          </cell>
        </row>
        <row r="889">
          <cell r="A889" t="str">
            <v>CS1352X5</v>
          </cell>
          <cell r="B889" t="str">
            <v>Storm new age-S type</v>
          </cell>
          <cell r="C889" t="str">
            <v>1/1</v>
          </cell>
          <cell r="D889">
            <v>20</v>
          </cell>
        </row>
        <row r="890">
          <cell r="A890" t="str">
            <v>CF1352X7</v>
          </cell>
          <cell r="B890" t="str">
            <v>Storm new age-Fan shape</v>
          </cell>
          <cell r="C890" t="str">
            <v>1/1</v>
          </cell>
          <cell r="D890">
            <v>20</v>
          </cell>
        </row>
        <row r="891">
          <cell r="A891" t="str">
            <v>CF503X16</v>
          </cell>
          <cell r="B891" t="str">
            <v>Storm new age</v>
          </cell>
          <cell r="C891" t="str">
            <v>1/1</v>
          </cell>
          <cell r="D891">
            <v>28</v>
          </cell>
        </row>
        <row r="892">
          <cell r="A892" t="str">
            <v>CS503X17</v>
          </cell>
          <cell r="B892" t="str">
            <v>Storm new age</v>
          </cell>
          <cell r="C892" t="str">
            <v>1/1</v>
          </cell>
          <cell r="D892">
            <v>28</v>
          </cell>
        </row>
        <row r="893">
          <cell r="A893" t="str">
            <v>CS503X18</v>
          </cell>
          <cell r="B893" t="str">
            <v>Storm new age</v>
          </cell>
          <cell r="C893" t="str">
            <v>1/1</v>
          </cell>
          <cell r="D893">
            <v>28</v>
          </cell>
        </row>
        <row r="894">
          <cell r="A894" t="str">
            <v>CS503X20</v>
          </cell>
          <cell r="B894" t="str">
            <v>Storm new age</v>
          </cell>
          <cell r="C894" t="str">
            <v>1/1</v>
          </cell>
          <cell r="D894">
            <v>28</v>
          </cell>
        </row>
        <row r="895">
          <cell r="A895" t="str">
            <v>CS503X21</v>
          </cell>
          <cell r="B895" t="str">
            <v>Storm new age</v>
          </cell>
          <cell r="C895" t="str">
            <v>1/1</v>
          </cell>
          <cell r="D895">
            <v>28</v>
          </cell>
        </row>
        <row r="896">
          <cell r="A896" t="str">
            <v>CS503X29</v>
          </cell>
          <cell r="B896" t="str">
            <v>Storm new age</v>
          </cell>
          <cell r="C896" t="str">
            <v>1/1</v>
          </cell>
          <cell r="D896">
            <v>28</v>
          </cell>
        </row>
        <row r="897">
          <cell r="A897" t="str">
            <v>CS503X35</v>
          </cell>
          <cell r="B897" t="str">
            <v>Storm new age</v>
          </cell>
          <cell r="C897" t="str">
            <v>1/1</v>
          </cell>
          <cell r="D897">
            <v>28</v>
          </cell>
        </row>
        <row r="898">
          <cell r="A898" t="str">
            <v>CS503X37</v>
          </cell>
          <cell r="B898" t="str">
            <v>Storm new age</v>
          </cell>
          <cell r="C898" t="str">
            <v>1/1</v>
          </cell>
          <cell r="D898">
            <v>28</v>
          </cell>
        </row>
        <row r="899">
          <cell r="A899" t="str">
            <v>CS503X55</v>
          </cell>
          <cell r="B899" t="str">
            <v>Storm new age</v>
          </cell>
          <cell r="C899" t="str">
            <v>1/1</v>
          </cell>
          <cell r="D899">
            <v>28</v>
          </cell>
        </row>
        <row r="900">
          <cell r="A900" t="str">
            <v>CV503X41</v>
          </cell>
          <cell r="B900" t="str">
            <v>Storm new age</v>
          </cell>
          <cell r="C900" t="str">
            <v>1/1</v>
          </cell>
          <cell r="D900">
            <v>28</v>
          </cell>
        </row>
        <row r="901">
          <cell r="A901" t="str">
            <v>CV503X44</v>
          </cell>
          <cell r="B901" t="str">
            <v>Storm new age</v>
          </cell>
          <cell r="C901" t="str">
            <v>1/1</v>
          </cell>
          <cell r="D901">
            <v>28</v>
          </cell>
        </row>
        <row r="902">
          <cell r="A902" t="str">
            <v>CV503X45</v>
          </cell>
          <cell r="B902" t="str">
            <v>Storm new age</v>
          </cell>
          <cell r="C902" t="str">
            <v>1/1</v>
          </cell>
          <cell r="D902">
            <v>28</v>
          </cell>
        </row>
        <row r="903">
          <cell r="A903" t="str">
            <v>SR1930J</v>
          </cell>
          <cell r="B903" t="str">
            <v>19sh one line mortar</v>
          </cell>
          <cell r="C903" t="str">
            <v>1/1</v>
          </cell>
          <cell r="D903">
            <v>21</v>
          </cell>
        </row>
        <row r="904">
          <cell r="A904" t="str">
            <v>IF660B</v>
          </cell>
          <cell r="B904" t="str">
            <v>Interiérová fontána 6m,60sec</v>
          </cell>
          <cell r="C904" t="str">
            <v>1/1</v>
          </cell>
          <cell r="D904">
            <v>42</v>
          </cell>
        </row>
        <row r="905">
          <cell r="A905" t="str">
            <v>R7538E</v>
          </cell>
          <cell r="B905" t="str">
            <v>Římská svíce 8ran</v>
          </cell>
          <cell r="C905" t="str">
            <v>1/1</v>
          </cell>
          <cell r="D905">
            <v>40</v>
          </cell>
        </row>
        <row r="906">
          <cell r="A906" t="str">
            <v>R7538H</v>
          </cell>
          <cell r="B906" t="str">
            <v>Silver glitter willow tail</v>
          </cell>
          <cell r="C906" t="str">
            <v>1/1</v>
          </cell>
          <cell r="D906">
            <v>40</v>
          </cell>
        </row>
        <row r="907">
          <cell r="A907" t="str">
            <v>RDG1B(1)</v>
          </cell>
          <cell r="B907" t="str">
            <v>RDG1-bílá</v>
          </cell>
          <cell r="C907" t="str">
            <v>1/1</v>
          </cell>
          <cell r="D907">
            <v>72</v>
          </cell>
        </row>
        <row r="908">
          <cell r="A908" t="str">
            <v>RDG1C(1)</v>
          </cell>
          <cell r="B908" t="str">
            <v>RDG1-červená</v>
          </cell>
          <cell r="C908" t="str">
            <v>1/1</v>
          </cell>
          <cell r="D908">
            <v>72</v>
          </cell>
        </row>
        <row r="909">
          <cell r="A909" t="str">
            <v>RDG1C-P</v>
          </cell>
          <cell r="B909" t="str">
            <v>RDG1-červená</v>
          </cell>
          <cell r="C909" t="str">
            <v>1/1</v>
          </cell>
          <cell r="D909">
            <v>60</v>
          </cell>
        </row>
        <row r="910">
          <cell r="A910" t="str">
            <v>RDG1M-P</v>
          </cell>
          <cell r="B910" t="str">
            <v>RDG1-modrá</v>
          </cell>
          <cell r="C910" t="str">
            <v>1/1</v>
          </cell>
          <cell r="D910">
            <v>60</v>
          </cell>
        </row>
        <row r="911">
          <cell r="A911" t="str">
            <v>RDG1ZE(1)</v>
          </cell>
          <cell r="B911" t="str">
            <v>RDG1-zelená</v>
          </cell>
          <cell r="C911" t="str">
            <v>1/1</v>
          </cell>
          <cell r="D911">
            <v>72</v>
          </cell>
        </row>
        <row r="912">
          <cell r="A912" t="str">
            <v>RDG60B</v>
          </cell>
          <cell r="B912" t="str">
            <v xml:space="preserve">SP9020W / Bílá dýmovnice s trhací pojistkou </v>
          </cell>
          <cell r="C912" t="str">
            <v>1/1</v>
          </cell>
          <cell r="D912">
            <v>36</v>
          </cell>
        </row>
        <row r="913">
          <cell r="A913" t="str">
            <v>RDG60C(SH)</v>
          </cell>
          <cell r="B913" t="str">
            <v>Červená dýmovnice-škrtací</v>
          </cell>
          <cell r="C913" t="str">
            <v>1/1</v>
          </cell>
          <cell r="D913">
            <v>28</v>
          </cell>
        </row>
        <row r="914">
          <cell r="A914" t="str">
            <v>RDG60CER</v>
          </cell>
          <cell r="B914" t="str">
            <v xml:space="preserve">SP9020B2 / Černá dýmovnice s trhací pojistkou </v>
          </cell>
          <cell r="C914" t="str">
            <v>1/1</v>
          </cell>
          <cell r="D914">
            <v>36</v>
          </cell>
        </row>
        <row r="915">
          <cell r="A915" t="str">
            <v>RDG60CER(SH)</v>
          </cell>
          <cell r="B915" t="str">
            <v>Černá dýmovnice-škrtací</v>
          </cell>
          <cell r="C915" t="str">
            <v>1/1</v>
          </cell>
          <cell r="D915">
            <v>36</v>
          </cell>
        </row>
        <row r="916">
          <cell r="A916" t="str">
            <v>RDG60ZE(SH)</v>
          </cell>
          <cell r="B916" t="str">
            <v>Zelená dýmovnice-škrtací</v>
          </cell>
          <cell r="C916" t="str">
            <v>1/1</v>
          </cell>
          <cell r="D916">
            <v>36</v>
          </cell>
        </row>
        <row r="917">
          <cell r="A917" t="str">
            <v>RDP60C</v>
          </cell>
          <cell r="B917" t="str">
            <v xml:space="preserve">SP9038R / Červená dýmová pochodeň s trhací pojistkou </v>
          </cell>
          <cell r="C917" t="str">
            <v>1/1</v>
          </cell>
          <cell r="D917">
            <v>36</v>
          </cell>
        </row>
        <row r="918">
          <cell r="A918" t="str">
            <v>RDP60CER</v>
          </cell>
          <cell r="B918" t="str">
            <v xml:space="preserve">SP9038B2 / Černá dýmová pochodeň s trhací pojistkou </v>
          </cell>
          <cell r="C918" t="str">
            <v>1/1</v>
          </cell>
          <cell r="D918">
            <v>21</v>
          </cell>
        </row>
        <row r="919">
          <cell r="A919" t="str">
            <v>RP5DU14(1)</v>
          </cell>
          <cell r="B919" t="str">
            <v>Rotate Dumbum</v>
          </cell>
          <cell r="C919" t="str">
            <v>1/1</v>
          </cell>
          <cell r="D919">
            <v>72</v>
          </cell>
        </row>
        <row r="920">
          <cell r="A920" t="str">
            <v>RS6NO14</v>
          </cell>
          <cell r="B920" t="str">
            <v>No Sound rocket</v>
          </cell>
          <cell r="C920" t="str">
            <v>1/1</v>
          </cell>
          <cell r="D920">
            <v>16</v>
          </cell>
        </row>
        <row r="921">
          <cell r="A921" t="str">
            <v>S2E</v>
          </cell>
          <cell r="B921" t="str">
            <v>Shell 50mm silver strobe willow</v>
          </cell>
          <cell r="C921" t="str">
            <v>1/1</v>
          </cell>
          <cell r="D921">
            <v>23</v>
          </cell>
        </row>
        <row r="922">
          <cell r="A922" t="str">
            <v>S2G</v>
          </cell>
          <cell r="B922" t="str">
            <v>Shell 50mm silver wave to red</v>
          </cell>
          <cell r="C922" t="str">
            <v>1/1</v>
          </cell>
          <cell r="D922">
            <v>23</v>
          </cell>
        </row>
        <row r="923">
          <cell r="A923" t="str">
            <v>S2H</v>
          </cell>
          <cell r="B923" t="str">
            <v>Shell 50mm green tail to green wave w.crackling</v>
          </cell>
          <cell r="C923" t="str">
            <v>1/1</v>
          </cell>
          <cell r="D923">
            <v>23</v>
          </cell>
        </row>
        <row r="924">
          <cell r="A924" t="str">
            <v>S2CH</v>
          </cell>
          <cell r="B924" t="str">
            <v>Shell 50mm colorful dahlia</v>
          </cell>
          <cell r="C924" t="str">
            <v>1/1</v>
          </cell>
          <cell r="D924">
            <v>23</v>
          </cell>
        </row>
        <row r="925">
          <cell r="A925" t="str">
            <v>S2K</v>
          </cell>
          <cell r="B925" t="str">
            <v>Shell 50mm golden ti willow</v>
          </cell>
          <cell r="C925" t="str">
            <v>1/1</v>
          </cell>
          <cell r="D925">
            <v>23</v>
          </cell>
        </row>
        <row r="926">
          <cell r="A926" t="str">
            <v>S3A/P</v>
          </cell>
          <cell r="B926" t="str">
            <v>Shell 75mm silver flashing fountain</v>
          </cell>
          <cell r="C926" t="str">
            <v>1/1</v>
          </cell>
          <cell r="D926">
            <v>21</v>
          </cell>
        </row>
        <row r="927">
          <cell r="A927" t="str">
            <v>S3B/P</v>
          </cell>
          <cell r="B927" t="str">
            <v>Shell 75mm silver tail to red wave w.crackling</v>
          </cell>
          <cell r="C927" t="str">
            <v>1/1</v>
          </cell>
          <cell r="D927">
            <v>21</v>
          </cell>
        </row>
        <row r="928">
          <cell r="A928" t="str">
            <v>S3C/P</v>
          </cell>
          <cell r="B928" t="str">
            <v>Shell 75mm flower crown chrysant. to blue</v>
          </cell>
          <cell r="C928" t="str">
            <v>1/1</v>
          </cell>
          <cell r="D928">
            <v>21</v>
          </cell>
        </row>
        <row r="929">
          <cell r="A929" t="str">
            <v>S3D/P</v>
          </cell>
          <cell r="B929" t="str">
            <v>Shell 75mm silver tail to silver strobe</v>
          </cell>
          <cell r="C929" t="str">
            <v>1/1</v>
          </cell>
          <cell r="D929">
            <v>21</v>
          </cell>
        </row>
        <row r="930">
          <cell r="A930" t="str">
            <v>S3E/P</v>
          </cell>
          <cell r="B930" t="str">
            <v>Shell 75mm red peony w.silver palm core</v>
          </cell>
          <cell r="C930" t="str">
            <v>1/1</v>
          </cell>
          <cell r="D930">
            <v>21</v>
          </cell>
        </row>
        <row r="931">
          <cell r="A931" t="str">
            <v>S3G/P</v>
          </cell>
          <cell r="B931" t="str">
            <v>Shell 75mm water color peony w.brocade crown pistil</v>
          </cell>
          <cell r="C931" t="str">
            <v>1/1</v>
          </cell>
          <cell r="D931">
            <v>21</v>
          </cell>
        </row>
        <row r="932">
          <cell r="A932" t="str">
            <v>S3H/P</v>
          </cell>
          <cell r="B932" t="str">
            <v>Shell 75mm chrysantnenum to purple</v>
          </cell>
          <cell r="C932" t="str">
            <v>1/1</v>
          </cell>
          <cell r="D932">
            <v>21</v>
          </cell>
        </row>
        <row r="933">
          <cell r="A933" t="str">
            <v>S3K/P</v>
          </cell>
          <cell r="B933" t="str">
            <v>Shell 75mm purple wave with green glitter</v>
          </cell>
          <cell r="C933" t="str">
            <v>1/1</v>
          </cell>
          <cell r="D933">
            <v>21</v>
          </cell>
        </row>
        <row r="934">
          <cell r="A934" t="str">
            <v>S3L/P</v>
          </cell>
          <cell r="B934" t="str">
            <v>Shell 75mm pink dahlia w.pink pistil</v>
          </cell>
          <cell r="C934" t="str">
            <v>1/1</v>
          </cell>
          <cell r="D934">
            <v>21</v>
          </cell>
        </row>
        <row r="935">
          <cell r="A935" t="str">
            <v>S3N/P</v>
          </cell>
          <cell r="B935" t="str">
            <v>Shell 75mm silver tail to silver palm tree</v>
          </cell>
          <cell r="C935" t="str">
            <v>1/1</v>
          </cell>
          <cell r="D935">
            <v>21</v>
          </cell>
        </row>
        <row r="936">
          <cell r="A936" t="str">
            <v>S3P/P</v>
          </cell>
          <cell r="B936" t="str">
            <v>Shell 75mm brocade crown w.white glitter</v>
          </cell>
          <cell r="C936" t="str">
            <v>1/1</v>
          </cell>
          <cell r="D936">
            <v>21</v>
          </cell>
        </row>
        <row r="937">
          <cell r="A937" t="str">
            <v>S3R/P</v>
          </cell>
          <cell r="B937" t="str">
            <v>Shell 75mm purple ring with chrysanthemum pistil</v>
          </cell>
          <cell r="C937" t="str">
            <v>1/1</v>
          </cell>
          <cell r="D937">
            <v>21</v>
          </cell>
        </row>
        <row r="938">
          <cell r="A938" t="str">
            <v>S3V/P</v>
          </cell>
          <cell r="B938" t="str">
            <v>Shell 75mm red coco w.silver strobing pistil</v>
          </cell>
          <cell r="C938" t="str">
            <v>1/1</v>
          </cell>
          <cell r="D938">
            <v>21</v>
          </cell>
        </row>
        <row r="939">
          <cell r="A939" t="str">
            <v>S3W/P</v>
          </cell>
          <cell r="B939" t="str">
            <v>Shell 75mm lemon crossette+purple crosette</v>
          </cell>
          <cell r="C939" t="str">
            <v>1/1</v>
          </cell>
          <cell r="D939">
            <v>21</v>
          </cell>
        </row>
        <row r="940">
          <cell r="A940" t="str">
            <v>S3X/P</v>
          </cell>
          <cell r="B940" t="str">
            <v>Shell 75mm red wave crossete</v>
          </cell>
          <cell r="C940" t="str">
            <v>1/1</v>
          </cell>
          <cell r="D940">
            <v>21</v>
          </cell>
        </row>
        <row r="941">
          <cell r="A941" t="str">
            <v>S4D/P</v>
          </cell>
          <cell r="B941" t="str">
            <v>Shell 100mm colorfull dahlia</v>
          </cell>
          <cell r="C941" t="str">
            <v>1/1</v>
          </cell>
          <cell r="D941">
            <v>24</v>
          </cell>
        </row>
        <row r="942">
          <cell r="A942" t="str">
            <v>S4E/P</v>
          </cell>
          <cell r="B942" t="str">
            <v>Shell 100mm gold titanium wilow w.assorted color glitter</v>
          </cell>
          <cell r="C942" t="str">
            <v>1/1</v>
          </cell>
          <cell r="D942">
            <v>24</v>
          </cell>
        </row>
        <row r="943">
          <cell r="A943" t="str">
            <v>S4F/P</v>
          </cell>
          <cell r="B943" t="str">
            <v>Shell 100mm titanium chrysantenum crackling to titanium crackling palm</v>
          </cell>
          <cell r="C943" t="str">
            <v>1/1</v>
          </cell>
          <cell r="D943">
            <v>24</v>
          </cell>
        </row>
        <row r="944">
          <cell r="A944" t="str">
            <v>S4H/P</v>
          </cell>
          <cell r="B944" t="str">
            <v>Shell 100mm silver flashing fountain</v>
          </cell>
          <cell r="C944" t="str">
            <v>1/1</v>
          </cell>
          <cell r="D944">
            <v>24</v>
          </cell>
        </row>
        <row r="945">
          <cell r="A945" t="str">
            <v>S4R/P</v>
          </cell>
          <cell r="B945" t="str">
            <v>Shell 100mm green peony with corrola pistil with brocade trunk</v>
          </cell>
          <cell r="C945" t="str">
            <v>1/1</v>
          </cell>
          <cell r="D945">
            <v>24</v>
          </cell>
        </row>
        <row r="946">
          <cell r="A946" t="str">
            <v>S4U/P</v>
          </cell>
          <cell r="B946" t="str">
            <v>Shell 100mm purple crossette</v>
          </cell>
          <cell r="C946" t="str">
            <v>1/1</v>
          </cell>
          <cell r="D946">
            <v>24</v>
          </cell>
        </row>
        <row r="947">
          <cell r="A947" t="str">
            <v>S4V/P</v>
          </cell>
          <cell r="B947" t="str">
            <v>Shell 100mm brocade crown crossete</v>
          </cell>
          <cell r="C947" t="str">
            <v>1/1</v>
          </cell>
          <cell r="D947">
            <v>24</v>
          </cell>
        </row>
        <row r="948">
          <cell r="A948" t="str">
            <v>S4X/P</v>
          </cell>
          <cell r="B948" t="str">
            <v>Shell 100mm colorfull chrysantenum</v>
          </cell>
          <cell r="C948" t="str">
            <v>1/1</v>
          </cell>
          <cell r="D948">
            <v>24</v>
          </cell>
        </row>
        <row r="949">
          <cell r="A949" t="str">
            <v>S4Y/P</v>
          </cell>
          <cell r="B949" t="str">
            <v>Shell 100mm silver wilow w.red pistil</v>
          </cell>
          <cell r="C949" t="str">
            <v>1/1</v>
          </cell>
          <cell r="D949">
            <v>24</v>
          </cell>
        </row>
        <row r="950">
          <cell r="A950" t="str">
            <v>S4Z/P</v>
          </cell>
          <cell r="B950" t="str">
            <v>Shell 100mm silver tail to red peony w.silver palm pistil</v>
          </cell>
          <cell r="C950" t="str">
            <v>1/1</v>
          </cell>
          <cell r="D950">
            <v>24</v>
          </cell>
        </row>
        <row r="951">
          <cell r="A951" t="str">
            <v>S4Z1/P</v>
          </cell>
          <cell r="B951" t="str">
            <v xml:space="preserve">Shell 100mm red gamboge to red to blue chrys.to red spider ring </v>
          </cell>
          <cell r="C951" t="str">
            <v>1/1</v>
          </cell>
          <cell r="D951">
            <v>24</v>
          </cell>
        </row>
        <row r="952">
          <cell r="A952" t="str">
            <v>S4Z10/P</v>
          </cell>
          <cell r="B952" t="str">
            <v>Shell 100mm silver coco w/crackling rain pistil</v>
          </cell>
          <cell r="C952" t="str">
            <v>1/1</v>
          </cell>
          <cell r="D952">
            <v>24</v>
          </cell>
        </row>
        <row r="953">
          <cell r="A953" t="str">
            <v>S4Z12/P</v>
          </cell>
          <cell r="B953" t="str">
            <v>Shell 100mm crackling willow crossette</v>
          </cell>
          <cell r="C953" t="str">
            <v>1/1</v>
          </cell>
          <cell r="D953">
            <v>24</v>
          </cell>
        </row>
        <row r="954">
          <cell r="A954" t="str">
            <v>S4Z13/P</v>
          </cell>
          <cell r="B954" t="str">
            <v>Cylinder 100mm silver dragon ring+red crossette</v>
          </cell>
          <cell r="C954" t="str">
            <v>1/1</v>
          </cell>
          <cell r="D954">
            <v>24</v>
          </cell>
        </row>
        <row r="955">
          <cell r="A955" t="str">
            <v>S4Z14/P</v>
          </cell>
          <cell r="B955" t="str">
            <v>Shell 100mm silver crackling coco w/red strobe up silver crackling tiger tail</v>
          </cell>
          <cell r="C955" t="str">
            <v>1/1</v>
          </cell>
          <cell r="D955">
            <v>24</v>
          </cell>
        </row>
        <row r="956">
          <cell r="A956" t="str">
            <v>S4Z2/P</v>
          </cell>
          <cell r="B956" t="str">
            <v>Shell 100mm red peony to brocade</v>
          </cell>
          <cell r="C956" t="str">
            <v>1/1</v>
          </cell>
          <cell r="D956">
            <v>24</v>
          </cell>
        </row>
        <row r="957">
          <cell r="A957" t="str">
            <v>S4Z3/P</v>
          </cell>
          <cell r="B957" t="str">
            <v>Shell 100mm palm pistil with water peony</v>
          </cell>
          <cell r="C957" t="str">
            <v>1/1</v>
          </cell>
          <cell r="D957">
            <v>24</v>
          </cell>
        </row>
        <row r="958">
          <cell r="A958" t="str">
            <v>S4Z4/P</v>
          </cell>
          <cell r="B958" t="str">
            <v>Shell 100mm blue ring with chrysanthemum pistil</v>
          </cell>
          <cell r="C958" t="str">
            <v>1/1</v>
          </cell>
          <cell r="D958">
            <v>24</v>
          </cell>
        </row>
        <row r="959">
          <cell r="A959" t="str">
            <v>S4Z7/P</v>
          </cell>
          <cell r="B959" t="str">
            <v>Shell 100mm orange wave to green</v>
          </cell>
          <cell r="C959" t="str">
            <v>1/1</v>
          </cell>
          <cell r="D959">
            <v>24</v>
          </cell>
        </row>
        <row r="960">
          <cell r="A960" t="str">
            <v>S4Z9/P</v>
          </cell>
          <cell r="B960" t="str">
            <v>Shell 100mm crackling wave to red</v>
          </cell>
          <cell r="C960" t="str">
            <v>1/1</v>
          </cell>
          <cell r="D960">
            <v>24</v>
          </cell>
        </row>
        <row r="961">
          <cell r="A961" t="str">
            <v>S5C/P</v>
          </cell>
          <cell r="B961" t="str">
            <v xml:space="preserve">Shell 125mm silver spider w.strobe pistil </v>
          </cell>
          <cell r="C961" t="str">
            <v>1/1</v>
          </cell>
          <cell r="D961">
            <v>24</v>
          </cell>
        </row>
        <row r="962">
          <cell r="A962" t="str">
            <v>S5G/P</v>
          </cell>
          <cell r="B962" t="str">
            <v>Shell 125mm silver tail to silver palm tree</v>
          </cell>
          <cell r="C962" t="str">
            <v>1/1</v>
          </cell>
          <cell r="D962">
            <v>24</v>
          </cell>
        </row>
        <row r="963">
          <cell r="A963" t="str">
            <v>S5I/P</v>
          </cell>
          <cell r="B963" t="str">
            <v>Shell 125mm crackling nishiki kamuro</v>
          </cell>
          <cell r="C963" t="str">
            <v>1/1</v>
          </cell>
          <cell r="D963">
            <v>24</v>
          </cell>
        </row>
        <row r="964">
          <cell r="A964" t="str">
            <v>S5N/P</v>
          </cell>
          <cell r="B964" t="str">
            <v>Shell 125mm blue pistil silver ring to brocade crown with ring chrysanthemum pistil</v>
          </cell>
          <cell r="C964" t="str">
            <v>1/1</v>
          </cell>
          <cell r="D964">
            <v>16</v>
          </cell>
        </row>
        <row r="965">
          <cell r="A965" t="str">
            <v>S5O/P</v>
          </cell>
          <cell r="B965" t="str">
            <v>Shell 125mm brocade delay cracker to blue with green glitter pistil</v>
          </cell>
          <cell r="C965" t="str">
            <v>1/1</v>
          </cell>
          <cell r="D965">
            <v>24</v>
          </cell>
        </row>
        <row r="966">
          <cell r="A966" t="str">
            <v>S5R/P</v>
          </cell>
          <cell r="B966" t="str">
            <v>Shell 125mm crackling coco w/color strobe pistil</v>
          </cell>
          <cell r="C966" t="str">
            <v>1/1</v>
          </cell>
          <cell r="D966">
            <v>24</v>
          </cell>
        </row>
        <row r="967">
          <cell r="A967" t="str">
            <v>S6A/P(9)</v>
          </cell>
          <cell r="B967" t="str">
            <v>Shell 150mm green ring w.chry crackling crossette</v>
          </cell>
          <cell r="C967" t="str">
            <v>1/1</v>
          </cell>
          <cell r="D967">
            <v>24</v>
          </cell>
        </row>
        <row r="968">
          <cell r="A968" t="str">
            <v>S6B/P(9)</v>
          </cell>
          <cell r="B968" t="str">
            <v>Shell 150mm red green yelow falling leaves</v>
          </cell>
          <cell r="C968" t="str">
            <v>1/1</v>
          </cell>
          <cell r="D968">
            <v>24</v>
          </cell>
        </row>
        <row r="969">
          <cell r="A969" t="str">
            <v>S6C/P</v>
          </cell>
          <cell r="B969" t="str">
            <v>Shell 150mm chrysantenum to red wandering star</v>
          </cell>
          <cell r="C969" t="str">
            <v>1/1</v>
          </cell>
          <cell r="D969">
            <v>24</v>
          </cell>
        </row>
        <row r="970">
          <cell r="A970" t="str">
            <v>S6D/P(9)</v>
          </cell>
          <cell r="B970" t="str">
            <v>Shell 150mm super horse tail</v>
          </cell>
          <cell r="C970" t="str">
            <v>1/1</v>
          </cell>
          <cell r="D970">
            <v>24</v>
          </cell>
        </row>
        <row r="971">
          <cell r="A971" t="str">
            <v>S6E/P</v>
          </cell>
          <cell r="B971" t="str">
            <v>Shell 150mm time rain wilow fountain</v>
          </cell>
          <cell r="C971" t="str">
            <v>1/1</v>
          </cell>
          <cell r="D971">
            <v>24</v>
          </cell>
        </row>
        <row r="972">
          <cell r="A972" t="str">
            <v>S6G/P(9)</v>
          </cell>
          <cell r="B972" t="str">
            <v>Shell 150mm gold titanium willow with crackling pistil</v>
          </cell>
          <cell r="C972" t="str">
            <v>1/1</v>
          </cell>
          <cell r="D972">
            <v>24</v>
          </cell>
        </row>
        <row r="973">
          <cell r="A973" t="str">
            <v>S6H/P</v>
          </cell>
          <cell r="B973" t="str">
            <v>Shell 150mm color chrysantenum</v>
          </cell>
          <cell r="C973" t="str">
            <v>1/1</v>
          </cell>
          <cell r="D973">
            <v>24</v>
          </cell>
        </row>
        <row r="974">
          <cell r="A974" t="str">
            <v>S6CH/P(9)</v>
          </cell>
          <cell r="B974" t="str">
            <v xml:space="preserve">Shell 150mm gold wave w.purple peony double rings to special orange strobing pistil </v>
          </cell>
          <cell r="C974" t="str">
            <v>1/1</v>
          </cell>
          <cell r="D974">
            <v>24</v>
          </cell>
        </row>
        <row r="975">
          <cell r="A975" t="str">
            <v>S6K/P</v>
          </cell>
          <cell r="B975" t="str">
            <v>Shell 150mm red glitter w.brocade crown</v>
          </cell>
          <cell r="C975" t="str">
            <v>1/1</v>
          </cell>
          <cell r="D975">
            <v>24</v>
          </cell>
        </row>
        <row r="976">
          <cell r="A976" t="str">
            <v>S6N/P(9)</v>
          </cell>
          <cell r="B976" t="str">
            <v>Shell 150mm silver tail to thousanf red wave</v>
          </cell>
          <cell r="C976" t="str">
            <v>1/1</v>
          </cell>
          <cell r="D976">
            <v>24</v>
          </cell>
        </row>
        <row r="977">
          <cell r="A977" t="str">
            <v>S6S/P(9)</v>
          </cell>
          <cell r="B977" t="str">
            <v xml:space="preserve">Shell 150mm silver tail to silver palm </v>
          </cell>
          <cell r="C977" t="str">
            <v>1/1</v>
          </cell>
          <cell r="D977">
            <v>24</v>
          </cell>
        </row>
        <row r="978">
          <cell r="A978" t="str">
            <v>S6T/P</v>
          </cell>
          <cell r="B978" t="str">
            <v>Shell 150mm nishiki kamuro flash pistil</v>
          </cell>
          <cell r="C978" t="str">
            <v>1/1</v>
          </cell>
          <cell r="D978">
            <v>24</v>
          </cell>
        </row>
        <row r="979">
          <cell r="A979" t="str">
            <v>S6X/P</v>
          </cell>
          <cell r="B979" t="str">
            <v>Shell 150mm silver glittering</v>
          </cell>
          <cell r="C979" t="str">
            <v>1/1</v>
          </cell>
          <cell r="D979">
            <v>24</v>
          </cell>
        </row>
        <row r="980">
          <cell r="A980" t="str">
            <v>S6Z1/P(9)</v>
          </cell>
          <cell r="B980" t="str">
            <v>Shell 150mm color dahlia w/strobe pistil</v>
          </cell>
          <cell r="C980" t="str">
            <v>1/1</v>
          </cell>
          <cell r="D980">
            <v>24</v>
          </cell>
        </row>
        <row r="981">
          <cell r="A981" t="str">
            <v>S6Z2/P(9)</v>
          </cell>
          <cell r="B981" t="str">
            <v>Shell 150mm brocade coco w/strobe pistil</v>
          </cell>
          <cell r="C981" t="str">
            <v>1/1</v>
          </cell>
          <cell r="D981">
            <v>24</v>
          </cell>
        </row>
        <row r="982">
          <cell r="A982" t="str">
            <v>SR1930D</v>
          </cell>
          <cell r="B982" t="str">
            <v>19sh one line mortar</v>
          </cell>
          <cell r="C982" t="str">
            <v>1/1</v>
          </cell>
          <cell r="D982">
            <v>21</v>
          </cell>
        </row>
        <row r="983">
          <cell r="A983" t="str">
            <v>SR1930E</v>
          </cell>
          <cell r="B983" t="str">
            <v>19sh one line mortar</v>
          </cell>
          <cell r="C983" t="str">
            <v>1/1</v>
          </cell>
          <cell r="D983">
            <v>21</v>
          </cell>
        </row>
        <row r="984">
          <cell r="A984" t="str">
            <v>SR1930G</v>
          </cell>
          <cell r="B984" t="str">
            <v>19sh one line mortar</v>
          </cell>
          <cell r="C984" t="str">
            <v>1/1</v>
          </cell>
          <cell r="D984">
            <v>21</v>
          </cell>
        </row>
        <row r="985">
          <cell r="A985" t="str">
            <v>SR1930CH</v>
          </cell>
          <cell r="B985" t="str">
            <v>19sh one line mortar</v>
          </cell>
          <cell r="C985" t="str">
            <v>1/1</v>
          </cell>
          <cell r="D985">
            <v>21</v>
          </cell>
        </row>
        <row r="986">
          <cell r="A986" t="str">
            <v>SR1930I</v>
          </cell>
          <cell r="B986" t="str">
            <v>19sh one line mortar</v>
          </cell>
          <cell r="C986" t="str">
            <v>1/1</v>
          </cell>
          <cell r="D986">
            <v>21</v>
          </cell>
        </row>
        <row r="987">
          <cell r="A987" t="str">
            <v>SR1930K</v>
          </cell>
          <cell r="B987" t="str">
            <v>19sh one line mortar</v>
          </cell>
          <cell r="C987" t="str">
            <v>1/1</v>
          </cell>
          <cell r="D987">
            <v>21</v>
          </cell>
        </row>
        <row r="988">
          <cell r="A988" t="str">
            <v>SR1930L</v>
          </cell>
          <cell r="B988" t="str">
            <v>19sh one line mortar</v>
          </cell>
          <cell r="C988" t="str">
            <v>1/1</v>
          </cell>
          <cell r="D988">
            <v>21</v>
          </cell>
        </row>
        <row r="989">
          <cell r="A989" t="str">
            <v>SR1930M</v>
          </cell>
          <cell r="B989" t="str">
            <v>19sh one line mortar</v>
          </cell>
          <cell r="C989" t="str">
            <v>1/1</v>
          </cell>
          <cell r="D989">
            <v>21</v>
          </cell>
        </row>
        <row r="990">
          <cell r="A990" t="str">
            <v>SR1930O</v>
          </cell>
          <cell r="B990" t="str">
            <v>19sh one line mortar</v>
          </cell>
          <cell r="C990" t="str">
            <v>1/1</v>
          </cell>
          <cell r="D990">
            <v>21</v>
          </cell>
        </row>
        <row r="991">
          <cell r="A991" t="str">
            <v>SR1930R</v>
          </cell>
          <cell r="B991" t="str">
            <v>19sh one line mortar</v>
          </cell>
          <cell r="C991" t="str">
            <v>1/1</v>
          </cell>
          <cell r="D991">
            <v>21</v>
          </cell>
        </row>
        <row r="992">
          <cell r="A992" t="str">
            <v>SR1930S</v>
          </cell>
          <cell r="B992" t="str">
            <v>19sh one line mortar</v>
          </cell>
          <cell r="C992" t="str">
            <v>1/1</v>
          </cell>
          <cell r="D992">
            <v>21</v>
          </cell>
        </row>
        <row r="993">
          <cell r="A993" t="str">
            <v>SR550C</v>
          </cell>
          <cell r="B993" t="str">
            <v>5sh one line mortar</v>
          </cell>
          <cell r="C993" t="str">
            <v>1/1</v>
          </cell>
          <cell r="D993">
            <v>20</v>
          </cell>
        </row>
        <row r="994">
          <cell r="A994" t="str">
            <v>SR550F</v>
          </cell>
          <cell r="B994" t="str">
            <v>5sh one line mortar</v>
          </cell>
          <cell r="C994" t="str">
            <v>1/1</v>
          </cell>
          <cell r="D994">
            <v>20</v>
          </cell>
        </row>
        <row r="995">
          <cell r="A995" t="str">
            <v>SR550G</v>
          </cell>
          <cell r="B995" t="str">
            <v>5sh one line mortar</v>
          </cell>
          <cell r="C995" t="str">
            <v>1/1</v>
          </cell>
          <cell r="D995">
            <v>20</v>
          </cell>
        </row>
        <row r="996">
          <cell r="A996" t="str">
            <v>SR550H</v>
          </cell>
          <cell r="B996" t="str">
            <v>5sh one line mortar</v>
          </cell>
          <cell r="C996" t="str">
            <v>1/1</v>
          </cell>
          <cell r="D996">
            <v>20</v>
          </cell>
        </row>
        <row r="997">
          <cell r="A997" t="str">
            <v>SR550CH</v>
          </cell>
          <cell r="B997" t="str">
            <v>5sh one line mortar</v>
          </cell>
          <cell r="C997" t="str">
            <v>1/1</v>
          </cell>
          <cell r="D997">
            <v>20</v>
          </cell>
        </row>
        <row r="998">
          <cell r="A998" t="str">
            <v>VP12T1</v>
          </cell>
          <cell r="B998" t="str">
            <v>Prskavka ve tvaru čísla 1</v>
          </cell>
          <cell r="C998" t="str">
            <v>1/1</v>
          </cell>
          <cell r="D998">
            <v>42</v>
          </cell>
        </row>
        <row r="999">
          <cell r="A999" t="str">
            <v>VP12TS</v>
          </cell>
          <cell r="B999" t="str">
            <v>Prskavka ve tvaru srdce</v>
          </cell>
          <cell r="C999" t="str">
            <v>1/1</v>
          </cell>
          <cell r="D999">
            <v>72</v>
          </cell>
        </row>
        <row r="1000">
          <cell r="A1000" t="str">
            <v>C10025P</v>
          </cell>
          <cell r="B1000"/>
          <cell r="C1000" t="str">
            <v>1/1</v>
          </cell>
          <cell r="D1000">
            <v>30</v>
          </cell>
        </row>
        <row r="1001">
          <cell r="A1001" t="str">
            <v>C18820XR/C14(T)</v>
          </cell>
          <cell r="B1001"/>
          <cell r="C1001" t="str">
            <v>1/1</v>
          </cell>
          <cell r="D1001">
            <v>48</v>
          </cell>
        </row>
        <row r="1002">
          <cell r="A1002" t="str">
            <v>C19320XR/C14(T)</v>
          </cell>
          <cell r="B1002"/>
          <cell r="C1002" t="str">
            <v>1/1</v>
          </cell>
          <cell r="D1002">
            <v>40</v>
          </cell>
        </row>
        <row r="1003">
          <cell r="A1003" t="str">
            <v>C6420DU/C(T)</v>
          </cell>
          <cell r="B1003"/>
          <cell r="C1003" t="str">
            <v>1/1</v>
          </cell>
          <cell r="D1003">
            <v>26</v>
          </cell>
        </row>
        <row r="1004">
          <cell r="A1004" t="str">
            <v>C32820XM/C(T)</v>
          </cell>
          <cell r="B1004"/>
          <cell r="C1004" t="str">
            <v>1/1</v>
          </cell>
          <cell r="D1004">
            <v>27</v>
          </cell>
        </row>
        <row r="1005">
          <cell r="A1005" t="str">
            <v>C10025BPW/C14(T)</v>
          </cell>
          <cell r="B1005"/>
          <cell r="C1005" t="str">
            <v>1/1</v>
          </cell>
          <cell r="D1005">
            <v>54</v>
          </cell>
        </row>
        <row r="1006">
          <cell r="A1006" t="str">
            <v>C10025SIG/C(T)</v>
          </cell>
          <cell r="B1006"/>
          <cell r="C1006" t="str">
            <v>1/1</v>
          </cell>
          <cell r="D1006">
            <v>60</v>
          </cell>
        </row>
        <row r="1007">
          <cell r="A1007" t="str">
            <v>C1003F/C14(T)</v>
          </cell>
          <cell r="B1007"/>
          <cell r="C1007" t="str">
            <v>1/1</v>
          </cell>
          <cell r="D1007">
            <v>36</v>
          </cell>
        </row>
        <row r="1008">
          <cell r="A1008" t="str">
            <v>C1003CY/C(T)</v>
          </cell>
          <cell r="B1008"/>
          <cell r="C1008" t="str">
            <v>1/1</v>
          </cell>
          <cell r="D1008">
            <v>36</v>
          </cell>
        </row>
        <row r="1009">
          <cell r="A1009" t="str">
            <v>C1003BPS/C(T)</v>
          </cell>
          <cell r="B1009"/>
          <cell r="C1009" t="str">
            <v>1/1</v>
          </cell>
          <cell r="D1009">
            <v>36</v>
          </cell>
        </row>
        <row r="1010">
          <cell r="A1010" t="str">
            <v>C1003F/C(T)</v>
          </cell>
          <cell r="B1010"/>
          <cell r="C1010" t="str">
            <v>1/1</v>
          </cell>
          <cell r="D1010">
            <v>42</v>
          </cell>
        </row>
        <row r="1011">
          <cell r="A1011" t="str">
            <v>C1923XMF/C(T)</v>
          </cell>
          <cell r="B1011"/>
          <cell r="C1011" t="str">
            <v>1/1</v>
          </cell>
          <cell r="D1011">
            <v>14</v>
          </cell>
        </row>
        <row r="1012">
          <cell r="A1012" t="str">
            <v>C2003F/C(T)</v>
          </cell>
          <cell r="B1012"/>
          <cell r="C1012" t="str">
            <v>1/1</v>
          </cell>
          <cell r="D1012">
            <v>18</v>
          </cell>
        </row>
        <row r="1013">
          <cell r="A1013" t="str">
            <v>C124MXM/C14(T)</v>
          </cell>
          <cell r="B1013"/>
          <cell r="C1013" t="str">
            <v>1/1</v>
          </cell>
          <cell r="D1013">
            <v>54</v>
          </cell>
        </row>
        <row r="1014">
          <cell r="A1014" t="str">
            <v>C150MXH/C14(T)</v>
          </cell>
          <cell r="B1014"/>
          <cell r="C1014" t="str">
            <v>1/1</v>
          </cell>
          <cell r="D1014">
            <v>32</v>
          </cell>
        </row>
        <row r="1015">
          <cell r="A1015" t="str">
            <v>C154MXB/C14(T)</v>
          </cell>
          <cell r="B1015"/>
          <cell r="C1015" t="str">
            <v>1/1</v>
          </cell>
          <cell r="D1015">
            <v>36</v>
          </cell>
        </row>
        <row r="1016">
          <cell r="A1016" t="str">
            <v>C270MXM/C14(T)</v>
          </cell>
          <cell r="B1016"/>
          <cell r="C1016" t="str">
            <v>1/1</v>
          </cell>
          <cell r="D1016">
            <v>48</v>
          </cell>
        </row>
        <row r="1017">
          <cell r="A1017" t="str">
            <v>C248MXY/C(T)</v>
          </cell>
          <cell r="B1017"/>
          <cell r="C1017" t="str">
            <v>1/1</v>
          </cell>
          <cell r="D1017">
            <v>27</v>
          </cell>
        </row>
        <row r="1018">
          <cell r="A1018" t="str">
            <v>C252MXB/C(T)</v>
          </cell>
          <cell r="B1018"/>
          <cell r="C1018" t="str">
            <v>1/1</v>
          </cell>
          <cell r="D1018">
            <v>18</v>
          </cell>
        </row>
        <row r="1019">
          <cell r="A1019" t="str">
            <v>C316MXF/C(T)</v>
          </cell>
          <cell r="B1019"/>
          <cell r="C1019" t="str">
            <v>1/1</v>
          </cell>
          <cell r="D1019">
            <v>18</v>
          </cell>
        </row>
        <row r="1020">
          <cell r="A1020" t="str">
            <v>C342MXG/C(T)</v>
          </cell>
          <cell r="B1020"/>
          <cell r="C1020" t="str">
            <v>1/1</v>
          </cell>
          <cell r="D1020">
            <v>18</v>
          </cell>
        </row>
        <row r="1021">
          <cell r="A1021" t="str">
            <v>C500MXB/C(T)</v>
          </cell>
          <cell r="B1021"/>
          <cell r="C1021" t="str">
            <v>1/1</v>
          </cell>
          <cell r="D1021">
            <v>24</v>
          </cell>
        </row>
        <row r="1022">
          <cell r="A1022" t="str">
            <v>C1-C2 C425MXM/C14(T)</v>
          </cell>
          <cell r="B1022"/>
          <cell r="C1022" t="str">
            <v>1/1</v>
          </cell>
          <cell r="D1022">
            <v>16</v>
          </cell>
        </row>
        <row r="1023">
          <cell r="A1023" t="str">
            <v>RS18TF2</v>
          </cell>
          <cell r="B1023"/>
          <cell r="C1023" t="str">
            <v>10/18</v>
          </cell>
          <cell r="D1023">
            <v>0</v>
          </cell>
        </row>
        <row r="1024">
          <cell r="A1024" t="str">
            <v>RS18SF2</v>
          </cell>
          <cell r="B1024"/>
          <cell r="C1024" t="str">
            <v>10/18</v>
          </cell>
          <cell r="D1024">
            <v>0</v>
          </cell>
        </row>
      </sheetData>
      <sheetData sheetId="1"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etail-kurzu?curr=eur" backgroundRefresh="0" refreshOnLoad="1" connectionId="2" xr16:uid="{00000000-0016-0000-06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etail-kurzu?curr=eur" backgroundRefresh="0" refreshOnLoad="1" connectionId="1" xr16:uid="{CE39DB53-36F8-443F-AAA5-BBF6475E16FE}" autoFormatId="16"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7526A5-FA93-43AF-8B3A-88DA1B0B994A}" name="Tabulka1" displayName="Tabulka1" ref="A20:AN983" totalsRowShown="0" headerRowDxfId="63" dataDxfId="62" tableBorderDxfId="61" dataCellStyle="normální_List1">
  <autoFilter ref="A20:AN983" xr:uid="{DB7526A5-FA93-43AF-8B3A-88DA1B0B994A}"/>
  <tableColumns count="40">
    <tableColumn id="1" xr3:uid="{E8100936-7BAC-4B0D-8808-3619C82A261E}" name="Doprodej" dataDxfId="60">
      <calculatedColumnFormula>Kat.!C21</calculatedColumnFormula>
    </tableColumn>
    <tableColumn id="2" xr3:uid="{0C00E08B-5CC7-4D48-B3CE-C71DD71A9ADF}" name="Sloupec2" dataDxfId="59">
      <calculatedColumnFormula>IF(AND('General price list'!$J21="F4",$AI$1=FALSE),0,IF(AC21="SKLADEM",1,IF(AC21=$V$3,1,0)))</calculatedColumnFormula>
    </tableColumn>
    <tableColumn id="3" xr3:uid="{CBC6DFC0-3EBB-4DCC-8E93-B101C6D564C5}" name="KOD" dataDxfId="58" dataCellStyle="normální_List1"/>
    <tableColumn id="4" xr3:uid="{5F49D638-E8E1-481C-AC2F-6528FD234D51}" name="NAZEV" dataDxfId="57" dataCellStyle="normální_List1"/>
    <tableColumn id="5" xr3:uid="{B63FF745-2B65-40A9-8FF9-2B30BA1BC2F6}" name="INCTN" dataDxfId="56"/>
    <tableColumn id="6" xr3:uid="{CDA685AE-6FFF-45B6-B7A4-783BF360C096}" name="CZK" dataDxfId="55"/>
    <tableColumn id="7" xr3:uid="{B58D15A7-8DF3-4747-A254-B93DD3E15F74}" name="CZKN" dataDxfId="54"/>
    <tableColumn id="8" xr3:uid="{3492F0BD-465B-44B7-98A2-14FA9887844F}" name="EURN" dataDxfId="53">
      <calculatedColumnFormula>G21/$F$17</calculatedColumnFormula>
    </tableColumn>
    <tableColumn id="9" xr3:uid="{FCF0CB1A-1C68-4AA0-A86F-BC9353CABC5B}" name="BAL" dataDxfId="52"/>
    <tableColumn id="10" xr3:uid="{D8074A85-27E6-4236-92B3-8067294F8965}" name="KAT" dataDxfId="51" dataCellStyle="normální_List1"/>
    <tableColumn id="11" xr3:uid="{3F889228-B57E-4BA6-A590-54E65726743F}" name="NEW" dataDxfId="50" dataCellStyle="normální_List1"/>
    <tableColumn id="12" xr3:uid="{BC5A8962-C495-46BB-8EE6-B036CD50EEC4}" name="LGZ" dataDxfId="49" dataCellStyle="normální_List1"/>
    <tableColumn id="13" xr3:uid="{A6706754-BA5A-4339-BF9B-1D2A1915556A}" name="ADR" dataDxfId="48" dataCellStyle="normální_List1"/>
    <tableColumn id="14" xr3:uid="{2FEDBF01-E016-4ACD-88A4-CC8066980FBE}" name="CBM" dataDxfId="47" dataCellStyle="normální_List1"/>
    <tableColumn id="15" xr3:uid="{DEBDBE62-1840-4428-B62D-CF61977BD068}" name="NEM" dataDxfId="46" dataCellStyle="normální_List1"/>
    <tableColumn id="16" xr3:uid="{92B29748-086A-4330-897E-434C13CB1D0C}" name="M" dataDxfId="45" dataCellStyle="normální_List1">
      <calculatedColumnFormula>IFERROR(VLOOKUP(C21,[3]List1!$A:$D,2,FALSE),"N/A!")</calculatedColumnFormula>
    </tableColumn>
    <tableColumn id="17" xr3:uid="{A5ED8BE9-0195-4AE1-8252-962A2554598A}" name="JAZYKYV" dataDxfId="44" dataCellStyle="normální_List1"/>
    <tableColumn id="18" xr3:uid="{2CEC8770-B67E-4195-B4E8-8B06DF572858}" name="JAZYKYM" dataDxfId="43" dataCellStyle="normální_List1"/>
    <tableColumn id="19" xr3:uid="{83519F2F-5724-449C-9362-11450B98B95D}" name="DESIGN" dataDxfId="42" dataCellStyle="normální_List1"/>
    <tableColumn id="20" xr3:uid="{B483EF71-0408-4659-A1CC-D8C9D9300FC3}" name="CAS" dataDxfId="41" dataCellStyle="normální_List1"/>
    <tableColumn id="21" xr3:uid="{9FAA152E-F95F-402C-A3EE-17E265BCC596}" name="HIGH" dataDxfId="40" dataCellStyle="normální_List1"/>
    <tableColumn id="22" xr3:uid="{6E18235E-C255-473D-A146-F66E89E30CE5}" name="WIDTH" dataDxfId="39" dataCellStyle="normální_List1"/>
    <tableColumn id="23" xr3:uid="{2D4BA49A-DE37-434D-96DB-8BCEC69D7164}" name="POPIS" dataDxfId="38" dataCellStyle="normální_List1">
      <calculatedColumnFormula>IFERROR(VLOOKUP('General price list'!$C21,Popisy!A:M,MATCH($W$17,Popisy!$A$7:$M$7,0),FALSE),"---------------")</calculatedColumnFormula>
    </tableColumn>
    <tableColumn id="24" xr3:uid="{243E8334-8E96-4477-861D-ADAC83A417BA}" name="Sloupec5" dataDxfId="37">
      <calculatedColumnFormula>IF(AB21&lt;0.0001,"",AB21)</calculatedColumnFormula>
    </tableColumn>
    <tableColumn id="25" xr3:uid="{54EF635F-88BA-4895-B2D9-450115783FE3}" name="Sloupec6" dataDxfId="36" dataCellStyle="normální_List1">
      <calculatedColumnFormula>IF($AL$3=2,IF(OR(AB21&lt;&gt;"",AB21&lt;&gt;0),AU21,""),IF(C21="","",IF(AB21&lt;0.0001,"",IF(B21=0,"",IF(AQ21&lt;AB21,"",AB21)))))</calculatedColumnFormula>
    </tableColumn>
    <tableColumn id="26" xr3:uid="{3EE069DF-AB63-4CE6-B5B0-76AC9F9DD259}" name="WEBPAGE" dataDxfId="35" dataCellStyle="normální_List1"/>
    <tableColumn id="27" xr3:uid="{D4CD71C3-AE5D-4D4C-9F9D-8ACC8E906997}" name="VKPAL" dataDxfId="34" dataCellStyle="normální_List1">
      <calculatedColumnFormula>IFERROR(IF(VLOOKUP(C21,[4]List1!$A:$D,4,FALSE)=0,"",VLOOKUP(C21,[4]List1!$A:$D,4,FALSE)),"")</calculatedColumnFormula>
    </tableColumn>
    <tableColumn id="28" xr3:uid="{AE21E1C2-8036-46FA-BC40-0D3C9A2AA6AB}" name="OBJ" dataDxfId="33"/>
    <tableColumn id="29" xr3:uid="{874C9336-6315-49F1-84BD-3E36451432CB}" name="SDV" dataDxfId="32"/>
    <tableColumn id="30" xr3:uid="{51235F7F-EA20-4CC8-BB74-73A1257430C3}" name="Sloupec8" dataDxfId="31">
      <calculatedColumnFormula>IF(AP21="NE",$V$10,IF(AC21=$V$3,IF(AQ21&lt;1,$V$8,$V$2&amp;" "&amp;AQ21&amp;" "&amp;$V$1),IF(AC21="SKLADEM",$V$6,IFERROR(IF(OR(AC21-TODAY()&gt;45,VLOOKUP(C21,[1]List1!$A:$E,4,FALSE)=0),AC21,DAY(AC21)&amp;"."&amp;MONTH(AC21)&amp;"."&amp;YEAR(AC21)&amp;" "&amp;$V$4&amp;VLOOKUP(C21,[1]List1!$A:$E,4,FALSE)&amp;" "&amp;$V$1),AC21))))</calculatedColumnFormula>
    </tableColumn>
    <tableColumn id="31" xr3:uid="{01ABF39F-1D4D-48BE-A79D-AC4250D41456}" name="STAV" dataDxfId="30" dataCellStyle="normální_List1">
      <calculatedColumnFormula>IFERROR(IF(AV21&lt;&gt;"",AV21,AD21),AD21)</calculatedColumnFormula>
    </tableColumn>
    <tableColumn id="32" xr3:uid="{A3B43364-E3AC-4A67-98C8-03262F5ABC5D}" name="CCZKB" dataDxfId="29" dataCellStyle="normální_List1">
      <calculatedColumnFormula>IFERROR(IF(AB21=Y21,G21*I21*Y21,0),0)</calculatedColumnFormula>
    </tableColumn>
    <tableColumn id="33" xr3:uid="{61F7EC28-04A6-4585-84CC-567DA70A5D3D}" name="CCZKS" dataDxfId="28" dataCellStyle="normální_List1">
      <calculatedColumnFormula>IF($W$17=$AF$8,AH21*1.23,AF21*1.21)</calculatedColumnFormula>
    </tableColumn>
    <tableColumn id="34" xr3:uid="{03EDB891-685E-46E7-8BFF-E859AE996FB9}" name="TOTAL" dataDxfId="27" dataCellStyle="normální_List1">
      <calculatedColumnFormula>IFERROR(IF(Y21=AB21,H21*I21*Y21,0),0)</calculatedColumnFormula>
    </tableColumn>
    <tableColumn id="35" xr3:uid="{193FDC89-DF1F-44CB-BA55-80338F86D55C}" name="HM" dataDxfId="26" dataCellStyle="normální_List1">
      <calculatedColumnFormula>IFERROR(IF(Y21=AB21,(P21*Y21)/1000,1),0)</calculatedColumnFormula>
    </tableColumn>
    <tableColumn id="36" xr3:uid="{1F369C00-913C-4B22-B201-4F78D7F4B88D}" name="KUB" dataDxfId="25" dataCellStyle="normální_List1">
      <calculatedColumnFormula>IFERROR(IF(Y21=AB21,N21*Y21,0.1),0)</calculatedColumnFormula>
    </tableColumn>
    <tableColumn id="37" xr3:uid="{2E1D73B8-E350-4C2B-ADA7-0E9227377B57}" name="11" dataDxfId="24" dataCellStyle="normální_List1">
      <calculatedColumnFormula>IFERROR(IF(Y21=AB21,IF(M21="1.1G",(O21/1000)*Y21,""),""),0)</calculatedColumnFormula>
    </tableColumn>
    <tableColumn id="38" xr3:uid="{E5159757-14FB-420C-BFC4-CEDD3C0A1E05}" name="13" dataDxfId="23" dataCellStyle="normální_List1">
      <calculatedColumnFormula>IFERROR(IF(Y21=AB21,IF(M21="1.3G",(O21/1000)*AB21,""),""),0)</calculatedColumnFormula>
    </tableColumn>
    <tableColumn id="39" xr3:uid="{9F655670-3FA4-48C7-BA8C-BDBA1598474A}" name="14" dataDxfId="22" dataCellStyle="normální_List1">
      <calculatedColumnFormula>IFERROR(IF(Y21=AB21,IF(M21="1.4G",(O21/1000)*AB21,""),""),0)</calculatedColumnFormula>
    </tableColumn>
    <tableColumn id="40" xr3:uid="{4E1001B6-C3E0-4C4B-8C10-25BC000A0D6C}" name="NEQ" dataDxfId="21" dataCellStyle="normální_List1">
      <calculatedColumnFormula>SUM(AK21:AM21)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https://www.youtube.com/watch?v=7VjovCRBPv4" TargetMode="External"/><Relationship Id="rId21" Type="http://schemas.openxmlformats.org/officeDocument/2006/relationships/table" Target="../tables/table1.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https://youtu.be/7sRS-jRmeBw"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mailto:info@klasekpyrotechnics.cz"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youtu.be/7VjovCRBPv4" TargetMode="External"/><Relationship Id="rId1" Type="http://schemas.openxmlformats.org/officeDocument/2006/relationships/hyperlink" Target="http://www.kb.cz/kurzovni-listek/cs/rl/index.x"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hyperlink" Target="mailto:etnafajerwerki@grupaetna.pl" TargetMode="External"/><Relationship Id="rId2" Type="http://schemas.openxmlformats.org/officeDocument/2006/relationships/hyperlink" Target="mailto:dariulucky@gmail.com" TargetMode="External"/><Relationship Id="rId1" Type="http://schemas.openxmlformats.org/officeDocument/2006/relationships/hyperlink" Target="mailto:info@klasekpyrotechnics.cz"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kb.cz/en/exchange-rates" TargetMode="External"/><Relationship Id="rId1" Type="http://schemas.openxmlformats.org/officeDocument/2006/relationships/hyperlink" Target="https://www.kb.cz/en/exchange-rates"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tabColor theme="9" tint="-0.249977111117893"/>
  </sheetPr>
  <dimension ref="A1:BA1010"/>
  <sheetViews>
    <sheetView showGridLines="0" tabSelected="1" zoomScale="90" zoomScaleNormal="90" workbookViewId="0">
      <pane xSplit="3" ySplit="20" topLeftCell="D21" activePane="bottomRight" state="frozen"/>
      <selection activeCell="BC71" sqref="BC71:BG72"/>
      <selection pane="topRight" activeCell="BC71" sqref="BC71:BG72"/>
      <selection pane="bottomLeft" activeCell="BC71" sqref="BC71:BG72"/>
      <selection pane="bottomRight" activeCell="Z22" sqref="Z22"/>
    </sheetView>
  </sheetViews>
  <sheetFormatPr defaultColWidth="9.140625" defaultRowHeight="15" customHeight="1"/>
  <cols>
    <col min="1" max="1" width="4.42578125" style="625" customWidth="1"/>
    <col min="2" max="2" width="3.7109375" style="625" hidden="1" customWidth="1"/>
    <col min="3" max="3" width="15.5703125" style="625" customWidth="1"/>
    <col min="4" max="4" width="36.7109375" style="625" customWidth="1"/>
    <col min="5" max="5" width="11" style="625" customWidth="1"/>
    <col min="6" max="6" width="7.85546875" style="638" customWidth="1"/>
    <col min="7" max="7" width="8" style="625" customWidth="1"/>
    <col min="8" max="8" width="7.85546875" style="625" customWidth="1"/>
    <col min="9" max="9" width="5" style="625" hidden="1" customWidth="1"/>
    <col min="10" max="10" width="8.85546875" style="625" customWidth="1"/>
    <col min="11" max="11" width="11" style="625" hidden="1" customWidth="1"/>
    <col min="12" max="12" width="11" style="625" customWidth="1"/>
    <col min="13" max="13" width="6.28515625" style="625" customWidth="1"/>
    <col min="14" max="14" width="11.5703125" style="625" hidden="1" customWidth="1"/>
    <col min="15" max="16" width="11" style="625" hidden="1" customWidth="1"/>
    <col min="17" max="17" width="23.42578125" style="656" customWidth="1"/>
    <col min="18" max="18" width="15.42578125" style="625" customWidth="1"/>
    <col min="19" max="19" width="10.5703125" style="625" customWidth="1"/>
    <col min="20" max="20" width="8.85546875" style="625" customWidth="1"/>
    <col min="21" max="21" width="6.7109375" style="625" customWidth="1"/>
    <col min="22" max="22" width="8" style="625" customWidth="1"/>
    <col min="23" max="23" width="60" style="625" customWidth="1"/>
    <col min="24" max="24" width="42" style="625" hidden="1" customWidth="1"/>
    <col min="25" max="25" width="11" style="625" hidden="1" customWidth="1"/>
    <col min="26" max="26" width="7.28515625" style="625" customWidth="1"/>
    <col min="27" max="27" width="7.42578125" style="625" customWidth="1"/>
    <col min="28" max="28" width="10.28515625" style="625" customWidth="1"/>
    <col min="29" max="29" width="13" style="625" hidden="1" customWidth="1"/>
    <col min="30" max="30" width="24.42578125" style="625" hidden="1" customWidth="1"/>
    <col min="31" max="31" width="24.5703125" style="625" customWidth="1"/>
    <col min="32" max="34" width="13.7109375" style="625" customWidth="1"/>
    <col min="35" max="36" width="11.5703125" style="625" customWidth="1"/>
    <col min="37" max="40" width="11.28515625" style="625" customWidth="1"/>
    <col min="41" max="41" width="46.42578125" style="622" customWidth="1"/>
    <col min="42" max="43" width="9.140625" style="625" hidden="1" customWidth="1"/>
    <col min="44" max="44" width="16.85546875" style="625" hidden="1" customWidth="1"/>
    <col min="45" max="45" width="10.85546875" style="625" hidden="1" customWidth="1"/>
    <col min="46" max="53" width="9.140625" style="625" hidden="1" customWidth="1"/>
    <col min="54" max="16384" width="9.140625" style="625"/>
  </cols>
  <sheetData>
    <row r="1" spans="1:46" s="574" customFormat="1" ht="12.95" customHeight="1">
      <c r="A1" s="521" t="s">
        <v>8884</v>
      </c>
      <c r="B1" s="522" t="s">
        <v>9806</v>
      </c>
      <c r="C1" s="523"/>
      <c r="D1" s="824" t="str">
        <f>UPPER(IF($W$17=$AF$1,"interaktivní",IFERROR(VLOOKUP("interaktivní",Jazyky_ceník!A:Q,MATCH(W17,Jazyky_ceník!A1:Q1,0),FALSE),"---------------")))</f>
        <v>INTERAKTIVNÍ</v>
      </c>
      <c r="E1" s="825" t="str">
        <f>"i-"&amp;PROPER(IF($W$17=$AF$1,"ceník",IFERROR(VLOOKUP("ceník",Jazyky_ceník!A:Q,MATCH(W17,Jazyky_ceník!A1:Q1,0),FALSE),"---------------")))&amp;" 2022"</f>
        <v>i-Ceník 2022</v>
      </c>
      <c r="F1" s="825"/>
      <c r="G1" s="825"/>
      <c r="H1" s="524"/>
      <c r="I1" s="525"/>
      <c r="J1" s="526" t="str">
        <f>IF($W$17=$AF$1,"Odběr nad",IFERROR(VLOOKUP("Odběr nad",Jazyky_ceník!A:Q,MATCH(W17,Jazyky_ceník!A1:Q1,0),FALSE),"---------------"))</f>
        <v>Odběr nad</v>
      </c>
      <c r="K1" s="826" t="s">
        <v>8882</v>
      </c>
      <c r="L1" s="827"/>
      <c r="M1" s="828" t="str">
        <f>C17</f>
        <v>Sleva v %:</v>
      </c>
      <c r="N1" s="829"/>
      <c r="O1" s="828"/>
      <c r="P1" s="527">
        <v>0</v>
      </c>
      <c r="Q1" s="522"/>
      <c r="R1" s="524"/>
      <c r="S1" s="524"/>
      <c r="T1" s="524"/>
      <c r="U1" s="524"/>
      <c r="V1" s="528" t="str">
        <f>IF($W$17=$AF$1,"VK",IFERROR(VLOOKUP("VK",Jazyky_ceník!A:Q,MATCH(W17,Jazyky_ceník!A1:Q1,0),FALSE),"!!!"))</f>
        <v>VK</v>
      </c>
      <c r="W1" s="524"/>
      <c r="X1" s="524"/>
      <c r="Y1" s="529" t="s">
        <v>9302</v>
      </c>
      <c r="Z1" s="529"/>
      <c r="AA1" s="521"/>
      <c r="AB1" s="524"/>
      <c r="AC1" s="530" t="str">
        <f>IF($W$17=$AF$1,"KLIKNUTÍM ZDE VYBERTE MOŽNOST!",IFERROR(VLOOKUP("KLIKNUTÍM ZDE VYBERTE MOŽNOST!",Jazyky_ceník!A:Q,MATCH(W17,Jazyky_ceník!A1:Q1,0),FALSE),"!!!"))</f>
        <v>KLIKNUTÍM ZDE VYBERTE MOŽNOST!</v>
      </c>
      <c r="AD1" s="531">
        <v>1</v>
      </c>
      <c r="AE1" s="532" t="s">
        <v>15</v>
      </c>
      <c r="AF1" s="530" t="s">
        <v>2766</v>
      </c>
      <c r="AG1" s="530"/>
      <c r="AH1" s="533"/>
      <c r="AI1" s="534" t="b">
        <v>0</v>
      </c>
      <c r="AJ1" s="530"/>
      <c r="AK1" s="524">
        <v>0.17199999999999999</v>
      </c>
      <c r="AL1" s="524" t="str">
        <f>D1&amp;" "&amp;E1</f>
        <v>INTERAKTIVNÍ i-Ceník 2022</v>
      </c>
      <c r="AM1" s="524"/>
      <c r="AN1" s="535" t="s">
        <v>9130</v>
      </c>
      <c r="AO1" s="623"/>
      <c r="AS1" s="574">
        <v>1</v>
      </c>
      <c r="AT1" s="574" t="s">
        <v>11071</v>
      </c>
    </row>
    <row r="2" spans="1:46" s="574" customFormat="1" ht="12.95" customHeight="1">
      <c r="A2" s="521"/>
      <c r="B2" s="522" t="s">
        <v>9836</v>
      </c>
      <c r="C2" s="523"/>
      <c r="D2" s="824"/>
      <c r="E2" s="825"/>
      <c r="F2" s="825"/>
      <c r="G2" s="825"/>
      <c r="H2" s="524"/>
      <c r="I2" s="536"/>
      <c r="J2" s="536">
        <v>5000</v>
      </c>
      <c r="K2" s="537"/>
      <c r="L2" s="537"/>
      <c r="M2" s="538">
        <v>-0.05</v>
      </c>
      <c r="N2" s="539">
        <f t="shared" ref="N2:N11" si="0">(J2/(100-O2))*100</f>
        <v>5263.1578947368416</v>
      </c>
      <c r="O2" s="540">
        <v>5</v>
      </c>
      <c r="P2" s="527">
        <f t="shared" ref="P2:P15" si="1">IF($AC$2&gt;N2,O2,P1)</f>
        <v>0</v>
      </c>
      <c r="Q2" s="522"/>
      <c r="R2" s="524"/>
      <c r="S2" s="524"/>
      <c r="T2" s="524"/>
      <c r="U2" s="527"/>
      <c r="V2" s="528" t="str">
        <f>IF($W$17=$AF$1,"POSLEDNÍCH",IFERROR(VLOOKUP("POSLEDNÍCH",Jazyky_ceník!A:Q,MATCH(W17,Jazyky_ceník!A1:Q1,0),FALSE),"!!!"))</f>
        <v>POSLEDNÍCH</v>
      </c>
      <c r="W2" s="524"/>
      <c r="X2" s="524"/>
      <c r="Y2" s="529" t="s">
        <v>9303</v>
      </c>
      <c r="Z2" s="529"/>
      <c r="AA2" s="521"/>
      <c r="AB2" s="524"/>
      <c r="AC2" s="541">
        <f>SUMPRODUCT(F22:F922,I22:I922,Y22:Y922)</f>
        <v>0</v>
      </c>
      <c r="AD2" s="531">
        <v>2</v>
      </c>
      <c r="AE2" s="532" t="s">
        <v>10651</v>
      </c>
      <c r="AF2" s="530" t="s">
        <v>2768</v>
      </c>
      <c r="AG2" s="530"/>
      <c r="AH2" s="533"/>
      <c r="AI2" s="522"/>
      <c r="AJ2" s="530"/>
      <c r="AK2" s="524"/>
      <c r="AL2" s="524" t="str">
        <f>IF($W$17=$AF$1,"REZERVAČNÍ ceník",IFERROR(VLOOKUP("REZERVAČNÍ ceník",Jazyky_ceník!A:Q,MATCH(W17,Jazyky_ceník!A1:Q1,0),FALSE),"---------------"))</f>
        <v>REZERVAČNÍ ceník</v>
      </c>
      <c r="AM2" s="524"/>
      <c r="AN2" s="524"/>
      <c r="AO2" s="623"/>
      <c r="AS2" s="574">
        <v>2</v>
      </c>
      <c r="AT2" s="574" t="s">
        <v>11072</v>
      </c>
    </row>
    <row r="3" spans="1:46" s="574" customFormat="1" ht="12.95" customHeight="1">
      <c r="A3" s="521"/>
      <c r="B3" s="522"/>
      <c r="C3" s="523"/>
      <c r="D3" s="823" t="s">
        <v>8885</v>
      </c>
      <c r="E3" s="823"/>
      <c r="F3" s="823"/>
      <c r="G3" s="524"/>
      <c r="H3" s="524"/>
      <c r="I3" s="536"/>
      <c r="J3" s="536">
        <v>8000</v>
      </c>
      <c r="K3" s="537"/>
      <c r="L3" s="537"/>
      <c r="M3" s="538">
        <v>-0.1</v>
      </c>
      <c r="N3" s="539">
        <f t="shared" si="0"/>
        <v>8888.8888888888887</v>
      </c>
      <c r="O3" s="540">
        <v>10</v>
      </c>
      <c r="P3" s="527">
        <f t="shared" si="1"/>
        <v>0</v>
      </c>
      <c r="Q3" s="522"/>
      <c r="R3" s="524"/>
      <c r="S3" s="524"/>
      <c r="T3" s="524"/>
      <c r="U3" s="527"/>
      <c r="V3" s="528" t="str">
        <f>IF($W$17=$AF$1,"DOCHÁZÍ",IFERROR(VLOOKUP("DOCHÁZÍ",Jazyky_ceník!A:Q,MATCH(W17,Jazyky_ceník!A1:Q1,0),FALSE),"!!!"))</f>
        <v>DOCHÁZÍ</v>
      </c>
      <c r="W3" s="524"/>
      <c r="X3" s="524"/>
      <c r="Y3" s="529"/>
      <c r="Z3" s="529"/>
      <c r="AA3" s="521"/>
      <c r="AB3" s="524"/>
      <c r="AC3" s="542">
        <f>IF(AC2&gt;N12,O12,P11)</f>
        <v>0</v>
      </c>
      <c r="AD3" s="531">
        <v>3</v>
      </c>
      <c r="AE3" s="532" t="s">
        <v>7670</v>
      </c>
      <c r="AF3" s="530" t="s">
        <v>6801</v>
      </c>
      <c r="AG3" s="530"/>
      <c r="AH3" s="533"/>
      <c r="AI3" s="522"/>
      <c r="AJ3" s="530"/>
      <c r="AK3" s="524"/>
      <c r="AL3" s="543">
        <v>1</v>
      </c>
      <c r="AM3" s="524"/>
      <c r="AN3" s="524"/>
      <c r="AO3" s="623"/>
      <c r="AR3" s="574" t="str">
        <f>IF(G17=1,"Cena EUR","Cena GBP")</f>
        <v>Cena GBP</v>
      </c>
      <c r="AS3" s="574">
        <v>3</v>
      </c>
      <c r="AT3" s="624" t="s">
        <v>11977</v>
      </c>
    </row>
    <row r="4" spans="1:46" s="574" customFormat="1" ht="12.95" customHeight="1">
      <c r="A4" s="521"/>
      <c r="B4" s="522"/>
      <c r="C4" s="523"/>
      <c r="D4" s="524"/>
      <c r="E4" s="784" t="s">
        <v>11061</v>
      </c>
      <c r="F4" s="575"/>
      <c r="G4" s="524"/>
      <c r="H4" s="524"/>
      <c r="I4" s="536"/>
      <c r="J4" s="536">
        <v>15000</v>
      </c>
      <c r="K4" s="537"/>
      <c r="L4" s="537"/>
      <c r="M4" s="538">
        <v>-0.2</v>
      </c>
      <c r="N4" s="539">
        <f t="shared" si="0"/>
        <v>17647.058823529413</v>
      </c>
      <c r="O4" s="540">
        <v>15</v>
      </c>
      <c r="P4" s="527">
        <f t="shared" si="1"/>
        <v>0</v>
      </c>
      <c r="Q4" s="522"/>
      <c r="R4" s="524"/>
      <c r="S4" s="524"/>
      <c r="T4" s="524"/>
      <c r="U4" s="527"/>
      <c r="V4" s="544" t="str">
        <f>IF($W$17=$AF$1,"DORAZÍ",IFERROR(VLOOKUP("DORAZÍ",Jazyky_ceník!A:Q,MATCH(W17,Jazyky_ceník!A1:Q1,0),FALSE),"!!!"))&amp;" "</f>
        <v xml:space="preserve">DORAZÍ </v>
      </c>
      <c r="W4" s="524"/>
      <c r="X4" s="524"/>
      <c r="Y4" s="529"/>
      <c r="Z4" s="529"/>
      <c r="AA4" s="521"/>
      <c r="AB4" s="524"/>
      <c r="AC4" s="530" t="str">
        <f>IF($W$17=$AF$1,"BEZ PALET",IFERROR(VLOOKUP("BEZ PALET",Jazyky_ceník!A:Q,MATCH(W17,Jazyky_ceník!A1:Q1,0),FALSE),"!!!"))</f>
        <v>BEZ PALET</v>
      </c>
      <c r="AD4" s="531">
        <v>4</v>
      </c>
      <c r="AE4" s="532" t="s">
        <v>2493</v>
      </c>
      <c r="AF4" s="530" t="s">
        <v>2767</v>
      </c>
      <c r="AG4" s="530"/>
      <c r="AH4" s="533"/>
      <c r="AI4" s="522"/>
      <c r="AJ4" s="530"/>
      <c r="AK4" s="524"/>
      <c r="AL4" s="544" t="s">
        <v>9497</v>
      </c>
      <c r="AM4" s="524"/>
      <c r="AN4" s="524"/>
      <c r="AO4" s="623"/>
      <c r="AR4" s="574" t="str">
        <f>VLOOKUP(G17,AT1:AT3,1,FALSE)</f>
        <v>€</v>
      </c>
    </row>
    <row r="5" spans="1:46" s="574" customFormat="1" ht="12.95" customHeight="1">
      <c r="A5" s="521"/>
      <c r="B5" s="522"/>
      <c r="C5" s="545"/>
      <c r="D5" s="545"/>
      <c r="E5" s="545"/>
      <c r="F5" s="545"/>
      <c r="G5" s="545"/>
      <c r="H5" s="524"/>
      <c r="I5" s="536"/>
      <c r="J5" s="536">
        <v>30000</v>
      </c>
      <c r="K5" s="537"/>
      <c r="L5" s="537"/>
      <c r="M5" s="538">
        <v>-0.25</v>
      </c>
      <c r="N5" s="539">
        <f t="shared" si="0"/>
        <v>37500</v>
      </c>
      <c r="O5" s="540">
        <v>20</v>
      </c>
      <c r="P5" s="527">
        <f t="shared" si="1"/>
        <v>0</v>
      </c>
      <c r="Q5" s="522"/>
      <c r="R5" s="524"/>
      <c r="S5" s="524"/>
      <c r="T5" s="524"/>
      <c r="U5" s="527"/>
      <c r="V5" s="544" t="str">
        <f>IF($W$17=$AF$1,"DATUM",IFERROR(VLOOKUP("DATUM",Jazyky_ceník!A:Q,MATCH(W17,Jazyky_ceník!A1:Q1,0),FALSE),"!!!"))</f>
        <v>DATUM</v>
      </c>
      <c r="W5" s="524" t="str">
        <f>IF($W$17=$AF$1,"Termín další dostupnosti zboží",IFERROR(VLOOKUP("Termín další dostupnosti zboží",Jazyky_ceník!A:Q,MATCH(W17,Jazyky_ceník!A1:Q1,0),FALSE),"!!!"))</f>
        <v>Termín další dostupnosti zboží</v>
      </c>
      <c r="X5" s="524"/>
      <c r="Y5" s="529"/>
      <c r="Z5" s="529"/>
      <c r="AA5" s="521"/>
      <c r="AB5" s="524"/>
      <c r="AC5" s="530" t="str">
        <f>IF($W$17=$AF$1,"NA PALETÁCH",IFERROR(VLOOKUP("NA PALETÁCH",Jazyky_ceník!A:Q,MATCH(W17,Jazyky_ceník!A1:Q1,0),FALSE),"!!!"))</f>
        <v>NA PALETÁCH</v>
      </c>
      <c r="AD5" s="531">
        <v>5</v>
      </c>
      <c r="AE5" s="532" t="s">
        <v>10652</v>
      </c>
      <c r="AF5" s="530" t="s">
        <v>6463</v>
      </c>
      <c r="AG5" s="530"/>
      <c r="AH5" s="533"/>
      <c r="AI5" s="522"/>
      <c r="AJ5" s="530"/>
      <c r="AK5" s="524"/>
      <c r="AL5" s="544" t="s">
        <v>9498</v>
      </c>
      <c r="AM5" s="524"/>
      <c r="AN5" s="524"/>
      <c r="AO5" s="623"/>
    </row>
    <row r="6" spans="1:46" s="574" customFormat="1" ht="12.95" hidden="1" customHeight="1">
      <c r="A6" s="521"/>
      <c r="B6" s="522"/>
      <c r="C6" s="524"/>
      <c r="D6" s="546" t="s">
        <v>12439</v>
      </c>
      <c r="E6" s="524"/>
      <c r="F6" s="543"/>
      <c r="G6" s="524"/>
      <c r="H6" s="524"/>
      <c r="I6" s="536"/>
      <c r="J6" s="536">
        <v>75000</v>
      </c>
      <c r="K6" s="537"/>
      <c r="L6" s="537"/>
      <c r="M6" s="538">
        <v>-0.3</v>
      </c>
      <c r="N6" s="539">
        <f t="shared" si="0"/>
        <v>100000</v>
      </c>
      <c r="O6" s="540">
        <v>25</v>
      </c>
      <c r="P6" s="527">
        <f t="shared" si="1"/>
        <v>0</v>
      </c>
      <c r="Q6" s="522"/>
      <c r="R6" s="524"/>
      <c r="S6" s="524"/>
      <c r="T6" s="524"/>
      <c r="U6" s="527"/>
      <c r="V6" s="528" t="str">
        <f>IF($W$17=$AF$1,"SKLADEM",IFERROR(VLOOKUP("SKLADEM",Jazyky_ceník!A:Q,MATCH(W17,Jazyky_ceník!A1:Q1,0),FALSE),"!!!"))</f>
        <v>SKLADEM</v>
      </c>
      <c r="W6" s="547" t="str">
        <f>IF($W$17=$AF$1,"Lze objednat libovolný počet.",IFERROR(VLOOKUP("Lze objednat libovolný počet.",Jazyky_ceník!A:Q,MATCH(W17,Jazyky_ceník!A1:Q1,0),FALSE),"!!!"))</f>
        <v>Lze objednat libovolný počet.</v>
      </c>
      <c r="X6" s="547"/>
      <c r="Y6" s="529"/>
      <c r="Z6" s="529"/>
      <c r="AA6" s="521"/>
      <c r="AB6" s="524"/>
      <c r="AC6" s="548">
        <v>2</v>
      </c>
      <c r="AD6" s="531">
        <v>6</v>
      </c>
      <c r="AE6" s="532" t="s">
        <v>6384</v>
      </c>
      <c r="AF6" s="530" t="s">
        <v>6460</v>
      </c>
      <c r="AG6" s="530"/>
      <c r="AH6" s="533"/>
      <c r="AI6" s="522"/>
      <c r="AJ6" s="530"/>
      <c r="AK6" s="524"/>
      <c r="AL6" s="544" t="s">
        <v>9499</v>
      </c>
      <c r="AM6" s="524"/>
      <c r="AN6" s="524"/>
      <c r="AO6" s="623"/>
    </row>
    <row r="7" spans="1:46" s="574" customFormat="1" ht="12.95" hidden="1" customHeight="1">
      <c r="A7" s="810"/>
      <c r="B7" s="810"/>
      <c r="C7" s="810"/>
      <c r="D7" s="549" t="str">
        <f>IF($W$17=$AF$1,Jazyky_ceník!A89,IFERROR(VLOOKUP(Jazyky_ceník!A89,Jazyky_ceník!A:Q,MATCH($W$17,Jazyky_ceník!$A$1:$Q$1,0),FALSE),"---------------"))</f>
        <v>VEŠKERÉ OBJEDNÁVKY ZASÍLEJTE POUZE NA ADRESU:</v>
      </c>
      <c r="E7" s="549"/>
      <c r="F7" s="523"/>
      <c r="G7" s="524"/>
      <c r="H7" s="524"/>
      <c r="I7" s="536"/>
      <c r="J7" s="536">
        <v>120000</v>
      </c>
      <c r="K7" s="537"/>
      <c r="L7" s="537"/>
      <c r="M7" s="538">
        <v>-0.4</v>
      </c>
      <c r="N7" s="539">
        <f t="shared" si="0"/>
        <v>171428.57142857142</v>
      </c>
      <c r="O7" s="540">
        <v>30</v>
      </c>
      <c r="P7" s="527">
        <f t="shared" si="1"/>
        <v>0</v>
      </c>
      <c r="Q7" s="522"/>
      <c r="R7" s="524"/>
      <c r="S7" s="524" t="s">
        <v>9301</v>
      </c>
      <c r="T7" s="524"/>
      <c r="U7" s="527"/>
      <c r="V7" s="528" t="str">
        <f>V2&amp;" … "&amp;V1</f>
        <v>POSLEDNÍCH … VK</v>
      </c>
      <c r="W7" s="547" t="str">
        <f>IF($W$17=$AF$1,"Lze objednat maximálně toto množství.",IFERROR(VLOOKUP("Lze objednat maximálně toto množství.",Jazyky_ceník!A:Q,MATCH(W17,Jazyky_ceník!A1:Q1,0),FALSE),"!!!"))</f>
        <v>Lze objednat maximálně toto množství.</v>
      </c>
      <c r="X7" s="547"/>
      <c r="Y7" s="529"/>
      <c r="Z7" s="529"/>
      <c r="AA7" s="521"/>
      <c r="AB7" s="524"/>
      <c r="AC7" s="548">
        <v>1</v>
      </c>
      <c r="AD7" s="531">
        <v>7</v>
      </c>
      <c r="AE7" s="532" t="s">
        <v>6385</v>
      </c>
      <c r="AF7" s="530" t="s">
        <v>2769</v>
      </c>
      <c r="AG7" s="530"/>
      <c r="AH7" s="533"/>
      <c r="AI7" s="522"/>
      <c r="AJ7" s="530"/>
      <c r="AK7" s="524"/>
      <c r="AL7" s="524"/>
      <c r="AM7" s="524"/>
      <c r="AN7" s="524"/>
      <c r="AO7" s="623"/>
    </row>
    <row r="8" spans="1:46" s="574" customFormat="1" ht="12.95" customHeight="1">
      <c r="A8" s="810"/>
      <c r="B8" s="810"/>
      <c r="C8" s="810"/>
      <c r="D8" s="524"/>
      <c r="E8" s="550" t="str">
        <f>IF($W$17=$AF$1,"info@klasekpyrotechnics.cz",IFERROR(VLOOKUP("info@klasekpyrotechnics.cz",Jazyky_ceník!A:Q,MATCH(W17,Jazyky_ceník!A1:Q1,0),FALSE),"---------------"))</f>
        <v>info@klasekpyrotechnics.cz</v>
      </c>
      <c r="F8" s="523"/>
      <c r="G8" s="524"/>
      <c r="H8" s="524"/>
      <c r="I8" s="536"/>
      <c r="J8" s="536">
        <v>150000</v>
      </c>
      <c r="K8" s="537"/>
      <c r="L8" s="537"/>
      <c r="M8" s="538">
        <v>-0.45</v>
      </c>
      <c r="N8" s="539">
        <f t="shared" si="0"/>
        <v>250000</v>
      </c>
      <c r="O8" s="540">
        <v>40</v>
      </c>
      <c r="P8" s="527">
        <f t="shared" si="1"/>
        <v>0</v>
      </c>
      <c r="Q8" s="522"/>
      <c r="R8" s="524"/>
      <c r="S8" s="524"/>
      <c r="T8" s="524"/>
      <c r="U8" s="527"/>
      <c r="V8" s="528" t="str">
        <f>IF($W$17=$AF$1,"MÉNĚ NEŽ 1 VK!",IFERROR(VLOOKUP("MÉNĚ NEŽ 1 VK!",Jazyky_ceník!A:Q,MATCH(W17,Jazyky_ceník!A1:Q1,0),FALSE),"!!!"))</f>
        <v>MÉNĚ NEŽ 1 VK!</v>
      </c>
      <c r="W8" s="547" t="str">
        <f>IF($W$17=$AF$1,"Posledních pár kousků skladem.",IFERROR(VLOOKUP("Posledních pár kousků skladem.",Jazyky_ceník!A:Q,MATCH(W17,Jazyky_ceník!A1:Q1,0),FALSE),"!!!"))</f>
        <v>Posledních pár kousků skladem.</v>
      </c>
      <c r="X8" s="547"/>
      <c r="Y8" s="529"/>
      <c r="Z8" s="529"/>
      <c r="AA8" s="521"/>
      <c r="AB8" s="530"/>
      <c r="AC8" s="522" t="str">
        <f>IF($W$17=$AF$1,"Máte objednáno",IFERROR(VLOOKUP("Máte objednáno",Jazyky_ceník!A:Q,MATCH(W17,Jazyky_ceník!A1:Q1,0),FALSE),"!!!"))</f>
        <v>Máte objednáno</v>
      </c>
      <c r="AD8" s="531">
        <v>8</v>
      </c>
      <c r="AE8" s="532" t="s">
        <v>2492</v>
      </c>
      <c r="AF8" s="530" t="s">
        <v>6854</v>
      </c>
      <c r="AG8" s="530">
        <v>2</v>
      </c>
      <c r="AH8" s="533"/>
      <c r="AI8" s="522"/>
      <c r="AJ8" s="530"/>
      <c r="AK8" s="524"/>
      <c r="AL8" s="524"/>
      <c r="AM8" s="524"/>
      <c r="AN8" s="524"/>
      <c r="AO8" s="623"/>
    </row>
    <row r="9" spans="1:46" s="574" customFormat="1" ht="12.95" customHeight="1">
      <c r="A9" s="521"/>
      <c r="B9" s="522"/>
      <c r="C9" s="524"/>
      <c r="D9" s="545" t="str">
        <f>IF($W$17=$AF$1,Jazyky_ceník!A84,IFERROR(VLOOKUP(Jazyky_ceník!A84,Jazyky_ceník!A:Q,MATCH($W$17,Jazyky_ceník!$A$1:$Q$1,0),FALSE),"---------------"))</f>
        <v>Slevy jsou poskytovány při celoročním odběru a to od 01.01.2026 do 31.12.2026.</v>
      </c>
      <c r="E9" s="545"/>
      <c r="F9" s="545"/>
      <c r="G9" s="545"/>
      <c r="H9" s="545"/>
      <c r="I9" s="536"/>
      <c r="J9" s="536">
        <v>250000</v>
      </c>
      <c r="K9" s="537"/>
      <c r="L9" s="537"/>
      <c r="M9" s="538">
        <v>-0.48</v>
      </c>
      <c r="N9" s="539">
        <f t="shared" si="0"/>
        <v>454545.45454545453</v>
      </c>
      <c r="O9" s="540">
        <v>45</v>
      </c>
      <c r="P9" s="527">
        <f t="shared" si="1"/>
        <v>0</v>
      </c>
      <c r="Q9" s="522"/>
      <c r="R9" s="524"/>
      <c r="S9" s="524"/>
      <c r="T9" s="524"/>
      <c r="U9" s="527"/>
      <c r="V9" s="528" t="str">
        <f>IF($W$17=$AF$1,"VYPRODÁNO",IFERROR(VLOOKUP("VYPRODÁNO",Jazyky_ceník!A:Q,MATCH(W17,Jazyky_ceník!A1:Q1,0),FALSE),"!!!"))</f>
        <v>VYPRODÁNO</v>
      </c>
      <c r="W9" s="547" t="str">
        <f>IF($W$17=$AF$1,"Nelze v tuto chvíli objednat.",IFERROR(VLOOKUP("Nelze v tuto chvíli objednat.",Jazyky_ceník!A:Q,MATCH(W17,Jazyky_ceník!A1:Q1,0),FALSE),"!!!"))</f>
        <v>Nelze v tuto chvíli objednat.</v>
      </c>
      <c r="X9" s="547"/>
      <c r="Y9" s="529"/>
      <c r="Z9" s="529"/>
      <c r="AA9" s="521"/>
      <c r="AB9" s="551"/>
      <c r="AC9" s="522" t="str">
        <f>IF($W$17=$AF$1,"kartonů, které zabalíme na palety.",IFERROR(VLOOKUP("kartonů, které zabalíme na palety.",Jazyky_ceník!A:Q,MATCH(W17,Jazyky_ceník!A1:Q1,0),FALSE),"!!!"))</f>
        <v>kartonů, které zabalíme na palety.</v>
      </c>
      <c r="AD9" s="531">
        <v>9</v>
      </c>
      <c r="AE9" s="532" t="s">
        <v>6387</v>
      </c>
      <c r="AF9" s="530" t="s">
        <v>2770</v>
      </c>
      <c r="AG9" s="530"/>
      <c r="AH9" s="533"/>
      <c r="AI9" s="522"/>
      <c r="AJ9" s="530"/>
      <c r="AK9" s="524"/>
      <c r="AL9" s="524"/>
      <c r="AM9" s="524"/>
      <c r="AN9" s="524"/>
      <c r="AO9" s="623"/>
    </row>
    <row r="10" spans="1:46" s="574" customFormat="1" ht="12.95" hidden="1" customHeight="1">
      <c r="A10" s="521"/>
      <c r="B10" s="522"/>
      <c r="C10" s="524"/>
      <c r="D10" s="545" t="str">
        <f>IF($W$17=$AF$1,Jazyky_ceník!A85,IFERROR(VLOOKUP(Jazyky_ceník!A85,Jazyky_ceník!A:Q,MATCH($W$17,Jazyky_ceník!$A$1:$Q$1,0),FALSE),"---------------"))</f>
        <v>Přidělená sleva zákazníka se počítá na základě odběru od 01.01.2025 do 31.12.2025.</v>
      </c>
      <c r="E10" s="545"/>
      <c r="H10" s="545"/>
      <c r="I10" s="536"/>
      <c r="J10" s="536">
        <v>400000</v>
      </c>
      <c r="K10" s="537"/>
      <c r="L10" s="537"/>
      <c r="M10" s="538">
        <v>-0.5</v>
      </c>
      <c r="N10" s="539">
        <f t="shared" si="0"/>
        <v>769230.76923076925</v>
      </c>
      <c r="O10" s="540">
        <v>48</v>
      </c>
      <c r="P10" s="527">
        <f t="shared" si="1"/>
        <v>0</v>
      </c>
      <c r="Q10" s="522"/>
      <c r="R10" s="524"/>
      <c r="S10" s="524"/>
      <c r="T10" s="524"/>
      <c r="U10" s="527"/>
      <c r="V10" s="528" t="str">
        <f>IF($W$17=$AF$1,"NELZE OBJEDNAT!",IFERROR(VLOOKUP("NELZE OBJEDNAT!",Jazyky_ceník!A:Q,MATCH(W17,Jazyky_ceník!A1:Q1,0),FALSE),"!!!"))</f>
        <v>NELZE OBJEDNAT!</v>
      </c>
      <c r="W10" s="552" t="str">
        <f>IF($W$17=$AF$1,"Nelze v tuto chvíli objednat.",IFERROR(VLOOKUP("Nelze v tuto chvíli objednat.",Jazyky_ceník!A:Q,MATCH(W17,Jazyky_ceník!A1:Q1,0),FALSE),"!!!"))</f>
        <v>Nelze v tuto chvíli objednat.</v>
      </c>
      <c r="X10" s="552"/>
      <c r="Y10" s="529"/>
      <c r="Z10" s="529"/>
      <c r="AA10" s="521"/>
      <c r="AB10" s="530"/>
      <c r="AC10" s="522" t="str">
        <f>IF($W$17=$AF$1,"kartonů zboží s nakládkou na volno.",IFERROR(VLOOKUP("kartonů zboží s nakládkou na volno.",Jazyky_ceník!A:Q,MATCH(W17,Jazyky_ceník!A1:Q1,0),FALSE),"!!!"))</f>
        <v>kartonů zboží s nakládkou na volno.</v>
      </c>
      <c r="AD10" s="531">
        <v>10</v>
      </c>
      <c r="AE10" s="532" t="s">
        <v>6386</v>
      </c>
      <c r="AF10" s="530" t="s">
        <v>7684</v>
      </c>
      <c r="AG10" s="530"/>
      <c r="AH10" s="533"/>
      <c r="AI10" s="522"/>
      <c r="AJ10" s="530"/>
      <c r="AK10" s="524"/>
      <c r="AL10" s="524"/>
      <c r="AM10" s="524"/>
      <c r="AN10" s="524"/>
      <c r="AO10" s="623"/>
    </row>
    <row r="11" spans="1:46" s="574" customFormat="1" ht="12.75" hidden="1" customHeight="1">
      <c r="A11" s="521"/>
      <c r="B11" s="522"/>
      <c r="C11" s="524"/>
      <c r="D11" s="545" t="str">
        <f>IF($W$17=$AF$1,Jazyky_ceník!A86,IFERROR(VLOOKUP(Jazyky_ceník!A86,Jazyky_ceník!A:Q,MATCH($W$17,Jazyky_ceník!$A$1:$Q$1,0),FALSE),"---------------"))</f>
        <v xml:space="preserve">Pokud zákazník svými odběry v daném období překročí vlastní množstevní slevu (odběry se sčítají), </v>
      </c>
      <c r="E11" s="545"/>
      <c r="F11" s="524"/>
      <c r="G11" s="524"/>
      <c r="H11" s="545"/>
      <c r="I11" s="536"/>
      <c r="J11" s="536">
        <v>600000</v>
      </c>
      <c r="K11" s="537"/>
      <c r="L11" s="537"/>
      <c r="M11" s="538">
        <v>-0.52</v>
      </c>
      <c r="N11" s="539">
        <f t="shared" si="0"/>
        <v>1176470.588235294</v>
      </c>
      <c r="O11" s="540">
        <v>49</v>
      </c>
      <c r="P11" s="527">
        <f t="shared" si="1"/>
        <v>0</v>
      </c>
      <c r="Q11" s="522"/>
      <c r="R11" s="524"/>
      <c r="S11" s="524"/>
      <c r="T11" s="524"/>
      <c r="U11" s="527"/>
      <c r="V11" s="528"/>
      <c r="W11" s="522" t="s">
        <v>2818</v>
      </c>
      <c r="X11" s="522"/>
      <c r="Y11" s="529"/>
      <c r="Z11" s="529"/>
      <c r="AA11" s="521"/>
      <c r="AB11" s="530"/>
      <c r="AC11" s="522" t="str">
        <f>IF($W$17=$AF$1,"Objednáváte položky",IFERROR(VLOOKUP("Objednáváte položky",Jazyky_ceník!A:Q,MATCH(W17,Jazyky_ceník!A1:Q1,0),FALSE),"!!!"))</f>
        <v>Objednáváte položky</v>
      </c>
      <c r="AD11" s="531">
        <v>11</v>
      </c>
      <c r="AE11" s="532" t="s">
        <v>7686</v>
      </c>
      <c r="AF11" s="530" t="s">
        <v>7685</v>
      </c>
      <c r="AG11" s="530"/>
      <c r="AH11" s="533"/>
      <c r="AI11" s="522"/>
      <c r="AJ11" s="553"/>
      <c r="AK11" s="524"/>
      <c r="AL11" s="524"/>
      <c r="AM11" s="524"/>
      <c r="AN11" s="524"/>
      <c r="AO11" s="623"/>
    </row>
    <row r="12" spans="1:46" s="574" customFormat="1" ht="12.95" customHeight="1">
      <c r="A12" s="521"/>
      <c r="B12" s="522"/>
      <c r="C12" s="803" t="s">
        <v>15113</v>
      </c>
      <c r="D12" s="545" t="str">
        <f>IF($W$17=$AF$1,Jazyky_ceník!A87,IFERROR(VLOOKUP(Jazyky_ceník!A87,Jazyky_ceník!A:Q,MATCH($W$17,Jazyky_ceník!$A$1:$Q$1,0),FALSE),"---------------"))</f>
        <v>dostane za dané období příslušnou slevu i zpětně. Odběrem zboží se myslí částka bez DPH po odečtení slevy.</v>
      </c>
      <c r="E12" s="545"/>
      <c r="F12" s="545"/>
      <c r="G12" s="545"/>
      <c r="H12" s="545"/>
      <c r="I12" s="536"/>
      <c r="J12" s="536">
        <v>800000</v>
      </c>
      <c r="K12" s="537"/>
      <c r="L12" s="537"/>
      <c r="M12" s="538">
        <v>-0.54</v>
      </c>
      <c r="N12" s="554">
        <f>(J12/(100-O12))*100</f>
        <v>1600000</v>
      </c>
      <c r="O12" s="540">
        <v>50</v>
      </c>
      <c r="P12" s="527">
        <f t="shared" si="1"/>
        <v>0</v>
      </c>
      <c r="Q12" s="522"/>
      <c r="R12" s="524"/>
      <c r="S12" s="524"/>
      <c r="T12" s="524"/>
      <c r="U12" s="527"/>
      <c r="V12" s="528"/>
      <c r="W12" s="522" t="s">
        <v>2818</v>
      </c>
      <c r="X12" s="522"/>
      <c r="Y12" s="529"/>
      <c r="Z12" s="529"/>
      <c r="AA12" s="521"/>
      <c r="AB12" s="530"/>
      <c r="AC12" s="522" t="str">
        <f>IF($W$17=$AF$1,"které nejsou skladem, ostraňte je z objednávky!",IFERROR(VLOOKUP("které nejsou skladem, ostraňte je z objednávky!",Jazyky_ceník!A:Q,MATCH(W17,Jazyky_ceník!A1:Q1,0),FALSE),"!!!"))</f>
        <v>které nejsou skladem, ostraňte je z objednávky!</v>
      </c>
      <c r="AD12" s="531">
        <v>12</v>
      </c>
      <c r="AE12" s="532" t="s">
        <v>10653</v>
      </c>
      <c r="AF12" s="530" t="s">
        <v>7683</v>
      </c>
      <c r="AG12" s="530" t="s">
        <v>2114</v>
      </c>
      <c r="AH12" s="533"/>
      <c r="AI12" s="522"/>
      <c r="AJ12" s="530"/>
      <c r="AK12" s="524"/>
      <c r="AL12" s="524"/>
      <c r="AM12" s="524"/>
      <c r="AN12" s="524"/>
      <c r="AO12" s="623"/>
    </row>
    <row r="13" spans="1:46" s="574" customFormat="1" ht="12.95" hidden="1" customHeight="1">
      <c r="A13" s="272"/>
      <c r="B13" s="257"/>
      <c r="C13" s="275"/>
      <c r="D13" s="274" t="str">
        <f>IF($W$17=$AF$1,Jazyky_ceník!A88,IFERROR(VLOOKUP(Jazyky_ceník!A88,Jazyky_ceník!A:Q,MATCH($W$17,Jazyky_ceník!$A$1:$Q$1,0),FALSE),"---------------"))</f>
        <v>Vepsáním vaší slevy do buňky D19 se ceník automaticky přepočítá, případně se sleva vypčte sama podle aktuální objednávky.</v>
      </c>
      <c r="E13" s="274"/>
      <c r="F13" s="274"/>
      <c r="G13" s="274"/>
      <c r="H13" s="274"/>
      <c r="I13" s="259"/>
      <c r="J13" s="288">
        <v>1000000</v>
      </c>
      <c r="K13" s="309" t="s">
        <v>2762</v>
      </c>
      <c r="L13" s="304"/>
      <c r="M13" s="305"/>
      <c r="N13" s="287">
        <f t="shared" ref="N13:N15" si="2">(J13/(100-O13))*100</f>
        <v>2083333.3333333333</v>
      </c>
      <c r="O13" s="261">
        <v>52</v>
      </c>
      <c r="P13" s="261">
        <f t="shared" si="1"/>
        <v>0</v>
      </c>
      <c r="Q13" s="276"/>
      <c r="R13" s="273"/>
      <c r="S13" s="273"/>
      <c r="T13" s="273"/>
      <c r="U13" s="333"/>
      <c r="V13" s="273"/>
      <c r="W13" s="277" t="s">
        <v>2829</v>
      </c>
      <c r="X13" s="257"/>
      <c r="Y13" s="262"/>
      <c r="Z13" s="335"/>
      <c r="AA13" s="272"/>
      <c r="AB13" s="278"/>
      <c r="AC13" s="270" t="s">
        <v>9236</v>
      </c>
      <c r="AD13" s="269">
        <v>13</v>
      </c>
      <c r="AE13" s="279"/>
      <c r="AF13" s="278"/>
      <c r="AG13" s="278" t="s">
        <v>2576</v>
      </c>
      <c r="AH13" s="280" t="s">
        <v>2159</v>
      </c>
      <c r="AI13" s="277"/>
      <c r="AJ13" s="278"/>
      <c r="AK13" s="192"/>
      <c r="AL13" s="192"/>
      <c r="AM13" s="192"/>
      <c r="AN13" s="281"/>
      <c r="AO13" s="623"/>
    </row>
    <row r="14" spans="1:46" s="574" customFormat="1" ht="15" hidden="1" customHeight="1">
      <c r="A14" s="195"/>
      <c r="B14" s="257"/>
      <c r="C14" s="194"/>
      <c r="D14" s="193"/>
      <c r="E14" s="197"/>
      <c r="F14" s="198"/>
      <c r="G14" s="199"/>
      <c r="H14" s="200"/>
      <c r="I14" s="260"/>
      <c r="J14" s="288">
        <v>1500000</v>
      </c>
      <c r="K14" s="310"/>
      <c r="L14" s="306"/>
      <c r="M14" s="305"/>
      <c r="N14" s="287">
        <f t="shared" si="2"/>
        <v>3260869.5652173911</v>
      </c>
      <c r="O14" s="261">
        <v>54</v>
      </c>
      <c r="P14" s="261">
        <f t="shared" si="1"/>
        <v>0</v>
      </c>
      <c r="Q14" s="201"/>
      <c r="R14" s="202"/>
      <c r="S14" s="202"/>
      <c r="T14" s="202"/>
      <c r="U14" s="334"/>
      <c r="V14" s="202"/>
      <c r="W14" s="203"/>
      <c r="X14" s="203"/>
      <c r="Y14" s="201"/>
      <c r="Z14" s="336"/>
      <c r="AA14" s="204"/>
      <c r="AB14" s="205"/>
      <c r="AC14" s="206"/>
      <c r="AD14" s="207">
        <v>14</v>
      </c>
      <c r="AE14" s="208"/>
      <c r="AF14" s="205"/>
      <c r="AG14" s="205" t="s">
        <v>2577</v>
      </c>
      <c r="AH14" s="209" t="s">
        <v>2575</v>
      </c>
      <c r="AI14" s="196"/>
      <c r="AJ14" s="210"/>
      <c r="AK14" s="193"/>
      <c r="AL14" s="193"/>
      <c r="AM14" s="193"/>
      <c r="AN14" s="211"/>
      <c r="AO14" s="623"/>
    </row>
    <row r="15" spans="1:46" s="574" customFormat="1" ht="15" hidden="1" customHeight="1">
      <c r="A15" s="195"/>
      <c r="B15" s="257"/>
      <c r="C15" s="197"/>
      <c r="D15" s="193"/>
      <c r="E15" s="197"/>
      <c r="F15" s="198"/>
      <c r="G15" s="199"/>
      <c r="H15" s="200"/>
      <c r="I15" s="260"/>
      <c r="J15" s="288">
        <v>3000000</v>
      </c>
      <c r="K15" s="310"/>
      <c r="L15" s="306"/>
      <c r="M15" s="307" t="s">
        <v>2657</v>
      </c>
      <c r="N15" s="287">
        <f t="shared" si="2"/>
        <v>6666666.666666667</v>
      </c>
      <c r="O15" s="261">
        <v>55</v>
      </c>
      <c r="P15" s="520">
        <f t="shared" si="1"/>
        <v>0</v>
      </c>
      <c r="Q15" s="201" t="s">
        <v>2658</v>
      </c>
      <c r="R15" s="202"/>
      <c r="S15" s="202"/>
      <c r="T15" s="202"/>
      <c r="U15" s="334"/>
      <c r="V15" s="202"/>
      <c r="W15" s="203"/>
      <c r="X15" s="203"/>
      <c r="Y15" s="212"/>
      <c r="Z15" s="337"/>
      <c r="AA15" s="204"/>
      <c r="AB15" s="205"/>
      <c r="AC15" s="213"/>
      <c r="AD15" s="213"/>
      <c r="AE15" s="214"/>
      <c r="AF15" s="205"/>
      <c r="AG15" s="205"/>
      <c r="AH15" s="209"/>
      <c r="AI15" s="196"/>
      <c r="AJ15" s="210"/>
      <c r="AK15" s="193"/>
      <c r="AL15" s="193"/>
      <c r="AM15" s="193"/>
      <c r="AN15" s="211"/>
      <c r="AO15" s="623"/>
    </row>
    <row r="16" spans="1:46" ht="18" customHeight="1" thickBot="1">
      <c r="A16" s="604" t="s">
        <v>9104</v>
      </c>
      <c r="B16" s="602"/>
      <c r="C16" s="603" t="str">
        <f>A17</f>
        <v>DOPRODEJ</v>
      </c>
      <c r="D16" s="812" t="str">
        <f>D7</f>
        <v>VEŠKERÉ OBJEDNÁVKY ZASÍLEJTE POUZE NA ADRESU:</v>
      </c>
      <c r="E16" s="812"/>
      <c r="F16" s="812"/>
      <c r="G16" s="819" t="str">
        <f>E8</f>
        <v>info@klasekpyrotechnics.cz</v>
      </c>
      <c r="H16" s="819"/>
      <c r="I16" s="819"/>
      <c r="J16" s="819"/>
      <c r="K16" s="591"/>
      <c r="L16" s="820" t="str">
        <f>IF(W17=AF8,"Zastrzegamy sobie możliwość zmian cen w dowolnym momencie w przypadku znacznych zmian kursów walut.","")</f>
        <v/>
      </c>
      <c r="M16" s="820"/>
      <c r="N16" s="820"/>
      <c r="O16" s="820"/>
      <c r="P16" s="820"/>
      <c r="Q16" s="820"/>
      <c r="R16" s="820"/>
      <c r="S16" s="820"/>
      <c r="T16" s="820"/>
      <c r="U16" s="820"/>
      <c r="V16" s="820"/>
      <c r="W16" s="592"/>
      <c r="X16" s="593"/>
      <c r="Y16" s="594"/>
      <c r="Z16" s="595"/>
      <c r="AA16" s="595"/>
      <c r="AB16" s="592"/>
      <c r="AC16" s="596"/>
      <c r="AD16" s="597"/>
      <c r="AE16" s="598"/>
      <c r="AF16" s="592"/>
      <c r="AG16" s="592"/>
      <c r="AH16" s="599"/>
      <c r="AI16" s="593"/>
      <c r="AJ16" s="592"/>
      <c r="AK16" s="600"/>
      <c r="AL16" s="600"/>
      <c r="AM16" s="600"/>
      <c r="AN16" s="601"/>
      <c r="AO16" s="623"/>
    </row>
    <row r="17" spans="1:52" ht="20.25" customHeight="1" thickBot="1">
      <c r="A17" s="813" t="str">
        <f>IF($W$17=$AF$1,Jazyky_ceník!A110,IFERROR(VLOOKUP(Jazyky_ceník!A110,Jazyky_ceník!A:Q,MATCH(W17,Jazyky_ceník!A1:Q1,0),FALSE),"---------------"))</f>
        <v>DOPRODEJ</v>
      </c>
      <c r="B17" s="755" t="s">
        <v>9393</v>
      </c>
      <c r="C17" s="614" t="str">
        <f>IF($W$17=$AF$1,"Sleva v %",IFERROR(VLOOKUP("Sleva v %",Jazyky_ceník!A:Q,MATCH(W17,Jazyky_ceník!A1:Q1,0),FALSE),"!!!"))&amp;":"</f>
        <v>Sleva v %:</v>
      </c>
      <c r="D17" s="748">
        <f>P15</f>
        <v>0</v>
      </c>
      <c r="E17" s="578" t="str">
        <f>IF($W$17=$AF$1,"Kurz",IFERROR(VLOOKUP("Kurz",Jazyky_ceník!A:Q,MATCH(W17,Jazyky_ceník!A1:Q1,0),FALSE),"!!!"))&amp;":"</f>
        <v>Kurz:</v>
      </c>
      <c r="F17" s="747">
        <f>IF(G17=AT3,Jazyky_ceník!D2,IF(G17=AT1,IF(Act_Kurs!H1-26&gt;0,26,Act_Kurs!H1),Act_Kurs_libry!H1))</f>
        <v>23.5413</v>
      </c>
      <c r="G17" s="579" t="s">
        <v>11071</v>
      </c>
      <c r="H17" s="881" t="str">
        <f>IF($W$17=$AF$1,"&lt;==(vyplňuje se automaticky)",IFERROR("&lt;=="&amp;VLOOKUP("(vyplňuje se automaticky)",Jazyky_ceník!A:Q,MATCH(W17,Jazyky_ceník!A1:Q1,0),FALSE),""))</f>
        <v>&lt;==(vyplňuje se automaticky)</v>
      </c>
      <c r="I17" s="881"/>
      <c r="J17" s="882"/>
      <c r="K17" s="881"/>
      <c r="L17" s="883"/>
      <c r="M17" s="879" t="str">
        <f>IF($W$17=$AF$1,"Datum aktualizace ceníku:",IFERROR(VLOOKUP("Datum aktualizace ceníku:",Jazyky_ceník!A:Q,MATCH(W17,Jazyky_ceník!A1:Q1,0),FALSE),"---------------"))</f>
        <v>Datum aktualizace ceníku:</v>
      </c>
      <c r="N17" s="880"/>
      <c r="O17" s="880"/>
      <c r="P17" s="880"/>
      <c r="Q17" s="880"/>
      <c r="R17" s="877">
        <f>IFERROR(VLOOKUP("Datum:",[1]List1!$A:$D,2,FALSE),"Pozor! Ceník je offline!")</f>
        <v>46107.472268518519</v>
      </c>
      <c r="S17" s="877"/>
      <c r="T17" s="877"/>
      <c r="U17" s="877"/>
      <c r="V17" s="878"/>
      <c r="W17" s="580" t="str">
        <f>LOWER(VLOOKUP(AC7,AD1:AF14,3,FALSE))</f>
        <v>čeština</v>
      </c>
      <c r="X17" s="734" t="s">
        <v>12791</v>
      </c>
      <c r="Y17" s="735" t="s">
        <v>12791</v>
      </c>
      <c r="Z17" s="831" t="s">
        <v>10548</v>
      </c>
      <c r="AA17" s="831" t="str">
        <f>IF($W$17=$AF$1,"Počet kartonů na paletě",IFERROR(VLOOKUP("Počet kartonů na paletě",Jazyky_ceník!A:Q,MATCH(W17,Jazyky_ceník!A1:Q1,0),FALSE),"---------------"))</f>
        <v>Počet kartonů na paletě</v>
      </c>
      <c r="AB17" s="831" t="str">
        <f>IF($W$17=$AF$1,"Objednáno kartonů",IFERROR(VLOOKUP("Objednáno kartonů",Jazyky_ceník!A:Q,MATCH(W17,Jazyky_ceník!A1:Q1,0),FALSE),"---------------"))</f>
        <v>Objednáno kartonů</v>
      </c>
      <c r="AC17" s="742" t="s">
        <v>2112</v>
      </c>
      <c r="AD17" s="895" t="str">
        <f>IF($W$17=$AF$1,"Skladová dostupnost",IFERROR(VLOOKUP("Skladová dostupnost",Jazyky_ceník!A:Q,MATCH(W17,Jazyky_ceník!A1:Q1,0),FALSE),"---------------"))</f>
        <v>Skladová dostupnost</v>
      </c>
      <c r="AE17" s="886" t="str">
        <f>IF($W$17=$AF$1,"Skladová dostupnost",IFERROR(VLOOKUP("Skladová dostupnost",Jazyky_ceník!A:Q,MATCH(W17,Jazyky_ceník!A1:Q1,0),FALSE),"---------------"))</f>
        <v>Skladová dostupnost</v>
      </c>
      <c r="AF17" s="586" t="str">
        <f>IF($W$17=$AF$1,"celkem",IFERROR(VLOOKUP("celkem",Jazyky_ceník!A:Q,MATCH(W17,Jazyky_ceník!A1:Q1,0),FALSE),"!!!"))</f>
        <v>celkem</v>
      </c>
      <c r="AG17" s="586" t="str">
        <f>IF($W$17=$AF$1,"celkem",IFERROR(VLOOKUP("celkem",Jazyky_ceník!A:Q,MATCH(W17,Jazyky_ceník!A1:Q1,0),FALSE),"!!!"))</f>
        <v>celkem</v>
      </c>
      <c r="AH17" s="587" t="str">
        <f>IF($W$17=$AF$1,"celkem",IFERROR(VLOOKUP("celkem",Jazyky_ceník!A:Q,MATCH(W17,Jazyky_ceník!A1:Q1,0),FALSE),"!!!"))</f>
        <v>celkem</v>
      </c>
      <c r="AI17" s="886" t="str">
        <f>IF($W$17=$AF$1,"celkem",IFERROR(VLOOKUP("celkem",Jazyky_ceník!A:Q,MATCH($W$17,Jazyky_ceník!A1:Q1,0),FALSE),"---------------"))&amp;" "&amp;AI988</f>
        <v>celkem [kg]</v>
      </c>
      <c r="AJ17" s="886" t="str">
        <f>IF($W$17=$AF$1,"celkem",IFERROR(VLOOKUP("celkem",Jazyky_ceník!A:Q,MATCH($W$17,Jazyky_ceník!A1:Q1,0),FALSE),"---------------"))&amp;" "&amp;AJ988</f>
        <v>celkem [m3]</v>
      </c>
      <c r="AK17" s="886" t="s">
        <v>2810</v>
      </c>
      <c r="AL17" s="886" t="s">
        <v>2811</v>
      </c>
      <c r="AM17" s="886" t="s">
        <v>2812</v>
      </c>
      <c r="AN17" s="889" t="str">
        <f>IF($W$17=$AF$1,"Celkem
NEM [kg]",IFERROR(VLOOKUP("Celkem
NEM [kg]",Jazyky_ceník!A:Q,MATCH(W17,Jazyky_ceník!A1:Q1,0),FALSE),"---------------"))</f>
        <v>Celkem
NEM [kg]</v>
      </c>
      <c r="AO17" s="623"/>
      <c r="AP17" s="626"/>
      <c r="AQ17" s="626"/>
    </row>
    <row r="18" spans="1:52" ht="15" customHeight="1">
      <c r="A18" s="814"/>
      <c r="B18" s="756" t="s">
        <v>12</v>
      </c>
      <c r="C18" s="815" t="str">
        <f>IF($W$17=$AF$1,Jazyky_ceník!A26,IFERROR(VLOOKUP(Jazyky_ceník!A26,Jazyky_ceník!A:Q,MATCH(W17,Jazyky_ceník!A1:Q1,0),FALSE),"---------------"))</f>
        <v>Katalogové číslo</v>
      </c>
      <c r="D18" s="817" t="str">
        <f>IF($W$17=$AF$1,"Název produktu",IFERROR(VLOOKUP("Název produktu",Jazyky_ceník!A:Q,MATCH(W17,Jazyky_ceník!A1:Q1,0),FALSE),"---------------"))</f>
        <v>Název produktu</v>
      </c>
      <c r="E18" s="815" t="str">
        <f>IF($W$17=$AF$1,"Balení v kartonu",IFERROR(VLOOKUP("Balení v kartonu",Jazyky_ceník!A:Q,MATCH(W17,Jazyky_ceník!A1:Q1,0),FALSE),"---------------"))</f>
        <v>Balení v kartonu</v>
      </c>
      <c r="F18" s="760" t="str">
        <f>IF($W$17=$AF$1,"Cena v CZK",IFERROR(VLOOKUP("Cena v CZK",Jazyky_ceník!A:Q,MATCH(W17,Jazyky_ceník!A1:Q1,0),FALSE),"!!!"))</f>
        <v>Cena v CZK</v>
      </c>
      <c r="G18" s="576" t="str">
        <f>IF($W$17=$AF$1,"Cena v CZK",IFERROR(VLOOKUP("Cena w CZK",Jazyky_ceník!A:Q,MATCH(W17,Jazyky_ceník!A1:Q1,0),FALSE),"!!!"))</f>
        <v>Cena v CZK</v>
      </c>
      <c r="H18" s="576" t="str">
        <f>IF($W$17=$AF$1,"Cena v "&amp;AR4,IFERROR(VLOOKUP(AR4,Jazyky_ceník!A:Q,MATCH(W17,Jazyky_ceník!A1:Q1,0),FALSE),"!!!"))</f>
        <v>Cena v €</v>
      </c>
      <c r="I18" s="758" t="s">
        <v>2111</v>
      </c>
      <c r="J18" s="836" t="str">
        <f>IF($W$17=$AF$1,"Kategorie",IFERROR(VLOOKUP("Kategorie",Jazyky_ceník!A:Q,MATCH(W17,Jazyky_ceník!A1:Q1,0),FALSE),"---------------"))</f>
        <v>Kategorie</v>
      </c>
      <c r="K18" s="745" t="s">
        <v>9012</v>
      </c>
      <c r="L18" s="576" t="str">
        <f>IF($W$17=$AF$1,"Certifikát skladování",IFERROR(VLOOKUP("Certifikát skladování",Jazyky_ceník!A:Q,MATCH(W17,Jazyky_ceník!A1:Q1,0),FALSE),"!!!"))</f>
        <v>Certifikát skladování</v>
      </c>
      <c r="M18" s="834" t="s">
        <v>9457</v>
      </c>
      <c r="N18" s="740" t="s">
        <v>2142</v>
      </c>
      <c r="O18" s="740" t="s">
        <v>2143</v>
      </c>
      <c r="P18" s="740" t="s">
        <v>2144</v>
      </c>
      <c r="Q18" s="830" t="str">
        <f>IF($W$17=$AF$1,"Jazykové mutace",IFERROR(VLOOKUP("Jazykové mutace",Jazyky_ceník!A:Q,MATCH(W17,Jazyky_ceník!A1:Q1,0),FALSE),"---------------"))</f>
        <v>Jazykové mutace</v>
      </c>
      <c r="R18" s="830"/>
      <c r="S18" s="576" t="str">
        <f>IF($W$17=$AF$1,"Vrchní strana",IFERROR(VLOOKUP("Design",Jazyky_ceník!A:Q,MATCH(W17,Jazyky_ceník!A1:Q1,0),FALSE),"!!!"))</f>
        <v>Vrchní strana</v>
      </c>
      <c r="T18" s="785" t="str">
        <f>IF($W$17=$AF$1,"Čas v",IFERROR(VLOOKUP("Čas v",Jazyky_ceník!A:Q,MATCH(W17,Jazyky_ceník!A1:Q1,0),FALSE),"!!!"))</f>
        <v>Čas v</v>
      </c>
      <c r="U18" s="577" t="str">
        <f>IF($W$17=$AF$1,"Výška",IFERROR(VLOOKUP("Výška",Jazyky_ceník!A:Q,MATCH(W17,Jazyky_ceník!A1:Q1,0),FALSE),"!!!"))</f>
        <v>Výška</v>
      </c>
      <c r="V18" s="787" t="str">
        <f>IF($W$17=$AF$1,"Šířka",IFERROR(VLOOKUP("Šířka",Jazyky_ceník!A:Q,MATCH(W17,Jazyky_ceník!A1:Q1,0),FALSE),"!!!"))</f>
        <v>Šířka</v>
      </c>
      <c r="W18" s="821" t="str">
        <f>IF($W$17=$AF$1,"Popis efektu",IFERROR(VLOOKUP("Popis efektu",Jazyky_ceník!A:Q,MATCH(W17,Jazyky_ceník!A1:Q1,0),FALSE),"!!!"))</f>
        <v>Popis efektu</v>
      </c>
      <c r="X18" s="736"/>
      <c r="Y18" s="737"/>
      <c r="Z18" s="832"/>
      <c r="AA18" s="832"/>
      <c r="AB18" s="832"/>
      <c r="AC18" s="743" t="s">
        <v>2113</v>
      </c>
      <c r="AD18" s="896"/>
      <c r="AE18" s="887"/>
      <c r="AF18" s="588" t="str">
        <f>IF(W17=AF8,AR4,"CZK")</f>
        <v>CZK</v>
      </c>
      <c r="AG18" s="588" t="str">
        <f>IF(W17=AF8,AR4,"CZK")</f>
        <v>CZK</v>
      </c>
      <c r="AH18" s="589" t="str">
        <f>AR4</f>
        <v>€</v>
      </c>
      <c r="AI18" s="887"/>
      <c r="AJ18" s="887"/>
      <c r="AK18" s="887"/>
      <c r="AL18" s="887"/>
      <c r="AM18" s="887"/>
      <c r="AN18" s="890"/>
      <c r="AO18" s="623"/>
      <c r="AP18" s="626"/>
      <c r="AQ18" s="626"/>
    </row>
    <row r="19" spans="1:52" ht="17.25" customHeight="1">
      <c r="A19" s="814"/>
      <c r="B19" s="757">
        <f>(100-D17)/100</f>
        <v>1</v>
      </c>
      <c r="C19" s="816"/>
      <c r="D19" s="818"/>
      <c r="E19" s="816"/>
      <c r="F19" s="761" t="str">
        <f>IF($W$17=$AF$1,"před slevou",IFERROR(VLOOKUP("před slevou",Jazyky_ceník!A:Q,MATCH(W17,Jazyky_ceník!A1:Q1,0),FALSE),"!!!"))</f>
        <v>před slevou</v>
      </c>
      <c r="G19" s="571" t="str">
        <f>IF($W$17=$AF$1,"po slevě",IF(W17=AF8,"przed rabatem",IFERROR(VLOOKUP("po slevě",Jazyky_ceník!A:Q,MATCH(W17,Jazyky_ceník!A1:Q1,0),FALSE),"!!!")))</f>
        <v>po slevě</v>
      </c>
      <c r="H19" s="571" t="str">
        <f>IF($W$17=$AF$1,"po slevě",IFERROR(VLOOKUP("po slevě",Jazyky_ceník!A:Q,MATCH(W17,Jazyky_ceník!A1:Q1,0),FALSE),"!!!"))</f>
        <v>po slevě</v>
      </c>
      <c r="I19" s="759"/>
      <c r="J19" s="837"/>
      <c r="K19" s="746" t="s">
        <v>12791</v>
      </c>
      <c r="L19" s="571" t="str">
        <f>IF($W$17=$AF$1,"v Německu",IFERROR(VLOOKUP("v Německu",Jazyky_ceník!A:Q,MATCH(W17,Jazyky_ceník!A1:Q1,0),FALSE),"!!!"))</f>
        <v>v Německu</v>
      </c>
      <c r="M19" s="835"/>
      <c r="N19" s="741" t="s">
        <v>12791</v>
      </c>
      <c r="O19" s="741" t="s">
        <v>12791</v>
      </c>
      <c r="P19" s="741" t="s">
        <v>12791</v>
      </c>
      <c r="Q19" s="572" t="str">
        <f>IF($W$17=$AF$1,"velkého balení",IFERROR(VLOOKUP("velkého balení",Jazyky_ceník!A:Q,MATCH(W17,Jazyky_ceník!A1:Q1,0),FALSE),"!!!"))</f>
        <v>velkého balení</v>
      </c>
      <c r="R19" s="573" t="str">
        <f>IF($W$17=$AF$1,"malého balení",IFERROR(VLOOKUP("malého balení",Jazyky_ceník!A:Q,MATCH(W17,Jazyky_ceník!A1:Q1,0),FALSE),"!!!"))</f>
        <v>malého balení</v>
      </c>
      <c r="S19" s="571" t="str">
        <f>IF($W$17=$AF$1,"baterie",IFERROR(VLOOKUP("horního víka",Jazyky_ceník!A:Q,MATCH(W17,Jazyky_ceník!A1:Q1,0),FALSE),"!!!"))</f>
        <v>baterie</v>
      </c>
      <c r="T19" s="786" t="str">
        <f>IF($W$17=$AF$1,"sekundách",IFERROR(VLOOKUP("sekundách",Jazyky_ceník!A:Q,MATCH(W17,Jazyky_ceník!A1:Q1,0),FALSE),"!!!"))</f>
        <v>sekundách</v>
      </c>
      <c r="U19" s="893" t="str">
        <f>IF($W$17=$AF$1,"Efektu",IFERROR(VLOOKUP("Efektu",Jazyky_ceník!A:Q,MATCH(W17,Jazyky_ceník!A1:Q1,0),FALSE),"!!!"))&amp;" [m]"</f>
        <v>Efektu [m]</v>
      </c>
      <c r="V19" s="894"/>
      <c r="W19" s="822"/>
      <c r="X19" s="738"/>
      <c r="Y19" s="739"/>
      <c r="Z19" s="833"/>
      <c r="AA19" s="833"/>
      <c r="AB19" s="833"/>
      <c r="AC19" s="744"/>
      <c r="AD19" s="897"/>
      <c r="AE19" s="888"/>
      <c r="AF19" s="590" t="str">
        <f>IF($W$17=$AF$1,"(bez DPH)",IFERROR(VLOOKUP("(bez DPH)",Jazyky_ceník!A:Q,MATCH(W17,Jazyky_ceník!A1:Q1,0),FALSE),"!!!"))</f>
        <v>(bez DPH)</v>
      </c>
      <c r="AG19" s="590" t="str">
        <f>IF($W$17=$AF$1,"(vč. DPH)",IFERROR(VLOOKUP("(vč. DPH)",Jazyky_ceník!A:Q,MATCH(W17,Jazyky_ceník!A1:Q1,0),FALSE),"!!!"))</f>
        <v>(vč. DPH)</v>
      </c>
      <c r="AH19" s="590" t="str">
        <f>IF($W$17=$AF$1,"(bez DPH)",IFERROR(VLOOKUP("(bez DPH)",Jazyky_ceník!A:Q,MATCH(W17,Jazyky_ceník!A1:Q1,0),FALSE),"!!!"))</f>
        <v>(bez DPH)</v>
      </c>
      <c r="AI19" s="888"/>
      <c r="AJ19" s="888"/>
      <c r="AK19" s="888"/>
      <c r="AL19" s="888"/>
      <c r="AM19" s="888"/>
      <c r="AN19" s="891"/>
      <c r="AO19" s="623"/>
      <c r="AP19" s="627"/>
      <c r="AQ19" s="627"/>
    </row>
    <row r="20" spans="1:52" ht="13.5" customHeight="1">
      <c r="A20" s="615" t="s">
        <v>11589</v>
      </c>
      <c r="B20" s="615" t="s">
        <v>9907</v>
      </c>
      <c r="C20" s="616" t="s">
        <v>15090</v>
      </c>
      <c r="D20" s="617" t="s">
        <v>9501</v>
      </c>
      <c r="E20" s="618" t="s">
        <v>9502</v>
      </c>
      <c r="F20" s="615" t="s">
        <v>2576</v>
      </c>
      <c r="G20" s="618" t="s">
        <v>9503</v>
      </c>
      <c r="H20" s="618" t="s">
        <v>9504</v>
      </c>
      <c r="I20" s="617" t="s">
        <v>9518</v>
      </c>
      <c r="J20" s="619" t="s">
        <v>9505</v>
      </c>
      <c r="K20" s="615" t="s">
        <v>9519</v>
      </c>
      <c r="L20" s="618" t="s">
        <v>15091</v>
      </c>
      <c r="M20" s="618" t="s">
        <v>9457</v>
      </c>
      <c r="N20" s="618" t="s">
        <v>2</v>
      </c>
      <c r="O20" s="618" t="s">
        <v>9520</v>
      </c>
      <c r="P20" s="618" t="s">
        <v>9521</v>
      </c>
      <c r="Q20" s="618" t="s">
        <v>9506</v>
      </c>
      <c r="R20" s="620" t="s">
        <v>9507</v>
      </c>
      <c r="S20" s="620" t="s">
        <v>9508</v>
      </c>
      <c r="T20" s="620" t="s">
        <v>9509</v>
      </c>
      <c r="U20" s="620" t="s">
        <v>10773</v>
      </c>
      <c r="V20" s="620" t="s">
        <v>10774</v>
      </c>
      <c r="W20" s="615" t="s">
        <v>9510</v>
      </c>
      <c r="X20" s="615" t="s">
        <v>9908</v>
      </c>
      <c r="Y20" s="615" t="s">
        <v>9909</v>
      </c>
      <c r="Z20" s="615" t="s">
        <v>15092</v>
      </c>
      <c r="AA20" s="618" t="s">
        <v>15093</v>
      </c>
      <c r="AB20" s="615" t="s">
        <v>10935</v>
      </c>
      <c r="AC20" s="620" t="s">
        <v>9522</v>
      </c>
      <c r="AD20" s="620" t="s">
        <v>9910</v>
      </c>
      <c r="AE20" s="618" t="s">
        <v>9500</v>
      </c>
      <c r="AF20" s="615" t="s">
        <v>9512</v>
      </c>
      <c r="AG20" s="615" t="s">
        <v>9513</v>
      </c>
      <c r="AH20" s="616" t="s">
        <v>9514</v>
      </c>
      <c r="AI20" s="615" t="s">
        <v>9515</v>
      </c>
      <c r="AJ20" s="615" t="s">
        <v>9516</v>
      </c>
      <c r="AK20" s="615" t="s">
        <v>9911</v>
      </c>
      <c r="AL20" s="615" t="s">
        <v>9912</v>
      </c>
      <c r="AM20" s="615" t="s">
        <v>9913</v>
      </c>
      <c r="AN20" s="615" t="s">
        <v>9517</v>
      </c>
      <c r="AO20" s="623"/>
      <c r="AP20" s="628" t="s">
        <v>9494</v>
      </c>
      <c r="AQ20" s="628" t="s">
        <v>9495</v>
      </c>
      <c r="AR20" s="625" t="s">
        <v>9496</v>
      </c>
      <c r="AY20" s="625" t="s">
        <v>10655</v>
      </c>
      <c r="AZ20" s="625" t="s">
        <v>10654</v>
      </c>
    </row>
    <row r="21" spans="1:52" ht="15.75" customHeight="1">
      <c r="A21" s="751" t="str">
        <f>Kat.!C21</f>
        <v xml:space="preserve">           Kat. F1 – Bouchací kuličky a práskající výrobky</v>
      </c>
      <c r="B21" s="751"/>
      <c r="C21" s="751"/>
      <c r="D21" s="751"/>
      <c r="E21" s="751"/>
      <c r="F21" s="751"/>
      <c r="G21" s="751"/>
      <c r="H21" s="751"/>
      <c r="I21" s="752"/>
      <c r="J21" s="752"/>
      <c r="K21" s="752"/>
      <c r="L21" s="753" t="s">
        <v>2818</v>
      </c>
      <c r="M21" s="752"/>
      <c r="N21" s="752"/>
      <c r="O21" s="752"/>
      <c r="P21" s="752"/>
      <c r="Q21" s="752"/>
      <c r="R21" s="752"/>
      <c r="S21" s="752"/>
      <c r="T21" s="752"/>
      <c r="U21" s="752"/>
      <c r="V21" s="752"/>
      <c r="W21" s="752"/>
      <c r="X21" s="752"/>
      <c r="Y21" s="752"/>
      <c r="Z21" s="752"/>
      <c r="AA21" s="752"/>
      <c r="AB21" s="752"/>
      <c r="AC21" s="754"/>
      <c r="AD21" s="752"/>
      <c r="AE21" s="752"/>
      <c r="AF21" s="752"/>
      <c r="AG21" s="752"/>
      <c r="AH21" s="752"/>
      <c r="AI21" s="752"/>
      <c r="AJ21" s="752"/>
      <c r="AK21" s="752"/>
      <c r="AL21" s="752"/>
      <c r="AM21" s="752"/>
      <c r="AN21" s="752"/>
      <c r="AO21" s="623"/>
      <c r="AR21" s="629"/>
      <c r="AS21" s="630" t="e">
        <f>VLOOKUP("X",$AS$22:$AT$982,2,FALSE)</f>
        <v>#N/A</v>
      </c>
      <c r="AU21" s="625" t="str">
        <f>IF(AND($AL$3=2,AR22="",AB22&lt;&gt;""),AD22,"")</f>
        <v/>
      </c>
      <c r="AW21" s="631"/>
      <c r="AX21" s="631"/>
      <c r="AY21" s="631"/>
      <c r="AZ21" s="631"/>
    </row>
    <row r="22" spans="1:52" ht="15" customHeight="1">
      <c r="A22" s="639" t="str">
        <f>Kat.!C22</f>
        <v/>
      </c>
      <c r="B22" s="640">
        <f>IF(AND('General price list'!$J22="F4",$AI$1=FALSE),0,IF(AC22="SKLADEM",1,IF(AC22=$V$3,1,0)))</f>
        <v>1</v>
      </c>
      <c r="C22" s="641" t="s">
        <v>107</v>
      </c>
      <c r="D22" s="642" t="s">
        <v>108</v>
      </c>
      <c r="E22" s="731" t="s">
        <v>109</v>
      </c>
      <c r="F22" s="791">
        <f>IFERROR(VLOOKUP(C22,[2]List1!$A:$D,3,FALSE),"NEUVEDENO!")</f>
        <v>319</v>
      </c>
      <c r="G22" s="768">
        <f t="shared" ref="G22" si="3">IF($W$17=$AF$8,ROUND((F22)/$F$17,2),(F22)*$B$19)</f>
        <v>319</v>
      </c>
      <c r="H22" s="765">
        <f t="shared" ref="H22" si="4">IF($W$17=$AF$8,G22*$B$19,G22/$F$17)</f>
        <v>13.550653532302805</v>
      </c>
      <c r="I22" s="644">
        <f>IFERROR(VLOOKUP(C22,[2]List1!$A:$D,4,FALSE),"NEUVEDENO!")</f>
        <v>6</v>
      </c>
      <c r="J22" s="733" t="s">
        <v>19</v>
      </c>
      <c r="K22" s="645" t="s">
        <v>11100</v>
      </c>
      <c r="L22" s="645" t="s">
        <v>10962</v>
      </c>
      <c r="M22" s="645" t="s">
        <v>21</v>
      </c>
      <c r="N22" s="645">
        <f>IFERROR(VLOOKUP(C22,[3]List1!$A:$D,4,FALSE),"N/A!")</f>
        <v>2.1527999999999999E-2</v>
      </c>
      <c r="O22" s="645">
        <f>IFERROR(VLOOKUP(C22,[3]List1!$A:$D,3,FALSE),"N/A!")</f>
        <v>18</v>
      </c>
      <c r="P22" s="645">
        <f>IFERROR(VLOOKUP(C22,[3]List1!$A:$D,2,FALSE),"N/A!")</f>
        <v>7100</v>
      </c>
      <c r="Q22" s="645" t="s">
        <v>12759</v>
      </c>
      <c r="R22" s="645" t="s">
        <v>11239</v>
      </c>
      <c r="S22" s="645"/>
      <c r="T22" s="645"/>
      <c r="U22" s="645"/>
      <c r="V22" s="645"/>
      <c r="W22" s="645" t="str">
        <f>IFERROR(IF(AND($AB22&gt;=0.1*$AA22,MOD($AB22,$AA22)&gt;=($AA22-(0.1*$AA22))),IF($W$17=$AF$1,"Zvažte možnost doobjednání ještě "&amp;Tabulka1[[#This Row],[VKPAL]]-MOD(AB22,AA22)&amp;" VK do plné palety.",VLOOKUP("Zvažte možnost doobjednání ještě ",Jazyky_ceník!A:Q,MATCH($W$17,Jazyky_ceník!$A$1:$Q$1,0),FALSE)&amp;Tabulka1[[#This Row],[VKPAL]]-MOD(AB22,AA22)&amp;VLOOKUP(" VK do plné palety.",Jazyky_ceník!A:Q,MATCH($W$17,Jazyky_ceník!$A$1:$Q$1,0),FALSE)),IFERROR(IF(AND(NOT(MOD($AB22,$AA22)=0),$AB22&gt;=0.9*$AA22,MOD($AB22,$AA22)&lt;=0.1*$AA22),IF($W$17=$AF$1,"Zvažte možnost optimalizace objednaného množství podle počtu VK na paletě ==&gt;",VLOOKUP("Zvažte možnost optimalizace objednaného množství podle počtu VK na paletě ==&gt;",Jazyky_ceník!A:Q,MATCH($W$17,Jazyky_ceník!$A$1:$Q$1,0),FALSE)),VLOOKUP('General price list'!$C22,Popisy!A:M,MATCH($W$17,Popisy!$A$7:$M$7,0),FALSE)),"---------------")),IFERROR(VLOOKUP('General price list'!$C22,Popisy!A:M,MATCH($W$17,Popisy!$A$7:$M$7,0),FALSE),"---------------"))</f>
        <v xml:space="preserve">barevné bouchací kuličky(průměr 9mm) </v>
      </c>
      <c r="X22" s="645" t="str">
        <f t="shared" ref="X22" si="5">IF(AB22&lt;0.0001,"",AB22)</f>
        <v/>
      </c>
      <c r="Y22" s="645" t="str">
        <f t="shared" ref="Y22" si="6">IF($AL$3=2,IF(OR(AB22&lt;&gt;"",AB22&lt;&gt;0),AU22,""),IF(C22="","",IF(AB22&lt;0.0001,"",IF(B22=0,"",IF(AQ22&lt;AB22,"",AB22)))))</f>
        <v/>
      </c>
      <c r="Z22" s="645" t="str">
        <f>HYPERLINK("https://www.klasekpyrotechnics.cz/bk1p")</f>
        <v>https://www.klasekpyrotechnics.cz/bk1p</v>
      </c>
      <c r="AA22" s="645">
        <f>IFERROR(IF(VLOOKUP(C22,[4]List1!$A:$D,4,FALSE)=0,"",VLOOKUP(C22,[4]List1!$A:$D,4,FALSE)),"")</f>
        <v>63</v>
      </c>
      <c r="AB22" s="646"/>
      <c r="AC22" s="647" t="str">
        <f>IFERROR(IF(VLOOKUP(C22,[1]List1!$A:$D,2,FALSE)="VYPRODÁNO",$V$9,IF(VLOOKUP(C22,[1]List1!$A:$D,2,FALSE)="DOCHÁZÍ",$V$3,VLOOKUP(C22,[1]List1!$A:$D,2,FALSE))),"OFFLINE!")</f>
        <v>SKLADEM</v>
      </c>
      <c r="AD22" s="647" t="str">
        <f ca="1">IF(AP22="NE",$V$10,IF(AC22=$V$3,IF(AQ22&lt;1,$V$8,$V$2&amp;" "&amp;AQ22&amp;" "&amp;$V$1),IF(AC22="SKLADEM",$V$6,IFERROR(IF(OR(AC22-TODAY()&gt;45,VLOOKUP(C22,[1]List1!$A:$E,4,FALSE)=0),AC22,DAY(AC22)&amp;"."&amp;MONTH(AC22)&amp;"."&amp;YEAR(AC22)&amp;" "&amp;$V$4&amp;VLOOKUP(C22,[1]List1!$A:$E,4,FALSE)&amp;" "&amp;$V$1),AC22))))</f>
        <v>SKLADEM</v>
      </c>
      <c r="AE22" s="645" t="str">
        <f t="shared" ref="AE22" ca="1" si="7">IFERROR(IF(AV22&lt;&gt;"",AV22,AD22),AD22)</f>
        <v>SKLADEM</v>
      </c>
      <c r="AF22" s="648">
        <f t="shared" ref="AF22" si="8">IFERROR(IF(AB22=Y22,G22*I22*Y22,0),0)</f>
        <v>0</v>
      </c>
      <c r="AG22" s="649">
        <f t="shared" ref="AG22" si="9">IF($W$17=$AF$8,AH22*1.23,AF22*1.21)</f>
        <v>0</v>
      </c>
      <c r="AH22" s="650">
        <f t="shared" ref="AH22" si="10">IFERROR(IF(Y22=AB22,H22*I22*Y22,0),0)</f>
        <v>0</v>
      </c>
      <c r="AI22" s="645">
        <f t="shared" ref="AI22" si="11">IFERROR(IF(Y22=AB22,(P22*Y22)/1000,1),0)</f>
        <v>0</v>
      </c>
      <c r="AJ22" s="645">
        <f t="shared" ref="AJ22" si="12">IFERROR(IF(Y22=AB22,N22*Y22,0.1),0)</f>
        <v>0</v>
      </c>
      <c r="AK22" s="645" t="str">
        <f t="shared" ref="AK22" si="13">IFERROR(IF(Y22=AB22,IF(M22="1.1G",(O22/1000)*Y22,""),""),0)</f>
        <v/>
      </c>
      <c r="AL22" s="645" t="str">
        <f t="shared" ref="AL22" si="14">IFERROR(IF(Y22=AB22,IF(M22="1.3G",(O22/1000)*AB22,""),""),0)</f>
        <v/>
      </c>
      <c r="AM22" s="645">
        <f t="shared" ref="AM22" si="15">IFERROR(IF(Y22=AB22,IF(M22="1.4G",(O22/1000)*AB22,""),""),0)</f>
        <v>0</v>
      </c>
      <c r="AN22" s="651">
        <f t="shared" ref="AN22" si="16">SUM(AK22:AM22)</f>
        <v>0</v>
      </c>
      <c r="AO22" s="623"/>
      <c r="AP22" s="632" t="str">
        <f t="shared" ref="AP22:AP23" si="17">IF($AL$3=1,IF(Y22=AB22,"","NE"),IF(AR22=$V$10,"NE",""))</f>
        <v/>
      </c>
      <c r="AQ22" s="633" t="str">
        <f>IF(AC22=$V$3,IF(VLOOKUP(C22,[1]List1!$A:$E,5,FALSE)=0,1,VLOOKUP(C22,[1]List1!$A:$E,5,FALSE)),"")</f>
        <v/>
      </c>
      <c r="AR22" s="625" t="str">
        <f t="shared" ref="AR22:AR23" si="18">IF($AL$3=1,"",IF(OR(AB22&lt;&gt;"",AB22&lt;&gt;0),IF(OR(AC22=$V$6,AC22=$V$3,AC22=$V$9),$V$10,""),""))</f>
        <v/>
      </c>
      <c r="AS22" s="634" t="str">
        <f>IF(AT22&lt;&gt;"","X","")</f>
        <v/>
      </c>
      <c r="AT22" s="635" t="str">
        <f t="shared" ref="AT22:AT23" si="19">IF(AND($AL$3=2,AR22="",AB22&lt;&gt;""),AD22,"")</f>
        <v/>
      </c>
      <c r="AU22" s="636" t="e">
        <f t="shared" ref="AU22:AU23" si="20">IF(AT22=$AS$21,AB22,"")</f>
        <v>#N/A</v>
      </c>
      <c r="AV22" s="637" t="e">
        <f t="shared" ref="AV22:AV23" si="21">IF(OR(AB22="",AND(AT22&lt;&gt;"",AU22&lt;&gt;"")),"",$V$10)</f>
        <v>#N/A</v>
      </c>
      <c r="AX22" s="625">
        <f>IF(AND('General price list'!$J22="F4",'General price list'!$AB22+0&gt;0),1,0)</f>
        <v>0</v>
      </c>
      <c r="AY22" s="625">
        <f t="shared" ref="AY22:AY23" si="22">IFERROR(FIND(VLOOKUP($AC$7,$AD$1:$AE$12,2,FALSE),Q22,1),0)</f>
        <v>1</v>
      </c>
      <c r="AZ22" s="625">
        <f t="shared" ref="AZ22:AZ23" si="23">IFERROR(FIND(VLOOKUP($AC$7,$AD$1:$AE$12,2,FALSE),R22,1),0)</f>
        <v>1</v>
      </c>
    </row>
    <row r="23" spans="1:52" ht="15" customHeight="1">
      <c r="A23" s="621" t="str">
        <f>Kat.!C23</f>
        <v/>
      </c>
      <c r="B23" s="566">
        <f>IF(AND('General price list'!$J23="F4",$AI$1=FALSE),0,IF(AC23="SKLADEM",1,IF(AC23=$V$3,1,0)))</f>
        <v>0</v>
      </c>
      <c r="C23" s="641" t="s">
        <v>110</v>
      </c>
      <c r="D23" s="568" t="s">
        <v>12488</v>
      </c>
      <c r="E23" s="762" t="s">
        <v>12622</v>
      </c>
      <c r="F23" s="791">
        <f>IFERROR(VLOOKUP(C23,[2]List1!$A:$D,3,FALSE),"NEUVEDENO!")</f>
        <v>15</v>
      </c>
      <c r="G23" s="769">
        <f t="shared" ref="G23:G38" si="24">IF($W$17=$AF$8,ROUND((F23)/$F$17,2),(F23)*$B$19)</f>
        <v>15</v>
      </c>
      <c r="H23" s="766">
        <f t="shared" ref="H23:H38" si="25">IF($W$17=$AF$8,G23*$B$19,G23/$F$17)</f>
        <v>0.63717806578226355</v>
      </c>
      <c r="I23" s="764">
        <f>IFERROR(VLOOKUP(C23,[2]List1!$A:$D,4,FALSE),"NEUVEDENO!")</f>
        <v>150</v>
      </c>
      <c r="J23" s="732" t="s">
        <v>19</v>
      </c>
      <c r="K23" s="569" t="s">
        <v>13032</v>
      </c>
      <c r="L23" s="569" t="s">
        <v>10962</v>
      </c>
      <c r="M23" s="569" t="s">
        <v>21</v>
      </c>
      <c r="N23" s="569">
        <f>IFERROR(VLOOKUP(C23,[3]List1!$A:$D,4,FALSE),"N/A!")</f>
        <v>2.1527999999999999E-2</v>
      </c>
      <c r="O23" s="569">
        <f>IFERROR(VLOOKUP(C23,[3]List1!$A:$D,3,FALSE),"N/A!")</f>
        <v>18</v>
      </c>
      <c r="P23" s="569">
        <f>IFERROR(VLOOKUP(C23,[3]List1!$A:$D,2,FALSE),"N/A!")</f>
        <v>7100</v>
      </c>
      <c r="Q23" s="569" t="s">
        <v>12760</v>
      </c>
      <c r="R23" s="569"/>
      <c r="S23" s="569"/>
      <c r="T23" s="569"/>
      <c r="U23" s="569"/>
      <c r="V23" s="569"/>
      <c r="W23" s="569" t="str">
        <f>IFERROR(IF(AND($AB23&gt;=0.1*$AA23,MOD($AB23,$AA23)&gt;=($AA23-(0.1*$AA23))),IF($W$17=$AF$1,"Zvažte možnost doobjednání ještě "&amp;Tabulka1[[#This Row],[VKPAL]]-MOD(AB23,AA23)&amp;" VK do plné palety.",VLOOKUP("Zvažte možnost doobjednání ještě ",Jazyky_ceník!A:Q,MATCH($W$17,Jazyky_ceník!$A$1:$Q$1,0),FALSE)&amp;Tabulka1[[#This Row],[VKPAL]]-MOD(AB23,AA23)&amp;VLOOKUP(" VK do plné palety.",Jazyky_ceník!A:Q,MATCH($W$17,Jazyky_ceník!$A$1:$Q$1,0),FALSE)),IFERROR(IF(AND(NOT(MOD($AB23,$AA23)=0),$AB23&gt;=0.9*$AA23,MOD($AB23,$AA23)&lt;=0.1*$AA23),IF($W$17=$AF$1,"Zvažte možnost optimalizace objednaného množství podle počtu VK na paletě ==&gt;",VLOOKUP("Zvažte možnost optimalizace objednaného množství podle počtu VK na paletě ==&gt;",Jazyky_ceník!A:Q,MATCH($W$17,Jazyky_ceník!$A$1:$Q$1,0),FALSE)),VLOOKUP('General price list'!$C23,Popisy!A:M,MATCH($W$17,Popisy!$A$7:$M$7,0),FALSE)),"---------------")),IFERROR(VLOOKUP('General price list'!$C23,Popisy!A:M,MATCH($W$17,Popisy!$A$7:$M$7,0),FALSE),"---------------"))</f>
        <v xml:space="preserve">barevné bouchací kuličky(průměr 9mm) </v>
      </c>
      <c r="X23" s="569" t="str">
        <f t="shared" ref="X23:X38" si="26">IF(AB23&lt;0.0001,"",AB23)</f>
        <v/>
      </c>
      <c r="Y23" s="569" t="str">
        <f t="shared" ref="Y23:Y38" si="27">IF($AL$3=2,IF(OR(AB23&lt;&gt;"",AB23&lt;&gt;0),AU23,""),IF(C23="","",IF(AB23&lt;0.0001,"",IF(B23=0,"",IF(AQ23&lt;AB23,"",AB23)))))</f>
        <v/>
      </c>
      <c r="Z23" s="569" t="str">
        <f>HYPERLINK("https://www.klasekpyrotechnics.cz/bk1p_1")</f>
        <v>https://www.klasekpyrotechnics.cz/bk1p_1</v>
      </c>
      <c r="AA23" s="569">
        <f>IFERROR(IF(VLOOKUP(C23,[4]List1!$A:$D,4,FALSE)=0,"",VLOOKUP(C23,[4]List1!$A:$D,4,FALSE)),"")</f>
        <v>63</v>
      </c>
      <c r="AB23" s="565"/>
      <c r="AC23" s="570" t="str">
        <f>IFERROR(IF(VLOOKUP(C23,[1]List1!$A:$D,2,FALSE)="VYPRODÁNO",$V$9,IF(VLOOKUP(C23,[1]List1!$A:$D,2,FALSE)="DOCHÁZÍ",$V$3,VLOOKUP(C23,[1]List1!$A:$D,2,FALSE))),"OFFLINE!")</f>
        <v>31.08.2026</v>
      </c>
      <c r="AD23" s="570" t="str">
        <f ca="1">IF(AP23="NE",$V$10,IF(AC23=$V$3,IF(AQ23&lt;1,$V$8,$V$2&amp;" "&amp;AQ23&amp;" "&amp;$V$1),IF(AC23="SKLADEM",$V$6,IFERROR(IF(OR(AC23-TODAY()&gt;45,VLOOKUP(C23,[1]List1!$A:$E,4,FALSE)=0),AC23,DAY(AC23)&amp;"."&amp;MONTH(AC23)&amp;"."&amp;YEAR(AC23)&amp;" "&amp;$V$4&amp;VLOOKUP(C23,[1]List1!$A:$E,4,FALSE)&amp;" "&amp;$V$1),AC23))))</f>
        <v>31.08.2026</v>
      </c>
      <c r="AE23" s="581" t="str">
        <f t="shared" ref="AE23:AE38" ca="1" si="28">IFERROR(IF(AV23&lt;&gt;"",AV23,AD23),AD23)</f>
        <v>31.08.2026</v>
      </c>
      <c r="AF23" s="584">
        <f t="shared" ref="AF23:AF38" si="29">IFERROR(IF(AB23=Y23,G23*I23*Y23,0),0)</f>
        <v>0</v>
      </c>
      <c r="AG23" s="585">
        <f t="shared" ref="AG23:AG38" si="30">IF($W$17=$AF$8,AH23*1.23,AF23*1.21)</f>
        <v>0</v>
      </c>
      <c r="AH23" s="583">
        <f t="shared" ref="AH23:AH38" si="31">IFERROR(IF(Y23=AB23,H23*I23*Y23,0),0)</f>
        <v>0</v>
      </c>
      <c r="AI23" s="582">
        <f t="shared" ref="AI23:AI28" si="32">IFERROR(IF(Y23=AB23,(P23*Y23)/1000,1),0)</f>
        <v>0</v>
      </c>
      <c r="AJ23" s="569">
        <f t="shared" ref="AJ23:AJ28" si="33">IFERROR(IF(Y23=AB23,N23*Y23,0.1),0)</f>
        <v>0</v>
      </c>
      <c r="AK23" s="569" t="str">
        <f t="shared" ref="AK23:AK28" si="34">IFERROR(IF(Y23=AB23,IF(M23="1.1G",(O23/1000)*Y23,""),""),0)</f>
        <v/>
      </c>
      <c r="AL23" s="569" t="str">
        <f t="shared" ref="AL23:AL28" si="35">IFERROR(IF(Y23=AB23,IF(M23="1.3G",(O23/1000)*AB23,""),""),0)</f>
        <v/>
      </c>
      <c r="AM23" s="569">
        <f t="shared" ref="AM23:AM28" si="36">IFERROR(IF(Y23=AB23,IF(M23="1.4G",(O23/1000)*AB23,""),""),0)</f>
        <v>0</v>
      </c>
      <c r="AN23" s="581">
        <f t="shared" ref="AN23:AN28" si="37">SUM(AK23:AM23)</f>
        <v>0</v>
      </c>
      <c r="AO23" s="623"/>
      <c r="AP23" s="632" t="str">
        <f t="shared" si="17"/>
        <v/>
      </c>
      <c r="AQ23" s="633" t="str">
        <f>IF(AC23=$V$3,IF(VLOOKUP(C23,[1]List1!$A:$E,5,FALSE)=0,1,VLOOKUP(C23,[1]List1!$A:$E,5,FALSE)),"")</f>
        <v/>
      </c>
      <c r="AR23" s="625" t="str">
        <f t="shared" si="18"/>
        <v/>
      </c>
      <c r="AS23" s="634" t="str">
        <f t="shared" ref="AS23" si="38">IF(AT23&lt;&gt;"","X","")</f>
        <v/>
      </c>
      <c r="AT23" s="625" t="str">
        <f t="shared" si="19"/>
        <v/>
      </c>
      <c r="AU23" s="638" t="e">
        <f t="shared" si="20"/>
        <v>#N/A</v>
      </c>
      <c r="AV23" s="625" t="e">
        <f t="shared" si="21"/>
        <v>#N/A</v>
      </c>
      <c r="AX23" s="625">
        <f>IF(AND('General price list'!$J23="F4",'General price list'!$AB23+0&gt;0),1,0)</f>
        <v>0</v>
      </c>
      <c r="AY23" s="625">
        <f t="shared" si="22"/>
        <v>1</v>
      </c>
      <c r="AZ23" s="625">
        <f t="shared" si="23"/>
        <v>0</v>
      </c>
    </row>
    <row r="24" spans="1:52" ht="15" customHeight="1">
      <c r="A24" s="639" t="str">
        <f>Kat.!C24</f>
        <v/>
      </c>
      <c r="B24" s="640">
        <f>IF(AND('General price list'!$J24="F4",$AI$1=FALSE),0,IF(AC24="SKLADEM",1,IF(AC24=$V$3,1,0)))</f>
        <v>1</v>
      </c>
      <c r="C24" s="641" t="s">
        <v>111</v>
      </c>
      <c r="D24" s="642" t="s">
        <v>2934</v>
      </c>
      <c r="E24" s="731" t="s">
        <v>12423</v>
      </c>
      <c r="F24" s="771">
        <f>IFERROR(VLOOKUP(C24,[2]List1!$A:$D,3,FALSE),"NEUVEDENO!")</f>
        <v>29</v>
      </c>
      <c r="G24" s="768">
        <f t="shared" si="24"/>
        <v>29</v>
      </c>
      <c r="H24" s="765">
        <f t="shared" si="25"/>
        <v>1.2318775938457094</v>
      </c>
      <c r="I24" s="644">
        <f>IFERROR(VLOOKUP(C24,[2]List1!$A:$D,4,FALSE),"NEUVEDENO!")</f>
        <v>100</v>
      </c>
      <c r="J24" s="733" t="s">
        <v>19</v>
      </c>
      <c r="K24" s="645" t="s">
        <v>20</v>
      </c>
      <c r="L24" s="645" t="s">
        <v>10962</v>
      </c>
      <c r="M24" s="645" t="s">
        <v>21</v>
      </c>
      <c r="N24" s="645">
        <f>IFERROR(VLOOKUP(C24,[3]List1!$A:$D,4,FALSE),"N/A!")</f>
        <v>3.2911999999999997E-2</v>
      </c>
      <c r="O24" s="645">
        <f>IFERROR(VLOOKUP(C24,[3]List1!$A:$D,3,FALSE),"N/A!")</f>
        <v>12.000000000000002</v>
      </c>
      <c r="P24" s="645">
        <f>IFERROR(VLOOKUP(C24,[3]List1!$A:$D,2,FALSE),"N/A!")</f>
        <v>9800</v>
      </c>
      <c r="Q24" s="645" t="s">
        <v>12077</v>
      </c>
      <c r="R24" s="645"/>
      <c r="S24" s="645"/>
      <c r="T24" s="645"/>
      <c r="U24" s="645"/>
      <c r="V24" s="645"/>
      <c r="W24" s="645" t="str">
        <f>IFERROR(IF(AND($AB24&gt;=0.1*$AA24,MOD($AB24,$AA24)&gt;=($AA24-(0.1*$AA24))),IF($W$17=$AF$1,"Zvažte možnost doobjednání ještě "&amp;Tabulka1[[#This Row],[VKPAL]]-MOD(AB24,AA24)&amp;" VK do plné palety.",VLOOKUP("Zvažte možnost doobjednání ještě ",Jazyky_ceník!A:Q,MATCH($W$17,Jazyky_ceník!$A$1:$Q$1,0),FALSE)&amp;Tabulka1[[#This Row],[VKPAL]]-MOD(AB24,AA24)&amp;VLOOKUP(" VK do plné palety.",Jazyky_ceník!A:Q,MATCH($W$17,Jazyky_ceník!$A$1:$Q$1,0),FALSE)),IFERROR(IF(AND(NOT(MOD($AB24,$AA24)=0),$AB24&gt;=0.9*$AA24,MOD($AB24,$AA24)&lt;=0.1*$AA24),IF($W$17=$AF$1,"Zvažte možnost optimalizace objednaného množství podle počtu VK na paletě ==&gt;",VLOOKUP("Zvažte možnost optimalizace objednaného množství podle počtu VK na paletě ==&gt;",Jazyky_ceník!A:Q,MATCH($W$17,Jazyky_ceník!$A$1:$Q$1,0),FALSE)),VLOOKUP('General price list'!$C24,Popisy!A:M,MATCH($W$17,Popisy!$A$7:$M$7,0),FALSE)),"---------------")),IFERROR(VLOOKUP('General price list'!$C24,Popisy!A:M,MATCH($W$17,Popisy!$A$7:$M$7,0),FALSE),"---------------"))</f>
        <v xml:space="preserve">černé bouchací kuličky(průměr 14mm) </v>
      </c>
      <c r="X24" s="645" t="str">
        <f t="shared" si="26"/>
        <v/>
      </c>
      <c r="Y24" s="645" t="str">
        <f t="shared" si="27"/>
        <v/>
      </c>
      <c r="Z24" s="645" t="str">
        <f>HYPERLINK("https://www.klasekpyrotechnics.cz/bk2v")</f>
        <v>https://www.klasekpyrotechnics.cz/bk2v</v>
      </c>
      <c r="AA24" s="645">
        <f>IFERROR(IF(VLOOKUP(C24,[4]List1!$A:$D,4,FALSE)=0,"",VLOOKUP(C24,[4]List1!$A:$D,4,FALSE)),"")</f>
        <v>36</v>
      </c>
      <c r="AB24" s="646"/>
      <c r="AC24" s="647" t="str">
        <f>IFERROR(IF(VLOOKUP(C24,[1]List1!$A:$D,2,FALSE)="VYPRODÁNO",$V$9,IF(VLOOKUP(C24,[1]List1!$A:$D,2,FALSE)="DOCHÁZÍ",$V$3,VLOOKUP(C24,[1]List1!$A:$D,2,FALSE))),"OFFLINE!")</f>
        <v>SKLADEM</v>
      </c>
      <c r="AD24" s="647" t="str">
        <f ca="1">IF(AP24="NE",$V$10,IF(AC24=$V$3,IF(AQ24&lt;1,$V$8,$V$2&amp;" "&amp;AQ24&amp;" "&amp;$V$1),IF(AC24="SKLADEM",$V$6,IFERROR(IF(OR(AC24-TODAY()&gt;45,VLOOKUP(C24,[1]List1!$A:$E,4,FALSE)=0),AC24,DAY(AC24)&amp;"."&amp;MONTH(AC24)&amp;"."&amp;YEAR(AC24)&amp;" "&amp;$V$4&amp;VLOOKUP(C24,[1]List1!$A:$E,4,FALSE)&amp;" "&amp;$V$1),AC24))))</f>
        <v>SKLADEM</v>
      </c>
      <c r="AE24" s="645" t="str">
        <f t="shared" ca="1" si="28"/>
        <v>SKLADEM</v>
      </c>
      <c r="AF24" s="648">
        <f t="shared" si="29"/>
        <v>0</v>
      </c>
      <c r="AG24" s="649">
        <f t="shared" si="30"/>
        <v>0</v>
      </c>
      <c r="AH24" s="650">
        <f t="shared" si="31"/>
        <v>0</v>
      </c>
      <c r="AI24" s="645">
        <f t="shared" si="32"/>
        <v>0</v>
      </c>
      <c r="AJ24" s="645">
        <f t="shared" si="33"/>
        <v>0</v>
      </c>
      <c r="AK24" s="645" t="str">
        <f t="shared" si="34"/>
        <v/>
      </c>
      <c r="AL24" s="645" t="str">
        <f t="shared" si="35"/>
        <v/>
      </c>
      <c r="AM24" s="645">
        <f t="shared" si="36"/>
        <v>0</v>
      </c>
      <c r="AN24" s="651">
        <f t="shared" si="37"/>
        <v>0</v>
      </c>
      <c r="AO24" s="623"/>
      <c r="AP24" s="632" t="str">
        <f t="shared" ref="AP24" si="39">IF($AL$3=1,IF(Y24=AB24,"","NE"),IF(AR24=$V$10,"NE",""))</f>
        <v/>
      </c>
      <c r="AQ24" s="633" t="str">
        <f>IF(AC24=$V$3,IF(VLOOKUP(C24,[1]List1!$A:$E,5,FALSE)=0,1,VLOOKUP(C24,[1]List1!$A:$E,5,FALSE)),"")</f>
        <v/>
      </c>
      <c r="AR24" s="625" t="str">
        <f t="shared" ref="AR24" si="40">IF($AL$3=1,"",IF(OR(AB24&lt;&gt;"",AB24&lt;&gt;0),IF(OR(AC24=$V$6,AC24=$V$3,AC24=$V$9),$V$10,""),""))</f>
        <v/>
      </c>
      <c r="AS24" s="634" t="str">
        <f t="shared" ref="AS24" si="41">IF(AT24&lt;&gt;"","X","")</f>
        <v/>
      </c>
      <c r="AT24" s="635" t="str">
        <f t="shared" ref="AT24" si="42">IF(AND($AL$3=2,AR24="",AB24&lt;&gt;""),AD24,"")</f>
        <v/>
      </c>
      <c r="AU24" s="636" t="e">
        <f t="shared" ref="AU24" si="43">IF(AT24=$AS$21,AB24,"")</f>
        <v>#N/A</v>
      </c>
      <c r="AV24" s="637" t="e">
        <f t="shared" ref="AV24" si="44">IF(OR(AB24="",AND(AT24&lt;&gt;"",AU24&lt;&gt;"")),"",$V$10)</f>
        <v>#N/A</v>
      </c>
      <c r="AX24" s="625">
        <f>IF(AND('General price list'!$J24="F4",'General price list'!$AB24+0&gt;0),1,0)</f>
        <v>0</v>
      </c>
      <c r="AY24" s="625">
        <f t="shared" ref="AY24" si="45">IFERROR(FIND(VLOOKUP($AC$7,$AD$1:$AE$12,2,FALSE),Q24,1),0)</f>
        <v>1</v>
      </c>
      <c r="AZ24" s="625">
        <f t="shared" ref="AZ24" si="46">IFERROR(FIND(VLOOKUP($AC$7,$AD$1:$AE$12,2,FALSE),R24,1),0)</f>
        <v>0</v>
      </c>
    </row>
    <row r="25" spans="1:52" ht="15" customHeight="1">
      <c r="A25" s="621" t="str">
        <f>Kat.!C25</f>
        <v/>
      </c>
      <c r="B25" s="566">
        <f>IF(AND('General price list'!$J25="F4",$AI$1=FALSE),0,IF(AC25="SKLADEM",1,IF(AC25=$V$3,1,0)))</f>
        <v>1</v>
      </c>
      <c r="C25" s="567" t="s">
        <v>12228</v>
      </c>
      <c r="D25" s="568" t="s">
        <v>12229</v>
      </c>
      <c r="E25" s="762" t="s">
        <v>11200</v>
      </c>
      <c r="F25" s="772">
        <f>IFERROR(VLOOKUP(C25,[2]List1!$A:$D,3,FALSE),"NEUVEDENO!")</f>
        <v>89</v>
      </c>
      <c r="G25" s="769">
        <f t="shared" si="24"/>
        <v>89</v>
      </c>
      <c r="H25" s="766">
        <f t="shared" si="25"/>
        <v>3.7805898569747636</v>
      </c>
      <c r="I25" s="764">
        <f>IFERROR(VLOOKUP(C25,[2]List1!$A:$D,4,FALSE),"NEUVEDENO!")</f>
        <v>40</v>
      </c>
      <c r="J25" s="732" t="s">
        <v>19</v>
      </c>
      <c r="K25" s="569" t="s">
        <v>20</v>
      </c>
      <c r="L25" s="569"/>
      <c r="M25" s="569" t="s">
        <v>21</v>
      </c>
      <c r="N25" s="569">
        <f>IFERROR(VLOOKUP(C25,[3]List1!$A:$D,4,FALSE),"N/A!")</f>
        <v>1.3595999999999999E-2</v>
      </c>
      <c r="O25" s="569">
        <f>IFERROR(VLOOKUP(C25,[3]List1!$A:$D,3,FALSE),"N/A!")</f>
        <v>3000</v>
      </c>
      <c r="P25" s="569">
        <f>IFERROR(VLOOKUP(C25,[3]List1!$A:$D,2,FALSE),"N/A!")</f>
        <v>12000</v>
      </c>
      <c r="Q25" s="569" t="s">
        <v>11236</v>
      </c>
      <c r="R25" s="569"/>
      <c r="S25" s="569"/>
      <c r="T25" s="569"/>
      <c r="U25" s="569"/>
      <c r="V25" s="569"/>
      <c r="W25" s="569" t="str">
        <f>IFERROR(IF(AND($AB25&gt;=0.1*$AA25,MOD($AB25,$AA25)&gt;=($AA25-(0.1*$AA25))),IF($W$17=$AF$1,"Zvažte možnost doobjednání ještě "&amp;Tabulka1[[#This Row],[VKPAL]]-MOD(AB25,AA25)&amp;" VK do plné palety.",VLOOKUP("Zvažte možnost doobjednání ještě ",Jazyky_ceník!A:Q,MATCH($W$17,Jazyky_ceník!$A$1:$Q$1,0),FALSE)&amp;Tabulka1[[#This Row],[VKPAL]]-MOD(AB25,AA25)&amp;VLOOKUP(" VK do plné palety.",Jazyky_ceník!A:Q,MATCH($W$17,Jazyky_ceník!$A$1:$Q$1,0),FALSE)),IFERROR(IF(AND(NOT(MOD($AB25,$AA25)=0),$AB25&gt;=0.9*$AA25,MOD($AB25,$AA25)&lt;=0.1*$AA25),IF($W$17=$AF$1,"Zvažte možnost optimalizace objednaného množství podle počtu VK na paletě ==&gt;",VLOOKUP("Zvažte možnost optimalizace objednaného množství podle počtu VK na paletě ==&gt;",Jazyky_ceník!A:Q,MATCH($W$17,Jazyky_ceník!$A$1:$Q$1,0),FALSE)),VLOOKUP('General price list'!$C25,Popisy!A:M,MATCH($W$17,Popisy!$A$7:$M$7,0),FALSE)),"---------------")),IFERROR(VLOOKUP('General price list'!$C25,Popisy!A:M,MATCH($W$17,Popisy!$A$7:$M$7,0),FALSE),"---------------"))</f>
        <v>bílé blikající světlo s práskajícími hvězdami</v>
      </c>
      <c r="X25" s="569" t="str">
        <f t="shared" si="26"/>
        <v/>
      </c>
      <c r="Y25" s="569" t="str">
        <f t="shared" si="27"/>
        <v/>
      </c>
      <c r="Z25" s="569" t="str">
        <f>HYPERLINK("https://www.klasekpyrotechnics.cz/s5du14")</f>
        <v>https://www.klasekpyrotechnics.cz/s5du14</v>
      </c>
      <c r="AA25" s="569">
        <f>IFERROR(IF(VLOOKUP(C25,[4]List1!$A:$D,4,FALSE)=0,"",VLOOKUP(C25,[4]List1!$A:$D,4,FALSE)),"")</f>
        <v>62</v>
      </c>
      <c r="AB25" s="565"/>
      <c r="AC25" s="570" t="str">
        <f>IFERROR(IF(VLOOKUP(C25,[1]List1!$A:$D,2,FALSE)="VYPRODÁNO",$V$9,IF(VLOOKUP(C25,[1]List1!$A:$D,2,FALSE)="DOCHÁZÍ",$V$3,VLOOKUP(C25,[1]List1!$A:$D,2,FALSE))),"OFFLINE!")</f>
        <v>SKLADEM</v>
      </c>
      <c r="AD25" s="570" t="str">
        <f ca="1">IF(AP25="NE",$V$10,IF(AC25=$V$3,IF(AQ25&lt;1,$V$8,$V$2&amp;" "&amp;AQ25&amp;" "&amp;$V$1),IF(AC25="SKLADEM",$V$6,IFERROR(IF(OR(AC25-TODAY()&gt;45,VLOOKUP(C25,[1]List1!$A:$E,4,FALSE)=0),AC25,DAY(AC25)&amp;"."&amp;MONTH(AC25)&amp;"."&amp;YEAR(AC25)&amp;" "&amp;$V$4&amp;VLOOKUP(C25,[1]List1!$A:$E,4,FALSE)&amp;" "&amp;$V$1),AC25))))</f>
        <v>SKLADEM</v>
      </c>
      <c r="AE25" s="581" t="str">
        <f t="shared" ca="1" si="28"/>
        <v>SKLADEM</v>
      </c>
      <c r="AF25" s="584">
        <f t="shared" si="29"/>
        <v>0</v>
      </c>
      <c r="AG25" s="585">
        <f t="shared" si="30"/>
        <v>0</v>
      </c>
      <c r="AH25" s="583">
        <f t="shared" si="31"/>
        <v>0</v>
      </c>
      <c r="AI25" s="582">
        <f t="shared" si="32"/>
        <v>0</v>
      </c>
      <c r="AJ25" s="569">
        <f t="shared" si="33"/>
        <v>0</v>
      </c>
      <c r="AK25" s="569" t="str">
        <f t="shared" si="34"/>
        <v/>
      </c>
      <c r="AL25" s="569" t="str">
        <f t="shared" si="35"/>
        <v/>
      </c>
      <c r="AM25" s="569">
        <f t="shared" si="36"/>
        <v>0</v>
      </c>
      <c r="AN25" s="581">
        <f t="shared" si="37"/>
        <v>0</v>
      </c>
      <c r="AO25" s="623"/>
      <c r="AP25" s="632" t="str">
        <f t="shared" ref="AP25:AP38" si="47">IF($AL$3=1,IF(Y25=AB25,"","NE"),IF(AR25=$V$10,"NE",""))</f>
        <v/>
      </c>
      <c r="AQ25" s="633" t="str">
        <f>IF(AC25=$V$3,IF(VLOOKUP(C25,[1]List1!$A:$E,5,FALSE)=0,1,VLOOKUP(C25,[1]List1!$A:$E,5,FALSE)),"")</f>
        <v/>
      </c>
      <c r="AR25" s="625" t="str">
        <f t="shared" ref="AR25:AR38" si="48">IF($AL$3=1,"",IF(OR(AB25&lt;&gt;"",AB25&lt;&gt;0),IF(OR(AC25=$V$6,AC25=$V$3,AC25=$V$9),$V$10,""),""))</f>
        <v/>
      </c>
      <c r="AS25" s="634" t="str">
        <f t="shared" ref="AS25:AS38" si="49">IF(AT25&lt;&gt;"","X","")</f>
        <v/>
      </c>
      <c r="AT25" s="625" t="str">
        <f t="shared" ref="AT25:AT38" si="50">IF(AND($AL$3=2,AR25="",AB25&lt;&gt;""),AD25,"")</f>
        <v/>
      </c>
      <c r="AU25" s="638" t="e">
        <f t="shared" ref="AU25:AU38" si="51">IF(AT25=$AS$21,AB25,"")</f>
        <v>#N/A</v>
      </c>
      <c r="AV25" s="625" t="e">
        <f t="shared" ref="AV25:AV38" si="52">IF(OR(AB25="",AND(AT25&lt;&gt;"",AU25&lt;&gt;"")),"",$V$10)</f>
        <v>#N/A</v>
      </c>
      <c r="AX25" s="625">
        <f>IF(AND('General price list'!$J25="F4",'General price list'!$AB25+0&gt;0),1,0)</f>
        <v>0</v>
      </c>
      <c r="AY25" s="625">
        <f t="shared" ref="AY25:AY38" si="53">IFERROR(FIND(VLOOKUP($AC$7,$AD$1:$AE$12,2,FALSE),Q25,1),0)</f>
        <v>1</v>
      </c>
      <c r="AZ25" s="625">
        <f t="shared" ref="AZ25:AZ38" si="54">IFERROR(FIND(VLOOKUP($AC$7,$AD$1:$AE$12,2,FALSE),R25,1),0)</f>
        <v>0</v>
      </c>
    </row>
    <row r="26" spans="1:52" ht="15" customHeight="1">
      <c r="A26" s="639" t="str">
        <f>Kat.!C26</f>
        <v/>
      </c>
      <c r="B26" s="640">
        <f>IF(AND('General price list'!$J26="F4",$AI$1=FALSE),0,IF(AC26="SKLADEM",1,IF(AC26=$V$3,1,0)))</f>
        <v>1</v>
      </c>
      <c r="C26" s="641" t="s">
        <v>11199</v>
      </c>
      <c r="D26" s="642" t="s">
        <v>2238</v>
      </c>
      <c r="E26" s="731" t="s">
        <v>11200</v>
      </c>
      <c r="F26" s="771">
        <f>IFERROR(VLOOKUP(C26,[2]List1!$A:$D,3,FALSE),"NEUVEDENO!")</f>
        <v>89</v>
      </c>
      <c r="G26" s="768">
        <f t="shared" si="24"/>
        <v>89</v>
      </c>
      <c r="H26" s="765">
        <f t="shared" si="25"/>
        <v>3.7805898569747636</v>
      </c>
      <c r="I26" s="644">
        <f>IFERROR(VLOOKUP(C26,[2]List1!$A:$D,4,FALSE),"NEUVEDENO!")</f>
        <v>40</v>
      </c>
      <c r="J26" s="733" t="s">
        <v>19</v>
      </c>
      <c r="K26" s="645" t="s">
        <v>20</v>
      </c>
      <c r="L26" s="645"/>
      <c r="M26" s="645" t="s">
        <v>21</v>
      </c>
      <c r="N26" s="645">
        <f>IFERROR(VLOOKUP(C26,[3]List1!$A:$D,4,FALSE),"N/A!")</f>
        <v>1.3595999999999999E-2</v>
      </c>
      <c r="O26" s="645">
        <f>IFERROR(VLOOKUP(C26,[3]List1!$A:$D,3,FALSE),"N/A!")</f>
        <v>3600</v>
      </c>
      <c r="P26" s="645">
        <f>IFERROR(VLOOKUP(C26,[3]List1!$A:$D,2,FALSE),"N/A!")</f>
        <v>12000</v>
      </c>
      <c r="Q26" s="645" t="s">
        <v>11236</v>
      </c>
      <c r="R26" s="645"/>
      <c r="S26" s="645"/>
      <c r="T26" s="645"/>
      <c r="U26" s="645"/>
      <c r="V26" s="645"/>
      <c r="W26" s="645" t="str">
        <f>IFERROR(IF(AND($AB26&gt;=0.1*$AA26,MOD($AB26,$AA26)&gt;=($AA26-(0.1*$AA26))),IF($W$17=$AF$1,"Zvažte možnost doobjednání ještě "&amp;Tabulka1[[#This Row],[VKPAL]]-MOD(AB26,AA26)&amp;" VK do plné palety.",VLOOKUP("Zvažte možnost doobjednání ještě ",Jazyky_ceník!A:Q,MATCH($W$17,Jazyky_ceník!$A$1:$Q$1,0),FALSE)&amp;Tabulka1[[#This Row],[VKPAL]]-MOD(AB26,AA26)&amp;VLOOKUP(" VK do plné palety.",Jazyky_ceník!A:Q,MATCH($W$17,Jazyky_ceník!$A$1:$Q$1,0),FALSE)),IFERROR(IF(AND(NOT(MOD($AB26,$AA26)=0),$AB26&gt;=0.9*$AA26,MOD($AB26,$AA26)&lt;=0.1*$AA26),IF($W$17=$AF$1,"Zvažte možnost optimalizace objednaného množství podle počtu VK na paletě ==&gt;",VLOOKUP("Zvažte možnost optimalizace objednaného množství podle počtu VK na paletě ==&gt;",Jazyky_ceník!A:Q,MATCH($W$17,Jazyky_ceník!$A$1:$Q$1,0),FALSE)),VLOOKUP('General price list'!$C26,Popisy!A:M,MATCH($W$17,Popisy!$A$7:$M$7,0),FALSE)),"---------------")),IFERROR(VLOOKUP('General price list'!$C26,Popisy!A:M,MATCH($W$17,Popisy!$A$7:$M$7,0),FALSE),"---------------"))</f>
        <v>zelená rotující fontána s práskajícími hvězdami</v>
      </c>
      <c r="X26" s="645" t="str">
        <f t="shared" si="26"/>
        <v/>
      </c>
      <c r="Y26" s="645" t="str">
        <f t="shared" si="27"/>
        <v/>
      </c>
      <c r="Z26" s="645" t="str">
        <f>HYPERLINK("https://www.klasekpyrotechnics.cz/r5du14")</f>
        <v>https://www.klasekpyrotechnics.cz/r5du14</v>
      </c>
      <c r="AA26" s="645">
        <f>IFERROR(IF(VLOOKUP(C26,[4]List1!$A:$D,4,FALSE)=0,"",VLOOKUP(C26,[4]List1!$A:$D,4,FALSE)),"")</f>
        <v>62</v>
      </c>
      <c r="AB26" s="646"/>
      <c r="AC26" s="647" t="str">
        <f>IFERROR(IF(VLOOKUP(C26,[1]List1!$A:$D,2,FALSE)="VYPRODÁNO",$V$9,IF(VLOOKUP(C26,[1]List1!$A:$D,2,FALSE)="DOCHÁZÍ",$V$3,VLOOKUP(C26,[1]List1!$A:$D,2,FALSE))),"OFFLINE!")</f>
        <v>SKLADEM</v>
      </c>
      <c r="AD26" s="647" t="str">
        <f ca="1">IF(AP26="NE",$V$10,IF(AC26=$V$3,IF(AQ26&lt;1,$V$8,$V$2&amp;" "&amp;AQ26&amp;" "&amp;$V$1),IF(AC26="SKLADEM",$V$6,IFERROR(IF(OR(AC26-TODAY()&gt;45,VLOOKUP(C26,[1]List1!$A:$E,4,FALSE)=0),AC26,DAY(AC26)&amp;"."&amp;MONTH(AC26)&amp;"."&amp;YEAR(AC26)&amp;" "&amp;$V$4&amp;VLOOKUP(C26,[1]List1!$A:$E,4,FALSE)&amp;" "&amp;$V$1),AC26))))</f>
        <v>SKLADEM</v>
      </c>
      <c r="AE26" s="645" t="str">
        <f t="shared" ca="1" si="28"/>
        <v>SKLADEM</v>
      </c>
      <c r="AF26" s="648">
        <f t="shared" si="29"/>
        <v>0</v>
      </c>
      <c r="AG26" s="649">
        <f t="shared" si="30"/>
        <v>0</v>
      </c>
      <c r="AH26" s="650">
        <f t="shared" si="31"/>
        <v>0</v>
      </c>
      <c r="AI26" s="645">
        <f t="shared" si="32"/>
        <v>0</v>
      </c>
      <c r="AJ26" s="645">
        <f t="shared" si="33"/>
        <v>0</v>
      </c>
      <c r="AK26" s="645" t="str">
        <f t="shared" si="34"/>
        <v/>
      </c>
      <c r="AL26" s="645" t="str">
        <f t="shared" si="35"/>
        <v/>
      </c>
      <c r="AM26" s="645">
        <f t="shared" si="36"/>
        <v>0</v>
      </c>
      <c r="AN26" s="651">
        <f t="shared" si="37"/>
        <v>0</v>
      </c>
      <c r="AO26" s="623"/>
      <c r="AP26" s="632" t="str">
        <f t="shared" si="47"/>
        <v/>
      </c>
      <c r="AQ26" s="633" t="str">
        <f>IF(AC26=$V$3,IF(VLOOKUP(C26,[1]List1!$A:$E,5,FALSE)=0,1,VLOOKUP(C26,[1]List1!$A:$E,5,FALSE)),"")</f>
        <v/>
      </c>
      <c r="AR26" s="625" t="str">
        <f t="shared" si="48"/>
        <v/>
      </c>
      <c r="AS26" s="634" t="str">
        <f t="shared" si="49"/>
        <v/>
      </c>
      <c r="AT26" s="635" t="str">
        <f t="shared" si="50"/>
        <v/>
      </c>
      <c r="AU26" s="636" t="e">
        <f t="shared" si="51"/>
        <v>#N/A</v>
      </c>
      <c r="AV26" s="637" t="e">
        <f t="shared" si="52"/>
        <v>#N/A</v>
      </c>
      <c r="AX26" s="625">
        <f>IF(AND('General price list'!$J26="F4",'General price list'!$AB26+0&gt;0),1,0)</f>
        <v>0</v>
      </c>
      <c r="AY26" s="625">
        <f t="shared" si="53"/>
        <v>1</v>
      </c>
      <c r="AZ26" s="625">
        <f t="shared" si="54"/>
        <v>0</v>
      </c>
    </row>
    <row r="27" spans="1:52" ht="15" customHeight="1">
      <c r="A27" s="621" t="str">
        <f>Kat.!C27</f>
        <v/>
      </c>
      <c r="B27" s="566">
        <f>IF(AND('General price list'!$J27="F4",$AI$1=FALSE),0,IF(AC27="SKLADEM",1,IF(AC27=$V$3,1,0)))</f>
        <v>1</v>
      </c>
      <c r="C27" s="567" t="s">
        <v>11201</v>
      </c>
      <c r="D27" s="568" t="s">
        <v>4054</v>
      </c>
      <c r="E27" s="762" t="s">
        <v>11200</v>
      </c>
      <c r="F27" s="772">
        <f>IFERROR(VLOOKUP(C27,[2]List1!$A:$D,3,FALSE),"NEUVEDENO!")</f>
        <v>99</v>
      </c>
      <c r="G27" s="769">
        <f t="shared" si="24"/>
        <v>99</v>
      </c>
      <c r="H27" s="766">
        <f t="shared" si="25"/>
        <v>4.2053752341629389</v>
      </c>
      <c r="I27" s="764">
        <f>IFERROR(VLOOKUP(C27,[2]List1!$A:$D,4,FALSE),"NEUVEDENO!")</f>
        <v>40</v>
      </c>
      <c r="J27" s="732" t="s">
        <v>19</v>
      </c>
      <c r="K27" s="569" t="s">
        <v>20</v>
      </c>
      <c r="L27" s="569"/>
      <c r="M27" s="569" t="s">
        <v>21</v>
      </c>
      <c r="N27" s="569">
        <f>IFERROR(VLOOKUP(C27,[3]List1!$A:$D,4,FALSE),"N/A!")</f>
        <v>2.7059999999999997E-2</v>
      </c>
      <c r="O27" s="569">
        <f>IFERROR(VLOOKUP(C27,[3]List1!$A:$D,3,FALSE),"N/A!")</f>
        <v>4200</v>
      </c>
      <c r="P27" s="569">
        <f>IFERROR(VLOOKUP(C27,[3]List1!$A:$D,2,FALSE),"N/A!")</f>
        <v>15500</v>
      </c>
      <c r="Q27" s="569" t="s">
        <v>11236</v>
      </c>
      <c r="R27" s="569"/>
      <c r="S27" s="569"/>
      <c r="T27" s="569"/>
      <c r="U27" s="569"/>
      <c r="V27" s="569"/>
      <c r="W27" s="569" t="str">
        <f>IFERROR(IF(AND($AB27&gt;=0.1*$AA27,MOD($AB27,$AA27)&gt;=($AA27-(0.1*$AA27))),IF($W$17=$AF$1,"Zvažte možnost doobjednání ještě "&amp;Tabulka1[[#This Row],[VKPAL]]-MOD(AB27,AA27)&amp;" VK do plné palety.",VLOOKUP("Zvažte možnost doobjednání ještě ",Jazyky_ceník!A:Q,MATCH($W$17,Jazyky_ceník!$A$1:$Q$1,0),FALSE)&amp;Tabulka1[[#This Row],[VKPAL]]-MOD(AB27,AA27)&amp;VLOOKUP(" VK do plné palety.",Jazyky_ceník!A:Q,MATCH($W$17,Jazyky_ceník!$A$1:$Q$1,0),FALSE)),IFERROR(IF(AND(NOT(MOD($AB27,$AA27)=0),$AB27&gt;=0.9*$AA27,MOD($AB27,$AA27)&lt;=0.1*$AA27),IF($W$17=$AF$1,"Zvažte možnost optimalizace objednaného množství podle počtu VK na paletě ==&gt;",VLOOKUP("Zvažte možnost optimalizace objednaného množství podle počtu VK na paletě ==&gt;",Jazyky_ceník!A:Q,MATCH($W$17,Jazyky_ceník!$A$1:$Q$1,0),FALSE)),VLOOKUP('General price list'!$C27,Popisy!A:M,MATCH($W$17,Popisy!$A$7:$M$7,0),FALSE)),"---------------")),IFERROR(VLOOKUP('General price list'!$C27,Popisy!A:M,MATCH($W$17,Popisy!$A$7:$M$7,0),FALSE),"---------------"))</f>
        <v>červené světlo + silné práskající hěvzdy</v>
      </c>
      <c r="X27" s="569" t="str">
        <f t="shared" si="26"/>
        <v/>
      </c>
      <c r="Y27" s="569" t="str">
        <f t="shared" si="27"/>
        <v/>
      </c>
      <c r="Z27" s="569" t="str">
        <f>HYPERLINK("https://www.klasekpyrotechnics.cz/c5du14")</f>
        <v>https://www.klasekpyrotechnics.cz/c5du14</v>
      </c>
      <c r="AA27" s="569">
        <f>IFERROR(IF(VLOOKUP(C27,[4]List1!$A:$D,4,FALSE)=0,"",VLOOKUP(C27,[4]List1!$A:$D,4,FALSE)),"")</f>
        <v>50</v>
      </c>
      <c r="AB27" s="565"/>
      <c r="AC27" s="570" t="str">
        <f>IFERROR(IF(VLOOKUP(C27,[1]List1!$A:$D,2,FALSE)="VYPRODÁNO",$V$9,IF(VLOOKUP(C27,[1]List1!$A:$D,2,FALSE)="DOCHÁZÍ",$V$3,VLOOKUP(C27,[1]List1!$A:$D,2,FALSE))),"OFFLINE!")</f>
        <v>SKLADEM</v>
      </c>
      <c r="AD27" s="570" t="str">
        <f ca="1">IF(AP27="NE",$V$10,IF(AC27=$V$3,IF(AQ27&lt;1,$V$8,$V$2&amp;" "&amp;AQ27&amp;" "&amp;$V$1),IF(AC27="SKLADEM",$V$6,IFERROR(IF(OR(AC27-TODAY()&gt;45,VLOOKUP(C27,[1]List1!$A:$E,4,FALSE)=0),AC27,DAY(AC27)&amp;"."&amp;MONTH(AC27)&amp;"."&amp;YEAR(AC27)&amp;" "&amp;$V$4&amp;VLOOKUP(C27,[1]List1!$A:$E,4,FALSE)&amp;" "&amp;$V$1),AC27))))</f>
        <v>SKLADEM</v>
      </c>
      <c r="AE27" s="581" t="str">
        <f t="shared" ca="1" si="28"/>
        <v>SKLADEM</v>
      </c>
      <c r="AF27" s="584">
        <f t="shared" si="29"/>
        <v>0</v>
      </c>
      <c r="AG27" s="585">
        <f t="shared" si="30"/>
        <v>0</v>
      </c>
      <c r="AH27" s="583">
        <f t="shared" si="31"/>
        <v>0</v>
      </c>
      <c r="AI27" s="582">
        <f t="shared" si="32"/>
        <v>0</v>
      </c>
      <c r="AJ27" s="569">
        <f t="shared" si="33"/>
        <v>0</v>
      </c>
      <c r="AK27" s="569" t="str">
        <f t="shared" si="34"/>
        <v/>
      </c>
      <c r="AL27" s="569" t="str">
        <f t="shared" si="35"/>
        <v/>
      </c>
      <c r="AM27" s="569">
        <f t="shared" si="36"/>
        <v>0</v>
      </c>
      <c r="AN27" s="581">
        <f t="shared" si="37"/>
        <v>0</v>
      </c>
      <c r="AO27" s="623"/>
      <c r="AP27" s="632" t="str">
        <f t="shared" si="47"/>
        <v/>
      </c>
      <c r="AQ27" s="633" t="str">
        <f>IF(AC27=$V$3,IF(VLOOKUP(C27,[1]List1!$A:$E,5,FALSE)=0,1,VLOOKUP(C27,[1]List1!$A:$E,5,FALSE)),"")</f>
        <v/>
      </c>
      <c r="AR27" s="625" t="str">
        <f t="shared" si="48"/>
        <v/>
      </c>
      <c r="AS27" s="634" t="str">
        <f t="shared" si="49"/>
        <v/>
      </c>
      <c r="AT27" s="625" t="str">
        <f t="shared" si="50"/>
        <v/>
      </c>
      <c r="AU27" s="638" t="e">
        <f t="shared" si="51"/>
        <v>#N/A</v>
      </c>
      <c r="AV27" s="625" t="e">
        <f t="shared" si="52"/>
        <v>#N/A</v>
      </c>
      <c r="AX27" s="625">
        <f>IF(AND('General price list'!$J27="F4",'General price list'!$AB27+0&gt;0),1,0)</f>
        <v>0</v>
      </c>
      <c r="AY27" s="625">
        <f t="shared" si="53"/>
        <v>1</v>
      </c>
      <c r="AZ27" s="625">
        <f t="shared" si="54"/>
        <v>0</v>
      </c>
    </row>
    <row r="28" spans="1:52" ht="15" customHeight="1">
      <c r="A28" s="639" t="str">
        <f>Kat.!C28</f>
        <v/>
      </c>
      <c r="B28" s="640">
        <f>IF(AND('General price list'!$J28="F4",$AI$1=FALSE),0,IF(AC28="SKLADEM",1,IF(AC28=$V$3,1,0)))</f>
        <v>1</v>
      </c>
      <c r="C28" s="641" t="s">
        <v>75</v>
      </c>
      <c r="D28" s="642" t="s">
        <v>12489</v>
      </c>
      <c r="E28" s="731" t="s">
        <v>12160</v>
      </c>
      <c r="F28" s="771">
        <f>IFERROR(VLOOKUP(C28,[2]List1!$A:$D,3,FALSE),"NEUVEDENO!")</f>
        <v>50</v>
      </c>
      <c r="G28" s="768">
        <f t="shared" si="24"/>
        <v>50</v>
      </c>
      <c r="H28" s="765">
        <f t="shared" si="25"/>
        <v>2.1239268859408784</v>
      </c>
      <c r="I28" s="644">
        <f>IFERROR(VLOOKUP(C28,[2]List1!$A:$D,4,FALSE),"NEUVEDENO!")</f>
        <v>48</v>
      </c>
      <c r="J28" s="733" t="s">
        <v>19</v>
      </c>
      <c r="K28" s="645" t="s">
        <v>20</v>
      </c>
      <c r="L28" s="645" t="s">
        <v>10961</v>
      </c>
      <c r="M28" s="645" t="s">
        <v>21</v>
      </c>
      <c r="N28" s="645">
        <f>IFERROR(VLOOKUP(C28,[3]List1!$A:$D,4,FALSE),"N/A!")</f>
        <v>2.4288000000000001E-2</v>
      </c>
      <c r="O28" s="645">
        <f>IFERROR(VLOOKUP(C28,[3]List1!$A:$D,3,FALSE),"N/A!")</f>
        <v>1152</v>
      </c>
      <c r="P28" s="645">
        <f>IFERROR(VLOOKUP(C28,[3]List1!$A:$D,2,FALSE),"N/A!")</f>
        <v>3800</v>
      </c>
      <c r="Q28" s="645" t="s">
        <v>12077</v>
      </c>
      <c r="R28" s="645"/>
      <c r="S28" s="645"/>
      <c r="T28" s="645"/>
      <c r="U28" s="645"/>
      <c r="V28" s="645"/>
      <c r="W28" s="645" t="str">
        <f>IFERROR(IF(AND($AB28&gt;=0.1*$AA28,MOD($AB28,$AA28)&gt;=($AA28-(0.1*$AA28))),IF($W$17=$AF$1,"Zvažte možnost doobjednání ještě "&amp;Tabulka1[[#This Row],[VKPAL]]-MOD(AB28,AA28)&amp;" VK do plné palety.",VLOOKUP("Zvažte možnost doobjednání ještě ",Jazyky_ceník!A:Q,MATCH($W$17,Jazyky_ceník!$A$1:$Q$1,0),FALSE)&amp;Tabulka1[[#This Row],[VKPAL]]-MOD(AB28,AA28)&amp;VLOOKUP(" VK do plné palety.",Jazyky_ceník!A:Q,MATCH($W$17,Jazyky_ceník!$A$1:$Q$1,0),FALSE)),IFERROR(IF(AND(NOT(MOD($AB28,$AA28)=0),$AB28&gt;=0.9*$AA28,MOD($AB28,$AA28)&lt;=0.1*$AA28),IF($W$17=$AF$1,"Zvažte možnost optimalizace objednaného množství podle počtu VK na paletě ==&gt;",VLOOKUP("Zvažte možnost optimalizace objednaného množství podle počtu VK na paletě ==&gt;",Jazyky_ceník!A:Q,MATCH($W$17,Jazyky_ceník!$A$1:$Q$1,0),FALSE)),VLOOKUP('General price list'!$C28,Popisy!A:M,MATCH($W$17,Popisy!$A$7:$M$7,0),FALSE)),"---------------")),IFERROR(VLOOKUP('General price list'!$C28,Popisy!A:M,MATCH($W$17,Popisy!$A$7:$M$7,0),FALSE),"---------------"))</f>
        <v>práskající balónky 1g, průměr 23mm</v>
      </c>
      <c r="X28" s="645" t="str">
        <f t="shared" si="26"/>
        <v/>
      </c>
      <c r="Y28" s="645" t="str">
        <f t="shared" si="27"/>
        <v/>
      </c>
      <c r="Z28" s="645" t="str">
        <f>HYPERLINK("https://www.klasekpyrotechnics.cz/dp1cb")</f>
        <v>https://www.klasekpyrotechnics.cz/dp1cb</v>
      </c>
      <c r="AA28" s="645">
        <f>IFERROR(IF(VLOOKUP(C28,[4]List1!$A:$D,4,FALSE)=0,"",VLOOKUP(C28,[4]List1!$A:$D,4,FALSE)),"")</f>
        <v>49</v>
      </c>
      <c r="AB28" s="646"/>
      <c r="AC28" s="647" t="str">
        <f>IFERROR(IF(VLOOKUP(C28,[1]List1!$A:$D,2,FALSE)="VYPRODÁNO",$V$9,IF(VLOOKUP(C28,[1]List1!$A:$D,2,FALSE)="DOCHÁZÍ",$V$3,VLOOKUP(C28,[1]List1!$A:$D,2,FALSE))),"OFFLINE!")</f>
        <v>SKLADEM</v>
      </c>
      <c r="AD28" s="647" t="str">
        <f ca="1">IF(AP28="NE",$V$10,IF(AC28=$V$3,IF(AQ28&lt;1,$V$8,$V$2&amp;" "&amp;AQ28&amp;" "&amp;$V$1),IF(AC28="SKLADEM",$V$6,IFERROR(IF(OR(AC28-TODAY()&gt;45,VLOOKUP(C28,[1]List1!$A:$E,4,FALSE)=0),AC28,DAY(AC28)&amp;"."&amp;MONTH(AC28)&amp;"."&amp;YEAR(AC28)&amp;" "&amp;$V$4&amp;VLOOKUP(C28,[1]List1!$A:$E,4,FALSE)&amp;" "&amp;$V$1),AC28))))</f>
        <v>SKLADEM</v>
      </c>
      <c r="AE28" s="645" t="str">
        <f t="shared" ca="1" si="28"/>
        <v>SKLADEM</v>
      </c>
      <c r="AF28" s="648">
        <f t="shared" si="29"/>
        <v>0</v>
      </c>
      <c r="AG28" s="649">
        <f t="shared" si="30"/>
        <v>0</v>
      </c>
      <c r="AH28" s="650">
        <f t="shared" si="31"/>
        <v>0</v>
      </c>
      <c r="AI28" s="645">
        <f t="shared" si="32"/>
        <v>0</v>
      </c>
      <c r="AJ28" s="645">
        <f t="shared" si="33"/>
        <v>0</v>
      </c>
      <c r="AK28" s="645" t="str">
        <f t="shared" si="34"/>
        <v/>
      </c>
      <c r="AL28" s="645" t="str">
        <f t="shared" si="35"/>
        <v/>
      </c>
      <c r="AM28" s="645">
        <f t="shared" si="36"/>
        <v>0</v>
      </c>
      <c r="AN28" s="651">
        <f t="shared" si="37"/>
        <v>0</v>
      </c>
      <c r="AO28" s="623"/>
      <c r="AP28" s="632" t="str">
        <f t="shared" si="47"/>
        <v/>
      </c>
      <c r="AQ28" s="633" t="str">
        <f>IF(AC28=$V$3,IF(VLOOKUP(C28,[1]List1!$A:$E,5,FALSE)=0,1,VLOOKUP(C28,[1]List1!$A:$E,5,FALSE)),"")</f>
        <v/>
      </c>
      <c r="AR28" s="625" t="str">
        <f t="shared" si="48"/>
        <v/>
      </c>
      <c r="AS28" s="634" t="str">
        <f t="shared" si="49"/>
        <v/>
      </c>
      <c r="AT28" s="635" t="str">
        <f t="shared" si="50"/>
        <v/>
      </c>
      <c r="AU28" s="636" t="e">
        <f t="shared" si="51"/>
        <v>#N/A</v>
      </c>
      <c r="AV28" s="637" t="e">
        <f t="shared" si="52"/>
        <v>#N/A</v>
      </c>
      <c r="AX28" s="625">
        <f>IF(AND('General price list'!$J28="F4",'General price list'!$AB28+0&gt;0),1,0)</f>
        <v>0</v>
      </c>
      <c r="AY28" s="625">
        <f t="shared" si="53"/>
        <v>1</v>
      </c>
      <c r="AZ28" s="625">
        <f t="shared" si="54"/>
        <v>0</v>
      </c>
    </row>
    <row r="29" spans="1:52" ht="15" customHeight="1">
      <c r="A29" s="621" t="str">
        <f>Kat.!C29</f>
        <v/>
      </c>
      <c r="B29" s="566">
        <f>IF(AND('General price list'!$J29="F4",$AI$1=FALSE),0,IF(AC29="SKLADEM",1,IF(AC29=$V$3,1,0)))</f>
        <v>0</v>
      </c>
      <c r="C29" s="641" t="s">
        <v>79</v>
      </c>
      <c r="D29" s="568" t="s">
        <v>12490</v>
      </c>
      <c r="E29" s="762" t="s">
        <v>12160</v>
      </c>
      <c r="F29" s="772">
        <f>IFERROR(VLOOKUP(C29,[2]List1!$A:$D,3,FALSE),"NEUVEDENO!")</f>
        <v>59</v>
      </c>
      <c r="G29" s="769">
        <f t="shared" si="24"/>
        <v>59</v>
      </c>
      <c r="H29" s="766">
        <f t="shared" si="25"/>
        <v>2.5062337254102367</v>
      </c>
      <c r="I29" s="764">
        <f>IFERROR(VLOOKUP(C29,[2]List1!$A:$D,4,FALSE),"NEUVEDENO!")</f>
        <v>48</v>
      </c>
      <c r="J29" s="732" t="s">
        <v>19</v>
      </c>
      <c r="K29" s="569">
        <v>4</v>
      </c>
      <c r="L29" s="569" t="s">
        <v>10961</v>
      </c>
      <c r="M29" s="569" t="s">
        <v>21</v>
      </c>
      <c r="N29" s="569">
        <f>IFERROR(VLOOKUP(C29,[3]List1!$A:$D,4,FALSE),"N/A!")</f>
        <v>2.4288000000000001E-2</v>
      </c>
      <c r="O29" s="569">
        <f>IFERROR(VLOOKUP(C29,[3]List1!$A:$D,3,FALSE),"N/A!")</f>
        <v>2304</v>
      </c>
      <c r="P29" s="569">
        <f>IFERROR(VLOOKUP(C29,[3]List1!$A:$D,2,FALSE),"N/A!")</f>
        <v>4800</v>
      </c>
      <c r="Q29" s="569" t="s">
        <v>12077</v>
      </c>
      <c r="R29" s="569"/>
      <c r="S29" s="569"/>
      <c r="T29" s="569"/>
      <c r="U29" s="569"/>
      <c r="V29" s="569"/>
      <c r="W29" s="569" t="str">
        <f>IFERROR(IF(AND($AB29&gt;=0.1*$AA29,MOD($AB29,$AA29)&gt;=($AA29-(0.1*$AA29))),IF($W$17=$AF$1,"Zvažte možnost doobjednání ještě "&amp;Tabulka1[[#This Row],[VKPAL]]-MOD(AB29,AA29)&amp;" VK do plné palety.",VLOOKUP("Zvažte možnost doobjednání ještě ",Jazyky_ceník!A:Q,MATCH($W$17,Jazyky_ceník!$A$1:$Q$1,0),FALSE)&amp;Tabulka1[[#This Row],[VKPAL]]-MOD(AB29,AA29)&amp;VLOOKUP(" VK do plné palety.",Jazyky_ceník!A:Q,MATCH($W$17,Jazyky_ceník!$A$1:$Q$1,0),FALSE)),IFERROR(IF(AND(NOT(MOD($AB29,$AA29)=0),$AB29&gt;=0.9*$AA29,MOD($AB29,$AA29)&lt;=0.1*$AA29),IF($W$17=$AF$1,"Zvažte možnost optimalizace objednaného množství podle počtu VK na paletě ==&gt;",VLOOKUP("Zvažte možnost optimalizace objednaného množství podle počtu VK na paletě ==&gt;",Jazyky_ceník!A:Q,MATCH($W$17,Jazyky_ceník!$A$1:$Q$1,0),FALSE)),VLOOKUP('General price list'!$C29,Popisy!A:M,MATCH($W$17,Popisy!$A$7:$M$7,0),FALSE)),"---------------")),IFERROR(VLOOKUP('General price list'!$C29,Popisy!A:M,MATCH($W$17,Popisy!$A$7:$M$7,0),FALSE),"---------------"))</f>
        <v>práskající balónky 2g, průměr 23mm</v>
      </c>
      <c r="X29" s="569" t="str">
        <f t="shared" si="26"/>
        <v/>
      </c>
      <c r="Y29" s="569" t="str">
        <f t="shared" si="27"/>
        <v/>
      </c>
      <c r="Z29" s="569" t="str">
        <f>HYPERLINK("https://www.klasekpyrotechnics.cz/dp1cb_1")</f>
        <v>https://www.klasekpyrotechnics.cz/dp1cb_1</v>
      </c>
      <c r="AA29" s="569">
        <f>IFERROR(IF(VLOOKUP(C29,[4]List1!$A:$D,4,FALSE)=0,"",VLOOKUP(C29,[4]List1!$A:$D,4,FALSE)),"")</f>
        <v>49</v>
      </c>
      <c r="AB29" s="565"/>
      <c r="AC29" s="570" t="str">
        <f>IFERROR(IF(VLOOKUP(C29,[1]List1!$A:$D,2,FALSE)="VYPRODÁNO",$V$9,IF(VLOOKUP(C29,[1]List1!$A:$D,2,FALSE)="DOCHÁZÍ",$V$3,VLOOKUP(C29,[1]List1!$A:$D,2,FALSE))),"OFFLINE!")</f>
        <v>31.08.2026</v>
      </c>
      <c r="AD29" s="570" t="str">
        <f ca="1">IF(AP29="NE",$V$10,IF(AC29=$V$3,IF(AQ29&lt;1,$V$8,$V$2&amp;" "&amp;AQ29&amp;" "&amp;$V$1),IF(AC29="SKLADEM",$V$6,IFERROR(IF(OR(AC29-TODAY()&gt;45,VLOOKUP(C29,[1]List1!$A:$E,4,FALSE)=0),AC29,DAY(AC29)&amp;"."&amp;MONTH(AC29)&amp;"."&amp;YEAR(AC29)&amp;" "&amp;$V$4&amp;VLOOKUP(C29,[1]List1!$A:$E,4,FALSE)&amp;" "&amp;$V$1),AC29))))</f>
        <v>31.08.2026</v>
      </c>
      <c r="AE29" s="581" t="str">
        <f t="shared" ca="1" si="28"/>
        <v>31.08.2026</v>
      </c>
      <c r="AF29" s="584">
        <f t="shared" si="29"/>
        <v>0</v>
      </c>
      <c r="AG29" s="585">
        <f t="shared" si="30"/>
        <v>0</v>
      </c>
      <c r="AH29" s="583">
        <f t="shared" si="31"/>
        <v>0</v>
      </c>
      <c r="AI29" s="582">
        <f t="shared" ref="AI29:AI38" si="55">IFERROR(IF(Y29=AB29,(P29*Y29)/1000,1),0)</f>
        <v>0</v>
      </c>
      <c r="AJ29" s="569">
        <f t="shared" ref="AJ29:AJ38" si="56">IFERROR(IF(Y29=AB29,N29*Y29,0.1),0)</f>
        <v>0</v>
      </c>
      <c r="AK29" s="569" t="str">
        <f t="shared" ref="AK29:AK38" si="57">IFERROR(IF(Y29=AB29,IF(M29="1.1G",(O29/1000)*Y29,""),""),0)</f>
        <v/>
      </c>
      <c r="AL29" s="569" t="str">
        <f t="shared" ref="AL29:AL38" si="58">IFERROR(IF(Y29=AB29,IF(M29="1.3G",(O29/1000)*AB29,""),""),0)</f>
        <v/>
      </c>
      <c r="AM29" s="569">
        <f t="shared" ref="AM29:AM38" si="59">IFERROR(IF(Y29=AB29,IF(M29="1.4G",(O29/1000)*AB29,""),""),0)</f>
        <v>0</v>
      </c>
      <c r="AN29" s="581">
        <f t="shared" ref="AN29:AN38" si="60">SUM(AK29:AM29)</f>
        <v>0</v>
      </c>
      <c r="AO29" s="623"/>
      <c r="AP29" s="632" t="str">
        <f t="shared" si="47"/>
        <v/>
      </c>
      <c r="AQ29" s="633" t="str">
        <f>IF(AC29=$V$3,IF(VLOOKUP(C29,[1]List1!$A:$E,5,FALSE)=0,1,VLOOKUP(C29,[1]List1!$A:$E,5,FALSE)),"")</f>
        <v/>
      </c>
      <c r="AR29" s="625" t="str">
        <f t="shared" si="48"/>
        <v/>
      </c>
      <c r="AS29" s="634" t="str">
        <f t="shared" si="49"/>
        <v/>
      </c>
      <c r="AT29" s="625" t="str">
        <f t="shared" si="50"/>
        <v/>
      </c>
      <c r="AU29" s="638" t="e">
        <f t="shared" si="51"/>
        <v>#N/A</v>
      </c>
      <c r="AV29" s="625" t="e">
        <f t="shared" si="52"/>
        <v>#N/A</v>
      </c>
      <c r="AX29" s="625">
        <f>IF(AND('General price list'!$J29="F4",'General price list'!$AB29+0&gt;0),1,0)</f>
        <v>0</v>
      </c>
      <c r="AY29" s="625">
        <f t="shared" si="53"/>
        <v>1</v>
      </c>
      <c r="AZ29" s="625">
        <f t="shared" si="54"/>
        <v>0</v>
      </c>
    </row>
    <row r="30" spans="1:52" ht="15" customHeight="1">
      <c r="A30" s="639" t="str">
        <f>Kat.!C30</f>
        <v>×</v>
      </c>
      <c r="B30" s="640">
        <f>IF(AND('General price list'!$J30="F4",$AI$1=FALSE),0,IF(AC30="SKLADEM",1,IF(AC30=$V$3,1,0)))</f>
        <v>1</v>
      </c>
      <c r="C30" s="641" t="s">
        <v>4240</v>
      </c>
      <c r="D30" s="642" t="s">
        <v>4241</v>
      </c>
      <c r="E30" s="731" t="s">
        <v>8867</v>
      </c>
      <c r="F30" s="771">
        <f>IFERROR(VLOOKUP(C30,[2]List1!$A:$D,3,FALSE),"NEUVEDENO!")</f>
        <v>240</v>
      </c>
      <c r="G30" s="768">
        <f t="shared" si="24"/>
        <v>240</v>
      </c>
      <c r="H30" s="765">
        <f t="shared" si="25"/>
        <v>10.194849052516217</v>
      </c>
      <c r="I30" s="644">
        <f>IFERROR(VLOOKUP(C30,[2]List1!$A:$D,4,FALSE),"NEUVEDENO!")</f>
        <v>12</v>
      </c>
      <c r="J30" s="733" t="s">
        <v>19</v>
      </c>
      <c r="K30" s="645" t="s">
        <v>20</v>
      </c>
      <c r="L30" s="645" t="s">
        <v>10961</v>
      </c>
      <c r="M30" s="645" t="s">
        <v>21</v>
      </c>
      <c r="N30" s="645">
        <f>IFERROR(VLOOKUP(C30,[3]List1!$A:$D,4,FALSE),"N/A!")</f>
        <v>3.5749999999999997E-2</v>
      </c>
      <c r="O30" s="645">
        <f>IFERROR(VLOOKUP(C30,[3]List1!$A:$D,3,FALSE),"N/A!")</f>
        <v>1296</v>
      </c>
      <c r="P30" s="645">
        <f>IFERROR(VLOOKUP(C30,[3]List1!$A:$D,2,FALSE),"N/A!")</f>
        <v>6500</v>
      </c>
      <c r="Q30" s="645" t="s">
        <v>12761</v>
      </c>
      <c r="R30" s="645"/>
      <c r="S30" s="645"/>
      <c r="T30" s="645"/>
      <c r="U30" s="645"/>
      <c r="V30" s="645"/>
      <c r="W30" s="645" t="str">
        <f>IFERROR(IF(AND($AB30&gt;=0.1*$AA30,MOD($AB30,$AA30)&gt;=($AA30-(0.1*$AA30))),IF($W$17=$AF$1,"Zvažte možnost doobjednání ještě "&amp;Tabulka1[[#This Row],[VKPAL]]-MOD(AB30,AA30)&amp;" VK do plné palety.",VLOOKUP("Zvažte možnost doobjednání ještě ",Jazyky_ceník!A:Q,MATCH($W$17,Jazyky_ceník!$A$1:$Q$1,0),FALSE)&amp;Tabulka1[[#This Row],[VKPAL]]-MOD(AB30,AA30)&amp;VLOOKUP(" VK do plné palety.",Jazyky_ceník!A:Q,MATCH($W$17,Jazyky_ceník!$A$1:$Q$1,0),FALSE)),IFERROR(IF(AND(NOT(MOD($AB30,$AA30)=0),$AB30&gt;=0.9*$AA30,MOD($AB30,$AA30)&lt;=0.1*$AA30),IF($W$17=$AF$1,"Zvažte možnost optimalizace objednaného množství podle počtu VK na paletě ==&gt;",VLOOKUP("Zvažte možnost optimalizace objednaného množství podle počtu VK na paletě ==&gt;",Jazyky_ceník!A:Q,MATCH($W$17,Jazyky_ceník!$A$1:$Q$1,0),FALSE)),VLOOKUP('General price list'!$C30,Popisy!A:M,MATCH($W$17,Popisy!$A$7:$M$7,0),FALSE)),"---------------")),IFERROR(VLOOKUP('General price list'!$C30,Popisy!A:M,MATCH($W$17,Popisy!$A$7:$M$7,0),FALSE),"---------------"))</f>
        <v>práskající balónky 3g, průměr 38mm</v>
      </c>
      <c r="X30" s="645" t="str">
        <f t="shared" si="26"/>
        <v/>
      </c>
      <c r="Y30" s="645" t="str">
        <f t="shared" si="27"/>
        <v/>
      </c>
      <c r="Z30" s="645" t="str">
        <f>HYPERLINK("https://www.klasekpyrotechnics.cz/dp2cb")</f>
        <v>https://www.klasekpyrotechnics.cz/dp2cb</v>
      </c>
      <c r="AA30" s="645">
        <f>IFERROR(IF(VLOOKUP(C30,[4]List1!$A:$D,4,FALSE)=0,"",VLOOKUP(C30,[4]List1!$A:$D,4,FALSE)),"")</f>
        <v>36</v>
      </c>
      <c r="AB30" s="646"/>
      <c r="AC30" s="647" t="str">
        <f>IFERROR(IF(VLOOKUP(C30,[1]List1!$A:$D,2,FALSE)="VYPRODÁNO",$V$9,IF(VLOOKUP(C30,[1]List1!$A:$D,2,FALSE)="DOCHÁZÍ",$V$3,VLOOKUP(C30,[1]List1!$A:$D,2,FALSE))),"OFFLINE!")</f>
        <v>SKLADEM</v>
      </c>
      <c r="AD30" s="647" t="str">
        <f ca="1">IF(AP30="NE",$V$10,IF(AC30=$V$3,IF(AQ30&lt;1,$V$8,$V$2&amp;" "&amp;AQ30&amp;" "&amp;$V$1),IF(AC30="SKLADEM",$V$6,IFERROR(IF(OR(AC30-TODAY()&gt;45,VLOOKUP(C30,[1]List1!$A:$E,4,FALSE)=0),AC30,DAY(AC30)&amp;"."&amp;MONTH(AC30)&amp;"."&amp;YEAR(AC30)&amp;" "&amp;$V$4&amp;VLOOKUP(C30,[1]List1!$A:$E,4,FALSE)&amp;" "&amp;$V$1),AC30))))</f>
        <v>SKLADEM</v>
      </c>
      <c r="AE30" s="645" t="str">
        <f t="shared" ca="1" si="28"/>
        <v>SKLADEM</v>
      </c>
      <c r="AF30" s="648">
        <f t="shared" si="29"/>
        <v>0</v>
      </c>
      <c r="AG30" s="649">
        <f t="shared" si="30"/>
        <v>0</v>
      </c>
      <c r="AH30" s="650">
        <f t="shared" si="31"/>
        <v>0</v>
      </c>
      <c r="AI30" s="645">
        <f t="shared" si="55"/>
        <v>0</v>
      </c>
      <c r="AJ30" s="645">
        <f t="shared" si="56"/>
        <v>0</v>
      </c>
      <c r="AK30" s="645" t="str">
        <f t="shared" si="57"/>
        <v/>
      </c>
      <c r="AL30" s="645" t="str">
        <f t="shared" si="58"/>
        <v/>
      </c>
      <c r="AM30" s="645">
        <f t="shared" si="59"/>
        <v>0</v>
      </c>
      <c r="AN30" s="651">
        <f t="shared" si="60"/>
        <v>0</v>
      </c>
      <c r="AO30" s="623"/>
      <c r="AP30" s="632" t="str">
        <f t="shared" si="47"/>
        <v/>
      </c>
      <c r="AQ30" s="633" t="str">
        <f>IF(AC30=$V$3,IF(VLOOKUP(C30,[1]List1!$A:$E,5,FALSE)=0,1,VLOOKUP(C30,[1]List1!$A:$E,5,FALSE)),"")</f>
        <v/>
      </c>
      <c r="AR30" s="625" t="str">
        <f t="shared" si="48"/>
        <v/>
      </c>
      <c r="AS30" s="634" t="str">
        <f t="shared" si="49"/>
        <v/>
      </c>
      <c r="AT30" s="635" t="str">
        <f t="shared" si="50"/>
        <v/>
      </c>
      <c r="AU30" s="636" t="e">
        <f t="shared" si="51"/>
        <v>#N/A</v>
      </c>
      <c r="AV30" s="637" t="e">
        <f t="shared" si="52"/>
        <v>#N/A</v>
      </c>
      <c r="AX30" s="625">
        <f>IF(AND('General price list'!$J30="F4",'General price list'!$AB30+0&gt;0),1,0)</f>
        <v>0</v>
      </c>
      <c r="AY30" s="625">
        <f t="shared" si="53"/>
        <v>1</v>
      </c>
      <c r="AZ30" s="625">
        <f t="shared" si="54"/>
        <v>0</v>
      </c>
    </row>
    <row r="31" spans="1:52" ht="15" customHeight="1">
      <c r="A31" s="621" t="str">
        <f>Kat.!C31</f>
        <v/>
      </c>
      <c r="B31" s="566">
        <f>IF(AND('General price list'!$J31="F4",$AI$1=FALSE),0,IF(AC31="SKLADEM",1,IF(AC31=$V$3,1,0)))</f>
        <v>0</v>
      </c>
      <c r="C31" s="641" t="s">
        <v>12440</v>
      </c>
      <c r="D31" s="568" t="s">
        <v>12491</v>
      </c>
      <c r="E31" s="762" t="s">
        <v>514</v>
      </c>
      <c r="F31" s="772">
        <f>IFERROR(VLOOKUP(C31,[2]List1!$A:$D,3,FALSE),"NEUVEDENO!")</f>
        <v>89</v>
      </c>
      <c r="G31" s="769">
        <f t="shared" si="24"/>
        <v>89</v>
      </c>
      <c r="H31" s="766">
        <f t="shared" si="25"/>
        <v>3.7805898569747636</v>
      </c>
      <c r="I31" s="764">
        <f>IFERROR(VLOOKUP(C31,[2]List1!$A:$D,4,FALSE),"NEUVEDENO!")</f>
        <v>36</v>
      </c>
      <c r="J31" s="732" t="s">
        <v>19</v>
      </c>
      <c r="K31" s="569">
        <v>4</v>
      </c>
      <c r="L31" s="569" t="s">
        <v>10961</v>
      </c>
      <c r="M31" s="569" t="s">
        <v>21</v>
      </c>
      <c r="N31" s="569">
        <f>IFERROR(VLOOKUP(C31,[3]List1!$A:$D,4,FALSE),"N/A!")</f>
        <v>3.2009999999999997E-2</v>
      </c>
      <c r="O31" s="569">
        <f>IFERROR(VLOOKUP(C31,[3]List1!$A:$D,3,FALSE),"N/A!")</f>
        <v>1296</v>
      </c>
      <c r="P31" s="569">
        <f>IFERROR(VLOOKUP(C31,[3]List1!$A:$D,2,FALSE),"N/A!")</f>
        <v>6500</v>
      </c>
      <c r="Q31" s="569" t="s">
        <v>12996</v>
      </c>
      <c r="R31" s="569"/>
      <c r="S31" s="569"/>
      <c r="T31" s="569"/>
      <c r="U31" s="569"/>
      <c r="V31" s="569"/>
      <c r="W31" s="569" t="str">
        <f>IFERROR(IF(AND($AB31&gt;=0.1*$AA31,MOD($AB31,$AA31)&gt;=($AA31-(0.1*$AA31))),IF($W$17=$AF$1,"Zvažte možnost doobjednání ještě "&amp;Tabulka1[[#This Row],[VKPAL]]-MOD(AB31,AA31)&amp;" VK do plné palety.",VLOOKUP("Zvažte možnost doobjednání ještě ",Jazyky_ceník!A:Q,MATCH($W$17,Jazyky_ceník!$A$1:$Q$1,0),FALSE)&amp;Tabulka1[[#This Row],[VKPAL]]-MOD(AB31,AA31)&amp;VLOOKUP(" VK do plné palety.",Jazyky_ceník!A:Q,MATCH($W$17,Jazyky_ceník!$A$1:$Q$1,0),FALSE)),IFERROR(IF(AND(NOT(MOD($AB31,$AA31)=0),$AB31&gt;=0.9*$AA31,MOD($AB31,$AA31)&lt;=0.1*$AA31),IF($W$17=$AF$1,"Zvažte možnost optimalizace objednaného množství podle počtu VK na paletě ==&gt;",VLOOKUP("Zvažte možnost optimalizace objednaného množství podle počtu VK na paletě ==&gt;",Jazyky_ceník!A:Q,MATCH($W$17,Jazyky_ceník!$A$1:$Q$1,0),FALSE)),VLOOKUP('General price list'!$C31,Popisy!A:M,MATCH($W$17,Popisy!$A$7:$M$7,0),FALSE)),"---------------")),IFERROR(VLOOKUP('General price list'!$C31,Popisy!A:M,MATCH($W$17,Popisy!$A$7:$M$7,0),FALSE),"---------------"))</f>
        <v>práskající balónky 3g, průměr 38mm,120Db!!!</v>
      </c>
      <c r="X31" s="569" t="str">
        <f t="shared" si="26"/>
        <v/>
      </c>
      <c r="Y31" s="569" t="str">
        <f t="shared" si="27"/>
        <v/>
      </c>
      <c r="Z31" s="569" t="str">
        <f>HYPERLINK("https://www.klasekpyrotechnics.cz/dp2cb_1")</f>
        <v>https://www.klasekpyrotechnics.cz/dp2cb_1</v>
      </c>
      <c r="AA31" s="569">
        <f>IFERROR(IF(VLOOKUP(C31,[4]List1!$A:$D,4,FALSE)=0,"",VLOOKUP(C31,[4]List1!$A:$D,4,FALSE)),"")</f>
        <v>36</v>
      </c>
      <c r="AB31" s="565"/>
      <c r="AC31" s="570" t="str">
        <f>IFERROR(IF(VLOOKUP(C31,[1]List1!$A:$D,2,FALSE)="VYPRODÁNO",$V$9,IF(VLOOKUP(C31,[1]List1!$A:$D,2,FALSE)="DOCHÁZÍ",$V$3,VLOOKUP(C31,[1]List1!$A:$D,2,FALSE))),"OFFLINE!")</f>
        <v>11.05.2026</v>
      </c>
      <c r="AD31" s="570" t="str">
        <f ca="1">IF(AP31="NE",$V$10,IF(AC31=$V$3,IF(AQ31&lt;1,$V$8,$V$2&amp;" "&amp;AQ31&amp;" "&amp;$V$1),IF(AC31="SKLADEM",$V$6,IFERROR(IF(OR(AC31-TODAY()&gt;45,VLOOKUP(C31,[1]List1!$A:$E,4,FALSE)=0),AC31,DAY(AC31)&amp;"."&amp;MONTH(AC31)&amp;"."&amp;YEAR(AC31)&amp;" "&amp;$V$4&amp;VLOOKUP(C31,[1]List1!$A:$E,4,FALSE)&amp;" "&amp;$V$1),AC31))))</f>
        <v>11.05.2026</v>
      </c>
      <c r="AE31" s="581" t="str">
        <f t="shared" ca="1" si="28"/>
        <v>11.05.2026</v>
      </c>
      <c r="AF31" s="584">
        <f t="shared" si="29"/>
        <v>0</v>
      </c>
      <c r="AG31" s="585">
        <f t="shared" si="30"/>
        <v>0</v>
      </c>
      <c r="AH31" s="583">
        <f t="shared" si="31"/>
        <v>0</v>
      </c>
      <c r="AI31" s="582">
        <f t="shared" si="55"/>
        <v>0</v>
      </c>
      <c r="AJ31" s="569">
        <f t="shared" si="56"/>
        <v>0</v>
      </c>
      <c r="AK31" s="569" t="str">
        <f t="shared" si="57"/>
        <v/>
      </c>
      <c r="AL31" s="569" t="str">
        <f t="shared" si="58"/>
        <v/>
      </c>
      <c r="AM31" s="569">
        <f t="shared" si="59"/>
        <v>0</v>
      </c>
      <c r="AN31" s="581">
        <f t="shared" si="60"/>
        <v>0</v>
      </c>
      <c r="AO31" s="623"/>
      <c r="AP31" s="632" t="str">
        <f t="shared" si="47"/>
        <v/>
      </c>
      <c r="AQ31" s="633" t="str">
        <f>IF(AC31=$V$3,IF(VLOOKUP(C31,[1]List1!$A:$E,5,FALSE)=0,1,VLOOKUP(C31,[1]List1!$A:$E,5,FALSE)),"")</f>
        <v/>
      </c>
      <c r="AR31" s="625" t="str">
        <f t="shared" si="48"/>
        <v/>
      </c>
      <c r="AS31" s="634" t="str">
        <f t="shared" si="49"/>
        <v/>
      </c>
      <c r="AT31" s="625" t="str">
        <f t="shared" si="50"/>
        <v/>
      </c>
      <c r="AU31" s="638" t="e">
        <f t="shared" si="51"/>
        <v>#N/A</v>
      </c>
      <c r="AV31" s="625" t="e">
        <f t="shared" si="52"/>
        <v>#N/A</v>
      </c>
      <c r="AX31" s="625">
        <f>IF(AND('General price list'!$J31="F4",'General price list'!$AB31+0&gt;0),1,0)</f>
        <v>0</v>
      </c>
      <c r="AY31" s="625">
        <f t="shared" si="53"/>
        <v>1</v>
      </c>
      <c r="AZ31" s="625">
        <f t="shared" si="54"/>
        <v>0</v>
      </c>
    </row>
    <row r="32" spans="1:52" ht="15" customHeight="1">
      <c r="A32" s="639" t="str">
        <f>Kat.!C32</f>
        <v/>
      </c>
      <c r="B32" s="640">
        <f>IF(AND('General price list'!$J32="F4",$AI$1=FALSE),0,IF(AC32="SKLADEM",1,IF(AC32=$V$3,1,0)))</f>
        <v>1</v>
      </c>
      <c r="C32" s="641" t="s">
        <v>69</v>
      </c>
      <c r="D32" s="642" t="s">
        <v>70</v>
      </c>
      <c r="E32" s="731" t="s">
        <v>71</v>
      </c>
      <c r="F32" s="771">
        <f>IFERROR(VLOOKUP(C32,[2]List1!$A:$D,3,FALSE),"NEUVEDENO!")</f>
        <v>347</v>
      </c>
      <c r="G32" s="768">
        <f t="shared" si="24"/>
        <v>347</v>
      </c>
      <c r="H32" s="765">
        <f t="shared" si="25"/>
        <v>14.740052588429696</v>
      </c>
      <c r="I32" s="644">
        <f>IFERROR(VLOOKUP(C32,[2]List1!$A:$D,4,FALSE),"NEUVEDENO!")</f>
        <v>10</v>
      </c>
      <c r="J32" s="733" t="s">
        <v>19</v>
      </c>
      <c r="K32" s="645" t="s">
        <v>20</v>
      </c>
      <c r="L32" s="645" t="s">
        <v>10961</v>
      </c>
      <c r="M32" s="645" t="s">
        <v>21</v>
      </c>
      <c r="N32" s="645">
        <f>IFERROR(VLOOKUP(C32,[3]List1!$A:$D,4,FALSE),"N/A!")</f>
        <v>3.2447999999999998E-2</v>
      </c>
      <c r="O32" s="645">
        <f>IFERROR(VLOOKUP(C32,[3]List1!$A:$D,3,FALSE),"N/A!")</f>
        <v>4800</v>
      </c>
      <c r="P32" s="645">
        <f>IFERROR(VLOOKUP(C32,[3]List1!$A:$D,2,FALSE),"N/A!")</f>
        <v>7200</v>
      </c>
      <c r="Q32" s="645" t="s">
        <v>11751</v>
      </c>
      <c r="R32" s="645" t="s">
        <v>11239</v>
      </c>
      <c r="S32" s="645"/>
      <c r="T32" s="645"/>
      <c r="U32" s="645"/>
      <c r="V32" s="645"/>
      <c r="W32" s="645" t="str">
        <f>IFERROR(IF(AND($AB32&gt;=0.1*$AA32,MOD($AB32,$AA32)&gt;=($AA32-(0.1*$AA32))),IF($W$17=$AF$1,"Zvažte možnost doobjednání ještě "&amp;Tabulka1[[#This Row],[VKPAL]]-MOD(AB32,AA32)&amp;" VK do plné palety.",VLOOKUP("Zvažte možnost doobjednání ještě ",Jazyky_ceník!A:Q,MATCH($W$17,Jazyky_ceník!$A$1:$Q$1,0),FALSE)&amp;Tabulka1[[#This Row],[VKPAL]]-MOD(AB32,AA32)&amp;VLOOKUP(" VK do plné palety.",Jazyky_ceník!A:Q,MATCH($W$17,Jazyky_ceník!$A$1:$Q$1,0),FALSE)),IFERROR(IF(AND(NOT(MOD($AB32,$AA32)=0),$AB32&gt;=0.9*$AA32,MOD($AB32,$AA32)&lt;=0.1*$AA32),IF($W$17=$AF$1,"Zvažte možnost optimalizace objednaného množství podle počtu VK na paletě ==&gt;",VLOOKUP("Zvažte možnost optimalizace objednaného množství podle počtu VK na paletě ==&gt;",Jazyky_ceník!A:Q,MATCH($W$17,Jazyky_ceník!$A$1:$Q$1,0),FALSE)),VLOOKUP('General price list'!$C32,Popisy!A:M,MATCH($W$17,Popisy!$A$7:$M$7,0),FALSE)),"---------------")),IFERROR(VLOOKUP('General price list'!$C32,Popisy!A:M,MATCH($W$17,Popisy!$A$7:$M$7,0),FALSE),"---------------"))</f>
        <v>práskající barevné granule</v>
      </c>
      <c r="X32" s="645" t="str">
        <f t="shared" si="26"/>
        <v/>
      </c>
      <c r="Y32" s="645" t="str">
        <f t="shared" si="27"/>
        <v/>
      </c>
      <c r="Z32" s="645" t="str">
        <f>HYPERLINK("https://www.klasekpyrotechnics.cz/dp1m")</f>
        <v>https://www.klasekpyrotechnics.cz/dp1m</v>
      </c>
      <c r="AA32" s="645">
        <f>IFERROR(IF(VLOOKUP(C32,[4]List1!$A:$D,4,FALSE)=0,"",VLOOKUP(C32,[4]List1!$A:$D,4,FALSE)),"")</f>
        <v>42</v>
      </c>
      <c r="AB32" s="646"/>
      <c r="AC32" s="647" t="str">
        <f>IFERROR(IF(VLOOKUP(C32,[1]List1!$A:$D,2,FALSE)="VYPRODÁNO",$V$9,IF(VLOOKUP(C32,[1]List1!$A:$D,2,FALSE)="DOCHÁZÍ",$V$3,VLOOKUP(C32,[1]List1!$A:$D,2,FALSE))),"OFFLINE!")</f>
        <v>SKLADEM</v>
      </c>
      <c r="AD32" s="647" t="str">
        <f ca="1">IF(AP32="NE",$V$10,IF(AC32=$V$3,IF(AQ32&lt;1,$V$8,$V$2&amp;" "&amp;AQ32&amp;" "&amp;$V$1),IF(AC32="SKLADEM",$V$6,IFERROR(IF(OR(AC32-TODAY()&gt;45,VLOOKUP(C32,[1]List1!$A:$E,4,FALSE)=0),AC32,DAY(AC32)&amp;"."&amp;MONTH(AC32)&amp;"."&amp;YEAR(AC32)&amp;" "&amp;$V$4&amp;VLOOKUP(C32,[1]List1!$A:$E,4,FALSE)&amp;" "&amp;$V$1),AC32))))</f>
        <v>SKLADEM</v>
      </c>
      <c r="AE32" s="645" t="str">
        <f t="shared" ca="1" si="28"/>
        <v>SKLADEM</v>
      </c>
      <c r="AF32" s="648">
        <f t="shared" si="29"/>
        <v>0</v>
      </c>
      <c r="AG32" s="649">
        <f t="shared" si="30"/>
        <v>0</v>
      </c>
      <c r="AH32" s="650">
        <f t="shared" si="31"/>
        <v>0</v>
      </c>
      <c r="AI32" s="645">
        <f t="shared" si="55"/>
        <v>0</v>
      </c>
      <c r="AJ32" s="645">
        <f t="shared" si="56"/>
        <v>0</v>
      </c>
      <c r="AK32" s="645" t="str">
        <f t="shared" si="57"/>
        <v/>
      </c>
      <c r="AL32" s="645" t="str">
        <f t="shared" si="58"/>
        <v/>
      </c>
      <c r="AM32" s="645">
        <f t="shared" si="59"/>
        <v>0</v>
      </c>
      <c r="AN32" s="651">
        <f t="shared" si="60"/>
        <v>0</v>
      </c>
      <c r="AO32" s="623"/>
      <c r="AP32" s="632" t="str">
        <f t="shared" si="47"/>
        <v/>
      </c>
      <c r="AQ32" s="633" t="str">
        <f>IF(AC32=$V$3,IF(VLOOKUP(C32,[1]List1!$A:$E,5,FALSE)=0,1,VLOOKUP(C32,[1]List1!$A:$E,5,FALSE)),"")</f>
        <v/>
      </c>
      <c r="AR32" s="625" t="str">
        <f t="shared" si="48"/>
        <v/>
      </c>
      <c r="AS32" s="634" t="str">
        <f t="shared" si="49"/>
        <v/>
      </c>
      <c r="AT32" s="635" t="str">
        <f t="shared" si="50"/>
        <v/>
      </c>
      <c r="AU32" s="636" t="e">
        <f t="shared" si="51"/>
        <v>#N/A</v>
      </c>
      <c r="AV32" s="637" t="e">
        <f t="shared" si="52"/>
        <v>#N/A</v>
      </c>
      <c r="AX32" s="625">
        <f>IF(AND('General price list'!$J32="F4",'General price list'!$AB32+0&gt;0),1,0)</f>
        <v>0</v>
      </c>
      <c r="AY32" s="625">
        <f t="shared" si="53"/>
        <v>1</v>
      </c>
      <c r="AZ32" s="625">
        <f t="shared" si="54"/>
        <v>1</v>
      </c>
    </row>
    <row r="33" spans="1:52" ht="15" customHeight="1">
      <c r="A33" s="621" t="str">
        <f>Kat.!C33</f>
        <v/>
      </c>
      <c r="B33" s="566">
        <f>IF(AND('General price list'!$J33="F4",$AI$1=FALSE),0,IF(AC33="SKLADEM",1,IF(AC33=$V$3,1,0)))</f>
        <v>0</v>
      </c>
      <c r="C33" s="641" t="s">
        <v>12441</v>
      </c>
      <c r="D33" s="568" t="s">
        <v>12492</v>
      </c>
      <c r="E33" s="762" t="s">
        <v>12623</v>
      </c>
      <c r="F33" s="772">
        <f>IFERROR(VLOOKUP(C33,[2]List1!$A:$D,3,FALSE),"NEUVEDENO!")</f>
        <v>27</v>
      </c>
      <c r="G33" s="769">
        <f t="shared" si="24"/>
        <v>27</v>
      </c>
      <c r="H33" s="766">
        <f t="shared" si="25"/>
        <v>1.1469205184080744</v>
      </c>
      <c r="I33" s="764">
        <f>IFERROR(VLOOKUP(C33,[2]List1!$A:$D,4,FALSE),"NEUVEDENO!")</f>
        <v>100</v>
      </c>
      <c r="J33" s="732" t="s">
        <v>19</v>
      </c>
      <c r="K33" s="569">
        <v>4</v>
      </c>
      <c r="L33" s="569" t="s">
        <v>10961</v>
      </c>
      <c r="M33" s="569" t="s">
        <v>21</v>
      </c>
      <c r="N33" s="569">
        <f>IFERROR(VLOOKUP(C33,[3]List1!$A:$D,4,FALSE),"N/A!")</f>
        <v>3.2447999999999998E-2</v>
      </c>
      <c r="O33" s="569">
        <f>IFERROR(VLOOKUP(C33,[3]List1!$A:$D,3,FALSE),"N/A!")</f>
        <v>5000</v>
      </c>
      <c r="P33" s="569">
        <f>IFERROR(VLOOKUP(C33,[3]List1!$A:$D,2,FALSE),"N/A!")</f>
        <v>7200</v>
      </c>
      <c r="Q33" s="569" t="s">
        <v>15065</v>
      </c>
      <c r="R33" s="569"/>
      <c r="S33" s="569"/>
      <c r="T33" s="569"/>
      <c r="U33" s="569"/>
      <c r="V33" s="569"/>
      <c r="W33" s="569" t="str">
        <f>IFERROR(IF(AND($AB33&gt;=0.1*$AA33,MOD($AB33,$AA33)&gt;=($AA33-(0.1*$AA33))),IF($W$17=$AF$1,"Zvažte možnost doobjednání ještě "&amp;Tabulka1[[#This Row],[VKPAL]]-MOD(AB33,AA33)&amp;" VK do plné palety.",VLOOKUP("Zvažte možnost doobjednání ještě ",Jazyky_ceník!A:Q,MATCH($W$17,Jazyky_ceník!$A$1:$Q$1,0),FALSE)&amp;Tabulka1[[#This Row],[VKPAL]]-MOD(AB33,AA33)&amp;VLOOKUP(" VK do plné palety.",Jazyky_ceník!A:Q,MATCH($W$17,Jazyky_ceník!$A$1:$Q$1,0),FALSE)),IFERROR(IF(AND(NOT(MOD($AB33,$AA33)=0),$AB33&gt;=0.9*$AA33,MOD($AB33,$AA33)&lt;=0.1*$AA33),IF($W$17=$AF$1,"Zvažte možnost optimalizace objednaného množství podle počtu VK na paletě ==&gt;",VLOOKUP("Zvažte možnost optimalizace objednaného množství podle počtu VK na paletě ==&gt;",Jazyky_ceník!A:Q,MATCH($W$17,Jazyky_ceník!$A$1:$Q$1,0),FALSE)),VLOOKUP('General price list'!$C33,Popisy!A:M,MATCH($W$17,Popisy!$A$7:$M$7,0),FALSE)),"---------------")),IFERROR(VLOOKUP('General price list'!$C33,Popisy!A:M,MATCH($W$17,Popisy!$A$7:$M$7,0),FALSE),"---------------"))</f>
        <v>práskající granule</v>
      </c>
      <c r="X33" s="569" t="str">
        <f t="shared" si="26"/>
        <v/>
      </c>
      <c r="Y33" s="569" t="str">
        <f t="shared" si="27"/>
        <v/>
      </c>
      <c r="Z33" s="569" t="str">
        <f>HYPERLINK("https://www.klasekpyrotechnics.cz/dp1m_1")</f>
        <v>https://www.klasekpyrotechnics.cz/dp1m_1</v>
      </c>
      <c r="AA33" s="569" t="str">
        <f>IFERROR(IF(VLOOKUP(C33,[4]List1!$A:$D,4,FALSE)=0,"",VLOOKUP(C33,[4]List1!$A:$D,4,FALSE)),"")</f>
        <v/>
      </c>
      <c r="AB33" s="565"/>
      <c r="AC33" s="570" t="str">
        <f>IFERROR(IF(VLOOKUP(C33,[1]List1!$A:$D,2,FALSE)="VYPRODÁNO",$V$9,IF(VLOOKUP(C33,[1]List1!$A:$D,2,FALSE)="DOCHÁZÍ",$V$3,VLOOKUP(C33,[1]List1!$A:$D,2,FALSE))),"OFFLINE!")</f>
        <v>31.08.2026</v>
      </c>
      <c r="AD33" s="570" t="str">
        <f ca="1">IF(AP33="NE",$V$10,IF(AC33=$V$3,IF(AQ33&lt;1,$V$8,$V$2&amp;" "&amp;AQ33&amp;" "&amp;$V$1),IF(AC33="SKLADEM",$V$6,IFERROR(IF(OR(AC33-TODAY()&gt;45,VLOOKUP(C33,[1]List1!$A:$E,4,FALSE)=0),AC33,DAY(AC33)&amp;"."&amp;MONTH(AC33)&amp;"."&amp;YEAR(AC33)&amp;" "&amp;$V$4&amp;VLOOKUP(C33,[1]List1!$A:$E,4,FALSE)&amp;" "&amp;$V$1),AC33))))</f>
        <v>31.08.2026</v>
      </c>
      <c r="AE33" s="581" t="str">
        <f t="shared" ca="1" si="28"/>
        <v>31.08.2026</v>
      </c>
      <c r="AF33" s="584">
        <f t="shared" si="29"/>
        <v>0</v>
      </c>
      <c r="AG33" s="585">
        <f t="shared" si="30"/>
        <v>0</v>
      </c>
      <c r="AH33" s="583">
        <f t="shared" si="31"/>
        <v>0</v>
      </c>
      <c r="AI33" s="582">
        <f t="shared" si="55"/>
        <v>0</v>
      </c>
      <c r="AJ33" s="569">
        <f t="shared" si="56"/>
        <v>0</v>
      </c>
      <c r="AK33" s="569" t="str">
        <f t="shared" si="57"/>
        <v/>
      </c>
      <c r="AL33" s="569" t="str">
        <f t="shared" si="58"/>
        <v/>
      </c>
      <c r="AM33" s="569">
        <f t="shared" si="59"/>
        <v>0</v>
      </c>
      <c r="AN33" s="581">
        <f t="shared" si="60"/>
        <v>0</v>
      </c>
      <c r="AO33" s="623"/>
      <c r="AP33" s="632" t="str">
        <f t="shared" si="47"/>
        <v/>
      </c>
      <c r="AQ33" s="633" t="str">
        <f>IF(AC33=$V$3,IF(VLOOKUP(C33,[1]List1!$A:$E,5,FALSE)=0,1,VLOOKUP(C33,[1]List1!$A:$E,5,FALSE)),"")</f>
        <v/>
      </c>
      <c r="AR33" s="625" t="str">
        <f t="shared" si="48"/>
        <v/>
      </c>
      <c r="AS33" s="634" t="str">
        <f t="shared" si="49"/>
        <v/>
      </c>
      <c r="AT33" s="625" t="str">
        <f t="shared" si="50"/>
        <v/>
      </c>
      <c r="AU33" s="638" t="e">
        <f t="shared" si="51"/>
        <v>#N/A</v>
      </c>
      <c r="AV33" s="625" t="e">
        <f t="shared" si="52"/>
        <v>#N/A</v>
      </c>
      <c r="AX33" s="625">
        <f>IF(AND('General price list'!$J33="F4",'General price list'!$AB33+0&gt;0),1,0)</f>
        <v>0</v>
      </c>
      <c r="AY33" s="625">
        <f t="shared" si="53"/>
        <v>1</v>
      </c>
      <c r="AZ33" s="625">
        <f t="shared" si="54"/>
        <v>0</v>
      </c>
    </row>
    <row r="34" spans="1:52" ht="15" customHeight="1">
      <c r="A34" s="639" t="str">
        <f>Kat.!C34</f>
        <v>×</v>
      </c>
      <c r="B34" s="640">
        <f>IF(AND('General price list'!$J34="F4",$AI$1=FALSE),0,IF(AC34="SKLADEM",1,IF(AC34=$V$3,1,0)))</f>
        <v>1</v>
      </c>
      <c r="C34" s="641" t="s">
        <v>37</v>
      </c>
      <c r="D34" s="642" t="s">
        <v>12493</v>
      </c>
      <c r="E34" s="731" t="s">
        <v>38</v>
      </c>
      <c r="F34" s="771">
        <f>IFERROR(VLOOKUP(C34,[2]List1!$A:$D,3,FALSE),"NEUVEDENO!")</f>
        <v>663</v>
      </c>
      <c r="G34" s="768">
        <f t="shared" si="24"/>
        <v>663</v>
      </c>
      <c r="H34" s="765">
        <f t="shared" si="25"/>
        <v>28.163270507576048</v>
      </c>
      <c r="I34" s="644">
        <f>IFERROR(VLOOKUP(C34,[2]List1!$A:$D,4,FALSE),"NEUVEDENO!")</f>
        <v>4</v>
      </c>
      <c r="J34" s="733" t="s">
        <v>19</v>
      </c>
      <c r="K34" s="645" t="s">
        <v>20</v>
      </c>
      <c r="L34" s="645" t="s">
        <v>10960</v>
      </c>
      <c r="M34" s="645" t="s">
        <v>21</v>
      </c>
      <c r="N34" s="645">
        <f>IFERROR(VLOOKUP(C34,[3]List1!$A:$D,4,FALSE),"N/A!")</f>
        <v>1.990625E-2</v>
      </c>
      <c r="O34" s="645">
        <f>IFERROR(VLOOKUP(C34,[3]List1!$A:$D,3,FALSE),"N/A!")</f>
        <v>2112</v>
      </c>
      <c r="P34" s="645">
        <f>IFERROR(VLOOKUP(C34,[3]List1!$A:$D,2,FALSE),"N/A!")</f>
        <v>3200</v>
      </c>
      <c r="Q34" s="645" t="s">
        <v>11750</v>
      </c>
      <c r="R34" s="645" t="s">
        <v>11238</v>
      </c>
      <c r="S34" s="645"/>
      <c r="T34" s="645"/>
      <c r="U34" s="645"/>
      <c r="V34" s="645"/>
      <c r="W34" s="645" t="str">
        <f>IFERROR(IF(AND($AB34&gt;=0.1*$AA34,MOD($AB34,$AA34)&gt;=($AA34-(0.1*$AA34))),IF($W$17=$AF$1,"Zvažte možnost doobjednání ještě "&amp;Tabulka1[[#This Row],[VKPAL]]-MOD(AB34,AA34)&amp;" VK do plné palety.",VLOOKUP("Zvažte možnost doobjednání ještě ",Jazyky_ceník!A:Q,MATCH($W$17,Jazyky_ceník!$A$1:$Q$1,0),FALSE)&amp;Tabulka1[[#This Row],[VKPAL]]-MOD(AB34,AA34)&amp;VLOOKUP(" VK do plné palety.",Jazyky_ceník!A:Q,MATCH($W$17,Jazyky_ceník!$A$1:$Q$1,0),FALSE)),IFERROR(IF(AND(NOT(MOD($AB34,$AA34)=0),$AB34&gt;=0.9*$AA34,MOD($AB34,$AA34)&lt;=0.1*$AA34),IF($W$17=$AF$1,"Zvažte možnost optimalizace objednaného množství podle počtu VK na paletě ==&gt;",VLOOKUP("Zvažte možnost optimalizace objednaného množství podle počtu VK na paletě ==&gt;",Jazyky_ceník!A:Q,MATCH($W$17,Jazyky_ceník!$A$1:$Q$1,0),FALSE)),VLOOKUP('General price list'!$C34,Popisy!A:M,MATCH($W$17,Popisy!$A$7:$M$7,0),FALSE)),"---------------")),IFERROR(VLOOKUP('General price list'!$C34,Popisy!A:M,MATCH($W$17,Popisy!$A$7:$M$7,0),FALSE),"---------------"))</f>
        <v xml:space="preserve">práskající efekt, délka 20cm, </v>
      </c>
      <c r="X34" s="645" t="str">
        <f t="shared" si="26"/>
        <v/>
      </c>
      <c r="Y34" s="645" t="str">
        <f t="shared" si="27"/>
        <v/>
      </c>
      <c r="Z34" s="645" t="str">
        <f>HYPERLINK("https://www.klasekpyrotechnics.cz/dp1z20")</f>
        <v>https://www.klasekpyrotechnics.cz/dp1z20</v>
      </c>
      <c r="AA34" s="645">
        <f>IFERROR(IF(VLOOKUP(C34,[4]List1!$A:$D,4,FALSE)=0,"",VLOOKUP(C34,[4]List1!$A:$D,4,FALSE)),"")</f>
        <v>54</v>
      </c>
      <c r="AB34" s="646"/>
      <c r="AC34" s="647" t="str">
        <f>IFERROR(IF(VLOOKUP(C34,[1]List1!$A:$D,2,FALSE)="VYPRODÁNO",$V$9,IF(VLOOKUP(C34,[1]List1!$A:$D,2,FALSE)="DOCHÁZÍ",$V$3,VLOOKUP(C34,[1]List1!$A:$D,2,FALSE))),"OFFLINE!")</f>
        <v>SKLADEM</v>
      </c>
      <c r="AD34" s="647" t="str">
        <f ca="1">IF(AP34="NE",$V$10,IF(AC34=$V$3,IF(AQ34&lt;1,$V$8,$V$2&amp;" "&amp;AQ34&amp;" "&amp;$V$1),IF(AC34="SKLADEM",$V$6,IFERROR(IF(OR(AC34-TODAY()&gt;45,VLOOKUP(C34,[1]List1!$A:$E,4,FALSE)=0),AC34,DAY(AC34)&amp;"."&amp;MONTH(AC34)&amp;"."&amp;YEAR(AC34)&amp;" "&amp;$V$4&amp;VLOOKUP(C34,[1]List1!$A:$E,4,FALSE)&amp;" "&amp;$V$1),AC34))))</f>
        <v>SKLADEM</v>
      </c>
      <c r="AE34" s="645" t="str">
        <f t="shared" ca="1" si="28"/>
        <v>SKLADEM</v>
      </c>
      <c r="AF34" s="648">
        <f t="shared" si="29"/>
        <v>0</v>
      </c>
      <c r="AG34" s="649">
        <f t="shared" si="30"/>
        <v>0</v>
      </c>
      <c r="AH34" s="650">
        <f t="shared" si="31"/>
        <v>0</v>
      </c>
      <c r="AI34" s="645">
        <f t="shared" si="55"/>
        <v>0</v>
      </c>
      <c r="AJ34" s="645">
        <f t="shared" si="56"/>
        <v>0</v>
      </c>
      <c r="AK34" s="645" t="str">
        <f t="shared" si="57"/>
        <v/>
      </c>
      <c r="AL34" s="645" t="str">
        <f t="shared" si="58"/>
        <v/>
      </c>
      <c r="AM34" s="645">
        <f t="shared" si="59"/>
        <v>0</v>
      </c>
      <c r="AN34" s="651">
        <f t="shared" si="60"/>
        <v>0</v>
      </c>
      <c r="AO34" s="623"/>
      <c r="AP34" s="632" t="str">
        <f t="shared" si="47"/>
        <v/>
      </c>
      <c r="AQ34" s="633" t="str">
        <f>IF(AC34=$V$3,IF(VLOOKUP(C34,[1]List1!$A:$E,5,FALSE)=0,1,VLOOKUP(C34,[1]List1!$A:$E,5,FALSE)),"")</f>
        <v/>
      </c>
      <c r="AR34" s="625" t="str">
        <f t="shared" si="48"/>
        <v/>
      </c>
      <c r="AS34" s="634" t="str">
        <f t="shared" si="49"/>
        <v/>
      </c>
      <c r="AT34" s="635" t="str">
        <f t="shared" si="50"/>
        <v/>
      </c>
      <c r="AU34" s="636" t="e">
        <f t="shared" si="51"/>
        <v>#N/A</v>
      </c>
      <c r="AV34" s="637" t="e">
        <f t="shared" si="52"/>
        <v>#N/A</v>
      </c>
      <c r="AX34" s="625">
        <f>IF(AND('General price list'!$J34="F4",'General price list'!$AB34+0&gt;0),1,0)</f>
        <v>0</v>
      </c>
      <c r="AY34" s="625">
        <f t="shared" si="53"/>
        <v>1</v>
      </c>
      <c r="AZ34" s="625">
        <f t="shared" si="54"/>
        <v>1</v>
      </c>
    </row>
    <row r="35" spans="1:52" ht="15" customHeight="1">
      <c r="A35" s="621" t="str">
        <f>Kat.!C35</f>
        <v/>
      </c>
      <c r="B35" s="566">
        <f>IF(AND('General price list'!$J35="F4",$AI$1=FALSE),0,IF(AC35="SKLADEM",1,IF(AC35=$V$3,1,0)))</f>
        <v>0</v>
      </c>
      <c r="C35" s="641" t="s">
        <v>12442</v>
      </c>
      <c r="D35" s="568" t="s">
        <v>12494</v>
      </c>
      <c r="E35" s="762" t="s">
        <v>15064</v>
      </c>
      <c r="F35" s="772">
        <f>IFERROR(VLOOKUP(C35,[2]List1!$A:$D,3,FALSE),"NEUVEDENO!")</f>
        <v>54</v>
      </c>
      <c r="G35" s="769">
        <f t="shared" si="24"/>
        <v>54</v>
      </c>
      <c r="H35" s="766">
        <f t="shared" si="25"/>
        <v>2.2938410368161488</v>
      </c>
      <c r="I35" s="764">
        <f>IFERROR(VLOOKUP(C35,[2]List1!$A:$D,4,FALSE),"NEUVEDENO!")</f>
        <v>75</v>
      </c>
      <c r="J35" s="732" t="s">
        <v>19</v>
      </c>
      <c r="K35" s="569">
        <v>4</v>
      </c>
      <c r="L35" s="569" t="s">
        <v>10960</v>
      </c>
      <c r="M35" s="569" t="s">
        <v>21</v>
      </c>
      <c r="N35" s="569">
        <f>IFERROR(VLOOKUP(C35,[3]List1!$A:$D,4,FALSE),"N/A!")</f>
        <v>1.990625E-2</v>
      </c>
      <c r="O35" s="569">
        <f>IFERROR(VLOOKUP(C35,[3]List1!$A:$D,3,FALSE),"N/A!")</f>
        <v>3300</v>
      </c>
      <c r="P35" s="569">
        <f>IFERROR(VLOOKUP(C35,[3]List1!$A:$D,2,FALSE),"N/A!")</f>
        <v>5000</v>
      </c>
      <c r="Q35" s="569" t="s">
        <v>15066</v>
      </c>
      <c r="R35" s="569"/>
      <c r="S35" s="569"/>
      <c r="T35" s="569"/>
      <c r="U35" s="569"/>
      <c r="V35" s="569"/>
      <c r="W35" s="569" t="str">
        <f>IFERROR(IF(AND($AB35&gt;=0.1*$AA35,MOD($AB35,$AA35)&gt;=($AA35-(0.1*$AA35))),IF($W$17=$AF$1,"Zvažte možnost doobjednání ještě "&amp;Tabulka1[[#This Row],[VKPAL]]-MOD(AB35,AA35)&amp;" VK do plné palety.",VLOOKUP("Zvažte možnost doobjednání ještě ",Jazyky_ceník!A:Q,MATCH($W$17,Jazyky_ceník!$A$1:$Q$1,0),FALSE)&amp;Tabulka1[[#This Row],[VKPAL]]-MOD(AB35,AA35)&amp;VLOOKUP(" VK do plné palety.",Jazyky_ceník!A:Q,MATCH($W$17,Jazyky_ceník!$A$1:$Q$1,0),FALSE)),IFERROR(IF(AND(NOT(MOD($AB35,$AA35)=0),$AB35&gt;=0.9*$AA35,MOD($AB35,$AA35)&lt;=0.1*$AA35),IF($W$17=$AF$1,"Zvažte možnost optimalizace objednaného množství podle počtu VK na paletě ==&gt;",VLOOKUP("Zvažte možnost optimalizace objednaného množství podle počtu VK na paletě ==&gt;",Jazyky_ceník!A:Q,MATCH($W$17,Jazyky_ceník!$A$1:$Q$1,0),FALSE)),VLOOKUP('General price list'!$C35,Popisy!A:M,MATCH($W$17,Popisy!$A$7:$M$7,0),FALSE)),"---------------")),IFERROR(VLOOKUP('General price list'!$C35,Popisy!A:M,MATCH($W$17,Popisy!$A$7:$M$7,0),FALSE),"---------------"))</f>
        <v xml:space="preserve">práskající efekt, délka 20cm, </v>
      </c>
      <c r="X35" s="569" t="str">
        <f t="shared" si="26"/>
        <v/>
      </c>
      <c r="Y35" s="569" t="str">
        <f t="shared" si="27"/>
        <v/>
      </c>
      <c r="Z35" s="569" t="str">
        <f>HYPERLINK("https://www.klasekpyrotechnics.cz/dp1z20_1")</f>
        <v>https://www.klasekpyrotechnics.cz/dp1z20_1</v>
      </c>
      <c r="AA35" s="569" t="str">
        <f>IFERROR(IF(VLOOKUP(C35,[4]List1!$A:$D,4,FALSE)=0,"",VLOOKUP(C35,[4]List1!$A:$D,4,FALSE)),"")</f>
        <v/>
      </c>
      <c r="AB35" s="565"/>
      <c r="AC35" s="570" t="str">
        <f>IFERROR(IF(VLOOKUP(C35,[1]List1!$A:$D,2,FALSE)="VYPRODÁNO",$V$9,IF(VLOOKUP(C35,[1]List1!$A:$D,2,FALSE)="DOCHÁZÍ",$V$3,VLOOKUP(C35,[1]List1!$A:$D,2,FALSE))),"OFFLINE!")</f>
        <v>31.08.2026</v>
      </c>
      <c r="AD35" s="570" t="str">
        <f ca="1">IF(AP35="NE",$V$10,IF(AC35=$V$3,IF(AQ35&lt;1,$V$8,$V$2&amp;" "&amp;AQ35&amp;" "&amp;$V$1),IF(AC35="SKLADEM",$V$6,IFERROR(IF(OR(AC35-TODAY()&gt;45,VLOOKUP(C35,[1]List1!$A:$E,4,FALSE)=0),AC35,DAY(AC35)&amp;"."&amp;MONTH(AC35)&amp;"."&amp;YEAR(AC35)&amp;" "&amp;$V$4&amp;VLOOKUP(C35,[1]List1!$A:$E,4,FALSE)&amp;" "&amp;$V$1),AC35))))</f>
        <v>31.08.2026</v>
      </c>
      <c r="AE35" s="581" t="str">
        <f t="shared" ca="1" si="28"/>
        <v>31.08.2026</v>
      </c>
      <c r="AF35" s="584">
        <f t="shared" si="29"/>
        <v>0</v>
      </c>
      <c r="AG35" s="585">
        <f t="shared" si="30"/>
        <v>0</v>
      </c>
      <c r="AH35" s="583">
        <f t="shared" si="31"/>
        <v>0</v>
      </c>
      <c r="AI35" s="582">
        <f t="shared" si="55"/>
        <v>0</v>
      </c>
      <c r="AJ35" s="569">
        <f t="shared" si="56"/>
        <v>0</v>
      </c>
      <c r="AK35" s="569" t="str">
        <f t="shared" si="57"/>
        <v/>
      </c>
      <c r="AL35" s="569" t="str">
        <f t="shared" si="58"/>
        <v/>
      </c>
      <c r="AM35" s="569">
        <f t="shared" si="59"/>
        <v>0</v>
      </c>
      <c r="AN35" s="581">
        <f t="shared" si="60"/>
        <v>0</v>
      </c>
      <c r="AO35" s="623"/>
      <c r="AP35" s="632" t="str">
        <f t="shared" si="47"/>
        <v/>
      </c>
      <c r="AQ35" s="633" t="str">
        <f>IF(AC35=$V$3,IF(VLOOKUP(C35,[1]List1!$A:$E,5,FALSE)=0,1,VLOOKUP(C35,[1]List1!$A:$E,5,FALSE)),"")</f>
        <v/>
      </c>
      <c r="AR35" s="625" t="str">
        <f t="shared" si="48"/>
        <v/>
      </c>
      <c r="AS35" s="634" t="str">
        <f t="shared" si="49"/>
        <v/>
      </c>
      <c r="AT35" s="625" t="str">
        <f t="shared" si="50"/>
        <v/>
      </c>
      <c r="AU35" s="638" t="e">
        <f t="shared" si="51"/>
        <v>#N/A</v>
      </c>
      <c r="AV35" s="625" t="e">
        <f t="shared" si="52"/>
        <v>#N/A</v>
      </c>
      <c r="AX35" s="625">
        <f>IF(AND('General price list'!$J35="F4",'General price list'!$AB35+0&gt;0),1,0)</f>
        <v>0</v>
      </c>
      <c r="AY35" s="625">
        <f t="shared" si="53"/>
        <v>1</v>
      </c>
      <c r="AZ35" s="625">
        <f t="shared" si="54"/>
        <v>0</v>
      </c>
    </row>
    <row r="36" spans="1:52" ht="15" customHeight="1">
      <c r="A36" s="639" t="str">
        <f>Kat.!C36</f>
        <v/>
      </c>
      <c r="B36" s="640">
        <f>IF(AND('General price list'!$J36="F4",$AI$1=FALSE),0,IF(AC36="SKLADEM",1,IF(AC36=$V$3,1,0)))</f>
        <v>0</v>
      </c>
      <c r="C36" s="567" t="s">
        <v>9468</v>
      </c>
      <c r="D36" s="642" t="s">
        <v>11689</v>
      </c>
      <c r="E36" s="731" t="s">
        <v>12624</v>
      </c>
      <c r="F36" s="771">
        <f>IFERROR(VLOOKUP(C36,[2]List1!$A:$D,3,FALSE),"NEUVEDENO!")</f>
        <v>85</v>
      </c>
      <c r="G36" s="768">
        <f t="shared" si="24"/>
        <v>85</v>
      </c>
      <c r="H36" s="765">
        <f t="shared" si="25"/>
        <v>3.6106757060994932</v>
      </c>
      <c r="I36" s="644">
        <f>IFERROR(VLOOKUP(C36,[2]List1!$A:$D,4,FALSE),"NEUVEDENO!")</f>
        <v>30</v>
      </c>
      <c r="J36" s="733" t="s">
        <v>19</v>
      </c>
      <c r="K36" s="645">
        <v>5</v>
      </c>
      <c r="L36" s="645" t="s">
        <v>20</v>
      </c>
      <c r="M36" s="645" t="s">
        <v>21</v>
      </c>
      <c r="N36" s="645">
        <f>IFERROR(VLOOKUP(C36,[3]List1!$A:$D,4,FALSE),"N/A!")</f>
        <v>1.5911999999999999E-2</v>
      </c>
      <c r="O36" s="645">
        <f>IFERROR(VLOOKUP(C36,[3]List1!$A:$D,3,FALSE),"N/A!")</f>
        <v>792.00000000000011</v>
      </c>
      <c r="P36" s="645">
        <f>IFERROR(VLOOKUP(C36,[3]List1!$A:$D,2,FALSE),"N/A!")</f>
        <v>4000</v>
      </c>
      <c r="Q36" s="645" t="s">
        <v>15065</v>
      </c>
      <c r="R36" s="645"/>
      <c r="S36" s="645"/>
      <c r="T36" s="645">
        <v>5</v>
      </c>
      <c r="U36" s="645"/>
      <c r="V36" s="645"/>
      <c r="W36" s="645" t="str">
        <f>IFERROR(IF(AND($AB36&gt;=0.1*$AA36,MOD($AB36,$AA36)&gt;=($AA36-(0.1*$AA36))),IF($W$17=$AF$1,"Zvažte možnost doobjednání ještě "&amp;Tabulka1[[#This Row],[VKPAL]]-MOD(AB36,AA36)&amp;" VK do plné palety.",VLOOKUP("Zvažte možnost doobjednání ještě ",Jazyky_ceník!A:Q,MATCH($W$17,Jazyky_ceník!$A$1:$Q$1,0),FALSE)&amp;Tabulka1[[#This Row],[VKPAL]]-MOD(AB36,AA36)&amp;VLOOKUP(" VK do plné palety.",Jazyky_ceník!A:Q,MATCH($W$17,Jazyky_ceník!$A$1:$Q$1,0),FALSE)),IFERROR(IF(AND(NOT(MOD($AB36,$AA36)=0),$AB36&gt;=0.9*$AA36,MOD($AB36,$AA36)&lt;=0.1*$AA36),IF($W$17=$AF$1,"Zvažte možnost optimalizace objednaného množství podle počtu VK na paletě ==&gt;",VLOOKUP("Zvažte možnost optimalizace objednaného množství podle počtu VK na paletě ==&gt;",Jazyky_ceník!A:Q,MATCH($W$17,Jazyky_ceník!$A$1:$Q$1,0),FALSE)),VLOOKUP('General price list'!$C36,Popisy!A:M,MATCH($W$17,Popisy!$A$7:$M$7,0),FALSE)),"---------------")),IFERROR(VLOOKUP('General price list'!$C36,Popisy!A:M,MATCH($W$17,Popisy!$A$7:$M$7,0),FALSE),"---------------"))</f>
        <v>práskající granule</v>
      </c>
      <c r="X36" s="645" t="str">
        <f t="shared" si="26"/>
        <v/>
      </c>
      <c r="Y36" s="645" t="str">
        <f t="shared" si="27"/>
        <v/>
      </c>
      <c r="Z36" s="645" t="str">
        <f>HYPERLINK("https://www.klasekpyrotechnics.cz/cdk1")</f>
        <v>https://www.klasekpyrotechnics.cz/cdk1</v>
      </c>
      <c r="AA36" s="645">
        <f>IFERROR(IF(VLOOKUP(C36,[4]List1!$A:$D,4,FALSE)=0,"",VLOOKUP(C36,[4]List1!$A:$D,4,FALSE)),"")</f>
        <v>90</v>
      </c>
      <c r="AB36" s="646"/>
      <c r="AC36" s="647" t="str">
        <f>IFERROR(IF(VLOOKUP(C36,[1]List1!$A:$D,2,FALSE)="VYPRODÁNO",$V$9,IF(VLOOKUP(C36,[1]List1!$A:$D,2,FALSE)="DOCHÁZÍ",$V$3,VLOOKUP(C36,[1]List1!$A:$D,2,FALSE))),"OFFLINE!")</f>
        <v>31.08.2026</v>
      </c>
      <c r="AD36" s="647" t="str">
        <f ca="1">IF(AP36="NE",$V$10,IF(AC36=$V$3,IF(AQ36&lt;1,$V$8,$V$2&amp;" "&amp;AQ36&amp;" "&amp;$V$1),IF(AC36="SKLADEM",$V$6,IFERROR(IF(OR(AC36-TODAY()&gt;45,VLOOKUP(C36,[1]List1!$A:$E,4,FALSE)=0),AC36,DAY(AC36)&amp;"."&amp;MONTH(AC36)&amp;"."&amp;YEAR(AC36)&amp;" "&amp;$V$4&amp;VLOOKUP(C36,[1]List1!$A:$E,4,FALSE)&amp;" "&amp;$V$1),AC36))))</f>
        <v>31.08.2026</v>
      </c>
      <c r="AE36" s="645" t="str">
        <f t="shared" ca="1" si="28"/>
        <v>31.08.2026</v>
      </c>
      <c r="AF36" s="648">
        <f t="shared" si="29"/>
        <v>0</v>
      </c>
      <c r="AG36" s="649">
        <f t="shared" si="30"/>
        <v>0</v>
      </c>
      <c r="AH36" s="650">
        <f t="shared" si="31"/>
        <v>0</v>
      </c>
      <c r="AI36" s="645">
        <f t="shared" si="55"/>
        <v>0</v>
      </c>
      <c r="AJ36" s="645">
        <f t="shared" si="56"/>
        <v>0</v>
      </c>
      <c r="AK36" s="645" t="str">
        <f t="shared" si="57"/>
        <v/>
      </c>
      <c r="AL36" s="645" t="str">
        <f t="shared" si="58"/>
        <v/>
      </c>
      <c r="AM36" s="645">
        <f t="shared" si="59"/>
        <v>0</v>
      </c>
      <c r="AN36" s="651">
        <f t="shared" si="60"/>
        <v>0</v>
      </c>
      <c r="AO36" s="623"/>
      <c r="AP36" s="632" t="str">
        <f t="shared" si="47"/>
        <v/>
      </c>
      <c r="AQ36" s="633" t="str">
        <f>IF(AC36=$V$3,IF(VLOOKUP(C36,[1]List1!$A:$E,5,FALSE)=0,1,VLOOKUP(C36,[1]List1!$A:$E,5,FALSE)),"")</f>
        <v/>
      </c>
      <c r="AR36" s="625" t="str">
        <f t="shared" si="48"/>
        <v/>
      </c>
      <c r="AS36" s="634" t="str">
        <f t="shared" si="49"/>
        <v/>
      </c>
      <c r="AT36" s="635" t="str">
        <f t="shared" si="50"/>
        <v/>
      </c>
      <c r="AU36" s="636" t="e">
        <f t="shared" si="51"/>
        <v>#N/A</v>
      </c>
      <c r="AV36" s="637" t="e">
        <f t="shared" si="52"/>
        <v>#N/A</v>
      </c>
      <c r="AX36" s="625">
        <f>IF(AND('General price list'!$J36="F4",'General price list'!$AB36+0&gt;0),1,0)</f>
        <v>0</v>
      </c>
      <c r="AY36" s="625">
        <f t="shared" si="53"/>
        <v>1</v>
      </c>
      <c r="AZ36" s="625">
        <f t="shared" si="54"/>
        <v>0</v>
      </c>
    </row>
    <row r="37" spans="1:52" ht="15.75" customHeight="1">
      <c r="A37" s="621" t="str">
        <f>Kat.!C37</f>
        <v>×</v>
      </c>
      <c r="B37" s="566">
        <f>IF(AND('General price list'!$J37="F4",$AI$1=FALSE),0,IF(AC37="SKLADEM",1,IF(AC37=$V$3,1,0)))</f>
        <v>1</v>
      </c>
      <c r="C37" s="567" t="s">
        <v>9469</v>
      </c>
      <c r="D37" s="568" t="s">
        <v>11689</v>
      </c>
      <c r="E37" s="762" t="s">
        <v>11184</v>
      </c>
      <c r="F37" s="772">
        <f>IFERROR(VLOOKUP(C37,[2]List1!$A:$D,3,FALSE),"NEUVEDENO!")</f>
        <v>133</v>
      </c>
      <c r="G37" s="769">
        <f t="shared" si="24"/>
        <v>133</v>
      </c>
      <c r="H37" s="766">
        <f t="shared" si="25"/>
        <v>5.6496455166027362</v>
      </c>
      <c r="I37" s="764">
        <f>IFERROR(VLOOKUP(C37,[2]List1!$A:$D,4,FALSE),"NEUVEDENO!")</f>
        <v>20</v>
      </c>
      <c r="J37" s="732" t="s">
        <v>19</v>
      </c>
      <c r="K37" s="569" t="s">
        <v>20</v>
      </c>
      <c r="L37" s="569" t="s">
        <v>20</v>
      </c>
      <c r="M37" s="569" t="s">
        <v>21</v>
      </c>
      <c r="N37" s="569">
        <f>IFERROR(VLOOKUP(C37,[3]List1!$A:$D,4,FALSE),"N/A!")</f>
        <v>1.5911999999999999E-2</v>
      </c>
      <c r="O37" s="569">
        <f>IFERROR(VLOOKUP(C37,[3]List1!$A:$D,3,FALSE),"N/A!")</f>
        <v>768.00000000000011</v>
      </c>
      <c r="P37" s="569">
        <f>IFERROR(VLOOKUP(C37,[3]List1!$A:$D,2,FALSE),"N/A!")</f>
        <v>4000</v>
      </c>
      <c r="Q37" s="569" t="s">
        <v>11233</v>
      </c>
      <c r="R37" s="569" t="s">
        <v>11240</v>
      </c>
      <c r="S37" s="569"/>
      <c r="T37" s="569">
        <v>5</v>
      </c>
      <c r="U37" s="569"/>
      <c r="V37" s="569"/>
      <c r="W37" s="569" t="str">
        <f>IFERROR(IF(AND($AB37&gt;=0.1*$AA37,MOD($AB37,$AA37)&gt;=($AA37-(0.1*$AA37))),IF($W$17=$AF$1,"Zvažte možnost doobjednání ještě "&amp;Tabulka1[[#This Row],[VKPAL]]-MOD(AB37,AA37)&amp;" VK do plné palety.",VLOOKUP("Zvažte možnost doobjednání ještě ",Jazyky_ceník!A:Q,MATCH($W$17,Jazyky_ceník!$A$1:$Q$1,0),FALSE)&amp;Tabulka1[[#This Row],[VKPAL]]-MOD(AB37,AA37)&amp;VLOOKUP(" VK do plné palety.",Jazyky_ceník!A:Q,MATCH($W$17,Jazyky_ceník!$A$1:$Q$1,0),FALSE)),IFERROR(IF(AND(NOT(MOD($AB37,$AA37)=0),$AB37&gt;=0.9*$AA37,MOD($AB37,$AA37)&lt;=0.1*$AA37),IF($W$17=$AF$1,"Zvažte možnost optimalizace objednaného množství podle počtu VK na paletě ==&gt;",VLOOKUP("Zvažte možnost optimalizace objednaného množství podle počtu VK na paletě ==&gt;",Jazyky_ceník!A:Q,MATCH($W$17,Jazyky_ceník!$A$1:$Q$1,0),FALSE)),VLOOKUP('General price list'!$C37,Popisy!A:M,MATCH($W$17,Popisy!$A$7:$M$7,0),FALSE)),"---------------")),IFERROR(VLOOKUP('General price list'!$C37,Popisy!A:M,MATCH($W$17,Popisy!$A$7:$M$7,0),FALSE),"---------------"))</f>
        <v>práskající granule</v>
      </c>
      <c r="X37" s="569" t="str">
        <f t="shared" si="26"/>
        <v/>
      </c>
      <c r="Y37" s="569" t="str">
        <f t="shared" si="27"/>
        <v/>
      </c>
      <c r="Z37" s="569" t="str">
        <f>HYPERLINK("https://www.klasekpyrotechnics.cz/cdk1_1")</f>
        <v>https://www.klasekpyrotechnics.cz/cdk1_1</v>
      </c>
      <c r="AA37" s="569">
        <f>IFERROR(IF(VLOOKUP(C37,[4]List1!$A:$D,4,FALSE)=0,"",VLOOKUP(C37,[4]List1!$A:$D,4,FALSE)),"")</f>
        <v>90</v>
      </c>
      <c r="AB37" s="565"/>
      <c r="AC37" s="570" t="str">
        <f>IFERROR(IF(VLOOKUP(C37,[1]List1!$A:$D,2,FALSE)="VYPRODÁNO",$V$9,IF(VLOOKUP(C37,[1]List1!$A:$D,2,FALSE)="DOCHÁZÍ",$V$3,VLOOKUP(C37,[1]List1!$A:$D,2,FALSE))),"OFFLINE!")</f>
        <v>SKLADEM</v>
      </c>
      <c r="AD37" s="570" t="str">
        <f ca="1">IF(AP37="NE",$V$10,IF(AC37=$V$3,IF(AQ37&lt;1,$V$8,$V$2&amp;" "&amp;AQ37&amp;" "&amp;$V$1),IF(AC37="SKLADEM",$V$6,IFERROR(IF(OR(AC37-TODAY()&gt;45,VLOOKUP(C37,[1]List1!$A:$E,4,FALSE)=0),AC37,DAY(AC37)&amp;"."&amp;MONTH(AC37)&amp;"."&amp;YEAR(AC37)&amp;" "&amp;$V$4&amp;VLOOKUP(C37,[1]List1!$A:$E,4,FALSE)&amp;" "&amp;$V$1),AC37))))</f>
        <v>SKLADEM</v>
      </c>
      <c r="AE37" s="581" t="str">
        <f t="shared" ca="1" si="28"/>
        <v>SKLADEM</v>
      </c>
      <c r="AF37" s="584">
        <f t="shared" si="29"/>
        <v>0</v>
      </c>
      <c r="AG37" s="585">
        <f t="shared" si="30"/>
        <v>0</v>
      </c>
      <c r="AH37" s="583">
        <f t="shared" si="31"/>
        <v>0</v>
      </c>
      <c r="AI37" s="582">
        <f t="shared" si="55"/>
        <v>0</v>
      </c>
      <c r="AJ37" s="569">
        <f t="shared" si="56"/>
        <v>0</v>
      </c>
      <c r="AK37" s="569" t="str">
        <f t="shared" si="57"/>
        <v/>
      </c>
      <c r="AL37" s="569" t="str">
        <f t="shared" si="58"/>
        <v/>
      </c>
      <c r="AM37" s="569">
        <f t="shared" si="59"/>
        <v>0</v>
      </c>
      <c r="AN37" s="581">
        <f t="shared" si="60"/>
        <v>0</v>
      </c>
      <c r="AO37" s="623"/>
      <c r="AP37" s="625" t="str">
        <f t="shared" si="47"/>
        <v/>
      </c>
      <c r="AQ37" s="625" t="str">
        <f>IF(AC37=$V$3,IF(VLOOKUP(C37,[1]List1!$A:$E,5,FALSE)=0,1,VLOOKUP(C37,[1]List1!$A:$E,5,FALSE)),"")</f>
        <v/>
      </c>
      <c r="AR37" s="629" t="str">
        <f t="shared" si="48"/>
        <v/>
      </c>
      <c r="AS37" s="630" t="str">
        <f t="shared" si="49"/>
        <v/>
      </c>
      <c r="AT37" s="625" t="str">
        <f t="shared" si="50"/>
        <v/>
      </c>
      <c r="AU37" s="625" t="e">
        <f t="shared" si="51"/>
        <v>#N/A</v>
      </c>
      <c r="AV37" s="625" t="e">
        <f t="shared" si="52"/>
        <v>#N/A</v>
      </c>
      <c r="AW37" s="631"/>
      <c r="AX37" s="631">
        <f>IF(AND('General price list'!$J37="F4",'General price list'!$AB37+0&gt;0),1,0)</f>
        <v>0</v>
      </c>
      <c r="AY37" s="631">
        <f t="shared" si="53"/>
        <v>1</v>
      </c>
      <c r="AZ37" s="631">
        <f t="shared" si="54"/>
        <v>0</v>
      </c>
    </row>
    <row r="38" spans="1:52" ht="15" customHeight="1">
      <c r="A38" s="639" t="str">
        <f>Kat.!C38</f>
        <v/>
      </c>
      <c r="B38" s="640">
        <f>IF(AND('General price list'!$J38="F4",$AI$1=FALSE),0,IF(AC38="SKLADEM",1,IF(AC38=$V$3,1,0)))</f>
        <v>0</v>
      </c>
      <c r="C38" s="641" t="s">
        <v>89</v>
      </c>
      <c r="D38" s="642" t="s">
        <v>12495</v>
      </c>
      <c r="E38" s="731" t="s">
        <v>12625</v>
      </c>
      <c r="F38" s="773">
        <f>IFERROR(VLOOKUP(C38,[2]List1!$A:$D,3,FALSE),"NEUVEDENO!")</f>
        <v>42</v>
      </c>
      <c r="G38" s="770">
        <f t="shared" si="24"/>
        <v>42</v>
      </c>
      <c r="H38" s="767">
        <f t="shared" si="25"/>
        <v>1.7840985841903378</v>
      </c>
      <c r="I38" s="644">
        <f>IFERROR(VLOOKUP(C38,[2]List1!$A:$D,4,FALSE),"NEUVEDENO!")</f>
        <v>36</v>
      </c>
      <c r="J38" s="733" t="s">
        <v>19</v>
      </c>
      <c r="K38" s="645">
        <v>4</v>
      </c>
      <c r="L38" s="645" t="s">
        <v>20</v>
      </c>
      <c r="M38" s="645" t="s">
        <v>21</v>
      </c>
      <c r="N38" s="645">
        <f>IFERROR(VLOOKUP(C38,[3]List1!$A:$D,4,FALSE),"N/A!")</f>
        <v>7.3514999999999995E-3</v>
      </c>
      <c r="O38" s="645">
        <f>IFERROR(VLOOKUP(C38,[3]List1!$A:$D,3,FALSE),"N/A!")</f>
        <v>360</v>
      </c>
      <c r="P38" s="645">
        <f>IFERROR(VLOOKUP(C38,[3]List1!$A:$D,2,FALSE),"N/A!")</f>
        <v>2000</v>
      </c>
      <c r="Q38" s="645" t="s">
        <v>15067</v>
      </c>
      <c r="R38" s="645"/>
      <c r="S38" s="645"/>
      <c r="T38" s="645"/>
      <c r="U38" s="645"/>
      <c r="V38" s="645"/>
      <c r="W38" s="645" t="str">
        <f>IFERROR(IF(AND($AB38&gt;=0.1*$AA38,MOD($AB38,$AA38)&gt;=($AA38-(0.1*$AA38))),IF($W$17=$AF$1,"Zvažte možnost doobjednání ještě "&amp;Tabulka1[[#This Row],[VKPAL]]-MOD(AB38,AA38)&amp;" VK do plné palety.",VLOOKUP("Zvažte možnost doobjednání ještě ",Jazyky_ceník!A:Q,MATCH($W$17,Jazyky_ceník!$A$1:$Q$1,0),FALSE)&amp;Tabulka1[[#This Row],[VKPAL]]-MOD(AB38,AA38)&amp;VLOOKUP(" VK do plné palety.",Jazyky_ceník!A:Q,MATCH($W$17,Jazyky_ceník!$A$1:$Q$1,0),FALSE)),IFERROR(IF(AND(NOT(MOD($AB38,$AA38)=0),$AB38&gt;=0.9*$AA38,MOD($AB38,$AA38)&lt;=0.1*$AA38),IF($W$17=$AF$1,"Zvažte možnost optimalizace objednaného množství podle počtu VK na paletě ==&gt;",VLOOKUP("Zvažte možnost optimalizace objednaného množství podle počtu VK na paletě ==&gt;",Jazyky_ceník!A:Q,MATCH($W$17,Jazyky_ceník!$A$1:$Q$1,0),FALSE)),VLOOKUP('General price list'!$C38,Popisy!A:M,MATCH($W$17,Popisy!$A$7:$M$7,0),FALSE)),"---------------")),IFERROR(VLOOKUP('General price list'!$C38,Popisy!A:M,MATCH($W$17,Popisy!$A$7:$M$7,0),FALSE),"---------------"))</f>
        <v>bouchající provázky</v>
      </c>
      <c r="X38" s="645" t="str">
        <f t="shared" si="26"/>
        <v/>
      </c>
      <c r="Y38" s="645" t="str">
        <f t="shared" si="27"/>
        <v/>
      </c>
      <c r="Z38" s="645" t="str">
        <f>HYPERLINK("https://www.klasekpyrotechnics.cz/dp1bp")</f>
        <v>https://www.klasekpyrotechnics.cz/dp1bp</v>
      </c>
      <c r="AA38" s="645" t="str">
        <f>IFERROR(IF(VLOOKUP(C38,[4]List1!$A:$D,4,FALSE)=0,"",VLOOKUP(C38,[4]List1!$A:$D,4,FALSE)),"")</f>
        <v>144</v>
      </c>
      <c r="AB38" s="646"/>
      <c r="AC38" s="647" t="str">
        <f>IFERROR(IF(VLOOKUP(C38,[1]List1!$A:$D,2,FALSE)="VYPRODÁNO",$V$9,IF(VLOOKUP(C38,[1]List1!$A:$D,2,FALSE)="DOCHÁZÍ",$V$3,VLOOKUP(C38,[1]List1!$A:$D,2,FALSE))),"OFFLINE!")</f>
        <v>31.08.2026</v>
      </c>
      <c r="AD38" s="647" t="str">
        <f ca="1">IF(AP38="NE",$V$10,IF(AC38=$V$3,IF(AQ38&lt;1,$V$8,$V$2&amp;" "&amp;AQ38&amp;" "&amp;$V$1),IF(AC38="SKLADEM",$V$6,IFERROR(IF(OR(AC38-TODAY()&gt;45,VLOOKUP(C38,[1]List1!$A:$E,4,FALSE)=0),AC38,DAY(AC38)&amp;"."&amp;MONTH(AC38)&amp;"."&amp;YEAR(AC38)&amp;" "&amp;$V$4&amp;VLOOKUP(C38,[1]List1!$A:$E,4,FALSE)&amp;" "&amp;$V$1),AC38))))</f>
        <v>31.08.2026</v>
      </c>
      <c r="AE38" s="645" t="str">
        <f t="shared" ca="1" si="28"/>
        <v>31.08.2026</v>
      </c>
      <c r="AF38" s="648">
        <f t="shared" si="29"/>
        <v>0</v>
      </c>
      <c r="AG38" s="649">
        <f t="shared" si="30"/>
        <v>0</v>
      </c>
      <c r="AH38" s="650">
        <f t="shared" si="31"/>
        <v>0</v>
      </c>
      <c r="AI38" s="645">
        <f t="shared" si="55"/>
        <v>0</v>
      </c>
      <c r="AJ38" s="645">
        <f t="shared" si="56"/>
        <v>0</v>
      </c>
      <c r="AK38" s="645" t="str">
        <f t="shared" si="57"/>
        <v/>
      </c>
      <c r="AL38" s="645" t="str">
        <f t="shared" si="58"/>
        <v/>
      </c>
      <c r="AM38" s="645">
        <f t="shared" si="59"/>
        <v>0</v>
      </c>
      <c r="AN38" s="651">
        <f t="shared" si="60"/>
        <v>0</v>
      </c>
      <c r="AO38" s="623"/>
      <c r="AP38" s="632" t="str">
        <f t="shared" si="47"/>
        <v/>
      </c>
      <c r="AQ38" s="633" t="str">
        <f>IF(AC38=$V$3,IF(VLOOKUP(C38,[1]List1!$A:$E,5,FALSE)=0,1,VLOOKUP(C38,[1]List1!$A:$E,5,FALSE)),"")</f>
        <v/>
      </c>
      <c r="AR38" s="625" t="str">
        <f t="shared" si="48"/>
        <v/>
      </c>
      <c r="AS38" s="634" t="str">
        <f t="shared" si="49"/>
        <v/>
      </c>
      <c r="AT38" s="625" t="str">
        <f t="shared" si="50"/>
        <v/>
      </c>
      <c r="AU38" s="638" t="e">
        <f t="shared" si="51"/>
        <v>#N/A</v>
      </c>
      <c r="AV38" s="625" t="e">
        <f t="shared" si="52"/>
        <v>#N/A</v>
      </c>
      <c r="AX38" s="625">
        <f>IF(AND('General price list'!$J38="F4",'General price list'!$AB38+0&gt;0),1,0)</f>
        <v>0</v>
      </c>
      <c r="AY38" s="625">
        <f t="shared" si="53"/>
        <v>1</v>
      </c>
      <c r="AZ38" s="625">
        <f t="shared" si="54"/>
        <v>0</v>
      </c>
    </row>
    <row r="39" spans="1:52" ht="15" customHeight="1">
      <c r="A39" s="751" t="str">
        <f>Kat.!C39</f>
        <v xml:space="preserve">           Kat. F1 – Rotující výrobky</v>
      </c>
      <c r="B39" s="751"/>
      <c r="C39" s="751"/>
      <c r="D39" s="751"/>
      <c r="E39" s="751"/>
      <c r="F39" s="751"/>
      <c r="G39" s="751"/>
      <c r="H39" s="751"/>
      <c r="I39" s="752"/>
      <c r="J39" s="752"/>
      <c r="K39" s="752" t="s">
        <v>20</v>
      </c>
      <c r="L39" s="753" t="s">
        <v>2818</v>
      </c>
      <c r="M39" s="752"/>
      <c r="N39" s="752"/>
      <c r="O39" s="752"/>
      <c r="P39" s="752"/>
      <c r="Q39" s="752"/>
      <c r="R39" s="752"/>
      <c r="S39" s="752"/>
      <c r="T39" s="752"/>
      <c r="U39" s="752"/>
      <c r="V39" s="752"/>
      <c r="W39" s="752"/>
      <c r="X39" s="752"/>
      <c r="Y39" s="752"/>
      <c r="Z39" s="752" t="s">
        <v>20</v>
      </c>
      <c r="AA39" s="752"/>
      <c r="AB39" s="752"/>
      <c r="AC39" s="754"/>
      <c r="AD39" s="752"/>
      <c r="AE39" s="752"/>
      <c r="AF39" s="752"/>
      <c r="AG39" s="752"/>
      <c r="AH39" s="752"/>
      <c r="AI39" s="752"/>
      <c r="AJ39" s="752"/>
      <c r="AK39" s="752"/>
      <c r="AL39" s="752"/>
      <c r="AM39" s="752"/>
      <c r="AN39" s="752"/>
      <c r="AO39" s="623"/>
      <c r="AP39" s="632" t="str">
        <f t="shared" ref="AP39:AP62" si="61">IF($AL$3=1,IF(Y39=AB39,"","NE"),IF(AR39=$V$10,"NE",""))</f>
        <v/>
      </c>
      <c r="AQ39" s="633" t="str">
        <f>IF(AC39=$V$3,IF(VLOOKUP(C39,[1]List1!$A:$E,5,FALSE)=0,1,VLOOKUP(C39,[1]List1!$A:$E,5,FALSE)),"")</f>
        <v/>
      </c>
      <c r="AR39" s="625" t="str">
        <f t="shared" ref="AR39:AR62" si="62">IF($AL$3=1,"",IF(OR(AB39&lt;&gt;"",AB39&lt;&gt;0),IF(OR(AC39=$V$6,AC39=$V$3,AC39=$V$9),$V$10,""),""))</f>
        <v/>
      </c>
      <c r="AS39" s="634" t="str">
        <f t="shared" ref="AS39:AS62" si="63">IF(AT39&lt;&gt;"","X","")</f>
        <v/>
      </c>
      <c r="AT39" s="625" t="str">
        <f t="shared" ref="AT39:AT62" si="64">IF(AND($AL$3=2,AR39="",AB39&lt;&gt;""),AD39,"")</f>
        <v/>
      </c>
      <c r="AU39" s="638" t="e">
        <f t="shared" ref="AU39:AU62" si="65">IF(AT39=$AS$21,AB39,"")</f>
        <v>#N/A</v>
      </c>
      <c r="AV39" s="625" t="e">
        <f t="shared" ref="AV39:AV62" si="66">IF(OR(AB39="",AND(AT39&lt;&gt;"",AU39&lt;&gt;"")),"",$V$10)</f>
        <v>#N/A</v>
      </c>
      <c r="AX39" s="625">
        <f>IF(AND('General price list'!$J39="F4",'General price list'!$AB39+0&gt;0),1,0)</f>
        <v>0</v>
      </c>
      <c r="AY39" s="625">
        <f t="shared" ref="AY39:AY62" si="67">IFERROR(FIND(VLOOKUP($AC$7,$AD$1:$AE$12,2,FALSE),Q39,1),0)</f>
        <v>0</v>
      </c>
      <c r="AZ39" s="625">
        <f t="shared" ref="AZ39:AZ62" si="68">IFERROR(FIND(VLOOKUP($AC$7,$AD$1:$AE$12,2,FALSE),R39,1),0)</f>
        <v>0</v>
      </c>
    </row>
    <row r="40" spans="1:52" ht="15" customHeight="1">
      <c r="A40" s="639" t="str">
        <f>Kat.!C40</f>
        <v/>
      </c>
      <c r="B40" s="640">
        <f>IF(AND('General price list'!$J40="F4",$AI$1=FALSE),0,IF(AC40="SKLADEM",1,IF(AC40=$V$3,1,0)))</f>
        <v>1</v>
      </c>
      <c r="C40" s="641" t="s">
        <v>31</v>
      </c>
      <c r="D40" s="642" t="s">
        <v>32</v>
      </c>
      <c r="E40" s="643" t="s">
        <v>12626</v>
      </c>
      <c r="F40" s="771">
        <f>IFERROR(VLOOKUP(C40,[2]List1!$A:$D,3,FALSE),"NEUVEDENO!")</f>
        <v>45</v>
      </c>
      <c r="G40" s="768">
        <f t="shared" ref="G40:G44" si="69">IF($W$17=$AF$8,ROUND((F40)/$F$17,2),(F40)*$B$19)</f>
        <v>45</v>
      </c>
      <c r="H40" s="765">
        <f t="shared" ref="H40:H44" si="70">IF($W$17=$AF$8,G40*$B$19,G40/$F$17)</f>
        <v>1.9115341973467905</v>
      </c>
      <c r="I40" s="644">
        <f>IFERROR(VLOOKUP(C40,[2]List1!$A:$D,4,FALSE),"NEUVEDENO!")</f>
        <v>45</v>
      </c>
      <c r="J40" s="733" t="s">
        <v>19</v>
      </c>
      <c r="K40" s="645" t="s">
        <v>20</v>
      </c>
      <c r="L40" s="645" t="s">
        <v>10959</v>
      </c>
      <c r="M40" s="645" t="s">
        <v>21</v>
      </c>
      <c r="N40" s="645">
        <f>IFERROR(VLOOKUP(C40,[3]List1!$A:$D,4,FALSE),"N/A!")</f>
        <v>1.6363349999999999E-2</v>
      </c>
      <c r="O40" s="645">
        <f>IFERROR(VLOOKUP(C40,[3]List1!$A:$D,3,FALSE),"N/A!")</f>
        <v>2835</v>
      </c>
      <c r="P40" s="645">
        <f>IFERROR(VLOOKUP(C40,[3]List1!$A:$D,2,FALSE),"N/A!")</f>
        <v>8500</v>
      </c>
      <c r="Q40" s="645" t="s">
        <v>11235</v>
      </c>
      <c r="R40" s="645"/>
      <c r="S40" s="645"/>
      <c r="T40" s="645">
        <v>7</v>
      </c>
      <c r="U40" s="645"/>
      <c r="V40" s="645"/>
      <c r="W40" s="645" t="str">
        <f>IFERROR(IF(AND($AB40&gt;=0.1*$AA40,MOD($AB40,$AA40)&gt;=($AA40-(0.1*$AA40))),IF($W$17=$AF$1,"Zvažte možnost doobjednání ještě "&amp;Tabulka1[[#This Row],[VKPAL]]-MOD(AB40,AA40)&amp;" VK do plné palety.",VLOOKUP("Zvažte možnost doobjednání ještě ",Jazyky_ceník!A:Q,MATCH($W$17,Jazyky_ceník!$A$1:$Q$1,0),FALSE)&amp;Tabulka1[[#This Row],[VKPAL]]-MOD(AB40,AA40)&amp;VLOOKUP(" VK do plné palety.",Jazyky_ceník!A:Q,MATCH($W$17,Jazyky_ceník!$A$1:$Q$1,0),FALSE)),IFERROR(IF(AND(NOT(MOD($AB40,$AA40)=0),$AB40&gt;=0.9*$AA40,MOD($AB40,$AA40)&lt;=0.1*$AA40),IF($W$17=$AF$1,"Zvažte možnost optimalizace objednaného množství podle počtu VK na paletě ==&gt;",VLOOKUP("Zvažte možnost optimalizace objednaného množství podle počtu VK na paletě ==&gt;",Jazyky_ceník!A:Q,MATCH($W$17,Jazyky_ceník!$A$1:$Q$1,0),FALSE)),VLOOKUP('General price list'!$C40,Popisy!A:M,MATCH($W$17,Popisy!$A$7:$M$7,0),FALSE)),"---------------")),IFERROR(VLOOKUP('General price list'!$C40,Popisy!A:M,MATCH($W$17,Popisy!$A$7:$M$7,0),FALSE),"---------------"))</f>
        <v>rotující červeno-práskající efekt - přízemní efekt</v>
      </c>
      <c r="X40" s="645" t="str">
        <f t="shared" ref="X40:X44" si="71">IF(AB40&lt;0.0001,"",AB40)</f>
        <v/>
      </c>
      <c r="Y40" s="645" t="str">
        <f t="shared" ref="Y40:Y44" si="72">IF($AL$3=2,IF(OR(AB40&lt;&gt;"",AB40&lt;&gt;0),AU40,""),IF(C40="","",IF(AB40&lt;0.0001,"",IF(B40=0,"",IF(AQ40&lt;AB40,"",AB40)))))</f>
        <v/>
      </c>
      <c r="Z40" s="645" t="str">
        <f>HYPERLINK("https://www.klasekpyrotechnics.cz/dp1t")</f>
        <v>https://www.klasekpyrotechnics.cz/dp1t</v>
      </c>
      <c r="AA40" s="645">
        <f>IFERROR(IF(VLOOKUP(C40,[4]List1!$A:$D,4,FALSE)=0,"",VLOOKUP(C40,[4]List1!$A:$D,4,FALSE)),"")</f>
        <v>80</v>
      </c>
      <c r="AB40" s="646"/>
      <c r="AC40" s="647" t="str">
        <f>IFERROR(IF(VLOOKUP(C40,[1]List1!$A:$D,2,FALSE)="VYPRODÁNO",$V$9,IF(VLOOKUP(C40,[1]List1!$A:$D,2,FALSE)="DOCHÁZÍ",$V$3,VLOOKUP(C40,[1]List1!$A:$D,2,FALSE))),"OFFLINE!")</f>
        <v>SKLADEM</v>
      </c>
      <c r="AD40" s="647" t="str">
        <f ca="1">IF(AP40="NE",$V$10,IF(AC40=$V$3,IF(AQ40&lt;1,$V$8,$V$2&amp;" "&amp;AQ40&amp;" "&amp;$V$1),IF(AC40="SKLADEM",$V$6,IFERROR(IF(OR(AC40-TODAY()&gt;45,VLOOKUP(C40,[1]List1!$A:$E,4,FALSE)=0),AC40,DAY(AC40)&amp;"."&amp;MONTH(AC40)&amp;"."&amp;YEAR(AC40)&amp;" "&amp;$V$4&amp;VLOOKUP(C40,[1]List1!$A:$E,4,FALSE)&amp;" "&amp;$V$1),AC40))))</f>
        <v>SKLADEM</v>
      </c>
      <c r="AE40" s="645" t="str">
        <f t="shared" ref="AE40:AE44" ca="1" si="73">IFERROR(IF(AV40&lt;&gt;"",AV40,AD40),AD40)</f>
        <v>SKLADEM</v>
      </c>
      <c r="AF40" s="648">
        <f t="shared" ref="AF40:AF44" si="74">IFERROR(IF(AB40=Y40,G40*I40*Y40,0),0)</f>
        <v>0</v>
      </c>
      <c r="AG40" s="649">
        <f t="shared" ref="AG40:AG44" si="75">IF($W$17=$AF$8,AH40*1.23,AF40*1.21)</f>
        <v>0</v>
      </c>
      <c r="AH40" s="650">
        <f t="shared" ref="AH40:AH44" si="76">IFERROR(IF(Y40=AB40,H40*I40*Y40,0),0)</f>
        <v>0</v>
      </c>
      <c r="AI40" s="645">
        <f t="shared" ref="AI40:AI44" si="77">IFERROR(IF(Y40=AB40,(P40*Y40)/1000,1),0)</f>
        <v>0</v>
      </c>
      <c r="AJ40" s="645">
        <f t="shared" ref="AJ40:AJ44" si="78">IFERROR(IF(Y40=AB40,N40*Y40,0.1),0)</f>
        <v>0</v>
      </c>
      <c r="AK40" s="645" t="str">
        <f t="shared" ref="AK40:AK44" si="79">IFERROR(IF(Y40=AB40,IF(M40="1.1G",(O40/1000)*Y40,""),""),0)</f>
        <v/>
      </c>
      <c r="AL40" s="645" t="str">
        <f t="shared" ref="AL40:AL44" si="80">IFERROR(IF(Y40=AB40,IF(M40="1.3G",(O40/1000)*AB40,""),""),0)</f>
        <v/>
      </c>
      <c r="AM40" s="645">
        <f t="shared" ref="AM40:AM44" si="81">IFERROR(IF(Y40=AB40,IF(M40="1.4G",(O40/1000)*AB40,""),""),0)</f>
        <v>0</v>
      </c>
      <c r="AN40" s="651">
        <f t="shared" ref="AN40:AN44" si="82">SUM(AK40:AM40)</f>
        <v>0</v>
      </c>
      <c r="AO40" s="623"/>
      <c r="AP40" s="632" t="str">
        <f t="shared" si="61"/>
        <v/>
      </c>
      <c r="AQ40" s="633" t="str">
        <f>IF(AC40=$V$3,IF(VLOOKUP(C40,[1]List1!$A:$E,5,FALSE)=0,1,VLOOKUP(C40,[1]List1!$A:$E,5,FALSE)),"")</f>
        <v/>
      </c>
      <c r="AR40" s="625" t="str">
        <f t="shared" si="62"/>
        <v/>
      </c>
      <c r="AS40" s="634" t="str">
        <f t="shared" si="63"/>
        <v/>
      </c>
      <c r="AT40" s="625" t="str">
        <f t="shared" si="64"/>
        <v/>
      </c>
      <c r="AU40" s="638" t="e">
        <f t="shared" si="65"/>
        <v>#N/A</v>
      </c>
      <c r="AV40" s="625" t="e">
        <f t="shared" si="66"/>
        <v>#N/A</v>
      </c>
      <c r="AX40" s="625">
        <f>IF(AND('General price list'!$J40="F4",'General price list'!$AB40+0&gt;0),1,0)</f>
        <v>0</v>
      </c>
      <c r="AY40" s="625">
        <f t="shared" si="67"/>
        <v>1</v>
      </c>
      <c r="AZ40" s="625">
        <f t="shared" si="68"/>
        <v>0</v>
      </c>
    </row>
    <row r="41" spans="1:52" ht="15" customHeight="1">
      <c r="A41" s="621" t="str">
        <f>Kat.!C41</f>
        <v/>
      </c>
      <c r="B41" s="566">
        <f>IF(AND('General price list'!$J41="F4",$AI$1=FALSE),0,IF(AC41="SKLADEM",1,IF(AC41=$V$3,1,0)))</f>
        <v>1</v>
      </c>
      <c r="C41" s="567" t="s">
        <v>17</v>
      </c>
      <c r="D41" s="568" t="s">
        <v>18</v>
      </c>
      <c r="E41" s="763" t="s">
        <v>12627</v>
      </c>
      <c r="F41" s="772">
        <f>IFERROR(VLOOKUP(C41,[2]List1!$A:$D,3,FALSE),"NEUVEDENO!")</f>
        <v>60</v>
      </c>
      <c r="G41" s="769">
        <f t="shared" si="69"/>
        <v>60</v>
      </c>
      <c r="H41" s="766">
        <f t="shared" si="70"/>
        <v>2.5487122631290542</v>
      </c>
      <c r="I41" s="764">
        <f>IFERROR(VLOOKUP(C41,[2]List1!$A:$D,4,FALSE),"NEUVEDENO!")</f>
        <v>75</v>
      </c>
      <c r="J41" s="732" t="s">
        <v>19</v>
      </c>
      <c r="K41" s="569" t="s">
        <v>20</v>
      </c>
      <c r="L41" s="569" t="s">
        <v>10958</v>
      </c>
      <c r="M41" s="569" t="s">
        <v>21</v>
      </c>
      <c r="N41" s="569">
        <f>IFERROR(VLOOKUP(C41,[3]List1!$A:$D,4,FALSE),"N/A!")</f>
        <v>1.9558499999999999E-2</v>
      </c>
      <c r="O41" s="569">
        <f>IFERROR(VLOOKUP(C41,[3]List1!$A:$D,3,FALSE),"N/A!")</f>
        <v>2400</v>
      </c>
      <c r="P41" s="569">
        <f>IFERROR(VLOOKUP(C41,[3]List1!$A:$D,2,FALSE),"N/A!")</f>
        <v>6500</v>
      </c>
      <c r="Q41" s="569" t="s">
        <v>12762</v>
      </c>
      <c r="R41" s="569"/>
      <c r="S41" s="569"/>
      <c r="T41" s="569">
        <v>7</v>
      </c>
      <c r="U41" s="569"/>
      <c r="V41" s="569"/>
      <c r="W41" s="569" t="str">
        <f>IFERROR(IF(AND($AB41&gt;=0.1*$AA41,MOD($AB41,$AA41)&gt;=($AA41-(0.1*$AA41))),IF($W$17=$AF$1,"Zvažte možnost doobjednání ještě "&amp;Tabulka1[[#This Row],[VKPAL]]-MOD(AB41,AA41)&amp;" VK do plné palety.",VLOOKUP("Zvažte možnost doobjednání ještě ",Jazyky_ceník!A:Q,MATCH($W$17,Jazyky_ceník!$A$1:$Q$1,0),FALSE)&amp;Tabulka1[[#This Row],[VKPAL]]-MOD(AB41,AA41)&amp;VLOOKUP(" VK do plné palety.",Jazyky_ceník!A:Q,MATCH($W$17,Jazyky_ceník!$A$1:$Q$1,0),FALSE)),IFERROR(IF(AND(NOT(MOD($AB41,$AA41)=0),$AB41&gt;=0.9*$AA41,MOD($AB41,$AA41)&lt;=0.1*$AA41),IF($W$17=$AF$1,"Zvažte možnost optimalizace objednaného množství podle počtu VK na paletě ==&gt;",VLOOKUP("Zvažte možnost optimalizace objednaného množství podle počtu VK na paletě ==&gt;",Jazyky_ceník!A:Q,MATCH($W$17,Jazyky_ceník!$A$1:$Q$1,0),FALSE)),VLOOKUP('General price list'!$C41,Popisy!A:M,MATCH($W$17,Popisy!$A$7:$M$7,0),FALSE)),"---------------")),IFERROR(VLOOKUP('General price list'!$C41,Popisy!A:M,MATCH($W$17,Popisy!$A$7:$M$7,0),FALSE),"---------------"))</f>
        <v>rotující červeno/zeleno/žlutý efekt-přízemní efekt</v>
      </c>
      <c r="X41" s="569" t="str">
        <f t="shared" si="71"/>
        <v/>
      </c>
      <c r="Y41" s="569" t="str">
        <f t="shared" si="72"/>
        <v/>
      </c>
      <c r="Z41" s="569" t="str">
        <f>HYPERLINK("https://www.klasekpyrotechnics.cz/dp1r")</f>
        <v>https://www.klasekpyrotechnics.cz/dp1r</v>
      </c>
      <c r="AA41" s="569" t="str">
        <f>IFERROR(IF(VLOOKUP(C41,[4]List1!$A:$D,4,FALSE)=0,"",VLOOKUP(C41,[4]List1!$A:$D,4,FALSE)),"")</f>
        <v>32</v>
      </c>
      <c r="AB41" s="565"/>
      <c r="AC41" s="570" t="str">
        <f>IFERROR(IF(VLOOKUP(C41,[1]List1!$A:$D,2,FALSE)="VYPRODÁNO",$V$9,IF(VLOOKUP(C41,[1]List1!$A:$D,2,FALSE)="DOCHÁZÍ",$V$3,VLOOKUP(C41,[1]List1!$A:$D,2,FALSE))),"OFFLINE!")</f>
        <v>SKLADEM</v>
      </c>
      <c r="AD41" s="570" t="str">
        <f ca="1">IF(AP41="NE",$V$10,IF(AC41=$V$3,IF(AQ41&lt;1,$V$8,$V$2&amp;" "&amp;AQ41&amp;" "&amp;$V$1),IF(AC41="SKLADEM",$V$6,IFERROR(IF(OR(AC41-TODAY()&gt;45,VLOOKUP(C41,[1]List1!$A:$E,4,FALSE)=0),AC41,DAY(AC41)&amp;"."&amp;MONTH(AC41)&amp;"."&amp;YEAR(AC41)&amp;" "&amp;$V$4&amp;VLOOKUP(C41,[1]List1!$A:$E,4,FALSE)&amp;" "&amp;$V$1),AC41))))</f>
        <v>SKLADEM</v>
      </c>
      <c r="AE41" s="581" t="str">
        <f t="shared" ca="1" si="73"/>
        <v>SKLADEM</v>
      </c>
      <c r="AF41" s="584">
        <f t="shared" si="74"/>
        <v>0</v>
      </c>
      <c r="AG41" s="585">
        <f t="shared" si="75"/>
        <v>0</v>
      </c>
      <c r="AH41" s="583">
        <f t="shared" si="76"/>
        <v>0</v>
      </c>
      <c r="AI41" s="582">
        <f t="shared" si="77"/>
        <v>0</v>
      </c>
      <c r="AJ41" s="569">
        <f t="shared" si="78"/>
        <v>0</v>
      </c>
      <c r="AK41" s="569" t="str">
        <f t="shared" si="79"/>
        <v/>
      </c>
      <c r="AL41" s="569" t="str">
        <f t="shared" si="80"/>
        <v/>
      </c>
      <c r="AM41" s="569">
        <f t="shared" si="81"/>
        <v>0</v>
      </c>
      <c r="AN41" s="581">
        <f t="shared" si="82"/>
        <v>0</v>
      </c>
      <c r="AO41" s="623"/>
      <c r="AP41" s="632" t="str">
        <f t="shared" si="61"/>
        <v/>
      </c>
      <c r="AQ41" s="633" t="str">
        <f>IF(AC41=$V$3,IF(VLOOKUP(C41,[1]List1!$A:$E,5,FALSE)=0,1,VLOOKUP(C41,[1]List1!$A:$E,5,FALSE)),"")</f>
        <v/>
      </c>
      <c r="AR41" s="625" t="str">
        <f t="shared" si="62"/>
        <v/>
      </c>
      <c r="AS41" s="634" t="str">
        <f t="shared" si="63"/>
        <v/>
      </c>
      <c r="AT41" s="625" t="str">
        <f t="shared" si="64"/>
        <v/>
      </c>
      <c r="AU41" s="638" t="e">
        <f t="shared" si="65"/>
        <v>#N/A</v>
      </c>
      <c r="AV41" s="625" t="e">
        <f t="shared" si="66"/>
        <v>#N/A</v>
      </c>
      <c r="AX41" s="625">
        <f>IF(AND('General price list'!$J41="F4",'General price list'!$AB41+0&gt;0),1,0)</f>
        <v>0</v>
      </c>
      <c r="AY41" s="625">
        <f t="shared" si="67"/>
        <v>1</v>
      </c>
      <c r="AZ41" s="625">
        <f t="shared" si="68"/>
        <v>0</v>
      </c>
    </row>
    <row r="42" spans="1:52" ht="15" customHeight="1">
      <c r="A42" s="639" t="str">
        <f>Kat.!C42</f>
        <v/>
      </c>
      <c r="B42" s="640">
        <f>IF(AND('General price list'!$J42="F4",$AI$1=FALSE),0,IF(AC42="SKLADEM",1,IF(AC42=$V$3,1,0)))</f>
        <v>1</v>
      </c>
      <c r="C42" s="641" t="s">
        <v>26</v>
      </c>
      <c r="D42" s="642" t="s">
        <v>27</v>
      </c>
      <c r="E42" s="643" t="s">
        <v>12628</v>
      </c>
      <c r="F42" s="771">
        <f>IFERROR(VLOOKUP(C42,[2]List1!$A:$D,3,FALSE),"NEUVEDENO!")</f>
        <v>32</v>
      </c>
      <c r="G42" s="768">
        <f t="shared" si="69"/>
        <v>32</v>
      </c>
      <c r="H42" s="765">
        <f t="shared" si="70"/>
        <v>1.3593132070021621</v>
      </c>
      <c r="I42" s="644">
        <f>IFERROR(VLOOKUP(C42,[2]List1!$A:$D,4,FALSE),"NEUVEDENO!")</f>
        <v>120</v>
      </c>
      <c r="J42" s="733" t="s">
        <v>19</v>
      </c>
      <c r="K42" s="645" t="s">
        <v>20</v>
      </c>
      <c r="L42" s="645" t="s">
        <v>10958</v>
      </c>
      <c r="M42" s="645" t="s">
        <v>21</v>
      </c>
      <c r="N42" s="645">
        <f>IFERROR(VLOOKUP(C42,[3]List1!$A:$D,4,FALSE),"N/A!")</f>
        <v>3.6424999999999999E-2</v>
      </c>
      <c r="O42" s="645">
        <f>IFERROR(VLOOKUP(C42,[3]List1!$A:$D,3,FALSE),"N/A!")</f>
        <v>2592</v>
      </c>
      <c r="P42" s="645">
        <f>IFERROR(VLOOKUP(C42,[3]List1!$A:$D,2,FALSE),"N/A!")</f>
        <v>7800</v>
      </c>
      <c r="Q42" s="645" t="s">
        <v>11238</v>
      </c>
      <c r="R42" s="645"/>
      <c r="S42" s="645"/>
      <c r="T42" s="645">
        <v>10</v>
      </c>
      <c r="U42" s="645"/>
      <c r="V42" s="645"/>
      <c r="W42" s="645" t="str">
        <f>IFERROR(IF(AND($AB42&gt;=0.1*$AA42,MOD($AB42,$AA42)&gt;=($AA42-(0.1*$AA42))),IF($W$17=$AF$1,"Zvažte možnost doobjednání ještě "&amp;Tabulka1[[#This Row],[VKPAL]]-MOD(AB42,AA42)&amp;" VK do plné palety.",VLOOKUP("Zvažte možnost doobjednání ještě ",Jazyky_ceník!A:Q,MATCH($W$17,Jazyky_ceník!$A$1:$Q$1,0),FALSE)&amp;Tabulka1[[#This Row],[VKPAL]]-MOD(AB42,AA42)&amp;VLOOKUP(" VK do plné palety.",Jazyky_ceník!A:Q,MATCH($W$17,Jazyky_ceník!$A$1:$Q$1,0),FALSE)),IFERROR(IF(AND(NOT(MOD($AB42,$AA42)=0),$AB42&gt;=0.9*$AA42,MOD($AB42,$AA42)&lt;=0.1*$AA42),IF($W$17=$AF$1,"Zvažte možnost optimalizace objednaného množství podle počtu VK na paletě ==&gt;",VLOOKUP("Zvažte možnost optimalizace objednaného množství podle počtu VK na paletě ==&gt;",Jazyky_ceník!A:Q,MATCH($W$17,Jazyky_ceník!$A$1:$Q$1,0),FALSE)),VLOOKUP('General price list'!$C42,Popisy!A:M,MATCH($W$17,Popisy!$A$7:$M$7,0),FALSE)),"---------------")),IFERROR(VLOOKUP('General price list'!$C42,Popisy!A:M,MATCH($W$17,Popisy!$A$7:$M$7,0),FALSE),"---------------"))</f>
        <v>velký rotující červeno/zeleno/žlutý efekt-přízemní efekt</v>
      </c>
      <c r="X42" s="645" t="str">
        <f t="shared" si="71"/>
        <v/>
      </c>
      <c r="Y42" s="645" t="str">
        <f t="shared" si="72"/>
        <v/>
      </c>
      <c r="Z42" s="645" t="str">
        <f>HYPERLINK("https://www.klasekpyrotechnics.cz/dp1vr")</f>
        <v>https://www.klasekpyrotechnics.cz/dp1vr</v>
      </c>
      <c r="AA42" s="645" t="str">
        <f>IFERROR(IF(VLOOKUP(C42,[4]List1!$A:$D,4,FALSE)=0,"",VLOOKUP(C42,[4]List1!$A:$D,4,FALSE)),"")</f>
        <v>30</v>
      </c>
      <c r="AB42" s="646"/>
      <c r="AC42" s="647" t="str">
        <f>IFERROR(IF(VLOOKUP(C42,[1]List1!$A:$D,2,FALSE)="VYPRODÁNO",$V$9,IF(VLOOKUP(C42,[1]List1!$A:$D,2,FALSE)="DOCHÁZÍ",$V$3,VLOOKUP(C42,[1]List1!$A:$D,2,FALSE))),"OFFLINE!")</f>
        <v>SKLADEM</v>
      </c>
      <c r="AD42" s="647" t="str">
        <f ca="1">IF(AP42="NE",$V$10,IF(AC42=$V$3,IF(AQ42&lt;1,$V$8,$V$2&amp;" "&amp;AQ42&amp;" "&amp;$V$1),IF(AC42="SKLADEM",$V$6,IFERROR(IF(OR(AC42-TODAY()&gt;45,VLOOKUP(C42,[1]List1!$A:$E,4,FALSE)=0),AC42,DAY(AC42)&amp;"."&amp;MONTH(AC42)&amp;"."&amp;YEAR(AC42)&amp;" "&amp;$V$4&amp;VLOOKUP(C42,[1]List1!$A:$E,4,FALSE)&amp;" "&amp;$V$1),AC42))))</f>
        <v>SKLADEM</v>
      </c>
      <c r="AE42" s="645" t="str">
        <f t="shared" ca="1" si="73"/>
        <v>SKLADEM</v>
      </c>
      <c r="AF42" s="648">
        <f t="shared" si="74"/>
        <v>0</v>
      </c>
      <c r="AG42" s="649">
        <f t="shared" si="75"/>
        <v>0</v>
      </c>
      <c r="AH42" s="650">
        <f t="shared" si="76"/>
        <v>0</v>
      </c>
      <c r="AI42" s="645">
        <f t="shared" si="77"/>
        <v>0</v>
      </c>
      <c r="AJ42" s="645">
        <f t="shared" si="78"/>
        <v>0</v>
      </c>
      <c r="AK42" s="645" t="str">
        <f t="shared" si="79"/>
        <v/>
      </c>
      <c r="AL42" s="645" t="str">
        <f t="shared" si="80"/>
        <v/>
      </c>
      <c r="AM42" s="645">
        <f t="shared" si="81"/>
        <v>0</v>
      </c>
      <c r="AN42" s="651">
        <f t="shared" si="82"/>
        <v>0</v>
      </c>
      <c r="AO42" s="623"/>
      <c r="AP42" s="632" t="str">
        <f t="shared" si="61"/>
        <v/>
      </c>
      <c r="AQ42" s="633" t="str">
        <f>IF(AC42=$V$3,IF(VLOOKUP(C42,[1]List1!$A:$E,5,FALSE)=0,1,VLOOKUP(C42,[1]List1!$A:$E,5,FALSE)),"")</f>
        <v/>
      </c>
      <c r="AR42" s="625" t="str">
        <f t="shared" si="62"/>
        <v/>
      </c>
      <c r="AS42" s="634" t="str">
        <f t="shared" si="63"/>
        <v/>
      </c>
      <c r="AT42" s="625" t="str">
        <f t="shared" si="64"/>
        <v/>
      </c>
      <c r="AU42" s="638" t="e">
        <f t="shared" si="65"/>
        <v>#N/A</v>
      </c>
      <c r="AV42" s="625" t="e">
        <f t="shared" si="66"/>
        <v>#N/A</v>
      </c>
      <c r="AX42" s="625">
        <f>IF(AND('General price list'!$J42="F4",'General price list'!$AB42+0&gt;0),1,0)</f>
        <v>0</v>
      </c>
      <c r="AY42" s="625">
        <f t="shared" si="67"/>
        <v>1</v>
      </c>
      <c r="AZ42" s="625">
        <f t="shared" si="68"/>
        <v>0</v>
      </c>
    </row>
    <row r="43" spans="1:52" ht="15.75" customHeight="1">
      <c r="A43" s="621" t="str">
        <f>Kat.!C43</f>
        <v>×</v>
      </c>
      <c r="B43" s="566">
        <f>IF(AND('General price list'!$J43="F4",$AI$1=FALSE),0,IF(AC43="SKLADEM",1,IF(AC43=$V$3,1,0)))</f>
        <v>1</v>
      </c>
      <c r="C43" s="567" t="s">
        <v>2214</v>
      </c>
      <c r="D43" s="568" t="s">
        <v>12496</v>
      </c>
      <c r="E43" s="763" t="s">
        <v>12629</v>
      </c>
      <c r="F43" s="772">
        <f>IFERROR(VLOOKUP(C43,[2]List1!$A:$D,3,FALSE),"NEUVEDENO!")</f>
        <v>819</v>
      </c>
      <c r="G43" s="769">
        <f t="shared" si="69"/>
        <v>819</v>
      </c>
      <c r="H43" s="766">
        <f t="shared" si="70"/>
        <v>34.789922391711585</v>
      </c>
      <c r="I43" s="764">
        <f>IFERROR(VLOOKUP(C43,[2]List1!$A:$D,4,FALSE),"NEUVEDENO!")</f>
        <v>6</v>
      </c>
      <c r="J43" s="732" t="s">
        <v>19</v>
      </c>
      <c r="K43" s="569" t="s">
        <v>20</v>
      </c>
      <c r="L43" s="569" t="s">
        <v>20</v>
      </c>
      <c r="M43" s="569" t="s">
        <v>21</v>
      </c>
      <c r="N43" s="569">
        <f>IFERROR(VLOOKUP(C43,[3]List1!$A:$D,4,FALSE),"N/A!")</f>
        <v>4.3428000000000001E-2</v>
      </c>
      <c r="O43" s="569">
        <f>IFERROR(VLOOKUP(C43,[3]List1!$A:$D,3,FALSE),"N/A!")</f>
        <v>489.59999999999997</v>
      </c>
      <c r="P43" s="569">
        <f>IFERROR(VLOOKUP(C43,[3]List1!$A:$D,2,FALSE),"N/A!")</f>
        <v>3000</v>
      </c>
      <c r="Q43" s="569" t="s">
        <v>11232</v>
      </c>
      <c r="R43" s="569"/>
      <c r="S43" s="569"/>
      <c r="T43" s="569">
        <v>20</v>
      </c>
      <c r="U43" s="569"/>
      <c r="V43" s="569"/>
      <c r="W43" s="569" t="str">
        <f>IFERROR(IF(AND($AB43&gt;=0.1*$AA43,MOD($AB43,$AA43)&gt;=($AA43-(0.1*$AA43))),IF($W$17=$AF$1,"Zvažte možnost doobjednání ještě "&amp;Tabulka1[[#This Row],[VKPAL]]-MOD(AB43,AA43)&amp;" VK do plné palety.",VLOOKUP("Zvažte možnost doobjednání ještě ",Jazyky_ceník!A:Q,MATCH($W$17,Jazyky_ceník!$A$1:$Q$1,0),FALSE)&amp;Tabulka1[[#This Row],[VKPAL]]-MOD(AB43,AA43)&amp;VLOOKUP(" VK do plné palety.",Jazyky_ceník!A:Q,MATCH($W$17,Jazyky_ceník!$A$1:$Q$1,0),FALSE)),IFERROR(IF(AND(NOT(MOD($AB43,$AA43)=0),$AB43&gt;=0.9*$AA43,MOD($AB43,$AA43)&lt;=0.1*$AA43),IF($W$17=$AF$1,"Zvažte možnost optimalizace objednaného množství podle počtu VK na paletě ==&gt;",VLOOKUP("Zvažte možnost optimalizace objednaného množství podle počtu VK na paletě ==&gt;",Jazyky_ceník!A:Q,MATCH($W$17,Jazyky_ceník!$A$1:$Q$1,0),FALSE)),VLOOKUP('General price list'!$C43,Popisy!A:M,MATCH($W$17,Popisy!$A$7:$M$7,0),FALSE)),"---------------")),IFERROR(VLOOKUP('General price list'!$C43,Popisy!A:M,MATCH($W$17,Popisy!$A$7:$M$7,0),FALSE),"---------------"))</f>
        <v>rotující barevné a práskající kolečko s dýmovým efektem na konci</v>
      </c>
      <c r="X43" s="569" t="str">
        <f t="shared" si="71"/>
        <v/>
      </c>
      <c r="Y43" s="569" t="str">
        <f t="shared" si="72"/>
        <v/>
      </c>
      <c r="Z43" s="569" t="str">
        <f>HYPERLINK("https://www.klasekpyrotechnics.cz/dp1em")</f>
        <v>https://www.klasekpyrotechnics.cz/dp1em</v>
      </c>
      <c r="AA43" s="569">
        <f>IFERROR(IF(VLOOKUP(C43,[4]List1!$A:$D,4,FALSE)=0,"",VLOOKUP(C43,[4]List1!$A:$D,4,FALSE)),"")</f>
        <v>48</v>
      </c>
      <c r="AB43" s="565"/>
      <c r="AC43" s="570" t="str">
        <f>IFERROR(IF(VLOOKUP(C43,[1]List1!$A:$D,2,FALSE)="VYPRODÁNO",$V$9,IF(VLOOKUP(C43,[1]List1!$A:$D,2,FALSE)="DOCHÁZÍ",$V$3,VLOOKUP(C43,[1]List1!$A:$D,2,FALSE))),"OFFLINE!")</f>
        <v>SKLADEM</v>
      </c>
      <c r="AD43" s="570" t="str">
        <f ca="1">IF(AP43="NE",$V$10,IF(AC43=$V$3,IF(AQ43&lt;1,$V$8,$V$2&amp;" "&amp;AQ43&amp;" "&amp;$V$1),IF(AC43="SKLADEM",$V$6,IFERROR(IF(OR(AC43-TODAY()&gt;45,VLOOKUP(C43,[1]List1!$A:$E,4,FALSE)=0),AC43,DAY(AC43)&amp;"."&amp;MONTH(AC43)&amp;"."&amp;YEAR(AC43)&amp;" "&amp;$V$4&amp;VLOOKUP(C43,[1]List1!$A:$E,4,FALSE)&amp;" "&amp;$V$1),AC43))))</f>
        <v>SKLADEM</v>
      </c>
      <c r="AE43" s="581" t="str">
        <f t="shared" ca="1" si="73"/>
        <v>SKLADEM</v>
      </c>
      <c r="AF43" s="584">
        <f t="shared" si="74"/>
        <v>0</v>
      </c>
      <c r="AG43" s="585">
        <f t="shared" si="75"/>
        <v>0</v>
      </c>
      <c r="AH43" s="583">
        <f t="shared" si="76"/>
        <v>0</v>
      </c>
      <c r="AI43" s="582">
        <f t="shared" si="77"/>
        <v>0</v>
      </c>
      <c r="AJ43" s="569">
        <f t="shared" si="78"/>
        <v>0</v>
      </c>
      <c r="AK43" s="569" t="str">
        <f t="shared" si="79"/>
        <v/>
      </c>
      <c r="AL43" s="569" t="str">
        <f t="shared" si="80"/>
        <v/>
      </c>
      <c r="AM43" s="569">
        <f t="shared" si="81"/>
        <v>0</v>
      </c>
      <c r="AN43" s="581">
        <f t="shared" si="82"/>
        <v>0</v>
      </c>
      <c r="AO43" s="623"/>
      <c r="AP43" s="625" t="str">
        <f t="shared" si="61"/>
        <v/>
      </c>
      <c r="AQ43" s="625" t="str">
        <f>IF(AC43=$V$3,IF(VLOOKUP(C43,[1]List1!$A:$E,5,FALSE)=0,1,VLOOKUP(C43,[1]List1!$A:$E,5,FALSE)),"")</f>
        <v/>
      </c>
      <c r="AR43" s="629" t="str">
        <f t="shared" si="62"/>
        <v/>
      </c>
      <c r="AS43" s="630" t="str">
        <f t="shared" si="63"/>
        <v/>
      </c>
      <c r="AT43" s="625" t="str">
        <f t="shared" si="64"/>
        <v/>
      </c>
      <c r="AU43" s="625" t="e">
        <f t="shared" si="65"/>
        <v>#N/A</v>
      </c>
      <c r="AV43" s="625" t="e">
        <f t="shared" si="66"/>
        <v>#N/A</v>
      </c>
      <c r="AW43" s="631"/>
      <c r="AX43" s="631">
        <f>IF(AND('General price list'!$J43="F4",'General price list'!$AB43+0&gt;0),1,0)</f>
        <v>0</v>
      </c>
      <c r="AY43" s="631">
        <f t="shared" si="67"/>
        <v>1</v>
      </c>
      <c r="AZ43" s="631">
        <f t="shared" si="68"/>
        <v>0</v>
      </c>
    </row>
    <row r="44" spans="1:52" ht="15" customHeight="1">
      <c r="A44" s="639" t="str">
        <f>Kat.!C44</f>
        <v/>
      </c>
      <c r="B44" s="640">
        <f>IF(AND('General price list'!$J44="F4",$AI$1=FALSE),0,IF(AC44="SKLADEM",1,IF(AC44=$V$3,1,0)))</f>
        <v>1</v>
      </c>
      <c r="C44" s="641" t="s">
        <v>2864</v>
      </c>
      <c r="D44" s="642" t="s">
        <v>2865</v>
      </c>
      <c r="E44" s="643" t="s">
        <v>12630</v>
      </c>
      <c r="F44" s="773">
        <f>IFERROR(VLOOKUP(C44,[2]List1!$A:$D,3,FALSE),"NEUVEDENO!")</f>
        <v>176</v>
      </c>
      <c r="G44" s="770">
        <f t="shared" si="69"/>
        <v>176</v>
      </c>
      <c r="H44" s="767">
        <f t="shared" si="70"/>
        <v>7.4762226385118922</v>
      </c>
      <c r="I44" s="644">
        <f>IFERROR(VLOOKUP(C44,[2]List1!$A:$D,4,FALSE),"NEUVEDENO!")</f>
        <v>48</v>
      </c>
      <c r="J44" s="733" t="s">
        <v>19</v>
      </c>
      <c r="K44" s="645" t="s">
        <v>20</v>
      </c>
      <c r="L44" s="645" t="s">
        <v>20</v>
      </c>
      <c r="M44" s="645" t="s">
        <v>21</v>
      </c>
      <c r="N44" s="645">
        <f>IFERROR(VLOOKUP(C44,[3]List1!$A:$D,4,FALSE),"N/A!")</f>
        <v>8.0212499999999992E-2</v>
      </c>
      <c r="O44" s="645">
        <f>IFERROR(VLOOKUP(C44,[3]List1!$A:$D,3,FALSE),"N/A!")</f>
        <v>2304</v>
      </c>
      <c r="P44" s="645">
        <f>IFERROR(VLOOKUP(C44,[3]List1!$A:$D,2,FALSE),"N/A!")</f>
        <v>10000</v>
      </c>
      <c r="Q44" s="645" t="s">
        <v>11234</v>
      </c>
      <c r="R44" s="645"/>
      <c r="S44" s="645"/>
      <c r="T44" s="645">
        <v>6</v>
      </c>
      <c r="U44" s="645"/>
      <c r="V44" s="645"/>
      <c r="W44" s="645" t="str">
        <f>IFERROR(IF(AND($AB44&gt;=0.1*$AA44,MOD($AB44,$AA44)&gt;=($AA44-(0.1*$AA44))),IF($W$17=$AF$1,"Zvažte možnost doobjednání ještě "&amp;Tabulka1[[#This Row],[VKPAL]]-MOD(AB44,AA44)&amp;" VK do plné palety.",VLOOKUP("Zvažte možnost doobjednání ještě ",Jazyky_ceník!A:Q,MATCH($W$17,Jazyky_ceník!$A$1:$Q$1,0),FALSE)&amp;Tabulka1[[#This Row],[VKPAL]]-MOD(AB44,AA44)&amp;VLOOKUP(" VK do plné palety.",Jazyky_ceník!A:Q,MATCH($W$17,Jazyky_ceník!$A$1:$Q$1,0),FALSE)),IFERROR(IF(AND(NOT(MOD($AB44,$AA44)=0),$AB44&gt;=0.9*$AA44,MOD($AB44,$AA44)&lt;=0.1*$AA44),IF($W$17=$AF$1,"Zvažte možnost optimalizace objednaného množství podle počtu VK na paletě ==&gt;",VLOOKUP("Zvažte možnost optimalizace objednaného množství podle počtu VK na paletě ==&gt;",Jazyky_ceník!A:Q,MATCH($W$17,Jazyky_ceník!$A$1:$Q$1,0),FALSE)),VLOOKUP('General price list'!$C44,Popisy!A:M,MATCH($W$17,Popisy!$A$7:$M$7,0),FALSE)),"---------------")),IFERROR(VLOOKUP('General price list'!$C44,Popisy!A:M,MATCH($W$17,Popisy!$A$7:$M$7,0),FALSE),"---------------"))</f>
        <v>pískající rotující efekt s práskajícími hvězdami</v>
      </c>
      <c r="X44" s="645" t="str">
        <f t="shared" si="71"/>
        <v/>
      </c>
      <c r="Y44" s="645" t="str">
        <f t="shared" si="72"/>
        <v/>
      </c>
      <c r="Z44" s="645" t="str">
        <f>HYPERLINK("https://www.klasekpyrotechnics.cz/dp1sw")</f>
        <v>https://www.klasekpyrotechnics.cz/dp1sw</v>
      </c>
      <c r="AA44" s="645">
        <f>IFERROR(IF(VLOOKUP(C44,[4]List1!$A:$D,4,FALSE)=0,"",VLOOKUP(C44,[4]List1!$A:$D,4,FALSE)),"")</f>
        <v>20</v>
      </c>
      <c r="AB44" s="646"/>
      <c r="AC44" s="647" t="str">
        <f>IFERROR(IF(VLOOKUP(C44,[1]List1!$A:$D,2,FALSE)="VYPRODÁNO",$V$9,IF(VLOOKUP(C44,[1]List1!$A:$D,2,FALSE)="DOCHÁZÍ",$V$3,VLOOKUP(C44,[1]List1!$A:$D,2,FALSE))),"OFFLINE!")</f>
        <v>SKLADEM</v>
      </c>
      <c r="AD44" s="647" t="str">
        <f ca="1">IF(AP44="NE",$V$10,IF(AC44=$V$3,IF(AQ44&lt;1,$V$8,$V$2&amp;" "&amp;AQ44&amp;" "&amp;$V$1),IF(AC44="SKLADEM",$V$6,IFERROR(IF(OR(AC44-TODAY()&gt;45,VLOOKUP(C44,[1]List1!$A:$E,4,FALSE)=0),AC44,DAY(AC44)&amp;"."&amp;MONTH(AC44)&amp;"."&amp;YEAR(AC44)&amp;" "&amp;$V$4&amp;VLOOKUP(C44,[1]List1!$A:$E,4,FALSE)&amp;" "&amp;$V$1),AC44))))</f>
        <v>SKLADEM</v>
      </c>
      <c r="AE44" s="645" t="str">
        <f t="shared" ca="1" si="73"/>
        <v>SKLADEM</v>
      </c>
      <c r="AF44" s="648">
        <f t="shared" si="74"/>
        <v>0</v>
      </c>
      <c r="AG44" s="649">
        <f t="shared" si="75"/>
        <v>0</v>
      </c>
      <c r="AH44" s="650">
        <f t="shared" si="76"/>
        <v>0</v>
      </c>
      <c r="AI44" s="645">
        <f t="shared" si="77"/>
        <v>0</v>
      </c>
      <c r="AJ44" s="645">
        <f t="shared" si="78"/>
        <v>0</v>
      </c>
      <c r="AK44" s="645" t="str">
        <f t="shared" si="79"/>
        <v/>
      </c>
      <c r="AL44" s="645" t="str">
        <f t="shared" si="80"/>
        <v/>
      </c>
      <c r="AM44" s="645">
        <f t="shared" si="81"/>
        <v>0</v>
      </c>
      <c r="AN44" s="651">
        <f t="shared" si="82"/>
        <v>0</v>
      </c>
      <c r="AO44" s="623"/>
      <c r="AP44" s="632" t="str">
        <f t="shared" si="61"/>
        <v/>
      </c>
      <c r="AQ44" s="633" t="str">
        <f>IF(AC44=$V$3,IF(VLOOKUP(C44,[1]List1!$A:$E,5,FALSE)=0,1,VLOOKUP(C44,[1]List1!$A:$E,5,FALSE)),"")</f>
        <v/>
      </c>
      <c r="AR44" s="625" t="str">
        <f t="shared" si="62"/>
        <v/>
      </c>
      <c r="AS44" s="634" t="str">
        <f t="shared" si="63"/>
        <v/>
      </c>
      <c r="AT44" s="625" t="str">
        <f t="shared" si="64"/>
        <v/>
      </c>
      <c r="AU44" s="638" t="e">
        <f t="shared" si="65"/>
        <v>#N/A</v>
      </c>
      <c r="AV44" s="625" t="e">
        <f t="shared" si="66"/>
        <v>#N/A</v>
      </c>
      <c r="AX44" s="625">
        <f>IF(AND('General price list'!$J44="F4",'General price list'!$AB44+0&gt;0),1,0)</f>
        <v>0</v>
      </c>
      <c r="AY44" s="625">
        <f t="shared" si="67"/>
        <v>1</v>
      </c>
      <c r="AZ44" s="625">
        <f t="shared" si="68"/>
        <v>0</v>
      </c>
    </row>
    <row r="45" spans="1:52" ht="15" customHeight="1">
      <c r="A45" s="751" t="str">
        <f>Kat.!C45</f>
        <v xml:space="preserve">           Kat. F1 – Fontány</v>
      </c>
      <c r="B45" s="751"/>
      <c r="C45" s="751"/>
      <c r="D45" s="751"/>
      <c r="E45" s="751"/>
      <c r="F45" s="751"/>
      <c r="G45" s="751"/>
      <c r="H45" s="751"/>
      <c r="I45" s="752"/>
      <c r="J45" s="752"/>
      <c r="K45" s="752" t="s">
        <v>20</v>
      </c>
      <c r="L45" s="753" t="s">
        <v>20</v>
      </c>
      <c r="M45" s="752"/>
      <c r="N45" s="752"/>
      <c r="O45" s="752"/>
      <c r="P45" s="752"/>
      <c r="Q45" s="752"/>
      <c r="R45" s="752"/>
      <c r="S45" s="752"/>
      <c r="T45" s="752"/>
      <c r="U45" s="752"/>
      <c r="V45" s="752"/>
      <c r="W45" s="752"/>
      <c r="X45" s="752"/>
      <c r="Y45" s="752"/>
      <c r="Z45" s="752" t="s">
        <v>20</v>
      </c>
      <c r="AA45" s="752"/>
      <c r="AB45" s="752"/>
      <c r="AC45" s="754"/>
      <c r="AD45" s="752"/>
      <c r="AE45" s="752"/>
      <c r="AF45" s="752"/>
      <c r="AG45" s="752"/>
      <c r="AH45" s="752"/>
      <c r="AI45" s="752"/>
      <c r="AJ45" s="752"/>
      <c r="AK45" s="752"/>
      <c r="AL45" s="752"/>
      <c r="AM45" s="752"/>
      <c r="AN45" s="752"/>
      <c r="AO45" s="623"/>
      <c r="AP45" s="632" t="str">
        <f t="shared" si="61"/>
        <v/>
      </c>
      <c r="AQ45" s="633" t="str">
        <f>IF(AC45=$V$3,IF(VLOOKUP(C45,[1]List1!$A:$E,5,FALSE)=0,1,VLOOKUP(C45,[1]List1!$A:$E,5,FALSE)),"")</f>
        <v/>
      </c>
      <c r="AR45" s="625" t="str">
        <f t="shared" si="62"/>
        <v/>
      </c>
      <c r="AS45" s="634" t="str">
        <f t="shared" si="63"/>
        <v/>
      </c>
      <c r="AT45" s="625" t="str">
        <f t="shared" si="64"/>
        <v/>
      </c>
      <c r="AU45" s="638" t="e">
        <f t="shared" si="65"/>
        <v>#N/A</v>
      </c>
      <c r="AV45" s="625" t="e">
        <f t="shared" si="66"/>
        <v>#N/A</v>
      </c>
      <c r="AX45" s="625">
        <f>IF(AND('General price list'!$J45="F4",'General price list'!$AB45+0&gt;0),1,0)</f>
        <v>0</v>
      </c>
      <c r="AY45" s="625">
        <f t="shared" si="67"/>
        <v>0</v>
      </c>
      <c r="AZ45" s="625">
        <f t="shared" si="68"/>
        <v>0</v>
      </c>
    </row>
    <row r="46" spans="1:52" ht="15" customHeight="1">
      <c r="A46" s="639" t="str">
        <f>Kat.!C46</f>
        <v/>
      </c>
      <c r="B46" s="640">
        <f>IF(AND('General price list'!$J46="F4",$AI$1=FALSE),0,IF(AC46="SKLADEM",1,IF(AC46=$V$3,1,0)))</f>
        <v>1</v>
      </c>
      <c r="C46" s="641" t="s">
        <v>97</v>
      </c>
      <c r="D46" s="642" t="s">
        <v>11868</v>
      </c>
      <c r="E46" s="643" t="s">
        <v>12631</v>
      </c>
      <c r="F46" s="771">
        <f>IFERROR(VLOOKUP(C46,[2]List1!$A:$D,3,FALSE),"NEUVEDENO!")</f>
        <v>517</v>
      </c>
      <c r="G46" s="768">
        <f t="shared" ref="G46:G54" si="83">IF($W$17=$AF$8,ROUND((F46)/$F$17,2),(F46)*$B$19)</f>
        <v>517</v>
      </c>
      <c r="H46" s="765">
        <f t="shared" ref="H46:H54" si="84">IF($W$17=$AF$8,G46*$B$19,G46/$F$17)</f>
        <v>21.961404000628683</v>
      </c>
      <c r="I46" s="644">
        <f>IFERROR(VLOOKUP(C46,[2]List1!$A:$D,4,FALSE),"NEUVEDENO!")</f>
        <v>10</v>
      </c>
      <c r="J46" s="733" t="s">
        <v>19</v>
      </c>
      <c r="K46" s="645" t="s">
        <v>20</v>
      </c>
      <c r="L46" s="645" t="s">
        <v>20</v>
      </c>
      <c r="M46" s="645" t="s">
        <v>21</v>
      </c>
      <c r="N46" s="645">
        <f>IFERROR(VLOOKUP(C46,[3]List1!$A:$D,4,FALSE),"N/A!")</f>
        <v>3.2507999999999995E-2</v>
      </c>
      <c r="O46" s="645">
        <f>IFERROR(VLOOKUP(C46,[3]List1!$A:$D,3,FALSE),"N/A!")</f>
        <v>1600</v>
      </c>
      <c r="P46" s="645">
        <f>IFERROR(VLOOKUP(C46,[3]List1!$A:$D,2,FALSE),"N/A!")</f>
        <v>6600</v>
      </c>
      <c r="Q46" s="645" t="s">
        <v>12078</v>
      </c>
      <c r="R46" s="645" t="s">
        <v>11289</v>
      </c>
      <c r="S46" s="645"/>
      <c r="T46" s="645">
        <v>10</v>
      </c>
      <c r="U46" s="645"/>
      <c r="V46" s="645"/>
      <c r="W46" s="645" t="str">
        <f>IFERROR(IF(AND($AB46&gt;=0.1*$AA46,MOD($AB46,$AA46)&gt;=($AA46-(0.1*$AA46))),IF($W$17=$AF$1,"Zvažte možnost doobjednání ještě "&amp;Tabulka1[[#This Row],[VKPAL]]-MOD(AB46,AA46)&amp;" VK do plné palety.",VLOOKUP("Zvažte možnost doobjednání ještě ",Jazyky_ceník!A:Q,MATCH($W$17,Jazyky_ceník!$A$1:$Q$1,0),FALSE)&amp;Tabulka1[[#This Row],[VKPAL]]-MOD(AB46,AA46)&amp;VLOOKUP(" VK do plné palety.",Jazyky_ceník!A:Q,MATCH($W$17,Jazyky_ceník!$A$1:$Q$1,0),FALSE)),IFERROR(IF(AND(NOT(MOD($AB46,$AA46)=0),$AB46&gt;=0.9*$AA46,MOD($AB46,$AA46)&lt;=0.1*$AA46),IF($W$17=$AF$1,"Zvažte možnost optimalizace objednaného množství podle počtu VK na paletě ==&gt;",VLOOKUP("Zvažte možnost optimalizace objednaného množství podle počtu VK na paletě ==&gt;",Jazyky_ceník!A:Q,MATCH($W$17,Jazyky_ceník!$A$1:$Q$1,0),FALSE)),VLOOKUP('General price list'!$C46,Popisy!A:M,MATCH($W$17,Popisy!$A$7:$M$7,0),FALSE)),"---------------")),IFERROR(VLOOKUP('General price list'!$C46,Popisy!A:M,MATCH($W$17,Popisy!$A$7:$M$7,0),FALSE),"---------------"))</f>
        <v>barevná fontána s práskajícími hvězdami</v>
      </c>
      <c r="X46" s="645" t="str">
        <f t="shared" ref="X46:X54" si="85">IF(AB46&lt;0.0001,"",AB46)</f>
        <v/>
      </c>
      <c r="Y46" s="645" t="str">
        <f t="shared" ref="Y46:Y54" si="86">IF($AL$3=2,IF(OR(AB46&lt;&gt;"",AB46&lt;&gt;0),AU46,""),IF(C46="","",IF(AB46&lt;0.0001,"",IF(B46=0,"",IF(AQ46&lt;AB46,"",AB46)))))</f>
        <v/>
      </c>
      <c r="Z46" s="645" t="str">
        <f>HYPERLINK("https://www.klasekpyrotechnics.cz/dp1fr")</f>
        <v>https://www.klasekpyrotechnics.cz/dp1fr</v>
      </c>
      <c r="AA46" s="645" t="str">
        <f>IFERROR(IF(VLOOKUP(C46,[4]List1!$A:$D,4,FALSE)=0,"",VLOOKUP(C46,[4]List1!$A:$D,4,FALSE)),"")</f>
        <v>40</v>
      </c>
      <c r="AB46" s="646"/>
      <c r="AC46" s="647" t="str">
        <f>IFERROR(IF(VLOOKUP(C46,[1]List1!$A:$D,2,FALSE)="VYPRODÁNO",$V$9,IF(VLOOKUP(C46,[1]List1!$A:$D,2,FALSE)="DOCHÁZÍ",$V$3,VLOOKUP(C46,[1]List1!$A:$D,2,FALSE))),"OFFLINE!")</f>
        <v>SKLADEM</v>
      </c>
      <c r="AD46" s="647" t="str">
        <f ca="1">IF(AP46="NE",$V$10,IF(AC46=$V$3,IF(AQ46&lt;1,$V$8,$V$2&amp;" "&amp;AQ46&amp;" "&amp;$V$1),IF(AC46="SKLADEM",$V$6,IFERROR(IF(OR(AC46-TODAY()&gt;45,VLOOKUP(C46,[1]List1!$A:$E,4,FALSE)=0),AC46,DAY(AC46)&amp;"."&amp;MONTH(AC46)&amp;"."&amp;YEAR(AC46)&amp;" "&amp;$V$4&amp;VLOOKUP(C46,[1]List1!$A:$E,4,FALSE)&amp;" "&amp;$V$1),AC46))))</f>
        <v>SKLADEM</v>
      </c>
      <c r="AE46" s="645" t="str">
        <f t="shared" ref="AE46:AE54" ca="1" si="87">IFERROR(IF(AV46&lt;&gt;"",AV46,AD46),AD46)</f>
        <v>SKLADEM</v>
      </c>
      <c r="AF46" s="648">
        <f t="shared" ref="AF46:AF54" si="88">IFERROR(IF(AB46=Y46,G46*I46*Y46,0),0)</f>
        <v>0</v>
      </c>
      <c r="AG46" s="649">
        <f t="shared" ref="AG46:AG54" si="89">IF($W$17=$AF$8,AH46*1.23,AF46*1.21)</f>
        <v>0</v>
      </c>
      <c r="AH46" s="650">
        <f t="shared" ref="AH46:AH54" si="90">IFERROR(IF(Y46=AB46,H46*I46*Y46,0),0)</f>
        <v>0</v>
      </c>
      <c r="AI46" s="645">
        <f t="shared" ref="AI46:AI54" si="91">IFERROR(IF(Y46=AB46,(P46*Y46)/1000,1),0)</f>
        <v>0</v>
      </c>
      <c r="AJ46" s="645">
        <f t="shared" ref="AJ46:AJ54" si="92">IFERROR(IF(Y46=AB46,N46*Y46,0.1),0)</f>
        <v>0</v>
      </c>
      <c r="AK46" s="645" t="str">
        <f t="shared" ref="AK46:AK54" si="93">IFERROR(IF(Y46=AB46,IF(M46="1.1G",(O46/1000)*Y46,""),""),0)</f>
        <v/>
      </c>
      <c r="AL46" s="645" t="str">
        <f t="shared" ref="AL46:AL54" si="94">IFERROR(IF(Y46=AB46,IF(M46="1.3G",(O46/1000)*AB46,""),""),0)</f>
        <v/>
      </c>
      <c r="AM46" s="645">
        <f t="shared" ref="AM46:AM54" si="95">IFERROR(IF(Y46=AB46,IF(M46="1.4G",(O46/1000)*AB46,""),""),0)</f>
        <v>0</v>
      </c>
      <c r="AN46" s="651">
        <f t="shared" ref="AN46:AN54" si="96">SUM(AK46:AM46)</f>
        <v>0</v>
      </c>
      <c r="AO46" s="623"/>
      <c r="AP46" s="632" t="str">
        <f t="shared" si="61"/>
        <v/>
      </c>
      <c r="AQ46" s="633" t="str">
        <f>IF(AC46=$V$3,IF(VLOOKUP(C46,[1]List1!$A:$E,5,FALSE)=0,1,VLOOKUP(C46,[1]List1!$A:$E,5,FALSE)),"")</f>
        <v/>
      </c>
      <c r="AR46" s="625" t="str">
        <f t="shared" si="62"/>
        <v/>
      </c>
      <c r="AS46" s="634" t="str">
        <f t="shared" si="63"/>
        <v/>
      </c>
      <c r="AT46" s="625" t="str">
        <f t="shared" si="64"/>
        <v/>
      </c>
      <c r="AU46" s="638" t="e">
        <f t="shared" si="65"/>
        <v>#N/A</v>
      </c>
      <c r="AV46" s="625" t="e">
        <f t="shared" si="66"/>
        <v>#N/A</v>
      </c>
      <c r="AX46" s="625">
        <f>IF(AND('General price list'!$J46="F4",'General price list'!$AB46+0&gt;0),1,0)</f>
        <v>0</v>
      </c>
      <c r="AY46" s="625">
        <f t="shared" si="67"/>
        <v>1</v>
      </c>
      <c r="AZ46" s="625">
        <f t="shared" si="68"/>
        <v>1</v>
      </c>
    </row>
    <row r="47" spans="1:52" ht="15" customHeight="1">
      <c r="A47" s="621" t="str">
        <f>Kat.!C47</f>
        <v/>
      </c>
      <c r="B47" s="566">
        <f>IF(AND('General price list'!$J47="F4",$AI$1=FALSE),0,IF(AC47="SKLADEM",1,IF(AC47=$V$3,1,0)))</f>
        <v>1</v>
      </c>
      <c r="C47" s="567" t="s">
        <v>9142</v>
      </c>
      <c r="D47" s="568" t="s">
        <v>11693</v>
      </c>
      <c r="E47" s="763" t="s">
        <v>12632</v>
      </c>
      <c r="F47" s="772">
        <f>IFERROR(VLOOKUP(C47,[2]List1!$A:$D,3,FALSE),"NEUVEDENO!")</f>
        <v>58</v>
      </c>
      <c r="G47" s="769">
        <f t="shared" si="83"/>
        <v>58</v>
      </c>
      <c r="H47" s="766">
        <f t="shared" si="84"/>
        <v>2.4637551876914188</v>
      </c>
      <c r="I47" s="764">
        <f>IFERROR(VLOOKUP(C47,[2]List1!$A:$D,4,FALSE),"NEUVEDENO!")</f>
        <v>72</v>
      </c>
      <c r="J47" s="732" t="s">
        <v>19</v>
      </c>
      <c r="K47" s="569" t="s">
        <v>20</v>
      </c>
      <c r="L47" s="569" t="s">
        <v>20</v>
      </c>
      <c r="M47" s="569" t="s">
        <v>21</v>
      </c>
      <c r="N47" s="569">
        <f>IFERROR(VLOOKUP(C47,[3]List1!$A:$D,4,FALSE),"N/A!")</f>
        <v>3.1121999999999997E-2</v>
      </c>
      <c r="O47" s="569">
        <f>IFERROR(VLOOKUP(C47,[3]List1!$A:$D,3,FALSE),"N/A!")</f>
        <v>1728</v>
      </c>
      <c r="P47" s="569">
        <f>IFERROR(VLOOKUP(C47,[3]List1!$A:$D,2,FALSE),"N/A!")</f>
        <v>6000</v>
      </c>
      <c r="Q47" s="569" t="s">
        <v>11245</v>
      </c>
      <c r="R47" s="569" t="s">
        <v>11239</v>
      </c>
      <c r="S47" s="569"/>
      <c r="T47" s="569">
        <v>10</v>
      </c>
      <c r="U47" s="569"/>
      <c r="V47" s="569"/>
      <c r="W47" s="569" t="str">
        <f>IFERROR(IF(AND($AB47&gt;=0.1*$AA47,MOD($AB47,$AA47)&gt;=($AA47-(0.1*$AA47))),IF($W$17=$AF$1,"Zvažte možnost doobjednání ještě "&amp;Tabulka1[[#This Row],[VKPAL]]-MOD(AB47,AA47)&amp;" VK do plné palety.",VLOOKUP("Zvažte možnost doobjednání ještě ",Jazyky_ceník!A:Q,MATCH($W$17,Jazyky_ceník!$A$1:$Q$1,0),FALSE)&amp;Tabulka1[[#This Row],[VKPAL]]-MOD(AB47,AA47)&amp;VLOOKUP(" VK do plné palety.",Jazyky_ceník!A:Q,MATCH($W$17,Jazyky_ceník!$A$1:$Q$1,0),FALSE)),IFERROR(IF(AND(NOT(MOD($AB47,$AA47)=0),$AB47&gt;=0.9*$AA47,MOD($AB47,$AA47)&lt;=0.1*$AA47),IF($W$17=$AF$1,"Zvažte možnost optimalizace objednaného množství podle počtu VK na paletě ==&gt;",VLOOKUP("Zvažte možnost optimalizace objednaného množství podle počtu VK na paletě ==&gt;",Jazyky_ceník!A:Q,MATCH($W$17,Jazyky_ceník!$A$1:$Q$1,0),FALSE)),VLOOKUP('General price list'!$C47,Popisy!A:M,MATCH($W$17,Popisy!$A$7:$M$7,0),FALSE)),"---------------")),IFERROR(VLOOKUP('General price list'!$C47,Popisy!A:M,MATCH($W$17,Popisy!$A$7:$M$7,0),FALSE),"---------------"))</f>
        <v>barevná fontána s blikajícími hvězdami</v>
      </c>
      <c r="X47" s="569" t="str">
        <f t="shared" si="85"/>
        <v/>
      </c>
      <c r="Y47" s="569" t="str">
        <f t="shared" si="86"/>
        <v/>
      </c>
      <c r="Z47" s="569" t="str">
        <f>HYPERLINK("https://www.klasekpyrotechnics.cz/dp1fm")</f>
        <v>https://www.klasekpyrotechnics.cz/dp1fm</v>
      </c>
      <c r="AA47" s="569">
        <f>IFERROR(IF(VLOOKUP(C47,[4]List1!$A:$D,4,FALSE)=0,"",VLOOKUP(C47,[4]List1!$A:$D,4,FALSE)),"")</f>
        <v>48</v>
      </c>
      <c r="AB47" s="565"/>
      <c r="AC47" s="570" t="str">
        <f>IFERROR(IF(VLOOKUP(C47,[1]List1!$A:$D,2,FALSE)="VYPRODÁNO",$V$9,IF(VLOOKUP(C47,[1]List1!$A:$D,2,FALSE)="DOCHÁZÍ",$V$3,VLOOKUP(C47,[1]List1!$A:$D,2,FALSE))),"OFFLINE!")</f>
        <v>SKLADEM</v>
      </c>
      <c r="AD47" s="570" t="str">
        <f ca="1">IF(AP47="NE",$V$10,IF(AC47=$V$3,IF(AQ47&lt;1,$V$8,$V$2&amp;" "&amp;AQ47&amp;" "&amp;$V$1),IF(AC47="SKLADEM",$V$6,IFERROR(IF(OR(AC47-TODAY()&gt;45,VLOOKUP(C47,[1]List1!$A:$E,4,FALSE)=0),AC47,DAY(AC47)&amp;"."&amp;MONTH(AC47)&amp;"."&amp;YEAR(AC47)&amp;" "&amp;$V$4&amp;VLOOKUP(C47,[1]List1!$A:$E,4,FALSE)&amp;" "&amp;$V$1),AC47))))</f>
        <v>SKLADEM</v>
      </c>
      <c r="AE47" s="581" t="str">
        <f t="shared" ca="1" si="87"/>
        <v>SKLADEM</v>
      </c>
      <c r="AF47" s="584">
        <f t="shared" si="88"/>
        <v>0</v>
      </c>
      <c r="AG47" s="585">
        <f t="shared" si="89"/>
        <v>0</v>
      </c>
      <c r="AH47" s="583">
        <f t="shared" si="90"/>
        <v>0</v>
      </c>
      <c r="AI47" s="582">
        <f t="shared" si="91"/>
        <v>0</v>
      </c>
      <c r="AJ47" s="569">
        <f t="shared" si="92"/>
        <v>0</v>
      </c>
      <c r="AK47" s="569" t="str">
        <f t="shared" si="93"/>
        <v/>
      </c>
      <c r="AL47" s="569" t="str">
        <f t="shared" si="94"/>
        <v/>
      </c>
      <c r="AM47" s="569">
        <f t="shared" si="95"/>
        <v>0</v>
      </c>
      <c r="AN47" s="581">
        <f t="shared" si="96"/>
        <v>0</v>
      </c>
      <c r="AO47" s="623"/>
      <c r="AP47" s="632" t="str">
        <f t="shared" si="61"/>
        <v/>
      </c>
      <c r="AQ47" s="633" t="str">
        <f>IF(AC47=$V$3,IF(VLOOKUP(C47,[1]List1!$A:$E,5,FALSE)=0,1,VLOOKUP(C47,[1]List1!$A:$E,5,FALSE)),"")</f>
        <v/>
      </c>
      <c r="AR47" s="625" t="str">
        <f t="shared" si="62"/>
        <v/>
      </c>
      <c r="AS47" s="634" t="str">
        <f t="shared" si="63"/>
        <v/>
      </c>
      <c r="AT47" s="625" t="str">
        <f t="shared" si="64"/>
        <v/>
      </c>
      <c r="AU47" s="638" t="e">
        <f t="shared" si="65"/>
        <v>#N/A</v>
      </c>
      <c r="AV47" s="625" t="e">
        <f t="shared" si="66"/>
        <v>#N/A</v>
      </c>
      <c r="AX47" s="625">
        <f>IF(AND('General price list'!$J47="F4",'General price list'!$AB47+0&gt;0),1,0)</f>
        <v>0</v>
      </c>
      <c r="AY47" s="625">
        <f t="shared" si="67"/>
        <v>1</v>
      </c>
      <c r="AZ47" s="625">
        <f t="shared" si="68"/>
        <v>1</v>
      </c>
    </row>
    <row r="48" spans="1:52" ht="15" customHeight="1">
      <c r="A48" s="639" t="str">
        <f>Kat.!C48</f>
        <v/>
      </c>
      <c r="B48" s="640">
        <f>IF(AND('General price list'!$J48="F4",$AI$1=FALSE),0,IF(AC48="SKLADEM",1,IF(AC48=$V$3,1,0)))</f>
        <v>1</v>
      </c>
      <c r="C48" s="641" t="s">
        <v>11185</v>
      </c>
      <c r="D48" s="642" t="s">
        <v>11186</v>
      </c>
      <c r="E48" s="643" t="s">
        <v>12633</v>
      </c>
      <c r="F48" s="771">
        <f>IFERROR(VLOOKUP(C48,[2]List1!$A:$D,3,FALSE),"NEUVEDENO!")</f>
        <v>77</v>
      </c>
      <c r="G48" s="768">
        <f t="shared" si="83"/>
        <v>77</v>
      </c>
      <c r="H48" s="765">
        <f t="shared" si="84"/>
        <v>3.2708474043489528</v>
      </c>
      <c r="I48" s="644">
        <f>IFERROR(VLOOKUP(C48,[2]List1!$A:$D,4,FALSE),"NEUVEDENO!")</f>
        <v>48</v>
      </c>
      <c r="J48" s="733" t="s">
        <v>19</v>
      </c>
      <c r="K48" s="645" t="s">
        <v>20</v>
      </c>
      <c r="L48" s="645"/>
      <c r="M48" s="645" t="s">
        <v>21</v>
      </c>
      <c r="N48" s="645">
        <f>IFERROR(VLOOKUP(C48,[3]List1!$A:$D,4,FALSE),"N/A!")</f>
        <v>3.3319999999999995E-2</v>
      </c>
      <c r="O48" s="645">
        <f>IFERROR(VLOOKUP(C48,[3]List1!$A:$D,3,FALSE),"N/A!")</f>
        <v>2160</v>
      </c>
      <c r="P48" s="645">
        <f>IFERROR(VLOOKUP(C48,[3]List1!$A:$D,2,FALSE),"N/A!")</f>
        <v>7500</v>
      </c>
      <c r="Q48" s="645" t="s">
        <v>11245</v>
      </c>
      <c r="R48" s="645" t="s">
        <v>20</v>
      </c>
      <c r="S48" s="645"/>
      <c r="T48" s="645">
        <v>12</v>
      </c>
      <c r="U48" s="645"/>
      <c r="V48" s="645"/>
      <c r="W48" s="645" t="str">
        <f>IFERROR(IF(AND($AB48&gt;=0.1*$AA48,MOD($AB48,$AA48)&gt;=($AA48-(0.1*$AA48))),IF($W$17=$AF$1,"Zvažte možnost doobjednání ještě "&amp;Tabulka1[[#This Row],[VKPAL]]-MOD(AB48,AA48)&amp;" VK do plné palety.",VLOOKUP("Zvažte možnost doobjednání ještě ",Jazyky_ceník!A:Q,MATCH($W$17,Jazyky_ceník!$A$1:$Q$1,0),FALSE)&amp;Tabulka1[[#This Row],[VKPAL]]-MOD(AB48,AA48)&amp;VLOOKUP(" VK do plné palety.",Jazyky_ceník!A:Q,MATCH($W$17,Jazyky_ceník!$A$1:$Q$1,0),FALSE)),IFERROR(IF(AND(NOT(MOD($AB48,$AA48)=0),$AB48&gt;=0.9*$AA48,MOD($AB48,$AA48)&lt;=0.1*$AA48),IF($W$17=$AF$1,"Zvažte možnost optimalizace objednaného množství podle počtu VK na paletě ==&gt;",VLOOKUP("Zvažte možnost optimalizace objednaného množství podle počtu VK na paletě ==&gt;",Jazyky_ceník!A:Q,MATCH($W$17,Jazyky_ceník!$A$1:$Q$1,0),FALSE)),VLOOKUP('General price list'!$C48,Popisy!A:M,MATCH($W$17,Popisy!$A$7:$M$7,0),FALSE)),"---------------")),IFERROR(VLOOKUP('General price list'!$C48,Popisy!A:M,MATCH($W$17,Popisy!$A$7:$M$7,0),FALSE),"---------------"))</f>
        <v>stříbrné hvězdy s zeleným středem</v>
      </c>
      <c r="X48" s="645" t="str">
        <f t="shared" si="85"/>
        <v/>
      </c>
      <c r="Y48" s="645" t="str">
        <f t="shared" si="86"/>
        <v/>
      </c>
      <c r="Z48" s="645" t="str">
        <f>HYPERLINK("https://www.klasekpyrotechnics.cz/dp1fv")</f>
        <v>https://www.klasekpyrotechnics.cz/dp1fv</v>
      </c>
      <c r="AA48" s="645">
        <f>IFERROR(IF(VLOOKUP(C48,[4]List1!$A:$D,4,FALSE)=0,"",VLOOKUP(C48,[4]List1!$A:$D,4,FALSE)),"")</f>
        <v>36</v>
      </c>
      <c r="AB48" s="646"/>
      <c r="AC48" s="647" t="str">
        <f>IFERROR(IF(VLOOKUP(C48,[1]List1!$A:$D,2,FALSE)="VYPRODÁNO",$V$9,IF(VLOOKUP(C48,[1]List1!$A:$D,2,FALSE)="DOCHÁZÍ",$V$3,VLOOKUP(C48,[1]List1!$A:$D,2,FALSE))),"OFFLINE!")</f>
        <v>DOCHÁZÍ</v>
      </c>
      <c r="AD48" s="647" t="str">
        <f ca="1">IF(AP48="NE",$V$10,IF(AC48=$V$3,IF(AQ48&lt;1,$V$8,$V$2&amp;" "&amp;AQ48&amp;" "&amp;$V$1),IF(AC48="SKLADEM",$V$6,IFERROR(IF(OR(AC48-TODAY()&gt;45,VLOOKUP(C48,[1]List1!$A:$E,4,FALSE)=0),AC48,DAY(AC48)&amp;"."&amp;MONTH(AC48)&amp;"."&amp;YEAR(AC48)&amp;" "&amp;$V$4&amp;VLOOKUP(C48,[1]List1!$A:$E,4,FALSE)&amp;" "&amp;$V$1),AC48))))</f>
        <v>POSLEDNÍCH 7 VK</v>
      </c>
      <c r="AE48" s="645" t="str">
        <f t="shared" ca="1" si="87"/>
        <v>POSLEDNÍCH 7 VK</v>
      </c>
      <c r="AF48" s="648">
        <f t="shared" si="88"/>
        <v>0</v>
      </c>
      <c r="AG48" s="649">
        <f t="shared" si="89"/>
        <v>0</v>
      </c>
      <c r="AH48" s="650">
        <f t="shared" si="90"/>
        <v>0</v>
      </c>
      <c r="AI48" s="645">
        <f t="shared" si="91"/>
        <v>0</v>
      </c>
      <c r="AJ48" s="645">
        <f t="shared" si="92"/>
        <v>0</v>
      </c>
      <c r="AK48" s="645" t="str">
        <f t="shared" si="93"/>
        <v/>
      </c>
      <c r="AL48" s="645" t="str">
        <f t="shared" si="94"/>
        <v/>
      </c>
      <c r="AM48" s="645">
        <f t="shared" si="95"/>
        <v>0</v>
      </c>
      <c r="AN48" s="651">
        <f t="shared" si="96"/>
        <v>0</v>
      </c>
      <c r="AO48" s="623"/>
      <c r="AP48" s="632" t="str">
        <f t="shared" si="61"/>
        <v/>
      </c>
      <c r="AQ48" s="633">
        <f>IF(AC48=$V$3,IF(VLOOKUP(C48,[1]List1!$A:$E,5,FALSE)=0,1,VLOOKUP(C48,[1]List1!$A:$E,5,FALSE)),"")</f>
        <v>7</v>
      </c>
      <c r="AR48" s="625" t="str">
        <f t="shared" si="62"/>
        <v/>
      </c>
      <c r="AS48" s="634" t="str">
        <f t="shared" si="63"/>
        <v/>
      </c>
      <c r="AT48" s="625" t="str">
        <f t="shared" si="64"/>
        <v/>
      </c>
      <c r="AU48" s="638" t="e">
        <f t="shared" si="65"/>
        <v>#N/A</v>
      </c>
      <c r="AV48" s="625" t="e">
        <f t="shared" si="66"/>
        <v>#N/A</v>
      </c>
      <c r="AX48" s="625">
        <f>IF(AND('General price list'!$J48="F4",'General price list'!$AB48+0&gt;0),1,0)</f>
        <v>0</v>
      </c>
      <c r="AY48" s="625">
        <f t="shared" si="67"/>
        <v>1</v>
      </c>
      <c r="AZ48" s="625">
        <f t="shared" si="68"/>
        <v>0</v>
      </c>
    </row>
    <row r="49" spans="1:52" ht="15" customHeight="1">
      <c r="A49" s="621" t="str">
        <f>Kat.!C49</f>
        <v/>
      </c>
      <c r="B49" s="566">
        <f>IF(AND('General price list'!$J49="F4",$AI$1=FALSE),0,IF(AC49="SKLADEM",1,IF(AC49=$V$3,1,0)))</f>
        <v>1</v>
      </c>
      <c r="C49" s="567" t="s">
        <v>9066</v>
      </c>
      <c r="D49" s="568" t="s">
        <v>11692</v>
      </c>
      <c r="E49" s="763" t="s">
        <v>12634</v>
      </c>
      <c r="F49" s="772">
        <f>IFERROR(VLOOKUP(C49,[2]List1!$A:$D,3,FALSE),"NEUVEDENO!")</f>
        <v>99</v>
      </c>
      <c r="G49" s="769">
        <f t="shared" si="83"/>
        <v>99</v>
      </c>
      <c r="H49" s="766">
        <f t="shared" si="84"/>
        <v>4.2053752341629389</v>
      </c>
      <c r="I49" s="764">
        <f>IFERROR(VLOOKUP(C49,[2]List1!$A:$D,4,FALSE),"NEUVEDENO!")</f>
        <v>40</v>
      </c>
      <c r="J49" s="732" t="s">
        <v>19</v>
      </c>
      <c r="K49" s="569" t="s">
        <v>20</v>
      </c>
      <c r="L49" s="569" t="s">
        <v>20</v>
      </c>
      <c r="M49" s="569" t="s">
        <v>21</v>
      </c>
      <c r="N49" s="569">
        <f>IFERROR(VLOOKUP(C49,[3]List1!$A:$D,4,FALSE),"N/A!")</f>
        <v>3.2168249999999995E-2</v>
      </c>
      <c r="O49" s="569">
        <f>IFERROR(VLOOKUP(C49,[3]List1!$A:$D,3,FALSE),"N/A!")</f>
        <v>1200</v>
      </c>
      <c r="P49" s="569">
        <f>IFERROR(VLOOKUP(C49,[3]List1!$A:$D,2,FALSE),"N/A!")</f>
        <v>7450</v>
      </c>
      <c r="Q49" s="569" t="s">
        <v>11244</v>
      </c>
      <c r="R49" s="569" t="s">
        <v>20</v>
      </c>
      <c r="S49" s="569"/>
      <c r="T49" s="569">
        <v>15</v>
      </c>
      <c r="U49" s="569"/>
      <c r="V49" s="569"/>
      <c r="W49" s="569" t="str">
        <f>IFERROR(IF(AND($AB49&gt;=0.1*$AA49,MOD($AB49,$AA49)&gt;=($AA49-(0.1*$AA49))),IF($W$17=$AF$1,"Zvažte možnost doobjednání ještě "&amp;Tabulka1[[#This Row],[VKPAL]]-MOD(AB49,AA49)&amp;" VK do plné palety.",VLOOKUP("Zvažte možnost doobjednání ještě ",Jazyky_ceník!A:Q,MATCH($W$17,Jazyky_ceník!$A$1:$Q$1,0),FALSE)&amp;Tabulka1[[#This Row],[VKPAL]]-MOD(AB49,AA49)&amp;VLOOKUP(" VK do plné palety.",Jazyky_ceník!A:Q,MATCH($W$17,Jazyky_ceník!$A$1:$Q$1,0),FALSE)),IFERROR(IF(AND(NOT(MOD($AB49,$AA49)=0),$AB49&gt;=0.9*$AA49,MOD($AB49,$AA49)&lt;=0.1*$AA49),IF($W$17=$AF$1,"Zvažte možnost optimalizace objednaného množství podle počtu VK na paletě ==&gt;",VLOOKUP("Zvažte možnost optimalizace objednaného množství podle počtu VK na paletě ==&gt;",Jazyky_ceník!A:Q,MATCH($W$17,Jazyky_ceník!$A$1:$Q$1,0),FALSE)),VLOOKUP('General price list'!$C49,Popisy!A:M,MATCH($W$17,Popisy!$A$7:$M$7,0),FALSE)),"---------------")),IFERROR(VLOOKUP('General price list'!$C49,Popisy!A:M,MATCH($W$17,Popisy!$A$7:$M$7,0),FALSE),"---------------"))</f>
        <v>dvou barevná fontána s práskajícími hvězdami</v>
      </c>
      <c r="X49" s="569" t="str">
        <f t="shared" si="85"/>
        <v/>
      </c>
      <c r="Y49" s="569" t="str">
        <f t="shared" si="86"/>
        <v/>
      </c>
      <c r="Z49" s="569" t="str">
        <f>HYPERLINK("https://www.klasekpyrotechnics.cz/dp1fd")</f>
        <v>https://www.klasekpyrotechnics.cz/dp1fd</v>
      </c>
      <c r="AA49" s="569">
        <f>IFERROR(IF(VLOOKUP(C49,[4]List1!$A:$D,4,FALSE)=0,"",VLOOKUP(C49,[4]List1!$A:$D,4,FALSE)),"")</f>
        <v>42</v>
      </c>
      <c r="AB49" s="565"/>
      <c r="AC49" s="570" t="str">
        <f>IFERROR(IF(VLOOKUP(C49,[1]List1!$A:$D,2,FALSE)="VYPRODÁNO",$V$9,IF(VLOOKUP(C49,[1]List1!$A:$D,2,FALSE)="DOCHÁZÍ",$V$3,VLOOKUP(C49,[1]List1!$A:$D,2,FALSE))),"OFFLINE!")</f>
        <v>SKLADEM</v>
      </c>
      <c r="AD49" s="570" t="str">
        <f ca="1">IF(AP49="NE",$V$10,IF(AC49=$V$3,IF(AQ49&lt;1,$V$8,$V$2&amp;" "&amp;AQ49&amp;" "&amp;$V$1),IF(AC49="SKLADEM",$V$6,IFERROR(IF(OR(AC49-TODAY()&gt;45,VLOOKUP(C49,[1]List1!$A:$E,4,FALSE)=0),AC49,DAY(AC49)&amp;"."&amp;MONTH(AC49)&amp;"."&amp;YEAR(AC49)&amp;" "&amp;$V$4&amp;VLOOKUP(C49,[1]List1!$A:$E,4,FALSE)&amp;" "&amp;$V$1),AC49))))</f>
        <v>SKLADEM</v>
      </c>
      <c r="AE49" s="581" t="str">
        <f t="shared" ca="1" si="87"/>
        <v>SKLADEM</v>
      </c>
      <c r="AF49" s="584">
        <f t="shared" si="88"/>
        <v>0</v>
      </c>
      <c r="AG49" s="585">
        <f t="shared" si="89"/>
        <v>0</v>
      </c>
      <c r="AH49" s="583">
        <f t="shared" si="90"/>
        <v>0</v>
      </c>
      <c r="AI49" s="582">
        <f t="shared" si="91"/>
        <v>0</v>
      </c>
      <c r="AJ49" s="569">
        <f t="shared" si="92"/>
        <v>0</v>
      </c>
      <c r="AK49" s="569" t="str">
        <f t="shared" si="93"/>
        <v/>
      </c>
      <c r="AL49" s="569" t="str">
        <f t="shared" si="94"/>
        <v/>
      </c>
      <c r="AM49" s="569">
        <f t="shared" si="95"/>
        <v>0</v>
      </c>
      <c r="AN49" s="581">
        <f t="shared" si="96"/>
        <v>0</v>
      </c>
      <c r="AO49" s="623"/>
      <c r="AP49" s="632" t="str">
        <f t="shared" si="61"/>
        <v/>
      </c>
      <c r="AQ49" s="633" t="str">
        <f>IF(AC49=$V$3,IF(VLOOKUP(C49,[1]List1!$A:$E,5,FALSE)=0,1,VLOOKUP(C49,[1]List1!$A:$E,5,FALSE)),"")</f>
        <v/>
      </c>
      <c r="AR49" s="625" t="str">
        <f t="shared" si="62"/>
        <v/>
      </c>
      <c r="AS49" s="634" t="str">
        <f t="shared" si="63"/>
        <v/>
      </c>
      <c r="AT49" s="625" t="str">
        <f t="shared" si="64"/>
        <v/>
      </c>
      <c r="AU49" s="638" t="e">
        <f t="shared" si="65"/>
        <v>#N/A</v>
      </c>
      <c r="AV49" s="625" t="e">
        <f t="shared" si="66"/>
        <v>#N/A</v>
      </c>
      <c r="AX49" s="625">
        <f>IF(AND('General price list'!$J49="F4",'General price list'!$AB49+0&gt;0),1,0)</f>
        <v>0</v>
      </c>
      <c r="AY49" s="625">
        <f t="shared" si="67"/>
        <v>1</v>
      </c>
      <c r="AZ49" s="625">
        <f t="shared" si="68"/>
        <v>0</v>
      </c>
    </row>
    <row r="50" spans="1:52" ht="15" customHeight="1">
      <c r="A50" s="639" t="str">
        <f>Kat.!C51</f>
        <v/>
      </c>
      <c r="B50" s="640">
        <f>IF(AND('General price list'!$J50="F4",$AI$1=FALSE),0,IF(AC50="SKLADEM",1,IF(AC50=$V$3,1,0)))</f>
        <v>0</v>
      </c>
      <c r="C50" s="641" t="s">
        <v>15094</v>
      </c>
      <c r="D50" s="642" t="s">
        <v>15095</v>
      </c>
      <c r="E50" s="643" t="s">
        <v>514</v>
      </c>
      <c r="F50" s="771">
        <f>IFERROR(VLOOKUP(C50,[2]List1!$A:$D,3,FALSE),"NEUVEDENO!")</f>
        <v>117</v>
      </c>
      <c r="G50" s="768">
        <f t="shared" ref="G50" si="97">IF($W$17=$AF$8,ROUND((F50)/$F$17,2),(F50)*$B$19)</f>
        <v>117</v>
      </c>
      <c r="H50" s="765">
        <f>G50/$F$17</f>
        <v>4.9699889131016555</v>
      </c>
      <c r="I50" s="644">
        <f>IFERROR(VLOOKUP(C50,[2]List1!$A:$D,4,FALSE),"NEUVEDENO!")</f>
        <v>36</v>
      </c>
      <c r="J50" s="733" t="s">
        <v>19</v>
      </c>
      <c r="K50" s="645">
        <v>4</v>
      </c>
      <c r="L50" s="645"/>
      <c r="M50" s="645" t="s">
        <v>21</v>
      </c>
      <c r="N50" s="645">
        <f>IFERROR(VLOOKUP(C50,[3]List1!$A:$D,4,FALSE),"N/A!")</f>
        <v>2.18595E-2</v>
      </c>
      <c r="O50" s="645">
        <f>IFERROR(VLOOKUP(C50,[3]List1!$A:$D,3,FALSE),"N/A!")</f>
        <v>90</v>
      </c>
      <c r="P50" s="645">
        <f>IFERROR(VLOOKUP(C50,[3]List1!$A:$D,2,FALSE),"N/A!")</f>
        <v>14000</v>
      </c>
      <c r="Q50" s="645" t="s">
        <v>11245</v>
      </c>
      <c r="R50" s="645"/>
      <c r="S50" s="645"/>
      <c r="T50" s="645">
        <v>12</v>
      </c>
      <c r="U50" s="645"/>
      <c r="V50" s="645"/>
      <c r="W50" s="645" t="str">
        <f>IFERROR(VLOOKUP('General price list'!$C50,Popisy!A:M,MATCH($W$17,Popisy!$A$7:$M$7,0),FALSE),"---------------")</f>
        <v>práskající fontána</v>
      </c>
      <c r="X50" s="645" t="str">
        <f>IF(AB50&lt;0.0001,"",AB50)</f>
        <v/>
      </c>
      <c r="Y50" s="645" t="str">
        <f>IF($AL$3=2,IF(OR(AB50&lt;&gt;"",AB50&lt;&gt;0),AU50,""),IF(C50="","",IF(AB50&lt;0.0001,"",IF(B50=0,"",IF(AQ50&lt;AB50,"",AB50)))))</f>
        <v/>
      </c>
      <c r="Z50" s="645" t="str">
        <f>HYPERLINK("https://www.klasekpyrotechnics.cz/f1db")</f>
        <v>https://www.klasekpyrotechnics.cz/f1db</v>
      </c>
      <c r="AA50" s="645" t="str">
        <f>IFERROR(IF(VLOOKUP(C50,[4]List1!$A:$D,4,FALSE)=0,"",VLOOKUP(C50,[4]List1!$A:$D,4,FALSE)),"")</f>
        <v/>
      </c>
      <c r="AB50" s="646"/>
      <c r="AC50" s="647" t="str">
        <f>IFERROR(IF(VLOOKUP(C50,[1]List1!$A:$D,2,FALSE)="VYPRODÁNO",$V$9,IF(VLOOKUP(C50,[1]List1!$A:$D,2,FALSE)="DOCHÁZÍ",$V$3,VLOOKUP(C50,[1]List1!$A:$D,2,FALSE))),"OFFLINE!")</f>
        <v>31.08.2026</v>
      </c>
      <c r="AD50" s="647" t="str">
        <f ca="1">IF(AP50="NE",$V$10,IF(AC50=$V$3,IF(AQ50&lt;1,$V$8,$V$2&amp;" "&amp;AQ50&amp;" "&amp;$V$1),IF(AC50="SKLADEM",$V$6,IFERROR(IF(OR(AC50-TODAY()&gt;45,VLOOKUP(C50,[1]List1!$A:$E,4,FALSE)=0),AC50,DAY(AC50)&amp;"."&amp;MONTH(AC50)&amp;"."&amp;YEAR(AC50)&amp;" "&amp;$V$4&amp;VLOOKUP(C50,[1]List1!$A:$E,4,FALSE)&amp;" "&amp;$V$1),AC50))))</f>
        <v>31.08.2026</v>
      </c>
      <c r="AE50" s="645" t="str">
        <f ca="1">IFERROR(IF(AV50&lt;&gt;"",AV50,AD50),AD50)</f>
        <v>31.08.2026</v>
      </c>
      <c r="AF50" s="648">
        <f>IFERROR(IF(AB50=Y50,G50*I50*Y50,0),0)</f>
        <v>0</v>
      </c>
      <c r="AG50" s="649">
        <f>IF($W$17=$AF$8,AH50*1.23,AF50*1.21)</f>
        <v>0</v>
      </c>
      <c r="AH50" s="650">
        <f>IFERROR(IF(Y50=AB50,H50*I50*Y50,0),0)</f>
        <v>0</v>
      </c>
      <c r="AI50" s="645">
        <f>IFERROR(IF(Y50=AB50,(P50*Y50)/1000,1),0)</f>
        <v>0</v>
      </c>
      <c r="AJ50" s="645">
        <f>IFERROR(IF(Y50=AB50,N50*Y50,0.1),0)</f>
        <v>0</v>
      </c>
      <c r="AK50" s="645" t="str">
        <f>IFERROR(IF(Y50=AB50,IF(M50="1.1G",(O50/1000)*Y50,""),""),0)</f>
        <v/>
      </c>
      <c r="AL50" s="645" t="str">
        <f>IFERROR(IF(Y50=AB50,IF(M50="1.3G",(O50/1000)*AB50,""),""),0)</f>
        <v/>
      </c>
      <c r="AM50" s="645">
        <f>IFERROR(IF(Y50=AB50,IF(M50="1.4G",(O50/1000)*AB50,""),""),0)</f>
        <v>0</v>
      </c>
      <c r="AN50" s="651">
        <f>SUM(AK50:AM50)</f>
        <v>0</v>
      </c>
      <c r="AO50" s="623"/>
      <c r="AP50" s="632" t="str">
        <f t="shared" ref="AP50" si="98">IF($AL$3=1,IF(Y50=AB50,"","NE"),IF(AR50=$V$10,"NE",""))</f>
        <v/>
      </c>
      <c r="AQ50" s="633" t="str">
        <f>IF(AC50=$V$3,IF(VLOOKUP(C50,[1]List1!$A:$E,5,FALSE)=0,1,VLOOKUP(C50,[1]List1!$A:$E,5,FALSE)),"")</f>
        <v/>
      </c>
      <c r="AR50" s="625" t="str">
        <f t="shared" ref="AR50" si="99">IF($AL$3=1,"",IF(OR(AB50&lt;&gt;"",AB50&lt;&gt;0),IF(OR(AC50=$V$6,AC50=$V$3,AC50=$V$9),$V$10,""),""))</f>
        <v/>
      </c>
      <c r="AS50" s="634" t="str">
        <f t="shared" ref="AS50" si="100">IF(AT50&lt;&gt;"","X","")</f>
        <v/>
      </c>
      <c r="AT50" s="625" t="str">
        <f t="shared" ref="AT50" si="101">IF(AND($AL$3=2,AR50="",AB50&lt;&gt;""),AD50,"")</f>
        <v/>
      </c>
      <c r="AU50" s="638" t="e">
        <f t="shared" ref="AU50" si="102">IF(AT50=$AS$21,AB50,"")</f>
        <v>#N/A</v>
      </c>
      <c r="AV50" s="625" t="e">
        <f t="shared" ref="AV50" si="103">IF(OR(AB50="",AND(AT50&lt;&gt;"",AU50&lt;&gt;"")),"",$V$10)</f>
        <v>#N/A</v>
      </c>
      <c r="AX50" s="625">
        <f>IF(AND('General price list'!$J50="F4",'General price list'!$AB50+0&gt;0),1,0)</f>
        <v>0</v>
      </c>
      <c r="AY50" s="625">
        <f t="shared" ref="AY50" si="104">IFERROR(FIND(VLOOKUP($AC$7,$AD$1:$AE$12,2,FALSE),Q50,1),0)</f>
        <v>1</v>
      </c>
      <c r="AZ50" s="625">
        <f t="shared" ref="AZ50" si="105">IFERROR(FIND(VLOOKUP($AC$7,$AD$1:$AE$12,2,FALSE),R50,1),0)</f>
        <v>0</v>
      </c>
    </row>
    <row r="51" spans="1:52" ht="15" customHeight="1">
      <c r="A51" s="621" t="str">
        <f>Kat.!C51</f>
        <v/>
      </c>
      <c r="B51" s="566">
        <f>IF(AND('General price list'!$J51="F4",$AI$1=FALSE),0,IF(AC51="SKLADEM",1,IF(AC51=$V$3,1,0)))</f>
        <v>1</v>
      </c>
      <c r="C51" s="567" t="s">
        <v>12003</v>
      </c>
      <c r="D51" s="568" t="s">
        <v>12497</v>
      </c>
      <c r="E51" s="763" t="s">
        <v>12635</v>
      </c>
      <c r="F51" s="772">
        <f>IFERROR(VLOOKUP(C51,[2]List1!$A:$D,3,FALSE),"NEUVEDENO!")</f>
        <v>120</v>
      </c>
      <c r="G51" s="769">
        <f t="shared" si="83"/>
        <v>120</v>
      </c>
      <c r="H51" s="766">
        <f t="shared" si="84"/>
        <v>5.0974245262581084</v>
      </c>
      <c r="I51" s="764">
        <f>IFERROR(VLOOKUP(C51,[2]List1!$A:$D,4,FALSE),"NEUVEDENO!")</f>
        <v>28</v>
      </c>
      <c r="J51" s="732" t="s">
        <v>19</v>
      </c>
      <c r="K51" s="569" t="s">
        <v>20</v>
      </c>
      <c r="L51" s="569"/>
      <c r="M51" s="569" t="s">
        <v>21</v>
      </c>
      <c r="N51" s="569">
        <f>IFERROR(VLOOKUP(C51,[3]List1!$A:$D,4,FALSE),"N/A!")</f>
        <v>4.6054400000000002E-2</v>
      </c>
      <c r="O51" s="569">
        <f>IFERROR(VLOOKUP(C51,[3]List1!$A:$D,3,FALSE),"N/A!")</f>
        <v>1050</v>
      </c>
      <c r="P51" s="569">
        <f>IFERROR(VLOOKUP(C51,[3]List1!$A:$D,2,FALSE),"N/A!")</f>
        <v>8800</v>
      </c>
      <c r="Q51" s="569" t="s">
        <v>11233</v>
      </c>
      <c r="R51" s="569"/>
      <c r="S51" s="569"/>
      <c r="T51" s="569">
        <v>20</v>
      </c>
      <c r="U51" s="569"/>
      <c r="V51" s="569"/>
      <c r="W51" s="569" t="str">
        <f>IFERROR(IF(AND($AB51&gt;=0.1*$AA51,MOD($AB51,$AA51)&gt;=($AA51-(0.1*$AA51))),IF($W$17=$AF$1,"Zvažte možnost doobjednání ještě "&amp;Tabulka1[[#This Row],[VKPAL]]-MOD(AB51,AA51)&amp;" VK do plné palety.",VLOOKUP("Zvažte možnost doobjednání ještě ",Jazyky_ceník!A:Q,MATCH($W$17,Jazyky_ceník!$A$1:$Q$1,0),FALSE)&amp;Tabulka1[[#This Row],[VKPAL]]-MOD(AB51,AA51)&amp;VLOOKUP(" VK do plné palety.",Jazyky_ceník!A:Q,MATCH($W$17,Jazyky_ceník!$A$1:$Q$1,0),FALSE)),IFERROR(IF(AND(NOT(MOD($AB51,$AA51)=0),$AB51&gt;=0.9*$AA51,MOD($AB51,$AA51)&lt;=0.1*$AA51),IF($W$17=$AF$1,"Zvažte možnost optimalizace objednaného množství podle počtu VK na paletě ==&gt;",VLOOKUP("Zvažte možnost optimalizace objednaného množství podle počtu VK na paletě ==&gt;",Jazyky_ceník!A:Q,MATCH($W$17,Jazyky_ceník!$A$1:$Q$1,0),FALSE)),VLOOKUP('General price list'!$C51,Popisy!A:M,MATCH($W$17,Popisy!$A$7:$M$7,0),FALSE)),"---------------")),IFERROR(VLOOKUP('General price list'!$C51,Popisy!A:M,MATCH($W$17,Popisy!$A$7:$M$7,0),FALSE),"---------------"))</f>
        <v>5 různobarevných efektů</v>
      </c>
      <c r="X51" s="569" t="str">
        <f t="shared" si="85"/>
        <v/>
      </c>
      <c r="Y51" s="569" t="str">
        <f t="shared" si="86"/>
        <v/>
      </c>
      <c r="Z51" s="569" t="str">
        <f>HYPERLINK("https://www.klasekpyrotechnics.cz/f19mf1")</f>
        <v>https://www.klasekpyrotechnics.cz/f19mf1</v>
      </c>
      <c r="AA51" s="569">
        <f>IFERROR(IF(VLOOKUP(C51,[4]List1!$A:$D,4,FALSE)=0,"",VLOOKUP(C51,[4]List1!$A:$D,4,FALSE)),"")</f>
        <v>30</v>
      </c>
      <c r="AB51" s="565"/>
      <c r="AC51" s="570" t="str">
        <f>IFERROR(IF(VLOOKUP(C51,[1]List1!$A:$D,2,FALSE)="VYPRODÁNO",$V$9,IF(VLOOKUP(C51,[1]List1!$A:$D,2,FALSE)="DOCHÁZÍ",$V$3,VLOOKUP(C51,[1]List1!$A:$D,2,FALSE))),"OFFLINE!")</f>
        <v>SKLADEM</v>
      </c>
      <c r="AD51" s="570" t="str">
        <f ca="1">IF(AP51="NE",$V$10,IF(AC51=$V$3,IF(AQ51&lt;1,$V$8,$V$2&amp;" "&amp;AQ51&amp;" "&amp;$V$1),IF(AC51="SKLADEM",$V$6,IFERROR(IF(OR(AC51-TODAY()&gt;45,VLOOKUP(C51,[1]List1!$A:$E,4,FALSE)=0),AC51,DAY(AC51)&amp;"."&amp;MONTH(AC51)&amp;"."&amp;YEAR(AC51)&amp;" "&amp;$V$4&amp;VLOOKUP(C51,[1]List1!$A:$E,4,FALSE)&amp;" "&amp;$V$1),AC51))))</f>
        <v>SKLADEM</v>
      </c>
      <c r="AE51" s="581" t="str">
        <f t="shared" ca="1" si="87"/>
        <v>SKLADEM</v>
      </c>
      <c r="AF51" s="584">
        <f t="shared" si="88"/>
        <v>0</v>
      </c>
      <c r="AG51" s="585">
        <f t="shared" si="89"/>
        <v>0</v>
      </c>
      <c r="AH51" s="583">
        <f t="shared" si="90"/>
        <v>0</v>
      </c>
      <c r="AI51" s="582">
        <f t="shared" si="91"/>
        <v>0</v>
      </c>
      <c r="AJ51" s="569">
        <f t="shared" si="92"/>
        <v>0</v>
      </c>
      <c r="AK51" s="569" t="str">
        <f t="shared" si="93"/>
        <v/>
      </c>
      <c r="AL51" s="569" t="str">
        <f t="shared" si="94"/>
        <v/>
      </c>
      <c r="AM51" s="569">
        <f t="shared" si="95"/>
        <v>0</v>
      </c>
      <c r="AN51" s="581">
        <f t="shared" si="96"/>
        <v>0</v>
      </c>
      <c r="AO51" s="623"/>
      <c r="AP51" s="632" t="str">
        <f t="shared" si="61"/>
        <v/>
      </c>
      <c r="AQ51" s="633" t="str">
        <f>IF(AC51=$V$3,IF(VLOOKUP(C51,[1]List1!$A:$E,5,FALSE)=0,1,VLOOKUP(C51,[1]List1!$A:$E,5,FALSE)),"")</f>
        <v/>
      </c>
      <c r="AR51" s="625" t="str">
        <f t="shared" si="62"/>
        <v/>
      </c>
      <c r="AS51" s="634" t="str">
        <f t="shared" si="63"/>
        <v/>
      </c>
      <c r="AT51" s="625" t="str">
        <f t="shared" si="64"/>
        <v/>
      </c>
      <c r="AU51" s="638" t="e">
        <f t="shared" si="65"/>
        <v>#N/A</v>
      </c>
      <c r="AV51" s="625" t="e">
        <f t="shared" si="66"/>
        <v>#N/A</v>
      </c>
      <c r="AX51" s="625">
        <f>IF(AND('General price list'!$J51="F4",'General price list'!$AB51+0&gt;0),1,0)</f>
        <v>0</v>
      </c>
      <c r="AY51" s="625">
        <f t="shared" si="67"/>
        <v>1</v>
      </c>
      <c r="AZ51" s="625">
        <f t="shared" si="68"/>
        <v>0</v>
      </c>
    </row>
    <row r="52" spans="1:52" ht="15" customHeight="1">
      <c r="A52" s="639" t="str">
        <f>Kat.!C52</f>
        <v>×</v>
      </c>
      <c r="B52" s="640">
        <f>IF(AND('General price list'!$J52="F4",$AI$1=FALSE),0,IF(AC52="SKLADEM",1,IF(AC52=$V$3,1,0)))</f>
        <v>1</v>
      </c>
      <c r="C52" s="641" t="s">
        <v>2222</v>
      </c>
      <c r="D52" s="642" t="s">
        <v>2223</v>
      </c>
      <c r="E52" s="643" t="s">
        <v>12636</v>
      </c>
      <c r="F52" s="771">
        <f>IFERROR(VLOOKUP(C52,[2]List1!$A:$D,3,FALSE),"NEUVEDENO!")</f>
        <v>80</v>
      </c>
      <c r="G52" s="768">
        <f t="shared" si="83"/>
        <v>80</v>
      </c>
      <c r="H52" s="765">
        <f t="shared" si="84"/>
        <v>3.3982830175054053</v>
      </c>
      <c r="I52" s="644">
        <f>IFERROR(VLOOKUP(C52,[2]List1!$A:$D,4,FALSE),"NEUVEDENO!")</f>
        <v>40</v>
      </c>
      <c r="J52" s="733" t="s">
        <v>193</v>
      </c>
      <c r="K52" s="645" t="s">
        <v>20</v>
      </c>
      <c r="L52" s="645" t="s">
        <v>20</v>
      </c>
      <c r="M52" s="645" t="s">
        <v>21</v>
      </c>
      <c r="N52" s="645">
        <f>IFERROR(VLOOKUP(C52,[3]List1!$A:$D,4,FALSE),"N/A!")</f>
        <v>1.2332249999999999E-2</v>
      </c>
      <c r="O52" s="645">
        <f>IFERROR(VLOOKUP(C52,[3]List1!$A:$D,3,FALSE),"N/A!")</f>
        <v>1440</v>
      </c>
      <c r="P52" s="645">
        <f>IFERROR(VLOOKUP(C52,[3]List1!$A:$D,2,FALSE),"N/A!")</f>
        <v>10000</v>
      </c>
      <c r="Q52" s="645" t="s">
        <v>11232</v>
      </c>
      <c r="R52" s="645" t="s">
        <v>20</v>
      </c>
      <c r="S52" s="645"/>
      <c r="T52" s="645">
        <v>30</v>
      </c>
      <c r="U52" s="645"/>
      <c r="V52" s="645"/>
      <c r="W52" s="645" t="str">
        <f>IFERROR(IF(AND($AB52&gt;=0.1*$AA52,MOD($AB52,$AA52)&gt;=($AA52-(0.1*$AA52))),IF($W$17=$AF$1,"Zvažte možnost doobjednání ještě "&amp;Tabulka1[[#This Row],[VKPAL]]-MOD(AB52,AA52)&amp;" VK do plné palety.",VLOOKUP("Zvažte možnost doobjednání ještě ",Jazyky_ceník!A:Q,MATCH($W$17,Jazyky_ceník!$A$1:$Q$1,0),FALSE)&amp;Tabulka1[[#This Row],[VKPAL]]-MOD(AB52,AA52)&amp;VLOOKUP(" VK do plné palety.",Jazyky_ceník!A:Q,MATCH($W$17,Jazyky_ceník!$A$1:$Q$1,0),FALSE)),IFERROR(IF(AND(NOT(MOD($AB52,$AA52)=0),$AB52&gt;=0.9*$AA52,MOD($AB52,$AA52)&lt;=0.1*$AA52),IF($W$17=$AF$1,"Zvažte možnost optimalizace objednaného množství podle počtu VK na paletě ==&gt;",VLOOKUP("Zvažte možnost optimalizace objednaného množství podle počtu VK na paletě ==&gt;",Jazyky_ceník!A:Q,MATCH($W$17,Jazyky_ceník!$A$1:$Q$1,0),FALSE)),VLOOKUP('General price list'!$C52,Popisy!A:M,MATCH($W$17,Popisy!$A$7:$M$7,0),FALSE)),"---------------")),IFERROR(VLOOKUP('General price list'!$C52,Popisy!A:M,MATCH($W$17,Popisy!$A$7:$M$7,0),FALSE),"---------------"))</f>
        <v>dětská party pochodeň(barevná) se svítícím náramkem</v>
      </c>
      <c r="X52" s="645" t="str">
        <f t="shared" si="85"/>
        <v/>
      </c>
      <c r="Y52" s="645" t="str">
        <f t="shared" si="86"/>
        <v/>
      </c>
      <c r="Z52" s="645" t="str">
        <f>HYPERLINK("https://www.klasekpyrotechnics.cz/bp30s")</f>
        <v>https://www.klasekpyrotechnics.cz/bp30s</v>
      </c>
      <c r="AA52" s="645">
        <f>IFERROR(IF(VLOOKUP(C52,[4]List1!$A:$D,4,FALSE)=0,"",VLOOKUP(C52,[4]List1!$A:$D,4,FALSE)),"")</f>
        <v>75</v>
      </c>
      <c r="AB52" s="646"/>
      <c r="AC52" s="647" t="str">
        <f>IFERROR(IF(VLOOKUP(C52,[1]List1!$A:$D,2,FALSE)="VYPRODÁNO",$V$9,IF(VLOOKUP(C52,[1]List1!$A:$D,2,FALSE)="DOCHÁZÍ",$V$3,VLOOKUP(C52,[1]List1!$A:$D,2,FALSE))),"OFFLINE!")</f>
        <v>SKLADEM</v>
      </c>
      <c r="AD52" s="647" t="str">
        <f ca="1">IF(AP52="NE",$V$10,IF(AC52=$V$3,IF(AQ52&lt;1,$V$8,$V$2&amp;" "&amp;AQ52&amp;" "&amp;$V$1),IF(AC52="SKLADEM",$V$6,IFERROR(IF(OR(AC52-TODAY()&gt;45,VLOOKUP(C52,[1]List1!$A:$E,4,FALSE)=0),AC52,DAY(AC52)&amp;"."&amp;MONTH(AC52)&amp;"."&amp;YEAR(AC52)&amp;" "&amp;$V$4&amp;VLOOKUP(C52,[1]List1!$A:$E,4,FALSE)&amp;" "&amp;$V$1),AC52))))</f>
        <v>SKLADEM</v>
      </c>
      <c r="AE52" s="645" t="str">
        <f t="shared" ca="1" si="87"/>
        <v>SKLADEM</v>
      </c>
      <c r="AF52" s="648">
        <f t="shared" si="88"/>
        <v>0</v>
      </c>
      <c r="AG52" s="649">
        <f t="shared" si="89"/>
        <v>0</v>
      </c>
      <c r="AH52" s="650">
        <f t="shared" si="90"/>
        <v>0</v>
      </c>
      <c r="AI52" s="645">
        <f t="shared" si="91"/>
        <v>0</v>
      </c>
      <c r="AJ52" s="645">
        <f t="shared" si="92"/>
        <v>0</v>
      </c>
      <c r="AK52" s="645" t="str">
        <f t="shared" si="93"/>
        <v/>
      </c>
      <c r="AL52" s="645" t="str">
        <f t="shared" si="94"/>
        <v/>
      </c>
      <c r="AM52" s="645">
        <f t="shared" si="95"/>
        <v>0</v>
      </c>
      <c r="AN52" s="651">
        <f t="shared" si="96"/>
        <v>0</v>
      </c>
      <c r="AO52" s="623"/>
      <c r="AP52" s="632" t="str">
        <f t="shared" si="61"/>
        <v/>
      </c>
      <c r="AQ52" s="633" t="str">
        <f>IF(AC52=$V$3,IF(VLOOKUP(C52,[1]List1!$A:$E,5,FALSE)=0,1,VLOOKUP(C52,[1]List1!$A:$E,5,FALSE)),"")</f>
        <v/>
      </c>
      <c r="AR52" s="625" t="str">
        <f t="shared" si="62"/>
        <v/>
      </c>
      <c r="AS52" s="634" t="str">
        <f t="shared" si="63"/>
        <v/>
      </c>
      <c r="AT52" s="625" t="str">
        <f t="shared" si="64"/>
        <v/>
      </c>
      <c r="AU52" s="638" t="e">
        <f t="shared" si="65"/>
        <v>#N/A</v>
      </c>
      <c r="AV52" s="625" t="e">
        <f t="shared" si="66"/>
        <v>#N/A</v>
      </c>
      <c r="AX52" s="625">
        <f>IF(AND('General price list'!$J52="F4",'General price list'!$AB52+0&gt;0),1,0)</f>
        <v>0</v>
      </c>
      <c r="AY52" s="625">
        <f t="shared" si="67"/>
        <v>1</v>
      </c>
      <c r="AZ52" s="625">
        <f t="shared" si="68"/>
        <v>0</v>
      </c>
    </row>
    <row r="53" spans="1:52" ht="15" customHeight="1">
      <c r="A53" s="621" t="str">
        <f>Kat.!C53</f>
        <v/>
      </c>
      <c r="B53" s="566">
        <f>IF(AND('General price list'!$J53="F4",$AI$1=FALSE),0,IF(AC53="SKLADEM",1,IF(AC53=$V$3,1,0)))</f>
        <v>1</v>
      </c>
      <c r="C53" s="567" t="s">
        <v>9470</v>
      </c>
      <c r="D53" s="568" t="s">
        <v>11694</v>
      </c>
      <c r="E53" s="763" t="s">
        <v>12637</v>
      </c>
      <c r="F53" s="772">
        <f>IFERROR(VLOOKUP(C53,[2]List1!$A:$D,3,FALSE),"NEUVEDENO!")</f>
        <v>74</v>
      </c>
      <c r="G53" s="769">
        <f t="shared" si="83"/>
        <v>74</v>
      </c>
      <c r="H53" s="766">
        <f t="shared" si="84"/>
        <v>3.1434117911924999</v>
      </c>
      <c r="I53" s="764">
        <f>IFERROR(VLOOKUP(C53,[2]List1!$A:$D,4,FALSE),"NEUVEDENO!")</f>
        <v>40</v>
      </c>
      <c r="J53" s="732" t="s">
        <v>19</v>
      </c>
      <c r="K53" s="569" t="s">
        <v>20</v>
      </c>
      <c r="L53" s="569" t="s">
        <v>20</v>
      </c>
      <c r="M53" s="569" t="s">
        <v>21</v>
      </c>
      <c r="N53" s="569">
        <f>IFERROR(VLOOKUP(C53,[3]List1!$A:$D,4,FALSE),"N/A!")</f>
        <v>1.7249999999999998E-2</v>
      </c>
      <c r="O53" s="569">
        <f>IFERROR(VLOOKUP(C53,[3]List1!$A:$D,3,FALSE),"N/A!")</f>
        <v>1536.0000000000002</v>
      </c>
      <c r="P53" s="569">
        <f>IFERROR(VLOOKUP(C53,[3]List1!$A:$D,2,FALSE),"N/A!")</f>
        <v>10000</v>
      </c>
      <c r="Q53" s="569" t="s">
        <v>11233</v>
      </c>
      <c r="R53" s="569"/>
      <c r="S53" s="569"/>
      <c r="T53" s="569">
        <v>12</v>
      </c>
      <c r="U53" s="569"/>
      <c r="V53" s="569"/>
      <c r="W53" s="569" t="str">
        <f>IFERROR(IF(AND($AB53&gt;=0.1*$AA53,MOD($AB53,$AA53)&gt;=($AA53-(0.1*$AA53))),IF($W$17=$AF$1,"Zvažte možnost doobjednání ještě "&amp;Tabulka1[[#This Row],[VKPAL]]-MOD(AB53,AA53)&amp;" VK do plné palety.",VLOOKUP("Zvažte možnost doobjednání ještě ",Jazyky_ceník!A:Q,MATCH($W$17,Jazyky_ceník!$A$1:$Q$1,0),FALSE)&amp;Tabulka1[[#This Row],[VKPAL]]-MOD(AB53,AA53)&amp;VLOOKUP(" VK do plné palety.",Jazyky_ceník!A:Q,MATCH($W$17,Jazyky_ceník!$A$1:$Q$1,0),FALSE)),IFERROR(IF(AND(NOT(MOD($AB53,$AA53)=0),$AB53&gt;=0.9*$AA53,MOD($AB53,$AA53)&lt;=0.1*$AA53),IF($W$17=$AF$1,"Zvažte možnost optimalizace objednaného množství podle počtu VK na paletě ==&gt;",VLOOKUP("Zvažte možnost optimalizace objednaného množství podle počtu VK na paletě ==&gt;",Jazyky_ceník!A:Q,MATCH($W$17,Jazyky_ceník!$A$1:$Q$1,0),FALSE)),VLOOKUP('General price list'!$C53,Popisy!A:M,MATCH($W$17,Popisy!$A$7:$M$7,0),FALSE)),"---------------")),IFERROR(VLOOKUP('General price list'!$C53,Popisy!A:M,MATCH($W$17,Popisy!$A$7:$M$7,0),FALSE),"---------------"))</f>
        <v>práskající a blikající pochodeň</v>
      </c>
      <c r="X53" s="569" t="str">
        <f t="shared" si="85"/>
        <v/>
      </c>
      <c r="Y53" s="569" t="str">
        <f t="shared" si="86"/>
        <v/>
      </c>
      <c r="Z53" s="569" t="str">
        <f>HYPERLINK("https://www.klasekpyrotechnics.cz/cst12s")</f>
        <v>https://www.klasekpyrotechnics.cz/cst12s</v>
      </c>
      <c r="AA53" s="569">
        <f>IFERROR(IF(VLOOKUP(C53,[4]List1!$A:$D,4,FALSE)=0,"",VLOOKUP(C53,[4]List1!$A:$D,4,FALSE)),"")</f>
        <v>78</v>
      </c>
      <c r="AB53" s="565"/>
      <c r="AC53" s="570" t="str">
        <f>IFERROR(IF(VLOOKUP(C53,[1]List1!$A:$D,2,FALSE)="VYPRODÁNO",$V$9,IF(VLOOKUP(C53,[1]List1!$A:$D,2,FALSE)="DOCHÁZÍ",$V$3,VLOOKUP(C53,[1]List1!$A:$D,2,FALSE))),"OFFLINE!")</f>
        <v>SKLADEM</v>
      </c>
      <c r="AD53" s="570" t="str">
        <f ca="1">IF(AP53="NE",$V$10,IF(AC53=$V$3,IF(AQ53&lt;1,$V$8,$V$2&amp;" "&amp;AQ53&amp;" "&amp;$V$1),IF(AC53="SKLADEM",$V$6,IFERROR(IF(OR(AC53-TODAY()&gt;45,VLOOKUP(C53,[1]List1!$A:$E,4,FALSE)=0),AC53,DAY(AC53)&amp;"."&amp;MONTH(AC53)&amp;"."&amp;YEAR(AC53)&amp;" "&amp;$V$4&amp;VLOOKUP(C53,[1]List1!$A:$E,4,FALSE)&amp;" "&amp;$V$1),AC53))))</f>
        <v>SKLADEM</v>
      </c>
      <c r="AE53" s="581" t="str">
        <f t="shared" ca="1" si="87"/>
        <v>SKLADEM</v>
      </c>
      <c r="AF53" s="584">
        <f t="shared" si="88"/>
        <v>0</v>
      </c>
      <c r="AG53" s="585">
        <f t="shared" si="89"/>
        <v>0</v>
      </c>
      <c r="AH53" s="583">
        <f t="shared" si="90"/>
        <v>0</v>
      </c>
      <c r="AI53" s="582">
        <f t="shared" si="91"/>
        <v>0</v>
      </c>
      <c r="AJ53" s="569">
        <f t="shared" si="92"/>
        <v>0</v>
      </c>
      <c r="AK53" s="569" t="str">
        <f t="shared" si="93"/>
        <v/>
      </c>
      <c r="AL53" s="569" t="str">
        <f t="shared" si="94"/>
        <v/>
      </c>
      <c r="AM53" s="569">
        <f t="shared" si="95"/>
        <v>0</v>
      </c>
      <c r="AN53" s="581">
        <f t="shared" si="96"/>
        <v>0</v>
      </c>
      <c r="AO53" s="623"/>
      <c r="AP53" s="632" t="str">
        <f t="shared" si="61"/>
        <v/>
      </c>
      <c r="AQ53" s="633" t="str">
        <f>IF(AC53=$V$3,IF(VLOOKUP(C53,[1]List1!$A:$E,5,FALSE)=0,1,VLOOKUP(C53,[1]List1!$A:$E,5,FALSE)),"")</f>
        <v/>
      </c>
      <c r="AR53" s="625" t="str">
        <f t="shared" si="62"/>
        <v/>
      </c>
      <c r="AS53" s="634" t="str">
        <f t="shared" si="63"/>
        <v/>
      </c>
      <c r="AT53" s="625" t="str">
        <f t="shared" si="64"/>
        <v/>
      </c>
      <c r="AU53" s="638" t="e">
        <f t="shared" si="65"/>
        <v>#N/A</v>
      </c>
      <c r="AV53" s="625" t="e">
        <f t="shared" si="66"/>
        <v>#N/A</v>
      </c>
      <c r="AX53" s="625">
        <f>IF(AND('General price list'!$J53="F4",'General price list'!$AB53+0&gt;0),1,0)</f>
        <v>0</v>
      </c>
      <c r="AY53" s="625">
        <f t="shared" si="67"/>
        <v>1</v>
      </c>
      <c r="AZ53" s="625">
        <f t="shared" si="68"/>
        <v>0</v>
      </c>
    </row>
    <row r="54" spans="1:52" ht="15" customHeight="1">
      <c r="A54" s="639" t="str">
        <f>Kat.!C54</f>
        <v/>
      </c>
      <c r="B54" s="640">
        <f>IF(AND('General price list'!$J54="F4",$AI$1=FALSE),0,IF(AC54="SKLADEM",1,IF(AC54=$V$3,1,0)))</f>
        <v>1</v>
      </c>
      <c r="C54" s="641" t="s">
        <v>12004</v>
      </c>
      <c r="D54" s="642" t="s">
        <v>12005</v>
      </c>
      <c r="E54" s="643" t="s">
        <v>12638</v>
      </c>
      <c r="F54" s="771">
        <f>IFERROR(VLOOKUP(C54,[2]List1!$A:$D,3,FALSE),"NEUVEDENO!")</f>
        <v>70</v>
      </c>
      <c r="G54" s="768">
        <f t="shared" si="83"/>
        <v>70</v>
      </c>
      <c r="H54" s="765">
        <f t="shared" si="84"/>
        <v>2.97349764031723</v>
      </c>
      <c r="I54" s="644">
        <f>IFERROR(VLOOKUP(C54,[2]List1!$A:$D,4,FALSE),"NEUVEDENO!")</f>
        <v>50</v>
      </c>
      <c r="J54" s="733" t="s">
        <v>19</v>
      </c>
      <c r="K54" s="645" t="s">
        <v>20</v>
      </c>
      <c r="L54" s="645"/>
      <c r="M54" s="645" t="s">
        <v>21</v>
      </c>
      <c r="N54" s="645">
        <f>IFERROR(VLOOKUP(C54,[3]List1!$A:$D,4,FALSE),"N/A!")</f>
        <v>2.1904E-2</v>
      </c>
      <c r="O54" s="645">
        <f>IFERROR(VLOOKUP(C54,[3]List1!$A:$D,3,FALSE),"N/A!")</f>
        <v>1500</v>
      </c>
      <c r="P54" s="645">
        <f>IFERROR(VLOOKUP(C54,[3]List1!$A:$D,2,FALSE),"N/A!")</f>
        <v>8000</v>
      </c>
      <c r="Q54" s="645" t="s">
        <v>11233</v>
      </c>
      <c r="R54" s="645"/>
      <c r="S54" s="645"/>
      <c r="T54" s="645">
        <v>40</v>
      </c>
      <c r="U54" s="645"/>
      <c r="V54" s="645"/>
      <c r="W54" s="645" t="str">
        <f>IFERROR(IF(AND($AB54&gt;=0.1*$AA54,MOD($AB54,$AA54)&gt;=($AA54-(0.1*$AA54))),IF($W$17=$AF$1,"Zvažte možnost doobjednání ještě "&amp;Tabulka1[[#This Row],[VKPAL]]-MOD(AB54,AA54)&amp;" VK do plné palety.",VLOOKUP("Zvažte možnost doobjednání ještě ",Jazyky_ceník!A:Q,MATCH($W$17,Jazyky_ceník!$A$1:$Q$1,0),FALSE)&amp;Tabulka1[[#This Row],[VKPAL]]-MOD(AB54,AA54)&amp;VLOOKUP(" VK do plné palety.",Jazyky_ceník!A:Q,MATCH($W$17,Jazyky_ceník!$A$1:$Q$1,0),FALSE)),IFERROR(IF(AND(NOT(MOD($AB54,$AA54)=0),$AB54&gt;=0.9*$AA54,MOD($AB54,$AA54)&lt;=0.1*$AA54),IF($W$17=$AF$1,"Zvažte možnost optimalizace objednaného množství podle počtu VK na paletě ==&gt;",VLOOKUP("Zvažte možnost optimalizace objednaného množství podle počtu VK na paletě ==&gt;",Jazyky_ceník!A:Q,MATCH($W$17,Jazyky_ceník!$A$1:$Q$1,0),FALSE)),VLOOKUP('General price list'!$C54,Popisy!A:M,MATCH($W$17,Popisy!$A$7:$M$7,0),FALSE)),"---------------")),IFERROR(VLOOKUP('General price list'!$C54,Popisy!A:M,MATCH($W$17,Popisy!$A$7:$M$7,0),FALSE),"---------------"))</f>
        <v>zlatomodrá blikající fontána</v>
      </c>
      <c r="X54" s="645" t="str">
        <f t="shared" si="85"/>
        <v/>
      </c>
      <c r="Y54" s="645" t="str">
        <f t="shared" si="86"/>
        <v/>
      </c>
      <c r="Z54" s="645" t="str">
        <f>HYPERLINK("https://www.klasekpyrotechnics.cz/cst40s")</f>
        <v>https://www.klasekpyrotechnics.cz/cst40s</v>
      </c>
      <c r="AA54" s="645">
        <f>IFERROR(IF(VLOOKUP(C54,[4]List1!$A:$D,4,FALSE)=0,"",VLOOKUP(C54,[4]List1!$A:$D,4,FALSE)),"")</f>
        <v>72</v>
      </c>
      <c r="AB54" s="646"/>
      <c r="AC54" s="647" t="str">
        <f>IFERROR(IF(VLOOKUP(C54,[1]List1!$A:$D,2,FALSE)="VYPRODÁNO",$V$9,IF(VLOOKUP(C54,[1]List1!$A:$D,2,FALSE)="DOCHÁZÍ",$V$3,VLOOKUP(C54,[1]List1!$A:$D,2,FALSE))),"OFFLINE!")</f>
        <v>SKLADEM</v>
      </c>
      <c r="AD54" s="647" t="str">
        <f ca="1">IF(AP54="NE",$V$10,IF(AC54=$V$3,IF(AQ54&lt;1,$V$8,$V$2&amp;" "&amp;AQ54&amp;" "&amp;$V$1),IF(AC54="SKLADEM",$V$6,IFERROR(IF(OR(AC54-TODAY()&gt;45,VLOOKUP(C54,[1]List1!$A:$E,4,FALSE)=0),AC54,DAY(AC54)&amp;"."&amp;MONTH(AC54)&amp;"."&amp;YEAR(AC54)&amp;" "&amp;$V$4&amp;VLOOKUP(C54,[1]List1!$A:$E,4,FALSE)&amp;" "&amp;$V$1),AC54))))</f>
        <v>SKLADEM</v>
      </c>
      <c r="AE54" s="645" t="str">
        <f t="shared" ca="1" si="87"/>
        <v>SKLADEM</v>
      </c>
      <c r="AF54" s="648">
        <f t="shared" si="88"/>
        <v>0</v>
      </c>
      <c r="AG54" s="649">
        <f t="shared" si="89"/>
        <v>0</v>
      </c>
      <c r="AH54" s="650">
        <f t="shared" si="90"/>
        <v>0</v>
      </c>
      <c r="AI54" s="645">
        <f t="shared" si="91"/>
        <v>0</v>
      </c>
      <c r="AJ54" s="645">
        <f t="shared" si="92"/>
        <v>0</v>
      </c>
      <c r="AK54" s="645" t="str">
        <f t="shared" si="93"/>
        <v/>
      </c>
      <c r="AL54" s="645" t="str">
        <f t="shared" si="94"/>
        <v/>
      </c>
      <c r="AM54" s="645">
        <f t="shared" si="95"/>
        <v>0</v>
      </c>
      <c r="AN54" s="651">
        <f t="shared" si="96"/>
        <v>0</v>
      </c>
      <c r="AO54" s="623"/>
      <c r="AP54" s="632" t="str">
        <f t="shared" si="61"/>
        <v/>
      </c>
      <c r="AQ54" s="633" t="str">
        <f>IF(AC54=$V$3,IF(VLOOKUP(C54,[1]List1!$A:$E,5,FALSE)=0,1,VLOOKUP(C54,[1]List1!$A:$E,5,FALSE)),"")</f>
        <v/>
      </c>
      <c r="AR54" s="625" t="str">
        <f t="shared" si="62"/>
        <v/>
      </c>
      <c r="AS54" s="634" t="str">
        <f t="shared" si="63"/>
        <v/>
      </c>
      <c r="AT54" s="625" t="str">
        <f t="shared" si="64"/>
        <v/>
      </c>
      <c r="AU54" s="638" t="e">
        <f t="shared" si="65"/>
        <v>#N/A</v>
      </c>
      <c r="AV54" s="625" t="e">
        <f t="shared" si="66"/>
        <v>#N/A</v>
      </c>
      <c r="AX54" s="625">
        <f>IF(AND('General price list'!$J54="F4",'General price list'!$AB54+0&gt;0),1,0)</f>
        <v>0</v>
      </c>
      <c r="AY54" s="625">
        <f t="shared" si="67"/>
        <v>1</v>
      </c>
      <c r="AZ54" s="625">
        <f t="shared" si="68"/>
        <v>0</v>
      </c>
    </row>
    <row r="55" spans="1:52" ht="15" customHeight="1">
      <c r="A55" s="751" t="str">
        <f>Kat.!C55</f>
        <v xml:space="preserve">           Kat. F1 – Ostatní dětská pyrotechnika</v>
      </c>
      <c r="B55" s="751"/>
      <c r="C55" s="751"/>
      <c r="D55" s="751"/>
      <c r="E55" s="751"/>
      <c r="F55" s="751"/>
      <c r="G55" s="751"/>
      <c r="H55" s="751"/>
      <c r="I55" s="752"/>
      <c r="J55" s="752"/>
      <c r="K55" s="752" t="s">
        <v>20</v>
      </c>
      <c r="L55" s="753" t="s">
        <v>20</v>
      </c>
      <c r="M55" s="752"/>
      <c r="N55" s="752"/>
      <c r="O55" s="752"/>
      <c r="P55" s="752"/>
      <c r="Q55" s="752"/>
      <c r="R55" s="752"/>
      <c r="S55" s="752"/>
      <c r="T55" s="752"/>
      <c r="U55" s="752"/>
      <c r="V55" s="752"/>
      <c r="W55" s="752"/>
      <c r="X55" s="752"/>
      <c r="Y55" s="752"/>
      <c r="Z55" s="752" t="s">
        <v>20</v>
      </c>
      <c r="AA55" s="752"/>
      <c r="AB55" s="752"/>
      <c r="AC55" s="754"/>
      <c r="AD55" s="752"/>
      <c r="AE55" s="752"/>
      <c r="AF55" s="752"/>
      <c r="AG55" s="752"/>
      <c r="AH55" s="752"/>
      <c r="AI55" s="752"/>
      <c r="AJ55" s="752"/>
      <c r="AK55" s="752"/>
      <c r="AL55" s="752"/>
      <c r="AM55" s="752"/>
      <c r="AN55" s="752"/>
      <c r="AO55" s="623"/>
      <c r="AP55" s="632" t="str">
        <f t="shared" si="61"/>
        <v/>
      </c>
      <c r="AQ55" s="633" t="str">
        <f>IF(AC55=$V$3,IF(VLOOKUP(C55,[1]List1!$A:$E,5,FALSE)=0,1,VLOOKUP(C55,[1]List1!$A:$E,5,FALSE)),"")</f>
        <v/>
      </c>
      <c r="AR55" s="625" t="str">
        <f t="shared" si="62"/>
        <v/>
      </c>
      <c r="AS55" s="634" t="str">
        <f t="shared" si="63"/>
        <v/>
      </c>
      <c r="AT55" s="625" t="str">
        <f t="shared" si="64"/>
        <v/>
      </c>
      <c r="AU55" s="638" t="e">
        <f t="shared" si="65"/>
        <v>#N/A</v>
      </c>
      <c r="AV55" s="625" t="e">
        <f t="shared" si="66"/>
        <v>#N/A</v>
      </c>
      <c r="AX55" s="625">
        <f>IF(AND('General price list'!$J55="F4",'General price list'!$AB55+0&gt;0),1,0)</f>
        <v>0</v>
      </c>
      <c r="AY55" s="625">
        <f t="shared" si="67"/>
        <v>0</v>
      </c>
      <c r="AZ55" s="625">
        <f t="shared" si="68"/>
        <v>0</v>
      </c>
    </row>
    <row r="56" spans="1:52" ht="15" customHeight="1">
      <c r="A56" s="639" t="str">
        <f>Kat.!C56</f>
        <v/>
      </c>
      <c r="B56" s="640">
        <f>IF(AND('General price list'!$J56="F4",$AI$1=FALSE),0,IF(AC56="SKLADEM",1,IF(AC56=$V$3,1,0)))</f>
        <v>1</v>
      </c>
      <c r="C56" s="641" t="s">
        <v>2210</v>
      </c>
      <c r="D56" s="642" t="s">
        <v>2211</v>
      </c>
      <c r="E56" s="643" t="s">
        <v>12639</v>
      </c>
      <c r="F56" s="771">
        <f>IFERROR(VLOOKUP(C56,[2]List1!$A:$D,3,FALSE),"NEUVEDENO!")</f>
        <v>51</v>
      </c>
      <c r="G56" s="768">
        <f t="shared" ref="G56:G62" si="106">IF($W$17=$AF$8,ROUND((F56)/$F$17,2),(F56)*$B$19)</f>
        <v>51</v>
      </c>
      <c r="H56" s="765">
        <f t="shared" ref="H56:H62" si="107">IF($W$17=$AF$8,G56*$B$19,G56/$F$17)</f>
        <v>2.1664054236596959</v>
      </c>
      <c r="I56" s="644">
        <f>IFERROR(VLOOKUP(C56,[2]List1!$A:$D,4,FALSE),"NEUVEDENO!")</f>
        <v>60</v>
      </c>
      <c r="J56" s="733" t="s">
        <v>39</v>
      </c>
      <c r="K56" s="645" t="s">
        <v>20</v>
      </c>
      <c r="L56" s="645" t="s">
        <v>20</v>
      </c>
      <c r="M56" s="645" t="s">
        <v>21</v>
      </c>
      <c r="N56" s="645">
        <f>IFERROR(VLOOKUP(C56,[3]List1!$A:$D,4,FALSE),"N/A!")</f>
        <v>3.3724999999999998E-2</v>
      </c>
      <c r="O56" s="645">
        <f>IFERROR(VLOOKUP(C56,[3]List1!$A:$D,3,FALSE),"N/A!")</f>
        <v>240</v>
      </c>
      <c r="P56" s="645">
        <f>IFERROR(VLOOKUP(C56,[3]List1!$A:$D,2,FALSE),"N/A!")</f>
        <v>3500</v>
      </c>
      <c r="Q56" s="645" t="s">
        <v>11230</v>
      </c>
      <c r="R56" s="645" t="s">
        <v>20</v>
      </c>
      <c r="S56" s="645"/>
      <c r="T56" s="645">
        <v>25</v>
      </c>
      <c r="U56" s="645"/>
      <c r="V56" s="645"/>
      <c r="W56" s="645" t="str">
        <f>IFERROR(IF(AND($AB56&gt;=0.1*$AA56,MOD($AB56,$AA56)&gt;=($AA56-(0.1*$AA56))),IF($W$17=$AF$1,"Zvažte možnost doobjednání ještě "&amp;Tabulka1[[#This Row],[VKPAL]]-MOD(AB56,AA56)&amp;" VK do plné palety.",VLOOKUP("Zvažte možnost doobjednání ještě ",Jazyky_ceník!A:Q,MATCH($W$17,Jazyky_ceník!$A$1:$Q$1,0),FALSE)&amp;Tabulka1[[#This Row],[VKPAL]]-MOD(AB56,AA56)&amp;VLOOKUP(" VK do plné palety.",Jazyky_ceník!A:Q,MATCH($W$17,Jazyky_ceník!$A$1:$Q$1,0),FALSE)),IFERROR(IF(AND(NOT(MOD($AB56,$AA56)=0),$AB56&gt;=0.9*$AA56,MOD($AB56,$AA56)&lt;=0.1*$AA56),IF($W$17=$AF$1,"Zvažte možnost optimalizace objednaného množství podle počtu VK na paletě ==&gt;",VLOOKUP("Zvažte možnost optimalizace objednaného množství podle počtu VK na paletě ==&gt;",Jazyky_ceník!A:Q,MATCH($W$17,Jazyky_ceník!$A$1:$Q$1,0),FALSE)),VLOOKUP('General price list'!$C56,Popisy!A:M,MATCH($W$17,Popisy!$A$7:$M$7,0),FALSE)),"---------------")),IFERROR(VLOOKUP('General price list'!$C56,Popisy!A:M,MATCH($W$17,Popisy!$A$7:$M$7,0),FALSE),"---------------"))</f>
        <v>jezdící+pískající tank(fontána+práskající salva z děla)</v>
      </c>
      <c r="X56" s="645" t="str">
        <f t="shared" ref="X56:X62" si="108">IF(AB56&lt;0.0001,"",AB56)</f>
        <v/>
      </c>
      <c r="Y56" s="645" t="str">
        <f t="shared" ref="Y56:Y62" si="109">IF($AL$3=2,IF(OR(AB56&lt;&gt;"",AB56&lt;&gt;0),AU56,""),IF(C56="","",IF(AB56&lt;0.0001,"",IF(B56=0,"",IF(AQ56&lt;AB56,"",AB56)))))</f>
        <v/>
      </c>
      <c r="Z56" s="645" t="str">
        <f>HYPERLINK("https://www.klasekpyrotechnics.cz/dp1ta")</f>
        <v>https://www.klasekpyrotechnics.cz/dp1ta</v>
      </c>
      <c r="AA56" s="645">
        <f>IFERROR(IF(VLOOKUP(C56,[4]List1!$A:$D,4,FALSE)=0,"",VLOOKUP(C56,[4]List1!$A:$D,4,FALSE)),"")</f>
        <v>32</v>
      </c>
      <c r="AB56" s="646"/>
      <c r="AC56" s="647" t="str">
        <f>IFERROR(IF(VLOOKUP(C56,[1]List1!$A:$D,2,FALSE)="VYPRODÁNO",$V$9,IF(VLOOKUP(C56,[1]List1!$A:$D,2,FALSE)="DOCHÁZÍ",$V$3,VLOOKUP(C56,[1]List1!$A:$D,2,FALSE))),"OFFLINE!")</f>
        <v>SKLADEM</v>
      </c>
      <c r="AD56" s="647" t="str">
        <f ca="1">IF(AP56="NE",$V$10,IF(AC56=$V$3,IF(AQ56&lt;1,$V$8,$V$2&amp;" "&amp;AQ56&amp;" "&amp;$V$1),IF(AC56="SKLADEM",$V$6,IFERROR(IF(OR(AC56-TODAY()&gt;45,VLOOKUP(C56,[1]List1!$A:$E,4,FALSE)=0),AC56,DAY(AC56)&amp;"."&amp;MONTH(AC56)&amp;"."&amp;YEAR(AC56)&amp;" "&amp;$V$4&amp;VLOOKUP(C56,[1]List1!$A:$E,4,FALSE)&amp;" "&amp;$V$1),AC56))))</f>
        <v>SKLADEM</v>
      </c>
      <c r="AE56" s="645" t="str">
        <f t="shared" ref="AE56:AE62" ca="1" si="110">IFERROR(IF(AV56&lt;&gt;"",AV56,AD56),AD56)</f>
        <v>SKLADEM</v>
      </c>
      <c r="AF56" s="648">
        <f t="shared" ref="AF56:AF62" si="111">IFERROR(IF(AB56=Y56,G56*I56*Y56,0),0)</f>
        <v>0</v>
      </c>
      <c r="AG56" s="649">
        <f t="shared" ref="AG56:AG62" si="112">IF($W$17=$AF$8,AH56*1.23,AF56*1.21)</f>
        <v>0</v>
      </c>
      <c r="AH56" s="650">
        <f t="shared" ref="AH56:AH62" si="113">IFERROR(IF(Y56=AB56,H56*I56*Y56,0),0)</f>
        <v>0</v>
      </c>
      <c r="AI56" s="645">
        <f t="shared" ref="AI56:AI62" si="114">IFERROR(IF(Y56=AB56,(P56*Y56)/1000,1),0)</f>
        <v>0</v>
      </c>
      <c r="AJ56" s="645">
        <f t="shared" ref="AJ56:AJ62" si="115">IFERROR(IF(Y56=AB56,N56*Y56,0.1),0)</f>
        <v>0</v>
      </c>
      <c r="AK56" s="645" t="str">
        <f t="shared" ref="AK56:AK62" si="116">IFERROR(IF(Y56=AB56,IF(M56="1.1G",(O56/1000)*Y56,""),""),0)</f>
        <v/>
      </c>
      <c r="AL56" s="645" t="str">
        <f t="shared" ref="AL56:AL62" si="117">IFERROR(IF(Y56=AB56,IF(M56="1.3G",(O56/1000)*AB56,""),""),0)</f>
        <v/>
      </c>
      <c r="AM56" s="645">
        <f t="shared" ref="AM56:AM62" si="118">IFERROR(IF(Y56=AB56,IF(M56="1.4G",(O56/1000)*AB56,""),""),0)</f>
        <v>0</v>
      </c>
      <c r="AN56" s="651">
        <f t="shared" ref="AN56:AN62" si="119">SUM(AK56:AM56)</f>
        <v>0</v>
      </c>
      <c r="AO56" s="623"/>
      <c r="AP56" s="632" t="str">
        <f t="shared" si="61"/>
        <v/>
      </c>
      <c r="AQ56" s="633" t="str">
        <f>IF(AC56=$V$3,IF(VLOOKUP(C56,[1]List1!$A:$E,5,FALSE)=0,1,VLOOKUP(C56,[1]List1!$A:$E,5,FALSE)),"")</f>
        <v/>
      </c>
      <c r="AR56" s="625" t="str">
        <f t="shared" si="62"/>
        <v/>
      </c>
      <c r="AS56" s="634" t="str">
        <f t="shared" si="63"/>
        <v/>
      </c>
      <c r="AT56" s="625" t="str">
        <f t="shared" si="64"/>
        <v/>
      </c>
      <c r="AU56" s="638" t="e">
        <f t="shared" si="65"/>
        <v>#N/A</v>
      </c>
      <c r="AV56" s="625" t="e">
        <f t="shared" si="66"/>
        <v>#N/A</v>
      </c>
      <c r="AX56" s="625">
        <f>IF(AND('General price list'!$J56="F4",'General price list'!$AB56+0&gt;0),1,0)</f>
        <v>0</v>
      </c>
      <c r="AY56" s="625">
        <f t="shared" si="67"/>
        <v>1</v>
      </c>
      <c r="AZ56" s="625">
        <f t="shared" si="68"/>
        <v>0</v>
      </c>
    </row>
    <row r="57" spans="1:52" ht="15" customHeight="1">
      <c r="A57" s="621" t="str">
        <f>Kat.!C57</f>
        <v>×</v>
      </c>
      <c r="B57" s="566">
        <f>IF(AND('General price list'!$J57="F4",$AI$1=FALSE),0,IF(AC57="SKLADEM",1,IF(AC57=$V$3,1,0)))</f>
        <v>0</v>
      </c>
      <c r="C57" s="567" t="s">
        <v>2374</v>
      </c>
      <c r="D57" s="568" t="s">
        <v>2211</v>
      </c>
      <c r="E57" s="763" t="s">
        <v>12639</v>
      </c>
      <c r="F57" s="772">
        <f>IFERROR(VLOOKUP(C57,[2]List1!$A:$D,3,FALSE),"NEUVEDENO!")</f>
        <v>51</v>
      </c>
      <c r="G57" s="769">
        <f t="shared" si="106"/>
        <v>51</v>
      </c>
      <c r="H57" s="766">
        <f t="shared" si="107"/>
        <v>2.1664054236596959</v>
      </c>
      <c r="I57" s="764">
        <f>IFERROR(VLOOKUP(C57,[2]List1!$A:$D,4,FALSE),"NEUVEDENO!")</f>
        <v>60</v>
      </c>
      <c r="J57" s="732" t="s">
        <v>39</v>
      </c>
      <c r="K57" s="569" t="s">
        <v>20</v>
      </c>
      <c r="L57" s="569" t="s">
        <v>20</v>
      </c>
      <c r="M57" s="569" t="s">
        <v>21</v>
      </c>
      <c r="N57" s="569">
        <f>IFERROR(VLOOKUP(C57,[3]List1!$A:$D,4,FALSE),"N/A!")</f>
        <v>3.3724999999999998E-2</v>
      </c>
      <c r="O57" s="569">
        <f>IFERROR(VLOOKUP(C57,[3]List1!$A:$D,3,FALSE),"N/A!")</f>
        <v>240</v>
      </c>
      <c r="P57" s="569">
        <f>IFERROR(VLOOKUP(C57,[3]List1!$A:$D,2,FALSE),"N/A!")</f>
        <v>3500</v>
      </c>
      <c r="Q57" s="569" t="s">
        <v>11231</v>
      </c>
      <c r="R57" s="569" t="s">
        <v>20</v>
      </c>
      <c r="S57" s="569"/>
      <c r="T57" s="569">
        <v>25</v>
      </c>
      <c r="U57" s="569"/>
      <c r="V57" s="569"/>
      <c r="W57" s="569" t="str">
        <f>IFERROR(IF(AND($AB57&gt;=0.1*$AA57,MOD($AB57,$AA57)&gt;=($AA57-(0.1*$AA57))),IF($W$17=$AF$1,"Zvažte možnost doobjednání ještě "&amp;Tabulka1[[#This Row],[VKPAL]]-MOD(AB57,AA57)&amp;" VK do plné palety.",VLOOKUP("Zvažte možnost doobjednání ještě ",Jazyky_ceník!A:Q,MATCH($W$17,Jazyky_ceník!$A$1:$Q$1,0),FALSE)&amp;Tabulka1[[#This Row],[VKPAL]]-MOD(AB57,AA57)&amp;VLOOKUP(" VK do plné palety.",Jazyky_ceník!A:Q,MATCH($W$17,Jazyky_ceník!$A$1:$Q$1,0),FALSE)),IFERROR(IF(AND(NOT(MOD($AB57,$AA57)=0),$AB57&gt;=0.9*$AA57,MOD($AB57,$AA57)&lt;=0.1*$AA57),IF($W$17=$AF$1,"Zvažte možnost optimalizace objednaného množství podle počtu VK na paletě ==&gt;",VLOOKUP("Zvažte možnost optimalizace objednaného množství podle počtu VK na paletě ==&gt;",Jazyky_ceník!A:Q,MATCH($W$17,Jazyky_ceník!$A$1:$Q$1,0),FALSE)),VLOOKUP('General price list'!$C57,Popisy!A:M,MATCH($W$17,Popisy!$A$7:$M$7,0),FALSE)),"---------------")),IFERROR(VLOOKUP('General price list'!$C57,Popisy!A:M,MATCH($W$17,Popisy!$A$7:$M$7,0),FALSE),"---------------"))</f>
        <v>jezdící+pískající tank(fontána+práskající salva z děla)</v>
      </c>
      <c r="X57" s="569" t="str">
        <f t="shared" si="108"/>
        <v/>
      </c>
      <c r="Y57" s="569" t="str">
        <f t="shared" si="109"/>
        <v/>
      </c>
      <c r="Z57" s="569" t="str">
        <f>HYPERLINK("https://www.klasekpyrotechnics.cz/dp1ta_1")</f>
        <v>https://www.klasekpyrotechnics.cz/dp1ta_1</v>
      </c>
      <c r="AA57" s="569">
        <f>IFERROR(IF(VLOOKUP(C57,[4]List1!$A:$D,4,FALSE)=0,"",VLOOKUP(C57,[4]List1!$A:$D,4,FALSE)),"")</f>
        <v>32</v>
      </c>
      <c r="AB57" s="565"/>
      <c r="AC57" s="570" t="str">
        <f>IFERROR(IF(VLOOKUP(C57,[1]List1!$A:$D,2,FALSE)="VYPRODÁNO",$V$9,IF(VLOOKUP(C57,[1]List1!$A:$D,2,FALSE)="DOCHÁZÍ",$V$3,VLOOKUP(C57,[1]List1!$A:$D,2,FALSE))),"OFFLINE!")</f>
        <v>VYPRODÁNO</v>
      </c>
      <c r="AD57" s="570" t="str">
        <f ca="1">IF(AP57="NE",$V$10,IF(AC57=$V$3,IF(AQ57&lt;1,$V$8,$V$2&amp;" "&amp;AQ57&amp;" "&amp;$V$1),IF(AC57="SKLADEM",$V$6,IFERROR(IF(OR(AC57-TODAY()&gt;45,VLOOKUP(C57,[1]List1!$A:$E,4,FALSE)=0),AC57,DAY(AC57)&amp;"."&amp;MONTH(AC57)&amp;"."&amp;YEAR(AC57)&amp;" "&amp;$V$4&amp;VLOOKUP(C57,[1]List1!$A:$E,4,FALSE)&amp;" "&amp;$V$1),AC57))))</f>
        <v>VYPRODÁNO</v>
      </c>
      <c r="AE57" s="581" t="str">
        <f t="shared" ca="1" si="110"/>
        <v>VYPRODÁNO</v>
      </c>
      <c r="AF57" s="584">
        <f t="shared" si="111"/>
        <v>0</v>
      </c>
      <c r="AG57" s="585">
        <f t="shared" si="112"/>
        <v>0</v>
      </c>
      <c r="AH57" s="583">
        <f t="shared" si="113"/>
        <v>0</v>
      </c>
      <c r="AI57" s="582">
        <f t="shared" si="114"/>
        <v>0</v>
      </c>
      <c r="AJ57" s="569">
        <f t="shared" si="115"/>
        <v>0</v>
      </c>
      <c r="AK57" s="569" t="str">
        <f t="shared" si="116"/>
        <v/>
      </c>
      <c r="AL57" s="569" t="str">
        <f t="shared" si="117"/>
        <v/>
      </c>
      <c r="AM57" s="569">
        <f t="shared" si="118"/>
        <v>0</v>
      </c>
      <c r="AN57" s="581">
        <f t="shared" si="119"/>
        <v>0</v>
      </c>
      <c r="AO57" s="623"/>
      <c r="AP57" s="632" t="str">
        <f t="shared" si="61"/>
        <v/>
      </c>
      <c r="AQ57" s="633" t="str">
        <f>IF(AC57=$V$3,IF(VLOOKUP(C57,[1]List1!$A:$E,5,FALSE)=0,1,VLOOKUP(C57,[1]List1!$A:$E,5,FALSE)),"")</f>
        <v/>
      </c>
      <c r="AR57" s="625" t="str">
        <f t="shared" si="62"/>
        <v/>
      </c>
      <c r="AS57" s="634" t="str">
        <f t="shared" si="63"/>
        <v/>
      </c>
      <c r="AT57" s="625" t="str">
        <f t="shared" si="64"/>
        <v/>
      </c>
      <c r="AU57" s="638" t="e">
        <f t="shared" si="65"/>
        <v>#N/A</v>
      </c>
      <c r="AV57" s="625" t="e">
        <f t="shared" si="66"/>
        <v>#N/A</v>
      </c>
      <c r="AX57" s="625">
        <f>IF(AND('General price list'!$J57="F4",'General price list'!$AB57+0&gt;0),1,0)</f>
        <v>0</v>
      </c>
      <c r="AY57" s="625">
        <f t="shared" si="67"/>
        <v>0</v>
      </c>
      <c r="AZ57" s="625">
        <f t="shared" si="68"/>
        <v>0</v>
      </c>
    </row>
    <row r="58" spans="1:52" ht="15" customHeight="1">
      <c r="A58" s="639" t="str">
        <f>Kat.!C58</f>
        <v>×</v>
      </c>
      <c r="B58" s="640">
        <f>IF(AND('General price list'!$J58="F4",$AI$1=FALSE),0,IF(AC58="SKLADEM",1,IF(AC58=$V$3,1,0)))</f>
        <v>1</v>
      </c>
      <c r="C58" s="641" t="s">
        <v>2375</v>
      </c>
      <c r="D58" s="642" t="s">
        <v>2213</v>
      </c>
      <c r="E58" s="643" t="s">
        <v>12639</v>
      </c>
      <c r="F58" s="771">
        <f>IFERROR(VLOOKUP(C58,[2]List1!$A:$D,3,FALSE),"NEUVEDENO!")</f>
        <v>39</v>
      </c>
      <c r="G58" s="768">
        <f t="shared" si="106"/>
        <v>39</v>
      </c>
      <c r="H58" s="765">
        <f t="shared" si="107"/>
        <v>1.6566629710338852</v>
      </c>
      <c r="I58" s="644">
        <f>IFERROR(VLOOKUP(C58,[2]List1!$A:$D,4,FALSE),"NEUVEDENO!")</f>
        <v>60</v>
      </c>
      <c r="J58" s="733" t="s">
        <v>19</v>
      </c>
      <c r="K58" s="645" t="s">
        <v>20</v>
      </c>
      <c r="L58" s="645" t="s">
        <v>20</v>
      </c>
      <c r="M58" s="645" t="s">
        <v>21</v>
      </c>
      <c r="N58" s="645">
        <f>IFERROR(VLOOKUP(C58,[3]List1!$A:$D,4,FALSE),"N/A!")</f>
        <v>3.6755499999999997E-2</v>
      </c>
      <c r="O58" s="645">
        <f>IFERROR(VLOOKUP(C58,[3]List1!$A:$D,3,FALSE),"N/A!")</f>
        <v>120</v>
      </c>
      <c r="P58" s="645">
        <f>IFERROR(VLOOKUP(C58,[3]List1!$A:$D,2,FALSE),"N/A!")</f>
        <v>2500</v>
      </c>
      <c r="Q58" s="645" t="s">
        <v>11231</v>
      </c>
      <c r="R58" s="645" t="s">
        <v>20</v>
      </c>
      <c r="S58" s="645"/>
      <c r="T58" s="645">
        <v>15</v>
      </c>
      <c r="U58" s="645"/>
      <c r="V58" s="645"/>
      <c r="W58" s="645" t="str">
        <f>IFERROR(IF(AND($AB58&gt;=0.1*$AA58,MOD($AB58,$AA58)&gt;=($AA58-(0.1*$AA58))),IF($W$17=$AF$1,"Zvažte možnost doobjednání ještě "&amp;Tabulka1[[#This Row],[VKPAL]]-MOD(AB58,AA58)&amp;" VK do plné palety.",VLOOKUP("Zvažte možnost doobjednání ještě ",Jazyky_ceník!A:Q,MATCH($W$17,Jazyky_ceník!$A$1:$Q$1,0),FALSE)&amp;Tabulka1[[#This Row],[VKPAL]]-MOD(AB58,AA58)&amp;VLOOKUP(" VK do plné palety.",Jazyky_ceník!A:Q,MATCH($W$17,Jazyky_ceník!$A$1:$Q$1,0),FALSE)),IFERROR(IF(AND(NOT(MOD($AB58,$AA58)=0),$AB58&gt;=0.9*$AA58,MOD($AB58,$AA58)&lt;=0.1*$AA58),IF($W$17=$AF$1,"Zvažte možnost optimalizace objednaného množství podle počtu VK na paletě ==&gt;",VLOOKUP("Zvažte možnost optimalizace objednaného množství podle počtu VK na paletě ==&gt;",Jazyky_ceník!A:Q,MATCH($W$17,Jazyky_ceník!$A$1:$Q$1,0),FALSE)),VLOOKUP('General price list'!$C58,Popisy!A:M,MATCH($W$17,Popisy!$A$7:$M$7,0),FALSE)),"---------------")),IFERROR(VLOOKUP('General price list'!$C58,Popisy!A:M,MATCH($W$17,Popisy!$A$7:$M$7,0),FALSE),"---------------"))</f>
        <v>baby shark s fontánou, karton obsahuje 3 ruzně barevné žraloky(zelený,žlutý,fialový)</v>
      </c>
      <c r="X58" s="645" t="str">
        <f t="shared" si="108"/>
        <v/>
      </c>
      <c r="Y58" s="645" t="str">
        <f t="shared" si="109"/>
        <v/>
      </c>
      <c r="Z58" s="645" t="str">
        <f>HYPERLINK("https://www.klasekpyrotechnics.cz/dp1bs_1")</f>
        <v>https://www.klasekpyrotechnics.cz/dp1bs_1</v>
      </c>
      <c r="AA58" s="645">
        <f>IFERROR(IF(VLOOKUP(C58,[4]List1!$A:$D,4,FALSE)=0,"",VLOOKUP(C58,[4]List1!$A:$D,4,FALSE)),"")</f>
        <v>32</v>
      </c>
      <c r="AB58" s="646"/>
      <c r="AC58" s="647" t="str">
        <f>IFERROR(IF(VLOOKUP(C58,[1]List1!$A:$D,2,FALSE)="VYPRODÁNO",$V$9,IF(VLOOKUP(C58,[1]List1!$A:$D,2,FALSE)="DOCHÁZÍ",$V$3,VLOOKUP(C58,[1]List1!$A:$D,2,FALSE))),"OFFLINE!")</f>
        <v>DOCHÁZÍ</v>
      </c>
      <c r="AD58" s="647" t="str">
        <f ca="1">IF(AP58="NE",$V$10,IF(AC58=$V$3,IF(AQ58&lt;1,$V$8,$V$2&amp;" "&amp;AQ58&amp;" "&amp;$V$1),IF(AC58="SKLADEM",$V$6,IFERROR(IF(OR(AC58-TODAY()&gt;45,VLOOKUP(C58,[1]List1!$A:$E,4,FALSE)=0),AC58,DAY(AC58)&amp;"."&amp;MONTH(AC58)&amp;"."&amp;YEAR(AC58)&amp;" "&amp;$V$4&amp;VLOOKUP(C58,[1]List1!$A:$E,4,FALSE)&amp;" "&amp;$V$1),AC58))))</f>
        <v>POSLEDNÍCH 16 VK</v>
      </c>
      <c r="AE58" s="645" t="str">
        <f t="shared" ca="1" si="110"/>
        <v>POSLEDNÍCH 16 VK</v>
      </c>
      <c r="AF58" s="648">
        <f t="shared" si="111"/>
        <v>0</v>
      </c>
      <c r="AG58" s="649">
        <f t="shared" si="112"/>
        <v>0</v>
      </c>
      <c r="AH58" s="650">
        <f t="shared" si="113"/>
        <v>0</v>
      </c>
      <c r="AI58" s="645">
        <f t="shared" si="114"/>
        <v>0</v>
      </c>
      <c r="AJ58" s="645">
        <f t="shared" si="115"/>
        <v>0</v>
      </c>
      <c r="AK58" s="645" t="str">
        <f t="shared" si="116"/>
        <v/>
      </c>
      <c r="AL58" s="645" t="str">
        <f t="shared" si="117"/>
        <v/>
      </c>
      <c r="AM58" s="645">
        <f t="shared" si="118"/>
        <v>0</v>
      </c>
      <c r="AN58" s="651">
        <f t="shared" si="119"/>
        <v>0</v>
      </c>
      <c r="AO58" s="623"/>
      <c r="AP58" s="632" t="str">
        <f t="shared" si="61"/>
        <v/>
      </c>
      <c r="AQ58" s="633">
        <f>IF(AC58=$V$3,IF(VLOOKUP(C58,[1]List1!$A:$E,5,FALSE)=0,1,VLOOKUP(C58,[1]List1!$A:$E,5,FALSE)),"")</f>
        <v>16</v>
      </c>
      <c r="AR58" s="625" t="str">
        <f t="shared" si="62"/>
        <v/>
      </c>
      <c r="AS58" s="634" t="str">
        <f t="shared" si="63"/>
        <v/>
      </c>
      <c r="AT58" s="625" t="str">
        <f t="shared" si="64"/>
        <v/>
      </c>
      <c r="AU58" s="638" t="e">
        <f t="shared" si="65"/>
        <v>#N/A</v>
      </c>
      <c r="AV58" s="625" t="e">
        <f t="shared" si="66"/>
        <v>#N/A</v>
      </c>
      <c r="AX58" s="625">
        <f>IF(AND('General price list'!$J58="F4",'General price list'!$AB58+0&gt;0),1,0)</f>
        <v>0</v>
      </c>
      <c r="AY58" s="625">
        <f t="shared" si="67"/>
        <v>0</v>
      </c>
      <c r="AZ58" s="625">
        <f t="shared" si="68"/>
        <v>0</v>
      </c>
    </row>
    <row r="59" spans="1:52" ht="15" customHeight="1">
      <c r="A59" s="621" t="str">
        <f>Kat.!C59</f>
        <v/>
      </c>
      <c r="B59" s="566">
        <f>IF(AND('General price list'!$J59="F4",$AI$1=FALSE),0,IF(AC59="SKLADEM",1,IF(AC59=$V$3,1,0)))</f>
        <v>1</v>
      </c>
      <c r="C59" s="567" t="s">
        <v>84</v>
      </c>
      <c r="D59" s="568" t="s">
        <v>11690</v>
      </c>
      <c r="E59" s="763" t="s">
        <v>12640</v>
      </c>
      <c r="F59" s="772">
        <f>IFERROR(VLOOKUP(C59,[2]List1!$A:$D,3,FALSE),"NEUVEDENO!")</f>
        <v>45</v>
      </c>
      <c r="G59" s="769">
        <f t="shared" si="106"/>
        <v>45</v>
      </c>
      <c r="H59" s="766">
        <f t="shared" si="107"/>
        <v>1.9115341973467905</v>
      </c>
      <c r="I59" s="764">
        <f>IFERROR(VLOOKUP(C59,[2]List1!$A:$D,4,FALSE),"NEUVEDENO!")</f>
        <v>80</v>
      </c>
      <c r="J59" s="732" t="s">
        <v>19</v>
      </c>
      <c r="K59" s="569" t="s">
        <v>20</v>
      </c>
      <c r="L59" s="569"/>
      <c r="M59" s="569" t="s">
        <v>21</v>
      </c>
      <c r="N59" s="569">
        <f>IFERROR(VLOOKUP(C59,[3]List1!$A:$D,4,FALSE),"N/A!")</f>
        <v>2.2386E-2</v>
      </c>
      <c r="O59" s="569">
        <f>IFERROR(VLOOKUP(C59,[3]List1!$A:$D,3,FALSE),"N/A!")</f>
        <v>1440</v>
      </c>
      <c r="P59" s="569">
        <f>IFERROR(VLOOKUP(C59,[3]List1!$A:$D,2,FALSE),"N/A!")</f>
        <v>10000</v>
      </c>
      <c r="Q59" s="569" t="s">
        <v>11245</v>
      </c>
      <c r="R59" s="569"/>
      <c r="S59" s="569"/>
      <c r="T59" s="569"/>
      <c r="U59" s="569"/>
      <c r="V59" s="569"/>
      <c r="W59" s="569" t="str">
        <f>IFERROR(IF(AND($AB59&gt;=0.1*$AA59,MOD($AB59,$AA59)&gt;=($AA59-(0.1*$AA59))),IF($W$17=$AF$1,"Zvažte možnost doobjednání ještě "&amp;Tabulka1[[#This Row],[VKPAL]]-MOD(AB59,AA59)&amp;" VK do plné palety.",VLOOKUP("Zvažte možnost doobjednání ještě ",Jazyky_ceník!A:Q,MATCH($W$17,Jazyky_ceník!$A$1:$Q$1,0),FALSE)&amp;Tabulka1[[#This Row],[VKPAL]]-MOD(AB59,AA59)&amp;VLOOKUP(" VK do plné palety.",Jazyky_ceník!A:Q,MATCH($W$17,Jazyky_ceník!$A$1:$Q$1,0),FALSE)),IFERROR(IF(AND(NOT(MOD($AB59,$AA59)=0),$AB59&gt;=0.9*$AA59,MOD($AB59,$AA59)&lt;=0.1*$AA59),IF($W$17=$AF$1,"Zvažte možnost optimalizace objednaného množství podle počtu VK na paletě ==&gt;",VLOOKUP("Zvažte možnost optimalizace objednaného množství podle počtu VK na paletě ==&gt;",Jazyky_ceník!A:Q,MATCH($W$17,Jazyky_ceník!$A$1:$Q$1,0),FALSE)),VLOOKUP('General price list'!$C59,Popisy!A:M,MATCH($W$17,Popisy!$A$7:$M$7,0),FALSE)),"---------------")),IFERROR(VLOOKUP('General price list'!$C59,Popisy!A:M,MATCH($W$17,Popisy!$A$7:$M$7,0),FALSE),"---------------"))</f>
        <v>pískající trubička</v>
      </c>
      <c r="X59" s="569" t="str">
        <f t="shared" si="108"/>
        <v/>
      </c>
      <c r="Y59" s="569" t="str">
        <f t="shared" si="109"/>
        <v/>
      </c>
      <c r="Z59" s="569" t="str">
        <f>HYPERLINK("https://www.klasekpyrotechnics.cz/dp1p")</f>
        <v>https://www.klasekpyrotechnics.cz/dp1p</v>
      </c>
      <c r="AA59" s="569">
        <f>IFERROR(IF(VLOOKUP(C59,[4]List1!$A:$D,4,FALSE)=0,"",VLOOKUP(C59,[4]List1!$A:$D,4,FALSE)),"")</f>
        <v>42</v>
      </c>
      <c r="AB59" s="565"/>
      <c r="AC59" s="570" t="str">
        <f>IFERROR(IF(VLOOKUP(C59,[1]List1!$A:$D,2,FALSE)="VYPRODÁNO",$V$9,IF(VLOOKUP(C59,[1]List1!$A:$D,2,FALSE)="DOCHÁZÍ",$V$3,VLOOKUP(C59,[1]List1!$A:$D,2,FALSE))),"OFFLINE!")</f>
        <v>SKLADEM</v>
      </c>
      <c r="AD59" s="570" t="str">
        <f ca="1">IF(AP59="NE",$V$10,IF(AC59=$V$3,IF(AQ59&lt;1,$V$8,$V$2&amp;" "&amp;AQ59&amp;" "&amp;$V$1),IF(AC59="SKLADEM",$V$6,IFERROR(IF(OR(AC59-TODAY()&gt;45,VLOOKUP(C59,[1]List1!$A:$E,4,FALSE)=0),AC59,DAY(AC59)&amp;"."&amp;MONTH(AC59)&amp;"."&amp;YEAR(AC59)&amp;" "&amp;$V$4&amp;VLOOKUP(C59,[1]List1!$A:$E,4,FALSE)&amp;" "&amp;$V$1),AC59))))</f>
        <v>SKLADEM</v>
      </c>
      <c r="AE59" s="581" t="str">
        <f t="shared" ca="1" si="110"/>
        <v>SKLADEM</v>
      </c>
      <c r="AF59" s="584">
        <f t="shared" si="111"/>
        <v>0</v>
      </c>
      <c r="AG59" s="585">
        <f t="shared" si="112"/>
        <v>0</v>
      </c>
      <c r="AH59" s="583">
        <f t="shared" si="113"/>
        <v>0</v>
      </c>
      <c r="AI59" s="582">
        <f t="shared" si="114"/>
        <v>0</v>
      </c>
      <c r="AJ59" s="569">
        <f t="shared" si="115"/>
        <v>0</v>
      </c>
      <c r="AK59" s="569" t="str">
        <f t="shared" si="116"/>
        <v/>
      </c>
      <c r="AL59" s="569" t="str">
        <f t="shared" si="117"/>
        <v/>
      </c>
      <c r="AM59" s="569">
        <f t="shared" si="118"/>
        <v>0</v>
      </c>
      <c r="AN59" s="581">
        <f t="shared" si="119"/>
        <v>0</v>
      </c>
      <c r="AO59" s="623"/>
      <c r="AP59" s="632" t="str">
        <f t="shared" si="61"/>
        <v/>
      </c>
      <c r="AQ59" s="633" t="str">
        <f>IF(AC59=$V$3,IF(VLOOKUP(C59,[1]List1!$A:$E,5,FALSE)=0,1,VLOOKUP(C59,[1]List1!$A:$E,5,FALSE)),"")</f>
        <v/>
      </c>
      <c r="AR59" s="625" t="str">
        <f t="shared" si="62"/>
        <v/>
      </c>
      <c r="AS59" s="634" t="str">
        <f t="shared" si="63"/>
        <v/>
      </c>
      <c r="AT59" s="625" t="str">
        <f t="shared" si="64"/>
        <v/>
      </c>
      <c r="AU59" s="638" t="e">
        <f t="shared" si="65"/>
        <v>#N/A</v>
      </c>
      <c r="AV59" s="625" t="e">
        <f t="shared" si="66"/>
        <v>#N/A</v>
      </c>
      <c r="AX59" s="625">
        <f>IF(AND('General price list'!$J59="F4",'General price list'!$AB59+0&gt;0),1,0)</f>
        <v>0</v>
      </c>
      <c r="AY59" s="625">
        <f t="shared" si="67"/>
        <v>1</v>
      </c>
      <c r="AZ59" s="625">
        <f t="shared" si="68"/>
        <v>0</v>
      </c>
    </row>
    <row r="60" spans="1:52" ht="15" customHeight="1">
      <c r="A60" s="639" t="str">
        <f>Kat.!C60</f>
        <v/>
      </c>
      <c r="B60" s="640">
        <f>IF(AND('General price list'!$J60="F4",$AI$1=FALSE),0,IF(AC60="SKLADEM",1,IF(AC60=$V$3,1,0)))</f>
        <v>1</v>
      </c>
      <c r="C60" s="641" t="s">
        <v>2904</v>
      </c>
      <c r="D60" s="642" t="s">
        <v>11691</v>
      </c>
      <c r="E60" s="643" t="s">
        <v>12641</v>
      </c>
      <c r="F60" s="771">
        <f>IFERROR(VLOOKUP(C60,[2]List1!$A:$D,3,FALSE),"NEUVEDENO!")</f>
        <v>53</v>
      </c>
      <c r="G60" s="768">
        <f t="shared" si="106"/>
        <v>53</v>
      </c>
      <c r="H60" s="765">
        <f t="shared" si="107"/>
        <v>2.2513624990973313</v>
      </c>
      <c r="I60" s="644">
        <f>IFERROR(VLOOKUP(C60,[2]List1!$A:$D,4,FALSE),"NEUVEDENO!")</f>
        <v>50</v>
      </c>
      <c r="J60" s="733" t="s">
        <v>19</v>
      </c>
      <c r="K60" s="645" t="s">
        <v>20</v>
      </c>
      <c r="L60" s="645"/>
      <c r="M60" s="645" t="s">
        <v>21</v>
      </c>
      <c r="N60" s="645">
        <f>IFERROR(VLOOKUP(C60,[3]List1!$A:$D,4,FALSE),"N/A!")</f>
        <v>3.0992499999999999E-2</v>
      </c>
      <c r="O60" s="645">
        <f>IFERROR(VLOOKUP(C60,[3]List1!$A:$D,3,FALSE),"N/A!")</f>
        <v>625</v>
      </c>
      <c r="P60" s="645">
        <f>IFERROR(VLOOKUP(C60,[3]List1!$A:$D,2,FALSE),"N/A!")</f>
        <v>9000</v>
      </c>
      <c r="Q60" s="645" t="s">
        <v>11248</v>
      </c>
      <c r="R60" s="645"/>
      <c r="S60" s="645"/>
      <c r="T60" s="645">
        <v>5</v>
      </c>
      <c r="U60" s="645"/>
      <c r="V60" s="645"/>
      <c r="W60" s="645" t="str">
        <f>IFERROR(IF(AND($AB60&gt;=0.1*$AA60,MOD($AB60,$AA60)&gt;=($AA60-(0.1*$AA60))),IF($W$17=$AF$1,"Zvažte možnost doobjednání ještě "&amp;Tabulka1[[#This Row],[VKPAL]]-MOD(AB60,AA60)&amp;" VK do plné palety.",VLOOKUP("Zvažte možnost doobjednání ještě ",Jazyky_ceník!A:Q,MATCH($W$17,Jazyky_ceník!$A$1:$Q$1,0),FALSE)&amp;Tabulka1[[#This Row],[VKPAL]]-MOD(AB60,AA60)&amp;VLOOKUP(" VK do plné palety.",Jazyky_ceník!A:Q,MATCH($W$17,Jazyky_ceník!$A$1:$Q$1,0),FALSE)),IFERROR(IF(AND(NOT(MOD($AB60,$AA60)=0),$AB60&gt;=0.9*$AA60,MOD($AB60,$AA60)&lt;=0.1*$AA60),IF($W$17=$AF$1,"Zvažte možnost optimalizace objednaného množství podle počtu VK na paletě ==&gt;",VLOOKUP("Zvažte možnost optimalizace objednaného množství podle počtu VK na paletě ==&gt;",Jazyky_ceník!A:Q,MATCH($W$17,Jazyky_ceník!$A$1:$Q$1,0),FALSE)),VLOOKUP('General price list'!$C60,Popisy!A:M,MATCH($W$17,Popisy!$A$7:$M$7,0),FALSE)),"---------------")),IFERROR(VLOOKUP('General price list'!$C60,Popisy!A:M,MATCH($W$17,Popisy!$A$7:$M$7,0),FALSE),"---------------"))</f>
        <v>pískající trubička</v>
      </c>
      <c r="X60" s="645" t="str">
        <f t="shared" si="108"/>
        <v/>
      </c>
      <c r="Y60" s="645" t="str">
        <f t="shared" si="109"/>
        <v/>
      </c>
      <c r="Z60" s="645" t="str">
        <f>HYPERLINK("https://www.klasekpyrotechnics.cz/dp2w")</f>
        <v>https://www.klasekpyrotechnics.cz/dp2w</v>
      </c>
      <c r="AA60" s="645">
        <f>IFERROR(IF(VLOOKUP(C60,[4]List1!$A:$D,4,FALSE)=0,"",VLOOKUP(C60,[4]List1!$A:$D,4,FALSE)),"")</f>
        <v>56</v>
      </c>
      <c r="AB60" s="646"/>
      <c r="AC60" s="647" t="str">
        <f>IFERROR(IF(VLOOKUP(C60,[1]List1!$A:$D,2,FALSE)="VYPRODÁNO",$V$9,IF(VLOOKUP(C60,[1]List1!$A:$D,2,FALSE)="DOCHÁZÍ",$V$3,VLOOKUP(C60,[1]List1!$A:$D,2,FALSE))),"OFFLINE!")</f>
        <v>SKLADEM</v>
      </c>
      <c r="AD60" s="647" t="str">
        <f ca="1">IF(AP60="NE",$V$10,IF(AC60=$V$3,IF(AQ60&lt;1,$V$8,$V$2&amp;" "&amp;AQ60&amp;" "&amp;$V$1),IF(AC60="SKLADEM",$V$6,IFERROR(IF(OR(AC60-TODAY()&gt;45,VLOOKUP(C60,[1]List1!$A:$E,4,FALSE)=0),AC60,DAY(AC60)&amp;"."&amp;MONTH(AC60)&amp;"."&amp;YEAR(AC60)&amp;" "&amp;$V$4&amp;VLOOKUP(C60,[1]List1!$A:$E,4,FALSE)&amp;" "&amp;$V$1),AC60))))</f>
        <v>SKLADEM</v>
      </c>
      <c r="AE60" s="645" t="str">
        <f t="shared" ca="1" si="110"/>
        <v>SKLADEM</v>
      </c>
      <c r="AF60" s="648">
        <f t="shared" si="111"/>
        <v>0</v>
      </c>
      <c r="AG60" s="649">
        <f t="shared" si="112"/>
        <v>0</v>
      </c>
      <c r="AH60" s="650">
        <f t="shared" si="113"/>
        <v>0</v>
      </c>
      <c r="AI60" s="645">
        <f t="shared" si="114"/>
        <v>0</v>
      </c>
      <c r="AJ60" s="645">
        <f t="shared" si="115"/>
        <v>0</v>
      </c>
      <c r="AK60" s="645" t="str">
        <f t="shared" si="116"/>
        <v/>
      </c>
      <c r="AL60" s="645" t="str">
        <f t="shared" si="117"/>
        <v/>
      </c>
      <c r="AM60" s="645">
        <f t="shared" si="118"/>
        <v>0</v>
      </c>
      <c r="AN60" s="651">
        <f t="shared" si="119"/>
        <v>0</v>
      </c>
      <c r="AO60" s="623"/>
      <c r="AP60" s="632" t="str">
        <f t="shared" si="61"/>
        <v/>
      </c>
      <c r="AQ60" s="633" t="str">
        <f>IF(AC60=$V$3,IF(VLOOKUP(C60,[1]List1!$A:$E,5,FALSE)=0,1,VLOOKUP(C60,[1]List1!$A:$E,5,FALSE)),"")</f>
        <v/>
      </c>
      <c r="AR60" s="625" t="str">
        <f t="shared" si="62"/>
        <v/>
      </c>
      <c r="AS60" s="634" t="str">
        <f t="shared" si="63"/>
        <v/>
      </c>
      <c r="AT60" s="625" t="str">
        <f t="shared" si="64"/>
        <v/>
      </c>
      <c r="AU60" s="638" t="e">
        <f t="shared" si="65"/>
        <v>#N/A</v>
      </c>
      <c r="AV60" s="625" t="e">
        <f t="shared" si="66"/>
        <v>#N/A</v>
      </c>
      <c r="AX60" s="625">
        <f>IF(AND('General price list'!$J60="F4",'General price list'!$AB60+0&gt;0),1,0)</f>
        <v>0</v>
      </c>
      <c r="AY60" s="625">
        <f t="shared" si="67"/>
        <v>1</v>
      </c>
      <c r="AZ60" s="625">
        <f t="shared" si="68"/>
        <v>0</v>
      </c>
    </row>
    <row r="61" spans="1:52" ht="15.75" customHeight="1">
      <c r="A61" s="621" t="str">
        <f>Kat.!C61</f>
        <v/>
      </c>
      <c r="B61" s="566">
        <f>IF(AND('General price list'!$J61="F4",$AI$1=FALSE),0,IF(AC61="SKLADEM",1,IF(AC61=$V$3,1,0)))</f>
        <v>1</v>
      </c>
      <c r="C61" s="567" t="s">
        <v>98</v>
      </c>
      <c r="D61" s="568" t="s">
        <v>99</v>
      </c>
      <c r="E61" s="763" t="s">
        <v>12642</v>
      </c>
      <c r="F61" s="772">
        <f>IFERROR(VLOOKUP(C61,[2]List1!$A:$D,3,FALSE),"NEUVEDENO!")</f>
        <v>145</v>
      </c>
      <c r="G61" s="769">
        <f t="shared" si="106"/>
        <v>145</v>
      </c>
      <c r="H61" s="766">
        <f t="shared" si="107"/>
        <v>6.1593879692285469</v>
      </c>
      <c r="I61" s="764">
        <f>IFERROR(VLOOKUP(C61,[2]List1!$A:$D,4,FALSE),"NEUVEDENO!")</f>
        <v>24</v>
      </c>
      <c r="J61" s="732" t="s">
        <v>19</v>
      </c>
      <c r="K61" s="569" t="s">
        <v>20</v>
      </c>
      <c r="L61" s="569" t="s">
        <v>20</v>
      </c>
      <c r="M61" s="569" t="s">
        <v>21</v>
      </c>
      <c r="N61" s="569">
        <f>IFERROR(VLOOKUP(C61,[3]List1!$A:$D,4,FALSE),"N/A!")</f>
        <v>2.8999999999999998E-2</v>
      </c>
      <c r="O61" s="569">
        <f>IFERROR(VLOOKUP(C61,[3]List1!$A:$D,3,FALSE),"N/A!")</f>
        <v>2688</v>
      </c>
      <c r="P61" s="569">
        <f>IFERROR(VLOOKUP(C61,[3]List1!$A:$D,2,FALSE),"N/A!")</f>
        <v>7000</v>
      </c>
      <c r="Q61" s="569" t="s">
        <v>11246</v>
      </c>
      <c r="R61" s="569" t="s">
        <v>11233</v>
      </c>
      <c r="S61" s="569"/>
      <c r="T61" s="569">
        <v>12</v>
      </c>
      <c r="U61" s="569"/>
      <c r="V61" s="569"/>
      <c r="W61" s="569" t="str">
        <f>IFERROR(IF(AND($AB61&gt;=0.1*$AA61,MOD($AB61,$AA61)&gt;=($AA61-(0.1*$AA61))),IF($W$17=$AF$1,"Zvažte možnost doobjednání ještě "&amp;Tabulka1[[#This Row],[VKPAL]]-MOD(AB61,AA61)&amp;" VK do plné palety.",VLOOKUP("Zvažte možnost doobjednání ještě ",Jazyky_ceník!A:Q,MATCH($W$17,Jazyky_ceník!$A$1:$Q$1,0),FALSE)&amp;Tabulka1[[#This Row],[VKPAL]]-MOD(AB61,AA61)&amp;VLOOKUP(" VK do plné palety.",Jazyky_ceník!A:Q,MATCH($W$17,Jazyky_ceník!$A$1:$Q$1,0),FALSE)),IFERROR(IF(AND(NOT(MOD($AB61,$AA61)=0),$AB61&gt;=0.9*$AA61,MOD($AB61,$AA61)&lt;=0.1*$AA61),IF($W$17=$AF$1,"Zvažte možnost optimalizace objednaného množství podle počtu VK na paletě ==&gt;",VLOOKUP("Zvažte možnost optimalizace objednaného množství podle počtu VK na paletě ==&gt;",Jazyky_ceník!A:Q,MATCH($W$17,Jazyky_ceník!$A$1:$Q$1,0),FALSE)),VLOOKUP('General price list'!$C61,Popisy!A:M,MATCH($W$17,Popisy!$A$7:$M$7,0),FALSE)),"---------------")),IFERROR(VLOOKUP('General price list'!$C61,Popisy!A:M,MATCH($W$17,Popisy!$A$7:$M$7,0),FALSE),"---------------"))</f>
        <v>malý bílý stroboskop</v>
      </c>
      <c r="X61" s="569" t="str">
        <f t="shared" si="108"/>
        <v/>
      </c>
      <c r="Y61" s="569" t="str">
        <f t="shared" si="109"/>
        <v/>
      </c>
      <c r="Z61" s="569" t="str">
        <f>HYPERLINK("https://www.klasekpyrotechnics.cz/s12s")</f>
        <v>https://www.klasekpyrotechnics.cz/s12s</v>
      </c>
      <c r="AA61" s="569">
        <f>IFERROR(IF(VLOOKUP(C61,[4]List1!$A:$D,4,FALSE)=0,"",VLOOKUP(C61,[4]List1!$A:$D,4,FALSE)),"")</f>
        <v>45</v>
      </c>
      <c r="AB61" s="565"/>
      <c r="AC61" s="570" t="str">
        <f>IFERROR(IF(VLOOKUP(C61,[1]List1!$A:$D,2,FALSE)="VYPRODÁNO",$V$9,IF(VLOOKUP(C61,[1]List1!$A:$D,2,FALSE)="DOCHÁZÍ",$V$3,VLOOKUP(C61,[1]List1!$A:$D,2,FALSE))),"OFFLINE!")</f>
        <v>SKLADEM</v>
      </c>
      <c r="AD61" s="570" t="str">
        <f ca="1">IF(AP61="NE",$V$10,IF(AC61=$V$3,IF(AQ61&lt;1,$V$8,$V$2&amp;" "&amp;AQ61&amp;" "&amp;$V$1),IF(AC61="SKLADEM",$V$6,IFERROR(IF(OR(AC61-TODAY()&gt;45,VLOOKUP(C61,[1]List1!$A:$E,4,FALSE)=0),AC61,DAY(AC61)&amp;"."&amp;MONTH(AC61)&amp;"."&amp;YEAR(AC61)&amp;" "&amp;$V$4&amp;VLOOKUP(C61,[1]List1!$A:$E,4,FALSE)&amp;" "&amp;$V$1),AC61))))</f>
        <v>SKLADEM</v>
      </c>
      <c r="AE61" s="581" t="str">
        <f t="shared" ca="1" si="110"/>
        <v>SKLADEM</v>
      </c>
      <c r="AF61" s="584">
        <f t="shared" si="111"/>
        <v>0</v>
      </c>
      <c r="AG61" s="585">
        <f t="shared" si="112"/>
        <v>0</v>
      </c>
      <c r="AH61" s="583">
        <f t="shared" si="113"/>
        <v>0</v>
      </c>
      <c r="AI61" s="582">
        <f t="shared" si="114"/>
        <v>0</v>
      </c>
      <c r="AJ61" s="569">
        <f t="shared" si="115"/>
        <v>0</v>
      </c>
      <c r="AK61" s="569" t="str">
        <f t="shared" si="116"/>
        <v/>
      </c>
      <c r="AL61" s="569" t="str">
        <f t="shared" si="117"/>
        <v/>
      </c>
      <c r="AM61" s="569">
        <f t="shared" si="118"/>
        <v>0</v>
      </c>
      <c r="AN61" s="581">
        <f t="shared" si="119"/>
        <v>0</v>
      </c>
      <c r="AO61" s="623"/>
      <c r="AP61" s="625" t="str">
        <f t="shared" si="61"/>
        <v/>
      </c>
      <c r="AQ61" s="625" t="str">
        <f>IF(AC61=$V$3,IF(VLOOKUP(C61,[1]List1!$A:$E,5,FALSE)=0,1,VLOOKUP(C61,[1]List1!$A:$E,5,FALSE)),"")</f>
        <v/>
      </c>
      <c r="AR61" s="629" t="str">
        <f t="shared" si="62"/>
        <v/>
      </c>
      <c r="AS61" s="630" t="str">
        <f t="shared" si="63"/>
        <v/>
      </c>
      <c r="AT61" s="625" t="str">
        <f t="shared" si="64"/>
        <v/>
      </c>
      <c r="AU61" s="625" t="e">
        <f t="shared" si="65"/>
        <v>#N/A</v>
      </c>
      <c r="AV61" s="625" t="e">
        <f t="shared" si="66"/>
        <v>#N/A</v>
      </c>
      <c r="AW61" s="631"/>
      <c r="AX61" s="631">
        <f>IF(AND('General price list'!$J61="F4",'General price list'!$AB61+0&gt;0),1,0)</f>
        <v>0</v>
      </c>
      <c r="AY61" s="631">
        <f t="shared" si="67"/>
        <v>1</v>
      </c>
      <c r="AZ61" s="631">
        <f t="shared" si="68"/>
        <v>1</v>
      </c>
    </row>
    <row r="62" spans="1:52" ht="15" customHeight="1">
      <c r="A62" s="639" t="str">
        <f>Kat.!C62</f>
        <v/>
      </c>
      <c r="B62" s="640">
        <f>IF(AND('General price list'!$J62="F4",$AI$1=FALSE),0,IF(AC62="SKLADEM",1,IF(AC62=$V$3,1,0)))</f>
        <v>0</v>
      </c>
      <c r="C62" s="567" t="s">
        <v>103</v>
      </c>
      <c r="D62" s="642" t="s">
        <v>99</v>
      </c>
      <c r="E62" s="643" t="s">
        <v>15056</v>
      </c>
      <c r="F62" s="773">
        <f>IFERROR(VLOOKUP(C62,[2]List1!$A:$D,3,FALSE),"NEUVEDENO!")</f>
        <v>64</v>
      </c>
      <c r="G62" s="770">
        <f t="shared" si="106"/>
        <v>64</v>
      </c>
      <c r="H62" s="767">
        <f t="shared" si="107"/>
        <v>2.7186264140043241</v>
      </c>
      <c r="I62" s="644">
        <f>IFERROR(VLOOKUP(C62,[2]List1!$A:$D,4,FALSE),"NEUVEDENO!")</f>
        <v>42</v>
      </c>
      <c r="J62" s="733" t="s">
        <v>19</v>
      </c>
      <c r="K62" s="645">
        <v>5</v>
      </c>
      <c r="L62" s="645" t="s">
        <v>20</v>
      </c>
      <c r="M62" s="645" t="s">
        <v>21</v>
      </c>
      <c r="N62" s="645">
        <f>IFERROR(VLOOKUP(C62,[3]List1!$A:$D,4,FALSE),"N/A!")</f>
        <v>2.8999999999999998E-2</v>
      </c>
      <c r="O62" s="645">
        <f>IFERROR(VLOOKUP(C62,[3]List1!$A:$D,3,FALSE),"N/A!")</f>
        <v>2688</v>
      </c>
      <c r="P62" s="645">
        <f>IFERROR(VLOOKUP(C62,[3]List1!$A:$D,2,FALSE),"N/A!")</f>
        <v>7500</v>
      </c>
      <c r="Q62" s="645" t="s">
        <v>15065</v>
      </c>
      <c r="R62" s="645"/>
      <c r="S62" s="645"/>
      <c r="T62" s="645">
        <v>12</v>
      </c>
      <c r="U62" s="645"/>
      <c r="V62" s="645"/>
      <c r="W62" s="645" t="str">
        <f>IFERROR(IF(AND($AB62&gt;=0.1*$AA62,MOD($AB62,$AA62)&gt;=($AA62-(0.1*$AA62))),IF($W$17=$AF$1,"Zvažte možnost doobjednání ještě "&amp;Tabulka1[[#This Row],[VKPAL]]-MOD(AB62,AA62)&amp;" VK do plné palety.",VLOOKUP("Zvažte možnost doobjednání ještě ",Jazyky_ceník!A:Q,MATCH($W$17,Jazyky_ceník!$A$1:$Q$1,0),FALSE)&amp;Tabulka1[[#This Row],[VKPAL]]-MOD(AB62,AA62)&amp;VLOOKUP(" VK do plné palety.",Jazyky_ceník!A:Q,MATCH($W$17,Jazyky_ceník!$A$1:$Q$1,0),FALSE)),IFERROR(IF(AND(NOT(MOD($AB62,$AA62)=0),$AB62&gt;=0.9*$AA62,MOD($AB62,$AA62)&lt;=0.1*$AA62),IF($W$17=$AF$1,"Zvažte možnost optimalizace objednaného množství podle počtu VK na paletě ==&gt;",VLOOKUP("Zvažte možnost optimalizace objednaného množství podle počtu VK na paletě ==&gt;",Jazyky_ceník!A:Q,MATCH($W$17,Jazyky_ceník!$A$1:$Q$1,0),FALSE)),VLOOKUP('General price list'!$C62,Popisy!A:M,MATCH($W$17,Popisy!$A$7:$M$7,0),FALSE)),"---------------")),IFERROR(VLOOKUP('General price list'!$C62,Popisy!A:M,MATCH($W$17,Popisy!$A$7:$M$7,0),FALSE),"---------------"))</f>
        <v>malý bílý stroboskop</v>
      </c>
      <c r="X62" s="645" t="str">
        <f t="shared" si="108"/>
        <v/>
      </c>
      <c r="Y62" s="645" t="str">
        <f t="shared" si="109"/>
        <v/>
      </c>
      <c r="Z62" s="645" t="str">
        <f>HYPERLINK("https://www.klasekpyrotechnics.cz/s12s_1")</f>
        <v>https://www.klasekpyrotechnics.cz/s12s_1</v>
      </c>
      <c r="AA62" s="645">
        <f>IFERROR(IF(VLOOKUP(C62,[4]List1!$A:$D,4,FALSE)=0,"",VLOOKUP(C62,[4]List1!$A:$D,4,FALSE)),"")</f>
        <v>45</v>
      </c>
      <c r="AB62" s="646"/>
      <c r="AC62" s="647" t="str">
        <f>IFERROR(IF(VLOOKUP(C62,[1]List1!$A:$D,2,FALSE)="VYPRODÁNO",$V$9,IF(VLOOKUP(C62,[1]List1!$A:$D,2,FALSE)="DOCHÁZÍ",$V$3,VLOOKUP(C62,[1]List1!$A:$D,2,FALSE))),"OFFLINE!")</f>
        <v>31.08.2026</v>
      </c>
      <c r="AD62" s="647" t="str">
        <f ca="1">IF(AP62="NE",$V$10,IF(AC62=$V$3,IF(AQ62&lt;1,$V$8,$V$2&amp;" "&amp;AQ62&amp;" "&amp;$V$1),IF(AC62="SKLADEM",$V$6,IFERROR(IF(OR(AC62-TODAY()&gt;45,VLOOKUP(C62,[1]List1!$A:$E,4,FALSE)=0),AC62,DAY(AC62)&amp;"."&amp;MONTH(AC62)&amp;"."&amp;YEAR(AC62)&amp;" "&amp;$V$4&amp;VLOOKUP(C62,[1]List1!$A:$E,4,FALSE)&amp;" "&amp;$V$1),AC62))))</f>
        <v>31.08.2026</v>
      </c>
      <c r="AE62" s="645" t="str">
        <f t="shared" ca="1" si="110"/>
        <v>31.08.2026</v>
      </c>
      <c r="AF62" s="648">
        <f t="shared" si="111"/>
        <v>0</v>
      </c>
      <c r="AG62" s="649">
        <f t="shared" si="112"/>
        <v>0</v>
      </c>
      <c r="AH62" s="650">
        <f t="shared" si="113"/>
        <v>0</v>
      </c>
      <c r="AI62" s="645">
        <f t="shared" si="114"/>
        <v>0</v>
      </c>
      <c r="AJ62" s="645">
        <f t="shared" si="115"/>
        <v>0</v>
      </c>
      <c r="AK62" s="645" t="str">
        <f t="shared" si="116"/>
        <v/>
      </c>
      <c r="AL62" s="645" t="str">
        <f t="shared" si="117"/>
        <v/>
      </c>
      <c r="AM62" s="645">
        <f t="shared" si="118"/>
        <v>0</v>
      </c>
      <c r="AN62" s="651">
        <f t="shared" si="119"/>
        <v>0</v>
      </c>
      <c r="AO62" s="623"/>
      <c r="AP62" s="632" t="str">
        <f t="shared" si="61"/>
        <v/>
      </c>
      <c r="AQ62" s="633" t="str">
        <f>IF(AC62=$V$3,IF(VLOOKUP(C62,[1]List1!$A:$E,5,FALSE)=0,1,VLOOKUP(C62,[1]List1!$A:$E,5,FALSE)),"")</f>
        <v/>
      </c>
      <c r="AR62" s="625" t="str">
        <f t="shared" si="62"/>
        <v/>
      </c>
      <c r="AS62" s="634" t="str">
        <f t="shared" si="63"/>
        <v/>
      </c>
      <c r="AT62" s="625" t="str">
        <f t="shared" si="64"/>
        <v/>
      </c>
      <c r="AU62" s="638" t="e">
        <f t="shared" si="65"/>
        <v>#N/A</v>
      </c>
      <c r="AV62" s="625" t="e">
        <f t="shared" si="66"/>
        <v>#N/A</v>
      </c>
      <c r="AX62" s="625">
        <f>IF(AND('General price list'!$J62="F4",'General price list'!$AB62+0&gt;0),1,0)</f>
        <v>0</v>
      </c>
      <c r="AY62" s="625">
        <f t="shared" si="67"/>
        <v>1</v>
      </c>
      <c r="AZ62" s="625">
        <f t="shared" si="68"/>
        <v>0</v>
      </c>
    </row>
    <row r="63" spans="1:52" ht="15" customHeight="1">
      <c r="A63" s="751" t="str">
        <f>Kat.!C63</f>
        <v xml:space="preserve">           Létající předměty</v>
      </c>
      <c r="B63" s="751"/>
      <c r="C63" s="751"/>
      <c r="D63" s="751"/>
      <c r="E63" s="751"/>
      <c r="F63" s="751"/>
      <c r="G63" s="751"/>
      <c r="H63" s="751"/>
      <c r="I63" s="752"/>
      <c r="J63" s="752"/>
      <c r="K63" s="752" t="s">
        <v>20</v>
      </c>
      <c r="L63" s="753" t="s">
        <v>2818</v>
      </c>
      <c r="M63" s="752"/>
      <c r="N63" s="752"/>
      <c r="O63" s="752"/>
      <c r="P63" s="752"/>
      <c r="Q63" s="752"/>
      <c r="R63" s="752"/>
      <c r="S63" s="752"/>
      <c r="T63" s="752"/>
      <c r="U63" s="752"/>
      <c r="V63" s="752"/>
      <c r="W63" s="752"/>
      <c r="X63" s="752"/>
      <c r="Y63" s="752"/>
      <c r="Z63" s="752" t="s">
        <v>20</v>
      </c>
      <c r="AA63" s="752"/>
      <c r="AB63" s="752"/>
      <c r="AC63" s="754"/>
      <c r="AD63" s="752"/>
      <c r="AE63" s="752"/>
      <c r="AF63" s="752"/>
      <c r="AG63" s="752"/>
      <c r="AH63" s="752"/>
      <c r="AI63" s="752"/>
      <c r="AJ63" s="752"/>
      <c r="AK63" s="752"/>
      <c r="AL63" s="752"/>
      <c r="AM63" s="752"/>
      <c r="AN63" s="752"/>
      <c r="AO63" s="623"/>
      <c r="AP63" s="632" t="str">
        <f t="shared" ref="AP63:AP77" si="120">IF($AL$3=1,IF(Y63=AB63,"","NE"),IF(AR63=$V$10,"NE",""))</f>
        <v/>
      </c>
      <c r="AQ63" s="633" t="str">
        <f>IF(AC63=$V$3,IF(VLOOKUP(C63,[1]List1!$A:$E,5,FALSE)=0,1,VLOOKUP(C63,[1]List1!$A:$E,5,FALSE)),"")</f>
        <v/>
      </c>
      <c r="AR63" s="625" t="str">
        <f t="shared" ref="AR63:AR77" si="121">IF($AL$3=1,"",IF(OR(AB63&lt;&gt;"",AB63&lt;&gt;0),IF(OR(AC63=$V$6,AC63=$V$3,AC63=$V$9),$V$10,""),""))</f>
        <v/>
      </c>
      <c r="AS63" s="634" t="str">
        <f t="shared" ref="AS63:AS77" si="122">IF(AT63&lt;&gt;"","X","")</f>
        <v/>
      </c>
      <c r="AT63" s="625" t="str">
        <f t="shared" ref="AT63:AT77" si="123">IF(AND($AL$3=2,AR63="",AB63&lt;&gt;""),AD63,"")</f>
        <v/>
      </c>
      <c r="AU63" s="638" t="e">
        <f t="shared" ref="AU63:AU77" si="124">IF(AT63=$AS$21,AB63,"")</f>
        <v>#N/A</v>
      </c>
      <c r="AV63" s="625" t="e">
        <f t="shared" ref="AV63:AV77" si="125">IF(OR(AB63="",AND(AT63&lt;&gt;"",AU63&lt;&gt;"")),"",$V$10)</f>
        <v>#N/A</v>
      </c>
      <c r="AX63" s="625">
        <f>IF(AND('General price list'!$J63="F4",'General price list'!$AB63+0&gt;0),1,0)</f>
        <v>0</v>
      </c>
      <c r="AY63" s="625">
        <f t="shared" ref="AY63:AY77" si="126">IFERROR(FIND(VLOOKUP($AC$7,$AD$1:$AE$12,2,FALSE),Q63,1),0)</f>
        <v>0</v>
      </c>
      <c r="AZ63" s="625">
        <f t="shared" ref="AZ63:AZ77" si="127">IFERROR(FIND(VLOOKUP($AC$7,$AD$1:$AE$12,2,FALSE),R63,1),0)</f>
        <v>0</v>
      </c>
    </row>
    <row r="64" spans="1:52" ht="15" customHeight="1">
      <c r="A64" s="621" t="str">
        <f>Kat.!C64</f>
        <v xml:space="preserve"> </v>
      </c>
      <c r="B64" s="640">
        <f>IF(AND('General price list'!$J64="F4",$AI$1=FALSE),0,IF(AC64="SKLADEM",1,IF(AC64=$V$3,1,0)))</f>
        <v>0</v>
      </c>
      <c r="C64" s="641" t="s">
        <v>15096</v>
      </c>
      <c r="D64" s="642" t="s">
        <v>15097</v>
      </c>
      <c r="E64" s="643" t="s">
        <v>15098</v>
      </c>
      <c r="F64" s="771">
        <f>IFERROR(VLOOKUP(C64,[2]List1!$A:$D,3,FALSE),"NEUVEDENO!")</f>
        <v>113</v>
      </c>
      <c r="G64" s="768">
        <f t="shared" ref="G64" si="128">IF($W$17=$AF$8,ROUND((F64)/$F$17,2),(F64)*$B$19)</f>
        <v>113</v>
      </c>
      <c r="H64" s="765">
        <f t="shared" ref="H64" si="129">IF($W$17=$AF$8,G64*$B$19,G64/$F$17)</f>
        <v>4.8000747622263855</v>
      </c>
      <c r="I64" s="644">
        <f>IFERROR(VLOOKUP(C64,[2]List1!$A:$D,4,FALSE),"NEUVEDENO!")</f>
        <v>50</v>
      </c>
      <c r="J64" s="733" t="s">
        <v>39</v>
      </c>
      <c r="K64" s="645">
        <v>4</v>
      </c>
      <c r="L64" s="645"/>
      <c r="M64" s="645" t="s">
        <v>21</v>
      </c>
      <c r="N64" s="645">
        <f>IFERROR(VLOOKUP(C64,[3]List1!$A:$D,4,FALSE),"N/A!")</f>
        <v>2.4149E-2</v>
      </c>
      <c r="O64" s="645">
        <f>IFERROR(VLOOKUP(C64,[3]List1!$A:$D,3,FALSE),"N/A!")</f>
        <v>93</v>
      </c>
      <c r="P64" s="645">
        <f>IFERROR(VLOOKUP(C64,[3]List1!$A:$D,2,FALSE),"N/A!")</f>
        <v>15500</v>
      </c>
      <c r="Q64" s="645"/>
      <c r="R64" s="645"/>
      <c r="S64" s="645"/>
      <c r="T64" s="645"/>
      <c r="U64" s="645"/>
      <c r="V64" s="645"/>
      <c r="W64" s="645" t="str">
        <f>IFERROR(VLOOKUP('General price list'!$C64,Popisy!A:M,MATCH($W$17,Popisy!$A$7:$M$7,0),FALSE),"---------------")</f>
        <v>Rotate flight to explo with crackling</v>
      </c>
      <c r="X64" s="645" t="str">
        <f t="shared" ref="X64" si="130">IF(AB64&lt;0.0001,"",AB64)</f>
        <v/>
      </c>
      <c r="Y64" s="645" t="str">
        <f t="shared" ref="Y64" si="131">IF($AL$3=2,IF(OR(AB64&lt;&gt;"",AB64&lt;&gt;0),AU64,""),IF(C64="","",IF(AB64&lt;0.0001,"",IF(B64=0,"",IF(AQ64&lt;AB64,"",AB64)))))</f>
        <v/>
      </c>
      <c r="Z64" s="645" t="str">
        <f>HYPERLINK("https://www.klasekpyrotechnics.cz/cb1db")</f>
        <v>https://www.klasekpyrotechnics.cz/cb1db</v>
      </c>
      <c r="AA64" s="645" t="str">
        <f>IFERROR(IF(VLOOKUP(C64,[4]List1!$A:$D,4,FALSE)=0,"",VLOOKUP(C64,[4]List1!$A:$D,4,FALSE)),"")</f>
        <v/>
      </c>
      <c r="AB64" s="646"/>
      <c r="AC64" s="647" t="str">
        <f>IFERROR(IF(VLOOKUP(C64,[1]List1!$A:$D,2,FALSE)="VYPRODÁNO",$V$9,IF(VLOOKUP(C64,[1]List1!$A:$D,2,FALSE)="DOCHÁZÍ",$V$3,VLOOKUP(C64,[1]List1!$A:$D,2,FALSE))),"OFFLINE!")</f>
        <v>31.08.2026</v>
      </c>
      <c r="AD64" s="647" t="str">
        <f ca="1">IF(AP64="NE",$V$10,IF(AC64=$V$3,IF(AQ64&lt;1,$V$8,$V$2&amp;" "&amp;AQ64&amp;" "&amp;$V$1),IF(AC64="SKLADEM",$V$6,IFERROR(IF(OR(AC64-TODAY()&gt;45,VLOOKUP(C64,[1]List1!$A:$E,4,FALSE)=0),AC64,DAY(AC64)&amp;"."&amp;MONTH(AC64)&amp;"."&amp;YEAR(AC64)&amp;" "&amp;$V$4&amp;VLOOKUP(C64,[1]List1!$A:$E,4,FALSE)&amp;" "&amp;$V$1),AC64))))</f>
        <v>31.08.2026</v>
      </c>
      <c r="AE64" s="645" t="str">
        <f t="shared" ref="AE64" ca="1" si="132">IFERROR(IF(AV64&lt;&gt;"",AV64,AD64),AD64)</f>
        <v>31.08.2026</v>
      </c>
      <c r="AF64" s="648">
        <f t="shared" ref="AF64" si="133">IFERROR(IF(AB64=Y64,G64*I64*Y64,0),0)</f>
        <v>0</v>
      </c>
      <c r="AG64" s="649">
        <f t="shared" ref="AG64" si="134">IF($W$17=$AF$8,AH64*1.23,AF64*1.21)</f>
        <v>0</v>
      </c>
      <c r="AH64" s="650">
        <f t="shared" ref="AH64" si="135">IFERROR(IF(Y64=AB64,H64*I64*Y64,0),0)</f>
        <v>0</v>
      </c>
      <c r="AI64" s="645">
        <f t="shared" ref="AI64" si="136">IFERROR(IF(Y64=AB64,(P64*Y64)/1000,1),0)</f>
        <v>0</v>
      </c>
      <c r="AJ64" s="645">
        <f t="shared" ref="AJ64" si="137">IFERROR(IF(Y64=AB64,N64*Y64,0.1),0)</f>
        <v>0</v>
      </c>
      <c r="AK64" s="645" t="str">
        <f t="shared" ref="AK64" si="138">IFERROR(IF(Y64=AB64,IF(M64="1.1G",(O64/1000)*Y64,""),""),0)</f>
        <v/>
      </c>
      <c r="AL64" s="645" t="str">
        <f t="shared" ref="AL64" si="139">IFERROR(IF(Y64=AB64,IF(M64="1.3G",(O64/1000)*AB64,""),""),0)</f>
        <v/>
      </c>
      <c r="AM64" s="645">
        <f t="shared" ref="AM64" si="140">IFERROR(IF(Y64=AB64,IF(M64="1.4G",(O64/1000)*AB64,""),""),0)</f>
        <v>0</v>
      </c>
      <c r="AN64" s="651">
        <f t="shared" ref="AN64" si="141">SUM(AK64:AM64)</f>
        <v>0</v>
      </c>
      <c r="AO64" s="623"/>
      <c r="AP64" s="632" t="str">
        <f t="shared" ref="AP64" si="142">IF($AL$3=1,IF(Y64=AB64,"","NE"),IF(AR64=$V$10,"NE",""))</f>
        <v/>
      </c>
      <c r="AQ64" s="633" t="str">
        <f>IF(AC64=$V$3,IF(VLOOKUP(C64,[1]List1!$A:$E,5,FALSE)=0,1,VLOOKUP(C64,[1]List1!$A:$E,5,FALSE)),"")</f>
        <v/>
      </c>
      <c r="AR64" s="625" t="str">
        <f t="shared" ref="AR64" si="143">IF($AL$3=1,"",IF(OR(AB64&lt;&gt;"",AB64&lt;&gt;0),IF(OR(AC64=$V$6,AC64=$V$3,AC64=$V$9),$V$10,""),""))</f>
        <v/>
      </c>
      <c r="AS64" s="634" t="str">
        <f t="shared" ref="AS64" si="144">IF(AT64&lt;&gt;"","X","")</f>
        <v/>
      </c>
      <c r="AT64" s="625" t="str">
        <f t="shared" ref="AT64" si="145">IF(AND($AL$3=2,AR64="",AB64&lt;&gt;""),AD64,"")</f>
        <v/>
      </c>
      <c r="AU64" s="638" t="e">
        <f t="shared" ref="AU64" si="146">IF(AT64=$AS$21,AB64,"")</f>
        <v>#N/A</v>
      </c>
      <c r="AV64" s="625" t="e">
        <f t="shared" ref="AV64" si="147">IF(OR(AB64="",AND(AT64&lt;&gt;"",AU64&lt;&gt;"")),"",$V$10)</f>
        <v>#N/A</v>
      </c>
      <c r="AX64" s="625">
        <f>IF(AND('General price list'!$J64="F4",'General price list'!$AB64+0&gt;0),1,0)</f>
        <v>0</v>
      </c>
      <c r="AY64" s="625">
        <f t="shared" ref="AY64" si="148">IFERROR(FIND(VLOOKUP($AC$7,$AD$1:$AE$12,2,FALSE),Q64,1),0)</f>
        <v>0</v>
      </c>
      <c r="AZ64" s="625">
        <f t="shared" ref="AZ64" si="149">IFERROR(FIND(VLOOKUP($AC$7,$AD$1:$AE$12,2,FALSE),R64,1),0)</f>
        <v>0</v>
      </c>
    </row>
    <row r="65" spans="1:52" ht="15" customHeight="1">
      <c r="A65" s="621" t="str">
        <f>Kat.!C65</f>
        <v/>
      </c>
      <c r="B65" s="566">
        <f>IF(AND('General price list'!$J65="F4",$AI$1=FALSE),0,IF(AC65="SKLADEM",1,IF(AC65=$V$3,1,0)))</f>
        <v>1</v>
      </c>
      <c r="C65" s="567" t="s">
        <v>40</v>
      </c>
      <c r="D65" s="568" t="s">
        <v>11187</v>
      </c>
      <c r="E65" s="763" t="s">
        <v>12643</v>
      </c>
      <c r="F65" s="772">
        <f>IFERROR(VLOOKUP(C65,[2]List1!$A:$D,3,FALSE),"NEUVEDENO!")</f>
        <v>39</v>
      </c>
      <c r="G65" s="769">
        <f t="shared" ref="G65:G77" si="150">IF($W$17=$AF$8,ROUND((F65)/$F$17,2),(F65)*$B$19)</f>
        <v>39</v>
      </c>
      <c r="H65" s="766">
        <f t="shared" ref="H65:H77" si="151">IF($W$17=$AF$8,G65*$B$19,G65/$F$17)</f>
        <v>1.6566629710338852</v>
      </c>
      <c r="I65" s="764">
        <f>IFERROR(VLOOKUP(C65,[2]List1!$A:$D,4,FALSE),"NEUVEDENO!")</f>
        <v>80</v>
      </c>
      <c r="J65" s="732" t="s">
        <v>39</v>
      </c>
      <c r="K65" s="569" t="s">
        <v>20</v>
      </c>
      <c r="L65" s="569" t="s">
        <v>10963</v>
      </c>
      <c r="M65" s="569" t="s">
        <v>21</v>
      </c>
      <c r="N65" s="569">
        <f>IFERROR(VLOOKUP(C65,[3]List1!$A:$D,4,FALSE),"N/A!")</f>
        <v>2.2164599999999996E-2</v>
      </c>
      <c r="O65" s="569">
        <f>IFERROR(VLOOKUP(C65,[3]List1!$A:$D,3,FALSE),"N/A!")</f>
        <v>504.00000000000006</v>
      </c>
      <c r="P65" s="569">
        <f>IFERROR(VLOOKUP(C65,[3]List1!$A:$D,2,FALSE),"N/A!")</f>
        <v>3700</v>
      </c>
      <c r="Q65" s="569" t="s">
        <v>11232</v>
      </c>
      <c r="R65" s="569"/>
      <c r="S65" s="569"/>
      <c r="T65" s="569"/>
      <c r="U65" s="569"/>
      <c r="V65" s="569"/>
      <c r="W65" s="569" t="str">
        <f>IFERROR(IF(AND($AB65&gt;=0.1*$AA65,MOD($AB65,$AA65)&gt;=($AA65-(0.1*$AA65))),IF($W$17=$AF$1,"Zvažte možnost doobjednání ještě "&amp;Tabulka1[[#This Row],[VKPAL]]-MOD(AB65,AA65)&amp;" VK do plné palety.",VLOOKUP("Zvažte možnost doobjednání ještě ",Jazyky_ceník!A:Q,MATCH($W$17,Jazyky_ceník!$A$1:$Q$1,0),FALSE)&amp;Tabulka1[[#This Row],[VKPAL]]-MOD(AB65,AA65)&amp;VLOOKUP(" VK do plné palety.",Jazyky_ceník!A:Q,MATCH($W$17,Jazyky_ceník!$A$1:$Q$1,0),FALSE)),IFERROR(IF(AND(NOT(MOD($AB65,$AA65)=0),$AB65&gt;=0.9*$AA65,MOD($AB65,$AA65)&lt;=0.1*$AA65),IF($W$17=$AF$1,"Zvažte možnost optimalizace objednaného množství podle počtu VK na paletě ==&gt;",VLOOKUP("Zvažte možnost optimalizace objednaného množství podle počtu VK na paletě ==&gt;",Jazyky_ceník!A:Q,MATCH($W$17,Jazyky_ceník!$A$1:$Q$1,0),FALSE)),VLOOKUP('General price list'!$C65,Popisy!A:M,MATCH($W$17,Popisy!$A$7:$M$7,0),FALSE)),"---------------")),IFERROR(VLOOKUP('General price list'!$C65,Popisy!A:M,MATCH($W$17,Popisy!$A$7:$M$7,0),FALSE),"---------------"))</f>
        <v>zlatá létající včela</v>
      </c>
      <c r="X65" s="569" t="str">
        <f t="shared" ref="X65:X77" si="152">IF(AB65&lt;0.0001,"",AB65)</f>
        <v/>
      </c>
      <c r="Y65" s="569" t="str">
        <f t="shared" ref="Y65:Y77" si="153">IF($AL$3=2,IF(OR(AB65&lt;&gt;"",AB65&lt;&gt;0),AU65,""),IF(C65="","",IF(AB65&lt;0.0001,"",IF(B65=0,"",IF(AQ65&lt;AB65,"",AB65)))))</f>
        <v/>
      </c>
      <c r="Z65" s="569" t="str">
        <f>HYPERLINK("https://www.klasekpyrotechnics.cz/dp1vc")</f>
        <v>https://www.klasekpyrotechnics.cz/dp1vc</v>
      </c>
      <c r="AA65" s="569" t="str">
        <f>IFERROR(IF(VLOOKUP(C65,[4]List1!$A:$D,4,FALSE)=0,"",VLOOKUP(C65,[4]List1!$A:$D,4,FALSE)),"")</f>
        <v>48</v>
      </c>
      <c r="AB65" s="565"/>
      <c r="AC65" s="570" t="str">
        <f>IFERROR(IF(VLOOKUP(C65,[1]List1!$A:$D,2,FALSE)="VYPRODÁNO",$V$9,IF(VLOOKUP(C65,[1]List1!$A:$D,2,FALSE)="DOCHÁZÍ",$V$3,VLOOKUP(C65,[1]List1!$A:$D,2,FALSE))),"OFFLINE!")</f>
        <v>SKLADEM</v>
      </c>
      <c r="AD65" s="570" t="str">
        <f ca="1">IF(AP65="NE",$V$10,IF(AC65=$V$3,IF(AQ65&lt;1,$V$8,$V$2&amp;" "&amp;AQ65&amp;" "&amp;$V$1),IF(AC65="SKLADEM",$V$6,IFERROR(IF(OR(AC65-TODAY()&gt;45,VLOOKUP(C65,[1]List1!$A:$E,4,FALSE)=0),AC65,DAY(AC65)&amp;"."&amp;MONTH(AC65)&amp;"."&amp;YEAR(AC65)&amp;" "&amp;$V$4&amp;VLOOKUP(C65,[1]List1!$A:$E,4,FALSE)&amp;" "&amp;$V$1),AC65))))</f>
        <v>SKLADEM</v>
      </c>
      <c r="AE65" s="581" t="str">
        <f t="shared" ref="AE65:AE77" ca="1" si="154">IFERROR(IF(AV65&lt;&gt;"",AV65,AD65),AD65)</f>
        <v>SKLADEM</v>
      </c>
      <c r="AF65" s="584">
        <f t="shared" ref="AF65:AF77" si="155">IFERROR(IF(AB65=Y65,G65*I65*Y65,0),0)</f>
        <v>0</v>
      </c>
      <c r="AG65" s="585">
        <f t="shared" ref="AG65:AG77" si="156">IF($W$17=$AF$8,AH65*1.23,AF65*1.21)</f>
        <v>0</v>
      </c>
      <c r="AH65" s="583">
        <f t="shared" ref="AH65:AH77" si="157">IFERROR(IF(Y65=AB65,H65*I65*Y65,0),0)</f>
        <v>0</v>
      </c>
      <c r="AI65" s="582">
        <f t="shared" ref="AI65:AI77" si="158">IFERROR(IF(Y65=AB65,(P65*Y65)/1000,1),0)</f>
        <v>0</v>
      </c>
      <c r="AJ65" s="569">
        <f t="shared" ref="AJ65:AJ77" si="159">IFERROR(IF(Y65=AB65,N65*Y65,0.1),0)</f>
        <v>0</v>
      </c>
      <c r="AK65" s="569" t="str">
        <f t="shared" ref="AK65:AK77" si="160">IFERROR(IF(Y65=AB65,IF(M65="1.1G",(O65/1000)*Y65,""),""),0)</f>
        <v/>
      </c>
      <c r="AL65" s="569" t="str">
        <f t="shared" ref="AL65:AL77" si="161">IFERROR(IF(Y65=AB65,IF(M65="1.3G",(O65/1000)*AB65,""),""),0)</f>
        <v/>
      </c>
      <c r="AM65" s="569">
        <f t="shared" ref="AM65:AM77" si="162">IFERROR(IF(Y65=AB65,IF(M65="1.4G",(O65/1000)*AB65,""),""),0)</f>
        <v>0</v>
      </c>
      <c r="AN65" s="581">
        <f t="shared" ref="AN65:AN77" si="163">SUM(AK65:AM65)</f>
        <v>0</v>
      </c>
      <c r="AO65" s="623"/>
      <c r="AP65" s="632" t="str">
        <f t="shared" si="120"/>
        <v/>
      </c>
      <c r="AQ65" s="633" t="str">
        <f>IF(AC65=$V$3,IF(VLOOKUP(C65,[1]List1!$A:$E,5,FALSE)=0,1,VLOOKUP(C65,[1]List1!$A:$E,5,FALSE)),"")</f>
        <v/>
      </c>
      <c r="AR65" s="625" t="str">
        <f t="shared" si="121"/>
        <v/>
      </c>
      <c r="AS65" s="634" t="str">
        <f t="shared" si="122"/>
        <v/>
      </c>
      <c r="AT65" s="625" t="str">
        <f t="shared" si="123"/>
        <v/>
      </c>
      <c r="AU65" s="638" t="e">
        <f t="shared" si="124"/>
        <v>#N/A</v>
      </c>
      <c r="AV65" s="625" t="e">
        <f t="shared" si="125"/>
        <v>#N/A</v>
      </c>
      <c r="AX65" s="625">
        <f>IF(AND('General price list'!$J65="F4",'General price list'!$AB65+0&gt;0),1,0)</f>
        <v>0</v>
      </c>
      <c r="AY65" s="625">
        <f t="shared" si="126"/>
        <v>1</v>
      </c>
      <c r="AZ65" s="625">
        <f t="shared" si="127"/>
        <v>0</v>
      </c>
    </row>
    <row r="66" spans="1:52" ht="15" customHeight="1">
      <c r="A66" s="639" t="str">
        <f>Kat.!C66</f>
        <v/>
      </c>
      <c r="B66" s="640">
        <f>IF(AND('General price list'!$J66="F4",$AI$1=FALSE),0,IF(AC66="SKLADEM",1,IF(AC66=$V$3,1,0)))</f>
        <v>1</v>
      </c>
      <c r="C66" s="641" t="s">
        <v>2950</v>
      </c>
      <c r="D66" s="642" t="s">
        <v>2951</v>
      </c>
      <c r="E66" s="643" t="s">
        <v>12644</v>
      </c>
      <c r="F66" s="771">
        <f>IFERROR(VLOOKUP(C66,[2]List1!$A:$D,3,FALSE),"NEUVEDENO!")</f>
        <v>805</v>
      </c>
      <c r="G66" s="768">
        <f t="shared" si="150"/>
        <v>805</v>
      </c>
      <c r="H66" s="765">
        <f t="shared" si="151"/>
        <v>34.195222863648141</v>
      </c>
      <c r="I66" s="644">
        <f>IFERROR(VLOOKUP(C66,[2]List1!$A:$D,4,FALSE),"NEUVEDENO!")</f>
        <v>5</v>
      </c>
      <c r="J66" s="733" t="s">
        <v>39</v>
      </c>
      <c r="K66" s="645" t="s">
        <v>20</v>
      </c>
      <c r="L66" s="645" t="s">
        <v>10963</v>
      </c>
      <c r="M66" s="645" t="s">
        <v>21</v>
      </c>
      <c r="N66" s="645">
        <f>IFERROR(VLOOKUP(C66,[3]List1!$A:$D,4,FALSE),"N/A!")</f>
        <v>1.8919999999999999E-2</v>
      </c>
      <c r="O66" s="645">
        <f>IFERROR(VLOOKUP(C66,[3]List1!$A:$D,3,FALSE),"N/A!")</f>
        <v>1920.0000000000002</v>
      </c>
      <c r="P66" s="645">
        <f>IFERROR(VLOOKUP(C66,[3]List1!$A:$D,2,FALSE),"N/A!")</f>
        <v>7500</v>
      </c>
      <c r="Q66" s="645" t="s">
        <v>12763</v>
      </c>
      <c r="R66" s="645" t="s">
        <v>11235</v>
      </c>
      <c r="S66" s="645"/>
      <c r="T66" s="645"/>
      <c r="U66" s="645"/>
      <c r="V66" s="645"/>
      <c r="W66" s="645" t="str">
        <f>IFERROR(IF(AND($AB66&gt;=0.1*$AA66,MOD($AB66,$AA66)&gt;=($AA66-(0.1*$AA66))),IF($W$17=$AF$1,"Zvažte možnost doobjednání ještě "&amp;Tabulka1[[#This Row],[VKPAL]]-MOD(AB66,AA66)&amp;" VK do plné palety.",VLOOKUP("Zvažte možnost doobjednání ještě ",Jazyky_ceník!A:Q,MATCH($W$17,Jazyky_ceník!$A$1:$Q$1,0),FALSE)&amp;Tabulka1[[#This Row],[VKPAL]]-MOD(AB66,AA66)&amp;VLOOKUP(" VK do plné palety.",Jazyky_ceník!A:Q,MATCH($W$17,Jazyky_ceník!$A$1:$Q$1,0),FALSE)),IFERROR(IF(AND(NOT(MOD($AB66,$AA66)=0),$AB66&gt;=0.9*$AA66,MOD($AB66,$AA66)&lt;=0.1*$AA66),IF($W$17=$AF$1,"Zvažte možnost optimalizace objednaného množství podle počtu VK na paletě ==&gt;",VLOOKUP("Zvažte možnost optimalizace objednaného množství podle počtu VK na paletě ==&gt;",Jazyky_ceník!A:Q,MATCH($W$17,Jazyky_ceník!$A$1:$Q$1,0),FALSE)),VLOOKUP('General price list'!$C66,Popisy!A:M,MATCH($W$17,Popisy!$A$7:$M$7,0),FALSE)),"---------------")),IFERROR(VLOOKUP('General price list'!$C66,Popisy!A:M,MATCH($W$17,Popisy!$A$7:$M$7,0),FALSE),"---------------"))</f>
        <v>pískající vosa</v>
      </c>
      <c r="X66" s="645" t="str">
        <f t="shared" si="152"/>
        <v/>
      </c>
      <c r="Y66" s="645" t="str">
        <f t="shared" si="153"/>
        <v/>
      </c>
      <c r="Z66" s="645" t="str">
        <f>HYPERLINK("https://www.klasekpyrotechnics.cz/lm0sw")</f>
        <v>https://www.klasekpyrotechnics.cz/lm0sw</v>
      </c>
      <c r="AA66" s="645">
        <f>IFERROR(IF(VLOOKUP(C66,[4]List1!$A:$D,4,FALSE)=0,"",VLOOKUP(C66,[4]List1!$A:$D,4,FALSE)),"")</f>
        <v>80</v>
      </c>
      <c r="AB66" s="646"/>
      <c r="AC66" s="647" t="str">
        <f>IFERROR(IF(VLOOKUP(C66,[1]List1!$A:$D,2,FALSE)="VYPRODÁNO",$V$9,IF(VLOOKUP(C66,[1]List1!$A:$D,2,FALSE)="DOCHÁZÍ",$V$3,VLOOKUP(C66,[1]List1!$A:$D,2,FALSE))),"OFFLINE!")</f>
        <v>SKLADEM</v>
      </c>
      <c r="AD66" s="647" t="str">
        <f ca="1">IF(AP66="NE",$V$10,IF(AC66=$V$3,IF(AQ66&lt;1,$V$8,$V$2&amp;" "&amp;AQ66&amp;" "&amp;$V$1),IF(AC66="SKLADEM",$V$6,IFERROR(IF(OR(AC66-TODAY()&gt;45,VLOOKUP(C66,[1]List1!$A:$E,4,FALSE)=0),AC66,DAY(AC66)&amp;"."&amp;MONTH(AC66)&amp;"."&amp;YEAR(AC66)&amp;" "&amp;$V$4&amp;VLOOKUP(C66,[1]List1!$A:$E,4,FALSE)&amp;" "&amp;$V$1),AC66))))</f>
        <v>SKLADEM</v>
      </c>
      <c r="AE66" s="645" t="str">
        <f t="shared" ca="1" si="154"/>
        <v>SKLADEM</v>
      </c>
      <c r="AF66" s="648">
        <f t="shared" si="155"/>
        <v>0</v>
      </c>
      <c r="AG66" s="649">
        <f t="shared" si="156"/>
        <v>0</v>
      </c>
      <c r="AH66" s="650">
        <f t="shared" si="157"/>
        <v>0</v>
      </c>
      <c r="AI66" s="645">
        <f t="shared" si="158"/>
        <v>0</v>
      </c>
      <c r="AJ66" s="645">
        <f t="shared" si="159"/>
        <v>0</v>
      </c>
      <c r="AK66" s="645" t="str">
        <f t="shared" si="160"/>
        <v/>
      </c>
      <c r="AL66" s="645" t="str">
        <f t="shared" si="161"/>
        <v/>
      </c>
      <c r="AM66" s="645">
        <f t="shared" si="162"/>
        <v>0</v>
      </c>
      <c r="AN66" s="651">
        <f t="shared" si="163"/>
        <v>0</v>
      </c>
      <c r="AO66" s="623"/>
      <c r="AP66" s="632" t="str">
        <f t="shared" si="120"/>
        <v/>
      </c>
      <c r="AQ66" s="633" t="str">
        <f>IF(AC66=$V$3,IF(VLOOKUP(C66,[1]List1!$A:$E,5,FALSE)=0,1,VLOOKUP(C66,[1]List1!$A:$E,5,FALSE)),"")</f>
        <v/>
      </c>
      <c r="AR66" s="625" t="str">
        <f t="shared" si="121"/>
        <v/>
      </c>
      <c r="AS66" s="634" t="str">
        <f t="shared" si="122"/>
        <v/>
      </c>
      <c r="AT66" s="625" t="str">
        <f t="shared" si="123"/>
        <v/>
      </c>
      <c r="AU66" s="638" t="e">
        <f t="shared" si="124"/>
        <v>#N/A</v>
      </c>
      <c r="AV66" s="625" t="e">
        <f t="shared" si="125"/>
        <v>#N/A</v>
      </c>
      <c r="AX66" s="625">
        <f>IF(AND('General price list'!$J66="F4",'General price list'!$AB66+0&gt;0),1,0)</f>
        <v>0</v>
      </c>
      <c r="AY66" s="625">
        <f t="shared" si="126"/>
        <v>1</v>
      </c>
      <c r="AZ66" s="625">
        <f t="shared" si="127"/>
        <v>1</v>
      </c>
    </row>
    <row r="67" spans="1:52" ht="15" customHeight="1">
      <c r="A67" s="621" t="str">
        <f>Kat.!C67</f>
        <v/>
      </c>
      <c r="B67" s="566">
        <f>IF(AND('General price list'!$J67="F4",$AI$1=FALSE),0,IF(AC67="SKLADEM",1,IF(AC67=$V$3,1,0)))</f>
        <v>1</v>
      </c>
      <c r="C67" s="567" t="s">
        <v>64</v>
      </c>
      <c r="D67" s="568" t="s">
        <v>65</v>
      </c>
      <c r="E67" s="763" t="s">
        <v>12645</v>
      </c>
      <c r="F67" s="772">
        <f>IFERROR(VLOOKUP(C67,[2]List1!$A:$D,3,FALSE),"NEUVEDENO!")</f>
        <v>29</v>
      </c>
      <c r="G67" s="769">
        <f t="shared" si="150"/>
        <v>29</v>
      </c>
      <c r="H67" s="766">
        <f t="shared" si="151"/>
        <v>1.2318775938457094</v>
      </c>
      <c r="I67" s="764">
        <f>IFERROR(VLOOKUP(C67,[2]List1!$A:$D,4,FALSE),"NEUVEDENO!")</f>
        <v>120</v>
      </c>
      <c r="J67" s="732" t="s">
        <v>39</v>
      </c>
      <c r="K67" s="569" t="s">
        <v>20</v>
      </c>
      <c r="L67" s="569" t="s">
        <v>10963</v>
      </c>
      <c r="M67" s="569" t="s">
        <v>21</v>
      </c>
      <c r="N67" s="569">
        <f>IFERROR(VLOOKUP(C67,[3]List1!$A:$D,4,FALSE),"N/A!")</f>
        <v>2.6099999999999998E-2</v>
      </c>
      <c r="O67" s="569">
        <f>IFERROR(VLOOKUP(C67,[3]List1!$A:$D,3,FALSE),"N/A!")</f>
        <v>2400</v>
      </c>
      <c r="P67" s="569">
        <f>IFERROR(VLOOKUP(C67,[3]List1!$A:$D,2,FALSE),"N/A!")</f>
        <v>4700</v>
      </c>
      <c r="Q67" s="569" t="s">
        <v>11232</v>
      </c>
      <c r="R67" s="569"/>
      <c r="S67" s="569"/>
      <c r="T67" s="569"/>
      <c r="U67" s="569"/>
      <c r="V67" s="569"/>
      <c r="W67" s="569" t="str">
        <f>IFERROR(IF(AND($AB67&gt;=0.1*$AA67,MOD($AB67,$AA67)&gt;=($AA67-(0.1*$AA67))),IF($W$17=$AF$1,"Zvažte možnost doobjednání ještě "&amp;Tabulka1[[#This Row],[VKPAL]]-MOD(AB67,AA67)&amp;" VK do plné palety.",VLOOKUP("Zvažte možnost doobjednání ještě ",Jazyky_ceník!A:Q,MATCH($W$17,Jazyky_ceník!$A$1:$Q$1,0),FALSE)&amp;Tabulka1[[#This Row],[VKPAL]]-MOD(AB67,AA67)&amp;VLOOKUP(" VK do plné palety.",Jazyky_ceník!A:Q,MATCH($W$17,Jazyky_ceník!$A$1:$Q$1,0),FALSE)),IFERROR(IF(AND(NOT(MOD($AB67,$AA67)=0),$AB67&gt;=0.9*$AA67,MOD($AB67,$AA67)&lt;=0.1*$AA67),IF($W$17=$AF$1,"Zvažte možnost optimalizace objednaného množství podle počtu VK na paletě ==&gt;",VLOOKUP("Zvažte možnost optimalizace objednaného množství podle počtu VK na paletě ==&gt;",Jazyky_ceník!A:Q,MATCH($W$17,Jazyky_ceník!$A$1:$Q$1,0),FALSE)),VLOOKUP('General price list'!$C67,Popisy!A:M,MATCH($W$17,Popisy!$A$7:$M$7,0),FALSE)),"---------------")),IFERROR(VLOOKUP('General price list'!$C67,Popisy!A:M,MATCH($W$17,Popisy!$A$7:$M$7,0),FALSE),"---------------"))</f>
        <v>stříbrná rotující stopa</v>
      </c>
      <c r="X67" s="569" t="str">
        <f t="shared" si="152"/>
        <v/>
      </c>
      <c r="Y67" s="569" t="str">
        <f t="shared" si="153"/>
        <v/>
      </c>
      <c r="Z67" s="569" t="str">
        <f>HYPERLINK("https://www.klasekpyrotechnics.cz/lm1o")</f>
        <v>https://www.klasekpyrotechnics.cz/lm1o</v>
      </c>
      <c r="AA67" s="569">
        <f>IFERROR(IF(VLOOKUP(C67,[4]List1!$A:$D,4,FALSE)=0,"",VLOOKUP(C67,[4]List1!$A:$D,4,FALSE)),"")</f>
        <v>80</v>
      </c>
      <c r="AB67" s="565"/>
      <c r="AC67" s="570" t="str">
        <f>IFERROR(IF(VLOOKUP(C67,[1]List1!$A:$D,2,FALSE)="VYPRODÁNO",$V$9,IF(VLOOKUP(C67,[1]List1!$A:$D,2,FALSE)="DOCHÁZÍ",$V$3,VLOOKUP(C67,[1]List1!$A:$D,2,FALSE))),"OFFLINE!")</f>
        <v>SKLADEM</v>
      </c>
      <c r="AD67" s="570" t="str">
        <f ca="1">IF(AP67="NE",$V$10,IF(AC67=$V$3,IF(AQ67&lt;1,$V$8,$V$2&amp;" "&amp;AQ67&amp;" "&amp;$V$1),IF(AC67="SKLADEM",$V$6,IFERROR(IF(OR(AC67-TODAY()&gt;45,VLOOKUP(C67,[1]List1!$A:$E,4,FALSE)=0),AC67,DAY(AC67)&amp;"."&amp;MONTH(AC67)&amp;"."&amp;YEAR(AC67)&amp;" "&amp;$V$4&amp;VLOOKUP(C67,[1]List1!$A:$E,4,FALSE)&amp;" "&amp;$V$1),AC67))))</f>
        <v>SKLADEM</v>
      </c>
      <c r="AE67" s="581" t="str">
        <f t="shared" ca="1" si="154"/>
        <v>SKLADEM</v>
      </c>
      <c r="AF67" s="584">
        <f t="shared" si="155"/>
        <v>0</v>
      </c>
      <c r="AG67" s="585">
        <f t="shared" si="156"/>
        <v>0</v>
      </c>
      <c r="AH67" s="583">
        <f t="shared" si="157"/>
        <v>0</v>
      </c>
      <c r="AI67" s="582">
        <f t="shared" si="158"/>
        <v>0</v>
      </c>
      <c r="AJ67" s="569">
        <f t="shared" si="159"/>
        <v>0</v>
      </c>
      <c r="AK67" s="569" t="str">
        <f t="shared" si="160"/>
        <v/>
      </c>
      <c r="AL67" s="569" t="str">
        <f t="shared" si="161"/>
        <v/>
      </c>
      <c r="AM67" s="569">
        <f t="shared" si="162"/>
        <v>0</v>
      </c>
      <c r="AN67" s="581">
        <f t="shared" si="163"/>
        <v>0</v>
      </c>
      <c r="AO67" s="623"/>
      <c r="AP67" s="632" t="str">
        <f t="shared" si="120"/>
        <v/>
      </c>
      <c r="AQ67" s="633" t="str">
        <f>IF(AC67=$V$3,IF(VLOOKUP(C67,[1]List1!$A:$E,5,FALSE)=0,1,VLOOKUP(C67,[1]List1!$A:$E,5,FALSE)),"")</f>
        <v/>
      </c>
      <c r="AR67" s="625" t="str">
        <f t="shared" si="121"/>
        <v/>
      </c>
      <c r="AS67" s="634" t="str">
        <f t="shared" si="122"/>
        <v/>
      </c>
      <c r="AT67" s="625" t="str">
        <f t="shared" si="123"/>
        <v/>
      </c>
      <c r="AU67" s="638" t="e">
        <f t="shared" si="124"/>
        <v>#N/A</v>
      </c>
      <c r="AV67" s="625" t="e">
        <f t="shared" si="125"/>
        <v>#N/A</v>
      </c>
      <c r="AX67" s="625">
        <f>IF(AND('General price list'!$J67="F4",'General price list'!$AB67+0&gt;0),1,0)</f>
        <v>0</v>
      </c>
      <c r="AY67" s="625">
        <f t="shared" si="126"/>
        <v>1</v>
      </c>
      <c r="AZ67" s="625">
        <f t="shared" si="127"/>
        <v>0</v>
      </c>
    </row>
    <row r="68" spans="1:52" ht="15" customHeight="1">
      <c r="A68" s="639" t="str">
        <f>Kat.!C68</f>
        <v/>
      </c>
      <c r="B68" s="640">
        <f>IF(AND('General price list'!$J68="F4",$AI$1=FALSE),0,IF(AC68="SKLADEM",1,IF(AC68=$V$3,1,0)))</f>
        <v>1</v>
      </c>
      <c r="C68" s="641" t="s">
        <v>59</v>
      </c>
      <c r="D68" s="642" t="s">
        <v>60</v>
      </c>
      <c r="E68" s="643" t="s">
        <v>12646</v>
      </c>
      <c r="F68" s="771">
        <f>IFERROR(VLOOKUP(C68,[2]List1!$A:$D,3,FALSE),"NEUVEDENO!")</f>
        <v>43</v>
      </c>
      <c r="G68" s="768">
        <f t="shared" si="150"/>
        <v>43</v>
      </c>
      <c r="H68" s="765">
        <f t="shared" si="151"/>
        <v>1.8265771219091553</v>
      </c>
      <c r="I68" s="644">
        <f>IFERROR(VLOOKUP(C68,[2]List1!$A:$D,4,FALSE),"NEUVEDENO!")</f>
        <v>60</v>
      </c>
      <c r="J68" s="733" t="s">
        <v>39</v>
      </c>
      <c r="K68" s="645" t="s">
        <v>20</v>
      </c>
      <c r="L68" s="645" t="s">
        <v>10963</v>
      </c>
      <c r="M68" s="645" t="s">
        <v>21</v>
      </c>
      <c r="N68" s="645">
        <f>IFERROR(VLOOKUP(C68,[3]List1!$A:$D,4,FALSE),"N/A!")</f>
        <v>4.3987499999999999E-2</v>
      </c>
      <c r="O68" s="645">
        <f>IFERROR(VLOOKUP(C68,[3]List1!$A:$D,3,FALSE),"N/A!")</f>
        <v>2160</v>
      </c>
      <c r="P68" s="645">
        <f>IFERROR(VLOOKUP(C68,[3]List1!$A:$D,2,FALSE),"N/A!")</f>
        <v>6300</v>
      </c>
      <c r="Q68" s="645" t="s">
        <v>11233</v>
      </c>
      <c r="R68" s="645" t="s">
        <v>20</v>
      </c>
      <c r="S68" s="645"/>
      <c r="T68" s="645"/>
      <c r="U68" s="645"/>
      <c r="V68" s="645"/>
      <c r="W68" s="645" t="str">
        <f>IFERROR(IF(AND($AB68&gt;=0.1*$AA68,MOD($AB68,$AA68)&gt;=($AA68-(0.1*$AA68))),IF($W$17=$AF$1,"Zvažte možnost doobjednání ještě "&amp;Tabulka1[[#This Row],[VKPAL]]-MOD(AB68,AA68)&amp;" VK do plné palety.",VLOOKUP("Zvažte možnost doobjednání ještě ",Jazyky_ceník!A:Q,MATCH($W$17,Jazyky_ceník!$A$1:$Q$1,0),FALSE)&amp;Tabulka1[[#This Row],[VKPAL]]-MOD(AB68,AA68)&amp;VLOOKUP(" VK do plné palety.",Jazyky_ceník!A:Q,MATCH($W$17,Jazyky_ceník!$A$1:$Q$1,0),FALSE)),IFERROR(IF(AND(NOT(MOD($AB68,$AA68)=0),$AB68&gt;=0.9*$AA68,MOD($AB68,$AA68)&lt;=0.1*$AA68),IF($W$17=$AF$1,"Zvažte možnost optimalizace objednaného množství podle počtu VK na paletě ==&gt;",VLOOKUP("Zvažte možnost optimalizace objednaného množství podle počtu VK na paletě ==&gt;",Jazyky_ceník!A:Q,MATCH($W$17,Jazyky_ceník!$A$1:$Q$1,0),FALSE)),VLOOKUP('General price list'!$C68,Popisy!A:M,MATCH($W$17,Popisy!$A$7:$M$7,0),FALSE)),"---------------")),IFERROR(VLOOKUP('General price list'!$C68,Popisy!A:M,MATCH($W$17,Popisy!$A$7:$M$7,0),FALSE),"---------------"))</f>
        <v>zelená rotující stopa se zelenými blikajícími hvězdami</v>
      </c>
      <c r="X68" s="645" t="str">
        <f t="shared" si="152"/>
        <v/>
      </c>
      <c r="Y68" s="645" t="str">
        <f t="shared" si="153"/>
        <v/>
      </c>
      <c r="Z68" s="645" t="str">
        <f>HYPERLINK("https://www.klasekpyrotechnics.cz/lm2c")</f>
        <v>https://www.klasekpyrotechnics.cz/lm2c</v>
      </c>
      <c r="AA68" s="645">
        <f>IFERROR(IF(VLOOKUP(C68,[4]List1!$A:$D,4,FALSE)=0,"",VLOOKUP(C68,[4]List1!$A:$D,4,FALSE)),"")</f>
        <v>24</v>
      </c>
      <c r="AB68" s="646"/>
      <c r="AC68" s="647" t="str">
        <f>IFERROR(IF(VLOOKUP(C68,[1]List1!$A:$D,2,FALSE)="VYPRODÁNO",$V$9,IF(VLOOKUP(C68,[1]List1!$A:$D,2,FALSE)="DOCHÁZÍ",$V$3,VLOOKUP(C68,[1]List1!$A:$D,2,FALSE))),"OFFLINE!")</f>
        <v>SKLADEM</v>
      </c>
      <c r="AD68" s="647" t="str">
        <f ca="1">IF(AP68="NE",$V$10,IF(AC68=$V$3,IF(AQ68&lt;1,$V$8,$V$2&amp;" "&amp;AQ68&amp;" "&amp;$V$1),IF(AC68="SKLADEM",$V$6,IFERROR(IF(OR(AC68-TODAY()&gt;45,VLOOKUP(C68,[1]List1!$A:$E,4,FALSE)=0),AC68,DAY(AC68)&amp;"."&amp;MONTH(AC68)&amp;"."&amp;YEAR(AC68)&amp;" "&amp;$V$4&amp;VLOOKUP(C68,[1]List1!$A:$E,4,FALSE)&amp;" "&amp;$V$1),AC68))))</f>
        <v>SKLADEM</v>
      </c>
      <c r="AE68" s="645" t="str">
        <f t="shared" ca="1" si="154"/>
        <v>SKLADEM</v>
      </c>
      <c r="AF68" s="648">
        <f t="shared" si="155"/>
        <v>0</v>
      </c>
      <c r="AG68" s="649">
        <f t="shared" si="156"/>
        <v>0</v>
      </c>
      <c r="AH68" s="650">
        <f t="shared" si="157"/>
        <v>0</v>
      </c>
      <c r="AI68" s="645">
        <f t="shared" si="158"/>
        <v>0</v>
      </c>
      <c r="AJ68" s="645">
        <f t="shared" si="159"/>
        <v>0</v>
      </c>
      <c r="AK68" s="645" t="str">
        <f t="shared" si="160"/>
        <v/>
      </c>
      <c r="AL68" s="645" t="str">
        <f t="shared" si="161"/>
        <v/>
      </c>
      <c r="AM68" s="645">
        <f t="shared" si="162"/>
        <v>0</v>
      </c>
      <c r="AN68" s="651">
        <f t="shared" si="163"/>
        <v>0</v>
      </c>
      <c r="AO68" s="623"/>
      <c r="AP68" s="632" t="str">
        <f t="shared" si="120"/>
        <v/>
      </c>
      <c r="AQ68" s="633" t="str">
        <f>IF(AC68=$V$3,IF(VLOOKUP(C68,[1]List1!$A:$E,5,FALSE)=0,1,VLOOKUP(C68,[1]List1!$A:$E,5,FALSE)),"")</f>
        <v/>
      </c>
      <c r="AR68" s="625" t="str">
        <f t="shared" si="121"/>
        <v/>
      </c>
      <c r="AS68" s="634" t="str">
        <f t="shared" si="122"/>
        <v/>
      </c>
      <c r="AT68" s="625" t="str">
        <f t="shared" si="123"/>
        <v/>
      </c>
      <c r="AU68" s="638" t="e">
        <f t="shared" si="124"/>
        <v>#N/A</v>
      </c>
      <c r="AV68" s="625" t="e">
        <f t="shared" si="125"/>
        <v>#N/A</v>
      </c>
      <c r="AX68" s="625">
        <f>IF(AND('General price list'!$J68="F4",'General price list'!$AB68+0&gt;0),1,0)</f>
        <v>0</v>
      </c>
      <c r="AY68" s="625">
        <f t="shared" si="126"/>
        <v>1</v>
      </c>
      <c r="AZ68" s="625">
        <f t="shared" si="127"/>
        <v>0</v>
      </c>
    </row>
    <row r="69" spans="1:52" ht="15" customHeight="1">
      <c r="A69" s="621" t="str">
        <f>Kat.!C69</f>
        <v/>
      </c>
      <c r="B69" s="566">
        <f>IF(AND('General price list'!$J69="F4",$AI$1=FALSE),0,IF(AC69="SKLADEM",1,IF(AC69=$V$3,1,0)))</f>
        <v>1</v>
      </c>
      <c r="C69" s="567" t="s">
        <v>54</v>
      </c>
      <c r="D69" s="568" t="s">
        <v>55</v>
      </c>
      <c r="E69" s="763" t="s">
        <v>12646</v>
      </c>
      <c r="F69" s="772">
        <f>IFERROR(VLOOKUP(C69,[2]List1!$A:$D,3,FALSE),"NEUVEDENO!")</f>
        <v>43</v>
      </c>
      <c r="G69" s="769">
        <f t="shared" si="150"/>
        <v>43</v>
      </c>
      <c r="H69" s="766">
        <f t="shared" si="151"/>
        <v>1.8265771219091553</v>
      </c>
      <c r="I69" s="764">
        <f>IFERROR(VLOOKUP(C69,[2]List1!$A:$D,4,FALSE),"NEUVEDENO!")</f>
        <v>60</v>
      </c>
      <c r="J69" s="732" t="s">
        <v>39</v>
      </c>
      <c r="K69" s="569" t="s">
        <v>20</v>
      </c>
      <c r="L69" s="569" t="s">
        <v>10963</v>
      </c>
      <c r="M69" s="569" t="s">
        <v>21</v>
      </c>
      <c r="N69" s="569">
        <f>IFERROR(VLOOKUP(C69,[3]List1!$A:$D,4,FALSE),"N/A!")</f>
        <v>3.9973874999999999E-2</v>
      </c>
      <c r="O69" s="569">
        <f>IFERROR(VLOOKUP(C69,[3]List1!$A:$D,3,FALSE),"N/A!")</f>
        <v>2160</v>
      </c>
      <c r="P69" s="569">
        <f>IFERROR(VLOOKUP(C69,[3]List1!$A:$D,2,FALSE),"N/A!")</f>
        <v>5600</v>
      </c>
      <c r="Q69" s="569" t="s">
        <v>11238</v>
      </c>
      <c r="R69" s="569" t="s">
        <v>20</v>
      </c>
      <c r="S69" s="569"/>
      <c r="T69" s="569"/>
      <c r="U69" s="569"/>
      <c r="V69" s="569"/>
      <c r="W69" s="569" t="str">
        <f>IFERROR(IF(AND($AB69&gt;=0.1*$AA69,MOD($AB69,$AA69)&gt;=($AA69-(0.1*$AA69))),IF($W$17=$AF$1,"Zvažte možnost doobjednání ještě "&amp;Tabulka1[[#This Row],[VKPAL]]-MOD(AB69,AA69)&amp;" VK do plné palety.",VLOOKUP("Zvažte možnost doobjednání ještě ",Jazyky_ceník!A:Q,MATCH($W$17,Jazyky_ceník!$A$1:$Q$1,0),FALSE)&amp;Tabulka1[[#This Row],[VKPAL]]-MOD(AB69,AA69)&amp;VLOOKUP(" VK do plné palety.",Jazyky_ceník!A:Q,MATCH($W$17,Jazyky_ceník!$A$1:$Q$1,0),FALSE)),IFERROR(IF(AND(NOT(MOD($AB69,$AA69)=0),$AB69&gt;=0.9*$AA69,MOD($AB69,$AA69)&lt;=0.1*$AA69),IF($W$17=$AF$1,"Zvažte možnost optimalizace objednaného množství podle počtu VK na paletě ==&gt;",VLOOKUP("Zvažte možnost optimalizace objednaného množství podle počtu VK na paletě ==&gt;",Jazyky_ceník!A:Q,MATCH($W$17,Jazyky_ceník!$A$1:$Q$1,0),FALSE)),VLOOKUP('General price list'!$C69,Popisy!A:M,MATCH($W$17,Popisy!$A$7:$M$7,0),FALSE)),"---------------")),IFERROR(VLOOKUP('General price list'!$C69,Popisy!A:M,MATCH($W$17,Popisy!$A$7:$M$7,0),FALSE),"---------------"))</f>
        <v>stříbrná rotující stopa s práskajícími hvězdami</v>
      </c>
      <c r="X69" s="569" t="str">
        <f t="shared" si="152"/>
        <v/>
      </c>
      <c r="Y69" s="569" t="str">
        <f t="shared" si="153"/>
        <v/>
      </c>
      <c r="Z69" s="569" t="str">
        <f>HYPERLINK("https://www.klasekpyrotechnics.cz/lm2v")</f>
        <v>https://www.klasekpyrotechnics.cz/lm2v</v>
      </c>
      <c r="AA69" s="569">
        <f>IFERROR(IF(VLOOKUP(C69,[4]List1!$A:$D,4,FALSE)=0,"",VLOOKUP(C69,[4]List1!$A:$D,4,FALSE)),"")</f>
        <v>42</v>
      </c>
      <c r="AB69" s="565"/>
      <c r="AC69" s="570" t="str">
        <f>IFERROR(IF(VLOOKUP(C69,[1]List1!$A:$D,2,FALSE)="VYPRODÁNO",$V$9,IF(VLOOKUP(C69,[1]List1!$A:$D,2,FALSE)="DOCHÁZÍ",$V$3,VLOOKUP(C69,[1]List1!$A:$D,2,FALSE))),"OFFLINE!")</f>
        <v>SKLADEM</v>
      </c>
      <c r="AD69" s="570" t="str">
        <f ca="1">IF(AP69="NE",$V$10,IF(AC69=$V$3,IF(AQ69&lt;1,$V$8,$V$2&amp;" "&amp;AQ69&amp;" "&amp;$V$1),IF(AC69="SKLADEM",$V$6,IFERROR(IF(OR(AC69-TODAY()&gt;45,VLOOKUP(C69,[1]List1!$A:$E,4,FALSE)=0),AC69,DAY(AC69)&amp;"."&amp;MONTH(AC69)&amp;"."&amp;YEAR(AC69)&amp;" "&amp;$V$4&amp;VLOOKUP(C69,[1]List1!$A:$E,4,FALSE)&amp;" "&amp;$V$1),AC69))))</f>
        <v>SKLADEM</v>
      </c>
      <c r="AE69" s="581" t="str">
        <f t="shared" ca="1" si="154"/>
        <v>SKLADEM</v>
      </c>
      <c r="AF69" s="584">
        <f t="shared" si="155"/>
        <v>0</v>
      </c>
      <c r="AG69" s="585">
        <f t="shared" si="156"/>
        <v>0</v>
      </c>
      <c r="AH69" s="583">
        <f t="shared" si="157"/>
        <v>0</v>
      </c>
      <c r="AI69" s="582">
        <f t="shared" si="158"/>
        <v>0</v>
      </c>
      <c r="AJ69" s="569">
        <f t="shared" si="159"/>
        <v>0</v>
      </c>
      <c r="AK69" s="569" t="str">
        <f t="shared" si="160"/>
        <v/>
      </c>
      <c r="AL69" s="569" t="str">
        <f t="shared" si="161"/>
        <v/>
      </c>
      <c r="AM69" s="569">
        <f t="shared" si="162"/>
        <v>0</v>
      </c>
      <c r="AN69" s="581">
        <f t="shared" si="163"/>
        <v>0</v>
      </c>
      <c r="AO69" s="623"/>
      <c r="AP69" s="632" t="str">
        <f t="shared" si="120"/>
        <v/>
      </c>
      <c r="AQ69" s="633" t="str">
        <f>IF(AC69=$V$3,IF(VLOOKUP(C69,[1]List1!$A:$E,5,FALSE)=0,1,VLOOKUP(C69,[1]List1!$A:$E,5,FALSE)),"")</f>
        <v/>
      </c>
      <c r="AR69" s="625" t="str">
        <f t="shared" si="121"/>
        <v/>
      </c>
      <c r="AS69" s="634" t="str">
        <f t="shared" si="122"/>
        <v/>
      </c>
      <c r="AT69" s="625" t="str">
        <f t="shared" si="123"/>
        <v/>
      </c>
      <c r="AU69" s="638" t="e">
        <f t="shared" si="124"/>
        <v>#N/A</v>
      </c>
      <c r="AV69" s="625" t="e">
        <f t="shared" si="125"/>
        <v>#N/A</v>
      </c>
      <c r="AX69" s="625">
        <f>IF(AND('General price list'!$J69="F4",'General price list'!$AB69+0&gt;0),1,0)</f>
        <v>0</v>
      </c>
      <c r="AY69" s="625">
        <f t="shared" si="126"/>
        <v>1</v>
      </c>
      <c r="AZ69" s="625">
        <f t="shared" si="127"/>
        <v>0</v>
      </c>
    </row>
    <row r="70" spans="1:52" ht="15" customHeight="1">
      <c r="A70" s="639" t="str">
        <f>Kat.!C70</f>
        <v/>
      </c>
      <c r="B70" s="640">
        <f>IF(AND('General price list'!$J70="F4",$AI$1=FALSE),0,IF(AC70="SKLADEM",1,IF(AC70=$V$3,1,0)))</f>
        <v>1</v>
      </c>
      <c r="C70" s="641" t="s">
        <v>50</v>
      </c>
      <c r="D70" s="642" t="s">
        <v>12407</v>
      </c>
      <c r="E70" s="643" t="s">
        <v>12647</v>
      </c>
      <c r="F70" s="771">
        <f>IFERROR(VLOOKUP(C70,[2]List1!$A:$D,3,FALSE),"NEUVEDENO!")</f>
        <v>53</v>
      </c>
      <c r="G70" s="768">
        <f t="shared" si="150"/>
        <v>53</v>
      </c>
      <c r="H70" s="765">
        <f t="shared" si="151"/>
        <v>2.2513624990973313</v>
      </c>
      <c r="I70" s="644">
        <f>IFERROR(VLOOKUP(C70,[2]List1!$A:$D,4,FALSE),"NEUVEDENO!")</f>
        <v>36</v>
      </c>
      <c r="J70" s="733" t="s">
        <v>39</v>
      </c>
      <c r="K70" s="645" t="s">
        <v>20</v>
      </c>
      <c r="L70" s="645" t="s">
        <v>10963</v>
      </c>
      <c r="M70" s="645" t="s">
        <v>21</v>
      </c>
      <c r="N70" s="645">
        <f>IFERROR(VLOOKUP(C70,[3]List1!$A:$D,4,FALSE),"N/A!")</f>
        <v>3.6380249999999996E-2</v>
      </c>
      <c r="O70" s="645">
        <f>IFERROR(VLOOKUP(C70,[3]List1!$A:$D,3,FALSE),"N/A!")</f>
        <v>1296</v>
      </c>
      <c r="P70" s="645">
        <f>IFERROR(VLOOKUP(C70,[3]List1!$A:$D,2,FALSE),"N/A!")</f>
        <v>4500</v>
      </c>
      <c r="Q70" s="645" t="s">
        <v>11752</v>
      </c>
      <c r="R70" s="645"/>
      <c r="S70" s="645"/>
      <c r="T70" s="645"/>
      <c r="U70" s="645"/>
      <c r="V70" s="645"/>
      <c r="W70" s="645" t="str">
        <f>IFERROR(IF(AND($AB70&gt;=0.1*$AA70,MOD($AB70,$AA70)&gt;=($AA70-(0.1*$AA70))),IF($W$17=$AF$1,"Zvažte možnost doobjednání ještě "&amp;Tabulka1[[#This Row],[VKPAL]]-MOD(AB70,AA70)&amp;" VK do plné palety.",VLOOKUP("Zvažte možnost doobjednání ještě ",Jazyky_ceník!A:Q,MATCH($W$17,Jazyky_ceník!$A$1:$Q$1,0),FALSE)&amp;Tabulka1[[#This Row],[VKPAL]]-MOD(AB70,AA70)&amp;VLOOKUP(" VK do plné palety.",Jazyky_ceník!A:Q,MATCH($W$17,Jazyky_ceník!$A$1:$Q$1,0),FALSE)),IFERROR(IF(AND(NOT(MOD($AB70,$AA70)=0),$AB70&gt;=0.9*$AA70,MOD($AB70,$AA70)&lt;=0.1*$AA70),IF($W$17=$AF$1,"Zvažte možnost optimalizace objednaného množství podle počtu VK na paletě ==&gt;",VLOOKUP("Zvažte možnost optimalizace objednaného množství podle počtu VK na paletě ==&gt;",Jazyky_ceník!A:Q,MATCH($W$17,Jazyky_ceník!$A$1:$Q$1,0),FALSE)),VLOOKUP('General price list'!$C70,Popisy!A:M,MATCH($W$17,Popisy!$A$7:$M$7,0),FALSE)),"---------------")),IFERROR(VLOOKUP('General price list'!$C70,Popisy!A:M,MATCH($W$17,Popisy!$A$7:$M$7,0),FALSE),"---------------"))</f>
        <v>stříbrná rotující stopa +červené perly s bílým blikajícím středem</v>
      </c>
      <c r="X70" s="645" t="str">
        <f t="shared" si="152"/>
        <v/>
      </c>
      <c r="Y70" s="645" t="str">
        <f t="shared" si="153"/>
        <v/>
      </c>
      <c r="Z70" s="645" t="str">
        <f>HYPERLINK("https://www.klasekpyrotechnics.cz/lm3t")</f>
        <v>https://www.klasekpyrotechnics.cz/lm3t</v>
      </c>
      <c r="AA70" s="645">
        <f>IFERROR(IF(VLOOKUP(C70,[4]List1!$A:$D,4,FALSE)=0,"",VLOOKUP(C70,[4]List1!$A:$D,4,FALSE)),"")</f>
        <v>40</v>
      </c>
      <c r="AB70" s="646"/>
      <c r="AC70" s="647" t="str">
        <f>IFERROR(IF(VLOOKUP(C70,[1]List1!$A:$D,2,FALSE)="VYPRODÁNO",$V$9,IF(VLOOKUP(C70,[1]List1!$A:$D,2,FALSE)="DOCHÁZÍ",$V$3,VLOOKUP(C70,[1]List1!$A:$D,2,FALSE))),"OFFLINE!")</f>
        <v>SKLADEM</v>
      </c>
      <c r="AD70" s="647" t="str">
        <f ca="1">IF(AP70="NE",$V$10,IF(AC70=$V$3,IF(AQ70&lt;1,$V$8,$V$2&amp;" "&amp;AQ70&amp;" "&amp;$V$1),IF(AC70="SKLADEM",$V$6,IFERROR(IF(OR(AC70-TODAY()&gt;45,VLOOKUP(C70,[1]List1!$A:$E,4,FALSE)=0),AC70,DAY(AC70)&amp;"."&amp;MONTH(AC70)&amp;"."&amp;YEAR(AC70)&amp;" "&amp;$V$4&amp;VLOOKUP(C70,[1]List1!$A:$E,4,FALSE)&amp;" "&amp;$V$1),AC70))))</f>
        <v>SKLADEM</v>
      </c>
      <c r="AE70" s="645" t="str">
        <f t="shared" ca="1" si="154"/>
        <v>SKLADEM</v>
      </c>
      <c r="AF70" s="648">
        <f t="shared" si="155"/>
        <v>0</v>
      </c>
      <c r="AG70" s="649">
        <f t="shared" si="156"/>
        <v>0</v>
      </c>
      <c r="AH70" s="650">
        <f t="shared" si="157"/>
        <v>0</v>
      </c>
      <c r="AI70" s="645">
        <f t="shared" si="158"/>
        <v>0</v>
      </c>
      <c r="AJ70" s="645">
        <f t="shared" si="159"/>
        <v>0</v>
      </c>
      <c r="AK70" s="645" t="str">
        <f t="shared" si="160"/>
        <v/>
      </c>
      <c r="AL70" s="645" t="str">
        <f t="shared" si="161"/>
        <v/>
      </c>
      <c r="AM70" s="645">
        <f t="shared" si="162"/>
        <v>0</v>
      </c>
      <c r="AN70" s="651">
        <f t="shared" si="163"/>
        <v>0</v>
      </c>
      <c r="AO70" s="623"/>
      <c r="AP70" s="632" t="str">
        <f t="shared" si="120"/>
        <v/>
      </c>
      <c r="AQ70" s="633" t="str">
        <f>IF(AC70=$V$3,IF(VLOOKUP(C70,[1]List1!$A:$E,5,FALSE)=0,1,VLOOKUP(C70,[1]List1!$A:$E,5,FALSE)),"")</f>
        <v/>
      </c>
      <c r="AR70" s="625" t="str">
        <f t="shared" si="121"/>
        <v/>
      </c>
      <c r="AS70" s="634" t="str">
        <f t="shared" si="122"/>
        <v/>
      </c>
      <c r="AT70" s="625" t="str">
        <f t="shared" si="123"/>
        <v/>
      </c>
      <c r="AU70" s="638" t="e">
        <f t="shared" si="124"/>
        <v>#N/A</v>
      </c>
      <c r="AV70" s="625" t="e">
        <f t="shared" si="125"/>
        <v>#N/A</v>
      </c>
      <c r="AX70" s="625">
        <f>IF(AND('General price list'!$J70="F4",'General price list'!$AB70+0&gt;0),1,0)</f>
        <v>0</v>
      </c>
      <c r="AY70" s="625">
        <f t="shared" si="126"/>
        <v>1</v>
      </c>
      <c r="AZ70" s="625">
        <f t="shared" si="127"/>
        <v>0</v>
      </c>
    </row>
    <row r="71" spans="1:52" ht="15" customHeight="1">
      <c r="A71" s="621" t="str">
        <f>Kat.!C71</f>
        <v/>
      </c>
      <c r="B71" s="566">
        <f>IF(AND('General price list'!$J71="F4",$AI$1=FALSE),0,IF(AC71="SKLADEM",1,IF(AC71=$V$3,1,0)))</f>
        <v>1</v>
      </c>
      <c r="C71" s="567" t="s">
        <v>45</v>
      </c>
      <c r="D71" s="568" t="s">
        <v>46</v>
      </c>
      <c r="E71" s="763" t="s">
        <v>12648</v>
      </c>
      <c r="F71" s="772">
        <f>IFERROR(VLOOKUP(C71,[2]List1!$A:$D,3,FALSE),"NEUVEDENO!")</f>
        <v>69</v>
      </c>
      <c r="G71" s="769">
        <f t="shared" si="150"/>
        <v>69</v>
      </c>
      <c r="H71" s="766">
        <f t="shared" si="151"/>
        <v>2.931019102598412</v>
      </c>
      <c r="I71" s="764">
        <f>IFERROR(VLOOKUP(C71,[2]List1!$A:$D,4,FALSE),"NEUVEDENO!")</f>
        <v>36</v>
      </c>
      <c r="J71" s="732" t="s">
        <v>39</v>
      </c>
      <c r="K71" s="569" t="s">
        <v>20</v>
      </c>
      <c r="L71" s="569" t="s">
        <v>10963</v>
      </c>
      <c r="M71" s="569" t="s">
        <v>21</v>
      </c>
      <c r="N71" s="569">
        <f>IFERROR(VLOOKUP(C71,[3]List1!$A:$D,4,FALSE),"N/A!")</f>
        <v>3.3743999999999996E-2</v>
      </c>
      <c r="O71" s="569">
        <f>IFERROR(VLOOKUP(C71,[3]List1!$A:$D,3,FALSE),"N/A!")</f>
        <v>2016</v>
      </c>
      <c r="P71" s="569">
        <f>IFERROR(VLOOKUP(C71,[3]List1!$A:$D,2,FALSE),"N/A!")</f>
        <v>5000</v>
      </c>
      <c r="Q71" s="569" t="s">
        <v>11238</v>
      </c>
      <c r="R71" s="569"/>
      <c r="S71" s="569"/>
      <c r="T71" s="569"/>
      <c r="U71" s="569"/>
      <c r="V71" s="569"/>
      <c r="W71" s="569" t="str">
        <f>IFERROR(IF(AND($AB71&gt;=0.1*$AA71,MOD($AB71,$AA71)&gt;=($AA71-(0.1*$AA71))),IF($W$17=$AF$1,"Zvažte možnost doobjednání ještě "&amp;Tabulka1[[#This Row],[VKPAL]]-MOD(AB71,AA71)&amp;" VK do plné palety.",VLOOKUP("Zvažte možnost doobjednání ještě ",Jazyky_ceník!A:Q,MATCH($W$17,Jazyky_ceník!$A$1:$Q$1,0),FALSE)&amp;Tabulka1[[#This Row],[VKPAL]]-MOD(AB71,AA71)&amp;VLOOKUP(" VK do plné palety.",Jazyky_ceník!A:Q,MATCH($W$17,Jazyky_ceník!$A$1:$Q$1,0),FALSE)),IFERROR(IF(AND(NOT(MOD($AB71,$AA71)=0),$AB71&gt;=0.9*$AA71,MOD($AB71,$AA71)&lt;=0.1*$AA71),IF($W$17=$AF$1,"Zvažte možnost optimalizace objednaného množství podle počtu VK na paletě ==&gt;",VLOOKUP("Zvažte možnost optimalizace objednaného množství podle počtu VK na paletě ==&gt;",Jazyky_ceník!A:Q,MATCH($W$17,Jazyky_ceník!$A$1:$Q$1,0),FALSE)),VLOOKUP('General price list'!$C71,Popisy!A:M,MATCH($W$17,Popisy!$A$7:$M$7,0),FALSE)),"---------------")),IFERROR(VLOOKUP('General price list'!$C71,Popisy!A:M,MATCH($W$17,Popisy!$A$7:$M$7,0),FALSE),"---------------"))</f>
        <v>červená stopa s červenou vlnou a práskajícím středem</v>
      </c>
      <c r="X71" s="569" t="str">
        <f t="shared" si="152"/>
        <v/>
      </c>
      <c r="Y71" s="569" t="str">
        <f t="shared" si="153"/>
        <v/>
      </c>
      <c r="Z71" s="569" t="str">
        <f>HYPERLINK("https://www.klasekpyrotechnics.cz/lm4o")</f>
        <v>https://www.klasekpyrotechnics.cz/lm4o</v>
      </c>
      <c r="AA71" s="569" t="str">
        <f>IFERROR(IF(VLOOKUP(C71,[4]List1!$A:$D,4,FALSE)=0,"",VLOOKUP(C71,[4]List1!$A:$D,4,FALSE)),"")</f>
        <v>40</v>
      </c>
      <c r="AB71" s="565"/>
      <c r="AC71" s="570" t="str">
        <f>IFERROR(IF(VLOOKUP(C71,[1]List1!$A:$D,2,FALSE)="VYPRODÁNO",$V$9,IF(VLOOKUP(C71,[1]List1!$A:$D,2,FALSE)="DOCHÁZÍ",$V$3,VLOOKUP(C71,[1]List1!$A:$D,2,FALSE))),"OFFLINE!")</f>
        <v>SKLADEM</v>
      </c>
      <c r="AD71" s="570" t="str">
        <f ca="1">IF(AP71="NE",$V$10,IF(AC71=$V$3,IF(AQ71&lt;1,$V$8,$V$2&amp;" "&amp;AQ71&amp;" "&amp;$V$1),IF(AC71="SKLADEM",$V$6,IFERROR(IF(OR(AC71-TODAY()&gt;45,VLOOKUP(C71,[1]List1!$A:$E,4,FALSE)=0),AC71,DAY(AC71)&amp;"."&amp;MONTH(AC71)&amp;"."&amp;YEAR(AC71)&amp;" "&amp;$V$4&amp;VLOOKUP(C71,[1]List1!$A:$E,4,FALSE)&amp;" "&amp;$V$1),AC71))))</f>
        <v>SKLADEM</v>
      </c>
      <c r="AE71" s="581" t="str">
        <f t="shared" ca="1" si="154"/>
        <v>SKLADEM</v>
      </c>
      <c r="AF71" s="584">
        <f t="shared" si="155"/>
        <v>0</v>
      </c>
      <c r="AG71" s="585">
        <f t="shared" si="156"/>
        <v>0</v>
      </c>
      <c r="AH71" s="583">
        <f t="shared" si="157"/>
        <v>0</v>
      </c>
      <c r="AI71" s="582">
        <f t="shared" si="158"/>
        <v>0</v>
      </c>
      <c r="AJ71" s="569">
        <f t="shared" si="159"/>
        <v>0</v>
      </c>
      <c r="AK71" s="569" t="str">
        <f t="shared" si="160"/>
        <v/>
      </c>
      <c r="AL71" s="569" t="str">
        <f t="shared" si="161"/>
        <v/>
      </c>
      <c r="AM71" s="569">
        <f t="shared" si="162"/>
        <v>0</v>
      </c>
      <c r="AN71" s="581">
        <f t="shared" si="163"/>
        <v>0</v>
      </c>
      <c r="AO71" s="623"/>
      <c r="AP71" s="632" t="str">
        <f t="shared" si="120"/>
        <v/>
      </c>
      <c r="AQ71" s="633" t="str">
        <f>IF(AC71=$V$3,IF(VLOOKUP(C71,[1]List1!$A:$E,5,FALSE)=0,1,VLOOKUP(C71,[1]List1!$A:$E,5,FALSE)),"")</f>
        <v/>
      </c>
      <c r="AR71" s="625" t="str">
        <f t="shared" si="121"/>
        <v/>
      </c>
      <c r="AS71" s="634" t="str">
        <f t="shared" si="122"/>
        <v/>
      </c>
      <c r="AT71" s="625" t="str">
        <f t="shared" si="123"/>
        <v/>
      </c>
      <c r="AU71" s="638" t="e">
        <f t="shared" si="124"/>
        <v>#N/A</v>
      </c>
      <c r="AV71" s="625" t="e">
        <f t="shared" si="125"/>
        <v>#N/A</v>
      </c>
      <c r="AX71" s="625">
        <f>IF(AND('General price list'!$J71="F4",'General price list'!$AB71+0&gt;0),1,0)</f>
        <v>0</v>
      </c>
      <c r="AY71" s="625">
        <f t="shared" si="126"/>
        <v>1</v>
      </c>
      <c r="AZ71" s="625">
        <f t="shared" si="127"/>
        <v>0</v>
      </c>
    </row>
    <row r="72" spans="1:52" ht="15" customHeight="1">
      <c r="A72" s="639" t="str">
        <f>Kat.!C72</f>
        <v/>
      </c>
      <c r="B72" s="640">
        <f>IF(AND('General price list'!$J72="F4",$AI$1=FALSE),0,IF(AC72="SKLADEM",1,IF(AC72=$V$3,1,0)))</f>
        <v>1</v>
      </c>
      <c r="C72" s="641" t="s">
        <v>2215</v>
      </c>
      <c r="D72" s="642" t="s">
        <v>2216</v>
      </c>
      <c r="E72" s="643" t="s">
        <v>12649</v>
      </c>
      <c r="F72" s="771">
        <f>IFERROR(VLOOKUP(C72,[2]List1!$A:$D,3,FALSE),"NEUVEDENO!")</f>
        <v>81</v>
      </c>
      <c r="G72" s="768">
        <f t="shared" si="150"/>
        <v>81</v>
      </c>
      <c r="H72" s="765">
        <f t="shared" si="151"/>
        <v>3.4407615552242232</v>
      </c>
      <c r="I72" s="644">
        <f>IFERROR(VLOOKUP(C72,[2]List1!$A:$D,4,FALSE),"NEUVEDENO!")</f>
        <v>48</v>
      </c>
      <c r="J72" s="733" t="s">
        <v>39</v>
      </c>
      <c r="K72" s="645" t="s">
        <v>20</v>
      </c>
      <c r="L72" s="645" t="s">
        <v>10963</v>
      </c>
      <c r="M72" s="645" t="s">
        <v>21</v>
      </c>
      <c r="N72" s="645">
        <f>IFERROR(VLOOKUP(C72,[3]List1!$A:$D,4,FALSE),"N/A!")</f>
        <v>5.3689499999999994E-2</v>
      </c>
      <c r="O72" s="645">
        <f>IFERROR(VLOOKUP(C72,[3]List1!$A:$D,3,FALSE),"N/A!")</f>
        <v>2880</v>
      </c>
      <c r="P72" s="645">
        <f>IFERROR(VLOOKUP(C72,[3]List1!$A:$D,2,FALSE),"N/A!")</f>
        <v>11000</v>
      </c>
      <c r="Q72" s="645" t="s">
        <v>11238</v>
      </c>
      <c r="R72" s="645"/>
      <c r="S72" s="645"/>
      <c r="T72" s="645"/>
      <c r="U72" s="645"/>
      <c r="V72" s="645"/>
      <c r="W72" s="645" t="str">
        <f>IFERROR(IF(AND($AB72&gt;=0.1*$AA72,MOD($AB72,$AA72)&gt;=($AA72-(0.1*$AA72))),IF($W$17=$AF$1,"Zvažte možnost doobjednání ještě "&amp;Tabulka1[[#This Row],[VKPAL]]-MOD(AB72,AA72)&amp;" VK do plné palety.",VLOOKUP("Zvažte možnost doobjednání ještě ",Jazyky_ceník!A:Q,MATCH($W$17,Jazyky_ceník!$A$1:$Q$1,0),FALSE)&amp;Tabulka1[[#This Row],[VKPAL]]-MOD(AB72,AA72)&amp;VLOOKUP(" VK do plné palety.",Jazyky_ceník!A:Q,MATCH($W$17,Jazyky_ceník!$A$1:$Q$1,0),FALSE)),IFERROR(IF(AND(NOT(MOD($AB72,$AA72)=0),$AB72&gt;=0.9*$AA72,MOD($AB72,$AA72)&lt;=0.1*$AA72),IF($W$17=$AF$1,"Zvažte možnost optimalizace objednaného množství podle počtu VK na paletě ==&gt;",VLOOKUP("Zvažte možnost optimalizace objednaného množství podle počtu VK na paletě ==&gt;",Jazyky_ceník!A:Q,MATCH($W$17,Jazyky_ceník!$A$1:$Q$1,0),FALSE)),VLOOKUP('General price list'!$C72,Popisy!A:M,MATCH($W$17,Popisy!$A$7:$M$7,0),FALSE)),"---------------")),IFERROR(VLOOKUP('General price list'!$C72,Popisy!A:M,MATCH($W$17,Popisy!$A$7:$M$7,0),FALSE),"---------------"))</f>
        <v>pískající letadlo s červeným světlem a práskajícími hvězdami(2ks)+pískající letadlo s zeleným světlem a práskajícími+blikajícími hvězdami(2ks)</v>
      </c>
      <c r="X72" s="645" t="str">
        <f t="shared" si="152"/>
        <v/>
      </c>
      <c r="Y72" s="645" t="str">
        <f t="shared" si="153"/>
        <v/>
      </c>
      <c r="Z72" s="645" t="str">
        <f>HYPERLINK("https://www.klasekpyrotechnics.cz/lm5w")</f>
        <v>https://www.klasekpyrotechnics.cz/lm5w</v>
      </c>
      <c r="AA72" s="645">
        <f>IFERROR(IF(VLOOKUP(C72,[4]List1!$A:$D,4,FALSE)=0,"",VLOOKUP(C72,[4]List1!$A:$D,4,FALSE)),"")</f>
        <v>24</v>
      </c>
      <c r="AB72" s="646"/>
      <c r="AC72" s="647" t="str">
        <f>IFERROR(IF(VLOOKUP(C72,[1]List1!$A:$D,2,FALSE)="VYPRODÁNO",$V$9,IF(VLOOKUP(C72,[1]List1!$A:$D,2,FALSE)="DOCHÁZÍ",$V$3,VLOOKUP(C72,[1]List1!$A:$D,2,FALSE))),"OFFLINE!")</f>
        <v>SKLADEM</v>
      </c>
      <c r="AD72" s="647" t="str">
        <f ca="1">IF(AP72="NE",$V$10,IF(AC72=$V$3,IF(AQ72&lt;1,$V$8,$V$2&amp;" "&amp;AQ72&amp;" "&amp;$V$1),IF(AC72="SKLADEM",$V$6,IFERROR(IF(OR(AC72-TODAY()&gt;45,VLOOKUP(C72,[1]List1!$A:$E,4,FALSE)=0),AC72,DAY(AC72)&amp;"."&amp;MONTH(AC72)&amp;"."&amp;YEAR(AC72)&amp;" "&amp;$V$4&amp;VLOOKUP(C72,[1]List1!$A:$E,4,FALSE)&amp;" "&amp;$V$1),AC72))))</f>
        <v>SKLADEM</v>
      </c>
      <c r="AE72" s="645" t="str">
        <f t="shared" ca="1" si="154"/>
        <v>SKLADEM</v>
      </c>
      <c r="AF72" s="648">
        <f t="shared" si="155"/>
        <v>0</v>
      </c>
      <c r="AG72" s="649">
        <f t="shared" si="156"/>
        <v>0</v>
      </c>
      <c r="AH72" s="650">
        <f t="shared" si="157"/>
        <v>0</v>
      </c>
      <c r="AI72" s="645">
        <f t="shared" si="158"/>
        <v>0</v>
      </c>
      <c r="AJ72" s="645">
        <f t="shared" si="159"/>
        <v>0</v>
      </c>
      <c r="AK72" s="645" t="str">
        <f t="shared" si="160"/>
        <v/>
      </c>
      <c r="AL72" s="645" t="str">
        <f t="shared" si="161"/>
        <v/>
      </c>
      <c r="AM72" s="645">
        <f t="shared" si="162"/>
        <v>0</v>
      </c>
      <c r="AN72" s="651">
        <f t="shared" si="163"/>
        <v>0</v>
      </c>
      <c r="AO72" s="623"/>
      <c r="AP72" s="632" t="str">
        <f t="shared" si="120"/>
        <v/>
      </c>
      <c r="AQ72" s="633" t="str">
        <f>IF(AC72=$V$3,IF(VLOOKUP(C72,[1]List1!$A:$E,5,FALSE)=0,1,VLOOKUP(C72,[1]List1!$A:$E,5,FALSE)),"")</f>
        <v/>
      </c>
      <c r="AR72" s="625" t="str">
        <f t="shared" si="121"/>
        <v/>
      </c>
      <c r="AS72" s="634" t="str">
        <f t="shared" si="122"/>
        <v/>
      </c>
      <c r="AT72" s="625" t="str">
        <f t="shared" si="123"/>
        <v/>
      </c>
      <c r="AU72" s="638" t="e">
        <f t="shared" si="124"/>
        <v>#N/A</v>
      </c>
      <c r="AV72" s="625" t="e">
        <f t="shared" si="125"/>
        <v>#N/A</v>
      </c>
      <c r="AX72" s="625">
        <f>IF(AND('General price list'!$J72="F4",'General price list'!$AB72+0&gt;0),1,0)</f>
        <v>0</v>
      </c>
      <c r="AY72" s="625">
        <f t="shared" si="126"/>
        <v>1</v>
      </c>
      <c r="AZ72" s="625">
        <f t="shared" si="127"/>
        <v>0</v>
      </c>
    </row>
    <row r="73" spans="1:52" ht="15" customHeight="1">
      <c r="A73" s="621" t="str">
        <f>Kat.!C73</f>
        <v/>
      </c>
      <c r="B73" s="566">
        <f>IF(AND('General price list'!$J73="F4",$AI$1=FALSE),0,IF(AC73="SKLADEM",1,IF(AC73=$V$3,1,0)))</f>
        <v>1</v>
      </c>
      <c r="C73" s="567" t="s">
        <v>2217</v>
      </c>
      <c r="D73" s="568" t="s">
        <v>2218</v>
      </c>
      <c r="E73" s="763" t="s">
        <v>12650</v>
      </c>
      <c r="F73" s="772">
        <f>IFERROR(VLOOKUP(C73,[2]List1!$A:$D,3,FALSE),"NEUVEDENO!")</f>
        <v>147</v>
      </c>
      <c r="G73" s="769">
        <f t="shared" si="150"/>
        <v>147</v>
      </c>
      <c r="H73" s="766">
        <f t="shared" si="151"/>
        <v>6.2443450446661828</v>
      </c>
      <c r="I73" s="764">
        <f>IFERROR(VLOOKUP(C73,[2]List1!$A:$D,4,FALSE),"NEUVEDENO!")</f>
        <v>24</v>
      </c>
      <c r="J73" s="732" t="s">
        <v>39</v>
      </c>
      <c r="K73" s="569" t="s">
        <v>20</v>
      </c>
      <c r="L73" s="569" t="s">
        <v>10963</v>
      </c>
      <c r="M73" s="569" t="s">
        <v>21</v>
      </c>
      <c r="N73" s="569">
        <f>IFERROR(VLOOKUP(C73,[3]List1!$A:$D,4,FALSE),"N/A!")</f>
        <v>6.7229999999999998E-2</v>
      </c>
      <c r="O73" s="569">
        <f>IFERROR(VLOOKUP(C73,[3]List1!$A:$D,3,FALSE),"N/A!")</f>
        <v>1344</v>
      </c>
      <c r="P73" s="569">
        <f>IFERROR(VLOOKUP(C73,[3]List1!$A:$D,2,FALSE),"N/A!")</f>
        <v>6000</v>
      </c>
      <c r="Q73" s="569" t="s">
        <v>11743</v>
      </c>
      <c r="R73" s="569" t="s">
        <v>20</v>
      </c>
      <c r="S73" s="569"/>
      <c r="T73" s="569"/>
      <c r="U73" s="569"/>
      <c r="V73" s="569"/>
      <c r="W73" s="569" t="str">
        <f>IFERROR(IF(AND($AB73&gt;=0.1*$AA73,MOD($AB73,$AA73)&gt;=($AA73-(0.1*$AA73))),IF($W$17=$AF$1,"Zvažte možnost doobjednání ještě "&amp;Tabulka1[[#This Row],[VKPAL]]-MOD(AB73,AA73)&amp;" VK do plné palety.",VLOOKUP("Zvažte možnost doobjednání ještě ",Jazyky_ceník!A:Q,MATCH($W$17,Jazyky_ceník!$A$1:$Q$1,0),FALSE)&amp;Tabulka1[[#This Row],[VKPAL]]-MOD(AB73,AA73)&amp;VLOOKUP(" VK do plné palety.",Jazyky_ceník!A:Q,MATCH($W$17,Jazyky_ceník!$A$1:$Q$1,0),FALSE)),IFERROR(IF(AND(NOT(MOD($AB73,$AA73)=0),$AB73&gt;=0.9*$AA73,MOD($AB73,$AA73)&lt;=0.1*$AA73),IF($W$17=$AF$1,"Zvažte možnost optimalizace objednaného množství podle počtu VK na paletě ==&gt;",VLOOKUP("Zvažte možnost optimalizace objednaného množství podle počtu VK na paletě ==&gt;",Jazyky_ceník!A:Q,MATCH($W$17,Jazyky_ceník!$A$1:$Q$1,0),FALSE)),VLOOKUP('General price list'!$C73,Popisy!A:M,MATCH($W$17,Popisy!$A$7:$M$7,0),FALSE)),"---------------")),IFERROR(VLOOKUP('General price list'!$C73,Popisy!A:M,MATCH($W$17,Popisy!$A$7:$M$7,0),FALSE),"---------------"))</f>
        <v>létající/pulzující barevný efekt s brokátovou korunou(1ks) , létající/pulzující barevný efekt s práskajícími hvězdami(1ks)</v>
      </c>
      <c r="X73" s="569" t="str">
        <f t="shared" si="152"/>
        <v/>
      </c>
      <c r="Y73" s="569" t="str">
        <f t="shared" si="153"/>
        <v/>
      </c>
      <c r="Z73" s="569" t="str">
        <f>HYPERLINK("https://www.klasekpyrotechnics.cz/lm6m")</f>
        <v>https://www.klasekpyrotechnics.cz/lm6m</v>
      </c>
      <c r="AA73" s="569">
        <f>IFERROR(IF(VLOOKUP(C73,[4]List1!$A:$D,4,FALSE)=0,"",VLOOKUP(C73,[4]List1!$A:$D,4,FALSE)),"")</f>
        <v>24</v>
      </c>
      <c r="AB73" s="565"/>
      <c r="AC73" s="570" t="str">
        <f>IFERROR(IF(VLOOKUP(C73,[1]List1!$A:$D,2,FALSE)="VYPRODÁNO",$V$9,IF(VLOOKUP(C73,[1]List1!$A:$D,2,FALSE)="DOCHÁZÍ",$V$3,VLOOKUP(C73,[1]List1!$A:$D,2,FALSE))),"OFFLINE!")</f>
        <v>SKLADEM</v>
      </c>
      <c r="AD73" s="570" t="str">
        <f ca="1">IF(AP73="NE",$V$10,IF(AC73=$V$3,IF(AQ73&lt;1,$V$8,$V$2&amp;" "&amp;AQ73&amp;" "&amp;$V$1),IF(AC73="SKLADEM",$V$6,IFERROR(IF(OR(AC73-TODAY()&gt;45,VLOOKUP(C73,[1]List1!$A:$E,4,FALSE)=0),AC73,DAY(AC73)&amp;"."&amp;MONTH(AC73)&amp;"."&amp;YEAR(AC73)&amp;" "&amp;$V$4&amp;VLOOKUP(C73,[1]List1!$A:$E,4,FALSE)&amp;" "&amp;$V$1),AC73))))</f>
        <v>SKLADEM</v>
      </c>
      <c r="AE73" s="581" t="str">
        <f t="shared" ca="1" si="154"/>
        <v>SKLADEM</v>
      </c>
      <c r="AF73" s="584">
        <f t="shared" si="155"/>
        <v>0</v>
      </c>
      <c r="AG73" s="585">
        <f t="shared" si="156"/>
        <v>0</v>
      </c>
      <c r="AH73" s="583">
        <f t="shared" si="157"/>
        <v>0</v>
      </c>
      <c r="AI73" s="582">
        <f t="shared" si="158"/>
        <v>0</v>
      </c>
      <c r="AJ73" s="569">
        <f t="shared" si="159"/>
        <v>0</v>
      </c>
      <c r="AK73" s="569" t="str">
        <f t="shared" si="160"/>
        <v/>
      </c>
      <c r="AL73" s="569" t="str">
        <f t="shared" si="161"/>
        <v/>
      </c>
      <c r="AM73" s="569">
        <f t="shared" si="162"/>
        <v>0</v>
      </c>
      <c r="AN73" s="581">
        <f t="shared" si="163"/>
        <v>0</v>
      </c>
      <c r="AO73" s="623"/>
      <c r="AP73" s="632" t="str">
        <f t="shared" si="120"/>
        <v/>
      </c>
      <c r="AQ73" s="633" t="str">
        <f>IF(AC73=$V$3,IF(VLOOKUP(C73,[1]List1!$A:$E,5,FALSE)=0,1,VLOOKUP(C73,[1]List1!$A:$E,5,FALSE)),"")</f>
        <v/>
      </c>
      <c r="AR73" s="625" t="str">
        <f t="shared" si="121"/>
        <v/>
      </c>
      <c r="AS73" s="634" t="str">
        <f t="shared" si="122"/>
        <v/>
      </c>
      <c r="AT73" s="625" t="str">
        <f t="shared" si="123"/>
        <v/>
      </c>
      <c r="AU73" s="638" t="e">
        <f t="shared" si="124"/>
        <v>#N/A</v>
      </c>
      <c r="AV73" s="625" t="e">
        <f t="shared" si="125"/>
        <v>#N/A</v>
      </c>
      <c r="AX73" s="625">
        <f>IF(AND('General price list'!$J73="F4",'General price list'!$AB73+0&gt;0),1,0)</f>
        <v>0</v>
      </c>
      <c r="AY73" s="625">
        <f t="shared" si="126"/>
        <v>1</v>
      </c>
      <c r="AZ73" s="625">
        <f t="shared" si="127"/>
        <v>0</v>
      </c>
    </row>
    <row r="74" spans="1:52" ht="15" customHeight="1">
      <c r="A74" s="639" t="str">
        <f>Kat.!C74</f>
        <v/>
      </c>
      <c r="B74" s="640">
        <f>IF(AND('General price list'!$J74="F4",$AI$1=FALSE),0,IF(AC74="SKLADEM",1,IF(AC74=$V$3,1,0)))</f>
        <v>1</v>
      </c>
      <c r="C74" s="641" t="s">
        <v>2219</v>
      </c>
      <c r="D74" s="642" t="s">
        <v>2220</v>
      </c>
      <c r="E74" s="643" t="s">
        <v>12650</v>
      </c>
      <c r="F74" s="771">
        <f>IFERROR(VLOOKUP(C74,[2]List1!$A:$D,3,FALSE),"NEUVEDENO!")</f>
        <v>107</v>
      </c>
      <c r="G74" s="768">
        <f t="shared" si="150"/>
        <v>107</v>
      </c>
      <c r="H74" s="765">
        <f t="shared" si="151"/>
        <v>4.5452035359134797</v>
      </c>
      <c r="I74" s="644">
        <f>IFERROR(VLOOKUP(C74,[2]List1!$A:$D,4,FALSE),"NEUVEDENO!")</f>
        <v>24</v>
      </c>
      <c r="J74" s="733" t="s">
        <v>39</v>
      </c>
      <c r="K74" s="645" t="s">
        <v>20</v>
      </c>
      <c r="L74" s="645" t="s">
        <v>10963</v>
      </c>
      <c r="M74" s="645" t="s">
        <v>21</v>
      </c>
      <c r="N74" s="645">
        <f>IFERROR(VLOOKUP(C74,[3]List1!$A:$D,4,FALSE),"N/A!")</f>
        <v>3.3728000000000001E-2</v>
      </c>
      <c r="O74" s="645">
        <f>IFERROR(VLOOKUP(C74,[3]List1!$A:$D,3,FALSE),"N/A!")</f>
        <v>720</v>
      </c>
      <c r="P74" s="645">
        <f>IFERROR(VLOOKUP(C74,[3]List1!$A:$D,2,FALSE),"N/A!")</f>
        <v>5000</v>
      </c>
      <c r="Q74" s="645" t="s">
        <v>11753</v>
      </c>
      <c r="R74" s="645"/>
      <c r="S74" s="645"/>
      <c r="T74" s="645"/>
      <c r="U74" s="645"/>
      <c r="V74" s="645"/>
      <c r="W74" s="645" t="str">
        <f>IFERROR(IF(AND($AB74&gt;=0.1*$AA74,MOD($AB74,$AA74)&gt;=($AA74-(0.1*$AA74))),IF($W$17=$AF$1,"Zvažte možnost doobjednání ještě "&amp;Tabulka1[[#This Row],[VKPAL]]-MOD(AB74,AA74)&amp;" VK do plné palety.",VLOOKUP("Zvažte možnost doobjednání ještě ",Jazyky_ceník!A:Q,MATCH($W$17,Jazyky_ceník!$A$1:$Q$1,0),FALSE)&amp;Tabulka1[[#This Row],[VKPAL]]-MOD(AB74,AA74)&amp;VLOOKUP(" VK do plné palety.",Jazyky_ceník!A:Q,MATCH($W$17,Jazyky_ceník!$A$1:$Q$1,0),FALSE)),IFERROR(IF(AND(NOT(MOD($AB74,$AA74)=0),$AB74&gt;=0.9*$AA74,MOD($AB74,$AA74)&lt;=0.1*$AA74),IF($W$17=$AF$1,"Zvažte možnost optimalizace objednaného množství podle počtu VK na paletě ==&gt;",VLOOKUP("Zvažte možnost optimalizace objednaného množství podle počtu VK na paletě ==&gt;",Jazyky_ceník!A:Q,MATCH($W$17,Jazyky_ceník!$A$1:$Q$1,0),FALSE)),VLOOKUP('General price list'!$C74,Popisy!A:M,MATCH($W$17,Popisy!$A$7:$M$7,0),FALSE)),"---------------")),IFERROR(VLOOKUP('General price list'!$C74,Popisy!A:M,MATCH($W$17,Popisy!$A$7:$M$7,0),FALSE),"---------------"))</f>
        <v>pískající létající talíř se zeleným světlem</v>
      </c>
      <c r="X74" s="645" t="str">
        <f t="shared" si="152"/>
        <v/>
      </c>
      <c r="Y74" s="645" t="str">
        <f t="shared" si="153"/>
        <v/>
      </c>
      <c r="Z74" s="645" t="str">
        <f>HYPERLINK("https://www.klasekpyrotechnics.cz/lm7s")</f>
        <v>https://www.klasekpyrotechnics.cz/lm7s</v>
      </c>
      <c r="AA74" s="645">
        <f>IFERROR(IF(VLOOKUP(C74,[4]List1!$A:$D,4,FALSE)=0,"",VLOOKUP(C74,[4]List1!$A:$D,4,FALSE)),"")</f>
        <v>30</v>
      </c>
      <c r="AB74" s="646"/>
      <c r="AC74" s="647" t="str">
        <f>IFERROR(IF(VLOOKUP(C74,[1]List1!$A:$D,2,FALSE)="VYPRODÁNO",$V$9,IF(VLOOKUP(C74,[1]List1!$A:$D,2,FALSE)="DOCHÁZÍ",$V$3,VLOOKUP(C74,[1]List1!$A:$D,2,FALSE))),"OFFLINE!")</f>
        <v>SKLADEM</v>
      </c>
      <c r="AD74" s="647" t="str">
        <f ca="1">IF(AP74="NE",$V$10,IF(AC74=$V$3,IF(AQ74&lt;1,$V$8,$V$2&amp;" "&amp;AQ74&amp;" "&amp;$V$1),IF(AC74="SKLADEM",$V$6,IFERROR(IF(OR(AC74-TODAY()&gt;45,VLOOKUP(C74,[1]List1!$A:$E,4,FALSE)=0),AC74,DAY(AC74)&amp;"."&amp;MONTH(AC74)&amp;"."&amp;YEAR(AC74)&amp;" "&amp;$V$4&amp;VLOOKUP(C74,[1]List1!$A:$E,4,FALSE)&amp;" "&amp;$V$1),AC74))))</f>
        <v>SKLADEM</v>
      </c>
      <c r="AE74" s="645" t="str">
        <f t="shared" ca="1" si="154"/>
        <v>SKLADEM</v>
      </c>
      <c r="AF74" s="648">
        <f t="shared" si="155"/>
        <v>0</v>
      </c>
      <c r="AG74" s="649">
        <f t="shared" si="156"/>
        <v>0</v>
      </c>
      <c r="AH74" s="650">
        <f t="shared" si="157"/>
        <v>0</v>
      </c>
      <c r="AI74" s="645">
        <f t="shared" si="158"/>
        <v>0</v>
      </c>
      <c r="AJ74" s="645">
        <f t="shared" si="159"/>
        <v>0</v>
      </c>
      <c r="AK74" s="645" t="str">
        <f t="shared" si="160"/>
        <v/>
      </c>
      <c r="AL74" s="645" t="str">
        <f t="shared" si="161"/>
        <v/>
      </c>
      <c r="AM74" s="645">
        <f t="shared" si="162"/>
        <v>0</v>
      </c>
      <c r="AN74" s="651">
        <f t="shared" si="163"/>
        <v>0</v>
      </c>
      <c r="AO74" s="623"/>
      <c r="AP74" s="632" t="str">
        <f t="shared" si="120"/>
        <v/>
      </c>
      <c r="AQ74" s="633" t="str">
        <f>IF(AC74=$V$3,IF(VLOOKUP(C74,[1]List1!$A:$E,5,FALSE)=0,1,VLOOKUP(C74,[1]List1!$A:$E,5,FALSE)),"")</f>
        <v/>
      </c>
      <c r="AR74" s="625" t="str">
        <f t="shared" si="121"/>
        <v/>
      </c>
      <c r="AS74" s="634" t="str">
        <f t="shared" si="122"/>
        <v/>
      </c>
      <c r="AT74" s="625" t="str">
        <f t="shared" si="123"/>
        <v/>
      </c>
      <c r="AU74" s="638" t="e">
        <f t="shared" si="124"/>
        <v>#N/A</v>
      </c>
      <c r="AV74" s="625" t="e">
        <f t="shared" si="125"/>
        <v>#N/A</v>
      </c>
      <c r="AX74" s="625">
        <f>IF(AND('General price list'!$J74="F4",'General price list'!$AB74+0&gt;0),1,0)</f>
        <v>0</v>
      </c>
      <c r="AY74" s="625">
        <f t="shared" si="126"/>
        <v>1</v>
      </c>
      <c r="AZ74" s="625">
        <f t="shared" si="127"/>
        <v>0</v>
      </c>
    </row>
    <row r="75" spans="1:52" ht="15" customHeight="1">
      <c r="A75" s="621" t="str">
        <f>Kat.!C75</f>
        <v/>
      </c>
      <c r="B75" s="566">
        <f>IF(AND('General price list'!$J75="F4",$AI$1=FALSE),0,IF(AC75="SKLADEM",1,IF(AC75=$V$3,1,0)))</f>
        <v>0</v>
      </c>
      <c r="C75" s="567" t="s">
        <v>11628</v>
      </c>
      <c r="D75" s="568" t="s">
        <v>11663</v>
      </c>
      <c r="E75" s="763" t="s">
        <v>12649</v>
      </c>
      <c r="F75" s="772">
        <f>IFERROR(VLOOKUP(C75,[2]List1!$A:$D,3,FALSE),"NEUVEDENO!")</f>
        <v>101</v>
      </c>
      <c r="G75" s="769">
        <f t="shared" si="150"/>
        <v>101</v>
      </c>
      <c r="H75" s="766">
        <f t="shared" si="151"/>
        <v>4.2903323096005748</v>
      </c>
      <c r="I75" s="764">
        <f>IFERROR(VLOOKUP(C75,[2]List1!$A:$D,4,FALSE),"NEUVEDENO!")</f>
        <v>48</v>
      </c>
      <c r="J75" s="732" t="s">
        <v>39</v>
      </c>
      <c r="K75" s="569" t="s">
        <v>20</v>
      </c>
      <c r="L75" s="569" t="s">
        <v>12435</v>
      </c>
      <c r="M75" s="569" t="s">
        <v>21</v>
      </c>
      <c r="N75" s="569">
        <f>IFERROR(VLOOKUP(C75,[3]List1!$A:$D,4,FALSE),"N/A!")</f>
        <v>4.0823999999999999E-2</v>
      </c>
      <c r="O75" s="569">
        <f>IFERROR(VLOOKUP(C75,[3]List1!$A:$D,3,FALSE),"N/A!")</f>
        <v>1920</v>
      </c>
      <c r="P75" s="569">
        <f>IFERROR(VLOOKUP(C75,[3]List1!$A:$D,2,FALSE),"N/A!")</f>
        <v>9000</v>
      </c>
      <c r="Q75" s="569" t="s">
        <v>11238</v>
      </c>
      <c r="R75" s="569"/>
      <c r="S75" s="569"/>
      <c r="T75" s="569"/>
      <c r="U75" s="569"/>
      <c r="V75" s="569"/>
      <c r="W75" s="569" t="str">
        <f>IFERROR(IF(AND($AB75&gt;=0.1*$AA75,MOD($AB75,$AA75)&gt;=($AA75-(0.1*$AA75))),IF($W$17=$AF$1,"Zvažte možnost doobjednání ještě "&amp;Tabulka1[[#This Row],[VKPAL]]-MOD(AB75,AA75)&amp;" VK do plné palety.",VLOOKUP("Zvažte možnost doobjednání ještě ",Jazyky_ceník!A:Q,MATCH($W$17,Jazyky_ceník!$A$1:$Q$1,0),FALSE)&amp;Tabulka1[[#This Row],[VKPAL]]-MOD(AB75,AA75)&amp;VLOOKUP(" VK do plné palety.",Jazyky_ceník!A:Q,MATCH($W$17,Jazyky_ceník!$A$1:$Q$1,0),FALSE)),IFERROR(IF(AND(NOT(MOD($AB75,$AA75)=0),$AB75&gt;=0.9*$AA75,MOD($AB75,$AA75)&lt;=0.1*$AA75),IF($W$17=$AF$1,"Zvažte možnost optimalizace objednaného množství podle počtu VK na paletě ==&gt;",VLOOKUP("Zvažte možnost optimalizace objednaného množství podle počtu VK na paletě ==&gt;",Jazyky_ceník!A:Q,MATCH($W$17,Jazyky_ceník!$A$1:$Q$1,0),FALSE)),VLOOKUP('General price list'!$C75,Popisy!A:M,MATCH($W$17,Popisy!$A$7:$M$7,0),FALSE)),"---------------")),IFERROR(VLOOKUP('General price list'!$C75,Popisy!A:M,MATCH($W$17,Popisy!$A$7:$M$7,0),FALSE),"---------------"))</f>
        <v>dýmová stopa s práskajícími hvězdami</v>
      </c>
      <c r="X75" s="569" t="str">
        <f t="shared" si="152"/>
        <v/>
      </c>
      <c r="Y75" s="569" t="str">
        <f t="shared" si="153"/>
        <v/>
      </c>
      <c r="Z75" s="569" t="str">
        <f>HYPERLINK("https://www.klasekpyrotechnics.cz/lm8sa")</f>
        <v>https://www.klasekpyrotechnics.cz/lm8sa</v>
      </c>
      <c r="AA75" s="569" t="str">
        <f>IFERROR(IF(VLOOKUP(C75,[4]List1!$A:$D,4,FALSE)=0,"",VLOOKUP(C75,[4]List1!$A:$D,4,FALSE)),"")</f>
        <v/>
      </c>
      <c r="AB75" s="565"/>
      <c r="AC75" s="570" t="str">
        <f>IFERROR(IF(VLOOKUP(C75,[1]List1!$A:$D,2,FALSE)="VYPRODÁNO",$V$9,IF(VLOOKUP(C75,[1]List1!$A:$D,2,FALSE)="DOCHÁZÍ",$V$3,VLOOKUP(C75,[1]List1!$A:$D,2,FALSE))),"OFFLINE!")</f>
        <v>06.04.2026</v>
      </c>
      <c r="AD75" s="570" t="str">
        <f ca="1">IF(AP75="NE",$V$10,IF(AC75=$V$3,IF(AQ75&lt;1,$V$8,$V$2&amp;" "&amp;AQ75&amp;" "&amp;$V$1),IF(AC75="SKLADEM",$V$6,IFERROR(IF(OR(AC75-TODAY()&gt;45,VLOOKUP(C75,[1]List1!$A:$E,4,FALSE)=0),AC75,DAY(AC75)&amp;"."&amp;MONTH(AC75)&amp;"."&amp;YEAR(AC75)&amp;" "&amp;$V$4&amp;VLOOKUP(C75,[1]List1!$A:$E,4,FALSE)&amp;" "&amp;$V$1),AC75))))</f>
        <v>6.4.2026 DORAZÍ 100+ VK</v>
      </c>
      <c r="AE75" s="581" t="str">
        <f t="shared" ca="1" si="154"/>
        <v>6.4.2026 DORAZÍ 100+ VK</v>
      </c>
      <c r="AF75" s="584">
        <f t="shared" si="155"/>
        <v>0</v>
      </c>
      <c r="AG75" s="585">
        <f t="shared" si="156"/>
        <v>0</v>
      </c>
      <c r="AH75" s="583">
        <f t="shared" si="157"/>
        <v>0</v>
      </c>
      <c r="AI75" s="582">
        <f t="shared" si="158"/>
        <v>0</v>
      </c>
      <c r="AJ75" s="569">
        <f t="shared" si="159"/>
        <v>0</v>
      </c>
      <c r="AK75" s="569" t="str">
        <f t="shared" si="160"/>
        <v/>
      </c>
      <c r="AL75" s="569" t="str">
        <f t="shared" si="161"/>
        <v/>
      </c>
      <c r="AM75" s="569">
        <f t="shared" si="162"/>
        <v>0</v>
      </c>
      <c r="AN75" s="581">
        <f t="shared" si="163"/>
        <v>0</v>
      </c>
      <c r="AO75" s="623"/>
      <c r="AP75" s="632" t="str">
        <f t="shared" si="120"/>
        <v/>
      </c>
      <c r="AQ75" s="633" t="str">
        <f>IF(AC75=$V$3,IF(VLOOKUP(C75,[1]List1!$A:$E,5,FALSE)=0,1,VLOOKUP(C75,[1]List1!$A:$E,5,FALSE)),"")</f>
        <v/>
      </c>
      <c r="AR75" s="625" t="str">
        <f t="shared" si="121"/>
        <v/>
      </c>
      <c r="AS75" s="634" t="str">
        <f t="shared" si="122"/>
        <v/>
      </c>
      <c r="AT75" s="625" t="str">
        <f t="shared" si="123"/>
        <v/>
      </c>
      <c r="AU75" s="638" t="e">
        <f t="shared" si="124"/>
        <v>#N/A</v>
      </c>
      <c r="AV75" s="625" t="e">
        <f t="shared" si="125"/>
        <v>#N/A</v>
      </c>
      <c r="AX75" s="625">
        <f>IF(AND('General price list'!$J75="F4",'General price list'!$AB75+0&gt;0),1,0)</f>
        <v>0</v>
      </c>
      <c r="AY75" s="625">
        <f t="shared" si="126"/>
        <v>1</v>
      </c>
      <c r="AZ75" s="625">
        <f t="shared" si="127"/>
        <v>0</v>
      </c>
    </row>
    <row r="76" spans="1:52" ht="15" customHeight="1">
      <c r="A76" s="639" t="str">
        <f>Kat.!C76</f>
        <v/>
      </c>
      <c r="B76" s="640">
        <f>IF(AND('General price list'!$J76="F4",$AI$1=FALSE),0,IF(AC76="SKLADEM",1,IF(AC76=$V$3,1,0)))</f>
        <v>1</v>
      </c>
      <c r="C76" s="641" t="s">
        <v>3010</v>
      </c>
      <c r="D76" s="642" t="s">
        <v>3011</v>
      </c>
      <c r="E76" s="643" t="s">
        <v>12651</v>
      </c>
      <c r="F76" s="771">
        <f>IFERROR(VLOOKUP(C76,[2]List1!$A:$D,3,FALSE),"NEUVEDENO!")</f>
        <v>931</v>
      </c>
      <c r="G76" s="768">
        <f t="shared" si="150"/>
        <v>931</v>
      </c>
      <c r="H76" s="765">
        <f t="shared" si="151"/>
        <v>39.547518616219158</v>
      </c>
      <c r="I76" s="644">
        <f>IFERROR(VLOOKUP(C76,[2]List1!$A:$D,4,FALSE),"NEUVEDENO!")</f>
        <v>4</v>
      </c>
      <c r="J76" s="733" t="s">
        <v>113</v>
      </c>
      <c r="K76" s="645" t="s">
        <v>20</v>
      </c>
      <c r="L76" s="645" t="s">
        <v>20</v>
      </c>
      <c r="M76" s="645" t="s">
        <v>21</v>
      </c>
      <c r="N76" s="645">
        <f>IFERROR(VLOOKUP(C76,[3]List1!$A:$D,4,FALSE),"N/A!")</f>
        <v>6.5831749999999994E-2</v>
      </c>
      <c r="O76" s="645">
        <f>IFERROR(VLOOKUP(C76,[3]List1!$A:$D,3,FALSE),"N/A!")</f>
        <v>356</v>
      </c>
      <c r="P76" s="645">
        <f>IFERROR(VLOOKUP(C76,[3]List1!$A:$D,2,FALSE),"N/A!")</f>
        <v>6500</v>
      </c>
      <c r="Q76" s="645" t="s">
        <v>11247</v>
      </c>
      <c r="R76" s="645"/>
      <c r="S76" s="645"/>
      <c r="T76" s="645">
        <v>10</v>
      </c>
      <c r="U76" s="645"/>
      <c r="V76" s="645"/>
      <c r="W76" s="645" t="str">
        <f>IFERROR(IF(AND($AB76&gt;=0.1*$AA76,MOD($AB76,$AA76)&gt;=($AA76-(0.1*$AA76))),IF($W$17=$AF$1,"Zvažte možnost doobjednání ještě "&amp;Tabulka1[[#This Row],[VKPAL]]-MOD(AB76,AA76)&amp;" VK do plné palety.",VLOOKUP("Zvažte možnost doobjednání ještě ",Jazyky_ceník!A:Q,MATCH($W$17,Jazyky_ceník!$A$1:$Q$1,0),FALSE)&amp;Tabulka1[[#This Row],[VKPAL]]-MOD(AB76,AA76)&amp;VLOOKUP(" VK do plné palety.",Jazyky_ceník!A:Q,MATCH($W$17,Jazyky_ceník!$A$1:$Q$1,0),FALSE)),IFERROR(IF(AND(NOT(MOD($AB76,$AA76)=0),$AB76&gt;=0.9*$AA76,MOD($AB76,$AA76)&lt;=0.1*$AA76),IF($W$17=$AF$1,"Zvažte možnost optimalizace objednaného množství podle počtu VK na paletě ==&gt;",VLOOKUP("Zvažte možnost optimalizace objednaného množství podle počtu VK na paletě ==&gt;",Jazyky_ceník!A:Q,MATCH($W$17,Jazyky_ceník!$A$1:$Q$1,0),FALSE)),VLOOKUP('General price list'!$C76,Popisy!A:M,MATCH($W$17,Popisy!$A$7:$M$7,0),FALSE)),"---------------")),IFERROR(VLOOKUP('General price list'!$C76,Popisy!A:M,MATCH($W$17,Popisy!$A$7:$M$7,0),FALSE),"---------------"))</f>
        <v>pískající létající talíř s chvostem+brokátová koruna, výška efektu 45m</v>
      </c>
      <c r="X76" s="645" t="str">
        <f t="shared" si="152"/>
        <v/>
      </c>
      <c r="Y76" s="645" t="str">
        <f t="shared" si="153"/>
        <v/>
      </c>
      <c r="Z76" s="645" t="str">
        <f>HYPERLINK("https://www.klasekpyrotechnics.cz/su45b")</f>
        <v>https://www.klasekpyrotechnics.cz/su45b</v>
      </c>
      <c r="AA76" s="645">
        <f>IFERROR(IF(VLOOKUP(C76,[4]List1!$A:$D,4,FALSE)=0,"",VLOOKUP(C76,[4]List1!$A:$D,4,FALSE)),"")</f>
        <v>14</v>
      </c>
      <c r="AB76" s="646"/>
      <c r="AC76" s="647" t="str">
        <f>IFERROR(IF(VLOOKUP(C76,[1]List1!$A:$D,2,FALSE)="VYPRODÁNO",$V$9,IF(VLOOKUP(C76,[1]List1!$A:$D,2,FALSE)="DOCHÁZÍ",$V$3,VLOOKUP(C76,[1]List1!$A:$D,2,FALSE))),"OFFLINE!")</f>
        <v>SKLADEM</v>
      </c>
      <c r="AD76" s="647" t="str">
        <f ca="1">IF(AP76="NE",$V$10,IF(AC76=$V$3,IF(AQ76&lt;1,$V$8,$V$2&amp;" "&amp;AQ76&amp;" "&amp;$V$1),IF(AC76="SKLADEM",$V$6,IFERROR(IF(OR(AC76-TODAY()&gt;45,VLOOKUP(C76,[1]List1!$A:$E,4,FALSE)=0),AC76,DAY(AC76)&amp;"."&amp;MONTH(AC76)&amp;"."&amp;YEAR(AC76)&amp;" "&amp;$V$4&amp;VLOOKUP(C76,[1]List1!$A:$E,4,FALSE)&amp;" "&amp;$V$1),AC76))))</f>
        <v>SKLADEM</v>
      </c>
      <c r="AE76" s="645" t="str">
        <f t="shared" ca="1" si="154"/>
        <v>SKLADEM</v>
      </c>
      <c r="AF76" s="648">
        <f t="shared" si="155"/>
        <v>0</v>
      </c>
      <c r="AG76" s="649">
        <f t="shared" si="156"/>
        <v>0</v>
      </c>
      <c r="AH76" s="650">
        <f t="shared" si="157"/>
        <v>0</v>
      </c>
      <c r="AI76" s="645">
        <f t="shared" si="158"/>
        <v>0</v>
      </c>
      <c r="AJ76" s="645">
        <f t="shared" si="159"/>
        <v>0</v>
      </c>
      <c r="AK76" s="645" t="str">
        <f t="shared" si="160"/>
        <v/>
      </c>
      <c r="AL76" s="645" t="str">
        <f t="shared" si="161"/>
        <v/>
      </c>
      <c r="AM76" s="645">
        <f t="shared" si="162"/>
        <v>0</v>
      </c>
      <c r="AN76" s="651">
        <f t="shared" si="163"/>
        <v>0</v>
      </c>
      <c r="AO76" s="623"/>
      <c r="AP76" s="632" t="str">
        <f t="shared" si="120"/>
        <v/>
      </c>
      <c r="AQ76" s="633" t="str">
        <f>IF(AC76=$V$3,IF(VLOOKUP(C76,[1]List1!$A:$E,5,FALSE)=0,1,VLOOKUP(C76,[1]List1!$A:$E,5,FALSE)),"")</f>
        <v/>
      </c>
      <c r="AR76" s="625" t="str">
        <f t="shared" si="121"/>
        <v/>
      </c>
      <c r="AS76" s="634" t="str">
        <f t="shared" si="122"/>
        <v/>
      </c>
      <c r="AT76" s="625" t="str">
        <f t="shared" si="123"/>
        <v/>
      </c>
      <c r="AU76" s="638" t="e">
        <f t="shared" si="124"/>
        <v>#N/A</v>
      </c>
      <c r="AV76" s="625" t="e">
        <f t="shared" si="125"/>
        <v>#N/A</v>
      </c>
      <c r="AX76" s="625">
        <f>IF(AND('General price list'!$J76="F4",'General price list'!$AB76+0&gt;0),1,0)</f>
        <v>0</v>
      </c>
      <c r="AY76" s="625">
        <f t="shared" si="126"/>
        <v>1</v>
      </c>
      <c r="AZ76" s="625">
        <f t="shared" si="127"/>
        <v>0</v>
      </c>
    </row>
    <row r="77" spans="1:52" ht="15" customHeight="1">
      <c r="A77" s="621" t="str">
        <f>Kat.!C77</f>
        <v/>
      </c>
      <c r="B77" s="566">
        <f>IF(AND('General price list'!$J77="F4",$AI$1=FALSE),0,IF(AC77="SKLADEM",1,IF(AC77=$V$3,1,0)))</f>
        <v>1</v>
      </c>
      <c r="C77" s="567" t="s">
        <v>9802</v>
      </c>
      <c r="D77" s="568" t="s">
        <v>11695</v>
      </c>
      <c r="E77" s="763" t="s">
        <v>12652</v>
      </c>
      <c r="F77" s="772">
        <f>IFERROR(VLOOKUP(C77,[2]List1!$A:$D,3,FALSE),"NEUVEDENO!")</f>
        <v>111</v>
      </c>
      <c r="G77" s="769">
        <f t="shared" si="150"/>
        <v>111</v>
      </c>
      <c r="H77" s="766">
        <f t="shared" si="151"/>
        <v>4.7151176867887497</v>
      </c>
      <c r="I77" s="764">
        <f>IFERROR(VLOOKUP(C77,[2]List1!$A:$D,4,FALSE),"NEUVEDENO!")</f>
        <v>30</v>
      </c>
      <c r="J77" s="732" t="s">
        <v>39</v>
      </c>
      <c r="K77" s="569" t="s">
        <v>20</v>
      </c>
      <c r="L77" s="569" t="s">
        <v>20</v>
      </c>
      <c r="M77" s="569" t="s">
        <v>21</v>
      </c>
      <c r="N77" s="569">
        <f>IFERROR(VLOOKUP(C77,[3]List1!$A:$D,4,FALSE),"N/A!")</f>
        <v>8.9055999999999996E-2</v>
      </c>
      <c r="O77" s="569">
        <f>IFERROR(VLOOKUP(C77,[3]List1!$A:$D,3,FALSE),"N/A!")</f>
        <v>570</v>
      </c>
      <c r="P77" s="569">
        <f>IFERROR(VLOOKUP(C77,[3]List1!$A:$D,2,FALSE),"N/A!")</f>
        <v>7500</v>
      </c>
      <c r="Q77" s="569" t="s">
        <v>11248</v>
      </c>
      <c r="R77" s="569" t="s">
        <v>20</v>
      </c>
      <c r="S77" s="569"/>
      <c r="T77" s="569">
        <v>10</v>
      </c>
      <c r="U77" s="569"/>
      <c r="V77" s="569"/>
      <c r="W77" s="569" t="str">
        <f>IFERROR(IF(AND($AB77&gt;=0.1*$AA77,MOD($AB77,$AA77)&gt;=($AA77-(0.1*$AA77))),IF($W$17=$AF$1,"Zvažte možnost doobjednání ještě "&amp;Tabulka1[[#This Row],[VKPAL]]-MOD(AB77,AA77)&amp;" VK do plné palety.",VLOOKUP("Zvažte možnost doobjednání ještě ",Jazyky_ceník!A:Q,MATCH($W$17,Jazyky_ceník!$A$1:$Q$1,0),FALSE)&amp;Tabulka1[[#This Row],[VKPAL]]-MOD(AB77,AA77)&amp;VLOOKUP(" VK do plné palety.",Jazyky_ceník!A:Q,MATCH($W$17,Jazyky_ceník!$A$1:$Q$1,0),FALSE)),IFERROR(IF(AND(NOT(MOD($AB77,$AA77)=0),$AB77&gt;=0.9*$AA77,MOD($AB77,$AA77)&lt;=0.1*$AA77),IF($W$17=$AF$1,"Zvažte možnost optimalizace objednaného množství podle počtu VK na paletě ==&gt;",VLOOKUP("Zvažte možnost optimalizace objednaného množství podle počtu VK na paletě ==&gt;",Jazyky_ceník!A:Q,MATCH($W$17,Jazyky_ceník!$A$1:$Q$1,0),FALSE)),VLOOKUP('General price list'!$C77,Popisy!A:M,MATCH($W$17,Popisy!$A$7:$M$7,0),FALSE)),"---------------")),IFERROR(VLOOKUP('General price list'!$C77,Popisy!A:M,MATCH($W$17,Popisy!$A$7:$M$7,0),FALSE),"---------------"))</f>
        <v>zelené světlo se zlatým rozujícím chvostem</v>
      </c>
      <c r="X77" s="569" t="str">
        <f t="shared" si="152"/>
        <v/>
      </c>
      <c r="Y77" s="569" t="str">
        <f t="shared" si="153"/>
        <v/>
      </c>
      <c r="Z77" s="569" t="str">
        <f>HYPERLINK("https://www.klasekpyrotechnics.cz/rd8")</f>
        <v>https://www.klasekpyrotechnics.cz/rd8</v>
      </c>
      <c r="AA77" s="569">
        <f>IFERROR(IF(VLOOKUP(C77,[4]List1!$A:$D,4,FALSE)=0,"",VLOOKUP(C77,[4]List1!$A:$D,4,FALSE)),"")</f>
        <v>16</v>
      </c>
      <c r="AB77" s="565"/>
      <c r="AC77" s="570" t="str">
        <f>IFERROR(IF(VLOOKUP(C77,[1]List1!$A:$D,2,FALSE)="VYPRODÁNO",$V$9,IF(VLOOKUP(C77,[1]List1!$A:$D,2,FALSE)="DOCHÁZÍ",$V$3,VLOOKUP(C77,[1]List1!$A:$D,2,FALSE))),"OFFLINE!")</f>
        <v>SKLADEM</v>
      </c>
      <c r="AD77" s="570" t="str">
        <f ca="1">IF(AP77="NE",$V$10,IF(AC77=$V$3,IF(AQ77&lt;1,$V$8,$V$2&amp;" "&amp;AQ77&amp;" "&amp;$V$1),IF(AC77="SKLADEM",$V$6,IFERROR(IF(OR(AC77-TODAY()&gt;45,VLOOKUP(C77,[1]List1!$A:$E,4,FALSE)=0),AC77,DAY(AC77)&amp;"."&amp;MONTH(AC77)&amp;"."&amp;YEAR(AC77)&amp;" "&amp;$V$4&amp;VLOOKUP(C77,[1]List1!$A:$E,4,FALSE)&amp;" "&amp;$V$1),AC77))))</f>
        <v>SKLADEM</v>
      </c>
      <c r="AE77" s="581" t="str">
        <f t="shared" ca="1" si="154"/>
        <v>SKLADEM</v>
      </c>
      <c r="AF77" s="584">
        <f t="shared" si="155"/>
        <v>0</v>
      </c>
      <c r="AG77" s="585">
        <f t="shared" si="156"/>
        <v>0</v>
      </c>
      <c r="AH77" s="583">
        <f t="shared" si="157"/>
        <v>0</v>
      </c>
      <c r="AI77" s="582">
        <f t="shared" si="158"/>
        <v>0</v>
      </c>
      <c r="AJ77" s="569">
        <f t="shared" si="159"/>
        <v>0</v>
      </c>
      <c r="AK77" s="569" t="str">
        <f t="shared" si="160"/>
        <v/>
      </c>
      <c r="AL77" s="569" t="str">
        <f t="shared" si="161"/>
        <v/>
      </c>
      <c r="AM77" s="569">
        <f t="shared" si="162"/>
        <v>0</v>
      </c>
      <c r="AN77" s="581">
        <f t="shared" si="163"/>
        <v>0</v>
      </c>
      <c r="AO77" s="623"/>
      <c r="AP77" s="632" t="str">
        <f t="shared" si="120"/>
        <v/>
      </c>
      <c r="AQ77" s="633" t="str">
        <f>IF(AC77=$V$3,IF(VLOOKUP(C77,[1]List1!$A:$E,5,FALSE)=0,1,VLOOKUP(C77,[1]List1!$A:$E,5,FALSE)),"")</f>
        <v/>
      </c>
      <c r="AR77" s="625" t="str">
        <f t="shared" si="121"/>
        <v/>
      </c>
      <c r="AS77" s="634" t="str">
        <f t="shared" si="122"/>
        <v/>
      </c>
      <c r="AT77" s="625" t="str">
        <f t="shared" si="123"/>
        <v/>
      </c>
      <c r="AU77" s="638" t="e">
        <f t="shared" si="124"/>
        <v>#N/A</v>
      </c>
      <c r="AV77" s="625" t="e">
        <f t="shared" si="125"/>
        <v>#N/A</v>
      </c>
      <c r="AX77" s="625">
        <f>IF(AND('General price list'!$J77="F4",'General price list'!$AB77+0&gt;0),1,0)</f>
        <v>0</v>
      </c>
      <c r="AY77" s="625">
        <f t="shared" si="126"/>
        <v>1</v>
      </c>
      <c r="AZ77" s="625">
        <f t="shared" si="127"/>
        <v>0</v>
      </c>
    </row>
    <row r="78" spans="1:52" ht="15" customHeight="1">
      <c r="A78" s="751" t="str">
        <f>Kat.!C78</f>
        <v xml:space="preserve">           Rodinná balení</v>
      </c>
      <c r="B78" s="751"/>
      <c r="C78" s="751"/>
      <c r="D78" s="751"/>
      <c r="E78" s="751"/>
      <c r="F78" s="751"/>
      <c r="G78" s="751"/>
      <c r="H78" s="751"/>
      <c r="I78" s="752"/>
      <c r="J78" s="752"/>
      <c r="K78" s="752" t="s">
        <v>20</v>
      </c>
      <c r="L78" s="753" t="s">
        <v>20</v>
      </c>
      <c r="M78" s="752"/>
      <c r="N78" s="752"/>
      <c r="O78" s="752"/>
      <c r="P78" s="752"/>
      <c r="Q78" s="752"/>
      <c r="R78" s="752"/>
      <c r="S78" s="752"/>
      <c r="T78" s="752"/>
      <c r="U78" s="752"/>
      <c r="V78" s="752"/>
      <c r="W78" s="752"/>
      <c r="X78" s="752"/>
      <c r="Y78" s="752"/>
      <c r="Z78" s="752" t="s">
        <v>20</v>
      </c>
      <c r="AA78" s="752"/>
      <c r="AB78" s="752"/>
      <c r="AC78" s="754"/>
      <c r="AD78" s="752"/>
      <c r="AE78" s="752"/>
      <c r="AF78" s="752"/>
      <c r="AG78" s="752"/>
      <c r="AH78" s="752"/>
      <c r="AI78" s="752"/>
      <c r="AJ78" s="752"/>
      <c r="AK78" s="752"/>
      <c r="AL78" s="752"/>
      <c r="AM78" s="752"/>
      <c r="AN78" s="752"/>
      <c r="AO78" s="623"/>
      <c r="AP78" s="632" t="str">
        <f t="shared" ref="AP78:AP81" si="164">IF($AL$3=1,IF(Y78=AB78,"","NE"),IF(AR78=$V$10,"NE",""))</f>
        <v/>
      </c>
      <c r="AQ78" s="625" t="str">
        <f>IF(AC78=$V$3,IF(VLOOKUP(C78,[1]List1!$A:$E,5,FALSE)=0,1,VLOOKUP(C78,[1]List1!$A:$E,5,FALSE)),"")</f>
        <v/>
      </c>
      <c r="AR78" s="625" t="str">
        <f t="shared" ref="AR78:AR81" si="165">IF($AL$3=1,"",IF(OR(AB78&lt;&gt;"",AB78&lt;&gt;0),IF(OR(AC78=$V$6,AC78=$V$3,AC78=$V$9),$V$10,""),""))</f>
        <v/>
      </c>
      <c r="AS78" s="634" t="str">
        <f t="shared" ref="AS78:AS96" si="166">IF(AT78&lt;&gt;"","X","")</f>
        <v/>
      </c>
      <c r="AT78" s="625" t="str">
        <f t="shared" ref="AT78:AT81" si="167">IF(AND($AL$3=2,AR78="",AB78&lt;&gt;""),AD78,"")</f>
        <v/>
      </c>
      <c r="AU78" s="638" t="e">
        <f t="shared" ref="AU78:AU81" si="168">IF(AT78=$AS$21,AB78,"")</f>
        <v>#N/A</v>
      </c>
      <c r="AV78" s="625" t="e">
        <f t="shared" ref="AV78:AV81" si="169">IF(OR(AB78="",AND(AT78&lt;&gt;"",AU78&lt;&gt;"")),"",$V$10)</f>
        <v>#N/A</v>
      </c>
      <c r="AX78" s="625">
        <f>IF(AND('General price list'!$J78="F4",'General price list'!$AB78+0&gt;0),1,0)</f>
        <v>0</v>
      </c>
      <c r="AY78" s="625">
        <f t="shared" ref="AY78:AY81" si="170">IFERROR(FIND(VLOOKUP($AC$7,$AD$1:$AE$12,2,FALSE),Q78,1),0)</f>
        <v>0</v>
      </c>
      <c r="AZ78" s="625">
        <f t="shared" ref="AZ78:AZ81" si="171">IFERROR(FIND(VLOOKUP($AC$7,$AD$1:$AE$12,2,FALSE),R78,1),0)</f>
        <v>0</v>
      </c>
    </row>
    <row r="79" spans="1:52" ht="15" customHeight="1">
      <c r="A79" s="639" t="str">
        <f>Kat.!C79</f>
        <v/>
      </c>
      <c r="B79" s="640">
        <f>IF(AND('General price list'!$J79="F4",$AI$1=FALSE),0,IF(AC79="SKLADEM",1,IF(AC79=$V$3,1,0)))</f>
        <v>1</v>
      </c>
      <c r="C79" s="641" t="s">
        <v>115</v>
      </c>
      <c r="D79" s="642" t="s">
        <v>116</v>
      </c>
      <c r="E79" s="643" t="s">
        <v>12653</v>
      </c>
      <c r="F79" s="771">
        <f>IFERROR(VLOOKUP(C79,[2]List1!$A:$D,3,FALSE),"NEUVEDENO!")</f>
        <v>191</v>
      </c>
      <c r="G79" s="768">
        <f t="shared" ref="G79:G81" si="172">IF($W$17=$AF$8,ROUND((F79)/$F$17,2),(F79)*$B$19)</f>
        <v>191</v>
      </c>
      <c r="H79" s="765">
        <f t="shared" ref="H79:H81" si="173">IF($W$17=$AF$8,G79*$B$19,G79/$F$17)</f>
        <v>8.1134007042941558</v>
      </c>
      <c r="I79" s="644">
        <f>IFERROR(VLOOKUP(C79,[2]List1!$A:$D,4,FALSE),"NEUVEDENO!")</f>
        <v>40</v>
      </c>
      <c r="J79" s="733" t="s">
        <v>19</v>
      </c>
      <c r="K79" s="645" t="s">
        <v>20</v>
      </c>
      <c r="L79" s="645" t="s">
        <v>20</v>
      </c>
      <c r="M79" s="645" t="s">
        <v>21</v>
      </c>
      <c r="N79" s="645">
        <f>IFERROR(VLOOKUP(C79,[3]List1!$A:$D,4,FALSE),"N/A!")</f>
        <v>5.7342249999999997E-2</v>
      </c>
      <c r="O79" s="645">
        <f>IFERROR(VLOOKUP(C79,[3]List1!$A:$D,3,FALSE),"N/A!")</f>
        <v>2920</v>
      </c>
      <c r="P79" s="645">
        <f>IFERROR(VLOOKUP(C79,[3]List1!$A:$D,2,FALSE),"N/A!")</f>
        <v>10800</v>
      </c>
      <c r="Q79" s="645" t="s">
        <v>11754</v>
      </c>
      <c r="R79" s="645" t="s">
        <v>11239</v>
      </c>
      <c r="S79" s="645"/>
      <c r="T79" s="645"/>
      <c r="U79" s="645"/>
      <c r="V79" s="645"/>
      <c r="W79" s="645" t="str">
        <f>IFERROR(IF(AND($AB79&gt;=0.1*$AA79,MOD($AB79,$AA79)&gt;=($AA79-(0.1*$AA79))),IF($W$17=$AF$1,"Zvažte možnost doobjednání ještě "&amp;Tabulka1[[#This Row],[VKPAL]]-MOD(AB79,AA79)&amp;" VK do plné palety.",VLOOKUP("Zvažte možnost doobjednání ještě ",Jazyky_ceník!A:Q,MATCH($W$17,Jazyky_ceník!$A$1:$Q$1,0),FALSE)&amp;Tabulka1[[#This Row],[VKPAL]]-MOD(AB79,AA79)&amp;VLOOKUP(" VK do plné palety.",Jazyky_ceník!A:Q,MATCH($W$17,Jazyky_ceník!$A$1:$Q$1,0),FALSE)),IFERROR(IF(AND(NOT(MOD($AB79,$AA79)=0),$AB79&gt;=0.9*$AA79,MOD($AB79,$AA79)&lt;=0.1*$AA79),IF($W$17=$AF$1,"Zvažte možnost optimalizace objednaného množství podle počtu VK na paletě ==&gt;",VLOOKUP("Zvažte možnost optimalizace objednaného množství podle počtu VK na paletě ==&gt;",Jazyky_ceník!A:Q,MATCH($W$17,Jazyky_ceník!$A$1:$Q$1,0),FALSE)),VLOOKUP('General price list'!$C79,Popisy!A:M,MATCH($W$17,Popisy!$A$7:$M$7,0),FALSE)),"---------------")),IFERROR(VLOOKUP('General price list'!$C79,Popisy!A:M,MATCH($W$17,Popisy!$A$7:$M$7,0),FALSE),"---------------"))</f>
        <v>sada obsahuje: DP1FD- 1x,DP1FR-1x,DP1BP- 3x,BK1B-1x,BK1P-1x,DP1CB-1x,DP1B-1x,DP1R-2x, S12S-1x</v>
      </c>
      <c r="X79" s="645" t="str">
        <f t="shared" ref="X79:X81" si="174">IF(AB79&lt;0.0001,"",AB79)</f>
        <v/>
      </c>
      <c r="Y79" s="645" t="str">
        <f t="shared" ref="Y79:Y81" si="175">IF($AL$3=2,IF(OR(AB79&lt;&gt;"",AB79&lt;&gt;0),AU79,""),IF(C79="","",IF(AB79&lt;0.0001,"",IF(B79=0,"",IF(AQ79&lt;AB79,"",AB79)))))</f>
        <v/>
      </c>
      <c r="Z79" s="645" t="str">
        <f>HYPERLINK("https://www.klasekpyrotechnics.cz/ds1")</f>
        <v>https://www.klasekpyrotechnics.cz/ds1</v>
      </c>
      <c r="AA79" s="645">
        <f>IFERROR(IF(VLOOKUP(C79,[4]List1!$A:$D,4,FALSE)=0,"",VLOOKUP(C79,[4]List1!$A:$D,4,FALSE)),"")</f>
        <v>25</v>
      </c>
      <c r="AB79" s="646"/>
      <c r="AC79" s="647" t="str">
        <f>IFERROR(IF(VLOOKUP(C79,[1]List1!$A:$D,2,FALSE)="VYPRODÁNO",$V$9,IF(VLOOKUP(C79,[1]List1!$A:$D,2,FALSE)="DOCHÁZÍ",$V$3,VLOOKUP(C79,[1]List1!$A:$D,2,FALSE))),"OFFLINE!")</f>
        <v>SKLADEM</v>
      </c>
      <c r="AD79" s="647" t="str">
        <f ca="1">IF(AP79="NE",$V$10,IF(AC79=$V$3,IF(AQ79&lt;1,$V$8,$V$2&amp;" "&amp;AQ79&amp;" "&amp;$V$1),IF(AC79="SKLADEM",$V$6,IFERROR(IF(OR(AC79-TODAY()&gt;45,VLOOKUP(C79,[1]List1!$A:$E,4,FALSE)=0),AC79,DAY(AC79)&amp;"."&amp;MONTH(AC79)&amp;"."&amp;YEAR(AC79)&amp;" "&amp;$V$4&amp;VLOOKUP(C79,[1]List1!$A:$E,4,FALSE)&amp;" "&amp;$V$1),AC79))))</f>
        <v>SKLADEM</v>
      </c>
      <c r="AE79" s="645" t="str">
        <f t="shared" ref="AE79:AE81" ca="1" si="176">IFERROR(IF(AV79&lt;&gt;"",AV79,AD79),AD79)</f>
        <v>SKLADEM</v>
      </c>
      <c r="AF79" s="648">
        <f t="shared" ref="AF79:AF81" si="177">IFERROR(IF(AB79=Y79,G79*I79*Y79,0),0)</f>
        <v>0</v>
      </c>
      <c r="AG79" s="649">
        <f t="shared" ref="AG79:AG81" si="178">IF($W$17=$AF$8,AH79*1.23,AF79*1.21)</f>
        <v>0</v>
      </c>
      <c r="AH79" s="650">
        <f t="shared" ref="AH79:AH81" si="179">IFERROR(IF(Y79=AB79,H79*I79*Y79,0),0)</f>
        <v>0</v>
      </c>
      <c r="AI79" s="645">
        <f t="shared" ref="AI79:AI81" si="180">IFERROR(IF(Y79=AB79,(P79*Y79)/1000,1),0)</f>
        <v>0</v>
      </c>
      <c r="AJ79" s="645">
        <f t="shared" ref="AJ79:AJ81" si="181">IFERROR(IF(Y79=AB79,N79*Y79,0.1),0)</f>
        <v>0</v>
      </c>
      <c r="AK79" s="645" t="str">
        <f t="shared" ref="AK79:AK81" si="182">IFERROR(IF(Y79=AB79,IF(M79="1.1G",(O79/1000)*Y79,""),""),0)</f>
        <v/>
      </c>
      <c r="AL79" s="645" t="str">
        <f t="shared" ref="AL79:AL81" si="183">IFERROR(IF(Y79=AB79,IF(M79="1.3G",(O79/1000)*AB79,""),""),0)</f>
        <v/>
      </c>
      <c r="AM79" s="645">
        <f t="shared" ref="AM79:AM81" si="184">IFERROR(IF(Y79=AB79,IF(M79="1.4G",(O79/1000)*AB79,""),""),0)</f>
        <v>0</v>
      </c>
      <c r="AN79" s="651">
        <f t="shared" ref="AN79:AN81" si="185">SUM(AK79:AM79)</f>
        <v>0</v>
      </c>
      <c r="AO79" s="623"/>
      <c r="AP79" s="632" t="str">
        <f t="shared" si="164"/>
        <v/>
      </c>
      <c r="AQ79" s="633" t="str">
        <f>IF(AC79=$V$3,IF(VLOOKUP(C79,[1]List1!$A:$E,5,FALSE)=0,1,VLOOKUP(C79,[1]List1!$A:$E,5,FALSE)),"")</f>
        <v/>
      </c>
      <c r="AR79" s="625" t="str">
        <f t="shared" si="165"/>
        <v/>
      </c>
      <c r="AS79" s="634" t="str">
        <f t="shared" si="166"/>
        <v/>
      </c>
      <c r="AT79" s="625" t="str">
        <f t="shared" si="167"/>
        <v/>
      </c>
      <c r="AU79" s="638" t="e">
        <f t="shared" si="168"/>
        <v>#N/A</v>
      </c>
      <c r="AV79" s="625" t="e">
        <f t="shared" si="169"/>
        <v>#N/A</v>
      </c>
      <c r="AX79" s="625">
        <f>IF(AND('General price list'!$J79="F4",'General price list'!$AB79+0&gt;0),1,0)</f>
        <v>0</v>
      </c>
      <c r="AY79" s="625">
        <f t="shared" si="170"/>
        <v>1</v>
      </c>
      <c r="AZ79" s="625">
        <f t="shared" si="171"/>
        <v>1</v>
      </c>
    </row>
    <row r="80" spans="1:52" ht="15.75" customHeight="1">
      <c r="A80" s="621" t="str">
        <f>Kat.!C80</f>
        <v/>
      </c>
      <c r="B80" s="566">
        <f>IF(AND('General price list'!$J80="F4",$AI$1=FALSE),0,IF(AC80="SKLADEM",1,IF(AC80=$V$3,1,0)))</f>
        <v>1</v>
      </c>
      <c r="C80" s="567" t="s">
        <v>119</v>
      </c>
      <c r="D80" s="568" t="s">
        <v>120</v>
      </c>
      <c r="E80" s="763" t="s">
        <v>12654</v>
      </c>
      <c r="F80" s="772">
        <f>IFERROR(VLOOKUP(C80,[2]List1!$A:$D,3,FALSE),"NEUVEDENO!")</f>
        <v>356</v>
      </c>
      <c r="G80" s="769">
        <f t="shared" si="172"/>
        <v>356</v>
      </c>
      <c r="H80" s="766">
        <f t="shared" si="173"/>
        <v>15.122359427899054</v>
      </c>
      <c r="I80" s="764">
        <f>IFERROR(VLOOKUP(C80,[2]List1!$A:$D,4,FALSE),"NEUVEDENO!")</f>
        <v>20</v>
      </c>
      <c r="J80" s="732" t="s">
        <v>39</v>
      </c>
      <c r="K80" s="569" t="s">
        <v>20</v>
      </c>
      <c r="L80" s="569" t="s">
        <v>20</v>
      </c>
      <c r="M80" s="569" t="s">
        <v>21</v>
      </c>
      <c r="N80" s="569">
        <f>IFERROR(VLOOKUP(C80,[3]List1!$A:$D,4,FALSE),"N/A!")</f>
        <v>8.5176000000000002E-2</v>
      </c>
      <c r="O80" s="569">
        <f>IFERROR(VLOOKUP(C80,[3]List1!$A:$D,3,FALSE),"N/A!")</f>
        <v>4640</v>
      </c>
      <c r="P80" s="569">
        <f>IFERROR(VLOOKUP(C80,[3]List1!$A:$D,2,FALSE),"N/A!")</f>
        <v>15500</v>
      </c>
      <c r="Q80" s="569" t="s">
        <v>12764</v>
      </c>
      <c r="R80" s="569" t="s">
        <v>15</v>
      </c>
      <c r="S80" s="569"/>
      <c r="T80" s="569"/>
      <c r="U80" s="569"/>
      <c r="V80" s="569"/>
      <c r="W80" s="569" t="str">
        <f>IFERROR(IF(AND($AB80&gt;=0.1*$AA80,MOD($AB80,$AA80)&gt;=($AA80-(0.1*$AA80))),IF($W$17=$AF$1,"Zvažte možnost doobjednání ještě "&amp;Tabulka1[[#This Row],[VKPAL]]-MOD(AB80,AA80)&amp;" VK do plné palety.",VLOOKUP("Zvažte možnost doobjednání ještě ",Jazyky_ceník!A:Q,MATCH($W$17,Jazyky_ceník!$A$1:$Q$1,0),FALSE)&amp;Tabulka1[[#This Row],[VKPAL]]-MOD(AB80,AA80)&amp;VLOOKUP(" VK do plné palety.",Jazyky_ceník!A:Q,MATCH($W$17,Jazyky_ceník!$A$1:$Q$1,0),FALSE)),IFERROR(IF(AND(NOT(MOD($AB80,$AA80)=0),$AB80&gt;=0.9*$AA80,MOD($AB80,$AA80)&lt;=0.1*$AA80),IF($W$17=$AF$1,"Zvažte možnost optimalizace objednaného množství podle počtu VK na paletě ==&gt;",VLOOKUP("Zvažte možnost optimalizace objednaného množství podle počtu VK na paletě ==&gt;",Jazyky_ceník!A:Q,MATCH($W$17,Jazyky_ceník!$A$1:$Q$1,0),FALSE)),VLOOKUP('General price list'!$C80,Popisy!A:M,MATCH($W$17,Popisy!$A$7:$M$7,0),FALSE)),"---------------")),IFERROR(VLOOKUP('General price list'!$C80,Popisy!A:M,MATCH($W$17,Popisy!$A$7:$M$7,0),FALSE),"---------------"))</f>
        <v>sada obsahuje: 4 rakety,DP1BP-2x,DP1B-1x,S12S-1x,P1-1x,BK1B-1x,DP1R-1x,DP1VC-1x,DP1CB-1x,K01M-1x,R4420B- 2x</v>
      </c>
      <c r="X80" s="569" t="str">
        <f t="shared" si="174"/>
        <v/>
      </c>
      <c r="Y80" s="569" t="str">
        <f t="shared" si="175"/>
        <v/>
      </c>
      <c r="Z80" s="569" t="str">
        <f>HYPERLINK("https://www.klasekpyrotechnics.cz/rb1")</f>
        <v>https://www.klasekpyrotechnics.cz/rb1</v>
      </c>
      <c r="AA80" s="569" t="str">
        <f>IFERROR(IF(VLOOKUP(C80,[4]List1!$A:$D,4,FALSE)=0,"",VLOOKUP(C80,[4]List1!$A:$D,4,FALSE)),"")</f>
        <v>16</v>
      </c>
      <c r="AB80" s="565"/>
      <c r="AC80" s="570" t="str">
        <f>IFERROR(IF(VLOOKUP(C80,[1]List1!$A:$D,2,FALSE)="VYPRODÁNO",$V$9,IF(VLOOKUP(C80,[1]List1!$A:$D,2,FALSE)="DOCHÁZÍ",$V$3,VLOOKUP(C80,[1]List1!$A:$D,2,FALSE))),"OFFLINE!")</f>
        <v>SKLADEM</v>
      </c>
      <c r="AD80" s="570" t="str">
        <f ca="1">IF(AP80="NE",$V$10,IF(AC80=$V$3,IF(AQ80&lt;1,$V$8,$V$2&amp;" "&amp;AQ80&amp;" "&amp;$V$1),IF(AC80="SKLADEM",$V$6,IFERROR(IF(OR(AC80-TODAY()&gt;45,VLOOKUP(C80,[1]List1!$A:$E,4,FALSE)=0),AC80,DAY(AC80)&amp;"."&amp;MONTH(AC80)&amp;"."&amp;YEAR(AC80)&amp;" "&amp;$V$4&amp;VLOOKUP(C80,[1]List1!$A:$E,4,FALSE)&amp;" "&amp;$V$1),AC80))))</f>
        <v>SKLADEM</v>
      </c>
      <c r="AE80" s="581" t="str">
        <f t="shared" ca="1" si="176"/>
        <v>SKLADEM</v>
      </c>
      <c r="AF80" s="584">
        <f t="shared" si="177"/>
        <v>0</v>
      </c>
      <c r="AG80" s="585">
        <f t="shared" si="178"/>
        <v>0</v>
      </c>
      <c r="AH80" s="583">
        <f t="shared" si="179"/>
        <v>0</v>
      </c>
      <c r="AI80" s="582">
        <f t="shared" si="180"/>
        <v>0</v>
      </c>
      <c r="AJ80" s="569">
        <f t="shared" si="181"/>
        <v>0</v>
      </c>
      <c r="AK80" s="569" t="str">
        <f t="shared" si="182"/>
        <v/>
      </c>
      <c r="AL80" s="569" t="str">
        <f t="shared" si="183"/>
        <v/>
      </c>
      <c r="AM80" s="569">
        <f t="shared" si="184"/>
        <v>0</v>
      </c>
      <c r="AN80" s="581">
        <f t="shared" si="185"/>
        <v>0</v>
      </c>
      <c r="AO80" s="623"/>
      <c r="AP80" s="625" t="str">
        <f t="shared" si="164"/>
        <v/>
      </c>
      <c r="AQ80" s="625" t="str">
        <f>IF(AC80=$V$3,IF(VLOOKUP(C80,[1]List1!$A:$E,5,FALSE)=0,1,VLOOKUP(C80,[1]List1!$A:$E,5,FALSE)),"")</f>
        <v/>
      </c>
      <c r="AR80" s="629" t="str">
        <f t="shared" si="165"/>
        <v/>
      </c>
      <c r="AS80" s="630" t="str">
        <f t="shared" si="166"/>
        <v/>
      </c>
      <c r="AT80" s="625" t="str">
        <f t="shared" si="167"/>
        <v/>
      </c>
      <c r="AU80" s="625" t="e">
        <f t="shared" si="168"/>
        <v>#N/A</v>
      </c>
      <c r="AV80" s="625" t="e">
        <f t="shared" si="169"/>
        <v>#N/A</v>
      </c>
      <c r="AW80" s="631"/>
      <c r="AX80" s="631">
        <f>IF(AND('General price list'!$J80="F4",'General price list'!$AB80+0&gt;0),1,0)</f>
        <v>0</v>
      </c>
      <c r="AY80" s="631">
        <f t="shared" si="170"/>
        <v>1</v>
      </c>
      <c r="AZ80" s="631">
        <f t="shared" si="171"/>
        <v>1</v>
      </c>
    </row>
    <row r="81" spans="1:52" ht="15" customHeight="1">
      <c r="A81" s="639" t="str">
        <f>Kat.!C81</f>
        <v/>
      </c>
      <c r="B81" s="640">
        <f>IF(AND('General price list'!$J81="F4",$AI$1=FALSE),0,IF(AC81="SKLADEM",1,IF(AC81=$V$3,1,0)))</f>
        <v>1</v>
      </c>
      <c r="C81" s="641" t="s">
        <v>2224</v>
      </c>
      <c r="D81" s="642" t="s">
        <v>2225</v>
      </c>
      <c r="E81" s="643" t="s">
        <v>12654</v>
      </c>
      <c r="F81" s="773">
        <f>IFERROR(VLOOKUP(C81,[2]List1!$A:$D,3,FALSE),"NEUVEDENO!")</f>
        <v>127</v>
      </c>
      <c r="G81" s="770">
        <f t="shared" si="172"/>
        <v>127</v>
      </c>
      <c r="H81" s="767">
        <f t="shared" si="173"/>
        <v>5.3947742902898312</v>
      </c>
      <c r="I81" s="644">
        <f>IFERROR(VLOOKUP(C81,[2]List1!$A:$D,4,FALSE),"NEUVEDENO!")</f>
        <v>20</v>
      </c>
      <c r="J81" s="733" t="s">
        <v>39</v>
      </c>
      <c r="K81" s="645" t="s">
        <v>20</v>
      </c>
      <c r="L81" s="645" t="s">
        <v>20</v>
      </c>
      <c r="M81" s="645" t="s">
        <v>21</v>
      </c>
      <c r="N81" s="645">
        <f>IFERROR(VLOOKUP(C81,[3]List1!$A:$D,4,FALSE),"N/A!")</f>
        <v>2.9497499999999999E-2</v>
      </c>
      <c r="O81" s="645">
        <f>IFERROR(VLOOKUP(C81,[3]List1!$A:$D,3,FALSE),"N/A!")</f>
        <v>1250</v>
      </c>
      <c r="P81" s="645">
        <f>IFERROR(VLOOKUP(C81,[3]List1!$A:$D,2,FALSE),"N/A!")</f>
        <v>5000</v>
      </c>
      <c r="Q81" s="645" t="s">
        <v>11744</v>
      </c>
      <c r="R81" s="645" t="s">
        <v>15</v>
      </c>
      <c r="S81" s="645"/>
      <c r="T81" s="645"/>
      <c r="U81" s="645"/>
      <c r="V81" s="645"/>
      <c r="W81" s="645" t="str">
        <f>IFERROR(IF(AND($AB81&gt;=0.1*$AA81,MOD($AB81,$AA81)&gt;=($AA81-(0.1*$AA81))),IF($W$17=$AF$1,"Zvažte možnost doobjednání ještě "&amp;Tabulka1[[#This Row],[VKPAL]]-MOD(AB81,AA81)&amp;" VK do plné palety.",VLOOKUP("Zvažte možnost doobjednání ještě ",Jazyky_ceník!A:Q,MATCH($W$17,Jazyky_ceník!$A$1:$Q$1,0),FALSE)&amp;Tabulka1[[#This Row],[VKPAL]]-MOD(AB81,AA81)&amp;VLOOKUP(" VK do plné palety.",Jazyky_ceník!A:Q,MATCH($W$17,Jazyky_ceník!$A$1:$Q$1,0),FALSE)),IFERROR(IF(AND(NOT(MOD($AB81,$AA81)=0),$AB81&gt;=0.9*$AA81,MOD($AB81,$AA81)&lt;=0.1*$AA81),IF($W$17=$AF$1,"Zvažte možnost optimalizace objednaného množství podle počtu VK na paletě ==&gt;",VLOOKUP("Zvažte možnost optimalizace objednaného množství podle počtu VK na paletě ==&gt;",Jazyky_ceník!A:Q,MATCH($W$17,Jazyky_ceník!$A$1:$Q$1,0),FALSE)),VLOOKUP('General price list'!$C81,Popisy!A:M,MATCH($W$17,Popisy!$A$7:$M$7,0),FALSE)),"---------------")),IFERROR(VLOOKUP('General price list'!$C81,Popisy!A:M,MATCH($W$17,Popisy!$A$7:$M$7,0),FALSE),"---------------"))</f>
        <v>sada obsahuje:1 balení-VP16A,DP1VC, LM2V 1ks, R4420B 2ks, R12T1 4ks</v>
      </c>
      <c r="X81" s="645" t="str">
        <f t="shared" si="174"/>
        <v/>
      </c>
      <c r="Y81" s="645" t="str">
        <f t="shared" si="175"/>
        <v/>
      </c>
      <c r="Z81" s="645" t="str">
        <f>HYPERLINK("https://www.klasekpyrotechnics.cz/fps1")</f>
        <v>https://www.klasekpyrotechnics.cz/fps1</v>
      </c>
      <c r="AA81" s="645" t="str">
        <f>IFERROR(IF(VLOOKUP(C81,[4]List1!$A:$D,4,FALSE)=0,"",VLOOKUP(C81,[4]List1!$A:$D,4,FALSE)),"")</f>
        <v>28</v>
      </c>
      <c r="AB81" s="646"/>
      <c r="AC81" s="647" t="str">
        <f>IFERROR(IF(VLOOKUP(C81,[1]List1!$A:$D,2,FALSE)="VYPRODÁNO",$V$9,IF(VLOOKUP(C81,[1]List1!$A:$D,2,FALSE)="DOCHÁZÍ",$V$3,VLOOKUP(C81,[1]List1!$A:$D,2,FALSE))),"OFFLINE!")</f>
        <v>SKLADEM</v>
      </c>
      <c r="AD81" s="647" t="str">
        <f ca="1">IF(AP81="NE",$V$10,IF(AC81=$V$3,IF(AQ81&lt;1,$V$8,$V$2&amp;" "&amp;AQ81&amp;" "&amp;$V$1),IF(AC81="SKLADEM",$V$6,IFERROR(IF(OR(AC81-TODAY()&gt;45,VLOOKUP(C81,[1]List1!$A:$E,4,FALSE)=0),AC81,DAY(AC81)&amp;"."&amp;MONTH(AC81)&amp;"."&amp;YEAR(AC81)&amp;" "&amp;$V$4&amp;VLOOKUP(C81,[1]List1!$A:$E,4,FALSE)&amp;" "&amp;$V$1),AC81))))</f>
        <v>SKLADEM</v>
      </c>
      <c r="AE81" s="645" t="str">
        <f t="shared" ca="1" si="176"/>
        <v>SKLADEM</v>
      </c>
      <c r="AF81" s="648">
        <f t="shared" si="177"/>
        <v>0</v>
      </c>
      <c r="AG81" s="649">
        <f t="shared" si="178"/>
        <v>0</v>
      </c>
      <c r="AH81" s="650">
        <f t="shared" si="179"/>
        <v>0</v>
      </c>
      <c r="AI81" s="645">
        <f t="shared" si="180"/>
        <v>0</v>
      </c>
      <c r="AJ81" s="645">
        <f t="shared" si="181"/>
        <v>0</v>
      </c>
      <c r="AK81" s="645" t="str">
        <f t="shared" si="182"/>
        <v/>
      </c>
      <c r="AL81" s="645" t="str">
        <f t="shared" si="183"/>
        <v/>
      </c>
      <c r="AM81" s="645">
        <f t="shared" si="184"/>
        <v>0</v>
      </c>
      <c r="AN81" s="651">
        <f t="shared" si="185"/>
        <v>0</v>
      </c>
      <c r="AO81" s="623"/>
      <c r="AP81" s="632" t="str">
        <f t="shared" si="164"/>
        <v/>
      </c>
      <c r="AQ81" s="633" t="str">
        <f>IF(AC81=$V$3,IF(VLOOKUP(C81,[1]List1!$A:$E,5,FALSE)=0,1,VLOOKUP(C81,[1]List1!$A:$E,5,FALSE)),"")</f>
        <v/>
      </c>
      <c r="AR81" s="625" t="str">
        <f t="shared" si="165"/>
        <v/>
      </c>
      <c r="AS81" s="634" t="str">
        <f t="shared" si="166"/>
        <v/>
      </c>
      <c r="AT81" s="625" t="str">
        <f t="shared" si="167"/>
        <v/>
      </c>
      <c r="AU81" s="638" t="e">
        <f t="shared" si="168"/>
        <v>#N/A</v>
      </c>
      <c r="AV81" s="625" t="e">
        <f t="shared" si="169"/>
        <v>#N/A</v>
      </c>
      <c r="AX81" s="625">
        <f>IF(AND('General price list'!$J81="F4",'General price list'!$AB81+0&gt;0),1,0)</f>
        <v>0</v>
      </c>
      <c r="AY81" s="625">
        <f t="shared" si="170"/>
        <v>1</v>
      </c>
      <c r="AZ81" s="625">
        <f t="shared" si="171"/>
        <v>1</v>
      </c>
    </row>
    <row r="82" spans="1:52" ht="15" customHeight="1">
      <c r="A82" s="751" t="str">
        <f>Kat.!C82</f>
        <v xml:space="preserve">           Prskavky</v>
      </c>
      <c r="B82" s="751"/>
      <c r="C82" s="751"/>
      <c r="D82" s="751"/>
      <c r="E82" s="751"/>
      <c r="F82" s="751"/>
      <c r="G82" s="751"/>
      <c r="H82" s="751"/>
      <c r="I82" s="752"/>
      <c r="J82" s="752"/>
      <c r="K82" s="752" t="s">
        <v>20</v>
      </c>
      <c r="L82" s="753" t="s">
        <v>2818</v>
      </c>
      <c r="M82" s="752"/>
      <c r="N82" s="752"/>
      <c r="O82" s="752"/>
      <c r="P82" s="752"/>
      <c r="Q82" s="752"/>
      <c r="R82" s="752"/>
      <c r="S82" s="752"/>
      <c r="T82" s="752"/>
      <c r="U82" s="752"/>
      <c r="V82" s="752"/>
      <c r="W82" s="752"/>
      <c r="X82" s="752"/>
      <c r="Y82" s="752"/>
      <c r="Z82" s="752" t="s">
        <v>20</v>
      </c>
      <c r="AA82" s="752"/>
      <c r="AB82" s="752"/>
      <c r="AC82" s="754"/>
      <c r="AD82" s="752"/>
      <c r="AE82" s="752"/>
      <c r="AF82" s="752"/>
      <c r="AG82" s="752"/>
      <c r="AH82" s="752"/>
      <c r="AI82" s="752"/>
      <c r="AJ82" s="752"/>
      <c r="AK82" s="752"/>
      <c r="AL82" s="752"/>
      <c r="AM82" s="752"/>
      <c r="AN82" s="752"/>
      <c r="AO82" s="623"/>
      <c r="AP82" s="632" t="str">
        <f t="shared" ref="AP82:AP96" si="186">IF($AL$3=1,IF(Y82=AB82,"","NE"),IF(AR82=$V$10,"NE",""))</f>
        <v/>
      </c>
      <c r="AQ82" s="633" t="str">
        <f>IF(AC82=$V$3,IF(VLOOKUP(C82,[1]List1!$A:$E,5,FALSE)=0,1,VLOOKUP(C82,[1]List1!$A:$E,5,FALSE)),"")</f>
        <v/>
      </c>
      <c r="AR82" s="625" t="str">
        <f t="shared" ref="AR82:AR96" si="187">IF($AL$3=1,"",IF(OR(AB82&lt;&gt;"",AB82&lt;&gt;0),IF(OR(AC82=$V$6,AC82=$V$3,AC82=$V$9),$V$10,""),""))</f>
        <v/>
      </c>
      <c r="AS82" s="634" t="str">
        <f t="shared" si="166"/>
        <v/>
      </c>
      <c r="AT82" s="625" t="str">
        <f t="shared" ref="AT82:AT96" si="188">IF(AND($AL$3=2,AR82="",AB82&lt;&gt;""),AD82,"")</f>
        <v/>
      </c>
      <c r="AU82" s="638" t="e">
        <f t="shared" ref="AU82:AU96" si="189">IF(AT82=$AS$21,AB82,"")</f>
        <v>#N/A</v>
      </c>
      <c r="AV82" s="625" t="e">
        <f t="shared" ref="AV82:AV96" si="190">IF(OR(AB82="",AND(AT82&lt;&gt;"",AU82&lt;&gt;"")),"",$V$10)</f>
        <v>#N/A</v>
      </c>
      <c r="AX82" s="625">
        <f>IF(AND('General price list'!$J82="F4",'General price list'!$AB82+0&gt;0),1,0)</f>
        <v>0</v>
      </c>
      <c r="AY82" s="625">
        <f t="shared" ref="AY82:AY96" si="191">IFERROR(FIND(VLOOKUP($AC$7,$AD$1:$AE$12,2,FALSE),Q82,1),0)</f>
        <v>0</v>
      </c>
      <c r="AZ82" s="625">
        <f t="shared" ref="AZ82:AZ96" si="192">IFERROR(FIND(VLOOKUP($AC$7,$AD$1:$AE$12,2,FALSE),R82,1),0)</f>
        <v>0</v>
      </c>
    </row>
    <row r="83" spans="1:52" ht="15" customHeight="1">
      <c r="A83" s="639" t="str">
        <f>Kat.!C83</f>
        <v/>
      </c>
      <c r="B83" s="640">
        <f>IF(AND('General price list'!$J83="F4",$AI$1=FALSE),0,IF(AC83="SKLADEM",1,IF(AC83=$V$3,1,0)))</f>
        <v>1</v>
      </c>
      <c r="C83" s="641" t="s">
        <v>135</v>
      </c>
      <c r="D83" s="642" t="s">
        <v>136</v>
      </c>
      <c r="E83" s="643" t="s">
        <v>12655</v>
      </c>
      <c r="F83" s="791">
        <f>IFERROR(VLOOKUP(C83,[2]List1!$A:$D,3,FALSE),"NEUVEDENO!")</f>
        <v>30</v>
      </c>
      <c r="G83" s="768">
        <f t="shared" ref="G83:G91" si="193">IF($W$17=$AF$8,ROUND((F83)/$F$17,2),(F83)*$B$19)</f>
        <v>30</v>
      </c>
      <c r="H83" s="765">
        <f t="shared" ref="H83:H91" si="194">IF($W$17=$AF$8,G83*$B$19,G83/$F$17)</f>
        <v>1.2743561315645271</v>
      </c>
      <c r="I83" s="644">
        <f>IFERROR(VLOOKUP(C83,[2]List1!$A:$D,4,FALSE),"NEUVEDENO!")</f>
        <v>80</v>
      </c>
      <c r="J83" s="733" t="s">
        <v>39</v>
      </c>
      <c r="K83" s="645" t="s">
        <v>11100</v>
      </c>
      <c r="L83" s="645" t="s">
        <v>10964</v>
      </c>
      <c r="M83" s="645" t="s">
        <v>21</v>
      </c>
      <c r="N83" s="645">
        <f>IFERROR(VLOOKUP(C83,[3]List1!$A:$D,4,FALSE),"N/A!")</f>
        <v>3.0689999999999999E-2</v>
      </c>
      <c r="O83" s="645">
        <f>IFERROR(VLOOKUP(C83,[3]List1!$A:$D,3,FALSE),"N/A!")</f>
        <v>2640</v>
      </c>
      <c r="P83" s="645">
        <f>IFERROR(VLOOKUP(C83,[3]List1!$A:$D,2,FALSE),"N/A!")</f>
        <v>14000</v>
      </c>
      <c r="Q83" s="645" t="s">
        <v>11242</v>
      </c>
      <c r="R83" s="645"/>
      <c r="S83" s="645"/>
      <c r="T83" s="645">
        <v>260</v>
      </c>
      <c r="U83" s="645"/>
      <c r="V83" s="645"/>
      <c r="W83" s="645" t="str">
        <f>IFERROR(IF(AND($AB83&gt;=0.1*$AA83,MOD($AB83,$AA83)&gt;=($AA83-(0.1*$AA83))),IF($W$17=$AF$1,"Zvažte možnost doobjednání ještě "&amp;Tabulka1[[#This Row],[VKPAL]]-MOD(AB83,AA83)&amp;" VK do plné palety.",VLOOKUP("Zvažte možnost doobjednání ještě ",Jazyky_ceník!A:Q,MATCH($W$17,Jazyky_ceník!$A$1:$Q$1,0),FALSE)&amp;Tabulka1[[#This Row],[VKPAL]]-MOD(AB83,AA83)&amp;VLOOKUP(" VK do plné palety.",Jazyky_ceník!A:Q,MATCH($W$17,Jazyky_ceník!$A$1:$Q$1,0),FALSE)),IFERROR(IF(AND(NOT(MOD($AB83,$AA83)=0),$AB83&gt;=0.9*$AA83,MOD($AB83,$AA83)&lt;=0.1*$AA83),IF($W$17=$AF$1,"Zvažte možnost optimalizace objednaného množství podle počtu VK na paletě ==&gt;",VLOOKUP("Zvažte možnost optimalizace objednaného množství podle počtu VK na paletě ==&gt;",Jazyky_ceník!A:Q,MATCH($W$17,Jazyky_ceník!$A$1:$Q$1,0),FALSE)),VLOOKUP('General price list'!$C83,Popisy!A:M,MATCH($W$17,Popisy!$A$7:$M$7,0),FALSE)),"---------------")),IFERROR(VLOOKUP('General price list'!$C83,Popisy!A:M,MATCH($W$17,Popisy!$A$7:$M$7,0),FALSE),"---------------"))</f>
        <v>zlaté prskavky, délka 90cm, délka prskací hmoty 61cm,  průměr prskací hmoty 4,8mm</v>
      </c>
      <c r="X83" s="645" t="str">
        <f t="shared" ref="X83:X91" si="195">IF(AB83&lt;0.0001,"",AB83)</f>
        <v/>
      </c>
      <c r="Y83" s="645" t="str">
        <f t="shared" ref="Y83:Y91" si="196">IF($AL$3=2,IF(OR(AB83&lt;&gt;"",AB83&lt;&gt;0),AU83,""),IF(C83="","",IF(AB83&lt;0.0001,"",IF(B83=0,"",IF(AQ83&lt;AB83,"",AB83)))))</f>
        <v/>
      </c>
      <c r="Z83" s="645" t="str">
        <f>HYPERLINK("https://www.klasekpyrotechnics.cz/vp90")</f>
        <v>https://www.klasekpyrotechnics.cz/vp90</v>
      </c>
      <c r="AA83" s="645">
        <f>IFERROR(IF(VLOOKUP(C83,[4]List1!$A:$D,4,FALSE)=0,"",VLOOKUP(C83,[4]List1!$A:$D,4,FALSE)),"")</f>
        <v>36</v>
      </c>
      <c r="AB83" s="646"/>
      <c r="AC83" s="647" t="str">
        <f>IFERROR(IF(VLOOKUP(C83,[1]List1!$A:$D,2,FALSE)="VYPRODÁNO",$V$9,IF(VLOOKUP(C83,[1]List1!$A:$D,2,FALSE)="DOCHÁZÍ",$V$3,VLOOKUP(C83,[1]List1!$A:$D,2,FALSE))),"OFFLINE!")</f>
        <v>SKLADEM</v>
      </c>
      <c r="AD83" s="647" t="str">
        <f ca="1">IF(AP83="NE",$V$10,IF(AC83=$V$3,IF(AQ83&lt;1,$V$8,$V$2&amp;" "&amp;AQ83&amp;" "&amp;$V$1),IF(AC83="SKLADEM",$V$6,IFERROR(IF(OR(AC83-TODAY()&gt;45,VLOOKUP(C83,[1]List1!$A:$E,4,FALSE)=0),AC83,DAY(AC83)&amp;"."&amp;MONTH(AC83)&amp;"."&amp;YEAR(AC83)&amp;" "&amp;$V$4&amp;VLOOKUP(C83,[1]List1!$A:$E,4,FALSE)&amp;" "&amp;$V$1),AC83))))</f>
        <v>SKLADEM</v>
      </c>
      <c r="AE83" s="645" t="str">
        <f t="shared" ref="AE83:AE91" ca="1" si="197">IFERROR(IF(AV83&lt;&gt;"",AV83,AD83),AD83)</f>
        <v>SKLADEM</v>
      </c>
      <c r="AF83" s="648">
        <f t="shared" ref="AF83:AF91" si="198">IFERROR(IF(AB83=Y83,G83*I83*Y83,0),0)</f>
        <v>0</v>
      </c>
      <c r="AG83" s="649">
        <f t="shared" ref="AG83:AG91" si="199">IF($W$17=$AF$8,AH83*1.23,AF83*1.21)</f>
        <v>0</v>
      </c>
      <c r="AH83" s="650">
        <f t="shared" ref="AH83:AH91" si="200">IFERROR(IF(Y83=AB83,H83*I83*Y83,0),0)</f>
        <v>0</v>
      </c>
      <c r="AI83" s="645">
        <f t="shared" ref="AI83:AI91" si="201">IFERROR(IF(Y83=AB83,(P83*Y83)/1000,1),0)</f>
        <v>0</v>
      </c>
      <c r="AJ83" s="645">
        <f t="shared" ref="AJ83:AJ91" si="202">IFERROR(IF(Y83=AB83,N83*Y83,0.1),0)</f>
        <v>0</v>
      </c>
      <c r="AK83" s="645" t="str">
        <f t="shared" ref="AK83:AK91" si="203">IFERROR(IF(Y83=AB83,IF(M83="1.1G",(O83/1000)*Y83,""),""),0)</f>
        <v/>
      </c>
      <c r="AL83" s="645" t="str">
        <f t="shared" ref="AL83:AL91" si="204">IFERROR(IF(Y83=AB83,IF(M83="1.3G",(O83/1000)*AB83,""),""),0)</f>
        <v/>
      </c>
      <c r="AM83" s="645">
        <f t="shared" ref="AM83:AM91" si="205">IFERROR(IF(Y83=AB83,IF(M83="1.4G",(O83/1000)*AB83,""),""),0)</f>
        <v>0</v>
      </c>
      <c r="AN83" s="651">
        <f t="shared" ref="AN83:AN91" si="206">SUM(AK83:AM83)</f>
        <v>0</v>
      </c>
      <c r="AO83" s="623"/>
      <c r="AP83" s="632" t="str">
        <f t="shared" si="186"/>
        <v/>
      </c>
      <c r="AQ83" s="633" t="str">
        <f>IF(AC83=$V$3,IF(VLOOKUP(C83,[1]List1!$A:$E,5,FALSE)=0,1,VLOOKUP(C83,[1]List1!$A:$E,5,FALSE)),"")</f>
        <v/>
      </c>
      <c r="AR83" s="625" t="str">
        <f t="shared" si="187"/>
        <v/>
      </c>
      <c r="AS83" s="634" t="str">
        <f t="shared" si="166"/>
        <v/>
      </c>
      <c r="AT83" s="625" t="str">
        <f t="shared" si="188"/>
        <v/>
      </c>
      <c r="AU83" s="638" t="e">
        <f t="shared" si="189"/>
        <v>#N/A</v>
      </c>
      <c r="AV83" s="625" t="e">
        <f t="shared" si="190"/>
        <v>#N/A</v>
      </c>
      <c r="AX83" s="625">
        <f>IF(AND('General price list'!$J83="F4",'General price list'!$AB83+0&gt;0),1,0)</f>
        <v>0</v>
      </c>
      <c r="AY83" s="625">
        <f t="shared" si="191"/>
        <v>1</v>
      </c>
      <c r="AZ83" s="625">
        <f t="shared" si="192"/>
        <v>0</v>
      </c>
    </row>
    <row r="84" spans="1:52" ht="15.75" customHeight="1">
      <c r="A84" s="621" t="str">
        <f>Kat.!C84</f>
        <v/>
      </c>
      <c r="B84" s="566">
        <f>IF(AND('General price list'!$J84="F4",$AI$1=FALSE),0,IF(AC84="SKLADEM",1,IF(AC84=$V$3,1,0)))</f>
        <v>1</v>
      </c>
      <c r="C84" s="567" t="s">
        <v>141</v>
      </c>
      <c r="D84" s="568" t="s">
        <v>142</v>
      </c>
      <c r="E84" s="763" t="s">
        <v>12656</v>
      </c>
      <c r="F84" s="791">
        <f>IFERROR(VLOOKUP(C84,[2]List1!$A:$D,3,FALSE),"NEUVEDENO!")</f>
        <v>22</v>
      </c>
      <c r="G84" s="769">
        <f t="shared" si="193"/>
        <v>22</v>
      </c>
      <c r="H84" s="766">
        <f t="shared" si="194"/>
        <v>0.93452782981398652</v>
      </c>
      <c r="I84" s="764">
        <f>IFERROR(VLOOKUP(C84,[2]List1!$A:$D,4,FALSE),"NEUVEDENO!")</f>
        <v>72</v>
      </c>
      <c r="J84" s="732" t="s">
        <v>39</v>
      </c>
      <c r="K84" s="569" t="s">
        <v>11100</v>
      </c>
      <c r="L84" s="569" t="s">
        <v>10964</v>
      </c>
      <c r="M84" s="569" t="s">
        <v>21</v>
      </c>
      <c r="N84" s="569">
        <f>IFERROR(VLOOKUP(C84,[3]List1!$A:$D,4,FALSE),"N/A!")</f>
        <v>2.1245699999999999E-2</v>
      </c>
      <c r="O84" s="569">
        <f>IFERROR(VLOOKUP(C84,[3]List1!$A:$D,3,FALSE),"N/A!")</f>
        <v>2620.7999999999997</v>
      </c>
      <c r="P84" s="569">
        <f>IFERROR(VLOOKUP(C84,[3]List1!$A:$D,2,FALSE),"N/A!")</f>
        <v>11500</v>
      </c>
      <c r="Q84" s="569" t="s">
        <v>11236</v>
      </c>
      <c r="R84" s="569"/>
      <c r="S84" s="569"/>
      <c r="T84" s="569">
        <v>170</v>
      </c>
      <c r="U84" s="569"/>
      <c r="V84" s="569"/>
      <c r="W84" s="569" t="str">
        <f>IFERROR(IF(AND($AB84&gt;=0.1*$AA84,MOD($AB84,$AA84)&gt;=($AA84-(0.1*$AA84))),IF($W$17=$AF$1,"Zvažte možnost doobjednání ještě "&amp;Tabulka1[[#This Row],[VKPAL]]-MOD(AB84,AA84)&amp;" VK do plné palety.",VLOOKUP("Zvažte možnost doobjednání ještě ",Jazyky_ceník!A:Q,MATCH($W$17,Jazyky_ceník!$A$1:$Q$1,0),FALSE)&amp;Tabulka1[[#This Row],[VKPAL]]-MOD(AB84,AA84)&amp;VLOOKUP(" VK do plné palety.",Jazyky_ceník!A:Q,MATCH($W$17,Jazyky_ceník!$A$1:$Q$1,0),FALSE)),IFERROR(IF(AND(NOT(MOD($AB84,$AA84)=0),$AB84&gt;=0.9*$AA84,MOD($AB84,$AA84)&lt;=0.1*$AA84),IF($W$17=$AF$1,"Zvažte možnost optimalizace objednaného množství podle počtu VK na paletě ==&gt;",VLOOKUP("Zvažte možnost optimalizace objednaného množství podle počtu VK na paletě ==&gt;",Jazyky_ceník!A:Q,MATCH($W$17,Jazyky_ceník!$A$1:$Q$1,0),FALSE)),VLOOKUP('General price list'!$C84,Popisy!A:M,MATCH($W$17,Popisy!$A$7:$M$7,0),FALSE)),"---------------")),IFERROR(VLOOKUP('General price list'!$C84,Popisy!A:M,MATCH($W$17,Popisy!$A$7:$M$7,0),FALSE),"---------------"))</f>
        <v>zlaté prskavky,  délka 70cm, délka prskací hmoty 45cm, průměr prskací hmoty 4,5mm</v>
      </c>
      <c r="X84" s="569" t="str">
        <f t="shared" si="195"/>
        <v/>
      </c>
      <c r="Y84" s="569" t="str">
        <f t="shared" si="196"/>
        <v/>
      </c>
      <c r="Z84" s="569" t="str">
        <f>HYPERLINK("https://www.klasekpyrotechnics.cz/vp70")</f>
        <v>https://www.klasekpyrotechnics.cz/vp70</v>
      </c>
      <c r="AA84" s="569">
        <f>IFERROR(IF(VLOOKUP(C84,[4]List1!$A:$D,4,FALSE)=0,"",VLOOKUP(C84,[4]List1!$A:$D,4,FALSE)),"")</f>
        <v>60</v>
      </c>
      <c r="AB84" s="565"/>
      <c r="AC84" s="570" t="str">
        <f>IFERROR(IF(VLOOKUP(C84,[1]List1!$A:$D,2,FALSE)="VYPRODÁNO",$V$9,IF(VLOOKUP(C84,[1]List1!$A:$D,2,FALSE)="DOCHÁZÍ",$V$3,VLOOKUP(C84,[1]List1!$A:$D,2,FALSE))),"OFFLINE!")</f>
        <v>SKLADEM</v>
      </c>
      <c r="AD84" s="570" t="str">
        <f ca="1">IF(AP84="NE",$V$10,IF(AC84=$V$3,IF(AQ84&lt;1,$V$8,$V$2&amp;" "&amp;AQ84&amp;" "&amp;$V$1),IF(AC84="SKLADEM",$V$6,IFERROR(IF(OR(AC84-TODAY()&gt;45,VLOOKUP(C84,[1]List1!$A:$E,4,FALSE)=0),AC84,DAY(AC84)&amp;"."&amp;MONTH(AC84)&amp;"."&amp;YEAR(AC84)&amp;" "&amp;$V$4&amp;VLOOKUP(C84,[1]List1!$A:$E,4,FALSE)&amp;" "&amp;$V$1),AC84))))</f>
        <v>SKLADEM</v>
      </c>
      <c r="AE84" s="581" t="str">
        <f t="shared" ca="1" si="197"/>
        <v>SKLADEM</v>
      </c>
      <c r="AF84" s="584">
        <f t="shared" si="198"/>
        <v>0</v>
      </c>
      <c r="AG84" s="585">
        <f t="shared" si="199"/>
        <v>0</v>
      </c>
      <c r="AH84" s="583">
        <f t="shared" si="200"/>
        <v>0</v>
      </c>
      <c r="AI84" s="582">
        <f t="shared" si="201"/>
        <v>0</v>
      </c>
      <c r="AJ84" s="569">
        <f t="shared" si="202"/>
        <v>0</v>
      </c>
      <c r="AK84" s="569" t="str">
        <f t="shared" si="203"/>
        <v/>
      </c>
      <c r="AL84" s="569" t="str">
        <f t="shared" si="204"/>
        <v/>
      </c>
      <c r="AM84" s="569">
        <f t="shared" si="205"/>
        <v>0</v>
      </c>
      <c r="AN84" s="581">
        <f t="shared" si="206"/>
        <v>0</v>
      </c>
      <c r="AO84" s="623"/>
      <c r="AP84" s="625" t="str">
        <f t="shared" si="186"/>
        <v/>
      </c>
      <c r="AQ84" s="625" t="str">
        <f>IF(AC84=$V$3,IF(VLOOKUP(C84,[1]List1!$A:$E,5,FALSE)=0,1,VLOOKUP(C84,[1]List1!$A:$E,5,FALSE)),"")</f>
        <v/>
      </c>
      <c r="AR84" s="629" t="str">
        <f t="shared" si="187"/>
        <v/>
      </c>
      <c r="AS84" s="630" t="str">
        <f t="shared" si="166"/>
        <v/>
      </c>
      <c r="AT84" s="625" t="str">
        <f t="shared" si="188"/>
        <v/>
      </c>
      <c r="AU84" s="625" t="e">
        <f t="shared" si="189"/>
        <v>#N/A</v>
      </c>
      <c r="AV84" s="625" t="e">
        <f t="shared" si="190"/>
        <v>#N/A</v>
      </c>
      <c r="AW84" s="631"/>
      <c r="AX84" s="631">
        <f>IF(AND('General price list'!$J84="F4",'General price list'!$AB84+0&gt;0),1,0)</f>
        <v>0</v>
      </c>
      <c r="AY84" s="631">
        <f t="shared" si="191"/>
        <v>1</v>
      </c>
      <c r="AZ84" s="631">
        <f t="shared" si="192"/>
        <v>0</v>
      </c>
    </row>
    <row r="85" spans="1:52" ht="15" customHeight="1">
      <c r="A85" s="639" t="str">
        <f>Kat.!C85</f>
        <v/>
      </c>
      <c r="B85" s="640">
        <f>IF(AND('General price list'!$J85="F4",$AI$1=FALSE),0,IF(AC85="SKLADEM",1,IF(AC85=$V$3,1,0)))</f>
        <v>1</v>
      </c>
      <c r="C85" s="641" t="s">
        <v>9143</v>
      </c>
      <c r="D85" s="642" t="s">
        <v>9144</v>
      </c>
      <c r="E85" s="643" t="s">
        <v>12656</v>
      </c>
      <c r="F85" s="771">
        <f>IFERROR(VLOOKUP(C85,[2]List1!$A:$D,3,FALSE),"NEUVEDENO!")</f>
        <v>29</v>
      </c>
      <c r="G85" s="768">
        <f t="shared" si="193"/>
        <v>29</v>
      </c>
      <c r="H85" s="765">
        <f t="shared" si="194"/>
        <v>1.2318775938457094</v>
      </c>
      <c r="I85" s="644">
        <f>IFERROR(VLOOKUP(C85,[2]List1!$A:$D,4,FALSE),"NEUVEDENO!")</f>
        <v>72</v>
      </c>
      <c r="J85" s="733" t="s">
        <v>39</v>
      </c>
      <c r="K85" s="645" t="s">
        <v>20</v>
      </c>
      <c r="L85" s="645" t="s">
        <v>10966</v>
      </c>
      <c r="M85" s="645" t="s">
        <v>21</v>
      </c>
      <c r="N85" s="645">
        <f>IFERROR(VLOOKUP(C85,[3]List1!$A:$D,4,FALSE),"N/A!")</f>
        <v>2.1245699999999999E-2</v>
      </c>
      <c r="O85" s="645">
        <f>IFERROR(VLOOKUP(C85,[3]List1!$A:$D,3,FALSE),"N/A!")</f>
        <v>2620.7999999999997</v>
      </c>
      <c r="P85" s="645">
        <f>IFERROR(VLOOKUP(C85,[3]List1!$A:$D,2,FALSE),"N/A!")</f>
        <v>11500</v>
      </c>
      <c r="Q85" s="645" t="s">
        <v>11236</v>
      </c>
      <c r="R85" s="645" t="s">
        <v>20</v>
      </c>
      <c r="S85" s="645"/>
      <c r="T85" s="645">
        <v>170</v>
      </c>
      <c r="U85" s="645"/>
      <c r="V85" s="645"/>
      <c r="W85" s="645" t="str">
        <f>IFERROR(IF(AND($AB85&gt;=0.1*$AA85,MOD($AB85,$AA85)&gt;=($AA85-(0.1*$AA85))),IF($W$17=$AF$1,"Zvažte možnost doobjednání ještě "&amp;Tabulka1[[#This Row],[VKPAL]]-MOD(AB85,AA85)&amp;" VK do plné palety.",VLOOKUP("Zvažte možnost doobjednání ještě ",Jazyky_ceník!A:Q,MATCH($W$17,Jazyky_ceník!$A$1:$Q$1,0),FALSE)&amp;Tabulka1[[#This Row],[VKPAL]]-MOD(AB85,AA85)&amp;VLOOKUP(" VK do plné palety.",Jazyky_ceník!A:Q,MATCH($W$17,Jazyky_ceník!$A$1:$Q$1,0),FALSE)),IFERROR(IF(AND(NOT(MOD($AB85,$AA85)=0),$AB85&gt;=0.9*$AA85,MOD($AB85,$AA85)&lt;=0.1*$AA85),IF($W$17=$AF$1,"Zvažte možnost optimalizace objednaného množství podle počtu VK na paletě ==&gt;",VLOOKUP("Zvažte možnost optimalizace objednaného množství podle počtu VK na paletě ==&gt;",Jazyky_ceník!A:Q,MATCH($W$17,Jazyky_ceník!$A$1:$Q$1,0),FALSE)),VLOOKUP('General price list'!$C85,Popisy!A:M,MATCH($W$17,Popisy!$A$7:$M$7,0),FALSE)),"---------------")),IFERROR(VLOOKUP('General price list'!$C85,Popisy!A:M,MATCH($W$17,Popisy!$A$7:$M$7,0),FALSE),"---------------"))</f>
        <v>zlaté prskavky,  délka 70cm, délka prskací hmoty 45cm, průměr prskací hmoty 4,5mm</v>
      </c>
      <c r="X85" s="645" t="str">
        <f t="shared" si="195"/>
        <v/>
      </c>
      <c r="Y85" s="645" t="str">
        <f t="shared" si="196"/>
        <v/>
      </c>
      <c r="Z85" s="645" t="str">
        <f>HYPERLINK("https://www.klasekpyrotechnics.cz/vp70w")</f>
        <v>https://www.klasekpyrotechnics.cz/vp70w</v>
      </c>
      <c r="AA85" s="645">
        <f>IFERROR(IF(VLOOKUP(C85,[4]List1!$A:$D,4,FALSE)=0,"",VLOOKUP(C85,[4]List1!$A:$D,4,FALSE)),"")</f>
        <v>60</v>
      </c>
      <c r="AB85" s="646"/>
      <c r="AC85" s="647" t="str">
        <f>IFERROR(IF(VLOOKUP(C85,[1]List1!$A:$D,2,FALSE)="VYPRODÁNO",$V$9,IF(VLOOKUP(C85,[1]List1!$A:$D,2,FALSE)="DOCHÁZÍ",$V$3,VLOOKUP(C85,[1]List1!$A:$D,2,FALSE))),"OFFLINE!")</f>
        <v>SKLADEM</v>
      </c>
      <c r="AD85" s="647" t="str">
        <f ca="1">IF(AP85="NE",$V$10,IF(AC85=$V$3,IF(AQ85&lt;1,$V$8,$V$2&amp;" "&amp;AQ85&amp;" "&amp;$V$1),IF(AC85="SKLADEM",$V$6,IFERROR(IF(OR(AC85-TODAY()&gt;45,VLOOKUP(C85,[1]List1!$A:$E,4,FALSE)=0),AC85,DAY(AC85)&amp;"."&amp;MONTH(AC85)&amp;"."&amp;YEAR(AC85)&amp;" "&amp;$V$4&amp;VLOOKUP(C85,[1]List1!$A:$E,4,FALSE)&amp;" "&amp;$V$1),AC85))))</f>
        <v>SKLADEM</v>
      </c>
      <c r="AE85" s="645" t="str">
        <f t="shared" ca="1" si="197"/>
        <v>SKLADEM</v>
      </c>
      <c r="AF85" s="648">
        <f t="shared" si="198"/>
        <v>0</v>
      </c>
      <c r="AG85" s="649">
        <f t="shared" si="199"/>
        <v>0</v>
      </c>
      <c r="AH85" s="650">
        <f t="shared" si="200"/>
        <v>0</v>
      </c>
      <c r="AI85" s="645">
        <f t="shared" si="201"/>
        <v>0</v>
      </c>
      <c r="AJ85" s="645">
        <f t="shared" si="202"/>
        <v>0</v>
      </c>
      <c r="AK85" s="645" t="str">
        <f t="shared" si="203"/>
        <v/>
      </c>
      <c r="AL85" s="645" t="str">
        <f t="shared" si="204"/>
        <v/>
      </c>
      <c r="AM85" s="645">
        <f t="shared" si="205"/>
        <v>0</v>
      </c>
      <c r="AN85" s="651">
        <f t="shared" si="206"/>
        <v>0</v>
      </c>
      <c r="AO85" s="623"/>
      <c r="AP85" s="632" t="str">
        <f t="shared" si="186"/>
        <v/>
      </c>
      <c r="AQ85" s="633" t="str">
        <f>IF(AC85=$V$3,IF(VLOOKUP(C85,[1]List1!$A:$E,5,FALSE)=0,1,VLOOKUP(C85,[1]List1!$A:$E,5,FALSE)),"")</f>
        <v/>
      </c>
      <c r="AR85" s="625" t="str">
        <f t="shared" si="187"/>
        <v/>
      </c>
      <c r="AS85" s="634" t="str">
        <f t="shared" si="166"/>
        <v/>
      </c>
      <c r="AT85" s="625" t="str">
        <f t="shared" si="188"/>
        <v/>
      </c>
      <c r="AU85" s="638" t="e">
        <f t="shared" si="189"/>
        <v>#N/A</v>
      </c>
      <c r="AV85" s="625" t="e">
        <f t="shared" si="190"/>
        <v>#N/A</v>
      </c>
      <c r="AX85" s="625">
        <f>IF(AND('General price list'!$J85="F4",'General price list'!$AB85+0&gt;0),1,0)</f>
        <v>0</v>
      </c>
      <c r="AY85" s="625">
        <f t="shared" si="191"/>
        <v>1</v>
      </c>
      <c r="AZ85" s="625">
        <f t="shared" si="192"/>
        <v>0</v>
      </c>
    </row>
    <row r="86" spans="1:52" ht="15" customHeight="1">
      <c r="A86" s="621" t="str">
        <f>Kat.!C86</f>
        <v/>
      </c>
      <c r="B86" s="566">
        <f>IF(AND('General price list'!$J86="F4",$AI$1=FALSE),0,IF(AC86="SKLADEM",1,IF(AC86=$V$3,1,0)))</f>
        <v>1</v>
      </c>
      <c r="C86" s="567" t="s">
        <v>146</v>
      </c>
      <c r="D86" s="568" t="s">
        <v>147</v>
      </c>
      <c r="E86" s="763" t="s">
        <v>12657</v>
      </c>
      <c r="F86" s="791">
        <f>IFERROR(VLOOKUP(C86,[2]List1!$A:$D,3,FALSE),"NEUVEDENO!")</f>
        <v>16</v>
      </c>
      <c r="G86" s="769">
        <f t="shared" si="193"/>
        <v>16</v>
      </c>
      <c r="H86" s="766">
        <f t="shared" si="194"/>
        <v>0.67965660350108104</v>
      </c>
      <c r="I86" s="764">
        <f>IFERROR(VLOOKUP(C86,[2]List1!$A:$D,4,FALSE),"NEUVEDENO!")</f>
        <v>100</v>
      </c>
      <c r="J86" s="732" t="s">
        <v>19</v>
      </c>
      <c r="K86" s="569" t="s">
        <v>11100</v>
      </c>
      <c r="L86" s="569" t="s">
        <v>10965</v>
      </c>
      <c r="M86" s="569" t="s">
        <v>21</v>
      </c>
      <c r="N86" s="569">
        <f>IFERROR(VLOOKUP(C86,[3]List1!$A:$D,4,FALSE),"N/A!")</f>
        <v>1.6565625E-2</v>
      </c>
      <c r="O86" s="569">
        <f>IFERROR(VLOOKUP(C86,[3]List1!$A:$D,3,FALSE),"N/A!")</f>
        <v>4350</v>
      </c>
      <c r="P86" s="569">
        <f>IFERROR(VLOOKUP(C86,[3]List1!$A:$D,2,FALSE),"N/A!")</f>
        <v>11500</v>
      </c>
      <c r="Q86" s="569" t="s">
        <v>12079</v>
      </c>
      <c r="R86" s="569" t="s">
        <v>11249</v>
      </c>
      <c r="S86" s="569"/>
      <c r="T86" s="569">
        <v>95</v>
      </c>
      <c r="U86" s="569"/>
      <c r="V86" s="569"/>
      <c r="W86" s="569" t="str">
        <f>IFERROR(IF(AND($AB86&gt;=0.1*$AA86,MOD($AB86,$AA86)&gt;=($AA86-(0.1*$AA86))),IF($W$17=$AF$1,"Zvažte možnost doobjednání ještě "&amp;Tabulka1[[#This Row],[VKPAL]]-MOD(AB86,AA86)&amp;" VK do plné palety.",VLOOKUP("Zvažte možnost doobjednání ještě ",Jazyky_ceník!A:Q,MATCH($W$17,Jazyky_ceník!$A$1:$Q$1,0),FALSE)&amp;Tabulka1[[#This Row],[VKPAL]]-MOD(AB86,AA86)&amp;VLOOKUP(" VK do plné palety.",Jazyky_ceník!A:Q,MATCH($W$17,Jazyky_ceník!$A$1:$Q$1,0),FALSE)),IFERROR(IF(AND(NOT(MOD($AB86,$AA86)=0),$AB86&gt;=0.9*$AA86,MOD($AB86,$AA86)&lt;=0.1*$AA86),IF($W$17=$AF$1,"Zvažte možnost optimalizace objednaného množství podle počtu VK na paletě ==&gt;",VLOOKUP("Zvažte možnost optimalizace objednaného množství podle počtu VK na paletě ==&gt;",Jazyky_ceník!A:Q,MATCH($W$17,Jazyky_ceník!$A$1:$Q$1,0),FALSE)),VLOOKUP('General price list'!$C86,Popisy!A:M,MATCH($W$17,Popisy!$A$7:$M$7,0),FALSE)),"---------------")),IFERROR(VLOOKUP('General price list'!$C86,Popisy!A:M,MATCH($W$17,Popisy!$A$7:$M$7,0),FALSE),"---------------"))</f>
        <v>zlaté prskavky,  délka 40cm, délka prskací hmoty 26cm, průměr prskací hmoty 3,7mm</v>
      </c>
      <c r="X86" s="569" t="str">
        <f t="shared" si="195"/>
        <v/>
      </c>
      <c r="Y86" s="569" t="str">
        <f t="shared" si="196"/>
        <v/>
      </c>
      <c r="Z86" s="569" t="str">
        <f>HYPERLINK("https://www.klasekpyrotechnics.cz/vp40")</f>
        <v>https://www.klasekpyrotechnics.cz/vp40</v>
      </c>
      <c r="AA86" s="569">
        <f>IFERROR(IF(VLOOKUP(C86,[4]List1!$A:$D,4,FALSE)=0,"",VLOOKUP(C86,[4]List1!$A:$D,4,FALSE)),"")</f>
        <v>62</v>
      </c>
      <c r="AB86" s="565"/>
      <c r="AC86" s="570" t="str">
        <f>IFERROR(IF(VLOOKUP(C86,[1]List1!$A:$D,2,FALSE)="VYPRODÁNO",$V$9,IF(VLOOKUP(C86,[1]List1!$A:$D,2,FALSE)="DOCHÁZÍ",$V$3,VLOOKUP(C86,[1]List1!$A:$D,2,FALSE))),"OFFLINE!")</f>
        <v>DOCHÁZÍ</v>
      </c>
      <c r="AD86" s="570" t="str">
        <f ca="1">IF(AP86="NE",$V$10,IF(AC86=$V$3,IF(AQ86&lt;1,$V$8,$V$2&amp;" "&amp;AQ86&amp;" "&amp;$V$1),IF(AC86="SKLADEM",$V$6,IFERROR(IF(OR(AC86-TODAY()&gt;45,VLOOKUP(C86,[1]List1!$A:$E,4,FALSE)=0),AC86,DAY(AC86)&amp;"."&amp;MONTH(AC86)&amp;"."&amp;YEAR(AC86)&amp;" "&amp;$V$4&amp;VLOOKUP(C86,[1]List1!$A:$E,4,FALSE)&amp;" "&amp;$V$1),AC86))))</f>
        <v>POSLEDNÍCH 3 VK</v>
      </c>
      <c r="AE86" s="581" t="str">
        <f t="shared" ca="1" si="197"/>
        <v>POSLEDNÍCH 3 VK</v>
      </c>
      <c r="AF86" s="584">
        <f t="shared" si="198"/>
        <v>0</v>
      </c>
      <c r="AG86" s="585">
        <f t="shared" si="199"/>
        <v>0</v>
      </c>
      <c r="AH86" s="583">
        <f t="shared" si="200"/>
        <v>0</v>
      </c>
      <c r="AI86" s="582">
        <f t="shared" si="201"/>
        <v>0</v>
      </c>
      <c r="AJ86" s="569">
        <f t="shared" si="202"/>
        <v>0</v>
      </c>
      <c r="AK86" s="569" t="str">
        <f t="shared" si="203"/>
        <v/>
      </c>
      <c r="AL86" s="569" t="str">
        <f t="shared" si="204"/>
        <v/>
      </c>
      <c r="AM86" s="569">
        <f t="shared" si="205"/>
        <v>0</v>
      </c>
      <c r="AN86" s="581">
        <f t="shared" si="206"/>
        <v>0</v>
      </c>
      <c r="AO86" s="623"/>
      <c r="AP86" s="632" t="str">
        <f t="shared" si="186"/>
        <v/>
      </c>
      <c r="AQ86" s="633">
        <f>IF(AC86=$V$3,IF(VLOOKUP(C86,[1]List1!$A:$E,5,FALSE)=0,1,VLOOKUP(C86,[1]List1!$A:$E,5,FALSE)),"")</f>
        <v>3</v>
      </c>
      <c r="AR86" s="625" t="str">
        <f t="shared" si="187"/>
        <v/>
      </c>
      <c r="AS86" s="634" t="str">
        <f t="shared" si="166"/>
        <v/>
      </c>
      <c r="AT86" s="625" t="str">
        <f t="shared" si="188"/>
        <v/>
      </c>
      <c r="AU86" s="638" t="e">
        <f t="shared" si="189"/>
        <v>#N/A</v>
      </c>
      <c r="AV86" s="625" t="e">
        <f t="shared" si="190"/>
        <v>#N/A</v>
      </c>
      <c r="AX86" s="625">
        <f>IF(AND('General price list'!$J86="F4",'General price list'!$AB86+0&gt;0),1,0)</f>
        <v>0</v>
      </c>
      <c r="AY86" s="625">
        <f t="shared" si="191"/>
        <v>1</v>
      </c>
      <c r="AZ86" s="625">
        <f t="shared" si="192"/>
        <v>1</v>
      </c>
    </row>
    <row r="87" spans="1:52" ht="15" customHeight="1">
      <c r="A87" s="639" t="str">
        <f>Kat.!C87</f>
        <v>×</v>
      </c>
      <c r="B87" s="640">
        <f>IF(AND('General price list'!$J87="F4",$AI$1=FALSE),0,IF(AC87="SKLADEM",1,IF(AC87=$V$3,1,0)))</f>
        <v>1</v>
      </c>
      <c r="C87" s="641" t="s">
        <v>151</v>
      </c>
      <c r="D87" s="642" t="s">
        <v>147</v>
      </c>
      <c r="E87" s="643" t="s">
        <v>12658</v>
      </c>
      <c r="F87" s="771">
        <f>IFERROR(VLOOKUP(C87,[2]List1!$A:$D,3,FALSE),"NEUVEDENO!")</f>
        <v>386</v>
      </c>
      <c r="G87" s="768">
        <f t="shared" si="193"/>
        <v>386</v>
      </c>
      <c r="H87" s="765">
        <f t="shared" si="194"/>
        <v>16.39671555946358</v>
      </c>
      <c r="I87" s="644">
        <f>IFERROR(VLOOKUP(C87,[2]List1!$A:$D,4,FALSE),"NEUVEDENO!")</f>
        <v>10</v>
      </c>
      <c r="J87" s="733" t="s">
        <v>19</v>
      </c>
      <c r="K87" s="645" t="s">
        <v>20</v>
      </c>
      <c r="L87" s="645" t="s">
        <v>10965</v>
      </c>
      <c r="M87" s="645" t="s">
        <v>21</v>
      </c>
      <c r="N87" s="645">
        <f>IFERROR(VLOOKUP(C87,[3]List1!$A:$D,4,FALSE),"N/A!")</f>
        <v>2.6553824999999996E-2</v>
      </c>
      <c r="O87" s="645">
        <f>IFERROR(VLOOKUP(C87,[3]List1!$A:$D,3,FALSE),"N/A!")</f>
        <v>8700</v>
      </c>
      <c r="P87" s="645">
        <f>IFERROR(VLOOKUP(C87,[3]List1!$A:$D,2,FALSE),"N/A!")</f>
        <v>22000</v>
      </c>
      <c r="Q87" s="645" t="s">
        <v>11250</v>
      </c>
      <c r="R87" s="645" t="s">
        <v>11236</v>
      </c>
      <c r="S87" s="645"/>
      <c r="T87" s="645">
        <v>95</v>
      </c>
      <c r="U87" s="645"/>
      <c r="V87" s="645"/>
      <c r="W87" s="645" t="str">
        <f>IFERROR(IF(AND($AB87&gt;=0.1*$AA87,MOD($AB87,$AA87)&gt;=($AA87-(0.1*$AA87))),IF($W$17=$AF$1,"Zvažte možnost doobjednání ještě "&amp;Tabulka1[[#This Row],[VKPAL]]-MOD(AB87,AA87)&amp;" VK do plné palety.",VLOOKUP("Zvažte možnost doobjednání ještě ",Jazyky_ceník!A:Q,MATCH($W$17,Jazyky_ceník!$A$1:$Q$1,0),FALSE)&amp;Tabulka1[[#This Row],[VKPAL]]-MOD(AB87,AA87)&amp;VLOOKUP(" VK do plné palety.",Jazyky_ceník!A:Q,MATCH($W$17,Jazyky_ceník!$A$1:$Q$1,0),FALSE)),IFERROR(IF(AND(NOT(MOD($AB87,$AA87)=0),$AB87&gt;=0.9*$AA87,MOD($AB87,$AA87)&lt;=0.1*$AA87),IF($W$17=$AF$1,"Zvažte možnost optimalizace objednaného množství podle počtu VK na paletě ==&gt;",VLOOKUP("Zvažte možnost optimalizace objednaného množství podle počtu VK na paletě ==&gt;",Jazyky_ceník!A:Q,MATCH($W$17,Jazyky_ceník!$A$1:$Q$1,0),FALSE)),VLOOKUP('General price list'!$C87,Popisy!A:M,MATCH($W$17,Popisy!$A$7:$M$7,0),FALSE)),"---------------")),IFERROR(VLOOKUP('General price list'!$C87,Popisy!A:M,MATCH($W$17,Popisy!$A$7:$M$7,0),FALSE),"---------------"))</f>
        <v>zlaté prskavky,  délka 40cm, délka prskací hmoty 26cm, průměr prskací hmoty 3,7mm</v>
      </c>
      <c r="X87" s="645" t="str">
        <f t="shared" si="195"/>
        <v/>
      </c>
      <c r="Y87" s="645" t="str">
        <f t="shared" si="196"/>
        <v/>
      </c>
      <c r="Z87" s="645" t="str">
        <f>HYPERLINK("https://www.klasekpyrotechnics.cz/vp40-20")</f>
        <v>https://www.klasekpyrotechnics.cz/vp40-20</v>
      </c>
      <c r="AA87" s="645">
        <f>IFERROR(IF(VLOOKUP(C87,[4]List1!$A:$D,4,FALSE)=0,"",VLOOKUP(C87,[4]List1!$A:$D,4,FALSE)),"")</f>
        <v>33</v>
      </c>
      <c r="AB87" s="646"/>
      <c r="AC87" s="647" t="str">
        <f>IFERROR(IF(VLOOKUP(C87,[1]List1!$A:$D,2,FALSE)="VYPRODÁNO",$V$9,IF(VLOOKUP(C87,[1]List1!$A:$D,2,FALSE)="DOCHÁZÍ",$V$3,VLOOKUP(C87,[1]List1!$A:$D,2,FALSE))),"OFFLINE!")</f>
        <v>SKLADEM</v>
      </c>
      <c r="AD87" s="647" t="str">
        <f ca="1">IF(AP87="NE",$V$10,IF(AC87=$V$3,IF(AQ87&lt;1,$V$8,$V$2&amp;" "&amp;AQ87&amp;" "&amp;$V$1),IF(AC87="SKLADEM",$V$6,IFERROR(IF(OR(AC87-TODAY()&gt;45,VLOOKUP(C87,[1]List1!$A:$E,4,FALSE)=0),AC87,DAY(AC87)&amp;"."&amp;MONTH(AC87)&amp;"."&amp;YEAR(AC87)&amp;" "&amp;$V$4&amp;VLOOKUP(C87,[1]List1!$A:$E,4,FALSE)&amp;" "&amp;$V$1),AC87))))</f>
        <v>SKLADEM</v>
      </c>
      <c r="AE87" s="645" t="str">
        <f t="shared" ca="1" si="197"/>
        <v>SKLADEM</v>
      </c>
      <c r="AF87" s="648">
        <f t="shared" si="198"/>
        <v>0</v>
      </c>
      <c r="AG87" s="649">
        <f t="shared" si="199"/>
        <v>0</v>
      </c>
      <c r="AH87" s="650">
        <f t="shared" si="200"/>
        <v>0</v>
      </c>
      <c r="AI87" s="645">
        <f t="shared" si="201"/>
        <v>0</v>
      </c>
      <c r="AJ87" s="645">
        <f t="shared" si="202"/>
        <v>0</v>
      </c>
      <c r="AK87" s="645" t="str">
        <f t="shared" si="203"/>
        <v/>
      </c>
      <c r="AL87" s="645" t="str">
        <f t="shared" si="204"/>
        <v/>
      </c>
      <c r="AM87" s="645">
        <f t="shared" si="205"/>
        <v>0</v>
      </c>
      <c r="AN87" s="651">
        <f t="shared" si="206"/>
        <v>0</v>
      </c>
      <c r="AO87" s="623"/>
      <c r="AP87" s="632" t="str">
        <f t="shared" si="186"/>
        <v/>
      </c>
      <c r="AQ87" s="633" t="str">
        <f>IF(AC87=$V$3,IF(VLOOKUP(C87,[1]List1!$A:$E,5,FALSE)=0,1,VLOOKUP(C87,[1]List1!$A:$E,5,FALSE)),"")</f>
        <v/>
      </c>
      <c r="AR87" s="625" t="str">
        <f t="shared" si="187"/>
        <v/>
      </c>
      <c r="AS87" s="634" t="str">
        <f t="shared" si="166"/>
        <v/>
      </c>
      <c r="AT87" s="625" t="str">
        <f t="shared" si="188"/>
        <v/>
      </c>
      <c r="AU87" s="638" t="e">
        <f t="shared" si="189"/>
        <v>#N/A</v>
      </c>
      <c r="AV87" s="625" t="e">
        <f t="shared" si="190"/>
        <v>#N/A</v>
      </c>
      <c r="AX87" s="625">
        <f>IF(AND('General price list'!$J87="F4",'General price list'!$AB87+0&gt;0),1,0)</f>
        <v>0</v>
      </c>
      <c r="AY87" s="625">
        <f t="shared" si="191"/>
        <v>1</v>
      </c>
      <c r="AZ87" s="625">
        <f t="shared" si="192"/>
        <v>1</v>
      </c>
    </row>
    <row r="88" spans="1:52" ht="15" customHeight="1">
      <c r="A88" s="621" t="str">
        <f>Kat.!C88</f>
        <v/>
      </c>
      <c r="B88" s="566">
        <f>IF(AND('General price list'!$J88="F4",$AI$1=FALSE),0,IF(AC88="SKLADEM",1,IF(AC88=$V$3,1,0)))</f>
        <v>1</v>
      </c>
      <c r="C88" s="567" t="s">
        <v>9145</v>
      </c>
      <c r="D88" s="568" t="s">
        <v>9146</v>
      </c>
      <c r="E88" s="763" t="s">
        <v>12657</v>
      </c>
      <c r="F88" s="772">
        <f>IFERROR(VLOOKUP(C88,[2]List1!$A:$D,3,FALSE),"NEUVEDENO!")</f>
        <v>29</v>
      </c>
      <c r="G88" s="769">
        <f t="shared" si="193"/>
        <v>29</v>
      </c>
      <c r="H88" s="766">
        <f t="shared" si="194"/>
        <v>1.2318775938457094</v>
      </c>
      <c r="I88" s="764">
        <f>IFERROR(VLOOKUP(C88,[2]List1!$A:$D,4,FALSE),"NEUVEDENO!")</f>
        <v>100</v>
      </c>
      <c r="J88" s="732" t="s">
        <v>19</v>
      </c>
      <c r="K88" s="569" t="s">
        <v>20</v>
      </c>
      <c r="L88" s="569" t="s">
        <v>10967</v>
      </c>
      <c r="M88" s="569" t="s">
        <v>21</v>
      </c>
      <c r="N88" s="569">
        <f>IFERROR(VLOOKUP(C88,[3]List1!$A:$D,4,FALSE),"N/A!")</f>
        <v>1.9460249999999998E-2</v>
      </c>
      <c r="O88" s="569">
        <f>IFERROR(VLOOKUP(C88,[3]List1!$A:$D,3,FALSE),"N/A!")</f>
        <v>4350</v>
      </c>
      <c r="P88" s="569">
        <f>IFERROR(VLOOKUP(C88,[3]List1!$A:$D,2,FALSE),"N/A!")</f>
        <v>11500</v>
      </c>
      <c r="Q88" s="569" t="s">
        <v>11250</v>
      </c>
      <c r="R88" s="569" t="s">
        <v>11236</v>
      </c>
      <c r="S88" s="569"/>
      <c r="T88" s="569">
        <v>95</v>
      </c>
      <c r="U88" s="569"/>
      <c r="V88" s="569"/>
      <c r="W88" s="569" t="str">
        <f>IFERROR(IF(AND($AB88&gt;=0.1*$AA88,MOD($AB88,$AA88)&gt;=($AA88-(0.1*$AA88))),IF($W$17=$AF$1,"Zvažte možnost doobjednání ještě "&amp;Tabulka1[[#This Row],[VKPAL]]-MOD(AB88,AA88)&amp;" VK do plné palety.",VLOOKUP("Zvažte možnost doobjednání ještě ",Jazyky_ceník!A:Q,MATCH($W$17,Jazyky_ceník!$A$1:$Q$1,0),FALSE)&amp;Tabulka1[[#This Row],[VKPAL]]-MOD(AB88,AA88)&amp;VLOOKUP(" VK do plné palety.",Jazyky_ceník!A:Q,MATCH($W$17,Jazyky_ceník!$A$1:$Q$1,0),FALSE)),IFERROR(IF(AND(NOT(MOD($AB88,$AA88)=0),$AB88&gt;=0.9*$AA88,MOD($AB88,$AA88)&lt;=0.1*$AA88),IF($W$17=$AF$1,"Zvažte možnost optimalizace objednaného množství podle počtu VK na paletě ==&gt;",VLOOKUP("Zvažte možnost optimalizace objednaného množství podle počtu VK na paletě ==&gt;",Jazyky_ceník!A:Q,MATCH($W$17,Jazyky_ceník!$A$1:$Q$1,0),FALSE)),VLOOKUP('General price list'!$C88,Popisy!A:M,MATCH($W$17,Popisy!$A$7:$M$7,0),FALSE)),"---------------")),IFERROR(VLOOKUP('General price list'!$C88,Popisy!A:M,MATCH($W$17,Popisy!$A$7:$M$7,0),FALSE),"---------------"))</f>
        <v>zlaté prskavky,  délka 40cm, délka prskací hmoty 26cm, průměr prskací hmoty 3,7mm</v>
      </c>
      <c r="X88" s="569" t="str">
        <f t="shared" si="195"/>
        <v/>
      </c>
      <c r="Y88" s="569" t="str">
        <f t="shared" si="196"/>
        <v/>
      </c>
      <c r="Z88" s="569" t="str">
        <f>HYPERLINK("https://www.klasekpyrotechnics.cz/vp40w")</f>
        <v>https://www.klasekpyrotechnics.cz/vp40w</v>
      </c>
      <c r="AA88" s="569">
        <f>IFERROR(IF(VLOOKUP(C88,[4]List1!$A:$D,4,FALSE)=0,"",VLOOKUP(C88,[4]List1!$A:$D,4,FALSE)),"")</f>
        <v>62</v>
      </c>
      <c r="AB88" s="565"/>
      <c r="AC88" s="570" t="str">
        <f>IFERROR(IF(VLOOKUP(C88,[1]List1!$A:$D,2,FALSE)="VYPRODÁNO",$V$9,IF(VLOOKUP(C88,[1]List1!$A:$D,2,FALSE)="DOCHÁZÍ",$V$3,VLOOKUP(C88,[1]List1!$A:$D,2,FALSE))),"OFFLINE!")</f>
        <v>SKLADEM</v>
      </c>
      <c r="AD88" s="570" t="str">
        <f ca="1">IF(AP88="NE",$V$10,IF(AC88=$V$3,IF(AQ88&lt;1,$V$8,$V$2&amp;" "&amp;AQ88&amp;" "&amp;$V$1),IF(AC88="SKLADEM",$V$6,IFERROR(IF(OR(AC88-TODAY()&gt;45,VLOOKUP(C88,[1]List1!$A:$E,4,FALSE)=0),AC88,DAY(AC88)&amp;"."&amp;MONTH(AC88)&amp;"."&amp;YEAR(AC88)&amp;" "&amp;$V$4&amp;VLOOKUP(C88,[1]List1!$A:$E,4,FALSE)&amp;" "&amp;$V$1),AC88))))</f>
        <v>SKLADEM</v>
      </c>
      <c r="AE88" s="581" t="str">
        <f t="shared" ca="1" si="197"/>
        <v>SKLADEM</v>
      </c>
      <c r="AF88" s="584">
        <f t="shared" si="198"/>
        <v>0</v>
      </c>
      <c r="AG88" s="585">
        <f t="shared" si="199"/>
        <v>0</v>
      </c>
      <c r="AH88" s="583">
        <f t="shared" si="200"/>
        <v>0</v>
      </c>
      <c r="AI88" s="582">
        <f t="shared" si="201"/>
        <v>0</v>
      </c>
      <c r="AJ88" s="569">
        <f t="shared" si="202"/>
        <v>0</v>
      </c>
      <c r="AK88" s="569" t="str">
        <f t="shared" si="203"/>
        <v/>
      </c>
      <c r="AL88" s="569" t="str">
        <f t="shared" si="204"/>
        <v/>
      </c>
      <c r="AM88" s="569">
        <f t="shared" si="205"/>
        <v>0</v>
      </c>
      <c r="AN88" s="581">
        <f t="shared" si="206"/>
        <v>0</v>
      </c>
      <c r="AO88" s="623"/>
      <c r="AP88" s="632" t="str">
        <f t="shared" si="186"/>
        <v/>
      </c>
      <c r="AQ88" s="633" t="str">
        <f>IF(AC88=$V$3,IF(VLOOKUP(C88,[1]List1!$A:$E,5,FALSE)=0,1,VLOOKUP(C88,[1]List1!$A:$E,5,FALSE)),"")</f>
        <v/>
      </c>
      <c r="AR88" s="625" t="str">
        <f t="shared" si="187"/>
        <v/>
      </c>
      <c r="AS88" s="634" t="str">
        <f t="shared" si="166"/>
        <v/>
      </c>
      <c r="AT88" s="625" t="str">
        <f t="shared" si="188"/>
        <v/>
      </c>
      <c r="AU88" s="638" t="e">
        <f t="shared" si="189"/>
        <v>#N/A</v>
      </c>
      <c r="AV88" s="625" t="e">
        <f t="shared" si="190"/>
        <v>#N/A</v>
      </c>
      <c r="AX88" s="625">
        <f>IF(AND('General price list'!$J88="F4",'General price list'!$AB88+0&gt;0),1,0)</f>
        <v>0</v>
      </c>
      <c r="AY88" s="625">
        <f t="shared" si="191"/>
        <v>1</v>
      </c>
      <c r="AZ88" s="625">
        <f t="shared" si="192"/>
        <v>1</v>
      </c>
    </row>
    <row r="89" spans="1:52" ht="15" customHeight="1">
      <c r="A89" s="639" t="str">
        <f>Kat.!C89</f>
        <v/>
      </c>
      <c r="B89" s="640">
        <f>IF(AND('General price list'!$J89="F4",$AI$1=FALSE),0,IF(AC89="SKLADEM",1,IF(AC89=$V$3,1,0)))</f>
        <v>1</v>
      </c>
      <c r="C89" s="641" t="s">
        <v>152</v>
      </c>
      <c r="D89" s="642" t="s">
        <v>153</v>
      </c>
      <c r="E89" s="643" t="s">
        <v>12631</v>
      </c>
      <c r="F89" s="791">
        <f>IFERROR(VLOOKUP(C89,[2]List1!$A:$D,3,FALSE),"NEUVEDENO!")</f>
        <v>185</v>
      </c>
      <c r="G89" s="768">
        <f t="shared" si="193"/>
        <v>185</v>
      </c>
      <c r="H89" s="765">
        <f t="shared" si="194"/>
        <v>7.85852947798125</v>
      </c>
      <c r="I89" s="644">
        <f>IFERROR(VLOOKUP(C89,[2]List1!$A:$D,4,FALSE),"NEUVEDENO!")</f>
        <v>10</v>
      </c>
      <c r="J89" s="733" t="s">
        <v>19</v>
      </c>
      <c r="K89" s="645" t="s">
        <v>11100</v>
      </c>
      <c r="L89" s="645" t="s">
        <v>10965</v>
      </c>
      <c r="M89" s="645" t="s">
        <v>21</v>
      </c>
      <c r="N89" s="645">
        <f>IFERROR(VLOOKUP(C89,[3]List1!$A:$D,4,FALSE),"N/A!")</f>
        <v>2.0789999999999999E-2</v>
      </c>
      <c r="O89" s="645">
        <f>IFERROR(VLOOKUP(C89,[3]List1!$A:$D,3,FALSE),"N/A!")</f>
        <v>4800</v>
      </c>
      <c r="P89" s="645">
        <f>IFERROR(VLOOKUP(C89,[3]List1!$A:$D,2,FALSE),"N/A!")</f>
        <v>10500</v>
      </c>
      <c r="Q89" s="645" t="s">
        <v>11251</v>
      </c>
      <c r="R89" s="645" t="s">
        <v>11232</v>
      </c>
      <c r="S89" s="645"/>
      <c r="T89" s="645">
        <v>70</v>
      </c>
      <c r="U89" s="645"/>
      <c r="V89" s="645"/>
      <c r="W89" s="645" t="str">
        <f>IFERROR(IF(AND($AB89&gt;=0.1*$AA89,MOD($AB89,$AA89)&gt;=($AA89-(0.1*$AA89))),IF($W$17=$AF$1,"Zvažte možnost doobjednání ještě "&amp;Tabulka1[[#This Row],[VKPAL]]-MOD(AB89,AA89)&amp;" VK do plné palety.",VLOOKUP("Zvažte možnost doobjednání ještě ",Jazyky_ceník!A:Q,MATCH($W$17,Jazyky_ceník!$A$1:$Q$1,0),FALSE)&amp;Tabulka1[[#This Row],[VKPAL]]-MOD(AB89,AA89)&amp;VLOOKUP(" VK do plné palety.",Jazyky_ceník!A:Q,MATCH($W$17,Jazyky_ceník!$A$1:$Q$1,0),FALSE)),IFERROR(IF(AND(NOT(MOD($AB89,$AA89)=0),$AB89&gt;=0.9*$AA89,MOD($AB89,$AA89)&lt;=0.1*$AA89),IF($W$17=$AF$1,"Zvažte možnost optimalizace objednaného množství podle počtu VK na paletě ==&gt;",VLOOKUP("Zvažte možnost optimalizace objednaného množství podle počtu VK na paletě ==&gt;",Jazyky_ceník!A:Q,MATCH($W$17,Jazyky_ceník!$A$1:$Q$1,0),FALSE)),VLOOKUP('General price list'!$C89,Popisy!A:M,MATCH($W$17,Popisy!$A$7:$M$7,0),FALSE)),"---------------")),IFERROR(VLOOKUP('General price list'!$C89,Popisy!A:M,MATCH($W$17,Popisy!$A$7:$M$7,0),FALSE),"---------------"))</f>
        <v>zlaté prskavky,  délka 28cm, délka prskací hmoty 17cm, průměr prskací hmoty 3mm</v>
      </c>
      <c r="X89" s="645" t="str">
        <f t="shared" si="195"/>
        <v/>
      </c>
      <c r="Y89" s="645" t="str">
        <f t="shared" si="196"/>
        <v/>
      </c>
      <c r="Z89" s="645" t="str">
        <f>HYPERLINK("https://www.klasekpyrotechnics.cz/vp28")</f>
        <v>https://www.klasekpyrotechnics.cz/vp28</v>
      </c>
      <c r="AA89" s="645">
        <f>IFERROR(IF(VLOOKUP(C89,[4]List1!$A:$D,4,FALSE)=0,"",VLOOKUP(C89,[4]List1!$A:$D,4,FALSE)),"")</f>
        <v>48</v>
      </c>
      <c r="AB89" s="646"/>
      <c r="AC89" s="647" t="str">
        <f>IFERROR(IF(VLOOKUP(C89,[1]List1!$A:$D,2,FALSE)="VYPRODÁNO",$V$9,IF(VLOOKUP(C89,[1]List1!$A:$D,2,FALSE)="DOCHÁZÍ",$V$3,VLOOKUP(C89,[1]List1!$A:$D,2,FALSE))),"OFFLINE!")</f>
        <v>SKLADEM</v>
      </c>
      <c r="AD89" s="647" t="str">
        <f ca="1">IF(AP89="NE",$V$10,IF(AC89=$V$3,IF(AQ89&lt;1,$V$8,$V$2&amp;" "&amp;AQ89&amp;" "&amp;$V$1),IF(AC89="SKLADEM",$V$6,IFERROR(IF(OR(AC89-TODAY()&gt;45,VLOOKUP(C89,[1]List1!$A:$E,4,FALSE)=0),AC89,DAY(AC89)&amp;"."&amp;MONTH(AC89)&amp;"."&amp;YEAR(AC89)&amp;" "&amp;$V$4&amp;VLOOKUP(C89,[1]List1!$A:$E,4,FALSE)&amp;" "&amp;$V$1),AC89))))</f>
        <v>SKLADEM</v>
      </c>
      <c r="AE89" s="645" t="str">
        <f t="shared" ca="1" si="197"/>
        <v>SKLADEM</v>
      </c>
      <c r="AF89" s="648">
        <f t="shared" si="198"/>
        <v>0</v>
      </c>
      <c r="AG89" s="649">
        <f t="shared" si="199"/>
        <v>0</v>
      </c>
      <c r="AH89" s="650">
        <f t="shared" si="200"/>
        <v>0</v>
      </c>
      <c r="AI89" s="645">
        <f t="shared" si="201"/>
        <v>0</v>
      </c>
      <c r="AJ89" s="645">
        <f t="shared" si="202"/>
        <v>0</v>
      </c>
      <c r="AK89" s="645" t="str">
        <f t="shared" si="203"/>
        <v/>
      </c>
      <c r="AL89" s="645" t="str">
        <f t="shared" si="204"/>
        <v/>
      </c>
      <c r="AM89" s="645">
        <f t="shared" si="205"/>
        <v>0</v>
      </c>
      <c r="AN89" s="651">
        <f t="shared" si="206"/>
        <v>0</v>
      </c>
      <c r="AO89" s="623"/>
      <c r="AP89" s="632" t="str">
        <f t="shared" si="186"/>
        <v/>
      </c>
      <c r="AQ89" s="633" t="str">
        <f>IF(AC89=$V$3,IF(VLOOKUP(C89,[1]List1!$A:$E,5,FALSE)=0,1,VLOOKUP(C89,[1]List1!$A:$E,5,FALSE)),"")</f>
        <v/>
      </c>
      <c r="AR89" s="625" t="str">
        <f t="shared" si="187"/>
        <v/>
      </c>
      <c r="AS89" s="634" t="str">
        <f t="shared" si="166"/>
        <v/>
      </c>
      <c r="AT89" s="625" t="str">
        <f t="shared" si="188"/>
        <v/>
      </c>
      <c r="AU89" s="638" t="e">
        <f t="shared" si="189"/>
        <v>#N/A</v>
      </c>
      <c r="AV89" s="625" t="e">
        <f t="shared" si="190"/>
        <v>#N/A</v>
      </c>
      <c r="AX89" s="625">
        <f>IF(AND('General price list'!$J89="F4",'General price list'!$AB89+0&gt;0),1,0)</f>
        <v>0</v>
      </c>
      <c r="AY89" s="625">
        <f t="shared" si="191"/>
        <v>1</v>
      </c>
      <c r="AZ89" s="625">
        <f t="shared" si="192"/>
        <v>1</v>
      </c>
    </row>
    <row r="90" spans="1:52" ht="15" customHeight="1">
      <c r="A90" s="621" t="str">
        <f>Kat.!C90</f>
        <v/>
      </c>
      <c r="B90" s="566">
        <f>IF(AND('General price list'!$J90="F4",$AI$1=FALSE),0,IF(AC90="SKLADEM",1,IF(AC90=$V$3,1,0)))</f>
        <v>1</v>
      </c>
      <c r="C90" s="567" t="s">
        <v>157</v>
      </c>
      <c r="D90" s="568" t="s">
        <v>158</v>
      </c>
      <c r="E90" s="763" t="s">
        <v>12659</v>
      </c>
      <c r="F90" s="772">
        <f>IFERROR(VLOOKUP(C90,[2]List1!$A:$D,3,FALSE),"NEUVEDENO!")</f>
        <v>78</v>
      </c>
      <c r="G90" s="769">
        <f t="shared" si="193"/>
        <v>78</v>
      </c>
      <c r="H90" s="766">
        <f t="shared" si="194"/>
        <v>3.3133259420677703</v>
      </c>
      <c r="I90" s="764">
        <f>IFERROR(VLOOKUP(C90,[2]List1!$A:$D,4,FALSE),"NEUVEDENO!")</f>
        <v>40</v>
      </c>
      <c r="J90" s="732" t="s">
        <v>19</v>
      </c>
      <c r="K90" s="569" t="s">
        <v>20</v>
      </c>
      <c r="L90" s="569" t="s">
        <v>10965</v>
      </c>
      <c r="M90" s="569" t="s">
        <v>21</v>
      </c>
      <c r="N90" s="569">
        <f>IFERROR(VLOOKUP(C90,[3]List1!$A:$D,4,FALSE),"N/A!")</f>
        <v>2.7213624999999998E-2</v>
      </c>
      <c r="O90" s="569">
        <f>IFERROR(VLOOKUP(C90,[3]List1!$A:$D,3,FALSE),"N/A!")</f>
        <v>3840</v>
      </c>
      <c r="P90" s="569">
        <f>IFERROR(VLOOKUP(C90,[3]List1!$A:$D,2,FALSE),"N/A!")</f>
        <v>13000</v>
      </c>
      <c r="Q90" s="569" t="s">
        <v>11235</v>
      </c>
      <c r="R90" s="569" t="s">
        <v>15</v>
      </c>
      <c r="S90" s="569"/>
      <c r="T90" s="569">
        <v>35</v>
      </c>
      <c r="U90" s="569"/>
      <c r="V90" s="569"/>
      <c r="W90" s="569" t="str">
        <f>IFERROR(IF(AND($AB90&gt;=0.1*$AA90,MOD($AB90,$AA90)&gt;=($AA90-(0.1*$AA90))),IF($W$17=$AF$1,"Zvažte možnost doobjednání ještě "&amp;Tabulka1[[#This Row],[VKPAL]]-MOD(AB90,AA90)&amp;" VK do plné palety.",VLOOKUP("Zvažte možnost doobjednání ještě ",Jazyky_ceník!A:Q,MATCH($W$17,Jazyky_ceník!$A$1:$Q$1,0),FALSE)&amp;Tabulka1[[#This Row],[VKPAL]]-MOD(AB90,AA90)&amp;VLOOKUP(" VK do plné palety.",Jazyky_ceník!A:Q,MATCH($W$17,Jazyky_ceník!$A$1:$Q$1,0),FALSE)),IFERROR(IF(AND(NOT(MOD($AB90,$AA90)=0),$AB90&gt;=0.9*$AA90,MOD($AB90,$AA90)&lt;=0.1*$AA90),IF($W$17=$AF$1,"Zvažte možnost optimalizace objednaného množství podle počtu VK na paletě ==&gt;",VLOOKUP("Zvažte možnost optimalizace objednaného množství podle počtu VK na paletě ==&gt;",Jazyky_ceník!A:Q,MATCH($W$17,Jazyky_ceník!$A$1:$Q$1,0),FALSE)),VLOOKUP('General price list'!$C90,Popisy!A:M,MATCH($W$17,Popisy!$A$7:$M$7,0),FALSE)),"---------------")),IFERROR(VLOOKUP('General price list'!$C90,Popisy!A:M,MATCH($W$17,Popisy!$A$7:$M$7,0),FALSE),"---------------"))</f>
        <v>zlaté prskavky,  délka 16cm, délka prskací hmoty 8,5cm, průměr prskací hmoty 2,5mm</v>
      </c>
      <c r="X90" s="569" t="str">
        <f t="shared" si="195"/>
        <v/>
      </c>
      <c r="Y90" s="569" t="str">
        <f t="shared" si="196"/>
        <v/>
      </c>
      <c r="Z90" s="569" t="str">
        <f>HYPERLINK("https://www.klasekpyrotechnics.cz/vp16a")</f>
        <v>https://www.klasekpyrotechnics.cz/vp16a</v>
      </c>
      <c r="AA90" s="569" t="str">
        <f>IFERROR(IF(VLOOKUP(C90,[4]List1!$A:$D,4,FALSE)=0,"",VLOOKUP(C90,[4]List1!$A:$D,4,FALSE)),"")</f>
        <v>25</v>
      </c>
      <c r="AB90" s="565"/>
      <c r="AC90" s="570" t="str">
        <f>IFERROR(IF(VLOOKUP(C90,[1]List1!$A:$D,2,FALSE)="VYPRODÁNO",$V$9,IF(VLOOKUP(C90,[1]List1!$A:$D,2,FALSE)="DOCHÁZÍ",$V$3,VLOOKUP(C90,[1]List1!$A:$D,2,FALSE))),"OFFLINE!")</f>
        <v>SKLADEM</v>
      </c>
      <c r="AD90" s="570" t="str">
        <f ca="1">IF(AP90="NE",$V$10,IF(AC90=$V$3,IF(AQ90&lt;1,$V$8,$V$2&amp;" "&amp;AQ90&amp;" "&amp;$V$1),IF(AC90="SKLADEM",$V$6,IFERROR(IF(OR(AC90-TODAY()&gt;45,VLOOKUP(C90,[1]List1!$A:$E,4,FALSE)=0),AC90,DAY(AC90)&amp;"."&amp;MONTH(AC90)&amp;"."&amp;YEAR(AC90)&amp;" "&amp;$V$4&amp;VLOOKUP(C90,[1]List1!$A:$E,4,FALSE)&amp;" "&amp;$V$1),AC90))))</f>
        <v>SKLADEM</v>
      </c>
      <c r="AE90" s="581" t="str">
        <f t="shared" ca="1" si="197"/>
        <v>SKLADEM</v>
      </c>
      <c r="AF90" s="584">
        <f t="shared" si="198"/>
        <v>0</v>
      </c>
      <c r="AG90" s="585">
        <f t="shared" si="199"/>
        <v>0</v>
      </c>
      <c r="AH90" s="583">
        <f t="shared" si="200"/>
        <v>0</v>
      </c>
      <c r="AI90" s="582">
        <f t="shared" si="201"/>
        <v>0</v>
      </c>
      <c r="AJ90" s="569">
        <f t="shared" si="202"/>
        <v>0</v>
      </c>
      <c r="AK90" s="569" t="str">
        <f t="shared" si="203"/>
        <v/>
      </c>
      <c r="AL90" s="569" t="str">
        <f t="shared" si="204"/>
        <v/>
      </c>
      <c r="AM90" s="569">
        <f t="shared" si="205"/>
        <v>0</v>
      </c>
      <c r="AN90" s="581">
        <f t="shared" si="206"/>
        <v>0</v>
      </c>
      <c r="AO90" s="623"/>
      <c r="AP90" s="632" t="str">
        <f t="shared" si="186"/>
        <v/>
      </c>
      <c r="AQ90" s="633" t="str">
        <f>IF(AC90=$V$3,IF(VLOOKUP(C90,[1]List1!$A:$E,5,FALSE)=0,1,VLOOKUP(C90,[1]List1!$A:$E,5,FALSE)),"")</f>
        <v/>
      </c>
      <c r="AR90" s="625" t="str">
        <f t="shared" si="187"/>
        <v/>
      </c>
      <c r="AS90" s="634" t="str">
        <f t="shared" si="166"/>
        <v/>
      </c>
      <c r="AT90" s="625" t="str">
        <f t="shared" si="188"/>
        <v/>
      </c>
      <c r="AU90" s="638" t="e">
        <f t="shared" si="189"/>
        <v>#N/A</v>
      </c>
      <c r="AV90" s="625" t="e">
        <f t="shared" si="190"/>
        <v>#N/A</v>
      </c>
      <c r="AX90" s="625">
        <f>IF(AND('General price list'!$J90="F4",'General price list'!$AB90+0&gt;0),1,0)</f>
        <v>0</v>
      </c>
      <c r="AY90" s="625">
        <f t="shared" si="191"/>
        <v>1</v>
      </c>
      <c r="AZ90" s="625">
        <f t="shared" si="192"/>
        <v>1</v>
      </c>
    </row>
    <row r="91" spans="1:52" ht="15" customHeight="1">
      <c r="A91" s="639" t="str">
        <f>Kat.!C91</f>
        <v>×</v>
      </c>
      <c r="B91" s="640">
        <f>IF(AND('General price list'!$J91="F4",$AI$1=FALSE),0,IF(AC91="SKLADEM",1,IF(AC91=$V$3,1,0)))</f>
        <v>0</v>
      </c>
      <c r="C91" s="641" t="s">
        <v>162</v>
      </c>
      <c r="D91" s="642" t="s">
        <v>158</v>
      </c>
      <c r="E91" s="731" t="s">
        <v>13031</v>
      </c>
      <c r="F91" s="773">
        <f>IFERROR(VLOOKUP(C91,[2]List1!$A:$D,3,FALSE),"NEUVEDENO!")</f>
        <v>140</v>
      </c>
      <c r="G91" s="770">
        <f t="shared" si="193"/>
        <v>140</v>
      </c>
      <c r="H91" s="767">
        <f t="shared" si="194"/>
        <v>5.9469952806344599</v>
      </c>
      <c r="I91" s="644">
        <f>IFERROR(VLOOKUP(C91,[2]List1!$A:$D,4,FALSE),"NEUVEDENO!")</f>
        <v>20</v>
      </c>
      <c r="J91" s="733" t="s">
        <v>19</v>
      </c>
      <c r="K91" s="645" t="s">
        <v>20</v>
      </c>
      <c r="L91" s="645" t="s">
        <v>10965</v>
      </c>
      <c r="M91" s="645" t="s">
        <v>21</v>
      </c>
      <c r="N91" s="645">
        <f>IFERROR(VLOOKUP(C91,[3]List1!$A:$D,4,FALSE),"N/A!")</f>
        <v>2.7213624999999998E-2</v>
      </c>
      <c r="O91" s="645">
        <f>IFERROR(VLOOKUP(C91,[3]List1!$A:$D,3,FALSE),"N/A!")</f>
        <v>3840</v>
      </c>
      <c r="P91" s="645">
        <f>IFERROR(VLOOKUP(C91,[3]List1!$A:$D,2,FALSE),"N/A!")</f>
        <v>13600</v>
      </c>
      <c r="Q91" s="645" t="s">
        <v>11232</v>
      </c>
      <c r="R91" s="645" t="s">
        <v>16</v>
      </c>
      <c r="S91" s="645"/>
      <c r="T91" s="645">
        <v>35</v>
      </c>
      <c r="U91" s="645"/>
      <c r="V91" s="645"/>
      <c r="W91" s="645" t="str">
        <f>IFERROR(IF(AND($AB91&gt;=0.1*$AA91,MOD($AB91,$AA91)&gt;=($AA91-(0.1*$AA91))),IF($W$17=$AF$1,"Zvažte možnost doobjednání ještě "&amp;Tabulka1[[#This Row],[VKPAL]]-MOD(AB91,AA91)&amp;" VK do plné palety.",VLOOKUP("Zvažte možnost doobjednání ještě ",Jazyky_ceník!A:Q,MATCH($W$17,Jazyky_ceník!$A$1:$Q$1,0),FALSE)&amp;Tabulka1[[#This Row],[VKPAL]]-MOD(AB91,AA91)&amp;VLOOKUP(" VK do plné palety.",Jazyky_ceník!A:Q,MATCH($W$17,Jazyky_ceník!$A$1:$Q$1,0),FALSE)),IFERROR(IF(AND(NOT(MOD($AB91,$AA91)=0),$AB91&gt;=0.9*$AA91,MOD($AB91,$AA91)&lt;=0.1*$AA91),IF($W$17=$AF$1,"Zvažte možnost optimalizace objednaného množství podle počtu VK na paletě ==&gt;",VLOOKUP("Zvažte možnost optimalizace objednaného množství podle počtu VK na paletě ==&gt;",Jazyky_ceník!A:Q,MATCH($W$17,Jazyky_ceník!$A$1:$Q$1,0),FALSE)),VLOOKUP('General price list'!$C91,Popisy!A:M,MATCH($W$17,Popisy!$A$7:$M$7,0),FALSE)),"---------------")),IFERROR(VLOOKUP('General price list'!$C91,Popisy!A:M,MATCH($W$17,Popisy!$A$7:$M$7,0),FALSE),"---------------"))</f>
        <v>zlaté prskavky,  délka 16cm, délka prskací hmoty 8,5cm, průměr prskací hmoty 2,5mm</v>
      </c>
      <c r="X91" s="645" t="str">
        <f t="shared" si="195"/>
        <v/>
      </c>
      <c r="Y91" s="645" t="str">
        <f t="shared" si="196"/>
        <v/>
      </c>
      <c r="Z91" s="645" t="str">
        <f>HYPERLINK("https://www.klasekpyrotechnics.cz/vp16a_1")</f>
        <v>https://www.klasekpyrotechnics.cz/vp16a_1</v>
      </c>
      <c r="AA91" s="645" t="str">
        <f>IFERROR(IF(VLOOKUP(C91,[4]List1!$A:$D,4,FALSE)=0,"",VLOOKUP(C91,[4]List1!$A:$D,4,FALSE)),"")</f>
        <v>25</v>
      </c>
      <c r="AB91" s="646"/>
      <c r="AC91" s="647" t="str">
        <f>IFERROR(IF(VLOOKUP(C91,[1]List1!$A:$D,2,FALSE)="VYPRODÁNO",$V$9,IF(VLOOKUP(C91,[1]List1!$A:$D,2,FALSE)="DOCHÁZÍ",$V$3,VLOOKUP(C91,[1]List1!$A:$D,2,FALSE))),"OFFLINE!")</f>
        <v>31.08.2026</v>
      </c>
      <c r="AD91" s="647" t="str">
        <f ca="1">IF(AP91="NE",$V$10,IF(AC91=$V$3,IF(AQ91&lt;1,$V$8,$V$2&amp;" "&amp;AQ91&amp;" "&amp;$V$1),IF(AC91="SKLADEM",$V$6,IFERROR(IF(OR(AC91-TODAY()&gt;45,VLOOKUP(C91,[1]List1!$A:$E,4,FALSE)=0),AC91,DAY(AC91)&amp;"."&amp;MONTH(AC91)&amp;"."&amp;YEAR(AC91)&amp;" "&amp;$V$4&amp;VLOOKUP(C91,[1]List1!$A:$E,4,FALSE)&amp;" "&amp;$V$1),AC91))))</f>
        <v>31.08.2026</v>
      </c>
      <c r="AE91" s="645" t="str">
        <f t="shared" ca="1" si="197"/>
        <v>31.08.2026</v>
      </c>
      <c r="AF91" s="648">
        <f t="shared" si="198"/>
        <v>0</v>
      </c>
      <c r="AG91" s="649">
        <f t="shared" si="199"/>
        <v>0</v>
      </c>
      <c r="AH91" s="650">
        <f t="shared" si="200"/>
        <v>0</v>
      </c>
      <c r="AI91" s="645">
        <f t="shared" si="201"/>
        <v>0</v>
      </c>
      <c r="AJ91" s="645">
        <f t="shared" si="202"/>
        <v>0</v>
      </c>
      <c r="AK91" s="645" t="str">
        <f t="shared" si="203"/>
        <v/>
      </c>
      <c r="AL91" s="645" t="str">
        <f t="shared" si="204"/>
        <v/>
      </c>
      <c r="AM91" s="645">
        <f t="shared" si="205"/>
        <v>0</v>
      </c>
      <c r="AN91" s="651">
        <f t="shared" si="206"/>
        <v>0</v>
      </c>
      <c r="AO91" s="623"/>
      <c r="AP91" s="632" t="str">
        <f t="shared" si="186"/>
        <v/>
      </c>
      <c r="AQ91" s="633" t="str">
        <f>IF(AC91=$V$3,IF(VLOOKUP(C91,[1]List1!$A:$E,5,FALSE)=0,1,VLOOKUP(C91,[1]List1!$A:$E,5,FALSE)),"")</f>
        <v/>
      </c>
      <c r="AR91" s="625" t="str">
        <f t="shared" si="187"/>
        <v/>
      </c>
      <c r="AS91" s="634" t="str">
        <f t="shared" si="166"/>
        <v/>
      </c>
      <c r="AT91" s="625" t="str">
        <f t="shared" si="188"/>
        <v/>
      </c>
      <c r="AU91" s="638" t="e">
        <f t="shared" si="189"/>
        <v>#N/A</v>
      </c>
      <c r="AV91" s="625" t="e">
        <f t="shared" si="190"/>
        <v>#N/A</v>
      </c>
      <c r="AX91" s="625">
        <f>IF(AND('General price list'!$J91="F4",'General price list'!$AB91+0&gt;0),1,0)</f>
        <v>0</v>
      </c>
      <c r="AY91" s="625">
        <f t="shared" si="191"/>
        <v>1</v>
      </c>
      <c r="AZ91" s="625">
        <f t="shared" si="192"/>
        <v>0</v>
      </c>
    </row>
    <row r="92" spans="1:52" ht="15" customHeight="1">
      <c r="A92" s="751" t="str">
        <f>Kat.!C92</f>
        <v xml:space="preserve">           Prskavky speciální</v>
      </c>
      <c r="B92" s="751"/>
      <c r="C92" s="751"/>
      <c r="D92" s="751"/>
      <c r="E92" s="751"/>
      <c r="F92" s="751"/>
      <c r="G92" s="751"/>
      <c r="H92" s="751"/>
      <c r="I92" s="752"/>
      <c r="J92" s="752"/>
      <c r="K92" s="752" t="s">
        <v>20</v>
      </c>
      <c r="L92" s="753" t="s">
        <v>2818</v>
      </c>
      <c r="M92" s="752"/>
      <c r="N92" s="752"/>
      <c r="O92" s="752"/>
      <c r="P92" s="752"/>
      <c r="Q92" s="752"/>
      <c r="R92" s="752"/>
      <c r="S92" s="752"/>
      <c r="T92" s="752"/>
      <c r="U92" s="752"/>
      <c r="V92" s="752"/>
      <c r="W92" s="752"/>
      <c r="X92" s="752"/>
      <c r="Y92" s="752"/>
      <c r="Z92" s="752" t="s">
        <v>20</v>
      </c>
      <c r="AA92" s="752"/>
      <c r="AB92" s="752"/>
      <c r="AC92" s="754"/>
      <c r="AD92" s="752"/>
      <c r="AE92" s="752"/>
      <c r="AF92" s="752"/>
      <c r="AG92" s="752"/>
      <c r="AH92" s="752"/>
      <c r="AI92" s="752"/>
      <c r="AJ92" s="752"/>
      <c r="AK92" s="752"/>
      <c r="AL92" s="752"/>
      <c r="AM92" s="752"/>
      <c r="AN92" s="752"/>
      <c r="AO92" s="623"/>
      <c r="AP92" s="632" t="str">
        <f t="shared" si="186"/>
        <v/>
      </c>
      <c r="AQ92" s="633" t="str">
        <f>IF(AC92=$V$3,IF(VLOOKUP(C92,[1]List1!$A:$E,5,FALSE)=0,1,VLOOKUP(C92,[1]List1!$A:$E,5,FALSE)),"")</f>
        <v/>
      </c>
      <c r="AR92" s="625" t="str">
        <f t="shared" si="187"/>
        <v/>
      </c>
      <c r="AS92" s="634" t="str">
        <f t="shared" si="166"/>
        <v/>
      </c>
      <c r="AT92" s="625" t="str">
        <f t="shared" si="188"/>
        <v/>
      </c>
      <c r="AU92" s="638" t="e">
        <f t="shared" si="189"/>
        <v>#N/A</v>
      </c>
      <c r="AV92" s="625" t="e">
        <f t="shared" si="190"/>
        <v>#N/A</v>
      </c>
      <c r="AX92" s="625">
        <f>IF(AND('General price list'!$J92="F4",'General price list'!$AB92+0&gt;0),1,0)</f>
        <v>0</v>
      </c>
      <c r="AY92" s="625">
        <f t="shared" si="191"/>
        <v>0</v>
      </c>
      <c r="AZ92" s="625">
        <f t="shared" si="192"/>
        <v>0</v>
      </c>
    </row>
    <row r="93" spans="1:52" ht="15" customHeight="1">
      <c r="A93" s="639" t="str">
        <f>Kat.!C93</f>
        <v/>
      </c>
      <c r="B93" s="640">
        <f>IF(AND('General price list'!$J93="F4",$AI$1=FALSE),0,IF(AC93="SKLADEM",1,IF(AC93=$V$3,1,0)))</f>
        <v>1</v>
      </c>
      <c r="C93" s="641" t="s">
        <v>163</v>
      </c>
      <c r="D93" s="642" t="s">
        <v>164</v>
      </c>
      <c r="E93" s="643" t="s">
        <v>12660</v>
      </c>
      <c r="F93" s="791">
        <f>IFERROR(VLOOKUP(C93,[2]List1!$A:$D,3,FALSE),"NEUVEDENO!")</f>
        <v>39</v>
      </c>
      <c r="G93" s="768">
        <f t="shared" ref="G93:G96" si="207">IF($W$17=$AF$8,ROUND((F93)/$F$17,2),(F93)*$B$19)</f>
        <v>39</v>
      </c>
      <c r="H93" s="765">
        <f t="shared" ref="H93:H96" si="208">IF($W$17=$AF$8,G93*$B$19,G93/$F$17)</f>
        <v>1.6566629710338852</v>
      </c>
      <c r="I93" s="644">
        <f>IFERROR(VLOOKUP(C93,[2]List1!$A:$D,4,FALSE),"NEUVEDENO!")</f>
        <v>100</v>
      </c>
      <c r="J93" s="733" t="s">
        <v>19</v>
      </c>
      <c r="K93" s="645" t="s">
        <v>11100</v>
      </c>
      <c r="L93" s="645" t="s">
        <v>10960</v>
      </c>
      <c r="M93" s="645" t="s">
        <v>21</v>
      </c>
      <c r="N93" s="645">
        <f>IFERROR(VLOOKUP(C93,[3]List1!$A:$D,4,FALSE),"N/A!")</f>
        <v>5.1999999999999998E-2</v>
      </c>
      <c r="O93" s="645">
        <f>IFERROR(VLOOKUP(C93,[3]List1!$A:$D,3,FALSE),"N/A!")</f>
        <v>4800</v>
      </c>
      <c r="P93" s="645">
        <f>IFERROR(VLOOKUP(C93,[3]List1!$A:$D,2,FALSE),"N/A!")</f>
        <v>13100</v>
      </c>
      <c r="Q93" s="645" t="s">
        <v>12080</v>
      </c>
      <c r="R93" s="645" t="s">
        <v>20</v>
      </c>
      <c r="S93" s="645"/>
      <c r="T93" s="645">
        <v>40</v>
      </c>
      <c r="U93" s="645"/>
      <c r="V93" s="645"/>
      <c r="W93" s="645" t="str">
        <f>IFERROR(IF(AND($AB93&gt;=0.1*$AA93,MOD($AB93,$AA93)&gt;=($AA93-(0.1*$AA93))),IF($W$17=$AF$1,"Zvažte možnost doobjednání ještě "&amp;Tabulka1[[#This Row],[VKPAL]]-MOD(AB93,AA93)&amp;" VK do plné palety.",VLOOKUP("Zvažte možnost doobjednání ještě ",Jazyky_ceník!A:Q,MATCH($W$17,Jazyky_ceník!$A$1:$Q$1,0),FALSE)&amp;Tabulka1[[#This Row],[VKPAL]]-MOD(AB93,AA93)&amp;VLOOKUP(" VK do plné palety.",Jazyky_ceník!A:Q,MATCH($W$17,Jazyky_ceník!$A$1:$Q$1,0),FALSE)),IFERROR(IF(AND(NOT(MOD($AB93,$AA93)=0),$AB93&gt;=0.9*$AA93,MOD($AB93,$AA93)&lt;=0.1*$AA93),IF($W$17=$AF$1,"Zvažte možnost optimalizace objednaného množství podle počtu VK na paletě ==&gt;",VLOOKUP("Zvažte možnost optimalizace objednaného množství podle počtu VK na paletě ==&gt;",Jazyky_ceník!A:Q,MATCH($W$17,Jazyky_ceník!$A$1:$Q$1,0),FALSE)),VLOOKUP('General price list'!$C93,Popisy!A:M,MATCH($W$17,Popisy!$A$7:$M$7,0),FALSE)),"---------------")),IFERROR(VLOOKUP('General price list'!$C93,Popisy!A:M,MATCH($W$17,Popisy!$A$7:$M$7,0),FALSE),"---------------"))</f>
        <v>neonové prskavky(růžová,žlutá,zelelná,modrá),  délka 28cm, délka prskací hmoty 17cm, průměr prskací hmoty 3mm</v>
      </c>
      <c r="X93" s="645" t="str">
        <f t="shared" ref="X93:X96" si="209">IF(AB93&lt;0.0001,"",AB93)</f>
        <v/>
      </c>
      <c r="Y93" s="645" t="str">
        <f t="shared" ref="Y93:Y96" si="210">IF($AL$3=2,IF(OR(AB93&lt;&gt;"",AB93&lt;&gt;0),AU93,""),IF(C93="","",IF(AB93&lt;0.0001,"",IF(B93=0,"",IF(AQ93&lt;AB93,"",AB93)))))</f>
        <v/>
      </c>
      <c r="Z93" s="645" t="str">
        <f>HYPERLINK("https://www.klasekpyrotechnics.cz/vp28n")</f>
        <v>https://www.klasekpyrotechnics.cz/vp28n</v>
      </c>
      <c r="AA93" s="645" t="str">
        <f>IFERROR(IF(VLOOKUP(C93,[4]List1!$A:$D,4,FALSE)=0,"",VLOOKUP(C93,[4]List1!$A:$D,4,FALSE)),"")</f>
        <v>24</v>
      </c>
      <c r="AB93" s="646"/>
      <c r="AC93" s="647" t="str">
        <f>IFERROR(IF(VLOOKUP(C93,[1]List1!$A:$D,2,FALSE)="VYPRODÁNO",$V$9,IF(VLOOKUP(C93,[1]List1!$A:$D,2,FALSE)="DOCHÁZÍ",$V$3,VLOOKUP(C93,[1]List1!$A:$D,2,FALSE))),"OFFLINE!")</f>
        <v>DOCHÁZÍ</v>
      </c>
      <c r="AD93" s="647" t="str">
        <f ca="1">IF(AP93="NE",$V$10,IF(AC93=$V$3,IF(AQ93&lt;1,$V$8,$V$2&amp;" "&amp;AQ93&amp;" "&amp;$V$1),IF(AC93="SKLADEM",$V$6,IFERROR(IF(OR(AC93-TODAY()&gt;45,VLOOKUP(C93,[1]List1!$A:$E,4,FALSE)=0),AC93,DAY(AC93)&amp;"."&amp;MONTH(AC93)&amp;"."&amp;YEAR(AC93)&amp;" "&amp;$V$4&amp;VLOOKUP(C93,[1]List1!$A:$E,4,FALSE)&amp;" "&amp;$V$1),AC93))))</f>
        <v>POSLEDNÍCH 71 VK</v>
      </c>
      <c r="AE93" s="645" t="str">
        <f t="shared" ref="AE93:AE96" ca="1" si="211">IFERROR(IF(AV93&lt;&gt;"",AV93,AD93),AD93)</f>
        <v>POSLEDNÍCH 71 VK</v>
      </c>
      <c r="AF93" s="648">
        <f t="shared" ref="AF93:AF96" si="212">IFERROR(IF(AB93=Y93,G93*I93*Y93,0),0)</f>
        <v>0</v>
      </c>
      <c r="AG93" s="649">
        <f t="shared" ref="AG93:AG96" si="213">IF($W$17=$AF$8,AH93*1.23,AF93*1.21)</f>
        <v>0</v>
      </c>
      <c r="AH93" s="650">
        <f t="shared" ref="AH93:AH96" si="214">IFERROR(IF(Y93=AB93,H93*I93*Y93,0),0)</f>
        <v>0</v>
      </c>
      <c r="AI93" s="645">
        <f t="shared" ref="AI93:AI96" si="215">IFERROR(IF(Y93=AB93,(P93*Y93)/1000,1),0)</f>
        <v>0</v>
      </c>
      <c r="AJ93" s="645">
        <f t="shared" ref="AJ93:AJ96" si="216">IFERROR(IF(Y93=AB93,N93*Y93,0.1),0)</f>
        <v>0</v>
      </c>
      <c r="AK93" s="645" t="str">
        <f t="shared" ref="AK93:AK96" si="217">IFERROR(IF(Y93=AB93,IF(M93="1.1G",(O93/1000)*Y93,""),""),0)</f>
        <v/>
      </c>
      <c r="AL93" s="645" t="str">
        <f t="shared" ref="AL93:AL96" si="218">IFERROR(IF(Y93=AB93,IF(M93="1.3G",(O93/1000)*AB93,""),""),0)</f>
        <v/>
      </c>
      <c r="AM93" s="645">
        <f t="shared" ref="AM93:AM96" si="219">IFERROR(IF(Y93=AB93,IF(M93="1.4G",(O93/1000)*AB93,""),""),0)</f>
        <v>0</v>
      </c>
      <c r="AN93" s="651">
        <f t="shared" ref="AN93:AN96" si="220">SUM(AK93:AM93)</f>
        <v>0</v>
      </c>
      <c r="AO93" s="623"/>
      <c r="AP93" s="632" t="str">
        <f t="shared" si="186"/>
        <v/>
      </c>
      <c r="AQ93" s="625">
        <f>IF(AC93=$V$3,IF(VLOOKUP(C93,[1]List1!$A:$E,5,FALSE)=0,1,VLOOKUP(C93,[1]List1!$A:$E,5,FALSE)),"")</f>
        <v>71</v>
      </c>
      <c r="AR93" s="625" t="str">
        <f t="shared" si="187"/>
        <v/>
      </c>
      <c r="AS93" s="634" t="str">
        <f t="shared" si="166"/>
        <v/>
      </c>
      <c r="AT93" s="625" t="str">
        <f t="shared" si="188"/>
        <v/>
      </c>
      <c r="AU93" s="638" t="e">
        <f t="shared" si="189"/>
        <v>#N/A</v>
      </c>
      <c r="AV93" s="625" t="e">
        <f t="shared" si="190"/>
        <v>#N/A</v>
      </c>
      <c r="AX93" s="625">
        <f>IF(AND('General price list'!$J93="F4",'General price list'!$AB93+0&gt;0),1,0)</f>
        <v>0</v>
      </c>
      <c r="AY93" s="625">
        <f t="shared" si="191"/>
        <v>1</v>
      </c>
      <c r="AZ93" s="625">
        <f t="shared" si="192"/>
        <v>0</v>
      </c>
    </row>
    <row r="94" spans="1:52" ht="15.75" customHeight="1">
      <c r="A94" s="621" t="str">
        <f>Kat.!C94</f>
        <v/>
      </c>
      <c r="B94" s="566">
        <f>IF(AND('General price list'!$J94="F4",$AI$1=FALSE),0,IF(AC94="SKLADEM",1,IF(AC94=$V$3,1,0)))</f>
        <v>1</v>
      </c>
      <c r="C94" s="567" t="s">
        <v>165</v>
      </c>
      <c r="D94" s="568" t="s">
        <v>166</v>
      </c>
      <c r="E94" s="763" t="s">
        <v>12661</v>
      </c>
      <c r="F94" s="791">
        <f>IFERROR(VLOOKUP(C94,[2]List1!$A:$D,3,FALSE),"NEUVEDENO!")</f>
        <v>34</v>
      </c>
      <c r="G94" s="769">
        <f t="shared" si="207"/>
        <v>34</v>
      </c>
      <c r="H94" s="766">
        <f t="shared" si="208"/>
        <v>1.4442702824397973</v>
      </c>
      <c r="I94" s="764">
        <f>IFERROR(VLOOKUP(C94,[2]List1!$A:$D,4,FALSE),"NEUVEDENO!")</f>
        <v>50</v>
      </c>
      <c r="J94" s="732" t="s">
        <v>19</v>
      </c>
      <c r="K94" s="569" t="s">
        <v>11100</v>
      </c>
      <c r="L94" s="569" t="s">
        <v>10960</v>
      </c>
      <c r="M94" s="569" t="s">
        <v>21</v>
      </c>
      <c r="N94" s="569">
        <f>IFERROR(VLOOKUP(C94,[3]List1!$A:$D,4,FALSE),"N/A!")</f>
        <v>2.4022249999999998E-2</v>
      </c>
      <c r="O94" s="569">
        <f>IFERROR(VLOOKUP(C94,[3]List1!$A:$D,3,FALSE),"N/A!")</f>
        <v>1760.0000000000002</v>
      </c>
      <c r="P94" s="569">
        <f>IFERROR(VLOOKUP(C94,[3]List1!$A:$D,2,FALSE),"N/A!")</f>
        <v>6200</v>
      </c>
      <c r="Q94" s="569" t="s">
        <v>12419</v>
      </c>
      <c r="R94" s="569" t="s">
        <v>20</v>
      </c>
      <c r="S94" s="569"/>
      <c r="T94" s="569">
        <v>60</v>
      </c>
      <c r="U94" s="569"/>
      <c r="V94" s="569"/>
      <c r="W94" s="569" t="str">
        <f>IFERROR(IF(AND($AB94&gt;=0.1*$AA94,MOD($AB94,$AA94)&gt;=($AA94-(0.1*$AA94))),IF($W$17=$AF$1,"Zvažte možnost doobjednání ještě "&amp;Tabulka1[[#This Row],[VKPAL]]-MOD(AB94,AA94)&amp;" VK do plné palety.",VLOOKUP("Zvažte možnost doobjednání ještě ",Jazyky_ceník!A:Q,MATCH($W$17,Jazyky_ceník!$A$1:$Q$1,0),FALSE)&amp;Tabulka1[[#This Row],[VKPAL]]-MOD(AB94,AA94)&amp;VLOOKUP(" VK do plné palety.",Jazyky_ceník!A:Q,MATCH($W$17,Jazyky_ceník!$A$1:$Q$1,0),FALSE)),IFERROR(IF(AND(NOT(MOD($AB94,$AA94)=0),$AB94&gt;=0.9*$AA94,MOD($AB94,$AA94)&lt;=0.1*$AA94),IF($W$17=$AF$1,"Zvažte možnost optimalizace objednaného množství podle počtu VK na paletě ==&gt;",VLOOKUP("Zvažte možnost optimalizace objednaného množství podle počtu VK na paletě ==&gt;",Jazyky_ceník!A:Q,MATCH($W$17,Jazyky_ceník!$A$1:$Q$1,0),FALSE)),VLOOKUP('General price list'!$C94,Popisy!A:M,MATCH($W$17,Popisy!$A$7:$M$7,0),FALSE)),"---------------")),IFERROR(VLOOKUP('General price list'!$C94,Popisy!A:M,MATCH($W$17,Popisy!$A$7:$M$7,0),FALSE),"---------------"))</f>
        <v>neonové prskavky(červená,žlutá,zelelná,modrá),  délka 40cm, délka prskací hmoty 26cm, průměr prskací hmoty 3,7mm</v>
      </c>
      <c r="X94" s="569" t="str">
        <f t="shared" si="209"/>
        <v/>
      </c>
      <c r="Y94" s="569" t="str">
        <f t="shared" si="210"/>
        <v/>
      </c>
      <c r="Z94" s="569" t="str">
        <f>HYPERLINK("https://www.klasekpyrotechnics.cz/vp40n")</f>
        <v>https://www.klasekpyrotechnics.cz/vp40n</v>
      </c>
      <c r="AA94" s="569">
        <f>IFERROR(IF(VLOOKUP(C94,[4]List1!$A:$D,4,FALSE)=0,"",VLOOKUP(C94,[4]List1!$A:$D,4,FALSE)),"")</f>
        <v>63</v>
      </c>
      <c r="AB94" s="565"/>
      <c r="AC94" s="570" t="str">
        <f>IFERROR(IF(VLOOKUP(C94,[1]List1!$A:$D,2,FALSE)="VYPRODÁNO",$V$9,IF(VLOOKUP(C94,[1]List1!$A:$D,2,FALSE)="DOCHÁZÍ",$V$3,VLOOKUP(C94,[1]List1!$A:$D,2,FALSE))),"OFFLINE!")</f>
        <v>SKLADEM</v>
      </c>
      <c r="AD94" s="570" t="str">
        <f ca="1">IF(AP94="NE",$V$10,IF(AC94=$V$3,IF(AQ94&lt;1,$V$8,$V$2&amp;" "&amp;AQ94&amp;" "&amp;$V$1),IF(AC94="SKLADEM",$V$6,IFERROR(IF(OR(AC94-TODAY()&gt;45,VLOOKUP(C94,[1]List1!$A:$E,4,FALSE)=0),AC94,DAY(AC94)&amp;"."&amp;MONTH(AC94)&amp;"."&amp;YEAR(AC94)&amp;" "&amp;$V$4&amp;VLOOKUP(C94,[1]List1!$A:$E,4,FALSE)&amp;" "&amp;$V$1),AC94))))</f>
        <v>SKLADEM</v>
      </c>
      <c r="AE94" s="581" t="str">
        <f t="shared" ca="1" si="211"/>
        <v>SKLADEM</v>
      </c>
      <c r="AF94" s="584">
        <f t="shared" si="212"/>
        <v>0</v>
      </c>
      <c r="AG94" s="585">
        <f t="shared" si="213"/>
        <v>0</v>
      </c>
      <c r="AH94" s="583">
        <f t="shared" si="214"/>
        <v>0</v>
      </c>
      <c r="AI94" s="582">
        <f t="shared" si="215"/>
        <v>0</v>
      </c>
      <c r="AJ94" s="569">
        <f t="shared" si="216"/>
        <v>0</v>
      </c>
      <c r="AK94" s="569" t="str">
        <f t="shared" si="217"/>
        <v/>
      </c>
      <c r="AL94" s="569" t="str">
        <f t="shared" si="218"/>
        <v/>
      </c>
      <c r="AM94" s="569">
        <f t="shared" si="219"/>
        <v>0</v>
      </c>
      <c r="AN94" s="581">
        <f t="shared" si="220"/>
        <v>0</v>
      </c>
      <c r="AO94" s="623"/>
      <c r="AP94" s="625" t="str">
        <f t="shared" si="186"/>
        <v/>
      </c>
      <c r="AQ94" s="625" t="str">
        <f>IF(AC94=$V$3,IF(VLOOKUP(C94,[1]List1!$A:$E,5,FALSE)=0,1,VLOOKUP(C94,[1]List1!$A:$E,5,FALSE)),"")</f>
        <v/>
      </c>
      <c r="AR94" s="629" t="str">
        <f t="shared" si="187"/>
        <v/>
      </c>
      <c r="AS94" s="630" t="str">
        <f t="shared" si="166"/>
        <v/>
      </c>
      <c r="AT94" s="625" t="str">
        <f t="shared" si="188"/>
        <v/>
      </c>
      <c r="AU94" s="625" t="e">
        <f t="shared" si="189"/>
        <v>#N/A</v>
      </c>
      <c r="AV94" s="625" t="e">
        <f t="shared" si="190"/>
        <v>#N/A</v>
      </c>
      <c r="AW94" s="631"/>
      <c r="AX94" s="631">
        <f>IF(AND('General price list'!$J94="F4",'General price list'!$AB94+0&gt;0),1,0)</f>
        <v>0</v>
      </c>
      <c r="AY94" s="631">
        <f t="shared" si="191"/>
        <v>1</v>
      </c>
      <c r="AZ94" s="631">
        <f t="shared" si="192"/>
        <v>0</v>
      </c>
    </row>
    <row r="95" spans="1:52" ht="15" customHeight="1">
      <c r="A95" s="639" t="str">
        <f>Kat.!C95</f>
        <v/>
      </c>
      <c r="B95" s="640">
        <f>IF(AND('General price list'!$J95="F4",$AI$1=FALSE),0,IF(AC95="SKLADEM",1,IF(AC95=$V$3,1,0)))</f>
        <v>1</v>
      </c>
      <c r="C95" s="641" t="s">
        <v>186</v>
      </c>
      <c r="D95" s="642" t="s">
        <v>187</v>
      </c>
      <c r="E95" s="643" t="s">
        <v>12662</v>
      </c>
      <c r="F95" s="771">
        <f>IFERROR(VLOOKUP(C95,[2]List1!$A:$D,3,FALSE),"NEUVEDENO!")</f>
        <v>127</v>
      </c>
      <c r="G95" s="768">
        <f t="shared" si="207"/>
        <v>127</v>
      </c>
      <c r="H95" s="765">
        <f t="shared" si="208"/>
        <v>5.3947742902898312</v>
      </c>
      <c r="I95" s="644">
        <f>IFERROR(VLOOKUP(C95,[2]List1!$A:$D,4,FALSE),"NEUVEDENO!")</f>
        <v>12</v>
      </c>
      <c r="J95" s="733" t="s">
        <v>19</v>
      </c>
      <c r="K95" s="645" t="s">
        <v>20</v>
      </c>
      <c r="L95" s="645" t="s">
        <v>10960</v>
      </c>
      <c r="M95" s="645" t="s">
        <v>21</v>
      </c>
      <c r="N95" s="645">
        <f>IFERROR(VLOOKUP(C95,[3]List1!$A:$D,4,FALSE),"N/A!")</f>
        <v>2.5687999999999999E-2</v>
      </c>
      <c r="O95" s="645">
        <f>IFERROR(VLOOKUP(C95,[3]List1!$A:$D,3,FALSE),"N/A!")</f>
        <v>180</v>
      </c>
      <c r="P95" s="645">
        <f>IFERROR(VLOOKUP(C95,[3]List1!$A:$D,2,FALSE),"N/A!")</f>
        <v>2500</v>
      </c>
      <c r="Q95" s="645" t="s">
        <v>11232</v>
      </c>
      <c r="R95" s="645"/>
      <c r="S95" s="645"/>
      <c r="T95" s="645">
        <v>35</v>
      </c>
      <c r="U95" s="645"/>
      <c r="V95" s="645"/>
      <c r="W95" s="645" t="str">
        <f>IFERROR(IF(AND($AB95&gt;=0.1*$AA95,MOD($AB95,$AA95)&gt;=($AA95-(0.1*$AA95))),IF($W$17=$AF$1,"Zvažte možnost doobjednání ještě "&amp;Tabulka1[[#This Row],[VKPAL]]-MOD(AB95,AA95)&amp;" VK do plné palety.",VLOOKUP("Zvažte možnost doobjednání ještě ",Jazyky_ceník!A:Q,MATCH($W$17,Jazyky_ceník!$A$1:$Q$1,0),FALSE)&amp;Tabulka1[[#This Row],[VKPAL]]-MOD(AB95,AA95)&amp;VLOOKUP(" VK do plné palety.",Jazyky_ceník!A:Q,MATCH($W$17,Jazyky_ceník!$A$1:$Q$1,0),FALSE)),IFERROR(IF(AND(NOT(MOD($AB95,$AA95)=0),$AB95&gt;=0.9*$AA95,MOD($AB95,$AA95)&lt;=0.1*$AA95),IF($W$17=$AF$1,"Zvažte možnost optimalizace objednaného množství podle počtu VK na paletě ==&gt;",VLOOKUP("Zvažte možnost optimalizace objednaného množství podle počtu VK na paletě ==&gt;",Jazyky_ceník!A:Q,MATCH($W$17,Jazyky_ceník!$A$1:$Q$1,0),FALSE)),VLOOKUP('General price list'!$C95,Popisy!A:M,MATCH($W$17,Popisy!$A$7:$M$7,0),FALSE)),"---------------")),IFERROR(VLOOKUP('General price list'!$C95,Popisy!A:M,MATCH($W$17,Popisy!$A$7:$M$7,0),FALSE),"---------------"))</f>
        <v>zlatá prskavka(mix čísel 0-9, srdce, hvězda)</v>
      </c>
      <c r="X95" s="645" t="str">
        <f t="shared" si="209"/>
        <v/>
      </c>
      <c r="Y95" s="645" t="str">
        <f t="shared" si="210"/>
        <v/>
      </c>
      <c r="Z95" s="645" t="str">
        <f>HYPERLINK("https://www.klasekpyrotechnics.cz/vp12mix")</f>
        <v>https://www.klasekpyrotechnics.cz/vp12mix</v>
      </c>
      <c r="AA95" s="645" t="str">
        <f>IFERROR(IF(VLOOKUP(C95,[4]List1!$A:$D,4,FALSE)=0,"",VLOOKUP(C95,[4]List1!$A:$D,4,FALSE)),"")</f>
        <v>54</v>
      </c>
      <c r="AB95" s="646"/>
      <c r="AC95" s="647" t="str">
        <f>IFERROR(IF(VLOOKUP(C95,[1]List1!$A:$D,2,FALSE)="VYPRODÁNO",$V$9,IF(VLOOKUP(C95,[1]List1!$A:$D,2,FALSE)="DOCHÁZÍ",$V$3,VLOOKUP(C95,[1]List1!$A:$D,2,FALSE))),"OFFLINE!")</f>
        <v>SKLADEM</v>
      </c>
      <c r="AD95" s="647" t="str">
        <f ca="1">IF(AP95="NE",$V$10,IF(AC95=$V$3,IF(AQ95&lt;1,$V$8,$V$2&amp;" "&amp;AQ95&amp;" "&amp;$V$1),IF(AC95="SKLADEM",$V$6,IFERROR(IF(OR(AC95-TODAY()&gt;45,VLOOKUP(C95,[1]List1!$A:$E,4,FALSE)=0),AC95,DAY(AC95)&amp;"."&amp;MONTH(AC95)&amp;"."&amp;YEAR(AC95)&amp;" "&amp;$V$4&amp;VLOOKUP(C95,[1]List1!$A:$E,4,FALSE)&amp;" "&amp;$V$1),AC95))))</f>
        <v>SKLADEM</v>
      </c>
      <c r="AE95" s="645" t="str">
        <f t="shared" ca="1" si="211"/>
        <v>SKLADEM</v>
      </c>
      <c r="AF95" s="648">
        <f t="shared" si="212"/>
        <v>0</v>
      </c>
      <c r="AG95" s="649">
        <f t="shared" si="213"/>
        <v>0</v>
      </c>
      <c r="AH95" s="650">
        <f t="shared" si="214"/>
        <v>0</v>
      </c>
      <c r="AI95" s="645">
        <f t="shared" si="215"/>
        <v>0</v>
      </c>
      <c r="AJ95" s="645">
        <f t="shared" si="216"/>
        <v>0</v>
      </c>
      <c r="AK95" s="645" t="str">
        <f t="shared" si="217"/>
        <v/>
      </c>
      <c r="AL95" s="645" t="str">
        <f t="shared" si="218"/>
        <v/>
      </c>
      <c r="AM95" s="645">
        <f t="shared" si="219"/>
        <v>0</v>
      </c>
      <c r="AN95" s="651">
        <f t="shared" si="220"/>
        <v>0</v>
      </c>
      <c r="AO95" s="623"/>
      <c r="AP95" s="632" t="str">
        <f t="shared" si="186"/>
        <v/>
      </c>
      <c r="AQ95" s="633" t="str">
        <f>IF(AC95=$V$3,IF(VLOOKUP(C95,[1]List1!$A:$E,5,FALSE)=0,1,VLOOKUP(C95,[1]List1!$A:$E,5,FALSE)),"")</f>
        <v/>
      </c>
      <c r="AR95" s="625" t="str">
        <f t="shared" si="187"/>
        <v/>
      </c>
      <c r="AS95" s="634" t="str">
        <f t="shared" si="166"/>
        <v/>
      </c>
      <c r="AT95" s="625" t="str">
        <f t="shared" si="188"/>
        <v/>
      </c>
      <c r="AU95" s="638" t="e">
        <f t="shared" si="189"/>
        <v>#N/A</v>
      </c>
      <c r="AV95" s="625" t="e">
        <f t="shared" si="190"/>
        <v>#N/A</v>
      </c>
      <c r="AX95" s="625">
        <f>IF(AND('General price list'!$J95="F4",'General price list'!$AB95+0&gt;0),1,0)</f>
        <v>0</v>
      </c>
      <c r="AY95" s="625">
        <f t="shared" si="191"/>
        <v>1</v>
      </c>
      <c r="AZ95" s="625">
        <f t="shared" si="192"/>
        <v>0</v>
      </c>
    </row>
    <row r="96" spans="1:52" ht="15" customHeight="1">
      <c r="A96" s="621" t="str">
        <f>Kat.!C96</f>
        <v>×</v>
      </c>
      <c r="B96" s="566">
        <f>IF(AND('General price list'!$J96="F4",$AI$1=FALSE),0,IF(AC96="SKLADEM",1,IF(AC96=$V$3,1,0)))</f>
        <v>0</v>
      </c>
      <c r="C96" s="567" t="s">
        <v>2654</v>
      </c>
      <c r="D96" s="568" t="s">
        <v>2655</v>
      </c>
      <c r="E96" s="763" t="s">
        <v>12663</v>
      </c>
      <c r="F96" s="792">
        <f>IFERROR(VLOOKUP(C96,[2]List1!$A:$D,3,FALSE),"NEUVEDENO!")</f>
        <v>4999</v>
      </c>
      <c r="G96" s="769">
        <f t="shared" si="207"/>
        <v>4999</v>
      </c>
      <c r="H96" s="766">
        <f t="shared" si="208"/>
        <v>212.35021005636904</v>
      </c>
      <c r="I96" s="764">
        <f>IFERROR(VLOOKUP(C96,[2]List1!$A:$D,4,FALSE),"NEUVEDENO!")</f>
        <v>1</v>
      </c>
      <c r="J96" s="732"/>
      <c r="K96" s="569" t="s">
        <v>9836</v>
      </c>
      <c r="L96" s="569" t="s">
        <v>15089</v>
      </c>
      <c r="M96" s="569"/>
      <c r="N96" s="569">
        <f>IFERROR(VLOOKUP(C96,[3]List1!$A:$D,4,FALSE),"N/A!")</f>
        <v>0</v>
      </c>
      <c r="O96" s="569">
        <f>IFERROR(VLOOKUP(C96,[3]List1!$A:$D,3,FALSE),"N/A!")</f>
        <v>0</v>
      </c>
      <c r="P96" s="569" t="str">
        <f>IFERROR(VLOOKUP(C96,[3]List1!$A:$D,2,FALSE),"N/A!")</f>
        <v/>
      </c>
      <c r="Q96" s="569" t="s">
        <v>20</v>
      </c>
      <c r="R96" s="569" t="s">
        <v>20</v>
      </c>
      <c r="S96" s="569"/>
      <c r="T96" s="569"/>
      <c r="U96" s="569"/>
      <c r="V96" s="569"/>
      <c r="W96" s="569" t="str">
        <f>IFERROR(IF(AND($AB96&gt;=0.1*$AA96,MOD($AB96,$AA96)&gt;=($AA96-(0.1*$AA96))),IF($W$17=$AF$1,"Zvažte možnost doobjednání ještě "&amp;Tabulka1[[#This Row],[VKPAL]]-MOD(AB96,AA96)&amp;" VK do plné palety.",VLOOKUP("Zvažte možnost doobjednání ještě ",Jazyky_ceník!A:Q,MATCH($W$17,Jazyky_ceník!$A$1:$Q$1,0),FALSE)&amp;Tabulka1[[#This Row],[VKPAL]]-MOD(AB96,AA96)&amp;VLOOKUP(" VK do plné palety.",Jazyky_ceník!A:Q,MATCH($W$17,Jazyky_ceník!$A$1:$Q$1,0),FALSE)),IFERROR(IF(AND(NOT(MOD($AB96,$AA96)=0),$AB96&gt;=0.9*$AA96,MOD($AB96,$AA96)&lt;=0.1*$AA96),IF($W$17=$AF$1,"Zvažte možnost optimalizace objednaného množství podle počtu VK na paletě ==&gt;",VLOOKUP("Zvažte možnost optimalizace objednaného množství podle počtu VK na paletě ==&gt;",Jazyky_ceník!A:Q,MATCH($W$17,Jazyky_ceník!$A$1:$Q$1,0),FALSE)),VLOOKUP('General price list'!$C96,Popisy!A:M,MATCH($W$17,Popisy!$A$7:$M$7,0),FALSE)),"---------------")),IFERROR(VLOOKUP('General price list'!$C96,Popisy!A:M,MATCH($W$17,Popisy!$A$7:$M$7,0),FALSE),"---------------"))</f>
        <v>Prezentační stojan na prskavky(prázdný)</v>
      </c>
      <c r="X96" s="569" t="str">
        <f t="shared" si="209"/>
        <v/>
      </c>
      <c r="Y96" s="569" t="str">
        <f t="shared" si="210"/>
        <v/>
      </c>
      <c r="Z96" s="569" t="str">
        <f>HYPERLINK("https://www.klasekpyrotechnics.cz/sprs1e")</f>
        <v>https://www.klasekpyrotechnics.cz/sprs1e</v>
      </c>
      <c r="AA96" s="569" t="str">
        <f>IFERROR(IF(VLOOKUP(C96,[4]List1!$A:$D,4,FALSE)=0,"",VLOOKUP(C96,[4]List1!$A:$D,4,FALSE)),"")</f>
        <v/>
      </c>
      <c r="AB96" s="565"/>
      <c r="AC96" s="570" t="str">
        <f>IFERROR(IF(VLOOKUP(C96,[1]List1!$A:$D,2,FALSE)="VYPRODÁNO",$V$9,IF(VLOOKUP(C96,[1]List1!$A:$D,2,FALSE)="DOCHÁZÍ",$V$3,VLOOKUP(C96,[1]List1!$A:$D,2,FALSE))),"OFFLINE!")</f>
        <v>VYPRODÁNO</v>
      </c>
      <c r="AD96" s="570" t="str">
        <f ca="1">IF(AP96="NE",$V$10,IF(AC96=$V$3,IF(AQ96&lt;1,$V$8,$V$2&amp;" "&amp;AQ96&amp;" "&amp;$V$1),IF(AC96="SKLADEM",$V$6,IFERROR(IF(OR(AC96-TODAY()&gt;45,VLOOKUP(C96,[1]List1!$A:$E,4,FALSE)=0),AC96,DAY(AC96)&amp;"."&amp;MONTH(AC96)&amp;"."&amp;YEAR(AC96)&amp;" "&amp;$V$4&amp;VLOOKUP(C96,[1]List1!$A:$E,4,FALSE)&amp;" "&amp;$V$1),AC96))))</f>
        <v>VYPRODÁNO</v>
      </c>
      <c r="AE96" s="581" t="str">
        <f t="shared" ca="1" si="211"/>
        <v>VYPRODÁNO</v>
      </c>
      <c r="AF96" s="584">
        <f t="shared" si="212"/>
        <v>0</v>
      </c>
      <c r="AG96" s="585">
        <f t="shared" si="213"/>
        <v>0</v>
      </c>
      <c r="AH96" s="583">
        <f t="shared" si="214"/>
        <v>0</v>
      </c>
      <c r="AI96" s="582">
        <f t="shared" si="215"/>
        <v>0</v>
      </c>
      <c r="AJ96" s="569">
        <f t="shared" si="216"/>
        <v>0</v>
      </c>
      <c r="AK96" s="569" t="str">
        <f t="shared" si="217"/>
        <v/>
      </c>
      <c r="AL96" s="569" t="str">
        <f t="shared" si="218"/>
        <v/>
      </c>
      <c r="AM96" s="569" t="str">
        <f t="shared" si="219"/>
        <v/>
      </c>
      <c r="AN96" s="581">
        <f t="shared" si="220"/>
        <v>0</v>
      </c>
      <c r="AO96" s="623"/>
      <c r="AP96" s="632" t="str">
        <f t="shared" si="186"/>
        <v/>
      </c>
      <c r="AQ96" s="633" t="str">
        <f>IF(AC96=$V$3,IF(VLOOKUP(C96,[1]List1!$A:$E,5,FALSE)=0,1,VLOOKUP(C96,[1]List1!$A:$E,5,FALSE)),"")</f>
        <v/>
      </c>
      <c r="AR96" s="625" t="str">
        <f t="shared" si="187"/>
        <v/>
      </c>
      <c r="AS96" s="634" t="str">
        <f t="shared" si="166"/>
        <v/>
      </c>
      <c r="AT96" s="625" t="str">
        <f t="shared" si="188"/>
        <v/>
      </c>
      <c r="AU96" s="638" t="e">
        <f t="shared" si="189"/>
        <v>#N/A</v>
      </c>
      <c r="AV96" s="625" t="e">
        <f t="shared" si="190"/>
        <v>#N/A</v>
      </c>
      <c r="AX96" s="625">
        <f>IF(AND('General price list'!$J96="F4",'General price list'!$AB96+0&gt;0),1,0)</f>
        <v>0</v>
      </c>
      <c r="AY96" s="625">
        <f t="shared" si="191"/>
        <v>0</v>
      </c>
      <c r="AZ96" s="625">
        <f t="shared" si="192"/>
        <v>0</v>
      </c>
    </row>
    <row r="97" spans="1:52" ht="15" customHeight="1">
      <c r="A97" s="751" t="str">
        <f>Kat.!C97</f>
        <v xml:space="preserve">           Dýmovnice se zápalnou šňůrou</v>
      </c>
      <c r="B97" s="751"/>
      <c r="C97" s="751"/>
      <c r="D97" s="751"/>
      <c r="E97" s="751"/>
      <c r="F97" s="751"/>
      <c r="G97" s="751"/>
      <c r="H97" s="751"/>
      <c r="I97" s="752"/>
      <c r="J97" s="752"/>
      <c r="K97" s="752" t="s">
        <v>20</v>
      </c>
      <c r="L97" s="753" t="s">
        <v>2818</v>
      </c>
      <c r="M97" s="752"/>
      <c r="N97" s="752"/>
      <c r="O97" s="752"/>
      <c r="P97" s="752"/>
      <c r="Q97" s="752"/>
      <c r="R97" s="752"/>
      <c r="S97" s="752"/>
      <c r="T97" s="752"/>
      <c r="U97" s="752"/>
      <c r="V97" s="752"/>
      <c r="W97" s="752"/>
      <c r="X97" s="752"/>
      <c r="Y97" s="752"/>
      <c r="Z97" s="752" t="s">
        <v>20</v>
      </c>
      <c r="AA97" s="752"/>
      <c r="AB97" s="752"/>
      <c r="AC97" s="754"/>
      <c r="AD97" s="752"/>
      <c r="AE97" s="752"/>
      <c r="AF97" s="752"/>
      <c r="AG97" s="752"/>
      <c r="AH97" s="752"/>
      <c r="AI97" s="752"/>
      <c r="AJ97" s="752"/>
      <c r="AK97" s="752"/>
      <c r="AL97" s="752"/>
      <c r="AM97" s="752"/>
      <c r="AN97" s="752"/>
      <c r="AO97" s="623"/>
      <c r="AP97" s="632" t="str">
        <f t="shared" ref="AP97:AP152" si="221">IF($AL$3=1,IF(Y97=AB97,"","NE"),IF(AR97=$V$10,"NE",""))</f>
        <v/>
      </c>
      <c r="AQ97" s="633" t="str">
        <f>IF(AC97=$V$3,IF(VLOOKUP(C97,[1]List1!$A:$E,5,FALSE)=0,1,VLOOKUP(C97,[1]List1!$A:$E,5,FALSE)),"")</f>
        <v/>
      </c>
      <c r="AR97" s="625" t="str">
        <f t="shared" ref="AR97:AR152" si="222">IF($AL$3=1,"",IF(OR(AB97&lt;&gt;"",AB97&lt;&gt;0),IF(OR(AC97=$V$6,AC97=$V$3,AC97=$V$9),$V$10,""),""))</f>
        <v/>
      </c>
      <c r="AS97" s="634" t="str">
        <f t="shared" ref="AS97:AS152" si="223">IF(AT97&lt;&gt;"","X","")</f>
        <v/>
      </c>
      <c r="AT97" s="625" t="str">
        <f t="shared" ref="AT97:AT152" si="224">IF(AND($AL$3=2,AR97="",AB97&lt;&gt;""),AD97,"")</f>
        <v/>
      </c>
      <c r="AU97" s="638" t="e">
        <f t="shared" ref="AU97:AU152" si="225">IF(AT97=$AS$21,AB97,"")</f>
        <v>#N/A</v>
      </c>
      <c r="AV97" s="625" t="e">
        <f t="shared" ref="AV97:AV152" si="226">IF(OR(AB97="",AND(AT97&lt;&gt;"",AU97&lt;&gt;"")),"",$V$10)</f>
        <v>#N/A</v>
      </c>
      <c r="AX97" s="625">
        <f>IF(AND('General price list'!$J97="F4",'General price list'!$AB97+0&gt;0),1,0)</f>
        <v>0</v>
      </c>
      <c r="AY97" s="625">
        <f t="shared" ref="AY97:AY152" si="227">IFERROR(FIND(VLOOKUP($AC$7,$AD$1:$AE$12,2,FALSE),Q97,1),0)</f>
        <v>0</v>
      </c>
      <c r="AZ97" s="625">
        <f t="shared" ref="AZ97:AZ152" si="228">IFERROR(FIND(VLOOKUP($AC$7,$AD$1:$AE$12,2,FALSE),R97,1),0)</f>
        <v>0</v>
      </c>
    </row>
    <row r="98" spans="1:52" ht="15" customHeight="1">
      <c r="A98" s="639" t="str">
        <f>Kat.!C98</f>
        <v/>
      </c>
      <c r="B98" s="640">
        <f>IF(AND('General price list'!$J98="F4",$AI$1=FALSE),0,IF(AC98="SKLADEM",1,IF(AC98=$V$3,1,0)))</f>
        <v>0</v>
      </c>
      <c r="C98" s="641" t="s">
        <v>191</v>
      </c>
      <c r="D98" s="642" t="s">
        <v>192</v>
      </c>
      <c r="E98" s="643" t="s">
        <v>12664</v>
      </c>
      <c r="F98" s="771">
        <f>IFERROR(VLOOKUP(C98,[2]List1!$A:$D,3,FALSE),"NEUVEDENO!")</f>
        <v>166</v>
      </c>
      <c r="G98" s="768">
        <f t="shared" ref="G98:G111" si="229">IF($W$17=$AF$8,ROUND((F98)/$F$17,2),(F98)*$B$19)</f>
        <v>166</v>
      </c>
      <c r="H98" s="765">
        <f t="shared" ref="H98:H111" si="230">IF($W$17=$AF$8,G98*$B$19,G98/$F$17)</f>
        <v>7.0514372613237164</v>
      </c>
      <c r="I98" s="644">
        <f>IFERROR(VLOOKUP(C98,[2]List1!$A:$D,4,FALSE),"NEUVEDENO!")</f>
        <v>20</v>
      </c>
      <c r="J98" s="733" t="s">
        <v>193</v>
      </c>
      <c r="K98" s="645" t="s">
        <v>20</v>
      </c>
      <c r="L98" s="645" t="s">
        <v>10968</v>
      </c>
      <c r="M98" s="645" t="s">
        <v>21</v>
      </c>
      <c r="N98" s="645">
        <f>IFERROR(VLOOKUP(C98,[3]List1!$A:$D,4,FALSE),"N/A!")</f>
        <v>3.7434749999999996E-2</v>
      </c>
      <c r="O98" s="645">
        <f>IFERROR(VLOOKUP(C98,[3]List1!$A:$D,3,FALSE),"N/A!")</f>
        <v>1872.0000000000002</v>
      </c>
      <c r="P98" s="645">
        <f>IFERROR(VLOOKUP(C98,[3]List1!$A:$D,2,FALSE),"N/A!")</f>
        <v>17800</v>
      </c>
      <c r="Q98" s="645" t="s">
        <v>12765</v>
      </c>
      <c r="R98" s="645" t="s">
        <v>11232</v>
      </c>
      <c r="S98" s="645"/>
      <c r="T98" s="645">
        <v>10</v>
      </c>
      <c r="U98" s="645"/>
      <c r="V98" s="645"/>
      <c r="W98" s="645" t="str">
        <f>IFERROR(IF(AND($AB98&gt;=0.1*$AA98,MOD($AB98,$AA98)&gt;=($AA98-(0.1*$AA98))),IF($W$17=$AF$1,"Zvažte možnost doobjednání ještě "&amp;Tabulka1[[#This Row],[VKPAL]]-MOD(AB98,AA98)&amp;" VK do plné palety.",VLOOKUP("Zvažte možnost doobjednání ještě ",Jazyky_ceník!A:Q,MATCH($W$17,Jazyky_ceník!$A$1:$Q$1,0),FALSE)&amp;Tabulka1[[#This Row],[VKPAL]]-MOD(AB98,AA98)&amp;VLOOKUP(" VK do plné palety.",Jazyky_ceník!A:Q,MATCH($W$17,Jazyky_ceník!$A$1:$Q$1,0),FALSE)),IFERROR(IF(AND(NOT(MOD($AB98,$AA98)=0),$AB98&gt;=0.9*$AA98,MOD($AB98,$AA98)&lt;=0.1*$AA98),IF($W$17=$AF$1,"Zvažte možnost optimalizace objednaného množství podle počtu VK na paletě ==&gt;",VLOOKUP("Zvažte možnost optimalizace objednaného množství podle počtu VK na paletě ==&gt;",Jazyky_ceník!A:Q,MATCH($W$17,Jazyky_ceník!$A$1:$Q$1,0),FALSE)),VLOOKUP('General price list'!$C98,Popisy!A:M,MATCH($W$17,Popisy!$A$7:$M$7,0),FALSE)),"---------------")),IFERROR(VLOOKUP('General price list'!$C98,Popisy!A:M,MATCH($W$17,Popisy!$A$7:$M$7,0),FALSE),"---------------"))</f>
        <v>barevné kulaté dýmovnice(červená,zelená,žlutá,modrá,bílá,fialová)</v>
      </c>
      <c r="X98" s="645" t="str">
        <f t="shared" ref="X98:X111" si="231">IF(AB98&lt;0.0001,"",AB98)</f>
        <v/>
      </c>
      <c r="Y98" s="645" t="str">
        <f t="shared" ref="Y98:Y111" si="232">IF($AL$3=2,IF(OR(AB98&lt;&gt;"",AB98&lt;&gt;0),AU98,""),IF(C98="","",IF(AB98&lt;0.0001,"",IF(B98=0,"",IF(AQ98&lt;AB98,"",AB98)))))</f>
        <v/>
      </c>
      <c r="Z98" s="645" t="str">
        <f>HYPERLINK("https://www.klasekpyrotechnics.cz/d1d")</f>
        <v>https://www.klasekpyrotechnics.cz/d1d</v>
      </c>
      <c r="AA98" s="645">
        <f>IFERROR(IF(VLOOKUP(C98,[4]List1!$A:$D,4,FALSE)=0,"",VLOOKUP(C98,[4]List1!$A:$D,4,FALSE)),"")</f>
        <v>32</v>
      </c>
      <c r="AB98" s="646"/>
      <c r="AC98" s="647" t="str">
        <f>IFERROR(IF(VLOOKUP(C98,[1]List1!$A:$D,2,FALSE)="VYPRODÁNO",$V$9,IF(VLOOKUP(C98,[1]List1!$A:$D,2,FALSE)="DOCHÁZÍ",$V$3,VLOOKUP(C98,[1]List1!$A:$D,2,FALSE))),"OFFLINE!")</f>
        <v>06.04.2026</v>
      </c>
      <c r="AD98" s="647" t="str">
        <f ca="1">IF(AP98="NE",$V$10,IF(AC98=$V$3,IF(AQ98&lt;1,$V$8,$V$2&amp;" "&amp;AQ98&amp;" "&amp;$V$1),IF(AC98="SKLADEM",$V$6,IFERROR(IF(OR(AC98-TODAY()&gt;45,VLOOKUP(C98,[1]List1!$A:$E,4,FALSE)=0),AC98,DAY(AC98)&amp;"."&amp;MONTH(AC98)&amp;"."&amp;YEAR(AC98)&amp;" "&amp;$V$4&amp;VLOOKUP(C98,[1]List1!$A:$E,4,FALSE)&amp;" "&amp;$V$1),AC98))))</f>
        <v>6.4.2026 DORAZÍ 100+ VK</v>
      </c>
      <c r="AE98" s="645" t="str">
        <f t="shared" ref="AE98:AE111" ca="1" si="233">IFERROR(IF(AV98&lt;&gt;"",AV98,AD98),AD98)</f>
        <v>6.4.2026 DORAZÍ 100+ VK</v>
      </c>
      <c r="AF98" s="648">
        <f t="shared" ref="AF98:AF111" si="234">IFERROR(IF(AB98=Y98,G98*I98*Y98,0),0)</f>
        <v>0</v>
      </c>
      <c r="AG98" s="649">
        <f t="shared" ref="AG98:AG111" si="235">IF($W$17=$AF$8,AH98*1.23,AF98*1.21)</f>
        <v>0</v>
      </c>
      <c r="AH98" s="650">
        <f t="shared" ref="AH98:AH111" si="236">IFERROR(IF(Y98=AB98,H98*I98*Y98,0),0)</f>
        <v>0</v>
      </c>
      <c r="AI98" s="645">
        <f t="shared" ref="AI98:AI111" si="237">IFERROR(IF(Y98=AB98,(P98*Y98)/1000,1),0)</f>
        <v>0</v>
      </c>
      <c r="AJ98" s="645">
        <f t="shared" ref="AJ98:AJ111" si="238">IFERROR(IF(Y98=AB98,N98*Y98,0.1),0)</f>
        <v>0</v>
      </c>
      <c r="AK98" s="645" t="str">
        <f t="shared" ref="AK98:AK111" si="239">IFERROR(IF(Y98=AB98,IF(M98="1.1G",(O98/1000)*Y98,""),""),0)</f>
        <v/>
      </c>
      <c r="AL98" s="645" t="str">
        <f t="shared" ref="AL98:AL111" si="240">IFERROR(IF(Y98=AB98,IF(M98="1.3G",(O98/1000)*AB98,""),""),0)</f>
        <v/>
      </c>
      <c r="AM98" s="645">
        <f t="shared" ref="AM98:AM111" si="241">IFERROR(IF(Y98=AB98,IF(M98="1.4G",(O98/1000)*AB98,""),""),0)</f>
        <v>0</v>
      </c>
      <c r="AN98" s="651">
        <f t="shared" ref="AN98:AN111" si="242">SUM(AK98:AM98)</f>
        <v>0</v>
      </c>
      <c r="AO98" s="623"/>
      <c r="AP98" s="632" t="str">
        <f t="shared" si="221"/>
        <v/>
      </c>
      <c r="AQ98" s="633" t="str">
        <f>IF(AC98=$V$3,IF(VLOOKUP(C98,[1]List1!$A:$E,5,FALSE)=0,1,VLOOKUP(C98,[1]List1!$A:$E,5,FALSE)),"")</f>
        <v/>
      </c>
      <c r="AR98" s="625" t="str">
        <f t="shared" si="222"/>
        <v/>
      </c>
      <c r="AS98" s="634" t="str">
        <f t="shared" si="223"/>
        <v/>
      </c>
      <c r="AT98" s="625" t="str">
        <f t="shared" si="224"/>
        <v/>
      </c>
      <c r="AU98" s="638" t="e">
        <f t="shared" si="225"/>
        <v>#N/A</v>
      </c>
      <c r="AV98" s="625" t="e">
        <f t="shared" si="226"/>
        <v>#N/A</v>
      </c>
      <c r="AX98" s="625">
        <f>IF(AND('General price list'!$J98="F4",'General price list'!$AB98+0&gt;0),1,0)</f>
        <v>0</v>
      </c>
      <c r="AY98" s="625">
        <f t="shared" si="227"/>
        <v>1</v>
      </c>
      <c r="AZ98" s="625">
        <f t="shared" si="228"/>
        <v>1</v>
      </c>
    </row>
    <row r="99" spans="1:52" ht="15.75" customHeight="1">
      <c r="A99" s="621" t="str">
        <f>Kat.!C99</f>
        <v/>
      </c>
      <c r="B99" s="566">
        <f>IF(AND('General price list'!$J99="F4",$AI$1=FALSE),0,IF(AC99="SKLADEM",1,IF(AC99=$V$3,1,0)))</f>
        <v>1</v>
      </c>
      <c r="C99" s="567" t="s">
        <v>10490</v>
      </c>
      <c r="D99" s="568" t="s">
        <v>11696</v>
      </c>
      <c r="E99" s="763" t="s">
        <v>12665</v>
      </c>
      <c r="F99" s="772">
        <f>IFERROR(VLOOKUP(C99,[2]List1!$A:$D,3,FALSE),"NEUVEDENO!")</f>
        <v>404</v>
      </c>
      <c r="G99" s="769">
        <f t="shared" si="229"/>
        <v>404</v>
      </c>
      <c r="H99" s="766">
        <f t="shared" si="230"/>
        <v>17.161329238402299</v>
      </c>
      <c r="I99" s="764">
        <f>IFERROR(VLOOKUP(C99,[2]List1!$A:$D,4,FALSE),"NEUVEDENO!")</f>
        <v>8</v>
      </c>
      <c r="J99" s="732" t="s">
        <v>193</v>
      </c>
      <c r="K99" s="569" t="s">
        <v>20</v>
      </c>
      <c r="L99" s="569"/>
      <c r="M99" s="569" t="s">
        <v>21</v>
      </c>
      <c r="N99" s="569">
        <f>IFERROR(VLOOKUP(C99,[3]List1!$A:$D,4,FALSE),"N/A!")</f>
        <v>3.2657624999999996E-2</v>
      </c>
      <c r="O99" s="569">
        <f>IFERROR(VLOOKUP(C99,[3]List1!$A:$D,3,FALSE),"N/A!")</f>
        <v>1600</v>
      </c>
      <c r="P99" s="569">
        <f>IFERROR(VLOOKUP(C99,[3]List1!$A:$D,2,FALSE),"N/A!")</f>
        <v>15000</v>
      </c>
      <c r="Q99" s="569" t="s">
        <v>11252</v>
      </c>
      <c r="R99" s="569" t="s">
        <v>20</v>
      </c>
      <c r="S99" s="569"/>
      <c r="T99" s="569">
        <v>25</v>
      </c>
      <c r="U99" s="569"/>
      <c r="V99" s="569"/>
      <c r="W99" s="569" t="str">
        <f>IFERROR(IF(AND($AB99&gt;=0.1*$AA99,MOD($AB99,$AA99)&gt;=($AA99-(0.1*$AA99))),IF($W$17=$AF$1,"Zvažte možnost doobjednání ještě "&amp;Tabulka1[[#This Row],[VKPAL]]-MOD(AB99,AA99)&amp;" VK do plné palety.",VLOOKUP("Zvažte možnost doobjednání ještě ",Jazyky_ceník!A:Q,MATCH($W$17,Jazyky_ceník!$A$1:$Q$1,0),FALSE)&amp;Tabulka1[[#This Row],[VKPAL]]-MOD(AB99,AA99)&amp;VLOOKUP(" VK do plné palety.",Jazyky_ceník!A:Q,MATCH($W$17,Jazyky_ceník!$A$1:$Q$1,0),FALSE)),IFERROR(IF(AND(NOT(MOD($AB99,$AA99)=0),$AB99&gt;=0.9*$AA99,MOD($AB99,$AA99)&lt;=0.1*$AA99),IF($W$17=$AF$1,"Zvažte možnost optimalizace objednaného množství podle počtu VK na paletě ==&gt;",VLOOKUP("Zvažte možnost optimalizace objednaného množství podle počtu VK na paletě ==&gt;",Jazyky_ceník!A:Q,MATCH($W$17,Jazyky_ceník!$A$1:$Q$1,0),FALSE)),VLOOKUP('General price list'!$C99,Popisy!A:M,MATCH($W$17,Popisy!$A$7:$M$7,0),FALSE)),"---------------")),IFERROR(VLOOKUP('General price list'!$C99,Popisy!A:M,MATCH($W$17,Popisy!$A$7:$M$7,0),FALSE),"---------------"))</f>
        <v>40mm barevné kulaté dýmovnice(červená,zelená,žlutá,modrá,bílá,růžová,fialová, oranžová)</v>
      </c>
      <c r="X99" s="569" t="str">
        <f t="shared" si="231"/>
        <v/>
      </c>
      <c r="Y99" s="569" t="str">
        <f t="shared" si="232"/>
        <v/>
      </c>
      <c r="Z99" s="569" t="str">
        <f>HYPERLINK("https://www.klasekpyrotechnics.cz/d1m")</f>
        <v>https://www.klasekpyrotechnics.cz/d1m</v>
      </c>
      <c r="AA99" s="569">
        <f>IFERROR(IF(VLOOKUP(C99,[4]List1!$A:$D,4,FALSE)=0,"",VLOOKUP(C99,[4]List1!$A:$D,4,FALSE)),"")</f>
        <v>15</v>
      </c>
      <c r="AB99" s="565"/>
      <c r="AC99" s="570" t="str">
        <f>IFERROR(IF(VLOOKUP(C99,[1]List1!$A:$D,2,FALSE)="VYPRODÁNO",$V$9,IF(VLOOKUP(C99,[1]List1!$A:$D,2,FALSE)="DOCHÁZÍ",$V$3,VLOOKUP(C99,[1]List1!$A:$D,2,FALSE))),"OFFLINE!")</f>
        <v>SKLADEM</v>
      </c>
      <c r="AD99" s="570" t="str">
        <f ca="1">IF(AP99="NE",$V$10,IF(AC99=$V$3,IF(AQ99&lt;1,$V$8,$V$2&amp;" "&amp;AQ99&amp;" "&amp;$V$1),IF(AC99="SKLADEM",$V$6,IFERROR(IF(OR(AC99-TODAY()&gt;45,VLOOKUP(C99,[1]List1!$A:$E,4,FALSE)=0),AC99,DAY(AC99)&amp;"."&amp;MONTH(AC99)&amp;"."&amp;YEAR(AC99)&amp;" "&amp;$V$4&amp;VLOOKUP(C99,[1]List1!$A:$E,4,FALSE)&amp;" "&amp;$V$1),AC99))))</f>
        <v>SKLADEM</v>
      </c>
      <c r="AE99" s="581" t="str">
        <f t="shared" ca="1" si="233"/>
        <v>SKLADEM</v>
      </c>
      <c r="AF99" s="584">
        <f t="shared" si="234"/>
        <v>0</v>
      </c>
      <c r="AG99" s="585">
        <f t="shared" si="235"/>
        <v>0</v>
      </c>
      <c r="AH99" s="583">
        <f t="shared" si="236"/>
        <v>0</v>
      </c>
      <c r="AI99" s="582">
        <f t="shared" si="237"/>
        <v>0</v>
      </c>
      <c r="AJ99" s="569">
        <f t="shared" si="238"/>
        <v>0</v>
      </c>
      <c r="AK99" s="569" t="str">
        <f t="shared" si="239"/>
        <v/>
      </c>
      <c r="AL99" s="569" t="str">
        <f t="shared" si="240"/>
        <v/>
      </c>
      <c r="AM99" s="569">
        <f t="shared" si="241"/>
        <v>0</v>
      </c>
      <c r="AN99" s="581">
        <f t="shared" si="242"/>
        <v>0</v>
      </c>
      <c r="AO99" s="623"/>
      <c r="AP99" s="625" t="str">
        <f t="shared" si="221"/>
        <v/>
      </c>
      <c r="AQ99" s="625" t="str">
        <f>IF(AC99=$V$3,IF(VLOOKUP(C99,[1]List1!$A:$E,5,FALSE)=0,1,VLOOKUP(C99,[1]List1!$A:$E,5,FALSE)),"")</f>
        <v/>
      </c>
      <c r="AR99" s="629" t="str">
        <f t="shared" si="222"/>
        <v/>
      </c>
      <c r="AS99" s="630" t="str">
        <f t="shared" si="223"/>
        <v/>
      </c>
      <c r="AT99" s="625" t="str">
        <f t="shared" si="224"/>
        <v/>
      </c>
      <c r="AU99" s="625" t="e">
        <f t="shared" si="225"/>
        <v>#N/A</v>
      </c>
      <c r="AV99" s="625" t="e">
        <f t="shared" si="226"/>
        <v>#N/A</v>
      </c>
      <c r="AW99" s="631"/>
      <c r="AX99" s="631">
        <f>IF(AND('General price list'!$J99="F4",'General price list'!$AB99+0&gt;0),1,0)</f>
        <v>0</v>
      </c>
      <c r="AY99" s="631">
        <f t="shared" si="227"/>
        <v>1</v>
      </c>
      <c r="AZ99" s="631">
        <f t="shared" si="228"/>
        <v>0</v>
      </c>
    </row>
    <row r="100" spans="1:52" ht="15" customHeight="1">
      <c r="A100" s="639" t="str">
        <f>Kat.!C100</f>
        <v/>
      </c>
      <c r="B100" s="640">
        <f>IF(AND('General price list'!$J100="F4",$AI$1=FALSE),0,IF(AC100="SKLADEM",1,IF(AC100=$V$3,1,0)))</f>
        <v>0</v>
      </c>
      <c r="C100" s="641" t="s">
        <v>197</v>
      </c>
      <c r="D100" s="642" t="s">
        <v>198</v>
      </c>
      <c r="E100" s="643" t="s">
        <v>12648</v>
      </c>
      <c r="F100" s="771">
        <f>IFERROR(VLOOKUP(C100,[2]List1!$A:$D,3,FALSE),"NEUVEDENO!")</f>
        <v>94</v>
      </c>
      <c r="G100" s="768">
        <f t="shared" si="229"/>
        <v>94</v>
      </c>
      <c r="H100" s="765">
        <f t="shared" si="230"/>
        <v>3.9929825455688515</v>
      </c>
      <c r="I100" s="644">
        <f>IFERROR(VLOOKUP(C100,[2]List1!$A:$D,4,FALSE),"NEUVEDENO!")</f>
        <v>36</v>
      </c>
      <c r="J100" s="733" t="s">
        <v>193</v>
      </c>
      <c r="K100" s="645" t="s">
        <v>20</v>
      </c>
      <c r="L100" s="645" t="s">
        <v>10968</v>
      </c>
      <c r="M100" s="645" t="s">
        <v>21</v>
      </c>
      <c r="N100" s="645">
        <f>IFERROR(VLOOKUP(C100,[3]List1!$A:$D,4,FALSE),"N/A!")</f>
        <v>2.6731249999999998E-2</v>
      </c>
      <c r="O100" s="645">
        <f>IFERROR(VLOOKUP(C100,[3]List1!$A:$D,3,FALSE),"N/A!")</f>
        <v>4320</v>
      </c>
      <c r="P100" s="645">
        <f>IFERROR(VLOOKUP(C100,[3]List1!$A:$D,2,FALSE),"N/A!")</f>
        <v>13600</v>
      </c>
      <c r="Q100" s="645" t="s">
        <v>11233</v>
      </c>
      <c r="R100" s="645" t="s">
        <v>15</v>
      </c>
      <c r="S100" s="645"/>
      <c r="T100" s="645">
        <v>40</v>
      </c>
      <c r="U100" s="645"/>
      <c r="V100" s="645"/>
      <c r="W100" s="645" t="str">
        <f>IFERROR(IF(AND($AB100&gt;=0.1*$AA100,MOD($AB100,$AA100)&gt;=($AA100-(0.1*$AA100))),IF($W$17=$AF$1,"Zvažte možnost doobjednání ještě "&amp;Tabulka1[[#This Row],[VKPAL]]-MOD(AB100,AA100)&amp;" VK do plné palety.",VLOOKUP("Zvažte možnost doobjednání ještě ",Jazyky_ceník!A:Q,MATCH($W$17,Jazyky_ceník!$A$1:$Q$1,0),FALSE)&amp;Tabulka1[[#This Row],[VKPAL]]-MOD(AB100,AA100)&amp;VLOOKUP(" VK do plné palety.",Jazyky_ceník!A:Q,MATCH($W$17,Jazyky_ceník!$A$1:$Q$1,0),FALSE)),IFERROR(IF(AND(NOT(MOD($AB100,$AA100)=0),$AB100&gt;=0.9*$AA100,MOD($AB100,$AA100)&lt;=0.1*$AA100),IF($W$17=$AF$1,"Zvažte možnost optimalizace objednaného množství podle počtu VK na paletě ==&gt;",VLOOKUP("Zvažte možnost optimalizace objednaného množství podle počtu VK na paletě ==&gt;",Jazyky_ceník!A:Q,MATCH($W$17,Jazyky_ceník!$A$1:$Q$1,0),FALSE)),VLOOKUP('General price list'!$C100,Popisy!A:M,MATCH($W$17,Popisy!$A$7:$M$7,0),FALSE)),"---------------")),IFERROR(VLOOKUP('General price list'!$C100,Popisy!A:M,MATCH($W$17,Popisy!$A$7:$M$7,0),FALSE),"---------------"))</f>
        <v>dýmovnice(tuba)-modrá,červená,žlutá,zelená</v>
      </c>
      <c r="X100" s="645" t="str">
        <f t="shared" si="231"/>
        <v/>
      </c>
      <c r="Y100" s="645" t="str">
        <f t="shared" si="232"/>
        <v/>
      </c>
      <c r="Z100" s="645" t="str">
        <f>HYPERLINK("https://www.klasekpyrotechnics.cz/d2c")</f>
        <v>https://www.klasekpyrotechnics.cz/d2c</v>
      </c>
      <c r="AA100" s="645">
        <f>IFERROR(IF(VLOOKUP(C100,[4]List1!$A:$D,4,FALSE)=0,"",VLOOKUP(C100,[4]List1!$A:$D,4,FALSE)),"")</f>
        <v>42</v>
      </c>
      <c r="AB100" s="646"/>
      <c r="AC100" s="647" t="str">
        <f>IFERROR(IF(VLOOKUP(C100,[1]List1!$A:$D,2,FALSE)="VYPRODÁNO",$V$9,IF(VLOOKUP(C100,[1]List1!$A:$D,2,FALSE)="DOCHÁZÍ",$V$3,VLOOKUP(C100,[1]List1!$A:$D,2,FALSE))),"OFFLINE!")</f>
        <v>06.04.2026</v>
      </c>
      <c r="AD100" s="647" t="str">
        <f ca="1">IF(AP100="NE",$V$10,IF(AC100=$V$3,IF(AQ100&lt;1,$V$8,$V$2&amp;" "&amp;AQ100&amp;" "&amp;$V$1),IF(AC100="SKLADEM",$V$6,IFERROR(IF(OR(AC100-TODAY()&gt;45,VLOOKUP(C100,[1]List1!$A:$E,4,FALSE)=0),AC100,DAY(AC100)&amp;"."&amp;MONTH(AC100)&amp;"."&amp;YEAR(AC100)&amp;" "&amp;$V$4&amp;VLOOKUP(C100,[1]List1!$A:$E,4,FALSE)&amp;" "&amp;$V$1),AC100))))</f>
        <v>6.4.2026 DORAZÍ 100+ VK</v>
      </c>
      <c r="AE100" s="645" t="str">
        <f t="shared" ca="1" si="233"/>
        <v>6.4.2026 DORAZÍ 100+ VK</v>
      </c>
      <c r="AF100" s="648">
        <f t="shared" si="234"/>
        <v>0</v>
      </c>
      <c r="AG100" s="649">
        <f t="shared" si="235"/>
        <v>0</v>
      </c>
      <c r="AH100" s="650">
        <f t="shared" si="236"/>
        <v>0</v>
      </c>
      <c r="AI100" s="645">
        <f t="shared" si="237"/>
        <v>0</v>
      </c>
      <c r="AJ100" s="645">
        <f t="shared" si="238"/>
        <v>0</v>
      </c>
      <c r="AK100" s="645" t="str">
        <f t="shared" si="239"/>
        <v/>
      </c>
      <c r="AL100" s="645" t="str">
        <f t="shared" si="240"/>
        <v/>
      </c>
      <c r="AM100" s="645">
        <f t="shared" si="241"/>
        <v>0</v>
      </c>
      <c r="AN100" s="651">
        <f t="shared" si="242"/>
        <v>0</v>
      </c>
      <c r="AO100" s="623"/>
      <c r="AP100" s="632" t="str">
        <f t="shared" si="221"/>
        <v/>
      </c>
      <c r="AQ100" s="633" t="str">
        <f>IF(AC100=$V$3,IF(VLOOKUP(C100,[1]List1!$A:$E,5,FALSE)=0,1,VLOOKUP(C100,[1]List1!$A:$E,5,FALSE)),"")</f>
        <v/>
      </c>
      <c r="AR100" s="625" t="str">
        <f t="shared" si="222"/>
        <v/>
      </c>
      <c r="AS100" s="634" t="str">
        <f t="shared" si="223"/>
        <v/>
      </c>
      <c r="AT100" s="625" t="str">
        <f t="shared" si="224"/>
        <v/>
      </c>
      <c r="AU100" s="638" t="e">
        <f t="shared" si="225"/>
        <v>#N/A</v>
      </c>
      <c r="AV100" s="625" t="e">
        <f t="shared" si="226"/>
        <v>#N/A</v>
      </c>
      <c r="AX100" s="625">
        <f>IF(AND('General price list'!$J100="F4",'General price list'!$AB100+0&gt;0),1,0)</f>
        <v>0</v>
      </c>
      <c r="AY100" s="625">
        <f t="shared" si="227"/>
        <v>1</v>
      </c>
      <c r="AZ100" s="625">
        <f t="shared" si="228"/>
        <v>1</v>
      </c>
    </row>
    <row r="101" spans="1:52" ht="15" customHeight="1">
      <c r="A101" s="621" t="str">
        <f>Kat.!C101</f>
        <v/>
      </c>
      <c r="B101" s="566">
        <f>IF(AND('General price list'!$J101="F4",$AI$1=FALSE),0,IF(AC101="SKLADEM",1,IF(AC101=$V$3,1,0)))</f>
        <v>1</v>
      </c>
      <c r="C101" s="567" t="s">
        <v>3164</v>
      </c>
      <c r="D101" s="568" t="s">
        <v>11697</v>
      </c>
      <c r="E101" s="763" t="s">
        <v>12648</v>
      </c>
      <c r="F101" s="772">
        <f>IFERROR(VLOOKUP(C101,[2]List1!$A:$D,3,FALSE),"NEUVEDENO!")</f>
        <v>94</v>
      </c>
      <c r="G101" s="769">
        <f t="shared" si="229"/>
        <v>94</v>
      </c>
      <c r="H101" s="766">
        <f t="shared" si="230"/>
        <v>3.9929825455688515</v>
      </c>
      <c r="I101" s="764">
        <f>IFERROR(VLOOKUP(C101,[2]List1!$A:$D,4,FALSE),"NEUVEDENO!")</f>
        <v>36</v>
      </c>
      <c r="J101" s="732" t="s">
        <v>193</v>
      </c>
      <c r="K101" s="569" t="s">
        <v>20</v>
      </c>
      <c r="L101" s="569" t="s">
        <v>10968</v>
      </c>
      <c r="M101" s="569" t="s">
        <v>21</v>
      </c>
      <c r="N101" s="569">
        <f>IFERROR(VLOOKUP(C101,[3]List1!$A:$D,4,FALSE),"N/A!")</f>
        <v>2.6731249999999998E-2</v>
      </c>
      <c r="O101" s="569">
        <f>IFERROR(VLOOKUP(C101,[3]List1!$A:$D,3,FALSE),"N/A!")</f>
        <v>4320</v>
      </c>
      <c r="P101" s="569">
        <f>IFERROR(VLOOKUP(C101,[3]List1!$A:$D,2,FALSE),"N/A!")</f>
        <v>14300</v>
      </c>
      <c r="Q101" s="569" t="s">
        <v>11232</v>
      </c>
      <c r="R101" s="569" t="s">
        <v>15</v>
      </c>
      <c r="S101" s="569"/>
      <c r="T101" s="569">
        <v>40</v>
      </c>
      <c r="U101" s="569"/>
      <c r="V101" s="569"/>
      <c r="W101" s="569" t="str">
        <f>IFERROR(IF(AND($AB101&gt;=0.1*$AA101,MOD($AB101,$AA101)&gt;=($AA101-(0.1*$AA101))),IF($W$17=$AF$1,"Zvažte možnost doobjednání ještě "&amp;Tabulka1[[#This Row],[VKPAL]]-MOD(AB101,AA101)&amp;" VK do plné palety.",VLOOKUP("Zvažte možnost doobjednání ještě ",Jazyky_ceník!A:Q,MATCH($W$17,Jazyky_ceník!$A$1:$Q$1,0),FALSE)&amp;Tabulka1[[#This Row],[VKPAL]]-MOD(AB101,AA101)&amp;VLOOKUP(" VK do plné palety.",Jazyky_ceník!A:Q,MATCH($W$17,Jazyky_ceník!$A$1:$Q$1,0),FALSE)),IFERROR(IF(AND(NOT(MOD($AB101,$AA101)=0),$AB101&gt;=0.9*$AA101,MOD($AB101,$AA101)&lt;=0.1*$AA101),IF($W$17=$AF$1,"Zvažte možnost optimalizace objednaného množství podle počtu VK na paletě ==&gt;",VLOOKUP("Zvažte možnost optimalizace objednaného množství podle počtu VK na paletě ==&gt;",Jazyky_ceník!A:Q,MATCH($W$17,Jazyky_ceník!$A$1:$Q$1,0),FALSE)),VLOOKUP('General price list'!$C101,Popisy!A:M,MATCH($W$17,Popisy!$A$7:$M$7,0),FALSE)),"---------------")),IFERROR(VLOOKUP('General price list'!$C101,Popisy!A:M,MATCH($W$17,Popisy!$A$7:$M$7,0),FALSE),"---------------"))</f>
        <v>dýmovnice(tuba)-oranžová,fialová,bílá,černá</v>
      </c>
      <c r="X101" s="569" t="str">
        <f t="shared" si="231"/>
        <v/>
      </c>
      <c r="Y101" s="569" t="str">
        <f t="shared" si="232"/>
        <v/>
      </c>
      <c r="Z101" s="569" t="str">
        <f>HYPERLINK("https://www.klasekpyrotechnics.cz/d2cn_1")</f>
        <v>https://www.klasekpyrotechnics.cz/d2cn_1</v>
      </c>
      <c r="AA101" s="569">
        <f>IFERROR(IF(VLOOKUP(C101,[4]List1!$A:$D,4,FALSE)=0,"",VLOOKUP(C101,[4]List1!$A:$D,4,FALSE)),"")</f>
        <v>42</v>
      </c>
      <c r="AB101" s="565"/>
      <c r="AC101" s="570" t="str">
        <f>IFERROR(IF(VLOOKUP(C101,[1]List1!$A:$D,2,FALSE)="VYPRODÁNO",$V$9,IF(VLOOKUP(C101,[1]List1!$A:$D,2,FALSE)="DOCHÁZÍ",$V$3,VLOOKUP(C101,[1]List1!$A:$D,2,FALSE))),"OFFLINE!")</f>
        <v>SKLADEM</v>
      </c>
      <c r="AD101" s="570" t="str">
        <f ca="1">IF(AP101="NE",$V$10,IF(AC101=$V$3,IF(AQ101&lt;1,$V$8,$V$2&amp;" "&amp;AQ101&amp;" "&amp;$V$1),IF(AC101="SKLADEM",$V$6,IFERROR(IF(OR(AC101-TODAY()&gt;45,VLOOKUP(C101,[1]List1!$A:$E,4,FALSE)=0),AC101,DAY(AC101)&amp;"."&amp;MONTH(AC101)&amp;"."&amp;YEAR(AC101)&amp;" "&amp;$V$4&amp;VLOOKUP(C101,[1]List1!$A:$E,4,FALSE)&amp;" "&amp;$V$1),AC101))))</f>
        <v>SKLADEM</v>
      </c>
      <c r="AE101" s="581" t="str">
        <f t="shared" ca="1" si="233"/>
        <v>SKLADEM</v>
      </c>
      <c r="AF101" s="584">
        <f t="shared" si="234"/>
        <v>0</v>
      </c>
      <c r="AG101" s="585">
        <f t="shared" si="235"/>
        <v>0</v>
      </c>
      <c r="AH101" s="583">
        <f t="shared" si="236"/>
        <v>0</v>
      </c>
      <c r="AI101" s="582">
        <f t="shared" si="237"/>
        <v>0</v>
      </c>
      <c r="AJ101" s="569">
        <f t="shared" si="238"/>
        <v>0</v>
      </c>
      <c r="AK101" s="569" t="str">
        <f t="shared" si="239"/>
        <v/>
      </c>
      <c r="AL101" s="569" t="str">
        <f t="shared" si="240"/>
        <v/>
      </c>
      <c r="AM101" s="569">
        <f t="shared" si="241"/>
        <v>0</v>
      </c>
      <c r="AN101" s="581">
        <f t="shared" si="242"/>
        <v>0</v>
      </c>
      <c r="AO101" s="623"/>
      <c r="AP101" s="632" t="str">
        <f t="shared" si="221"/>
        <v/>
      </c>
      <c r="AQ101" s="625" t="str">
        <f>IF(AC101=$V$3,IF(VLOOKUP(C101,[1]List1!$A:$E,5,FALSE)=0,1,VLOOKUP(C101,[1]List1!$A:$E,5,FALSE)),"")</f>
        <v/>
      </c>
      <c r="AR101" s="625" t="str">
        <f t="shared" si="222"/>
        <v/>
      </c>
      <c r="AS101" s="634" t="str">
        <f t="shared" si="223"/>
        <v/>
      </c>
      <c r="AT101" s="625" t="str">
        <f t="shared" si="224"/>
        <v/>
      </c>
      <c r="AU101" s="638" t="e">
        <f t="shared" si="225"/>
        <v>#N/A</v>
      </c>
      <c r="AV101" s="625" t="e">
        <f t="shared" si="226"/>
        <v>#N/A</v>
      </c>
      <c r="AX101" s="625">
        <f>IF(AND('General price list'!$J101="F4",'General price list'!$AB101+0&gt;0),1,0)</f>
        <v>0</v>
      </c>
      <c r="AY101" s="625">
        <f t="shared" si="227"/>
        <v>1</v>
      </c>
      <c r="AZ101" s="625">
        <f t="shared" si="228"/>
        <v>1</v>
      </c>
    </row>
    <row r="102" spans="1:52" ht="15" customHeight="1">
      <c r="A102" s="639" t="str">
        <f>Kat.!C102</f>
        <v/>
      </c>
      <c r="B102" s="640">
        <f>IF(AND('General price list'!$J102="F4",$AI$1=FALSE),0,IF(AC102="SKLADEM",1,IF(AC102=$V$3,1,0)))</f>
        <v>0</v>
      </c>
      <c r="C102" s="641" t="s">
        <v>2226</v>
      </c>
      <c r="D102" s="642" t="s">
        <v>2227</v>
      </c>
      <c r="E102" s="643" t="s">
        <v>12656</v>
      </c>
      <c r="F102" s="771">
        <f>IFERROR(VLOOKUP(C102,[2]List1!$A:$D,3,FALSE),"NEUVEDENO!")</f>
        <v>52</v>
      </c>
      <c r="G102" s="768">
        <f t="shared" si="229"/>
        <v>52</v>
      </c>
      <c r="H102" s="765">
        <f t="shared" si="230"/>
        <v>2.2088839613785134</v>
      </c>
      <c r="I102" s="644">
        <f>IFERROR(VLOOKUP(C102,[2]List1!$A:$D,4,FALSE),"NEUVEDENO!")</f>
        <v>72</v>
      </c>
      <c r="J102" s="733" t="s">
        <v>193</v>
      </c>
      <c r="K102" s="645" t="s">
        <v>20</v>
      </c>
      <c r="L102" s="645" t="s">
        <v>10968</v>
      </c>
      <c r="M102" s="645" t="s">
        <v>21</v>
      </c>
      <c r="N102" s="645">
        <f>IFERROR(VLOOKUP(C102,[3]List1!$A:$D,4,FALSE),"N/A!")</f>
        <v>1.4137499999999999E-2</v>
      </c>
      <c r="O102" s="645">
        <f>IFERROR(VLOOKUP(C102,[3]List1!$A:$D,3,FALSE),"N/A!")</f>
        <v>5472</v>
      </c>
      <c r="P102" s="645">
        <f>IFERROR(VLOOKUP(C102,[3]List1!$A:$D,2,FALSE),"N/A!")</f>
        <v>8300</v>
      </c>
      <c r="Q102" s="645" t="s">
        <v>11233</v>
      </c>
      <c r="R102" s="645"/>
      <c r="S102" s="645"/>
      <c r="T102" s="645">
        <v>180</v>
      </c>
      <c r="U102" s="645"/>
      <c r="V102" s="645"/>
      <c r="W102" s="645" t="str">
        <f>IFERROR(IF(AND($AB102&gt;=0.1*$AA102,MOD($AB102,$AA102)&gt;=($AA102-(0.1*$AA102))),IF($W$17=$AF$1,"Zvažte možnost doobjednání ještě "&amp;Tabulka1[[#This Row],[VKPAL]]-MOD(AB102,AA102)&amp;" VK do plné palety.",VLOOKUP("Zvažte možnost doobjednání ještě ",Jazyky_ceník!A:Q,MATCH($W$17,Jazyky_ceník!$A$1:$Q$1,0),FALSE)&amp;Tabulka1[[#This Row],[VKPAL]]-MOD(AB102,AA102)&amp;VLOOKUP(" VK do plné palety.",Jazyky_ceník!A:Q,MATCH($W$17,Jazyky_ceník!$A$1:$Q$1,0),FALSE)),IFERROR(IF(AND(NOT(MOD($AB102,$AA102)=0),$AB102&gt;=0.9*$AA102,MOD($AB102,$AA102)&lt;=0.1*$AA102),IF($W$17=$AF$1,"Zvažte možnost optimalizace objednaného množství podle počtu VK na paletě ==&gt;",VLOOKUP("Zvažte možnost optimalizace objednaného množství podle počtu VK na paletě ==&gt;",Jazyky_ceník!A:Q,MATCH($W$17,Jazyky_ceník!$A$1:$Q$1,0),FALSE)),VLOOKUP('General price list'!$C102,Popisy!A:M,MATCH($W$17,Popisy!$A$7:$M$7,0),FALSE)),"---------------")),IFERROR(VLOOKUP('General price list'!$C102,Popisy!A:M,MATCH($W$17,Popisy!$A$7:$M$7,0),FALSE),"---------------"))</f>
        <v>dýmovnice odpuzující krtky(dým+zápach)</v>
      </c>
      <c r="X102" s="645" t="str">
        <f t="shared" si="231"/>
        <v/>
      </c>
      <c r="Y102" s="645" t="str">
        <f t="shared" si="232"/>
        <v/>
      </c>
      <c r="Z102" s="645" t="str">
        <f>HYPERLINK("https://www.klasekpyrotechnics.cz/d3sk")</f>
        <v>https://www.klasekpyrotechnics.cz/d3sk</v>
      </c>
      <c r="AA102" s="645" t="str">
        <f>IFERROR(IF(VLOOKUP(C102,[4]List1!$A:$D,4,FALSE)=0,"",VLOOKUP(C102,[4]List1!$A:$D,4,FALSE)),"")</f>
        <v>105</v>
      </c>
      <c r="AB102" s="646"/>
      <c r="AC102" s="647" t="str">
        <f>IFERROR(IF(VLOOKUP(C102,[1]List1!$A:$D,2,FALSE)="VYPRODÁNO",$V$9,IF(VLOOKUP(C102,[1]List1!$A:$D,2,FALSE)="DOCHÁZÍ",$V$3,VLOOKUP(C102,[1]List1!$A:$D,2,FALSE))),"OFFLINE!")</f>
        <v>06.04.2026</v>
      </c>
      <c r="AD102" s="647" t="str">
        <f ca="1">IF(AP102="NE",$V$10,IF(AC102=$V$3,IF(AQ102&lt;1,$V$8,$V$2&amp;" "&amp;AQ102&amp;" "&amp;$V$1),IF(AC102="SKLADEM",$V$6,IFERROR(IF(OR(AC102-TODAY()&gt;45,VLOOKUP(C102,[1]List1!$A:$E,4,FALSE)=0),AC102,DAY(AC102)&amp;"."&amp;MONTH(AC102)&amp;"."&amp;YEAR(AC102)&amp;" "&amp;$V$4&amp;VLOOKUP(C102,[1]List1!$A:$E,4,FALSE)&amp;" "&amp;$V$1),AC102))))</f>
        <v>6.4.2026 DORAZÍ 100+ VK</v>
      </c>
      <c r="AE102" s="645" t="str">
        <f t="shared" ca="1" si="233"/>
        <v>6.4.2026 DORAZÍ 100+ VK</v>
      </c>
      <c r="AF102" s="648">
        <f t="shared" si="234"/>
        <v>0</v>
      </c>
      <c r="AG102" s="649">
        <f t="shared" si="235"/>
        <v>0</v>
      </c>
      <c r="AH102" s="650">
        <f t="shared" si="236"/>
        <v>0</v>
      </c>
      <c r="AI102" s="645">
        <f t="shared" si="237"/>
        <v>0</v>
      </c>
      <c r="AJ102" s="645">
        <f t="shared" si="238"/>
        <v>0</v>
      </c>
      <c r="AK102" s="645" t="str">
        <f t="shared" si="239"/>
        <v/>
      </c>
      <c r="AL102" s="645" t="str">
        <f t="shared" si="240"/>
        <v/>
      </c>
      <c r="AM102" s="645">
        <f t="shared" si="241"/>
        <v>0</v>
      </c>
      <c r="AN102" s="651">
        <f t="shared" si="242"/>
        <v>0</v>
      </c>
      <c r="AO102" s="623"/>
      <c r="AP102" s="625" t="str">
        <f t="shared" si="221"/>
        <v/>
      </c>
      <c r="AQ102" s="625" t="str">
        <f>IF(AC102=$V$3,IF(VLOOKUP(C102,[1]List1!$A:$E,5,FALSE)=0,1,VLOOKUP(C102,[1]List1!$A:$E,5,FALSE)),"")</f>
        <v/>
      </c>
      <c r="AR102" s="625" t="str">
        <f t="shared" si="222"/>
        <v/>
      </c>
      <c r="AS102" s="625" t="str">
        <f t="shared" si="223"/>
        <v/>
      </c>
      <c r="AT102" s="625" t="str">
        <f t="shared" si="224"/>
        <v/>
      </c>
      <c r="AU102" s="625" t="e">
        <f t="shared" si="225"/>
        <v>#N/A</v>
      </c>
      <c r="AV102" s="625" t="e">
        <f t="shared" si="226"/>
        <v>#N/A</v>
      </c>
      <c r="AX102" s="625">
        <f>IF(AND('General price list'!$J102="F4",'General price list'!$AB102+0&gt;0),1,0)</f>
        <v>0</v>
      </c>
      <c r="AY102" s="625">
        <f t="shared" si="227"/>
        <v>1</v>
      </c>
      <c r="AZ102" s="625">
        <f t="shared" si="228"/>
        <v>0</v>
      </c>
    </row>
    <row r="103" spans="1:52" ht="15" customHeight="1">
      <c r="A103" s="621" t="str">
        <f>Kat.!C103</f>
        <v/>
      </c>
      <c r="B103" s="566">
        <f>IF(AND('General price list'!$J103="F4",$AI$1=FALSE),0,IF(AC103="SKLADEM",1,IF(AC103=$V$3,1,0)))</f>
        <v>1</v>
      </c>
      <c r="C103" s="567" t="s">
        <v>206</v>
      </c>
      <c r="D103" s="568" t="s">
        <v>207</v>
      </c>
      <c r="E103" s="763" t="s">
        <v>12666</v>
      </c>
      <c r="F103" s="772">
        <f>IFERROR(VLOOKUP(C103,[2]List1!$A:$D,3,FALSE),"NEUVEDENO!")</f>
        <v>239</v>
      </c>
      <c r="G103" s="769">
        <f t="shared" si="229"/>
        <v>239</v>
      </c>
      <c r="H103" s="766">
        <f t="shared" si="230"/>
        <v>10.152370514797399</v>
      </c>
      <c r="I103" s="764">
        <f>IFERROR(VLOOKUP(C103,[2]List1!$A:$D,4,FALSE),"NEUVEDENO!")</f>
        <v>12</v>
      </c>
      <c r="J103" s="732" t="s">
        <v>208</v>
      </c>
      <c r="K103" s="569" t="s">
        <v>20</v>
      </c>
      <c r="L103" s="569" t="s">
        <v>10969</v>
      </c>
      <c r="M103" s="569" t="s">
        <v>21</v>
      </c>
      <c r="N103" s="569">
        <f>IFERROR(VLOOKUP(C103,[3]List1!$A:$D,4,FALSE),"N/A!")</f>
        <v>1.7198999999999999E-2</v>
      </c>
      <c r="O103" s="569">
        <f>IFERROR(VLOOKUP(C103,[3]List1!$A:$D,3,FALSE),"N/A!")</f>
        <v>4800</v>
      </c>
      <c r="P103" s="569">
        <f>IFERROR(VLOOKUP(C103,[3]List1!$A:$D,2,FALSE),"N/A!")</f>
        <v>8700</v>
      </c>
      <c r="Q103" s="569" t="s">
        <v>11245</v>
      </c>
      <c r="R103" s="569" t="s">
        <v>11243</v>
      </c>
      <c r="S103" s="569"/>
      <c r="T103" s="569">
        <v>35</v>
      </c>
      <c r="U103" s="569"/>
      <c r="V103" s="569"/>
      <c r="W103" s="569" t="str">
        <f>IFERROR(IF(AND($AB103&gt;=0.1*$AA103,MOD($AB103,$AA103)&gt;=($AA103-(0.1*$AA103))),IF($W$17=$AF$1,"Zvažte možnost doobjednání ještě "&amp;Tabulka1[[#This Row],[VKPAL]]-MOD(AB103,AA103)&amp;" VK do plné palety.",VLOOKUP("Zvažte možnost doobjednání ještě ",Jazyky_ceník!A:Q,MATCH($W$17,Jazyky_ceník!$A$1:$Q$1,0),FALSE)&amp;Tabulka1[[#This Row],[VKPAL]]-MOD(AB103,AA103)&amp;VLOOKUP(" VK do plné palety.",Jazyky_ceník!A:Q,MATCH($W$17,Jazyky_ceník!$A$1:$Q$1,0),FALSE)),IFERROR(IF(AND(NOT(MOD($AB103,$AA103)=0),$AB103&gt;=0.9*$AA103,MOD($AB103,$AA103)&lt;=0.1*$AA103),IF($W$17=$AF$1,"Zvažte možnost optimalizace objednaného množství podle počtu VK na paletě ==&gt;",VLOOKUP("Zvažte možnost optimalizace objednaného množství podle počtu VK na paletě ==&gt;",Jazyky_ceník!A:Q,MATCH($W$17,Jazyky_ceník!$A$1:$Q$1,0),FALSE)),VLOOKUP('General price list'!$C103,Popisy!A:M,MATCH($W$17,Popisy!$A$7:$M$7,0),FALSE)),"---------------")),IFERROR(VLOOKUP('General price list'!$C103,Popisy!A:M,MATCH($W$17,Popisy!$A$7:$M$7,0),FALSE),"---------------"))</f>
        <v>dýmovnice(tuba)-bílá barva</v>
      </c>
      <c r="X103" s="569" t="str">
        <f t="shared" si="231"/>
        <v/>
      </c>
      <c r="Y103" s="569" t="str">
        <f t="shared" si="232"/>
        <v/>
      </c>
      <c r="Z103" s="569" t="str">
        <f>HYPERLINK("https://www.klasekpyrotechnics.cz/rdg1b")</f>
        <v>https://www.klasekpyrotechnics.cz/rdg1b</v>
      </c>
      <c r="AA103" s="569">
        <f>IFERROR(IF(VLOOKUP(C103,[4]List1!$A:$D,4,FALSE)=0,"",VLOOKUP(C103,[4]List1!$A:$D,4,FALSE)),"")</f>
        <v>70</v>
      </c>
      <c r="AB103" s="565"/>
      <c r="AC103" s="570" t="str">
        <f>IFERROR(IF(VLOOKUP(C103,[1]List1!$A:$D,2,FALSE)="VYPRODÁNO",$V$9,IF(VLOOKUP(C103,[1]List1!$A:$D,2,FALSE)="DOCHÁZÍ",$V$3,VLOOKUP(C103,[1]List1!$A:$D,2,FALSE))),"OFFLINE!")</f>
        <v>SKLADEM</v>
      </c>
      <c r="AD103" s="570" t="str">
        <f ca="1">IF(AP103="NE",$V$10,IF(AC103=$V$3,IF(AQ103&lt;1,$V$8,$V$2&amp;" "&amp;AQ103&amp;" "&amp;$V$1),IF(AC103="SKLADEM",$V$6,IFERROR(IF(OR(AC103-TODAY()&gt;45,VLOOKUP(C103,[1]List1!$A:$E,4,FALSE)=0),AC103,DAY(AC103)&amp;"."&amp;MONTH(AC103)&amp;"."&amp;YEAR(AC103)&amp;" "&amp;$V$4&amp;VLOOKUP(C103,[1]List1!$A:$E,4,FALSE)&amp;" "&amp;$V$1),AC103))))</f>
        <v>SKLADEM</v>
      </c>
      <c r="AE103" s="581" t="str">
        <f t="shared" ca="1" si="233"/>
        <v>SKLADEM</v>
      </c>
      <c r="AF103" s="584">
        <f t="shared" si="234"/>
        <v>0</v>
      </c>
      <c r="AG103" s="585">
        <f t="shared" si="235"/>
        <v>0</v>
      </c>
      <c r="AH103" s="583">
        <f t="shared" si="236"/>
        <v>0</v>
      </c>
      <c r="AI103" s="582">
        <f t="shared" si="237"/>
        <v>0</v>
      </c>
      <c r="AJ103" s="569">
        <f t="shared" si="238"/>
        <v>0</v>
      </c>
      <c r="AK103" s="569" t="str">
        <f t="shared" si="239"/>
        <v/>
      </c>
      <c r="AL103" s="569" t="str">
        <f t="shared" si="240"/>
        <v/>
      </c>
      <c r="AM103" s="569">
        <f t="shared" si="241"/>
        <v>0</v>
      </c>
      <c r="AN103" s="581">
        <f t="shared" si="242"/>
        <v>0</v>
      </c>
      <c r="AO103" s="623"/>
      <c r="AP103" s="632" t="str">
        <f t="shared" si="221"/>
        <v/>
      </c>
      <c r="AQ103" s="633" t="str">
        <f>IF(AC103=$V$3,IF(VLOOKUP(C103,[1]List1!$A:$E,5,FALSE)=0,1,VLOOKUP(C103,[1]List1!$A:$E,5,FALSE)),"")</f>
        <v/>
      </c>
      <c r="AR103" s="625" t="str">
        <f t="shared" si="222"/>
        <v/>
      </c>
      <c r="AS103" s="634" t="str">
        <f t="shared" si="223"/>
        <v/>
      </c>
      <c r="AT103" s="625" t="str">
        <f t="shared" si="224"/>
        <v/>
      </c>
      <c r="AU103" s="638" t="e">
        <f t="shared" si="225"/>
        <v>#N/A</v>
      </c>
      <c r="AV103" s="625" t="e">
        <f t="shared" si="226"/>
        <v>#N/A</v>
      </c>
      <c r="AX103" s="625">
        <f>IF(AND('General price list'!$J103="F4",'General price list'!$AB103+0&gt;0),1,0)</f>
        <v>0</v>
      </c>
      <c r="AY103" s="625">
        <f t="shared" si="227"/>
        <v>1</v>
      </c>
      <c r="AZ103" s="625">
        <f t="shared" si="228"/>
        <v>1</v>
      </c>
    </row>
    <row r="104" spans="1:52" ht="15" customHeight="1">
      <c r="A104" s="639" t="str">
        <f>Kat.!C104</f>
        <v/>
      </c>
      <c r="B104" s="640">
        <f>IF(AND('General price list'!$J104="F4",$AI$1=FALSE),0,IF(AC104="SKLADEM",1,IF(AC104=$V$3,1,0)))</f>
        <v>1</v>
      </c>
      <c r="C104" s="641" t="s">
        <v>213</v>
      </c>
      <c r="D104" s="642" t="s">
        <v>214</v>
      </c>
      <c r="E104" s="643" t="s">
        <v>12666</v>
      </c>
      <c r="F104" s="771">
        <f>IFERROR(VLOOKUP(C104,[2]List1!$A:$D,3,FALSE),"NEUVEDENO!")</f>
        <v>239</v>
      </c>
      <c r="G104" s="768">
        <f t="shared" si="229"/>
        <v>239</v>
      </c>
      <c r="H104" s="765">
        <f t="shared" si="230"/>
        <v>10.152370514797399</v>
      </c>
      <c r="I104" s="644">
        <f>IFERROR(VLOOKUP(C104,[2]List1!$A:$D,4,FALSE),"NEUVEDENO!")</f>
        <v>12</v>
      </c>
      <c r="J104" s="733" t="s">
        <v>208</v>
      </c>
      <c r="K104" s="645" t="s">
        <v>20</v>
      </c>
      <c r="L104" s="645" t="s">
        <v>10969</v>
      </c>
      <c r="M104" s="645" t="s">
        <v>21</v>
      </c>
      <c r="N104" s="645">
        <f>IFERROR(VLOOKUP(C104,[3]List1!$A:$D,4,FALSE),"N/A!")</f>
        <v>1.7198999999999999E-2</v>
      </c>
      <c r="O104" s="645">
        <f>IFERROR(VLOOKUP(C104,[3]List1!$A:$D,3,FALSE),"N/A!")</f>
        <v>4800</v>
      </c>
      <c r="P104" s="645">
        <f>IFERROR(VLOOKUP(C104,[3]List1!$A:$D,2,FALSE),"N/A!")</f>
        <v>8700</v>
      </c>
      <c r="Q104" s="645" t="s">
        <v>11245</v>
      </c>
      <c r="R104" s="645" t="s">
        <v>11243</v>
      </c>
      <c r="S104" s="645"/>
      <c r="T104" s="645">
        <v>35</v>
      </c>
      <c r="U104" s="645"/>
      <c r="V104" s="645"/>
      <c r="W104" s="645" t="str">
        <f>IFERROR(IF(AND($AB104&gt;=0.1*$AA104,MOD($AB104,$AA104)&gt;=($AA104-(0.1*$AA104))),IF($W$17=$AF$1,"Zvažte možnost doobjednání ještě "&amp;Tabulka1[[#This Row],[VKPAL]]-MOD(AB104,AA104)&amp;" VK do plné palety.",VLOOKUP("Zvažte možnost doobjednání ještě ",Jazyky_ceník!A:Q,MATCH($W$17,Jazyky_ceník!$A$1:$Q$1,0),FALSE)&amp;Tabulka1[[#This Row],[VKPAL]]-MOD(AB104,AA104)&amp;VLOOKUP(" VK do plné palety.",Jazyky_ceník!A:Q,MATCH($W$17,Jazyky_ceník!$A$1:$Q$1,0),FALSE)),IFERROR(IF(AND(NOT(MOD($AB104,$AA104)=0),$AB104&gt;=0.9*$AA104,MOD($AB104,$AA104)&lt;=0.1*$AA104),IF($W$17=$AF$1,"Zvažte možnost optimalizace objednaného množství podle počtu VK na paletě ==&gt;",VLOOKUP("Zvažte možnost optimalizace objednaného množství podle počtu VK na paletě ==&gt;",Jazyky_ceník!A:Q,MATCH($W$17,Jazyky_ceník!$A$1:$Q$1,0),FALSE)),VLOOKUP('General price list'!$C104,Popisy!A:M,MATCH($W$17,Popisy!$A$7:$M$7,0),FALSE)),"---------------")),IFERROR(VLOOKUP('General price list'!$C104,Popisy!A:M,MATCH($W$17,Popisy!$A$7:$M$7,0),FALSE),"---------------"))</f>
        <v>dýmovnice(tuba) červená barva</v>
      </c>
      <c r="X104" s="645" t="str">
        <f t="shared" si="231"/>
        <v/>
      </c>
      <c r="Y104" s="645" t="str">
        <f t="shared" si="232"/>
        <v/>
      </c>
      <c r="Z104" s="645" t="str">
        <f>HYPERLINK("https://www.klasekpyrotechnics.cz/rdg1c")</f>
        <v>https://www.klasekpyrotechnics.cz/rdg1c</v>
      </c>
      <c r="AA104" s="645">
        <f>IFERROR(IF(VLOOKUP(C104,[4]List1!$A:$D,4,FALSE)=0,"",VLOOKUP(C104,[4]List1!$A:$D,4,FALSE)),"")</f>
        <v>70</v>
      </c>
      <c r="AB104" s="646"/>
      <c r="AC104" s="647" t="str">
        <f>IFERROR(IF(VLOOKUP(C104,[1]List1!$A:$D,2,FALSE)="VYPRODÁNO",$V$9,IF(VLOOKUP(C104,[1]List1!$A:$D,2,FALSE)="DOCHÁZÍ",$V$3,VLOOKUP(C104,[1]List1!$A:$D,2,FALSE))),"OFFLINE!")</f>
        <v>SKLADEM</v>
      </c>
      <c r="AD104" s="647" t="str">
        <f ca="1">IF(AP104="NE",$V$10,IF(AC104=$V$3,IF(AQ104&lt;1,$V$8,$V$2&amp;" "&amp;AQ104&amp;" "&amp;$V$1),IF(AC104="SKLADEM",$V$6,IFERROR(IF(OR(AC104-TODAY()&gt;45,VLOOKUP(C104,[1]List1!$A:$E,4,FALSE)=0),AC104,DAY(AC104)&amp;"."&amp;MONTH(AC104)&amp;"."&amp;YEAR(AC104)&amp;" "&amp;$V$4&amp;VLOOKUP(C104,[1]List1!$A:$E,4,FALSE)&amp;" "&amp;$V$1),AC104))))</f>
        <v>SKLADEM</v>
      </c>
      <c r="AE104" s="645" t="str">
        <f t="shared" ca="1" si="233"/>
        <v>SKLADEM</v>
      </c>
      <c r="AF104" s="648">
        <f t="shared" si="234"/>
        <v>0</v>
      </c>
      <c r="AG104" s="649">
        <f t="shared" si="235"/>
        <v>0</v>
      </c>
      <c r="AH104" s="650">
        <f t="shared" si="236"/>
        <v>0</v>
      </c>
      <c r="AI104" s="645">
        <f t="shared" si="237"/>
        <v>0</v>
      </c>
      <c r="AJ104" s="645">
        <f t="shared" si="238"/>
        <v>0</v>
      </c>
      <c r="AK104" s="645" t="str">
        <f t="shared" si="239"/>
        <v/>
      </c>
      <c r="AL104" s="645" t="str">
        <f t="shared" si="240"/>
        <v/>
      </c>
      <c r="AM104" s="645">
        <f t="shared" si="241"/>
        <v>0</v>
      </c>
      <c r="AN104" s="651">
        <f t="shared" si="242"/>
        <v>0</v>
      </c>
      <c r="AO104" s="623"/>
      <c r="AP104" s="632" t="str">
        <f t="shared" si="221"/>
        <v/>
      </c>
      <c r="AQ104" s="633" t="str">
        <f>IF(AC104=$V$3,IF(VLOOKUP(C104,[1]List1!$A:$E,5,FALSE)=0,1,VLOOKUP(C104,[1]List1!$A:$E,5,FALSE)),"")</f>
        <v/>
      </c>
      <c r="AR104" s="625" t="str">
        <f t="shared" si="222"/>
        <v/>
      </c>
      <c r="AS104" s="634" t="str">
        <f t="shared" si="223"/>
        <v/>
      </c>
      <c r="AT104" s="625" t="str">
        <f t="shared" si="224"/>
        <v/>
      </c>
      <c r="AU104" s="638" t="e">
        <f t="shared" si="225"/>
        <v>#N/A</v>
      </c>
      <c r="AV104" s="625" t="e">
        <f t="shared" si="226"/>
        <v>#N/A</v>
      </c>
      <c r="AX104" s="625">
        <f>IF(AND('General price list'!$J104="F4",'General price list'!$AB104+0&gt;0),1,0)</f>
        <v>0</v>
      </c>
      <c r="AY104" s="625">
        <f t="shared" si="227"/>
        <v>1</v>
      </c>
      <c r="AZ104" s="625">
        <f t="shared" si="228"/>
        <v>1</v>
      </c>
    </row>
    <row r="105" spans="1:52" ht="15" customHeight="1">
      <c r="A105" s="621" t="str">
        <f>Kat.!C105</f>
        <v/>
      </c>
      <c r="B105" s="566">
        <f>IF(AND('General price list'!$J105="F4",$AI$1=FALSE),0,IF(AC105="SKLADEM",1,IF(AC105=$V$3,1,0)))</f>
        <v>1</v>
      </c>
      <c r="C105" s="567" t="s">
        <v>219</v>
      </c>
      <c r="D105" s="568" t="s">
        <v>220</v>
      </c>
      <c r="E105" s="763" t="s">
        <v>12666</v>
      </c>
      <c r="F105" s="772">
        <f>IFERROR(VLOOKUP(C105,[2]List1!$A:$D,3,FALSE),"NEUVEDENO!")</f>
        <v>239</v>
      </c>
      <c r="G105" s="769">
        <f t="shared" si="229"/>
        <v>239</v>
      </c>
      <c r="H105" s="766">
        <f t="shared" si="230"/>
        <v>10.152370514797399</v>
      </c>
      <c r="I105" s="764">
        <f>IFERROR(VLOOKUP(C105,[2]List1!$A:$D,4,FALSE),"NEUVEDENO!")</f>
        <v>12</v>
      </c>
      <c r="J105" s="732" t="s">
        <v>208</v>
      </c>
      <c r="K105" s="569" t="s">
        <v>20</v>
      </c>
      <c r="L105" s="569" t="s">
        <v>10969</v>
      </c>
      <c r="M105" s="569" t="s">
        <v>21</v>
      </c>
      <c r="N105" s="569">
        <f>IFERROR(VLOOKUP(C105,[3]List1!$A:$D,4,FALSE),"N/A!")</f>
        <v>1.7198999999999999E-2</v>
      </c>
      <c r="O105" s="569">
        <f>IFERROR(VLOOKUP(C105,[3]List1!$A:$D,3,FALSE),"N/A!")</f>
        <v>4800</v>
      </c>
      <c r="P105" s="569">
        <f>IFERROR(VLOOKUP(C105,[3]List1!$A:$D,2,FALSE),"N/A!")</f>
        <v>8700</v>
      </c>
      <c r="Q105" s="569" t="s">
        <v>11245</v>
      </c>
      <c r="R105" s="569" t="s">
        <v>11243</v>
      </c>
      <c r="S105" s="569"/>
      <c r="T105" s="569">
        <v>35</v>
      </c>
      <c r="U105" s="569"/>
      <c r="V105" s="569"/>
      <c r="W105" s="569" t="str">
        <f>IFERROR(IF(AND($AB105&gt;=0.1*$AA105,MOD($AB105,$AA105)&gt;=($AA105-(0.1*$AA105))),IF($W$17=$AF$1,"Zvažte možnost doobjednání ještě "&amp;Tabulka1[[#This Row],[VKPAL]]-MOD(AB105,AA105)&amp;" VK do plné palety.",VLOOKUP("Zvažte možnost doobjednání ještě ",Jazyky_ceník!A:Q,MATCH($W$17,Jazyky_ceník!$A$1:$Q$1,0),FALSE)&amp;Tabulka1[[#This Row],[VKPAL]]-MOD(AB105,AA105)&amp;VLOOKUP(" VK do plné palety.",Jazyky_ceník!A:Q,MATCH($W$17,Jazyky_ceník!$A$1:$Q$1,0),FALSE)),IFERROR(IF(AND(NOT(MOD($AB105,$AA105)=0),$AB105&gt;=0.9*$AA105,MOD($AB105,$AA105)&lt;=0.1*$AA105),IF($W$17=$AF$1,"Zvažte možnost optimalizace objednaného množství podle počtu VK na paletě ==&gt;",VLOOKUP("Zvažte možnost optimalizace objednaného množství podle počtu VK na paletě ==&gt;",Jazyky_ceník!A:Q,MATCH($W$17,Jazyky_ceník!$A$1:$Q$1,0),FALSE)),VLOOKUP('General price list'!$C105,Popisy!A:M,MATCH($W$17,Popisy!$A$7:$M$7,0),FALSE)),"---------------")),IFERROR(VLOOKUP('General price list'!$C105,Popisy!A:M,MATCH($W$17,Popisy!$A$7:$M$7,0),FALSE),"---------------"))</f>
        <v>dýmovnice(tuba) modrá barva</v>
      </c>
      <c r="X105" s="569" t="str">
        <f t="shared" si="231"/>
        <v/>
      </c>
      <c r="Y105" s="569" t="str">
        <f t="shared" si="232"/>
        <v/>
      </c>
      <c r="Z105" s="569" t="str">
        <f>HYPERLINK("https://www.klasekpyrotechnics.cz/rdg1m")</f>
        <v>https://www.klasekpyrotechnics.cz/rdg1m</v>
      </c>
      <c r="AA105" s="569">
        <f>IFERROR(IF(VLOOKUP(C105,[4]List1!$A:$D,4,FALSE)=0,"",VLOOKUP(C105,[4]List1!$A:$D,4,FALSE)),"")</f>
        <v>70</v>
      </c>
      <c r="AB105" s="565"/>
      <c r="AC105" s="570" t="str">
        <f>IFERROR(IF(VLOOKUP(C105,[1]List1!$A:$D,2,FALSE)="VYPRODÁNO",$V$9,IF(VLOOKUP(C105,[1]List1!$A:$D,2,FALSE)="DOCHÁZÍ",$V$3,VLOOKUP(C105,[1]List1!$A:$D,2,FALSE))),"OFFLINE!")</f>
        <v>SKLADEM</v>
      </c>
      <c r="AD105" s="570" t="str">
        <f ca="1">IF(AP105="NE",$V$10,IF(AC105=$V$3,IF(AQ105&lt;1,$V$8,$V$2&amp;" "&amp;AQ105&amp;" "&amp;$V$1),IF(AC105="SKLADEM",$V$6,IFERROR(IF(OR(AC105-TODAY()&gt;45,VLOOKUP(C105,[1]List1!$A:$E,4,FALSE)=0),AC105,DAY(AC105)&amp;"."&amp;MONTH(AC105)&amp;"."&amp;YEAR(AC105)&amp;" "&amp;$V$4&amp;VLOOKUP(C105,[1]List1!$A:$E,4,FALSE)&amp;" "&amp;$V$1),AC105))))</f>
        <v>SKLADEM</v>
      </c>
      <c r="AE105" s="581" t="str">
        <f t="shared" ca="1" si="233"/>
        <v>SKLADEM</v>
      </c>
      <c r="AF105" s="584">
        <f t="shared" si="234"/>
        <v>0</v>
      </c>
      <c r="AG105" s="585">
        <f t="shared" si="235"/>
        <v>0</v>
      </c>
      <c r="AH105" s="583">
        <f t="shared" si="236"/>
        <v>0</v>
      </c>
      <c r="AI105" s="582">
        <f t="shared" si="237"/>
        <v>0</v>
      </c>
      <c r="AJ105" s="569">
        <f t="shared" si="238"/>
        <v>0</v>
      </c>
      <c r="AK105" s="569" t="str">
        <f t="shared" si="239"/>
        <v/>
      </c>
      <c r="AL105" s="569" t="str">
        <f t="shared" si="240"/>
        <v/>
      </c>
      <c r="AM105" s="569">
        <f t="shared" si="241"/>
        <v>0</v>
      </c>
      <c r="AN105" s="581">
        <f t="shared" si="242"/>
        <v>0</v>
      </c>
      <c r="AO105" s="623"/>
      <c r="AP105" s="632" t="str">
        <f t="shared" si="221"/>
        <v/>
      </c>
      <c r="AQ105" s="633" t="str">
        <f>IF(AC105=$V$3,IF(VLOOKUP(C105,[1]List1!$A:$E,5,FALSE)=0,1,VLOOKUP(C105,[1]List1!$A:$E,5,FALSE)),"")</f>
        <v/>
      </c>
      <c r="AR105" s="625" t="str">
        <f t="shared" si="222"/>
        <v/>
      </c>
      <c r="AS105" s="634" t="str">
        <f t="shared" si="223"/>
        <v/>
      </c>
      <c r="AT105" s="625" t="str">
        <f t="shared" si="224"/>
        <v/>
      </c>
      <c r="AU105" s="638" t="e">
        <f t="shared" si="225"/>
        <v>#N/A</v>
      </c>
      <c r="AV105" s="625" t="e">
        <f t="shared" si="226"/>
        <v>#N/A</v>
      </c>
      <c r="AX105" s="625">
        <f>IF(AND('General price list'!$J105="F4",'General price list'!$AB105+0&gt;0),1,0)</f>
        <v>0</v>
      </c>
      <c r="AY105" s="625">
        <f t="shared" si="227"/>
        <v>1</v>
      </c>
      <c r="AZ105" s="625">
        <f t="shared" si="228"/>
        <v>1</v>
      </c>
    </row>
    <row r="106" spans="1:52" ht="15" customHeight="1">
      <c r="A106" s="639" t="str">
        <f>Kat.!C106</f>
        <v/>
      </c>
      <c r="B106" s="640">
        <f>IF(AND('General price list'!$J106="F4",$AI$1=FALSE),0,IF(AC106="SKLADEM",1,IF(AC106=$V$3,1,0)))</f>
        <v>1</v>
      </c>
      <c r="C106" s="641" t="s">
        <v>225</v>
      </c>
      <c r="D106" s="642" t="s">
        <v>226</v>
      </c>
      <c r="E106" s="643" t="s">
        <v>12667</v>
      </c>
      <c r="F106" s="771">
        <f>IFERROR(VLOOKUP(C106,[2]List1!$A:$D,3,FALSE),"NEUVEDENO!")</f>
        <v>63</v>
      </c>
      <c r="G106" s="768">
        <f t="shared" si="229"/>
        <v>63</v>
      </c>
      <c r="H106" s="765">
        <f t="shared" si="230"/>
        <v>2.6761478762855067</v>
      </c>
      <c r="I106" s="644">
        <f>IFERROR(VLOOKUP(C106,[2]List1!$A:$D,4,FALSE),"NEUVEDENO!")</f>
        <v>50</v>
      </c>
      <c r="J106" s="733" t="s">
        <v>208</v>
      </c>
      <c r="K106" s="645" t="s">
        <v>20</v>
      </c>
      <c r="L106" s="645" t="s">
        <v>10969</v>
      </c>
      <c r="M106" s="645" t="s">
        <v>21</v>
      </c>
      <c r="N106" s="645">
        <f>IFERROR(VLOOKUP(C106,[3]List1!$A:$D,4,FALSE),"N/A!")</f>
        <v>1.7198999999999999E-2</v>
      </c>
      <c r="O106" s="645">
        <f>IFERROR(VLOOKUP(C106,[3]List1!$A:$D,3,FALSE),"N/A!")</f>
        <v>5000</v>
      </c>
      <c r="P106" s="645">
        <f>IFERROR(VLOOKUP(C106,[3]List1!$A:$D,2,FALSE),"N/A!")</f>
        <v>8700</v>
      </c>
      <c r="Q106" s="645" t="s">
        <v>11243</v>
      </c>
      <c r="R106" s="645" t="s">
        <v>20</v>
      </c>
      <c r="S106" s="645"/>
      <c r="T106" s="645">
        <v>35</v>
      </c>
      <c r="U106" s="645"/>
      <c r="V106" s="645"/>
      <c r="W106" s="645" t="str">
        <f>IFERROR(IF(AND($AB106&gt;=0.1*$AA106,MOD($AB106,$AA106)&gt;=($AA106-(0.1*$AA106))),IF($W$17=$AF$1,"Zvažte možnost doobjednání ještě "&amp;Tabulka1[[#This Row],[VKPAL]]-MOD(AB106,AA106)&amp;" VK do plné palety.",VLOOKUP("Zvažte možnost doobjednání ještě ",Jazyky_ceník!A:Q,MATCH($W$17,Jazyky_ceník!$A$1:$Q$1,0),FALSE)&amp;Tabulka1[[#This Row],[VKPAL]]-MOD(AB106,AA106)&amp;VLOOKUP(" VK do plné palety.",Jazyky_ceník!A:Q,MATCH($W$17,Jazyky_ceník!$A$1:$Q$1,0),FALSE)),IFERROR(IF(AND(NOT(MOD($AB106,$AA106)=0),$AB106&gt;=0.9*$AA106,MOD($AB106,$AA106)&lt;=0.1*$AA106),IF($W$17=$AF$1,"Zvažte možnost optimalizace objednaného množství podle počtu VK na paletě ==&gt;",VLOOKUP("Zvažte možnost optimalizace objednaného množství podle počtu VK na paletě ==&gt;",Jazyky_ceník!A:Q,MATCH($W$17,Jazyky_ceník!$A$1:$Q$1,0),FALSE)),VLOOKUP('General price list'!$C106,Popisy!A:M,MATCH($W$17,Popisy!$A$7:$M$7,0),FALSE)),"---------------")),IFERROR(VLOOKUP('General price list'!$C106,Popisy!A:M,MATCH($W$17,Popisy!$A$7:$M$7,0),FALSE),"---------------"))</f>
        <v>dýmovnice(tuba)-žlutá barva</v>
      </c>
      <c r="X106" s="645" t="str">
        <f t="shared" si="231"/>
        <v/>
      </c>
      <c r="Y106" s="645" t="str">
        <f t="shared" si="232"/>
        <v/>
      </c>
      <c r="Z106" s="645" t="str">
        <f>HYPERLINK("https://www.klasekpyrotechnics.cz/rdg1zl")</f>
        <v>https://www.klasekpyrotechnics.cz/rdg1zl</v>
      </c>
      <c r="AA106" s="645">
        <f>IFERROR(IF(VLOOKUP(C106,[4]List1!$A:$D,4,FALSE)=0,"",VLOOKUP(C106,[4]List1!$A:$D,4,FALSE)),"")</f>
        <v>70</v>
      </c>
      <c r="AB106" s="646"/>
      <c r="AC106" s="647" t="str">
        <f>IFERROR(IF(VLOOKUP(C106,[1]List1!$A:$D,2,FALSE)="VYPRODÁNO",$V$9,IF(VLOOKUP(C106,[1]List1!$A:$D,2,FALSE)="DOCHÁZÍ",$V$3,VLOOKUP(C106,[1]List1!$A:$D,2,FALSE))),"OFFLINE!")</f>
        <v>DOCHÁZÍ</v>
      </c>
      <c r="AD106" s="647" t="str">
        <f ca="1">IF(AP106="NE",$V$10,IF(AC106=$V$3,IF(AQ106&lt;1,$V$8,$V$2&amp;" "&amp;AQ106&amp;" "&amp;$V$1),IF(AC106="SKLADEM",$V$6,IFERROR(IF(OR(AC106-TODAY()&gt;45,VLOOKUP(C106,[1]List1!$A:$E,4,FALSE)=0),AC106,DAY(AC106)&amp;"."&amp;MONTH(AC106)&amp;"."&amp;YEAR(AC106)&amp;" "&amp;$V$4&amp;VLOOKUP(C106,[1]List1!$A:$E,4,FALSE)&amp;" "&amp;$V$1),AC106))))</f>
        <v>POSLEDNÍCH 35 VK</v>
      </c>
      <c r="AE106" s="645" t="str">
        <f t="shared" ca="1" si="233"/>
        <v>POSLEDNÍCH 35 VK</v>
      </c>
      <c r="AF106" s="648">
        <f t="shared" si="234"/>
        <v>0</v>
      </c>
      <c r="AG106" s="649">
        <f t="shared" si="235"/>
        <v>0</v>
      </c>
      <c r="AH106" s="650">
        <f t="shared" si="236"/>
        <v>0</v>
      </c>
      <c r="AI106" s="645">
        <f t="shared" si="237"/>
        <v>0</v>
      </c>
      <c r="AJ106" s="645">
        <f t="shared" si="238"/>
        <v>0</v>
      </c>
      <c r="AK106" s="645" t="str">
        <f t="shared" si="239"/>
        <v/>
      </c>
      <c r="AL106" s="645" t="str">
        <f t="shared" si="240"/>
        <v/>
      </c>
      <c r="AM106" s="645">
        <f t="shared" si="241"/>
        <v>0</v>
      </c>
      <c r="AN106" s="651">
        <f t="shared" si="242"/>
        <v>0</v>
      </c>
      <c r="AO106" s="623"/>
      <c r="AP106" s="632" t="str">
        <f t="shared" si="221"/>
        <v/>
      </c>
      <c r="AQ106" s="633">
        <f>IF(AC106=$V$3,IF(VLOOKUP(C106,[1]List1!$A:$E,5,FALSE)=0,1,VLOOKUP(C106,[1]List1!$A:$E,5,FALSE)),"")</f>
        <v>35</v>
      </c>
      <c r="AR106" s="625" t="str">
        <f t="shared" si="222"/>
        <v/>
      </c>
      <c r="AS106" s="634" t="str">
        <f t="shared" si="223"/>
        <v/>
      </c>
      <c r="AT106" s="625" t="str">
        <f t="shared" si="224"/>
        <v/>
      </c>
      <c r="AU106" s="638" t="e">
        <f t="shared" si="225"/>
        <v>#N/A</v>
      </c>
      <c r="AV106" s="625" t="e">
        <f t="shared" si="226"/>
        <v>#N/A</v>
      </c>
      <c r="AX106" s="625">
        <f>IF(AND('General price list'!$J106="F4",'General price list'!$AB106+0&gt;0),1,0)</f>
        <v>0</v>
      </c>
      <c r="AY106" s="625">
        <f t="shared" si="227"/>
        <v>1</v>
      </c>
      <c r="AZ106" s="625">
        <f t="shared" si="228"/>
        <v>0</v>
      </c>
    </row>
    <row r="107" spans="1:52" ht="15" customHeight="1">
      <c r="A107" s="621" t="str">
        <f>Kat.!C107</f>
        <v>×</v>
      </c>
      <c r="B107" s="566">
        <f>IF(AND('General price list'!$J107="F4",$AI$1=FALSE),0,IF(AC107="SKLADEM",1,IF(AC107=$V$3,1,0)))</f>
        <v>1</v>
      </c>
      <c r="C107" s="567" t="s">
        <v>230</v>
      </c>
      <c r="D107" s="568" t="s">
        <v>226</v>
      </c>
      <c r="E107" s="763" t="s">
        <v>12667</v>
      </c>
      <c r="F107" s="772">
        <f>IFERROR(VLOOKUP(C107,[2]List1!$A:$D,3,FALSE),"NEUVEDENO!")</f>
        <v>63</v>
      </c>
      <c r="G107" s="769">
        <f t="shared" si="229"/>
        <v>63</v>
      </c>
      <c r="H107" s="766">
        <f t="shared" si="230"/>
        <v>2.6761478762855067</v>
      </c>
      <c r="I107" s="764">
        <f>IFERROR(VLOOKUP(C107,[2]List1!$A:$D,4,FALSE),"NEUVEDENO!")</f>
        <v>50</v>
      </c>
      <c r="J107" s="732" t="s">
        <v>208</v>
      </c>
      <c r="K107" s="569" t="s">
        <v>20</v>
      </c>
      <c r="L107" s="569" t="s">
        <v>10969</v>
      </c>
      <c r="M107" s="569" t="s">
        <v>21</v>
      </c>
      <c r="N107" s="569">
        <f>IFERROR(VLOOKUP(C107,[3]List1!$A:$D,4,FALSE),"N/A!")</f>
        <v>1.7198999999999999E-2</v>
      </c>
      <c r="O107" s="569">
        <f>IFERROR(VLOOKUP(C107,[3]List1!$A:$D,3,FALSE),"N/A!")</f>
        <v>5000</v>
      </c>
      <c r="P107" s="569">
        <f>IFERROR(VLOOKUP(C107,[3]List1!$A:$D,2,FALSE),"N/A!")</f>
        <v>8700</v>
      </c>
      <c r="Q107" s="569" t="s">
        <v>11237</v>
      </c>
      <c r="R107" s="569" t="s">
        <v>20</v>
      </c>
      <c r="S107" s="569"/>
      <c r="T107" s="569">
        <v>35</v>
      </c>
      <c r="U107" s="569"/>
      <c r="V107" s="569"/>
      <c r="W107" s="569" t="str">
        <f>IFERROR(IF(AND($AB107&gt;=0.1*$AA107,MOD($AB107,$AA107)&gt;=($AA107-(0.1*$AA107))),IF($W$17=$AF$1,"Zvažte možnost doobjednání ještě "&amp;Tabulka1[[#This Row],[VKPAL]]-MOD(AB107,AA107)&amp;" VK do plné palety.",VLOOKUP("Zvažte možnost doobjednání ještě ",Jazyky_ceník!A:Q,MATCH($W$17,Jazyky_ceník!$A$1:$Q$1,0),FALSE)&amp;Tabulka1[[#This Row],[VKPAL]]-MOD(AB107,AA107)&amp;VLOOKUP(" VK do plné palety.",Jazyky_ceník!A:Q,MATCH($W$17,Jazyky_ceník!$A$1:$Q$1,0),FALSE)),IFERROR(IF(AND(NOT(MOD($AB107,$AA107)=0),$AB107&gt;=0.9*$AA107,MOD($AB107,$AA107)&lt;=0.1*$AA107),IF($W$17=$AF$1,"Zvažte možnost optimalizace objednaného množství podle počtu VK na paletě ==&gt;",VLOOKUP("Zvažte možnost optimalizace objednaného množství podle počtu VK na paletě ==&gt;",Jazyky_ceník!A:Q,MATCH($W$17,Jazyky_ceník!$A$1:$Q$1,0),FALSE)),VLOOKUP('General price list'!$C107,Popisy!A:M,MATCH($W$17,Popisy!$A$7:$M$7,0),FALSE)),"---------------")),IFERROR(VLOOKUP('General price list'!$C107,Popisy!A:M,MATCH($W$17,Popisy!$A$7:$M$7,0),FALSE),"---------------"))</f>
        <v>dýmovnice(tuba)-žlutá barva</v>
      </c>
      <c r="X107" s="569" t="str">
        <f t="shared" si="231"/>
        <v/>
      </c>
      <c r="Y107" s="569" t="str">
        <f t="shared" si="232"/>
        <v/>
      </c>
      <c r="Z107" s="569" t="str">
        <f>HYPERLINK("https://www.klasekpyrotechnics.cz/rdg1zl_1")</f>
        <v>https://www.klasekpyrotechnics.cz/rdg1zl_1</v>
      </c>
      <c r="AA107" s="569">
        <f>IFERROR(IF(VLOOKUP(C107,[4]List1!$A:$D,4,FALSE)=0,"",VLOOKUP(C107,[4]List1!$A:$D,4,FALSE)),"")</f>
        <v>70</v>
      </c>
      <c r="AB107" s="565"/>
      <c r="AC107" s="570" t="str">
        <f>IFERROR(IF(VLOOKUP(C107,[1]List1!$A:$D,2,FALSE)="VYPRODÁNO",$V$9,IF(VLOOKUP(C107,[1]List1!$A:$D,2,FALSE)="DOCHÁZÍ",$V$3,VLOOKUP(C107,[1]List1!$A:$D,2,FALSE))),"OFFLINE!")</f>
        <v>DOCHÁZÍ</v>
      </c>
      <c r="AD107" s="570" t="str">
        <f ca="1">IF(AP107="NE",$V$10,IF(AC107=$V$3,IF(AQ107&lt;1,$V$8,$V$2&amp;" "&amp;AQ107&amp;" "&amp;$V$1),IF(AC107="SKLADEM",$V$6,IFERROR(IF(OR(AC107-TODAY()&gt;45,VLOOKUP(C107,[1]List1!$A:$E,4,FALSE)=0),AC107,DAY(AC107)&amp;"."&amp;MONTH(AC107)&amp;"."&amp;YEAR(AC107)&amp;" "&amp;$V$4&amp;VLOOKUP(C107,[1]List1!$A:$E,4,FALSE)&amp;" "&amp;$V$1),AC107))))</f>
        <v>POSLEDNÍCH 6 VK</v>
      </c>
      <c r="AE107" s="581" t="str">
        <f t="shared" ca="1" si="233"/>
        <v>POSLEDNÍCH 6 VK</v>
      </c>
      <c r="AF107" s="584">
        <f t="shared" si="234"/>
        <v>0</v>
      </c>
      <c r="AG107" s="585">
        <f t="shared" si="235"/>
        <v>0</v>
      </c>
      <c r="AH107" s="583">
        <f t="shared" si="236"/>
        <v>0</v>
      </c>
      <c r="AI107" s="582">
        <f t="shared" si="237"/>
        <v>0</v>
      </c>
      <c r="AJ107" s="569">
        <f t="shared" si="238"/>
        <v>0</v>
      </c>
      <c r="AK107" s="569" t="str">
        <f t="shared" si="239"/>
        <v/>
      </c>
      <c r="AL107" s="569" t="str">
        <f t="shared" si="240"/>
        <v/>
      </c>
      <c r="AM107" s="569">
        <f t="shared" si="241"/>
        <v>0</v>
      </c>
      <c r="AN107" s="581">
        <f t="shared" si="242"/>
        <v>0</v>
      </c>
      <c r="AO107" s="623"/>
      <c r="AP107" s="632" t="str">
        <f t="shared" si="221"/>
        <v/>
      </c>
      <c r="AQ107" s="633">
        <f>IF(AC107=$V$3,IF(VLOOKUP(C107,[1]List1!$A:$E,5,FALSE)=0,1,VLOOKUP(C107,[1]List1!$A:$E,5,FALSE)),"")</f>
        <v>6</v>
      </c>
      <c r="AR107" s="625" t="str">
        <f t="shared" si="222"/>
        <v/>
      </c>
      <c r="AS107" s="634" t="str">
        <f t="shared" si="223"/>
        <v/>
      </c>
      <c r="AT107" s="625" t="str">
        <f t="shared" si="224"/>
        <v/>
      </c>
      <c r="AU107" s="638" t="e">
        <f t="shared" si="225"/>
        <v>#N/A</v>
      </c>
      <c r="AV107" s="625" t="e">
        <f t="shared" si="226"/>
        <v>#N/A</v>
      </c>
      <c r="AX107" s="625">
        <f>IF(AND('General price list'!$J107="F4",'General price list'!$AB107+0&gt;0),1,0)</f>
        <v>0</v>
      </c>
      <c r="AY107" s="625">
        <f t="shared" si="227"/>
        <v>0</v>
      </c>
      <c r="AZ107" s="625">
        <f t="shared" si="228"/>
        <v>0</v>
      </c>
    </row>
    <row r="108" spans="1:52" ht="15" customHeight="1">
      <c r="A108" s="639" t="str">
        <f>Kat.!C108</f>
        <v/>
      </c>
      <c r="B108" s="640">
        <f>IF(AND('General price list'!$J108="F4",$AI$1=FALSE),0,IF(AC108="SKLADEM",1,IF(AC108=$V$3,1,0)))</f>
        <v>1</v>
      </c>
      <c r="C108" s="641" t="s">
        <v>231</v>
      </c>
      <c r="D108" s="642" t="s">
        <v>232</v>
      </c>
      <c r="E108" s="643" t="s">
        <v>12666</v>
      </c>
      <c r="F108" s="771">
        <f>IFERROR(VLOOKUP(C108,[2]List1!$A:$D,3,FALSE),"NEUVEDENO!")</f>
        <v>239</v>
      </c>
      <c r="G108" s="768">
        <f t="shared" si="229"/>
        <v>239</v>
      </c>
      <c r="H108" s="765">
        <f t="shared" si="230"/>
        <v>10.152370514797399</v>
      </c>
      <c r="I108" s="644">
        <f>IFERROR(VLOOKUP(C108,[2]List1!$A:$D,4,FALSE),"NEUVEDENO!")</f>
        <v>12</v>
      </c>
      <c r="J108" s="733" t="s">
        <v>208</v>
      </c>
      <c r="K108" s="645" t="s">
        <v>20</v>
      </c>
      <c r="L108" s="645" t="s">
        <v>10969</v>
      </c>
      <c r="M108" s="645" t="s">
        <v>21</v>
      </c>
      <c r="N108" s="645">
        <f>IFERROR(VLOOKUP(C108,[3]List1!$A:$D,4,FALSE),"N/A!")</f>
        <v>1.7198999999999999E-2</v>
      </c>
      <c r="O108" s="645">
        <f>IFERROR(VLOOKUP(C108,[3]List1!$A:$D,3,FALSE),"N/A!")</f>
        <v>4800</v>
      </c>
      <c r="P108" s="645">
        <f>IFERROR(VLOOKUP(C108,[3]List1!$A:$D,2,FALSE),"N/A!")</f>
        <v>8700</v>
      </c>
      <c r="Q108" s="645" t="s">
        <v>11245</v>
      </c>
      <c r="R108" s="645" t="s">
        <v>11243</v>
      </c>
      <c r="S108" s="645"/>
      <c r="T108" s="645">
        <v>35</v>
      </c>
      <c r="U108" s="645"/>
      <c r="V108" s="645"/>
      <c r="W108" s="645" t="str">
        <f>IFERROR(IF(AND($AB108&gt;=0.1*$AA108,MOD($AB108,$AA108)&gt;=($AA108-(0.1*$AA108))),IF($W$17=$AF$1,"Zvažte možnost doobjednání ještě "&amp;Tabulka1[[#This Row],[VKPAL]]-MOD(AB108,AA108)&amp;" VK do plné palety.",VLOOKUP("Zvažte možnost doobjednání ještě ",Jazyky_ceník!A:Q,MATCH($W$17,Jazyky_ceník!$A$1:$Q$1,0),FALSE)&amp;Tabulka1[[#This Row],[VKPAL]]-MOD(AB108,AA108)&amp;VLOOKUP(" VK do plné palety.",Jazyky_ceník!A:Q,MATCH($W$17,Jazyky_ceník!$A$1:$Q$1,0),FALSE)),IFERROR(IF(AND(NOT(MOD($AB108,$AA108)=0),$AB108&gt;=0.9*$AA108,MOD($AB108,$AA108)&lt;=0.1*$AA108),IF($W$17=$AF$1,"Zvažte možnost optimalizace objednaného množství podle počtu VK na paletě ==&gt;",VLOOKUP("Zvažte možnost optimalizace objednaného množství podle počtu VK na paletě ==&gt;",Jazyky_ceník!A:Q,MATCH($W$17,Jazyky_ceník!$A$1:$Q$1,0),FALSE)),VLOOKUP('General price list'!$C108,Popisy!A:M,MATCH($W$17,Popisy!$A$7:$M$7,0),FALSE)),"---------------")),IFERROR(VLOOKUP('General price list'!$C108,Popisy!A:M,MATCH($W$17,Popisy!$A$7:$M$7,0),FALSE),"---------------"))</f>
        <v>dýmovnice(tuba)-zelená barva</v>
      </c>
      <c r="X108" s="645" t="str">
        <f t="shared" si="231"/>
        <v/>
      </c>
      <c r="Y108" s="645" t="str">
        <f t="shared" si="232"/>
        <v/>
      </c>
      <c r="Z108" s="645" t="str">
        <f>HYPERLINK("https://www.klasekpyrotechnics.cz/rdg1ze")</f>
        <v>https://www.klasekpyrotechnics.cz/rdg1ze</v>
      </c>
      <c r="AA108" s="645">
        <f>IFERROR(IF(VLOOKUP(C108,[4]List1!$A:$D,4,FALSE)=0,"",VLOOKUP(C108,[4]List1!$A:$D,4,FALSE)),"")</f>
        <v>70</v>
      </c>
      <c r="AB108" s="646"/>
      <c r="AC108" s="647" t="str">
        <f>IFERROR(IF(VLOOKUP(C108,[1]List1!$A:$D,2,FALSE)="VYPRODÁNO",$V$9,IF(VLOOKUP(C108,[1]List1!$A:$D,2,FALSE)="DOCHÁZÍ",$V$3,VLOOKUP(C108,[1]List1!$A:$D,2,FALSE))),"OFFLINE!")</f>
        <v>SKLADEM</v>
      </c>
      <c r="AD108" s="647" t="str">
        <f ca="1">IF(AP108="NE",$V$10,IF(AC108=$V$3,IF(AQ108&lt;1,$V$8,$V$2&amp;" "&amp;AQ108&amp;" "&amp;$V$1),IF(AC108="SKLADEM",$V$6,IFERROR(IF(OR(AC108-TODAY()&gt;45,VLOOKUP(C108,[1]List1!$A:$E,4,FALSE)=0),AC108,DAY(AC108)&amp;"."&amp;MONTH(AC108)&amp;"."&amp;YEAR(AC108)&amp;" "&amp;$V$4&amp;VLOOKUP(C108,[1]List1!$A:$E,4,FALSE)&amp;" "&amp;$V$1),AC108))))</f>
        <v>SKLADEM</v>
      </c>
      <c r="AE108" s="645" t="str">
        <f t="shared" ca="1" si="233"/>
        <v>SKLADEM</v>
      </c>
      <c r="AF108" s="648">
        <f t="shared" si="234"/>
        <v>0</v>
      </c>
      <c r="AG108" s="649">
        <f t="shared" si="235"/>
        <v>0</v>
      </c>
      <c r="AH108" s="650">
        <f t="shared" si="236"/>
        <v>0</v>
      </c>
      <c r="AI108" s="645">
        <f t="shared" si="237"/>
        <v>0</v>
      </c>
      <c r="AJ108" s="645">
        <f t="shared" si="238"/>
        <v>0</v>
      </c>
      <c r="AK108" s="645" t="str">
        <f t="shared" si="239"/>
        <v/>
      </c>
      <c r="AL108" s="645" t="str">
        <f t="shared" si="240"/>
        <v/>
      </c>
      <c r="AM108" s="645">
        <f t="shared" si="241"/>
        <v>0</v>
      </c>
      <c r="AN108" s="651">
        <f t="shared" si="242"/>
        <v>0</v>
      </c>
      <c r="AO108" s="623"/>
      <c r="AP108" s="632" t="str">
        <f t="shared" si="221"/>
        <v/>
      </c>
      <c r="AQ108" s="633" t="str">
        <f>IF(AC108=$V$3,IF(VLOOKUP(C108,[1]List1!$A:$E,5,FALSE)=0,1,VLOOKUP(C108,[1]List1!$A:$E,5,FALSE)),"")</f>
        <v/>
      </c>
      <c r="AR108" s="625" t="str">
        <f t="shared" si="222"/>
        <v/>
      </c>
      <c r="AS108" s="634" t="str">
        <f t="shared" si="223"/>
        <v/>
      </c>
      <c r="AT108" s="625" t="str">
        <f t="shared" si="224"/>
        <v/>
      </c>
      <c r="AU108" s="638" t="e">
        <f t="shared" si="225"/>
        <v>#N/A</v>
      </c>
      <c r="AV108" s="625" t="e">
        <f t="shared" si="226"/>
        <v>#N/A</v>
      </c>
      <c r="AX108" s="625">
        <f>IF(AND('General price list'!$J108="F4",'General price list'!$AB108+0&gt;0),1,0)</f>
        <v>0</v>
      </c>
      <c r="AY108" s="625">
        <f t="shared" si="227"/>
        <v>1</v>
      </c>
      <c r="AZ108" s="625">
        <f t="shared" si="228"/>
        <v>1</v>
      </c>
    </row>
    <row r="109" spans="1:52" ht="15" customHeight="1">
      <c r="A109" s="621" t="str">
        <f>Kat.!C109</f>
        <v/>
      </c>
      <c r="B109" s="566">
        <f>IF(AND('General price list'!$J109="F4",$AI$1=FALSE),0,IF(AC109="SKLADEM",1,IF(AC109=$V$3,1,0)))</f>
        <v>1</v>
      </c>
      <c r="C109" s="567" t="s">
        <v>243</v>
      </c>
      <c r="D109" s="568" t="s">
        <v>244</v>
      </c>
      <c r="E109" s="763" t="s">
        <v>12667</v>
      </c>
      <c r="F109" s="772">
        <f>IFERROR(VLOOKUP(C109,[2]List1!$A:$D,3,FALSE),"NEUVEDENO!")</f>
        <v>121</v>
      </c>
      <c r="G109" s="769">
        <f t="shared" si="229"/>
        <v>121</v>
      </c>
      <c r="H109" s="766">
        <f t="shared" si="230"/>
        <v>5.1399030639769254</v>
      </c>
      <c r="I109" s="764">
        <f>IFERROR(VLOOKUP(C109,[2]List1!$A:$D,4,FALSE),"NEUVEDENO!")</f>
        <v>50</v>
      </c>
      <c r="J109" s="732" t="s">
        <v>208</v>
      </c>
      <c r="K109" s="569" t="s">
        <v>20</v>
      </c>
      <c r="L109" s="569" t="s">
        <v>10969</v>
      </c>
      <c r="M109" s="569" t="s">
        <v>21</v>
      </c>
      <c r="N109" s="569">
        <f>IFERROR(VLOOKUP(C109,[3]List1!$A:$D,4,FALSE),"N/A!")</f>
        <v>3.6358000000000001E-2</v>
      </c>
      <c r="O109" s="569">
        <f>IFERROR(VLOOKUP(C109,[3]List1!$A:$D,3,FALSE),"N/A!")</f>
        <v>12000</v>
      </c>
      <c r="P109" s="569">
        <f>IFERROR(VLOOKUP(C109,[3]List1!$A:$D,2,FALSE),"N/A!")</f>
        <v>17000</v>
      </c>
      <c r="Q109" s="569" t="s">
        <v>11232</v>
      </c>
      <c r="R109" s="569"/>
      <c r="S109" s="569"/>
      <c r="T109" s="569">
        <v>60</v>
      </c>
      <c r="U109" s="569"/>
      <c r="V109" s="569"/>
      <c r="W109" s="569" t="str">
        <f>IFERROR(IF(AND($AB109&gt;=0.1*$AA109,MOD($AB109,$AA109)&gt;=($AA109-(0.1*$AA109))),IF($W$17=$AF$1,"Zvažte možnost doobjednání ještě "&amp;Tabulka1[[#This Row],[VKPAL]]-MOD(AB109,AA109)&amp;" VK do plné palety.",VLOOKUP("Zvažte možnost doobjednání ještě ",Jazyky_ceník!A:Q,MATCH($W$17,Jazyky_ceník!$A$1:$Q$1,0),FALSE)&amp;Tabulka1[[#This Row],[VKPAL]]-MOD(AB109,AA109)&amp;VLOOKUP(" VK do plné palety.",Jazyky_ceník!A:Q,MATCH($W$17,Jazyky_ceník!$A$1:$Q$1,0),FALSE)),IFERROR(IF(AND(NOT(MOD($AB109,$AA109)=0),$AB109&gt;=0.9*$AA109,MOD($AB109,$AA109)&lt;=0.1*$AA109),IF($W$17=$AF$1,"Zvažte možnost optimalizace objednaného množství podle počtu VK na paletě ==&gt;",VLOOKUP("Zvažte možnost optimalizace objednaného množství podle počtu VK na paletě ==&gt;",Jazyky_ceník!A:Q,MATCH($W$17,Jazyky_ceník!$A$1:$Q$1,0),FALSE)),VLOOKUP('General price list'!$C109,Popisy!A:M,MATCH($W$17,Popisy!$A$7:$M$7,0),FALSE)),"---------------")),IFERROR(VLOOKUP('General price list'!$C109,Popisy!A:M,MATCH($W$17,Popisy!$A$7:$M$7,0),FALSE),"---------------"))</f>
        <v>dýmovnice(tuba dýmící ze dvou stran)-bílá barva</v>
      </c>
      <c r="X109" s="569" t="str">
        <f t="shared" si="231"/>
        <v/>
      </c>
      <c r="Y109" s="569" t="str">
        <f t="shared" si="232"/>
        <v/>
      </c>
      <c r="Z109" s="569" t="str">
        <f>HYPERLINK("https://www.klasekpyrotechnics.cz/rdg2b")</f>
        <v>https://www.klasekpyrotechnics.cz/rdg2b</v>
      </c>
      <c r="AA109" s="569">
        <f>IFERROR(IF(VLOOKUP(C109,[4]List1!$A:$D,4,FALSE)=0,"",VLOOKUP(C109,[4]List1!$A:$D,4,FALSE)),"")</f>
        <v>42</v>
      </c>
      <c r="AB109" s="565"/>
      <c r="AC109" s="570" t="str">
        <f>IFERROR(IF(VLOOKUP(C109,[1]List1!$A:$D,2,FALSE)="VYPRODÁNO",$V$9,IF(VLOOKUP(C109,[1]List1!$A:$D,2,FALSE)="DOCHÁZÍ",$V$3,VLOOKUP(C109,[1]List1!$A:$D,2,FALSE))),"OFFLINE!")</f>
        <v>SKLADEM</v>
      </c>
      <c r="AD109" s="570" t="str">
        <f ca="1">IF(AP109="NE",$V$10,IF(AC109=$V$3,IF(AQ109&lt;1,$V$8,$V$2&amp;" "&amp;AQ109&amp;" "&amp;$V$1),IF(AC109="SKLADEM",$V$6,IFERROR(IF(OR(AC109-TODAY()&gt;45,VLOOKUP(C109,[1]List1!$A:$E,4,FALSE)=0),AC109,DAY(AC109)&amp;"."&amp;MONTH(AC109)&amp;"."&amp;YEAR(AC109)&amp;" "&amp;$V$4&amp;VLOOKUP(C109,[1]List1!$A:$E,4,FALSE)&amp;" "&amp;$V$1),AC109))))</f>
        <v>SKLADEM</v>
      </c>
      <c r="AE109" s="581" t="str">
        <f t="shared" ca="1" si="233"/>
        <v>SKLADEM</v>
      </c>
      <c r="AF109" s="584">
        <f t="shared" si="234"/>
        <v>0</v>
      </c>
      <c r="AG109" s="585">
        <f t="shared" si="235"/>
        <v>0</v>
      </c>
      <c r="AH109" s="583">
        <f t="shared" si="236"/>
        <v>0</v>
      </c>
      <c r="AI109" s="582">
        <f t="shared" si="237"/>
        <v>0</v>
      </c>
      <c r="AJ109" s="569">
        <f t="shared" si="238"/>
        <v>0</v>
      </c>
      <c r="AK109" s="569" t="str">
        <f t="shared" si="239"/>
        <v/>
      </c>
      <c r="AL109" s="569" t="str">
        <f t="shared" si="240"/>
        <v/>
      </c>
      <c r="AM109" s="569">
        <f t="shared" si="241"/>
        <v>0</v>
      </c>
      <c r="AN109" s="581">
        <f t="shared" si="242"/>
        <v>0</v>
      </c>
      <c r="AO109" s="623"/>
      <c r="AP109" s="632" t="str">
        <f t="shared" si="221"/>
        <v/>
      </c>
      <c r="AQ109" s="633" t="str">
        <f>IF(AC109=$V$3,IF(VLOOKUP(C109,[1]List1!$A:$E,5,FALSE)=0,1,VLOOKUP(C109,[1]List1!$A:$E,5,FALSE)),"")</f>
        <v/>
      </c>
      <c r="AR109" s="625" t="str">
        <f t="shared" si="222"/>
        <v/>
      </c>
      <c r="AS109" s="634" t="str">
        <f t="shared" si="223"/>
        <v/>
      </c>
      <c r="AT109" s="625" t="str">
        <f t="shared" si="224"/>
        <v/>
      </c>
      <c r="AU109" s="638" t="e">
        <f t="shared" si="225"/>
        <v>#N/A</v>
      </c>
      <c r="AV109" s="625" t="e">
        <f t="shared" si="226"/>
        <v>#N/A</v>
      </c>
      <c r="AX109" s="625">
        <f>IF(AND('General price list'!$J109="F4",'General price list'!$AB109+0&gt;0),1,0)</f>
        <v>0</v>
      </c>
      <c r="AY109" s="625">
        <f t="shared" si="227"/>
        <v>1</v>
      </c>
      <c r="AZ109" s="625">
        <f t="shared" si="228"/>
        <v>0</v>
      </c>
    </row>
    <row r="110" spans="1:52" ht="15" customHeight="1">
      <c r="A110" s="639" t="str">
        <f>Kat.!C110</f>
        <v/>
      </c>
      <c r="B110" s="640">
        <f>IF(AND('General price list'!$J110="F4",$AI$1=FALSE),0,IF(AC110="SKLADEM",1,IF(AC110=$V$3,1,0)))</f>
        <v>1</v>
      </c>
      <c r="C110" s="641" t="s">
        <v>248</v>
      </c>
      <c r="D110" s="642" t="s">
        <v>249</v>
      </c>
      <c r="E110" s="643" t="s">
        <v>12667</v>
      </c>
      <c r="F110" s="771">
        <f>IFERROR(VLOOKUP(C110,[2]List1!$A:$D,3,FALSE),"NEUVEDENO!")</f>
        <v>121</v>
      </c>
      <c r="G110" s="768">
        <f t="shared" si="229"/>
        <v>121</v>
      </c>
      <c r="H110" s="765">
        <f t="shared" si="230"/>
        <v>5.1399030639769254</v>
      </c>
      <c r="I110" s="644">
        <f>IFERROR(VLOOKUP(C110,[2]List1!$A:$D,4,FALSE),"NEUVEDENO!")</f>
        <v>50</v>
      </c>
      <c r="J110" s="733" t="s">
        <v>208</v>
      </c>
      <c r="K110" s="645" t="s">
        <v>20</v>
      </c>
      <c r="L110" s="645" t="s">
        <v>10969</v>
      </c>
      <c r="M110" s="645" t="s">
        <v>21</v>
      </c>
      <c r="N110" s="645">
        <f>IFERROR(VLOOKUP(C110,[3]List1!$A:$D,4,FALSE),"N/A!")</f>
        <v>3.6358000000000001E-2</v>
      </c>
      <c r="O110" s="645">
        <f>IFERROR(VLOOKUP(C110,[3]List1!$A:$D,3,FALSE),"N/A!")</f>
        <v>12000</v>
      </c>
      <c r="P110" s="645">
        <f>IFERROR(VLOOKUP(C110,[3]List1!$A:$D,2,FALSE),"N/A!")</f>
        <v>17000</v>
      </c>
      <c r="Q110" s="645" t="s">
        <v>11232</v>
      </c>
      <c r="R110" s="645"/>
      <c r="S110" s="645"/>
      <c r="T110" s="645">
        <v>60</v>
      </c>
      <c r="U110" s="645"/>
      <c r="V110" s="645"/>
      <c r="W110" s="645" t="str">
        <f>IFERROR(IF(AND($AB110&gt;=0.1*$AA110,MOD($AB110,$AA110)&gt;=($AA110-(0.1*$AA110))),IF($W$17=$AF$1,"Zvažte možnost doobjednání ještě "&amp;Tabulka1[[#This Row],[VKPAL]]-MOD(AB110,AA110)&amp;" VK do plné palety.",VLOOKUP("Zvažte možnost doobjednání ještě ",Jazyky_ceník!A:Q,MATCH($W$17,Jazyky_ceník!$A$1:$Q$1,0),FALSE)&amp;Tabulka1[[#This Row],[VKPAL]]-MOD(AB110,AA110)&amp;VLOOKUP(" VK do plné palety.",Jazyky_ceník!A:Q,MATCH($W$17,Jazyky_ceník!$A$1:$Q$1,0),FALSE)),IFERROR(IF(AND(NOT(MOD($AB110,$AA110)=0),$AB110&gt;=0.9*$AA110,MOD($AB110,$AA110)&lt;=0.1*$AA110),IF($W$17=$AF$1,"Zvažte možnost optimalizace objednaného množství podle počtu VK na paletě ==&gt;",VLOOKUP("Zvažte možnost optimalizace objednaného množství podle počtu VK na paletě ==&gt;",Jazyky_ceník!A:Q,MATCH($W$17,Jazyky_ceník!$A$1:$Q$1,0),FALSE)),VLOOKUP('General price list'!$C110,Popisy!A:M,MATCH($W$17,Popisy!$A$7:$M$7,0),FALSE)),"---------------")),IFERROR(VLOOKUP('General price list'!$C110,Popisy!A:M,MATCH($W$17,Popisy!$A$7:$M$7,0),FALSE),"---------------"))</f>
        <v>dýmovnice(tuba dýmící ze dvou stran)-červená barva</v>
      </c>
      <c r="X110" s="645" t="str">
        <f t="shared" si="231"/>
        <v/>
      </c>
      <c r="Y110" s="645" t="str">
        <f t="shared" si="232"/>
        <v/>
      </c>
      <c r="Z110" s="645" t="str">
        <f>HYPERLINK("https://www.klasekpyrotechnics.cz/rdg2c")</f>
        <v>https://www.klasekpyrotechnics.cz/rdg2c</v>
      </c>
      <c r="AA110" s="645">
        <f>IFERROR(IF(VLOOKUP(C110,[4]List1!$A:$D,4,FALSE)=0,"",VLOOKUP(C110,[4]List1!$A:$D,4,FALSE)),"")</f>
        <v>42</v>
      </c>
      <c r="AB110" s="646"/>
      <c r="AC110" s="647" t="str">
        <f>IFERROR(IF(VLOOKUP(C110,[1]List1!$A:$D,2,FALSE)="VYPRODÁNO",$V$9,IF(VLOOKUP(C110,[1]List1!$A:$D,2,FALSE)="DOCHÁZÍ",$V$3,VLOOKUP(C110,[1]List1!$A:$D,2,FALSE))),"OFFLINE!")</f>
        <v>SKLADEM</v>
      </c>
      <c r="AD110" s="647" t="str">
        <f ca="1">IF(AP110="NE",$V$10,IF(AC110=$V$3,IF(AQ110&lt;1,$V$8,$V$2&amp;" "&amp;AQ110&amp;" "&amp;$V$1),IF(AC110="SKLADEM",$V$6,IFERROR(IF(OR(AC110-TODAY()&gt;45,VLOOKUP(C110,[1]List1!$A:$E,4,FALSE)=0),AC110,DAY(AC110)&amp;"."&amp;MONTH(AC110)&amp;"."&amp;YEAR(AC110)&amp;" "&amp;$V$4&amp;VLOOKUP(C110,[1]List1!$A:$E,4,FALSE)&amp;" "&amp;$V$1),AC110))))</f>
        <v>SKLADEM</v>
      </c>
      <c r="AE110" s="645" t="str">
        <f t="shared" ca="1" si="233"/>
        <v>SKLADEM</v>
      </c>
      <c r="AF110" s="648">
        <f t="shared" si="234"/>
        <v>0</v>
      </c>
      <c r="AG110" s="649">
        <f t="shared" si="235"/>
        <v>0</v>
      </c>
      <c r="AH110" s="650">
        <f t="shared" si="236"/>
        <v>0</v>
      </c>
      <c r="AI110" s="645">
        <f t="shared" si="237"/>
        <v>0</v>
      </c>
      <c r="AJ110" s="645">
        <f t="shared" si="238"/>
        <v>0</v>
      </c>
      <c r="AK110" s="645" t="str">
        <f t="shared" si="239"/>
        <v/>
      </c>
      <c r="AL110" s="645" t="str">
        <f t="shared" si="240"/>
        <v/>
      </c>
      <c r="AM110" s="645">
        <f t="shared" si="241"/>
        <v>0</v>
      </c>
      <c r="AN110" s="651">
        <f t="shared" si="242"/>
        <v>0</v>
      </c>
      <c r="AO110" s="623"/>
      <c r="AP110" s="632" t="str">
        <f t="shared" si="221"/>
        <v/>
      </c>
      <c r="AQ110" s="633" t="str">
        <f>IF(AC110=$V$3,IF(VLOOKUP(C110,[1]List1!$A:$E,5,FALSE)=0,1,VLOOKUP(C110,[1]List1!$A:$E,5,FALSE)),"")</f>
        <v/>
      </c>
      <c r="AR110" s="625" t="str">
        <f t="shared" si="222"/>
        <v/>
      </c>
      <c r="AS110" s="634" t="str">
        <f t="shared" si="223"/>
        <v/>
      </c>
      <c r="AT110" s="625" t="str">
        <f t="shared" si="224"/>
        <v/>
      </c>
      <c r="AU110" s="638" t="e">
        <f t="shared" si="225"/>
        <v>#N/A</v>
      </c>
      <c r="AV110" s="625" t="e">
        <f t="shared" si="226"/>
        <v>#N/A</v>
      </c>
      <c r="AX110" s="625">
        <f>IF(AND('General price list'!$J110="F4",'General price list'!$AB110+0&gt;0),1,0)</f>
        <v>0</v>
      </c>
      <c r="AY110" s="625">
        <f t="shared" si="227"/>
        <v>1</v>
      </c>
      <c r="AZ110" s="625">
        <f t="shared" si="228"/>
        <v>0</v>
      </c>
    </row>
    <row r="111" spans="1:52" ht="15" customHeight="1">
      <c r="A111" s="621" t="str">
        <f>Kat.!C111</f>
        <v/>
      </c>
      <c r="B111" s="566">
        <f>IF(AND('General price list'!$J111="F4",$AI$1=FALSE),0,IF(AC111="SKLADEM",1,IF(AC111=$V$3,1,0)))</f>
        <v>1</v>
      </c>
      <c r="C111" s="567" t="s">
        <v>253</v>
      </c>
      <c r="D111" s="568" t="s">
        <v>254</v>
      </c>
      <c r="E111" s="763" t="s">
        <v>12667</v>
      </c>
      <c r="F111" s="772">
        <f>IFERROR(VLOOKUP(C111,[2]List1!$A:$D,3,FALSE),"NEUVEDENO!")</f>
        <v>121</v>
      </c>
      <c r="G111" s="769">
        <f t="shared" si="229"/>
        <v>121</v>
      </c>
      <c r="H111" s="766">
        <f t="shared" si="230"/>
        <v>5.1399030639769254</v>
      </c>
      <c r="I111" s="764">
        <f>IFERROR(VLOOKUP(C111,[2]List1!$A:$D,4,FALSE),"NEUVEDENO!")</f>
        <v>50</v>
      </c>
      <c r="J111" s="732" t="s">
        <v>208</v>
      </c>
      <c r="K111" s="569" t="s">
        <v>20</v>
      </c>
      <c r="L111" s="569" t="s">
        <v>10969</v>
      </c>
      <c r="M111" s="569" t="s">
        <v>21</v>
      </c>
      <c r="N111" s="569">
        <f>IFERROR(VLOOKUP(C111,[3]List1!$A:$D,4,FALSE),"N/A!")</f>
        <v>3.6358000000000001E-2</v>
      </c>
      <c r="O111" s="569">
        <f>IFERROR(VLOOKUP(C111,[3]List1!$A:$D,3,FALSE),"N/A!")</f>
        <v>12000</v>
      </c>
      <c r="P111" s="569">
        <f>IFERROR(VLOOKUP(C111,[3]List1!$A:$D,2,FALSE),"N/A!")</f>
        <v>17000</v>
      </c>
      <c r="Q111" s="569" t="s">
        <v>11232</v>
      </c>
      <c r="R111" s="569"/>
      <c r="S111" s="569"/>
      <c r="T111" s="569">
        <v>60</v>
      </c>
      <c r="U111" s="569"/>
      <c r="V111" s="569"/>
      <c r="W111" s="569" t="str">
        <f>IFERROR(IF(AND($AB111&gt;=0.1*$AA111,MOD($AB111,$AA111)&gt;=($AA111-(0.1*$AA111))),IF($W$17=$AF$1,"Zvažte možnost doobjednání ještě "&amp;Tabulka1[[#This Row],[VKPAL]]-MOD(AB111,AA111)&amp;" VK do plné palety.",VLOOKUP("Zvažte možnost doobjednání ještě ",Jazyky_ceník!A:Q,MATCH($W$17,Jazyky_ceník!$A$1:$Q$1,0),FALSE)&amp;Tabulka1[[#This Row],[VKPAL]]-MOD(AB111,AA111)&amp;VLOOKUP(" VK do plné palety.",Jazyky_ceník!A:Q,MATCH($W$17,Jazyky_ceník!$A$1:$Q$1,0),FALSE)),IFERROR(IF(AND(NOT(MOD($AB111,$AA111)=0),$AB111&gt;=0.9*$AA111,MOD($AB111,$AA111)&lt;=0.1*$AA111),IF($W$17=$AF$1,"Zvažte možnost optimalizace objednaného množství podle počtu VK na paletě ==&gt;",VLOOKUP("Zvažte možnost optimalizace objednaného množství podle počtu VK na paletě ==&gt;",Jazyky_ceník!A:Q,MATCH($W$17,Jazyky_ceník!$A$1:$Q$1,0),FALSE)),VLOOKUP('General price list'!$C111,Popisy!A:M,MATCH($W$17,Popisy!$A$7:$M$7,0),FALSE)),"---------------")),IFERROR(VLOOKUP('General price list'!$C111,Popisy!A:M,MATCH($W$17,Popisy!$A$7:$M$7,0),FALSE),"---------------"))</f>
        <v>dýmovnice(tuba dýmící ze dvou stran)-modrá barva</v>
      </c>
      <c r="X111" s="569" t="str">
        <f t="shared" si="231"/>
        <v/>
      </c>
      <c r="Y111" s="569" t="str">
        <f t="shared" si="232"/>
        <v/>
      </c>
      <c r="Z111" s="569" t="str">
        <f>HYPERLINK("https://www.klasekpyrotechnics.cz/rdg2m")</f>
        <v>https://www.klasekpyrotechnics.cz/rdg2m</v>
      </c>
      <c r="AA111" s="569">
        <f>IFERROR(IF(VLOOKUP(C111,[4]List1!$A:$D,4,FALSE)=0,"",VLOOKUP(C111,[4]List1!$A:$D,4,FALSE)),"")</f>
        <v>42</v>
      </c>
      <c r="AB111" s="565"/>
      <c r="AC111" s="570" t="str">
        <f>IFERROR(IF(VLOOKUP(C111,[1]List1!$A:$D,2,FALSE)="VYPRODÁNO",$V$9,IF(VLOOKUP(C111,[1]List1!$A:$D,2,FALSE)="DOCHÁZÍ",$V$3,VLOOKUP(C111,[1]List1!$A:$D,2,FALSE))),"OFFLINE!")</f>
        <v>SKLADEM</v>
      </c>
      <c r="AD111" s="570" t="str">
        <f ca="1">IF(AP111="NE",$V$10,IF(AC111=$V$3,IF(AQ111&lt;1,$V$8,$V$2&amp;" "&amp;AQ111&amp;" "&amp;$V$1),IF(AC111="SKLADEM",$V$6,IFERROR(IF(OR(AC111-TODAY()&gt;45,VLOOKUP(C111,[1]List1!$A:$E,4,FALSE)=0),AC111,DAY(AC111)&amp;"."&amp;MONTH(AC111)&amp;"."&amp;YEAR(AC111)&amp;" "&amp;$V$4&amp;VLOOKUP(C111,[1]List1!$A:$E,4,FALSE)&amp;" "&amp;$V$1),AC111))))</f>
        <v>SKLADEM</v>
      </c>
      <c r="AE111" s="581" t="str">
        <f t="shared" ca="1" si="233"/>
        <v>SKLADEM</v>
      </c>
      <c r="AF111" s="584">
        <f t="shared" si="234"/>
        <v>0</v>
      </c>
      <c r="AG111" s="585">
        <f t="shared" si="235"/>
        <v>0</v>
      </c>
      <c r="AH111" s="583">
        <f t="shared" si="236"/>
        <v>0</v>
      </c>
      <c r="AI111" s="582">
        <f t="shared" si="237"/>
        <v>0</v>
      </c>
      <c r="AJ111" s="569">
        <f t="shared" si="238"/>
        <v>0</v>
      </c>
      <c r="AK111" s="569" t="str">
        <f t="shared" si="239"/>
        <v/>
      </c>
      <c r="AL111" s="569" t="str">
        <f t="shared" si="240"/>
        <v/>
      </c>
      <c r="AM111" s="569">
        <f t="shared" si="241"/>
        <v>0</v>
      </c>
      <c r="AN111" s="581">
        <f t="shared" si="242"/>
        <v>0</v>
      </c>
      <c r="AO111" s="623"/>
      <c r="AP111" s="632" t="str">
        <f t="shared" si="221"/>
        <v/>
      </c>
      <c r="AQ111" s="633" t="str">
        <f>IF(AC111=$V$3,IF(VLOOKUP(C111,[1]List1!$A:$E,5,FALSE)=0,1,VLOOKUP(C111,[1]List1!$A:$E,5,FALSE)),"")</f>
        <v/>
      </c>
      <c r="AR111" s="625" t="str">
        <f t="shared" si="222"/>
        <v/>
      </c>
      <c r="AS111" s="634" t="str">
        <f t="shared" si="223"/>
        <v/>
      </c>
      <c r="AT111" s="625" t="str">
        <f t="shared" si="224"/>
        <v/>
      </c>
      <c r="AU111" s="638" t="e">
        <f t="shared" si="225"/>
        <v>#N/A</v>
      </c>
      <c r="AV111" s="625" t="e">
        <f t="shared" si="226"/>
        <v>#N/A</v>
      </c>
      <c r="AX111" s="625">
        <f>IF(AND('General price list'!$J111="F4",'General price list'!$AB111+0&gt;0),1,0)</f>
        <v>0</v>
      </c>
      <c r="AY111" s="625">
        <f t="shared" si="227"/>
        <v>1</v>
      </c>
      <c r="AZ111" s="625">
        <f t="shared" si="228"/>
        <v>0</v>
      </c>
    </row>
    <row r="112" spans="1:52" ht="15" customHeight="1">
      <c r="A112" s="751" t="str">
        <f>Kat.!C112</f>
        <v xml:space="preserve">           Dýmovnice škrtací</v>
      </c>
      <c r="B112" s="751"/>
      <c r="C112" s="751"/>
      <c r="D112" s="751"/>
      <c r="E112" s="751"/>
      <c r="F112" s="751"/>
      <c r="G112" s="751"/>
      <c r="H112" s="751"/>
      <c r="I112" s="752"/>
      <c r="J112" s="752"/>
      <c r="K112" s="752" t="s">
        <v>20</v>
      </c>
      <c r="L112" s="753" t="s">
        <v>2818</v>
      </c>
      <c r="M112" s="752"/>
      <c r="N112" s="752"/>
      <c r="O112" s="752"/>
      <c r="P112" s="752"/>
      <c r="Q112" s="752"/>
      <c r="R112" s="752"/>
      <c r="S112" s="752"/>
      <c r="T112" s="752"/>
      <c r="U112" s="752"/>
      <c r="V112" s="752"/>
      <c r="W112" s="752"/>
      <c r="X112" s="752"/>
      <c r="Y112" s="752"/>
      <c r="Z112" s="752" t="s">
        <v>20</v>
      </c>
      <c r="AA112" s="752"/>
      <c r="AB112" s="752"/>
      <c r="AC112" s="754"/>
      <c r="AD112" s="752"/>
      <c r="AE112" s="752"/>
      <c r="AF112" s="752"/>
      <c r="AG112" s="752"/>
      <c r="AH112" s="752"/>
      <c r="AI112" s="752"/>
      <c r="AJ112" s="752"/>
      <c r="AK112" s="752"/>
      <c r="AL112" s="752"/>
      <c r="AM112" s="752"/>
      <c r="AN112" s="752"/>
      <c r="AO112" s="623"/>
      <c r="AP112" s="632" t="str">
        <f t="shared" si="221"/>
        <v/>
      </c>
      <c r="AQ112" s="633" t="str">
        <f>IF(AC112=$V$3,IF(VLOOKUP(C112,[1]List1!$A:$E,5,FALSE)=0,1,VLOOKUP(C112,[1]List1!$A:$E,5,FALSE)),"")</f>
        <v/>
      </c>
      <c r="AR112" s="625" t="str">
        <f t="shared" si="222"/>
        <v/>
      </c>
      <c r="AS112" s="634" t="str">
        <f t="shared" si="223"/>
        <v/>
      </c>
      <c r="AT112" s="625" t="str">
        <f t="shared" si="224"/>
        <v/>
      </c>
      <c r="AU112" s="638" t="e">
        <f t="shared" si="225"/>
        <v>#N/A</v>
      </c>
      <c r="AV112" s="625" t="e">
        <f t="shared" si="226"/>
        <v>#N/A</v>
      </c>
      <c r="AX112" s="625">
        <f>IF(AND('General price list'!$J112="F4",'General price list'!$AB112+0&gt;0),1,0)</f>
        <v>0</v>
      </c>
      <c r="AY112" s="625">
        <f t="shared" si="227"/>
        <v>0</v>
      </c>
      <c r="AZ112" s="625">
        <f t="shared" si="228"/>
        <v>0</v>
      </c>
    </row>
    <row r="113" spans="1:52" ht="15" customHeight="1">
      <c r="A113" s="639" t="str">
        <f>Kat.!C113</f>
        <v>×</v>
      </c>
      <c r="B113" s="640">
        <f>IF(AND('General price list'!$J113="F4",$AI$1=FALSE),0,IF(AC113="SKLADEM",1,IF(AC113=$V$3,1,0)))</f>
        <v>1</v>
      </c>
      <c r="C113" s="641" t="s">
        <v>3309</v>
      </c>
      <c r="D113" s="642" t="s">
        <v>3310</v>
      </c>
      <c r="E113" s="643" t="s">
        <v>12668</v>
      </c>
      <c r="F113" s="771">
        <f>IFERROR(VLOOKUP(C113,[2]List1!$A:$D,3,FALSE),"NEUVEDENO!")</f>
        <v>277</v>
      </c>
      <c r="G113" s="768">
        <f t="shared" ref="G113:G116" si="243">IF($W$17=$AF$8,ROUND((F113)/$F$17,2),(F113)*$B$19)</f>
        <v>277</v>
      </c>
      <c r="H113" s="765">
        <f t="shared" ref="H113:H116" si="244">IF($W$17=$AF$8,G113*$B$19,G113/$F$17)</f>
        <v>11.766554948112466</v>
      </c>
      <c r="I113" s="644">
        <f>IFERROR(VLOOKUP(C113,[2]List1!$A:$D,4,FALSE),"NEUVEDENO!")</f>
        <v>20</v>
      </c>
      <c r="J113" s="733" t="s">
        <v>193</v>
      </c>
      <c r="K113" s="645" t="s">
        <v>20</v>
      </c>
      <c r="L113" s="645" t="s">
        <v>10968</v>
      </c>
      <c r="M113" s="645" t="s">
        <v>21</v>
      </c>
      <c r="N113" s="645">
        <f>IFERROR(VLOOKUP(C113,[3]List1!$A:$D,4,FALSE),"N/A!")</f>
        <v>3.61415E-2</v>
      </c>
      <c r="O113" s="645">
        <f>IFERROR(VLOOKUP(C113,[3]List1!$A:$D,3,FALSE),"N/A!")</f>
        <v>2500</v>
      </c>
      <c r="P113" s="645">
        <f>IFERROR(VLOOKUP(C113,[3]List1!$A:$D,2,FALSE),"N/A!")</f>
        <v>12000</v>
      </c>
      <c r="Q113" s="645" t="s">
        <v>11745</v>
      </c>
      <c r="R113" s="645" t="s">
        <v>20</v>
      </c>
      <c r="S113" s="645"/>
      <c r="T113" s="645">
        <v>60</v>
      </c>
      <c r="U113" s="645"/>
      <c r="V113" s="645"/>
      <c r="W113" s="645" t="str">
        <f>IFERROR(IF(AND($AB113&gt;=0.1*$AA113,MOD($AB113,$AA113)&gt;=($AA113-(0.1*$AA113))),IF($W$17=$AF$1,"Zvažte možnost doobjednání ještě "&amp;Tabulka1[[#This Row],[VKPAL]]-MOD(AB113,AA113)&amp;" VK do plné palety.",VLOOKUP("Zvažte možnost doobjednání ještě ",Jazyky_ceník!A:Q,MATCH($W$17,Jazyky_ceník!$A$1:$Q$1,0),FALSE)&amp;Tabulka1[[#This Row],[VKPAL]]-MOD(AB113,AA113)&amp;VLOOKUP(" VK do plné palety.",Jazyky_ceník!A:Q,MATCH($W$17,Jazyky_ceník!$A$1:$Q$1,0),FALSE)),IFERROR(IF(AND(NOT(MOD($AB113,$AA113)=0),$AB113&gt;=0.9*$AA113,MOD($AB113,$AA113)&lt;=0.1*$AA113),IF($W$17=$AF$1,"Zvažte možnost optimalizace objednaného množství podle počtu VK na paletě ==&gt;",VLOOKUP("Zvažte možnost optimalizace objednaného množství podle počtu VK na paletě ==&gt;",Jazyky_ceník!A:Q,MATCH($W$17,Jazyky_ceník!$A$1:$Q$1,0),FALSE)),VLOOKUP('General price list'!$C113,Popisy!A:M,MATCH($W$17,Popisy!$A$7:$M$7,0),FALSE)),"---------------")),IFERROR(VLOOKUP('General price list'!$C113,Popisy!A:M,MATCH($W$17,Popisy!$A$7:$M$7,0),FALSE),"---------------"))</f>
        <v>dýmovnice škrtací-bílá barva</v>
      </c>
      <c r="X113" s="645" t="str">
        <f t="shared" ref="X113:X116" si="245">IF(AB113&lt;0.0001,"",AB113)</f>
        <v/>
      </c>
      <c r="Y113" s="645" t="str">
        <f t="shared" ref="Y113:Y116" si="246">IF($AL$3=2,IF(OR(AB113&lt;&gt;"",AB113&lt;&gt;0),AU113,""),IF(C113="","",IF(AB113&lt;0.0001,"",IF(B113=0,"",IF(AQ113&lt;AB113,"",AB113)))))</f>
        <v/>
      </c>
      <c r="Z113" s="645" t="str">
        <f>HYPERLINK("https://www.klasekpyrotechnics.cz/rdg60b_sh")</f>
        <v>https://www.klasekpyrotechnics.cz/rdg60b_sh</v>
      </c>
      <c r="AA113" s="645">
        <f>IFERROR(IF(VLOOKUP(C113,[4]List1!$A:$D,4,FALSE)=0,"",VLOOKUP(C113,[4]List1!$A:$D,4,FALSE)),"")</f>
        <v>28</v>
      </c>
      <c r="AB113" s="646"/>
      <c r="AC113" s="647" t="str">
        <f>IFERROR(IF(VLOOKUP(C113,[1]List1!$A:$D,2,FALSE)="VYPRODÁNO",$V$9,IF(VLOOKUP(C113,[1]List1!$A:$D,2,FALSE)="DOCHÁZÍ",$V$3,VLOOKUP(C113,[1]List1!$A:$D,2,FALSE))),"OFFLINE!")</f>
        <v>SKLADEM</v>
      </c>
      <c r="AD113" s="647" t="str">
        <f ca="1">IF(AP113="NE",$V$10,IF(AC113=$V$3,IF(AQ113&lt;1,$V$8,$V$2&amp;" "&amp;AQ113&amp;" "&amp;$V$1),IF(AC113="SKLADEM",$V$6,IFERROR(IF(OR(AC113-TODAY()&gt;45,VLOOKUP(C113,[1]List1!$A:$E,4,FALSE)=0),AC113,DAY(AC113)&amp;"."&amp;MONTH(AC113)&amp;"."&amp;YEAR(AC113)&amp;" "&amp;$V$4&amp;VLOOKUP(C113,[1]List1!$A:$E,4,FALSE)&amp;" "&amp;$V$1),AC113))))</f>
        <v>SKLADEM</v>
      </c>
      <c r="AE113" s="645" t="str">
        <f t="shared" ref="AE113:AE116" ca="1" si="247">IFERROR(IF(AV113&lt;&gt;"",AV113,AD113),AD113)</f>
        <v>SKLADEM</v>
      </c>
      <c r="AF113" s="648">
        <f t="shared" ref="AF113:AF116" si="248">IFERROR(IF(AB113=Y113,G113*I113*Y113,0),0)</f>
        <v>0</v>
      </c>
      <c r="AG113" s="649">
        <f t="shared" ref="AG113:AG116" si="249">IF($W$17=$AF$8,AH113*1.23,AF113*1.21)</f>
        <v>0</v>
      </c>
      <c r="AH113" s="650">
        <f t="shared" ref="AH113:AH116" si="250">IFERROR(IF(Y113=AB113,H113*I113*Y113,0),0)</f>
        <v>0</v>
      </c>
      <c r="AI113" s="645">
        <f t="shared" ref="AI113:AI116" si="251">IFERROR(IF(Y113=AB113,(P113*Y113)/1000,1),0)</f>
        <v>0</v>
      </c>
      <c r="AJ113" s="645">
        <f t="shared" ref="AJ113:AJ116" si="252">IFERROR(IF(Y113=AB113,N113*Y113,0.1),0)</f>
        <v>0</v>
      </c>
      <c r="AK113" s="645" t="str">
        <f t="shared" ref="AK113:AK116" si="253">IFERROR(IF(Y113=AB113,IF(M113="1.1G",(O113/1000)*Y113,""),""),0)</f>
        <v/>
      </c>
      <c r="AL113" s="645" t="str">
        <f t="shared" ref="AL113:AL116" si="254">IFERROR(IF(Y113=AB113,IF(M113="1.3G",(O113/1000)*AB113,""),""),0)</f>
        <v/>
      </c>
      <c r="AM113" s="645">
        <f t="shared" ref="AM113:AM116" si="255">IFERROR(IF(Y113=AB113,IF(M113="1.4G",(O113/1000)*AB113,""),""),0)</f>
        <v>0</v>
      </c>
      <c r="AN113" s="651">
        <f t="shared" ref="AN113:AN116" si="256">SUM(AK113:AM113)</f>
        <v>0</v>
      </c>
      <c r="AO113" s="623"/>
      <c r="AP113" s="632" t="str">
        <f t="shared" si="221"/>
        <v/>
      </c>
      <c r="AQ113" s="633" t="str">
        <f>IF(AC113=$V$3,IF(VLOOKUP(C113,[1]List1!$A:$E,5,FALSE)=0,1,VLOOKUP(C113,[1]List1!$A:$E,5,FALSE)),"")</f>
        <v/>
      </c>
      <c r="AR113" s="625" t="str">
        <f t="shared" si="222"/>
        <v/>
      </c>
      <c r="AS113" s="634" t="str">
        <f t="shared" si="223"/>
        <v/>
      </c>
      <c r="AT113" s="625" t="str">
        <f t="shared" si="224"/>
        <v/>
      </c>
      <c r="AU113" s="638" t="e">
        <f t="shared" si="225"/>
        <v>#N/A</v>
      </c>
      <c r="AV113" s="625" t="e">
        <f t="shared" si="226"/>
        <v>#N/A</v>
      </c>
      <c r="AX113" s="625">
        <f>IF(AND('General price list'!$J113="F4",'General price list'!$AB113+0&gt;0),1,0)</f>
        <v>0</v>
      </c>
      <c r="AY113" s="625">
        <f t="shared" si="227"/>
        <v>2</v>
      </c>
      <c r="AZ113" s="625">
        <f t="shared" si="228"/>
        <v>0</v>
      </c>
    </row>
    <row r="114" spans="1:52" ht="15" customHeight="1">
      <c r="A114" s="621" t="str">
        <f>Kat.!C114</f>
        <v>×</v>
      </c>
      <c r="B114" s="566">
        <f>IF(AND('General price list'!$J114="F4",$AI$1=FALSE),0,IF(AC114="SKLADEM",1,IF(AC114=$V$3,1,0)))</f>
        <v>1</v>
      </c>
      <c r="C114" s="567" t="s">
        <v>3340</v>
      </c>
      <c r="D114" s="568" t="s">
        <v>3341</v>
      </c>
      <c r="E114" s="763" t="s">
        <v>12668</v>
      </c>
      <c r="F114" s="772">
        <f>IFERROR(VLOOKUP(C114,[2]List1!$A:$D,3,FALSE),"NEUVEDENO!")</f>
        <v>277</v>
      </c>
      <c r="G114" s="769">
        <f t="shared" si="243"/>
        <v>277</v>
      </c>
      <c r="H114" s="766">
        <f t="shared" si="244"/>
        <v>11.766554948112466</v>
      </c>
      <c r="I114" s="764">
        <f>IFERROR(VLOOKUP(C114,[2]List1!$A:$D,4,FALSE),"NEUVEDENO!")</f>
        <v>20</v>
      </c>
      <c r="J114" s="732" t="s">
        <v>193</v>
      </c>
      <c r="K114" s="569" t="s">
        <v>20</v>
      </c>
      <c r="L114" s="569" t="s">
        <v>10968</v>
      </c>
      <c r="M114" s="569" t="s">
        <v>21</v>
      </c>
      <c r="N114" s="569">
        <f>IFERROR(VLOOKUP(C114,[3]List1!$A:$D,4,FALSE),"N/A!")</f>
        <v>3.61415E-2</v>
      </c>
      <c r="O114" s="569">
        <f>IFERROR(VLOOKUP(C114,[3]List1!$A:$D,3,FALSE),"N/A!")</f>
        <v>2500</v>
      </c>
      <c r="P114" s="569">
        <f>IFERROR(VLOOKUP(C114,[3]List1!$A:$D,2,FALSE),"N/A!")</f>
        <v>12000</v>
      </c>
      <c r="Q114" s="569" t="s">
        <v>11745</v>
      </c>
      <c r="R114" s="569" t="s">
        <v>20</v>
      </c>
      <c r="S114" s="569"/>
      <c r="T114" s="569">
        <v>60</v>
      </c>
      <c r="U114" s="569"/>
      <c r="V114" s="569"/>
      <c r="W114" s="569" t="str">
        <f>IFERROR(IF(AND($AB114&gt;=0.1*$AA114,MOD($AB114,$AA114)&gt;=($AA114-(0.1*$AA114))),IF($W$17=$AF$1,"Zvažte možnost doobjednání ještě "&amp;Tabulka1[[#This Row],[VKPAL]]-MOD(AB114,AA114)&amp;" VK do plné palety.",VLOOKUP("Zvažte možnost doobjednání ještě ",Jazyky_ceník!A:Q,MATCH($W$17,Jazyky_ceník!$A$1:$Q$1,0),FALSE)&amp;Tabulka1[[#This Row],[VKPAL]]-MOD(AB114,AA114)&amp;VLOOKUP(" VK do plné palety.",Jazyky_ceník!A:Q,MATCH($W$17,Jazyky_ceník!$A$1:$Q$1,0),FALSE)),IFERROR(IF(AND(NOT(MOD($AB114,$AA114)=0),$AB114&gt;=0.9*$AA114,MOD($AB114,$AA114)&lt;=0.1*$AA114),IF($W$17=$AF$1,"Zvažte možnost optimalizace objednaného množství podle počtu VK na paletě ==&gt;",VLOOKUP("Zvažte možnost optimalizace objednaného množství podle počtu VK na paletě ==&gt;",Jazyky_ceník!A:Q,MATCH($W$17,Jazyky_ceník!$A$1:$Q$1,0),FALSE)),VLOOKUP('General price list'!$C114,Popisy!A:M,MATCH($W$17,Popisy!$A$7:$M$7,0),FALSE)),"---------------")),IFERROR(VLOOKUP('General price list'!$C114,Popisy!A:M,MATCH($W$17,Popisy!$A$7:$M$7,0),FALSE),"---------------"))</f>
        <v>dýmovnice škrtací-žlutá barva</v>
      </c>
      <c r="X114" s="569" t="str">
        <f t="shared" si="245"/>
        <v/>
      </c>
      <c r="Y114" s="569" t="str">
        <f t="shared" si="246"/>
        <v/>
      </c>
      <c r="Z114" s="569" t="str">
        <f>HYPERLINK("https://www.klasekpyrotechnics.cz/rdg60zl_sh")</f>
        <v>https://www.klasekpyrotechnics.cz/rdg60zl_sh</v>
      </c>
      <c r="AA114" s="569">
        <f>IFERROR(IF(VLOOKUP(C114,[4]List1!$A:$D,4,FALSE)=0,"",VLOOKUP(C114,[4]List1!$A:$D,4,FALSE)),"")</f>
        <v>28</v>
      </c>
      <c r="AB114" s="565"/>
      <c r="AC114" s="570" t="str">
        <f>IFERROR(IF(VLOOKUP(C114,[1]List1!$A:$D,2,FALSE)="VYPRODÁNO",$V$9,IF(VLOOKUP(C114,[1]List1!$A:$D,2,FALSE)="DOCHÁZÍ",$V$3,VLOOKUP(C114,[1]List1!$A:$D,2,FALSE))),"OFFLINE!")</f>
        <v>SKLADEM</v>
      </c>
      <c r="AD114" s="570" t="str">
        <f ca="1">IF(AP114="NE",$V$10,IF(AC114=$V$3,IF(AQ114&lt;1,$V$8,$V$2&amp;" "&amp;AQ114&amp;" "&amp;$V$1),IF(AC114="SKLADEM",$V$6,IFERROR(IF(OR(AC114-TODAY()&gt;45,VLOOKUP(C114,[1]List1!$A:$E,4,FALSE)=0),AC114,DAY(AC114)&amp;"."&amp;MONTH(AC114)&amp;"."&amp;YEAR(AC114)&amp;" "&amp;$V$4&amp;VLOOKUP(C114,[1]List1!$A:$E,4,FALSE)&amp;" "&amp;$V$1),AC114))))</f>
        <v>SKLADEM</v>
      </c>
      <c r="AE114" s="581" t="str">
        <f t="shared" ca="1" si="247"/>
        <v>SKLADEM</v>
      </c>
      <c r="AF114" s="584">
        <f t="shared" si="248"/>
        <v>0</v>
      </c>
      <c r="AG114" s="585">
        <f t="shared" si="249"/>
        <v>0</v>
      </c>
      <c r="AH114" s="583">
        <f t="shared" si="250"/>
        <v>0</v>
      </c>
      <c r="AI114" s="582">
        <f t="shared" si="251"/>
        <v>0</v>
      </c>
      <c r="AJ114" s="569">
        <f t="shared" si="252"/>
        <v>0</v>
      </c>
      <c r="AK114" s="569" t="str">
        <f t="shared" si="253"/>
        <v/>
      </c>
      <c r="AL114" s="569" t="str">
        <f t="shared" si="254"/>
        <v/>
      </c>
      <c r="AM114" s="569">
        <f t="shared" si="255"/>
        <v>0</v>
      </c>
      <c r="AN114" s="581">
        <f t="shared" si="256"/>
        <v>0</v>
      </c>
      <c r="AO114" s="623"/>
      <c r="AP114" s="632" t="str">
        <f t="shared" si="221"/>
        <v/>
      </c>
      <c r="AQ114" s="633" t="str">
        <f>IF(AC114=$V$3,IF(VLOOKUP(C114,[1]List1!$A:$E,5,FALSE)=0,1,VLOOKUP(C114,[1]List1!$A:$E,5,FALSE)),"")</f>
        <v/>
      </c>
      <c r="AR114" s="625" t="str">
        <f t="shared" si="222"/>
        <v/>
      </c>
      <c r="AS114" s="634" t="str">
        <f t="shared" si="223"/>
        <v/>
      </c>
      <c r="AT114" s="625" t="str">
        <f t="shared" si="224"/>
        <v/>
      </c>
      <c r="AU114" s="638" t="e">
        <f t="shared" si="225"/>
        <v>#N/A</v>
      </c>
      <c r="AV114" s="625" t="e">
        <f t="shared" si="226"/>
        <v>#N/A</v>
      </c>
      <c r="AX114" s="625">
        <f>IF(AND('General price list'!$J114="F4",'General price list'!$AB114+0&gt;0),1,0)</f>
        <v>0</v>
      </c>
      <c r="AY114" s="625">
        <f t="shared" si="227"/>
        <v>2</v>
      </c>
      <c r="AZ114" s="625">
        <f t="shared" si="228"/>
        <v>0</v>
      </c>
    </row>
    <row r="115" spans="1:52" ht="15" customHeight="1">
      <c r="A115" s="639" t="str">
        <f>Kat.!C115</f>
        <v>×</v>
      </c>
      <c r="B115" s="640">
        <f>IF(AND('General price list'!$J115="F4",$AI$1=FALSE),0,IF(AC115="SKLADEM",1,IF(AC115=$V$3,1,0)))</f>
        <v>1</v>
      </c>
      <c r="C115" s="641" t="s">
        <v>3381</v>
      </c>
      <c r="D115" s="642" t="s">
        <v>3382</v>
      </c>
      <c r="E115" s="643" t="s">
        <v>12668</v>
      </c>
      <c r="F115" s="771">
        <f>IFERROR(VLOOKUP(C115,[2]List1!$A:$D,3,FALSE),"NEUVEDENO!")</f>
        <v>277</v>
      </c>
      <c r="G115" s="768">
        <f t="shared" si="243"/>
        <v>277</v>
      </c>
      <c r="H115" s="765">
        <f t="shared" si="244"/>
        <v>11.766554948112466</v>
      </c>
      <c r="I115" s="644">
        <f>IFERROR(VLOOKUP(C115,[2]List1!$A:$D,4,FALSE),"NEUVEDENO!")</f>
        <v>20</v>
      </c>
      <c r="J115" s="733" t="s">
        <v>193</v>
      </c>
      <c r="K115" s="645" t="s">
        <v>20</v>
      </c>
      <c r="L115" s="645" t="s">
        <v>10968</v>
      </c>
      <c r="M115" s="645" t="s">
        <v>21</v>
      </c>
      <c r="N115" s="645">
        <f>IFERROR(VLOOKUP(C115,[3]List1!$A:$D,4,FALSE),"N/A!")</f>
        <v>3.61415E-2</v>
      </c>
      <c r="O115" s="645">
        <f>IFERROR(VLOOKUP(C115,[3]List1!$A:$D,3,FALSE),"N/A!")</f>
        <v>2500</v>
      </c>
      <c r="P115" s="645">
        <f>IFERROR(VLOOKUP(C115,[3]List1!$A:$D,2,FALSE),"N/A!")</f>
        <v>12000</v>
      </c>
      <c r="Q115" s="645" t="s">
        <v>11745</v>
      </c>
      <c r="R115" s="645" t="s">
        <v>20</v>
      </c>
      <c r="S115" s="645"/>
      <c r="T115" s="645">
        <v>60</v>
      </c>
      <c r="U115" s="645"/>
      <c r="V115" s="645"/>
      <c r="W115" s="645" t="str">
        <f>IFERROR(IF(AND($AB115&gt;=0.1*$AA115,MOD($AB115,$AA115)&gt;=($AA115-(0.1*$AA115))),IF($W$17=$AF$1,"Zvažte možnost doobjednání ještě "&amp;Tabulka1[[#This Row],[VKPAL]]-MOD(AB115,AA115)&amp;" VK do plné palety.",VLOOKUP("Zvažte možnost doobjednání ještě ",Jazyky_ceník!A:Q,MATCH($W$17,Jazyky_ceník!$A$1:$Q$1,0),FALSE)&amp;Tabulka1[[#This Row],[VKPAL]]-MOD(AB115,AA115)&amp;VLOOKUP(" VK do plné palety.",Jazyky_ceník!A:Q,MATCH($W$17,Jazyky_ceník!$A$1:$Q$1,0),FALSE)),IFERROR(IF(AND(NOT(MOD($AB115,$AA115)=0),$AB115&gt;=0.9*$AA115,MOD($AB115,$AA115)&lt;=0.1*$AA115),IF($W$17=$AF$1,"Zvažte možnost optimalizace objednaného množství podle počtu VK na paletě ==&gt;",VLOOKUP("Zvažte možnost optimalizace objednaného množství podle počtu VK na paletě ==&gt;",Jazyky_ceník!A:Q,MATCH($W$17,Jazyky_ceník!$A$1:$Q$1,0),FALSE)),VLOOKUP('General price list'!$C115,Popisy!A:M,MATCH($W$17,Popisy!$A$7:$M$7,0),FALSE)),"---------------")),IFERROR(VLOOKUP('General price list'!$C115,Popisy!A:M,MATCH($W$17,Popisy!$A$7:$M$7,0),FALSE),"---------------"))</f>
        <v>dýmovnice škrtací-růžová barva</v>
      </c>
      <c r="X115" s="645" t="str">
        <f t="shared" si="245"/>
        <v/>
      </c>
      <c r="Y115" s="645" t="str">
        <f t="shared" si="246"/>
        <v/>
      </c>
      <c r="Z115" s="645" t="str">
        <f>HYPERLINK("https://www.klasekpyrotechnics.cz/rdg60r_sh")</f>
        <v>https://www.klasekpyrotechnics.cz/rdg60r_sh</v>
      </c>
      <c r="AA115" s="645">
        <f>IFERROR(IF(VLOOKUP(C115,[4]List1!$A:$D,4,FALSE)=0,"",VLOOKUP(C115,[4]List1!$A:$D,4,FALSE)),"")</f>
        <v>36</v>
      </c>
      <c r="AB115" s="646"/>
      <c r="AC115" s="647" t="str">
        <f>IFERROR(IF(VLOOKUP(C115,[1]List1!$A:$D,2,FALSE)="VYPRODÁNO",$V$9,IF(VLOOKUP(C115,[1]List1!$A:$D,2,FALSE)="DOCHÁZÍ",$V$3,VLOOKUP(C115,[1]List1!$A:$D,2,FALSE))),"OFFLINE!")</f>
        <v>SKLADEM</v>
      </c>
      <c r="AD115" s="647" t="str">
        <f ca="1">IF(AP115="NE",$V$10,IF(AC115=$V$3,IF(AQ115&lt;1,$V$8,$V$2&amp;" "&amp;AQ115&amp;" "&amp;$V$1),IF(AC115="SKLADEM",$V$6,IFERROR(IF(OR(AC115-TODAY()&gt;45,VLOOKUP(C115,[1]List1!$A:$E,4,FALSE)=0),AC115,DAY(AC115)&amp;"."&amp;MONTH(AC115)&amp;"."&amp;YEAR(AC115)&amp;" "&amp;$V$4&amp;VLOOKUP(C115,[1]List1!$A:$E,4,FALSE)&amp;" "&amp;$V$1),AC115))))</f>
        <v>SKLADEM</v>
      </c>
      <c r="AE115" s="645" t="str">
        <f t="shared" ca="1" si="247"/>
        <v>SKLADEM</v>
      </c>
      <c r="AF115" s="648">
        <f t="shared" si="248"/>
        <v>0</v>
      </c>
      <c r="AG115" s="649">
        <f t="shared" si="249"/>
        <v>0</v>
      </c>
      <c r="AH115" s="650">
        <f t="shared" si="250"/>
        <v>0</v>
      </c>
      <c r="AI115" s="645">
        <f t="shared" si="251"/>
        <v>0</v>
      </c>
      <c r="AJ115" s="645">
        <f t="shared" si="252"/>
        <v>0</v>
      </c>
      <c r="AK115" s="645" t="str">
        <f t="shared" si="253"/>
        <v/>
      </c>
      <c r="AL115" s="645" t="str">
        <f t="shared" si="254"/>
        <v/>
      </c>
      <c r="AM115" s="645">
        <f t="shared" si="255"/>
        <v>0</v>
      </c>
      <c r="AN115" s="651">
        <f t="shared" si="256"/>
        <v>0</v>
      </c>
      <c r="AO115" s="623"/>
      <c r="AP115" s="632" t="str">
        <f t="shared" si="221"/>
        <v/>
      </c>
      <c r="AQ115" s="633" t="str">
        <f>IF(AC115=$V$3,IF(VLOOKUP(C115,[1]List1!$A:$E,5,FALSE)=0,1,VLOOKUP(C115,[1]List1!$A:$E,5,FALSE)),"")</f>
        <v/>
      </c>
      <c r="AR115" s="625" t="str">
        <f t="shared" si="222"/>
        <v/>
      </c>
      <c r="AS115" s="634" t="str">
        <f t="shared" si="223"/>
        <v/>
      </c>
      <c r="AT115" s="625" t="str">
        <f t="shared" si="224"/>
        <v/>
      </c>
      <c r="AU115" s="638" t="e">
        <f t="shared" si="225"/>
        <v>#N/A</v>
      </c>
      <c r="AV115" s="625" t="e">
        <f t="shared" si="226"/>
        <v>#N/A</v>
      </c>
      <c r="AX115" s="625">
        <f>IF(AND('General price list'!$J115="F4",'General price list'!$AB115+0&gt;0),1,0)</f>
        <v>0</v>
      </c>
      <c r="AY115" s="625">
        <f t="shared" si="227"/>
        <v>2</v>
      </c>
      <c r="AZ115" s="625">
        <f t="shared" si="228"/>
        <v>0</v>
      </c>
    </row>
    <row r="116" spans="1:52" ht="15.75" customHeight="1">
      <c r="A116" s="621" t="str">
        <f>Kat.!C116</f>
        <v>×</v>
      </c>
      <c r="B116" s="566">
        <f>IF(AND('General price list'!$J116="F4",$AI$1=FALSE),0,IF(AC116="SKLADEM",1,IF(AC116=$V$3,1,0)))</f>
        <v>1</v>
      </c>
      <c r="C116" s="567" t="s">
        <v>11188</v>
      </c>
      <c r="D116" s="568" t="s">
        <v>11189</v>
      </c>
      <c r="E116" s="763" t="s">
        <v>12647</v>
      </c>
      <c r="F116" s="792">
        <f>IFERROR(VLOOKUP(C116,[2]List1!$A:$D,3,FALSE),"NEUVEDENO!")</f>
        <v>169</v>
      </c>
      <c r="G116" s="769">
        <f t="shared" si="243"/>
        <v>169</v>
      </c>
      <c r="H116" s="766">
        <f t="shared" si="244"/>
        <v>7.1788728744801693</v>
      </c>
      <c r="I116" s="764">
        <f>IFERROR(VLOOKUP(C116,[2]List1!$A:$D,4,FALSE),"NEUVEDENO!")</f>
        <v>36</v>
      </c>
      <c r="J116" s="732" t="s">
        <v>193</v>
      </c>
      <c r="K116" s="569" t="s">
        <v>9836</v>
      </c>
      <c r="L116" s="569"/>
      <c r="M116" s="569" t="s">
        <v>21</v>
      </c>
      <c r="N116" s="569">
        <f>IFERROR(VLOOKUP(C116,[3]List1!$A:$D,4,FALSE),"N/A!")</f>
        <v>0</v>
      </c>
      <c r="O116" s="569">
        <f>IFERROR(VLOOKUP(C116,[3]List1!$A:$D,3,FALSE),"N/A!")</f>
        <v>2700</v>
      </c>
      <c r="P116" s="569">
        <f>IFERROR(VLOOKUP(C116,[3]List1!$A:$D,2,FALSE),"N/A!")</f>
        <v>13000</v>
      </c>
      <c r="Q116" s="569" t="s">
        <v>15</v>
      </c>
      <c r="R116" s="569"/>
      <c r="S116" s="569"/>
      <c r="T116" s="569">
        <v>60</v>
      </c>
      <c r="U116" s="569"/>
      <c r="V116" s="569"/>
      <c r="W116" s="569" t="str">
        <f>IFERROR(IF(AND($AB116&gt;=0.1*$AA116,MOD($AB116,$AA116)&gt;=($AA116-(0.1*$AA116))),IF($W$17=$AF$1,"Zvažte možnost doobjednání ještě "&amp;Tabulka1[[#This Row],[VKPAL]]-MOD(AB116,AA116)&amp;" VK do plné palety.",VLOOKUP("Zvažte možnost doobjednání ještě ",Jazyky_ceník!A:Q,MATCH($W$17,Jazyky_ceník!$A$1:$Q$1,0),FALSE)&amp;Tabulka1[[#This Row],[VKPAL]]-MOD(AB116,AA116)&amp;VLOOKUP(" VK do plné palety.",Jazyky_ceník!A:Q,MATCH($W$17,Jazyky_ceník!$A$1:$Q$1,0),FALSE)),IFERROR(IF(AND(NOT(MOD($AB116,$AA116)=0),$AB116&gt;=0.9*$AA116,MOD($AB116,$AA116)&lt;=0.1*$AA116),IF($W$17=$AF$1,"Zvažte možnost optimalizace objednaného množství podle počtu VK na paletě ==&gt;",VLOOKUP("Zvažte možnost optimalizace objednaného množství podle počtu VK na paletě ==&gt;",Jazyky_ceník!A:Q,MATCH($W$17,Jazyky_ceník!$A$1:$Q$1,0),FALSE)),VLOOKUP('General price list'!$C116,Popisy!A:M,MATCH($W$17,Popisy!$A$7:$M$7,0),FALSE)),"---------------")),IFERROR(VLOOKUP('General price list'!$C116,Popisy!A:M,MATCH($W$17,Popisy!$A$7:$M$7,0),FALSE),"---------------"))</f>
        <v>dýmovnice škrtací-mix barev zelená/oranžová/černá barva</v>
      </c>
      <c r="X116" s="569" t="str">
        <f t="shared" si="245"/>
        <v/>
      </c>
      <c r="Y116" s="569" t="str">
        <f t="shared" si="246"/>
        <v/>
      </c>
      <c r="Z116" s="569" t="str">
        <f>HYPERLINK("https://www.klasekpyrotechnics.cz/rdg60zeocer_sh")</f>
        <v>https://www.klasekpyrotechnics.cz/rdg60zeocer_sh</v>
      </c>
      <c r="AA116" s="569" t="str">
        <f>IFERROR(IF(VLOOKUP(C116,[4]List1!$A:$D,4,FALSE)=0,"",VLOOKUP(C116,[4]List1!$A:$D,4,FALSE)),"")</f>
        <v/>
      </c>
      <c r="AB116" s="565"/>
      <c r="AC116" s="570" t="str">
        <f>IFERROR(IF(VLOOKUP(C116,[1]List1!$A:$D,2,FALSE)="VYPRODÁNO",$V$9,IF(VLOOKUP(C116,[1]List1!$A:$D,2,FALSE)="DOCHÁZÍ",$V$3,VLOOKUP(C116,[1]List1!$A:$D,2,FALSE))),"OFFLINE!")</f>
        <v>SKLADEM</v>
      </c>
      <c r="AD116" s="570" t="str">
        <f ca="1">IF(AP116="NE",$V$10,IF(AC116=$V$3,IF(AQ116&lt;1,$V$8,$V$2&amp;" "&amp;AQ116&amp;" "&amp;$V$1),IF(AC116="SKLADEM",$V$6,IFERROR(IF(OR(AC116-TODAY()&gt;45,VLOOKUP(C116,[1]List1!$A:$E,4,FALSE)=0),AC116,DAY(AC116)&amp;"."&amp;MONTH(AC116)&amp;"."&amp;YEAR(AC116)&amp;" "&amp;$V$4&amp;VLOOKUP(C116,[1]List1!$A:$E,4,FALSE)&amp;" "&amp;$V$1),AC116))))</f>
        <v>SKLADEM</v>
      </c>
      <c r="AE116" s="581" t="str">
        <f t="shared" ca="1" si="247"/>
        <v>SKLADEM</v>
      </c>
      <c r="AF116" s="584">
        <f t="shared" si="248"/>
        <v>0</v>
      </c>
      <c r="AG116" s="585">
        <f t="shared" si="249"/>
        <v>0</v>
      </c>
      <c r="AH116" s="583">
        <f t="shared" si="250"/>
        <v>0</v>
      </c>
      <c r="AI116" s="582">
        <f t="shared" si="251"/>
        <v>0</v>
      </c>
      <c r="AJ116" s="569">
        <f t="shared" si="252"/>
        <v>0</v>
      </c>
      <c r="AK116" s="569" t="str">
        <f t="shared" si="253"/>
        <v/>
      </c>
      <c r="AL116" s="569" t="str">
        <f t="shared" si="254"/>
        <v/>
      </c>
      <c r="AM116" s="569">
        <f t="shared" si="255"/>
        <v>0</v>
      </c>
      <c r="AN116" s="581">
        <f t="shared" si="256"/>
        <v>0</v>
      </c>
      <c r="AO116" s="623"/>
      <c r="AP116" s="625" t="str">
        <f t="shared" si="221"/>
        <v/>
      </c>
      <c r="AQ116" s="625" t="str">
        <f>IF(AC116=$V$3,IF(VLOOKUP(C116,[1]List1!$A:$E,5,FALSE)=0,1,VLOOKUP(C116,[1]List1!$A:$E,5,FALSE)),"")</f>
        <v/>
      </c>
      <c r="AR116" s="629" t="str">
        <f t="shared" si="222"/>
        <v/>
      </c>
      <c r="AS116" s="630" t="str">
        <f t="shared" si="223"/>
        <v/>
      </c>
      <c r="AT116" s="625" t="str">
        <f t="shared" si="224"/>
        <v/>
      </c>
      <c r="AU116" s="625" t="e">
        <f t="shared" si="225"/>
        <v>#N/A</v>
      </c>
      <c r="AV116" s="625" t="e">
        <f t="shared" si="226"/>
        <v>#N/A</v>
      </c>
      <c r="AW116" s="631"/>
      <c r="AX116" s="631">
        <f>IF(AND('General price list'!$J116="F4",'General price list'!$AB116+0&gt;0),1,0)</f>
        <v>0</v>
      </c>
      <c r="AY116" s="631">
        <f t="shared" si="227"/>
        <v>1</v>
      </c>
      <c r="AZ116" s="631">
        <f t="shared" si="228"/>
        <v>0</v>
      </c>
    </row>
    <row r="117" spans="1:52" ht="15" customHeight="1">
      <c r="A117" s="751" t="str">
        <f>Kat.!C117</f>
        <v xml:space="preserve">           Dýmovnice s pákovou roznětkou</v>
      </c>
      <c r="B117" s="751"/>
      <c r="C117" s="751"/>
      <c r="D117" s="751"/>
      <c r="E117" s="751"/>
      <c r="F117" s="751"/>
      <c r="G117" s="751"/>
      <c r="H117" s="751"/>
      <c r="I117" s="752"/>
      <c r="J117" s="752"/>
      <c r="K117" s="752" t="s">
        <v>20</v>
      </c>
      <c r="L117" s="753" t="s">
        <v>20</v>
      </c>
      <c r="M117" s="752"/>
      <c r="N117" s="752"/>
      <c r="O117" s="752"/>
      <c r="P117" s="752"/>
      <c r="Q117" s="752"/>
      <c r="R117" s="752"/>
      <c r="S117" s="752"/>
      <c r="T117" s="752"/>
      <c r="U117" s="752"/>
      <c r="V117" s="752"/>
      <c r="W117" s="752"/>
      <c r="X117" s="752"/>
      <c r="Y117" s="752"/>
      <c r="Z117" s="752" t="s">
        <v>20</v>
      </c>
      <c r="AA117" s="752"/>
      <c r="AB117" s="752"/>
      <c r="AC117" s="754"/>
      <c r="AD117" s="752"/>
      <c r="AE117" s="752"/>
      <c r="AF117" s="752"/>
      <c r="AG117" s="752"/>
      <c r="AH117" s="752"/>
      <c r="AI117" s="752"/>
      <c r="AJ117" s="752"/>
      <c r="AK117" s="752"/>
      <c r="AL117" s="752"/>
      <c r="AM117" s="752"/>
      <c r="AN117" s="752"/>
      <c r="AO117" s="623"/>
      <c r="AP117" s="632" t="str">
        <f t="shared" si="221"/>
        <v/>
      </c>
      <c r="AQ117" s="633" t="str">
        <f>IF(AC117=$V$3,IF(VLOOKUP(C117,[1]List1!$A:$E,5,FALSE)=0,1,VLOOKUP(C117,[1]List1!$A:$E,5,FALSE)),"")</f>
        <v/>
      </c>
      <c r="AR117" s="625" t="str">
        <f t="shared" si="222"/>
        <v/>
      </c>
      <c r="AS117" s="634" t="str">
        <f t="shared" si="223"/>
        <v/>
      </c>
      <c r="AT117" s="625" t="str">
        <f t="shared" si="224"/>
        <v/>
      </c>
      <c r="AU117" s="638" t="e">
        <f t="shared" si="225"/>
        <v>#N/A</v>
      </c>
      <c r="AV117" s="625" t="e">
        <f t="shared" si="226"/>
        <v>#N/A</v>
      </c>
      <c r="AX117" s="625">
        <f>IF(AND('General price list'!$J117="F4",'General price list'!$AB117+0&gt;0),1,0)</f>
        <v>0</v>
      </c>
      <c r="AY117" s="625">
        <f t="shared" si="227"/>
        <v>0</v>
      </c>
      <c r="AZ117" s="625">
        <f t="shared" si="228"/>
        <v>0</v>
      </c>
    </row>
    <row r="118" spans="1:52" ht="15" customHeight="1">
      <c r="A118" s="639" t="str">
        <f>Kat.!C118</f>
        <v>×</v>
      </c>
      <c r="B118" s="640">
        <f>IF(AND('General price list'!$J118="F4",$AI$1=FALSE),0,IF(AC118="SKLADEM",1,IF(AC118=$V$3,1,0)))</f>
        <v>1</v>
      </c>
      <c r="C118" s="641" t="s">
        <v>325</v>
      </c>
      <c r="D118" s="642" t="s">
        <v>226</v>
      </c>
      <c r="E118" s="643" t="s">
        <v>12669</v>
      </c>
      <c r="F118" s="792">
        <f>IFERROR(VLOOKUP(C118,[2]List1!$A:$D,3,FALSE),"NEUVEDENO!")</f>
        <v>370</v>
      </c>
      <c r="G118" s="768">
        <f t="shared" ref="G118:G121" si="257">IF($W$17=$AF$8,ROUND((F118)/$F$17,2),(F118)*$B$19)</f>
        <v>370</v>
      </c>
      <c r="H118" s="765">
        <f t="shared" ref="H118:H121" si="258">IF($W$17=$AF$8,G118*$B$19,G118/$F$17)</f>
        <v>15.7170589559625</v>
      </c>
      <c r="I118" s="644">
        <f>IFERROR(VLOOKUP(C118,[2]List1!$A:$D,4,FALSE),"NEUVEDENO!")</f>
        <v>25</v>
      </c>
      <c r="J118" s="733" t="s">
        <v>208</v>
      </c>
      <c r="K118" s="645" t="s">
        <v>9836</v>
      </c>
      <c r="L118" s="645" t="s">
        <v>20</v>
      </c>
      <c r="M118" s="645" t="s">
        <v>21</v>
      </c>
      <c r="N118" s="645">
        <f>IFERROR(VLOOKUP(C118,[3]List1!$A:$D,4,FALSE),"N/A!")</f>
        <v>2.0475E-2</v>
      </c>
      <c r="O118" s="645">
        <f>IFERROR(VLOOKUP(C118,[3]List1!$A:$D,3,FALSE),"N/A!")</f>
        <v>2625</v>
      </c>
      <c r="P118" s="645">
        <f>IFERROR(VLOOKUP(C118,[3]List1!$A:$D,2,FALSE),"N/A!")</f>
        <v>9500</v>
      </c>
      <c r="Q118" s="645" t="s">
        <v>11243</v>
      </c>
      <c r="R118" s="645" t="s">
        <v>20</v>
      </c>
      <c r="S118" s="645"/>
      <c r="T118" s="645">
        <v>70</v>
      </c>
      <c r="U118" s="645"/>
      <c r="V118" s="645"/>
      <c r="W118" s="645" t="str">
        <f>IFERROR(IF(AND($AB118&gt;=0.1*$AA118,MOD($AB118,$AA118)&gt;=($AA118-(0.1*$AA118))),IF($W$17=$AF$1,"Zvažte možnost doobjednání ještě "&amp;Tabulka1[[#This Row],[VKPAL]]-MOD(AB118,AA118)&amp;" VK do plné palety.",VLOOKUP("Zvažte možnost doobjednání ještě ",Jazyky_ceník!A:Q,MATCH($W$17,Jazyky_ceník!$A$1:$Q$1,0),FALSE)&amp;Tabulka1[[#This Row],[VKPAL]]-MOD(AB118,AA118)&amp;VLOOKUP(" VK do plné palety.",Jazyky_ceník!A:Q,MATCH($W$17,Jazyky_ceník!$A$1:$Q$1,0),FALSE)),IFERROR(IF(AND(NOT(MOD($AB118,$AA118)=0),$AB118&gt;=0.9*$AA118,MOD($AB118,$AA118)&lt;=0.1*$AA118),IF($W$17=$AF$1,"Zvažte možnost optimalizace objednaného množství podle počtu VK na paletě ==&gt;",VLOOKUP("Zvažte možnost optimalizace objednaného množství podle počtu VK na paletě ==&gt;",Jazyky_ceník!A:Q,MATCH($W$17,Jazyky_ceník!$A$1:$Q$1,0),FALSE)),VLOOKUP('General price list'!$C118,Popisy!A:M,MATCH($W$17,Popisy!$A$7:$M$7,0),FALSE)),"---------------")),IFERROR(VLOOKUP('General price list'!$C118,Popisy!A:M,MATCH($W$17,Popisy!$A$7:$M$7,0),FALSE),"---------------"))</f>
        <v>dýmovnice s pákovou roznětkou-žlutá barva</v>
      </c>
      <c r="X118" s="645" t="str">
        <f t="shared" ref="X118:X121" si="259">IF(AB118&lt;0.0001,"",AB118)</f>
        <v/>
      </c>
      <c r="Y118" s="645" t="str">
        <f t="shared" ref="Y118:Y121" si="260">IF($AL$3=2,IF(OR(AB118&lt;&gt;"",AB118&lt;&gt;0),AU118,""),IF(C118="","",IF(AB118&lt;0.0001,"",IF(B118=0,"",IF(AQ118&lt;AB118,"",AB118)))))</f>
        <v/>
      </c>
      <c r="Z118" s="645" t="str">
        <f>HYPERLINK("https://www.klasekpyrotechnics.cz/rdg1zl-p")</f>
        <v>https://www.klasekpyrotechnics.cz/rdg1zl-p</v>
      </c>
      <c r="AA118" s="645">
        <f>IFERROR(IF(VLOOKUP(C118,[4]List1!$A:$D,4,FALSE)=0,"",VLOOKUP(C118,[4]List1!$A:$D,4,FALSE)),"")</f>
        <v>60</v>
      </c>
      <c r="AB118" s="646"/>
      <c r="AC118" s="647" t="str">
        <f>IFERROR(IF(VLOOKUP(C118,[1]List1!$A:$D,2,FALSE)="VYPRODÁNO",$V$9,IF(VLOOKUP(C118,[1]List1!$A:$D,2,FALSE)="DOCHÁZÍ",$V$3,VLOOKUP(C118,[1]List1!$A:$D,2,FALSE))),"OFFLINE!")</f>
        <v>DOCHÁZÍ</v>
      </c>
      <c r="AD118" s="647" t="str">
        <f ca="1">IF(AP118="NE",$V$10,IF(AC118=$V$3,IF(AQ118&lt;1,$V$8,$V$2&amp;" "&amp;AQ118&amp;" "&amp;$V$1),IF(AC118="SKLADEM",$V$6,IFERROR(IF(OR(AC118-TODAY()&gt;45,VLOOKUP(C118,[1]List1!$A:$E,4,FALSE)=0),AC118,DAY(AC118)&amp;"."&amp;MONTH(AC118)&amp;"."&amp;YEAR(AC118)&amp;" "&amp;$V$4&amp;VLOOKUP(C118,[1]List1!$A:$E,4,FALSE)&amp;" "&amp;$V$1),AC118))))</f>
        <v>POSLEDNÍCH 2 VK</v>
      </c>
      <c r="AE118" s="645" t="str">
        <f t="shared" ref="AE118:AE121" ca="1" si="261">IFERROR(IF(AV118&lt;&gt;"",AV118,AD118),AD118)</f>
        <v>POSLEDNÍCH 2 VK</v>
      </c>
      <c r="AF118" s="648">
        <f t="shared" ref="AF118:AF121" si="262">IFERROR(IF(AB118=Y118,G118*I118*Y118,0),0)</f>
        <v>0</v>
      </c>
      <c r="AG118" s="649">
        <f t="shared" ref="AG118:AG121" si="263">IF($W$17=$AF$8,AH118*1.23,AF118*1.21)</f>
        <v>0</v>
      </c>
      <c r="AH118" s="650">
        <f t="shared" ref="AH118:AH121" si="264">IFERROR(IF(Y118=AB118,H118*I118*Y118,0),0)</f>
        <v>0</v>
      </c>
      <c r="AI118" s="645">
        <f t="shared" ref="AI118:AI121" si="265">IFERROR(IF(Y118=AB118,(P118*Y118)/1000,1),0)</f>
        <v>0</v>
      </c>
      <c r="AJ118" s="645">
        <f t="shared" ref="AJ118:AJ121" si="266">IFERROR(IF(Y118=AB118,N118*Y118,0.1),0)</f>
        <v>0</v>
      </c>
      <c r="AK118" s="645" t="str">
        <f t="shared" ref="AK118:AK121" si="267">IFERROR(IF(Y118=AB118,IF(M118="1.1G",(O118/1000)*Y118,""),""),0)</f>
        <v/>
      </c>
      <c r="AL118" s="645" t="str">
        <f t="shared" ref="AL118:AL121" si="268">IFERROR(IF(Y118=AB118,IF(M118="1.3G",(O118/1000)*AB118,""),""),0)</f>
        <v/>
      </c>
      <c r="AM118" s="645">
        <f t="shared" ref="AM118:AM121" si="269">IFERROR(IF(Y118=AB118,IF(M118="1.4G",(O118/1000)*AB118,""),""),0)</f>
        <v>0</v>
      </c>
      <c r="AN118" s="651">
        <f t="shared" ref="AN118:AN121" si="270">SUM(AK118:AM118)</f>
        <v>0</v>
      </c>
      <c r="AO118" s="623"/>
      <c r="AP118" s="632" t="str">
        <f t="shared" si="221"/>
        <v/>
      </c>
      <c r="AQ118" s="633">
        <f>IF(AC118=$V$3,IF(VLOOKUP(C118,[1]List1!$A:$E,5,FALSE)=0,1,VLOOKUP(C118,[1]List1!$A:$E,5,FALSE)),"")</f>
        <v>2</v>
      </c>
      <c r="AR118" s="625" t="str">
        <f t="shared" si="222"/>
        <v/>
      </c>
      <c r="AS118" s="634" t="str">
        <f t="shared" si="223"/>
        <v/>
      </c>
      <c r="AT118" s="625" t="str">
        <f t="shared" si="224"/>
        <v/>
      </c>
      <c r="AU118" s="638" t="e">
        <f t="shared" si="225"/>
        <v>#N/A</v>
      </c>
      <c r="AV118" s="625" t="e">
        <f t="shared" si="226"/>
        <v>#N/A</v>
      </c>
      <c r="AX118" s="625">
        <f>IF(AND('General price list'!$J118="F4",'General price list'!$AB118+0&gt;0),1,0)</f>
        <v>0</v>
      </c>
      <c r="AY118" s="625">
        <f t="shared" si="227"/>
        <v>1</v>
      </c>
      <c r="AZ118" s="625">
        <f t="shared" si="228"/>
        <v>0</v>
      </c>
    </row>
    <row r="119" spans="1:52" ht="15" customHeight="1">
      <c r="A119" s="621" t="str">
        <f>Kat.!C119</f>
        <v>×</v>
      </c>
      <c r="B119" s="566">
        <f>IF(AND('General price list'!$J119="F4",$AI$1=FALSE),0,IF(AC119="SKLADEM",1,IF(AC119=$V$3,1,0)))</f>
        <v>1</v>
      </c>
      <c r="C119" s="567" t="s">
        <v>329</v>
      </c>
      <c r="D119" s="568" t="s">
        <v>226</v>
      </c>
      <c r="E119" s="763" t="s">
        <v>12669</v>
      </c>
      <c r="F119" s="792">
        <f>IFERROR(VLOOKUP(C119,[2]List1!$A:$D,3,FALSE),"NEUVEDENO!")</f>
        <v>370</v>
      </c>
      <c r="G119" s="769">
        <f t="shared" si="257"/>
        <v>370</v>
      </c>
      <c r="H119" s="766">
        <f t="shared" si="258"/>
        <v>15.7170589559625</v>
      </c>
      <c r="I119" s="764">
        <f>IFERROR(VLOOKUP(C119,[2]List1!$A:$D,4,FALSE),"NEUVEDENO!")</f>
        <v>25</v>
      </c>
      <c r="J119" s="732" t="s">
        <v>208</v>
      </c>
      <c r="K119" s="569" t="s">
        <v>9836</v>
      </c>
      <c r="L119" s="569" t="s">
        <v>20</v>
      </c>
      <c r="M119" s="569" t="s">
        <v>21</v>
      </c>
      <c r="N119" s="569">
        <f>IFERROR(VLOOKUP(C119,[3]List1!$A:$D,4,FALSE),"N/A!")</f>
        <v>2.0475E-2</v>
      </c>
      <c r="O119" s="569">
        <f>IFERROR(VLOOKUP(C119,[3]List1!$A:$D,3,FALSE),"N/A!")</f>
        <v>2625</v>
      </c>
      <c r="P119" s="569">
        <f>IFERROR(VLOOKUP(C119,[3]List1!$A:$D,2,FALSE),"N/A!")</f>
        <v>9500</v>
      </c>
      <c r="Q119" s="569" t="s">
        <v>11289</v>
      </c>
      <c r="R119" s="569" t="s">
        <v>20</v>
      </c>
      <c r="S119" s="569"/>
      <c r="T119" s="569">
        <v>70</v>
      </c>
      <c r="U119" s="569"/>
      <c r="V119" s="569"/>
      <c r="W119" s="569" t="str">
        <f>IFERROR(IF(AND($AB119&gt;=0.1*$AA119,MOD($AB119,$AA119)&gt;=($AA119-(0.1*$AA119))),IF($W$17=$AF$1,"Zvažte možnost doobjednání ještě "&amp;Tabulka1[[#This Row],[VKPAL]]-MOD(AB119,AA119)&amp;" VK do plné palety.",VLOOKUP("Zvažte možnost doobjednání ještě ",Jazyky_ceník!A:Q,MATCH($W$17,Jazyky_ceník!$A$1:$Q$1,0),FALSE)&amp;Tabulka1[[#This Row],[VKPAL]]-MOD(AB119,AA119)&amp;VLOOKUP(" VK do plné palety.",Jazyky_ceník!A:Q,MATCH($W$17,Jazyky_ceník!$A$1:$Q$1,0),FALSE)),IFERROR(IF(AND(NOT(MOD($AB119,$AA119)=0),$AB119&gt;=0.9*$AA119,MOD($AB119,$AA119)&lt;=0.1*$AA119),IF($W$17=$AF$1,"Zvažte možnost optimalizace objednaného množství podle počtu VK na paletě ==&gt;",VLOOKUP("Zvažte možnost optimalizace objednaného množství podle počtu VK na paletě ==&gt;",Jazyky_ceník!A:Q,MATCH($W$17,Jazyky_ceník!$A$1:$Q$1,0),FALSE)),VLOOKUP('General price list'!$C119,Popisy!A:M,MATCH($W$17,Popisy!$A$7:$M$7,0),FALSE)),"---------------")),IFERROR(VLOOKUP('General price list'!$C119,Popisy!A:M,MATCH($W$17,Popisy!$A$7:$M$7,0),FALSE),"---------------"))</f>
        <v>dýmovnice s pákovou roznětkou-žlutá barva</v>
      </c>
      <c r="X119" s="569" t="str">
        <f t="shared" si="259"/>
        <v/>
      </c>
      <c r="Y119" s="569" t="str">
        <f t="shared" si="260"/>
        <v/>
      </c>
      <c r="Z119" s="569" t="str">
        <f>HYPERLINK("https://www.klasekpyrotechnics.cz/rdg1zl-p_1")</f>
        <v>https://www.klasekpyrotechnics.cz/rdg1zl-p_1</v>
      </c>
      <c r="AA119" s="569">
        <f>IFERROR(IF(VLOOKUP(C119,[4]List1!$A:$D,4,FALSE)=0,"",VLOOKUP(C119,[4]List1!$A:$D,4,FALSE)),"")</f>
        <v>60</v>
      </c>
      <c r="AB119" s="565"/>
      <c r="AC119" s="570" t="str">
        <f>IFERROR(IF(VLOOKUP(C119,[1]List1!$A:$D,2,FALSE)="VYPRODÁNO",$V$9,IF(VLOOKUP(C119,[1]List1!$A:$D,2,FALSE)="DOCHÁZÍ",$V$3,VLOOKUP(C119,[1]List1!$A:$D,2,FALSE))),"OFFLINE!")</f>
        <v>SKLADEM</v>
      </c>
      <c r="AD119" s="570" t="str">
        <f ca="1">IF(AP119="NE",$V$10,IF(AC119=$V$3,IF(AQ119&lt;1,$V$8,$V$2&amp;" "&amp;AQ119&amp;" "&amp;$V$1),IF(AC119="SKLADEM",$V$6,IFERROR(IF(OR(AC119-TODAY()&gt;45,VLOOKUP(C119,[1]List1!$A:$E,4,FALSE)=0),AC119,DAY(AC119)&amp;"."&amp;MONTH(AC119)&amp;"."&amp;YEAR(AC119)&amp;" "&amp;$V$4&amp;VLOOKUP(C119,[1]List1!$A:$E,4,FALSE)&amp;" "&amp;$V$1),AC119))))</f>
        <v>SKLADEM</v>
      </c>
      <c r="AE119" s="581" t="str">
        <f t="shared" ca="1" si="261"/>
        <v>SKLADEM</v>
      </c>
      <c r="AF119" s="584">
        <f t="shared" si="262"/>
        <v>0</v>
      </c>
      <c r="AG119" s="585">
        <f t="shared" si="263"/>
        <v>0</v>
      </c>
      <c r="AH119" s="583">
        <f t="shared" si="264"/>
        <v>0</v>
      </c>
      <c r="AI119" s="582">
        <f t="shared" si="265"/>
        <v>0</v>
      </c>
      <c r="AJ119" s="569">
        <f t="shared" si="266"/>
        <v>0</v>
      </c>
      <c r="AK119" s="569" t="str">
        <f t="shared" si="267"/>
        <v/>
      </c>
      <c r="AL119" s="569" t="str">
        <f t="shared" si="268"/>
        <v/>
      </c>
      <c r="AM119" s="569">
        <f t="shared" si="269"/>
        <v>0</v>
      </c>
      <c r="AN119" s="581">
        <f t="shared" si="270"/>
        <v>0</v>
      </c>
      <c r="AO119" s="623"/>
      <c r="AP119" s="632" t="str">
        <f t="shared" si="221"/>
        <v/>
      </c>
      <c r="AQ119" s="633" t="str">
        <f>IF(AC119=$V$3,IF(VLOOKUP(C119,[1]List1!$A:$E,5,FALSE)=0,1,VLOOKUP(C119,[1]List1!$A:$E,5,FALSE)),"")</f>
        <v/>
      </c>
      <c r="AR119" s="625" t="str">
        <f t="shared" si="222"/>
        <v/>
      </c>
      <c r="AS119" s="634" t="str">
        <f t="shared" si="223"/>
        <v/>
      </c>
      <c r="AT119" s="625" t="str">
        <f t="shared" si="224"/>
        <v/>
      </c>
      <c r="AU119" s="638" t="e">
        <f t="shared" si="225"/>
        <v>#N/A</v>
      </c>
      <c r="AV119" s="625" t="e">
        <f t="shared" si="226"/>
        <v>#N/A</v>
      </c>
      <c r="AX119" s="625">
        <f>IF(AND('General price list'!$J119="F4",'General price list'!$AB119+0&gt;0),1,0)</f>
        <v>0</v>
      </c>
      <c r="AY119" s="625">
        <f t="shared" si="227"/>
        <v>1</v>
      </c>
      <c r="AZ119" s="625">
        <f t="shared" si="228"/>
        <v>0</v>
      </c>
    </row>
    <row r="120" spans="1:52" ht="15" customHeight="1">
      <c r="A120" s="639" t="str">
        <f>Kat.!C120</f>
        <v>×</v>
      </c>
      <c r="B120" s="640">
        <f>IF(AND('General price list'!$J120="F4",$AI$1=FALSE),0,IF(AC120="SKLADEM",1,IF(AC120=$V$3,1,0)))</f>
        <v>1</v>
      </c>
      <c r="C120" s="641" t="s">
        <v>335</v>
      </c>
      <c r="D120" s="642" t="s">
        <v>238</v>
      </c>
      <c r="E120" s="643" t="s">
        <v>12669</v>
      </c>
      <c r="F120" s="792">
        <f>IFERROR(VLOOKUP(C120,[2]List1!$A:$D,3,FALSE),"NEUVEDENO!")</f>
        <v>370</v>
      </c>
      <c r="G120" s="768">
        <f t="shared" si="257"/>
        <v>370</v>
      </c>
      <c r="H120" s="765">
        <f t="shared" si="258"/>
        <v>15.7170589559625</v>
      </c>
      <c r="I120" s="644">
        <f>IFERROR(VLOOKUP(C120,[2]List1!$A:$D,4,FALSE),"NEUVEDENO!")</f>
        <v>25</v>
      </c>
      <c r="J120" s="733" t="s">
        <v>208</v>
      </c>
      <c r="K120" s="645" t="s">
        <v>9836</v>
      </c>
      <c r="L120" s="645" t="s">
        <v>20</v>
      </c>
      <c r="M120" s="645" t="s">
        <v>21</v>
      </c>
      <c r="N120" s="645">
        <f>IFERROR(VLOOKUP(C120,[3]List1!$A:$D,4,FALSE),"N/A!")</f>
        <v>2.0475E-2</v>
      </c>
      <c r="O120" s="645">
        <f>IFERROR(VLOOKUP(C120,[3]List1!$A:$D,3,FALSE),"N/A!")</f>
        <v>2625</v>
      </c>
      <c r="P120" s="645">
        <f>IFERROR(VLOOKUP(C120,[3]List1!$A:$D,2,FALSE),"N/A!")</f>
        <v>9500</v>
      </c>
      <c r="Q120" s="645" t="s">
        <v>11243</v>
      </c>
      <c r="R120" s="645" t="s">
        <v>20</v>
      </c>
      <c r="S120" s="645"/>
      <c r="T120" s="645">
        <v>70</v>
      </c>
      <c r="U120" s="645"/>
      <c r="V120" s="645"/>
      <c r="W120" s="645" t="str">
        <f>IFERROR(IF(AND($AB120&gt;=0.1*$AA120,MOD($AB120,$AA120)&gt;=($AA120-(0.1*$AA120))),IF($W$17=$AF$1,"Zvažte možnost doobjednání ještě "&amp;Tabulka1[[#This Row],[VKPAL]]-MOD(AB120,AA120)&amp;" VK do plné palety.",VLOOKUP("Zvažte možnost doobjednání ještě ",Jazyky_ceník!A:Q,MATCH($W$17,Jazyky_ceník!$A$1:$Q$1,0),FALSE)&amp;Tabulka1[[#This Row],[VKPAL]]-MOD(AB120,AA120)&amp;VLOOKUP(" VK do plné palety.",Jazyky_ceník!A:Q,MATCH($W$17,Jazyky_ceník!$A$1:$Q$1,0),FALSE)),IFERROR(IF(AND(NOT(MOD($AB120,$AA120)=0),$AB120&gt;=0.9*$AA120,MOD($AB120,$AA120)&lt;=0.1*$AA120),IF($W$17=$AF$1,"Zvažte možnost optimalizace objednaného množství podle počtu VK na paletě ==&gt;",VLOOKUP("Zvažte možnost optimalizace objednaného množství podle počtu VK na paletě ==&gt;",Jazyky_ceník!A:Q,MATCH($W$17,Jazyky_ceník!$A$1:$Q$1,0),FALSE)),VLOOKUP('General price list'!$C120,Popisy!A:M,MATCH($W$17,Popisy!$A$7:$M$7,0),FALSE)),"---------------")),IFERROR(VLOOKUP('General price list'!$C120,Popisy!A:M,MATCH($W$17,Popisy!$A$7:$M$7,0),FALSE),"---------------"))</f>
        <v>dýmovnice s pákovou roznětkou-oranžová barva</v>
      </c>
      <c r="X120" s="645" t="str">
        <f t="shared" si="259"/>
        <v/>
      </c>
      <c r="Y120" s="645" t="str">
        <f t="shared" si="260"/>
        <v/>
      </c>
      <c r="Z120" s="645" t="str">
        <f>HYPERLINK("https://www.klasekpyrotechnics.cz/rdg1o-p")</f>
        <v>https://www.klasekpyrotechnics.cz/rdg1o-p</v>
      </c>
      <c r="AA120" s="645">
        <f>IFERROR(IF(VLOOKUP(C120,[4]List1!$A:$D,4,FALSE)=0,"",VLOOKUP(C120,[4]List1!$A:$D,4,FALSE)),"")</f>
        <v>60</v>
      </c>
      <c r="AB120" s="646"/>
      <c r="AC120" s="647" t="str">
        <f>IFERROR(IF(VLOOKUP(C120,[1]List1!$A:$D,2,FALSE)="VYPRODÁNO",$V$9,IF(VLOOKUP(C120,[1]List1!$A:$D,2,FALSE)="DOCHÁZÍ",$V$3,VLOOKUP(C120,[1]List1!$A:$D,2,FALSE))),"OFFLINE!")</f>
        <v>DOCHÁZÍ</v>
      </c>
      <c r="AD120" s="647" t="str">
        <f ca="1">IF(AP120="NE",$V$10,IF(AC120=$V$3,IF(AQ120&lt;1,$V$8,$V$2&amp;" "&amp;AQ120&amp;" "&amp;$V$1),IF(AC120="SKLADEM",$V$6,IFERROR(IF(OR(AC120-TODAY()&gt;45,VLOOKUP(C120,[1]List1!$A:$E,4,FALSE)=0),AC120,DAY(AC120)&amp;"."&amp;MONTH(AC120)&amp;"."&amp;YEAR(AC120)&amp;" "&amp;$V$4&amp;VLOOKUP(C120,[1]List1!$A:$E,4,FALSE)&amp;" "&amp;$V$1),AC120))))</f>
        <v>POSLEDNÍCH 3 VK</v>
      </c>
      <c r="AE120" s="645" t="str">
        <f t="shared" ca="1" si="261"/>
        <v>POSLEDNÍCH 3 VK</v>
      </c>
      <c r="AF120" s="648">
        <f t="shared" si="262"/>
        <v>0</v>
      </c>
      <c r="AG120" s="649">
        <f t="shared" si="263"/>
        <v>0</v>
      </c>
      <c r="AH120" s="650">
        <f t="shared" si="264"/>
        <v>0</v>
      </c>
      <c r="AI120" s="645">
        <f t="shared" si="265"/>
        <v>0</v>
      </c>
      <c r="AJ120" s="645">
        <f t="shared" si="266"/>
        <v>0</v>
      </c>
      <c r="AK120" s="645" t="str">
        <f t="shared" si="267"/>
        <v/>
      </c>
      <c r="AL120" s="645" t="str">
        <f t="shared" si="268"/>
        <v/>
      </c>
      <c r="AM120" s="645">
        <f t="shared" si="269"/>
        <v>0</v>
      </c>
      <c r="AN120" s="651">
        <f t="shared" si="270"/>
        <v>0</v>
      </c>
      <c r="AO120" s="623"/>
      <c r="AP120" s="632" t="str">
        <f t="shared" si="221"/>
        <v/>
      </c>
      <c r="AQ120" s="633">
        <f>IF(AC120=$V$3,IF(VLOOKUP(C120,[1]List1!$A:$E,5,FALSE)=0,1,VLOOKUP(C120,[1]List1!$A:$E,5,FALSE)),"")</f>
        <v>3</v>
      </c>
      <c r="AR120" s="625" t="str">
        <f t="shared" si="222"/>
        <v/>
      </c>
      <c r="AS120" s="634" t="str">
        <f t="shared" si="223"/>
        <v/>
      </c>
      <c r="AT120" s="625" t="str">
        <f t="shared" si="224"/>
        <v/>
      </c>
      <c r="AU120" s="638" t="e">
        <f t="shared" si="225"/>
        <v>#N/A</v>
      </c>
      <c r="AV120" s="625" t="e">
        <f t="shared" si="226"/>
        <v>#N/A</v>
      </c>
      <c r="AX120" s="625">
        <f>IF(AND('General price list'!$J120="F4",'General price list'!$AB120+0&gt;0),1,0)</f>
        <v>0</v>
      </c>
      <c r="AY120" s="625">
        <f t="shared" si="227"/>
        <v>1</v>
      </c>
      <c r="AZ120" s="625">
        <f t="shared" si="228"/>
        <v>0</v>
      </c>
    </row>
    <row r="121" spans="1:52" ht="15.75" customHeight="1">
      <c r="A121" s="621" t="str">
        <f>Kat.!C121</f>
        <v>×</v>
      </c>
      <c r="B121" s="566">
        <f>IF(AND('General price list'!$J121="F4",$AI$1=FALSE),0,IF(AC121="SKLADEM",1,IF(AC121=$V$3,1,0)))</f>
        <v>1</v>
      </c>
      <c r="C121" s="567" t="s">
        <v>339</v>
      </c>
      <c r="D121" s="568" t="s">
        <v>238</v>
      </c>
      <c r="E121" s="763" t="s">
        <v>12669</v>
      </c>
      <c r="F121" s="792">
        <f>IFERROR(VLOOKUP(C121,[2]List1!$A:$D,3,FALSE),"NEUVEDENO!")</f>
        <v>370</v>
      </c>
      <c r="G121" s="769">
        <f t="shared" si="257"/>
        <v>370</v>
      </c>
      <c r="H121" s="766">
        <f t="shared" si="258"/>
        <v>15.7170589559625</v>
      </c>
      <c r="I121" s="764">
        <f>IFERROR(VLOOKUP(C121,[2]List1!$A:$D,4,FALSE),"NEUVEDENO!")</f>
        <v>25</v>
      </c>
      <c r="J121" s="732" t="s">
        <v>208</v>
      </c>
      <c r="K121" s="569" t="s">
        <v>9836</v>
      </c>
      <c r="L121" s="569" t="s">
        <v>20</v>
      </c>
      <c r="M121" s="569" t="s">
        <v>21</v>
      </c>
      <c r="N121" s="569">
        <f>IFERROR(VLOOKUP(C121,[3]List1!$A:$D,4,FALSE),"N/A!")</f>
        <v>2.0475E-2</v>
      </c>
      <c r="O121" s="569">
        <f>IFERROR(VLOOKUP(C121,[3]List1!$A:$D,3,FALSE),"N/A!")</f>
        <v>2625</v>
      </c>
      <c r="P121" s="569">
        <f>IFERROR(VLOOKUP(C121,[3]List1!$A:$D,2,FALSE),"N/A!")</f>
        <v>9500</v>
      </c>
      <c r="Q121" s="569" t="s">
        <v>11289</v>
      </c>
      <c r="R121" s="569" t="s">
        <v>20</v>
      </c>
      <c r="S121" s="569"/>
      <c r="T121" s="569">
        <v>70</v>
      </c>
      <c r="U121" s="569"/>
      <c r="V121" s="569"/>
      <c r="W121" s="569" t="str">
        <f>IFERROR(IF(AND($AB121&gt;=0.1*$AA121,MOD($AB121,$AA121)&gt;=($AA121-(0.1*$AA121))),IF($W$17=$AF$1,"Zvažte možnost doobjednání ještě "&amp;Tabulka1[[#This Row],[VKPAL]]-MOD(AB121,AA121)&amp;" VK do plné palety.",VLOOKUP("Zvažte možnost doobjednání ještě ",Jazyky_ceník!A:Q,MATCH($W$17,Jazyky_ceník!$A$1:$Q$1,0),FALSE)&amp;Tabulka1[[#This Row],[VKPAL]]-MOD(AB121,AA121)&amp;VLOOKUP(" VK do plné palety.",Jazyky_ceník!A:Q,MATCH($W$17,Jazyky_ceník!$A$1:$Q$1,0),FALSE)),IFERROR(IF(AND(NOT(MOD($AB121,$AA121)=0),$AB121&gt;=0.9*$AA121,MOD($AB121,$AA121)&lt;=0.1*$AA121),IF($W$17=$AF$1,"Zvažte možnost optimalizace objednaného množství podle počtu VK na paletě ==&gt;",VLOOKUP("Zvažte možnost optimalizace objednaného množství podle počtu VK na paletě ==&gt;",Jazyky_ceník!A:Q,MATCH($W$17,Jazyky_ceník!$A$1:$Q$1,0),FALSE)),VLOOKUP('General price list'!$C121,Popisy!A:M,MATCH($W$17,Popisy!$A$7:$M$7,0),FALSE)),"---------------")),IFERROR(VLOOKUP('General price list'!$C121,Popisy!A:M,MATCH($W$17,Popisy!$A$7:$M$7,0),FALSE),"---------------"))</f>
        <v>dýmovnice s pákovou roznětkou-oranžová barva</v>
      </c>
      <c r="X121" s="569" t="str">
        <f t="shared" si="259"/>
        <v/>
      </c>
      <c r="Y121" s="569" t="str">
        <f t="shared" si="260"/>
        <v/>
      </c>
      <c r="Z121" s="569" t="str">
        <f>HYPERLINK("https://www.klasekpyrotechnics.cz/rdg1o-p_1")</f>
        <v>https://www.klasekpyrotechnics.cz/rdg1o-p_1</v>
      </c>
      <c r="AA121" s="569">
        <f>IFERROR(IF(VLOOKUP(C121,[4]List1!$A:$D,4,FALSE)=0,"",VLOOKUP(C121,[4]List1!$A:$D,4,FALSE)),"")</f>
        <v>60</v>
      </c>
      <c r="AB121" s="565"/>
      <c r="AC121" s="570" t="str">
        <f>IFERROR(IF(VLOOKUP(C121,[1]List1!$A:$D,2,FALSE)="VYPRODÁNO",$V$9,IF(VLOOKUP(C121,[1]List1!$A:$D,2,FALSE)="DOCHÁZÍ",$V$3,VLOOKUP(C121,[1]List1!$A:$D,2,FALSE))),"OFFLINE!")</f>
        <v>SKLADEM</v>
      </c>
      <c r="AD121" s="570" t="str">
        <f ca="1">IF(AP121="NE",$V$10,IF(AC121=$V$3,IF(AQ121&lt;1,$V$8,$V$2&amp;" "&amp;AQ121&amp;" "&amp;$V$1),IF(AC121="SKLADEM",$V$6,IFERROR(IF(OR(AC121-TODAY()&gt;45,VLOOKUP(C121,[1]List1!$A:$E,4,FALSE)=0),AC121,DAY(AC121)&amp;"."&amp;MONTH(AC121)&amp;"."&amp;YEAR(AC121)&amp;" "&amp;$V$4&amp;VLOOKUP(C121,[1]List1!$A:$E,4,FALSE)&amp;" "&amp;$V$1),AC121))))</f>
        <v>SKLADEM</v>
      </c>
      <c r="AE121" s="581" t="str">
        <f t="shared" ca="1" si="261"/>
        <v>SKLADEM</v>
      </c>
      <c r="AF121" s="584">
        <f t="shared" si="262"/>
        <v>0</v>
      </c>
      <c r="AG121" s="585">
        <f t="shared" si="263"/>
        <v>0</v>
      </c>
      <c r="AH121" s="583">
        <f t="shared" si="264"/>
        <v>0</v>
      </c>
      <c r="AI121" s="582">
        <f t="shared" si="265"/>
        <v>0</v>
      </c>
      <c r="AJ121" s="569">
        <f t="shared" si="266"/>
        <v>0</v>
      </c>
      <c r="AK121" s="569" t="str">
        <f t="shared" si="267"/>
        <v/>
      </c>
      <c r="AL121" s="569" t="str">
        <f t="shared" si="268"/>
        <v/>
      </c>
      <c r="AM121" s="569">
        <f t="shared" si="269"/>
        <v>0</v>
      </c>
      <c r="AN121" s="581">
        <f t="shared" si="270"/>
        <v>0</v>
      </c>
      <c r="AO121" s="623"/>
      <c r="AP121" s="625" t="str">
        <f t="shared" si="221"/>
        <v/>
      </c>
      <c r="AQ121" s="625" t="str">
        <f>IF(AC121=$V$3,IF(VLOOKUP(C121,[1]List1!$A:$E,5,FALSE)=0,1,VLOOKUP(C121,[1]List1!$A:$E,5,FALSE)),"")</f>
        <v/>
      </c>
      <c r="AR121" s="629" t="str">
        <f t="shared" si="222"/>
        <v/>
      </c>
      <c r="AS121" s="630" t="str">
        <f t="shared" si="223"/>
        <v/>
      </c>
      <c r="AT121" s="625" t="str">
        <f t="shared" si="224"/>
        <v/>
      </c>
      <c r="AU121" s="625" t="e">
        <f t="shared" si="225"/>
        <v>#N/A</v>
      </c>
      <c r="AV121" s="625" t="e">
        <f t="shared" si="226"/>
        <v>#N/A</v>
      </c>
      <c r="AW121" s="631"/>
      <c r="AX121" s="631">
        <f>IF(AND('General price list'!$J121="F4",'General price list'!$AB121+0&gt;0),1,0)</f>
        <v>0</v>
      </c>
      <c r="AY121" s="631">
        <f t="shared" si="227"/>
        <v>1</v>
      </c>
      <c r="AZ121" s="631">
        <f t="shared" si="228"/>
        <v>0</v>
      </c>
    </row>
    <row r="122" spans="1:52" ht="15" customHeight="1">
      <c r="A122" s="751" t="str">
        <f>Kat.!C122</f>
        <v xml:space="preserve">           Dýmové pochodně</v>
      </c>
      <c r="B122" s="751"/>
      <c r="C122" s="751"/>
      <c r="D122" s="751"/>
      <c r="E122" s="751"/>
      <c r="F122" s="751"/>
      <c r="G122" s="751"/>
      <c r="H122" s="751"/>
      <c r="I122" s="752"/>
      <c r="J122" s="752"/>
      <c r="K122" s="752" t="s">
        <v>20</v>
      </c>
      <c r="L122" s="753" t="s">
        <v>2818</v>
      </c>
      <c r="M122" s="752"/>
      <c r="N122" s="752"/>
      <c r="O122" s="752"/>
      <c r="P122" s="752"/>
      <c r="Q122" s="752"/>
      <c r="R122" s="752"/>
      <c r="S122" s="752"/>
      <c r="T122" s="752"/>
      <c r="U122" s="752"/>
      <c r="V122" s="752"/>
      <c r="W122" s="752"/>
      <c r="X122" s="752"/>
      <c r="Y122" s="752"/>
      <c r="Z122" s="752" t="s">
        <v>20</v>
      </c>
      <c r="AA122" s="752"/>
      <c r="AB122" s="752"/>
      <c r="AC122" s="754"/>
      <c r="AD122" s="752"/>
      <c r="AE122" s="752"/>
      <c r="AF122" s="752"/>
      <c r="AG122" s="752"/>
      <c r="AH122" s="752"/>
      <c r="AI122" s="752"/>
      <c r="AJ122" s="752"/>
      <c r="AK122" s="752"/>
      <c r="AL122" s="752"/>
      <c r="AM122" s="752"/>
      <c r="AN122" s="752"/>
      <c r="AO122" s="623"/>
      <c r="AP122" s="632" t="str">
        <f t="shared" si="221"/>
        <v/>
      </c>
      <c r="AQ122" s="633" t="str">
        <f>IF(AC122=$V$3,IF(VLOOKUP(C122,[1]List1!$A:$E,5,FALSE)=0,1,VLOOKUP(C122,[1]List1!$A:$E,5,FALSE)),"")</f>
        <v/>
      </c>
      <c r="AR122" s="625" t="str">
        <f t="shared" si="222"/>
        <v/>
      </c>
      <c r="AS122" s="634" t="str">
        <f t="shared" si="223"/>
        <v/>
      </c>
      <c r="AT122" s="625" t="str">
        <f t="shared" si="224"/>
        <v/>
      </c>
      <c r="AU122" s="638" t="e">
        <f t="shared" si="225"/>
        <v>#N/A</v>
      </c>
      <c r="AV122" s="625" t="e">
        <f t="shared" si="226"/>
        <v>#N/A</v>
      </c>
      <c r="AX122" s="625">
        <f>IF(AND('General price list'!$J122="F4",'General price list'!$AB122+0&gt;0),1,0)</f>
        <v>0</v>
      </c>
      <c r="AY122" s="625">
        <f t="shared" si="227"/>
        <v>0</v>
      </c>
      <c r="AZ122" s="625">
        <f t="shared" si="228"/>
        <v>0</v>
      </c>
    </row>
    <row r="123" spans="1:52" ht="15" customHeight="1">
      <c r="A123" s="639" t="str">
        <f>Kat.!C123</f>
        <v>×</v>
      </c>
      <c r="B123" s="640">
        <f>IF(AND('General price list'!$J123="F4",$AI$1=FALSE),0,IF(AC123="SKLADEM",1,IF(AC123=$V$3,1,0)))</f>
        <v>0</v>
      </c>
      <c r="C123" s="641" t="s">
        <v>9569</v>
      </c>
      <c r="D123" s="642" t="s">
        <v>12498</v>
      </c>
      <c r="E123" s="643" t="s">
        <v>12668</v>
      </c>
      <c r="F123" s="771">
        <f>IFERROR(VLOOKUP(C123,[2]List1!$A:$D,3,FALSE),"NEUVEDENO!")</f>
        <v>362</v>
      </c>
      <c r="G123" s="768">
        <f t="shared" ref="G123:G127" si="271">IF($W$17=$AF$8,ROUND((F123)/$F$17,2),(F123)*$B$19)</f>
        <v>362</v>
      </c>
      <c r="H123" s="765">
        <f t="shared" ref="H123:H127" si="272">IF($W$17=$AF$8,G123*$B$19,G123/$F$17)</f>
        <v>15.37723065421196</v>
      </c>
      <c r="I123" s="644">
        <f>IFERROR(VLOOKUP(C123,[2]List1!$A:$D,4,FALSE),"NEUVEDENO!")</f>
        <v>20</v>
      </c>
      <c r="J123" s="733" t="s">
        <v>193</v>
      </c>
      <c r="K123" s="645" t="s">
        <v>20</v>
      </c>
      <c r="L123" s="645" t="s">
        <v>20</v>
      </c>
      <c r="M123" s="645" t="s">
        <v>21</v>
      </c>
      <c r="N123" s="645">
        <f>IFERROR(VLOOKUP(C123,[3]List1!$A:$D,4,FALSE),"N/A!")</f>
        <v>5.7329999999999999E-2</v>
      </c>
      <c r="O123" s="645">
        <f>IFERROR(VLOOKUP(C123,[3]List1!$A:$D,3,FALSE),"N/A!")</f>
        <v>4500</v>
      </c>
      <c r="P123" s="645">
        <f>IFERROR(VLOOKUP(C123,[3]List1!$A:$D,2,FALSE),"N/A!")</f>
        <v>16500</v>
      </c>
      <c r="Q123" s="645" t="s">
        <v>11299</v>
      </c>
      <c r="R123" s="645" t="s">
        <v>20</v>
      </c>
      <c r="S123" s="645"/>
      <c r="T123" s="645">
        <v>60</v>
      </c>
      <c r="U123" s="645"/>
      <c r="V123" s="645"/>
      <c r="W123" s="645" t="str">
        <f>IFERROR(IF(AND($AB123&gt;=0.1*$AA123,MOD($AB123,$AA123)&gt;=($AA123-(0.1*$AA123))),IF($W$17=$AF$1,"Zvažte možnost doobjednání ještě "&amp;Tabulka1[[#This Row],[VKPAL]]-MOD(AB123,AA123)&amp;" VK do plné palety.",VLOOKUP("Zvažte možnost doobjednání ještě ",Jazyky_ceník!A:Q,MATCH($W$17,Jazyky_ceník!$A$1:$Q$1,0),FALSE)&amp;Tabulka1[[#This Row],[VKPAL]]-MOD(AB123,AA123)&amp;VLOOKUP(" VK do plné palety.",Jazyky_ceník!A:Q,MATCH($W$17,Jazyky_ceník!$A$1:$Q$1,0),FALSE)),IFERROR(IF(AND(NOT(MOD($AB123,$AA123)=0),$AB123&gt;=0.9*$AA123,MOD($AB123,$AA123)&lt;=0.1*$AA123),IF($W$17=$AF$1,"Zvažte možnost optimalizace objednaného množství podle počtu VK na paletě ==&gt;",VLOOKUP("Zvažte možnost optimalizace objednaného množství podle počtu VK na paletě ==&gt;",Jazyky_ceník!A:Q,MATCH($W$17,Jazyky_ceník!$A$1:$Q$1,0),FALSE)),VLOOKUP('General price list'!$C123,Popisy!A:M,MATCH($W$17,Popisy!$A$7:$M$7,0),FALSE)),"---------------")),IFERROR(VLOOKUP('General price list'!$C123,Popisy!A:M,MATCH($W$17,Popisy!$A$7:$M$7,0),FALSE),"---------------"))</f>
        <v>ruční dýmová pochodeň s trhací pojistkou-modrá barva</v>
      </c>
      <c r="X123" s="645" t="str">
        <f t="shared" ref="X123:X127" si="273">IF(AB123&lt;0.0001,"",AB123)</f>
        <v/>
      </c>
      <c r="Y123" s="645" t="str">
        <f t="shared" ref="Y123:Y127" si="274">IF($AL$3=2,IF(OR(AB123&lt;&gt;"",AB123&lt;&gt;0),AU123,""),IF(C123="","",IF(AB123&lt;0.0001,"",IF(B123=0,"",IF(AQ123&lt;AB123,"",AB123)))))</f>
        <v/>
      </c>
      <c r="Z123" s="645" t="str">
        <f>HYPERLINK("https://www.klasekpyrotechnics.cz/rdp60m_sp9038b")</f>
        <v>https://www.klasekpyrotechnics.cz/rdp60m_sp9038b</v>
      </c>
      <c r="AA123" s="645" t="str">
        <f>IFERROR(IF(VLOOKUP(C123,[4]List1!$A:$D,4,FALSE)=0,"",VLOOKUP(C123,[4]List1!$A:$D,4,FALSE)),"")</f>
        <v>36</v>
      </c>
      <c r="AB123" s="646"/>
      <c r="AC123" s="647" t="str">
        <f>IFERROR(IF(VLOOKUP(C123,[1]List1!$A:$D,2,FALSE)="VYPRODÁNO",$V$9,IF(VLOOKUP(C123,[1]List1!$A:$D,2,FALSE)="DOCHÁZÍ",$V$3,VLOOKUP(C123,[1]List1!$A:$D,2,FALSE))),"OFFLINE!")</f>
        <v>VYPRODÁNO</v>
      </c>
      <c r="AD123" s="647" t="str">
        <f ca="1">IF(AP123="NE",$V$10,IF(AC123=$V$3,IF(AQ123&lt;1,$V$8,$V$2&amp;" "&amp;AQ123&amp;" "&amp;$V$1),IF(AC123="SKLADEM",$V$6,IFERROR(IF(OR(AC123-TODAY()&gt;45,VLOOKUP(C123,[1]List1!$A:$E,4,FALSE)=0),AC123,DAY(AC123)&amp;"."&amp;MONTH(AC123)&amp;"."&amp;YEAR(AC123)&amp;" "&amp;$V$4&amp;VLOOKUP(C123,[1]List1!$A:$E,4,FALSE)&amp;" "&amp;$V$1),AC123))))</f>
        <v>VYPRODÁNO</v>
      </c>
      <c r="AE123" s="645" t="str">
        <f t="shared" ref="AE123:AE127" ca="1" si="275">IFERROR(IF(AV123&lt;&gt;"",AV123,AD123),AD123)</f>
        <v>VYPRODÁNO</v>
      </c>
      <c r="AF123" s="648">
        <f t="shared" ref="AF123:AF127" si="276">IFERROR(IF(AB123=Y123,G123*I123*Y123,0),0)</f>
        <v>0</v>
      </c>
      <c r="AG123" s="649">
        <f t="shared" ref="AG123:AG127" si="277">IF($W$17=$AF$8,AH123*1.23,AF123*1.21)</f>
        <v>0</v>
      </c>
      <c r="AH123" s="650">
        <f t="shared" ref="AH123:AH127" si="278">IFERROR(IF(Y123=AB123,H123*I123*Y123,0),0)</f>
        <v>0</v>
      </c>
      <c r="AI123" s="645">
        <f t="shared" ref="AI123:AI127" si="279">IFERROR(IF(Y123=AB123,(P123*Y123)/1000,1),0)</f>
        <v>0</v>
      </c>
      <c r="AJ123" s="645">
        <f t="shared" ref="AJ123:AJ127" si="280">IFERROR(IF(Y123=AB123,N123*Y123,0.1),0)</f>
        <v>0</v>
      </c>
      <c r="AK123" s="645" t="str">
        <f t="shared" ref="AK123:AK127" si="281">IFERROR(IF(Y123=AB123,IF(M123="1.1G",(O123/1000)*Y123,""),""),0)</f>
        <v/>
      </c>
      <c r="AL123" s="645" t="str">
        <f t="shared" ref="AL123:AL127" si="282">IFERROR(IF(Y123=AB123,IF(M123="1.3G",(O123/1000)*AB123,""),""),0)</f>
        <v/>
      </c>
      <c r="AM123" s="645">
        <f t="shared" ref="AM123:AM127" si="283">IFERROR(IF(Y123=AB123,IF(M123="1.4G",(O123/1000)*AB123,""),""),0)</f>
        <v>0</v>
      </c>
      <c r="AN123" s="651">
        <f t="shared" ref="AN123:AN127" si="284">SUM(AK123:AM123)</f>
        <v>0</v>
      </c>
      <c r="AO123" s="623"/>
      <c r="AP123" s="632" t="str">
        <f t="shared" si="221"/>
        <v/>
      </c>
      <c r="AQ123" s="633" t="str">
        <f>IF(AC123=$V$3,IF(VLOOKUP(C123,[1]List1!$A:$E,5,FALSE)=0,1,VLOOKUP(C123,[1]List1!$A:$E,5,FALSE)),"")</f>
        <v/>
      </c>
      <c r="AR123" s="625" t="str">
        <f t="shared" si="222"/>
        <v/>
      </c>
      <c r="AS123" s="634" t="str">
        <f t="shared" si="223"/>
        <v/>
      </c>
      <c r="AT123" s="625" t="str">
        <f t="shared" si="224"/>
        <v/>
      </c>
      <c r="AU123" s="638" t="e">
        <f t="shared" si="225"/>
        <v>#N/A</v>
      </c>
      <c r="AV123" s="625" t="e">
        <f t="shared" si="226"/>
        <v>#N/A</v>
      </c>
      <c r="AX123" s="625">
        <f>IF(AND('General price list'!$J123="F4",'General price list'!$AB123+0&gt;0),1,0)</f>
        <v>0</v>
      </c>
      <c r="AY123" s="625">
        <f t="shared" si="227"/>
        <v>1</v>
      </c>
      <c r="AZ123" s="625">
        <f t="shared" si="228"/>
        <v>0</v>
      </c>
    </row>
    <row r="124" spans="1:52" ht="15" customHeight="1">
      <c r="A124" s="621" t="str">
        <f>Kat.!C124</f>
        <v/>
      </c>
      <c r="B124" s="566">
        <f>IF(AND('General price list'!$J124="F4",$AI$1=FALSE),0,IF(AC124="SKLADEM",1,IF(AC124=$V$3,1,0)))</f>
        <v>1</v>
      </c>
      <c r="C124" s="567" t="s">
        <v>3451</v>
      </c>
      <c r="D124" s="568" t="s">
        <v>12499</v>
      </c>
      <c r="E124" s="763" t="s">
        <v>12668</v>
      </c>
      <c r="F124" s="772">
        <f>IFERROR(VLOOKUP(C124,[2]List1!$A:$D,3,FALSE),"NEUVEDENO!")</f>
        <v>307</v>
      </c>
      <c r="G124" s="769">
        <f t="shared" si="271"/>
        <v>307</v>
      </c>
      <c r="H124" s="766">
        <f t="shared" si="272"/>
        <v>13.040911079676993</v>
      </c>
      <c r="I124" s="764">
        <f>IFERROR(VLOOKUP(C124,[2]List1!$A:$D,4,FALSE),"NEUVEDENO!")</f>
        <v>20</v>
      </c>
      <c r="J124" s="732" t="s">
        <v>193</v>
      </c>
      <c r="K124" s="569" t="s">
        <v>20</v>
      </c>
      <c r="L124" s="569" t="s">
        <v>10968</v>
      </c>
      <c r="M124" s="569" t="s">
        <v>21</v>
      </c>
      <c r="N124" s="569">
        <f>IFERROR(VLOOKUP(C124,[3]List1!$A:$D,4,FALSE),"N/A!")</f>
        <v>5.7329999999999999E-2</v>
      </c>
      <c r="O124" s="569">
        <f>IFERROR(VLOOKUP(C124,[3]List1!$A:$D,3,FALSE),"N/A!")</f>
        <v>4500</v>
      </c>
      <c r="P124" s="569">
        <f>IFERROR(VLOOKUP(C124,[3]List1!$A:$D,2,FALSE),"N/A!")</f>
        <v>19000</v>
      </c>
      <c r="Q124" s="569" t="s">
        <v>11244</v>
      </c>
      <c r="R124" s="569"/>
      <c r="S124" s="569"/>
      <c r="T124" s="569">
        <v>60</v>
      </c>
      <c r="U124" s="569"/>
      <c r="V124" s="569"/>
      <c r="W124" s="569" t="str">
        <f>IFERROR(IF(AND($AB124&gt;=0.1*$AA124,MOD($AB124,$AA124)&gt;=($AA124-(0.1*$AA124))),IF($W$17=$AF$1,"Zvažte možnost doobjednání ještě "&amp;Tabulka1[[#This Row],[VKPAL]]-MOD(AB124,AA124)&amp;" VK do plné palety.",VLOOKUP("Zvažte možnost doobjednání ještě ",Jazyky_ceník!A:Q,MATCH($W$17,Jazyky_ceník!$A$1:$Q$1,0),FALSE)&amp;Tabulka1[[#This Row],[VKPAL]]-MOD(AB124,AA124)&amp;VLOOKUP(" VK do plné palety.",Jazyky_ceník!A:Q,MATCH($W$17,Jazyky_ceník!$A$1:$Q$1,0),FALSE)),IFERROR(IF(AND(NOT(MOD($AB124,$AA124)=0),$AB124&gt;=0.9*$AA124,MOD($AB124,$AA124)&lt;=0.1*$AA124),IF($W$17=$AF$1,"Zvažte možnost optimalizace objednaného množství podle počtu VK na paletě ==&gt;",VLOOKUP("Zvažte možnost optimalizace objednaného množství podle počtu VK na paletě ==&gt;",Jazyky_ceník!A:Q,MATCH($W$17,Jazyky_ceník!$A$1:$Q$1,0),FALSE)),VLOOKUP('General price list'!$C124,Popisy!A:M,MATCH($W$17,Popisy!$A$7:$M$7,0),FALSE)),"---------------")),IFERROR(VLOOKUP('General price list'!$C124,Popisy!A:M,MATCH($W$17,Popisy!$A$7:$M$7,0),FALSE),"---------------"))</f>
        <v>ruční dýmová pochodeň-bílá barva</v>
      </c>
      <c r="X124" s="569" t="str">
        <f t="shared" si="273"/>
        <v/>
      </c>
      <c r="Y124" s="569" t="str">
        <f t="shared" si="274"/>
        <v/>
      </c>
      <c r="Z124" s="569" t="str">
        <f>HYPERLINK("https://www.klasekpyrotechnics.cz/hdp60b")</f>
        <v>https://www.klasekpyrotechnics.cz/hdp60b</v>
      </c>
      <c r="AA124" s="569">
        <f>IFERROR(IF(VLOOKUP(C124,[4]List1!$A:$D,4,FALSE)=0,"",VLOOKUP(C124,[4]List1!$A:$D,4,FALSE)),"")</f>
        <v>21</v>
      </c>
      <c r="AB124" s="565"/>
      <c r="AC124" s="570" t="str">
        <f>IFERROR(IF(VLOOKUP(C124,[1]List1!$A:$D,2,FALSE)="VYPRODÁNO",$V$9,IF(VLOOKUP(C124,[1]List1!$A:$D,2,FALSE)="DOCHÁZÍ",$V$3,VLOOKUP(C124,[1]List1!$A:$D,2,FALSE))),"OFFLINE!")</f>
        <v>SKLADEM</v>
      </c>
      <c r="AD124" s="570" t="str">
        <f ca="1">IF(AP124="NE",$V$10,IF(AC124=$V$3,IF(AQ124&lt;1,$V$8,$V$2&amp;" "&amp;AQ124&amp;" "&amp;$V$1),IF(AC124="SKLADEM",$V$6,IFERROR(IF(OR(AC124-TODAY()&gt;45,VLOOKUP(C124,[1]List1!$A:$E,4,FALSE)=0),AC124,DAY(AC124)&amp;"."&amp;MONTH(AC124)&amp;"."&amp;YEAR(AC124)&amp;" "&amp;$V$4&amp;VLOOKUP(C124,[1]List1!$A:$E,4,FALSE)&amp;" "&amp;$V$1),AC124))))</f>
        <v>SKLADEM</v>
      </c>
      <c r="AE124" s="581" t="str">
        <f t="shared" ca="1" si="275"/>
        <v>SKLADEM</v>
      </c>
      <c r="AF124" s="584">
        <f t="shared" si="276"/>
        <v>0</v>
      </c>
      <c r="AG124" s="585">
        <f t="shared" si="277"/>
        <v>0</v>
      </c>
      <c r="AH124" s="583">
        <f t="shared" si="278"/>
        <v>0</v>
      </c>
      <c r="AI124" s="582">
        <f t="shared" si="279"/>
        <v>0</v>
      </c>
      <c r="AJ124" s="569">
        <f t="shared" si="280"/>
        <v>0</v>
      </c>
      <c r="AK124" s="569" t="str">
        <f t="shared" si="281"/>
        <v/>
      </c>
      <c r="AL124" s="569" t="str">
        <f t="shared" si="282"/>
        <v/>
      </c>
      <c r="AM124" s="569">
        <f t="shared" si="283"/>
        <v>0</v>
      </c>
      <c r="AN124" s="581">
        <f t="shared" si="284"/>
        <v>0</v>
      </c>
      <c r="AO124" s="623"/>
      <c r="AP124" s="632" t="str">
        <f t="shared" si="221"/>
        <v/>
      </c>
      <c r="AQ124" s="633" t="str">
        <f>IF(AC124=$V$3,IF(VLOOKUP(C124,[1]List1!$A:$E,5,FALSE)=0,1,VLOOKUP(C124,[1]List1!$A:$E,5,FALSE)),"")</f>
        <v/>
      </c>
      <c r="AR124" s="625" t="str">
        <f t="shared" si="222"/>
        <v/>
      </c>
      <c r="AS124" s="634" t="str">
        <f t="shared" si="223"/>
        <v/>
      </c>
      <c r="AT124" s="625" t="str">
        <f t="shared" si="224"/>
        <v/>
      </c>
      <c r="AU124" s="638" t="e">
        <f t="shared" si="225"/>
        <v>#N/A</v>
      </c>
      <c r="AV124" s="625" t="e">
        <f t="shared" si="226"/>
        <v>#N/A</v>
      </c>
      <c r="AX124" s="625">
        <f>IF(AND('General price list'!$J124="F4",'General price list'!$AB124+0&gt;0),1,0)</f>
        <v>0</v>
      </c>
      <c r="AY124" s="625">
        <f t="shared" si="227"/>
        <v>1</v>
      </c>
      <c r="AZ124" s="625">
        <f t="shared" si="228"/>
        <v>0</v>
      </c>
    </row>
    <row r="125" spans="1:52" ht="15" customHeight="1">
      <c r="A125" s="639" t="str">
        <f>Kat.!C125</f>
        <v/>
      </c>
      <c r="B125" s="640">
        <f>IF(AND('General price list'!$J125="F4",$AI$1=FALSE),0,IF(AC125="SKLADEM",1,IF(AC125=$V$3,1,0)))</f>
        <v>1</v>
      </c>
      <c r="C125" s="641" t="s">
        <v>3461</v>
      </c>
      <c r="D125" s="642" t="s">
        <v>3462</v>
      </c>
      <c r="E125" s="643" t="s">
        <v>12668</v>
      </c>
      <c r="F125" s="771">
        <f>IFERROR(VLOOKUP(C125,[2]List1!$A:$D,3,FALSE),"NEUVEDENO!")</f>
        <v>307</v>
      </c>
      <c r="G125" s="768">
        <f t="shared" si="271"/>
        <v>307</v>
      </c>
      <c r="H125" s="765">
        <f t="shared" si="272"/>
        <v>13.040911079676993</v>
      </c>
      <c r="I125" s="644">
        <f>IFERROR(VLOOKUP(C125,[2]List1!$A:$D,4,FALSE),"NEUVEDENO!")</f>
        <v>20</v>
      </c>
      <c r="J125" s="733" t="s">
        <v>193</v>
      </c>
      <c r="K125" s="645" t="s">
        <v>20</v>
      </c>
      <c r="L125" s="645" t="s">
        <v>10968</v>
      </c>
      <c r="M125" s="645" t="s">
        <v>21</v>
      </c>
      <c r="N125" s="645">
        <f>IFERROR(VLOOKUP(C125,[3]List1!$A:$D,4,FALSE),"N/A!")</f>
        <v>5.7329999999999999E-2</v>
      </c>
      <c r="O125" s="645">
        <f>IFERROR(VLOOKUP(C125,[3]List1!$A:$D,3,FALSE),"N/A!")</f>
        <v>4500</v>
      </c>
      <c r="P125" s="645">
        <f>IFERROR(VLOOKUP(C125,[3]List1!$A:$D,2,FALSE),"N/A!")</f>
        <v>19000</v>
      </c>
      <c r="Q125" s="645" t="s">
        <v>11244</v>
      </c>
      <c r="R125" s="645"/>
      <c r="S125" s="645"/>
      <c r="T125" s="645">
        <v>60</v>
      </c>
      <c r="U125" s="645"/>
      <c r="V125" s="645"/>
      <c r="W125" s="645" t="str">
        <f>IFERROR(IF(AND($AB125&gt;=0.1*$AA125,MOD($AB125,$AA125)&gt;=($AA125-(0.1*$AA125))),IF($W$17=$AF$1,"Zvažte možnost doobjednání ještě "&amp;Tabulka1[[#This Row],[VKPAL]]-MOD(AB125,AA125)&amp;" VK do plné palety.",VLOOKUP("Zvažte možnost doobjednání ještě ",Jazyky_ceník!A:Q,MATCH($W$17,Jazyky_ceník!$A$1:$Q$1,0),FALSE)&amp;Tabulka1[[#This Row],[VKPAL]]-MOD(AB125,AA125)&amp;VLOOKUP(" VK do plné palety.",Jazyky_ceník!A:Q,MATCH($W$17,Jazyky_ceník!$A$1:$Q$1,0),FALSE)),IFERROR(IF(AND(NOT(MOD($AB125,$AA125)=0),$AB125&gt;=0.9*$AA125,MOD($AB125,$AA125)&lt;=0.1*$AA125),IF($W$17=$AF$1,"Zvažte možnost optimalizace objednaného množství podle počtu VK na paletě ==&gt;",VLOOKUP("Zvažte možnost optimalizace objednaného množství podle počtu VK na paletě ==&gt;",Jazyky_ceník!A:Q,MATCH($W$17,Jazyky_ceník!$A$1:$Q$1,0),FALSE)),VLOOKUP('General price list'!$C125,Popisy!A:M,MATCH($W$17,Popisy!$A$7:$M$7,0),FALSE)),"---------------")),IFERROR(VLOOKUP('General price list'!$C125,Popisy!A:M,MATCH($W$17,Popisy!$A$7:$M$7,0),FALSE),"---------------"))</f>
        <v>ruční dýmová pochodeň-červená barva</v>
      </c>
      <c r="X125" s="645" t="str">
        <f t="shared" si="273"/>
        <v/>
      </c>
      <c r="Y125" s="645" t="str">
        <f t="shared" si="274"/>
        <v/>
      </c>
      <c r="Z125" s="645" t="str">
        <f>HYPERLINK("https://www.klasekpyrotechnics.cz/hdp60c")</f>
        <v>https://www.klasekpyrotechnics.cz/hdp60c</v>
      </c>
      <c r="AA125" s="645">
        <f>IFERROR(IF(VLOOKUP(C125,[4]List1!$A:$D,4,FALSE)=0,"",VLOOKUP(C125,[4]List1!$A:$D,4,FALSE)),"")</f>
        <v>21</v>
      </c>
      <c r="AB125" s="646"/>
      <c r="AC125" s="647" t="str">
        <f>IFERROR(IF(VLOOKUP(C125,[1]List1!$A:$D,2,FALSE)="VYPRODÁNO",$V$9,IF(VLOOKUP(C125,[1]List1!$A:$D,2,FALSE)="DOCHÁZÍ",$V$3,VLOOKUP(C125,[1]List1!$A:$D,2,FALSE))),"OFFLINE!")</f>
        <v>SKLADEM</v>
      </c>
      <c r="AD125" s="647" t="str">
        <f ca="1">IF(AP125="NE",$V$10,IF(AC125=$V$3,IF(AQ125&lt;1,$V$8,$V$2&amp;" "&amp;AQ125&amp;" "&amp;$V$1),IF(AC125="SKLADEM",$V$6,IFERROR(IF(OR(AC125-TODAY()&gt;45,VLOOKUP(C125,[1]List1!$A:$E,4,FALSE)=0),AC125,DAY(AC125)&amp;"."&amp;MONTH(AC125)&amp;"."&amp;YEAR(AC125)&amp;" "&amp;$V$4&amp;VLOOKUP(C125,[1]List1!$A:$E,4,FALSE)&amp;" "&amp;$V$1),AC125))))</f>
        <v>SKLADEM</v>
      </c>
      <c r="AE125" s="645" t="str">
        <f t="shared" ca="1" si="275"/>
        <v>SKLADEM</v>
      </c>
      <c r="AF125" s="648">
        <f t="shared" si="276"/>
        <v>0</v>
      </c>
      <c r="AG125" s="649">
        <f t="shared" si="277"/>
        <v>0</v>
      </c>
      <c r="AH125" s="650">
        <f t="shared" si="278"/>
        <v>0</v>
      </c>
      <c r="AI125" s="645">
        <f t="shared" si="279"/>
        <v>0</v>
      </c>
      <c r="AJ125" s="645">
        <f t="shared" si="280"/>
        <v>0</v>
      </c>
      <c r="AK125" s="645" t="str">
        <f t="shared" si="281"/>
        <v/>
      </c>
      <c r="AL125" s="645" t="str">
        <f t="shared" si="282"/>
        <v/>
      </c>
      <c r="AM125" s="645">
        <f t="shared" si="283"/>
        <v>0</v>
      </c>
      <c r="AN125" s="651">
        <f t="shared" si="284"/>
        <v>0</v>
      </c>
      <c r="AO125" s="623"/>
      <c r="AP125" s="632" t="str">
        <f t="shared" si="221"/>
        <v/>
      </c>
      <c r="AQ125" s="625" t="str">
        <f>IF(AC125=$V$3,IF(VLOOKUP(C125,[1]List1!$A:$E,5,FALSE)=0,1,VLOOKUP(C125,[1]List1!$A:$E,5,FALSE)),"")</f>
        <v/>
      </c>
      <c r="AR125" s="625" t="str">
        <f t="shared" si="222"/>
        <v/>
      </c>
      <c r="AS125" s="634" t="str">
        <f t="shared" si="223"/>
        <v/>
      </c>
      <c r="AT125" s="625" t="str">
        <f t="shared" si="224"/>
        <v/>
      </c>
      <c r="AU125" s="638" t="e">
        <f t="shared" si="225"/>
        <v>#N/A</v>
      </c>
      <c r="AV125" s="625" t="e">
        <f t="shared" si="226"/>
        <v>#N/A</v>
      </c>
      <c r="AX125" s="625">
        <f>IF(AND('General price list'!$J125="F4",'General price list'!$AB125+0&gt;0),1,0)</f>
        <v>0</v>
      </c>
      <c r="AY125" s="625">
        <f t="shared" si="227"/>
        <v>1</v>
      </c>
      <c r="AZ125" s="625">
        <f t="shared" si="228"/>
        <v>0</v>
      </c>
    </row>
    <row r="126" spans="1:52" ht="15" customHeight="1">
      <c r="A126" s="621" t="str">
        <f>Kat.!C126</f>
        <v/>
      </c>
      <c r="B126" s="566">
        <f>IF(AND('General price list'!$J126="F4",$AI$1=FALSE),0,IF(AC126="SKLADEM",1,IF(AC126=$V$3,1,0)))</f>
        <v>1</v>
      </c>
      <c r="C126" s="567" t="s">
        <v>3472</v>
      </c>
      <c r="D126" s="568" t="s">
        <v>3473</v>
      </c>
      <c r="E126" s="763" t="s">
        <v>12668</v>
      </c>
      <c r="F126" s="772">
        <f>IFERROR(VLOOKUP(C126,[2]List1!$A:$D,3,FALSE),"NEUVEDENO!")</f>
        <v>307</v>
      </c>
      <c r="G126" s="769">
        <f t="shared" si="271"/>
        <v>307</v>
      </c>
      <c r="H126" s="766">
        <f t="shared" si="272"/>
        <v>13.040911079676993</v>
      </c>
      <c r="I126" s="764">
        <f>IFERROR(VLOOKUP(C126,[2]List1!$A:$D,4,FALSE),"NEUVEDENO!")</f>
        <v>20</v>
      </c>
      <c r="J126" s="732" t="s">
        <v>193</v>
      </c>
      <c r="K126" s="569" t="s">
        <v>20</v>
      </c>
      <c r="L126" s="569" t="s">
        <v>10968</v>
      </c>
      <c r="M126" s="569" t="s">
        <v>21</v>
      </c>
      <c r="N126" s="569">
        <f>IFERROR(VLOOKUP(C126,[3]List1!$A:$D,4,FALSE),"N/A!")</f>
        <v>5.7329999999999999E-2</v>
      </c>
      <c r="O126" s="569">
        <f>IFERROR(VLOOKUP(C126,[3]List1!$A:$D,3,FALSE),"N/A!")</f>
        <v>4500</v>
      </c>
      <c r="P126" s="569">
        <f>IFERROR(VLOOKUP(C126,[3]List1!$A:$D,2,FALSE),"N/A!")</f>
        <v>19000</v>
      </c>
      <c r="Q126" s="569" t="s">
        <v>11244</v>
      </c>
      <c r="R126" s="569"/>
      <c r="S126" s="569"/>
      <c r="T126" s="569">
        <v>60</v>
      </c>
      <c r="U126" s="569"/>
      <c r="V126" s="569"/>
      <c r="W126" s="569" t="str">
        <f>IFERROR(IF(AND($AB126&gt;=0.1*$AA126,MOD($AB126,$AA126)&gt;=($AA126-(0.1*$AA126))),IF($W$17=$AF$1,"Zvažte možnost doobjednání ještě "&amp;Tabulka1[[#This Row],[VKPAL]]-MOD(AB126,AA126)&amp;" VK do plné palety.",VLOOKUP("Zvažte možnost doobjednání ještě ",Jazyky_ceník!A:Q,MATCH($W$17,Jazyky_ceník!$A$1:$Q$1,0),FALSE)&amp;Tabulka1[[#This Row],[VKPAL]]-MOD(AB126,AA126)&amp;VLOOKUP(" VK do plné palety.",Jazyky_ceník!A:Q,MATCH($W$17,Jazyky_ceník!$A$1:$Q$1,0),FALSE)),IFERROR(IF(AND(NOT(MOD($AB126,$AA126)=0),$AB126&gt;=0.9*$AA126,MOD($AB126,$AA126)&lt;=0.1*$AA126),IF($W$17=$AF$1,"Zvažte možnost optimalizace objednaného množství podle počtu VK na paletě ==&gt;",VLOOKUP("Zvažte možnost optimalizace objednaného množství podle počtu VK na paletě ==&gt;",Jazyky_ceník!A:Q,MATCH($W$17,Jazyky_ceník!$A$1:$Q$1,0),FALSE)),VLOOKUP('General price list'!$C126,Popisy!A:M,MATCH($W$17,Popisy!$A$7:$M$7,0),FALSE)),"---------------")),IFERROR(VLOOKUP('General price list'!$C126,Popisy!A:M,MATCH($W$17,Popisy!$A$7:$M$7,0),FALSE),"---------------"))</f>
        <v>ruční dýmová pochodeň-modrá barva</v>
      </c>
      <c r="X126" s="569" t="str">
        <f t="shared" si="273"/>
        <v/>
      </c>
      <c r="Y126" s="569" t="str">
        <f t="shared" si="274"/>
        <v/>
      </c>
      <c r="Z126" s="569" t="str">
        <f>HYPERLINK("https://www.klasekpyrotechnics.cz/hdp60m")</f>
        <v>https://www.klasekpyrotechnics.cz/hdp60m</v>
      </c>
      <c r="AA126" s="569">
        <f>IFERROR(IF(VLOOKUP(C126,[4]List1!$A:$D,4,FALSE)=0,"",VLOOKUP(C126,[4]List1!$A:$D,4,FALSE)),"")</f>
        <v>21</v>
      </c>
      <c r="AB126" s="565"/>
      <c r="AC126" s="570" t="str">
        <f>IFERROR(IF(VLOOKUP(C126,[1]List1!$A:$D,2,FALSE)="VYPRODÁNO",$V$9,IF(VLOOKUP(C126,[1]List1!$A:$D,2,FALSE)="DOCHÁZÍ",$V$3,VLOOKUP(C126,[1]List1!$A:$D,2,FALSE))),"OFFLINE!")</f>
        <v>SKLADEM</v>
      </c>
      <c r="AD126" s="570" t="str">
        <f ca="1">IF(AP126="NE",$V$10,IF(AC126=$V$3,IF(AQ126&lt;1,$V$8,$V$2&amp;" "&amp;AQ126&amp;" "&amp;$V$1),IF(AC126="SKLADEM",$V$6,IFERROR(IF(OR(AC126-TODAY()&gt;45,VLOOKUP(C126,[1]List1!$A:$E,4,FALSE)=0),AC126,DAY(AC126)&amp;"."&amp;MONTH(AC126)&amp;"."&amp;YEAR(AC126)&amp;" "&amp;$V$4&amp;VLOOKUP(C126,[1]List1!$A:$E,4,FALSE)&amp;" "&amp;$V$1),AC126))))</f>
        <v>SKLADEM</v>
      </c>
      <c r="AE126" s="581" t="str">
        <f t="shared" ca="1" si="275"/>
        <v>SKLADEM</v>
      </c>
      <c r="AF126" s="584">
        <f t="shared" si="276"/>
        <v>0</v>
      </c>
      <c r="AG126" s="585">
        <f t="shared" si="277"/>
        <v>0</v>
      </c>
      <c r="AH126" s="583">
        <f t="shared" si="278"/>
        <v>0</v>
      </c>
      <c r="AI126" s="582">
        <f t="shared" si="279"/>
        <v>0</v>
      </c>
      <c r="AJ126" s="569">
        <f t="shared" si="280"/>
        <v>0</v>
      </c>
      <c r="AK126" s="569" t="str">
        <f t="shared" si="281"/>
        <v/>
      </c>
      <c r="AL126" s="569" t="str">
        <f t="shared" si="282"/>
        <v/>
      </c>
      <c r="AM126" s="569">
        <f t="shared" si="283"/>
        <v>0</v>
      </c>
      <c r="AN126" s="581">
        <f t="shared" si="284"/>
        <v>0</v>
      </c>
      <c r="AO126" s="623"/>
      <c r="AP126" s="632" t="str">
        <f t="shared" si="221"/>
        <v/>
      </c>
      <c r="AQ126" s="633" t="str">
        <f>IF(AC126=$V$3,IF(VLOOKUP(C126,[1]List1!$A:$E,5,FALSE)=0,1,VLOOKUP(C126,[1]List1!$A:$E,5,FALSE)),"")</f>
        <v/>
      </c>
      <c r="AR126" s="625" t="str">
        <f t="shared" si="222"/>
        <v/>
      </c>
      <c r="AS126" s="634" t="str">
        <f t="shared" si="223"/>
        <v/>
      </c>
      <c r="AT126" s="625" t="str">
        <f t="shared" si="224"/>
        <v/>
      </c>
      <c r="AU126" s="638" t="e">
        <f t="shared" si="225"/>
        <v>#N/A</v>
      </c>
      <c r="AV126" s="625" t="e">
        <f t="shared" si="226"/>
        <v>#N/A</v>
      </c>
      <c r="AX126" s="625">
        <f>IF(AND('General price list'!$J126="F4",'General price list'!$AB126+0&gt;0),1,0)</f>
        <v>0</v>
      </c>
      <c r="AY126" s="625">
        <f t="shared" si="227"/>
        <v>1</v>
      </c>
      <c r="AZ126" s="625">
        <f t="shared" si="228"/>
        <v>0</v>
      </c>
    </row>
    <row r="127" spans="1:52" ht="15" customHeight="1">
      <c r="A127" s="639" t="str">
        <f>Kat.!C127</f>
        <v/>
      </c>
      <c r="B127" s="640">
        <f>IF(AND('General price list'!$J127="F4",$AI$1=FALSE),0,IF(AC127="SKLADEM",1,IF(AC127=$V$3,1,0)))</f>
        <v>1</v>
      </c>
      <c r="C127" s="641" t="s">
        <v>3493</v>
      </c>
      <c r="D127" s="642" t="s">
        <v>3494</v>
      </c>
      <c r="E127" s="643" t="s">
        <v>12668</v>
      </c>
      <c r="F127" s="773">
        <f>IFERROR(VLOOKUP(C127,[2]List1!$A:$D,3,FALSE),"NEUVEDENO!")</f>
        <v>307</v>
      </c>
      <c r="G127" s="770">
        <f t="shared" si="271"/>
        <v>307</v>
      </c>
      <c r="H127" s="767">
        <f t="shared" si="272"/>
        <v>13.040911079676993</v>
      </c>
      <c r="I127" s="644">
        <f>IFERROR(VLOOKUP(C127,[2]List1!$A:$D,4,FALSE),"NEUVEDENO!")</f>
        <v>20</v>
      </c>
      <c r="J127" s="733" t="s">
        <v>193</v>
      </c>
      <c r="K127" s="645" t="s">
        <v>20</v>
      </c>
      <c r="L127" s="645" t="s">
        <v>10968</v>
      </c>
      <c r="M127" s="645" t="s">
        <v>21</v>
      </c>
      <c r="N127" s="645">
        <f>IFERROR(VLOOKUP(C127,[3]List1!$A:$D,4,FALSE),"N/A!")</f>
        <v>5.7329999999999999E-2</v>
      </c>
      <c r="O127" s="645">
        <f>IFERROR(VLOOKUP(C127,[3]List1!$A:$D,3,FALSE),"N/A!")</f>
        <v>4500</v>
      </c>
      <c r="P127" s="645">
        <f>IFERROR(VLOOKUP(C127,[3]List1!$A:$D,2,FALSE),"N/A!")</f>
        <v>19000</v>
      </c>
      <c r="Q127" s="645" t="s">
        <v>11244</v>
      </c>
      <c r="R127" s="645" t="s">
        <v>20</v>
      </c>
      <c r="S127" s="645"/>
      <c r="T127" s="645">
        <v>60</v>
      </c>
      <c r="U127" s="645"/>
      <c r="V127" s="645"/>
      <c r="W127" s="645" t="str">
        <f>IFERROR(IF(AND($AB127&gt;=0.1*$AA127,MOD($AB127,$AA127)&gt;=($AA127-(0.1*$AA127))),IF($W$17=$AF$1,"Zvažte možnost doobjednání ještě "&amp;Tabulka1[[#This Row],[VKPAL]]-MOD(AB127,AA127)&amp;" VK do plné palety.",VLOOKUP("Zvažte možnost doobjednání ještě ",Jazyky_ceník!A:Q,MATCH($W$17,Jazyky_ceník!$A$1:$Q$1,0),FALSE)&amp;Tabulka1[[#This Row],[VKPAL]]-MOD(AB127,AA127)&amp;VLOOKUP(" VK do plné palety.",Jazyky_ceník!A:Q,MATCH($W$17,Jazyky_ceník!$A$1:$Q$1,0),FALSE)),IFERROR(IF(AND(NOT(MOD($AB127,$AA127)=0),$AB127&gt;=0.9*$AA127,MOD($AB127,$AA127)&lt;=0.1*$AA127),IF($W$17=$AF$1,"Zvažte možnost optimalizace objednaného množství podle počtu VK na paletě ==&gt;",VLOOKUP("Zvažte možnost optimalizace objednaného množství podle počtu VK na paletě ==&gt;",Jazyky_ceník!A:Q,MATCH($W$17,Jazyky_ceník!$A$1:$Q$1,0),FALSE)),VLOOKUP('General price list'!$C127,Popisy!A:M,MATCH($W$17,Popisy!$A$7:$M$7,0),FALSE)),"---------------")),IFERROR(VLOOKUP('General price list'!$C127,Popisy!A:M,MATCH($W$17,Popisy!$A$7:$M$7,0),FALSE),"---------------"))</f>
        <v>ruční dýmová pochodeň-zelená barva</v>
      </c>
      <c r="X127" s="645" t="str">
        <f t="shared" si="273"/>
        <v/>
      </c>
      <c r="Y127" s="645" t="str">
        <f t="shared" si="274"/>
        <v/>
      </c>
      <c r="Z127" s="645" t="str">
        <f>HYPERLINK("https://www.klasekpyrotechnics.cz/hdp60ze")</f>
        <v>https://www.klasekpyrotechnics.cz/hdp60ze</v>
      </c>
      <c r="AA127" s="645">
        <f>IFERROR(IF(VLOOKUP(C127,[4]List1!$A:$D,4,FALSE)=0,"",VLOOKUP(C127,[4]List1!$A:$D,4,FALSE)),"")</f>
        <v>21</v>
      </c>
      <c r="AB127" s="646"/>
      <c r="AC127" s="647" t="str">
        <f>IFERROR(IF(VLOOKUP(C127,[1]List1!$A:$D,2,FALSE)="VYPRODÁNO",$V$9,IF(VLOOKUP(C127,[1]List1!$A:$D,2,FALSE)="DOCHÁZÍ",$V$3,VLOOKUP(C127,[1]List1!$A:$D,2,FALSE))),"OFFLINE!")</f>
        <v>SKLADEM</v>
      </c>
      <c r="AD127" s="647" t="str">
        <f ca="1">IF(AP127="NE",$V$10,IF(AC127=$V$3,IF(AQ127&lt;1,$V$8,$V$2&amp;" "&amp;AQ127&amp;" "&amp;$V$1),IF(AC127="SKLADEM",$V$6,IFERROR(IF(OR(AC127-TODAY()&gt;45,VLOOKUP(C127,[1]List1!$A:$E,4,FALSE)=0),AC127,DAY(AC127)&amp;"."&amp;MONTH(AC127)&amp;"."&amp;YEAR(AC127)&amp;" "&amp;$V$4&amp;VLOOKUP(C127,[1]List1!$A:$E,4,FALSE)&amp;" "&amp;$V$1),AC127))))</f>
        <v>SKLADEM</v>
      </c>
      <c r="AE127" s="645" t="str">
        <f t="shared" ca="1" si="275"/>
        <v>SKLADEM</v>
      </c>
      <c r="AF127" s="648">
        <f t="shared" si="276"/>
        <v>0</v>
      </c>
      <c r="AG127" s="649">
        <f t="shared" si="277"/>
        <v>0</v>
      </c>
      <c r="AH127" s="650">
        <f t="shared" si="278"/>
        <v>0</v>
      </c>
      <c r="AI127" s="645">
        <f t="shared" si="279"/>
        <v>0</v>
      </c>
      <c r="AJ127" s="645">
        <f t="shared" si="280"/>
        <v>0</v>
      </c>
      <c r="AK127" s="645" t="str">
        <f t="shared" si="281"/>
        <v/>
      </c>
      <c r="AL127" s="645" t="str">
        <f t="shared" si="282"/>
        <v/>
      </c>
      <c r="AM127" s="645">
        <f t="shared" si="283"/>
        <v>0</v>
      </c>
      <c r="AN127" s="651">
        <f t="shared" si="284"/>
        <v>0</v>
      </c>
      <c r="AO127" s="623"/>
      <c r="AP127" s="632" t="str">
        <f t="shared" si="221"/>
        <v/>
      </c>
      <c r="AQ127" s="633" t="str">
        <f>IF(AC127=$V$3,IF(VLOOKUP(C127,[1]List1!$A:$E,5,FALSE)=0,1,VLOOKUP(C127,[1]List1!$A:$E,5,FALSE)),"")</f>
        <v/>
      </c>
      <c r="AR127" s="625" t="str">
        <f t="shared" si="222"/>
        <v/>
      </c>
      <c r="AS127" s="634" t="str">
        <f t="shared" si="223"/>
        <v/>
      </c>
      <c r="AT127" s="625" t="str">
        <f t="shared" si="224"/>
        <v/>
      </c>
      <c r="AU127" s="638" t="e">
        <f t="shared" si="225"/>
        <v>#N/A</v>
      </c>
      <c r="AV127" s="625" t="e">
        <f t="shared" si="226"/>
        <v>#N/A</v>
      </c>
      <c r="AX127" s="625">
        <f>IF(AND('General price list'!$J127="F4",'General price list'!$AB127+0&gt;0),1,0)</f>
        <v>0</v>
      </c>
      <c r="AY127" s="625">
        <f t="shared" si="227"/>
        <v>1</v>
      </c>
      <c r="AZ127" s="625">
        <f t="shared" si="228"/>
        <v>0</v>
      </c>
    </row>
    <row r="128" spans="1:52" ht="15.75" customHeight="1">
      <c r="A128" s="751" t="str">
        <f>Kat.!C128</f>
        <v xml:space="preserve">           Pochodně</v>
      </c>
      <c r="B128" s="751"/>
      <c r="C128" s="751"/>
      <c r="D128" s="751"/>
      <c r="E128" s="751"/>
      <c r="F128" s="751"/>
      <c r="G128" s="751"/>
      <c r="H128" s="751"/>
      <c r="I128" s="752"/>
      <c r="J128" s="752"/>
      <c r="K128" s="752" t="s">
        <v>20</v>
      </c>
      <c r="L128" s="753" t="s">
        <v>2818</v>
      </c>
      <c r="M128" s="752"/>
      <c r="N128" s="752"/>
      <c r="O128" s="752"/>
      <c r="P128" s="752"/>
      <c r="Q128" s="752"/>
      <c r="R128" s="752"/>
      <c r="S128" s="752"/>
      <c r="T128" s="752"/>
      <c r="U128" s="752"/>
      <c r="V128" s="752"/>
      <c r="W128" s="752"/>
      <c r="X128" s="752"/>
      <c r="Y128" s="752"/>
      <c r="Z128" s="752" t="s">
        <v>20</v>
      </c>
      <c r="AA128" s="752"/>
      <c r="AB128" s="752"/>
      <c r="AC128" s="754"/>
      <c r="AD128" s="752"/>
      <c r="AE128" s="752"/>
      <c r="AF128" s="752"/>
      <c r="AG128" s="752"/>
      <c r="AH128" s="752"/>
      <c r="AI128" s="752"/>
      <c r="AJ128" s="752"/>
      <c r="AK128" s="752"/>
      <c r="AL128" s="752"/>
      <c r="AM128" s="752"/>
      <c r="AN128" s="752"/>
      <c r="AO128" s="623"/>
      <c r="AP128" s="625" t="str">
        <f t="shared" si="221"/>
        <v/>
      </c>
      <c r="AQ128" s="625" t="str">
        <f>IF(AC128=$V$3,IF(VLOOKUP(C128,[1]List1!$A:$E,5,FALSE)=0,1,VLOOKUP(C128,[1]List1!$A:$E,5,FALSE)),"")</f>
        <v/>
      </c>
      <c r="AR128" s="629" t="str">
        <f t="shared" si="222"/>
        <v/>
      </c>
      <c r="AS128" s="630" t="str">
        <f t="shared" si="223"/>
        <v/>
      </c>
      <c r="AT128" s="625" t="str">
        <f t="shared" si="224"/>
        <v/>
      </c>
      <c r="AU128" s="625" t="e">
        <f t="shared" si="225"/>
        <v>#N/A</v>
      </c>
      <c r="AV128" s="625" t="e">
        <f t="shared" si="226"/>
        <v>#N/A</v>
      </c>
      <c r="AW128" s="631"/>
      <c r="AX128" s="631">
        <f>IF(AND('General price list'!$J128="F4",'General price list'!$AB128+0&gt;0),1,0)</f>
        <v>0</v>
      </c>
      <c r="AY128" s="631">
        <f t="shared" si="227"/>
        <v>0</v>
      </c>
      <c r="AZ128" s="631">
        <f t="shared" si="228"/>
        <v>0</v>
      </c>
    </row>
    <row r="129" spans="1:52" ht="15" customHeight="1">
      <c r="A129" s="639" t="str">
        <f>Kat.!C129</f>
        <v/>
      </c>
      <c r="B129" s="640">
        <f>IF(AND('General price list'!$J129="F4",$AI$1=FALSE),0,IF(AC129="SKLADEM",1,IF(AC129=$V$3,1,0)))</f>
        <v>1</v>
      </c>
      <c r="C129" s="641" t="s">
        <v>810</v>
      </c>
      <c r="D129" s="642" t="s">
        <v>12500</v>
      </c>
      <c r="E129" s="643" t="s">
        <v>12668</v>
      </c>
      <c r="F129" s="771">
        <f>IFERROR(VLOOKUP(C129,[2]List1!$A:$D,3,FALSE),"NEUVEDENO!")</f>
        <v>239</v>
      </c>
      <c r="G129" s="768">
        <f t="shared" ref="G129:G134" si="285">IF($W$17=$AF$8,ROUND((F129)/$F$17,2),(F129)*$B$19)</f>
        <v>239</v>
      </c>
      <c r="H129" s="765">
        <f t="shared" ref="H129:H134" si="286">IF($W$17=$AF$8,G129*$B$19,G129/$F$17)</f>
        <v>10.152370514797399</v>
      </c>
      <c r="I129" s="644">
        <f>IFERROR(VLOOKUP(C129,[2]List1!$A:$D,4,FALSE),"NEUVEDENO!")</f>
        <v>20</v>
      </c>
      <c r="J129" s="733" t="s">
        <v>193</v>
      </c>
      <c r="K129" s="645" t="s">
        <v>20</v>
      </c>
      <c r="L129" s="645" t="s">
        <v>10968</v>
      </c>
      <c r="M129" s="645" t="s">
        <v>21</v>
      </c>
      <c r="N129" s="645">
        <f>IFERROR(VLOOKUP(C129,[3]List1!$A:$D,4,FALSE),"N/A!")</f>
        <v>2.3552E-2</v>
      </c>
      <c r="O129" s="645">
        <f>IFERROR(VLOOKUP(C129,[3]List1!$A:$D,3,FALSE),"N/A!")</f>
        <v>4000</v>
      </c>
      <c r="P129" s="645">
        <f>IFERROR(VLOOKUP(C129,[3]List1!$A:$D,2,FALSE),"N/A!")</f>
        <v>9100</v>
      </c>
      <c r="Q129" s="645" t="s">
        <v>11233</v>
      </c>
      <c r="R129" s="645" t="s">
        <v>20</v>
      </c>
      <c r="S129" s="645"/>
      <c r="T129" s="645">
        <v>40</v>
      </c>
      <c r="U129" s="645"/>
      <c r="V129" s="645"/>
      <c r="W129" s="645" t="str">
        <f>IFERROR(IF(AND($AB129&gt;=0.1*$AA129,MOD($AB129,$AA129)&gt;=($AA129-(0.1*$AA129))),IF($W$17=$AF$1,"Zvažte možnost doobjednání ještě "&amp;Tabulka1[[#This Row],[VKPAL]]-MOD(AB129,AA129)&amp;" VK do plné palety.",VLOOKUP("Zvažte možnost doobjednání ještě ",Jazyky_ceník!A:Q,MATCH($W$17,Jazyky_ceník!$A$1:$Q$1,0),FALSE)&amp;Tabulka1[[#This Row],[VKPAL]]-MOD(AB129,AA129)&amp;VLOOKUP(" VK do plné palety.",Jazyky_ceník!A:Q,MATCH($W$17,Jazyky_ceník!$A$1:$Q$1,0),FALSE)),IFERROR(IF(AND(NOT(MOD($AB129,$AA129)=0),$AB129&gt;=0.9*$AA129,MOD($AB129,$AA129)&lt;=0.1*$AA129),IF($W$17=$AF$1,"Zvažte možnost optimalizace objednaného množství podle počtu VK na paletě ==&gt;",VLOOKUP("Zvažte možnost optimalizace objednaného množství podle počtu VK na paletě ==&gt;",Jazyky_ceník!A:Q,MATCH($W$17,Jazyky_ceník!$A$1:$Q$1,0),FALSE)),VLOOKUP('General price list'!$C129,Popisy!A:M,MATCH($W$17,Popisy!$A$7:$M$7,0),FALSE)),"---------------")),IFERROR(VLOOKUP('General price list'!$C129,Popisy!A:M,MATCH($W$17,Popisy!$A$7:$M$7,0),FALSE),"---------------"))</f>
        <v>pochodeň červené světlo+ bílý dým</v>
      </c>
      <c r="X129" s="645" t="str">
        <f t="shared" ref="X129:X134" si="287">IF(AB129&lt;0.0001,"",AB129)</f>
        <v/>
      </c>
      <c r="Y129" s="645" t="str">
        <f t="shared" ref="Y129:Y134" si="288">IF($AL$3=2,IF(OR(AB129&lt;&gt;"",AB129&lt;&gt;0),AU129,""),IF(C129="","",IF(AB129&lt;0.0001,"",IF(B129=0,"",IF(AQ129&lt;AB129,"",AB129)))))</f>
        <v/>
      </c>
      <c r="Z129" s="645" t="str">
        <f>HYPERLINK("https://www.klasekpyrotechnics.cz/p40c25")</f>
        <v>https://www.klasekpyrotechnics.cz/p40c25</v>
      </c>
      <c r="AA129" s="645" t="str">
        <f>IFERROR(IF(VLOOKUP(C129,[4]List1!$A:$D,4,FALSE)=0,"",VLOOKUP(C129,[4]List1!$A:$D,4,FALSE)),"")</f>
        <v>60</v>
      </c>
      <c r="AB129" s="646"/>
      <c r="AC129" s="647" t="str">
        <f>IFERROR(IF(VLOOKUP(C129,[1]List1!$A:$D,2,FALSE)="VYPRODÁNO",$V$9,IF(VLOOKUP(C129,[1]List1!$A:$D,2,FALSE)="DOCHÁZÍ",$V$3,VLOOKUP(C129,[1]List1!$A:$D,2,FALSE))),"OFFLINE!")</f>
        <v>SKLADEM</v>
      </c>
      <c r="AD129" s="647" t="str">
        <f ca="1">IF(AP129="NE",$V$10,IF(AC129=$V$3,IF(AQ129&lt;1,$V$8,$V$2&amp;" "&amp;AQ129&amp;" "&amp;$V$1),IF(AC129="SKLADEM",$V$6,IFERROR(IF(OR(AC129-TODAY()&gt;45,VLOOKUP(C129,[1]List1!$A:$E,4,FALSE)=0),AC129,DAY(AC129)&amp;"."&amp;MONTH(AC129)&amp;"."&amp;YEAR(AC129)&amp;" "&amp;$V$4&amp;VLOOKUP(C129,[1]List1!$A:$E,4,FALSE)&amp;" "&amp;$V$1),AC129))))</f>
        <v>SKLADEM</v>
      </c>
      <c r="AE129" s="645" t="str">
        <f t="shared" ref="AE129:AE134" ca="1" si="289">IFERROR(IF(AV129&lt;&gt;"",AV129,AD129),AD129)</f>
        <v>SKLADEM</v>
      </c>
      <c r="AF129" s="648">
        <f t="shared" ref="AF129:AF134" si="290">IFERROR(IF(AB129=Y129,G129*I129*Y129,0),0)</f>
        <v>0</v>
      </c>
      <c r="AG129" s="649">
        <f t="shared" ref="AG129:AG134" si="291">IF($W$17=$AF$8,AH129*1.23,AF129*1.21)</f>
        <v>0</v>
      </c>
      <c r="AH129" s="650">
        <f t="shared" ref="AH129:AH134" si="292">IFERROR(IF(Y129=AB129,H129*I129*Y129,0),0)</f>
        <v>0</v>
      </c>
      <c r="AI129" s="645">
        <f t="shared" ref="AI129:AI134" si="293">IFERROR(IF(Y129=AB129,(P129*Y129)/1000,1),0)</f>
        <v>0</v>
      </c>
      <c r="AJ129" s="645">
        <f t="shared" ref="AJ129:AJ134" si="294">IFERROR(IF(Y129=AB129,N129*Y129,0.1),0)</f>
        <v>0</v>
      </c>
      <c r="AK129" s="645" t="str">
        <f t="shared" ref="AK129:AK134" si="295">IFERROR(IF(Y129=AB129,IF(M129="1.1G",(O129/1000)*Y129,""),""),0)</f>
        <v/>
      </c>
      <c r="AL129" s="645" t="str">
        <f t="shared" ref="AL129:AL134" si="296">IFERROR(IF(Y129=AB129,IF(M129="1.3G",(O129/1000)*AB129,""),""),0)</f>
        <v/>
      </c>
      <c r="AM129" s="645">
        <f t="shared" ref="AM129:AM134" si="297">IFERROR(IF(Y129=AB129,IF(M129="1.4G",(O129/1000)*AB129,""),""),0)</f>
        <v>0</v>
      </c>
      <c r="AN129" s="651">
        <f t="shared" ref="AN129:AN134" si="298">SUM(AK129:AM129)</f>
        <v>0</v>
      </c>
      <c r="AO129" s="623"/>
      <c r="AP129" s="632" t="str">
        <f t="shared" si="221"/>
        <v/>
      </c>
      <c r="AQ129" s="633" t="str">
        <f>IF(AC129=$V$3,IF(VLOOKUP(C129,[1]List1!$A:$E,5,FALSE)=0,1,VLOOKUP(C129,[1]List1!$A:$E,5,FALSE)),"")</f>
        <v/>
      </c>
      <c r="AR129" s="625" t="str">
        <f t="shared" si="222"/>
        <v/>
      </c>
      <c r="AS129" s="634" t="str">
        <f t="shared" si="223"/>
        <v/>
      </c>
      <c r="AT129" s="625" t="str">
        <f t="shared" si="224"/>
        <v/>
      </c>
      <c r="AU129" s="638" t="e">
        <f t="shared" si="225"/>
        <v>#N/A</v>
      </c>
      <c r="AV129" s="625" t="e">
        <f t="shared" si="226"/>
        <v>#N/A</v>
      </c>
      <c r="AX129" s="625">
        <f>IF(AND('General price list'!$J129="F4",'General price list'!$AB129+0&gt;0),1,0)</f>
        <v>0</v>
      </c>
      <c r="AY129" s="625">
        <f t="shared" si="227"/>
        <v>1</v>
      </c>
      <c r="AZ129" s="625">
        <f t="shared" si="228"/>
        <v>0</v>
      </c>
    </row>
    <row r="130" spans="1:52" ht="15" customHeight="1">
      <c r="A130" s="621" t="str">
        <f>Kat.!C130</f>
        <v>×</v>
      </c>
      <c r="B130" s="566">
        <f>IF(AND('General price list'!$J130="F4",$AI$1=FALSE),0,IF(AC130="SKLADEM",1,IF(AC130=$V$3,1,0)))</f>
        <v>1</v>
      </c>
      <c r="C130" s="567" t="s">
        <v>811</v>
      </c>
      <c r="D130" s="568" t="s">
        <v>12501</v>
      </c>
      <c r="E130" s="763" t="s">
        <v>12668</v>
      </c>
      <c r="F130" s="772">
        <f>IFERROR(VLOOKUP(C130,[2]List1!$A:$D,3,FALSE),"NEUVEDENO!")</f>
        <v>239</v>
      </c>
      <c r="G130" s="769">
        <f t="shared" si="285"/>
        <v>239</v>
      </c>
      <c r="H130" s="766">
        <f t="shared" si="286"/>
        <v>10.152370514797399</v>
      </c>
      <c r="I130" s="764">
        <f>IFERROR(VLOOKUP(C130,[2]List1!$A:$D,4,FALSE),"NEUVEDENO!")</f>
        <v>20</v>
      </c>
      <c r="J130" s="732" t="s">
        <v>193</v>
      </c>
      <c r="K130" s="569" t="s">
        <v>20</v>
      </c>
      <c r="L130" s="569" t="s">
        <v>10968</v>
      </c>
      <c r="M130" s="569" t="s">
        <v>21</v>
      </c>
      <c r="N130" s="569">
        <f>IFERROR(VLOOKUP(C130,[3]List1!$A:$D,4,FALSE),"N/A!")</f>
        <v>2.3552E-2</v>
      </c>
      <c r="O130" s="569">
        <f>IFERROR(VLOOKUP(C130,[3]List1!$A:$D,3,FALSE),"N/A!")</f>
        <v>4000</v>
      </c>
      <c r="P130" s="569">
        <f>IFERROR(VLOOKUP(C130,[3]List1!$A:$D,2,FALSE),"N/A!")</f>
        <v>10800</v>
      </c>
      <c r="Q130" s="569" t="s">
        <v>11233</v>
      </c>
      <c r="R130" s="569" t="s">
        <v>20</v>
      </c>
      <c r="S130" s="569"/>
      <c r="T130" s="569">
        <v>40</v>
      </c>
      <c r="U130" s="569"/>
      <c r="V130" s="569"/>
      <c r="W130" s="569" t="str">
        <f>IFERROR(IF(AND($AB130&gt;=0.1*$AA130,MOD($AB130,$AA130)&gt;=($AA130-(0.1*$AA130))),IF($W$17=$AF$1,"Zvažte možnost doobjednání ještě "&amp;Tabulka1[[#This Row],[VKPAL]]-MOD(AB130,AA130)&amp;" VK do plné palety.",VLOOKUP("Zvažte možnost doobjednání ještě ",Jazyky_ceník!A:Q,MATCH($W$17,Jazyky_ceník!$A$1:$Q$1,0),FALSE)&amp;Tabulka1[[#This Row],[VKPAL]]-MOD(AB130,AA130)&amp;VLOOKUP(" VK do plné palety.",Jazyky_ceník!A:Q,MATCH($W$17,Jazyky_ceník!$A$1:$Q$1,0),FALSE)),IFERROR(IF(AND(NOT(MOD($AB130,$AA130)=0),$AB130&gt;=0.9*$AA130,MOD($AB130,$AA130)&lt;=0.1*$AA130),IF($W$17=$AF$1,"Zvažte možnost optimalizace objednaného množství podle počtu VK na paletě ==&gt;",VLOOKUP("Zvažte možnost optimalizace objednaného množství podle počtu VK na paletě ==&gt;",Jazyky_ceník!A:Q,MATCH($W$17,Jazyky_ceník!$A$1:$Q$1,0),FALSE)),VLOOKUP('General price list'!$C130,Popisy!A:M,MATCH($W$17,Popisy!$A$7:$M$7,0),FALSE)),"---------------")),IFERROR(VLOOKUP('General price list'!$C130,Popisy!A:M,MATCH($W$17,Popisy!$A$7:$M$7,0),FALSE),"---------------"))</f>
        <v>pochodeň zelenéné světlo+ bílý dým</v>
      </c>
      <c r="X130" s="569" t="str">
        <f t="shared" si="287"/>
        <v/>
      </c>
      <c r="Y130" s="569" t="str">
        <f t="shared" si="288"/>
        <v/>
      </c>
      <c r="Z130" s="569" t="str">
        <f>HYPERLINK("https://www.klasekpyrotechnics.cz/p40z25")</f>
        <v>https://www.klasekpyrotechnics.cz/p40z25</v>
      </c>
      <c r="AA130" s="569" t="str">
        <f>IFERROR(IF(VLOOKUP(C130,[4]List1!$A:$D,4,FALSE)=0,"",VLOOKUP(C130,[4]List1!$A:$D,4,FALSE)),"")</f>
        <v>60</v>
      </c>
      <c r="AB130" s="565"/>
      <c r="AC130" s="570" t="str">
        <f>IFERROR(IF(VLOOKUP(C130,[1]List1!$A:$D,2,FALSE)="VYPRODÁNO",$V$9,IF(VLOOKUP(C130,[1]List1!$A:$D,2,FALSE)="DOCHÁZÍ",$V$3,VLOOKUP(C130,[1]List1!$A:$D,2,FALSE))),"OFFLINE!")</f>
        <v>SKLADEM</v>
      </c>
      <c r="AD130" s="570" t="str">
        <f ca="1">IF(AP130="NE",$V$10,IF(AC130=$V$3,IF(AQ130&lt;1,$V$8,$V$2&amp;" "&amp;AQ130&amp;" "&amp;$V$1),IF(AC130="SKLADEM",$V$6,IFERROR(IF(OR(AC130-TODAY()&gt;45,VLOOKUP(C130,[1]List1!$A:$E,4,FALSE)=0),AC130,DAY(AC130)&amp;"."&amp;MONTH(AC130)&amp;"."&amp;YEAR(AC130)&amp;" "&amp;$V$4&amp;VLOOKUP(C130,[1]List1!$A:$E,4,FALSE)&amp;" "&amp;$V$1),AC130))))</f>
        <v>SKLADEM</v>
      </c>
      <c r="AE130" s="581" t="str">
        <f t="shared" ca="1" si="289"/>
        <v>SKLADEM</v>
      </c>
      <c r="AF130" s="584">
        <f t="shared" si="290"/>
        <v>0</v>
      </c>
      <c r="AG130" s="585">
        <f t="shared" si="291"/>
        <v>0</v>
      </c>
      <c r="AH130" s="583">
        <f t="shared" si="292"/>
        <v>0</v>
      </c>
      <c r="AI130" s="582">
        <f t="shared" si="293"/>
        <v>0</v>
      </c>
      <c r="AJ130" s="569">
        <f t="shared" si="294"/>
        <v>0</v>
      </c>
      <c r="AK130" s="569" t="str">
        <f t="shared" si="295"/>
        <v/>
      </c>
      <c r="AL130" s="569" t="str">
        <f t="shared" si="296"/>
        <v/>
      </c>
      <c r="AM130" s="569">
        <f t="shared" si="297"/>
        <v>0</v>
      </c>
      <c r="AN130" s="581">
        <f t="shared" si="298"/>
        <v>0</v>
      </c>
      <c r="AO130" s="623"/>
      <c r="AP130" s="632" t="str">
        <f t="shared" si="221"/>
        <v/>
      </c>
      <c r="AQ130" s="625" t="str">
        <f>IF(AC130=$V$3,IF(VLOOKUP(C130,[1]List1!$A:$E,5,FALSE)=0,1,VLOOKUP(C130,[1]List1!$A:$E,5,FALSE)),"")</f>
        <v/>
      </c>
      <c r="AR130" s="625" t="str">
        <f t="shared" si="222"/>
        <v/>
      </c>
      <c r="AS130" s="634" t="str">
        <f t="shared" si="223"/>
        <v/>
      </c>
      <c r="AT130" s="625" t="str">
        <f t="shared" si="224"/>
        <v/>
      </c>
      <c r="AU130" s="638" t="e">
        <f t="shared" si="225"/>
        <v>#N/A</v>
      </c>
      <c r="AV130" s="625" t="e">
        <f t="shared" si="226"/>
        <v>#N/A</v>
      </c>
      <c r="AX130" s="625">
        <f>IF(AND('General price list'!$J130="F4",'General price list'!$AB130+0&gt;0),1,0)</f>
        <v>0</v>
      </c>
      <c r="AY130" s="625">
        <f t="shared" si="227"/>
        <v>1</v>
      </c>
      <c r="AZ130" s="625">
        <f t="shared" si="228"/>
        <v>0</v>
      </c>
    </row>
    <row r="131" spans="1:52" ht="15" customHeight="1">
      <c r="A131" s="639" t="str">
        <f>Kat.!C131</f>
        <v>×</v>
      </c>
      <c r="B131" s="640">
        <f>IF(AND('General price list'!$J131="F4",$AI$1=FALSE),0,IF(AC131="SKLADEM",1,IF(AC131=$V$3,1,0)))</f>
        <v>1</v>
      </c>
      <c r="C131" s="641" t="s">
        <v>3535</v>
      </c>
      <c r="D131" s="642" t="s">
        <v>12502</v>
      </c>
      <c r="E131" s="643" t="s">
        <v>12668</v>
      </c>
      <c r="F131" s="771">
        <f>IFERROR(VLOOKUP(C131,[2]List1!$A:$D,3,FALSE),"NEUVEDENO!")</f>
        <v>239</v>
      </c>
      <c r="G131" s="768">
        <f t="shared" si="285"/>
        <v>239</v>
      </c>
      <c r="H131" s="765">
        <f t="shared" si="286"/>
        <v>10.152370514797399</v>
      </c>
      <c r="I131" s="644">
        <f>IFERROR(VLOOKUP(C131,[2]List1!$A:$D,4,FALSE),"NEUVEDENO!")</f>
        <v>20</v>
      </c>
      <c r="J131" s="733" t="s">
        <v>193</v>
      </c>
      <c r="K131" s="645" t="s">
        <v>20</v>
      </c>
      <c r="L131" s="645" t="s">
        <v>10968</v>
      </c>
      <c r="M131" s="645" t="s">
        <v>21</v>
      </c>
      <c r="N131" s="645">
        <f>IFERROR(VLOOKUP(C131,[3]List1!$A:$D,4,FALSE),"N/A!")</f>
        <v>2.3552E-2</v>
      </c>
      <c r="O131" s="645">
        <f>IFERROR(VLOOKUP(C131,[3]List1!$A:$D,3,FALSE),"N/A!")</f>
        <v>4000</v>
      </c>
      <c r="P131" s="645">
        <f>IFERROR(VLOOKUP(C131,[3]List1!$A:$D,2,FALSE),"N/A!")</f>
        <v>10800</v>
      </c>
      <c r="Q131" s="645" t="s">
        <v>11233</v>
      </c>
      <c r="R131" s="645" t="s">
        <v>20</v>
      </c>
      <c r="S131" s="645"/>
      <c r="T131" s="645">
        <v>40</v>
      </c>
      <c r="U131" s="645"/>
      <c r="V131" s="645"/>
      <c r="W131" s="645" t="str">
        <f>IFERROR(IF(AND($AB131&gt;=0.1*$AA131,MOD($AB131,$AA131)&gt;=($AA131-(0.1*$AA131))),IF($W$17=$AF$1,"Zvažte možnost doobjednání ještě "&amp;Tabulka1[[#This Row],[VKPAL]]-MOD(AB131,AA131)&amp;" VK do plné palety.",VLOOKUP("Zvažte možnost doobjednání ještě ",Jazyky_ceník!A:Q,MATCH($W$17,Jazyky_ceník!$A$1:$Q$1,0),FALSE)&amp;Tabulka1[[#This Row],[VKPAL]]-MOD(AB131,AA131)&amp;VLOOKUP(" VK do plné palety.",Jazyky_ceník!A:Q,MATCH($W$17,Jazyky_ceník!$A$1:$Q$1,0),FALSE)),IFERROR(IF(AND(NOT(MOD($AB131,$AA131)=0),$AB131&gt;=0.9*$AA131,MOD($AB131,$AA131)&lt;=0.1*$AA131),IF($W$17=$AF$1,"Zvažte možnost optimalizace objednaného množství podle počtu VK na paletě ==&gt;",VLOOKUP("Zvažte možnost optimalizace objednaného množství podle počtu VK na paletě ==&gt;",Jazyky_ceník!A:Q,MATCH($W$17,Jazyky_ceník!$A$1:$Q$1,0),FALSE)),VLOOKUP('General price list'!$C131,Popisy!A:M,MATCH($W$17,Popisy!$A$7:$M$7,0),FALSE)),"---------------")),IFERROR(VLOOKUP('General price list'!$C131,Popisy!A:M,MATCH($W$17,Popisy!$A$7:$M$7,0),FALSE),"---------------"))</f>
        <v>pochodeň bílé světlo+ bílý dým</v>
      </c>
      <c r="X131" s="645" t="str">
        <f t="shared" si="287"/>
        <v/>
      </c>
      <c r="Y131" s="645" t="str">
        <f t="shared" si="288"/>
        <v/>
      </c>
      <c r="Z131" s="645" t="str">
        <f>HYPERLINK("https://www.klasekpyrotechnics.cz/p40b25")</f>
        <v>https://www.klasekpyrotechnics.cz/p40b25</v>
      </c>
      <c r="AA131" s="645" t="str">
        <f>IFERROR(IF(VLOOKUP(C131,[4]List1!$A:$D,4,FALSE)=0,"",VLOOKUP(C131,[4]List1!$A:$D,4,FALSE)),"")</f>
        <v>60</v>
      </c>
      <c r="AB131" s="646"/>
      <c r="AC131" s="647" t="str">
        <f>IFERROR(IF(VLOOKUP(C131,[1]List1!$A:$D,2,FALSE)="VYPRODÁNO",$V$9,IF(VLOOKUP(C131,[1]List1!$A:$D,2,FALSE)="DOCHÁZÍ",$V$3,VLOOKUP(C131,[1]List1!$A:$D,2,FALSE))),"OFFLINE!")</f>
        <v>SKLADEM</v>
      </c>
      <c r="AD131" s="647" t="str">
        <f ca="1">IF(AP131="NE",$V$10,IF(AC131=$V$3,IF(AQ131&lt;1,$V$8,$V$2&amp;" "&amp;AQ131&amp;" "&amp;$V$1),IF(AC131="SKLADEM",$V$6,IFERROR(IF(OR(AC131-TODAY()&gt;45,VLOOKUP(C131,[1]List1!$A:$E,4,FALSE)=0),AC131,DAY(AC131)&amp;"."&amp;MONTH(AC131)&amp;"."&amp;YEAR(AC131)&amp;" "&amp;$V$4&amp;VLOOKUP(C131,[1]List1!$A:$E,4,FALSE)&amp;" "&amp;$V$1),AC131))))</f>
        <v>SKLADEM</v>
      </c>
      <c r="AE131" s="645" t="str">
        <f t="shared" ca="1" si="289"/>
        <v>SKLADEM</v>
      </c>
      <c r="AF131" s="648">
        <f t="shared" si="290"/>
        <v>0</v>
      </c>
      <c r="AG131" s="649">
        <f t="shared" si="291"/>
        <v>0</v>
      </c>
      <c r="AH131" s="650">
        <f t="shared" si="292"/>
        <v>0</v>
      </c>
      <c r="AI131" s="645">
        <f t="shared" si="293"/>
        <v>0</v>
      </c>
      <c r="AJ131" s="645">
        <f t="shared" si="294"/>
        <v>0</v>
      </c>
      <c r="AK131" s="645" t="str">
        <f t="shared" si="295"/>
        <v/>
      </c>
      <c r="AL131" s="645" t="str">
        <f t="shared" si="296"/>
        <v/>
      </c>
      <c r="AM131" s="645">
        <f t="shared" si="297"/>
        <v>0</v>
      </c>
      <c r="AN131" s="651">
        <f t="shared" si="298"/>
        <v>0</v>
      </c>
      <c r="AO131" s="623"/>
      <c r="AP131" s="632" t="str">
        <f t="shared" si="221"/>
        <v/>
      </c>
      <c r="AQ131" s="633" t="str">
        <f>IF(AC131=$V$3,IF(VLOOKUP(C131,[1]List1!$A:$E,5,FALSE)=0,1,VLOOKUP(C131,[1]List1!$A:$E,5,FALSE)),"")</f>
        <v/>
      </c>
      <c r="AR131" s="625" t="str">
        <f t="shared" si="222"/>
        <v/>
      </c>
      <c r="AS131" s="634" t="str">
        <f t="shared" si="223"/>
        <v/>
      </c>
      <c r="AT131" s="625" t="str">
        <f t="shared" si="224"/>
        <v/>
      </c>
      <c r="AU131" s="638" t="e">
        <f t="shared" si="225"/>
        <v>#N/A</v>
      </c>
      <c r="AV131" s="625" t="e">
        <f t="shared" si="226"/>
        <v>#N/A</v>
      </c>
      <c r="AX131" s="625">
        <f>IF(AND('General price list'!$J131="F4",'General price list'!$AB131+0&gt;0),1,0)</f>
        <v>0</v>
      </c>
      <c r="AY131" s="625">
        <f t="shared" si="227"/>
        <v>1</v>
      </c>
      <c r="AZ131" s="625">
        <f t="shared" si="228"/>
        <v>0</v>
      </c>
    </row>
    <row r="132" spans="1:52" ht="15" customHeight="1">
      <c r="A132" s="621" t="str">
        <f>Kat.!C132</f>
        <v/>
      </c>
      <c r="B132" s="566">
        <f>IF(AND('General price list'!$J132="F4",$AI$1=FALSE),0,IF(AC132="SKLADEM",1,IF(AC132=$V$3,1,0)))</f>
        <v>1</v>
      </c>
      <c r="C132" s="567" t="s">
        <v>2260</v>
      </c>
      <c r="D132" s="568" t="s">
        <v>12503</v>
      </c>
      <c r="E132" s="763" t="s">
        <v>12668</v>
      </c>
      <c r="F132" s="772">
        <f>IFERROR(VLOOKUP(C132,[2]List1!$A:$D,3,FALSE),"NEUVEDENO!")</f>
        <v>239</v>
      </c>
      <c r="G132" s="769">
        <f t="shared" si="285"/>
        <v>239</v>
      </c>
      <c r="H132" s="766">
        <f t="shared" si="286"/>
        <v>10.152370514797399</v>
      </c>
      <c r="I132" s="764">
        <f>IFERROR(VLOOKUP(C132,[2]List1!$A:$D,4,FALSE),"NEUVEDENO!")</f>
        <v>20</v>
      </c>
      <c r="J132" s="732" t="s">
        <v>193</v>
      </c>
      <c r="K132" s="569" t="s">
        <v>20</v>
      </c>
      <c r="L132" s="569" t="s">
        <v>10968</v>
      </c>
      <c r="M132" s="569" t="s">
        <v>21</v>
      </c>
      <c r="N132" s="569">
        <f>IFERROR(VLOOKUP(C132,[3]List1!$A:$D,4,FALSE),"N/A!")</f>
        <v>2.3552E-2</v>
      </c>
      <c r="O132" s="569">
        <f>IFERROR(VLOOKUP(C132,[3]List1!$A:$D,3,FALSE),"N/A!")</f>
        <v>4000</v>
      </c>
      <c r="P132" s="569">
        <f>IFERROR(VLOOKUP(C132,[3]List1!$A:$D,2,FALSE),"N/A!")</f>
        <v>9700</v>
      </c>
      <c r="Q132" s="569" t="s">
        <v>11233</v>
      </c>
      <c r="R132" s="569" t="s">
        <v>20</v>
      </c>
      <c r="S132" s="569"/>
      <c r="T132" s="569">
        <v>40</v>
      </c>
      <c r="U132" s="569"/>
      <c r="V132" s="569"/>
      <c r="W132" s="569" t="str">
        <f>IFERROR(IF(AND($AB132&gt;=0.1*$AA132,MOD($AB132,$AA132)&gt;=($AA132-(0.1*$AA132))),IF($W$17=$AF$1,"Zvažte možnost doobjednání ještě "&amp;Tabulka1[[#This Row],[VKPAL]]-MOD(AB132,AA132)&amp;" VK do plné palety.",VLOOKUP("Zvažte možnost doobjednání ještě ",Jazyky_ceník!A:Q,MATCH($W$17,Jazyky_ceník!$A$1:$Q$1,0),FALSE)&amp;Tabulka1[[#This Row],[VKPAL]]-MOD(AB132,AA132)&amp;VLOOKUP(" VK do plné palety.",Jazyky_ceník!A:Q,MATCH($W$17,Jazyky_ceník!$A$1:$Q$1,0),FALSE)),IFERROR(IF(AND(NOT(MOD($AB132,$AA132)=0),$AB132&gt;=0.9*$AA132,MOD($AB132,$AA132)&lt;=0.1*$AA132),IF($W$17=$AF$1,"Zvažte možnost optimalizace objednaného množství podle počtu VK na paletě ==&gt;",VLOOKUP("Zvažte možnost optimalizace objednaného množství podle počtu VK na paletě ==&gt;",Jazyky_ceník!A:Q,MATCH($W$17,Jazyky_ceník!$A$1:$Q$1,0),FALSE)),VLOOKUP('General price list'!$C132,Popisy!A:M,MATCH($W$17,Popisy!$A$7:$M$7,0),FALSE)),"---------------")),IFERROR(VLOOKUP('General price list'!$C132,Popisy!A:M,MATCH($W$17,Popisy!$A$7:$M$7,0),FALSE),"---------------"))</f>
        <v>pochodeň modré světlo+ bílý dým</v>
      </c>
      <c r="X132" s="569" t="str">
        <f t="shared" si="287"/>
        <v/>
      </c>
      <c r="Y132" s="569" t="str">
        <f t="shared" si="288"/>
        <v/>
      </c>
      <c r="Z132" s="569" t="str">
        <f>HYPERLINK("https://www.klasekpyrotechnics.cz/p40mo25")</f>
        <v>https://www.klasekpyrotechnics.cz/p40mo25</v>
      </c>
      <c r="AA132" s="569" t="str">
        <f>IFERROR(IF(VLOOKUP(C132,[4]List1!$A:$D,4,FALSE)=0,"",VLOOKUP(C132,[4]List1!$A:$D,4,FALSE)),"")</f>
        <v>60</v>
      </c>
      <c r="AB132" s="565"/>
      <c r="AC132" s="570" t="str">
        <f>IFERROR(IF(VLOOKUP(C132,[1]List1!$A:$D,2,FALSE)="VYPRODÁNO",$V$9,IF(VLOOKUP(C132,[1]List1!$A:$D,2,FALSE)="DOCHÁZÍ",$V$3,VLOOKUP(C132,[1]List1!$A:$D,2,FALSE))),"OFFLINE!")</f>
        <v>SKLADEM</v>
      </c>
      <c r="AD132" s="570" t="str">
        <f ca="1">IF(AP132="NE",$V$10,IF(AC132=$V$3,IF(AQ132&lt;1,$V$8,$V$2&amp;" "&amp;AQ132&amp;" "&amp;$V$1),IF(AC132="SKLADEM",$V$6,IFERROR(IF(OR(AC132-TODAY()&gt;45,VLOOKUP(C132,[1]List1!$A:$E,4,FALSE)=0),AC132,DAY(AC132)&amp;"."&amp;MONTH(AC132)&amp;"."&amp;YEAR(AC132)&amp;" "&amp;$V$4&amp;VLOOKUP(C132,[1]List1!$A:$E,4,FALSE)&amp;" "&amp;$V$1),AC132))))</f>
        <v>SKLADEM</v>
      </c>
      <c r="AE132" s="581" t="str">
        <f t="shared" ca="1" si="289"/>
        <v>SKLADEM</v>
      </c>
      <c r="AF132" s="584">
        <f t="shared" si="290"/>
        <v>0</v>
      </c>
      <c r="AG132" s="585">
        <f t="shared" si="291"/>
        <v>0</v>
      </c>
      <c r="AH132" s="583">
        <f t="shared" si="292"/>
        <v>0</v>
      </c>
      <c r="AI132" s="582">
        <f t="shared" si="293"/>
        <v>0</v>
      </c>
      <c r="AJ132" s="569">
        <f t="shared" si="294"/>
        <v>0</v>
      </c>
      <c r="AK132" s="569" t="str">
        <f t="shared" si="295"/>
        <v/>
      </c>
      <c r="AL132" s="569" t="str">
        <f t="shared" si="296"/>
        <v/>
      </c>
      <c r="AM132" s="569">
        <f t="shared" si="297"/>
        <v>0</v>
      </c>
      <c r="AN132" s="581">
        <f t="shared" si="298"/>
        <v>0</v>
      </c>
      <c r="AO132" s="623"/>
      <c r="AP132" s="632" t="str">
        <f t="shared" si="221"/>
        <v/>
      </c>
      <c r="AQ132" s="625" t="str">
        <f>IF(AC132=$V$3,IF(VLOOKUP(C132,[1]List1!$A:$E,5,FALSE)=0,1,VLOOKUP(C132,[1]List1!$A:$E,5,FALSE)),"")</f>
        <v/>
      </c>
      <c r="AR132" s="625" t="str">
        <f t="shared" si="222"/>
        <v/>
      </c>
      <c r="AS132" s="634" t="str">
        <f t="shared" si="223"/>
        <v/>
      </c>
      <c r="AT132" s="625" t="str">
        <f t="shared" si="224"/>
        <v/>
      </c>
      <c r="AU132" s="638" t="e">
        <f t="shared" si="225"/>
        <v>#N/A</v>
      </c>
      <c r="AV132" s="625" t="e">
        <f t="shared" si="226"/>
        <v>#N/A</v>
      </c>
      <c r="AX132" s="625">
        <f>IF(AND('General price list'!$J132="F4",'General price list'!$AB132+0&gt;0),1,0)</f>
        <v>0</v>
      </c>
      <c r="AY132" s="625">
        <f t="shared" si="227"/>
        <v>1</v>
      </c>
      <c r="AZ132" s="625">
        <f t="shared" si="228"/>
        <v>0</v>
      </c>
    </row>
    <row r="133" spans="1:52" ht="15" customHeight="1">
      <c r="A133" s="639" t="str">
        <f>Kat.!C133</f>
        <v/>
      </c>
      <c r="B133" s="640">
        <f>IF(AND('General price list'!$J133="F4",$AI$1=FALSE),0,IF(AC133="SKLADEM",1,IF(AC133=$V$3,1,0)))</f>
        <v>1</v>
      </c>
      <c r="C133" s="641" t="s">
        <v>11190</v>
      </c>
      <c r="D133" s="642" t="s">
        <v>11191</v>
      </c>
      <c r="E133" s="643" t="s">
        <v>12670</v>
      </c>
      <c r="F133" s="791">
        <f>IFERROR(VLOOKUP(C133,[2]List1!$A:$D,3,FALSE),"NEUVEDENO!")</f>
        <v>142</v>
      </c>
      <c r="G133" s="768">
        <f t="shared" si="285"/>
        <v>142</v>
      </c>
      <c r="H133" s="765">
        <f t="shared" si="286"/>
        <v>6.0319523560720949</v>
      </c>
      <c r="I133" s="644">
        <f>IFERROR(VLOOKUP(C133,[2]List1!$A:$D,4,FALSE),"NEUVEDENO!")</f>
        <v>100</v>
      </c>
      <c r="J133" s="733" t="s">
        <v>193</v>
      </c>
      <c r="K133" s="645" t="s">
        <v>11100</v>
      </c>
      <c r="L133" s="645"/>
      <c r="M133" s="645" t="s">
        <v>21</v>
      </c>
      <c r="N133" s="645">
        <f>IFERROR(VLOOKUP(C133,[3]List1!$A:$D,4,FALSE),"N/A!")</f>
        <v>2.2303999999999997E-2</v>
      </c>
      <c r="O133" s="645">
        <f>IFERROR(VLOOKUP(C133,[3]List1!$A:$D,3,FALSE),"N/A!")</f>
        <v>4200</v>
      </c>
      <c r="P133" s="645">
        <f>IFERROR(VLOOKUP(C133,[3]List1!$A:$D,2,FALSE),"N/A!")</f>
        <v>15000</v>
      </c>
      <c r="Q133" s="645" t="s">
        <v>11256</v>
      </c>
      <c r="R133" s="645" t="s">
        <v>15</v>
      </c>
      <c r="S133" s="645"/>
      <c r="T133" s="645">
        <v>60</v>
      </c>
      <c r="U133" s="645"/>
      <c r="V133" s="645"/>
      <c r="W133" s="645" t="str">
        <f>IFERROR(IF(AND($AB133&gt;=0.1*$AA133,MOD($AB133,$AA133)&gt;=($AA133-(0.1*$AA133))),IF($W$17=$AF$1,"Zvažte možnost doobjednání ještě "&amp;Tabulka1[[#This Row],[VKPAL]]-MOD(AB133,AA133)&amp;" VK do plné palety.",VLOOKUP("Zvažte možnost doobjednání ještě ",Jazyky_ceník!A:Q,MATCH($W$17,Jazyky_ceník!$A$1:$Q$1,0),FALSE)&amp;Tabulka1[[#This Row],[VKPAL]]-MOD(AB133,AA133)&amp;VLOOKUP(" VK do plné palety.",Jazyky_ceník!A:Q,MATCH($W$17,Jazyky_ceník!$A$1:$Q$1,0),FALSE)),IFERROR(IF(AND(NOT(MOD($AB133,$AA133)=0),$AB133&gt;=0.9*$AA133,MOD($AB133,$AA133)&lt;=0.1*$AA133),IF($W$17=$AF$1,"Zvažte možnost optimalizace objednaného množství podle počtu VK na paletě ==&gt;",VLOOKUP("Zvažte možnost optimalizace objednaného množství podle počtu VK na paletě ==&gt;",Jazyky_ceník!A:Q,MATCH($W$17,Jazyky_ceník!$A$1:$Q$1,0),FALSE)),VLOOKUP('General price list'!$C133,Popisy!A:M,MATCH($W$17,Popisy!$A$7:$M$7,0),FALSE)),"---------------")),IFERROR(VLOOKUP('General price list'!$C133,Popisy!A:M,MATCH($W$17,Popisy!$A$7:$M$7,0),FALSE),"---------------"))</f>
        <v>signální červená pochodeň(silné světlo)</v>
      </c>
      <c r="X133" s="645" t="str">
        <f t="shared" si="287"/>
        <v/>
      </c>
      <c r="Y133" s="645" t="str">
        <f t="shared" si="288"/>
        <v/>
      </c>
      <c r="Z133" s="645" t="str">
        <f>HYPERLINK("https://www.klasekpyrotechnics.cz/sp60s")</f>
        <v>https://www.klasekpyrotechnics.cz/sp60s</v>
      </c>
      <c r="AA133" s="645">
        <f>IFERROR(IF(VLOOKUP(C133,[4]List1!$A:$D,4,FALSE)=0,"",VLOOKUP(C133,[4]List1!$A:$D,4,FALSE)),"")</f>
        <v>64</v>
      </c>
      <c r="AB133" s="646"/>
      <c r="AC133" s="647" t="str">
        <f>IFERROR(IF(VLOOKUP(C133,[1]List1!$A:$D,2,FALSE)="VYPRODÁNO",$V$9,IF(VLOOKUP(C133,[1]List1!$A:$D,2,FALSE)="DOCHÁZÍ",$V$3,VLOOKUP(C133,[1]List1!$A:$D,2,FALSE))),"OFFLINE!")</f>
        <v>SKLADEM</v>
      </c>
      <c r="AD133" s="647" t="str">
        <f ca="1">IF(AP133="NE",$V$10,IF(AC133=$V$3,IF(AQ133&lt;1,$V$8,$V$2&amp;" "&amp;AQ133&amp;" "&amp;$V$1),IF(AC133="SKLADEM",$V$6,IFERROR(IF(OR(AC133-TODAY()&gt;45,VLOOKUP(C133,[1]List1!$A:$E,4,FALSE)=0),AC133,DAY(AC133)&amp;"."&amp;MONTH(AC133)&amp;"."&amp;YEAR(AC133)&amp;" "&amp;$V$4&amp;VLOOKUP(C133,[1]List1!$A:$E,4,FALSE)&amp;" "&amp;$V$1),AC133))))</f>
        <v>SKLADEM</v>
      </c>
      <c r="AE133" s="645" t="str">
        <f t="shared" ca="1" si="289"/>
        <v>SKLADEM</v>
      </c>
      <c r="AF133" s="648">
        <f t="shared" si="290"/>
        <v>0</v>
      </c>
      <c r="AG133" s="649">
        <f t="shared" si="291"/>
        <v>0</v>
      </c>
      <c r="AH133" s="650">
        <f t="shared" si="292"/>
        <v>0</v>
      </c>
      <c r="AI133" s="645">
        <f t="shared" si="293"/>
        <v>0</v>
      </c>
      <c r="AJ133" s="645">
        <f t="shared" si="294"/>
        <v>0</v>
      </c>
      <c r="AK133" s="645" t="str">
        <f t="shared" si="295"/>
        <v/>
      </c>
      <c r="AL133" s="645" t="str">
        <f t="shared" si="296"/>
        <v/>
      </c>
      <c r="AM133" s="645">
        <f t="shared" si="297"/>
        <v>0</v>
      </c>
      <c r="AN133" s="651">
        <f t="shared" si="298"/>
        <v>0</v>
      </c>
      <c r="AO133" s="623"/>
      <c r="AP133" s="632" t="str">
        <f t="shared" si="221"/>
        <v/>
      </c>
      <c r="AQ133" s="633" t="str">
        <f>IF(AC133=$V$3,IF(VLOOKUP(C133,[1]List1!$A:$E,5,FALSE)=0,1,VLOOKUP(C133,[1]List1!$A:$E,5,FALSE)),"")</f>
        <v/>
      </c>
      <c r="AR133" s="625" t="str">
        <f t="shared" si="222"/>
        <v/>
      </c>
      <c r="AS133" s="634" t="str">
        <f t="shared" si="223"/>
        <v/>
      </c>
      <c r="AT133" s="625" t="str">
        <f t="shared" si="224"/>
        <v/>
      </c>
      <c r="AU133" s="638" t="e">
        <f t="shared" si="225"/>
        <v>#N/A</v>
      </c>
      <c r="AV133" s="625" t="e">
        <f t="shared" si="226"/>
        <v>#N/A</v>
      </c>
      <c r="AX133" s="625">
        <f>IF(AND('General price list'!$J133="F4",'General price list'!$AB133+0&gt;0),1,0)</f>
        <v>0</v>
      </c>
      <c r="AY133" s="625">
        <f t="shared" si="227"/>
        <v>1</v>
      </c>
      <c r="AZ133" s="625">
        <f t="shared" si="228"/>
        <v>1</v>
      </c>
    </row>
    <row r="134" spans="1:52" ht="15.75" customHeight="1">
      <c r="A134" s="621" t="str">
        <f>Kat.!C134</f>
        <v>×</v>
      </c>
      <c r="B134" s="566">
        <f>IF(AND('General price list'!$J134="F4",$AI$1=FALSE),0,IF(AC134="SKLADEM",1,IF(AC134=$V$3,1,0)))</f>
        <v>1</v>
      </c>
      <c r="C134" s="567" t="s">
        <v>2261</v>
      </c>
      <c r="D134" s="568" t="s">
        <v>2262</v>
      </c>
      <c r="E134" s="763" t="s">
        <v>12671</v>
      </c>
      <c r="F134" s="772">
        <f>IFERROR(VLOOKUP(C134,[2]List1!$A:$D,3,FALSE),"NEUVEDENO!")</f>
        <v>91</v>
      </c>
      <c r="G134" s="769">
        <f t="shared" si="285"/>
        <v>91</v>
      </c>
      <c r="H134" s="766">
        <f t="shared" si="286"/>
        <v>3.8655469324123986</v>
      </c>
      <c r="I134" s="764">
        <f>IFERROR(VLOOKUP(C134,[2]List1!$A:$D,4,FALSE),"NEUVEDENO!")</f>
        <v>30</v>
      </c>
      <c r="J134" s="732" t="s">
        <v>193</v>
      </c>
      <c r="K134" s="569" t="s">
        <v>20</v>
      </c>
      <c r="L134" s="569" t="s">
        <v>10968</v>
      </c>
      <c r="M134" s="569" t="s">
        <v>21</v>
      </c>
      <c r="N134" s="569">
        <f>IFERROR(VLOOKUP(C134,[3]List1!$A:$D,4,FALSE),"N/A!")</f>
        <v>2.3625E-2</v>
      </c>
      <c r="O134" s="569">
        <f>IFERROR(VLOOKUP(C134,[3]List1!$A:$D,3,FALSE),"N/A!")</f>
        <v>1125</v>
      </c>
      <c r="P134" s="569">
        <f>IFERROR(VLOOKUP(C134,[3]List1!$A:$D,2,FALSE),"N/A!")</f>
        <v>5500</v>
      </c>
      <c r="Q134" s="569" t="s">
        <v>11238</v>
      </c>
      <c r="R134" s="569" t="s">
        <v>20</v>
      </c>
      <c r="S134" s="569"/>
      <c r="T134" s="569">
        <v>60</v>
      </c>
      <c r="U134" s="569"/>
      <c r="V134" s="569"/>
      <c r="W134" s="569" t="str">
        <f>IFERROR(IF(AND($AB134&gt;=0.1*$AA134,MOD($AB134,$AA134)&gt;=($AA134-(0.1*$AA134))),IF($W$17=$AF$1,"Zvažte možnost doobjednání ještě "&amp;Tabulka1[[#This Row],[VKPAL]]-MOD(AB134,AA134)&amp;" VK do plné palety.",VLOOKUP("Zvažte možnost doobjednání ještě ",Jazyky_ceník!A:Q,MATCH($W$17,Jazyky_ceník!$A$1:$Q$1,0),FALSE)&amp;Tabulka1[[#This Row],[VKPAL]]-MOD(AB134,AA134)&amp;VLOOKUP(" VK do plné palety.",Jazyky_ceník!A:Q,MATCH($W$17,Jazyky_ceník!$A$1:$Q$1,0),FALSE)),IFERROR(IF(AND(NOT(MOD($AB134,$AA134)=0),$AB134&gt;=0.9*$AA134,MOD($AB134,$AA134)&lt;=0.1*$AA134),IF($W$17=$AF$1,"Zvažte možnost optimalizace objednaného množství podle počtu VK na paletě ==&gt;",VLOOKUP("Zvažte možnost optimalizace objednaného množství podle počtu VK na paletě ==&gt;",Jazyky_ceník!A:Q,MATCH($W$17,Jazyky_ceník!$A$1:$Q$1,0),FALSE)),VLOOKUP('General price list'!$C134,Popisy!A:M,MATCH($W$17,Popisy!$A$7:$M$7,0),FALSE)),"---------------")),IFERROR(VLOOKUP('General price list'!$C134,Popisy!A:M,MATCH($W$17,Popisy!$A$7:$M$7,0),FALSE),"---------------"))</f>
        <v>barevná pochodeň(červená,zelená,bílá,fialová,žlutá)</v>
      </c>
      <c r="X134" s="569" t="str">
        <f t="shared" si="287"/>
        <v/>
      </c>
      <c r="Y134" s="569" t="str">
        <f t="shared" si="288"/>
        <v/>
      </c>
      <c r="Z134" s="569" t="str">
        <f>HYPERLINK("https://www.klasekpyrotechnics.cz/bp60s")</f>
        <v>https://www.klasekpyrotechnics.cz/bp60s</v>
      </c>
      <c r="AA134" s="569">
        <f>IFERROR(IF(VLOOKUP(C134,[4]List1!$A:$D,4,FALSE)=0,"",VLOOKUP(C134,[4]List1!$A:$D,4,FALSE)),"")</f>
        <v>66</v>
      </c>
      <c r="AB134" s="565"/>
      <c r="AC134" s="570" t="str">
        <f>IFERROR(IF(VLOOKUP(C134,[1]List1!$A:$D,2,FALSE)="VYPRODÁNO",$V$9,IF(VLOOKUP(C134,[1]List1!$A:$D,2,FALSE)="DOCHÁZÍ",$V$3,VLOOKUP(C134,[1]List1!$A:$D,2,FALSE))),"OFFLINE!")</f>
        <v>SKLADEM</v>
      </c>
      <c r="AD134" s="570" t="str">
        <f ca="1">IF(AP134="NE",$V$10,IF(AC134=$V$3,IF(AQ134&lt;1,$V$8,$V$2&amp;" "&amp;AQ134&amp;" "&amp;$V$1),IF(AC134="SKLADEM",$V$6,IFERROR(IF(OR(AC134-TODAY()&gt;45,VLOOKUP(C134,[1]List1!$A:$E,4,FALSE)=0),AC134,DAY(AC134)&amp;"."&amp;MONTH(AC134)&amp;"."&amp;YEAR(AC134)&amp;" "&amp;$V$4&amp;VLOOKUP(C134,[1]List1!$A:$E,4,FALSE)&amp;" "&amp;$V$1),AC134))))</f>
        <v>SKLADEM</v>
      </c>
      <c r="AE134" s="581" t="str">
        <f t="shared" ca="1" si="289"/>
        <v>SKLADEM</v>
      </c>
      <c r="AF134" s="584">
        <f t="shared" si="290"/>
        <v>0</v>
      </c>
      <c r="AG134" s="585">
        <f t="shared" si="291"/>
        <v>0</v>
      </c>
      <c r="AH134" s="583">
        <f t="shared" si="292"/>
        <v>0</v>
      </c>
      <c r="AI134" s="582">
        <f t="shared" si="293"/>
        <v>0</v>
      </c>
      <c r="AJ134" s="569">
        <f t="shared" si="294"/>
        <v>0</v>
      </c>
      <c r="AK134" s="569" t="str">
        <f t="shared" si="295"/>
        <v/>
      </c>
      <c r="AL134" s="569" t="str">
        <f t="shared" si="296"/>
        <v/>
      </c>
      <c r="AM134" s="569">
        <f t="shared" si="297"/>
        <v>0</v>
      </c>
      <c r="AN134" s="581">
        <f t="shared" si="298"/>
        <v>0</v>
      </c>
      <c r="AO134" s="623"/>
      <c r="AP134" s="625" t="str">
        <f t="shared" si="221"/>
        <v/>
      </c>
      <c r="AQ134" s="625" t="str">
        <f>IF(AC134=$V$3,IF(VLOOKUP(C134,[1]List1!$A:$E,5,FALSE)=0,1,VLOOKUP(C134,[1]List1!$A:$E,5,FALSE)),"")</f>
        <v/>
      </c>
      <c r="AR134" s="629" t="str">
        <f t="shared" si="222"/>
        <v/>
      </c>
      <c r="AS134" s="630" t="str">
        <f t="shared" si="223"/>
        <v/>
      </c>
      <c r="AT134" s="625" t="str">
        <f t="shared" si="224"/>
        <v/>
      </c>
      <c r="AU134" s="625" t="e">
        <f t="shared" si="225"/>
        <v>#N/A</v>
      </c>
      <c r="AV134" s="625" t="e">
        <f t="shared" si="226"/>
        <v>#N/A</v>
      </c>
      <c r="AW134" s="631"/>
      <c r="AX134" s="631">
        <f>IF(AND('General price list'!$J134="F4",'General price list'!$AB134+0&gt;0),1,0)</f>
        <v>0</v>
      </c>
      <c r="AY134" s="631">
        <f t="shared" si="227"/>
        <v>1</v>
      </c>
      <c r="AZ134" s="631">
        <f t="shared" si="228"/>
        <v>0</v>
      </c>
    </row>
    <row r="135" spans="1:52" ht="15" customHeight="1">
      <c r="A135" s="751" t="str">
        <f>Kat.!C135</f>
        <v xml:space="preserve">           Stroboskopy</v>
      </c>
      <c r="B135" s="751"/>
      <c r="C135" s="751"/>
      <c r="D135" s="751"/>
      <c r="E135" s="751"/>
      <c r="F135" s="751"/>
      <c r="G135" s="751"/>
      <c r="H135" s="751"/>
      <c r="I135" s="752"/>
      <c r="J135" s="752"/>
      <c r="K135" s="752" t="s">
        <v>20</v>
      </c>
      <c r="L135" s="753" t="s">
        <v>2818</v>
      </c>
      <c r="M135" s="752"/>
      <c r="N135" s="752"/>
      <c r="O135" s="752"/>
      <c r="P135" s="752"/>
      <c r="Q135" s="752"/>
      <c r="R135" s="752"/>
      <c r="S135" s="752"/>
      <c r="T135" s="752"/>
      <c r="U135" s="752"/>
      <c r="V135" s="752"/>
      <c r="W135" s="752"/>
      <c r="X135" s="752"/>
      <c r="Y135" s="752"/>
      <c r="Z135" s="752" t="s">
        <v>20</v>
      </c>
      <c r="AA135" s="752"/>
      <c r="AB135" s="752"/>
      <c r="AC135" s="754"/>
      <c r="AD135" s="752"/>
      <c r="AE135" s="752"/>
      <c r="AF135" s="752"/>
      <c r="AG135" s="752"/>
      <c r="AH135" s="752"/>
      <c r="AI135" s="752"/>
      <c r="AJ135" s="752"/>
      <c r="AK135" s="752"/>
      <c r="AL135" s="752"/>
      <c r="AM135" s="752"/>
      <c r="AN135" s="752"/>
      <c r="AO135" s="623"/>
      <c r="AP135" s="632" t="str">
        <f t="shared" si="221"/>
        <v/>
      </c>
      <c r="AQ135" s="633" t="str">
        <f>IF(AC135=$V$3,IF(VLOOKUP(C135,[1]List1!$A:$E,5,FALSE)=0,1,VLOOKUP(C135,[1]List1!$A:$E,5,FALSE)),"")</f>
        <v/>
      </c>
      <c r="AR135" s="625" t="str">
        <f t="shared" si="222"/>
        <v/>
      </c>
      <c r="AS135" s="634" t="str">
        <f t="shared" si="223"/>
        <v/>
      </c>
      <c r="AT135" s="625" t="str">
        <f t="shared" si="224"/>
        <v/>
      </c>
      <c r="AU135" s="638" t="e">
        <f t="shared" si="225"/>
        <v>#N/A</v>
      </c>
      <c r="AV135" s="625" t="e">
        <f t="shared" si="226"/>
        <v>#N/A</v>
      </c>
      <c r="AX135" s="625">
        <f>IF(AND('General price list'!$J135="F4",'General price list'!$AB135+0&gt;0),1,0)</f>
        <v>0</v>
      </c>
      <c r="AY135" s="625">
        <f t="shared" si="227"/>
        <v>0</v>
      </c>
      <c r="AZ135" s="625">
        <f t="shared" si="228"/>
        <v>0</v>
      </c>
    </row>
    <row r="136" spans="1:52" ht="15" customHeight="1">
      <c r="A136" s="639" t="str">
        <f>Kat.!C136</f>
        <v/>
      </c>
      <c r="B136" s="640">
        <f>IF(AND('General price list'!$J136="F4",$AI$1=FALSE),0,IF(AC136="SKLADEM",1,IF(AC136=$V$3,1,0)))</f>
        <v>1</v>
      </c>
      <c r="C136" s="641" t="s">
        <v>791</v>
      </c>
      <c r="D136" s="642" t="s">
        <v>792</v>
      </c>
      <c r="E136" s="643" t="s">
        <v>12672</v>
      </c>
      <c r="F136" s="771">
        <f>IFERROR(VLOOKUP(C136,[2]List1!$A:$D,3,FALSE),"NEUVEDENO!")</f>
        <v>79</v>
      </c>
      <c r="G136" s="768">
        <f t="shared" ref="G136:G137" si="299">IF($W$17=$AF$8,ROUND((F136)/$F$17,2),(F136)*$B$19)</f>
        <v>79</v>
      </c>
      <c r="H136" s="765">
        <f t="shared" ref="H136:H137" si="300">IF($W$17=$AF$8,G136*$B$19,G136/$F$17)</f>
        <v>3.3558044797865878</v>
      </c>
      <c r="I136" s="644">
        <f>IFERROR(VLOOKUP(C136,[2]List1!$A:$D,4,FALSE),"NEUVEDENO!")</f>
        <v>36</v>
      </c>
      <c r="J136" s="733" t="s">
        <v>39</v>
      </c>
      <c r="K136" s="645" t="s">
        <v>20</v>
      </c>
      <c r="L136" s="645" t="s">
        <v>10970</v>
      </c>
      <c r="M136" s="645" t="s">
        <v>21</v>
      </c>
      <c r="N136" s="645">
        <f>IFERROR(VLOOKUP(C136,[3]List1!$A:$D,4,FALSE),"N/A!")</f>
        <v>1.3162499999999999E-2</v>
      </c>
      <c r="O136" s="645">
        <f>IFERROR(VLOOKUP(C136,[3]List1!$A:$D,3,FALSE),"N/A!")</f>
        <v>5400</v>
      </c>
      <c r="P136" s="645">
        <f>IFERROR(VLOOKUP(C136,[3]List1!$A:$D,2,FALSE),"N/A!")</f>
        <v>8740</v>
      </c>
      <c r="Q136" s="645" t="s">
        <v>11233</v>
      </c>
      <c r="R136" s="645"/>
      <c r="S136" s="645"/>
      <c r="T136" s="645">
        <v>90</v>
      </c>
      <c r="U136" s="645"/>
      <c r="V136" s="645"/>
      <c r="W136" s="645" t="str">
        <f>IFERROR(IF(AND($AB136&gt;=0.1*$AA136,MOD($AB136,$AA136)&gt;=($AA136-(0.1*$AA136))),IF($W$17=$AF$1,"Zvažte možnost doobjednání ještě "&amp;Tabulka1[[#This Row],[VKPAL]]-MOD(AB136,AA136)&amp;" VK do plné palety.",VLOOKUP("Zvažte možnost doobjednání ještě ",Jazyky_ceník!A:Q,MATCH($W$17,Jazyky_ceník!$A$1:$Q$1,0),FALSE)&amp;Tabulka1[[#This Row],[VKPAL]]-MOD(AB136,AA136)&amp;VLOOKUP(" VK do plné palety.",Jazyky_ceník!A:Q,MATCH($W$17,Jazyky_ceník!$A$1:$Q$1,0),FALSE)),IFERROR(IF(AND(NOT(MOD($AB136,$AA136)=0),$AB136&gt;=0.9*$AA136,MOD($AB136,$AA136)&lt;=0.1*$AA136),IF($W$17=$AF$1,"Zvažte možnost optimalizace objednaného množství podle počtu VK na paletě ==&gt;",VLOOKUP("Zvažte možnost optimalizace objednaného množství podle počtu VK na paletě ==&gt;",Jazyky_ceník!A:Q,MATCH($W$17,Jazyky_ceník!$A$1:$Q$1,0),FALSE)),VLOOKUP('General price list'!$C136,Popisy!A:M,MATCH($W$17,Popisy!$A$7:$M$7,0),FALSE)),"---------------")),IFERROR(VLOOKUP('General price list'!$C136,Popisy!A:M,MATCH($W$17,Popisy!$A$7:$M$7,0),FALSE),"---------------"))</f>
        <v>bílý stroboskop</v>
      </c>
      <c r="X136" s="645" t="str">
        <f t="shared" ref="X136:X137" si="301">IF(AB136&lt;0.0001,"",AB136)</f>
        <v/>
      </c>
      <c r="Y136" s="645" t="str">
        <f t="shared" ref="Y136:Y137" si="302">IF($AL$3=2,IF(OR(AB136&lt;&gt;"",AB136&lt;&gt;0),AU136,""),IF(C136="","",IF(AB136&lt;0.0001,"",IF(B136=0,"",IF(AQ136&lt;AB136,"",AB136)))))</f>
        <v/>
      </c>
      <c r="Z136" s="645" t="str">
        <f>HYPERLINK("https://www.klasekpyrotechnics.cz/s90s")</f>
        <v>https://www.klasekpyrotechnics.cz/s90s</v>
      </c>
      <c r="AA136" s="645" t="str">
        <f>IFERROR(IF(VLOOKUP(C136,[4]List1!$A:$D,4,FALSE)=0,"",VLOOKUP(C136,[4]List1!$A:$D,4,FALSE)),"")</f>
        <v>87</v>
      </c>
      <c r="AB136" s="646"/>
      <c r="AC136" s="647" t="str">
        <f>IFERROR(IF(VLOOKUP(C136,[1]List1!$A:$D,2,FALSE)="VYPRODÁNO",$V$9,IF(VLOOKUP(C136,[1]List1!$A:$D,2,FALSE)="DOCHÁZÍ",$V$3,VLOOKUP(C136,[1]List1!$A:$D,2,FALSE))),"OFFLINE!")</f>
        <v>SKLADEM</v>
      </c>
      <c r="AD136" s="647" t="str">
        <f ca="1">IF(AP136="NE",$V$10,IF(AC136=$V$3,IF(AQ136&lt;1,$V$8,$V$2&amp;" "&amp;AQ136&amp;" "&amp;$V$1),IF(AC136="SKLADEM",$V$6,IFERROR(IF(OR(AC136-TODAY()&gt;45,VLOOKUP(C136,[1]List1!$A:$E,4,FALSE)=0),AC136,DAY(AC136)&amp;"."&amp;MONTH(AC136)&amp;"."&amp;YEAR(AC136)&amp;" "&amp;$V$4&amp;VLOOKUP(C136,[1]List1!$A:$E,4,FALSE)&amp;" "&amp;$V$1),AC136))))</f>
        <v>SKLADEM</v>
      </c>
      <c r="AE136" s="645" t="str">
        <f t="shared" ref="AE136:AE137" ca="1" si="303">IFERROR(IF(AV136&lt;&gt;"",AV136,AD136),AD136)</f>
        <v>SKLADEM</v>
      </c>
      <c r="AF136" s="648">
        <f t="shared" ref="AF136:AF137" si="304">IFERROR(IF(AB136=Y136,G136*I136*Y136,0),0)</f>
        <v>0</v>
      </c>
      <c r="AG136" s="649">
        <f t="shared" ref="AG136:AG137" si="305">IF($W$17=$AF$8,AH136*1.23,AF136*1.21)</f>
        <v>0</v>
      </c>
      <c r="AH136" s="650">
        <f t="shared" ref="AH136:AH137" si="306">IFERROR(IF(Y136=AB136,H136*I136*Y136,0),0)</f>
        <v>0</v>
      </c>
      <c r="AI136" s="645">
        <f t="shared" ref="AI136:AI137" si="307">IFERROR(IF(Y136=AB136,(P136*Y136)/1000,1),0)</f>
        <v>0</v>
      </c>
      <c r="AJ136" s="645">
        <f t="shared" ref="AJ136:AJ137" si="308">IFERROR(IF(Y136=AB136,N136*Y136,0.1),0)</f>
        <v>0</v>
      </c>
      <c r="AK136" s="645" t="str">
        <f t="shared" ref="AK136:AK137" si="309">IFERROR(IF(Y136=AB136,IF(M136="1.1G",(O136/1000)*Y136,""),""),0)</f>
        <v/>
      </c>
      <c r="AL136" s="645" t="str">
        <f t="shared" ref="AL136:AL137" si="310">IFERROR(IF(Y136=AB136,IF(M136="1.3G",(O136/1000)*AB136,""),""),0)</f>
        <v/>
      </c>
      <c r="AM136" s="645">
        <f t="shared" ref="AM136:AM137" si="311">IFERROR(IF(Y136=AB136,IF(M136="1.4G",(O136/1000)*AB136,""),""),0)</f>
        <v>0</v>
      </c>
      <c r="AN136" s="651">
        <f t="shared" ref="AN136:AN137" si="312">SUM(AK136:AM136)</f>
        <v>0</v>
      </c>
      <c r="AO136" s="623"/>
      <c r="AP136" s="632" t="str">
        <f t="shared" si="221"/>
        <v/>
      </c>
      <c r="AQ136" s="633" t="str">
        <f>IF(AC136=$V$3,IF(VLOOKUP(C136,[1]List1!$A:$E,5,FALSE)=0,1,VLOOKUP(C136,[1]List1!$A:$E,5,FALSE)),"")</f>
        <v/>
      </c>
      <c r="AR136" s="625" t="str">
        <f t="shared" si="222"/>
        <v/>
      </c>
      <c r="AS136" s="634" t="str">
        <f t="shared" si="223"/>
        <v/>
      </c>
      <c r="AT136" s="625" t="str">
        <f t="shared" si="224"/>
        <v/>
      </c>
      <c r="AU136" s="638" t="e">
        <f t="shared" si="225"/>
        <v>#N/A</v>
      </c>
      <c r="AV136" s="625" t="e">
        <f t="shared" si="226"/>
        <v>#N/A</v>
      </c>
      <c r="AX136" s="625">
        <f>IF(AND('General price list'!$J136="F4",'General price list'!$AB136+0&gt;0),1,0)</f>
        <v>0</v>
      </c>
      <c r="AY136" s="625">
        <f t="shared" si="227"/>
        <v>1</v>
      </c>
      <c r="AZ136" s="625">
        <f t="shared" si="228"/>
        <v>0</v>
      </c>
    </row>
    <row r="137" spans="1:52" ht="15" customHeight="1">
      <c r="A137" s="621" t="str">
        <f>Kat.!C137</f>
        <v/>
      </c>
      <c r="B137" s="566">
        <f>IF(AND('General price list'!$J137="F4",$AI$1=FALSE),0,IF(AC137="SKLADEM",1,IF(AC137=$V$3,1,0)))</f>
        <v>1</v>
      </c>
      <c r="C137" s="567" t="s">
        <v>796</v>
      </c>
      <c r="D137" s="568" t="s">
        <v>797</v>
      </c>
      <c r="E137" s="763" t="s">
        <v>12673</v>
      </c>
      <c r="F137" s="772">
        <f>IFERROR(VLOOKUP(C137,[2]List1!$A:$D,3,FALSE),"NEUVEDENO!")</f>
        <v>97</v>
      </c>
      <c r="G137" s="769">
        <f t="shared" si="299"/>
        <v>97</v>
      </c>
      <c r="H137" s="766">
        <f t="shared" si="300"/>
        <v>4.1204181587253039</v>
      </c>
      <c r="I137" s="764">
        <f>IFERROR(VLOOKUP(C137,[2]List1!$A:$D,4,FALSE),"NEUVEDENO!")</f>
        <v>30</v>
      </c>
      <c r="J137" s="732" t="s">
        <v>39</v>
      </c>
      <c r="K137" s="569" t="s">
        <v>20</v>
      </c>
      <c r="L137" s="569" t="s">
        <v>10970</v>
      </c>
      <c r="M137" s="569" t="s">
        <v>21</v>
      </c>
      <c r="N137" s="569">
        <f>IFERROR(VLOOKUP(C137,[3]List1!$A:$D,4,FALSE),"N/A!")</f>
        <v>1.1109000000000001E-2</v>
      </c>
      <c r="O137" s="569">
        <f>IFERROR(VLOOKUP(C137,[3]List1!$A:$D,3,FALSE),"N/A!")</f>
        <v>3240</v>
      </c>
      <c r="P137" s="569">
        <f>IFERROR(VLOOKUP(C137,[3]List1!$A:$D,2,FALSE),"N/A!")</f>
        <v>8000</v>
      </c>
      <c r="Q137" s="569" t="s">
        <v>11233</v>
      </c>
      <c r="R137" s="569"/>
      <c r="S137" s="569"/>
      <c r="T137" s="569">
        <v>60</v>
      </c>
      <c r="U137" s="569"/>
      <c r="V137" s="569"/>
      <c r="W137" s="569" t="str">
        <f>IFERROR(IF(AND($AB137&gt;=0.1*$AA137,MOD($AB137,$AA137)&gt;=($AA137-(0.1*$AA137))),IF($W$17=$AF$1,"Zvažte možnost doobjednání ještě "&amp;Tabulka1[[#This Row],[VKPAL]]-MOD(AB137,AA137)&amp;" VK do plné palety.",VLOOKUP("Zvažte možnost doobjednání ještě ",Jazyky_ceník!A:Q,MATCH($W$17,Jazyky_ceník!$A$1:$Q$1,0),FALSE)&amp;Tabulka1[[#This Row],[VKPAL]]-MOD(AB137,AA137)&amp;VLOOKUP(" VK do plné palety.",Jazyky_ceník!A:Q,MATCH($W$17,Jazyky_ceník!$A$1:$Q$1,0),FALSE)),IFERROR(IF(AND(NOT(MOD($AB137,$AA137)=0),$AB137&gt;=0.9*$AA137,MOD($AB137,$AA137)&lt;=0.1*$AA137),IF($W$17=$AF$1,"Zvažte možnost optimalizace objednaného množství podle počtu VK na paletě ==&gt;",VLOOKUP("Zvažte možnost optimalizace objednaného množství podle počtu VK na paletě ==&gt;",Jazyky_ceník!A:Q,MATCH($W$17,Jazyky_ceník!$A$1:$Q$1,0),FALSE)),VLOOKUP('General price list'!$C137,Popisy!A:M,MATCH($W$17,Popisy!$A$7:$M$7,0),FALSE)),"---------------")),IFERROR(VLOOKUP('General price list'!$C137,Popisy!A:M,MATCH($W$17,Popisy!$A$7:$M$7,0),FALSE),"---------------"))</f>
        <v>bílý stroboskop</v>
      </c>
      <c r="X137" s="569" t="str">
        <f t="shared" si="301"/>
        <v/>
      </c>
      <c r="Y137" s="569" t="str">
        <f t="shared" si="302"/>
        <v/>
      </c>
      <c r="Z137" s="569" t="str">
        <f>HYPERLINK("https://www.klasekpyrotechnics.cz/s60s")</f>
        <v>https://www.klasekpyrotechnics.cz/s60s</v>
      </c>
      <c r="AA137" s="569" t="str">
        <f>IFERROR(IF(VLOOKUP(C137,[4]List1!$A:$D,4,FALSE)=0,"",VLOOKUP(C137,[4]List1!$A:$D,4,FALSE)),"")</f>
        <v>95</v>
      </c>
      <c r="AB137" s="565"/>
      <c r="AC137" s="570" t="str">
        <f>IFERROR(IF(VLOOKUP(C137,[1]List1!$A:$D,2,FALSE)="VYPRODÁNO",$V$9,IF(VLOOKUP(C137,[1]List1!$A:$D,2,FALSE)="DOCHÁZÍ",$V$3,VLOOKUP(C137,[1]List1!$A:$D,2,FALSE))),"OFFLINE!")</f>
        <v>SKLADEM</v>
      </c>
      <c r="AD137" s="570" t="str">
        <f ca="1">IF(AP137="NE",$V$10,IF(AC137=$V$3,IF(AQ137&lt;1,$V$8,$V$2&amp;" "&amp;AQ137&amp;" "&amp;$V$1),IF(AC137="SKLADEM",$V$6,IFERROR(IF(OR(AC137-TODAY()&gt;45,VLOOKUP(C137,[1]List1!$A:$E,4,FALSE)=0),AC137,DAY(AC137)&amp;"."&amp;MONTH(AC137)&amp;"."&amp;YEAR(AC137)&amp;" "&amp;$V$4&amp;VLOOKUP(C137,[1]List1!$A:$E,4,FALSE)&amp;" "&amp;$V$1),AC137))))</f>
        <v>SKLADEM</v>
      </c>
      <c r="AE137" s="581" t="str">
        <f t="shared" ca="1" si="303"/>
        <v>SKLADEM</v>
      </c>
      <c r="AF137" s="584">
        <f t="shared" si="304"/>
        <v>0</v>
      </c>
      <c r="AG137" s="585">
        <f t="shared" si="305"/>
        <v>0</v>
      </c>
      <c r="AH137" s="583">
        <f t="shared" si="306"/>
        <v>0</v>
      </c>
      <c r="AI137" s="582">
        <f t="shared" si="307"/>
        <v>0</v>
      </c>
      <c r="AJ137" s="569">
        <f t="shared" si="308"/>
        <v>0</v>
      </c>
      <c r="AK137" s="569" t="str">
        <f t="shared" si="309"/>
        <v/>
      </c>
      <c r="AL137" s="569" t="str">
        <f t="shared" si="310"/>
        <v/>
      </c>
      <c r="AM137" s="569">
        <f t="shared" si="311"/>
        <v>0</v>
      </c>
      <c r="AN137" s="581">
        <f t="shared" si="312"/>
        <v>0</v>
      </c>
      <c r="AO137" s="623"/>
      <c r="AP137" s="632" t="str">
        <f t="shared" si="221"/>
        <v/>
      </c>
      <c r="AQ137" s="625" t="str">
        <f>IF(AC137=$V$3,IF(VLOOKUP(C137,[1]List1!$A:$E,5,FALSE)=0,1,VLOOKUP(C137,[1]List1!$A:$E,5,FALSE)),"")</f>
        <v/>
      </c>
      <c r="AR137" s="625" t="str">
        <f t="shared" si="222"/>
        <v/>
      </c>
      <c r="AS137" s="634" t="str">
        <f t="shared" si="223"/>
        <v/>
      </c>
      <c r="AT137" s="625" t="str">
        <f t="shared" si="224"/>
        <v/>
      </c>
      <c r="AU137" s="638" t="e">
        <f t="shared" si="225"/>
        <v>#N/A</v>
      </c>
      <c r="AV137" s="625" t="e">
        <f t="shared" si="226"/>
        <v>#N/A</v>
      </c>
      <c r="AX137" s="625">
        <f>IF(AND('General price list'!$J137="F4",'General price list'!$AB137+0&gt;0),1,0)</f>
        <v>0</v>
      </c>
      <c r="AY137" s="625">
        <f t="shared" si="227"/>
        <v>1</v>
      </c>
      <c r="AZ137" s="625">
        <f t="shared" si="228"/>
        <v>0</v>
      </c>
    </row>
    <row r="138" spans="1:52" ht="15" customHeight="1">
      <c r="A138" s="751" t="str">
        <f>Kat.!C138</f>
        <v xml:space="preserve">           Fontány</v>
      </c>
      <c r="B138" s="751"/>
      <c r="C138" s="751"/>
      <c r="D138" s="751"/>
      <c r="E138" s="751"/>
      <c r="F138" s="751"/>
      <c r="G138" s="751"/>
      <c r="H138" s="751"/>
      <c r="I138" s="752"/>
      <c r="J138" s="752"/>
      <c r="K138" s="752" t="s">
        <v>20</v>
      </c>
      <c r="L138" s="753" t="s">
        <v>2818</v>
      </c>
      <c r="M138" s="752"/>
      <c r="N138" s="752"/>
      <c r="O138" s="752"/>
      <c r="P138" s="752"/>
      <c r="Q138" s="752"/>
      <c r="R138" s="752"/>
      <c r="S138" s="752"/>
      <c r="T138" s="752"/>
      <c r="U138" s="752"/>
      <c r="V138" s="752"/>
      <c r="W138" s="752"/>
      <c r="X138" s="752"/>
      <c r="Y138" s="752"/>
      <c r="Z138" s="752" t="s">
        <v>20</v>
      </c>
      <c r="AA138" s="752"/>
      <c r="AB138" s="752"/>
      <c r="AC138" s="754"/>
      <c r="AD138" s="752"/>
      <c r="AE138" s="752"/>
      <c r="AF138" s="752"/>
      <c r="AG138" s="752"/>
      <c r="AH138" s="752"/>
      <c r="AI138" s="752"/>
      <c r="AJ138" s="752"/>
      <c r="AK138" s="752"/>
      <c r="AL138" s="752"/>
      <c r="AM138" s="752"/>
      <c r="AN138" s="752"/>
      <c r="AO138" s="623"/>
      <c r="AP138" s="632" t="str">
        <f t="shared" si="221"/>
        <v/>
      </c>
      <c r="AQ138" s="625" t="str">
        <f>IF(AC138=$V$3,IF(VLOOKUP(C138,[1]List1!$A:$E,5,FALSE)=0,1,VLOOKUP(C138,[1]List1!$A:$E,5,FALSE)),"")</f>
        <v/>
      </c>
      <c r="AR138" s="625" t="str">
        <f t="shared" si="222"/>
        <v/>
      </c>
      <c r="AS138" s="634" t="str">
        <f t="shared" si="223"/>
        <v/>
      </c>
      <c r="AT138" s="625" t="str">
        <f t="shared" si="224"/>
        <v/>
      </c>
      <c r="AU138" s="638" t="e">
        <f t="shared" si="225"/>
        <v>#N/A</v>
      </c>
      <c r="AV138" s="625" t="e">
        <f t="shared" si="226"/>
        <v>#N/A</v>
      </c>
      <c r="AX138" s="625">
        <f>IF(AND('General price list'!$J138="F4",'General price list'!$AB138+0&gt;0),1,0)</f>
        <v>0</v>
      </c>
      <c r="AY138" s="625">
        <f t="shared" si="227"/>
        <v>0</v>
      </c>
      <c r="AZ138" s="625">
        <f t="shared" si="228"/>
        <v>0</v>
      </c>
    </row>
    <row r="139" spans="1:52" ht="15" customHeight="1">
      <c r="A139" s="639" t="str">
        <f>Kat.!C139</f>
        <v/>
      </c>
      <c r="B139" s="640">
        <f>IF(AND('General price list'!$J139="F4",$AI$1=FALSE),0,IF(AC139="SKLADEM",1,IF(AC139=$V$3,1,0)))</f>
        <v>1</v>
      </c>
      <c r="C139" s="641" t="s">
        <v>340</v>
      </c>
      <c r="D139" s="642" t="s">
        <v>341</v>
      </c>
      <c r="E139" s="643" t="s">
        <v>12648</v>
      </c>
      <c r="F139" s="771">
        <f>IFERROR(VLOOKUP(C139,[2]List1!$A:$D,3,FALSE),"NEUVEDENO!")</f>
        <v>119</v>
      </c>
      <c r="G139" s="768">
        <f t="shared" ref="G139:G152" si="313">IF($W$17=$AF$8,ROUND((F139)/$F$17,2),(F139)*$B$19)</f>
        <v>119</v>
      </c>
      <c r="H139" s="765">
        <f t="shared" ref="H139:H152" si="314">IF($W$17=$AF$8,G139*$B$19,G139/$F$17)</f>
        <v>5.0549459885392904</v>
      </c>
      <c r="I139" s="644">
        <f>IFERROR(VLOOKUP(C139,[2]List1!$A:$D,4,FALSE),"NEUVEDENO!")</f>
        <v>36</v>
      </c>
      <c r="J139" s="733" t="s">
        <v>39</v>
      </c>
      <c r="K139" s="645" t="s">
        <v>20</v>
      </c>
      <c r="L139" s="645" t="s">
        <v>11687</v>
      </c>
      <c r="M139" s="645" t="s">
        <v>21</v>
      </c>
      <c r="N139" s="645">
        <f>IFERROR(VLOOKUP(C139,[3]List1!$A:$D,4,FALSE),"N/A!")</f>
        <v>7.980799999999999E-2</v>
      </c>
      <c r="O139" s="645">
        <f>IFERROR(VLOOKUP(C139,[3]List1!$A:$D,3,FALSE),"N/A!")</f>
        <v>3600</v>
      </c>
      <c r="P139" s="645">
        <f>IFERROR(VLOOKUP(C139,[3]List1!$A:$D,2,FALSE),"N/A!")</f>
        <v>13000</v>
      </c>
      <c r="Q139" s="645" t="s">
        <v>11746</v>
      </c>
      <c r="R139" s="645" t="s">
        <v>15</v>
      </c>
      <c r="S139" s="645"/>
      <c r="T139" s="645">
        <v>25</v>
      </c>
      <c r="U139" s="645"/>
      <c r="V139" s="645"/>
      <c r="W139" s="645" t="str">
        <f>IFERROR(IF(AND($AB139&gt;=0.1*$AA139,MOD($AB139,$AA139)&gt;=($AA139-(0.1*$AA139))),IF($W$17=$AF$1,"Zvažte možnost doobjednání ještě "&amp;Tabulka1[[#This Row],[VKPAL]]-MOD(AB139,AA139)&amp;" VK do plné palety.",VLOOKUP("Zvažte možnost doobjednání ještě ",Jazyky_ceník!A:Q,MATCH($W$17,Jazyky_ceník!$A$1:$Q$1,0),FALSE)&amp;Tabulka1[[#This Row],[VKPAL]]-MOD(AB139,AA139)&amp;VLOOKUP(" VK do plné palety.",Jazyky_ceník!A:Q,MATCH($W$17,Jazyky_ceník!$A$1:$Q$1,0),FALSE)),IFERROR(IF(AND(NOT(MOD($AB139,$AA139)=0),$AB139&gt;=0.9*$AA139,MOD($AB139,$AA139)&lt;=0.1*$AA139),IF($W$17=$AF$1,"Zvažte možnost optimalizace objednaného množství podle počtu VK na paletě ==&gt;",VLOOKUP("Zvažte možnost optimalizace objednaného množství podle počtu VK na paletě ==&gt;",Jazyky_ceník!A:Q,MATCH($W$17,Jazyky_ceník!$A$1:$Q$1,0),FALSE)),VLOOKUP('General price list'!$C139,Popisy!A:M,MATCH($W$17,Popisy!$A$7:$M$7,0),FALSE)),"---------------")),IFERROR(VLOOKUP('General price list'!$C139,Popisy!A:M,MATCH($W$17,Popisy!$A$7:$M$7,0),FALSE),"---------------"))</f>
        <v>fontánový mix, balení obsahuje po 2ks F1U,F1K</v>
      </c>
      <c r="X139" s="645" t="str">
        <f t="shared" ref="X139:X152" si="315">IF(AB139&lt;0.0001,"",AB139)</f>
        <v/>
      </c>
      <c r="Y139" s="645" t="str">
        <f t="shared" ref="Y139:Y152" si="316">IF($AL$3=2,IF(OR(AB139&lt;&gt;"",AB139&lt;&gt;0),AU139,""),IF(C139="","",IF(AB139&lt;0.0001,"",IF(B139=0,"",IF(AQ139&lt;AB139,"",AB139)))))</f>
        <v/>
      </c>
      <c r="Z139" s="645" t="str">
        <f>HYPERLINK("https://www.klasekpyrotechnics.cz/f1m")</f>
        <v>https://www.klasekpyrotechnics.cz/f1m</v>
      </c>
      <c r="AA139" s="645">
        <f>IFERROR(IF(VLOOKUP(C139,[4]List1!$A:$D,4,FALSE)=0,"",VLOOKUP(C139,[4]List1!$A:$D,4,FALSE)),"")</f>
        <v>16</v>
      </c>
      <c r="AB139" s="646"/>
      <c r="AC139" s="647" t="str">
        <f>IFERROR(IF(VLOOKUP(C139,[1]List1!$A:$D,2,FALSE)="VYPRODÁNO",$V$9,IF(VLOOKUP(C139,[1]List1!$A:$D,2,FALSE)="DOCHÁZÍ",$V$3,VLOOKUP(C139,[1]List1!$A:$D,2,FALSE))),"OFFLINE!")</f>
        <v>DOCHÁZÍ</v>
      </c>
      <c r="AD139" s="647" t="str">
        <f ca="1">IF(AP139="NE",$V$10,IF(AC139=$V$3,IF(AQ139&lt;1,$V$8,$V$2&amp;" "&amp;AQ139&amp;" "&amp;$V$1),IF(AC139="SKLADEM",$V$6,IFERROR(IF(OR(AC139-TODAY()&gt;45,VLOOKUP(C139,[1]List1!$A:$E,4,FALSE)=0),AC139,DAY(AC139)&amp;"."&amp;MONTH(AC139)&amp;"."&amp;YEAR(AC139)&amp;" "&amp;$V$4&amp;VLOOKUP(C139,[1]List1!$A:$E,4,FALSE)&amp;" "&amp;$V$1),AC139))))</f>
        <v>POSLEDNÍCH 14 VK</v>
      </c>
      <c r="AE139" s="645" t="str">
        <f t="shared" ref="AE139:AE152" ca="1" si="317">IFERROR(IF(AV139&lt;&gt;"",AV139,AD139),AD139)</f>
        <v>POSLEDNÍCH 14 VK</v>
      </c>
      <c r="AF139" s="648">
        <f t="shared" ref="AF139:AF152" si="318">IFERROR(IF(AB139=Y139,G139*I139*Y139,0),0)</f>
        <v>0</v>
      </c>
      <c r="AG139" s="649">
        <f t="shared" ref="AG139:AG152" si="319">IF($W$17=$AF$8,AH139*1.23,AF139*1.21)</f>
        <v>0</v>
      </c>
      <c r="AH139" s="650">
        <f t="shared" ref="AH139:AH152" si="320">IFERROR(IF(Y139=AB139,H139*I139*Y139,0),0)</f>
        <v>0</v>
      </c>
      <c r="AI139" s="645">
        <f t="shared" ref="AI139:AI152" si="321">IFERROR(IF(Y139=AB139,(P139*Y139)/1000,1),0)</f>
        <v>0</v>
      </c>
      <c r="AJ139" s="645">
        <f t="shared" ref="AJ139:AJ152" si="322">IFERROR(IF(Y139=AB139,N139*Y139,0.1),0)</f>
        <v>0</v>
      </c>
      <c r="AK139" s="645" t="str">
        <f t="shared" ref="AK139:AK152" si="323">IFERROR(IF(Y139=AB139,IF(M139="1.1G",(O139/1000)*Y139,""),""),0)</f>
        <v/>
      </c>
      <c r="AL139" s="645" t="str">
        <f t="shared" ref="AL139:AL152" si="324">IFERROR(IF(Y139=AB139,IF(M139="1.3G",(O139/1000)*AB139,""),""),0)</f>
        <v/>
      </c>
      <c r="AM139" s="645">
        <f t="shared" ref="AM139:AM152" si="325">IFERROR(IF(Y139=AB139,IF(M139="1.4G",(O139/1000)*AB139,""),""),0)</f>
        <v>0</v>
      </c>
      <c r="AN139" s="651">
        <f t="shared" ref="AN139:AN152" si="326">SUM(AK139:AM139)</f>
        <v>0</v>
      </c>
      <c r="AO139" s="623"/>
      <c r="AP139" s="632" t="str">
        <f t="shared" si="221"/>
        <v/>
      </c>
      <c r="AQ139" s="633">
        <f>IF(AC139=$V$3,IF(VLOOKUP(C139,[1]List1!$A:$E,5,FALSE)=0,1,VLOOKUP(C139,[1]List1!$A:$E,5,FALSE)),"")</f>
        <v>14</v>
      </c>
      <c r="AR139" s="625" t="str">
        <f t="shared" si="222"/>
        <v/>
      </c>
      <c r="AS139" s="634" t="str">
        <f t="shared" si="223"/>
        <v/>
      </c>
      <c r="AT139" s="625" t="str">
        <f t="shared" si="224"/>
        <v/>
      </c>
      <c r="AU139" s="638" t="e">
        <f t="shared" si="225"/>
        <v>#N/A</v>
      </c>
      <c r="AV139" s="625" t="e">
        <f t="shared" si="226"/>
        <v>#N/A</v>
      </c>
      <c r="AX139" s="625">
        <f>IF(AND('General price list'!$J139="F4",'General price list'!$AB139+0&gt;0),1,0)</f>
        <v>0</v>
      </c>
      <c r="AY139" s="625">
        <f t="shared" si="227"/>
        <v>1</v>
      </c>
      <c r="AZ139" s="625">
        <f t="shared" si="228"/>
        <v>1</v>
      </c>
    </row>
    <row r="140" spans="1:52" ht="15" customHeight="1">
      <c r="A140" s="621" t="str">
        <f>Kat.!C140</f>
        <v/>
      </c>
      <c r="B140" s="566">
        <f>IF(AND('General price list'!$J140="F4",$AI$1=FALSE),0,IF(AC140="SKLADEM",1,IF(AC140=$V$3,1,0)))</f>
        <v>1</v>
      </c>
      <c r="C140" s="567" t="s">
        <v>345</v>
      </c>
      <c r="D140" s="568" t="s">
        <v>11698</v>
      </c>
      <c r="E140" s="763" t="s">
        <v>12638</v>
      </c>
      <c r="F140" s="772">
        <f>IFERROR(VLOOKUP(C140,[2]List1!$A:$D,3,FALSE),"NEUVEDENO!")</f>
        <v>105</v>
      </c>
      <c r="G140" s="769">
        <f t="shared" si="313"/>
        <v>105</v>
      </c>
      <c r="H140" s="766">
        <f t="shared" si="314"/>
        <v>4.4602464604758447</v>
      </c>
      <c r="I140" s="764">
        <f>IFERROR(VLOOKUP(C140,[2]List1!$A:$D,4,FALSE),"NEUVEDENO!")</f>
        <v>50</v>
      </c>
      <c r="J140" s="732" t="s">
        <v>39</v>
      </c>
      <c r="K140" s="569" t="s">
        <v>20</v>
      </c>
      <c r="L140" s="569" t="s">
        <v>10971</v>
      </c>
      <c r="M140" s="569" t="s">
        <v>21</v>
      </c>
      <c r="N140" s="569">
        <f>IFERROR(VLOOKUP(C140,[3]List1!$A:$D,4,FALSE),"N/A!")</f>
        <v>5.9894999999999997E-2</v>
      </c>
      <c r="O140" s="569">
        <f>IFERROR(VLOOKUP(C140,[3]List1!$A:$D,3,FALSE),"N/A!")</f>
        <v>5000</v>
      </c>
      <c r="P140" s="569">
        <f>IFERROR(VLOOKUP(C140,[3]List1!$A:$D,2,FALSE),"N/A!")</f>
        <v>11500</v>
      </c>
      <c r="Q140" s="569" t="s">
        <v>11244</v>
      </c>
      <c r="R140" s="569"/>
      <c r="S140" s="569"/>
      <c r="T140" s="569">
        <v>30</v>
      </c>
      <c r="U140" s="569"/>
      <c r="V140" s="569"/>
      <c r="W140" s="569" t="str">
        <f>IFERROR(IF(AND($AB140&gt;=0.1*$AA140,MOD($AB140,$AA140)&gt;=($AA140-(0.1*$AA140))),IF($W$17=$AF$1,"Zvažte možnost doobjednání ještě "&amp;Tabulka1[[#This Row],[VKPAL]]-MOD(AB140,AA140)&amp;" VK do plné palety.",VLOOKUP("Zvažte možnost doobjednání ještě ",Jazyky_ceník!A:Q,MATCH($W$17,Jazyky_ceník!$A$1:$Q$1,0),FALSE)&amp;Tabulka1[[#This Row],[VKPAL]]-MOD(AB140,AA140)&amp;VLOOKUP(" VK do plné palety.",Jazyky_ceník!A:Q,MATCH($W$17,Jazyky_ceník!$A$1:$Q$1,0),FALSE)),IFERROR(IF(AND(NOT(MOD($AB140,$AA140)=0),$AB140&gt;=0.9*$AA140,MOD($AB140,$AA140)&lt;=0.1*$AA140),IF($W$17=$AF$1,"Zvažte možnost optimalizace objednaného množství podle počtu VK na paletě ==&gt;",VLOOKUP("Zvažte možnost optimalizace objednaného množství podle počtu VK na paletě ==&gt;",Jazyky_ceník!A:Q,MATCH($W$17,Jazyky_ceník!$A$1:$Q$1,0),FALSE)),VLOOKUP('General price list'!$C140,Popisy!A:M,MATCH($W$17,Popisy!$A$7:$M$7,0),FALSE)),"---------------")),IFERROR(VLOOKUP('General price list'!$C140,Popisy!A:M,MATCH($W$17,Popisy!$A$7:$M$7,0),FALSE),"---------------"))</f>
        <v>fontánový mix, balení obsahuje po 2ks F2DF,F2DD</v>
      </c>
      <c r="X140" s="569" t="str">
        <f t="shared" si="315"/>
        <v/>
      </c>
      <c r="Y140" s="569" t="str">
        <f t="shared" si="316"/>
        <v/>
      </c>
      <c r="Z140" s="569" t="str">
        <f>HYPERLINK("https://www.klasekpyrotechnics.cz/f2m")</f>
        <v>https://www.klasekpyrotechnics.cz/f2m</v>
      </c>
      <c r="AA140" s="569">
        <f>IFERROR(IF(VLOOKUP(C140,[4]List1!$A:$D,4,FALSE)=0,"",VLOOKUP(C140,[4]List1!$A:$D,4,FALSE)),"")</f>
        <v>20</v>
      </c>
      <c r="AB140" s="565"/>
      <c r="AC140" s="570" t="str">
        <f>IFERROR(IF(VLOOKUP(C140,[1]List1!$A:$D,2,FALSE)="VYPRODÁNO",$V$9,IF(VLOOKUP(C140,[1]List1!$A:$D,2,FALSE)="DOCHÁZÍ",$V$3,VLOOKUP(C140,[1]List1!$A:$D,2,FALSE))),"OFFLINE!")</f>
        <v>SKLADEM</v>
      </c>
      <c r="AD140" s="570" t="str">
        <f ca="1">IF(AP140="NE",$V$10,IF(AC140=$V$3,IF(AQ140&lt;1,$V$8,$V$2&amp;" "&amp;AQ140&amp;" "&amp;$V$1),IF(AC140="SKLADEM",$V$6,IFERROR(IF(OR(AC140-TODAY()&gt;45,VLOOKUP(C140,[1]List1!$A:$E,4,FALSE)=0),AC140,DAY(AC140)&amp;"."&amp;MONTH(AC140)&amp;"."&amp;YEAR(AC140)&amp;" "&amp;$V$4&amp;VLOOKUP(C140,[1]List1!$A:$E,4,FALSE)&amp;" "&amp;$V$1),AC140))))</f>
        <v>SKLADEM</v>
      </c>
      <c r="AE140" s="581" t="str">
        <f t="shared" ca="1" si="317"/>
        <v>SKLADEM</v>
      </c>
      <c r="AF140" s="584">
        <f t="shared" si="318"/>
        <v>0</v>
      </c>
      <c r="AG140" s="585">
        <f t="shared" si="319"/>
        <v>0</v>
      </c>
      <c r="AH140" s="583">
        <f t="shared" si="320"/>
        <v>0</v>
      </c>
      <c r="AI140" s="582">
        <f t="shared" si="321"/>
        <v>0</v>
      </c>
      <c r="AJ140" s="569">
        <f t="shared" si="322"/>
        <v>0</v>
      </c>
      <c r="AK140" s="569" t="str">
        <f t="shared" si="323"/>
        <v/>
      </c>
      <c r="AL140" s="569" t="str">
        <f t="shared" si="324"/>
        <v/>
      </c>
      <c r="AM140" s="569">
        <f t="shared" si="325"/>
        <v>0</v>
      </c>
      <c r="AN140" s="581">
        <f t="shared" si="326"/>
        <v>0</v>
      </c>
      <c r="AO140" s="623"/>
      <c r="AP140" s="632" t="str">
        <f t="shared" si="221"/>
        <v/>
      </c>
      <c r="AQ140" s="633" t="str">
        <f>IF(AC140=$V$3,IF(VLOOKUP(C140,[1]List1!$A:$E,5,FALSE)=0,1,VLOOKUP(C140,[1]List1!$A:$E,5,FALSE)),"")</f>
        <v/>
      </c>
      <c r="AR140" s="625" t="str">
        <f t="shared" si="222"/>
        <v/>
      </c>
      <c r="AS140" s="634" t="str">
        <f t="shared" si="223"/>
        <v/>
      </c>
      <c r="AT140" s="625" t="str">
        <f t="shared" si="224"/>
        <v/>
      </c>
      <c r="AU140" s="638" t="e">
        <f t="shared" si="225"/>
        <v>#N/A</v>
      </c>
      <c r="AV140" s="625" t="e">
        <f t="shared" si="226"/>
        <v>#N/A</v>
      </c>
      <c r="AX140" s="625">
        <f>IF(AND('General price list'!$J140="F4",'General price list'!$AB140+0&gt;0),1,0)</f>
        <v>0</v>
      </c>
      <c r="AY140" s="625">
        <f t="shared" si="227"/>
        <v>1</v>
      </c>
      <c r="AZ140" s="625">
        <f t="shared" si="228"/>
        <v>0</v>
      </c>
    </row>
    <row r="141" spans="1:52" ht="15.75" customHeight="1">
      <c r="A141" s="639" t="str">
        <f>Kat.!C141</f>
        <v/>
      </c>
      <c r="B141" s="640">
        <f>IF(AND('General price list'!$J141="F4",$AI$1=FALSE),0,IF(AC141="SKLADEM",1,IF(AC141=$V$3,1,0)))</f>
        <v>1</v>
      </c>
      <c r="C141" s="641" t="s">
        <v>3592</v>
      </c>
      <c r="D141" s="642" t="s">
        <v>12504</v>
      </c>
      <c r="E141" s="643" t="s">
        <v>12674</v>
      </c>
      <c r="F141" s="771">
        <f>IFERROR(VLOOKUP(C141,[2]List1!$A:$D,3,FALSE),"NEUVEDENO!")</f>
        <v>80</v>
      </c>
      <c r="G141" s="768">
        <f t="shared" si="313"/>
        <v>80</v>
      </c>
      <c r="H141" s="765">
        <f t="shared" si="314"/>
        <v>3.3982830175054053</v>
      </c>
      <c r="I141" s="644">
        <f>IFERROR(VLOOKUP(C141,[2]List1!$A:$D,4,FALSE),"NEUVEDENO!")</f>
        <v>48</v>
      </c>
      <c r="J141" s="733" t="s">
        <v>39</v>
      </c>
      <c r="K141" s="645" t="s">
        <v>20</v>
      </c>
      <c r="L141" s="645" t="s">
        <v>10970</v>
      </c>
      <c r="M141" s="645" t="s">
        <v>21</v>
      </c>
      <c r="N141" s="645">
        <f>IFERROR(VLOOKUP(C141,[3]List1!$A:$D,4,FALSE),"N/A!")</f>
        <v>3.9199999999999999E-2</v>
      </c>
      <c r="O141" s="645">
        <f>IFERROR(VLOOKUP(C141,[3]List1!$A:$D,3,FALSE),"N/A!")</f>
        <v>3888</v>
      </c>
      <c r="P141" s="645">
        <f>IFERROR(VLOOKUP(C141,[3]List1!$A:$D,2,FALSE),"N/A!")</f>
        <v>10000</v>
      </c>
      <c r="Q141" s="645" t="s">
        <v>11233</v>
      </c>
      <c r="R141" s="645"/>
      <c r="S141" s="645"/>
      <c r="T141" s="645">
        <v>20</v>
      </c>
      <c r="U141" s="645"/>
      <c r="V141" s="645"/>
      <c r="W141" s="645" t="str">
        <f>IFERROR(IF(AND($AB141&gt;=0.1*$AA141,MOD($AB141,$AA141)&gt;=($AA141-(0.1*$AA141))),IF($W$17=$AF$1,"Zvažte možnost doobjednání ještě "&amp;Tabulka1[[#This Row],[VKPAL]]-MOD(AB141,AA141)&amp;" VK do plné palety.",VLOOKUP("Zvažte možnost doobjednání ještě ",Jazyky_ceník!A:Q,MATCH($W$17,Jazyky_ceník!$A$1:$Q$1,0),FALSE)&amp;Tabulka1[[#This Row],[VKPAL]]-MOD(AB141,AA141)&amp;VLOOKUP(" VK do plné palety.",Jazyky_ceník!A:Q,MATCH($W$17,Jazyky_ceník!$A$1:$Q$1,0),FALSE)),IFERROR(IF(AND(NOT(MOD($AB141,$AA141)=0),$AB141&gt;=0.9*$AA141,MOD($AB141,$AA141)&lt;=0.1*$AA141),IF($W$17=$AF$1,"Zvažte možnost optimalizace objednaného množství podle počtu VK na paletě ==&gt;",VLOOKUP("Zvažte možnost optimalizace objednaného množství podle počtu VK na paletě ==&gt;",Jazyky_ceník!A:Q,MATCH($W$17,Jazyky_ceník!$A$1:$Q$1,0),FALSE)),VLOOKUP('General price list'!$C141,Popisy!A:M,MATCH($W$17,Popisy!$A$7:$M$7,0),FALSE)),"---------------")),IFERROR(VLOOKUP('General price list'!$C141,Popisy!A:M,MATCH($W$17,Popisy!$A$7:$M$7,0),FALSE),"---------------"))</f>
        <v>barevné světlo(červené,modré,zelené)+práskající výmet</v>
      </c>
      <c r="X141" s="645" t="str">
        <f t="shared" si="315"/>
        <v/>
      </c>
      <c r="Y141" s="645" t="str">
        <f t="shared" si="316"/>
        <v/>
      </c>
      <c r="Z141" s="645" t="str">
        <f>HYPERLINK("https://www.klasekpyrotechnics.cz/f3cc")</f>
        <v>https://www.klasekpyrotechnics.cz/f3cc</v>
      </c>
      <c r="AA141" s="645">
        <f>IFERROR(IF(VLOOKUP(C141,[4]List1!$A:$D,4,FALSE)=0,"",VLOOKUP(C141,[4]List1!$A:$D,4,FALSE)),"")</f>
        <v>36</v>
      </c>
      <c r="AB141" s="646"/>
      <c r="AC141" s="647" t="str">
        <f>IFERROR(IF(VLOOKUP(C141,[1]List1!$A:$D,2,FALSE)="VYPRODÁNO",$V$9,IF(VLOOKUP(C141,[1]List1!$A:$D,2,FALSE)="DOCHÁZÍ",$V$3,VLOOKUP(C141,[1]List1!$A:$D,2,FALSE))),"OFFLINE!")</f>
        <v>SKLADEM</v>
      </c>
      <c r="AD141" s="647" t="str">
        <f ca="1">IF(AP141="NE",$V$10,IF(AC141=$V$3,IF(AQ141&lt;1,$V$8,$V$2&amp;" "&amp;AQ141&amp;" "&amp;$V$1),IF(AC141="SKLADEM",$V$6,IFERROR(IF(OR(AC141-TODAY()&gt;45,VLOOKUP(C141,[1]List1!$A:$E,4,FALSE)=0),AC141,DAY(AC141)&amp;"."&amp;MONTH(AC141)&amp;"."&amp;YEAR(AC141)&amp;" "&amp;$V$4&amp;VLOOKUP(C141,[1]List1!$A:$E,4,FALSE)&amp;" "&amp;$V$1),AC141))))</f>
        <v>SKLADEM</v>
      </c>
      <c r="AE141" s="645" t="str">
        <f t="shared" ca="1" si="317"/>
        <v>SKLADEM</v>
      </c>
      <c r="AF141" s="648">
        <f t="shared" si="318"/>
        <v>0</v>
      </c>
      <c r="AG141" s="649">
        <f t="shared" si="319"/>
        <v>0</v>
      </c>
      <c r="AH141" s="650">
        <f t="shared" si="320"/>
        <v>0</v>
      </c>
      <c r="AI141" s="645">
        <f t="shared" si="321"/>
        <v>0</v>
      </c>
      <c r="AJ141" s="645">
        <f t="shared" si="322"/>
        <v>0</v>
      </c>
      <c r="AK141" s="645" t="str">
        <f t="shared" si="323"/>
        <v/>
      </c>
      <c r="AL141" s="645" t="str">
        <f t="shared" si="324"/>
        <v/>
      </c>
      <c r="AM141" s="645">
        <f t="shared" si="325"/>
        <v>0</v>
      </c>
      <c r="AN141" s="651">
        <f t="shared" si="326"/>
        <v>0</v>
      </c>
      <c r="AO141" s="623"/>
      <c r="AP141" s="625" t="str">
        <f t="shared" si="221"/>
        <v/>
      </c>
      <c r="AQ141" s="625" t="str">
        <f>IF(AC141=$V$3,IF(VLOOKUP(C141,[1]List1!$A:$E,5,FALSE)=0,1,VLOOKUP(C141,[1]List1!$A:$E,5,FALSE)),"")</f>
        <v/>
      </c>
      <c r="AR141" s="629" t="str">
        <f t="shared" si="222"/>
        <v/>
      </c>
      <c r="AS141" s="630" t="str">
        <f t="shared" si="223"/>
        <v/>
      </c>
      <c r="AT141" s="625" t="str">
        <f t="shared" si="224"/>
        <v/>
      </c>
      <c r="AU141" s="625" t="e">
        <f t="shared" si="225"/>
        <v>#N/A</v>
      </c>
      <c r="AV141" s="625" t="e">
        <f t="shared" si="226"/>
        <v>#N/A</v>
      </c>
      <c r="AW141" s="631"/>
      <c r="AX141" s="631">
        <f>IF(AND('General price list'!$J141="F4",'General price list'!$AB141+0&gt;0),1,0)</f>
        <v>0</v>
      </c>
      <c r="AY141" s="631">
        <f t="shared" si="227"/>
        <v>1</v>
      </c>
      <c r="AZ141" s="631">
        <f t="shared" si="228"/>
        <v>0</v>
      </c>
    </row>
    <row r="142" spans="1:52" ht="15" customHeight="1">
      <c r="A142" s="621" t="str">
        <f>Kat.!C142</f>
        <v/>
      </c>
      <c r="B142" s="566">
        <f>IF(AND('General price list'!$J142="F4",$AI$1=FALSE),0,IF(AC142="SKLADEM",1,IF(AC142=$V$3,1,0)))</f>
        <v>1</v>
      </c>
      <c r="C142" s="567" t="s">
        <v>353</v>
      </c>
      <c r="D142" s="568" t="s">
        <v>354</v>
      </c>
      <c r="E142" s="763" t="s">
        <v>12675</v>
      </c>
      <c r="F142" s="772">
        <f>IFERROR(VLOOKUP(C142,[2]List1!$A:$D,3,FALSE),"NEUVEDENO!")</f>
        <v>135</v>
      </c>
      <c r="G142" s="769">
        <f t="shared" si="313"/>
        <v>135</v>
      </c>
      <c r="H142" s="766">
        <f t="shared" si="314"/>
        <v>5.734602592040372</v>
      </c>
      <c r="I142" s="764">
        <f>IFERROR(VLOOKUP(C142,[2]List1!$A:$D,4,FALSE),"NEUVEDENO!")</f>
        <v>12</v>
      </c>
      <c r="J142" s="732" t="s">
        <v>39</v>
      </c>
      <c r="K142" s="569" t="s">
        <v>20</v>
      </c>
      <c r="L142" s="569" t="s">
        <v>10970</v>
      </c>
      <c r="M142" s="569" t="s">
        <v>21</v>
      </c>
      <c r="N142" s="569">
        <f>IFERROR(VLOOKUP(C142,[3]List1!$A:$D,4,FALSE),"N/A!")</f>
        <v>1.984E-2</v>
      </c>
      <c r="O142" s="569">
        <f>IFERROR(VLOOKUP(C142,[3]List1!$A:$D,3,FALSE),"N/A!")</f>
        <v>2304</v>
      </c>
      <c r="P142" s="569">
        <f>IFERROR(VLOOKUP(C142,[3]List1!$A:$D,2,FALSE),"N/A!")</f>
        <v>7800</v>
      </c>
      <c r="Q142" s="569" t="s">
        <v>11232</v>
      </c>
      <c r="R142" s="569"/>
      <c r="S142" s="569"/>
      <c r="T142" s="569">
        <v>100</v>
      </c>
      <c r="U142" s="569"/>
      <c r="V142" s="569"/>
      <c r="W142" s="569" t="str">
        <f>IFERROR(IF(AND($AB142&gt;=0.1*$AA142,MOD($AB142,$AA142)&gt;=($AA142-(0.1*$AA142))),IF($W$17=$AF$1,"Zvažte možnost doobjednání ještě "&amp;Tabulka1[[#This Row],[VKPAL]]-MOD(AB142,AA142)&amp;" VK do plné palety.",VLOOKUP("Zvažte možnost doobjednání ještě ",Jazyky_ceník!A:Q,MATCH($W$17,Jazyky_ceník!$A$1:$Q$1,0),FALSE)&amp;Tabulka1[[#This Row],[VKPAL]]-MOD(AB142,AA142)&amp;VLOOKUP(" VK do plné palety.",Jazyky_ceník!A:Q,MATCH($W$17,Jazyky_ceník!$A$1:$Q$1,0),FALSE)),IFERROR(IF(AND(NOT(MOD($AB142,$AA142)=0),$AB142&gt;=0.9*$AA142,MOD($AB142,$AA142)&lt;=0.1*$AA142),IF($W$17=$AF$1,"Zvažte možnost optimalizace objednaného množství podle počtu VK na paletě ==&gt;",VLOOKUP("Zvažte možnost optimalizace objednaného množství podle počtu VK na paletě ==&gt;",Jazyky_ceník!A:Q,MATCH($W$17,Jazyky_ceník!$A$1:$Q$1,0),FALSE)),VLOOKUP('General price list'!$C142,Popisy!A:M,MATCH($W$17,Popisy!$A$7:$M$7,0),FALSE)),"---------------")),IFERROR(VLOOKUP('General price list'!$C142,Popisy!A:M,MATCH($W$17,Popisy!$A$7:$M$7,0),FALSE),"---------------"))</f>
        <v>6 různobarevných efektů</v>
      </c>
      <c r="X142" s="569" t="str">
        <f t="shared" si="315"/>
        <v/>
      </c>
      <c r="Y142" s="569" t="str">
        <f t="shared" si="316"/>
        <v/>
      </c>
      <c r="Z142" s="569" t="str">
        <f>HYPERLINK("https://www.klasekpyrotechnics.cz/f6k")</f>
        <v>https://www.klasekpyrotechnics.cz/f6k</v>
      </c>
      <c r="AA142" s="569">
        <f>IFERROR(IF(VLOOKUP(C142,[4]List1!$A:$D,4,FALSE)=0,"",VLOOKUP(C142,[4]List1!$A:$D,4,FALSE)),"")</f>
        <v>60</v>
      </c>
      <c r="AB142" s="565"/>
      <c r="AC142" s="570" t="str">
        <f>IFERROR(IF(VLOOKUP(C142,[1]List1!$A:$D,2,FALSE)="VYPRODÁNO",$V$9,IF(VLOOKUP(C142,[1]List1!$A:$D,2,FALSE)="DOCHÁZÍ",$V$3,VLOOKUP(C142,[1]List1!$A:$D,2,FALSE))),"OFFLINE!")</f>
        <v>SKLADEM</v>
      </c>
      <c r="AD142" s="570" t="str">
        <f ca="1">IF(AP142="NE",$V$10,IF(AC142=$V$3,IF(AQ142&lt;1,$V$8,$V$2&amp;" "&amp;AQ142&amp;" "&amp;$V$1),IF(AC142="SKLADEM",$V$6,IFERROR(IF(OR(AC142-TODAY()&gt;45,VLOOKUP(C142,[1]List1!$A:$E,4,FALSE)=0),AC142,DAY(AC142)&amp;"."&amp;MONTH(AC142)&amp;"."&amp;YEAR(AC142)&amp;" "&amp;$V$4&amp;VLOOKUP(C142,[1]List1!$A:$E,4,FALSE)&amp;" "&amp;$V$1),AC142))))</f>
        <v>SKLADEM</v>
      </c>
      <c r="AE142" s="581" t="str">
        <f t="shared" ca="1" si="317"/>
        <v>SKLADEM</v>
      </c>
      <c r="AF142" s="584">
        <f t="shared" si="318"/>
        <v>0</v>
      </c>
      <c r="AG142" s="585">
        <f t="shared" si="319"/>
        <v>0</v>
      </c>
      <c r="AH142" s="583">
        <f t="shared" si="320"/>
        <v>0</v>
      </c>
      <c r="AI142" s="582">
        <f t="shared" si="321"/>
        <v>0</v>
      </c>
      <c r="AJ142" s="569">
        <f t="shared" si="322"/>
        <v>0</v>
      </c>
      <c r="AK142" s="569" t="str">
        <f t="shared" si="323"/>
        <v/>
      </c>
      <c r="AL142" s="569" t="str">
        <f t="shared" si="324"/>
        <v/>
      </c>
      <c r="AM142" s="569">
        <f t="shared" si="325"/>
        <v>0</v>
      </c>
      <c r="AN142" s="581">
        <f t="shared" si="326"/>
        <v>0</v>
      </c>
      <c r="AO142" s="623"/>
      <c r="AP142" s="632" t="str">
        <f t="shared" si="221"/>
        <v/>
      </c>
      <c r="AQ142" s="633" t="str">
        <f>IF(AC142=$V$3,IF(VLOOKUP(C142,[1]List1!$A:$E,5,FALSE)=0,1,VLOOKUP(C142,[1]List1!$A:$E,5,FALSE)),"")</f>
        <v/>
      </c>
      <c r="AR142" s="625" t="str">
        <f t="shared" si="222"/>
        <v/>
      </c>
      <c r="AS142" s="634" t="str">
        <f t="shared" si="223"/>
        <v/>
      </c>
      <c r="AT142" s="625" t="str">
        <f t="shared" si="224"/>
        <v/>
      </c>
      <c r="AU142" s="638" t="e">
        <f t="shared" si="225"/>
        <v>#N/A</v>
      </c>
      <c r="AV142" s="625" t="e">
        <f t="shared" si="226"/>
        <v>#N/A</v>
      </c>
      <c r="AX142" s="625">
        <f>IF(AND('General price list'!$J142="F4",'General price list'!$AB142+0&gt;0),1,0)</f>
        <v>0</v>
      </c>
      <c r="AY142" s="625">
        <f t="shared" si="227"/>
        <v>1</v>
      </c>
      <c r="AZ142" s="625">
        <f t="shared" si="228"/>
        <v>0</v>
      </c>
    </row>
    <row r="143" spans="1:52" ht="15" customHeight="1">
      <c r="A143" s="639" t="str">
        <f>Kat.!C143</f>
        <v/>
      </c>
      <c r="B143" s="640">
        <f>IF(AND('General price list'!$J143="F4",$AI$1=FALSE),0,IF(AC143="SKLADEM",1,IF(AC143=$V$3,1,0)))</f>
        <v>1</v>
      </c>
      <c r="C143" s="641" t="s">
        <v>3624</v>
      </c>
      <c r="D143" s="642" t="s">
        <v>3625</v>
      </c>
      <c r="E143" s="643" t="s">
        <v>12676</v>
      </c>
      <c r="F143" s="771">
        <f>IFERROR(VLOOKUP(C143,[2]List1!$A:$D,3,FALSE),"NEUVEDENO!")</f>
        <v>166</v>
      </c>
      <c r="G143" s="768">
        <f t="shared" si="313"/>
        <v>166</v>
      </c>
      <c r="H143" s="765">
        <f t="shared" si="314"/>
        <v>7.0514372613237164</v>
      </c>
      <c r="I143" s="644">
        <f>IFERROR(VLOOKUP(C143,[2]List1!$A:$D,4,FALSE),"NEUVEDENO!")</f>
        <v>20</v>
      </c>
      <c r="J143" s="733" t="s">
        <v>39</v>
      </c>
      <c r="K143" s="645" t="s">
        <v>20</v>
      </c>
      <c r="L143" s="645" t="s">
        <v>10970</v>
      </c>
      <c r="M143" s="645" t="s">
        <v>21</v>
      </c>
      <c r="N143" s="645">
        <f>IFERROR(VLOOKUP(C143,[3]List1!$A:$D,4,FALSE),"N/A!")</f>
        <v>4.2020999999999996E-2</v>
      </c>
      <c r="O143" s="645">
        <f>IFERROR(VLOOKUP(C143,[3]List1!$A:$D,3,FALSE),"N/A!")</f>
        <v>6000</v>
      </c>
      <c r="P143" s="645">
        <f>IFERROR(VLOOKUP(C143,[3]List1!$A:$D,2,FALSE),"N/A!")</f>
        <v>12000</v>
      </c>
      <c r="Q143" s="645" t="s">
        <v>11755</v>
      </c>
      <c r="R143" s="645"/>
      <c r="S143" s="645"/>
      <c r="T143" s="645">
        <v>20</v>
      </c>
      <c r="U143" s="645"/>
      <c r="V143" s="645"/>
      <c r="W143" s="645" t="str">
        <f>IFERROR(IF(AND($AB143&gt;=0.1*$AA143,MOD($AB143,$AA143)&gt;=($AA143-(0.1*$AA143))),IF($W$17=$AF$1,"Zvažte možnost doobjednání ještě "&amp;Tabulka1[[#This Row],[VKPAL]]-MOD(AB143,AA143)&amp;" VK do plné palety.",VLOOKUP("Zvažte možnost doobjednání ještě ",Jazyky_ceník!A:Q,MATCH($W$17,Jazyky_ceník!$A$1:$Q$1,0),FALSE)&amp;Tabulka1[[#This Row],[VKPAL]]-MOD(AB143,AA143)&amp;VLOOKUP(" VK do plné palety.",Jazyky_ceník!A:Q,MATCH($W$17,Jazyky_ceník!$A$1:$Q$1,0),FALSE)),IFERROR(IF(AND(NOT(MOD($AB143,$AA143)=0),$AB143&gt;=0.9*$AA143,MOD($AB143,$AA143)&lt;=0.1*$AA143),IF($W$17=$AF$1,"Zvažte možnost optimalizace objednaného množství podle počtu VK na paletě ==&gt;",VLOOKUP("Zvažte možnost optimalizace objednaného množství podle počtu VK na paletě ==&gt;",Jazyky_ceník!A:Q,MATCH($W$17,Jazyky_ceník!$A$1:$Q$1,0),FALSE)),VLOOKUP('General price list'!$C143,Popisy!A:M,MATCH($W$17,Popisy!$A$7:$M$7,0),FALSE)),"---------------")),IFERROR(VLOOKUP('General price list'!$C143,Popisy!A:M,MATCH($W$17,Popisy!$A$7:$M$7,0),FALSE),"---------------"))</f>
        <v>silné práskající hvězdy</v>
      </c>
      <c r="X143" s="645" t="str">
        <f t="shared" si="315"/>
        <v/>
      </c>
      <c r="Y143" s="645" t="str">
        <f t="shared" si="316"/>
        <v/>
      </c>
      <c r="Z143" s="645" t="str">
        <f>HYPERLINK("https://www.klasekpyrotechnics.cz/f16cs")</f>
        <v>https://www.klasekpyrotechnics.cz/f16cs</v>
      </c>
      <c r="AA143" s="645">
        <f>IFERROR(IF(VLOOKUP(C143,[4]List1!$A:$D,4,FALSE)=0,"",VLOOKUP(C143,[4]List1!$A:$D,4,FALSE)),"")</f>
        <v>30</v>
      </c>
      <c r="AB143" s="646"/>
      <c r="AC143" s="647" t="str">
        <f>IFERROR(IF(VLOOKUP(C143,[1]List1!$A:$D,2,FALSE)="VYPRODÁNO",$V$9,IF(VLOOKUP(C143,[1]List1!$A:$D,2,FALSE)="DOCHÁZÍ",$V$3,VLOOKUP(C143,[1]List1!$A:$D,2,FALSE))),"OFFLINE!")</f>
        <v>SKLADEM</v>
      </c>
      <c r="AD143" s="647" t="str">
        <f ca="1">IF(AP143="NE",$V$10,IF(AC143=$V$3,IF(AQ143&lt;1,$V$8,$V$2&amp;" "&amp;AQ143&amp;" "&amp;$V$1),IF(AC143="SKLADEM",$V$6,IFERROR(IF(OR(AC143-TODAY()&gt;45,VLOOKUP(C143,[1]List1!$A:$E,4,FALSE)=0),AC143,DAY(AC143)&amp;"."&amp;MONTH(AC143)&amp;"."&amp;YEAR(AC143)&amp;" "&amp;$V$4&amp;VLOOKUP(C143,[1]List1!$A:$E,4,FALSE)&amp;" "&amp;$V$1),AC143))))</f>
        <v>SKLADEM</v>
      </c>
      <c r="AE143" s="645" t="str">
        <f t="shared" ca="1" si="317"/>
        <v>SKLADEM</v>
      </c>
      <c r="AF143" s="648">
        <f t="shared" si="318"/>
        <v>0</v>
      </c>
      <c r="AG143" s="649">
        <f t="shared" si="319"/>
        <v>0</v>
      </c>
      <c r="AH143" s="650">
        <f t="shared" si="320"/>
        <v>0</v>
      </c>
      <c r="AI143" s="645">
        <f t="shared" si="321"/>
        <v>0</v>
      </c>
      <c r="AJ143" s="645">
        <f t="shared" si="322"/>
        <v>0</v>
      </c>
      <c r="AK143" s="645" t="str">
        <f t="shared" si="323"/>
        <v/>
      </c>
      <c r="AL143" s="645" t="str">
        <f t="shared" si="324"/>
        <v/>
      </c>
      <c r="AM143" s="645">
        <f t="shared" si="325"/>
        <v>0</v>
      </c>
      <c r="AN143" s="651">
        <f t="shared" si="326"/>
        <v>0</v>
      </c>
      <c r="AO143" s="623"/>
      <c r="AP143" s="632" t="str">
        <f t="shared" si="221"/>
        <v/>
      </c>
      <c r="AQ143" s="633" t="str">
        <f>IF(AC143=$V$3,IF(VLOOKUP(C143,[1]List1!$A:$E,5,FALSE)=0,1,VLOOKUP(C143,[1]List1!$A:$E,5,FALSE)),"")</f>
        <v/>
      </c>
      <c r="AR143" s="625" t="str">
        <f t="shared" si="222"/>
        <v/>
      </c>
      <c r="AS143" s="634" t="str">
        <f t="shared" si="223"/>
        <v/>
      </c>
      <c r="AT143" s="625" t="str">
        <f t="shared" si="224"/>
        <v/>
      </c>
      <c r="AU143" s="638" t="e">
        <f t="shared" si="225"/>
        <v>#N/A</v>
      </c>
      <c r="AV143" s="625" t="e">
        <f t="shared" si="226"/>
        <v>#N/A</v>
      </c>
      <c r="AX143" s="625">
        <f>IF(AND('General price list'!$J143="F4",'General price list'!$AB143+0&gt;0),1,0)</f>
        <v>0</v>
      </c>
      <c r="AY143" s="625">
        <f t="shared" si="227"/>
        <v>1</v>
      </c>
      <c r="AZ143" s="625">
        <f t="shared" si="228"/>
        <v>0</v>
      </c>
    </row>
    <row r="144" spans="1:52" ht="15.75" customHeight="1">
      <c r="A144" s="621" t="str">
        <f>Kat.!C144</f>
        <v/>
      </c>
      <c r="B144" s="566">
        <f>IF(AND('General price list'!$J144="F4",$AI$1=FALSE),0,IF(AC144="SKLADEM",1,IF(AC144=$V$3,1,0)))</f>
        <v>1</v>
      </c>
      <c r="C144" s="567" t="s">
        <v>361</v>
      </c>
      <c r="D144" s="568" t="s">
        <v>362</v>
      </c>
      <c r="E144" s="763" t="s">
        <v>12641</v>
      </c>
      <c r="F144" s="772">
        <f>IFERROR(VLOOKUP(C144,[2]List1!$A:$D,3,FALSE),"NEUVEDENO!")</f>
        <v>67</v>
      </c>
      <c r="G144" s="769">
        <f t="shared" si="313"/>
        <v>67</v>
      </c>
      <c r="H144" s="766">
        <f t="shared" si="314"/>
        <v>2.8460620271607771</v>
      </c>
      <c r="I144" s="764">
        <f>IFERROR(VLOOKUP(C144,[2]List1!$A:$D,4,FALSE),"NEUVEDENO!")</f>
        <v>50</v>
      </c>
      <c r="J144" s="732" t="s">
        <v>39</v>
      </c>
      <c r="K144" s="569" t="s">
        <v>20</v>
      </c>
      <c r="L144" s="569" t="s">
        <v>10972</v>
      </c>
      <c r="M144" s="569" t="s">
        <v>21</v>
      </c>
      <c r="N144" s="569">
        <f>IFERROR(VLOOKUP(C144,[3]List1!$A:$D,4,FALSE),"N/A!")</f>
        <v>2.6713999999999998E-2</v>
      </c>
      <c r="O144" s="569">
        <f>IFERROR(VLOOKUP(C144,[3]List1!$A:$D,3,FALSE),"N/A!")</f>
        <v>3000</v>
      </c>
      <c r="P144" s="569">
        <f>IFERROR(VLOOKUP(C144,[3]List1!$A:$D,2,FALSE),"N/A!")</f>
        <v>8800</v>
      </c>
      <c r="Q144" s="569" t="s">
        <v>11232</v>
      </c>
      <c r="R144" s="569"/>
      <c r="S144" s="569"/>
      <c r="T144" s="569">
        <v>20</v>
      </c>
      <c r="U144" s="569"/>
      <c r="V144" s="569"/>
      <c r="W144" s="569" t="str">
        <f>IFERROR(IF(AND($AB144&gt;=0.1*$AA144,MOD($AB144,$AA144)&gt;=($AA144-(0.1*$AA144))),IF($W$17=$AF$1,"Zvažte možnost doobjednání ještě "&amp;Tabulka1[[#This Row],[VKPAL]]-MOD(AB144,AA144)&amp;" VK do plné palety.",VLOOKUP("Zvažte možnost doobjednání ještě ",Jazyky_ceník!A:Q,MATCH($W$17,Jazyky_ceník!$A$1:$Q$1,0),FALSE)&amp;Tabulka1[[#This Row],[VKPAL]]-MOD(AB144,AA144)&amp;VLOOKUP(" VK do plné palety.",Jazyky_ceník!A:Q,MATCH($W$17,Jazyky_ceník!$A$1:$Q$1,0),FALSE)),IFERROR(IF(AND(NOT(MOD($AB144,$AA144)=0),$AB144&gt;=0.9*$AA144,MOD($AB144,$AA144)&lt;=0.1*$AA144),IF($W$17=$AF$1,"Zvažte možnost optimalizace objednaného množství podle počtu VK na paletě ==&gt;",VLOOKUP("Zvažte možnost optimalizace objednaného množství podle počtu VK na paletě ==&gt;",Jazyky_ceník!A:Q,MATCH($W$17,Jazyky_ceník!$A$1:$Q$1,0),FALSE)),VLOOKUP('General price list'!$C144,Popisy!A:M,MATCH($W$17,Popisy!$A$7:$M$7,0),FALSE)),"---------------")),IFERROR(VLOOKUP('General price list'!$C144,Popisy!A:M,MATCH($W$17,Popisy!$A$7:$M$7,0),FALSE),"---------------"))</f>
        <v>barevný efekt+práskající hvězdy</v>
      </c>
      <c r="X144" s="569" t="str">
        <f t="shared" si="315"/>
        <v/>
      </c>
      <c r="Y144" s="569" t="str">
        <f t="shared" si="316"/>
        <v/>
      </c>
      <c r="Z144" s="569" t="str">
        <f>HYPERLINK("https://www.klasekpyrotechnics.cz/f8b")</f>
        <v>https://www.klasekpyrotechnics.cz/f8b</v>
      </c>
      <c r="AA144" s="569">
        <f>IFERROR(IF(VLOOKUP(C144,[4]List1!$A:$D,4,FALSE)=0,"",VLOOKUP(C144,[4]List1!$A:$D,4,FALSE)),"")</f>
        <v>24</v>
      </c>
      <c r="AB144" s="565"/>
      <c r="AC144" s="570" t="str">
        <f>IFERROR(IF(VLOOKUP(C144,[1]List1!$A:$D,2,FALSE)="VYPRODÁNO",$V$9,IF(VLOOKUP(C144,[1]List1!$A:$D,2,FALSE)="DOCHÁZÍ",$V$3,VLOOKUP(C144,[1]List1!$A:$D,2,FALSE))),"OFFLINE!")</f>
        <v>SKLADEM</v>
      </c>
      <c r="AD144" s="570" t="str">
        <f ca="1">IF(AP144="NE",$V$10,IF(AC144=$V$3,IF(AQ144&lt;1,$V$8,$V$2&amp;" "&amp;AQ144&amp;" "&amp;$V$1),IF(AC144="SKLADEM",$V$6,IFERROR(IF(OR(AC144-TODAY()&gt;45,VLOOKUP(C144,[1]List1!$A:$E,4,FALSE)=0),AC144,DAY(AC144)&amp;"."&amp;MONTH(AC144)&amp;"."&amp;YEAR(AC144)&amp;" "&amp;$V$4&amp;VLOOKUP(C144,[1]List1!$A:$E,4,FALSE)&amp;" "&amp;$V$1),AC144))))</f>
        <v>SKLADEM</v>
      </c>
      <c r="AE144" s="581" t="str">
        <f t="shared" ca="1" si="317"/>
        <v>SKLADEM</v>
      </c>
      <c r="AF144" s="584">
        <f t="shared" si="318"/>
        <v>0</v>
      </c>
      <c r="AG144" s="585">
        <f t="shared" si="319"/>
        <v>0</v>
      </c>
      <c r="AH144" s="583">
        <f t="shared" si="320"/>
        <v>0</v>
      </c>
      <c r="AI144" s="582">
        <f t="shared" si="321"/>
        <v>0</v>
      </c>
      <c r="AJ144" s="569">
        <f t="shared" si="322"/>
        <v>0</v>
      </c>
      <c r="AK144" s="569" t="str">
        <f t="shared" si="323"/>
        <v/>
      </c>
      <c r="AL144" s="569" t="str">
        <f t="shared" si="324"/>
        <v/>
      </c>
      <c r="AM144" s="569">
        <f t="shared" si="325"/>
        <v>0</v>
      </c>
      <c r="AN144" s="581">
        <f t="shared" si="326"/>
        <v>0</v>
      </c>
      <c r="AO144" s="623"/>
      <c r="AP144" s="625" t="str">
        <f t="shared" si="221"/>
        <v/>
      </c>
      <c r="AQ144" s="625" t="str">
        <f>IF(AC144=$V$3,IF(VLOOKUP(C144,[1]List1!$A:$E,5,FALSE)=0,1,VLOOKUP(C144,[1]List1!$A:$E,5,FALSE)),"")</f>
        <v/>
      </c>
      <c r="AR144" s="629" t="str">
        <f t="shared" si="222"/>
        <v/>
      </c>
      <c r="AS144" s="630" t="str">
        <f t="shared" si="223"/>
        <v/>
      </c>
      <c r="AT144" s="625" t="str">
        <f t="shared" si="224"/>
        <v/>
      </c>
      <c r="AU144" s="625" t="e">
        <f t="shared" si="225"/>
        <v>#N/A</v>
      </c>
      <c r="AV144" s="625" t="e">
        <f t="shared" si="226"/>
        <v>#N/A</v>
      </c>
      <c r="AW144" s="631"/>
      <c r="AX144" s="631">
        <f>IF(AND('General price list'!$J144="F4",'General price list'!$AB144+0&gt;0),1,0)</f>
        <v>0</v>
      </c>
      <c r="AY144" s="631">
        <f t="shared" si="227"/>
        <v>1</v>
      </c>
      <c r="AZ144" s="631">
        <f t="shared" si="228"/>
        <v>0</v>
      </c>
    </row>
    <row r="145" spans="1:52" ht="15" customHeight="1">
      <c r="A145" s="639" t="str">
        <f>Kat.!C145</f>
        <v/>
      </c>
      <c r="B145" s="640">
        <f>IF(AND('General price list'!$J145="F4",$AI$1=FALSE),0,IF(AC145="SKLADEM",1,IF(AC145=$V$3,1,0)))</f>
        <v>1</v>
      </c>
      <c r="C145" s="641" t="s">
        <v>2228</v>
      </c>
      <c r="D145" s="642" t="s">
        <v>2229</v>
      </c>
      <c r="E145" s="643" t="s">
        <v>12677</v>
      </c>
      <c r="F145" s="771">
        <f>IFERROR(VLOOKUP(C145,[2]List1!$A:$D,3,FALSE),"NEUVEDENO!")</f>
        <v>103</v>
      </c>
      <c r="G145" s="768">
        <f t="shared" si="313"/>
        <v>103</v>
      </c>
      <c r="H145" s="765">
        <f t="shared" si="314"/>
        <v>4.3752893850382097</v>
      </c>
      <c r="I145" s="644">
        <f>IFERROR(VLOOKUP(C145,[2]List1!$A:$D,4,FALSE),"NEUVEDENO!")</f>
        <v>36</v>
      </c>
      <c r="J145" s="733" t="s">
        <v>39</v>
      </c>
      <c r="K145" s="645" t="s">
        <v>20</v>
      </c>
      <c r="L145" s="645" t="s">
        <v>10973</v>
      </c>
      <c r="M145" s="645" t="s">
        <v>21</v>
      </c>
      <c r="N145" s="645">
        <f>IFERROR(VLOOKUP(C145,[3]List1!$A:$D,4,FALSE),"N/A!")</f>
        <v>1.0367999999999999E-2</v>
      </c>
      <c r="O145" s="645">
        <f>IFERROR(VLOOKUP(C145,[3]List1!$A:$D,3,FALSE),"N/A!")</f>
        <v>7200</v>
      </c>
      <c r="P145" s="645">
        <f>IFERROR(VLOOKUP(C145,[3]List1!$A:$D,2,FALSE),"N/A!")</f>
        <v>13000</v>
      </c>
      <c r="Q145" s="645" t="s">
        <v>11232</v>
      </c>
      <c r="R145" s="645"/>
      <c r="S145" s="645"/>
      <c r="T145" s="645">
        <v>90</v>
      </c>
      <c r="U145" s="645"/>
      <c r="V145" s="645"/>
      <c r="W145" s="645" t="str">
        <f>IFERROR(IF(AND($AB145&gt;=0.1*$AA145,MOD($AB145,$AA145)&gt;=($AA145-(0.1*$AA145))),IF($W$17=$AF$1,"Zvažte možnost doobjednání ještě "&amp;Tabulka1[[#This Row],[VKPAL]]-MOD(AB145,AA145)&amp;" VK do plné palety.",VLOOKUP("Zvažte možnost doobjednání ještě ",Jazyky_ceník!A:Q,MATCH($W$17,Jazyky_ceník!$A$1:$Q$1,0),FALSE)&amp;Tabulka1[[#This Row],[VKPAL]]-MOD(AB145,AA145)&amp;VLOOKUP(" VK do plné palety.",Jazyky_ceník!A:Q,MATCH($W$17,Jazyky_ceník!$A$1:$Q$1,0),FALSE)),IFERROR(IF(AND(NOT(MOD($AB145,$AA145)=0),$AB145&gt;=0.9*$AA145,MOD($AB145,$AA145)&lt;=0.1*$AA145),IF($W$17=$AF$1,"Zvažte možnost optimalizace objednaného množství podle počtu VK na paletě ==&gt;",VLOOKUP("Zvažte možnost optimalizace objednaného množství podle počtu VK na paletě ==&gt;",Jazyky_ceník!A:Q,MATCH($W$17,Jazyky_ceník!$A$1:$Q$1,0),FALSE)),VLOOKUP('General price list'!$C145,Popisy!A:M,MATCH($W$17,Popisy!$A$7:$M$7,0),FALSE)),"---------------")),IFERROR(VLOOKUP('General price list'!$C145,Popisy!A:M,MATCH($W$17,Popisy!$A$7:$M$7,0),FALSE),"---------------"))</f>
        <v>práskající fontána</v>
      </c>
      <c r="X145" s="645" t="str">
        <f t="shared" si="315"/>
        <v/>
      </c>
      <c r="Y145" s="645" t="str">
        <f t="shared" si="316"/>
        <v/>
      </c>
      <c r="Z145" s="645" t="str">
        <f>HYPERLINK("https://www.klasekpyrotechnics.cz/f10e")</f>
        <v>https://www.klasekpyrotechnics.cz/f10e</v>
      </c>
      <c r="AA145" s="645">
        <f>IFERROR(IF(VLOOKUP(C145,[4]List1!$A:$D,4,FALSE)=0,"",VLOOKUP(C145,[4]List1!$A:$D,4,FALSE)),"")</f>
        <v>54</v>
      </c>
      <c r="AB145" s="646"/>
      <c r="AC145" s="647" t="str">
        <f>IFERROR(IF(VLOOKUP(C145,[1]List1!$A:$D,2,FALSE)="VYPRODÁNO",$V$9,IF(VLOOKUP(C145,[1]List1!$A:$D,2,FALSE)="DOCHÁZÍ",$V$3,VLOOKUP(C145,[1]List1!$A:$D,2,FALSE))),"OFFLINE!")</f>
        <v>SKLADEM</v>
      </c>
      <c r="AD145" s="647" t="str">
        <f ca="1">IF(AP145="NE",$V$10,IF(AC145=$V$3,IF(AQ145&lt;1,$V$8,$V$2&amp;" "&amp;AQ145&amp;" "&amp;$V$1),IF(AC145="SKLADEM",$V$6,IFERROR(IF(OR(AC145-TODAY()&gt;45,VLOOKUP(C145,[1]List1!$A:$E,4,FALSE)=0),AC145,DAY(AC145)&amp;"."&amp;MONTH(AC145)&amp;"."&amp;YEAR(AC145)&amp;" "&amp;$V$4&amp;VLOOKUP(C145,[1]List1!$A:$E,4,FALSE)&amp;" "&amp;$V$1),AC145))))</f>
        <v>SKLADEM</v>
      </c>
      <c r="AE145" s="645" t="str">
        <f t="shared" ca="1" si="317"/>
        <v>SKLADEM</v>
      </c>
      <c r="AF145" s="648">
        <f t="shared" si="318"/>
        <v>0</v>
      </c>
      <c r="AG145" s="649">
        <f t="shared" si="319"/>
        <v>0</v>
      </c>
      <c r="AH145" s="650">
        <f t="shared" si="320"/>
        <v>0</v>
      </c>
      <c r="AI145" s="645">
        <f t="shared" si="321"/>
        <v>0</v>
      </c>
      <c r="AJ145" s="645">
        <f t="shared" si="322"/>
        <v>0</v>
      </c>
      <c r="AK145" s="645" t="str">
        <f t="shared" si="323"/>
        <v/>
      </c>
      <c r="AL145" s="645" t="str">
        <f t="shared" si="324"/>
        <v/>
      </c>
      <c r="AM145" s="645">
        <f t="shared" si="325"/>
        <v>0</v>
      </c>
      <c r="AN145" s="651">
        <f t="shared" si="326"/>
        <v>0</v>
      </c>
      <c r="AO145" s="623"/>
      <c r="AP145" s="632" t="str">
        <f t="shared" si="221"/>
        <v/>
      </c>
      <c r="AQ145" s="633" t="str">
        <f>IF(AC145=$V$3,IF(VLOOKUP(C145,[1]List1!$A:$E,5,FALSE)=0,1,VLOOKUP(C145,[1]List1!$A:$E,5,FALSE)),"")</f>
        <v/>
      </c>
      <c r="AR145" s="625" t="str">
        <f t="shared" si="222"/>
        <v/>
      </c>
      <c r="AS145" s="634" t="str">
        <f t="shared" si="223"/>
        <v/>
      </c>
      <c r="AT145" s="625" t="str">
        <f t="shared" si="224"/>
        <v/>
      </c>
      <c r="AU145" s="638" t="e">
        <f t="shared" si="225"/>
        <v>#N/A</v>
      </c>
      <c r="AV145" s="625" t="e">
        <f t="shared" si="226"/>
        <v>#N/A</v>
      </c>
      <c r="AX145" s="625">
        <f>IF(AND('General price list'!$J145="F4",'General price list'!$AB145+0&gt;0),1,0)</f>
        <v>0</v>
      </c>
      <c r="AY145" s="625">
        <f t="shared" si="227"/>
        <v>1</v>
      </c>
      <c r="AZ145" s="625">
        <f t="shared" si="228"/>
        <v>0</v>
      </c>
    </row>
    <row r="146" spans="1:52" ht="15" customHeight="1">
      <c r="A146" s="621" t="str">
        <f>Kat.!C146</f>
        <v/>
      </c>
      <c r="B146" s="566">
        <f>IF(AND('General price list'!$J146="F4",$AI$1=FALSE),0,IF(AC146="SKLADEM",1,IF(AC146=$V$3,1,0)))</f>
        <v>1</v>
      </c>
      <c r="C146" s="567" t="s">
        <v>370</v>
      </c>
      <c r="D146" s="568" t="s">
        <v>12505</v>
      </c>
      <c r="E146" s="763" t="s">
        <v>12675</v>
      </c>
      <c r="F146" s="772">
        <f>IFERROR(VLOOKUP(C146,[2]List1!$A:$D,3,FALSE),"NEUVEDENO!")</f>
        <v>184</v>
      </c>
      <c r="G146" s="769">
        <f t="shared" si="313"/>
        <v>184</v>
      </c>
      <c r="H146" s="766">
        <f t="shared" si="314"/>
        <v>7.8160509402624321</v>
      </c>
      <c r="I146" s="764">
        <f>IFERROR(VLOOKUP(C146,[2]List1!$A:$D,4,FALSE),"NEUVEDENO!")</f>
        <v>12</v>
      </c>
      <c r="J146" s="732" t="s">
        <v>39</v>
      </c>
      <c r="K146" s="569" t="s">
        <v>20</v>
      </c>
      <c r="L146" s="569" t="s">
        <v>10973</v>
      </c>
      <c r="M146" s="569" t="s">
        <v>21</v>
      </c>
      <c r="N146" s="569">
        <f>IFERROR(VLOOKUP(C146,[3]List1!$A:$D,4,FALSE),"N/A!")</f>
        <v>6.0735999999999998E-2</v>
      </c>
      <c r="O146" s="569">
        <f>IFERROR(VLOOKUP(C146,[3]List1!$A:$D,3,FALSE),"N/A!")</f>
        <v>2016</v>
      </c>
      <c r="P146" s="569">
        <f>IFERROR(VLOOKUP(C146,[3]List1!$A:$D,2,FALSE),"N/A!")</f>
        <v>8400</v>
      </c>
      <c r="Q146" s="569" t="s">
        <v>11253</v>
      </c>
      <c r="R146" s="569"/>
      <c r="S146" s="569"/>
      <c r="T146" s="569">
        <v>110</v>
      </c>
      <c r="U146" s="569"/>
      <c r="V146" s="569"/>
      <c r="W146" s="569" t="str">
        <f>IFERROR(IF(AND($AB146&gt;=0.1*$AA146,MOD($AB146,$AA146)&gt;=($AA146-(0.1*$AA146))),IF($W$17=$AF$1,"Zvažte možnost doobjednání ještě "&amp;Tabulka1[[#This Row],[VKPAL]]-MOD(AB146,AA146)&amp;" VK do plné palety.",VLOOKUP("Zvažte možnost doobjednání ještě ",Jazyky_ceník!A:Q,MATCH($W$17,Jazyky_ceník!$A$1:$Q$1,0),FALSE)&amp;Tabulka1[[#This Row],[VKPAL]]-MOD(AB146,AA146)&amp;VLOOKUP(" VK do plné palety.",Jazyky_ceník!A:Q,MATCH($W$17,Jazyky_ceník!$A$1:$Q$1,0),FALSE)),IFERROR(IF(AND(NOT(MOD($AB146,$AA146)=0),$AB146&gt;=0.9*$AA146,MOD($AB146,$AA146)&lt;=0.1*$AA146),IF($W$17=$AF$1,"Zvažte možnost optimalizace objednaného množství podle počtu VK na paletě ==&gt;",VLOOKUP("Zvažte možnost optimalizace objednaného množství podle počtu VK na paletě ==&gt;",Jazyky_ceník!A:Q,MATCH($W$17,Jazyky_ceník!$A$1:$Q$1,0),FALSE)),VLOOKUP('General price list'!$C146,Popisy!A:M,MATCH($W$17,Popisy!$A$7:$M$7,0),FALSE)),"---------------")),IFERROR(VLOOKUP('General price list'!$C146,Popisy!A:M,MATCH($W$17,Popisy!$A$7:$M$7,0),FALSE),"---------------"))</f>
        <v>6 různobarevných efektů</v>
      </c>
      <c r="X146" s="569" t="str">
        <f t="shared" si="315"/>
        <v/>
      </c>
      <c r="Y146" s="569" t="str">
        <f t="shared" si="316"/>
        <v/>
      </c>
      <c r="Z146" s="569" t="str">
        <f>HYPERLINK("https://www.klasekpyrotechnics.cz/f11m")</f>
        <v>https://www.klasekpyrotechnics.cz/f11m</v>
      </c>
      <c r="AA146" s="569" t="str">
        <f>IFERROR(IF(VLOOKUP(C146,[4]List1!$A:$D,4,FALSE)=0,"",VLOOKUP(C146,[4]List1!$A:$D,4,FALSE)),"")</f>
        <v>16</v>
      </c>
      <c r="AB146" s="565"/>
      <c r="AC146" s="570" t="str">
        <f>IFERROR(IF(VLOOKUP(C146,[1]List1!$A:$D,2,FALSE)="VYPRODÁNO",$V$9,IF(VLOOKUP(C146,[1]List1!$A:$D,2,FALSE)="DOCHÁZÍ",$V$3,VLOOKUP(C146,[1]List1!$A:$D,2,FALSE))),"OFFLINE!")</f>
        <v>DOCHÁZÍ</v>
      </c>
      <c r="AD146" s="570" t="str">
        <f ca="1">IF(AP146="NE",$V$10,IF(AC146=$V$3,IF(AQ146&lt;1,$V$8,$V$2&amp;" "&amp;AQ146&amp;" "&amp;$V$1),IF(AC146="SKLADEM",$V$6,IFERROR(IF(OR(AC146-TODAY()&gt;45,VLOOKUP(C146,[1]List1!$A:$E,4,FALSE)=0),AC146,DAY(AC146)&amp;"."&amp;MONTH(AC146)&amp;"."&amp;YEAR(AC146)&amp;" "&amp;$V$4&amp;VLOOKUP(C146,[1]List1!$A:$E,4,FALSE)&amp;" "&amp;$V$1),AC146))))</f>
        <v>POSLEDNÍCH 8 VK</v>
      </c>
      <c r="AE146" s="581" t="str">
        <f t="shared" ca="1" si="317"/>
        <v>POSLEDNÍCH 8 VK</v>
      </c>
      <c r="AF146" s="584">
        <f t="shared" si="318"/>
        <v>0</v>
      </c>
      <c r="AG146" s="585">
        <f t="shared" si="319"/>
        <v>0</v>
      </c>
      <c r="AH146" s="583">
        <f t="shared" si="320"/>
        <v>0</v>
      </c>
      <c r="AI146" s="582">
        <f t="shared" si="321"/>
        <v>0</v>
      </c>
      <c r="AJ146" s="569">
        <f t="shared" si="322"/>
        <v>0</v>
      </c>
      <c r="AK146" s="569" t="str">
        <f t="shared" si="323"/>
        <v/>
      </c>
      <c r="AL146" s="569" t="str">
        <f t="shared" si="324"/>
        <v/>
      </c>
      <c r="AM146" s="569">
        <f t="shared" si="325"/>
        <v>0</v>
      </c>
      <c r="AN146" s="581">
        <f t="shared" si="326"/>
        <v>0</v>
      </c>
      <c r="AO146" s="623"/>
      <c r="AP146" s="632" t="str">
        <f t="shared" si="221"/>
        <v/>
      </c>
      <c r="AQ146" s="625">
        <f>IF(AC146=$V$3,IF(VLOOKUP(C146,[1]List1!$A:$E,5,FALSE)=0,1,VLOOKUP(C146,[1]List1!$A:$E,5,FALSE)),"")</f>
        <v>8</v>
      </c>
      <c r="AR146" s="625" t="str">
        <f t="shared" si="222"/>
        <v/>
      </c>
      <c r="AS146" s="634" t="str">
        <f t="shared" si="223"/>
        <v/>
      </c>
      <c r="AT146" s="625" t="str">
        <f t="shared" si="224"/>
        <v/>
      </c>
      <c r="AU146" s="638" t="e">
        <f t="shared" si="225"/>
        <v>#N/A</v>
      </c>
      <c r="AV146" s="625" t="e">
        <f t="shared" si="226"/>
        <v>#N/A</v>
      </c>
      <c r="AX146" s="625">
        <f>IF(AND('General price list'!$J146="F4",'General price list'!$AB146+0&gt;0),1,0)</f>
        <v>0</v>
      </c>
      <c r="AY146" s="625">
        <f t="shared" si="227"/>
        <v>1</v>
      </c>
      <c r="AZ146" s="625">
        <f t="shared" si="228"/>
        <v>0</v>
      </c>
    </row>
    <row r="147" spans="1:52" ht="15" customHeight="1">
      <c r="A147" s="639" t="str">
        <f>Kat.!C147</f>
        <v/>
      </c>
      <c r="B147" s="640">
        <f>IF(AND('General price list'!$J147="F4",$AI$1=FALSE),0,IF(AC147="SKLADEM",1,IF(AC147=$V$3,1,0)))</f>
        <v>0</v>
      </c>
      <c r="C147" s="641" t="s">
        <v>371</v>
      </c>
      <c r="D147" s="642" t="s">
        <v>372</v>
      </c>
      <c r="E147" s="643" t="s">
        <v>12678</v>
      </c>
      <c r="F147" s="771">
        <f>IFERROR(VLOOKUP(C147,[2]List1!$A:$D,3,FALSE),"NEUVEDENO!")</f>
        <v>294</v>
      </c>
      <c r="G147" s="768">
        <f t="shared" si="313"/>
        <v>294</v>
      </c>
      <c r="H147" s="765">
        <f t="shared" si="314"/>
        <v>12.488690089332366</v>
      </c>
      <c r="I147" s="644">
        <f>IFERROR(VLOOKUP(C147,[2]List1!$A:$D,4,FALSE),"NEUVEDENO!")</f>
        <v>8</v>
      </c>
      <c r="J147" s="733" t="s">
        <v>193</v>
      </c>
      <c r="K147" s="645" t="s">
        <v>20</v>
      </c>
      <c r="L147" s="645" t="s">
        <v>10968</v>
      </c>
      <c r="M147" s="645" t="s">
        <v>21</v>
      </c>
      <c r="N147" s="645">
        <f>IFERROR(VLOOKUP(C147,[3]List1!$A:$D,4,FALSE),"N/A!")</f>
        <v>6.8920999999999996E-2</v>
      </c>
      <c r="O147" s="645">
        <f>IFERROR(VLOOKUP(C147,[3]List1!$A:$D,3,FALSE),"N/A!")</f>
        <v>624</v>
      </c>
      <c r="P147" s="645">
        <f>IFERROR(VLOOKUP(C147,[3]List1!$A:$D,2,FALSE),"N/A!")</f>
        <v>8500</v>
      </c>
      <c r="Q147" s="645" t="s">
        <v>11253</v>
      </c>
      <c r="R147" s="645" t="s">
        <v>20</v>
      </c>
      <c r="S147" s="645"/>
      <c r="T147" s="645">
        <v>55</v>
      </c>
      <c r="U147" s="645"/>
      <c r="V147" s="645"/>
      <c r="W147" s="645" t="str">
        <f>IFERROR(IF(AND($AB147&gt;=0.1*$AA147,MOD($AB147,$AA147)&gt;=($AA147-(0.1*$AA147))),IF($W$17=$AF$1,"Zvažte možnost doobjednání ještě "&amp;Tabulka1[[#This Row],[VKPAL]]-MOD(AB147,AA147)&amp;" VK do plné palety.",VLOOKUP("Zvažte možnost doobjednání ještě ",Jazyky_ceník!A:Q,MATCH($W$17,Jazyky_ceník!$A$1:$Q$1,0),FALSE)&amp;Tabulka1[[#This Row],[VKPAL]]-MOD(AB147,AA147)&amp;VLOOKUP(" VK do plné palety.",Jazyky_ceník!A:Q,MATCH($W$17,Jazyky_ceník!$A$1:$Q$1,0),FALSE)),IFERROR(IF(AND(NOT(MOD($AB147,$AA147)=0),$AB147&gt;=0.9*$AA147,MOD($AB147,$AA147)&lt;=0.1*$AA147),IF($W$17=$AF$1,"Zvažte možnost optimalizace objednaného množství podle počtu VK na paletě ==&gt;",VLOOKUP("Zvažte možnost optimalizace objednaného množství podle počtu VK na paletě ==&gt;",Jazyky_ceník!A:Q,MATCH($W$17,Jazyky_ceník!$A$1:$Q$1,0),FALSE)),VLOOKUP('General price list'!$C147,Popisy!A:M,MATCH($W$17,Popisy!$A$7:$M$7,0),FALSE)),"---------------")),IFERROR(VLOOKUP('General price list'!$C147,Popisy!A:M,MATCH($W$17,Popisy!$A$7:$M$7,0),FALSE),"---------------"))</f>
        <v>rotáční fontána</v>
      </c>
      <c r="X147" s="645" t="str">
        <f t="shared" si="315"/>
        <v/>
      </c>
      <c r="Y147" s="645" t="str">
        <f t="shared" si="316"/>
        <v/>
      </c>
      <c r="Z147" s="645" t="str">
        <f>HYPERLINK("https://www.klasekpyrotechnics.cz/f14r")</f>
        <v>https://www.klasekpyrotechnics.cz/f14r</v>
      </c>
      <c r="AA147" s="645">
        <f>IFERROR(IF(VLOOKUP(C147,[4]List1!$A:$D,4,FALSE)=0,"",VLOOKUP(C147,[4]List1!$A:$D,4,FALSE)),"")</f>
        <v>24</v>
      </c>
      <c r="AB147" s="646"/>
      <c r="AC147" s="647" t="str">
        <f>IFERROR(IF(VLOOKUP(C147,[1]List1!$A:$D,2,FALSE)="VYPRODÁNO",$V$9,IF(VLOOKUP(C147,[1]List1!$A:$D,2,FALSE)="DOCHÁZÍ",$V$3,VLOOKUP(C147,[1]List1!$A:$D,2,FALSE))),"OFFLINE!")</f>
        <v>14.04.2026</v>
      </c>
      <c r="AD147" s="647" t="str">
        <f ca="1">IF(AP147="NE",$V$10,IF(AC147=$V$3,IF(AQ147&lt;1,$V$8,$V$2&amp;" "&amp;AQ147&amp;" "&amp;$V$1),IF(AC147="SKLADEM",$V$6,IFERROR(IF(OR(AC147-TODAY()&gt;45,VLOOKUP(C147,[1]List1!$A:$E,4,FALSE)=0),AC147,DAY(AC147)&amp;"."&amp;MONTH(AC147)&amp;"."&amp;YEAR(AC147)&amp;" "&amp;$V$4&amp;VLOOKUP(C147,[1]List1!$A:$E,4,FALSE)&amp;" "&amp;$V$1),AC147))))</f>
        <v>14.4.2026 DORAZÍ 100+ VK</v>
      </c>
      <c r="AE147" s="645" t="str">
        <f t="shared" ca="1" si="317"/>
        <v>14.4.2026 DORAZÍ 100+ VK</v>
      </c>
      <c r="AF147" s="648">
        <f t="shared" si="318"/>
        <v>0</v>
      </c>
      <c r="AG147" s="649">
        <f t="shared" si="319"/>
        <v>0</v>
      </c>
      <c r="AH147" s="650">
        <f t="shared" si="320"/>
        <v>0</v>
      </c>
      <c r="AI147" s="645">
        <f t="shared" si="321"/>
        <v>0</v>
      </c>
      <c r="AJ147" s="645">
        <f t="shared" si="322"/>
        <v>0</v>
      </c>
      <c r="AK147" s="645" t="str">
        <f t="shared" si="323"/>
        <v/>
      </c>
      <c r="AL147" s="645" t="str">
        <f t="shared" si="324"/>
        <v/>
      </c>
      <c r="AM147" s="645">
        <f t="shared" si="325"/>
        <v>0</v>
      </c>
      <c r="AN147" s="651">
        <f t="shared" si="326"/>
        <v>0</v>
      </c>
      <c r="AO147" s="623"/>
      <c r="AP147" s="632" t="str">
        <f t="shared" si="221"/>
        <v/>
      </c>
      <c r="AQ147" s="633" t="str">
        <f>IF(AC147=$V$3,IF(VLOOKUP(C147,[1]List1!$A:$E,5,FALSE)=0,1,VLOOKUP(C147,[1]List1!$A:$E,5,FALSE)),"")</f>
        <v/>
      </c>
      <c r="AR147" s="625" t="str">
        <f t="shared" si="222"/>
        <v/>
      </c>
      <c r="AS147" s="634" t="str">
        <f t="shared" si="223"/>
        <v/>
      </c>
      <c r="AT147" s="625" t="str">
        <f t="shared" si="224"/>
        <v/>
      </c>
      <c r="AU147" s="638" t="e">
        <f t="shared" si="225"/>
        <v>#N/A</v>
      </c>
      <c r="AV147" s="625" t="e">
        <f t="shared" si="226"/>
        <v>#N/A</v>
      </c>
      <c r="AX147" s="625">
        <f>IF(AND('General price list'!$J147="F4",'General price list'!$AB147+0&gt;0),1,0)</f>
        <v>0</v>
      </c>
      <c r="AY147" s="625">
        <f t="shared" si="227"/>
        <v>1</v>
      </c>
      <c r="AZ147" s="625">
        <f t="shared" si="228"/>
        <v>0</v>
      </c>
    </row>
    <row r="148" spans="1:52" ht="15" customHeight="1">
      <c r="A148" s="621" t="str">
        <f>Kat.!C148</f>
        <v/>
      </c>
      <c r="B148" s="566">
        <f>IF(AND('General price list'!$J148="F4",$AI$1=FALSE),0,IF(AC148="SKLADEM",1,IF(AC148=$V$3,1,0)))</f>
        <v>1</v>
      </c>
      <c r="C148" s="567" t="s">
        <v>9394</v>
      </c>
      <c r="D148" s="568" t="s">
        <v>11869</v>
      </c>
      <c r="E148" s="763" t="s">
        <v>12651</v>
      </c>
      <c r="F148" s="772">
        <f>IFERROR(VLOOKUP(C148,[2]List1!$A:$D,3,FALSE),"NEUVEDENO!")</f>
        <v>530</v>
      </c>
      <c r="G148" s="769">
        <f t="shared" si="313"/>
        <v>530</v>
      </c>
      <c r="H148" s="766">
        <f t="shared" si="314"/>
        <v>22.513624990973312</v>
      </c>
      <c r="I148" s="764">
        <f>IFERROR(VLOOKUP(C148,[2]List1!$A:$D,4,FALSE),"NEUVEDENO!")</f>
        <v>4</v>
      </c>
      <c r="J148" s="732" t="s">
        <v>193</v>
      </c>
      <c r="K148" s="569" t="s">
        <v>20</v>
      </c>
      <c r="L148" s="569" t="s">
        <v>20</v>
      </c>
      <c r="M148" s="569" t="s">
        <v>21</v>
      </c>
      <c r="N148" s="569">
        <f>IFERROR(VLOOKUP(C148,[3]List1!$A:$D,4,FALSE),"N/A!")</f>
        <v>4.9571999999999998E-2</v>
      </c>
      <c r="O148" s="569">
        <f>IFERROR(VLOOKUP(C148,[3]List1!$A:$D,3,FALSE),"N/A!")</f>
        <v>560</v>
      </c>
      <c r="P148" s="569">
        <f>IFERROR(VLOOKUP(C148,[3]List1!$A:$D,2,FALSE),"N/A!")</f>
        <v>4200</v>
      </c>
      <c r="Q148" s="569" t="s">
        <v>11232</v>
      </c>
      <c r="R148" s="569" t="s">
        <v>20</v>
      </c>
      <c r="S148" s="569"/>
      <c r="T148" s="569">
        <v>55</v>
      </c>
      <c r="U148" s="569"/>
      <c r="V148" s="569"/>
      <c r="W148" s="569" t="str">
        <f>IFERROR(IF(AND($AB148&gt;=0.1*$AA148,MOD($AB148,$AA148)&gt;=($AA148-(0.1*$AA148))),IF($W$17=$AF$1,"Zvažte možnost doobjednání ještě "&amp;Tabulka1[[#This Row],[VKPAL]]-MOD(AB148,AA148)&amp;" VK do plné palety.",VLOOKUP("Zvažte možnost doobjednání ještě ",Jazyky_ceník!A:Q,MATCH($W$17,Jazyky_ceník!$A$1:$Q$1,0),FALSE)&amp;Tabulka1[[#This Row],[VKPAL]]-MOD(AB148,AA148)&amp;VLOOKUP(" VK do plné palety.",Jazyky_ceník!A:Q,MATCH($W$17,Jazyky_ceník!$A$1:$Q$1,0),FALSE)),IFERROR(IF(AND(NOT(MOD($AB148,$AA148)=0),$AB148&gt;=0.9*$AA148,MOD($AB148,$AA148)&lt;=0.1*$AA148),IF($W$17=$AF$1,"Zvažte možnost optimalizace objednaného množství podle počtu VK na paletě ==&gt;",VLOOKUP("Zvažte možnost optimalizace objednaného množství podle počtu VK na paletě ==&gt;",Jazyky_ceník!A:Q,MATCH($W$17,Jazyky_ceník!$A$1:$Q$1,0),FALSE)),VLOOKUP('General price list'!$C148,Popisy!A:M,MATCH($W$17,Popisy!$A$7:$M$7,0),FALSE)),"---------------")),IFERROR(VLOOKUP('General price list'!$C148,Popisy!A:M,MATCH($W$17,Popisy!$A$7:$M$7,0),FALSE),"---------------"))</f>
        <v>rotáční fontána</v>
      </c>
      <c r="X148" s="569" t="str">
        <f t="shared" si="315"/>
        <v/>
      </c>
      <c r="Y148" s="569" t="str">
        <f t="shared" si="316"/>
        <v/>
      </c>
      <c r="Z148" s="569" t="str">
        <f>HYPERLINK("https://www.klasekpyrotechnics.cz/f14rf")</f>
        <v>https://www.klasekpyrotechnics.cz/f14rf</v>
      </c>
      <c r="AA148" s="569">
        <f>IFERROR(IF(VLOOKUP(C148,[4]List1!$A:$D,4,FALSE)=0,"",VLOOKUP(C148,[4]List1!$A:$D,4,FALSE)),"")</f>
        <v>24</v>
      </c>
      <c r="AB148" s="565"/>
      <c r="AC148" s="570" t="str">
        <f>IFERROR(IF(VLOOKUP(C148,[1]List1!$A:$D,2,FALSE)="VYPRODÁNO",$V$9,IF(VLOOKUP(C148,[1]List1!$A:$D,2,FALSE)="DOCHÁZÍ",$V$3,VLOOKUP(C148,[1]List1!$A:$D,2,FALSE))),"OFFLINE!")</f>
        <v>SKLADEM</v>
      </c>
      <c r="AD148" s="570" t="str">
        <f ca="1">IF(AP148="NE",$V$10,IF(AC148=$V$3,IF(AQ148&lt;1,$V$8,$V$2&amp;" "&amp;AQ148&amp;" "&amp;$V$1),IF(AC148="SKLADEM",$V$6,IFERROR(IF(OR(AC148-TODAY()&gt;45,VLOOKUP(C148,[1]List1!$A:$E,4,FALSE)=0),AC148,DAY(AC148)&amp;"."&amp;MONTH(AC148)&amp;"."&amp;YEAR(AC148)&amp;" "&amp;$V$4&amp;VLOOKUP(C148,[1]List1!$A:$E,4,FALSE)&amp;" "&amp;$V$1),AC148))))</f>
        <v>SKLADEM</v>
      </c>
      <c r="AE148" s="581" t="str">
        <f t="shared" ca="1" si="317"/>
        <v>SKLADEM</v>
      </c>
      <c r="AF148" s="584">
        <f t="shared" si="318"/>
        <v>0</v>
      </c>
      <c r="AG148" s="585">
        <f t="shared" si="319"/>
        <v>0</v>
      </c>
      <c r="AH148" s="583">
        <f t="shared" si="320"/>
        <v>0</v>
      </c>
      <c r="AI148" s="582">
        <f t="shared" si="321"/>
        <v>0</v>
      </c>
      <c r="AJ148" s="569">
        <f t="shared" si="322"/>
        <v>0</v>
      </c>
      <c r="AK148" s="569" t="str">
        <f t="shared" si="323"/>
        <v/>
      </c>
      <c r="AL148" s="569" t="str">
        <f t="shared" si="324"/>
        <v/>
      </c>
      <c r="AM148" s="569">
        <f t="shared" si="325"/>
        <v>0</v>
      </c>
      <c r="AN148" s="581">
        <f t="shared" si="326"/>
        <v>0</v>
      </c>
      <c r="AO148" s="623"/>
      <c r="AP148" s="632" t="str">
        <f t="shared" si="221"/>
        <v/>
      </c>
      <c r="AQ148" s="633" t="str">
        <f>IF(AC148=$V$3,IF(VLOOKUP(C148,[1]List1!$A:$E,5,FALSE)=0,1,VLOOKUP(C148,[1]List1!$A:$E,5,FALSE)),"")</f>
        <v/>
      </c>
      <c r="AR148" s="625" t="str">
        <f t="shared" si="222"/>
        <v/>
      </c>
      <c r="AS148" s="634" t="str">
        <f t="shared" si="223"/>
        <v/>
      </c>
      <c r="AT148" s="625" t="str">
        <f t="shared" si="224"/>
        <v/>
      </c>
      <c r="AU148" s="638" t="e">
        <f t="shared" si="225"/>
        <v>#N/A</v>
      </c>
      <c r="AV148" s="625" t="e">
        <f t="shared" si="226"/>
        <v>#N/A</v>
      </c>
      <c r="AX148" s="625">
        <f>IF(AND('General price list'!$J148="F4",'General price list'!$AB148+0&gt;0),1,0)</f>
        <v>0</v>
      </c>
      <c r="AY148" s="625">
        <f t="shared" si="227"/>
        <v>1</v>
      </c>
      <c r="AZ148" s="625">
        <f t="shared" si="228"/>
        <v>0</v>
      </c>
    </row>
    <row r="149" spans="1:52" ht="15" customHeight="1">
      <c r="A149" s="639" t="str">
        <f>Kat.!C149</f>
        <v/>
      </c>
      <c r="B149" s="640">
        <f>IF(AND('General price list'!$J149="F4",$AI$1=FALSE),0,IF(AC149="SKLADEM",1,IF(AC149=$V$3,1,0)))</f>
        <v>1</v>
      </c>
      <c r="C149" s="641" t="s">
        <v>11192</v>
      </c>
      <c r="D149" s="642" t="s">
        <v>11193</v>
      </c>
      <c r="E149" s="643" t="s">
        <v>12679</v>
      </c>
      <c r="F149" s="791">
        <f>IFERROR(VLOOKUP(C149,[2]List1!$A:$D,3,FALSE),"NEUVEDENO!")</f>
        <v>215</v>
      </c>
      <c r="G149" s="768">
        <f t="shared" si="313"/>
        <v>215</v>
      </c>
      <c r="H149" s="765">
        <f t="shared" si="314"/>
        <v>9.1328856095457773</v>
      </c>
      <c r="I149" s="644">
        <f>IFERROR(VLOOKUP(C149,[2]List1!$A:$D,4,FALSE),"NEUVEDENO!")</f>
        <v>10</v>
      </c>
      <c r="J149" s="733" t="s">
        <v>39</v>
      </c>
      <c r="K149" s="645" t="s">
        <v>11100</v>
      </c>
      <c r="L149" s="645" t="s">
        <v>12435</v>
      </c>
      <c r="M149" s="645" t="s">
        <v>21</v>
      </c>
      <c r="N149" s="645">
        <f>IFERROR(VLOOKUP(C149,[3]List1!$A:$D,4,FALSE),"N/A!")</f>
        <v>6.3210000000000002E-2</v>
      </c>
      <c r="O149" s="645">
        <f>IFERROR(VLOOKUP(C149,[3]List1!$A:$D,3,FALSE),"N/A!")</f>
        <v>1400</v>
      </c>
      <c r="P149" s="645">
        <f>IFERROR(VLOOKUP(C149,[3]List1!$A:$D,2,FALSE),"N/A!")</f>
        <v>9000</v>
      </c>
      <c r="Q149" s="645" t="s">
        <v>11244</v>
      </c>
      <c r="R149" s="645"/>
      <c r="S149" s="645"/>
      <c r="T149" s="645">
        <v>80</v>
      </c>
      <c r="U149" s="645"/>
      <c r="V149" s="645"/>
      <c r="W149" s="645" t="str">
        <f>IFERROR(IF(AND($AB149&gt;=0.1*$AA149,MOD($AB149,$AA149)&gt;=($AA149-(0.1*$AA149))),IF($W$17=$AF$1,"Zvažte možnost doobjednání ještě "&amp;Tabulka1[[#This Row],[VKPAL]]-MOD(AB149,AA149)&amp;" VK do plné palety.",VLOOKUP("Zvažte možnost doobjednání ještě ",Jazyky_ceník!A:Q,MATCH($W$17,Jazyky_ceník!$A$1:$Q$1,0),FALSE)&amp;Tabulka1[[#This Row],[VKPAL]]-MOD(AB149,AA149)&amp;VLOOKUP(" VK do plné palety.",Jazyky_ceník!A:Q,MATCH($W$17,Jazyky_ceník!$A$1:$Q$1,0),FALSE)),IFERROR(IF(AND(NOT(MOD($AB149,$AA149)=0),$AB149&gt;=0.9*$AA149,MOD($AB149,$AA149)&lt;=0.1*$AA149),IF($W$17=$AF$1,"Zvažte možnost optimalizace objednaného množství podle počtu VK na paletě ==&gt;",VLOOKUP("Zvažte možnost optimalizace objednaného množství podle počtu VK na paletě ==&gt;",Jazyky_ceník!A:Q,MATCH($W$17,Jazyky_ceník!$A$1:$Q$1,0),FALSE)),VLOOKUP('General price list'!$C149,Popisy!A:M,MATCH($W$17,Popisy!$A$7:$M$7,0),FALSE)),"---------------")),IFERROR(VLOOKUP('General price list'!$C149,Popisy!A:M,MATCH($W$17,Popisy!$A$7:$M$7,0),FALSE),"---------------"))</f>
        <v>multiefektní fontána ve tvaru sněhuláka</v>
      </c>
      <c r="X149" s="645" t="str">
        <f t="shared" si="315"/>
        <v/>
      </c>
      <c r="Y149" s="645" t="str">
        <f t="shared" si="316"/>
        <v/>
      </c>
      <c r="Z149" s="645" t="str">
        <f>HYPERLINK("https://www.klasekpyrotechnics.cz/f17s")</f>
        <v>https://www.klasekpyrotechnics.cz/f17s</v>
      </c>
      <c r="AA149" s="645">
        <f>IFERROR(IF(VLOOKUP(C149,[4]List1!$A:$D,4,FALSE)=0,"",VLOOKUP(C149,[4]List1!$A:$D,4,FALSE)),"")</f>
        <v>20</v>
      </c>
      <c r="AB149" s="646"/>
      <c r="AC149" s="647" t="str">
        <f>IFERROR(IF(VLOOKUP(C149,[1]List1!$A:$D,2,FALSE)="VYPRODÁNO",$V$9,IF(VLOOKUP(C149,[1]List1!$A:$D,2,FALSE)="DOCHÁZÍ",$V$3,VLOOKUP(C149,[1]List1!$A:$D,2,FALSE))),"OFFLINE!")</f>
        <v>SKLADEM</v>
      </c>
      <c r="AD149" s="647" t="str">
        <f ca="1">IF(AP149="NE",$V$10,IF(AC149=$V$3,IF(AQ149&lt;1,$V$8,$V$2&amp;" "&amp;AQ149&amp;" "&amp;$V$1),IF(AC149="SKLADEM",$V$6,IFERROR(IF(OR(AC149-TODAY()&gt;45,VLOOKUP(C149,[1]List1!$A:$E,4,FALSE)=0),AC149,DAY(AC149)&amp;"."&amp;MONTH(AC149)&amp;"."&amp;YEAR(AC149)&amp;" "&amp;$V$4&amp;VLOOKUP(C149,[1]List1!$A:$E,4,FALSE)&amp;" "&amp;$V$1),AC149))))</f>
        <v>SKLADEM</v>
      </c>
      <c r="AE149" s="645" t="str">
        <f t="shared" ca="1" si="317"/>
        <v>SKLADEM</v>
      </c>
      <c r="AF149" s="648">
        <f t="shared" si="318"/>
        <v>0</v>
      </c>
      <c r="AG149" s="649">
        <f t="shared" si="319"/>
        <v>0</v>
      </c>
      <c r="AH149" s="650">
        <f t="shared" si="320"/>
        <v>0</v>
      </c>
      <c r="AI149" s="645">
        <f t="shared" si="321"/>
        <v>0</v>
      </c>
      <c r="AJ149" s="645">
        <f t="shared" si="322"/>
        <v>0</v>
      </c>
      <c r="AK149" s="645" t="str">
        <f t="shared" si="323"/>
        <v/>
      </c>
      <c r="AL149" s="645" t="str">
        <f t="shared" si="324"/>
        <v/>
      </c>
      <c r="AM149" s="645">
        <f t="shared" si="325"/>
        <v>0</v>
      </c>
      <c r="AN149" s="651">
        <f t="shared" si="326"/>
        <v>0</v>
      </c>
      <c r="AO149" s="623"/>
      <c r="AP149" s="632" t="str">
        <f t="shared" si="221"/>
        <v/>
      </c>
      <c r="AQ149" s="633" t="str">
        <f>IF(AC149=$V$3,IF(VLOOKUP(C149,[1]List1!$A:$E,5,FALSE)=0,1,VLOOKUP(C149,[1]List1!$A:$E,5,FALSE)),"")</f>
        <v/>
      </c>
      <c r="AR149" s="625" t="str">
        <f t="shared" si="222"/>
        <v/>
      </c>
      <c r="AS149" s="634" t="str">
        <f t="shared" si="223"/>
        <v/>
      </c>
      <c r="AT149" s="625" t="str">
        <f t="shared" si="224"/>
        <v/>
      </c>
      <c r="AU149" s="638" t="e">
        <f t="shared" si="225"/>
        <v>#N/A</v>
      </c>
      <c r="AV149" s="625" t="e">
        <f t="shared" si="226"/>
        <v>#N/A</v>
      </c>
      <c r="AX149" s="625">
        <f>IF(AND('General price list'!$J149="F4",'General price list'!$AB149+0&gt;0),1,0)</f>
        <v>0</v>
      </c>
      <c r="AY149" s="625">
        <f t="shared" si="227"/>
        <v>1</v>
      </c>
      <c r="AZ149" s="625">
        <f t="shared" si="228"/>
        <v>0</v>
      </c>
    </row>
    <row r="150" spans="1:52" ht="15" customHeight="1">
      <c r="A150" s="621" t="str">
        <f>Kat.!C150</f>
        <v/>
      </c>
      <c r="B150" s="566">
        <f>IF(AND('General price list'!$J150="F4",$AI$1=FALSE),0,IF(AC150="SKLADEM",1,IF(AC150=$V$3,1,0)))</f>
        <v>1</v>
      </c>
      <c r="C150" s="567" t="s">
        <v>11194</v>
      </c>
      <c r="D150" s="568" t="s">
        <v>11195</v>
      </c>
      <c r="E150" s="763" t="s">
        <v>12675</v>
      </c>
      <c r="F150" s="772">
        <f>IFERROR(VLOOKUP(C150,[2]List1!$A:$D,3,FALSE),"NEUVEDENO!")</f>
        <v>257</v>
      </c>
      <c r="G150" s="769">
        <f t="shared" si="313"/>
        <v>257</v>
      </c>
      <c r="H150" s="766">
        <f t="shared" si="314"/>
        <v>10.916984193736115</v>
      </c>
      <c r="I150" s="764">
        <f>IFERROR(VLOOKUP(C150,[2]List1!$A:$D,4,FALSE),"NEUVEDENO!")</f>
        <v>12</v>
      </c>
      <c r="J150" s="732" t="s">
        <v>39</v>
      </c>
      <c r="K150" s="569" t="s">
        <v>20</v>
      </c>
      <c r="L150" s="569" t="s">
        <v>12435</v>
      </c>
      <c r="M150" s="569" t="s">
        <v>21</v>
      </c>
      <c r="N150" s="569">
        <f>IFERROR(VLOOKUP(C150,[3]List1!$A:$D,4,FALSE),"N/A!")</f>
        <v>4.9724999999999998E-2</v>
      </c>
      <c r="O150" s="569">
        <f>IFERROR(VLOOKUP(C150,[3]List1!$A:$D,3,FALSE),"N/A!")</f>
        <v>1440</v>
      </c>
      <c r="P150" s="569">
        <f>IFERROR(VLOOKUP(C150,[3]List1!$A:$D,2,FALSE),"N/A!")</f>
        <v>9500</v>
      </c>
      <c r="Q150" s="569" t="s">
        <v>11244</v>
      </c>
      <c r="R150" s="569"/>
      <c r="S150" s="569"/>
      <c r="T150" s="569">
        <v>50</v>
      </c>
      <c r="U150" s="569"/>
      <c r="V150" s="569"/>
      <c r="W150" s="569" t="str">
        <f>IFERROR(IF(AND($AB150&gt;=0.1*$AA150,MOD($AB150,$AA150)&gt;=($AA150-(0.1*$AA150))),IF($W$17=$AF$1,"Zvažte možnost doobjednání ještě "&amp;Tabulka1[[#This Row],[VKPAL]]-MOD(AB150,AA150)&amp;" VK do plné palety.",VLOOKUP("Zvažte možnost doobjednání ještě ",Jazyky_ceník!A:Q,MATCH($W$17,Jazyky_ceník!$A$1:$Q$1,0),FALSE)&amp;Tabulka1[[#This Row],[VKPAL]]-MOD(AB150,AA150)&amp;VLOOKUP(" VK do plné palety.",Jazyky_ceník!A:Q,MATCH($W$17,Jazyky_ceník!$A$1:$Q$1,0),FALSE)),IFERROR(IF(AND(NOT(MOD($AB150,$AA150)=0),$AB150&gt;=0.9*$AA150,MOD($AB150,$AA150)&lt;=0.1*$AA150),IF($W$17=$AF$1,"Zvažte možnost optimalizace objednaného množství podle počtu VK na paletě ==&gt;",VLOOKUP("Zvažte možnost optimalizace objednaného množství podle počtu VK na paletě ==&gt;",Jazyky_ceník!A:Q,MATCH($W$17,Jazyky_ceník!$A$1:$Q$1,0),FALSE)),VLOOKUP('General price list'!$C150,Popisy!A:M,MATCH($W$17,Popisy!$A$7:$M$7,0),FALSE)),"---------------")),IFERROR(VLOOKUP('General price list'!$C150,Popisy!A:M,MATCH($W$17,Popisy!$A$7:$M$7,0),FALSE),"---------------"))</f>
        <v>neonové+práskající+blikající hvězdy</v>
      </c>
      <c r="X150" s="569" t="str">
        <f t="shared" si="315"/>
        <v/>
      </c>
      <c r="Y150" s="569" t="str">
        <f t="shared" si="316"/>
        <v/>
      </c>
      <c r="Z150" s="569" t="str">
        <f>HYPERLINK("https://www.klasekpyrotechnics.cz/f18nb")</f>
        <v>https://www.klasekpyrotechnics.cz/f18nb</v>
      </c>
      <c r="AA150" s="569">
        <f>IFERROR(IF(VLOOKUP(C150,[4]List1!$A:$D,4,FALSE)=0,"",VLOOKUP(C150,[4]List1!$A:$D,4,FALSE)),"")</f>
        <v>28</v>
      </c>
      <c r="AB150" s="565"/>
      <c r="AC150" s="570" t="str">
        <f>IFERROR(IF(VLOOKUP(C150,[1]List1!$A:$D,2,FALSE)="VYPRODÁNO",$V$9,IF(VLOOKUP(C150,[1]List1!$A:$D,2,FALSE)="DOCHÁZÍ",$V$3,VLOOKUP(C150,[1]List1!$A:$D,2,FALSE))),"OFFLINE!")</f>
        <v>SKLADEM</v>
      </c>
      <c r="AD150" s="570" t="str">
        <f ca="1">IF(AP150="NE",$V$10,IF(AC150=$V$3,IF(AQ150&lt;1,$V$8,$V$2&amp;" "&amp;AQ150&amp;" "&amp;$V$1),IF(AC150="SKLADEM",$V$6,IFERROR(IF(OR(AC150-TODAY()&gt;45,VLOOKUP(C150,[1]List1!$A:$E,4,FALSE)=0),AC150,DAY(AC150)&amp;"."&amp;MONTH(AC150)&amp;"."&amp;YEAR(AC150)&amp;" "&amp;$V$4&amp;VLOOKUP(C150,[1]List1!$A:$E,4,FALSE)&amp;" "&amp;$V$1),AC150))))</f>
        <v>SKLADEM</v>
      </c>
      <c r="AE150" s="581" t="str">
        <f t="shared" ca="1" si="317"/>
        <v>SKLADEM</v>
      </c>
      <c r="AF150" s="584">
        <f t="shared" si="318"/>
        <v>0</v>
      </c>
      <c r="AG150" s="585">
        <f t="shared" si="319"/>
        <v>0</v>
      </c>
      <c r="AH150" s="583">
        <f t="shared" si="320"/>
        <v>0</v>
      </c>
      <c r="AI150" s="582">
        <f t="shared" si="321"/>
        <v>0</v>
      </c>
      <c r="AJ150" s="569">
        <f t="shared" si="322"/>
        <v>0</v>
      </c>
      <c r="AK150" s="569" t="str">
        <f t="shared" si="323"/>
        <v/>
      </c>
      <c r="AL150" s="569" t="str">
        <f t="shared" si="324"/>
        <v/>
      </c>
      <c r="AM150" s="569">
        <f t="shared" si="325"/>
        <v>0</v>
      </c>
      <c r="AN150" s="581">
        <f t="shared" si="326"/>
        <v>0</v>
      </c>
      <c r="AO150" s="623"/>
      <c r="AP150" s="632" t="str">
        <f t="shared" si="221"/>
        <v/>
      </c>
      <c r="AQ150" s="633" t="str">
        <f>IF(AC150=$V$3,IF(VLOOKUP(C150,[1]List1!$A:$E,5,FALSE)=0,1,VLOOKUP(C150,[1]List1!$A:$E,5,FALSE)),"")</f>
        <v/>
      </c>
      <c r="AR150" s="625" t="str">
        <f t="shared" si="222"/>
        <v/>
      </c>
      <c r="AS150" s="634" t="str">
        <f t="shared" si="223"/>
        <v/>
      </c>
      <c r="AT150" s="625" t="str">
        <f t="shared" si="224"/>
        <v/>
      </c>
      <c r="AU150" s="638" t="e">
        <f t="shared" si="225"/>
        <v>#N/A</v>
      </c>
      <c r="AV150" s="625" t="e">
        <f t="shared" si="226"/>
        <v>#N/A</v>
      </c>
      <c r="AX150" s="625">
        <f>IF(AND('General price list'!$J150="F4",'General price list'!$AB150+0&gt;0),1,0)</f>
        <v>0</v>
      </c>
      <c r="AY150" s="625">
        <f t="shared" si="227"/>
        <v>1</v>
      </c>
      <c r="AZ150" s="625">
        <f t="shared" si="228"/>
        <v>0</v>
      </c>
    </row>
    <row r="151" spans="1:52" ht="15" customHeight="1">
      <c r="A151" s="639" t="str">
        <f>Kat.!C151</f>
        <v/>
      </c>
      <c r="B151" s="640">
        <f>IF(AND('General price list'!$J151="F4",$AI$1=FALSE),0,IF(AC151="SKLADEM",1,IF(AC151=$V$3,1,0)))</f>
        <v>1</v>
      </c>
      <c r="C151" s="641" t="s">
        <v>12007</v>
      </c>
      <c r="D151" s="642" t="s">
        <v>12008</v>
      </c>
      <c r="E151" s="643" t="s">
        <v>12680</v>
      </c>
      <c r="F151" s="771">
        <f>IFERROR(VLOOKUP(C151,[2]List1!$A:$D,3,FALSE),"NEUVEDENO!")</f>
        <v>301</v>
      </c>
      <c r="G151" s="768">
        <f t="shared" si="313"/>
        <v>301</v>
      </c>
      <c r="H151" s="765">
        <f t="shared" si="314"/>
        <v>12.786039853364088</v>
      </c>
      <c r="I151" s="644">
        <f>IFERROR(VLOOKUP(C151,[2]List1!$A:$D,4,FALSE),"NEUVEDENO!")</f>
        <v>15</v>
      </c>
      <c r="J151" s="733" t="s">
        <v>39</v>
      </c>
      <c r="K151" s="645" t="s">
        <v>20</v>
      </c>
      <c r="L151" s="645"/>
      <c r="M151" s="645" t="s">
        <v>21</v>
      </c>
      <c r="N151" s="645">
        <f>IFERROR(VLOOKUP(C151,[3]List1!$A:$D,4,FALSE),"N/A!")</f>
        <v>2.4911249999999999E-2</v>
      </c>
      <c r="O151" s="645">
        <f>IFERROR(VLOOKUP(C151,[3]List1!$A:$D,3,FALSE),"N/A!")</f>
        <v>6000</v>
      </c>
      <c r="P151" s="645">
        <f>IFERROR(VLOOKUP(C151,[3]List1!$A:$D,2,FALSE),"N/A!")</f>
        <v>11000</v>
      </c>
      <c r="Q151" s="645"/>
      <c r="R151" s="645"/>
      <c r="S151" s="645"/>
      <c r="T151" s="645">
        <v>40</v>
      </c>
      <c r="U151" s="645"/>
      <c r="V151" s="645"/>
      <c r="W151" s="645" t="str">
        <f>IFERROR(IF(AND($AB151&gt;=0.1*$AA151,MOD($AB151,$AA151)&gt;=($AA151-(0.1*$AA151))),IF($W$17=$AF$1,"Zvažte možnost doobjednání ještě "&amp;Tabulka1[[#This Row],[VKPAL]]-MOD(AB151,AA151)&amp;" VK do plné palety.",VLOOKUP("Zvažte možnost doobjednání ještě ",Jazyky_ceník!A:Q,MATCH($W$17,Jazyky_ceník!$A$1:$Q$1,0),FALSE)&amp;Tabulka1[[#This Row],[VKPAL]]-MOD(AB151,AA151)&amp;VLOOKUP(" VK do plné palety.",Jazyky_ceník!A:Q,MATCH($W$17,Jazyky_ceník!$A$1:$Q$1,0),FALSE)),IFERROR(IF(AND(NOT(MOD($AB151,$AA151)=0),$AB151&gt;=0.9*$AA151,MOD($AB151,$AA151)&lt;=0.1*$AA151),IF($W$17=$AF$1,"Zvažte možnost optimalizace objednaného množství podle počtu VK na paletě ==&gt;",VLOOKUP("Zvažte možnost optimalizace objednaného množství podle počtu VK na paletě ==&gt;",Jazyky_ceník!A:Q,MATCH($W$17,Jazyky_ceník!$A$1:$Q$1,0),FALSE)),VLOOKUP('General price list'!$C151,Popisy!A:M,MATCH($W$17,Popisy!$A$7:$M$7,0),FALSE)),"---------------")),IFERROR(VLOOKUP('General price list'!$C151,Popisy!A:M,MATCH($W$17,Popisy!$A$7:$M$7,0),FALSE),"---------------"))</f>
        <v>6m výška efektu, zeleno/modrá práskající fontána, stříbrno/zelená práskající fotána</v>
      </c>
      <c r="X151" s="645" t="str">
        <f t="shared" si="315"/>
        <v/>
      </c>
      <c r="Y151" s="645" t="str">
        <f t="shared" si="316"/>
        <v/>
      </c>
      <c r="Z151" s="645" t="str">
        <f>HYPERLINK("https://www.klasekpyrotechnics.cz/f216m")</f>
        <v>https://www.klasekpyrotechnics.cz/f216m</v>
      </c>
      <c r="AA151" s="645">
        <f>IFERROR(IF(VLOOKUP(C151,[4]List1!$A:$D,4,FALSE)=0,"",VLOOKUP(C151,[4]List1!$A:$D,4,FALSE)),"")</f>
        <v>36</v>
      </c>
      <c r="AB151" s="646"/>
      <c r="AC151" s="647" t="str">
        <f>IFERROR(IF(VLOOKUP(C151,[1]List1!$A:$D,2,FALSE)="VYPRODÁNO",$V$9,IF(VLOOKUP(C151,[1]List1!$A:$D,2,FALSE)="DOCHÁZÍ",$V$3,VLOOKUP(C151,[1]List1!$A:$D,2,FALSE))),"OFFLINE!")</f>
        <v>SKLADEM</v>
      </c>
      <c r="AD151" s="647" t="str">
        <f ca="1">IF(AP151="NE",$V$10,IF(AC151=$V$3,IF(AQ151&lt;1,$V$8,$V$2&amp;" "&amp;AQ151&amp;" "&amp;$V$1),IF(AC151="SKLADEM",$V$6,IFERROR(IF(OR(AC151-TODAY()&gt;45,VLOOKUP(C151,[1]List1!$A:$E,4,FALSE)=0),AC151,DAY(AC151)&amp;"."&amp;MONTH(AC151)&amp;"."&amp;YEAR(AC151)&amp;" "&amp;$V$4&amp;VLOOKUP(C151,[1]List1!$A:$E,4,FALSE)&amp;" "&amp;$V$1),AC151))))</f>
        <v>SKLADEM</v>
      </c>
      <c r="AE151" s="645" t="str">
        <f t="shared" ca="1" si="317"/>
        <v>SKLADEM</v>
      </c>
      <c r="AF151" s="648">
        <f t="shared" si="318"/>
        <v>0</v>
      </c>
      <c r="AG151" s="649">
        <f t="shared" si="319"/>
        <v>0</v>
      </c>
      <c r="AH151" s="650">
        <f t="shared" si="320"/>
        <v>0</v>
      </c>
      <c r="AI151" s="645">
        <f t="shared" si="321"/>
        <v>0</v>
      </c>
      <c r="AJ151" s="645">
        <f t="shared" si="322"/>
        <v>0</v>
      </c>
      <c r="AK151" s="645" t="str">
        <f t="shared" si="323"/>
        <v/>
      </c>
      <c r="AL151" s="645" t="str">
        <f t="shared" si="324"/>
        <v/>
      </c>
      <c r="AM151" s="645">
        <f t="shared" si="325"/>
        <v>0</v>
      </c>
      <c r="AN151" s="651">
        <f t="shared" si="326"/>
        <v>0</v>
      </c>
      <c r="AO151" s="623"/>
      <c r="AP151" s="632" t="str">
        <f t="shared" si="221"/>
        <v/>
      </c>
      <c r="AQ151" s="633" t="str">
        <f>IF(AC151=$V$3,IF(VLOOKUP(C151,[1]List1!$A:$E,5,FALSE)=0,1,VLOOKUP(C151,[1]List1!$A:$E,5,FALSE)),"")</f>
        <v/>
      </c>
      <c r="AR151" s="625" t="str">
        <f t="shared" si="222"/>
        <v/>
      </c>
      <c r="AS151" s="634" t="str">
        <f t="shared" si="223"/>
        <v/>
      </c>
      <c r="AT151" s="625" t="str">
        <f t="shared" si="224"/>
        <v/>
      </c>
      <c r="AU151" s="638" t="e">
        <f t="shared" si="225"/>
        <v>#N/A</v>
      </c>
      <c r="AV151" s="625" t="e">
        <f t="shared" si="226"/>
        <v>#N/A</v>
      </c>
      <c r="AX151" s="625">
        <f>IF(AND('General price list'!$J151="F4",'General price list'!$AB151+0&gt;0),1,0)</f>
        <v>0</v>
      </c>
      <c r="AY151" s="625">
        <f t="shared" si="227"/>
        <v>0</v>
      </c>
      <c r="AZ151" s="625">
        <f t="shared" si="228"/>
        <v>0</v>
      </c>
    </row>
    <row r="152" spans="1:52" ht="15" customHeight="1">
      <c r="A152" s="621" t="str">
        <f>Kat.!C152</f>
        <v/>
      </c>
      <c r="B152" s="566">
        <f>IF(AND('General price list'!$J152="F4",$AI$1=FALSE),0,IF(AC152="SKLADEM",1,IF(AC152=$V$3,1,0)))</f>
        <v>0</v>
      </c>
      <c r="C152" s="641" t="s">
        <v>12443</v>
      </c>
      <c r="D152" s="568" t="s">
        <v>12506</v>
      </c>
      <c r="E152" s="763" t="s">
        <v>12681</v>
      </c>
      <c r="F152" s="791">
        <f>IFERROR(VLOOKUP(C152,[2]List1!$A:$D,3,FALSE),"NEUVEDENO!")</f>
        <v>348</v>
      </c>
      <c r="G152" s="769">
        <f t="shared" si="313"/>
        <v>348</v>
      </c>
      <c r="H152" s="766">
        <f t="shared" si="314"/>
        <v>14.782531126148514</v>
      </c>
      <c r="I152" s="764">
        <f>IFERROR(VLOOKUP(C152,[2]List1!$A:$D,4,FALSE),"NEUVEDENO!")</f>
        <v>24</v>
      </c>
      <c r="J152" s="732" t="s">
        <v>39</v>
      </c>
      <c r="K152" s="569" t="s">
        <v>13032</v>
      </c>
      <c r="L152" s="569"/>
      <c r="M152" s="569" t="s">
        <v>21</v>
      </c>
      <c r="N152" s="569">
        <f>IFERROR(VLOOKUP(C152,[3]List1!$A:$D,4,FALSE),"N/A!")</f>
        <v>0</v>
      </c>
      <c r="O152" s="569">
        <f>IFERROR(VLOOKUP(C152,[3]List1!$A:$D,3,FALSE),"N/A!")</f>
        <v>4800</v>
      </c>
      <c r="P152" s="569">
        <f>IFERROR(VLOOKUP(C152,[3]List1!$A:$D,2,FALSE),"N/A!")</f>
        <v>15000</v>
      </c>
      <c r="Q152" s="569"/>
      <c r="R152" s="569"/>
      <c r="S152" s="569"/>
      <c r="T152" s="569">
        <v>40</v>
      </c>
      <c r="U152" s="569"/>
      <c r="V152" s="569"/>
      <c r="W152" s="569" t="str">
        <f>IFERROR(IF(AND($AB152&gt;=0.1*$AA152,MOD($AB152,$AA152)&gt;=($AA152-(0.1*$AA152))),IF($W$17=$AF$1,"Zvažte možnost doobjednání ještě "&amp;Tabulka1[[#This Row],[VKPAL]]-MOD(AB152,AA152)&amp;" VK do plné palety.",VLOOKUP("Zvažte možnost doobjednání ještě ",Jazyky_ceník!A:Q,MATCH($W$17,Jazyky_ceník!$A$1:$Q$1,0),FALSE)&amp;Tabulka1[[#This Row],[VKPAL]]-MOD(AB152,AA152)&amp;VLOOKUP(" VK do plné palety.",Jazyky_ceník!A:Q,MATCH($W$17,Jazyky_ceník!$A$1:$Q$1,0),FALSE)),IFERROR(IF(AND(NOT(MOD($AB152,$AA152)=0),$AB152&gt;=0.9*$AA152,MOD($AB152,$AA152)&lt;=0.1*$AA152),IF($W$17=$AF$1,"Zvažte možnost optimalizace objednaného množství podle počtu VK na paletě ==&gt;",VLOOKUP("Zvažte možnost optimalizace objednaného množství podle počtu VK na paletě ==&gt;",Jazyky_ceník!A:Q,MATCH($W$17,Jazyky_ceník!$A$1:$Q$1,0),FALSE)),VLOOKUP('General price list'!$C152,Popisy!A:M,MATCH($W$17,Popisy!$A$7:$M$7,0),FALSE)),"---------------")),IFERROR(VLOOKUP('General price list'!$C152,Popisy!A:M,MATCH($W$17,Popisy!$A$7:$M$7,0),FALSE),"---------------"))</f>
        <v>6m height golden fountain</v>
      </c>
      <c r="X152" s="569" t="str">
        <f t="shared" si="315"/>
        <v/>
      </c>
      <c r="Y152" s="569" t="str">
        <f t="shared" si="316"/>
        <v/>
      </c>
      <c r="Z152" s="569" t="str">
        <f>HYPERLINK("https://www.klasekpyrotechnics.cz/rk25002f")</f>
        <v>https://www.klasekpyrotechnics.cz/rk25002f</v>
      </c>
      <c r="AA152" s="569" t="str">
        <f>IFERROR(IF(VLOOKUP(C152,[4]List1!$A:$D,4,FALSE)=0,"",VLOOKUP(C152,[4]List1!$A:$D,4,FALSE)),"")</f>
        <v/>
      </c>
      <c r="AB152" s="565"/>
      <c r="AC152" s="570" t="str">
        <f>IFERROR(IF(VLOOKUP(C152,[1]List1!$A:$D,2,FALSE)="VYPRODÁNO",$V$9,IF(VLOOKUP(C152,[1]List1!$A:$D,2,FALSE)="DOCHÁZÍ",$V$3,VLOOKUP(C152,[1]List1!$A:$D,2,FALSE))),"OFFLINE!")</f>
        <v>31.08.2026</v>
      </c>
      <c r="AD152" s="570" t="str">
        <f ca="1">IF(AP152="NE",$V$10,IF(AC152=$V$3,IF(AQ152&lt;1,$V$8,$V$2&amp;" "&amp;AQ152&amp;" "&amp;$V$1),IF(AC152="SKLADEM",$V$6,IFERROR(IF(OR(AC152-TODAY()&gt;45,VLOOKUP(C152,[1]List1!$A:$E,4,FALSE)=0),AC152,DAY(AC152)&amp;"."&amp;MONTH(AC152)&amp;"."&amp;YEAR(AC152)&amp;" "&amp;$V$4&amp;VLOOKUP(C152,[1]List1!$A:$E,4,FALSE)&amp;" "&amp;$V$1),AC152))))</f>
        <v>31.08.2026</v>
      </c>
      <c r="AE152" s="581" t="str">
        <f t="shared" ca="1" si="317"/>
        <v>31.08.2026</v>
      </c>
      <c r="AF152" s="584">
        <f t="shared" si="318"/>
        <v>0</v>
      </c>
      <c r="AG152" s="585">
        <f t="shared" si="319"/>
        <v>0</v>
      </c>
      <c r="AH152" s="583">
        <f t="shared" si="320"/>
        <v>0</v>
      </c>
      <c r="AI152" s="582">
        <f t="shared" si="321"/>
        <v>0</v>
      </c>
      <c r="AJ152" s="569">
        <f t="shared" si="322"/>
        <v>0</v>
      </c>
      <c r="AK152" s="569" t="str">
        <f t="shared" si="323"/>
        <v/>
      </c>
      <c r="AL152" s="569" t="str">
        <f t="shared" si="324"/>
        <v/>
      </c>
      <c r="AM152" s="569">
        <f t="shared" si="325"/>
        <v>0</v>
      </c>
      <c r="AN152" s="581">
        <f t="shared" si="326"/>
        <v>0</v>
      </c>
      <c r="AO152" s="623"/>
      <c r="AP152" s="632" t="str">
        <f t="shared" si="221"/>
        <v/>
      </c>
      <c r="AQ152" s="633" t="str">
        <f>IF(AC152=$V$3,IF(VLOOKUP(C152,[1]List1!$A:$E,5,FALSE)=0,1,VLOOKUP(C152,[1]List1!$A:$E,5,FALSE)),"")</f>
        <v/>
      </c>
      <c r="AR152" s="625" t="str">
        <f t="shared" si="222"/>
        <v/>
      </c>
      <c r="AS152" s="634" t="str">
        <f t="shared" si="223"/>
        <v/>
      </c>
      <c r="AT152" s="625" t="str">
        <f t="shared" si="224"/>
        <v/>
      </c>
      <c r="AU152" s="638" t="e">
        <f t="shared" si="225"/>
        <v>#N/A</v>
      </c>
      <c r="AV152" s="625" t="e">
        <f t="shared" si="226"/>
        <v>#N/A</v>
      </c>
      <c r="AX152" s="625">
        <f>IF(AND('General price list'!$J152="F4",'General price list'!$AB152+0&gt;0),1,0)</f>
        <v>0</v>
      </c>
      <c r="AY152" s="625">
        <f t="shared" si="227"/>
        <v>0</v>
      </c>
      <c r="AZ152" s="625">
        <f t="shared" si="228"/>
        <v>0</v>
      </c>
    </row>
    <row r="153" spans="1:52" ht="15" customHeight="1">
      <c r="A153" s="751" t="str">
        <f>Kat.!C153</f>
        <v xml:space="preserve">           Vulkány</v>
      </c>
      <c r="B153" s="751"/>
      <c r="C153" s="751"/>
      <c r="D153" s="751"/>
      <c r="E153" s="751"/>
      <c r="F153" s="751"/>
      <c r="G153" s="751"/>
      <c r="H153" s="751"/>
      <c r="I153" s="752"/>
      <c r="J153" s="752"/>
      <c r="K153" s="752" t="s">
        <v>20</v>
      </c>
      <c r="L153" s="753" t="s">
        <v>2818</v>
      </c>
      <c r="M153" s="752"/>
      <c r="N153" s="752"/>
      <c r="O153" s="752"/>
      <c r="P153" s="752"/>
      <c r="Q153" s="752"/>
      <c r="R153" s="752"/>
      <c r="S153" s="752"/>
      <c r="T153" s="752"/>
      <c r="U153" s="752"/>
      <c r="V153" s="752"/>
      <c r="W153" s="752"/>
      <c r="X153" s="752"/>
      <c r="Y153" s="752"/>
      <c r="Z153" s="752" t="s">
        <v>20</v>
      </c>
      <c r="AA153" s="752"/>
      <c r="AB153" s="752"/>
      <c r="AC153" s="754"/>
      <c r="AD153" s="752"/>
      <c r="AE153" s="752"/>
      <c r="AF153" s="752"/>
      <c r="AG153" s="752"/>
      <c r="AH153" s="752"/>
      <c r="AI153" s="752"/>
      <c r="AJ153" s="752"/>
      <c r="AK153" s="752"/>
      <c r="AL153" s="752"/>
      <c r="AM153" s="752"/>
      <c r="AN153" s="752"/>
      <c r="AO153" s="623"/>
      <c r="AP153" s="632" t="str">
        <f t="shared" ref="AP153:AP162" si="327">IF($AL$3=1,IF(Y153=AB153,"","NE"),IF(AR153=$V$10,"NE",""))</f>
        <v/>
      </c>
      <c r="AQ153" s="633" t="str">
        <f>IF(AC153=$V$3,IF(VLOOKUP(C153,[1]List1!$A:$E,5,FALSE)=0,1,VLOOKUP(C153,[1]List1!$A:$E,5,FALSE)),"")</f>
        <v/>
      </c>
      <c r="AR153" s="625" t="str">
        <f t="shared" ref="AR153:AR162" si="328">IF($AL$3=1,"",IF(OR(AB153&lt;&gt;"",AB153&lt;&gt;0),IF(OR(AC153=$V$6,AC153=$V$3,AC153=$V$9),$V$10,""),""))</f>
        <v/>
      </c>
      <c r="AS153" s="634" t="str">
        <f t="shared" ref="AS153:AS162" si="329">IF(AT153&lt;&gt;"","X","")</f>
        <v/>
      </c>
      <c r="AT153" s="625" t="str">
        <f t="shared" ref="AT153:AT162" si="330">IF(AND($AL$3=2,AR153="",AB153&lt;&gt;""),AD153,"")</f>
        <v/>
      </c>
      <c r="AU153" s="638" t="e">
        <f t="shared" ref="AU153:AU162" si="331">IF(AT153=$AS$21,AB153,"")</f>
        <v>#N/A</v>
      </c>
      <c r="AV153" s="625" t="e">
        <f t="shared" ref="AV153:AV162" si="332">IF(OR(AB153="",AND(AT153&lt;&gt;"",AU153&lt;&gt;"")),"",$V$10)</f>
        <v>#N/A</v>
      </c>
      <c r="AX153" s="625">
        <f>IF(AND('General price list'!$J153="F4",'General price list'!$AB153+0&gt;0),1,0)</f>
        <v>0</v>
      </c>
      <c r="AY153" s="625">
        <f t="shared" ref="AY153:AY162" si="333">IFERROR(FIND(VLOOKUP($AC$7,$AD$1:$AE$12,2,FALSE),Q153,1),0)</f>
        <v>0</v>
      </c>
      <c r="AZ153" s="625">
        <f t="shared" ref="AZ153:AZ162" si="334">IFERROR(FIND(VLOOKUP($AC$7,$AD$1:$AE$12,2,FALSE),R153,1),0)</f>
        <v>0</v>
      </c>
    </row>
    <row r="154" spans="1:52" ht="15" customHeight="1">
      <c r="A154" s="639" t="str">
        <f>Kat.!C154</f>
        <v/>
      </c>
      <c r="B154" s="640">
        <f>IF(AND('General price list'!$J154="F4",$AI$1=FALSE),0,IF(AC154="SKLADEM",1,IF(AC154=$V$3,1,0)))</f>
        <v>1</v>
      </c>
      <c r="C154" s="641" t="s">
        <v>375</v>
      </c>
      <c r="D154" s="642" t="s">
        <v>12507</v>
      </c>
      <c r="E154" s="643" t="s">
        <v>12682</v>
      </c>
      <c r="F154" s="791">
        <f>IFERROR(VLOOKUP(C154,[2]List1!$A:$D,3,FALSE),"NEUVEDENO!")</f>
        <v>189</v>
      </c>
      <c r="G154" s="768">
        <f t="shared" ref="G154:G162" si="335">IF($W$17=$AF$8,ROUND((F154)/$F$17,2),(F154)*$B$19)</f>
        <v>189</v>
      </c>
      <c r="H154" s="765">
        <f t="shared" ref="H154:H162" si="336">IF($W$17=$AF$8,G154*$B$19,G154/$F$17)</f>
        <v>8.02844362885652</v>
      </c>
      <c r="I154" s="644">
        <f>IFERROR(VLOOKUP(C154,[2]List1!$A:$D,4,FALSE),"NEUVEDENO!")</f>
        <v>20</v>
      </c>
      <c r="J154" s="733" t="s">
        <v>39</v>
      </c>
      <c r="K154" s="645" t="s">
        <v>11100</v>
      </c>
      <c r="L154" s="645" t="s">
        <v>10974</v>
      </c>
      <c r="M154" s="645" t="s">
        <v>21</v>
      </c>
      <c r="N154" s="645">
        <f>IFERROR(VLOOKUP(C154,[3]List1!$A:$D,4,FALSE),"N/A!")</f>
        <v>4.0194000000000001E-2</v>
      </c>
      <c r="O154" s="645">
        <f>IFERROR(VLOOKUP(C154,[3]List1!$A:$D,3,FALSE),"N/A!")</f>
        <v>6000</v>
      </c>
      <c r="P154" s="645">
        <f>IFERROR(VLOOKUP(C154,[3]List1!$A:$D,2,FALSE),"N/A!")</f>
        <v>14000</v>
      </c>
      <c r="Q154" s="645" t="s">
        <v>11238</v>
      </c>
      <c r="R154" s="645"/>
      <c r="S154" s="645"/>
      <c r="T154" s="645">
        <v>30</v>
      </c>
      <c r="U154" s="645">
        <v>3</v>
      </c>
      <c r="V154" s="645">
        <v>1</v>
      </c>
      <c r="W154" s="645" t="str">
        <f>IFERROR(IF(AND($AB154&gt;=0.1*$AA154,MOD($AB154,$AA154)&gt;=($AA154-(0.1*$AA154))),IF($W$17=$AF$1,"Zvažte možnost doobjednání ještě "&amp;Tabulka1[[#This Row],[VKPAL]]-MOD(AB154,AA154)&amp;" VK do plné palety.",VLOOKUP("Zvažte možnost doobjednání ještě ",Jazyky_ceník!A:Q,MATCH($W$17,Jazyky_ceník!$A$1:$Q$1,0),FALSE)&amp;Tabulka1[[#This Row],[VKPAL]]-MOD(AB154,AA154)&amp;VLOOKUP(" VK do plné palety.",Jazyky_ceník!A:Q,MATCH($W$17,Jazyky_ceník!$A$1:$Q$1,0),FALSE)),IFERROR(IF(AND(NOT(MOD($AB154,$AA154)=0),$AB154&gt;=0.9*$AA154,MOD($AB154,$AA154)&lt;=0.1*$AA154),IF($W$17=$AF$1,"Zvažte možnost optimalizace objednaného množství podle počtu VK na paletě ==&gt;",VLOOKUP("Zvažte možnost optimalizace objednaného množství podle počtu VK na paletě ==&gt;",Jazyky_ceník!A:Q,MATCH($W$17,Jazyky_ceník!$A$1:$Q$1,0),FALSE)),VLOOKUP('General price list'!$C154,Popisy!A:M,MATCH($W$17,Popisy!$A$7:$M$7,0),FALSE)),"---------------")),IFERROR(VLOOKUP('General price list'!$C154,Popisy!A:M,MATCH($W$17,Popisy!$A$7:$M$7,0),FALSE),"---------------"))</f>
        <v xml:space="preserve">barevné hvězdy, 3m výška efektu, </v>
      </c>
      <c r="X154" s="645" t="str">
        <f t="shared" ref="X154:X162" si="337">IF(AB154&lt;0.0001,"",AB154)</f>
        <v/>
      </c>
      <c r="Y154" s="645" t="str">
        <f t="shared" ref="Y154:Y162" si="338">IF($AL$3=2,IF(OR(AB154&lt;&gt;"",AB154&lt;&gt;0),AU154,""),IF(C154="","",IF(AB154&lt;0.0001,"",IF(B154=0,"",IF(AQ154&lt;AB154,"",AB154)))))</f>
        <v/>
      </c>
      <c r="Z154" s="645" t="str">
        <f>HYPERLINK("https://www.klasekpyrotechnics.cz/f100c")</f>
        <v>https://www.klasekpyrotechnics.cz/f100c</v>
      </c>
      <c r="AA154" s="645">
        <f>IFERROR(IF(VLOOKUP(C154,[4]List1!$A:$D,4,FALSE)=0,"",VLOOKUP(C154,[4]List1!$A:$D,4,FALSE)),"")</f>
        <v>30</v>
      </c>
      <c r="AB154" s="646"/>
      <c r="AC154" s="647" t="str">
        <f>IFERROR(IF(VLOOKUP(C154,[1]List1!$A:$D,2,FALSE)="VYPRODÁNO",$V$9,IF(VLOOKUP(C154,[1]List1!$A:$D,2,FALSE)="DOCHÁZÍ",$V$3,VLOOKUP(C154,[1]List1!$A:$D,2,FALSE))),"OFFLINE!")</f>
        <v>SKLADEM</v>
      </c>
      <c r="AD154" s="647" t="str">
        <f ca="1">IF(AP154="NE",$V$10,IF(AC154=$V$3,IF(AQ154&lt;1,$V$8,$V$2&amp;" "&amp;AQ154&amp;" "&amp;$V$1),IF(AC154="SKLADEM",$V$6,IFERROR(IF(OR(AC154-TODAY()&gt;45,VLOOKUP(C154,[1]List1!$A:$E,4,FALSE)=0),AC154,DAY(AC154)&amp;"."&amp;MONTH(AC154)&amp;"."&amp;YEAR(AC154)&amp;" "&amp;$V$4&amp;VLOOKUP(C154,[1]List1!$A:$E,4,FALSE)&amp;" "&amp;$V$1),AC154))))</f>
        <v>SKLADEM</v>
      </c>
      <c r="AE154" s="645" t="str">
        <f t="shared" ref="AE154:AE162" ca="1" si="339">IFERROR(IF(AV154&lt;&gt;"",AV154,AD154),AD154)</f>
        <v>SKLADEM</v>
      </c>
      <c r="AF154" s="648">
        <f t="shared" ref="AF154:AF162" si="340">IFERROR(IF(AB154=Y154,G154*I154*Y154,0),0)</f>
        <v>0</v>
      </c>
      <c r="AG154" s="649">
        <f t="shared" ref="AG154:AG162" si="341">IF($W$17=$AF$8,AH154*1.23,AF154*1.21)</f>
        <v>0</v>
      </c>
      <c r="AH154" s="650">
        <f t="shared" ref="AH154:AH162" si="342">IFERROR(IF(Y154=AB154,H154*I154*Y154,0),0)</f>
        <v>0</v>
      </c>
      <c r="AI154" s="645">
        <f t="shared" ref="AI154:AI162" si="343">IFERROR(IF(Y154=AB154,(P154*Y154)/1000,1),0)</f>
        <v>0</v>
      </c>
      <c r="AJ154" s="645">
        <f t="shared" ref="AJ154:AJ162" si="344">IFERROR(IF(Y154=AB154,N154*Y154,0.1),0)</f>
        <v>0</v>
      </c>
      <c r="AK154" s="645" t="str">
        <f t="shared" ref="AK154:AK162" si="345">IFERROR(IF(Y154=AB154,IF(M154="1.1G",(O154/1000)*Y154,""),""),0)</f>
        <v/>
      </c>
      <c r="AL154" s="645" t="str">
        <f t="shared" ref="AL154:AL162" si="346">IFERROR(IF(Y154=AB154,IF(M154="1.3G",(O154/1000)*AB154,""),""),0)</f>
        <v/>
      </c>
      <c r="AM154" s="645">
        <f t="shared" ref="AM154:AM162" si="347">IFERROR(IF(Y154=AB154,IF(M154="1.4G",(O154/1000)*AB154,""),""),0)</f>
        <v>0</v>
      </c>
      <c r="AN154" s="651">
        <f t="shared" ref="AN154:AN162" si="348">SUM(AK154:AM154)</f>
        <v>0</v>
      </c>
      <c r="AO154" s="623"/>
      <c r="AP154" s="632" t="str">
        <f t="shared" si="327"/>
        <v/>
      </c>
      <c r="AQ154" s="633" t="str">
        <f>IF(AC154=$V$3,IF(VLOOKUP(C154,[1]List1!$A:$E,5,FALSE)=0,1,VLOOKUP(C154,[1]List1!$A:$E,5,FALSE)),"")</f>
        <v/>
      </c>
      <c r="AR154" s="625" t="str">
        <f t="shared" si="328"/>
        <v/>
      </c>
      <c r="AS154" s="634" t="str">
        <f t="shared" si="329"/>
        <v/>
      </c>
      <c r="AT154" s="625" t="str">
        <f t="shared" si="330"/>
        <v/>
      </c>
      <c r="AU154" s="638" t="e">
        <f t="shared" si="331"/>
        <v>#N/A</v>
      </c>
      <c r="AV154" s="625" t="e">
        <f t="shared" si="332"/>
        <v>#N/A</v>
      </c>
      <c r="AX154" s="625">
        <f>IF(AND('General price list'!$J154="F4",'General price list'!$AB154+0&gt;0),1,0)</f>
        <v>0</v>
      </c>
      <c r="AY154" s="625">
        <f t="shared" si="333"/>
        <v>1</v>
      </c>
      <c r="AZ154" s="625">
        <f t="shared" si="334"/>
        <v>0</v>
      </c>
    </row>
    <row r="155" spans="1:52" ht="15" customHeight="1">
      <c r="A155" s="621" t="str">
        <f>Kat.!C155</f>
        <v/>
      </c>
      <c r="B155" s="566">
        <f>IF(AND('General price list'!$J155="F4",$AI$1=FALSE),0,IF(AC155="SKLADEM",1,IF(AC155=$V$3,1,0)))</f>
        <v>1</v>
      </c>
      <c r="C155" s="567" t="s">
        <v>378</v>
      </c>
      <c r="D155" s="568" t="s">
        <v>12508</v>
      </c>
      <c r="E155" s="763" t="s">
        <v>12683</v>
      </c>
      <c r="F155" s="791">
        <f>IFERROR(VLOOKUP(C155,[2]List1!$A:$D,3,FALSE),"NEUVEDENO!")</f>
        <v>140</v>
      </c>
      <c r="G155" s="769">
        <f t="shared" si="335"/>
        <v>140</v>
      </c>
      <c r="H155" s="766">
        <f t="shared" si="336"/>
        <v>5.9469952806344599</v>
      </c>
      <c r="I155" s="764">
        <f>IFERROR(VLOOKUP(C155,[2]List1!$A:$D,4,FALSE),"NEUVEDENO!")</f>
        <v>20</v>
      </c>
      <c r="J155" s="732" t="s">
        <v>39</v>
      </c>
      <c r="K155" s="569" t="s">
        <v>11100</v>
      </c>
      <c r="L155" s="569" t="s">
        <v>10974</v>
      </c>
      <c r="M155" s="569" t="s">
        <v>21</v>
      </c>
      <c r="N155" s="569">
        <f>IFERROR(VLOOKUP(C155,[3]List1!$A:$D,4,FALSE),"N/A!")</f>
        <v>3.14925E-2</v>
      </c>
      <c r="O155" s="569">
        <f>IFERROR(VLOOKUP(C155,[3]List1!$A:$D,3,FALSE),"N/A!")</f>
        <v>4000</v>
      </c>
      <c r="P155" s="569">
        <f>IFERROR(VLOOKUP(C155,[3]List1!$A:$D,2,FALSE),"N/A!")</f>
        <v>10000</v>
      </c>
      <c r="Q155" s="569" t="s">
        <v>11238</v>
      </c>
      <c r="R155" s="569"/>
      <c r="S155" s="569"/>
      <c r="T155" s="569">
        <v>30</v>
      </c>
      <c r="U155" s="569">
        <v>3</v>
      </c>
      <c r="V155" s="569">
        <v>1</v>
      </c>
      <c r="W155" s="569" t="str">
        <f>IFERROR(IF(AND($AB155&gt;=0.1*$AA155,MOD($AB155,$AA155)&gt;=($AA155-(0.1*$AA155))),IF($W$17=$AF$1,"Zvažte možnost doobjednání ještě "&amp;Tabulka1[[#This Row],[VKPAL]]-MOD(AB155,AA155)&amp;" VK do plné palety.",VLOOKUP("Zvažte možnost doobjednání ještě ",Jazyky_ceník!A:Q,MATCH($W$17,Jazyky_ceník!$A$1:$Q$1,0),FALSE)&amp;Tabulka1[[#This Row],[VKPAL]]-MOD(AB155,AA155)&amp;VLOOKUP(" VK do plné palety.",Jazyky_ceník!A:Q,MATCH($W$17,Jazyky_ceník!$A$1:$Q$1,0),FALSE)),IFERROR(IF(AND(NOT(MOD($AB155,$AA155)=0),$AB155&gt;=0.9*$AA155,MOD($AB155,$AA155)&lt;=0.1*$AA155),IF($W$17=$AF$1,"Zvažte možnost optimalizace objednaného množství podle počtu VK na paletě ==&gt;",VLOOKUP("Zvažte možnost optimalizace objednaného množství podle počtu VK na paletě ==&gt;",Jazyky_ceník!A:Q,MATCH($W$17,Jazyky_ceník!$A$1:$Q$1,0),FALSE)),VLOOKUP('General price list'!$C155,Popisy!A:M,MATCH($W$17,Popisy!$A$7:$M$7,0),FALSE)),"---------------")),IFERROR(VLOOKUP('General price list'!$C155,Popisy!A:M,MATCH($W$17,Popisy!$A$7:$M$7,0),FALSE),"---------------"))</f>
        <v xml:space="preserve">dvopjité práskající hvězdy, 3m výška efektu, </v>
      </c>
      <c r="X155" s="569" t="str">
        <f t="shared" si="337"/>
        <v/>
      </c>
      <c r="Y155" s="569" t="str">
        <f t="shared" si="338"/>
        <v/>
      </c>
      <c r="Z155" s="569" t="str">
        <f>HYPERLINK("https://www.klasekpyrotechnics.cz/f100dc")</f>
        <v>https://www.klasekpyrotechnics.cz/f100dc</v>
      </c>
      <c r="AA155" s="569">
        <f>IFERROR(IF(VLOOKUP(C155,[4]List1!$A:$D,4,FALSE)=0,"",VLOOKUP(C155,[4]List1!$A:$D,4,FALSE)),"")</f>
        <v>42</v>
      </c>
      <c r="AB155" s="565"/>
      <c r="AC155" s="570" t="str">
        <f>IFERROR(IF(VLOOKUP(C155,[1]List1!$A:$D,2,FALSE)="VYPRODÁNO",$V$9,IF(VLOOKUP(C155,[1]List1!$A:$D,2,FALSE)="DOCHÁZÍ",$V$3,VLOOKUP(C155,[1]List1!$A:$D,2,FALSE))),"OFFLINE!")</f>
        <v>DOCHÁZÍ</v>
      </c>
      <c r="AD155" s="570" t="str">
        <f ca="1">IF(AP155="NE",$V$10,IF(AC155=$V$3,IF(AQ155&lt;1,$V$8,$V$2&amp;" "&amp;AQ155&amp;" "&amp;$V$1),IF(AC155="SKLADEM",$V$6,IFERROR(IF(OR(AC155-TODAY()&gt;45,VLOOKUP(C155,[1]List1!$A:$E,4,FALSE)=0),AC155,DAY(AC155)&amp;"."&amp;MONTH(AC155)&amp;"."&amp;YEAR(AC155)&amp;" "&amp;$V$4&amp;VLOOKUP(C155,[1]List1!$A:$E,4,FALSE)&amp;" "&amp;$V$1),AC155))))</f>
        <v>POSLEDNÍCH 3 VK</v>
      </c>
      <c r="AE155" s="581" t="str">
        <f t="shared" ca="1" si="339"/>
        <v>POSLEDNÍCH 3 VK</v>
      </c>
      <c r="AF155" s="584">
        <f t="shared" si="340"/>
        <v>0</v>
      </c>
      <c r="AG155" s="585">
        <f t="shared" si="341"/>
        <v>0</v>
      </c>
      <c r="AH155" s="583">
        <f t="shared" si="342"/>
        <v>0</v>
      </c>
      <c r="AI155" s="582">
        <f t="shared" si="343"/>
        <v>0</v>
      </c>
      <c r="AJ155" s="569">
        <f t="shared" si="344"/>
        <v>0</v>
      </c>
      <c r="AK155" s="569" t="str">
        <f t="shared" si="345"/>
        <v/>
      </c>
      <c r="AL155" s="569" t="str">
        <f t="shared" si="346"/>
        <v/>
      </c>
      <c r="AM155" s="569">
        <f t="shared" si="347"/>
        <v>0</v>
      </c>
      <c r="AN155" s="581">
        <f t="shared" si="348"/>
        <v>0</v>
      </c>
      <c r="AO155" s="623"/>
      <c r="AP155" s="632" t="str">
        <f t="shared" si="327"/>
        <v/>
      </c>
      <c r="AQ155" s="633">
        <f>IF(AC155=$V$3,IF(VLOOKUP(C155,[1]List1!$A:$E,5,FALSE)=0,1,VLOOKUP(C155,[1]List1!$A:$E,5,FALSE)),"")</f>
        <v>3</v>
      </c>
      <c r="AR155" s="625" t="str">
        <f t="shared" si="328"/>
        <v/>
      </c>
      <c r="AS155" s="634" t="str">
        <f t="shared" si="329"/>
        <v/>
      </c>
      <c r="AT155" s="625" t="str">
        <f t="shared" si="330"/>
        <v/>
      </c>
      <c r="AU155" s="638" t="e">
        <f t="shared" si="331"/>
        <v>#N/A</v>
      </c>
      <c r="AV155" s="625" t="e">
        <f t="shared" si="332"/>
        <v>#N/A</v>
      </c>
      <c r="AX155" s="625">
        <f>IF(AND('General price list'!$J155="F4",'General price list'!$AB155+0&gt;0),1,0)</f>
        <v>0</v>
      </c>
      <c r="AY155" s="625">
        <f t="shared" si="333"/>
        <v>1</v>
      </c>
      <c r="AZ155" s="625">
        <f t="shared" si="334"/>
        <v>0</v>
      </c>
    </row>
    <row r="156" spans="1:52" ht="15" customHeight="1">
      <c r="A156" s="639" t="str">
        <f>Kat.!C156</f>
        <v/>
      </c>
      <c r="B156" s="640">
        <f>IF(AND('General price list'!$J156="F4",$AI$1=FALSE),0,IF(AC156="SKLADEM",1,IF(AC156=$V$3,1,0)))</f>
        <v>1</v>
      </c>
      <c r="C156" s="641" t="s">
        <v>383</v>
      </c>
      <c r="D156" s="642" t="s">
        <v>12509</v>
      </c>
      <c r="E156" s="643" t="s">
        <v>12684</v>
      </c>
      <c r="F156" s="791">
        <f>IFERROR(VLOOKUP(C156,[2]List1!$A:$D,3,FALSE),"NEUVEDENO!")</f>
        <v>131</v>
      </c>
      <c r="G156" s="768">
        <f t="shared" si="335"/>
        <v>131</v>
      </c>
      <c r="H156" s="765">
        <f t="shared" si="336"/>
        <v>5.5646884411651012</v>
      </c>
      <c r="I156" s="644">
        <f>IFERROR(VLOOKUP(C156,[2]List1!$A:$D,4,FALSE),"NEUVEDENO!")</f>
        <v>25</v>
      </c>
      <c r="J156" s="733" t="s">
        <v>39</v>
      </c>
      <c r="K156" s="645" t="s">
        <v>11100</v>
      </c>
      <c r="L156" s="645" t="s">
        <v>10975</v>
      </c>
      <c r="M156" s="645" t="s">
        <v>21</v>
      </c>
      <c r="N156" s="645">
        <f>IFERROR(VLOOKUP(C156,[3]List1!$A:$D,4,FALSE),"N/A!")</f>
        <v>4.4226000000000001E-2</v>
      </c>
      <c r="O156" s="645">
        <f>IFERROR(VLOOKUP(C156,[3]List1!$A:$D,3,FALSE),"N/A!")</f>
        <v>7500</v>
      </c>
      <c r="P156" s="645">
        <f>IFERROR(VLOOKUP(C156,[3]List1!$A:$D,2,FALSE),"N/A!")</f>
        <v>13500</v>
      </c>
      <c r="Q156" s="645" t="s">
        <v>12766</v>
      </c>
      <c r="R156" s="645"/>
      <c r="S156" s="645"/>
      <c r="T156" s="645">
        <v>33</v>
      </c>
      <c r="U156" s="645">
        <v>4</v>
      </c>
      <c r="V156" s="645">
        <v>1</v>
      </c>
      <c r="W156" s="645" t="str">
        <f>IFERROR(IF(AND($AB156&gt;=0.1*$AA156,MOD($AB156,$AA156)&gt;=($AA156-(0.1*$AA156))),IF($W$17=$AF$1,"Zvažte možnost doobjednání ještě "&amp;Tabulka1[[#This Row],[VKPAL]]-MOD(AB156,AA156)&amp;" VK do plné palety.",VLOOKUP("Zvažte možnost doobjednání ještě ",Jazyky_ceník!A:Q,MATCH($W$17,Jazyky_ceník!$A$1:$Q$1,0),FALSE)&amp;Tabulka1[[#This Row],[VKPAL]]-MOD(AB156,AA156)&amp;VLOOKUP(" VK do plné palety.",Jazyky_ceník!A:Q,MATCH($W$17,Jazyky_ceník!$A$1:$Q$1,0),FALSE)),IFERROR(IF(AND(NOT(MOD($AB156,$AA156)=0),$AB156&gt;=0.9*$AA156,MOD($AB156,$AA156)&lt;=0.1*$AA156),IF($W$17=$AF$1,"Zvažte možnost optimalizace objednaného množství podle počtu VK na paletě ==&gt;",VLOOKUP("Zvažte možnost optimalizace objednaného množství podle počtu VK na paletě ==&gt;",Jazyky_ceník!A:Q,MATCH($W$17,Jazyky_ceník!$A$1:$Q$1,0),FALSE)),VLOOKUP('General price list'!$C156,Popisy!A:M,MATCH($W$17,Popisy!$A$7:$M$7,0),FALSE)),"---------------")),IFERROR(VLOOKUP('General price list'!$C156,Popisy!A:M,MATCH($W$17,Popisy!$A$7:$M$7,0),FALSE),"---------------"))</f>
        <v xml:space="preserve">stříbrné práskající hvězdy, 4m výška efektu, </v>
      </c>
      <c r="X156" s="645" t="str">
        <f t="shared" si="337"/>
        <v/>
      </c>
      <c r="Y156" s="645" t="str">
        <f t="shared" si="338"/>
        <v/>
      </c>
      <c r="Z156" s="645" t="str">
        <f>HYPERLINK("https://www.klasekpyrotechnics.cz/f250sc")</f>
        <v>https://www.klasekpyrotechnics.cz/f250sc</v>
      </c>
      <c r="AA156" s="645">
        <f>IFERROR(IF(VLOOKUP(C156,[4]List1!$A:$D,4,FALSE)=0,"",VLOOKUP(C156,[4]List1!$A:$D,4,FALSE)),"")</f>
        <v>32</v>
      </c>
      <c r="AB156" s="646"/>
      <c r="AC156" s="647" t="str">
        <f>IFERROR(IF(VLOOKUP(C156,[1]List1!$A:$D,2,FALSE)="VYPRODÁNO",$V$9,IF(VLOOKUP(C156,[1]List1!$A:$D,2,FALSE)="DOCHÁZÍ",$V$3,VLOOKUP(C156,[1]List1!$A:$D,2,FALSE))),"OFFLINE!")</f>
        <v>SKLADEM</v>
      </c>
      <c r="AD156" s="647" t="str">
        <f ca="1">IF(AP156="NE",$V$10,IF(AC156=$V$3,IF(AQ156&lt;1,$V$8,$V$2&amp;" "&amp;AQ156&amp;" "&amp;$V$1),IF(AC156="SKLADEM",$V$6,IFERROR(IF(OR(AC156-TODAY()&gt;45,VLOOKUP(C156,[1]List1!$A:$E,4,FALSE)=0),AC156,DAY(AC156)&amp;"."&amp;MONTH(AC156)&amp;"."&amp;YEAR(AC156)&amp;" "&amp;$V$4&amp;VLOOKUP(C156,[1]List1!$A:$E,4,FALSE)&amp;" "&amp;$V$1),AC156))))</f>
        <v>SKLADEM</v>
      </c>
      <c r="AE156" s="645" t="str">
        <f t="shared" ca="1" si="339"/>
        <v>SKLADEM</v>
      </c>
      <c r="AF156" s="648">
        <f t="shared" si="340"/>
        <v>0</v>
      </c>
      <c r="AG156" s="649">
        <f t="shared" si="341"/>
        <v>0</v>
      </c>
      <c r="AH156" s="650">
        <f t="shared" si="342"/>
        <v>0</v>
      </c>
      <c r="AI156" s="645">
        <f t="shared" si="343"/>
        <v>0</v>
      </c>
      <c r="AJ156" s="645">
        <f t="shared" si="344"/>
        <v>0</v>
      </c>
      <c r="AK156" s="645" t="str">
        <f t="shared" si="345"/>
        <v/>
      </c>
      <c r="AL156" s="645" t="str">
        <f t="shared" si="346"/>
        <v/>
      </c>
      <c r="AM156" s="645">
        <f t="shared" si="347"/>
        <v>0</v>
      </c>
      <c r="AN156" s="651">
        <f t="shared" si="348"/>
        <v>0</v>
      </c>
      <c r="AO156" s="623"/>
      <c r="AP156" s="632" t="str">
        <f t="shared" si="327"/>
        <v/>
      </c>
      <c r="AQ156" s="633" t="str">
        <f>IF(AC156=$V$3,IF(VLOOKUP(C156,[1]List1!$A:$E,5,FALSE)=0,1,VLOOKUP(C156,[1]List1!$A:$E,5,FALSE)),"")</f>
        <v/>
      </c>
      <c r="AR156" s="625" t="str">
        <f t="shared" si="328"/>
        <v/>
      </c>
      <c r="AS156" s="634" t="str">
        <f t="shared" si="329"/>
        <v/>
      </c>
      <c r="AT156" s="625" t="str">
        <f t="shared" si="330"/>
        <v/>
      </c>
      <c r="AU156" s="638" t="e">
        <f t="shared" si="331"/>
        <v>#N/A</v>
      </c>
      <c r="AV156" s="625" t="e">
        <f t="shared" si="332"/>
        <v>#N/A</v>
      </c>
      <c r="AX156" s="625">
        <f>IF(AND('General price list'!$J156="F4",'General price list'!$AB156+0&gt;0),1,0)</f>
        <v>0</v>
      </c>
      <c r="AY156" s="625">
        <f t="shared" si="333"/>
        <v>1</v>
      </c>
      <c r="AZ156" s="625">
        <f t="shared" si="334"/>
        <v>0</v>
      </c>
    </row>
    <row r="157" spans="1:52" ht="15" customHeight="1">
      <c r="A157" s="621" t="str">
        <f>Kat.!C157</f>
        <v/>
      </c>
      <c r="B157" s="566">
        <f>IF(AND('General price list'!$J157="F4",$AI$1=FALSE),0,IF(AC157="SKLADEM",1,IF(AC157=$V$3,1,0)))</f>
        <v>0</v>
      </c>
      <c r="C157" s="567" t="s">
        <v>387</v>
      </c>
      <c r="D157" s="568" t="s">
        <v>12510</v>
      </c>
      <c r="E157" s="763" t="s">
        <v>12684</v>
      </c>
      <c r="F157" s="791">
        <f>IFERROR(VLOOKUP(C157,[2]List1!$A:$D,3,FALSE),"NEUVEDENO!")</f>
        <v>131</v>
      </c>
      <c r="G157" s="769">
        <f t="shared" si="335"/>
        <v>131</v>
      </c>
      <c r="H157" s="766">
        <f t="shared" si="336"/>
        <v>5.5646884411651012</v>
      </c>
      <c r="I157" s="764">
        <f>IFERROR(VLOOKUP(C157,[2]List1!$A:$D,4,FALSE),"NEUVEDENO!")</f>
        <v>25</v>
      </c>
      <c r="J157" s="732" t="s">
        <v>39</v>
      </c>
      <c r="K157" s="569" t="s">
        <v>11100</v>
      </c>
      <c r="L157" s="569" t="s">
        <v>10975</v>
      </c>
      <c r="M157" s="569" t="s">
        <v>21</v>
      </c>
      <c r="N157" s="569">
        <f>IFERROR(VLOOKUP(C157,[3]List1!$A:$D,4,FALSE),"N/A!")</f>
        <v>4.4226000000000001E-2</v>
      </c>
      <c r="O157" s="569">
        <f>IFERROR(VLOOKUP(C157,[3]List1!$A:$D,3,FALSE),"N/A!")</f>
        <v>7500</v>
      </c>
      <c r="P157" s="569">
        <f>IFERROR(VLOOKUP(C157,[3]List1!$A:$D,2,FALSE),"N/A!")</f>
        <v>13500</v>
      </c>
      <c r="Q157" s="569" t="s">
        <v>12766</v>
      </c>
      <c r="R157" s="569" t="s">
        <v>20</v>
      </c>
      <c r="S157" s="569"/>
      <c r="T157" s="569">
        <v>33</v>
      </c>
      <c r="U157" s="569">
        <v>4</v>
      </c>
      <c r="V157" s="569">
        <v>1</v>
      </c>
      <c r="W157" s="569" t="str">
        <f>IFERROR(IF(AND($AB157&gt;=0.1*$AA157,MOD($AB157,$AA157)&gt;=($AA157-(0.1*$AA157))),IF($W$17=$AF$1,"Zvažte možnost doobjednání ještě "&amp;Tabulka1[[#This Row],[VKPAL]]-MOD(AB157,AA157)&amp;" VK do plné palety.",VLOOKUP("Zvažte možnost doobjednání ještě ",Jazyky_ceník!A:Q,MATCH($W$17,Jazyky_ceník!$A$1:$Q$1,0),FALSE)&amp;Tabulka1[[#This Row],[VKPAL]]-MOD(AB157,AA157)&amp;VLOOKUP(" VK do plné palety.",Jazyky_ceník!A:Q,MATCH($W$17,Jazyky_ceník!$A$1:$Q$1,0),FALSE)),IFERROR(IF(AND(NOT(MOD($AB157,$AA157)=0),$AB157&gt;=0.9*$AA157,MOD($AB157,$AA157)&lt;=0.1*$AA157),IF($W$17=$AF$1,"Zvažte možnost optimalizace objednaného množství podle počtu VK na paletě ==&gt;",VLOOKUP("Zvažte možnost optimalizace objednaného množství podle počtu VK na paletě ==&gt;",Jazyky_ceník!A:Q,MATCH($W$17,Jazyky_ceník!$A$1:$Q$1,0),FALSE)),VLOOKUP('General price list'!$C157,Popisy!A:M,MATCH($W$17,Popisy!$A$7:$M$7,0),FALSE)),"---------------")),IFERROR(VLOOKUP('General price list'!$C157,Popisy!A:M,MATCH($W$17,Popisy!$A$7:$M$7,0),FALSE),"---------------"))</f>
        <v xml:space="preserve">barevné hvězdy, 4m výška efektu, </v>
      </c>
      <c r="X157" s="569" t="str">
        <f t="shared" si="337"/>
        <v/>
      </c>
      <c r="Y157" s="569" t="str">
        <f t="shared" si="338"/>
        <v/>
      </c>
      <c r="Z157" s="569" t="str">
        <f>HYPERLINK("https://www.klasekpyrotechnics.cz/f250c")</f>
        <v>https://www.klasekpyrotechnics.cz/f250c</v>
      </c>
      <c r="AA157" s="569">
        <f>IFERROR(IF(VLOOKUP(C157,[4]List1!$A:$D,4,FALSE)=0,"",VLOOKUP(C157,[4]List1!$A:$D,4,FALSE)),"")</f>
        <v>32</v>
      </c>
      <c r="AB157" s="565"/>
      <c r="AC157" s="570" t="str">
        <f>IFERROR(IF(VLOOKUP(C157,[1]List1!$A:$D,2,FALSE)="VYPRODÁNO",$V$9,IF(VLOOKUP(C157,[1]List1!$A:$D,2,FALSE)="DOCHÁZÍ",$V$3,VLOOKUP(C157,[1]List1!$A:$D,2,FALSE))),"OFFLINE!")</f>
        <v>31.08.2026</v>
      </c>
      <c r="AD157" s="570" t="str">
        <f ca="1">IF(AP157="NE",$V$10,IF(AC157=$V$3,IF(AQ157&lt;1,$V$8,$V$2&amp;" "&amp;AQ157&amp;" "&amp;$V$1),IF(AC157="SKLADEM",$V$6,IFERROR(IF(OR(AC157-TODAY()&gt;45,VLOOKUP(C157,[1]List1!$A:$E,4,FALSE)=0),AC157,DAY(AC157)&amp;"."&amp;MONTH(AC157)&amp;"."&amp;YEAR(AC157)&amp;" "&amp;$V$4&amp;VLOOKUP(C157,[1]List1!$A:$E,4,FALSE)&amp;" "&amp;$V$1),AC157))))</f>
        <v>31.08.2026</v>
      </c>
      <c r="AE157" s="581" t="str">
        <f t="shared" ca="1" si="339"/>
        <v>31.08.2026</v>
      </c>
      <c r="AF157" s="584">
        <f t="shared" si="340"/>
        <v>0</v>
      </c>
      <c r="AG157" s="585">
        <f t="shared" si="341"/>
        <v>0</v>
      </c>
      <c r="AH157" s="583">
        <f t="shared" si="342"/>
        <v>0</v>
      </c>
      <c r="AI157" s="582">
        <f t="shared" si="343"/>
        <v>0</v>
      </c>
      <c r="AJ157" s="569">
        <f t="shared" si="344"/>
        <v>0</v>
      </c>
      <c r="AK157" s="569" t="str">
        <f t="shared" si="345"/>
        <v/>
      </c>
      <c r="AL157" s="569" t="str">
        <f t="shared" si="346"/>
        <v/>
      </c>
      <c r="AM157" s="569">
        <f t="shared" si="347"/>
        <v>0</v>
      </c>
      <c r="AN157" s="581">
        <f t="shared" si="348"/>
        <v>0</v>
      </c>
      <c r="AO157" s="623"/>
      <c r="AP157" s="632" t="str">
        <f t="shared" si="327"/>
        <v/>
      </c>
      <c r="AQ157" s="633" t="str">
        <f>IF(AC157=$V$3,IF(VLOOKUP(C157,[1]List1!$A:$E,5,FALSE)=0,1,VLOOKUP(C157,[1]List1!$A:$E,5,FALSE)),"")</f>
        <v/>
      </c>
      <c r="AR157" s="625" t="str">
        <f t="shared" si="328"/>
        <v/>
      </c>
      <c r="AS157" s="634" t="str">
        <f t="shared" si="329"/>
        <v/>
      </c>
      <c r="AT157" s="625" t="str">
        <f t="shared" si="330"/>
        <v/>
      </c>
      <c r="AU157" s="638" t="e">
        <f t="shared" si="331"/>
        <v>#N/A</v>
      </c>
      <c r="AV157" s="625" t="e">
        <f t="shared" si="332"/>
        <v>#N/A</v>
      </c>
      <c r="AX157" s="625">
        <f>IF(AND('General price list'!$J157="F4",'General price list'!$AB157+0&gt;0),1,0)</f>
        <v>0</v>
      </c>
      <c r="AY157" s="625">
        <f t="shared" si="333"/>
        <v>1</v>
      </c>
      <c r="AZ157" s="625">
        <f t="shared" si="334"/>
        <v>0</v>
      </c>
    </row>
    <row r="158" spans="1:52" ht="15" customHeight="1">
      <c r="A158" s="639" t="str">
        <f>Kat.!C158</f>
        <v/>
      </c>
      <c r="B158" s="640">
        <f>IF(AND('General price list'!$J158="F4",$AI$1=FALSE),0,IF(AC158="SKLADEM",1,IF(AC158=$V$3,1,0)))</f>
        <v>1</v>
      </c>
      <c r="C158" s="641" t="s">
        <v>389</v>
      </c>
      <c r="D158" s="642" t="s">
        <v>12511</v>
      </c>
      <c r="E158" s="643" t="s">
        <v>12680</v>
      </c>
      <c r="F158" s="771">
        <f>IFERROR(VLOOKUP(C158,[2]List1!$A:$D,3,FALSE),"NEUVEDENO!")</f>
        <v>424</v>
      </c>
      <c r="G158" s="768">
        <f t="shared" si="335"/>
        <v>424</v>
      </c>
      <c r="H158" s="765">
        <f t="shared" si="336"/>
        <v>18.010899992778651</v>
      </c>
      <c r="I158" s="644">
        <f>IFERROR(VLOOKUP(C158,[2]List1!$A:$D,4,FALSE),"NEUVEDENO!")</f>
        <v>15</v>
      </c>
      <c r="J158" s="733" t="s">
        <v>39</v>
      </c>
      <c r="K158" s="645" t="s">
        <v>20</v>
      </c>
      <c r="L158" s="645" t="s">
        <v>10970</v>
      </c>
      <c r="M158" s="645" t="s">
        <v>21</v>
      </c>
      <c r="N158" s="645">
        <f>IFERROR(VLOOKUP(C158,[3]List1!$A:$D,4,FALSE),"N/A!")</f>
        <v>9.7143499999999994E-2</v>
      </c>
      <c r="O158" s="645">
        <f>IFERROR(VLOOKUP(C158,[3]List1!$A:$D,3,FALSE),"N/A!")</f>
        <v>7500</v>
      </c>
      <c r="P158" s="645">
        <f>IFERROR(VLOOKUP(C158,[3]List1!$A:$D,2,FALSE),"N/A!")</f>
        <v>22000</v>
      </c>
      <c r="Q158" s="645" t="s">
        <v>11747</v>
      </c>
      <c r="R158" s="645" t="s">
        <v>20</v>
      </c>
      <c r="S158" s="645"/>
      <c r="T158" s="645">
        <v>45</v>
      </c>
      <c r="U158" s="645">
        <v>5</v>
      </c>
      <c r="V158" s="645">
        <v>1.5</v>
      </c>
      <c r="W158" s="645" t="str">
        <f>IFERROR(IF(AND($AB158&gt;=0.1*$AA158,MOD($AB158,$AA158)&gt;=($AA158-(0.1*$AA158))),IF($W$17=$AF$1,"Zvažte možnost doobjednání ještě "&amp;Tabulka1[[#This Row],[VKPAL]]-MOD(AB158,AA158)&amp;" VK do plné palety.",VLOOKUP("Zvažte možnost doobjednání ještě ",Jazyky_ceník!A:Q,MATCH($W$17,Jazyky_ceník!$A$1:$Q$1,0),FALSE)&amp;Tabulka1[[#This Row],[VKPAL]]-MOD(AB158,AA158)&amp;VLOOKUP(" VK do plné palety.",Jazyky_ceník!A:Q,MATCH($W$17,Jazyky_ceník!$A$1:$Q$1,0),FALSE)),IFERROR(IF(AND(NOT(MOD($AB158,$AA158)=0),$AB158&gt;=0.9*$AA158,MOD($AB158,$AA158)&lt;=0.1*$AA158),IF($W$17=$AF$1,"Zvažte možnost optimalizace objednaného množství podle počtu VK na paletě ==&gt;",VLOOKUP("Zvažte možnost optimalizace objednaného množství podle počtu VK na paletě ==&gt;",Jazyky_ceník!A:Q,MATCH($W$17,Jazyky_ceník!$A$1:$Q$1,0),FALSE)),VLOOKUP('General price list'!$C158,Popisy!A:M,MATCH($W$17,Popisy!$A$7:$M$7,0),FALSE)),"---------------")),IFERROR(VLOOKUP('General price list'!$C158,Popisy!A:M,MATCH($W$17,Popisy!$A$7:$M$7,0),FALSE),"---------------"))</f>
        <v xml:space="preserve">práskajíci hvězdy+barevné hvězdy, 5m výška efektu, </v>
      </c>
      <c r="X158" s="645" t="str">
        <f t="shared" si="337"/>
        <v/>
      </c>
      <c r="Y158" s="645" t="str">
        <f t="shared" si="338"/>
        <v/>
      </c>
      <c r="Z158" s="645" t="str">
        <f>HYPERLINK("https://www.klasekpyrotechnics.cz/f500sig")</f>
        <v>https://www.klasekpyrotechnics.cz/f500sig</v>
      </c>
      <c r="AA158" s="645" t="str">
        <f>IFERROR(IF(VLOOKUP(C158,[4]List1!$A:$D,4,FALSE)=0,"",VLOOKUP(C158,[4]List1!$A:$D,4,FALSE)),"")</f>
        <v>16</v>
      </c>
      <c r="AB158" s="646"/>
      <c r="AC158" s="647" t="str">
        <f>IFERROR(IF(VLOOKUP(C158,[1]List1!$A:$D,2,FALSE)="VYPRODÁNO",$V$9,IF(VLOOKUP(C158,[1]List1!$A:$D,2,FALSE)="DOCHÁZÍ",$V$3,VLOOKUP(C158,[1]List1!$A:$D,2,FALSE))),"OFFLINE!")</f>
        <v>SKLADEM</v>
      </c>
      <c r="AD158" s="647" t="str">
        <f ca="1">IF(AP158="NE",$V$10,IF(AC158=$V$3,IF(AQ158&lt;1,$V$8,$V$2&amp;" "&amp;AQ158&amp;" "&amp;$V$1),IF(AC158="SKLADEM",$V$6,IFERROR(IF(OR(AC158-TODAY()&gt;45,VLOOKUP(C158,[1]List1!$A:$E,4,FALSE)=0),AC158,DAY(AC158)&amp;"."&amp;MONTH(AC158)&amp;"."&amp;YEAR(AC158)&amp;" "&amp;$V$4&amp;VLOOKUP(C158,[1]List1!$A:$E,4,FALSE)&amp;" "&amp;$V$1),AC158))))</f>
        <v>SKLADEM</v>
      </c>
      <c r="AE158" s="645" t="str">
        <f t="shared" ca="1" si="339"/>
        <v>SKLADEM</v>
      </c>
      <c r="AF158" s="648">
        <f t="shared" si="340"/>
        <v>0</v>
      </c>
      <c r="AG158" s="649">
        <f t="shared" si="341"/>
        <v>0</v>
      </c>
      <c r="AH158" s="650">
        <f t="shared" si="342"/>
        <v>0</v>
      </c>
      <c r="AI158" s="645">
        <f t="shared" si="343"/>
        <v>0</v>
      </c>
      <c r="AJ158" s="645">
        <f t="shared" si="344"/>
        <v>0</v>
      </c>
      <c r="AK158" s="645" t="str">
        <f t="shared" si="345"/>
        <v/>
      </c>
      <c r="AL158" s="645" t="str">
        <f t="shared" si="346"/>
        <v/>
      </c>
      <c r="AM158" s="645">
        <f t="shared" si="347"/>
        <v>0</v>
      </c>
      <c r="AN158" s="651">
        <f t="shared" si="348"/>
        <v>0</v>
      </c>
      <c r="AO158" s="623"/>
      <c r="AP158" s="632" t="str">
        <f t="shared" si="327"/>
        <v/>
      </c>
      <c r="AQ158" s="633" t="str">
        <f>IF(AC158=$V$3,IF(VLOOKUP(C158,[1]List1!$A:$E,5,FALSE)=0,1,VLOOKUP(C158,[1]List1!$A:$E,5,FALSE)),"")</f>
        <v/>
      </c>
      <c r="AR158" s="625" t="str">
        <f t="shared" si="328"/>
        <v/>
      </c>
      <c r="AS158" s="634" t="str">
        <f t="shared" si="329"/>
        <v/>
      </c>
      <c r="AT158" s="625" t="str">
        <f t="shared" si="330"/>
        <v/>
      </c>
      <c r="AU158" s="638" t="e">
        <f t="shared" si="331"/>
        <v>#N/A</v>
      </c>
      <c r="AV158" s="625" t="e">
        <f t="shared" si="332"/>
        <v>#N/A</v>
      </c>
      <c r="AX158" s="625">
        <f>IF(AND('General price list'!$J158="F4",'General price list'!$AB158+0&gt;0),1,0)</f>
        <v>0</v>
      </c>
      <c r="AY158" s="625">
        <f t="shared" si="333"/>
        <v>1</v>
      </c>
      <c r="AZ158" s="625">
        <f t="shared" si="334"/>
        <v>0</v>
      </c>
    </row>
    <row r="159" spans="1:52" ht="15.75" customHeight="1">
      <c r="A159" s="621" t="str">
        <f>Kat.!C159</f>
        <v>×</v>
      </c>
      <c r="B159" s="566">
        <f>IF(AND('General price list'!$J159="F4",$AI$1=FALSE),0,IF(AC159="SKLADEM",1,IF(AC159=$V$3,1,0)))</f>
        <v>1</v>
      </c>
      <c r="C159" s="567" t="s">
        <v>397</v>
      </c>
      <c r="D159" s="568" t="s">
        <v>12512</v>
      </c>
      <c r="E159" s="763" t="s">
        <v>12680</v>
      </c>
      <c r="F159" s="791">
        <f>IFERROR(VLOOKUP(C159,[2]List1!$A:$D,3,FALSE),"NEUVEDENO!")</f>
        <v>315</v>
      </c>
      <c r="G159" s="769">
        <f t="shared" si="335"/>
        <v>315</v>
      </c>
      <c r="H159" s="766">
        <f t="shared" si="336"/>
        <v>13.380739381427533</v>
      </c>
      <c r="I159" s="764">
        <f>IFERROR(VLOOKUP(C159,[2]List1!$A:$D,4,FALSE),"NEUVEDENO!")</f>
        <v>15</v>
      </c>
      <c r="J159" s="732" t="s">
        <v>113</v>
      </c>
      <c r="K159" s="569" t="s">
        <v>11100</v>
      </c>
      <c r="L159" s="569" t="s">
        <v>20</v>
      </c>
      <c r="M159" s="569" t="s">
        <v>21</v>
      </c>
      <c r="N159" s="569">
        <f>IFERROR(VLOOKUP(C159,[3]List1!$A:$D,4,FALSE),"N/A!")</f>
        <v>6.3425999999999996E-2</v>
      </c>
      <c r="O159" s="569">
        <f>IFERROR(VLOOKUP(C159,[3]List1!$A:$D,3,FALSE),"N/A!")</f>
        <v>10500</v>
      </c>
      <c r="P159" s="569">
        <f>IFERROR(VLOOKUP(C159,[3]List1!$A:$D,2,FALSE),"N/A!")</f>
        <v>18000</v>
      </c>
      <c r="Q159" s="569" t="s">
        <v>11254</v>
      </c>
      <c r="R159" s="569" t="s">
        <v>20</v>
      </c>
      <c r="S159" s="569"/>
      <c r="T159" s="569">
        <v>60</v>
      </c>
      <c r="U159" s="569">
        <v>5</v>
      </c>
      <c r="V159" s="569">
        <v>1.5</v>
      </c>
      <c r="W159" s="569" t="str">
        <f>IFERROR(IF(AND($AB159&gt;=0.1*$AA159,MOD($AB159,$AA159)&gt;=($AA159-(0.1*$AA159))),IF($W$17=$AF$1,"Zvažte možnost doobjednání ještě "&amp;Tabulka1[[#This Row],[VKPAL]]-MOD(AB159,AA159)&amp;" VK do plné palety.",VLOOKUP("Zvažte možnost doobjednání ještě ",Jazyky_ceník!A:Q,MATCH($W$17,Jazyky_ceník!$A$1:$Q$1,0),FALSE)&amp;Tabulka1[[#This Row],[VKPAL]]-MOD(AB159,AA159)&amp;VLOOKUP(" VK do plné palety.",Jazyky_ceník!A:Q,MATCH($W$17,Jazyky_ceník!$A$1:$Q$1,0),FALSE)),IFERROR(IF(AND(NOT(MOD($AB159,$AA159)=0),$AB159&gt;=0.9*$AA159,MOD($AB159,$AA159)&lt;=0.1*$AA159),IF($W$17=$AF$1,"Zvažte možnost optimalizace objednaného množství podle počtu VK na paletě ==&gt;",VLOOKUP("Zvažte možnost optimalizace objednaného množství podle počtu VK na paletě ==&gt;",Jazyky_ceník!A:Q,MATCH($W$17,Jazyky_ceník!$A$1:$Q$1,0),FALSE)),VLOOKUP('General price list'!$C159,Popisy!A:M,MATCH($W$17,Popisy!$A$7:$M$7,0),FALSE)),"---------------")),IFERROR(VLOOKUP('General price list'!$C159,Popisy!A:M,MATCH($W$17,Popisy!$A$7:$M$7,0),FALSE),"---------------"))</f>
        <v xml:space="preserve">stříbrné hvězdy, 5m výška efektu, </v>
      </c>
      <c r="X159" s="569" t="str">
        <f t="shared" si="337"/>
        <v/>
      </c>
      <c r="Y159" s="569" t="str">
        <f t="shared" si="338"/>
        <v/>
      </c>
      <c r="Z159" s="569" t="str">
        <f>HYPERLINK("https://www.klasekpyrotechnics.cz/f500ss")</f>
        <v>https://www.klasekpyrotechnics.cz/f500ss</v>
      </c>
      <c r="AA159" s="569">
        <f>IFERROR(IF(VLOOKUP(C159,[4]List1!$A:$D,4,FALSE)=0,"",VLOOKUP(C159,[4]List1!$A:$D,4,FALSE)),"")</f>
        <v>15</v>
      </c>
      <c r="AB159" s="565"/>
      <c r="AC159" s="570" t="str">
        <f>IFERROR(IF(VLOOKUP(C159,[1]List1!$A:$D,2,FALSE)="VYPRODÁNO",$V$9,IF(VLOOKUP(C159,[1]List1!$A:$D,2,FALSE)="DOCHÁZÍ",$V$3,VLOOKUP(C159,[1]List1!$A:$D,2,FALSE))),"OFFLINE!")</f>
        <v>SKLADEM</v>
      </c>
      <c r="AD159" s="570" t="str">
        <f ca="1">IF(AP159="NE",$V$10,IF(AC159=$V$3,IF(AQ159&lt;1,$V$8,$V$2&amp;" "&amp;AQ159&amp;" "&amp;$V$1),IF(AC159="SKLADEM",$V$6,IFERROR(IF(OR(AC159-TODAY()&gt;45,VLOOKUP(C159,[1]List1!$A:$E,4,FALSE)=0),AC159,DAY(AC159)&amp;"."&amp;MONTH(AC159)&amp;"."&amp;YEAR(AC159)&amp;" "&amp;$V$4&amp;VLOOKUP(C159,[1]List1!$A:$E,4,FALSE)&amp;" "&amp;$V$1),AC159))))</f>
        <v>SKLADEM</v>
      </c>
      <c r="AE159" s="581" t="str">
        <f t="shared" ca="1" si="339"/>
        <v>SKLADEM</v>
      </c>
      <c r="AF159" s="584">
        <f t="shared" si="340"/>
        <v>0</v>
      </c>
      <c r="AG159" s="585">
        <f t="shared" si="341"/>
        <v>0</v>
      </c>
      <c r="AH159" s="583">
        <f t="shared" si="342"/>
        <v>0</v>
      </c>
      <c r="AI159" s="582">
        <f t="shared" si="343"/>
        <v>0</v>
      </c>
      <c r="AJ159" s="569">
        <f t="shared" si="344"/>
        <v>0</v>
      </c>
      <c r="AK159" s="569" t="str">
        <f t="shared" si="345"/>
        <v/>
      </c>
      <c r="AL159" s="569" t="str">
        <f t="shared" si="346"/>
        <v/>
      </c>
      <c r="AM159" s="569">
        <f t="shared" si="347"/>
        <v>0</v>
      </c>
      <c r="AN159" s="581">
        <f t="shared" si="348"/>
        <v>0</v>
      </c>
      <c r="AO159" s="623"/>
      <c r="AP159" s="625" t="str">
        <f t="shared" si="327"/>
        <v/>
      </c>
      <c r="AQ159" s="625" t="str">
        <f>IF(AC159=$V$3,IF(VLOOKUP(C159,[1]List1!$A:$E,5,FALSE)=0,1,VLOOKUP(C159,[1]List1!$A:$E,5,FALSE)),"")</f>
        <v/>
      </c>
      <c r="AR159" s="629" t="str">
        <f t="shared" si="328"/>
        <v/>
      </c>
      <c r="AS159" s="630" t="str">
        <f t="shared" si="329"/>
        <v/>
      </c>
      <c r="AT159" s="625" t="str">
        <f t="shared" si="330"/>
        <v/>
      </c>
      <c r="AU159" s="625" t="e">
        <f t="shared" si="331"/>
        <v>#N/A</v>
      </c>
      <c r="AV159" s="625" t="e">
        <f t="shared" si="332"/>
        <v>#N/A</v>
      </c>
      <c r="AW159" s="631"/>
      <c r="AX159" s="631">
        <f>IF(AND('General price list'!$J159="F4",'General price list'!$AB159+0&gt;0),1,0)</f>
        <v>0</v>
      </c>
      <c r="AY159" s="631">
        <f t="shared" si="333"/>
        <v>1</v>
      </c>
      <c r="AZ159" s="631">
        <f t="shared" si="334"/>
        <v>0</v>
      </c>
    </row>
    <row r="160" spans="1:52" ht="15" customHeight="1">
      <c r="A160" s="639" t="str">
        <f>Kat.!C160</f>
        <v/>
      </c>
      <c r="B160" s="640">
        <f>IF(AND('General price list'!$J160="F4",$AI$1=FALSE),0,IF(AC160="SKLADEM",1,IF(AC160=$V$3,1,0)))</f>
        <v>1</v>
      </c>
      <c r="C160" s="641" t="s">
        <v>401</v>
      </c>
      <c r="D160" s="642" t="s">
        <v>12513</v>
      </c>
      <c r="E160" s="643" t="s">
        <v>12680</v>
      </c>
      <c r="F160" s="791">
        <f>IFERROR(VLOOKUP(C160,[2]List1!$A:$D,3,FALSE),"NEUVEDENO!")</f>
        <v>315</v>
      </c>
      <c r="G160" s="768">
        <f t="shared" si="335"/>
        <v>315</v>
      </c>
      <c r="H160" s="765">
        <f t="shared" si="336"/>
        <v>13.380739381427533</v>
      </c>
      <c r="I160" s="644">
        <f>IFERROR(VLOOKUP(C160,[2]List1!$A:$D,4,FALSE),"NEUVEDENO!")</f>
        <v>15</v>
      </c>
      <c r="J160" s="733" t="s">
        <v>113</v>
      </c>
      <c r="K160" s="645" t="s">
        <v>11100</v>
      </c>
      <c r="L160" s="645" t="s">
        <v>20</v>
      </c>
      <c r="M160" s="645" t="s">
        <v>21</v>
      </c>
      <c r="N160" s="645">
        <f>IFERROR(VLOOKUP(C160,[3]List1!$A:$D,4,FALSE),"N/A!")</f>
        <v>6.3425999999999996E-2</v>
      </c>
      <c r="O160" s="645">
        <f>IFERROR(VLOOKUP(C160,[3]List1!$A:$D,3,FALSE),"N/A!")</f>
        <v>10500</v>
      </c>
      <c r="P160" s="645">
        <f>IFERROR(VLOOKUP(C160,[3]List1!$A:$D,2,FALSE),"N/A!")</f>
        <v>17000</v>
      </c>
      <c r="Q160" s="645" t="s">
        <v>11255</v>
      </c>
      <c r="R160" s="645" t="s">
        <v>20</v>
      </c>
      <c r="S160" s="645"/>
      <c r="T160" s="645">
        <v>60</v>
      </c>
      <c r="U160" s="645">
        <v>5</v>
      </c>
      <c r="V160" s="645">
        <v>1.5</v>
      </c>
      <c r="W160" s="645" t="str">
        <f>IFERROR(IF(AND($AB160&gt;=0.1*$AA160,MOD($AB160,$AA160)&gt;=($AA160-(0.1*$AA160))),IF($W$17=$AF$1,"Zvažte možnost doobjednání ještě "&amp;Tabulka1[[#This Row],[VKPAL]]-MOD(AB160,AA160)&amp;" VK do plné palety.",VLOOKUP("Zvažte možnost doobjednání ještě ",Jazyky_ceník!A:Q,MATCH($W$17,Jazyky_ceník!$A$1:$Q$1,0),FALSE)&amp;Tabulka1[[#This Row],[VKPAL]]-MOD(AB160,AA160)&amp;VLOOKUP(" VK do plné palety.",Jazyky_ceník!A:Q,MATCH($W$17,Jazyky_ceník!$A$1:$Q$1,0),FALSE)),IFERROR(IF(AND(NOT(MOD($AB160,$AA160)=0),$AB160&gt;=0.9*$AA160,MOD($AB160,$AA160)&lt;=0.1*$AA160),IF($W$17=$AF$1,"Zvažte možnost optimalizace objednaného množství podle počtu VK na paletě ==&gt;",VLOOKUP("Zvažte možnost optimalizace objednaného množství podle počtu VK na paletě ==&gt;",Jazyky_ceník!A:Q,MATCH($W$17,Jazyky_ceník!$A$1:$Q$1,0),FALSE)),VLOOKUP('General price list'!$C160,Popisy!A:M,MATCH($W$17,Popisy!$A$7:$M$7,0),FALSE)),"---------------")),IFERROR(VLOOKUP('General price list'!$C160,Popisy!A:M,MATCH($W$17,Popisy!$A$7:$M$7,0),FALSE),"---------------"))</f>
        <v xml:space="preserve">barevné hvězdy, 5m výška efektu, </v>
      </c>
      <c r="X160" s="645" t="str">
        <f t="shared" si="337"/>
        <v/>
      </c>
      <c r="Y160" s="645" t="str">
        <f t="shared" si="338"/>
        <v/>
      </c>
      <c r="Z160" s="645" t="str">
        <f>HYPERLINK("https://www.klasekpyrotechnics.cz/f500c")</f>
        <v>https://www.klasekpyrotechnics.cz/f500c</v>
      </c>
      <c r="AA160" s="645">
        <f>IFERROR(IF(VLOOKUP(C160,[4]List1!$A:$D,4,FALSE)=0,"",VLOOKUP(C160,[4]List1!$A:$D,4,FALSE)),"")</f>
        <v>15</v>
      </c>
      <c r="AB160" s="646"/>
      <c r="AC160" s="647" t="str">
        <f>IFERROR(IF(VLOOKUP(C160,[1]List1!$A:$D,2,FALSE)="VYPRODÁNO",$V$9,IF(VLOOKUP(C160,[1]List1!$A:$D,2,FALSE)="DOCHÁZÍ",$V$3,VLOOKUP(C160,[1]List1!$A:$D,2,FALSE))),"OFFLINE!")</f>
        <v>DOCHÁZÍ</v>
      </c>
      <c r="AD160" s="647" t="str">
        <f ca="1">IF(AP160="NE",$V$10,IF(AC160=$V$3,IF(AQ160&lt;1,$V$8,$V$2&amp;" "&amp;AQ160&amp;" "&amp;$V$1),IF(AC160="SKLADEM",$V$6,IFERROR(IF(OR(AC160-TODAY()&gt;45,VLOOKUP(C160,[1]List1!$A:$E,4,FALSE)=0),AC160,DAY(AC160)&amp;"."&amp;MONTH(AC160)&amp;"."&amp;YEAR(AC160)&amp;" "&amp;$V$4&amp;VLOOKUP(C160,[1]List1!$A:$E,4,FALSE)&amp;" "&amp;$V$1),AC160))))</f>
        <v>POSLEDNÍCH 23 VK</v>
      </c>
      <c r="AE160" s="645" t="str">
        <f t="shared" ca="1" si="339"/>
        <v>POSLEDNÍCH 23 VK</v>
      </c>
      <c r="AF160" s="648">
        <f t="shared" si="340"/>
        <v>0</v>
      </c>
      <c r="AG160" s="649">
        <f t="shared" si="341"/>
        <v>0</v>
      </c>
      <c r="AH160" s="650">
        <f t="shared" si="342"/>
        <v>0</v>
      </c>
      <c r="AI160" s="645">
        <f t="shared" si="343"/>
        <v>0</v>
      </c>
      <c r="AJ160" s="645">
        <f t="shared" si="344"/>
        <v>0</v>
      </c>
      <c r="AK160" s="645" t="str">
        <f t="shared" si="345"/>
        <v/>
      </c>
      <c r="AL160" s="645" t="str">
        <f t="shared" si="346"/>
        <v/>
      </c>
      <c r="AM160" s="645">
        <f t="shared" si="347"/>
        <v>0</v>
      </c>
      <c r="AN160" s="651">
        <f t="shared" si="348"/>
        <v>0</v>
      </c>
      <c r="AO160" s="623"/>
      <c r="AP160" s="632" t="str">
        <f t="shared" si="327"/>
        <v/>
      </c>
      <c r="AQ160" s="633">
        <f>IF(AC160=$V$3,IF(VLOOKUP(C160,[1]List1!$A:$E,5,FALSE)=0,1,VLOOKUP(C160,[1]List1!$A:$E,5,FALSE)),"")</f>
        <v>23</v>
      </c>
      <c r="AR160" s="625" t="str">
        <f t="shared" si="328"/>
        <v/>
      </c>
      <c r="AS160" s="634" t="str">
        <f t="shared" si="329"/>
        <v/>
      </c>
      <c r="AT160" s="625" t="str">
        <f t="shared" si="330"/>
        <v/>
      </c>
      <c r="AU160" s="638" t="e">
        <f t="shared" si="331"/>
        <v>#N/A</v>
      </c>
      <c r="AV160" s="625" t="e">
        <f t="shared" si="332"/>
        <v>#N/A</v>
      </c>
      <c r="AX160" s="625">
        <f>IF(AND('General price list'!$J160="F4",'General price list'!$AB160+0&gt;0),1,0)</f>
        <v>0</v>
      </c>
      <c r="AY160" s="625">
        <f t="shared" si="333"/>
        <v>1</v>
      </c>
      <c r="AZ160" s="625">
        <f t="shared" si="334"/>
        <v>0</v>
      </c>
    </row>
    <row r="161" spans="1:52" ht="15" customHeight="1">
      <c r="A161" s="621" t="str">
        <f>Kat.!C161</f>
        <v/>
      </c>
      <c r="B161" s="566">
        <f>IF(AND('General price list'!$J161="F4",$AI$1=FALSE),0,IF(AC161="SKLADEM",1,IF(AC161=$V$3,1,0)))</f>
        <v>0</v>
      </c>
      <c r="C161" s="567" t="s">
        <v>409</v>
      </c>
      <c r="D161" s="568" t="s">
        <v>12514</v>
      </c>
      <c r="E161" s="763" t="s">
        <v>12675</v>
      </c>
      <c r="F161" s="791">
        <f>IFERROR(VLOOKUP(C161,[2]List1!$A:$D,3,FALSE),"NEUVEDENO!")</f>
        <v>259</v>
      </c>
      <c r="G161" s="769">
        <f t="shared" si="335"/>
        <v>259</v>
      </c>
      <c r="H161" s="766">
        <f t="shared" si="336"/>
        <v>11.00194126917375</v>
      </c>
      <c r="I161" s="764">
        <f>IFERROR(VLOOKUP(C161,[2]List1!$A:$D,4,FALSE),"NEUVEDENO!")</f>
        <v>12</v>
      </c>
      <c r="J161" s="732" t="s">
        <v>113</v>
      </c>
      <c r="K161" s="569" t="s">
        <v>11100</v>
      </c>
      <c r="L161" s="569" t="s">
        <v>20</v>
      </c>
      <c r="M161" s="569" t="s">
        <v>21</v>
      </c>
      <c r="N161" s="569">
        <f>IFERROR(VLOOKUP(C161,[3]List1!$A:$D,4,FALSE),"N/A!")</f>
        <v>4.5239999999999995E-2</v>
      </c>
      <c r="O161" s="569">
        <f>IFERROR(VLOOKUP(C161,[3]List1!$A:$D,3,FALSE),"N/A!")</f>
        <v>7200</v>
      </c>
      <c r="P161" s="569">
        <f>IFERROR(VLOOKUP(C161,[3]List1!$A:$D,2,FALSE),"N/A!")</f>
        <v>13500</v>
      </c>
      <c r="Q161" s="569" t="s">
        <v>11236</v>
      </c>
      <c r="R161" s="569" t="s">
        <v>20</v>
      </c>
      <c r="S161" s="569"/>
      <c r="T161" s="569">
        <v>70</v>
      </c>
      <c r="U161" s="569">
        <v>6</v>
      </c>
      <c r="V161" s="569">
        <v>1.5</v>
      </c>
      <c r="W161" s="569" t="str">
        <f>IFERROR(IF(AND($AB161&gt;=0.1*$AA161,MOD($AB161,$AA161)&gt;=($AA161-(0.1*$AA161))),IF($W$17=$AF$1,"Zvažte možnost doobjednání ještě "&amp;Tabulka1[[#This Row],[VKPAL]]-MOD(AB161,AA161)&amp;" VK do plné palety.",VLOOKUP("Zvažte možnost doobjednání ještě ",Jazyky_ceník!A:Q,MATCH($W$17,Jazyky_ceník!$A$1:$Q$1,0),FALSE)&amp;Tabulka1[[#This Row],[VKPAL]]-MOD(AB161,AA161)&amp;VLOOKUP(" VK do plné palety.",Jazyky_ceník!A:Q,MATCH($W$17,Jazyky_ceník!$A$1:$Q$1,0),FALSE)),IFERROR(IF(AND(NOT(MOD($AB161,$AA161)=0),$AB161&gt;=0.9*$AA161,MOD($AB161,$AA161)&lt;=0.1*$AA161),IF($W$17=$AF$1,"Zvažte možnost optimalizace objednaného množství podle počtu VK na paletě ==&gt;",VLOOKUP("Zvažte možnost optimalizace objednaného množství podle počtu VK na paletě ==&gt;",Jazyky_ceník!A:Q,MATCH($W$17,Jazyky_ceník!$A$1:$Q$1,0),FALSE)),VLOOKUP('General price list'!$C161,Popisy!A:M,MATCH($W$17,Popisy!$A$7:$M$7,0),FALSE)),"---------------")),IFERROR(VLOOKUP('General price list'!$C161,Popisy!A:M,MATCH($W$17,Popisy!$A$7:$M$7,0),FALSE),"---------------"))</f>
        <v xml:space="preserve">stříbrné hvězdy, 6m výška efektu, </v>
      </c>
      <c r="X161" s="569" t="str">
        <f t="shared" si="337"/>
        <v/>
      </c>
      <c r="Y161" s="569" t="str">
        <f t="shared" si="338"/>
        <v/>
      </c>
      <c r="Z161" s="569" t="str">
        <f>HYPERLINK("https://www.klasekpyrotechnics.cz/f1000ss")</f>
        <v>https://www.klasekpyrotechnics.cz/f1000ss</v>
      </c>
      <c r="AA161" s="569">
        <f>IFERROR(IF(VLOOKUP(C161,[4]List1!$A:$D,4,FALSE)=0,"",VLOOKUP(C161,[4]List1!$A:$D,4,FALSE)),"")</f>
        <v>32</v>
      </c>
      <c r="AB161" s="565"/>
      <c r="AC161" s="570" t="str">
        <f>IFERROR(IF(VLOOKUP(C161,[1]List1!$A:$D,2,FALSE)="VYPRODÁNO",$V$9,IF(VLOOKUP(C161,[1]List1!$A:$D,2,FALSE)="DOCHÁZÍ",$V$3,VLOOKUP(C161,[1]List1!$A:$D,2,FALSE))),"OFFLINE!")</f>
        <v>31.08.2026</v>
      </c>
      <c r="AD161" s="570" t="str">
        <f ca="1">IF(AP161="NE",$V$10,IF(AC161=$V$3,IF(AQ161&lt;1,$V$8,$V$2&amp;" "&amp;AQ161&amp;" "&amp;$V$1),IF(AC161="SKLADEM",$V$6,IFERROR(IF(OR(AC161-TODAY()&gt;45,VLOOKUP(C161,[1]List1!$A:$E,4,FALSE)=0),AC161,DAY(AC161)&amp;"."&amp;MONTH(AC161)&amp;"."&amp;YEAR(AC161)&amp;" "&amp;$V$4&amp;VLOOKUP(C161,[1]List1!$A:$E,4,FALSE)&amp;" "&amp;$V$1),AC161))))</f>
        <v>31.08.2026</v>
      </c>
      <c r="AE161" s="581" t="str">
        <f t="shared" ca="1" si="339"/>
        <v>31.08.2026</v>
      </c>
      <c r="AF161" s="584">
        <f t="shared" si="340"/>
        <v>0</v>
      </c>
      <c r="AG161" s="585">
        <f t="shared" si="341"/>
        <v>0</v>
      </c>
      <c r="AH161" s="583">
        <f t="shared" si="342"/>
        <v>0</v>
      </c>
      <c r="AI161" s="582">
        <f t="shared" si="343"/>
        <v>0</v>
      </c>
      <c r="AJ161" s="569">
        <f t="shared" si="344"/>
        <v>0</v>
      </c>
      <c r="AK161" s="569" t="str">
        <f t="shared" si="345"/>
        <v/>
      </c>
      <c r="AL161" s="569" t="str">
        <f t="shared" si="346"/>
        <v/>
      </c>
      <c r="AM161" s="569">
        <f t="shared" si="347"/>
        <v>0</v>
      </c>
      <c r="AN161" s="581">
        <f t="shared" si="348"/>
        <v>0</v>
      </c>
      <c r="AO161" s="623"/>
      <c r="AP161" s="632" t="str">
        <f t="shared" si="327"/>
        <v/>
      </c>
      <c r="AQ161" s="633" t="str">
        <f>IF(AC161=$V$3,IF(VLOOKUP(C161,[1]List1!$A:$E,5,FALSE)=0,1,VLOOKUP(C161,[1]List1!$A:$E,5,FALSE)),"")</f>
        <v/>
      </c>
      <c r="AR161" s="625" t="str">
        <f t="shared" si="328"/>
        <v/>
      </c>
      <c r="AS161" s="634" t="str">
        <f t="shared" si="329"/>
        <v/>
      </c>
      <c r="AT161" s="625" t="str">
        <f t="shared" si="330"/>
        <v/>
      </c>
      <c r="AU161" s="638" t="e">
        <f t="shared" si="331"/>
        <v>#N/A</v>
      </c>
      <c r="AV161" s="625" t="e">
        <f t="shared" si="332"/>
        <v>#N/A</v>
      </c>
      <c r="AX161" s="625">
        <f>IF(AND('General price list'!$J161="F4",'General price list'!$AB161+0&gt;0),1,0)</f>
        <v>0</v>
      </c>
      <c r="AY161" s="625">
        <f t="shared" si="333"/>
        <v>1</v>
      </c>
      <c r="AZ161" s="625">
        <f t="shared" si="334"/>
        <v>0</v>
      </c>
    </row>
    <row r="162" spans="1:52" ht="15.75" customHeight="1">
      <c r="A162" s="639" t="str">
        <f>Kat.!C162</f>
        <v/>
      </c>
      <c r="B162" s="640">
        <f>IF(AND('General price list'!$J162="F4",$AI$1=FALSE),0,IF(AC162="SKLADEM",1,IF(AC162=$V$3,1,0)))</f>
        <v>1</v>
      </c>
      <c r="C162" s="641" t="s">
        <v>420</v>
      </c>
      <c r="D162" s="642" t="s">
        <v>12515</v>
      </c>
      <c r="E162" s="643" t="s">
        <v>12675</v>
      </c>
      <c r="F162" s="791">
        <f>IFERROR(VLOOKUP(C162,[2]List1!$A:$D,3,FALSE),"NEUVEDENO!")</f>
        <v>306</v>
      </c>
      <c r="G162" s="770">
        <f t="shared" si="335"/>
        <v>306</v>
      </c>
      <c r="H162" s="767">
        <f t="shared" si="336"/>
        <v>12.998432541958175</v>
      </c>
      <c r="I162" s="644">
        <f>IFERROR(VLOOKUP(C162,[2]List1!$A:$D,4,FALSE),"NEUVEDENO!")</f>
        <v>12</v>
      </c>
      <c r="J162" s="733" t="s">
        <v>113</v>
      </c>
      <c r="K162" s="645" t="s">
        <v>11100</v>
      </c>
      <c r="L162" s="645" t="s">
        <v>20</v>
      </c>
      <c r="M162" s="645" t="s">
        <v>21</v>
      </c>
      <c r="N162" s="645">
        <f>IFERROR(VLOOKUP(C162,[3]List1!$A:$D,4,FALSE),"N/A!")</f>
        <v>7.5852000000000003E-2</v>
      </c>
      <c r="O162" s="645">
        <f>IFERROR(VLOOKUP(C162,[3]List1!$A:$D,3,FALSE),"N/A!")</f>
        <v>9600</v>
      </c>
      <c r="P162" s="645">
        <f>IFERROR(VLOOKUP(C162,[3]List1!$A:$D,2,FALSE),"N/A!")</f>
        <v>19500</v>
      </c>
      <c r="Q162" s="645" t="s">
        <v>11263</v>
      </c>
      <c r="R162" s="645"/>
      <c r="S162" s="645"/>
      <c r="T162" s="645">
        <v>80</v>
      </c>
      <c r="U162" s="645">
        <v>7</v>
      </c>
      <c r="V162" s="645">
        <v>1.5</v>
      </c>
      <c r="W162" s="645" t="str">
        <f>IFERROR(IF(AND($AB162&gt;=0.1*$AA162,MOD($AB162,$AA162)&gt;=($AA162-(0.1*$AA162))),IF($W$17=$AF$1,"Zvažte možnost doobjednání ještě "&amp;Tabulka1[[#This Row],[VKPAL]]-MOD(AB162,AA162)&amp;" VK do plné palety.",VLOOKUP("Zvažte možnost doobjednání ještě ",Jazyky_ceník!A:Q,MATCH($W$17,Jazyky_ceník!$A$1:$Q$1,0),FALSE)&amp;Tabulka1[[#This Row],[VKPAL]]-MOD(AB162,AA162)&amp;VLOOKUP(" VK do plné palety.",Jazyky_ceník!A:Q,MATCH($W$17,Jazyky_ceník!$A$1:$Q$1,0),FALSE)),IFERROR(IF(AND(NOT(MOD($AB162,$AA162)=0),$AB162&gt;=0.9*$AA162,MOD($AB162,$AA162)&lt;=0.1*$AA162),IF($W$17=$AF$1,"Zvažte možnost optimalizace objednaného množství podle počtu VK na paletě ==&gt;",VLOOKUP("Zvažte možnost optimalizace objednaného množství podle počtu VK na paletě ==&gt;",Jazyky_ceník!A:Q,MATCH($W$17,Jazyky_ceník!$A$1:$Q$1,0),FALSE)),VLOOKUP('General price list'!$C162,Popisy!A:M,MATCH($W$17,Popisy!$A$7:$M$7,0),FALSE)),"---------------")),IFERROR(VLOOKUP('General price list'!$C162,Popisy!A:M,MATCH($W$17,Popisy!$A$7:$M$7,0),FALSE),"---------------"))</f>
        <v xml:space="preserve">barevné hvězdy, 7m výška efektu, </v>
      </c>
      <c r="X162" s="645" t="str">
        <f t="shared" si="337"/>
        <v/>
      </c>
      <c r="Y162" s="645" t="str">
        <f t="shared" si="338"/>
        <v/>
      </c>
      <c r="Z162" s="645" t="str">
        <f>HYPERLINK("https://www.klasekpyrotechnics.cz/f1500c")</f>
        <v>https://www.klasekpyrotechnics.cz/f1500c</v>
      </c>
      <c r="AA162" s="645">
        <f>IFERROR(IF(VLOOKUP(C162,[4]List1!$A:$D,4,FALSE)=0,"",VLOOKUP(C162,[4]List1!$A:$D,4,FALSE)),"")</f>
        <v>20</v>
      </c>
      <c r="AB162" s="646"/>
      <c r="AC162" s="647" t="str">
        <f>IFERROR(IF(VLOOKUP(C162,[1]List1!$A:$D,2,FALSE)="VYPRODÁNO",$V$9,IF(VLOOKUP(C162,[1]List1!$A:$D,2,FALSE)="DOCHÁZÍ",$V$3,VLOOKUP(C162,[1]List1!$A:$D,2,FALSE))),"OFFLINE!")</f>
        <v>SKLADEM</v>
      </c>
      <c r="AD162" s="647" t="str">
        <f ca="1">IF(AP162="NE",$V$10,IF(AC162=$V$3,IF(AQ162&lt;1,$V$8,$V$2&amp;" "&amp;AQ162&amp;" "&amp;$V$1),IF(AC162="SKLADEM",$V$6,IFERROR(IF(OR(AC162-TODAY()&gt;45,VLOOKUP(C162,[1]List1!$A:$E,4,FALSE)=0),AC162,DAY(AC162)&amp;"."&amp;MONTH(AC162)&amp;"."&amp;YEAR(AC162)&amp;" "&amp;$V$4&amp;VLOOKUP(C162,[1]List1!$A:$E,4,FALSE)&amp;" "&amp;$V$1),AC162))))</f>
        <v>SKLADEM</v>
      </c>
      <c r="AE162" s="645" t="str">
        <f t="shared" ca="1" si="339"/>
        <v>SKLADEM</v>
      </c>
      <c r="AF162" s="648">
        <f t="shared" si="340"/>
        <v>0</v>
      </c>
      <c r="AG162" s="649">
        <f t="shared" si="341"/>
        <v>0</v>
      </c>
      <c r="AH162" s="650">
        <f t="shared" si="342"/>
        <v>0</v>
      </c>
      <c r="AI162" s="645">
        <f t="shared" si="343"/>
        <v>0</v>
      </c>
      <c r="AJ162" s="645">
        <f t="shared" si="344"/>
        <v>0</v>
      </c>
      <c r="AK162" s="645" t="str">
        <f t="shared" si="345"/>
        <v/>
      </c>
      <c r="AL162" s="645" t="str">
        <f t="shared" si="346"/>
        <v/>
      </c>
      <c r="AM162" s="645">
        <f t="shared" si="347"/>
        <v>0</v>
      </c>
      <c r="AN162" s="651">
        <f t="shared" si="348"/>
        <v>0</v>
      </c>
      <c r="AO162" s="623"/>
      <c r="AP162" s="625" t="str">
        <f t="shared" si="327"/>
        <v/>
      </c>
      <c r="AQ162" s="625" t="str">
        <f>IF(AC162=$V$3,IF(VLOOKUP(C162,[1]List1!$A:$E,5,FALSE)=0,1,VLOOKUP(C162,[1]List1!$A:$E,5,FALSE)),"")</f>
        <v/>
      </c>
      <c r="AR162" s="629" t="str">
        <f t="shared" si="328"/>
        <v/>
      </c>
      <c r="AS162" s="630" t="str">
        <f t="shared" si="329"/>
        <v/>
      </c>
      <c r="AT162" s="625" t="str">
        <f t="shared" si="330"/>
        <v/>
      </c>
      <c r="AU162" s="625" t="e">
        <f t="shared" si="331"/>
        <v>#N/A</v>
      </c>
      <c r="AV162" s="625" t="e">
        <f t="shared" si="332"/>
        <v>#N/A</v>
      </c>
      <c r="AW162" s="631"/>
      <c r="AX162" s="631">
        <f>IF(AND('General price list'!$J162="F4",'General price list'!$AB162+0&gt;0),1,0)</f>
        <v>0</v>
      </c>
      <c r="AY162" s="631">
        <f t="shared" si="333"/>
        <v>1</v>
      </c>
      <c r="AZ162" s="631">
        <f t="shared" si="334"/>
        <v>0</v>
      </c>
    </row>
    <row r="163" spans="1:52" ht="15" customHeight="1">
      <c r="A163" s="751" t="str">
        <f>Kat.!C163</f>
        <v xml:space="preserve">           Interiérové fontány</v>
      </c>
      <c r="B163" s="751"/>
      <c r="C163" s="751"/>
      <c r="D163" s="751"/>
      <c r="E163" s="751"/>
      <c r="F163" s="751"/>
      <c r="G163" s="751"/>
      <c r="H163" s="751"/>
      <c r="I163" s="752"/>
      <c r="J163" s="752"/>
      <c r="K163" s="752" t="s">
        <v>20</v>
      </c>
      <c r="L163" s="753" t="s">
        <v>2818</v>
      </c>
      <c r="M163" s="752"/>
      <c r="N163" s="752"/>
      <c r="O163" s="752"/>
      <c r="P163" s="752"/>
      <c r="Q163" s="752"/>
      <c r="R163" s="752"/>
      <c r="S163" s="752"/>
      <c r="T163" s="752"/>
      <c r="U163" s="752"/>
      <c r="V163" s="752"/>
      <c r="W163" s="752"/>
      <c r="X163" s="752"/>
      <c r="Y163" s="752"/>
      <c r="Z163" s="752" t="s">
        <v>20</v>
      </c>
      <c r="AA163" s="752"/>
      <c r="AB163" s="752"/>
      <c r="AC163" s="754"/>
      <c r="AD163" s="752"/>
      <c r="AE163" s="752"/>
      <c r="AF163" s="752"/>
      <c r="AG163" s="752"/>
      <c r="AH163" s="752"/>
      <c r="AI163" s="752"/>
      <c r="AJ163" s="752"/>
      <c r="AK163" s="752"/>
      <c r="AL163" s="752"/>
      <c r="AM163" s="752"/>
      <c r="AN163" s="752"/>
      <c r="AO163" s="623"/>
      <c r="AP163" s="632" t="str">
        <f t="shared" ref="AP163:AP205" si="349">IF($AL$3=1,IF(Y163=AB163,"","NE"),IF(AR163=$V$10,"NE",""))</f>
        <v/>
      </c>
      <c r="AQ163" s="625" t="str">
        <f>IF(AC163=$V$3,IF(VLOOKUP(C163,[1]List1!$A:$E,5,FALSE)=0,1,VLOOKUP(C163,[1]List1!$A:$E,5,FALSE)),"")</f>
        <v/>
      </c>
      <c r="AR163" s="625" t="str">
        <f t="shared" ref="AR163:AR205" si="350">IF($AL$3=1,"",IF(OR(AB163&lt;&gt;"",AB163&lt;&gt;0),IF(OR(AC163=$V$6,AC163=$V$3,AC163=$V$9),$V$10,""),""))</f>
        <v/>
      </c>
      <c r="AS163" s="634" t="str">
        <f t="shared" ref="AS163:AS172" si="351">IF(AT163&lt;&gt;"","X","")</f>
        <v/>
      </c>
      <c r="AT163" s="625" t="str">
        <f t="shared" ref="AT163:AT205" si="352">IF(AND($AL$3=2,AR163="",AB163&lt;&gt;""),AD163,"")</f>
        <v/>
      </c>
      <c r="AU163" s="638" t="e">
        <f t="shared" ref="AU163:AU205" si="353">IF(AT163=$AS$21,AB163,"")</f>
        <v>#N/A</v>
      </c>
      <c r="AV163" s="625" t="e">
        <f t="shared" ref="AV163:AV205" si="354">IF(OR(AB163="",AND(AT163&lt;&gt;"",AU163&lt;&gt;"")),"",$V$10)</f>
        <v>#N/A</v>
      </c>
      <c r="AX163" s="625">
        <f>IF(AND('General price list'!$J163="F4",'General price list'!$AB163+0&gt;0),1,0)</f>
        <v>0</v>
      </c>
      <c r="AY163" s="625">
        <f t="shared" ref="AY163:AY205" si="355">IFERROR(FIND(VLOOKUP($AC$7,$AD$1:$AE$12,2,FALSE),Q163,1),0)</f>
        <v>0</v>
      </c>
      <c r="AZ163" s="625">
        <f t="shared" ref="AZ163:AZ205" si="356">IFERROR(FIND(VLOOKUP($AC$7,$AD$1:$AE$12,2,FALSE),R163,1),0)</f>
        <v>0</v>
      </c>
    </row>
    <row r="164" spans="1:52" ht="15" customHeight="1">
      <c r="A164" s="639" t="str">
        <f>Kat.!C164</f>
        <v>×</v>
      </c>
      <c r="B164" s="640">
        <f>IF(AND('General price list'!$J164="F4",$AI$1=FALSE),0,IF(AC164="SKLADEM",1,IF(AC164=$V$3,1,0)))</f>
        <v>0</v>
      </c>
      <c r="C164" s="641" t="s">
        <v>424</v>
      </c>
      <c r="D164" s="642" t="s">
        <v>425</v>
      </c>
      <c r="E164" s="643" t="s">
        <v>12685</v>
      </c>
      <c r="F164" s="792">
        <f>IFERROR(VLOOKUP(C164,[2]List1!$A:$D,3,FALSE),"NEUVEDENO!")</f>
        <v>60</v>
      </c>
      <c r="G164" s="768">
        <f t="shared" ref="G164:G167" si="357">IF($W$17=$AF$8,ROUND((F164)/$F$17,2),(F164)*$B$19)</f>
        <v>60</v>
      </c>
      <c r="H164" s="765">
        <f t="shared" ref="H164:H167" si="358">IF($W$17=$AF$8,G164*$B$19,G164/$F$17)</f>
        <v>2.5487122631290542</v>
      </c>
      <c r="I164" s="644">
        <f>IFERROR(VLOOKUP(C164,[2]List1!$A:$D,4,FALSE),"NEUVEDENO!")</f>
        <v>48</v>
      </c>
      <c r="J164" s="733" t="s">
        <v>19</v>
      </c>
      <c r="K164" s="645" t="s">
        <v>9836</v>
      </c>
      <c r="L164" s="645" t="s">
        <v>20</v>
      </c>
      <c r="M164" s="645" t="s">
        <v>21</v>
      </c>
      <c r="N164" s="645">
        <f>IFERROR(VLOOKUP(C164,[3]List1!$A:$D,4,FALSE),"N/A!")</f>
        <v>5.6159999999999995E-2</v>
      </c>
      <c r="O164" s="645">
        <f>IFERROR(VLOOKUP(C164,[3]List1!$A:$D,3,FALSE),"N/A!")</f>
        <v>48</v>
      </c>
      <c r="P164" s="645">
        <f>IFERROR(VLOOKUP(C164,[3]List1!$A:$D,2,FALSE),"N/A!")</f>
        <v>4700</v>
      </c>
      <c r="Q164" s="645" t="s">
        <v>12767</v>
      </c>
      <c r="R164" s="645" t="s">
        <v>20</v>
      </c>
      <c r="S164" s="645"/>
      <c r="T164" s="645">
        <v>210</v>
      </c>
      <c r="U164" s="645"/>
      <c r="V164" s="645"/>
      <c r="W164" s="645" t="str">
        <f>IFERROR(IF(AND($AB164&gt;=0.1*$AA164,MOD($AB164,$AA164)&gt;=($AA164-(0.1*$AA164))),IF($W$17=$AF$1,"Zvažte možnost doobjednání ještě "&amp;Tabulka1[[#This Row],[VKPAL]]-MOD(AB164,AA164)&amp;" VK do plné palety.",VLOOKUP("Zvažte možnost doobjednání ještě ",Jazyky_ceník!A:Q,MATCH($W$17,Jazyky_ceník!$A$1:$Q$1,0),FALSE)&amp;Tabulka1[[#This Row],[VKPAL]]-MOD(AB164,AA164)&amp;VLOOKUP(" VK do plné palety.",Jazyky_ceník!A:Q,MATCH($W$17,Jazyky_ceník!$A$1:$Q$1,0),FALSE)),IFERROR(IF(AND(NOT(MOD($AB164,$AA164)=0),$AB164&gt;=0.9*$AA164,MOD($AB164,$AA164)&lt;=0.1*$AA164),IF($W$17=$AF$1,"Zvažte možnost optimalizace objednaného množství podle počtu VK na paletě ==&gt;",VLOOKUP("Zvažte možnost optimalizace objednaného množství podle počtu VK na paletě ==&gt;",Jazyky_ceník!A:Q,MATCH($W$17,Jazyky_ceník!$A$1:$Q$1,0),FALSE)),VLOOKUP('General price list'!$C164,Popisy!A:M,MATCH($W$17,Popisy!$A$7:$M$7,0),FALSE)),"---------------")),IFERROR(VLOOKUP('General price list'!$C164,Popisy!A:M,MATCH($W$17,Popisy!$A$7:$M$7,0),FALSE),"---------------"))</f>
        <v>interierová fontána, hořící a točící se svíčky+současně hraje písničku Happy birthay</v>
      </c>
      <c r="X164" s="645" t="str">
        <f t="shared" ref="X164:X167" si="359">IF(AB164&lt;0.0001,"",AB164)</f>
        <v/>
      </c>
      <c r="Y164" s="645" t="str">
        <f t="shared" ref="Y164:Y167" si="360">IF($AL$3=2,IF(OR(AB164&lt;&gt;"",AB164&lt;&gt;0),AU164,""),IF(C164="","",IF(AB164&lt;0.0001,"",IF(B164=0,"",IF(AQ164&lt;AB164,"",AB164)))))</f>
        <v/>
      </c>
      <c r="Z164" s="645" t="str">
        <f>HYPERLINK("https://www.klasekpyrotechnics.cz/f3n")</f>
        <v>https://www.klasekpyrotechnics.cz/f3n</v>
      </c>
      <c r="AA164" s="645" t="str">
        <f>IFERROR(IF(VLOOKUP(C164,[4]List1!$A:$D,4,FALSE)=0,"",VLOOKUP(C164,[4]List1!$A:$D,4,FALSE)),"")</f>
        <v>24</v>
      </c>
      <c r="AB164" s="646"/>
      <c r="AC164" s="647" t="str">
        <f>IFERROR(IF(VLOOKUP(C164,[1]List1!$A:$D,2,FALSE)="VYPRODÁNO",$V$9,IF(VLOOKUP(C164,[1]List1!$A:$D,2,FALSE)="DOCHÁZÍ",$V$3,VLOOKUP(C164,[1]List1!$A:$D,2,FALSE))),"OFFLINE!")</f>
        <v>VYPRODÁNO</v>
      </c>
      <c r="AD164" s="647" t="str">
        <f ca="1">IF(AP164="NE",$V$10,IF(AC164=$V$3,IF(AQ164&lt;1,$V$8,$V$2&amp;" "&amp;AQ164&amp;" "&amp;$V$1),IF(AC164="SKLADEM",$V$6,IFERROR(IF(OR(AC164-TODAY()&gt;45,VLOOKUP(C164,[1]List1!$A:$E,4,FALSE)=0),AC164,DAY(AC164)&amp;"."&amp;MONTH(AC164)&amp;"."&amp;YEAR(AC164)&amp;" "&amp;$V$4&amp;VLOOKUP(C164,[1]List1!$A:$E,4,FALSE)&amp;" "&amp;$V$1),AC164))))</f>
        <v>VYPRODÁNO</v>
      </c>
      <c r="AE164" s="645" t="str">
        <f t="shared" ref="AE164:AE167" ca="1" si="361">IFERROR(IF(AV164&lt;&gt;"",AV164,AD164),AD164)</f>
        <v>VYPRODÁNO</v>
      </c>
      <c r="AF164" s="648">
        <f t="shared" ref="AF164:AF167" si="362">IFERROR(IF(AB164=Y164,G164*I164*Y164,0),0)</f>
        <v>0</v>
      </c>
      <c r="AG164" s="649">
        <f t="shared" ref="AG164:AG167" si="363">IF($W$17=$AF$8,AH164*1.23,AF164*1.21)</f>
        <v>0</v>
      </c>
      <c r="AH164" s="650">
        <f t="shared" ref="AH164:AH167" si="364">IFERROR(IF(Y164=AB164,H164*I164*Y164,0),0)</f>
        <v>0</v>
      </c>
      <c r="AI164" s="645">
        <f t="shared" ref="AI164:AI167" si="365">IFERROR(IF(Y164=AB164,(P164*Y164)/1000,1),0)</f>
        <v>0</v>
      </c>
      <c r="AJ164" s="645">
        <f t="shared" ref="AJ164:AJ167" si="366">IFERROR(IF(Y164=AB164,N164*Y164,0.1),0)</f>
        <v>0</v>
      </c>
      <c r="AK164" s="645" t="str">
        <f t="shared" ref="AK164:AK167" si="367">IFERROR(IF(Y164=AB164,IF(M164="1.1G",(O164/1000)*Y164,""),""),0)</f>
        <v/>
      </c>
      <c r="AL164" s="645" t="str">
        <f t="shared" ref="AL164:AL167" si="368">IFERROR(IF(Y164=AB164,IF(M164="1.3G",(O164/1000)*AB164,""),""),0)</f>
        <v/>
      </c>
      <c r="AM164" s="645">
        <f t="shared" ref="AM164:AM167" si="369">IFERROR(IF(Y164=AB164,IF(M164="1.4G",(O164/1000)*AB164,""),""),0)</f>
        <v>0</v>
      </c>
      <c r="AN164" s="651">
        <f t="shared" ref="AN164:AN167" si="370">SUM(AK164:AM164)</f>
        <v>0</v>
      </c>
      <c r="AO164" s="623"/>
      <c r="AP164" s="632" t="str">
        <f t="shared" si="349"/>
        <v/>
      </c>
      <c r="AQ164" s="633" t="str">
        <f>IF(AC164=$V$3,IF(VLOOKUP(C164,[1]List1!$A:$E,5,FALSE)=0,1,VLOOKUP(C164,[1]List1!$A:$E,5,FALSE)),"")</f>
        <v/>
      </c>
      <c r="AR164" s="625" t="str">
        <f t="shared" si="350"/>
        <v/>
      </c>
      <c r="AS164" s="634" t="str">
        <f t="shared" si="351"/>
        <v/>
      </c>
      <c r="AT164" s="625" t="str">
        <f t="shared" si="352"/>
        <v/>
      </c>
      <c r="AU164" s="638" t="e">
        <f t="shared" si="353"/>
        <v>#N/A</v>
      </c>
      <c r="AV164" s="625" t="e">
        <f t="shared" si="354"/>
        <v>#N/A</v>
      </c>
      <c r="AX164" s="625">
        <f>IF(AND('General price list'!$J164="F4",'General price list'!$AB164+0&gt;0),1,0)</f>
        <v>0</v>
      </c>
      <c r="AY164" s="625">
        <f t="shared" si="355"/>
        <v>1</v>
      </c>
      <c r="AZ164" s="625">
        <f t="shared" si="356"/>
        <v>0</v>
      </c>
    </row>
    <row r="165" spans="1:52" ht="15" customHeight="1">
      <c r="A165" s="621" t="str">
        <f>Kat.!C165</f>
        <v/>
      </c>
      <c r="B165" s="566">
        <f>IF(AND('General price list'!$J165="F4",$AI$1=FALSE),0,IF(AC165="SKLADEM",1,IF(AC165=$V$3,1,0)))</f>
        <v>1</v>
      </c>
      <c r="C165" s="567" t="s">
        <v>429</v>
      </c>
      <c r="D165" s="568" t="s">
        <v>430</v>
      </c>
      <c r="E165" s="763" t="s">
        <v>12686</v>
      </c>
      <c r="F165" s="772">
        <f>IFERROR(VLOOKUP(C165,[2]List1!$A:$D,3,FALSE),"NEUVEDENO!")</f>
        <v>28</v>
      </c>
      <c r="G165" s="769">
        <f t="shared" si="357"/>
        <v>28</v>
      </c>
      <c r="H165" s="766">
        <f t="shared" si="358"/>
        <v>1.1893990561268919</v>
      </c>
      <c r="I165" s="764">
        <f>IFERROR(VLOOKUP(C165,[2]List1!$A:$D,4,FALSE),"NEUVEDENO!")</f>
        <v>100</v>
      </c>
      <c r="J165" s="732" t="s">
        <v>19</v>
      </c>
      <c r="K165" s="569" t="s">
        <v>20</v>
      </c>
      <c r="L165" s="569" t="s">
        <v>10976</v>
      </c>
      <c r="M165" s="569" t="s">
        <v>21</v>
      </c>
      <c r="N165" s="569">
        <f>IFERROR(VLOOKUP(C165,[3]List1!$A:$D,4,FALSE),"N/A!")</f>
        <v>2.3715E-2</v>
      </c>
      <c r="O165" s="569">
        <f>IFERROR(VLOOKUP(C165,[3]List1!$A:$D,3,FALSE),"N/A!")</f>
        <v>1800</v>
      </c>
      <c r="P165" s="569">
        <f>IFERROR(VLOOKUP(C165,[3]List1!$A:$D,2,FALSE),"N/A!")</f>
        <v>8000</v>
      </c>
      <c r="Q165" s="569" t="s">
        <v>11233</v>
      </c>
      <c r="R165" s="569" t="s">
        <v>20</v>
      </c>
      <c r="S165" s="569"/>
      <c r="T165" s="569">
        <v>30</v>
      </c>
      <c r="U165" s="569"/>
      <c r="V165" s="569"/>
      <c r="W165" s="569" t="str">
        <f>IFERROR(IF(AND($AB165&gt;=0.1*$AA165,MOD($AB165,$AA165)&gt;=($AA165-(0.1*$AA165))),IF($W$17=$AF$1,"Zvažte možnost doobjednání ještě "&amp;Tabulka1[[#This Row],[VKPAL]]-MOD(AB165,AA165)&amp;" VK do plné palety.",VLOOKUP("Zvažte možnost doobjednání ještě ",Jazyky_ceník!A:Q,MATCH($W$17,Jazyky_ceník!$A$1:$Q$1,0),FALSE)&amp;Tabulka1[[#This Row],[VKPAL]]-MOD(AB165,AA165)&amp;VLOOKUP(" VK do plné palety.",Jazyky_ceník!A:Q,MATCH($W$17,Jazyky_ceník!$A$1:$Q$1,0),FALSE)),IFERROR(IF(AND(NOT(MOD($AB165,$AA165)=0),$AB165&gt;=0.9*$AA165,MOD($AB165,$AA165)&lt;=0.1*$AA165),IF($W$17=$AF$1,"Zvažte možnost optimalizace objednaného množství podle počtu VK na paletě ==&gt;",VLOOKUP("Zvažte možnost optimalizace objednaného množství podle počtu VK na paletě ==&gt;",Jazyky_ceník!A:Q,MATCH($W$17,Jazyky_ceník!$A$1:$Q$1,0),FALSE)),VLOOKUP('General price list'!$C165,Popisy!A:M,MATCH($W$17,Popisy!$A$7:$M$7,0),FALSE)),"---------------")),IFERROR(VLOOKUP('General price list'!$C165,Popisy!A:M,MATCH($W$17,Popisy!$A$7:$M$7,0),FALSE),"---------------"))</f>
        <v>stříbrné hvězdy(studený oheň), délka 10cm, potravinářský atest!</v>
      </c>
      <c r="X165" s="569" t="str">
        <f t="shared" si="359"/>
        <v/>
      </c>
      <c r="Y165" s="569" t="str">
        <f t="shared" si="360"/>
        <v/>
      </c>
      <c r="Z165" s="569" t="str">
        <f>HYPERLINK("https://www.klasekpyrotechnics.cz/df10cm")</f>
        <v>https://www.klasekpyrotechnics.cz/df10cm</v>
      </c>
      <c r="AA165" s="569">
        <f>IFERROR(IF(VLOOKUP(C165,[4]List1!$A:$D,4,FALSE)=0,"",VLOOKUP(C165,[4]List1!$A:$D,4,FALSE)),"")</f>
        <v>48</v>
      </c>
      <c r="AB165" s="565"/>
      <c r="AC165" s="570" t="str">
        <f>IFERROR(IF(VLOOKUP(C165,[1]List1!$A:$D,2,FALSE)="VYPRODÁNO",$V$9,IF(VLOOKUP(C165,[1]List1!$A:$D,2,FALSE)="DOCHÁZÍ",$V$3,VLOOKUP(C165,[1]List1!$A:$D,2,FALSE))),"OFFLINE!")</f>
        <v>SKLADEM</v>
      </c>
      <c r="AD165" s="570" t="str">
        <f ca="1">IF(AP165="NE",$V$10,IF(AC165=$V$3,IF(AQ165&lt;1,$V$8,$V$2&amp;" "&amp;AQ165&amp;" "&amp;$V$1),IF(AC165="SKLADEM",$V$6,IFERROR(IF(OR(AC165-TODAY()&gt;45,VLOOKUP(C165,[1]List1!$A:$E,4,FALSE)=0),AC165,DAY(AC165)&amp;"."&amp;MONTH(AC165)&amp;"."&amp;YEAR(AC165)&amp;" "&amp;$V$4&amp;VLOOKUP(C165,[1]List1!$A:$E,4,FALSE)&amp;" "&amp;$V$1),AC165))))</f>
        <v>SKLADEM</v>
      </c>
      <c r="AE165" s="581" t="str">
        <f t="shared" ca="1" si="361"/>
        <v>SKLADEM</v>
      </c>
      <c r="AF165" s="584">
        <f t="shared" si="362"/>
        <v>0</v>
      </c>
      <c r="AG165" s="585">
        <f t="shared" si="363"/>
        <v>0</v>
      </c>
      <c r="AH165" s="583">
        <f t="shared" si="364"/>
        <v>0</v>
      </c>
      <c r="AI165" s="582">
        <f t="shared" si="365"/>
        <v>0</v>
      </c>
      <c r="AJ165" s="569">
        <f t="shared" si="366"/>
        <v>0</v>
      </c>
      <c r="AK165" s="569" t="str">
        <f t="shared" si="367"/>
        <v/>
      </c>
      <c r="AL165" s="569" t="str">
        <f t="shared" si="368"/>
        <v/>
      </c>
      <c r="AM165" s="569">
        <f t="shared" si="369"/>
        <v>0</v>
      </c>
      <c r="AN165" s="581">
        <f t="shared" si="370"/>
        <v>0</v>
      </c>
      <c r="AO165" s="623"/>
      <c r="AP165" s="632" t="str">
        <f t="shared" si="349"/>
        <v/>
      </c>
      <c r="AQ165" s="633" t="str">
        <f>IF(AC165=$V$3,IF(VLOOKUP(C165,[1]List1!$A:$E,5,FALSE)=0,1,VLOOKUP(C165,[1]List1!$A:$E,5,FALSE)),"")</f>
        <v/>
      </c>
      <c r="AR165" s="625" t="str">
        <f t="shared" si="350"/>
        <v/>
      </c>
      <c r="AS165" s="634" t="str">
        <f t="shared" si="351"/>
        <v/>
      </c>
      <c r="AT165" s="625" t="str">
        <f t="shared" si="352"/>
        <v/>
      </c>
      <c r="AU165" s="638" t="e">
        <f t="shared" si="353"/>
        <v>#N/A</v>
      </c>
      <c r="AV165" s="625" t="e">
        <f t="shared" si="354"/>
        <v>#N/A</v>
      </c>
      <c r="AX165" s="625">
        <f>IF(AND('General price list'!$J165="F4",'General price list'!$AB165+0&gt;0),1,0)</f>
        <v>0</v>
      </c>
      <c r="AY165" s="625">
        <f t="shared" si="355"/>
        <v>1</v>
      </c>
      <c r="AZ165" s="625">
        <f t="shared" si="356"/>
        <v>0</v>
      </c>
    </row>
    <row r="166" spans="1:52" ht="15" customHeight="1">
      <c r="A166" s="639" t="str">
        <f>Kat.!C166</f>
        <v/>
      </c>
      <c r="B166" s="640">
        <f>IF(AND('General price list'!$J166="F4",$AI$1=FALSE),0,IF(AC166="SKLADEM",1,IF(AC166=$V$3,1,0)))</f>
        <v>1</v>
      </c>
      <c r="C166" s="641" t="s">
        <v>434</v>
      </c>
      <c r="D166" s="642" t="s">
        <v>435</v>
      </c>
      <c r="E166" s="643" t="s">
        <v>12687</v>
      </c>
      <c r="F166" s="791">
        <f>IFERROR(VLOOKUP(C166,[2]List1!$A:$D,3,FALSE),"NEUVEDENO!")</f>
        <v>50</v>
      </c>
      <c r="G166" s="768">
        <f t="shared" si="357"/>
        <v>50</v>
      </c>
      <c r="H166" s="765">
        <f t="shared" si="358"/>
        <v>2.1239268859408784</v>
      </c>
      <c r="I166" s="644">
        <f>IFERROR(VLOOKUP(C166,[2]List1!$A:$D,4,FALSE),"NEUVEDENO!")</f>
        <v>50</v>
      </c>
      <c r="J166" s="733" t="s">
        <v>19</v>
      </c>
      <c r="K166" s="645" t="s">
        <v>11100</v>
      </c>
      <c r="L166" s="645" t="s">
        <v>10976</v>
      </c>
      <c r="M166" s="645" t="s">
        <v>21</v>
      </c>
      <c r="N166" s="645">
        <f>IFERROR(VLOOKUP(C166,[3]List1!$A:$D,4,FALSE),"N/A!")</f>
        <v>2.2099999999999998E-2</v>
      </c>
      <c r="O166" s="645">
        <f>IFERROR(VLOOKUP(C166,[3]List1!$A:$D,3,FALSE),"N/A!")</f>
        <v>1800</v>
      </c>
      <c r="P166" s="645">
        <f>IFERROR(VLOOKUP(C166,[3]List1!$A:$D,2,FALSE),"N/A!")</f>
        <v>8200</v>
      </c>
      <c r="Q166" s="645" t="s">
        <v>11233</v>
      </c>
      <c r="R166" s="645" t="s">
        <v>20</v>
      </c>
      <c r="S166" s="645"/>
      <c r="T166" s="645">
        <v>60</v>
      </c>
      <c r="U166" s="645"/>
      <c r="V166" s="645"/>
      <c r="W166" s="645" t="str">
        <f>IFERROR(IF(AND($AB166&gt;=0.1*$AA166,MOD($AB166,$AA166)&gt;=($AA166-(0.1*$AA166))),IF($W$17=$AF$1,"Zvažte možnost doobjednání ještě "&amp;Tabulka1[[#This Row],[VKPAL]]-MOD(AB166,AA166)&amp;" VK do plné palety.",VLOOKUP("Zvažte možnost doobjednání ještě ",Jazyky_ceník!A:Q,MATCH($W$17,Jazyky_ceník!$A$1:$Q$1,0),FALSE)&amp;Tabulka1[[#This Row],[VKPAL]]-MOD(AB166,AA166)&amp;VLOOKUP(" VK do plné palety.",Jazyky_ceník!A:Q,MATCH($W$17,Jazyky_ceník!$A$1:$Q$1,0),FALSE)),IFERROR(IF(AND(NOT(MOD($AB166,$AA166)=0),$AB166&gt;=0.9*$AA166,MOD($AB166,$AA166)&lt;=0.1*$AA166),IF($W$17=$AF$1,"Zvažte možnost optimalizace objednaného množství podle počtu VK na paletě ==&gt;",VLOOKUP("Zvažte možnost optimalizace objednaného množství podle počtu VK na paletě ==&gt;",Jazyky_ceník!A:Q,MATCH($W$17,Jazyky_ceník!$A$1:$Q$1,0),FALSE)),VLOOKUP('General price list'!$C166,Popisy!A:M,MATCH($W$17,Popisy!$A$7:$M$7,0),FALSE)),"---------------")),IFERROR(VLOOKUP('General price list'!$C166,Popisy!A:M,MATCH($W$17,Popisy!$A$7:$M$7,0),FALSE),"---------------"))</f>
        <v>stříbrné hvězdy(studený oheň), délka 20cm, potravinářský atest!stříbrný papír pro 1ks</v>
      </c>
      <c r="X166" s="645" t="str">
        <f t="shared" si="359"/>
        <v/>
      </c>
      <c r="Y166" s="645" t="str">
        <f t="shared" si="360"/>
        <v/>
      </c>
      <c r="Z166" s="645" t="str">
        <f>HYPERLINK("https://www.klasekpyrotechnics.cz/df20cm")</f>
        <v>https://www.klasekpyrotechnics.cz/df20cm</v>
      </c>
      <c r="AA166" s="645">
        <f>IFERROR(IF(VLOOKUP(C166,[4]List1!$A:$D,4,FALSE)=0,"",VLOOKUP(C166,[4]List1!$A:$D,4,FALSE)),"")</f>
        <v>54</v>
      </c>
      <c r="AB166" s="646"/>
      <c r="AC166" s="647" t="str">
        <f>IFERROR(IF(VLOOKUP(C166,[1]List1!$A:$D,2,FALSE)="VYPRODÁNO",$V$9,IF(VLOOKUP(C166,[1]List1!$A:$D,2,FALSE)="DOCHÁZÍ",$V$3,VLOOKUP(C166,[1]List1!$A:$D,2,FALSE))),"OFFLINE!")</f>
        <v>SKLADEM</v>
      </c>
      <c r="AD166" s="647" t="str">
        <f ca="1">IF(AP166="NE",$V$10,IF(AC166=$V$3,IF(AQ166&lt;1,$V$8,$V$2&amp;" "&amp;AQ166&amp;" "&amp;$V$1),IF(AC166="SKLADEM",$V$6,IFERROR(IF(OR(AC166-TODAY()&gt;45,VLOOKUP(C166,[1]List1!$A:$E,4,FALSE)=0),AC166,DAY(AC166)&amp;"."&amp;MONTH(AC166)&amp;"."&amp;YEAR(AC166)&amp;" "&amp;$V$4&amp;VLOOKUP(C166,[1]List1!$A:$E,4,FALSE)&amp;" "&amp;$V$1),AC166))))</f>
        <v>SKLADEM</v>
      </c>
      <c r="AE166" s="645" t="str">
        <f t="shared" ca="1" si="361"/>
        <v>SKLADEM</v>
      </c>
      <c r="AF166" s="648">
        <f t="shared" si="362"/>
        <v>0</v>
      </c>
      <c r="AG166" s="649">
        <f t="shared" si="363"/>
        <v>0</v>
      </c>
      <c r="AH166" s="650">
        <f t="shared" si="364"/>
        <v>0</v>
      </c>
      <c r="AI166" s="645">
        <f t="shared" si="365"/>
        <v>0</v>
      </c>
      <c r="AJ166" s="645">
        <f t="shared" si="366"/>
        <v>0</v>
      </c>
      <c r="AK166" s="645" t="str">
        <f t="shared" si="367"/>
        <v/>
      </c>
      <c r="AL166" s="645" t="str">
        <f t="shared" si="368"/>
        <v/>
      </c>
      <c r="AM166" s="645">
        <f t="shared" si="369"/>
        <v>0</v>
      </c>
      <c r="AN166" s="651">
        <f t="shared" si="370"/>
        <v>0</v>
      </c>
      <c r="AO166" s="623"/>
      <c r="AP166" s="632" t="str">
        <f t="shared" si="349"/>
        <v/>
      </c>
      <c r="AQ166" s="633" t="str">
        <f>IF(AC166=$V$3,IF(VLOOKUP(C166,[1]List1!$A:$E,5,FALSE)=0,1,VLOOKUP(C166,[1]List1!$A:$E,5,FALSE)),"")</f>
        <v/>
      </c>
      <c r="AR166" s="625" t="str">
        <f t="shared" si="350"/>
        <v/>
      </c>
      <c r="AS166" s="634" t="str">
        <f t="shared" si="351"/>
        <v/>
      </c>
      <c r="AT166" s="625" t="str">
        <f t="shared" si="352"/>
        <v/>
      </c>
      <c r="AU166" s="638" t="e">
        <f t="shared" si="353"/>
        <v>#N/A</v>
      </c>
      <c r="AV166" s="625" t="e">
        <f t="shared" si="354"/>
        <v>#N/A</v>
      </c>
      <c r="AX166" s="625">
        <f>IF(AND('General price list'!$J166="F4",'General price list'!$AB166+0&gt;0),1,0)</f>
        <v>0</v>
      </c>
      <c r="AY166" s="625">
        <f t="shared" si="355"/>
        <v>1</v>
      </c>
      <c r="AZ166" s="625">
        <f t="shared" si="356"/>
        <v>0</v>
      </c>
    </row>
    <row r="167" spans="1:52" ht="15" customHeight="1">
      <c r="A167" s="621" t="str">
        <f>Kat.!C167</f>
        <v/>
      </c>
      <c r="B167" s="566">
        <f>IF(AND('General price list'!$J167="F4",$AI$1=FALSE),0,IF(AC167="SKLADEM",1,IF(AC167=$V$3,1,0)))</f>
        <v>1</v>
      </c>
      <c r="C167" s="567" t="s">
        <v>441</v>
      </c>
      <c r="D167" s="568" t="s">
        <v>442</v>
      </c>
      <c r="E167" s="763" t="s">
        <v>12687</v>
      </c>
      <c r="F167" s="772">
        <f>IFERROR(VLOOKUP(C167,[2]List1!$A:$D,3,FALSE),"NEUVEDENO!")</f>
        <v>69</v>
      </c>
      <c r="G167" s="769">
        <f t="shared" si="357"/>
        <v>69</v>
      </c>
      <c r="H167" s="766">
        <f t="shared" si="358"/>
        <v>2.931019102598412</v>
      </c>
      <c r="I167" s="764">
        <f>IFERROR(VLOOKUP(C167,[2]List1!$A:$D,4,FALSE),"NEUVEDENO!")</f>
        <v>50</v>
      </c>
      <c r="J167" s="732" t="s">
        <v>19</v>
      </c>
      <c r="K167" s="569" t="s">
        <v>20</v>
      </c>
      <c r="L167" s="569" t="s">
        <v>10976</v>
      </c>
      <c r="M167" s="569" t="s">
        <v>21</v>
      </c>
      <c r="N167" s="569">
        <f>IFERROR(VLOOKUP(C167,[3]List1!$A:$D,4,FALSE),"N/A!")</f>
        <v>3.8079999999999996E-2</v>
      </c>
      <c r="O167" s="569">
        <f>IFERROR(VLOOKUP(C167,[3]List1!$A:$D,3,FALSE),"N/A!")</f>
        <v>2100</v>
      </c>
      <c r="P167" s="569">
        <f>IFERROR(VLOOKUP(C167,[3]List1!$A:$D,2,FALSE),"N/A!")</f>
        <v>11500</v>
      </c>
      <c r="Q167" s="569" t="s">
        <v>11245</v>
      </c>
      <c r="R167" s="569"/>
      <c r="S167" s="569"/>
      <c r="T167" s="569">
        <v>90</v>
      </c>
      <c r="U167" s="569"/>
      <c r="V167" s="569"/>
      <c r="W167" s="569" t="str">
        <f>IFERROR(IF(AND($AB167&gt;=0.1*$AA167,MOD($AB167,$AA167)&gt;=($AA167-(0.1*$AA167))),IF($W$17=$AF$1,"Zvažte možnost doobjednání ještě "&amp;Tabulka1[[#This Row],[VKPAL]]-MOD(AB167,AA167)&amp;" VK do plné palety.",VLOOKUP("Zvažte možnost doobjednání ještě ",Jazyky_ceník!A:Q,MATCH($W$17,Jazyky_ceník!$A$1:$Q$1,0),FALSE)&amp;Tabulka1[[#This Row],[VKPAL]]-MOD(AB167,AA167)&amp;VLOOKUP(" VK do plné palety.",Jazyky_ceník!A:Q,MATCH($W$17,Jazyky_ceník!$A$1:$Q$1,0),FALSE)),IFERROR(IF(AND(NOT(MOD($AB167,$AA167)=0),$AB167&gt;=0.9*$AA167,MOD($AB167,$AA167)&lt;=0.1*$AA167),IF($W$17=$AF$1,"Zvažte možnost optimalizace objednaného množství podle počtu VK na paletě ==&gt;",VLOOKUP("Zvažte možnost optimalizace objednaného množství podle počtu VK na paletě ==&gt;",Jazyky_ceník!A:Q,MATCH($W$17,Jazyky_ceník!$A$1:$Q$1,0),FALSE)),VLOOKUP('General price list'!$C167,Popisy!A:M,MATCH($W$17,Popisy!$A$7:$M$7,0),FALSE)),"---------------")),IFERROR(VLOOKUP('General price list'!$C167,Popisy!A:M,MATCH($W$17,Popisy!$A$7:$M$7,0),FALSE),"---------------"))</f>
        <v>stříbrné hvězdy(studený oheň), délka 30cm, potravinářský atest!zlatý papír pro 1ks</v>
      </c>
      <c r="X167" s="569" t="str">
        <f t="shared" si="359"/>
        <v/>
      </c>
      <c r="Y167" s="569" t="str">
        <f t="shared" si="360"/>
        <v/>
      </c>
      <c r="Z167" s="569" t="str">
        <f>HYPERLINK("https://www.klasekpyrotechnics.cz/df30cm")</f>
        <v>https://www.klasekpyrotechnics.cz/df30cm</v>
      </c>
      <c r="AA167" s="569">
        <f>IFERROR(IF(VLOOKUP(C167,[4]List1!$A:$D,4,FALSE)=0,"",VLOOKUP(C167,[4]List1!$A:$D,4,FALSE)),"")</f>
        <v>40</v>
      </c>
      <c r="AB167" s="565"/>
      <c r="AC167" s="570" t="str">
        <f>IFERROR(IF(VLOOKUP(C167,[1]List1!$A:$D,2,FALSE)="VYPRODÁNO",$V$9,IF(VLOOKUP(C167,[1]List1!$A:$D,2,FALSE)="DOCHÁZÍ",$V$3,VLOOKUP(C167,[1]List1!$A:$D,2,FALSE))),"OFFLINE!")</f>
        <v>SKLADEM</v>
      </c>
      <c r="AD167" s="570" t="str">
        <f ca="1">IF(AP167="NE",$V$10,IF(AC167=$V$3,IF(AQ167&lt;1,$V$8,$V$2&amp;" "&amp;AQ167&amp;" "&amp;$V$1),IF(AC167="SKLADEM",$V$6,IFERROR(IF(OR(AC167-TODAY()&gt;45,VLOOKUP(C167,[1]List1!$A:$E,4,FALSE)=0),AC167,DAY(AC167)&amp;"."&amp;MONTH(AC167)&amp;"."&amp;YEAR(AC167)&amp;" "&amp;$V$4&amp;VLOOKUP(C167,[1]List1!$A:$E,4,FALSE)&amp;" "&amp;$V$1),AC167))))</f>
        <v>SKLADEM</v>
      </c>
      <c r="AE167" s="581" t="str">
        <f t="shared" ca="1" si="361"/>
        <v>SKLADEM</v>
      </c>
      <c r="AF167" s="584">
        <f t="shared" si="362"/>
        <v>0</v>
      </c>
      <c r="AG167" s="585">
        <f t="shared" si="363"/>
        <v>0</v>
      </c>
      <c r="AH167" s="583">
        <f t="shared" si="364"/>
        <v>0</v>
      </c>
      <c r="AI167" s="582">
        <f t="shared" si="365"/>
        <v>0</v>
      </c>
      <c r="AJ167" s="569">
        <f t="shared" si="366"/>
        <v>0</v>
      </c>
      <c r="AK167" s="569" t="str">
        <f t="shared" si="367"/>
        <v/>
      </c>
      <c r="AL167" s="569" t="str">
        <f t="shared" si="368"/>
        <v/>
      </c>
      <c r="AM167" s="569">
        <f t="shared" si="369"/>
        <v>0</v>
      </c>
      <c r="AN167" s="581">
        <f t="shared" si="370"/>
        <v>0</v>
      </c>
      <c r="AO167" s="623"/>
      <c r="AP167" s="632" t="str">
        <f t="shared" si="349"/>
        <v/>
      </c>
      <c r="AQ167" s="633" t="str">
        <f>IF(AC167=$V$3,IF(VLOOKUP(C167,[1]List1!$A:$E,5,FALSE)=0,1,VLOOKUP(C167,[1]List1!$A:$E,5,FALSE)),"")</f>
        <v/>
      </c>
      <c r="AR167" s="625" t="str">
        <f t="shared" si="350"/>
        <v/>
      </c>
      <c r="AS167" s="634" t="str">
        <f t="shared" si="351"/>
        <v/>
      </c>
      <c r="AT167" s="625" t="str">
        <f t="shared" si="352"/>
        <v/>
      </c>
      <c r="AU167" s="638" t="e">
        <f t="shared" si="353"/>
        <v>#N/A</v>
      </c>
      <c r="AV167" s="625" t="e">
        <f t="shared" si="354"/>
        <v>#N/A</v>
      </c>
      <c r="AX167" s="625">
        <f>IF(AND('General price list'!$J167="F4",'General price list'!$AB167+0&gt;0),1,0)</f>
        <v>0</v>
      </c>
      <c r="AY167" s="625">
        <f t="shared" si="355"/>
        <v>1</v>
      </c>
      <c r="AZ167" s="625">
        <f t="shared" si="356"/>
        <v>0</v>
      </c>
    </row>
    <row r="168" spans="1:52" ht="15" customHeight="1">
      <c r="A168" s="751" t="str">
        <f>Kat.!C168</f>
        <v xml:space="preserve">           Konfety 50 mm</v>
      </c>
      <c r="B168" s="751"/>
      <c r="C168" s="751"/>
      <c r="D168" s="751"/>
      <c r="E168" s="751"/>
      <c r="F168" s="751"/>
      <c r="G168" s="751"/>
      <c r="H168" s="751"/>
      <c r="I168" s="752"/>
      <c r="J168" s="752"/>
      <c r="K168" s="752" t="s">
        <v>20</v>
      </c>
      <c r="L168" s="753" t="s">
        <v>2818</v>
      </c>
      <c r="M168" s="752"/>
      <c r="N168" s="752"/>
      <c r="O168" s="752"/>
      <c r="P168" s="752"/>
      <c r="Q168" s="752"/>
      <c r="R168" s="752"/>
      <c r="S168" s="752"/>
      <c r="T168" s="752"/>
      <c r="U168" s="752"/>
      <c r="V168" s="752"/>
      <c r="W168" s="752"/>
      <c r="X168" s="752"/>
      <c r="Y168" s="752"/>
      <c r="Z168" s="752" t="s">
        <v>20</v>
      </c>
      <c r="AA168" s="752"/>
      <c r="AB168" s="752"/>
      <c r="AC168" s="754"/>
      <c r="AD168" s="752"/>
      <c r="AE168" s="752"/>
      <c r="AF168" s="752"/>
      <c r="AG168" s="752"/>
      <c r="AH168" s="752"/>
      <c r="AI168" s="752"/>
      <c r="AJ168" s="752"/>
      <c r="AK168" s="752"/>
      <c r="AL168" s="752"/>
      <c r="AM168" s="752"/>
      <c r="AN168" s="752"/>
      <c r="AO168" s="623"/>
      <c r="AP168" s="632" t="str">
        <f t="shared" si="349"/>
        <v/>
      </c>
      <c r="AQ168" s="633" t="str">
        <f>IF(AC168=$V$3,IF(VLOOKUP(C168,[1]List1!$A:$E,5,FALSE)=0,1,VLOOKUP(C168,[1]List1!$A:$E,5,FALSE)),"")</f>
        <v/>
      </c>
      <c r="AR168" s="625" t="str">
        <f t="shared" si="350"/>
        <v/>
      </c>
      <c r="AS168" s="634" t="str">
        <f t="shared" si="351"/>
        <v/>
      </c>
      <c r="AT168" s="625" t="str">
        <f t="shared" si="352"/>
        <v/>
      </c>
      <c r="AU168" s="638" t="e">
        <f t="shared" si="353"/>
        <v>#N/A</v>
      </c>
      <c r="AV168" s="625" t="e">
        <f t="shared" si="354"/>
        <v>#N/A</v>
      </c>
      <c r="AX168" s="625">
        <f>IF(AND('General price list'!$J168="F4",'General price list'!$AB168+0&gt;0),1,0)</f>
        <v>0</v>
      </c>
      <c r="AY168" s="625">
        <f t="shared" si="355"/>
        <v>0</v>
      </c>
      <c r="AZ168" s="625">
        <f t="shared" si="356"/>
        <v>0</v>
      </c>
    </row>
    <row r="169" spans="1:52" ht="15" customHeight="1">
      <c r="A169" s="639" t="str">
        <f>Kat.!C169</f>
        <v/>
      </c>
      <c r="B169" s="640">
        <f>IF(AND('General price list'!$J169="F4",$AI$1=FALSE),0,IF(AC169="SKLADEM",1,IF(AC169=$V$3,1,0)))</f>
        <v>1</v>
      </c>
      <c r="C169" s="641" t="s">
        <v>497</v>
      </c>
      <c r="D169" s="642" t="s">
        <v>498</v>
      </c>
      <c r="E169" s="643" t="s">
        <v>12688</v>
      </c>
      <c r="F169" s="773">
        <f>IFERROR(VLOOKUP(C169,[2]List1!$A:$D,3,FALSE),"NEUVEDENO!")</f>
        <v>88</v>
      </c>
      <c r="G169" s="770">
        <f t="shared" ref="G169" si="371">IF($W$17=$AF$8,ROUND((F169)/$F$17,2),(F169)*$B$19)</f>
        <v>88</v>
      </c>
      <c r="H169" s="767">
        <f t="shared" ref="H169" si="372">IF($W$17=$AF$8,G169*$B$19,G169/$F$17)</f>
        <v>3.7381113192559461</v>
      </c>
      <c r="I169" s="644">
        <f>IFERROR(VLOOKUP(C169,[2]List1!$A:$D,4,FALSE),"NEUVEDENO!")</f>
        <v>36</v>
      </c>
      <c r="J169" s="733" t="s">
        <v>193</v>
      </c>
      <c r="K169" s="645" t="s">
        <v>20</v>
      </c>
      <c r="L169" s="645" t="s">
        <v>20</v>
      </c>
      <c r="M169" s="645" t="s">
        <v>21</v>
      </c>
      <c r="N169" s="645">
        <f>IFERROR(VLOOKUP(C169,[3]List1!$A:$D,4,FALSE),"N/A!")</f>
        <v>7.2170999999999999E-2</v>
      </c>
      <c r="O169" s="645">
        <f>IFERROR(VLOOKUP(C169,[3]List1!$A:$D,3,FALSE),"N/A!")</f>
        <v>0</v>
      </c>
      <c r="P169" s="645">
        <f>IFERROR(VLOOKUP(C169,[3]List1!$A:$D,2,FALSE),"N/A!")</f>
        <v>10500</v>
      </c>
      <c r="Q169" s="645" t="s">
        <v>11233</v>
      </c>
      <c r="R169" s="645" t="s">
        <v>20</v>
      </c>
      <c r="S169" s="645"/>
      <c r="T169" s="645"/>
      <c r="U169" s="645"/>
      <c r="V169" s="645"/>
      <c r="W169" s="645" t="str">
        <f>IFERROR(IF(AND($AB169&gt;=0.1*$AA169,MOD($AB169,$AA169)&gt;=($AA169-(0.1*$AA169))),IF($W$17=$AF$1,"Zvažte možnost doobjednání ještě "&amp;Tabulka1[[#This Row],[VKPAL]]-MOD(AB169,AA169)&amp;" VK do plné palety.",VLOOKUP("Zvažte možnost doobjednání ještě ",Jazyky_ceník!A:Q,MATCH($W$17,Jazyky_ceník!$A$1:$Q$1,0),FALSE)&amp;Tabulka1[[#This Row],[VKPAL]]-MOD(AB169,AA169)&amp;VLOOKUP(" VK do plné palety.",Jazyky_ceník!A:Q,MATCH($W$17,Jazyky_ceník!$A$1:$Q$1,0),FALSE)),IFERROR(IF(AND(NOT(MOD($AB169,$AA169)=0),$AB169&gt;=0.9*$AA169,MOD($AB169,$AA169)&lt;=0.1*$AA169),IF($W$17=$AF$1,"Zvažte možnost optimalizace objednaného množství podle počtu VK na paletě ==&gt;",VLOOKUP("Zvažte možnost optimalizace objednaného množství podle počtu VK na paletě ==&gt;",Jazyky_ceník!A:Q,MATCH($W$17,Jazyky_ceník!$A$1:$Q$1,0),FALSE)),VLOOKUP('General price list'!$C169,Popisy!A:M,MATCH($W$17,Popisy!$A$7:$M$7,0),FALSE)),"---------------")),IFERROR(VLOOKUP('General price list'!$C169,Popisy!A:M,MATCH($W$17,Popisy!$A$7:$M$7,0),FALSE),"---------------"))</f>
        <v>80cm délka,lesklé barevné papírky</v>
      </c>
      <c r="X169" s="645" t="str">
        <f t="shared" ref="X169" si="373">IF(AB169&lt;0.0001,"",AB169)</f>
        <v/>
      </c>
      <c r="Y169" s="645" t="str">
        <f t="shared" ref="Y169" si="374">IF($AL$3=2,IF(OR(AB169&lt;&gt;"",AB169&lt;&gt;0),AU169,""),IF(C169="","",IF(AB169&lt;0.0001,"",IF(B169=0,"",IF(AQ169&lt;AB169,"",AB169)))))</f>
        <v/>
      </c>
      <c r="Z169" s="645" t="str">
        <f>HYPERLINK("https://www.klasekpyrotechnics.cz/con80p")</f>
        <v>https://www.klasekpyrotechnics.cz/con80p</v>
      </c>
      <c r="AA169" s="645" t="str">
        <f>IFERROR(IF(VLOOKUP(C169,[4]List1!$A:$D,4,FALSE)=0,"",VLOOKUP(C169,[4]List1!$A:$D,4,FALSE)),"")</f>
        <v>21</v>
      </c>
      <c r="AB169" s="646"/>
      <c r="AC169" s="647" t="str">
        <f>IFERROR(IF(VLOOKUP(C169,[1]List1!$A:$D,2,FALSE)="VYPRODÁNO",$V$9,IF(VLOOKUP(C169,[1]List1!$A:$D,2,FALSE)="DOCHÁZÍ",$V$3,VLOOKUP(C169,[1]List1!$A:$D,2,FALSE))),"OFFLINE!")</f>
        <v>SKLADEM</v>
      </c>
      <c r="AD169" s="647" t="str">
        <f ca="1">IF(AP169="NE",$V$10,IF(AC169=$V$3,IF(AQ169&lt;1,$V$8,$V$2&amp;" "&amp;AQ169&amp;" "&amp;$V$1),IF(AC169="SKLADEM",$V$6,IFERROR(IF(OR(AC169-TODAY()&gt;45,VLOOKUP(C169,[1]List1!$A:$E,4,FALSE)=0),AC169,DAY(AC169)&amp;"."&amp;MONTH(AC169)&amp;"."&amp;YEAR(AC169)&amp;" "&amp;$V$4&amp;VLOOKUP(C169,[1]List1!$A:$E,4,FALSE)&amp;" "&amp;$V$1),AC169))))</f>
        <v>SKLADEM</v>
      </c>
      <c r="AE169" s="645" t="str">
        <f t="shared" ref="AE169" ca="1" si="375">IFERROR(IF(AV169&lt;&gt;"",AV169,AD169),AD169)</f>
        <v>SKLADEM</v>
      </c>
      <c r="AF169" s="648">
        <f t="shared" ref="AF169" si="376">IFERROR(IF(AB169=Y169,G169*I169*Y169,0),0)</f>
        <v>0</v>
      </c>
      <c r="AG169" s="649">
        <f t="shared" ref="AG169" si="377">IF($W$17=$AF$8,AH169*1.23,AF169*1.21)</f>
        <v>0</v>
      </c>
      <c r="AH169" s="650">
        <f t="shared" ref="AH169" si="378">IFERROR(IF(Y169=AB169,H169*I169*Y169,0),0)</f>
        <v>0</v>
      </c>
      <c r="AI169" s="645">
        <f t="shared" ref="AI169" si="379">IFERROR(IF(Y169=AB169,(P169*Y169)/1000,1),0)</f>
        <v>0</v>
      </c>
      <c r="AJ169" s="645">
        <f t="shared" ref="AJ169" si="380">IFERROR(IF(Y169=AB169,N169*Y169,0.1),0)</f>
        <v>0</v>
      </c>
      <c r="AK169" s="645" t="str">
        <f t="shared" ref="AK169" si="381">IFERROR(IF(Y169=AB169,IF(M169="1.1G",(O169/1000)*Y169,""),""),0)</f>
        <v/>
      </c>
      <c r="AL169" s="645" t="str">
        <f t="shared" ref="AL169" si="382">IFERROR(IF(Y169=AB169,IF(M169="1.3G",(O169/1000)*AB169,""),""),0)</f>
        <v/>
      </c>
      <c r="AM169" s="645">
        <f t="shared" ref="AM169" si="383">IFERROR(IF(Y169=AB169,IF(M169="1.4G",(O169/1000)*AB169,""),""),0)</f>
        <v>0</v>
      </c>
      <c r="AN169" s="651">
        <f t="shared" ref="AN169" si="384">SUM(AK169:AM169)</f>
        <v>0</v>
      </c>
      <c r="AO169" s="623"/>
      <c r="AP169" s="632" t="str">
        <f t="shared" si="349"/>
        <v/>
      </c>
      <c r="AQ169" s="633" t="str">
        <f>IF(AC169=$V$3,IF(VLOOKUP(C169,[1]List1!$A:$E,5,FALSE)=0,1,VLOOKUP(C169,[1]List1!$A:$E,5,FALSE)),"")</f>
        <v/>
      </c>
      <c r="AR169" s="625" t="str">
        <f t="shared" si="350"/>
        <v/>
      </c>
      <c r="AS169" s="634" t="str">
        <f t="shared" si="351"/>
        <v/>
      </c>
      <c r="AT169" s="625" t="str">
        <f t="shared" si="352"/>
        <v/>
      </c>
      <c r="AU169" s="638" t="e">
        <f t="shared" si="353"/>
        <v>#N/A</v>
      </c>
      <c r="AV169" s="625" t="e">
        <f t="shared" si="354"/>
        <v>#N/A</v>
      </c>
      <c r="AX169" s="625">
        <f>IF(AND('General price list'!$J169="F4",'General price list'!$AB169+0&gt;0),1,0)</f>
        <v>0</v>
      </c>
      <c r="AY169" s="625">
        <f t="shared" si="355"/>
        <v>1</v>
      </c>
      <c r="AZ169" s="625">
        <f t="shared" si="356"/>
        <v>0</v>
      </c>
    </row>
    <row r="170" spans="1:52" ht="15" customHeight="1">
      <c r="A170" s="751" t="str">
        <f>Kat.!C170</f>
        <v xml:space="preserve">           Římské svíce 7 mm</v>
      </c>
      <c r="B170" s="751"/>
      <c r="C170" s="751"/>
      <c r="D170" s="751"/>
      <c r="E170" s="751"/>
      <c r="F170" s="751"/>
      <c r="G170" s="751"/>
      <c r="H170" s="751"/>
      <c r="I170" s="752"/>
      <c r="J170" s="752"/>
      <c r="K170" s="752" t="s">
        <v>20</v>
      </c>
      <c r="L170" s="753" t="s">
        <v>2818</v>
      </c>
      <c r="M170" s="752"/>
      <c r="N170" s="752"/>
      <c r="O170" s="752"/>
      <c r="P170" s="752"/>
      <c r="Q170" s="752"/>
      <c r="R170" s="752"/>
      <c r="S170" s="752"/>
      <c r="T170" s="752"/>
      <c r="U170" s="752"/>
      <c r="V170" s="752"/>
      <c r="W170" s="752"/>
      <c r="X170" s="752"/>
      <c r="Y170" s="752"/>
      <c r="Z170" s="752" t="s">
        <v>20</v>
      </c>
      <c r="AA170" s="752"/>
      <c r="AB170" s="752"/>
      <c r="AC170" s="754"/>
      <c r="AD170" s="752"/>
      <c r="AE170" s="752"/>
      <c r="AF170" s="752"/>
      <c r="AG170" s="752"/>
      <c r="AH170" s="752"/>
      <c r="AI170" s="752"/>
      <c r="AJ170" s="752"/>
      <c r="AK170" s="752"/>
      <c r="AL170" s="752"/>
      <c r="AM170" s="752"/>
      <c r="AN170" s="752"/>
      <c r="AO170" s="623"/>
      <c r="AP170" s="632" t="str">
        <f t="shared" si="349"/>
        <v/>
      </c>
      <c r="AQ170" s="633" t="str">
        <f>IF(AC170=$V$3,IF(VLOOKUP(C170,[1]List1!$A:$E,5,FALSE)=0,1,VLOOKUP(C170,[1]List1!$A:$E,5,FALSE)),"")</f>
        <v/>
      </c>
      <c r="AR170" s="625" t="str">
        <f t="shared" si="350"/>
        <v/>
      </c>
      <c r="AS170" s="634" t="str">
        <f t="shared" si="351"/>
        <v/>
      </c>
      <c r="AT170" s="625" t="str">
        <f t="shared" si="352"/>
        <v/>
      </c>
      <c r="AU170" s="638" t="e">
        <f t="shared" si="353"/>
        <v>#N/A</v>
      </c>
      <c r="AV170" s="625" t="e">
        <f t="shared" si="354"/>
        <v>#N/A</v>
      </c>
      <c r="AX170" s="625">
        <f>IF(AND('General price list'!$J170="F4",'General price list'!$AB170+0&gt;0),1,0)</f>
        <v>0</v>
      </c>
      <c r="AY170" s="625">
        <f t="shared" si="355"/>
        <v>0</v>
      </c>
      <c r="AZ170" s="625">
        <f t="shared" si="356"/>
        <v>0</v>
      </c>
    </row>
    <row r="171" spans="1:52" ht="15" customHeight="1">
      <c r="A171" s="639" t="str">
        <f>Kat.!C171</f>
        <v/>
      </c>
      <c r="B171" s="640">
        <f>IF(AND('General price list'!$J171="F4",$AI$1=FALSE),0,IF(AC171="SKLADEM",1,IF(AC171=$V$3,1,0)))</f>
        <v>1</v>
      </c>
      <c r="C171" s="641" t="s">
        <v>509</v>
      </c>
      <c r="D171" s="642" t="s">
        <v>510</v>
      </c>
      <c r="E171" s="643" t="s">
        <v>12689</v>
      </c>
      <c r="F171" s="791">
        <f>IFERROR(VLOOKUP(C171,[2]List1!$A:$D,3,FALSE),"NEUVEDENO!")</f>
        <v>76</v>
      </c>
      <c r="G171" s="768">
        <f t="shared" ref="G171:G172" si="385">IF($W$17=$AF$8,ROUND((F171)/$F$17,2),(F171)*$B$19)</f>
        <v>76</v>
      </c>
      <c r="H171" s="765">
        <f t="shared" ref="H171:H172" si="386">IF($W$17=$AF$8,G171*$B$19,G171/$F$17)</f>
        <v>3.2283688666301353</v>
      </c>
      <c r="I171" s="644">
        <f>IFERROR(VLOOKUP(C171,[2]List1!$A:$D,4,FALSE),"NEUVEDENO!")</f>
        <v>24</v>
      </c>
      <c r="J171" s="733" t="s">
        <v>39</v>
      </c>
      <c r="K171" s="645" t="s">
        <v>11100</v>
      </c>
      <c r="L171" s="645" t="s">
        <v>10977</v>
      </c>
      <c r="M171" s="645" t="s">
        <v>21</v>
      </c>
      <c r="N171" s="645">
        <f>IFERROR(VLOOKUP(C171,[3]List1!$A:$D,4,FALSE),"N/A!")</f>
        <v>2.2079999999999999E-2</v>
      </c>
      <c r="O171" s="645">
        <f>IFERROR(VLOOKUP(C171,[3]List1!$A:$D,3,FALSE),"N/A!")</f>
        <v>1728</v>
      </c>
      <c r="P171" s="645">
        <f>IFERROR(VLOOKUP(C171,[3]List1!$A:$D,2,FALSE),"N/A!")</f>
        <v>9664</v>
      </c>
      <c r="Q171" s="645" t="s">
        <v>11232</v>
      </c>
      <c r="R171" s="645" t="s">
        <v>20</v>
      </c>
      <c r="S171" s="645"/>
      <c r="T171" s="645"/>
      <c r="U171" s="645"/>
      <c r="V171" s="645"/>
      <c r="W171" s="645" t="str">
        <f>IFERROR(IF(AND($AB171&gt;=0.1*$AA171,MOD($AB171,$AA171)&gt;=($AA171-(0.1*$AA171))),IF($W$17=$AF$1,"Zvažte možnost doobjednání ještě "&amp;Tabulka1[[#This Row],[VKPAL]]-MOD(AB171,AA171)&amp;" VK do plné palety.",VLOOKUP("Zvažte možnost doobjednání ještě ",Jazyky_ceník!A:Q,MATCH($W$17,Jazyky_ceník!$A$1:$Q$1,0),FALSE)&amp;Tabulka1[[#This Row],[VKPAL]]-MOD(AB171,AA171)&amp;VLOOKUP(" VK do plné palety.",Jazyky_ceník!A:Q,MATCH($W$17,Jazyky_ceník!$A$1:$Q$1,0),FALSE)),IFERROR(IF(AND(NOT(MOD($AB171,$AA171)=0),$AB171&gt;=0.9*$AA171,MOD($AB171,$AA171)&lt;=0.1*$AA171),IF($W$17=$AF$1,"Zvažte možnost optimalizace objednaného množství podle počtu VK na paletě ==&gt;",VLOOKUP("Zvažte možnost optimalizace objednaného množství podle počtu VK na paletě ==&gt;",Jazyky_ceník!A:Q,MATCH($W$17,Jazyky_ceník!$A$1:$Q$1,0),FALSE)),VLOOKUP('General price list'!$C171,Popisy!A:M,MATCH($W$17,Popisy!$A$7:$M$7,0),FALSE)),"---------------")),IFERROR(VLOOKUP('General price list'!$C171,Popisy!A:M,MATCH($W$17,Popisy!$A$7:$M$7,0),FALSE),"---------------"))</f>
        <v>20ran barevné světlice, 44cm délka</v>
      </c>
      <c r="X171" s="645" t="str">
        <f t="shared" ref="X171:X172" si="387">IF(AB171&lt;0.0001,"",AB171)</f>
        <v/>
      </c>
      <c r="Y171" s="645" t="str">
        <f t="shared" ref="Y171:Y172" si="388">IF($AL$3=2,IF(OR(AB171&lt;&gt;"",AB171&lt;&gt;0),AU171,""),IF(C171="","",IF(AB171&lt;0.0001,"",IF(B171=0,"",IF(AQ171&lt;AB171,"",AB171)))))</f>
        <v/>
      </c>
      <c r="Z171" s="645" t="str">
        <f>HYPERLINK("https://www.klasekpyrotechnics.cz/r4420b")</f>
        <v>https://www.klasekpyrotechnics.cz/r4420b</v>
      </c>
      <c r="AA171" s="645">
        <f>IFERROR(IF(VLOOKUP(C171,[4]List1!$A:$D,4,FALSE)=0,"",VLOOKUP(C171,[4]List1!$A:$D,4,FALSE)),"")</f>
        <v>50</v>
      </c>
      <c r="AB171" s="646"/>
      <c r="AC171" s="647" t="str">
        <f>IFERROR(IF(VLOOKUP(C171,[1]List1!$A:$D,2,FALSE)="VYPRODÁNO",$V$9,IF(VLOOKUP(C171,[1]List1!$A:$D,2,FALSE)="DOCHÁZÍ",$V$3,VLOOKUP(C171,[1]List1!$A:$D,2,FALSE))),"OFFLINE!")</f>
        <v>SKLADEM</v>
      </c>
      <c r="AD171" s="647" t="str">
        <f ca="1">IF(AP171="NE",$V$10,IF(AC171=$V$3,IF(AQ171&lt;1,$V$8,$V$2&amp;" "&amp;AQ171&amp;" "&amp;$V$1),IF(AC171="SKLADEM",$V$6,IFERROR(IF(OR(AC171-TODAY()&gt;45,VLOOKUP(C171,[1]List1!$A:$E,4,FALSE)=0),AC171,DAY(AC171)&amp;"."&amp;MONTH(AC171)&amp;"."&amp;YEAR(AC171)&amp;" "&amp;$V$4&amp;VLOOKUP(C171,[1]List1!$A:$E,4,FALSE)&amp;" "&amp;$V$1),AC171))))</f>
        <v>SKLADEM</v>
      </c>
      <c r="AE171" s="645" t="str">
        <f t="shared" ref="AE171:AE172" ca="1" si="389">IFERROR(IF(AV171&lt;&gt;"",AV171,AD171),AD171)</f>
        <v>SKLADEM</v>
      </c>
      <c r="AF171" s="648">
        <f t="shared" ref="AF171:AF172" si="390">IFERROR(IF(AB171=Y171,G171*I171*Y171,0),0)</f>
        <v>0</v>
      </c>
      <c r="AG171" s="649">
        <f t="shared" ref="AG171:AG172" si="391">IF($W$17=$AF$8,AH171*1.23,AF171*1.21)</f>
        <v>0</v>
      </c>
      <c r="AH171" s="650">
        <f t="shared" ref="AH171:AH172" si="392">IFERROR(IF(Y171=AB171,H171*I171*Y171,0),0)</f>
        <v>0</v>
      </c>
      <c r="AI171" s="645">
        <f t="shared" ref="AI171:AI172" si="393">IFERROR(IF(Y171=AB171,(P171*Y171)/1000,1),0)</f>
        <v>0</v>
      </c>
      <c r="AJ171" s="645">
        <f t="shared" ref="AJ171:AJ172" si="394">IFERROR(IF(Y171=AB171,N171*Y171,0.1),0)</f>
        <v>0</v>
      </c>
      <c r="AK171" s="645" t="str">
        <f t="shared" ref="AK171:AK172" si="395">IFERROR(IF(Y171=AB171,IF(M171="1.1G",(O171/1000)*Y171,""),""),0)</f>
        <v/>
      </c>
      <c r="AL171" s="645" t="str">
        <f t="shared" ref="AL171:AL172" si="396">IFERROR(IF(Y171=AB171,IF(M171="1.3G",(O171/1000)*AB171,""),""),0)</f>
        <v/>
      </c>
      <c r="AM171" s="645">
        <f t="shared" ref="AM171:AM172" si="397">IFERROR(IF(Y171=AB171,IF(M171="1.4G",(O171/1000)*AB171,""),""),0)</f>
        <v>0</v>
      </c>
      <c r="AN171" s="651">
        <f t="shared" ref="AN171:AN172" si="398">SUM(AK171:AM171)</f>
        <v>0</v>
      </c>
      <c r="AO171" s="623"/>
      <c r="AP171" s="632" t="str">
        <f t="shared" si="349"/>
        <v/>
      </c>
      <c r="AQ171" s="633" t="str">
        <f>IF(AC171=$V$3,IF(VLOOKUP(C171,[1]List1!$A:$E,5,FALSE)=0,1,VLOOKUP(C171,[1]List1!$A:$E,5,FALSE)),"")</f>
        <v/>
      </c>
      <c r="AR171" s="625" t="str">
        <f t="shared" si="350"/>
        <v/>
      </c>
      <c r="AS171" s="634" t="str">
        <f t="shared" si="351"/>
        <v/>
      </c>
      <c r="AT171" s="625" t="str">
        <f t="shared" si="352"/>
        <v/>
      </c>
      <c r="AU171" s="638" t="e">
        <f t="shared" si="353"/>
        <v>#N/A</v>
      </c>
      <c r="AV171" s="625" t="e">
        <f t="shared" si="354"/>
        <v>#N/A</v>
      </c>
      <c r="AX171" s="625">
        <f>IF(AND('General price list'!$J171="F4",'General price list'!$AB171+0&gt;0),1,0)</f>
        <v>0</v>
      </c>
      <c r="AY171" s="625">
        <f t="shared" si="355"/>
        <v>1</v>
      </c>
      <c r="AZ171" s="625">
        <f t="shared" si="356"/>
        <v>0</v>
      </c>
    </row>
    <row r="172" spans="1:52" ht="15.75" customHeight="1">
      <c r="A172" s="621" t="str">
        <f>Kat.!C172</f>
        <v/>
      </c>
      <c r="B172" s="566">
        <f>IF(AND('General price list'!$J172="F4",$AI$1=FALSE),0,IF(AC172="SKLADEM",1,IF(AC172=$V$3,1,0)))</f>
        <v>1</v>
      </c>
      <c r="C172" s="567" t="s">
        <v>2231</v>
      </c>
      <c r="D172" s="568" t="s">
        <v>515</v>
      </c>
      <c r="E172" s="763" t="s">
        <v>12690</v>
      </c>
      <c r="F172" s="772">
        <f>IFERROR(VLOOKUP(C172,[2]List1!$A:$D,3,FALSE),"NEUVEDENO!")</f>
        <v>75</v>
      </c>
      <c r="G172" s="769">
        <f t="shared" si="385"/>
        <v>75</v>
      </c>
      <c r="H172" s="766">
        <f t="shared" si="386"/>
        <v>3.1858903289113174</v>
      </c>
      <c r="I172" s="764">
        <f>IFERROR(VLOOKUP(C172,[2]List1!$A:$D,4,FALSE),"NEUVEDENO!")</f>
        <v>36</v>
      </c>
      <c r="J172" s="732" t="s">
        <v>39</v>
      </c>
      <c r="K172" s="569" t="s">
        <v>20</v>
      </c>
      <c r="L172" s="569" t="s">
        <v>10970</v>
      </c>
      <c r="M172" s="569" t="s">
        <v>21</v>
      </c>
      <c r="N172" s="569">
        <f>IFERROR(VLOOKUP(C172,[3]List1!$A:$D,4,FALSE),"N/A!")</f>
        <v>1.8089499999999998E-2</v>
      </c>
      <c r="O172" s="569">
        <f>IFERROR(VLOOKUP(C172,[3]List1!$A:$D,3,FALSE),"N/A!")</f>
        <v>2592</v>
      </c>
      <c r="P172" s="569">
        <f>IFERROR(VLOOKUP(C172,[3]List1!$A:$D,2,FALSE),"N/A!")</f>
        <v>12500</v>
      </c>
      <c r="Q172" s="569" t="s">
        <v>11257</v>
      </c>
      <c r="R172" s="569" t="s">
        <v>15</v>
      </c>
      <c r="S172" s="569"/>
      <c r="T172" s="569"/>
      <c r="U172" s="569"/>
      <c r="V172" s="569"/>
      <c r="W172" s="569" t="str">
        <f>IFERROR(IF(AND($AB172&gt;=0.1*$AA172,MOD($AB172,$AA172)&gt;=($AA172-(0.1*$AA172))),IF($W$17=$AF$1,"Zvažte možnost doobjednání ještě "&amp;Tabulka1[[#This Row],[VKPAL]]-MOD(AB172,AA172)&amp;" VK do plné palety.",VLOOKUP("Zvažte možnost doobjednání ještě ",Jazyky_ceník!A:Q,MATCH($W$17,Jazyky_ceník!$A$1:$Q$1,0),FALSE)&amp;Tabulka1[[#This Row],[VKPAL]]-MOD(AB172,AA172)&amp;VLOOKUP(" VK do plné palety.",Jazyky_ceník!A:Q,MATCH($W$17,Jazyky_ceník!$A$1:$Q$1,0),FALSE)),IFERROR(IF(AND(NOT(MOD($AB172,$AA172)=0),$AB172&gt;=0.9*$AA172,MOD($AB172,$AA172)&lt;=0.1*$AA172),IF($W$17=$AF$1,"Zvažte možnost optimalizace objednaného množství podle počtu VK na paletě ==&gt;",VLOOKUP("Zvažte možnost optimalizace objednaného množství podle počtu VK na paletě ==&gt;",Jazyky_ceník!A:Q,MATCH($W$17,Jazyky_ceník!$A$1:$Q$1,0),FALSE)),VLOOKUP('General price list'!$C172,Popisy!A:M,MATCH($W$17,Popisy!$A$7:$M$7,0),FALSE)),"---------------")),IFERROR(VLOOKUP('General price list'!$C172,Popisy!A:M,MATCH($W$17,Popisy!$A$7:$M$7,0),FALSE),"---------------"))</f>
        <v>40ran barevné světlice, 70cm délka</v>
      </c>
      <c r="X172" s="569" t="str">
        <f t="shared" si="387"/>
        <v/>
      </c>
      <c r="Y172" s="569" t="str">
        <f t="shared" si="388"/>
        <v/>
      </c>
      <c r="Z172" s="569" t="str">
        <f>HYPERLINK("https://www.klasekpyrotechnics.cz/r7040c")</f>
        <v>https://www.klasekpyrotechnics.cz/r7040c</v>
      </c>
      <c r="AA172" s="569">
        <f>IFERROR(IF(VLOOKUP(C172,[4]List1!$A:$D,4,FALSE)=0,"",VLOOKUP(C172,[4]List1!$A:$D,4,FALSE)),"")</f>
        <v>50</v>
      </c>
      <c r="AB172" s="565"/>
      <c r="AC172" s="570" t="str">
        <f>IFERROR(IF(VLOOKUP(C172,[1]List1!$A:$D,2,FALSE)="VYPRODÁNO",$V$9,IF(VLOOKUP(C172,[1]List1!$A:$D,2,FALSE)="DOCHÁZÍ",$V$3,VLOOKUP(C172,[1]List1!$A:$D,2,FALSE))),"OFFLINE!")</f>
        <v>SKLADEM</v>
      </c>
      <c r="AD172" s="570" t="str">
        <f ca="1">IF(AP172="NE",$V$10,IF(AC172=$V$3,IF(AQ172&lt;1,$V$8,$V$2&amp;" "&amp;AQ172&amp;" "&amp;$V$1),IF(AC172="SKLADEM",$V$6,IFERROR(IF(OR(AC172-TODAY()&gt;45,VLOOKUP(C172,[1]List1!$A:$E,4,FALSE)=0),AC172,DAY(AC172)&amp;"."&amp;MONTH(AC172)&amp;"."&amp;YEAR(AC172)&amp;" "&amp;$V$4&amp;VLOOKUP(C172,[1]List1!$A:$E,4,FALSE)&amp;" "&amp;$V$1),AC172))))</f>
        <v>SKLADEM</v>
      </c>
      <c r="AE172" s="581" t="str">
        <f t="shared" ca="1" si="389"/>
        <v>SKLADEM</v>
      </c>
      <c r="AF172" s="584">
        <f t="shared" si="390"/>
        <v>0</v>
      </c>
      <c r="AG172" s="585">
        <f t="shared" si="391"/>
        <v>0</v>
      </c>
      <c r="AH172" s="583">
        <f t="shared" si="392"/>
        <v>0</v>
      </c>
      <c r="AI172" s="582">
        <f t="shared" si="393"/>
        <v>0</v>
      </c>
      <c r="AJ172" s="569">
        <f t="shared" si="394"/>
        <v>0</v>
      </c>
      <c r="AK172" s="569" t="str">
        <f t="shared" si="395"/>
        <v/>
      </c>
      <c r="AL172" s="569" t="str">
        <f t="shared" si="396"/>
        <v/>
      </c>
      <c r="AM172" s="569">
        <f t="shared" si="397"/>
        <v>0</v>
      </c>
      <c r="AN172" s="581">
        <f t="shared" si="398"/>
        <v>0</v>
      </c>
      <c r="AO172" s="623"/>
      <c r="AP172" s="625" t="str">
        <f t="shared" si="349"/>
        <v/>
      </c>
      <c r="AQ172" s="625" t="str">
        <f>IF(AC172=$V$3,IF(VLOOKUP(C172,[1]List1!$A:$E,5,FALSE)=0,1,VLOOKUP(C172,[1]List1!$A:$E,5,FALSE)),"")</f>
        <v/>
      </c>
      <c r="AR172" s="629" t="str">
        <f t="shared" si="350"/>
        <v/>
      </c>
      <c r="AS172" s="630" t="str">
        <f t="shared" si="351"/>
        <v/>
      </c>
      <c r="AT172" s="625" t="str">
        <f t="shared" si="352"/>
        <v/>
      </c>
      <c r="AU172" s="625" t="e">
        <f t="shared" si="353"/>
        <v>#N/A</v>
      </c>
      <c r="AV172" s="625" t="e">
        <f t="shared" si="354"/>
        <v>#N/A</v>
      </c>
      <c r="AW172" s="631"/>
      <c r="AX172" s="631">
        <f>IF(AND('General price list'!$J172="F4",'General price list'!$AB172+0&gt;0),1,0)</f>
        <v>0</v>
      </c>
      <c r="AY172" s="631">
        <f t="shared" si="355"/>
        <v>1</v>
      </c>
      <c r="AZ172" s="631">
        <f t="shared" si="356"/>
        <v>1</v>
      </c>
    </row>
    <row r="173" spans="1:52" ht="15" customHeight="1">
      <c r="A173" s="751" t="str">
        <f>Kat.!C173</f>
        <v xml:space="preserve">           Římské svíce 10 mm</v>
      </c>
      <c r="B173" s="751"/>
      <c r="C173" s="751"/>
      <c r="D173" s="751"/>
      <c r="E173" s="751"/>
      <c r="F173" s="751"/>
      <c r="G173" s="751"/>
      <c r="H173" s="751"/>
      <c r="I173" s="752"/>
      <c r="J173" s="752"/>
      <c r="K173" s="752" t="s">
        <v>20</v>
      </c>
      <c r="L173" s="753" t="s">
        <v>2818</v>
      </c>
      <c r="M173" s="752"/>
      <c r="N173" s="752"/>
      <c r="O173" s="752"/>
      <c r="P173" s="752"/>
      <c r="Q173" s="752"/>
      <c r="R173" s="752"/>
      <c r="S173" s="752"/>
      <c r="T173" s="752"/>
      <c r="U173" s="752"/>
      <c r="V173" s="752"/>
      <c r="W173" s="752"/>
      <c r="X173" s="752"/>
      <c r="Y173" s="752"/>
      <c r="Z173" s="752" t="s">
        <v>20</v>
      </c>
      <c r="AA173" s="752"/>
      <c r="AB173" s="752"/>
      <c r="AC173" s="754"/>
      <c r="AD173" s="752"/>
      <c r="AE173" s="752"/>
      <c r="AF173" s="752"/>
      <c r="AG173" s="752"/>
      <c r="AH173" s="752"/>
      <c r="AI173" s="752"/>
      <c r="AJ173" s="752"/>
      <c r="AK173" s="752"/>
      <c r="AL173" s="752"/>
      <c r="AM173" s="752"/>
      <c r="AN173" s="752"/>
      <c r="AO173" s="623"/>
      <c r="AP173" s="632" t="str">
        <f t="shared" si="349"/>
        <v/>
      </c>
      <c r="AQ173" s="633" t="str">
        <f>IF(AC173=$V$3,IF(VLOOKUP(C173,[1]List1!$A:$E,5,FALSE)=0,1,VLOOKUP(C173,[1]List1!$A:$E,5,FALSE)),"")</f>
        <v/>
      </c>
      <c r="AR173" s="625" t="str">
        <f t="shared" si="350"/>
        <v/>
      </c>
      <c r="AS173" s="634" t="str">
        <f t="shared" ref="AS173:AS213" si="399">IF(AT173&lt;&gt;"","X","")</f>
        <v/>
      </c>
      <c r="AT173" s="625" t="str">
        <f t="shared" si="352"/>
        <v/>
      </c>
      <c r="AU173" s="638" t="e">
        <f t="shared" si="353"/>
        <v>#N/A</v>
      </c>
      <c r="AV173" s="625" t="e">
        <f t="shared" si="354"/>
        <v>#N/A</v>
      </c>
      <c r="AX173" s="625">
        <f>IF(AND('General price list'!$J173="F4",'General price list'!$AB173+0&gt;0),1,0)</f>
        <v>0</v>
      </c>
      <c r="AY173" s="625">
        <f t="shared" si="355"/>
        <v>0</v>
      </c>
      <c r="AZ173" s="625">
        <f t="shared" si="356"/>
        <v>0</v>
      </c>
    </row>
    <row r="174" spans="1:52" ht="15" customHeight="1">
      <c r="A174" s="639" t="str">
        <f>Kat.!C174</f>
        <v/>
      </c>
      <c r="B174" s="640">
        <f>IF(AND('General price list'!$J174="F4",$AI$1=FALSE),0,IF(AC174="SKLADEM",1,IF(AC174=$V$3,1,0)))</f>
        <v>0</v>
      </c>
      <c r="C174" s="641" t="s">
        <v>518</v>
      </c>
      <c r="D174" s="642" t="s">
        <v>519</v>
      </c>
      <c r="E174" s="643" t="s">
        <v>12691</v>
      </c>
      <c r="F174" s="771">
        <f>IFERROR(VLOOKUP(C174,[2]List1!$A:$D,3,FALSE),"NEUVEDENO!")</f>
        <v>58</v>
      </c>
      <c r="G174" s="768">
        <f t="shared" ref="G174:G180" si="400">IF($W$17=$AF$8,ROUND((F174)/$F$17,2),(F174)*$B$19)</f>
        <v>58</v>
      </c>
      <c r="H174" s="765">
        <f t="shared" ref="H174:H180" si="401">IF($W$17=$AF$8,G174*$B$19,G174/$F$17)</f>
        <v>2.4637551876914188</v>
      </c>
      <c r="I174" s="644">
        <f>IFERROR(VLOOKUP(C174,[2]List1!$A:$D,4,FALSE),"NEUVEDENO!")</f>
        <v>40</v>
      </c>
      <c r="J174" s="733" t="s">
        <v>39</v>
      </c>
      <c r="K174" s="645" t="s">
        <v>20</v>
      </c>
      <c r="L174" s="645" t="s">
        <v>10970</v>
      </c>
      <c r="M174" s="645" t="s">
        <v>21</v>
      </c>
      <c r="N174" s="645">
        <f>IFERROR(VLOOKUP(C174,[3]List1!$A:$D,4,FALSE),"N/A!")</f>
        <v>3.4720000000000001E-2</v>
      </c>
      <c r="O174" s="645">
        <f>IFERROR(VLOOKUP(C174,[3]List1!$A:$D,3,FALSE),"N/A!")</f>
        <v>1280</v>
      </c>
      <c r="P174" s="645">
        <f>IFERROR(VLOOKUP(C174,[3]List1!$A:$D,2,FALSE),"N/A!")</f>
        <v>13600</v>
      </c>
      <c r="Q174" s="645" t="s">
        <v>11233</v>
      </c>
      <c r="R174" s="645" t="s">
        <v>11239</v>
      </c>
      <c r="S174" s="645"/>
      <c r="T174" s="645">
        <v>20</v>
      </c>
      <c r="U174" s="645"/>
      <c r="V174" s="645"/>
      <c r="W174" s="645" t="str">
        <f>IFERROR(IF(AND($AB174&gt;=0.1*$AA174,MOD($AB174,$AA174)&gt;=($AA174-(0.1*$AA174))),IF($W$17=$AF$1,"Zvažte možnost doobjednání ještě "&amp;Tabulka1[[#This Row],[VKPAL]]-MOD(AB174,AA174)&amp;" VK do plné palety.",VLOOKUP("Zvažte možnost doobjednání ještě ",Jazyky_ceník!A:Q,MATCH($W$17,Jazyky_ceník!$A$1:$Q$1,0),FALSE)&amp;Tabulka1[[#This Row],[VKPAL]]-MOD(AB174,AA174)&amp;VLOOKUP(" VK do plné palety.",Jazyky_ceník!A:Q,MATCH($W$17,Jazyky_ceník!$A$1:$Q$1,0),FALSE)),IFERROR(IF(AND(NOT(MOD($AB174,$AA174)=0),$AB174&gt;=0.9*$AA174,MOD($AB174,$AA174)&lt;=0.1*$AA174),IF($W$17=$AF$1,"Zvažte možnost optimalizace objednaného množství podle počtu VK na paletě ==&gt;",VLOOKUP("Zvažte možnost optimalizace objednaného množství podle počtu VK na paletě ==&gt;",Jazyky_ceník!A:Q,MATCH($W$17,Jazyky_ceník!$A$1:$Q$1,0),FALSE)),VLOOKUP('General price list'!$C174,Popisy!A:M,MATCH($W$17,Popisy!$A$7:$M$7,0),FALSE)),"---------------")),IFERROR(VLOOKUP('General price list'!$C174,Popisy!A:M,MATCH($W$17,Popisy!$A$7:$M$7,0),FALSE),"---------------"))</f>
        <v>10ran barevné světlice, 54cm délka</v>
      </c>
      <c r="X174" s="645" t="str">
        <f t="shared" ref="X174:X180" si="402">IF(AB174&lt;0.0001,"",AB174)</f>
        <v/>
      </c>
      <c r="Y174" s="645" t="str">
        <f t="shared" ref="Y174:Y180" si="403">IF($AL$3=2,IF(OR(AB174&lt;&gt;"",AB174&lt;&gt;0),AU174,""),IF(C174="","",IF(AB174&lt;0.0001,"",IF(B174=0,"",IF(AQ174&lt;AB174,"",AB174)))))</f>
        <v/>
      </c>
      <c r="Z174" s="645" t="str">
        <f>HYPERLINK("https://www.klasekpyrotechnics.cz/r5410b")</f>
        <v>https://www.klasekpyrotechnics.cz/r5410b</v>
      </c>
      <c r="AA174" s="645">
        <f>IFERROR(IF(VLOOKUP(C174,[4]List1!$A:$D,4,FALSE)=0,"",VLOOKUP(C174,[4]List1!$A:$D,4,FALSE)),"")</f>
        <v>40</v>
      </c>
      <c r="AB174" s="646"/>
      <c r="AC174" s="647" t="str">
        <f>IFERROR(IF(VLOOKUP(C174,[1]List1!$A:$D,2,FALSE)="VYPRODÁNO",$V$9,IF(VLOOKUP(C174,[1]List1!$A:$D,2,FALSE)="DOCHÁZÍ",$V$3,VLOOKUP(C174,[1]List1!$A:$D,2,FALSE))),"OFFLINE!")</f>
        <v>31.08.2026</v>
      </c>
      <c r="AD174" s="647" t="str">
        <f ca="1">IF(AP174="NE",$V$10,IF(AC174=$V$3,IF(AQ174&lt;1,$V$8,$V$2&amp;" "&amp;AQ174&amp;" "&amp;$V$1),IF(AC174="SKLADEM",$V$6,IFERROR(IF(OR(AC174-TODAY()&gt;45,VLOOKUP(C174,[1]List1!$A:$E,4,FALSE)=0),AC174,DAY(AC174)&amp;"."&amp;MONTH(AC174)&amp;"."&amp;YEAR(AC174)&amp;" "&amp;$V$4&amp;VLOOKUP(C174,[1]List1!$A:$E,4,FALSE)&amp;" "&amp;$V$1),AC174))))</f>
        <v>31.08.2026</v>
      </c>
      <c r="AE174" s="645" t="str">
        <f t="shared" ref="AE174:AE180" ca="1" si="404">IFERROR(IF(AV174&lt;&gt;"",AV174,AD174),AD174)</f>
        <v>31.08.2026</v>
      </c>
      <c r="AF174" s="648">
        <f t="shared" ref="AF174:AF180" si="405">IFERROR(IF(AB174=Y174,G174*I174*Y174,0),0)</f>
        <v>0</v>
      </c>
      <c r="AG174" s="649">
        <f t="shared" ref="AG174:AG180" si="406">IF($W$17=$AF$8,AH174*1.23,AF174*1.21)</f>
        <v>0</v>
      </c>
      <c r="AH174" s="650">
        <f t="shared" ref="AH174:AH180" si="407">IFERROR(IF(Y174=AB174,H174*I174*Y174,0),0)</f>
        <v>0</v>
      </c>
      <c r="AI174" s="645">
        <f t="shared" ref="AI174:AI180" si="408">IFERROR(IF(Y174=AB174,(P174*Y174)/1000,1),0)</f>
        <v>0</v>
      </c>
      <c r="AJ174" s="645">
        <f t="shared" ref="AJ174:AJ180" si="409">IFERROR(IF(Y174=AB174,N174*Y174,0.1),0)</f>
        <v>0</v>
      </c>
      <c r="AK174" s="645" t="str">
        <f t="shared" ref="AK174:AK180" si="410">IFERROR(IF(Y174=AB174,IF(M174="1.1G",(O174/1000)*Y174,""),""),0)</f>
        <v/>
      </c>
      <c r="AL174" s="645" t="str">
        <f t="shared" ref="AL174:AL180" si="411">IFERROR(IF(Y174=AB174,IF(M174="1.3G",(O174/1000)*AB174,""),""),0)</f>
        <v/>
      </c>
      <c r="AM174" s="645">
        <f t="shared" ref="AM174:AM180" si="412">IFERROR(IF(Y174=AB174,IF(M174="1.4G",(O174/1000)*AB174,""),""),0)</f>
        <v>0</v>
      </c>
      <c r="AN174" s="651">
        <f t="shared" ref="AN174:AN180" si="413">SUM(AK174:AM174)</f>
        <v>0</v>
      </c>
      <c r="AO174" s="623"/>
      <c r="AP174" s="632" t="str">
        <f t="shared" si="349"/>
        <v/>
      </c>
      <c r="AQ174" s="633" t="str">
        <f>IF(AC174=$V$3,IF(VLOOKUP(C174,[1]List1!$A:$E,5,FALSE)=0,1,VLOOKUP(C174,[1]List1!$A:$E,5,FALSE)),"")</f>
        <v/>
      </c>
      <c r="AR174" s="625" t="str">
        <f t="shared" si="350"/>
        <v/>
      </c>
      <c r="AS174" s="634" t="str">
        <f t="shared" si="399"/>
        <v/>
      </c>
      <c r="AT174" s="625" t="str">
        <f t="shared" si="352"/>
        <v/>
      </c>
      <c r="AU174" s="638" t="e">
        <f t="shared" si="353"/>
        <v>#N/A</v>
      </c>
      <c r="AV174" s="625" t="e">
        <f t="shared" si="354"/>
        <v>#N/A</v>
      </c>
      <c r="AX174" s="625">
        <f>IF(AND('General price list'!$J174="F4",'General price list'!$AB174+0&gt;0),1,0)</f>
        <v>0</v>
      </c>
      <c r="AY174" s="625">
        <f t="shared" si="355"/>
        <v>1</v>
      </c>
      <c r="AZ174" s="625">
        <f t="shared" si="356"/>
        <v>1</v>
      </c>
    </row>
    <row r="175" spans="1:52" ht="15" customHeight="1">
      <c r="A175" s="621" t="str">
        <f>Kat.!C175</f>
        <v/>
      </c>
      <c r="B175" s="566">
        <f>IF(AND('General price list'!$J175="F4",$AI$1=FALSE),0,IF(AC175="SKLADEM",1,IF(AC175=$V$3,1,0)))</f>
        <v>1</v>
      </c>
      <c r="C175" s="567" t="s">
        <v>523</v>
      </c>
      <c r="D175" s="568" t="s">
        <v>524</v>
      </c>
      <c r="E175" s="763" t="s">
        <v>12692</v>
      </c>
      <c r="F175" s="791">
        <f>IFERROR(VLOOKUP(C175,[2]List1!$A:$D,3,FALSE),"NEUVEDENO!")</f>
        <v>226</v>
      </c>
      <c r="G175" s="769">
        <f t="shared" si="400"/>
        <v>226</v>
      </c>
      <c r="H175" s="766">
        <f t="shared" si="401"/>
        <v>9.600149524452771</v>
      </c>
      <c r="I175" s="764">
        <f>IFERROR(VLOOKUP(C175,[2]List1!$A:$D,4,FALSE),"NEUVEDENO!")</f>
        <v>15</v>
      </c>
      <c r="J175" s="732" t="s">
        <v>39</v>
      </c>
      <c r="K175" s="569" t="s">
        <v>11100</v>
      </c>
      <c r="L175" s="569" t="s">
        <v>10978</v>
      </c>
      <c r="M175" s="569" t="s">
        <v>21</v>
      </c>
      <c r="N175" s="569">
        <f>IFERROR(VLOOKUP(C175,[3]List1!$A:$D,4,FALSE),"N/A!")</f>
        <v>3.9199999999999999E-2</v>
      </c>
      <c r="O175" s="569">
        <f>IFERROR(VLOOKUP(C175,[3]List1!$A:$D,3,FALSE),"N/A!")</f>
        <v>2880</v>
      </c>
      <c r="P175" s="569">
        <f>IFERROR(VLOOKUP(C175,[3]List1!$A:$D,2,FALSE),"N/A!")</f>
        <v>17000</v>
      </c>
      <c r="Q175" s="569" t="s">
        <v>11238</v>
      </c>
      <c r="R175" s="569" t="s">
        <v>11239</v>
      </c>
      <c r="S175" s="569"/>
      <c r="T175" s="569">
        <v>40</v>
      </c>
      <c r="U175" s="569"/>
      <c r="V175" s="569"/>
      <c r="W175" s="569" t="str">
        <f>IFERROR(IF(AND($AB175&gt;=0.1*$AA175,MOD($AB175,$AA175)&gt;=($AA175-(0.1*$AA175))),IF($W$17=$AF$1,"Zvažte možnost doobjednání ještě "&amp;Tabulka1[[#This Row],[VKPAL]]-MOD(AB175,AA175)&amp;" VK do plné palety.",VLOOKUP("Zvažte možnost doobjednání ještě ",Jazyky_ceník!A:Q,MATCH($W$17,Jazyky_ceník!$A$1:$Q$1,0),FALSE)&amp;Tabulka1[[#This Row],[VKPAL]]-MOD(AB175,AA175)&amp;VLOOKUP(" VK do plné palety.",Jazyky_ceník!A:Q,MATCH($W$17,Jazyky_ceník!$A$1:$Q$1,0),FALSE)),IFERROR(IF(AND(NOT(MOD($AB175,$AA175)=0),$AB175&gt;=0.9*$AA175,MOD($AB175,$AA175)&lt;=0.1*$AA175),IF($W$17=$AF$1,"Zvažte možnost optimalizace objednaného množství podle počtu VK na paletě ==&gt;",VLOOKUP("Zvažte možnost optimalizace objednaného množství podle počtu VK na paletě ==&gt;",Jazyky_ceník!A:Q,MATCH($W$17,Jazyky_ceník!$A$1:$Q$1,0),FALSE)),VLOOKUP('General price list'!$C175,Popisy!A:M,MATCH($W$17,Popisy!$A$7:$M$7,0),FALSE)),"---------------")),IFERROR(VLOOKUP('General price list'!$C175,Popisy!A:M,MATCH($W$17,Popisy!$A$7:$M$7,0),FALSE),"---------------"))</f>
        <v>20ran práskající komety, 54cm délka</v>
      </c>
      <c r="X175" s="569" t="str">
        <f t="shared" si="402"/>
        <v/>
      </c>
      <c r="Y175" s="569" t="str">
        <f t="shared" si="403"/>
        <v/>
      </c>
      <c r="Z175" s="569" t="str">
        <f>HYPERLINK("https://www.klasekpyrotechnics.cz/r5420k")</f>
        <v>https://www.klasekpyrotechnics.cz/r5420k</v>
      </c>
      <c r="AA175" s="569">
        <f>IFERROR(IF(VLOOKUP(C175,[4]List1!$A:$D,4,FALSE)=0,"",VLOOKUP(C175,[4]List1!$A:$D,4,FALSE)),"")</f>
        <v>36</v>
      </c>
      <c r="AB175" s="565"/>
      <c r="AC175" s="570" t="str">
        <f>IFERROR(IF(VLOOKUP(C175,[1]List1!$A:$D,2,FALSE)="VYPRODÁNO",$V$9,IF(VLOOKUP(C175,[1]List1!$A:$D,2,FALSE)="DOCHÁZÍ",$V$3,VLOOKUP(C175,[1]List1!$A:$D,2,FALSE))),"OFFLINE!")</f>
        <v>SKLADEM</v>
      </c>
      <c r="AD175" s="570" t="str">
        <f ca="1">IF(AP175="NE",$V$10,IF(AC175=$V$3,IF(AQ175&lt;1,$V$8,$V$2&amp;" "&amp;AQ175&amp;" "&amp;$V$1),IF(AC175="SKLADEM",$V$6,IFERROR(IF(OR(AC175-TODAY()&gt;45,VLOOKUP(C175,[1]List1!$A:$E,4,FALSE)=0),AC175,DAY(AC175)&amp;"."&amp;MONTH(AC175)&amp;"."&amp;YEAR(AC175)&amp;" "&amp;$V$4&amp;VLOOKUP(C175,[1]List1!$A:$E,4,FALSE)&amp;" "&amp;$V$1),AC175))))</f>
        <v>SKLADEM</v>
      </c>
      <c r="AE175" s="581" t="str">
        <f t="shared" ca="1" si="404"/>
        <v>SKLADEM</v>
      </c>
      <c r="AF175" s="584">
        <f t="shared" si="405"/>
        <v>0</v>
      </c>
      <c r="AG175" s="585">
        <f t="shared" si="406"/>
        <v>0</v>
      </c>
      <c r="AH175" s="583">
        <f t="shared" si="407"/>
        <v>0</v>
      </c>
      <c r="AI175" s="582">
        <f t="shared" si="408"/>
        <v>0</v>
      </c>
      <c r="AJ175" s="569">
        <f t="shared" si="409"/>
        <v>0</v>
      </c>
      <c r="AK175" s="569" t="str">
        <f t="shared" si="410"/>
        <v/>
      </c>
      <c r="AL175" s="569" t="str">
        <f t="shared" si="411"/>
        <v/>
      </c>
      <c r="AM175" s="569">
        <f t="shared" si="412"/>
        <v>0</v>
      </c>
      <c r="AN175" s="581">
        <f t="shared" si="413"/>
        <v>0</v>
      </c>
      <c r="AO175" s="623"/>
      <c r="AP175" s="632" t="str">
        <f t="shared" si="349"/>
        <v/>
      </c>
      <c r="AQ175" s="633" t="str">
        <f>IF(AC175=$V$3,IF(VLOOKUP(C175,[1]List1!$A:$E,5,FALSE)=0,1,VLOOKUP(C175,[1]List1!$A:$E,5,FALSE)),"")</f>
        <v/>
      </c>
      <c r="AR175" s="625" t="str">
        <f t="shared" si="350"/>
        <v/>
      </c>
      <c r="AS175" s="634" t="str">
        <f t="shared" si="399"/>
        <v/>
      </c>
      <c r="AT175" s="625" t="str">
        <f t="shared" si="352"/>
        <v/>
      </c>
      <c r="AU175" s="638" t="e">
        <f t="shared" si="353"/>
        <v>#N/A</v>
      </c>
      <c r="AV175" s="625" t="e">
        <f t="shared" si="354"/>
        <v>#N/A</v>
      </c>
      <c r="AX175" s="625">
        <f>IF(AND('General price list'!$J175="F4",'General price list'!$AB175+0&gt;0),1,0)</f>
        <v>0</v>
      </c>
      <c r="AY175" s="625">
        <f t="shared" si="355"/>
        <v>1</v>
      </c>
      <c r="AZ175" s="625">
        <f t="shared" si="356"/>
        <v>1</v>
      </c>
    </row>
    <row r="176" spans="1:52" ht="15" customHeight="1">
      <c r="A176" s="639" t="str">
        <f>Kat.!C176</f>
        <v/>
      </c>
      <c r="B176" s="640">
        <f>IF(AND('General price list'!$J176="F4",$AI$1=FALSE),0,IF(AC176="SKLADEM",1,IF(AC176=$V$3,1,0)))</f>
        <v>1</v>
      </c>
      <c r="C176" s="641" t="s">
        <v>528</v>
      </c>
      <c r="D176" s="642" t="s">
        <v>524</v>
      </c>
      <c r="E176" s="643" t="s">
        <v>12692</v>
      </c>
      <c r="F176" s="791">
        <f>IFERROR(VLOOKUP(C176,[2]List1!$A:$D,3,FALSE),"NEUVEDENO!")</f>
        <v>239</v>
      </c>
      <c r="G176" s="768">
        <f t="shared" si="400"/>
        <v>239</v>
      </c>
      <c r="H176" s="765">
        <f t="shared" si="401"/>
        <v>10.152370514797399</v>
      </c>
      <c r="I176" s="644">
        <f>IFERROR(VLOOKUP(C176,[2]List1!$A:$D,4,FALSE),"NEUVEDENO!")</f>
        <v>15</v>
      </c>
      <c r="J176" s="733" t="s">
        <v>39</v>
      </c>
      <c r="K176" s="645" t="s">
        <v>11100</v>
      </c>
      <c r="L176" s="645" t="s">
        <v>10978</v>
      </c>
      <c r="M176" s="645" t="s">
        <v>21</v>
      </c>
      <c r="N176" s="645">
        <f>IFERROR(VLOOKUP(C176,[3]List1!$A:$D,4,FALSE),"N/A!")</f>
        <v>4.6511999999999998E-2</v>
      </c>
      <c r="O176" s="645">
        <f>IFERROR(VLOOKUP(C176,[3]List1!$A:$D,3,FALSE),"N/A!")</f>
        <v>2880</v>
      </c>
      <c r="P176" s="645">
        <f>IFERROR(VLOOKUP(C176,[3]List1!$A:$D,2,FALSE),"N/A!")</f>
        <v>21930</v>
      </c>
      <c r="Q176" s="645" t="s">
        <v>11241</v>
      </c>
      <c r="R176" s="645" t="s">
        <v>11233</v>
      </c>
      <c r="S176" s="645"/>
      <c r="T176" s="645">
        <v>40</v>
      </c>
      <c r="U176" s="645"/>
      <c r="V176" s="645"/>
      <c r="W176" s="645" t="str">
        <f>IFERROR(IF(AND($AB176&gt;=0.1*$AA176,MOD($AB176,$AA176)&gt;=($AA176-(0.1*$AA176))),IF($W$17=$AF$1,"Zvažte možnost doobjednání ještě "&amp;Tabulka1[[#This Row],[VKPAL]]-MOD(AB176,AA176)&amp;" VK do plné palety.",VLOOKUP("Zvažte možnost doobjednání ještě ",Jazyky_ceník!A:Q,MATCH($W$17,Jazyky_ceník!$A$1:$Q$1,0),FALSE)&amp;Tabulka1[[#This Row],[VKPAL]]-MOD(AB176,AA176)&amp;VLOOKUP(" VK do plné palety.",Jazyky_ceník!A:Q,MATCH($W$17,Jazyky_ceník!$A$1:$Q$1,0),FALSE)),IFERROR(IF(AND(NOT(MOD($AB176,$AA176)=0),$AB176&gt;=0.9*$AA176,MOD($AB176,$AA176)&lt;=0.1*$AA176),IF($W$17=$AF$1,"Zvažte možnost optimalizace objednaného množství podle počtu VK na paletě ==&gt;",VLOOKUP("Zvažte možnost optimalizace objednaného množství podle počtu VK na paletě ==&gt;",Jazyky_ceník!A:Q,MATCH($W$17,Jazyky_ceník!$A$1:$Q$1,0),FALSE)),VLOOKUP('General price list'!$C176,Popisy!A:M,MATCH($W$17,Popisy!$A$7:$M$7,0),FALSE)),"---------------")),IFERROR(VLOOKUP('General price list'!$C176,Popisy!A:M,MATCH($W$17,Popisy!$A$7:$M$7,0),FALSE),"---------------"))</f>
        <v>20ran práskající komety, 70cm délka</v>
      </c>
      <c r="X176" s="645" t="str">
        <f t="shared" si="402"/>
        <v/>
      </c>
      <c r="Y176" s="645" t="str">
        <f t="shared" si="403"/>
        <v/>
      </c>
      <c r="Z176" s="645" t="str">
        <f>HYPERLINK("https://www.klasekpyrotechnics.cz/r7020k")</f>
        <v>https://www.klasekpyrotechnics.cz/r7020k</v>
      </c>
      <c r="AA176" s="645">
        <f>IFERROR(IF(VLOOKUP(C176,[4]List1!$A:$D,4,FALSE)=0,"",VLOOKUP(C176,[4]List1!$A:$D,4,FALSE)),"")</f>
        <v>24</v>
      </c>
      <c r="AB176" s="646"/>
      <c r="AC176" s="647" t="str">
        <f>IFERROR(IF(VLOOKUP(C176,[1]List1!$A:$D,2,FALSE)="VYPRODÁNO",$V$9,IF(VLOOKUP(C176,[1]List1!$A:$D,2,FALSE)="DOCHÁZÍ",$V$3,VLOOKUP(C176,[1]List1!$A:$D,2,FALSE))),"OFFLINE!")</f>
        <v>SKLADEM</v>
      </c>
      <c r="AD176" s="647" t="str">
        <f ca="1">IF(AP176="NE",$V$10,IF(AC176=$V$3,IF(AQ176&lt;1,$V$8,$V$2&amp;" "&amp;AQ176&amp;" "&amp;$V$1),IF(AC176="SKLADEM",$V$6,IFERROR(IF(OR(AC176-TODAY()&gt;45,VLOOKUP(C176,[1]List1!$A:$E,4,FALSE)=0),AC176,DAY(AC176)&amp;"."&amp;MONTH(AC176)&amp;"."&amp;YEAR(AC176)&amp;" "&amp;$V$4&amp;VLOOKUP(C176,[1]List1!$A:$E,4,FALSE)&amp;" "&amp;$V$1),AC176))))</f>
        <v>SKLADEM</v>
      </c>
      <c r="AE176" s="645" t="str">
        <f t="shared" ca="1" si="404"/>
        <v>SKLADEM</v>
      </c>
      <c r="AF176" s="648">
        <f t="shared" si="405"/>
        <v>0</v>
      </c>
      <c r="AG176" s="649">
        <f t="shared" si="406"/>
        <v>0</v>
      </c>
      <c r="AH176" s="650">
        <f t="shared" si="407"/>
        <v>0</v>
      </c>
      <c r="AI176" s="645">
        <f t="shared" si="408"/>
        <v>0</v>
      </c>
      <c r="AJ176" s="645">
        <f t="shared" si="409"/>
        <v>0</v>
      </c>
      <c r="AK176" s="645" t="str">
        <f t="shared" si="410"/>
        <v/>
      </c>
      <c r="AL176" s="645" t="str">
        <f t="shared" si="411"/>
        <v/>
      </c>
      <c r="AM176" s="645">
        <f t="shared" si="412"/>
        <v>0</v>
      </c>
      <c r="AN176" s="651">
        <f t="shared" si="413"/>
        <v>0</v>
      </c>
      <c r="AO176" s="623"/>
      <c r="AP176" s="632" t="str">
        <f t="shared" si="349"/>
        <v/>
      </c>
      <c r="AQ176" s="633" t="str">
        <f>IF(AC176=$V$3,IF(VLOOKUP(C176,[1]List1!$A:$E,5,FALSE)=0,1,VLOOKUP(C176,[1]List1!$A:$E,5,FALSE)),"")</f>
        <v/>
      </c>
      <c r="AR176" s="625" t="str">
        <f t="shared" si="350"/>
        <v/>
      </c>
      <c r="AS176" s="634" t="str">
        <f t="shared" si="399"/>
        <v/>
      </c>
      <c r="AT176" s="625" t="str">
        <f t="shared" si="352"/>
        <v/>
      </c>
      <c r="AU176" s="638" t="e">
        <f t="shared" si="353"/>
        <v>#N/A</v>
      </c>
      <c r="AV176" s="625" t="e">
        <f t="shared" si="354"/>
        <v>#N/A</v>
      </c>
      <c r="AX176" s="625">
        <f>IF(AND('General price list'!$J176="F4",'General price list'!$AB176+0&gt;0),1,0)</f>
        <v>0</v>
      </c>
      <c r="AY176" s="625">
        <f t="shared" si="355"/>
        <v>1</v>
      </c>
      <c r="AZ176" s="625">
        <f t="shared" si="356"/>
        <v>1</v>
      </c>
    </row>
    <row r="177" spans="1:52" ht="15" customHeight="1">
      <c r="A177" s="621" t="str">
        <f>Kat.!C177</f>
        <v/>
      </c>
      <c r="B177" s="566">
        <f>IF(AND('General price list'!$J177="F4",$AI$1=FALSE),0,IF(AC177="SKLADEM",1,IF(AC177=$V$3,1,0)))</f>
        <v>1</v>
      </c>
      <c r="C177" s="567" t="s">
        <v>532</v>
      </c>
      <c r="D177" s="568" t="s">
        <v>533</v>
      </c>
      <c r="E177" s="763" t="s">
        <v>12693</v>
      </c>
      <c r="F177" s="791">
        <f>IFERROR(VLOOKUP(C177,[2]List1!$A:$D,3,FALSE),"NEUVEDENO!")</f>
        <v>206</v>
      </c>
      <c r="G177" s="769">
        <f t="shared" si="400"/>
        <v>206</v>
      </c>
      <c r="H177" s="766">
        <f t="shared" si="401"/>
        <v>8.7505787700764195</v>
      </c>
      <c r="I177" s="764">
        <f>IFERROR(VLOOKUP(C177,[2]List1!$A:$D,4,FALSE),"NEUVEDENO!")</f>
        <v>15</v>
      </c>
      <c r="J177" s="732" t="s">
        <v>39</v>
      </c>
      <c r="K177" s="569" t="s">
        <v>11100</v>
      </c>
      <c r="L177" s="569" t="s">
        <v>10978</v>
      </c>
      <c r="M177" s="569" t="s">
        <v>21</v>
      </c>
      <c r="N177" s="569">
        <f>IFERROR(VLOOKUP(C177,[3]List1!$A:$D,4,FALSE),"N/A!")</f>
        <v>3.5959999999999999E-2</v>
      </c>
      <c r="O177" s="569">
        <f>IFERROR(VLOOKUP(C177,[3]List1!$A:$D,3,FALSE),"N/A!")</f>
        <v>2400</v>
      </c>
      <c r="P177" s="569">
        <f>IFERROR(VLOOKUP(C177,[3]List1!$A:$D,2,FALSE),"N/A!")</f>
        <v>16335</v>
      </c>
      <c r="Q177" s="569" t="s">
        <v>11249</v>
      </c>
      <c r="R177" s="569" t="s">
        <v>11232</v>
      </c>
      <c r="S177" s="569"/>
      <c r="T177" s="569">
        <v>40</v>
      </c>
      <c r="U177" s="569"/>
      <c r="V177" s="569"/>
      <c r="W177" s="569" t="str">
        <f>IFERROR(IF(AND($AB177&gt;=0.1*$AA177,MOD($AB177,$AA177)&gt;=($AA177-(0.1*$AA177))),IF($W$17=$AF$1,"Zvažte možnost doobjednání ještě "&amp;Tabulka1[[#This Row],[VKPAL]]-MOD(AB177,AA177)&amp;" VK do plné palety.",VLOOKUP("Zvažte možnost doobjednání ještě ",Jazyky_ceník!A:Q,MATCH($W$17,Jazyky_ceník!$A$1:$Q$1,0),FALSE)&amp;Tabulka1[[#This Row],[VKPAL]]-MOD(AB177,AA177)&amp;VLOOKUP(" VK do plné palety.",Jazyky_ceník!A:Q,MATCH($W$17,Jazyky_ceník!$A$1:$Q$1,0),FALSE)),IFERROR(IF(AND(NOT(MOD($AB177,$AA177)=0),$AB177&gt;=0.9*$AA177,MOD($AB177,$AA177)&lt;=0.1*$AA177),IF($W$17=$AF$1,"Zvažte možnost optimalizace objednaného množství podle počtu VK na paletě ==&gt;",VLOOKUP("Zvažte možnost optimalizace objednaného množství podle počtu VK na paletě ==&gt;",Jazyky_ceník!A:Q,MATCH($W$17,Jazyky_ceník!$A$1:$Q$1,0),FALSE)),VLOOKUP('General price list'!$C177,Popisy!A:M,MATCH($W$17,Popisy!$A$7:$M$7,0),FALSE)),"---------------")),IFERROR(VLOOKUP('General price list'!$C177,Popisy!A:M,MATCH($W$17,Popisy!$A$7:$M$7,0),FALSE),"---------------"))</f>
        <v>20ran barevné světlice, 60cm délka</v>
      </c>
      <c r="X177" s="569" t="str">
        <f t="shared" si="402"/>
        <v/>
      </c>
      <c r="Y177" s="569" t="str">
        <f t="shared" si="403"/>
        <v/>
      </c>
      <c r="Z177" s="569" t="str">
        <f>HYPERLINK("https://www.klasekpyrotechnics.cz/r6020b")</f>
        <v>https://www.klasekpyrotechnics.cz/r6020b</v>
      </c>
      <c r="AA177" s="569">
        <f>IFERROR(IF(VLOOKUP(C177,[4]List1!$A:$D,4,FALSE)=0,"",VLOOKUP(C177,[4]List1!$A:$D,4,FALSE)),"")</f>
        <v>36</v>
      </c>
      <c r="AB177" s="565"/>
      <c r="AC177" s="570" t="str">
        <f>IFERROR(IF(VLOOKUP(C177,[1]List1!$A:$D,2,FALSE)="VYPRODÁNO",$V$9,IF(VLOOKUP(C177,[1]List1!$A:$D,2,FALSE)="DOCHÁZÍ",$V$3,VLOOKUP(C177,[1]List1!$A:$D,2,FALSE))),"OFFLINE!")</f>
        <v>SKLADEM</v>
      </c>
      <c r="AD177" s="570" t="str">
        <f ca="1">IF(AP177="NE",$V$10,IF(AC177=$V$3,IF(AQ177&lt;1,$V$8,$V$2&amp;" "&amp;AQ177&amp;" "&amp;$V$1),IF(AC177="SKLADEM",$V$6,IFERROR(IF(OR(AC177-TODAY()&gt;45,VLOOKUP(C177,[1]List1!$A:$E,4,FALSE)=0),AC177,DAY(AC177)&amp;"."&amp;MONTH(AC177)&amp;"."&amp;YEAR(AC177)&amp;" "&amp;$V$4&amp;VLOOKUP(C177,[1]List1!$A:$E,4,FALSE)&amp;" "&amp;$V$1),AC177))))</f>
        <v>SKLADEM</v>
      </c>
      <c r="AE177" s="581" t="str">
        <f t="shared" ca="1" si="404"/>
        <v>SKLADEM</v>
      </c>
      <c r="AF177" s="584">
        <f t="shared" si="405"/>
        <v>0</v>
      </c>
      <c r="AG177" s="585">
        <f t="shared" si="406"/>
        <v>0</v>
      </c>
      <c r="AH177" s="583">
        <f t="shared" si="407"/>
        <v>0</v>
      </c>
      <c r="AI177" s="582">
        <f t="shared" si="408"/>
        <v>0</v>
      </c>
      <c r="AJ177" s="569">
        <f t="shared" si="409"/>
        <v>0</v>
      </c>
      <c r="AK177" s="569" t="str">
        <f t="shared" si="410"/>
        <v/>
      </c>
      <c r="AL177" s="569" t="str">
        <f t="shared" si="411"/>
        <v/>
      </c>
      <c r="AM177" s="569">
        <f t="shared" si="412"/>
        <v>0</v>
      </c>
      <c r="AN177" s="581">
        <f t="shared" si="413"/>
        <v>0</v>
      </c>
      <c r="AO177" s="623"/>
      <c r="AP177" s="632" t="str">
        <f t="shared" si="349"/>
        <v/>
      </c>
      <c r="AQ177" s="633" t="str">
        <f>IF(AC177=$V$3,IF(VLOOKUP(C177,[1]List1!$A:$E,5,FALSE)=0,1,VLOOKUP(C177,[1]List1!$A:$E,5,FALSE)),"")</f>
        <v/>
      </c>
      <c r="AR177" s="625" t="str">
        <f t="shared" si="350"/>
        <v/>
      </c>
      <c r="AS177" s="634" t="str">
        <f t="shared" si="399"/>
        <v/>
      </c>
      <c r="AT177" s="625" t="str">
        <f t="shared" si="352"/>
        <v/>
      </c>
      <c r="AU177" s="638" t="e">
        <f t="shared" si="353"/>
        <v>#N/A</v>
      </c>
      <c r="AV177" s="625" t="e">
        <f t="shared" si="354"/>
        <v>#N/A</v>
      </c>
      <c r="AX177" s="625">
        <f>IF(AND('General price list'!$J177="F4",'General price list'!$AB177+0&gt;0),1,0)</f>
        <v>0</v>
      </c>
      <c r="AY177" s="625">
        <f t="shared" si="355"/>
        <v>1</v>
      </c>
      <c r="AZ177" s="625">
        <f t="shared" si="356"/>
        <v>1</v>
      </c>
    </row>
    <row r="178" spans="1:52" ht="15.75" customHeight="1">
      <c r="A178" s="639" t="str">
        <f>Kat.!C178</f>
        <v/>
      </c>
      <c r="B178" s="640">
        <f>IF(AND('General price list'!$J178="F4",$AI$1=FALSE),0,IF(AC178="SKLADEM",1,IF(AC178=$V$3,1,0)))</f>
        <v>1</v>
      </c>
      <c r="C178" s="641" t="s">
        <v>540</v>
      </c>
      <c r="D178" s="642" t="s">
        <v>541</v>
      </c>
      <c r="E178" s="643" t="s">
        <v>12694</v>
      </c>
      <c r="F178" s="791">
        <f>IFERROR(VLOOKUP(C178,[2]List1!$A:$D,3,FALSE),"NEUVEDENO!")</f>
        <v>106</v>
      </c>
      <c r="G178" s="768">
        <f t="shared" si="400"/>
        <v>106</v>
      </c>
      <c r="H178" s="765">
        <f t="shared" si="401"/>
        <v>4.5027249981946627</v>
      </c>
      <c r="I178" s="644">
        <f>IFERROR(VLOOKUP(C178,[2]List1!$A:$D,4,FALSE),"NEUVEDENO!")</f>
        <v>25</v>
      </c>
      <c r="J178" s="733" t="s">
        <v>39</v>
      </c>
      <c r="K178" s="645" t="s">
        <v>11100</v>
      </c>
      <c r="L178" s="645" t="s">
        <v>10977</v>
      </c>
      <c r="M178" s="645" t="s">
        <v>21</v>
      </c>
      <c r="N178" s="645">
        <f>IFERROR(VLOOKUP(C178,[3]List1!$A:$D,4,FALSE),"N/A!")</f>
        <v>3.6431999999999999E-2</v>
      </c>
      <c r="O178" s="645">
        <f>IFERROR(VLOOKUP(C178,[3]List1!$A:$D,3,FALSE),"N/A!")</f>
        <v>2400</v>
      </c>
      <c r="P178" s="645">
        <f>IFERROR(VLOOKUP(C178,[3]List1!$A:$D,2,FALSE),"N/A!")</f>
        <v>15800</v>
      </c>
      <c r="Q178" s="645" t="s">
        <v>11241</v>
      </c>
      <c r="R178" s="645" t="s">
        <v>11239</v>
      </c>
      <c r="S178" s="645"/>
      <c r="T178" s="645">
        <v>40</v>
      </c>
      <c r="U178" s="645"/>
      <c r="V178" s="645"/>
      <c r="W178" s="645" t="str">
        <f>IFERROR(IF(AND($AB178&gt;=0.1*$AA178,MOD($AB178,$AA178)&gt;=($AA178-(0.1*$AA178))),IF($W$17=$AF$1,"Zvažte možnost doobjednání ještě "&amp;Tabulka1[[#This Row],[VKPAL]]-MOD(AB178,AA178)&amp;" VK do plné palety.",VLOOKUP("Zvažte možnost doobjednání ještě ",Jazyky_ceník!A:Q,MATCH($W$17,Jazyky_ceník!$A$1:$Q$1,0),FALSE)&amp;Tabulka1[[#This Row],[VKPAL]]-MOD(AB178,AA178)&amp;VLOOKUP(" VK do plné palety.",Jazyky_ceník!A:Q,MATCH($W$17,Jazyky_ceník!$A$1:$Q$1,0),FALSE)),IFERROR(IF(AND(NOT(MOD($AB178,$AA178)=0),$AB178&gt;=0.9*$AA178,MOD($AB178,$AA178)&lt;=0.1*$AA178),IF($W$17=$AF$1,"Zvažte možnost optimalizace objednaného množství podle počtu VK na paletě ==&gt;",VLOOKUP("Zvažte možnost optimalizace objednaného množství podle počtu VK na paletě ==&gt;",Jazyky_ceník!A:Q,MATCH($W$17,Jazyky_ceník!$A$1:$Q$1,0),FALSE)),VLOOKUP('General price list'!$C178,Popisy!A:M,MATCH($W$17,Popisy!$A$7:$M$7,0),FALSE)),"---------------")),IFERROR(VLOOKUP('General price list'!$C178,Popisy!A:M,MATCH($W$17,Popisy!$A$7:$M$7,0),FALSE),"---------------"))</f>
        <v>10ran barevné světlice+10 ran práskající komety, 65cm délka</v>
      </c>
      <c r="X178" s="645" t="str">
        <f t="shared" si="402"/>
        <v/>
      </c>
      <c r="Y178" s="645" t="str">
        <f t="shared" si="403"/>
        <v/>
      </c>
      <c r="Z178" s="645" t="str">
        <f>HYPERLINK("https://www.klasekpyrotechnics.cz/r6520bk-2")</f>
        <v>https://www.klasekpyrotechnics.cz/r6520bk-2</v>
      </c>
      <c r="AA178" s="645">
        <f>IFERROR(IF(VLOOKUP(C178,[4]List1!$A:$D,4,FALSE)=0,"",VLOOKUP(C178,[4]List1!$A:$D,4,FALSE)),"")</f>
        <v>28</v>
      </c>
      <c r="AB178" s="646"/>
      <c r="AC178" s="647" t="str">
        <f>IFERROR(IF(VLOOKUP(C178,[1]List1!$A:$D,2,FALSE)="VYPRODÁNO",$V$9,IF(VLOOKUP(C178,[1]List1!$A:$D,2,FALSE)="DOCHÁZÍ",$V$3,VLOOKUP(C178,[1]List1!$A:$D,2,FALSE))),"OFFLINE!")</f>
        <v>DOCHÁZÍ</v>
      </c>
      <c r="AD178" s="647" t="str">
        <f ca="1">IF(AP178="NE",$V$10,IF(AC178=$V$3,IF(AQ178&lt;1,$V$8,$V$2&amp;" "&amp;AQ178&amp;" "&amp;$V$1),IF(AC178="SKLADEM",$V$6,IFERROR(IF(OR(AC178-TODAY()&gt;45,VLOOKUP(C178,[1]List1!$A:$E,4,FALSE)=0),AC178,DAY(AC178)&amp;"."&amp;MONTH(AC178)&amp;"."&amp;YEAR(AC178)&amp;" "&amp;$V$4&amp;VLOOKUP(C178,[1]List1!$A:$E,4,FALSE)&amp;" "&amp;$V$1),AC178))))</f>
        <v>POSLEDNÍCH 12 VK</v>
      </c>
      <c r="AE178" s="645" t="str">
        <f t="shared" ca="1" si="404"/>
        <v>POSLEDNÍCH 12 VK</v>
      </c>
      <c r="AF178" s="648">
        <f t="shared" si="405"/>
        <v>0</v>
      </c>
      <c r="AG178" s="649">
        <f t="shared" si="406"/>
        <v>0</v>
      </c>
      <c r="AH178" s="650">
        <f t="shared" si="407"/>
        <v>0</v>
      </c>
      <c r="AI178" s="645">
        <f t="shared" si="408"/>
        <v>0</v>
      </c>
      <c r="AJ178" s="645">
        <f t="shared" si="409"/>
        <v>0</v>
      </c>
      <c r="AK178" s="645" t="str">
        <f t="shared" si="410"/>
        <v/>
      </c>
      <c r="AL178" s="645" t="str">
        <f t="shared" si="411"/>
        <v/>
      </c>
      <c r="AM178" s="645">
        <f t="shared" si="412"/>
        <v>0</v>
      </c>
      <c r="AN178" s="651">
        <f t="shared" si="413"/>
        <v>0</v>
      </c>
      <c r="AO178" s="623"/>
      <c r="AP178" s="625" t="str">
        <f t="shared" si="349"/>
        <v/>
      </c>
      <c r="AQ178" s="625">
        <f>IF(AC178=$V$3,IF(VLOOKUP(C178,[1]List1!$A:$E,5,FALSE)=0,1,VLOOKUP(C178,[1]List1!$A:$E,5,FALSE)),"")</f>
        <v>12</v>
      </c>
      <c r="AR178" s="629" t="str">
        <f t="shared" si="350"/>
        <v/>
      </c>
      <c r="AS178" s="630" t="str">
        <f t="shared" si="399"/>
        <v/>
      </c>
      <c r="AT178" s="625" t="str">
        <f t="shared" si="352"/>
        <v/>
      </c>
      <c r="AU178" s="625" t="e">
        <f t="shared" si="353"/>
        <v>#N/A</v>
      </c>
      <c r="AV178" s="625" t="e">
        <f t="shared" si="354"/>
        <v>#N/A</v>
      </c>
      <c r="AW178" s="631"/>
      <c r="AX178" s="631">
        <f>IF(AND('General price list'!$J178="F4",'General price list'!$AB178+0&gt;0),1,0)</f>
        <v>0</v>
      </c>
      <c r="AY178" s="631">
        <f t="shared" si="355"/>
        <v>1</v>
      </c>
      <c r="AZ178" s="631">
        <f t="shared" si="356"/>
        <v>1</v>
      </c>
    </row>
    <row r="179" spans="1:52" ht="15" customHeight="1">
      <c r="A179" s="621" t="str">
        <f>Kat.!C179</f>
        <v/>
      </c>
      <c r="B179" s="566">
        <f>IF(AND('General price list'!$J179="F4",$AI$1=FALSE),0,IF(AC179="SKLADEM",1,IF(AC179=$V$3,1,0)))</f>
        <v>1</v>
      </c>
      <c r="C179" s="567" t="s">
        <v>542</v>
      </c>
      <c r="D179" s="568" t="s">
        <v>543</v>
      </c>
      <c r="E179" s="763" t="s">
        <v>12673</v>
      </c>
      <c r="F179" s="772">
        <f>IFERROR(VLOOKUP(C179,[2]List1!$A:$D,3,FALSE),"NEUVEDENO!")</f>
        <v>110</v>
      </c>
      <c r="G179" s="769">
        <f t="shared" si="400"/>
        <v>110</v>
      </c>
      <c r="H179" s="766">
        <f t="shared" si="401"/>
        <v>4.6726391490699326</v>
      </c>
      <c r="I179" s="764">
        <f>IFERROR(VLOOKUP(C179,[2]List1!$A:$D,4,FALSE),"NEUVEDENO!")</f>
        <v>30</v>
      </c>
      <c r="J179" s="732" t="s">
        <v>39</v>
      </c>
      <c r="K179" s="569" t="s">
        <v>20</v>
      </c>
      <c r="L179" s="569" t="s">
        <v>10979</v>
      </c>
      <c r="M179" s="569" t="s">
        <v>21</v>
      </c>
      <c r="N179" s="569">
        <f>IFERROR(VLOOKUP(C179,[3]List1!$A:$D,4,FALSE),"N/A!")</f>
        <v>4.5166999999999999E-2</v>
      </c>
      <c r="O179" s="569">
        <f>IFERROR(VLOOKUP(C179,[3]List1!$A:$D,3,FALSE),"N/A!")</f>
        <v>2880</v>
      </c>
      <c r="P179" s="569">
        <f>IFERROR(VLOOKUP(C179,[3]List1!$A:$D,2,FALSE),"N/A!")</f>
        <v>19920</v>
      </c>
      <c r="Q179" s="569" t="s">
        <v>11241</v>
      </c>
      <c r="R179" s="569" t="s">
        <v>11239</v>
      </c>
      <c r="S179" s="569"/>
      <c r="T179" s="569">
        <v>40</v>
      </c>
      <c r="U179" s="569"/>
      <c r="V179" s="569"/>
      <c r="W179" s="569" t="str">
        <f>IFERROR(IF(AND($AB179&gt;=0.1*$AA179,MOD($AB179,$AA179)&gt;=($AA179-(0.1*$AA179))),IF($W$17=$AF$1,"Zvažte možnost doobjednání ještě "&amp;Tabulka1[[#This Row],[VKPAL]]-MOD(AB179,AA179)&amp;" VK do plné palety.",VLOOKUP("Zvažte možnost doobjednání ještě ",Jazyky_ceník!A:Q,MATCH($W$17,Jazyky_ceník!$A$1:$Q$1,0),FALSE)&amp;Tabulka1[[#This Row],[VKPAL]]-MOD(AB179,AA179)&amp;VLOOKUP(" VK do plné palety.",Jazyky_ceník!A:Q,MATCH($W$17,Jazyky_ceník!$A$1:$Q$1,0),FALSE)),IFERROR(IF(AND(NOT(MOD($AB179,$AA179)=0),$AB179&gt;=0.9*$AA179,MOD($AB179,$AA179)&lt;=0.1*$AA179),IF($W$17=$AF$1,"Zvažte možnost optimalizace objednaného množství podle počtu VK na paletě ==&gt;",VLOOKUP("Zvažte možnost optimalizace objednaného množství podle počtu VK na paletě ==&gt;",Jazyky_ceník!A:Q,MATCH($W$17,Jazyky_ceník!$A$1:$Q$1,0),FALSE)),VLOOKUP('General price list'!$C179,Popisy!A:M,MATCH($W$17,Popisy!$A$7:$M$7,0),FALSE)),"---------------")),IFERROR(VLOOKUP('General price list'!$C179,Popisy!A:M,MATCH($W$17,Popisy!$A$7:$M$7,0),FALSE),"---------------"))</f>
        <v>mix 20ran řím. svící (R5420K-2ks,R6020B,R6520BK,R7020BK-2ks), délka 60cm</v>
      </c>
      <c r="X179" s="569" t="str">
        <f t="shared" si="402"/>
        <v/>
      </c>
      <c r="Y179" s="569" t="str">
        <f t="shared" si="403"/>
        <v/>
      </c>
      <c r="Z179" s="569" t="str">
        <f>HYPERLINK("https://www.klasekpyrotechnics.cz/r6020m")</f>
        <v>https://www.klasekpyrotechnics.cz/r6020m</v>
      </c>
      <c r="AA179" s="569">
        <f>IFERROR(IF(VLOOKUP(C179,[4]List1!$A:$D,4,FALSE)=0,"",VLOOKUP(C179,[4]List1!$A:$D,4,FALSE)),"")</f>
        <v>30</v>
      </c>
      <c r="AB179" s="565"/>
      <c r="AC179" s="570" t="str">
        <f>IFERROR(IF(VLOOKUP(C179,[1]List1!$A:$D,2,FALSE)="VYPRODÁNO",$V$9,IF(VLOOKUP(C179,[1]List1!$A:$D,2,FALSE)="DOCHÁZÍ",$V$3,VLOOKUP(C179,[1]List1!$A:$D,2,FALSE))),"OFFLINE!")</f>
        <v>SKLADEM</v>
      </c>
      <c r="AD179" s="570" t="str">
        <f ca="1">IF(AP179="NE",$V$10,IF(AC179=$V$3,IF(AQ179&lt;1,$V$8,$V$2&amp;" "&amp;AQ179&amp;" "&amp;$V$1),IF(AC179="SKLADEM",$V$6,IFERROR(IF(OR(AC179-TODAY()&gt;45,VLOOKUP(C179,[1]List1!$A:$E,4,FALSE)=0),AC179,DAY(AC179)&amp;"."&amp;MONTH(AC179)&amp;"."&amp;YEAR(AC179)&amp;" "&amp;$V$4&amp;VLOOKUP(C179,[1]List1!$A:$E,4,FALSE)&amp;" "&amp;$V$1),AC179))))</f>
        <v>SKLADEM</v>
      </c>
      <c r="AE179" s="581" t="str">
        <f t="shared" ca="1" si="404"/>
        <v>SKLADEM</v>
      </c>
      <c r="AF179" s="584">
        <f t="shared" si="405"/>
        <v>0</v>
      </c>
      <c r="AG179" s="585">
        <f t="shared" si="406"/>
        <v>0</v>
      </c>
      <c r="AH179" s="583">
        <f t="shared" si="407"/>
        <v>0</v>
      </c>
      <c r="AI179" s="582">
        <f t="shared" si="408"/>
        <v>0</v>
      </c>
      <c r="AJ179" s="569">
        <f t="shared" si="409"/>
        <v>0</v>
      </c>
      <c r="AK179" s="569" t="str">
        <f t="shared" si="410"/>
        <v/>
      </c>
      <c r="AL179" s="569" t="str">
        <f t="shared" si="411"/>
        <v/>
      </c>
      <c r="AM179" s="569">
        <f t="shared" si="412"/>
        <v>0</v>
      </c>
      <c r="AN179" s="581">
        <f t="shared" si="413"/>
        <v>0</v>
      </c>
      <c r="AO179" s="623"/>
      <c r="AP179" s="632" t="str">
        <f t="shared" si="349"/>
        <v/>
      </c>
      <c r="AQ179" s="633" t="str">
        <f>IF(AC179=$V$3,IF(VLOOKUP(C179,[1]List1!$A:$E,5,FALSE)=0,1,VLOOKUP(C179,[1]List1!$A:$E,5,FALSE)),"")</f>
        <v/>
      </c>
      <c r="AR179" s="625" t="str">
        <f t="shared" si="350"/>
        <v/>
      </c>
      <c r="AS179" s="634" t="str">
        <f t="shared" si="399"/>
        <v/>
      </c>
      <c r="AT179" s="625" t="str">
        <f t="shared" si="352"/>
        <v/>
      </c>
      <c r="AU179" s="638" t="e">
        <f t="shared" si="353"/>
        <v>#N/A</v>
      </c>
      <c r="AV179" s="625" t="e">
        <f t="shared" si="354"/>
        <v>#N/A</v>
      </c>
      <c r="AX179" s="625">
        <f>IF(AND('General price list'!$J179="F4",'General price list'!$AB179+0&gt;0),1,0)</f>
        <v>0</v>
      </c>
      <c r="AY179" s="625">
        <f t="shared" si="355"/>
        <v>1</v>
      </c>
      <c r="AZ179" s="625">
        <f t="shared" si="356"/>
        <v>1</v>
      </c>
    </row>
    <row r="180" spans="1:52" ht="15.75" customHeight="1">
      <c r="A180" s="639" t="str">
        <f>Kat.!C180</f>
        <v/>
      </c>
      <c r="B180" s="640">
        <f>IF(AND('General price list'!$J180="F4",$AI$1=FALSE),0,IF(AC180="SKLADEM",1,IF(AC180=$V$3,1,0)))</f>
        <v>1</v>
      </c>
      <c r="C180" s="641" t="s">
        <v>547</v>
      </c>
      <c r="D180" s="642" t="s">
        <v>543</v>
      </c>
      <c r="E180" s="643" t="s">
        <v>12692</v>
      </c>
      <c r="F180" s="773">
        <f>IFERROR(VLOOKUP(C180,[2]List1!$A:$D,3,FALSE),"NEUVEDENO!")</f>
        <v>241</v>
      </c>
      <c r="G180" s="770">
        <f t="shared" si="400"/>
        <v>241</v>
      </c>
      <c r="H180" s="767">
        <f t="shared" si="401"/>
        <v>10.237327590235035</v>
      </c>
      <c r="I180" s="644">
        <f>IFERROR(VLOOKUP(C180,[2]List1!$A:$D,4,FALSE),"NEUVEDENO!")</f>
        <v>15</v>
      </c>
      <c r="J180" s="733" t="s">
        <v>39</v>
      </c>
      <c r="K180" s="645" t="s">
        <v>20</v>
      </c>
      <c r="L180" s="645" t="s">
        <v>10979</v>
      </c>
      <c r="M180" s="645" t="s">
        <v>21</v>
      </c>
      <c r="N180" s="645">
        <f>IFERROR(VLOOKUP(C180,[3]List1!$A:$D,4,FALSE),"N/A!")</f>
        <v>4.7879999999999999E-2</v>
      </c>
      <c r="O180" s="645">
        <f>IFERROR(VLOOKUP(C180,[3]List1!$A:$D,3,FALSE),"N/A!")</f>
        <v>2880</v>
      </c>
      <c r="P180" s="645">
        <f>IFERROR(VLOOKUP(C180,[3]List1!$A:$D,2,FALSE),"N/A!")</f>
        <v>19500</v>
      </c>
      <c r="Q180" s="645" t="s">
        <v>11241</v>
      </c>
      <c r="R180" s="645" t="s">
        <v>11232</v>
      </c>
      <c r="S180" s="645"/>
      <c r="T180" s="645">
        <v>40</v>
      </c>
      <c r="U180" s="645"/>
      <c r="V180" s="645"/>
      <c r="W180" s="645" t="str">
        <f>IFERROR(IF(AND($AB180&gt;=0.1*$AA180,MOD($AB180,$AA180)&gt;=($AA180-(0.1*$AA180))),IF($W$17=$AF$1,"Zvažte možnost doobjednání ještě "&amp;Tabulka1[[#This Row],[VKPAL]]-MOD(AB180,AA180)&amp;" VK do plné palety.",VLOOKUP("Zvažte možnost doobjednání ještě ",Jazyky_ceník!A:Q,MATCH($W$17,Jazyky_ceník!$A$1:$Q$1,0),FALSE)&amp;Tabulka1[[#This Row],[VKPAL]]-MOD(AB180,AA180)&amp;VLOOKUP(" VK do plné palety.",Jazyky_ceník!A:Q,MATCH($W$17,Jazyky_ceník!$A$1:$Q$1,0),FALSE)),IFERROR(IF(AND(NOT(MOD($AB180,$AA180)=0),$AB180&gt;=0.9*$AA180,MOD($AB180,$AA180)&lt;=0.1*$AA180),IF($W$17=$AF$1,"Zvažte možnost optimalizace objednaného množství podle počtu VK na paletě ==&gt;",VLOOKUP("Zvažte možnost optimalizace objednaného množství podle počtu VK na paletě ==&gt;",Jazyky_ceník!A:Q,MATCH($W$17,Jazyky_ceník!$A$1:$Q$1,0),FALSE)),VLOOKUP('General price list'!$C180,Popisy!A:M,MATCH($W$17,Popisy!$A$7:$M$7,0),FALSE)),"---------------")),IFERROR(VLOOKUP('General price list'!$C180,Popisy!A:M,MATCH($W$17,Popisy!$A$7:$M$7,0),FALSE),"---------------"))</f>
        <v>mix 20ran řím. svící (po 3ks-R7020K,R6020B,R6520BK,R7020BK), délka 70cm</v>
      </c>
      <c r="X180" s="645" t="str">
        <f t="shared" si="402"/>
        <v/>
      </c>
      <c r="Y180" s="645" t="str">
        <f t="shared" si="403"/>
        <v/>
      </c>
      <c r="Z180" s="645" t="str">
        <f>HYPERLINK("https://www.klasekpyrotechnics.cz/r7020m")</f>
        <v>https://www.klasekpyrotechnics.cz/r7020m</v>
      </c>
      <c r="AA180" s="645">
        <f>IFERROR(IF(VLOOKUP(C180,[4]List1!$A:$D,4,FALSE)=0,"",VLOOKUP(C180,[4]List1!$A:$D,4,FALSE)),"")</f>
        <v>27</v>
      </c>
      <c r="AB180" s="646"/>
      <c r="AC180" s="647" t="str">
        <f>IFERROR(IF(VLOOKUP(C180,[1]List1!$A:$D,2,FALSE)="VYPRODÁNO",$V$9,IF(VLOOKUP(C180,[1]List1!$A:$D,2,FALSE)="DOCHÁZÍ",$V$3,VLOOKUP(C180,[1]List1!$A:$D,2,FALSE))),"OFFLINE!")</f>
        <v>SKLADEM</v>
      </c>
      <c r="AD180" s="647" t="str">
        <f ca="1">IF(AP180="NE",$V$10,IF(AC180=$V$3,IF(AQ180&lt;1,$V$8,$V$2&amp;" "&amp;AQ180&amp;" "&amp;$V$1),IF(AC180="SKLADEM",$V$6,IFERROR(IF(OR(AC180-TODAY()&gt;45,VLOOKUP(C180,[1]List1!$A:$E,4,FALSE)=0),AC180,DAY(AC180)&amp;"."&amp;MONTH(AC180)&amp;"."&amp;YEAR(AC180)&amp;" "&amp;$V$4&amp;VLOOKUP(C180,[1]List1!$A:$E,4,FALSE)&amp;" "&amp;$V$1),AC180))))</f>
        <v>SKLADEM</v>
      </c>
      <c r="AE180" s="645" t="str">
        <f t="shared" ca="1" si="404"/>
        <v>SKLADEM</v>
      </c>
      <c r="AF180" s="648">
        <f t="shared" si="405"/>
        <v>0</v>
      </c>
      <c r="AG180" s="649">
        <f t="shared" si="406"/>
        <v>0</v>
      </c>
      <c r="AH180" s="650">
        <f t="shared" si="407"/>
        <v>0</v>
      </c>
      <c r="AI180" s="645">
        <f t="shared" si="408"/>
        <v>0</v>
      </c>
      <c r="AJ180" s="645">
        <f t="shared" si="409"/>
        <v>0</v>
      </c>
      <c r="AK180" s="645" t="str">
        <f t="shared" si="410"/>
        <v/>
      </c>
      <c r="AL180" s="645" t="str">
        <f t="shared" si="411"/>
        <v/>
      </c>
      <c r="AM180" s="645">
        <f t="shared" si="412"/>
        <v>0</v>
      </c>
      <c r="AN180" s="651">
        <f t="shared" si="413"/>
        <v>0</v>
      </c>
      <c r="AO180" s="623"/>
      <c r="AP180" s="625" t="str">
        <f t="shared" si="349"/>
        <v/>
      </c>
      <c r="AQ180" s="625" t="str">
        <f>IF(AC180=$V$3,IF(VLOOKUP(C180,[1]List1!$A:$E,5,FALSE)=0,1,VLOOKUP(C180,[1]List1!$A:$E,5,FALSE)),"")</f>
        <v/>
      </c>
      <c r="AR180" s="629" t="str">
        <f t="shared" si="350"/>
        <v/>
      </c>
      <c r="AS180" s="630" t="str">
        <f t="shared" si="399"/>
        <v/>
      </c>
      <c r="AT180" s="625" t="str">
        <f t="shared" si="352"/>
        <v/>
      </c>
      <c r="AU180" s="625" t="e">
        <f t="shared" si="353"/>
        <v>#N/A</v>
      </c>
      <c r="AV180" s="625" t="e">
        <f t="shared" si="354"/>
        <v>#N/A</v>
      </c>
      <c r="AW180" s="631"/>
      <c r="AX180" s="631">
        <f>IF(AND('General price list'!$J180="F4",'General price list'!$AB180+0&gt;0),1,0)</f>
        <v>0</v>
      </c>
      <c r="AY180" s="631">
        <f t="shared" si="355"/>
        <v>1</v>
      </c>
      <c r="AZ180" s="631">
        <f t="shared" si="356"/>
        <v>1</v>
      </c>
    </row>
    <row r="181" spans="1:52" ht="15" customHeight="1">
      <c r="A181" s="751" t="str">
        <f>Kat.!C181</f>
        <v xml:space="preserve">           Římské svíce 20 mm – Kat. F2</v>
      </c>
      <c r="B181" s="751"/>
      <c r="C181" s="751"/>
      <c r="D181" s="751"/>
      <c r="E181" s="751"/>
      <c r="F181" s="751"/>
      <c r="G181" s="751"/>
      <c r="H181" s="751"/>
      <c r="I181" s="752"/>
      <c r="J181" s="752"/>
      <c r="K181" s="752" t="s">
        <v>20</v>
      </c>
      <c r="L181" s="753" t="s">
        <v>2818</v>
      </c>
      <c r="M181" s="752"/>
      <c r="N181" s="752"/>
      <c r="O181" s="752"/>
      <c r="P181" s="752"/>
      <c r="Q181" s="752"/>
      <c r="R181" s="752"/>
      <c r="S181" s="752"/>
      <c r="T181" s="752"/>
      <c r="U181" s="752"/>
      <c r="V181" s="752"/>
      <c r="W181" s="752"/>
      <c r="X181" s="752"/>
      <c r="Y181" s="752"/>
      <c r="Z181" s="752" t="s">
        <v>20</v>
      </c>
      <c r="AA181" s="752"/>
      <c r="AB181" s="752"/>
      <c r="AC181" s="754"/>
      <c r="AD181" s="752"/>
      <c r="AE181" s="752"/>
      <c r="AF181" s="752"/>
      <c r="AG181" s="752"/>
      <c r="AH181" s="752"/>
      <c r="AI181" s="752"/>
      <c r="AJ181" s="752"/>
      <c r="AK181" s="752"/>
      <c r="AL181" s="752"/>
      <c r="AM181" s="752"/>
      <c r="AN181" s="752"/>
      <c r="AO181" s="623"/>
      <c r="AP181" s="632" t="str">
        <f t="shared" si="349"/>
        <v/>
      </c>
      <c r="AQ181" s="633" t="str">
        <f>IF(AC181=$V$3,IF(VLOOKUP(C181,[1]List1!$A:$E,5,FALSE)=0,1,VLOOKUP(C181,[1]List1!$A:$E,5,FALSE)),"")</f>
        <v/>
      </c>
      <c r="AR181" s="625" t="str">
        <f t="shared" si="350"/>
        <v/>
      </c>
      <c r="AS181" s="634" t="str">
        <f t="shared" si="399"/>
        <v/>
      </c>
      <c r="AT181" s="625" t="str">
        <f t="shared" si="352"/>
        <v/>
      </c>
      <c r="AU181" s="638" t="e">
        <f t="shared" si="353"/>
        <v>#N/A</v>
      </c>
      <c r="AV181" s="625" t="e">
        <f t="shared" si="354"/>
        <v>#N/A</v>
      </c>
      <c r="AX181" s="625">
        <f>IF(AND('General price list'!$J181="F4",'General price list'!$AB181+0&gt;0),1,0)</f>
        <v>0</v>
      </c>
      <c r="AY181" s="625">
        <f t="shared" si="355"/>
        <v>0</v>
      </c>
      <c r="AZ181" s="625">
        <f t="shared" si="356"/>
        <v>0</v>
      </c>
    </row>
    <row r="182" spans="1:52" ht="15" customHeight="1">
      <c r="A182" s="639" t="str">
        <f>Kat.!C182</f>
        <v/>
      </c>
      <c r="B182" s="640">
        <f>IF(AND('General price list'!$J182="F4",$AI$1=FALSE),0,IF(AC182="SKLADEM",1,IF(AC182=$V$3,1,0)))</f>
        <v>1</v>
      </c>
      <c r="C182" s="641" t="s">
        <v>12009</v>
      </c>
      <c r="D182" s="642" t="s">
        <v>12010</v>
      </c>
      <c r="E182" s="643" t="s">
        <v>12650</v>
      </c>
      <c r="F182" s="771">
        <f>IFERROR(VLOOKUP(C182,[2]List1!$A:$D,3,FALSE),"NEUVEDENO!")</f>
        <v>126</v>
      </c>
      <c r="G182" s="768">
        <f t="shared" ref="G182:G184" si="414">IF($W$17=$AF$8,ROUND((F182)/$F$17,2),(F182)*$B$19)</f>
        <v>126</v>
      </c>
      <c r="H182" s="765">
        <f t="shared" ref="H182:H184" si="415">IF($W$17=$AF$8,G182*$B$19,G182/$F$17)</f>
        <v>5.3522957525710133</v>
      </c>
      <c r="I182" s="644">
        <f>IFERROR(VLOOKUP(C182,[2]List1!$A:$D,4,FALSE),"NEUVEDENO!")</f>
        <v>24</v>
      </c>
      <c r="J182" s="733" t="s">
        <v>39</v>
      </c>
      <c r="K182" s="645" t="s">
        <v>20</v>
      </c>
      <c r="L182" s="645" t="s">
        <v>12435</v>
      </c>
      <c r="M182" s="645" t="s">
        <v>21</v>
      </c>
      <c r="N182" s="645">
        <f>IFERROR(VLOOKUP(C182,[3]List1!$A:$D,4,FALSE),"N/A!")</f>
        <v>4.8483999999999999E-2</v>
      </c>
      <c r="O182" s="645">
        <f>IFERROR(VLOOKUP(C182,[3]List1!$A:$D,3,FALSE),"N/A!")</f>
        <v>2400</v>
      </c>
      <c r="P182" s="645">
        <f>IFERROR(VLOOKUP(C182,[3]List1!$A:$D,2,FALSE),"N/A!")</f>
        <v>18500</v>
      </c>
      <c r="Q182" s="645" t="s">
        <v>11241</v>
      </c>
      <c r="R182" s="645" t="s">
        <v>11265</v>
      </c>
      <c r="S182" s="645"/>
      <c r="T182" s="645">
        <v>25</v>
      </c>
      <c r="U182" s="645"/>
      <c r="V182" s="645"/>
      <c r="W182" s="645" t="str">
        <f>IFERROR(IF(AND($AB182&gt;=0.1*$AA182,MOD($AB182,$AA182)&gt;=($AA182-(0.1*$AA182))),IF($W$17=$AF$1,"Zvažte možnost doobjednání ještě "&amp;Tabulka1[[#This Row],[VKPAL]]-MOD(AB182,AA182)&amp;" VK do plné palety.",VLOOKUP("Zvažte možnost doobjednání ještě ",Jazyky_ceník!A:Q,MATCH($W$17,Jazyky_ceník!$A$1:$Q$1,0),FALSE)&amp;Tabulka1[[#This Row],[VKPAL]]-MOD(AB182,AA182)&amp;VLOOKUP(" VK do plné palety.",Jazyky_ceník!A:Q,MATCH($W$17,Jazyky_ceník!$A$1:$Q$1,0),FALSE)),IFERROR(IF(AND(NOT(MOD($AB182,$AA182)=0),$AB182&gt;=0.9*$AA182,MOD($AB182,$AA182)&lt;=0.1*$AA182),IF($W$17=$AF$1,"Zvažte možnost optimalizace objednaného množství podle počtu VK na paletě ==&gt;",VLOOKUP("Zvažte možnost optimalizace objednaného množství podle počtu VK na paletě ==&gt;",Jazyky_ceník!A:Q,MATCH($W$17,Jazyky_ceník!$A$1:$Q$1,0),FALSE)),VLOOKUP('General price list'!$C182,Popisy!A:M,MATCH($W$17,Popisy!$A$7:$M$7,0),FALSE)),"---------------")),IFERROR(VLOOKUP('General price list'!$C182,Popisy!A:M,MATCH($W$17,Popisy!$A$7:$M$7,0),FALSE),"---------------"))</f>
        <v>5ran, 5 různé efekty střídající se po každé ráně, 60cm délka</v>
      </c>
      <c r="X182" s="645" t="str">
        <f t="shared" ref="X182:X184" si="416">IF(AB182&lt;0.0001,"",AB182)</f>
        <v/>
      </c>
      <c r="Y182" s="645" t="str">
        <f t="shared" ref="Y182:Y184" si="417">IF($AL$3=2,IF(OR(AB182&lt;&gt;"",AB182&lt;&gt;0),AU182,""),IF(C182="","",IF(AB182&lt;0.0001,"",IF(B182=0,"",IF(AQ182&lt;AB182,"",AB182)))))</f>
        <v/>
      </c>
      <c r="Z182" s="645" t="str">
        <f>HYPERLINK("https://www.klasekpyrotechnics.cz/r60508e")</f>
        <v>https://www.klasekpyrotechnics.cz/r60508e</v>
      </c>
      <c r="AA182" s="645">
        <f>IFERROR(IF(VLOOKUP(C182,[4]List1!$A:$D,4,FALSE)=0,"",VLOOKUP(C182,[4]List1!$A:$D,4,FALSE)),"")</f>
        <v>25</v>
      </c>
      <c r="AB182" s="646"/>
      <c r="AC182" s="647" t="str">
        <f>IFERROR(IF(VLOOKUP(C182,[1]List1!$A:$D,2,FALSE)="VYPRODÁNO",$V$9,IF(VLOOKUP(C182,[1]List1!$A:$D,2,FALSE)="DOCHÁZÍ",$V$3,VLOOKUP(C182,[1]List1!$A:$D,2,FALSE))),"OFFLINE!")</f>
        <v>SKLADEM</v>
      </c>
      <c r="AD182" s="647" t="str">
        <f ca="1">IF(AP182="NE",$V$10,IF(AC182=$V$3,IF(AQ182&lt;1,$V$8,$V$2&amp;" "&amp;AQ182&amp;" "&amp;$V$1),IF(AC182="SKLADEM",$V$6,IFERROR(IF(OR(AC182-TODAY()&gt;45,VLOOKUP(C182,[1]List1!$A:$E,4,FALSE)=0),AC182,DAY(AC182)&amp;"."&amp;MONTH(AC182)&amp;"."&amp;YEAR(AC182)&amp;" "&amp;$V$4&amp;VLOOKUP(C182,[1]List1!$A:$E,4,FALSE)&amp;" "&amp;$V$1),AC182))))</f>
        <v>SKLADEM</v>
      </c>
      <c r="AE182" s="645" t="str">
        <f t="shared" ref="AE182:AE184" ca="1" si="418">IFERROR(IF(AV182&lt;&gt;"",AV182,AD182),AD182)</f>
        <v>SKLADEM</v>
      </c>
      <c r="AF182" s="648">
        <f t="shared" ref="AF182:AF184" si="419">IFERROR(IF(AB182=Y182,G182*I182*Y182,0),0)</f>
        <v>0</v>
      </c>
      <c r="AG182" s="649">
        <f t="shared" ref="AG182:AG184" si="420">IF($W$17=$AF$8,AH182*1.23,AF182*1.21)</f>
        <v>0</v>
      </c>
      <c r="AH182" s="650">
        <f t="shared" ref="AH182:AH184" si="421">IFERROR(IF(Y182=AB182,H182*I182*Y182,0),0)</f>
        <v>0</v>
      </c>
      <c r="AI182" s="645">
        <f t="shared" ref="AI182:AI184" si="422">IFERROR(IF(Y182=AB182,(P182*Y182)/1000,1),0)</f>
        <v>0</v>
      </c>
      <c r="AJ182" s="645">
        <f t="shared" ref="AJ182:AJ184" si="423">IFERROR(IF(Y182=AB182,N182*Y182,0.1),0)</f>
        <v>0</v>
      </c>
      <c r="AK182" s="645" t="str">
        <f t="shared" ref="AK182:AK184" si="424">IFERROR(IF(Y182=AB182,IF(M182="1.1G",(O182/1000)*Y182,""),""),0)</f>
        <v/>
      </c>
      <c r="AL182" s="645" t="str">
        <f t="shared" ref="AL182:AL184" si="425">IFERROR(IF(Y182=AB182,IF(M182="1.3G",(O182/1000)*AB182,""),""),0)</f>
        <v/>
      </c>
      <c r="AM182" s="645">
        <f t="shared" ref="AM182:AM184" si="426">IFERROR(IF(Y182=AB182,IF(M182="1.4G",(O182/1000)*AB182,""),""),0)</f>
        <v>0</v>
      </c>
      <c r="AN182" s="651">
        <f t="shared" ref="AN182:AN184" si="427">SUM(AK182:AM182)</f>
        <v>0</v>
      </c>
      <c r="AO182" s="623"/>
      <c r="AP182" s="632" t="str">
        <f t="shared" si="349"/>
        <v/>
      </c>
      <c r="AQ182" s="633" t="str">
        <f>IF(AC182=$V$3,IF(VLOOKUP(C182,[1]List1!$A:$E,5,FALSE)=0,1,VLOOKUP(C182,[1]List1!$A:$E,5,FALSE)),"")</f>
        <v/>
      </c>
      <c r="AR182" s="625" t="str">
        <f t="shared" si="350"/>
        <v/>
      </c>
      <c r="AS182" s="634" t="str">
        <f t="shared" si="399"/>
        <v/>
      </c>
      <c r="AT182" s="625" t="str">
        <f t="shared" si="352"/>
        <v/>
      </c>
      <c r="AU182" s="638" t="e">
        <f t="shared" si="353"/>
        <v>#N/A</v>
      </c>
      <c r="AV182" s="625" t="e">
        <f t="shared" si="354"/>
        <v>#N/A</v>
      </c>
      <c r="AX182" s="625">
        <f>IF(AND('General price list'!$J182="F4",'General price list'!$AB182+0&gt;0),1,0)</f>
        <v>0</v>
      </c>
      <c r="AY182" s="625">
        <f t="shared" si="355"/>
        <v>1</v>
      </c>
      <c r="AZ182" s="625">
        <f t="shared" si="356"/>
        <v>1</v>
      </c>
    </row>
    <row r="183" spans="1:52" ht="15.75" customHeight="1">
      <c r="A183" s="621" t="str">
        <f>Kat.!C183</f>
        <v/>
      </c>
      <c r="B183" s="566">
        <f>IF(AND('General price list'!$J183="F4",$AI$1=FALSE),0,IF(AC183="SKLADEM",1,IF(AC183=$V$3,1,0)))</f>
        <v>1</v>
      </c>
      <c r="C183" s="567" t="s">
        <v>2232</v>
      </c>
      <c r="D183" s="568" t="s">
        <v>2233</v>
      </c>
      <c r="E183" s="763" t="s">
        <v>12650</v>
      </c>
      <c r="F183" s="772">
        <f>IFERROR(VLOOKUP(C183,[2]List1!$A:$D,3,FALSE),"NEUVEDENO!")</f>
        <v>206</v>
      </c>
      <c r="G183" s="769">
        <f t="shared" si="414"/>
        <v>206</v>
      </c>
      <c r="H183" s="766">
        <f t="shared" si="415"/>
        <v>8.7505787700764195</v>
      </c>
      <c r="I183" s="764">
        <f>IFERROR(VLOOKUP(C183,[2]List1!$A:$D,4,FALSE),"NEUVEDENO!")</f>
        <v>24</v>
      </c>
      <c r="J183" s="732" t="s">
        <v>39</v>
      </c>
      <c r="K183" s="569" t="s">
        <v>20</v>
      </c>
      <c r="L183" s="569" t="s">
        <v>10970</v>
      </c>
      <c r="M183" s="569" t="s">
        <v>21</v>
      </c>
      <c r="N183" s="569">
        <f>IFERROR(VLOOKUP(C183,[3]List1!$A:$D,4,FALSE),"N/A!")</f>
        <v>4.9279999999999997E-2</v>
      </c>
      <c r="O183" s="569">
        <f>IFERROR(VLOOKUP(C183,[3]List1!$A:$D,3,FALSE),"N/A!")</f>
        <v>4608</v>
      </c>
      <c r="P183" s="569">
        <f>IFERROR(VLOOKUP(C183,[3]List1!$A:$D,2,FALSE),"N/A!")</f>
        <v>21000</v>
      </c>
      <c r="Q183" s="569" t="s">
        <v>11241</v>
      </c>
      <c r="R183" s="569" t="s">
        <v>11232</v>
      </c>
      <c r="S183" s="569"/>
      <c r="T183" s="569">
        <v>35</v>
      </c>
      <c r="U183" s="569"/>
      <c r="V183" s="569"/>
      <c r="W183" s="569" t="str">
        <f>IFERROR(IF(AND($AB183&gt;=0.1*$AA183,MOD($AB183,$AA183)&gt;=($AA183-(0.1*$AA183))),IF($W$17=$AF$1,"Zvažte možnost doobjednání ještě "&amp;Tabulka1[[#This Row],[VKPAL]]-MOD(AB183,AA183)&amp;" VK do plné palety.",VLOOKUP("Zvažte možnost doobjednání ještě ",Jazyky_ceník!A:Q,MATCH($W$17,Jazyky_ceník!$A$1:$Q$1,0),FALSE)&amp;Tabulka1[[#This Row],[VKPAL]]-MOD(AB183,AA183)&amp;VLOOKUP(" VK do plné palety.",Jazyky_ceník!A:Q,MATCH($W$17,Jazyky_ceník!$A$1:$Q$1,0),FALSE)),IFERROR(IF(AND(NOT(MOD($AB183,$AA183)=0),$AB183&gt;=0.9*$AA183,MOD($AB183,$AA183)&lt;=0.1*$AA183),IF($W$17=$AF$1,"Zvažte možnost optimalizace objednaného množství podle počtu VK na paletě ==&gt;",VLOOKUP("Zvažte možnost optimalizace objednaného množství podle počtu VK na paletě ==&gt;",Jazyky_ceník!A:Q,MATCH($W$17,Jazyky_ceník!$A$1:$Q$1,0),FALSE)),VLOOKUP('General price list'!$C183,Popisy!A:M,MATCH($W$17,Popisy!$A$7:$M$7,0),FALSE)),"---------------")),IFERROR(VLOOKUP('General price list'!$C183,Popisy!A:M,MATCH($W$17,Popisy!$A$7:$M$7,0),FALSE),"---------------"))</f>
        <v>8ran stříbrná pískající stopa, 65cm délka</v>
      </c>
      <c r="X183" s="569" t="str">
        <f t="shared" si="416"/>
        <v/>
      </c>
      <c r="Y183" s="569" t="str">
        <f t="shared" si="417"/>
        <v/>
      </c>
      <c r="Z183" s="569" t="str">
        <f>HYPERLINK("https://www.klasekpyrotechnics.cz/r6508s")</f>
        <v>https://www.klasekpyrotechnics.cz/r6508s</v>
      </c>
      <c r="AA183" s="569">
        <f>IFERROR(IF(VLOOKUP(C183,[4]List1!$A:$D,4,FALSE)=0,"",VLOOKUP(C183,[4]List1!$A:$D,4,FALSE)),"")</f>
        <v>30</v>
      </c>
      <c r="AB183" s="565"/>
      <c r="AC183" s="570" t="str">
        <f>IFERROR(IF(VLOOKUP(C183,[1]List1!$A:$D,2,FALSE)="VYPRODÁNO",$V$9,IF(VLOOKUP(C183,[1]List1!$A:$D,2,FALSE)="DOCHÁZÍ",$V$3,VLOOKUP(C183,[1]List1!$A:$D,2,FALSE))),"OFFLINE!")</f>
        <v>SKLADEM</v>
      </c>
      <c r="AD183" s="570" t="str">
        <f ca="1">IF(AP183="NE",$V$10,IF(AC183=$V$3,IF(AQ183&lt;1,$V$8,$V$2&amp;" "&amp;AQ183&amp;" "&amp;$V$1),IF(AC183="SKLADEM",$V$6,IFERROR(IF(OR(AC183-TODAY()&gt;45,VLOOKUP(C183,[1]List1!$A:$E,4,FALSE)=0),AC183,DAY(AC183)&amp;"."&amp;MONTH(AC183)&amp;"."&amp;YEAR(AC183)&amp;" "&amp;$V$4&amp;VLOOKUP(C183,[1]List1!$A:$E,4,FALSE)&amp;" "&amp;$V$1),AC183))))</f>
        <v>SKLADEM</v>
      </c>
      <c r="AE183" s="581" t="str">
        <f t="shared" ca="1" si="418"/>
        <v>SKLADEM</v>
      </c>
      <c r="AF183" s="584">
        <f t="shared" si="419"/>
        <v>0</v>
      </c>
      <c r="AG183" s="585">
        <f t="shared" si="420"/>
        <v>0</v>
      </c>
      <c r="AH183" s="583">
        <f t="shared" si="421"/>
        <v>0</v>
      </c>
      <c r="AI183" s="582">
        <f t="shared" si="422"/>
        <v>0</v>
      </c>
      <c r="AJ183" s="569">
        <f t="shared" si="423"/>
        <v>0</v>
      </c>
      <c r="AK183" s="569" t="str">
        <f t="shared" si="424"/>
        <v/>
      </c>
      <c r="AL183" s="569" t="str">
        <f t="shared" si="425"/>
        <v/>
      </c>
      <c r="AM183" s="569">
        <f t="shared" si="426"/>
        <v>0</v>
      </c>
      <c r="AN183" s="581">
        <f t="shared" si="427"/>
        <v>0</v>
      </c>
      <c r="AO183" s="623"/>
      <c r="AP183" s="625" t="str">
        <f t="shared" si="349"/>
        <v/>
      </c>
      <c r="AQ183" s="625" t="str">
        <f>IF(AC183=$V$3,IF(VLOOKUP(C183,[1]List1!$A:$E,5,FALSE)=0,1,VLOOKUP(C183,[1]List1!$A:$E,5,FALSE)),"")</f>
        <v/>
      </c>
      <c r="AR183" s="629" t="str">
        <f t="shared" si="350"/>
        <v/>
      </c>
      <c r="AS183" s="630" t="str">
        <f t="shared" si="399"/>
        <v/>
      </c>
      <c r="AT183" s="625" t="str">
        <f t="shared" si="352"/>
        <v/>
      </c>
      <c r="AU183" s="625" t="e">
        <f t="shared" si="353"/>
        <v>#N/A</v>
      </c>
      <c r="AV183" s="625" t="e">
        <f t="shared" si="354"/>
        <v>#N/A</v>
      </c>
      <c r="AW183" s="631"/>
      <c r="AX183" s="631">
        <f>IF(AND('General price list'!$J183="F4",'General price list'!$AB183+0&gt;0),1,0)</f>
        <v>0</v>
      </c>
      <c r="AY183" s="631">
        <f t="shared" si="355"/>
        <v>1</v>
      </c>
      <c r="AZ183" s="631">
        <f t="shared" si="356"/>
        <v>1</v>
      </c>
    </row>
    <row r="184" spans="1:52" ht="15" customHeight="1">
      <c r="A184" s="639" t="str">
        <f>Kat.!C184</f>
        <v/>
      </c>
      <c r="B184" s="640">
        <f>IF(AND('General price list'!$J184="F4",$AI$1=FALSE),0,IF(AC184="SKLADEM",1,IF(AC184=$V$3,1,0)))</f>
        <v>0</v>
      </c>
      <c r="C184" s="641" t="s">
        <v>12444</v>
      </c>
      <c r="D184" s="642" t="s">
        <v>3981</v>
      </c>
      <c r="E184" s="643" t="s">
        <v>12650</v>
      </c>
      <c r="F184" s="773">
        <f>IFERROR(VLOOKUP(C184,[2]List1!$A:$D,3,FALSE),"NEUVEDENO!")</f>
        <v>149</v>
      </c>
      <c r="G184" s="770">
        <f t="shared" si="414"/>
        <v>149</v>
      </c>
      <c r="H184" s="767">
        <f t="shared" si="415"/>
        <v>6.3293021201038178</v>
      </c>
      <c r="I184" s="644">
        <f>IFERROR(VLOOKUP(C184,[2]List1!$A:$D,4,FALSE),"NEUVEDENO!")</f>
        <v>24</v>
      </c>
      <c r="J184" s="733" t="s">
        <v>39</v>
      </c>
      <c r="K184" s="645">
        <v>4</v>
      </c>
      <c r="L184" s="645"/>
      <c r="M184" s="645" t="s">
        <v>21</v>
      </c>
      <c r="N184" s="645">
        <f>IFERROR(VLOOKUP(C184,[3]List1!$A:$D,4,FALSE),"N/A!")</f>
        <v>6.0213999999999997E-2</v>
      </c>
      <c r="O184" s="645">
        <f>IFERROR(VLOOKUP(C184,[3]List1!$A:$D,3,FALSE),"N/A!")</f>
        <v>3360</v>
      </c>
      <c r="P184" s="645">
        <f>IFERROR(VLOOKUP(C184,[3]List1!$A:$D,2,FALSE),"N/A!")</f>
        <v>25000</v>
      </c>
      <c r="Q184" s="645" t="s">
        <v>15068</v>
      </c>
      <c r="R184" s="645" t="s">
        <v>11232</v>
      </c>
      <c r="S184" s="645"/>
      <c r="T184" s="645">
        <v>25</v>
      </c>
      <c r="U184" s="645"/>
      <c r="V184" s="645"/>
      <c r="W184" s="645" t="str">
        <f>IFERROR(IF(AND($AB184&gt;=0.1*$AA184,MOD($AB184,$AA184)&gt;=($AA184-(0.1*$AA184))),IF($W$17=$AF$1,"Zvažte možnost doobjednání ještě "&amp;Tabulka1[[#This Row],[VKPAL]]-MOD(AB184,AA184)&amp;" VK do plné palety.",VLOOKUP("Zvažte možnost doobjednání ještě ",Jazyky_ceník!A:Q,MATCH($W$17,Jazyky_ceník!$A$1:$Q$1,0),FALSE)&amp;Tabulka1[[#This Row],[VKPAL]]-MOD(AB184,AA184)&amp;VLOOKUP(" VK do plné palety.",Jazyky_ceník!A:Q,MATCH($W$17,Jazyky_ceník!$A$1:$Q$1,0),FALSE)),IFERROR(IF(AND(NOT(MOD($AB184,$AA184)=0),$AB184&gt;=0.9*$AA184,MOD($AB184,$AA184)&lt;=0.1*$AA184),IF($W$17=$AF$1,"Zvažte možnost optimalizace objednaného množství podle počtu VK na paletě ==&gt;",VLOOKUP("Zvažte možnost optimalizace objednaného množství podle počtu VK na paletě ==&gt;",Jazyky_ceník!A:Q,MATCH($W$17,Jazyky_ceník!$A$1:$Q$1,0),FALSE)),VLOOKUP('General price list'!$C184,Popisy!A:M,MATCH($W$17,Popisy!$A$7:$M$7,0),FALSE)),"---------------")),IFERROR(VLOOKUP('General price list'!$C184,Popisy!A:M,MATCH($W$17,Popisy!$A$7:$M$7,0),FALSE),"---------------"))</f>
        <v>5ran, 5 různé efekty střídající se po každé ráně, 75cm délka</v>
      </c>
      <c r="X184" s="645" t="str">
        <f t="shared" si="416"/>
        <v/>
      </c>
      <c r="Y184" s="645" t="str">
        <f t="shared" si="417"/>
        <v/>
      </c>
      <c r="Z184" s="645" t="str">
        <f>HYPERLINK("https://www.klasekpyrotechnics.cz/r75508sig")</f>
        <v>https://www.klasekpyrotechnics.cz/r75508sig</v>
      </c>
      <c r="AA184" s="645" t="str">
        <f>IFERROR(IF(VLOOKUP(C184,[4]List1!$A:$D,4,FALSE)=0,"",VLOOKUP(C184,[4]List1!$A:$D,4,FALSE)),"")</f>
        <v/>
      </c>
      <c r="AB184" s="646"/>
      <c r="AC184" s="647" t="str">
        <f>IFERROR(IF(VLOOKUP(C184,[1]List1!$A:$D,2,FALSE)="VYPRODÁNO",$V$9,IF(VLOOKUP(C184,[1]List1!$A:$D,2,FALSE)="DOCHÁZÍ",$V$3,VLOOKUP(C184,[1]List1!$A:$D,2,FALSE))),"OFFLINE!")</f>
        <v>31.08.2026</v>
      </c>
      <c r="AD184" s="647" t="str">
        <f ca="1">IF(AP184="NE",$V$10,IF(AC184=$V$3,IF(AQ184&lt;1,$V$8,$V$2&amp;" "&amp;AQ184&amp;" "&amp;$V$1),IF(AC184="SKLADEM",$V$6,IFERROR(IF(OR(AC184-TODAY()&gt;45,VLOOKUP(C184,[1]List1!$A:$E,4,FALSE)=0),AC184,DAY(AC184)&amp;"."&amp;MONTH(AC184)&amp;"."&amp;YEAR(AC184)&amp;" "&amp;$V$4&amp;VLOOKUP(C184,[1]List1!$A:$E,4,FALSE)&amp;" "&amp;$V$1),AC184))))</f>
        <v>31.08.2026</v>
      </c>
      <c r="AE184" s="645" t="str">
        <f t="shared" ca="1" si="418"/>
        <v>31.08.2026</v>
      </c>
      <c r="AF184" s="648">
        <f t="shared" si="419"/>
        <v>0</v>
      </c>
      <c r="AG184" s="649">
        <f t="shared" si="420"/>
        <v>0</v>
      </c>
      <c r="AH184" s="650">
        <f t="shared" si="421"/>
        <v>0</v>
      </c>
      <c r="AI184" s="645">
        <f t="shared" si="422"/>
        <v>0</v>
      </c>
      <c r="AJ184" s="645">
        <f t="shared" si="423"/>
        <v>0</v>
      </c>
      <c r="AK184" s="645" t="str">
        <f t="shared" si="424"/>
        <v/>
      </c>
      <c r="AL184" s="645" t="str">
        <f t="shared" si="425"/>
        <v/>
      </c>
      <c r="AM184" s="645">
        <f t="shared" si="426"/>
        <v>0</v>
      </c>
      <c r="AN184" s="651">
        <f t="shared" si="427"/>
        <v>0</v>
      </c>
      <c r="AO184" s="623"/>
      <c r="AP184" s="632" t="str">
        <f t="shared" si="349"/>
        <v/>
      </c>
      <c r="AQ184" s="633" t="str">
        <f>IF(AC184=$V$3,IF(VLOOKUP(C184,[1]List1!$A:$E,5,FALSE)=0,1,VLOOKUP(C184,[1]List1!$A:$E,5,FALSE)),"")</f>
        <v/>
      </c>
      <c r="AR184" s="625" t="str">
        <f t="shared" si="350"/>
        <v/>
      </c>
      <c r="AS184" s="634" t="str">
        <f t="shared" si="399"/>
        <v/>
      </c>
      <c r="AT184" s="625" t="str">
        <f t="shared" si="352"/>
        <v/>
      </c>
      <c r="AU184" s="638" t="e">
        <f t="shared" si="353"/>
        <v>#N/A</v>
      </c>
      <c r="AV184" s="625" t="e">
        <f t="shared" si="354"/>
        <v>#N/A</v>
      </c>
      <c r="AX184" s="625">
        <f>IF(AND('General price list'!$J184="F4",'General price list'!$AB184+0&gt;0),1,0)</f>
        <v>0</v>
      </c>
      <c r="AY184" s="625">
        <f t="shared" si="355"/>
        <v>1</v>
      </c>
      <c r="AZ184" s="625">
        <f t="shared" si="356"/>
        <v>1</v>
      </c>
    </row>
    <row r="185" spans="1:52" ht="15" customHeight="1">
      <c r="A185" s="751" t="str">
        <f>Kat.!C185</f>
        <v xml:space="preserve">           Římské svíce 20 mm – Kat. F3</v>
      </c>
      <c r="B185" s="751"/>
      <c r="C185" s="751"/>
      <c r="D185" s="751"/>
      <c r="E185" s="751"/>
      <c r="F185" s="751"/>
      <c r="G185" s="751"/>
      <c r="H185" s="751"/>
      <c r="I185" s="752"/>
      <c r="J185" s="752"/>
      <c r="K185" s="752" t="s">
        <v>20</v>
      </c>
      <c r="L185" s="753" t="s">
        <v>20</v>
      </c>
      <c r="M185" s="752"/>
      <c r="N185" s="752"/>
      <c r="O185" s="752"/>
      <c r="P185" s="752"/>
      <c r="Q185" s="752"/>
      <c r="R185" s="752"/>
      <c r="S185" s="752"/>
      <c r="T185" s="752"/>
      <c r="U185" s="752"/>
      <c r="V185" s="752"/>
      <c r="W185" s="752"/>
      <c r="X185" s="752"/>
      <c r="Y185" s="752"/>
      <c r="Z185" s="752" t="s">
        <v>20</v>
      </c>
      <c r="AA185" s="752"/>
      <c r="AB185" s="752"/>
      <c r="AC185" s="754"/>
      <c r="AD185" s="752"/>
      <c r="AE185" s="752"/>
      <c r="AF185" s="752"/>
      <c r="AG185" s="752"/>
      <c r="AH185" s="752"/>
      <c r="AI185" s="752"/>
      <c r="AJ185" s="752"/>
      <c r="AK185" s="752"/>
      <c r="AL185" s="752"/>
      <c r="AM185" s="752"/>
      <c r="AN185" s="752"/>
      <c r="AO185" s="623"/>
      <c r="AP185" s="632" t="str">
        <f t="shared" si="349"/>
        <v/>
      </c>
      <c r="AQ185" s="633" t="str">
        <f>IF(AC185=$V$3,IF(VLOOKUP(C185,[1]List1!$A:$E,5,FALSE)=0,1,VLOOKUP(C185,[1]List1!$A:$E,5,FALSE)),"")</f>
        <v/>
      </c>
      <c r="AR185" s="625" t="str">
        <f t="shared" si="350"/>
        <v/>
      </c>
      <c r="AS185" s="634" t="str">
        <f t="shared" si="399"/>
        <v/>
      </c>
      <c r="AT185" s="625" t="str">
        <f t="shared" si="352"/>
        <v/>
      </c>
      <c r="AU185" s="638" t="e">
        <f t="shared" si="353"/>
        <v>#N/A</v>
      </c>
      <c r="AV185" s="625" t="e">
        <f t="shared" si="354"/>
        <v>#N/A</v>
      </c>
      <c r="AX185" s="625">
        <f>IF(AND('General price list'!$J185="F4",'General price list'!$AB185+0&gt;0),1,0)</f>
        <v>0</v>
      </c>
      <c r="AY185" s="625">
        <f t="shared" si="355"/>
        <v>0</v>
      </c>
      <c r="AZ185" s="625">
        <f t="shared" si="356"/>
        <v>0</v>
      </c>
    </row>
    <row r="186" spans="1:52" ht="15" customHeight="1">
      <c r="A186" s="639" t="str">
        <f>Kat.!C186</f>
        <v/>
      </c>
      <c r="B186" s="640">
        <f>IF(AND('General price list'!$J186="F4",$AI$1=FALSE),0,IF(AC186="SKLADEM",1,IF(AC186=$V$3,1,0)))</f>
        <v>1</v>
      </c>
      <c r="C186" s="641" t="s">
        <v>553</v>
      </c>
      <c r="D186" s="642" t="s">
        <v>12516</v>
      </c>
      <c r="E186" s="643" t="s">
        <v>12695</v>
      </c>
      <c r="F186" s="771">
        <f>IFERROR(VLOOKUP(C186,[2]List1!$A:$D,3,FALSE),"NEUVEDENO!")</f>
        <v>96</v>
      </c>
      <c r="G186" s="768">
        <f t="shared" ref="G186:G190" si="428">IF($W$17=$AF$8,ROUND((F186)/$F$17,2),(F186)*$B$19)</f>
        <v>96</v>
      </c>
      <c r="H186" s="765">
        <f t="shared" ref="H186:H190" si="429">IF($W$17=$AF$8,G186*$B$19,G186/$F$17)</f>
        <v>4.0779396210064869</v>
      </c>
      <c r="I186" s="644">
        <f>IFERROR(VLOOKUP(C186,[2]List1!$A:$D,4,FALSE),"NEUVEDENO!")</f>
        <v>48</v>
      </c>
      <c r="J186" s="733" t="s">
        <v>113</v>
      </c>
      <c r="K186" s="645" t="s">
        <v>20</v>
      </c>
      <c r="L186" s="645" t="s">
        <v>20</v>
      </c>
      <c r="M186" s="645" t="s">
        <v>114</v>
      </c>
      <c r="N186" s="645">
        <f>IFERROR(VLOOKUP(C186,[3]List1!$A:$D,4,FALSE),"N/A!")</f>
        <v>4.8959999999999997E-2</v>
      </c>
      <c r="O186" s="645">
        <f>IFERROR(VLOOKUP(C186,[3]List1!$A:$D,3,FALSE),"N/A!")</f>
        <v>3302.3999999999996</v>
      </c>
      <c r="P186" s="645">
        <f>IFERROR(VLOOKUP(C186,[3]List1!$A:$D,2,FALSE),"N/A!")</f>
        <v>23532</v>
      </c>
      <c r="Q186" s="645" t="s">
        <v>11258</v>
      </c>
      <c r="R186" s="645" t="s">
        <v>11239</v>
      </c>
      <c r="S186" s="645"/>
      <c r="T186" s="645">
        <v>30</v>
      </c>
      <c r="U186" s="645"/>
      <c r="V186" s="645"/>
      <c r="W186" s="645" t="str">
        <f>IFERROR(IF(AND($AB186&gt;=0.1*$AA186,MOD($AB186,$AA186)&gt;=($AA186-(0.1*$AA186))),IF($W$17=$AF$1,"Zvažte možnost doobjednání ještě "&amp;Tabulka1[[#This Row],[VKPAL]]-MOD(AB186,AA186)&amp;" VK do plné palety.",VLOOKUP("Zvažte možnost doobjednání ještě ",Jazyky_ceník!A:Q,MATCH($W$17,Jazyky_ceník!$A$1:$Q$1,0),FALSE)&amp;Tabulka1[[#This Row],[VKPAL]]-MOD(AB186,AA186)&amp;VLOOKUP(" VK do plné palety.",Jazyky_ceník!A:Q,MATCH($W$17,Jazyky_ceník!$A$1:$Q$1,0),FALSE)),IFERROR(IF(AND(NOT(MOD($AB186,$AA186)=0),$AB186&gt;=0.9*$AA186,MOD($AB186,$AA186)&lt;=0.1*$AA186),IF($W$17=$AF$1,"Zvažte možnost optimalizace objednaného množství podle počtu VK na paletě ==&gt;",VLOOKUP("Zvažte možnost optimalizace objednaného množství podle počtu VK na paletě ==&gt;",Jazyky_ceník!A:Q,MATCH($W$17,Jazyky_ceník!$A$1:$Q$1,0),FALSE)),VLOOKUP('General price list'!$C186,Popisy!A:M,MATCH($W$17,Popisy!$A$7:$M$7,0),FALSE)),"---------------")),IFERROR(VLOOKUP('General price list'!$C186,Popisy!A:M,MATCH($W$17,Popisy!$A$7:$M$7,0),FALSE),"---------------"))</f>
        <v>8ran stříbrná stop+titanová detonace s práskajícími hvězdami, 58cm délka</v>
      </c>
      <c r="X186" s="645" t="str">
        <f t="shared" ref="X186:X190" si="430">IF(AB186&lt;0.0001,"",AB186)</f>
        <v/>
      </c>
      <c r="Y186" s="645" t="str">
        <f t="shared" ref="Y186:Y190" si="431">IF($AL$3=2,IF(OR(AB186&lt;&gt;"",AB186&lt;&gt;0),AU186,""),IF(C186="","",IF(AB186&lt;0.0001,"",IF(B186=0,"",IF(AQ186&lt;AB186,"",AB186)))))</f>
        <v/>
      </c>
      <c r="Z186" s="645" t="str">
        <f>HYPERLINK("https://www.klasekpyrotechnics.cz/r5808d")</f>
        <v>https://www.klasekpyrotechnics.cz/r5808d</v>
      </c>
      <c r="AA186" s="645">
        <f>IFERROR(IF(VLOOKUP(C186,[4]List1!$A:$D,4,FALSE)=0,"",VLOOKUP(C186,[4]List1!$A:$D,4,FALSE)),"")</f>
        <v>30</v>
      </c>
      <c r="AB186" s="646"/>
      <c r="AC186" s="647" t="str">
        <f>IFERROR(IF(VLOOKUP(C186,[1]List1!$A:$D,2,FALSE)="VYPRODÁNO",$V$9,IF(VLOOKUP(C186,[1]List1!$A:$D,2,FALSE)="DOCHÁZÍ",$V$3,VLOOKUP(C186,[1]List1!$A:$D,2,FALSE))),"OFFLINE!")</f>
        <v>SKLADEM</v>
      </c>
      <c r="AD186" s="647" t="str">
        <f ca="1">IF(AP186="NE",$V$10,IF(AC186=$V$3,IF(AQ186&lt;1,$V$8,$V$2&amp;" "&amp;AQ186&amp;" "&amp;$V$1),IF(AC186="SKLADEM",$V$6,IFERROR(IF(OR(AC186-TODAY()&gt;45,VLOOKUP(C186,[1]List1!$A:$E,4,FALSE)=0),AC186,DAY(AC186)&amp;"."&amp;MONTH(AC186)&amp;"."&amp;YEAR(AC186)&amp;" "&amp;$V$4&amp;VLOOKUP(C186,[1]List1!$A:$E,4,FALSE)&amp;" "&amp;$V$1),AC186))))</f>
        <v>SKLADEM</v>
      </c>
      <c r="AE186" s="645" t="str">
        <f t="shared" ref="AE186:AE190" ca="1" si="432">IFERROR(IF(AV186&lt;&gt;"",AV186,AD186),AD186)</f>
        <v>SKLADEM</v>
      </c>
      <c r="AF186" s="648">
        <f t="shared" ref="AF186:AF190" si="433">IFERROR(IF(AB186=Y186,G186*I186*Y186,0),0)</f>
        <v>0</v>
      </c>
      <c r="AG186" s="649">
        <f t="shared" ref="AG186:AG190" si="434">IF($W$17=$AF$8,AH186*1.23,AF186*1.21)</f>
        <v>0</v>
      </c>
      <c r="AH186" s="650">
        <f t="shared" ref="AH186:AH190" si="435">IFERROR(IF(Y186=AB186,H186*I186*Y186,0),0)</f>
        <v>0</v>
      </c>
      <c r="AI186" s="645">
        <f t="shared" ref="AI186:AI190" si="436">IFERROR(IF(Y186=AB186,(P186*Y186)/1000,1),0)</f>
        <v>0</v>
      </c>
      <c r="AJ186" s="645">
        <f t="shared" ref="AJ186:AJ190" si="437">IFERROR(IF(Y186=AB186,N186*Y186,0.1),0)</f>
        <v>0</v>
      </c>
      <c r="AK186" s="645" t="str">
        <f t="shared" ref="AK186:AK190" si="438">IFERROR(IF(Y186=AB186,IF(M186="1.1G",(O186/1000)*Y186,""),""),0)</f>
        <v/>
      </c>
      <c r="AL186" s="645">
        <f t="shared" ref="AL186:AL190" si="439">IFERROR(IF(Y186=AB186,IF(M186="1.3G",(O186/1000)*AB186,""),""),0)</f>
        <v>0</v>
      </c>
      <c r="AM186" s="645" t="str">
        <f t="shared" ref="AM186:AM190" si="440">IFERROR(IF(Y186=AB186,IF(M186="1.4G",(O186/1000)*AB186,""),""),0)</f>
        <v/>
      </c>
      <c r="AN186" s="651">
        <f t="shared" ref="AN186:AN190" si="441">SUM(AK186:AM186)</f>
        <v>0</v>
      </c>
      <c r="AO186" s="623"/>
      <c r="AP186" s="632" t="str">
        <f t="shared" si="349"/>
        <v/>
      </c>
      <c r="AQ186" s="633" t="str">
        <f>IF(AC186=$V$3,IF(VLOOKUP(C186,[1]List1!$A:$E,5,FALSE)=0,1,VLOOKUP(C186,[1]List1!$A:$E,5,FALSE)),"")</f>
        <v/>
      </c>
      <c r="AR186" s="625" t="str">
        <f t="shared" si="350"/>
        <v/>
      </c>
      <c r="AS186" s="634" t="str">
        <f t="shared" si="399"/>
        <v/>
      </c>
      <c r="AT186" s="625" t="str">
        <f t="shared" si="352"/>
        <v/>
      </c>
      <c r="AU186" s="638" t="e">
        <f t="shared" si="353"/>
        <v>#N/A</v>
      </c>
      <c r="AV186" s="625" t="e">
        <f t="shared" si="354"/>
        <v>#N/A</v>
      </c>
      <c r="AX186" s="625">
        <f>IF(AND('General price list'!$J186="F4",'General price list'!$AB186+0&gt;0),1,0)</f>
        <v>0</v>
      </c>
      <c r="AY186" s="625">
        <f t="shared" si="355"/>
        <v>0</v>
      </c>
      <c r="AZ186" s="625">
        <f t="shared" si="356"/>
        <v>1</v>
      </c>
    </row>
    <row r="187" spans="1:52" ht="15" customHeight="1">
      <c r="A187" s="621" t="str">
        <f>Kat.!C187</f>
        <v/>
      </c>
      <c r="B187" s="566">
        <f>IF(AND('General price list'!$J187="F4",$AI$1=FALSE),0,IF(AC187="SKLADEM",1,IF(AC187=$V$3,1,0)))</f>
        <v>0</v>
      </c>
      <c r="C187" s="567" t="s">
        <v>558</v>
      </c>
      <c r="D187" s="568" t="s">
        <v>559</v>
      </c>
      <c r="E187" s="763" t="s">
        <v>12696</v>
      </c>
      <c r="F187" s="772">
        <f>IFERROR(VLOOKUP(C187,[2]List1!$A:$D,3,FALSE),"NEUVEDENO!")</f>
        <v>88</v>
      </c>
      <c r="G187" s="769">
        <f t="shared" si="428"/>
        <v>88</v>
      </c>
      <c r="H187" s="766">
        <f t="shared" si="429"/>
        <v>3.7381113192559461</v>
      </c>
      <c r="I187" s="764">
        <f>IFERROR(VLOOKUP(C187,[2]List1!$A:$D,4,FALSE),"NEUVEDENO!")</f>
        <v>24</v>
      </c>
      <c r="J187" s="732" t="s">
        <v>113</v>
      </c>
      <c r="K187" s="569" t="s">
        <v>20</v>
      </c>
      <c r="L187" s="569" t="s">
        <v>20</v>
      </c>
      <c r="M187" s="569" t="s">
        <v>114</v>
      </c>
      <c r="N187" s="569">
        <f>IFERROR(VLOOKUP(C187,[3]List1!$A:$D,4,FALSE),"N/A!")</f>
        <v>2.5325299999999999E-2</v>
      </c>
      <c r="O187" s="569">
        <f>IFERROR(VLOOKUP(C187,[3]List1!$A:$D,3,FALSE),"N/A!")</f>
        <v>1152</v>
      </c>
      <c r="P187" s="569">
        <f>IFERROR(VLOOKUP(C187,[3]List1!$A:$D,2,FALSE),"N/A!")</f>
        <v>12016</v>
      </c>
      <c r="Q187" s="569" t="s">
        <v>12081</v>
      </c>
      <c r="R187" s="569" t="s">
        <v>11239</v>
      </c>
      <c r="S187" s="569"/>
      <c r="T187" s="569">
        <v>35</v>
      </c>
      <c r="U187" s="569"/>
      <c r="V187" s="569"/>
      <c r="W187" s="569" t="str">
        <f>IFERROR(IF(AND($AB187&gt;=0.1*$AA187,MOD($AB187,$AA187)&gt;=($AA187-(0.1*$AA187))),IF($W$17=$AF$1,"Zvažte možnost doobjednání ještě "&amp;Tabulka1[[#This Row],[VKPAL]]-MOD(AB187,AA187)&amp;" VK do plné palety.",VLOOKUP("Zvažte možnost doobjednání ještě ",Jazyky_ceník!A:Q,MATCH($W$17,Jazyky_ceník!$A$1:$Q$1,0),FALSE)&amp;Tabulka1[[#This Row],[VKPAL]]-MOD(AB187,AA187)&amp;VLOOKUP(" VK do plné palety.",Jazyky_ceník!A:Q,MATCH($W$17,Jazyky_ceník!$A$1:$Q$1,0),FALSE)),IFERROR(IF(AND(NOT(MOD($AB187,$AA187)=0),$AB187&gt;=0.9*$AA187,MOD($AB187,$AA187)&lt;=0.1*$AA187),IF($W$17=$AF$1,"Zvažte možnost optimalizace objednaného množství podle počtu VK na paletě ==&gt;",VLOOKUP("Zvažte možnost optimalizace objednaného množství podle počtu VK na paletě ==&gt;",Jazyky_ceník!A:Q,MATCH($W$17,Jazyky_ceník!$A$1:$Q$1,0),FALSE)),VLOOKUP('General price list'!$C187,Popisy!A:M,MATCH($W$17,Popisy!$A$7:$M$7,0),FALSE)),"---------------")),IFERROR(VLOOKUP('General price list'!$C187,Popisy!A:M,MATCH($W$17,Popisy!$A$7:$M$7,0),FALSE),"---------------"))</f>
        <v>8ran, 3 různé efekty střídající se po každé ráně, 60cm délka</v>
      </c>
      <c r="X187" s="569" t="str">
        <f t="shared" si="430"/>
        <v/>
      </c>
      <c r="Y187" s="569" t="str">
        <f t="shared" si="431"/>
        <v/>
      </c>
      <c r="Z187" s="569" t="str">
        <f>HYPERLINK("https://www.klasekpyrotechnics.cz/r6008e")</f>
        <v>https://www.klasekpyrotechnics.cz/r6008e</v>
      </c>
      <c r="AA187" s="569">
        <f>IFERROR(IF(VLOOKUP(C187,[4]List1!$A:$D,4,FALSE)=0,"",VLOOKUP(C187,[4]List1!$A:$D,4,FALSE)),"")</f>
        <v>63</v>
      </c>
      <c r="AB187" s="565"/>
      <c r="AC187" s="570" t="str">
        <f>IFERROR(IF(VLOOKUP(C187,[1]List1!$A:$D,2,FALSE)="VYPRODÁNO",$V$9,IF(VLOOKUP(C187,[1]List1!$A:$D,2,FALSE)="DOCHÁZÍ",$V$3,VLOOKUP(C187,[1]List1!$A:$D,2,FALSE))),"OFFLINE!")</f>
        <v>31.07.2026</v>
      </c>
      <c r="AD187" s="570" t="str">
        <f ca="1">IF(AP187="NE",$V$10,IF(AC187=$V$3,IF(AQ187&lt;1,$V$8,$V$2&amp;" "&amp;AQ187&amp;" "&amp;$V$1),IF(AC187="SKLADEM",$V$6,IFERROR(IF(OR(AC187-TODAY()&gt;45,VLOOKUP(C187,[1]List1!$A:$E,4,FALSE)=0),AC187,DAY(AC187)&amp;"."&amp;MONTH(AC187)&amp;"."&amp;YEAR(AC187)&amp;" "&amp;$V$4&amp;VLOOKUP(C187,[1]List1!$A:$E,4,FALSE)&amp;" "&amp;$V$1),AC187))))</f>
        <v>31.07.2026</v>
      </c>
      <c r="AE187" s="581" t="str">
        <f t="shared" ca="1" si="432"/>
        <v>31.07.2026</v>
      </c>
      <c r="AF187" s="584">
        <f t="shared" si="433"/>
        <v>0</v>
      </c>
      <c r="AG187" s="585">
        <f t="shared" si="434"/>
        <v>0</v>
      </c>
      <c r="AH187" s="583">
        <f t="shared" si="435"/>
        <v>0</v>
      </c>
      <c r="AI187" s="582">
        <f t="shared" si="436"/>
        <v>0</v>
      </c>
      <c r="AJ187" s="569">
        <f t="shared" si="437"/>
        <v>0</v>
      </c>
      <c r="AK187" s="569" t="str">
        <f t="shared" si="438"/>
        <v/>
      </c>
      <c r="AL187" s="569">
        <f t="shared" si="439"/>
        <v>0</v>
      </c>
      <c r="AM187" s="569" t="str">
        <f t="shared" si="440"/>
        <v/>
      </c>
      <c r="AN187" s="581">
        <f t="shared" si="441"/>
        <v>0</v>
      </c>
      <c r="AO187" s="623"/>
      <c r="AP187" s="632" t="str">
        <f t="shared" si="349"/>
        <v/>
      </c>
      <c r="AQ187" s="633" t="str">
        <f>IF(AC187=$V$3,IF(VLOOKUP(C187,[1]List1!$A:$E,5,FALSE)=0,1,VLOOKUP(C187,[1]List1!$A:$E,5,FALSE)),"")</f>
        <v/>
      </c>
      <c r="AR187" s="625" t="str">
        <f t="shared" si="350"/>
        <v/>
      </c>
      <c r="AS187" s="634" t="str">
        <f t="shared" si="399"/>
        <v/>
      </c>
      <c r="AT187" s="625" t="str">
        <f t="shared" si="352"/>
        <v/>
      </c>
      <c r="AU187" s="638" t="e">
        <f t="shared" si="353"/>
        <v>#N/A</v>
      </c>
      <c r="AV187" s="625" t="e">
        <f t="shared" si="354"/>
        <v>#N/A</v>
      </c>
      <c r="AX187" s="625">
        <f>IF(AND('General price list'!$J187="F4",'General price list'!$AB187+0&gt;0),1,0)</f>
        <v>0</v>
      </c>
      <c r="AY187" s="625">
        <f t="shared" si="355"/>
        <v>0</v>
      </c>
      <c r="AZ187" s="625">
        <f t="shared" si="356"/>
        <v>1</v>
      </c>
    </row>
    <row r="188" spans="1:52" ht="15.75" customHeight="1">
      <c r="A188" s="639" t="str">
        <f>Kat.!C188</f>
        <v>×</v>
      </c>
      <c r="B188" s="640">
        <f>IF(AND('General price list'!$J188="F4",$AI$1=FALSE),0,IF(AC188="SKLADEM",1,IF(AC188=$V$3,1,0)))</f>
        <v>1</v>
      </c>
      <c r="C188" s="641" t="s">
        <v>563</v>
      </c>
      <c r="D188" s="642" t="s">
        <v>564</v>
      </c>
      <c r="E188" s="643" t="s">
        <v>12650</v>
      </c>
      <c r="F188" s="771">
        <f>IFERROR(VLOOKUP(C188,[2]List1!$A:$D,3,FALSE),"NEUVEDENO!")</f>
        <v>190</v>
      </c>
      <c r="G188" s="768">
        <f t="shared" si="428"/>
        <v>190</v>
      </c>
      <c r="H188" s="765">
        <f t="shared" si="429"/>
        <v>8.0709221665753379</v>
      </c>
      <c r="I188" s="644">
        <f>IFERROR(VLOOKUP(C188,[2]List1!$A:$D,4,FALSE),"NEUVEDENO!")</f>
        <v>24</v>
      </c>
      <c r="J188" s="733" t="s">
        <v>113</v>
      </c>
      <c r="K188" s="645" t="s">
        <v>20</v>
      </c>
      <c r="L188" s="645" t="s">
        <v>20</v>
      </c>
      <c r="M188" s="645" t="s">
        <v>114</v>
      </c>
      <c r="N188" s="645">
        <f>IFERROR(VLOOKUP(C188,[3]List1!$A:$D,4,FALSE),"N/A!")</f>
        <v>4.836E-2</v>
      </c>
      <c r="O188" s="645">
        <f>IFERROR(VLOOKUP(C188,[3]List1!$A:$D,3,FALSE),"N/A!")</f>
        <v>2544</v>
      </c>
      <c r="P188" s="645">
        <f>IFERROR(VLOOKUP(C188,[3]List1!$A:$D,2,FALSE),"N/A!")</f>
        <v>21000</v>
      </c>
      <c r="Q188" s="645" t="s">
        <v>11245</v>
      </c>
      <c r="R188" s="645" t="s">
        <v>11239</v>
      </c>
      <c r="S188" s="645"/>
      <c r="T188" s="645">
        <v>35</v>
      </c>
      <c r="U188" s="645"/>
      <c r="V188" s="645"/>
      <c r="W188" s="645" t="str">
        <f>IFERROR(IF(AND($AB188&gt;=0.1*$AA188,MOD($AB188,$AA188)&gt;=($AA188-(0.1*$AA188))),IF($W$17=$AF$1,"Zvažte možnost doobjednání ještě "&amp;Tabulka1[[#This Row],[VKPAL]]-MOD(AB188,AA188)&amp;" VK do plné palety.",VLOOKUP("Zvažte možnost doobjednání ještě ",Jazyky_ceník!A:Q,MATCH($W$17,Jazyky_ceník!$A$1:$Q$1,0),FALSE)&amp;Tabulka1[[#This Row],[VKPAL]]-MOD(AB188,AA188)&amp;VLOOKUP(" VK do plné palety.",Jazyky_ceník!A:Q,MATCH($W$17,Jazyky_ceník!$A$1:$Q$1,0),FALSE)),IFERROR(IF(AND(NOT(MOD($AB188,$AA188)=0),$AB188&gt;=0.9*$AA188,MOD($AB188,$AA188)&lt;=0.1*$AA188),IF($W$17=$AF$1,"Zvažte možnost optimalizace objednaného množství podle počtu VK na paletě ==&gt;",VLOOKUP("Zvažte možnost optimalizace objednaného množství podle počtu VK na paletě ==&gt;",Jazyky_ceník!A:Q,MATCH($W$17,Jazyky_ceník!$A$1:$Q$1,0),FALSE)),VLOOKUP('General price list'!$C188,Popisy!A:M,MATCH($W$17,Popisy!$A$7:$M$7,0),FALSE)),"---------------")),IFERROR(VLOOKUP('General price list'!$C188,Popisy!A:M,MATCH($W$17,Popisy!$A$7:$M$7,0),FALSE),"---------------"))</f>
        <v>mix římských svící 8ran(po 1ks R5808D, R6008E, R6008K,R7508E), 60cm délka</v>
      </c>
      <c r="X188" s="645" t="str">
        <f t="shared" si="430"/>
        <v/>
      </c>
      <c r="Y188" s="645" t="str">
        <f t="shared" si="431"/>
        <v/>
      </c>
      <c r="Z188" s="645" t="str">
        <f>HYPERLINK("https://www.klasekpyrotechnics.cz/r6008m")</f>
        <v>https://www.klasekpyrotechnics.cz/r6008m</v>
      </c>
      <c r="AA188" s="645">
        <f>IFERROR(IF(VLOOKUP(C188,[4]List1!$A:$D,4,FALSE)=0,"",VLOOKUP(C188,[4]List1!$A:$D,4,FALSE)),"")</f>
        <v>30</v>
      </c>
      <c r="AB188" s="646"/>
      <c r="AC188" s="647" t="str">
        <f>IFERROR(IF(VLOOKUP(C188,[1]List1!$A:$D,2,FALSE)="VYPRODÁNO",$V$9,IF(VLOOKUP(C188,[1]List1!$A:$D,2,FALSE)="DOCHÁZÍ",$V$3,VLOOKUP(C188,[1]List1!$A:$D,2,FALSE))),"OFFLINE!")</f>
        <v>SKLADEM</v>
      </c>
      <c r="AD188" s="647" t="str">
        <f ca="1">IF(AP188="NE",$V$10,IF(AC188=$V$3,IF(AQ188&lt;1,$V$8,$V$2&amp;" "&amp;AQ188&amp;" "&amp;$V$1),IF(AC188="SKLADEM",$V$6,IFERROR(IF(OR(AC188-TODAY()&gt;45,VLOOKUP(C188,[1]List1!$A:$E,4,FALSE)=0),AC188,DAY(AC188)&amp;"."&amp;MONTH(AC188)&amp;"."&amp;YEAR(AC188)&amp;" "&amp;$V$4&amp;VLOOKUP(C188,[1]List1!$A:$E,4,FALSE)&amp;" "&amp;$V$1),AC188))))</f>
        <v>SKLADEM</v>
      </c>
      <c r="AE188" s="645" t="str">
        <f t="shared" ca="1" si="432"/>
        <v>SKLADEM</v>
      </c>
      <c r="AF188" s="648">
        <f t="shared" si="433"/>
        <v>0</v>
      </c>
      <c r="AG188" s="649">
        <f t="shared" si="434"/>
        <v>0</v>
      </c>
      <c r="AH188" s="650">
        <f t="shared" si="435"/>
        <v>0</v>
      </c>
      <c r="AI188" s="645">
        <f t="shared" si="436"/>
        <v>0</v>
      </c>
      <c r="AJ188" s="645">
        <f t="shared" si="437"/>
        <v>0</v>
      </c>
      <c r="AK188" s="645" t="str">
        <f t="shared" si="438"/>
        <v/>
      </c>
      <c r="AL188" s="645">
        <f t="shared" si="439"/>
        <v>0</v>
      </c>
      <c r="AM188" s="645" t="str">
        <f t="shared" si="440"/>
        <v/>
      </c>
      <c r="AN188" s="651">
        <f t="shared" si="441"/>
        <v>0</v>
      </c>
      <c r="AO188" s="623"/>
      <c r="AP188" s="625" t="str">
        <f t="shared" si="349"/>
        <v/>
      </c>
      <c r="AQ188" s="625" t="str">
        <f>IF(AC188=$V$3,IF(VLOOKUP(C188,[1]List1!$A:$E,5,FALSE)=0,1,VLOOKUP(C188,[1]List1!$A:$E,5,FALSE)),"")</f>
        <v/>
      </c>
      <c r="AR188" s="629" t="str">
        <f t="shared" si="350"/>
        <v/>
      </c>
      <c r="AS188" s="630" t="str">
        <f t="shared" si="399"/>
        <v/>
      </c>
      <c r="AT188" s="625" t="str">
        <f t="shared" si="352"/>
        <v/>
      </c>
      <c r="AU188" s="625" t="e">
        <f t="shared" si="353"/>
        <v>#N/A</v>
      </c>
      <c r="AV188" s="625" t="e">
        <f t="shared" si="354"/>
        <v>#N/A</v>
      </c>
      <c r="AW188" s="631"/>
      <c r="AX188" s="631">
        <f>IF(AND('General price list'!$J188="F4",'General price list'!$AB188+0&gt;0),1,0)</f>
        <v>0</v>
      </c>
      <c r="AY188" s="631">
        <f t="shared" si="355"/>
        <v>1</v>
      </c>
      <c r="AZ188" s="631">
        <f t="shared" si="356"/>
        <v>1</v>
      </c>
    </row>
    <row r="189" spans="1:52" ht="15" customHeight="1">
      <c r="A189" s="621" t="str">
        <f>Kat.!C189</f>
        <v/>
      </c>
      <c r="B189" s="566">
        <f>IF(AND('General price list'!$J189="F4",$AI$1=FALSE),0,IF(AC189="SKLADEM",1,IF(AC189=$V$3,1,0)))</f>
        <v>1</v>
      </c>
      <c r="C189" s="567" t="s">
        <v>567</v>
      </c>
      <c r="D189" s="568" t="s">
        <v>559</v>
      </c>
      <c r="E189" s="763" t="s">
        <v>12650</v>
      </c>
      <c r="F189" s="772">
        <f>IFERROR(VLOOKUP(C189,[2]List1!$A:$D,3,FALSE),"NEUVEDENO!")</f>
        <v>179</v>
      </c>
      <c r="G189" s="769">
        <f t="shared" si="428"/>
        <v>179</v>
      </c>
      <c r="H189" s="766">
        <f t="shared" si="429"/>
        <v>7.6036582516683451</v>
      </c>
      <c r="I189" s="764">
        <f>IFERROR(VLOOKUP(C189,[2]List1!$A:$D,4,FALSE),"NEUVEDENO!")</f>
        <v>24</v>
      </c>
      <c r="J189" s="732" t="s">
        <v>113</v>
      </c>
      <c r="K189" s="569" t="s">
        <v>20</v>
      </c>
      <c r="L189" s="569" t="s">
        <v>20</v>
      </c>
      <c r="M189" s="569" t="s">
        <v>114</v>
      </c>
      <c r="N189" s="569">
        <f>IFERROR(VLOOKUP(C189,[3]List1!$A:$D,4,FALSE),"N/A!")</f>
        <v>5.6672E-2</v>
      </c>
      <c r="O189" s="569">
        <f>IFERROR(VLOOKUP(C189,[3]List1!$A:$D,3,FALSE),"N/A!")</f>
        <v>2304</v>
      </c>
      <c r="P189" s="569">
        <f>IFERROR(VLOOKUP(C189,[3]List1!$A:$D,2,FALSE),"N/A!")</f>
        <v>25200</v>
      </c>
      <c r="Q189" s="569" t="s">
        <v>11256</v>
      </c>
      <c r="R189" s="569" t="s">
        <v>11239</v>
      </c>
      <c r="S189" s="569"/>
      <c r="T189" s="569">
        <v>35</v>
      </c>
      <c r="U189" s="569"/>
      <c r="V189" s="569"/>
      <c r="W189" s="569" t="str">
        <f>IFERROR(IF(AND($AB189&gt;=0.1*$AA189,MOD($AB189,$AA189)&gt;=($AA189-(0.1*$AA189))),IF($W$17=$AF$1,"Zvažte možnost doobjednání ještě "&amp;Tabulka1[[#This Row],[VKPAL]]-MOD(AB189,AA189)&amp;" VK do plné palety.",VLOOKUP("Zvažte možnost doobjednání ještě ",Jazyky_ceník!A:Q,MATCH($W$17,Jazyky_ceník!$A$1:$Q$1,0),FALSE)&amp;Tabulka1[[#This Row],[VKPAL]]-MOD(AB189,AA189)&amp;VLOOKUP(" VK do plné palety.",Jazyky_ceník!A:Q,MATCH($W$17,Jazyky_ceník!$A$1:$Q$1,0),FALSE)),IFERROR(IF(AND(NOT(MOD($AB189,$AA189)=0),$AB189&gt;=0.9*$AA189,MOD($AB189,$AA189)&lt;=0.1*$AA189),IF($W$17=$AF$1,"Zvažte možnost optimalizace objednaného množství podle počtu VK na paletě ==&gt;",VLOOKUP("Zvažte možnost optimalizace objednaného množství podle počtu VK na paletě ==&gt;",Jazyky_ceník!A:Q,MATCH($W$17,Jazyky_ceník!$A$1:$Q$1,0),FALSE)),VLOOKUP('General price list'!$C189,Popisy!A:M,MATCH($W$17,Popisy!$A$7:$M$7,0),FALSE)),"---------------")),IFERROR(VLOOKUP('General price list'!$C189,Popisy!A:M,MATCH($W$17,Popisy!$A$7:$M$7,0),FALSE),"---------------"))</f>
        <v>8ran, 3 různé efekty střídající se po každé ráně, 75cm délka</v>
      </c>
      <c r="X189" s="569" t="str">
        <f t="shared" si="430"/>
        <v/>
      </c>
      <c r="Y189" s="569" t="str">
        <f t="shared" si="431"/>
        <v/>
      </c>
      <c r="Z189" s="569" t="str">
        <f>HYPERLINK("https://www.klasekpyrotechnics.cz/r7508e")</f>
        <v>https://www.klasekpyrotechnics.cz/r7508e</v>
      </c>
      <c r="AA189" s="569">
        <f>IFERROR(IF(VLOOKUP(C189,[4]List1!$A:$D,4,FALSE)=0,"",VLOOKUP(C189,[4]List1!$A:$D,4,FALSE)),"")</f>
        <v>25</v>
      </c>
      <c r="AB189" s="565"/>
      <c r="AC189" s="570" t="str">
        <f>IFERROR(IF(VLOOKUP(C189,[1]List1!$A:$D,2,FALSE)="VYPRODÁNO",$V$9,IF(VLOOKUP(C189,[1]List1!$A:$D,2,FALSE)="DOCHÁZÍ",$V$3,VLOOKUP(C189,[1]List1!$A:$D,2,FALSE))),"OFFLINE!")</f>
        <v>SKLADEM</v>
      </c>
      <c r="AD189" s="570" t="str">
        <f ca="1">IF(AP189="NE",$V$10,IF(AC189=$V$3,IF(AQ189&lt;1,$V$8,$V$2&amp;" "&amp;AQ189&amp;" "&amp;$V$1),IF(AC189="SKLADEM",$V$6,IFERROR(IF(OR(AC189-TODAY()&gt;45,VLOOKUP(C189,[1]List1!$A:$E,4,FALSE)=0),AC189,DAY(AC189)&amp;"."&amp;MONTH(AC189)&amp;"."&amp;YEAR(AC189)&amp;" "&amp;$V$4&amp;VLOOKUP(C189,[1]List1!$A:$E,4,FALSE)&amp;" "&amp;$V$1),AC189))))</f>
        <v>SKLADEM</v>
      </c>
      <c r="AE189" s="581" t="str">
        <f t="shared" ca="1" si="432"/>
        <v>SKLADEM</v>
      </c>
      <c r="AF189" s="584">
        <f t="shared" si="433"/>
        <v>0</v>
      </c>
      <c r="AG189" s="585">
        <f t="shared" si="434"/>
        <v>0</v>
      </c>
      <c r="AH189" s="583">
        <f t="shared" si="435"/>
        <v>0</v>
      </c>
      <c r="AI189" s="582">
        <f t="shared" si="436"/>
        <v>0</v>
      </c>
      <c r="AJ189" s="569">
        <f t="shared" si="437"/>
        <v>0</v>
      </c>
      <c r="AK189" s="569" t="str">
        <f t="shared" si="438"/>
        <v/>
      </c>
      <c r="AL189" s="569">
        <f t="shared" si="439"/>
        <v>0</v>
      </c>
      <c r="AM189" s="569" t="str">
        <f t="shared" si="440"/>
        <v/>
      </c>
      <c r="AN189" s="581">
        <f t="shared" si="441"/>
        <v>0</v>
      </c>
      <c r="AO189" s="623"/>
      <c r="AP189" s="632" t="str">
        <f t="shared" si="349"/>
        <v/>
      </c>
      <c r="AQ189" s="633" t="str">
        <f>IF(AC189=$V$3,IF(VLOOKUP(C189,[1]List1!$A:$E,5,FALSE)=0,1,VLOOKUP(C189,[1]List1!$A:$E,5,FALSE)),"")</f>
        <v/>
      </c>
      <c r="AR189" s="625" t="str">
        <f t="shared" si="350"/>
        <v/>
      </c>
      <c r="AS189" s="634" t="str">
        <f t="shared" si="399"/>
        <v/>
      </c>
      <c r="AT189" s="625" t="str">
        <f t="shared" si="352"/>
        <v/>
      </c>
      <c r="AU189" s="638" t="e">
        <f t="shared" si="353"/>
        <v>#N/A</v>
      </c>
      <c r="AV189" s="625" t="e">
        <f t="shared" si="354"/>
        <v>#N/A</v>
      </c>
      <c r="AX189" s="625">
        <f>IF(AND('General price list'!$J189="F4",'General price list'!$AB189+0&gt;0),1,0)</f>
        <v>0</v>
      </c>
      <c r="AY189" s="625">
        <f t="shared" si="355"/>
        <v>1</v>
      </c>
      <c r="AZ189" s="625">
        <f t="shared" si="356"/>
        <v>1</v>
      </c>
    </row>
    <row r="190" spans="1:52" ht="15" customHeight="1">
      <c r="A190" s="639" t="str">
        <f>Kat.!C190</f>
        <v/>
      </c>
      <c r="B190" s="640">
        <f>IF(AND('General price list'!$J190="F4",$AI$1=FALSE),0,IF(AC190="SKLADEM",1,IF(AC190=$V$3,1,0)))</f>
        <v>0</v>
      </c>
      <c r="C190" s="641" t="s">
        <v>3980</v>
      </c>
      <c r="D190" s="642" t="s">
        <v>3981</v>
      </c>
      <c r="E190" s="643" t="s">
        <v>12650</v>
      </c>
      <c r="F190" s="773">
        <f>IFERROR(VLOOKUP(C190,[2]List1!$A:$D,3,FALSE),"NEUVEDENO!")</f>
        <v>209</v>
      </c>
      <c r="G190" s="770">
        <f t="shared" si="428"/>
        <v>209</v>
      </c>
      <c r="H190" s="767">
        <f t="shared" si="429"/>
        <v>8.8780143832328715</v>
      </c>
      <c r="I190" s="644">
        <f>IFERROR(VLOOKUP(C190,[2]List1!$A:$D,4,FALSE),"NEUVEDENO!")</f>
        <v>24</v>
      </c>
      <c r="J190" s="733" t="s">
        <v>113</v>
      </c>
      <c r="K190" s="645" t="s">
        <v>20</v>
      </c>
      <c r="L190" s="645" t="s">
        <v>20</v>
      </c>
      <c r="M190" s="645" t="s">
        <v>114</v>
      </c>
      <c r="N190" s="645">
        <f>IFERROR(VLOOKUP(C190,[3]List1!$A:$D,4,FALSE),"N/A!")</f>
        <v>5.6672E-2</v>
      </c>
      <c r="O190" s="645">
        <f>IFERROR(VLOOKUP(C190,[3]List1!$A:$D,3,FALSE),"N/A!")</f>
        <v>4800</v>
      </c>
      <c r="P190" s="645">
        <f>IFERROR(VLOOKUP(C190,[3]List1!$A:$D,2,FALSE),"N/A!")</f>
        <v>26500</v>
      </c>
      <c r="Q190" s="645" t="s">
        <v>11259</v>
      </c>
      <c r="R190" s="645" t="s">
        <v>11232</v>
      </c>
      <c r="S190" s="645"/>
      <c r="T190" s="645">
        <v>35</v>
      </c>
      <c r="U190" s="645"/>
      <c r="V190" s="645"/>
      <c r="W190" s="645" t="str">
        <f>IFERROR(IF(AND($AB190&gt;=0.1*$AA190,MOD($AB190,$AA190)&gt;=($AA190-(0.1*$AA190))),IF($W$17=$AF$1,"Zvažte možnost doobjednání ještě "&amp;Tabulka1[[#This Row],[VKPAL]]-MOD(AB190,AA190)&amp;" VK do plné palety.",VLOOKUP("Zvažte možnost doobjednání ještě ",Jazyky_ceník!A:Q,MATCH($W$17,Jazyky_ceník!$A$1:$Q$1,0),FALSE)&amp;Tabulka1[[#This Row],[VKPAL]]-MOD(AB190,AA190)&amp;VLOOKUP(" VK do plné palety.",Jazyky_ceník!A:Q,MATCH($W$17,Jazyky_ceník!$A$1:$Q$1,0),FALSE)),IFERROR(IF(AND(NOT(MOD($AB190,$AA190)=0),$AB190&gt;=0.9*$AA190,MOD($AB190,$AA190)&lt;=0.1*$AA190),IF($W$17=$AF$1,"Zvažte možnost optimalizace objednaného množství podle počtu VK na paletě ==&gt;",VLOOKUP("Zvažte možnost optimalizace objednaného množství podle počtu VK na paletě ==&gt;",Jazyky_ceník!A:Q,MATCH($W$17,Jazyky_ceník!$A$1:$Q$1,0),FALSE)),VLOOKUP('General price list'!$C190,Popisy!A:M,MATCH($W$17,Popisy!$A$7:$M$7,0),FALSE)),"---------------")),IFERROR(VLOOKUP('General price list'!$C190,Popisy!A:M,MATCH($W$17,Popisy!$A$7:$M$7,0),FALSE),"---------------"))</f>
        <v>8ran, 3 různé efekty střídající se po každé ráně, 75cm délka</v>
      </c>
      <c r="X190" s="645" t="str">
        <f t="shared" si="430"/>
        <v/>
      </c>
      <c r="Y190" s="645" t="str">
        <f t="shared" si="431"/>
        <v/>
      </c>
      <c r="Z190" s="645" t="str">
        <f>HYPERLINK("https://www.klasekpyrotechnics.cz/r7508sig")</f>
        <v>https://www.klasekpyrotechnics.cz/r7508sig</v>
      </c>
      <c r="AA190" s="645">
        <f>IFERROR(IF(VLOOKUP(C190,[4]List1!$A:$D,4,FALSE)=0,"",VLOOKUP(C190,[4]List1!$A:$D,4,FALSE)),"")</f>
        <v>21</v>
      </c>
      <c r="AB190" s="646"/>
      <c r="AC190" s="647" t="str">
        <f>IFERROR(IF(VLOOKUP(C190,[1]List1!$A:$D,2,FALSE)="VYPRODÁNO",$V$9,IF(VLOOKUP(C190,[1]List1!$A:$D,2,FALSE)="DOCHÁZÍ",$V$3,VLOOKUP(C190,[1]List1!$A:$D,2,FALSE))),"OFFLINE!")</f>
        <v>06.04.2026</v>
      </c>
      <c r="AD190" s="647" t="str">
        <f ca="1">IF(AP190="NE",$V$10,IF(AC190=$V$3,IF(AQ190&lt;1,$V$8,$V$2&amp;" "&amp;AQ190&amp;" "&amp;$V$1),IF(AC190="SKLADEM",$V$6,IFERROR(IF(OR(AC190-TODAY()&gt;45,VLOOKUP(C190,[1]List1!$A:$E,4,FALSE)=0),AC190,DAY(AC190)&amp;"."&amp;MONTH(AC190)&amp;"."&amp;YEAR(AC190)&amp;" "&amp;$V$4&amp;VLOOKUP(C190,[1]List1!$A:$E,4,FALSE)&amp;" "&amp;$V$1),AC190))))</f>
        <v>6.4.2026 DORAZÍ 100+ VK</v>
      </c>
      <c r="AE190" s="645" t="str">
        <f t="shared" ca="1" si="432"/>
        <v>6.4.2026 DORAZÍ 100+ VK</v>
      </c>
      <c r="AF190" s="648">
        <f t="shared" si="433"/>
        <v>0</v>
      </c>
      <c r="AG190" s="649">
        <f t="shared" si="434"/>
        <v>0</v>
      </c>
      <c r="AH190" s="650">
        <f t="shared" si="435"/>
        <v>0</v>
      </c>
      <c r="AI190" s="645">
        <f t="shared" si="436"/>
        <v>0</v>
      </c>
      <c r="AJ190" s="645">
        <f t="shared" si="437"/>
        <v>0</v>
      </c>
      <c r="AK190" s="645" t="str">
        <f t="shared" si="438"/>
        <v/>
      </c>
      <c r="AL190" s="645">
        <f t="shared" si="439"/>
        <v>0</v>
      </c>
      <c r="AM190" s="645" t="str">
        <f t="shared" si="440"/>
        <v/>
      </c>
      <c r="AN190" s="651">
        <f t="shared" si="441"/>
        <v>0</v>
      </c>
      <c r="AO190" s="623"/>
      <c r="AP190" s="632" t="str">
        <f t="shared" si="349"/>
        <v/>
      </c>
      <c r="AQ190" s="633" t="str">
        <f>IF(AC190=$V$3,IF(VLOOKUP(C190,[1]List1!$A:$E,5,FALSE)=0,1,VLOOKUP(C190,[1]List1!$A:$E,5,FALSE)),"")</f>
        <v/>
      </c>
      <c r="AR190" s="625" t="str">
        <f t="shared" si="350"/>
        <v/>
      </c>
      <c r="AS190" s="634" t="str">
        <f t="shared" si="399"/>
        <v/>
      </c>
      <c r="AT190" s="625" t="str">
        <f t="shared" si="352"/>
        <v/>
      </c>
      <c r="AU190" s="638" t="e">
        <f t="shared" si="353"/>
        <v>#N/A</v>
      </c>
      <c r="AV190" s="625" t="e">
        <f t="shared" si="354"/>
        <v>#N/A</v>
      </c>
      <c r="AX190" s="625">
        <f>IF(AND('General price list'!$J190="F4",'General price list'!$AB190+0&gt;0),1,0)</f>
        <v>0</v>
      </c>
      <c r="AY190" s="625">
        <f t="shared" si="355"/>
        <v>1</v>
      </c>
      <c r="AZ190" s="625">
        <f t="shared" si="356"/>
        <v>1</v>
      </c>
    </row>
    <row r="191" spans="1:52" ht="15.75" customHeight="1">
      <c r="A191" s="751" t="str">
        <f>Kat.!C191</f>
        <v xml:space="preserve">           Římské svíce 30 mm</v>
      </c>
      <c r="B191" s="751"/>
      <c r="C191" s="751"/>
      <c r="D191" s="751"/>
      <c r="E191" s="751"/>
      <c r="F191" s="751"/>
      <c r="G191" s="751"/>
      <c r="H191" s="751"/>
      <c r="I191" s="752"/>
      <c r="J191" s="752"/>
      <c r="K191" s="752" t="s">
        <v>20</v>
      </c>
      <c r="L191" s="753" t="s">
        <v>20</v>
      </c>
      <c r="M191" s="752"/>
      <c r="N191" s="752"/>
      <c r="O191" s="752"/>
      <c r="P191" s="752"/>
      <c r="Q191" s="752"/>
      <c r="R191" s="752"/>
      <c r="S191" s="752"/>
      <c r="T191" s="752"/>
      <c r="U191" s="752"/>
      <c r="V191" s="752"/>
      <c r="W191" s="752"/>
      <c r="X191" s="752"/>
      <c r="Y191" s="752"/>
      <c r="Z191" s="752" t="s">
        <v>20</v>
      </c>
      <c r="AA191" s="752"/>
      <c r="AB191" s="752"/>
      <c r="AC191" s="754"/>
      <c r="AD191" s="752"/>
      <c r="AE191" s="752"/>
      <c r="AF191" s="752"/>
      <c r="AG191" s="752"/>
      <c r="AH191" s="752"/>
      <c r="AI191" s="752"/>
      <c r="AJ191" s="752"/>
      <c r="AK191" s="752"/>
      <c r="AL191" s="752"/>
      <c r="AM191" s="752"/>
      <c r="AN191" s="752"/>
      <c r="AO191" s="623"/>
      <c r="AP191" s="625" t="str">
        <f t="shared" si="349"/>
        <v/>
      </c>
      <c r="AQ191" s="625" t="str">
        <f>IF(AC191=$V$3,IF(VLOOKUP(C191,[1]List1!$A:$E,5,FALSE)=0,1,VLOOKUP(C191,[1]List1!$A:$E,5,FALSE)),"")</f>
        <v/>
      </c>
      <c r="AR191" s="629" t="str">
        <f t="shared" si="350"/>
        <v/>
      </c>
      <c r="AS191" s="630" t="str">
        <f t="shared" si="399"/>
        <v/>
      </c>
      <c r="AT191" s="625" t="str">
        <f t="shared" si="352"/>
        <v/>
      </c>
      <c r="AU191" s="625" t="e">
        <f t="shared" si="353"/>
        <v>#N/A</v>
      </c>
      <c r="AV191" s="625" t="e">
        <f t="shared" si="354"/>
        <v>#N/A</v>
      </c>
      <c r="AW191" s="631"/>
      <c r="AX191" s="631">
        <f>IF(AND('General price list'!$J191="F4",'General price list'!$AB191+0&gt;0),1,0)</f>
        <v>0</v>
      </c>
      <c r="AY191" s="631">
        <f t="shared" si="355"/>
        <v>0</v>
      </c>
      <c r="AZ191" s="631">
        <f t="shared" si="356"/>
        <v>0</v>
      </c>
    </row>
    <row r="192" spans="1:52" ht="15" customHeight="1">
      <c r="A192" s="639" t="str">
        <f>Kat.!C192</f>
        <v/>
      </c>
      <c r="B192" s="640">
        <f>IF(AND('General price list'!$J192="F4",$AI$1=FALSE),0,IF(AC192="SKLADEM",1,IF(AC192=$V$3,1,0)))</f>
        <v>0</v>
      </c>
      <c r="C192" s="641" t="s">
        <v>571</v>
      </c>
      <c r="D192" s="642" t="s">
        <v>572</v>
      </c>
      <c r="E192" s="643" t="s">
        <v>12669</v>
      </c>
      <c r="F192" s="771">
        <f>IFERROR(VLOOKUP(C192,[2]List1!$A:$D,3,FALSE),"NEUVEDENO!")</f>
        <v>139</v>
      </c>
      <c r="G192" s="768">
        <f t="shared" ref="G192:G193" si="442">IF($W$17=$AF$8,ROUND((F192)/$F$17,2),(F192)*$B$19)</f>
        <v>139</v>
      </c>
      <c r="H192" s="765">
        <f t="shared" ref="H192:H193" si="443">IF($W$17=$AF$8,G192*$B$19,G192/$F$17)</f>
        <v>5.904516742915642</v>
      </c>
      <c r="I192" s="644">
        <f>IFERROR(VLOOKUP(C192,[2]List1!$A:$D,4,FALSE),"NEUVEDENO!")</f>
        <v>25</v>
      </c>
      <c r="J192" s="733" t="s">
        <v>113</v>
      </c>
      <c r="K192" s="645" t="s">
        <v>20</v>
      </c>
      <c r="L192" s="645" t="s">
        <v>20</v>
      </c>
      <c r="M192" s="645" t="s">
        <v>114</v>
      </c>
      <c r="N192" s="645">
        <f>IFERROR(VLOOKUP(C192,[3]List1!$A:$D,4,FALSE),"N/A!")</f>
        <v>3.3957000000000001E-2</v>
      </c>
      <c r="O192" s="645">
        <f>IFERROR(VLOOKUP(C192,[3]List1!$A:$D,3,FALSE),"N/A!")</f>
        <v>3750</v>
      </c>
      <c r="P192" s="645">
        <f>IFERROR(VLOOKUP(C192,[3]List1!$A:$D,2,FALSE),"N/A!")</f>
        <v>15800</v>
      </c>
      <c r="Q192" s="645" t="s">
        <v>11260</v>
      </c>
      <c r="R192" s="645"/>
      <c r="S192" s="645"/>
      <c r="T192" s="645">
        <v>30</v>
      </c>
      <c r="U192" s="645"/>
      <c r="V192" s="645"/>
      <c r="W192" s="645" t="str">
        <f>IFERROR(IF(AND($AB192&gt;=0.1*$AA192,MOD($AB192,$AA192)&gt;=($AA192-(0.1*$AA192))),IF($W$17=$AF$1,"Zvažte možnost doobjednání ještě "&amp;Tabulka1[[#This Row],[VKPAL]]-MOD(AB192,AA192)&amp;" VK do plné palety.",VLOOKUP("Zvažte možnost doobjednání ještě ",Jazyky_ceník!A:Q,MATCH($W$17,Jazyky_ceník!$A$1:$Q$1,0),FALSE)&amp;Tabulka1[[#This Row],[VKPAL]]-MOD(AB192,AA192)&amp;VLOOKUP(" VK do plné palety.",Jazyky_ceník!A:Q,MATCH($W$17,Jazyky_ceník!$A$1:$Q$1,0),FALSE)),IFERROR(IF(AND(NOT(MOD($AB192,$AA192)=0),$AB192&gt;=0.9*$AA192,MOD($AB192,$AA192)&lt;=0.1*$AA192),IF($W$17=$AF$1,"Zvažte možnost optimalizace objednaného množství podle počtu VK na paletě ==&gt;",VLOOKUP("Zvažte možnost optimalizace objednaného množství podle počtu VK na paletě ==&gt;",Jazyky_ceník!A:Q,MATCH($W$17,Jazyky_ceník!$A$1:$Q$1,0),FALSE)),VLOOKUP('General price list'!$C192,Popisy!A:M,MATCH($W$17,Popisy!$A$7:$M$7,0),FALSE)),"---------------")),IFERROR(VLOOKUP('General price list'!$C192,Popisy!A:M,MATCH($W$17,Popisy!$A$7:$M$7,0),FALSE),"---------------"))</f>
        <v>8 ran,4 různobarevné efekty,75cm délka</v>
      </c>
      <c r="X192" s="645" t="str">
        <f t="shared" ref="X192:X193" si="444">IF(AB192&lt;0.0001,"",AB192)</f>
        <v/>
      </c>
      <c r="Y192" s="645" t="str">
        <f t="shared" ref="Y192:Y193" si="445">IF($AL$3=2,IF(OR(AB192&lt;&gt;"",AB192&lt;&gt;0),AU192,""),IF(C192="","",IF(AB192&lt;0.0001,"",IF(B192=0,"",IF(AQ192&lt;AB192,"",AB192)))))</f>
        <v/>
      </c>
      <c r="Z192" s="645" t="str">
        <f>HYPERLINK("https://www.klasekpyrotechnics.cz/r7538s")</f>
        <v>https://www.klasekpyrotechnics.cz/r7538s</v>
      </c>
      <c r="AA192" s="645">
        <f>IFERROR(IF(VLOOKUP(C192,[4]List1!$A:$D,4,FALSE)=0,"",VLOOKUP(C192,[4]List1!$A:$D,4,FALSE)),"")</f>
        <v>36</v>
      </c>
      <c r="AB192" s="646"/>
      <c r="AC192" s="647" t="str">
        <f>IFERROR(IF(VLOOKUP(C192,[1]List1!$A:$D,2,FALSE)="VYPRODÁNO",$V$9,IF(VLOOKUP(C192,[1]List1!$A:$D,2,FALSE)="DOCHÁZÍ",$V$3,VLOOKUP(C192,[1]List1!$A:$D,2,FALSE))),"OFFLINE!")</f>
        <v>31.08.2026</v>
      </c>
      <c r="AD192" s="647" t="str">
        <f ca="1">IF(AP192="NE",$V$10,IF(AC192=$V$3,IF(AQ192&lt;1,$V$8,$V$2&amp;" "&amp;AQ192&amp;" "&amp;$V$1),IF(AC192="SKLADEM",$V$6,IFERROR(IF(OR(AC192-TODAY()&gt;45,VLOOKUP(C192,[1]List1!$A:$E,4,FALSE)=0),AC192,DAY(AC192)&amp;"."&amp;MONTH(AC192)&amp;"."&amp;YEAR(AC192)&amp;" "&amp;$V$4&amp;VLOOKUP(C192,[1]List1!$A:$E,4,FALSE)&amp;" "&amp;$V$1),AC192))))</f>
        <v>31.08.2026</v>
      </c>
      <c r="AE192" s="645" t="str">
        <f t="shared" ref="AE192:AE193" ca="1" si="446">IFERROR(IF(AV192&lt;&gt;"",AV192,AD192),AD192)</f>
        <v>31.08.2026</v>
      </c>
      <c r="AF192" s="648">
        <f t="shared" ref="AF192:AF193" si="447">IFERROR(IF(AB192=Y192,G192*I192*Y192,0),0)</f>
        <v>0</v>
      </c>
      <c r="AG192" s="649">
        <f t="shared" ref="AG192:AG193" si="448">IF($W$17=$AF$8,AH192*1.23,AF192*1.21)</f>
        <v>0</v>
      </c>
      <c r="AH192" s="650">
        <f t="shared" ref="AH192:AH193" si="449">IFERROR(IF(Y192=AB192,H192*I192*Y192,0),0)</f>
        <v>0</v>
      </c>
      <c r="AI192" s="645">
        <f t="shared" ref="AI192:AI193" si="450">IFERROR(IF(Y192=AB192,(P192*Y192)/1000,1),0)</f>
        <v>0</v>
      </c>
      <c r="AJ192" s="645">
        <f t="shared" ref="AJ192:AJ193" si="451">IFERROR(IF(Y192=AB192,N192*Y192,0.1),0)</f>
        <v>0</v>
      </c>
      <c r="AK192" s="645" t="str">
        <f t="shared" ref="AK192:AK193" si="452">IFERROR(IF(Y192=AB192,IF(M192="1.1G",(O192/1000)*Y192,""),""),0)</f>
        <v/>
      </c>
      <c r="AL192" s="645">
        <f t="shared" ref="AL192:AL193" si="453">IFERROR(IF(Y192=AB192,IF(M192="1.3G",(O192/1000)*AB192,""),""),0)</f>
        <v>0</v>
      </c>
      <c r="AM192" s="645" t="str">
        <f t="shared" ref="AM192:AM193" si="454">IFERROR(IF(Y192=AB192,IF(M192="1.4G",(O192/1000)*AB192,""),""),0)</f>
        <v/>
      </c>
      <c r="AN192" s="651">
        <f t="shared" ref="AN192:AN193" si="455">SUM(AK192:AM192)</f>
        <v>0</v>
      </c>
      <c r="AO192" s="623"/>
      <c r="AP192" s="632" t="str">
        <f t="shared" si="349"/>
        <v/>
      </c>
      <c r="AQ192" s="633" t="str">
        <f>IF(AC192=$V$3,IF(VLOOKUP(C192,[1]List1!$A:$E,5,FALSE)=0,1,VLOOKUP(C192,[1]List1!$A:$E,5,FALSE)),"")</f>
        <v/>
      </c>
      <c r="AR192" s="625" t="str">
        <f t="shared" si="350"/>
        <v/>
      </c>
      <c r="AS192" s="634" t="str">
        <f t="shared" si="399"/>
        <v/>
      </c>
      <c r="AT192" s="625" t="str">
        <f t="shared" si="352"/>
        <v/>
      </c>
      <c r="AU192" s="638" t="e">
        <f t="shared" si="353"/>
        <v>#N/A</v>
      </c>
      <c r="AV192" s="625" t="e">
        <f t="shared" si="354"/>
        <v>#N/A</v>
      </c>
      <c r="AX192" s="625">
        <f>IF(AND('General price list'!$J192="F4",'General price list'!$AB192+0&gt;0),1,0)</f>
        <v>0</v>
      </c>
      <c r="AY192" s="625">
        <f t="shared" si="355"/>
        <v>1</v>
      </c>
      <c r="AZ192" s="625">
        <f t="shared" si="356"/>
        <v>0</v>
      </c>
    </row>
    <row r="193" spans="1:52" ht="15" customHeight="1">
      <c r="A193" s="621" t="str">
        <f>Kat.!C193</f>
        <v/>
      </c>
      <c r="B193" s="566">
        <f>IF(AND('General price list'!$J193="F4",$AI$1=FALSE),0,IF(AC193="SKLADEM",1,IF(AC193=$V$3,1,0)))</f>
        <v>1</v>
      </c>
      <c r="C193" s="567" t="s">
        <v>577</v>
      </c>
      <c r="D193" s="568" t="s">
        <v>559</v>
      </c>
      <c r="E193" s="763" t="s">
        <v>12669</v>
      </c>
      <c r="F193" s="772">
        <f>IFERROR(VLOOKUP(C193,[2]List1!$A:$D,3,FALSE),"NEUVEDENO!")</f>
        <v>128</v>
      </c>
      <c r="G193" s="769">
        <f t="shared" si="442"/>
        <v>128</v>
      </c>
      <c r="H193" s="766">
        <f t="shared" si="443"/>
        <v>5.4372528280086483</v>
      </c>
      <c r="I193" s="764">
        <f>IFERROR(VLOOKUP(C193,[2]List1!$A:$D,4,FALSE),"NEUVEDENO!")</f>
        <v>25</v>
      </c>
      <c r="J193" s="732" t="s">
        <v>113</v>
      </c>
      <c r="K193" s="569" t="s">
        <v>20</v>
      </c>
      <c r="L193" s="569" t="s">
        <v>20</v>
      </c>
      <c r="M193" s="569" t="s">
        <v>114</v>
      </c>
      <c r="N193" s="569">
        <f>IFERROR(VLOOKUP(C193,[3]List1!$A:$D,4,FALSE),"N/A!")</f>
        <v>3.3957000000000001E-2</v>
      </c>
      <c r="O193" s="569">
        <f>IFERROR(VLOOKUP(C193,[3]List1!$A:$D,3,FALSE),"N/A!")</f>
        <v>3000</v>
      </c>
      <c r="P193" s="569">
        <f>IFERROR(VLOOKUP(C193,[3]List1!$A:$D,2,FALSE),"N/A!")</f>
        <v>16000</v>
      </c>
      <c r="Q193" s="569" t="s">
        <v>11261</v>
      </c>
      <c r="R193" s="569"/>
      <c r="S193" s="569"/>
      <c r="T193" s="569">
        <v>35</v>
      </c>
      <c r="U193" s="569"/>
      <c r="V193" s="569"/>
      <c r="W193" s="569" t="str">
        <f>IFERROR(IF(AND($AB193&gt;=0.1*$AA193,MOD($AB193,$AA193)&gt;=($AA193-(0.1*$AA193))),IF($W$17=$AF$1,"Zvažte možnost doobjednání ještě "&amp;Tabulka1[[#This Row],[VKPAL]]-MOD(AB193,AA193)&amp;" VK do plné palety.",VLOOKUP("Zvažte možnost doobjednání ještě ",Jazyky_ceník!A:Q,MATCH($W$17,Jazyky_ceník!$A$1:$Q$1,0),FALSE)&amp;Tabulka1[[#This Row],[VKPAL]]-MOD(AB193,AA193)&amp;VLOOKUP(" VK do plné palety.",Jazyky_ceník!A:Q,MATCH($W$17,Jazyky_ceník!$A$1:$Q$1,0),FALSE)),IFERROR(IF(AND(NOT(MOD($AB193,$AA193)=0),$AB193&gt;=0.9*$AA193,MOD($AB193,$AA193)&lt;=0.1*$AA193),IF($W$17=$AF$1,"Zvažte možnost optimalizace objednaného množství podle počtu VK na paletě ==&gt;",VLOOKUP("Zvažte možnost optimalizace objednaného množství podle počtu VK na paletě ==&gt;",Jazyky_ceník!A:Q,MATCH($W$17,Jazyky_ceník!$A$1:$Q$1,0),FALSE)),VLOOKUP('General price list'!$C193,Popisy!A:M,MATCH($W$17,Popisy!$A$7:$M$7,0),FALSE)),"---------------")),IFERROR(VLOOKUP('General price list'!$C193,Popisy!A:M,MATCH($W$17,Popisy!$A$7:$M$7,0),FALSE),"---------------"))</f>
        <v>8ran brokátová stopa+brokátová koruna,75cm délka</v>
      </c>
      <c r="X193" s="569" t="str">
        <f t="shared" si="444"/>
        <v/>
      </c>
      <c r="Y193" s="569" t="str">
        <f t="shared" si="445"/>
        <v/>
      </c>
      <c r="Z193" s="569" t="str">
        <f>HYPERLINK("https://www.klasekpyrotechnics.cz/r7538i")</f>
        <v>https://www.klasekpyrotechnics.cz/r7538i</v>
      </c>
      <c r="AA193" s="569">
        <f>IFERROR(IF(VLOOKUP(C193,[4]List1!$A:$D,4,FALSE)=0,"",VLOOKUP(C193,[4]List1!$A:$D,4,FALSE)),"")</f>
        <v>40</v>
      </c>
      <c r="AB193" s="565"/>
      <c r="AC193" s="570" t="str">
        <f>IFERROR(IF(VLOOKUP(C193,[1]List1!$A:$D,2,FALSE)="VYPRODÁNO",$V$9,IF(VLOOKUP(C193,[1]List1!$A:$D,2,FALSE)="DOCHÁZÍ",$V$3,VLOOKUP(C193,[1]List1!$A:$D,2,FALSE))),"OFFLINE!")</f>
        <v>SKLADEM</v>
      </c>
      <c r="AD193" s="570" t="str">
        <f ca="1">IF(AP193="NE",$V$10,IF(AC193=$V$3,IF(AQ193&lt;1,$V$8,$V$2&amp;" "&amp;AQ193&amp;" "&amp;$V$1),IF(AC193="SKLADEM",$V$6,IFERROR(IF(OR(AC193-TODAY()&gt;45,VLOOKUP(C193,[1]List1!$A:$E,4,FALSE)=0),AC193,DAY(AC193)&amp;"."&amp;MONTH(AC193)&amp;"."&amp;YEAR(AC193)&amp;" "&amp;$V$4&amp;VLOOKUP(C193,[1]List1!$A:$E,4,FALSE)&amp;" "&amp;$V$1),AC193))))</f>
        <v>SKLADEM</v>
      </c>
      <c r="AE193" s="581" t="str">
        <f t="shared" ca="1" si="446"/>
        <v>SKLADEM</v>
      </c>
      <c r="AF193" s="584">
        <f t="shared" si="447"/>
        <v>0</v>
      </c>
      <c r="AG193" s="585">
        <f t="shared" si="448"/>
        <v>0</v>
      </c>
      <c r="AH193" s="583">
        <f t="shared" si="449"/>
        <v>0</v>
      </c>
      <c r="AI193" s="582">
        <f t="shared" si="450"/>
        <v>0</v>
      </c>
      <c r="AJ193" s="569">
        <f t="shared" si="451"/>
        <v>0</v>
      </c>
      <c r="AK193" s="569" t="str">
        <f t="shared" si="452"/>
        <v/>
      </c>
      <c r="AL193" s="569">
        <f t="shared" si="453"/>
        <v>0</v>
      </c>
      <c r="AM193" s="569" t="str">
        <f t="shared" si="454"/>
        <v/>
      </c>
      <c r="AN193" s="581">
        <f t="shared" si="455"/>
        <v>0</v>
      </c>
      <c r="AO193" s="623"/>
      <c r="AP193" s="632" t="str">
        <f t="shared" si="349"/>
        <v/>
      </c>
      <c r="AQ193" s="633" t="str">
        <f>IF(AC193=$V$3,IF(VLOOKUP(C193,[1]List1!$A:$E,5,FALSE)=0,1,VLOOKUP(C193,[1]List1!$A:$E,5,FALSE)),"")</f>
        <v/>
      </c>
      <c r="AR193" s="625" t="str">
        <f t="shared" si="350"/>
        <v/>
      </c>
      <c r="AS193" s="634" t="str">
        <f t="shared" si="399"/>
        <v/>
      </c>
      <c r="AT193" s="625" t="str">
        <f t="shared" si="352"/>
        <v/>
      </c>
      <c r="AU193" s="638" t="e">
        <f t="shared" si="353"/>
        <v>#N/A</v>
      </c>
      <c r="AV193" s="625" t="e">
        <f t="shared" si="354"/>
        <v>#N/A</v>
      </c>
      <c r="AX193" s="625">
        <f>IF(AND('General price list'!$J193="F4",'General price list'!$AB193+0&gt;0),1,0)</f>
        <v>0</v>
      </c>
      <c r="AY193" s="625">
        <f t="shared" si="355"/>
        <v>1</v>
      </c>
      <c r="AZ193" s="625">
        <f t="shared" si="356"/>
        <v>0</v>
      </c>
    </row>
    <row r="194" spans="1:52" ht="15.75" customHeight="1">
      <c r="A194" s="751" t="str">
        <f>Kat.!C194</f>
        <v xml:space="preserve">           Baterie římských svící</v>
      </c>
      <c r="B194" s="751"/>
      <c r="C194" s="751"/>
      <c r="D194" s="751"/>
      <c r="E194" s="751"/>
      <c r="F194" s="751"/>
      <c r="G194" s="751"/>
      <c r="H194" s="751"/>
      <c r="I194" s="752"/>
      <c r="J194" s="752"/>
      <c r="K194" s="752" t="s">
        <v>20</v>
      </c>
      <c r="L194" s="753" t="s">
        <v>2818</v>
      </c>
      <c r="M194" s="752"/>
      <c r="N194" s="752"/>
      <c r="O194" s="752"/>
      <c r="P194" s="752"/>
      <c r="Q194" s="752"/>
      <c r="R194" s="752"/>
      <c r="S194" s="752"/>
      <c r="T194" s="752"/>
      <c r="U194" s="752"/>
      <c r="V194" s="752"/>
      <c r="W194" s="752"/>
      <c r="X194" s="752"/>
      <c r="Y194" s="752"/>
      <c r="Z194" s="752" t="s">
        <v>20</v>
      </c>
      <c r="AA194" s="752"/>
      <c r="AB194" s="752"/>
      <c r="AC194" s="754"/>
      <c r="AD194" s="752"/>
      <c r="AE194" s="752"/>
      <c r="AF194" s="752"/>
      <c r="AG194" s="752"/>
      <c r="AH194" s="752"/>
      <c r="AI194" s="752"/>
      <c r="AJ194" s="752"/>
      <c r="AK194" s="752"/>
      <c r="AL194" s="752"/>
      <c r="AM194" s="752"/>
      <c r="AN194" s="752"/>
      <c r="AO194" s="623"/>
      <c r="AP194" s="625" t="str">
        <f t="shared" si="349"/>
        <v/>
      </c>
      <c r="AQ194" s="625" t="str">
        <f>IF(AC194=$V$3,IF(VLOOKUP(C194,[1]List1!$A:$E,5,FALSE)=0,1,VLOOKUP(C194,[1]List1!$A:$E,5,FALSE)),"")</f>
        <v/>
      </c>
      <c r="AR194" s="629" t="str">
        <f t="shared" si="350"/>
        <v/>
      </c>
      <c r="AS194" s="630" t="str">
        <f t="shared" si="399"/>
        <v/>
      </c>
      <c r="AT194" s="625" t="str">
        <f t="shared" si="352"/>
        <v/>
      </c>
      <c r="AU194" s="625" t="e">
        <f t="shared" si="353"/>
        <v>#N/A</v>
      </c>
      <c r="AV194" s="625" t="e">
        <f t="shared" si="354"/>
        <v>#N/A</v>
      </c>
      <c r="AW194" s="631"/>
      <c r="AX194" s="631">
        <f>IF(AND('General price list'!$J194="F4",'General price list'!$AB194+0&gt;0),1,0)</f>
        <v>0</v>
      </c>
      <c r="AY194" s="631">
        <f t="shared" si="355"/>
        <v>0</v>
      </c>
      <c r="AZ194" s="631">
        <f t="shared" si="356"/>
        <v>0</v>
      </c>
    </row>
    <row r="195" spans="1:52" ht="15" customHeight="1">
      <c r="A195" s="639" t="str">
        <f>Kat.!C195</f>
        <v/>
      </c>
      <c r="B195" s="640">
        <f>IF(AND('General price list'!$J195="F4",$AI$1=FALSE),0,IF(AC195="SKLADEM",1,IF(AC195=$V$3,1,0)))</f>
        <v>1</v>
      </c>
      <c r="C195" s="641" t="s">
        <v>11629</v>
      </c>
      <c r="D195" s="642" t="s">
        <v>12517</v>
      </c>
      <c r="E195" s="643" t="s">
        <v>12678</v>
      </c>
      <c r="F195" s="791">
        <f>IFERROR(VLOOKUP(C195,[2]List1!$A:$D,3,FALSE),"NEUVEDENO!")</f>
        <v>439</v>
      </c>
      <c r="G195" s="768">
        <f t="shared" ref="G195:G196" si="456">IF($W$17=$AF$8,ROUND((F195)/$F$17,2),(F195)*$B$19)</f>
        <v>439</v>
      </c>
      <c r="H195" s="765">
        <f t="shared" ref="H195:H196" si="457">IF($W$17=$AF$8,G195*$B$19,G195/$F$17)</f>
        <v>18.648078058560912</v>
      </c>
      <c r="I195" s="644">
        <f>IFERROR(VLOOKUP(C195,[2]List1!$A:$D,4,FALSE),"NEUVEDENO!")</f>
        <v>8</v>
      </c>
      <c r="J195" s="733" t="s">
        <v>39</v>
      </c>
      <c r="K195" s="645" t="s">
        <v>11100</v>
      </c>
      <c r="L195" s="645"/>
      <c r="M195" s="645" t="s">
        <v>21</v>
      </c>
      <c r="N195" s="645">
        <f>IFERROR(VLOOKUP(C195,[3]List1!$A:$D,4,FALSE),"N/A!")</f>
        <v>6.6062999999999997E-2</v>
      </c>
      <c r="O195" s="645">
        <f>IFERROR(VLOOKUP(C195,[3]List1!$A:$D,3,FALSE),"N/A!")</f>
        <v>1608</v>
      </c>
      <c r="P195" s="645">
        <f>IFERROR(VLOOKUP(C195,[3]List1!$A:$D,2,FALSE),"N/A!")</f>
        <v>12500</v>
      </c>
      <c r="Q195" s="645" t="s">
        <v>11244</v>
      </c>
      <c r="R195" s="645"/>
      <c r="S195" s="645"/>
      <c r="T195" s="645">
        <v>45</v>
      </c>
      <c r="U195" s="645"/>
      <c r="V195" s="645"/>
      <c r="W195" s="645" t="str">
        <f>IFERROR(IF(AND($AB195&gt;=0.1*$AA195,MOD($AB195,$AA195)&gt;=($AA195-(0.1*$AA195))),IF($W$17=$AF$1,"Zvažte možnost doobjednání ještě "&amp;Tabulka1[[#This Row],[VKPAL]]-MOD(AB195,AA195)&amp;" VK do plné palety.",VLOOKUP("Zvažte možnost doobjednání ještě ",Jazyky_ceník!A:Q,MATCH($W$17,Jazyky_ceník!$A$1:$Q$1,0),FALSE)&amp;Tabulka1[[#This Row],[VKPAL]]-MOD(AB195,AA195)&amp;VLOOKUP(" VK do plné palety.",Jazyky_ceník!A:Q,MATCH($W$17,Jazyky_ceník!$A$1:$Q$1,0),FALSE)),IFERROR(IF(AND(NOT(MOD($AB195,$AA195)=0),$AB195&gt;=0.9*$AA195,MOD($AB195,$AA195)&lt;=0.1*$AA195),IF($W$17=$AF$1,"Zvažte možnost optimalizace objednaného množství podle počtu VK na paletě ==&gt;",VLOOKUP("Zvažte možnost optimalizace objednaného množství podle počtu VK na paletě ==&gt;",Jazyky_ceník!A:Q,MATCH($W$17,Jazyky_ceník!$A$1:$Q$1,0),FALSE)),VLOOKUP('General price list'!$C195,Popisy!A:M,MATCH($W$17,Popisy!$A$7:$M$7,0),FALSE)),"---------------")),IFERROR(VLOOKUP('General price list'!$C195,Popisy!A:M,MATCH($W$17,Popisy!$A$7:$M$7,0),FALSE),"---------------"))</f>
        <v>baterie římských svící 300ran</v>
      </c>
      <c r="X195" s="645" t="str">
        <f t="shared" ref="X195:X196" si="458">IF(AB195&lt;0.0001,"",AB195)</f>
        <v/>
      </c>
      <c r="Y195" s="645" t="str">
        <f t="shared" ref="Y195:Y196" si="459">IF($AL$3=2,IF(OR(AB195&lt;&gt;"",AB195&lt;&gt;0),AU195,""),IF(C195="","",IF(AB195&lt;0.0001,"",IF(B195=0,"",IF(AQ195&lt;AB195,"",AB195)))))</f>
        <v/>
      </c>
      <c r="Z195" s="645" t="str">
        <f>HYPERLINK("https://www.klasekpyrotechnics.cz/gat300")</f>
        <v>https://www.klasekpyrotechnics.cz/gat300</v>
      </c>
      <c r="AA195" s="645">
        <f>IFERROR(IF(VLOOKUP(C195,[4]List1!$A:$D,4,FALSE)=0,"",VLOOKUP(C195,[4]List1!$A:$D,4,FALSE)),"")</f>
        <v>18</v>
      </c>
      <c r="AB195" s="646"/>
      <c r="AC195" s="647" t="str">
        <f>IFERROR(IF(VLOOKUP(C195,[1]List1!$A:$D,2,FALSE)="VYPRODÁNO",$V$9,IF(VLOOKUP(C195,[1]List1!$A:$D,2,FALSE)="DOCHÁZÍ",$V$3,VLOOKUP(C195,[1]List1!$A:$D,2,FALSE))),"OFFLINE!")</f>
        <v>SKLADEM</v>
      </c>
      <c r="AD195" s="647" t="str">
        <f ca="1">IF(AP195="NE",$V$10,IF(AC195=$V$3,IF(AQ195&lt;1,$V$8,$V$2&amp;" "&amp;AQ195&amp;" "&amp;$V$1),IF(AC195="SKLADEM",$V$6,IFERROR(IF(OR(AC195-TODAY()&gt;45,VLOOKUP(C195,[1]List1!$A:$E,4,FALSE)=0),AC195,DAY(AC195)&amp;"."&amp;MONTH(AC195)&amp;"."&amp;YEAR(AC195)&amp;" "&amp;$V$4&amp;VLOOKUP(C195,[1]List1!$A:$E,4,FALSE)&amp;" "&amp;$V$1),AC195))))</f>
        <v>SKLADEM</v>
      </c>
      <c r="AE195" s="645" t="str">
        <f t="shared" ref="AE195:AE196" ca="1" si="460">IFERROR(IF(AV195&lt;&gt;"",AV195,AD195),AD195)</f>
        <v>SKLADEM</v>
      </c>
      <c r="AF195" s="648">
        <f t="shared" ref="AF195:AF196" si="461">IFERROR(IF(AB195=Y195,G195*I195*Y195,0),0)</f>
        <v>0</v>
      </c>
      <c r="AG195" s="649">
        <f t="shared" ref="AG195:AG196" si="462">IF($W$17=$AF$8,AH195*1.23,AF195*1.21)</f>
        <v>0</v>
      </c>
      <c r="AH195" s="650">
        <f t="shared" ref="AH195:AH196" si="463">IFERROR(IF(Y195=AB195,H195*I195*Y195,0),0)</f>
        <v>0</v>
      </c>
      <c r="AI195" s="645">
        <f t="shared" ref="AI195:AI196" si="464">IFERROR(IF(Y195=AB195,(P195*Y195)/1000,1),0)</f>
        <v>0</v>
      </c>
      <c r="AJ195" s="645">
        <f t="shared" ref="AJ195:AJ196" si="465">IFERROR(IF(Y195=AB195,N195*Y195,0.1),0)</f>
        <v>0</v>
      </c>
      <c r="AK195" s="645" t="str">
        <f t="shared" ref="AK195:AK196" si="466">IFERROR(IF(Y195=AB195,IF(M195="1.1G",(O195/1000)*Y195,""),""),0)</f>
        <v/>
      </c>
      <c r="AL195" s="645" t="str">
        <f t="shared" ref="AL195:AL196" si="467">IFERROR(IF(Y195=AB195,IF(M195="1.3G",(O195/1000)*AB195,""),""),0)</f>
        <v/>
      </c>
      <c r="AM195" s="645">
        <f t="shared" ref="AM195:AM196" si="468">IFERROR(IF(Y195=AB195,IF(M195="1.4G",(O195/1000)*AB195,""),""),0)</f>
        <v>0</v>
      </c>
      <c r="AN195" s="651">
        <f t="shared" ref="AN195:AN196" si="469">SUM(AK195:AM195)</f>
        <v>0</v>
      </c>
      <c r="AO195" s="623"/>
      <c r="AP195" s="632" t="str">
        <f t="shared" si="349"/>
        <v/>
      </c>
      <c r="AQ195" s="633" t="str">
        <f>IF(AC195=$V$3,IF(VLOOKUP(C195,[1]List1!$A:$E,5,FALSE)=0,1,VLOOKUP(C195,[1]List1!$A:$E,5,FALSE)),"")</f>
        <v/>
      </c>
      <c r="AR195" s="625" t="str">
        <f t="shared" si="350"/>
        <v/>
      </c>
      <c r="AS195" s="634" t="str">
        <f t="shared" si="399"/>
        <v/>
      </c>
      <c r="AT195" s="625" t="str">
        <f t="shared" si="352"/>
        <v/>
      </c>
      <c r="AU195" s="638" t="e">
        <f t="shared" si="353"/>
        <v>#N/A</v>
      </c>
      <c r="AV195" s="625" t="e">
        <f t="shared" si="354"/>
        <v>#N/A</v>
      </c>
      <c r="AX195" s="625">
        <f>IF(AND('General price list'!$J195="F4",'General price list'!$AB195+0&gt;0),1,0)</f>
        <v>0</v>
      </c>
      <c r="AY195" s="625">
        <f t="shared" si="355"/>
        <v>1</v>
      </c>
      <c r="AZ195" s="625">
        <f t="shared" si="356"/>
        <v>0</v>
      </c>
    </row>
    <row r="196" spans="1:52" ht="15" customHeight="1">
      <c r="A196" s="621" t="str">
        <f>Kat.!C196</f>
        <v/>
      </c>
      <c r="B196" s="566">
        <f>IF(AND('General price list'!$J196="F4",$AI$1=FALSE),0,IF(AC196="SKLADEM",1,IF(AC196=$V$3,1,0)))</f>
        <v>1</v>
      </c>
      <c r="C196" s="567" t="s">
        <v>581</v>
      </c>
      <c r="D196" s="568" t="s">
        <v>12518</v>
      </c>
      <c r="E196" s="763" t="s">
        <v>12653</v>
      </c>
      <c r="F196" s="772">
        <f>IFERROR(VLOOKUP(C196,[2]List1!$A:$D,3,FALSE),"NEUVEDENO!")</f>
        <v>65</v>
      </c>
      <c r="G196" s="769">
        <f t="shared" si="456"/>
        <v>65</v>
      </c>
      <c r="H196" s="766">
        <f t="shared" si="457"/>
        <v>2.7611049517231421</v>
      </c>
      <c r="I196" s="764">
        <f>IFERROR(VLOOKUP(C196,[2]List1!$A:$D,4,FALSE),"NEUVEDENO!")</f>
        <v>40</v>
      </c>
      <c r="J196" s="732" t="s">
        <v>39</v>
      </c>
      <c r="K196" s="569" t="s">
        <v>20</v>
      </c>
      <c r="L196" s="569" t="s">
        <v>11688</v>
      </c>
      <c r="M196" s="569" t="s">
        <v>21</v>
      </c>
      <c r="N196" s="569">
        <f>IFERROR(VLOOKUP(C196,[3]List1!$A:$D,4,FALSE),"N/A!")</f>
        <v>3.9149999999999997E-2</v>
      </c>
      <c r="O196" s="569">
        <f>IFERROR(VLOOKUP(C196,[3]List1!$A:$D,3,FALSE),"N/A!")</f>
        <v>1680</v>
      </c>
      <c r="P196" s="569">
        <f>IFERROR(VLOOKUP(C196,[3]List1!$A:$D,2,FALSE),"N/A!")</f>
        <v>10000</v>
      </c>
      <c r="Q196" s="569" t="s">
        <v>11232</v>
      </c>
      <c r="R196" s="569"/>
      <c r="S196" s="569"/>
      <c r="T196" s="569">
        <v>20</v>
      </c>
      <c r="U196" s="569"/>
      <c r="V196" s="569"/>
      <c r="W196" s="569" t="str">
        <f>IFERROR(IF(AND($AB196&gt;=0.1*$AA196,MOD($AB196,$AA196)&gt;=($AA196-(0.1*$AA196))),IF($W$17=$AF$1,"Zvažte možnost doobjednání ještě "&amp;Tabulka1[[#This Row],[VKPAL]]-MOD(AB196,AA196)&amp;" VK do plné palety.",VLOOKUP("Zvažte možnost doobjednání ještě ",Jazyky_ceník!A:Q,MATCH($W$17,Jazyky_ceník!$A$1:$Q$1,0),FALSE)&amp;Tabulka1[[#This Row],[VKPAL]]-MOD(AB196,AA196)&amp;VLOOKUP(" VK do plné palety.",Jazyky_ceník!A:Q,MATCH($W$17,Jazyky_ceník!$A$1:$Q$1,0),FALSE)),IFERROR(IF(AND(NOT(MOD($AB196,$AA196)=0),$AB196&gt;=0.9*$AA196,MOD($AB196,$AA196)&lt;=0.1*$AA196),IF($W$17=$AF$1,"Zvažte možnost optimalizace objednaného množství podle počtu VK na paletě ==&gt;",VLOOKUP("Zvažte možnost optimalizace objednaného množství podle počtu VK na paletě ==&gt;",Jazyky_ceník!A:Q,MATCH($W$17,Jazyky_ceník!$A$1:$Q$1,0),FALSE)),VLOOKUP('General price list'!$C196,Popisy!A:M,MATCH($W$17,Popisy!$A$7:$M$7,0),FALSE)),"---------------")),IFERROR(VLOOKUP('General price list'!$C196,Popisy!A:M,MATCH($W$17,Popisy!$A$7:$M$7,0),FALSE),"---------------"))</f>
        <v>římská svíce 91ran, 4 různobarevné efekty</v>
      </c>
      <c r="X196" s="569" t="str">
        <f t="shared" si="458"/>
        <v/>
      </c>
      <c r="Y196" s="569" t="str">
        <f t="shared" si="459"/>
        <v/>
      </c>
      <c r="Z196" s="569" t="str">
        <f>HYPERLINK("https://www.klasekpyrotechnics.cz/r100m")</f>
        <v>https://www.klasekpyrotechnics.cz/r100m</v>
      </c>
      <c r="AA196" s="569">
        <f>IFERROR(IF(VLOOKUP(C196,[4]List1!$A:$D,4,FALSE)=0,"",VLOOKUP(C196,[4]List1!$A:$D,4,FALSE)),"")</f>
        <v>30</v>
      </c>
      <c r="AB196" s="565"/>
      <c r="AC196" s="570" t="str">
        <f>IFERROR(IF(VLOOKUP(C196,[1]List1!$A:$D,2,FALSE)="VYPRODÁNO",$V$9,IF(VLOOKUP(C196,[1]List1!$A:$D,2,FALSE)="DOCHÁZÍ",$V$3,VLOOKUP(C196,[1]List1!$A:$D,2,FALSE))),"OFFLINE!")</f>
        <v>SKLADEM</v>
      </c>
      <c r="AD196" s="570" t="str">
        <f ca="1">IF(AP196="NE",$V$10,IF(AC196=$V$3,IF(AQ196&lt;1,$V$8,$V$2&amp;" "&amp;AQ196&amp;" "&amp;$V$1),IF(AC196="SKLADEM",$V$6,IFERROR(IF(OR(AC196-TODAY()&gt;45,VLOOKUP(C196,[1]List1!$A:$E,4,FALSE)=0),AC196,DAY(AC196)&amp;"."&amp;MONTH(AC196)&amp;"."&amp;YEAR(AC196)&amp;" "&amp;$V$4&amp;VLOOKUP(C196,[1]List1!$A:$E,4,FALSE)&amp;" "&amp;$V$1),AC196))))</f>
        <v>SKLADEM</v>
      </c>
      <c r="AE196" s="581" t="str">
        <f t="shared" ca="1" si="460"/>
        <v>SKLADEM</v>
      </c>
      <c r="AF196" s="584">
        <f t="shared" si="461"/>
        <v>0</v>
      </c>
      <c r="AG196" s="585">
        <f t="shared" si="462"/>
        <v>0</v>
      </c>
      <c r="AH196" s="583">
        <f t="shared" si="463"/>
        <v>0</v>
      </c>
      <c r="AI196" s="582">
        <f t="shared" si="464"/>
        <v>0</v>
      </c>
      <c r="AJ196" s="569">
        <f t="shared" si="465"/>
        <v>0</v>
      </c>
      <c r="AK196" s="569" t="str">
        <f t="shared" si="466"/>
        <v/>
      </c>
      <c r="AL196" s="569" t="str">
        <f t="shared" si="467"/>
        <v/>
      </c>
      <c r="AM196" s="569">
        <f t="shared" si="468"/>
        <v>0</v>
      </c>
      <c r="AN196" s="581">
        <f t="shared" si="469"/>
        <v>0</v>
      </c>
      <c r="AO196" s="623"/>
      <c r="AP196" s="632" t="str">
        <f t="shared" si="349"/>
        <v/>
      </c>
      <c r="AQ196" s="633" t="str">
        <f>IF(AC196=$V$3,IF(VLOOKUP(C196,[1]List1!$A:$E,5,FALSE)=0,1,VLOOKUP(C196,[1]List1!$A:$E,5,FALSE)),"")</f>
        <v/>
      </c>
      <c r="AR196" s="625" t="str">
        <f t="shared" si="350"/>
        <v/>
      </c>
      <c r="AS196" s="634" t="str">
        <f t="shared" si="399"/>
        <v/>
      </c>
      <c r="AT196" s="625" t="str">
        <f t="shared" si="352"/>
        <v/>
      </c>
      <c r="AU196" s="638" t="e">
        <f t="shared" si="353"/>
        <v>#N/A</v>
      </c>
      <c r="AV196" s="625" t="e">
        <f t="shared" si="354"/>
        <v>#N/A</v>
      </c>
      <c r="AX196" s="625">
        <f>IF(AND('General price list'!$J196="F4",'General price list'!$AB196+0&gt;0),1,0)</f>
        <v>0</v>
      </c>
      <c r="AY196" s="625">
        <f t="shared" si="355"/>
        <v>1</v>
      </c>
      <c r="AZ196" s="625">
        <f t="shared" si="356"/>
        <v>0</v>
      </c>
    </row>
    <row r="197" spans="1:52" ht="15" customHeight="1">
      <c r="A197" s="751" t="str">
        <f>Kat.!C197</f>
        <v xml:space="preserve">           Vystřelovací trubice F2</v>
      </c>
      <c r="B197" s="751"/>
      <c r="C197" s="751"/>
      <c r="D197" s="751"/>
      <c r="E197" s="751"/>
      <c r="F197" s="751"/>
      <c r="G197" s="751"/>
      <c r="H197" s="751"/>
      <c r="I197" s="752"/>
      <c r="J197" s="752"/>
      <c r="K197" s="752" t="s">
        <v>20</v>
      </c>
      <c r="L197" s="753" t="s">
        <v>2818</v>
      </c>
      <c r="M197" s="752"/>
      <c r="N197" s="752"/>
      <c r="O197" s="752"/>
      <c r="P197" s="752"/>
      <c r="Q197" s="752"/>
      <c r="R197" s="752"/>
      <c r="S197" s="752"/>
      <c r="T197" s="752"/>
      <c r="U197" s="752"/>
      <c r="V197" s="752"/>
      <c r="W197" s="752"/>
      <c r="X197" s="752"/>
      <c r="Y197" s="752"/>
      <c r="Z197" s="752" t="s">
        <v>20</v>
      </c>
      <c r="AA197" s="752"/>
      <c r="AB197" s="752"/>
      <c r="AC197" s="754"/>
      <c r="AD197" s="752"/>
      <c r="AE197" s="752"/>
      <c r="AF197" s="752"/>
      <c r="AG197" s="752"/>
      <c r="AH197" s="752"/>
      <c r="AI197" s="752"/>
      <c r="AJ197" s="752"/>
      <c r="AK197" s="752"/>
      <c r="AL197" s="752"/>
      <c r="AM197" s="752"/>
      <c r="AN197" s="752"/>
      <c r="AO197" s="623"/>
      <c r="AP197" s="632" t="str">
        <f t="shared" si="349"/>
        <v/>
      </c>
      <c r="AQ197" s="633" t="str">
        <f>IF(AC197=$V$3,IF(VLOOKUP(C197,[1]List1!$A:$E,5,FALSE)=0,1,VLOOKUP(C197,[1]List1!$A:$E,5,FALSE)),"")</f>
        <v/>
      </c>
      <c r="AR197" s="625" t="str">
        <f t="shared" si="350"/>
        <v/>
      </c>
      <c r="AS197" s="634" t="str">
        <f t="shared" si="399"/>
        <v/>
      </c>
      <c r="AT197" s="625" t="str">
        <f t="shared" si="352"/>
        <v/>
      </c>
      <c r="AU197" s="638" t="e">
        <f t="shared" si="353"/>
        <v>#N/A</v>
      </c>
      <c r="AV197" s="625" t="e">
        <f t="shared" si="354"/>
        <v>#N/A</v>
      </c>
      <c r="AX197" s="625">
        <f>IF(AND('General price list'!$J197="F4",'General price list'!$AB197+0&gt;0),1,0)</f>
        <v>0</v>
      </c>
      <c r="AY197" s="625">
        <f t="shared" si="355"/>
        <v>0</v>
      </c>
      <c r="AZ197" s="625">
        <f t="shared" si="356"/>
        <v>0</v>
      </c>
    </row>
    <row r="198" spans="1:52" ht="15" customHeight="1">
      <c r="A198" s="639" t="str">
        <f>Kat.!C198</f>
        <v/>
      </c>
      <c r="B198" s="640">
        <f>IF(AND('General price list'!$J198="F4",$AI$1=FALSE),0,IF(AC198="SKLADEM",1,IF(AC198=$V$3,1,0)))</f>
        <v>1</v>
      </c>
      <c r="C198" s="641" t="s">
        <v>11630</v>
      </c>
      <c r="D198" s="642" t="s">
        <v>11664</v>
      </c>
      <c r="E198" s="643" t="s">
        <v>12637</v>
      </c>
      <c r="F198" s="771">
        <f>IFERROR(VLOOKUP(C198,[2]List1!$A:$D,3,FALSE),"NEUVEDENO!")</f>
        <v>88</v>
      </c>
      <c r="G198" s="768">
        <f t="shared" ref="G198:G205" si="470">IF($W$17=$AF$8,ROUND((F198)/$F$17,2),(F198)*$B$19)</f>
        <v>88</v>
      </c>
      <c r="H198" s="765">
        <f t="shared" ref="H198:H205" si="471">IF($W$17=$AF$8,G198*$B$19,G198/$F$17)</f>
        <v>3.7381113192559461</v>
      </c>
      <c r="I198" s="644">
        <f>IFERROR(VLOOKUP(C198,[2]List1!$A:$D,4,FALSE),"NEUVEDENO!")</f>
        <v>40</v>
      </c>
      <c r="J198" s="733" t="s">
        <v>39</v>
      </c>
      <c r="K198" s="645" t="s">
        <v>20</v>
      </c>
      <c r="L198" s="645" t="s">
        <v>12435</v>
      </c>
      <c r="M198" s="645" t="s">
        <v>21</v>
      </c>
      <c r="N198" s="645">
        <f>IFERROR(VLOOKUP(C198,[3]List1!$A:$D,4,FALSE),"N/A!")</f>
        <v>3.3787499999999998E-2</v>
      </c>
      <c r="O198" s="645">
        <f>IFERROR(VLOOKUP(C198,[3]List1!$A:$D,3,FALSE),"N/A!")</f>
        <v>2160</v>
      </c>
      <c r="P198" s="645">
        <f>IFERROR(VLOOKUP(C198,[3]List1!$A:$D,2,FALSE),"N/A!")</f>
        <v>8500</v>
      </c>
      <c r="Q198" s="645" t="s">
        <v>12269</v>
      </c>
      <c r="R198" s="645"/>
      <c r="S198" s="645"/>
      <c r="T198" s="645"/>
      <c r="U198" s="645"/>
      <c r="V198" s="645"/>
      <c r="W198" s="645" t="str">
        <f>IFERROR(IF(AND($AB198&gt;=0.1*$AA198,MOD($AB198,$AA198)&gt;=($AA198-(0.1*$AA198))),IF($W$17=$AF$1,"Zvažte možnost doobjednání ještě "&amp;Tabulka1[[#This Row],[VKPAL]]-MOD(AB198,AA198)&amp;" VK do plné palety.",VLOOKUP("Zvažte možnost doobjednání ještě ",Jazyky_ceník!A:Q,MATCH($W$17,Jazyky_ceník!$A$1:$Q$1,0),FALSE)&amp;Tabulka1[[#This Row],[VKPAL]]-MOD(AB198,AA198)&amp;VLOOKUP(" VK do plné palety.",Jazyky_ceník!A:Q,MATCH($W$17,Jazyky_ceník!$A$1:$Q$1,0),FALSE)),IFERROR(IF(AND(NOT(MOD($AB198,$AA198)=0),$AB198&gt;=0.9*$AA198,MOD($AB198,$AA198)&lt;=0.1*$AA198),IF($W$17=$AF$1,"Zvažte možnost optimalizace objednaného množství podle počtu VK na paletě ==&gt;",VLOOKUP("Zvažte možnost optimalizace objednaného množství podle počtu VK na paletě ==&gt;",Jazyky_ceník!A:Q,MATCH($W$17,Jazyky_ceník!$A$1:$Q$1,0),FALSE)),VLOOKUP('General price list'!$C198,Popisy!A:M,MATCH($W$17,Popisy!$A$7:$M$7,0),FALSE)),"---------------")),IFERROR(VLOOKUP('General price list'!$C198,Popisy!A:M,MATCH($W$17,Popisy!$A$7:$M$7,0),FALSE),"---------------"))</f>
        <v>stříbnré práskající hvězdy</v>
      </c>
      <c r="X198" s="645" t="str">
        <f t="shared" ref="X198:X205" si="472">IF(AB198&lt;0.0001,"",AB198)</f>
        <v/>
      </c>
      <c r="Y198" s="645" t="str">
        <f t="shared" ref="Y198:Y205" si="473">IF($AL$3=2,IF(OR(AB198&lt;&gt;"",AB198&lt;&gt;0),AU198,""),IF(C198="","",IF(AB198&lt;0.0001,"",IF(B198=0,"",IF(AQ198&lt;AB198,"",AB198)))))</f>
        <v/>
      </c>
      <c r="Z198" s="645" t="str">
        <f>HYPERLINK("https://www.klasekpyrotechnics.cz/ss14d")</f>
        <v>https://www.klasekpyrotechnics.cz/ss14d</v>
      </c>
      <c r="AA198" s="645">
        <f>IFERROR(IF(VLOOKUP(C198,[4]List1!$A:$D,4,FALSE)=0,"",VLOOKUP(C198,[4]List1!$A:$D,4,FALSE)),"")</f>
        <v>24</v>
      </c>
      <c r="AB198" s="646"/>
      <c r="AC198" s="647" t="str">
        <f>IFERROR(IF(VLOOKUP(C198,[1]List1!$A:$D,2,FALSE)="VYPRODÁNO",$V$9,IF(VLOOKUP(C198,[1]List1!$A:$D,2,FALSE)="DOCHÁZÍ",$V$3,VLOOKUP(C198,[1]List1!$A:$D,2,FALSE))),"OFFLINE!")</f>
        <v>SKLADEM</v>
      </c>
      <c r="AD198" s="647" t="str">
        <f ca="1">IF(AP198="NE",$V$10,IF(AC198=$V$3,IF(AQ198&lt;1,$V$8,$V$2&amp;" "&amp;AQ198&amp;" "&amp;$V$1),IF(AC198="SKLADEM",$V$6,IFERROR(IF(OR(AC198-TODAY()&gt;45,VLOOKUP(C198,[1]List1!$A:$E,4,FALSE)=0),AC198,DAY(AC198)&amp;"."&amp;MONTH(AC198)&amp;"."&amp;YEAR(AC198)&amp;" "&amp;$V$4&amp;VLOOKUP(C198,[1]List1!$A:$E,4,FALSE)&amp;" "&amp;$V$1),AC198))))</f>
        <v>SKLADEM</v>
      </c>
      <c r="AE198" s="645" t="str">
        <f t="shared" ref="AE198:AE205" ca="1" si="474">IFERROR(IF(AV198&lt;&gt;"",AV198,AD198),AD198)</f>
        <v>SKLADEM</v>
      </c>
      <c r="AF198" s="648">
        <f t="shared" ref="AF198:AF205" si="475">IFERROR(IF(AB198=Y198,G198*I198*Y198,0),0)</f>
        <v>0</v>
      </c>
      <c r="AG198" s="649">
        <f t="shared" ref="AG198:AG205" si="476">IF($W$17=$AF$8,AH198*1.23,AF198*1.21)</f>
        <v>0</v>
      </c>
      <c r="AH198" s="650">
        <f t="shared" ref="AH198:AH205" si="477">IFERROR(IF(Y198=AB198,H198*I198*Y198,0),0)</f>
        <v>0</v>
      </c>
      <c r="AI198" s="645">
        <f t="shared" ref="AI198:AI205" si="478">IFERROR(IF(Y198=AB198,(P198*Y198)/1000,1),0)</f>
        <v>0</v>
      </c>
      <c r="AJ198" s="645">
        <f t="shared" ref="AJ198:AJ205" si="479">IFERROR(IF(Y198=AB198,N198*Y198,0.1),0)</f>
        <v>0</v>
      </c>
      <c r="AK198" s="645" t="str">
        <f t="shared" ref="AK198:AK205" si="480">IFERROR(IF(Y198=AB198,IF(M198="1.1G",(O198/1000)*Y198,""),""),0)</f>
        <v/>
      </c>
      <c r="AL198" s="645" t="str">
        <f t="shared" ref="AL198:AL205" si="481">IFERROR(IF(Y198=AB198,IF(M198="1.3G",(O198/1000)*AB198,""),""),0)</f>
        <v/>
      </c>
      <c r="AM198" s="645">
        <f t="shared" ref="AM198:AM205" si="482">IFERROR(IF(Y198=AB198,IF(M198="1.4G",(O198/1000)*AB198,""),""),0)</f>
        <v>0</v>
      </c>
      <c r="AN198" s="651">
        <f t="shared" ref="AN198:AN205" si="483">SUM(AK198:AM198)</f>
        <v>0</v>
      </c>
      <c r="AO198" s="623"/>
      <c r="AP198" s="632" t="str">
        <f t="shared" si="349"/>
        <v/>
      </c>
      <c r="AQ198" s="633" t="str">
        <f>IF(AC198=$V$3,IF(VLOOKUP(C198,[1]List1!$A:$E,5,FALSE)=0,1,VLOOKUP(C198,[1]List1!$A:$E,5,FALSE)),"")</f>
        <v/>
      </c>
      <c r="AR198" s="625" t="str">
        <f t="shared" si="350"/>
        <v/>
      </c>
      <c r="AS198" s="634" t="str">
        <f t="shared" si="399"/>
        <v/>
      </c>
      <c r="AT198" s="625" t="str">
        <f t="shared" si="352"/>
        <v/>
      </c>
      <c r="AU198" s="638" t="e">
        <f t="shared" si="353"/>
        <v>#N/A</v>
      </c>
      <c r="AV198" s="625" t="e">
        <f t="shared" si="354"/>
        <v>#N/A</v>
      </c>
      <c r="AX198" s="625">
        <f>IF(AND('General price list'!$J198="F4",'General price list'!$AB198+0&gt;0),1,0)</f>
        <v>0</v>
      </c>
      <c r="AY198" s="625">
        <f t="shared" si="355"/>
        <v>1</v>
      </c>
      <c r="AZ198" s="625">
        <f t="shared" si="356"/>
        <v>0</v>
      </c>
    </row>
    <row r="199" spans="1:52" ht="15" customHeight="1">
      <c r="A199" s="621" t="str">
        <f>Kat.!C199</f>
        <v/>
      </c>
      <c r="B199" s="566">
        <f>IF(AND('General price list'!$J199="F4",$AI$1=FALSE),0,IF(AC199="SKLADEM",1,IF(AC199=$V$3,1,0)))</f>
        <v>0</v>
      </c>
      <c r="C199" s="567" t="s">
        <v>585</v>
      </c>
      <c r="D199" s="568" t="s">
        <v>586</v>
      </c>
      <c r="E199" s="763" t="s">
        <v>12697</v>
      </c>
      <c r="F199" s="772">
        <f>IFERROR(VLOOKUP(C199,[2]List1!$A:$D,3,FALSE),"NEUVEDENO!")</f>
        <v>115</v>
      </c>
      <c r="G199" s="769">
        <f t="shared" si="470"/>
        <v>115</v>
      </c>
      <c r="H199" s="766">
        <f t="shared" si="471"/>
        <v>4.8850318376640205</v>
      </c>
      <c r="I199" s="764">
        <f>IFERROR(VLOOKUP(C199,[2]List1!$A:$D,4,FALSE),"NEUVEDENO!")</f>
        <v>30</v>
      </c>
      <c r="J199" s="732" t="s">
        <v>39</v>
      </c>
      <c r="K199" s="569" t="s">
        <v>20</v>
      </c>
      <c r="L199" s="569" t="s">
        <v>10980</v>
      </c>
      <c r="M199" s="569" t="s">
        <v>114</v>
      </c>
      <c r="N199" s="569">
        <f>IFERROR(VLOOKUP(C199,[3]List1!$A:$D,4,FALSE),"N/A!")</f>
        <v>4.9665000000000001E-2</v>
      </c>
      <c r="O199" s="569">
        <f>IFERROR(VLOOKUP(C199,[3]List1!$A:$D,3,FALSE),"N/A!")</f>
        <v>2400</v>
      </c>
      <c r="P199" s="569">
        <f>IFERROR(VLOOKUP(C199,[3]List1!$A:$D,2,FALSE),"N/A!")</f>
        <v>15000</v>
      </c>
      <c r="Q199" s="569" t="s">
        <v>11244</v>
      </c>
      <c r="R199" s="569"/>
      <c r="S199" s="569"/>
      <c r="T199" s="569"/>
      <c r="U199" s="569"/>
      <c r="V199" s="569"/>
      <c r="W199" s="569" t="str">
        <f>IFERROR(IF(AND($AB199&gt;=0.1*$AA199,MOD($AB199,$AA199)&gt;=($AA199-(0.1*$AA199))),IF($W$17=$AF$1,"Zvažte možnost doobjednání ještě "&amp;Tabulka1[[#This Row],[VKPAL]]-MOD(AB199,AA199)&amp;" VK do plné palety.",VLOOKUP("Zvažte možnost doobjednání ještě ",Jazyky_ceník!A:Q,MATCH($W$17,Jazyky_ceník!$A$1:$Q$1,0),FALSE)&amp;Tabulka1[[#This Row],[VKPAL]]-MOD(AB199,AA199)&amp;VLOOKUP(" VK do plné palety.",Jazyky_ceník!A:Q,MATCH($W$17,Jazyky_ceník!$A$1:$Q$1,0),FALSE)),IFERROR(IF(AND(NOT(MOD($AB199,$AA199)=0),$AB199&gt;=0.9*$AA199,MOD($AB199,$AA199)&lt;=0.1*$AA199),IF($W$17=$AF$1,"Zvažte možnost optimalizace objednaného množství podle počtu VK na paletě ==&gt;",VLOOKUP("Zvažte možnost optimalizace objednaného množství podle počtu VK na paletě ==&gt;",Jazyky_ceník!A:Q,MATCH($W$17,Jazyky_ceník!$A$1:$Q$1,0),FALSE)),VLOOKUP('General price list'!$C199,Popisy!A:M,MATCH($W$17,Popisy!$A$7:$M$7,0),FALSE)),"---------------")),IFERROR(VLOOKUP('General price list'!$C199,Popisy!A:M,MATCH($W$17,Popisy!$A$7:$M$7,0),FALSE),"---------------"))</f>
        <v>stříbrný výmet+červená stopa a titanová detonace</v>
      </c>
      <c r="X199" s="569" t="str">
        <f t="shared" si="472"/>
        <v/>
      </c>
      <c r="Y199" s="569" t="str">
        <f t="shared" si="473"/>
        <v/>
      </c>
      <c r="Z199" s="569" t="str">
        <f>HYPERLINK("https://www.klasekpyrotechnics.cz/ss20d")</f>
        <v>https://www.klasekpyrotechnics.cz/ss20d</v>
      </c>
      <c r="AA199" s="569">
        <f>IFERROR(IF(VLOOKUP(C199,[4]List1!$A:$D,4,FALSE)=0,"",VLOOKUP(C199,[4]List1!$A:$D,4,FALSE)),"")</f>
        <v>28</v>
      </c>
      <c r="AB199" s="565"/>
      <c r="AC199" s="570" t="str">
        <f>IFERROR(IF(VLOOKUP(C199,[1]List1!$A:$D,2,FALSE)="VYPRODÁNO",$V$9,IF(VLOOKUP(C199,[1]List1!$A:$D,2,FALSE)="DOCHÁZÍ",$V$3,VLOOKUP(C199,[1]List1!$A:$D,2,FALSE))),"OFFLINE!")</f>
        <v>30.04.2026</v>
      </c>
      <c r="AD199" s="570" t="str">
        <f ca="1">IF(AP199="NE",$V$10,IF(AC199=$V$3,IF(AQ199&lt;1,$V$8,$V$2&amp;" "&amp;AQ199&amp;" "&amp;$V$1),IF(AC199="SKLADEM",$V$6,IFERROR(IF(OR(AC199-TODAY()&gt;45,VLOOKUP(C199,[1]List1!$A:$E,4,FALSE)=0),AC199,DAY(AC199)&amp;"."&amp;MONTH(AC199)&amp;"."&amp;YEAR(AC199)&amp;" "&amp;$V$4&amp;VLOOKUP(C199,[1]List1!$A:$E,4,FALSE)&amp;" "&amp;$V$1),AC199))))</f>
        <v>30.4.2026 DORAZÍ 100+ VK</v>
      </c>
      <c r="AE199" s="581" t="str">
        <f t="shared" ca="1" si="474"/>
        <v>30.4.2026 DORAZÍ 100+ VK</v>
      </c>
      <c r="AF199" s="584">
        <f t="shared" si="475"/>
        <v>0</v>
      </c>
      <c r="AG199" s="585">
        <f t="shared" si="476"/>
        <v>0</v>
      </c>
      <c r="AH199" s="583">
        <f t="shared" si="477"/>
        <v>0</v>
      </c>
      <c r="AI199" s="582">
        <f t="shared" si="478"/>
        <v>0</v>
      </c>
      <c r="AJ199" s="569">
        <f t="shared" si="479"/>
        <v>0</v>
      </c>
      <c r="AK199" s="569" t="str">
        <f t="shared" si="480"/>
        <v/>
      </c>
      <c r="AL199" s="569">
        <f t="shared" si="481"/>
        <v>0</v>
      </c>
      <c r="AM199" s="569" t="str">
        <f t="shared" si="482"/>
        <v/>
      </c>
      <c r="AN199" s="581">
        <f t="shared" si="483"/>
        <v>0</v>
      </c>
      <c r="AO199" s="623"/>
      <c r="AP199" s="632" t="str">
        <f t="shared" si="349"/>
        <v/>
      </c>
      <c r="AQ199" s="633" t="str">
        <f>IF(AC199=$V$3,IF(VLOOKUP(C199,[1]List1!$A:$E,5,FALSE)=0,1,VLOOKUP(C199,[1]List1!$A:$E,5,FALSE)),"")</f>
        <v/>
      </c>
      <c r="AR199" s="625" t="str">
        <f t="shared" si="350"/>
        <v/>
      </c>
      <c r="AS199" s="634" t="str">
        <f t="shared" si="399"/>
        <v/>
      </c>
      <c r="AT199" s="625" t="str">
        <f t="shared" si="352"/>
        <v/>
      </c>
      <c r="AU199" s="638" t="e">
        <f t="shared" si="353"/>
        <v>#N/A</v>
      </c>
      <c r="AV199" s="625" t="e">
        <f t="shared" si="354"/>
        <v>#N/A</v>
      </c>
      <c r="AX199" s="625">
        <f>IF(AND('General price list'!$J199="F4",'General price list'!$AB199+0&gt;0),1,0)</f>
        <v>0</v>
      </c>
      <c r="AY199" s="625">
        <f t="shared" si="355"/>
        <v>1</v>
      </c>
      <c r="AZ199" s="625">
        <f t="shared" si="356"/>
        <v>0</v>
      </c>
    </row>
    <row r="200" spans="1:52" ht="15.75" customHeight="1">
      <c r="A200" s="639" t="str">
        <f>Kat.!C200</f>
        <v/>
      </c>
      <c r="B200" s="640">
        <f>IF(AND('General price list'!$J200="F4",$AI$1=FALSE),0,IF(AC200="SKLADEM",1,IF(AC200=$V$3,1,0)))</f>
        <v>1</v>
      </c>
      <c r="C200" s="641" t="s">
        <v>12011</v>
      </c>
      <c r="D200" s="642" t="s">
        <v>12012</v>
      </c>
      <c r="E200" s="643" t="s">
        <v>12697</v>
      </c>
      <c r="F200" s="771">
        <f>IFERROR(VLOOKUP(C200,[2]List1!$A:$D,3,FALSE),"NEUVEDENO!")</f>
        <v>115</v>
      </c>
      <c r="G200" s="768">
        <f t="shared" si="470"/>
        <v>115</v>
      </c>
      <c r="H200" s="765">
        <f t="shared" si="471"/>
        <v>4.8850318376640205</v>
      </c>
      <c r="I200" s="644">
        <f>IFERROR(VLOOKUP(C200,[2]List1!$A:$D,4,FALSE),"NEUVEDENO!")</f>
        <v>30</v>
      </c>
      <c r="J200" s="733" t="s">
        <v>39</v>
      </c>
      <c r="K200" s="645" t="s">
        <v>20</v>
      </c>
      <c r="L200" s="645"/>
      <c r="M200" s="645" t="s">
        <v>21</v>
      </c>
      <c r="N200" s="645">
        <f>IFERROR(VLOOKUP(C200,[3]List1!$A:$D,4,FALSE),"N/A!")</f>
        <v>5.0242499999999995E-2</v>
      </c>
      <c r="O200" s="645">
        <f>IFERROR(VLOOKUP(C200,[3]List1!$A:$D,3,FALSE),"N/A!")</f>
        <v>3000</v>
      </c>
      <c r="P200" s="645">
        <f>IFERROR(VLOOKUP(C200,[3]List1!$A:$D,2,FALSE),"N/A!")</f>
        <v>15000</v>
      </c>
      <c r="Q200" s="645" t="s">
        <v>11244</v>
      </c>
      <c r="R200" s="645"/>
      <c r="S200" s="645"/>
      <c r="T200" s="645"/>
      <c r="U200" s="645">
        <v>25</v>
      </c>
      <c r="V200" s="645">
        <v>15</v>
      </c>
      <c r="W200" s="645" t="str">
        <f>IFERROR(IF(AND($AB200&gt;=0.1*$AA200,MOD($AB200,$AA200)&gt;=($AA200-(0.1*$AA200))),IF($W$17=$AF$1,"Zvažte možnost doobjednání ještě "&amp;Tabulka1[[#This Row],[VKPAL]]-MOD(AB200,AA200)&amp;" VK do plné palety.",VLOOKUP("Zvažte možnost doobjednání ještě ",Jazyky_ceník!A:Q,MATCH($W$17,Jazyky_ceník!$A$1:$Q$1,0),FALSE)&amp;Tabulka1[[#This Row],[VKPAL]]-MOD(AB200,AA200)&amp;VLOOKUP(" VK do plné palety.",Jazyky_ceník!A:Q,MATCH($W$17,Jazyky_ceník!$A$1:$Q$1,0),FALSE)),IFERROR(IF(AND(NOT(MOD($AB200,$AA200)=0),$AB200&gt;=0.9*$AA200,MOD($AB200,$AA200)&lt;=0.1*$AA200),IF($W$17=$AF$1,"Zvažte možnost optimalizace objednaného množství podle počtu VK na paletě ==&gt;",VLOOKUP("Zvažte možnost optimalizace objednaného množství podle počtu VK na paletě ==&gt;",Jazyky_ceník!A:Q,MATCH($W$17,Jazyky_ceník!$A$1:$Q$1,0),FALSE)),VLOOKUP('General price list'!$C200,Popisy!A:M,MATCH($W$17,Popisy!$A$7:$M$7,0),FALSE)),"---------------")),IFERROR(VLOOKUP('General price list'!$C200,Popisy!A:M,MATCH($W$17,Popisy!$A$7:$M$7,0),FALSE),"---------------"))</f>
        <v>5 různobarevných efektů</v>
      </c>
      <c r="X200" s="645" t="str">
        <f t="shared" si="472"/>
        <v/>
      </c>
      <c r="Y200" s="645" t="str">
        <f t="shared" si="473"/>
        <v/>
      </c>
      <c r="Z200" s="645" t="str">
        <f>HYPERLINK("https://www.klasekpyrotechnics.cz/ss20sig14")</f>
        <v>https://www.klasekpyrotechnics.cz/ss20sig14</v>
      </c>
      <c r="AA200" s="645">
        <f>IFERROR(IF(VLOOKUP(C200,[4]List1!$A:$D,4,FALSE)=0,"",VLOOKUP(C200,[4]List1!$A:$D,4,FALSE)),"")</f>
        <v>28</v>
      </c>
      <c r="AB200" s="646"/>
      <c r="AC200" s="647" t="str">
        <f>IFERROR(IF(VLOOKUP(C200,[1]List1!$A:$D,2,FALSE)="VYPRODÁNO",$V$9,IF(VLOOKUP(C200,[1]List1!$A:$D,2,FALSE)="DOCHÁZÍ",$V$3,VLOOKUP(C200,[1]List1!$A:$D,2,FALSE))),"OFFLINE!")</f>
        <v>SKLADEM</v>
      </c>
      <c r="AD200" s="647" t="str">
        <f ca="1">IF(AP200="NE",$V$10,IF(AC200=$V$3,IF(AQ200&lt;1,$V$8,$V$2&amp;" "&amp;AQ200&amp;" "&amp;$V$1),IF(AC200="SKLADEM",$V$6,IFERROR(IF(OR(AC200-TODAY()&gt;45,VLOOKUP(C200,[1]List1!$A:$E,4,FALSE)=0),AC200,DAY(AC200)&amp;"."&amp;MONTH(AC200)&amp;"."&amp;YEAR(AC200)&amp;" "&amp;$V$4&amp;VLOOKUP(C200,[1]List1!$A:$E,4,FALSE)&amp;" "&amp;$V$1),AC200))))</f>
        <v>SKLADEM</v>
      </c>
      <c r="AE200" s="645" t="str">
        <f t="shared" ca="1" si="474"/>
        <v>SKLADEM</v>
      </c>
      <c r="AF200" s="648">
        <f t="shared" si="475"/>
        <v>0</v>
      </c>
      <c r="AG200" s="649">
        <f t="shared" si="476"/>
        <v>0</v>
      </c>
      <c r="AH200" s="650">
        <f t="shared" si="477"/>
        <v>0</v>
      </c>
      <c r="AI200" s="645">
        <f t="shared" si="478"/>
        <v>0</v>
      </c>
      <c r="AJ200" s="645">
        <f t="shared" si="479"/>
        <v>0</v>
      </c>
      <c r="AK200" s="645" t="str">
        <f t="shared" si="480"/>
        <v/>
      </c>
      <c r="AL200" s="645" t="str">
        <f t="shared" si="481"/>
        <v/>
      </c>
      <c r="AM200" s="645">
        <f t="shared" si="482"/>
        <v>0</v>
      </c>
      <c r="AN200" s="651">
        <f t="shared" si="483"/>
        <v>0</v>
      </c>
      <c r="AO200" s="623"/>
      <c r="AP200" s="625" t="str">
        <f t="shared" si="349"/>
        <v/>
      </c>
      <c r="AQ200" s="625" t="str">
        <f>IF(AC200=$V$3,IF(VLOOKUP(C200,[1]List1!$A:$E,5,FALSE)=0,1,VLOOKUP(C200,[1]List1!$A:$E,5,FALSE)),"")</f>
        <v/>
      </c>
      <c r="AR200" s="629" t="str">
        <f t="shared" si="350"/>
        <v/>
      </c>
      <c r="AS200" s="630" t="str">
        <f t="shared" si="399"/>
        <v/>
      </c>
      <c r="AT200" s="625" t="str">
        <f t="shared" si="352"/>
        <v/>
      </c>
      <c r="AU200" s="625" t="e">
        <f t="shared" si="353"/>
        <v>#N/A</v>
      </c>
      <c r="AV200" s="625" t="e">
        <f t="shared" si="354"/>
        <v>#N/A</v>
      </c>
      <c r="AW200" s="631"/>
      <c r="AX200" s="631">
        <f>IF(AND('General price list'!$J200="F4",'General price list'!$AB200+0&gt;0),1,0)</f>
        <v>0</v>
      </c>
      <c r="AY200" s="631">
        <f t="shared" si="355"/>
        <v>1</v>
      </c>
      <c r="AZ200" s="631">
        <f t="shared" si="356"/>
        <v>0</v>
      </c>
    </row>
    <row r="201" spans="1:52" ht="15" customHeight="1">
      <c r="A201" s="621" t="str">
        <f>Kat.!C201</f>
        <v/>
      </c>
      <c r="B201" s="566">
        <f>IF(AND('General price list'!$J201="F4",$AI$1=FALSE),0,IF(AC201="SKLADEM",1,IF(AC201=$V$3,1,0)))</f>
        <v>0</v>
      </c>
      <c r="C201" s="567" t="s">
        <v>2234</v>
      </c>
      <c r="D201" s="568" t="s">
        <v>2235</v>
      </c>
      <c r="E201" s="763" t="s">
        <v>12698</v>
      </c>
      <c r="F201" s="772">
        <f>IFERROR(VLOOKUP(C201,[2]List1!$A:$D,3,FALSE),"NEUVEDENO!")</f>
        <v>151</v>
      </c>
      <c r="G201" s="769">
        <f t="shared" si="470"/>
        <v>151</v>
      </c>
      <c r="H201" s="766">
        <f t="shared" si="471"/>
        <v>6.4142591955414527</v>
      </c>
      <c r="I201" s="764">
        <f>IFERROR(VLOOKUP(C201,[2]List1!$A:$D,4,FALSE),"NEUVEDENO!")</f>
        <v>24</v>
      </c>
      <c r="J201" s="732" t="s">
        <v>39</v>
      </c>
      <c r="K201" s="569" t="s">
        <v>20</v>
      </c>
      <c r="L201" s="569" t="s">
        <v>10981</v>
      </c>
      <c r="M201" s="569" t="s">
        <v>21</v>
      </c>
      <c r="N201" s="569">
        <f>IFERROR(VLOOKUP(C201,[3]List1!$A:$D,4,FALSE),"N/A!")</f>
        <v>4.3511999999999995E-2</v>
      </c>
      <c r="O201" s="569">
        <f>IFERROR(VLOOKUP(C201,[3]List1!$A:$D,3,FALSE),"N/A!")</f>
        <v>1584</v>
      </c>
      <c r="P201" s="569">
        <f>IFERROR(VLOOKUP(C201,[3]List1!$A:$D,2,FALSE),"N/A!")</f>
        <v>11500</v>
      </c>
      <c r="Q201" s="569" t="s">
        <v>11241</v>
      </c>
      <c r="R201" s="569"/>
      <c r="S201" s="569"/>
      <c r="T201" s="569"/>
      <c r="U201" s="569"/>
      <c r="V201" s="569"/>
      <c r="W201" s="569" t="str">
        <f>IFERROR(IF(AND($AB201&gt;=0.1*$AA201,MOD($AB201,$AA201)&gt;=($AA201-(0.1*$AA201))),IF($W$17=$AF$1,"Zvažte možnost doobjednání ještě "&amp;Tabulka1[[#This Row],[VKPAL]]-MOD(AB201,AA201)&amp;" VK do plné palety.",VLOOKUP("Zvažte možnost doobjednání ještě ",Jazyky_ceník!A:Q,MATCH($W$17,Jazyky_ceník!$A$1:$Q$1,0),FALSE)&amp;Tabulka1[[#This Row],[VKPAL]]-MOD(AB201,AA201)&amp;VLOOKUP(" VK do plné palety.",Jazyky_ceník!A:Q,MATCH($W$17,Jazyky_ceník!$A$1:$Q$1,0),FALSE)),IFERROR(IF(AND(NOT(MOD($AB201,$AA201)=0),$AB201&gt;=0.9*$AA201,MOD($AB201,$AA201)&lt;=0.1*$AA201),IF($W$17=$AF$1,"Zvažte možnost optimalizace objednaného množství podle počtu VK na paletě ==&gt;",VLOOKUP("Zvažte možnost optimalizace objednaného množství podle počtu VK na paletě ==&gt;",Jazyky_ceník!A:Q,MATCH($W$17,Jazyky_ceník!$A$1:$Q$1,0),FALSE)),VLOOKUP('General price list'!$C201,Popisy!A:M,MATCH($W$17,Popisy!$A$7:$M$7,0),FALSE)),"---------------")),IFERROR(VLOOKUP('General price list'!$C201,Popisy!A:M,MATCH($W$17,Popisy!$A$7:$M$7,0),FALSE),"---------------"))</f>
        <v>pískající stopa</v>
      </c>
      <c r="X201" s="569" t="str">
        <f t="shared" si="472"/>
        <v/>
      </c>
      <c r="Y201" s="569" t="str">
        <f t="shared" si="473"/>
        <v/>
      </c>
      <c r="Z201" s="569" t="str">
        <f>HYPERLINK("https://www.klasekpyrotechnics.cz/ss25sc")</f>
        <v>https://www.klasekpyrotechnics.cz/ss25sc</v>
      </c>
      <c r="AA201" s="569">
        <f>IFERROR(IF(VLOOKUP(C201,[4]List1!$A:$D,4,FALSE)=0,"",VLOOKUP(C201,[4]List1!$A:$D,4,FALSE)),"")</f>
        <v>36</v>
      </c>
      <c r="AB201" s="565"/>
      <c r="AC201" s="570" t="str">
        <f>IFERROR(IF(VLOOKUP(C201,[1]List1!$A:$D,2,FALSE)="VYPRODÁNO",$V$9,IF(VLOOKUP(C201,[1]List1!$A:$D,2,FALSE)="DOCHÁZÍ",$V$3,VLOOKUP(C201,[1]List1!$A:$D,2,FALSE))),"OFFLINE!")</f>
        <v>31.08.2026</v>
      </c>
      <c r="AD201" s="570" t="str">
        <f ca="1">IF(AP201="NE",$V$10,IF(AC201=$V$3,IF(AQ201&lt;1,$V$8,$V$2&amp;" "&amp;AQ201&amp;" "&amp;$V$1),IF(AC201="SKLADEM",$V$6,IFERROR(IF(OR(AC201-TODAY()&gt;45,VLOOKUP(C201,[1]List1!$A:$E,4,FALSE)=0),AC201,DAY(AC201)&amp;"."&amp;MONTH(AC201)&amp;"."&amp;YEAR(AC201)&amp;" "&amp;$V$4&amp;VLOOKUP(C201,[1]List1!$A:$E,4,FALSE)&amp;" "&amp;$V$1),AC201))))</f>
        <v>31.08.2026</v>
      </c>
      <c r="AE201" s="581" t="str">
        <f t="shared" ca="1" si="474"/>
        <v>31.08.2026</v>
      </c>
      <c r="AF201" s="584">
        <f t="shared" si="475"/>
        <v>0</v>
      </c>
      <c r="AG201" s="585">
        <f t="shared" si="476"/>
        <v>0</v>
      </c>
      <c r="AH201" s="583">
        <f t="shared" si="477"/>
        <v>0</v>
      </c>
      <c r="AI201" s="582">
        <f t="shared" si="478"/>
        <v>0</v>
      </c>
      <c r="AJ201" s="569">
        <f t="shared" si="479"/>
        <v>0</v>
      </c>
      <c r="AK201" s="569" t="str">
        <f t="shared" si="480"/>
        <v/>
      </c>
      <c r="AL201" s="569" t="str">
        <f t="shared" si="481"/>
        <v/>
      </c>
      <c r="AM201" s="569">
        <f t="shared" si="482"/>
        <v>0</v>
      </c>
      <c r="AN201" s="581">
        <f t="shared" si="483"/>
        <v>0</v>
      </c>
      <c r="AO201" s="623"/>
      <c r="AP201" s="632" t="str">
        <f t="shared" si="349"/>
        <v/>
      </c>
      <c r="AQ201" s="633" t="str">
        <f>IF(AC201=$V$3,IF(VLOOKUP(C201,[1]List1!$A:$E,5,FALSE)=0,1,VLOOKUP(C201,[1]List1!$A:$E,5,FALSE)),"")</f>
        <v/>
      </c>
      <c r="AR201" s="625" t="str">
        <f t="shared" si="350"/>
        <v/>
      </c>
      <c r="AS201" s="634" t="str">
        <f t="shared" si="399"/>
        <v/>
      </c>
      <c r="AT201" s="625" t="str">
        <f t="shared" si="352"/>
        <v/>
      </c>
      <c r="AU201" s="638" t="e">
        <f t="shared" si="353"/>
        <v>#N/A</v>
      </c>
      <c r="AV201" s="625" t="e">
        <f t="shared" si="354"/>
        <v>#N/A</v>
      </c>
      <c r="AX201" s="625">
        <f>IF(AND('General price list'!$J201="F4",'General price list'!$AB201+0&gt;0),1,0)</f>
        <v>0</v>
      </c>
      <c r="AY201" s="625">
        <f t="shared" si="355"/>
        <v>1</v>
      </c>
      <c r="AZ201" s="625">
        <f t="shared" si="356"/>
        <v>0</v>
      </c>
    </row>
    <row r="202" spans="1:52" ht="15" customHeight="1">
      <c r="A202" s="639" t="str">
        <f>Kat.!C202</f>
        <v/>
      </c>
      <c r="B202" s="640">
        <f>IF(AND('General price list'!$J202="F4",$AI$1=FALSE),0,IF(AC202="SKLADEM",1,IF(AC202=$V$3,1,0)))</f>
        <v>1</v>
      </c>
      <c r="C202" s="641" t="s">
        <v>12175</v>
      </c>
      <c r="D202" s="642" t="s">
        <v>12176</v>
      </c>
      <c r="E202" s="643" t="s">
        <v>12698</v>
      </c>
      <c r="F202" s="771">
        <f>IFERROR(VLOOKUP(C202,[2]List1!$A:$D,3,FALSE),"NEUVEDENO!")</f>
        <v>114</v>
      </c>
      <c r="G202" s="768">
        <f t="shared" si="470"/>
        <v>114</v>
      </c>
      <c r="H202" s="765">
        <f t="shared" si="471"/>
        <v>4.8425532999452026</v>
      </c>
      <c r="I202" s="644">
        <f>IFERROR(VLOOKUP(C202,[2]List1!$A:$D,4,FALSE),"NEUVEDENO!")</f>
        <v>24</v>
      </c>
      <c r="J202" s="733" t="s">
        <v>39</v>
      </c>
      <c r="K202" s="645" t="s">
        <v>20</v>
      </c>
      <c r="L202" s="645"/>
      <c r="M202" s="645" t="s">
        <v>21</v>
      </c>
      <c r="N202" s="645">
        <f>IFERROR(VLOOKUP(C202,[3]List1!$A:$D,4,FALSE),"N/A!")</f>
        <v>4.3511999999999995E-2</v>
      </c>
      <c r="O202" s="645">
        <f>IFERROR(VLOOKUP(C202,[3]List1!$A:$D,3,FALSE),"N/A!")</f>
        <v>2880</v>
      </c>
      <c r="P202" s="645">
        <f>IFERROR(VLOOKUP(C202,[3]List1!$A:$D,2,FALSE),"N/A!")</f>
        <v>12000</v>
      </c>
      <c r="Q202" s="645" t="s">
        <v>11241</v>
      </c>
      <c r="R202" s="645"/>
      <c r="S202" s="645"/>
      <c r="T202" s="645"/>
      <c r="U202" s="645">
        <v>40</v>
      </c>
      <c r="V202" s="645">
        <v>26</v>
      </c>
      <c r="W202" s="645" t="str">
        <f>IFERROR(IF(AND($AB202&gt;=0.1*$AA202,MOD($AB202,$AA202)&gt;=($AA202-(0.1*$AA202))),IF($W$17=$AF$1,"Zvažte možnost doobjednání ještě "&amp;Tabulka1[[#This Row],[VKPAL]]-MOD(AB202,AA202)&amp;" VK do plné palety.",VLOOKUP("Zvažte možnost doobjednání ještě ",Jazyky_ceník!A:Q,MATCH($W$17,Jazyky_ceník!$A$1:$Q$1,0),FALSE)&amp;Tabulka1[[#This Row],[VKPAL]]-MOD(AB202,AA202)&amp;VLOOKUP(" VK do plné palety.",Jazyky_ceník!A:Q,MATCH($W$17,Jazyky_ceník!$A$1:$Q$1,0),FALSE)),IFERROR(IF(AND(NOT(MOD($AB202,$AA202)=0),$AB202&gt;=0.9*$AA202,MOD($AB202,$AA202)&lt;=0.1*$AA202),IF($W$17=$AF$1,"Zvažte možnost optimalizace objednaného množství podle počtu VK na paletě ==&gt;",VLOOKUP("Zvažte možnost optimalizace objednaného množství podle počtu VK na paletě ==&gt;",Jazyky_ceník!A:Q,MATCH($W$17,Jazyky_ceník!$A$1:$Q$1,0),FALSE)),VLOOKUP('General price list'!$C202,Popisy!A:M,MATCH($W$17,Popisy!$A$7:$M$7,0),FALSE)),"---------------")),IFERROR(VLOOKUP('General price list'!$C202,Popisy!A:M,MATCH($W$17,Popisy!$A$7:$M$7,0),FALSE),"---------------"))</f>
        <v>6 různobarevných efektů</v>
      </c>
      <c r="X202" s="645" t="str">
        <f t="shared" si="472"/>
        <v/>
      </c>
      <c r="Y202" s="645" t="str">
        <f t="shared" si="473"/>
        <v/>
      </c>
      <c r="Z202" s="645" t="str">
        <f>HYPERLINK("https://www.klasekpyrotechnics.cz/ss25sig14")</f>
        <v>https://www.klasekpyrotechnics.cz/ss25sig14</v>
      </c>
      <c r="AA202" s="645">
        <f>IFERROR(IF(VLOOKUP(C202,[4]List1!$A:$D,4,FALSE)=0,"",VLOOKUP(C202,[4]List1!$A:$D,4,FALSE)),"")</f>
        <v>24</v>
      </c>
      <c r="AB202" s="646"/>
      <c r="AC202" s="647" t="str">
        <f>IFERROR(IF(VLOOKUP(C202,[1]List1!$A:$D,2,FALSE)="VYPRODÁNO",$V$9,IF(VLOOKUP(C202,[1]List1!$A:$D,2,FALSE)="DOCHÁZÍ",$V$3,VLOOKUP(C202,[1]List1!$A:$D,2,FALSE))),"OFFLINE!")</f>
        <v>SKLADEM</v>
      </c>
      <c r="AD202" s="647" t="str">
        <f ca="1">IF(AP202="NE",$V$10,IF(AC202=$V$3,IF(AQ202&lt;1,$V$8,$V$2&amp;" "&amp;AQ202&amp;" "&amp;$V$1),IF(AC202="SKLADEM",$V$6,IFERROR(IF(OR(AC202-TODAY()&gt;45,VLOOKUP(C202,[1]List1!$A:$E,4,FALSE)=0),AC202,DAY(AC202)&amp;"."&amp;MONTH(AC202)&amp;"."&amp;YEAR(AC202)&amp;" "&amp;$V$4&amp;VLOOKUP(C202,[1]List1!$A:$E,4,FALSE)&amp;" "&amp;$V$1),AC202))))</f>
        <v>SKLADEM</v>
      </c>
      <c r="AE202" s="645" t="str">
        <f t="shared" ca="1" si="474"/>
        <v>SKLADEM</v>
      </c>
      <c r="AF202" s="648">
        <f t="shared" si="475"/>
        <v>0</v>
      </c>
      <c r="AG202" s="649">
        <f t="shared" si="476"/>
        <v>0</v>
      </c>
      <c r="AH202" s="650">
        <f t="shared" si="477"/>
        <v>0</v>
      </c>
      <c r="AI202" s="645">
        <f t="shared" si="478"/>
        <v>0</v>
      </c>
      <c r="AJ202" s="645">
        <f t="shared" si="479"/>
        <v>0</v>
      </c>
      <c r="AK202" s="645" t="str">
        <f t="shared" si="480"/>
        <v/>
      </c>
      <c r="AL202" s="645" t="str">
        <f t="shared" si="481"/>
        <v/>
      </c>
      <c r="AM202" s="645">
        <f t="shared" si="482"/>
        <v>0</v>
      </c>
      <c r="AN202" s="651">
        <f t="shared" si="483"/>
        <v>0</v>
      </c>
      <c r="AO202" s="623"/>
      <c r="AP202" s="632" t="str">
        <f t="shared" si="349"/>
        <v/>
      </c>
      <c r="AQ202" s="633" t="str">
        <f>IF(AC202=$V$3,IF(VLOOKUP(C202,[1]List1!$A:$E,5,FALSE)=0,1,VLOOKUP(C202,[1]List1!$A:$E,5,FALSE)),"")</f>
        <v/>
      </c>
      <c r="AR202" s="625" t="str">
        <f t="shared" si="350"/>
        <v/>
      </c>
      <c r="AS202" s="634" t="str">
        <f t="shared" si="399"/>
        <v/>
      </c>
      <c r="AT202" s="625" t="str">
        <f t="shared" si="352"/>
        <v/>
      </c>
      <c r="AU202" s="638" t="e">
        <f t="shared" si="353"/>
        <v>#N/A</v>
      </c>
      <c r="AV202" s="625" t="e">
        <f t="shared" si="354"/>
        <v>#N/A</v>
      </c>
      <c r="AX202" s="625">
        <f>IF(AND('General price list'!$J202="F4",'General price list'!$AB202+0&gt;0),1,0)</f>
        <v>0</v>
      </c>
      <c r="AY202" s="625">
        <f t="shared" si="355"/>
        <v>1</v>
      </c>
      <c r="AZ202" s="625">
        <f t="shared" si="356"/>
        <v>0</v>
      </c>
    </row>
    <row r="203" spans="1:52" ht="15.75" customHeight="1">
      <c r="A203" s="621" t="str">
        <f>Kat.!C203</f>
        <v/>
      </c>
      <c r="B203" s="566">
        <f>IF(AND('General price list'!$J203="F4",$AI$1=FALSE),0,IF(AC203="SKLADEM",1,IF(AC203=$V$3,1,0)))</f>
        <v>0</v>
      </c>
      <c r="C203" s="641" t="s">
        <v>12445</v>
      </c>
      <c r="D203" s="568" t="s">
        <v>12519</v>
      </c>
      <c r="E203" s="763" t="s">
        <v>12698</v>
      </c>
      <c r="F203" s="772">
        <f>IFERROR(VLOOKUP(C203,[2]List1!$A:$D,3,FALSE),"NEUVEDENO!")</f>
        <v>114</v>
      </c>
      <c r="G203" s="769">
        <f t="shared" si="470"/>
        <v>114</v>
      </c>
      <c r="H203" s="766">
        <f t="shared" si="471"/>
        <v>4.8425532999452026</v>
      </c>
      <c r="I203" s="764">
        <f>IFERROR(VLOOKUP(C203,[2]List1!$A:$D,4,FALSE),"NEUVEDENO!")</f>
        <v>24</v>
      </c>
      <c r="J203" s="732" t="s">
        <v>39</v>
      </c>
      <c r="K203" s="569">
        <v>4</v>
      </c>
      <c r="L203" s="569"/>
      <c r="M203" s="569" t="s">
        <v>21</v>
      </c>
      <c r="N203" s="569">
        <f>IFERROR(VLOOKUP(C203,[3]List1!$A:$D,4,FALSE),"N/A!")</f>
        <v>4.3511999999999995E-2</v>
      </c>
      <c r="O203" s="569">
        <f>IFERROR(VLOOKUP(C203,[3]List1!$A:$D,3,FALSE),"N/A!")</f>
        <v>2304</v>
      </c>
      <c r="P203" s="569">
        <f>IFERROR(VLOOKUP(C203,[3]List1!$A:$D,2,FALSE),"N/A!")</f>
        <v>11500</v>
      </c>
      <c r="Q203" s="569" t="s">
        <v>11241</v>
      </c>
      <c r="R203" s="569"/>
      <c r="S203" s="569"/>
      <c r="T203" s="569"/>
      <c r="U203" s="569"/>
      <c r="V203" s="569"/>
      <c r="W203" s="569" t="str">
        <f>IFERROR(IF(AND($AB203&gt;=0.1*$AA203,MOD($AB203,$AA203)&gt;=($AA203-(0.1*$AA203))),IF($W$17=$AF$1,"Zvažte možnost doobjednání ještě "&amp;Tabulka1[[#This Row],[VKPAL]]-MOD(AB203,AA203)&amp;" VK do plné palety.",VLOOKUP("Zvažte možnost doobjednání ještě ",Jazyky_ceník!A:Q,MATCH($W$17,Jazyky_ceník!$A$1:$Q$1,0),FALSE)&amp;Tabulka1[[#This Row],[VKPAL]]-MOD(AB203,AA203)&amp;VLOOKUP(" VK do plné palety.",Jazyky_ceník!A:Q,MATCH($W$17,Jazyky_ceník!$A$1:$Q$1,0),FALSE)),IFERROR(IF(AND(NOT(MOD($AB203,$AA203)=0),$AB203&gt;=0.9*$AA203,MOD($AB203,$AA203)&lt;=0.1*$AA203),IF($W$17=$AF$1,"Zvažte možnost optimalizace objednaného množství podle počtu VK na paletě ==&gt;",VLOOKUP("Zvažte možnost optimalizace objednaného množství podle počtu VK na paletě ==&gt;",Jazyky_ceník!A:Q,MATCH($W$17,Jazyky_ceník!$A$1:$Q$1,0),FALSE)),VLOOKUP('General price list'!$C203,Popisy!A:M,MATCH($W$17,Popisy!$A$7:$M$7,0),FALSE)),"---------------")),IFERROR(VLOOKUP('General price list'!$C203,Popisy!A:M,MATCH($W$17,Popisy!$A$7:$M$7,0),FALSE),"---------------"))</f>
        <v>stříbrný výmet+červená stopa a titanová detonace</v>
      </c>
      <c r="X203" s="569" t="str">
        <f t="shared" si="472"/>
        <v/>
      </c>
      <c r="Y203" s="569" t="str">
        <f t="shared" si="473"/>
        <v/>
      </c>
      <c r="Z203" s="569" t="str">
        <f>HYPERLINK("https://www.klasekpyrotechnics.cz/ss25du14")</f>
        <v>https://www.klasekpyrotechnics.cz/ss25du14</v>
      </c>
      <c r="AA203" s="569">
        <f>IFERROR(IF(VLOOKUP(C203,[4]List1!$A:$D,4,FALSE)=0,"",VLOOKUP(C203,[4]List1!$A:$D,4,FALSE)),"")</f>
        <v>24</v>
      </c>
      <c r="AB203" s="565"/>
      <c r="AC203" s="570" t="str">
        <f>IFERROR(IF(VLOOKUP(C203,[1]List1!$A:$D,2,FALSE)="VYPRODÁNO",$V$9,IF(VLOOKUP(C203,[1]List1!$A:$D,2,FALSE)="DOCHÁZÍ",$V$3,VLOOKUP(C203,[1]List1!$A:$D,2,FALSE))),"OFFLINE!")</f>
        <v>31.08.2026</v>
      </c>
      <c r="AD203" s="570" t="str">
        <f ca="1">IF(AP203="NE",$V$10,IF(AC203=$V$3,IF(AQ203&lt;1,$V$8,$V$2&amp;" "&amp;AQ203&amp;" "&amp;$V$1),IF(AC203="SKLADEM",$V$6,IFERROR(IF(OR(AC203-TODAY()&gt;45,VLOOKUP(C203,[1]List1!$A:$E,4,FALSE)=0),AC203,DAY(AC203)&amp;"."&amp;MONTH(AC203)&amp;"."&amp;YEAR(AC203)&amp;" "&amp;$V$4&amp;VLOOKUP(C203,[1]List1!$A:$E,4,FALSE)&amp;" "&amp;$V$1),AC203))))</f>
        <v>31.08.2026</v>
      </c>
      <c r="AE203" s="581" t="str">
        <f t="shared" ca="1" si="474"/>
        <v>31.08.2026</v>
      </c>
      <c r="AF203" s="584">
        <f t="shared" si="475"/>
        <v>0</v>
      </c>
      <c r="AG203" s="585">
        <f t="shared" si="476"/>
        <v>0</v>
      </c>
      <c r="AH203" s="583">
        <f t="shared" si="477"/>
        <v>0</v>
      </c>
      <c r="AI203" s="582">
        <f t="shared" si="478"/>
        <v>0</v>
      </c>
      <c r="AJ203" s="569">
        <f t="shared" si="479"/>
        <v>0</v>
      </c>
      <c r="AK203" s="569" t="str">
        <f t="shared" si="480"/>
        <v/>
      </c>
      <c r="AL203" s="569" t="str">
        <f t="shared" si="481"/>
        <v/>
      </c>
      <c r="AM203" s="569">
        <f t="shared" si="482"/>
        <v>0</v>
      </c>
      <c r="AN203" s="581">
        <f t="shared" si="483"/>
        <v>0</v>
      </c>
      <c r="AO203" s="623"/>
      <c r="AP203" s="625" t="str">
        <f t="shared" si="349"/>
        <v/>
      </c>
      <c r="AQ203" s="625" t="str">
        <f>IF(AC203=$V$3,IF(VLOOKUP(C203,[1]List1!$A:$E,5,FALSE)=0,1,VLOOKUP(C203,[1]List1!$A:$E,5,FALSE)),"")</f>
        <v/>
      </c>
      <c r="AR203" s="629" t="str">
        <f t="shared" si="350"/>
        <v/>
      </c>
      <c r="AS203" s="630" t="str">
        <f t="shared" si="399"/>
        <v/>
      </c>
      <c r="AT203" s="625" t="str">
        <f t="shared" si="352"/>
        <v/>
      </c>
      <c r="AU203" s="625" t="e">
        <f t="shared" si="353"/>
        <v>#N/A</v>
      </c>
      <c r="AV203" s="625" t="e">
        <f t="shared" si="354"/>
        <v>#N/A</v>
      </c>
      <c r="AW203" s="631"/>
      <c r="AX203" s="631">
        <f>IF(AND('General price list'!$J203="F4",'General price list'!$AB203+0&gt;0),1,0)</f>
        <v>0</v>
      </c>
      <c r="AY203" s="631">
        <f t="shared" si="355"/>
        <v>1</v>
      </c>
      <c r="AZ203" s="631">
        <f t="shared" si="356"/>
        <v>0</v>
      </c>
    </row>
    <row r="204" spans="1:52" ht="15" customHeight="1">
      <c r="A204" s="639" t="str">
        <f>Kat.!C204</f>
        <v/>
      </c>
      <c r="B204" s="640">
        <f>IF(AND('General price list'!$J204="F4",$AI$1=FALSE),0,IF(AC204="SKLADEM",1,IF(AC204=$V$3,1,0)))</f>
        <v>0</v>
      </c>
      <c r="C204" s="641" t="s">
        <v>12446</v>
      </c>
      <c r="D204" s="642" t="s">
        <v>604</v>
      </c>
      <c r="E204" s="643" t="s">
        <v>12699</v>
      </c>
      <c r="F204" s="771">
        <f>IFERROR(VLOOKUP(C204,[2]List1!$A:$D,3,FALSE),"NEUVEDENO!")</f>
        <v>117</v>
      </c>
      <c r="G204" s="768">
        <f t="shared" si="470"/>
        <v>117</v>
      </c>
      <c r="H204" s="765">
        <f t="shared" si="471"/>
        <v>4.9699889131016555</v>
      </c>
      <c r="I204" s="644">
        <f>IFERROR(VLOOKUP(C204,[2]List1!$A:$D,4,FALSE),"NEUVEDENO!")</f>
        <v>30</v>
      </c>
      <c r="J204" s="733" t="s">
        <v>39</v>
      </c>
      <c r="K204" s="645">
        <v>4</v>
      </c>
      <c r="L204" s="645"/>
      <c r="M204" s="645" t="s">
        <v>21</v>
      </c>
      <c r="N204" s="645">
        <f>IFERROR(VLOOKUP(C204,[3]List1!$A:$D,4,FALSE),"N/A!")</f>
        <v>6.0290999999999997E-2</v>
      </c>
      <c r="O204" s="645">
        <f>IFERROR(VLOOKUP(C204,[3]List1!$A:$D,3,FALSE),"N/A!")</f>
        <v>2400</v>
      </c>
      <c r="P204" s="645">
        <f>IFERROR(VLOOKUP(C204,[3]List1!$A:$D,2,FALSE),"N/A!")</f>
        <v>17550</v>
      </c>
      <c r="Q204" s="645" t="s">
        <v>11244</v>
      </c>
      <c r="R204" s="645"/>
      <c r="S204" s="645"/>
      <c r="T204" s="645"/>
      <c r="U204" s="645">
        <v>40</v>
      </c>
      <c r="V204" s="645">
        <v>27</v>
      </c>
      <c r="W204" s="645" t="str">
        <f>IFERROR(IF(AND($AB204&gt;=0.1*$AA204,MOD($AB204,$AA204)&gt;=($AA204-(0.1*$AA204))),IF($W$17=$AF$1,"Zvažte možnost doobjednání ještě "&amp;Tabulka1[[#This Row],[VKPAL]]-MOD(AB204,AA204)&amp;" VK do plné palety.",VLOOKUP("Zvažte možnost doobjednání ještě ",Jazyky_ceník!A:Q,MATCH($W$17,Jazyky_ceník!$A$1:$Q$1,0),FALSE)&amp;Tabulka1[[#This Row],[VKPAL]]-MOD(AB204,AA204)&amp;VLOOKUP(" VK do plné palety.",Jazyky_ceník!A:Q,MATCH($W$17,Jazyky_ceník!$A$1:$Q$1,0),FALSE)),IFERROR(IF(AND(NOT(MOD($AB204,$AA204)=0),$AB204&gt;=0.9*$AA204,MOD($AB204,$AA204)&lt;=0.1*$AA204),IF($W$17=$AF$1,"Zvažte možnost optimalizace objednaného množství podle počtu VK na paletě ==&gt;",VLOOKUP("Zvažte možnost optimalizace objednaného množství podle počtu VK na paletě ==&gt;",Jazyky_ceník!A:Q,MATCH($W$17,Jazyky_ceník!$A$1:$Q$1,0),FALSE)),VLOOKUP('General price list'!$C204,Popisy!A:M,MATCH($W$17,Popisy!$A$7:$M$7,0),FALSE)),"---------------")),IFERROR(VLOOKUP('General price list'!$C204,Popisy!A:M,MATCH($W$17,Popisy!$A$7:$M$7,0),FALSE),"---------------"))</f>
        <v>4 různobarevné efekty</v>
      </c>
      <c r="X204" s="645" t="str">
        <f t="shared" si="472"/>
        <v/>
      </c>
      <c r="Y204" s="645" t="str">
        <f t="shared" si="473"/>
        <v/>
      </c>
      <c r="Z204" s="645" t="str">
        <f>HYPERLINK("https://www.klasekpyrotechnics.cz/ss30a14")</f>
        <v>https://www.klasekpyrotechnics.cz/ss30a14</v>
      </c>
      <c r="AA204" s="645">
        <f>IFERROR(IF(VLOOKUP(C204,[4]List1!$A:$D,4,FALSE)=0,"",VLOOKUP(C204,[4]List1!$A:$D,4,FALSE)),"")</f>
        <v>24</v>
      </c>
      <c r="AB204" s="646"/>
      <c r="AC204" s="647" t="str">
        <f>IFERROR(IF(VLOOKUP(C204,[1]List1!$A:$D,2,FALSE)="VYPRODÁNO",$V$9,IF(VLOOKUP(C204,[1]List1!$A:$D,2,FALSE)="DOCHÁZÍ",$V$3,VLOOKUP(C204,[1]List1!$A:$D,2,FALSE))),"OFFLINE!")</f>
        <v>31.08.2026</v>
      </c>
      <c r="AD204" s="647" t="str">
        <f ca="1">IF(AP204="NE",$V$10,IF(AC204=$V$3,IF(AQ204&lt;1,$V$8,$V$2&amp;" "&amp;AQ204&amp;" "&amp;$V$1),IF(AC204="SKLADEM",$V$6,IFERROR(IF(OR(AC204-TODAY()&gt;45,VLOOKUP(C204,[1]List1!$A:$E,4,FALSE)=0),AC204,DAY(AC204)&amp;"."&amp;MONTH(AC204)&amp;"."&amp;YEAR(AC204)&amp;" "&amp;$V$4&amp;VLOOKUP(C204,[1]List1!$A:$E,4,FALSE)&amp;" "&amp;$V$1),AC204))))</f>
        <v>31.08.2026</v>
      </c>
      <c r="AE204" s="645" t="str">
        <f t="shared" ca="1" si="474"/>
        <v>31.08.2026</v>
      </c>
      <c r="AF204" s="648">
        <f t="shared" si="475"/>
        <v>0</v>
      </c>
      <c r="AG204" s="649">
        <f t="shared" si="476"/>
        <v>0</v>
      </c>
      <c r="AH204" s="650">
        <f t="shared" si="477"/>
        <v>0</v>
      </c>
      <c r="AI204" s="645">
        <f t="shared" si="478"/>
        <v>0</v>
      </c>
      <c r="AJ204" s="645">
        <f t="shared" si="479"/>
        <v>0</v>
      </c>
      <c r="AK204" s="645" t="str">
        <f t="shared" si="480"/>
        <v/>
      </c>
      <c r="AL204" s="645" t="str">
        <f t="shared" si="481"/>
        <v/>
      </c>
      <c r="AM204" s="645">
        <f t="shared" si="482"/>
        <v>0</v>
      </c>
      <c r="AN204" s="651">
        <f t="shared" si="483"/>
        <v>0</v>
      </c>
      <c r="AO204" s="623"/>
      <c r="AP204" s="632" t="str">
        <f t="shared" si="349"/>
        <v/>
      </c>
      <c r="AQ204" s="633" t="str">
        <f>IF(AC204=$V$3,IF(VLOOKUP(C204,[1]List1!$A:$E,5,FALSE)=0,1,VLOOKUP(C204,[1]List1!$A:$E,5,FALSE)),"")</f>
        <v/>
      </c>
      <c r="AR204" s="625" t="str">
        <f t="shared" si="350"/>
        <v/>
      </c>
      <c r="AS204" s="634" t="str">
        <f t="shared" si="399"/>
        <v/>
      </c>
      <c r="AT204" s="625" t="str">
        <f t="shared" si="352"/>
        <v/>
      </c>
      <c r="AU204" s="638" t="e">
        <f t="shared" si="353"/>
        <v>#N/A</v>
      </c>
      <c r="AV204" s="625" t="e">
        <f t="shared" si="354"/>
        <v>#N/A</v>
      </c>
      <c r="AX204" s="625">
        <f>IF(AND('General price list'!$J204="F4",'General price list'!$AB204+0&gt;0),1,0)</f>
        <v>0</v>
      </c>
      <c r="AY204" s="625">
        <f t="shared" si="355"/>
        <v>1</v>
      </c>
      <c r="AZ204" s="625">
        <f t="shared" si="356"/>
        <v>0</v>
      </c>
    </row>
    <row r="205" spans="1:52" ht="15" customHeight="1">
      <c r="A205" s="621" t="str">
        <f>Kat.!C205</f>
        <v/>
      </c>
      <c r="B205" s="566">
        <f>IF(AND('General price list'!$J205="F4",$AI$1=FALSE),0,IF(AC205="SKLADEM",1,IF(AC205=$V$3,1,0)))</f>
        <v>1</v>
      </c>
      <c r="C205" s="567" t="s">
        <v>595</v>
      </c>
      <c r="D205" s="568" t="s">
        <v>596</v>
      </c>
      <c r="E205" s="763" t="s">
        <v>12699</v>
      </c>
      <c r="F205" s="772">
        <f>IFERROR(VLOOKUP(C205,[2]List1!$A:$D,3,FALSE),"NEUVEDENO!")</f>
        <v>135</v>
      </c>
      <c r="G205" s="769">
        <f t="shared" si="470"/>
        <v>135</v>
      </c>
      <c r="H205" s="766">
        <f t="shared" si="471"/>
        <v>5.734602592040372</v>
      </c>
      <c r="I205" s="764">
        <f>IFERROR(VLOOKUP(C205,[2]List1!$A:$D,4,FALSE),"NEUVEDENO!")</f>
        <v>30</v>
      </c>
      <c r="J205" s="732" t="s">
        <v>39</v>
      </c>
      <c r="K205" s="569" t="s">
        <v>20</v>
      </c>
      <c r="L205" s="569" t="s">
        <v>10982</v>
      </c>
      <c r="M205" s="569" t="s">
        <v>21</v>
      </c>
      <c r="N205" s="569">
        <f>IFERROR(VLOOKUP(C205,[3]List1!$A:$D,4,FALSE),"N/A!")</f>
        <v>8.5679999999999992E-2</v>
      </c>
      <c r="O205" s="569">
        <f>IFERROR(VLOOKUP(C205,[3]List1!$A:$D,3,FALSE),"N/A!")</f>
        <v>2880</v>
      </c>
      <c r="P205" s="569">
        <f>IFERROR(VLOOKUP(C205,[3]List1!$A:$D,2,FALSE),"N/A!")</f>
        <v>19000</v>
      </c>
      <c r="Q205" s="569" t="s">
        <v>11244</v>
      </c>
      <c r="R205" s="569"/>
      <c r="S205" s="569"/>
      <c r="T205" s="569"/>
      <c r="U205" s="569">
        <v>44</v>
      </c>
      <c r="V205" s="569">
        <v>30</v>
      </c>
      <c r="W205" s="569" t="str">
        <f>IFERROR(IF(AND($AB205&gt;=0.1*$AA205,MOD($AB205,$AA205)&gt;=($AA205-(0.1*$AA205))),IF($W$17=$AF$1,"Zvažte možnost doobjednání ještě "&amp;Tabulka1[[#This Row],[VKPAL]]-MOD(AB205,AA205)&amp;" VK do plné palety.",VLOOKUP("Zvažte možnost doobjednání ještě ",Jazyky_ceník!A:Q,MATCH($W$17,Jazyky_ceník!$A$1:$Q$1,0),FALSE)&amp;Tabulka1[[#This Row],[VKPAL]]-MOD(AB205,AA205)&amp;VLOOKUP(" VK do plné palety.",Jazyky_ceník!A:Q,MATCH($W$17,Jazyky_ceník!$A$1:$Q$1,0),FALSE)),IFERROR(IF(AND(NOT(MOD($AB205,$AA205)=0),$AB205&gt;=0.9*$AA205,MOD($AB205,$AA205)&lt;=0.1*$AA205),IF($W$17=$AF$1,"Zvažte možnost optimalizace objednaného množství podle počtu VK na paletě ==&gt;",VLOOKUP("Zvažte možnost optimalizace objednaného množství podle počtu VK na paletě ==&gt;",Jazyky_ceník!A:Q,MATCH($W$17,Jazyky_ceník!$A$1:$Q$1,0),FALSE)),VLOOKUP('General price list'!$C205,Popisy!A:M,MATCH($W$17,Popisy!$A$7:$M$7,0),FALSE)),"---------------")),IFERROR(VLOOKUP('General price list'!$C205,Popisy!A:M,MATCH($W$17,Popisy!$A$7:$M$7,0),FALSE),"---------------"))</f>
        <v>4 různobarevné efekty</v>
      </c>
      <c r="X205" s="569" t="str">
        <f t="shared" si="472"/>
        <v/>
      </c>
      <c r="Y205" s="569" t="str">
        <f t="shared" si="473"/>
        <v/>
      </c>
      <c r="Z205" s="569" t="str">
        <f>HYPERLINK("https://www.klasekpyrotechnics.cz/ss30sigf2")</f>
        <v>https://www.klasekpyrotechnics.cz/ss30sigf2</v>
      </c>
      <c r="AA205" s="569">
        <f>IFERROR(IF(VLOOKUP(C205,[4]List1!$A:$D,4,FALSE)=0,"",VLOOKUP(C205,[4]List1!$A:$D,4,FALSE)),"")</f>
        <v>18</v>
      </c>
      <c r="AB205" s="565"/>
      <c r="AC205" s="570" t="str">
        <f>IFERROR(IF(VLOOKUP(C205,[1]List1!$A:$D,2,FALSE)="VYPRODÁNO",$V$9,IF(VLOOKUP(C205,[1]List1!$A:$D,2,FALSE)="DOCHÁZÍ",$V$3,VLOOKUP(C205,[1]List1!$A:$D,2,FALSE))),"OFFLINE!")</f>
        <v>SKLADEM</v>
      </c>
      <c r="AD205" s="570" t="str">
        <f ca="1">IF(AP205="NE",$V$10,IF(AC205=$V$3,IF(AQ205&lt;1,$V$8,$V$2&amp;" "&amp;AQ205&amp;" "&amp;$V$1),IF(AC205="SKLADEM",$V$6,IFERROR(IF(OR(AC205-TODAY()&gt;45,VLOOKUP(C205,[1]List1!$A:$E,4,FALSE)=0),AC205,DAY(AC205)&amp;"."&amp;MONTH(AC205)&amp;"."&amp;YEAR(AC205)&amp;" "&amp;$V$4&amp;VLOOKUP(C205,[1]List1!$A:$E,4,FALSE)&amp;" "&amp;$V$1),AC205))))</f>
        <v>SKLADEM</v>
      </c>
      <c r="AE205" s="581" t="str">
        <f t="shared" ca="1" si="474"/>
        <v>SKLADEM</v>
      </c>
      <c r="AF205" s="584">
        <f t="shared" si="475"/>
        <v>0</v>
      </c>
      <c r="AG205" s="585">
        <f t="shared" si="476"/>
        <v>0</v>
      </c>
      <c r="AH205" s="583">
        <f t="shared" si="477"/>
        <v>0</v>
      </c>
      <c r="AI205" s="582">
        <f t="shared" si="478"/>
        <v>0</v>
      </c>
      <c r="AJ205" s="569">
        <f t="shared" si="479"/>
        <v>0</v>
      </c>
      <c r="AK205" s="569" t="str">
        <f t="shared" si="480"/>
        <v/>
      </c>
      <c r="AL205" s="569" t="str">
        <f t="shared" si="481"/>
        <v/>
      </c>
      <c r="AM205" s="569">
        <f t="shared" si="482"/>
        <v>0</v>
      </c>
      <c r="AN205" s="581">
        <f t="shared" si="483"/>
        <v>0</v>
      </c>
      <c r="AO205" s="623"/>
      <c r="AP205" s="632" t="str">
        <f t="shared" si="349"/>
        <v/>
      </c>
      <c r="AQ205" s="633" t="str">
        <f>IF(AC205=$V$3,IF(VLOOKUP(C205,[1]List1!$A:$E,5,FALSE)=0,1,VLOOKUP(C205,[1]List1!$A:$E,5,FALSE)),"")</f>
        <v/>
      </c>
      <c r="AR205" s="625" t="str">
        <f t="shared" si="350"/>
        <v/>
      </c>
      <c r="AS205" s="634" t="str">
        <f t="shared" si="399"/>
        <v/>
      </c>
      <c r="AT205" s="625" t="str">
        <f t="shared" si="352"/>
        <v/>
      </c>
      <c r="AU205" s="638" t="e">
        <f t="shared" si="353"/>
        <v>#N/A</v>
      </c>
      <c r="AV205" s="625" t="e">
        <f t="shared" si="354"/>
        <v>#N/A</v>
      </c>
      <c r="AX205" s="625">
        <f>IF(AND('General price list'!$J205="F4",'General price list'!$AB205+0&gt;0),1,0)</f>
        <v>0</v>
      </c>
      <c r="AY205" s="625">
        <f t="shared" si="355"/>
        <v>1</v>
      </c>
      <c r="AZ205" s="625">
        <f t="shared" si="356"/>
        <v>0</v>
      </c>
    </row>
    <row r="206" spans="1:52" ht="15.75" customHeight="1">
      <c r="A206" s="751" t="str">
        <f>Kat.!C206</f>
        <v xml:space="preserve">           Vystřelovací trubice F3</v>
      </c>
      <c r="B206" s="751"/>
      <c r="C206" s="751"/>
      <c r="D206" s="751"/>
      <c r="E206" s="751"/>
      <c r="F206" s="751"/>
      <c r="G206" s="751"/>
      <c r="H206" s="751"/>
      <c r="I206" s="752"/>
      <c r="J206" s="752"/>
      <c r="K206" s="752" t="s">
        <v>20</v>
      </c>
      <c r="L206" s="753" t="s">
        <v>20</v>
      </c>
      <c r="M206" s="752"/>
      <c r="N206" s="752"/>
      <c r="O206" s="752"/>
      <c r="P206" s="752"/>
      <c r="Q206" s="752"/>
      <c r="R206" s="752"/>
      <c r="S206" s="752"/>
      <c r="T206" s="752"/>
      <c r="U206" s="752"/>
      <c r="V206" s="752"/>
      <c r="W206" s="752"/>
      <c r="X206" s="752"/>
      <c r="Y206" s="752"/>
      <c r="Z206" s="752" t="s">
        <v>20</v>
      </c>
      <c r="AA206" s="752"/>
      <c r="AB206" s="752"/>
      <c r="AC206" s="754"/>
      <c r="AD206" s="752"/>
      <c r="AE206" s="752"/>
      <c r="AF206" s="752"/>
      <c r="AG206" s="752"/>
      <c r="AH206" s="752"/>
      <c r="AI206" s="752"/>
      <c r="AJ206" s="752"/>
      <c r="AK206" s="752"/>
      <c r="AL206" s="752"/>
      <c r="AM206" s="752"/>
      <c r="AN206" s="752"/>
      <c r="AO206" s="623"/>
      <c r="AP206" s="625" t="str">
        <f t="shared" ref="AP206:AP213" si="484">IF($AL$3=1,IF(Y206=AB206,"","NE"),IF(AR206=$V$10,"NE",""))</f>
        <v/>
      </c>
      <c r="AQ206" s="625" t="str">
        <f>IF(AC206=$V$3,IF(VLOOKUP(C206,[1]List1!$A:$E,5,FALSE)=0,1,VLOOKUP(C206,[1]List1!$A:$E,5,FALSE)),"")</f>
        <v/>
      </c>
      <c r="AR206" s="629" t="str">
        <f t="shared" ref="AR206:AR213" si="485">IF($AL$3=1,"",IF(OR(AB206&lt;&gt;"",AB206&lt;&gt;0),IF(OR(AC206=$V$6,AC206=$V$3,AC206=$V$9),$V$10,""),""))</f>
        <v/>
      </c>
      <c r="AS206" s="630" t="str">
        <f t="shared" si="399"/>
        <v/>
      </c>
      <c r="AT206" s="625" t="str">
        <f t="shared" ref="AT206:AT213" si="486">IF(AND($AL$3=2,AR206="",AB206&lt;&gt;""),AD206,"")</f>
        <v/>
      </c>
      <c r="AU206" s="625" t="e">
        <f t="shared" ref="AU206:AU213" si="487">IF(AT206=$AS$21,AB206,"")</f>
        <v>#N/A</v>
      </c>
      <c r="AV206" s="625" t="e">
        <f t="shared" ref="AV206:AV213" si="488">IF(OR(AB206="",AND(AT206&lt;&gt;"",AU206&lt;&gt;"")),"",$V$10)</f>
        <v>#N/A</v>
      </c>
      <c r="AW206" s="631"/>
      <c r="AX206" s="631">
        <f>IF(AND('General price list'!$J206="F4",'General price list'!$AB206+0&gt;0),1,0)</f>
        <v>0</v>
      </c>
      <c r="AY206" s="631">
        <f t="shared" ref="AY206:AY213" si="489">IFERROR(FIND(VLOOKUP($AC$7,$AD$1:$AE$12,2,FALSE),Q206,1),0)</f>
        <v>0</v>
      </c>
      <c r="AZ206" s="631">
        <f t="shared" ref="AZ206:AZ213" si="490">IFERROR(FIND(VLOOKUP($AC$7,$AD$1:$AE$12,2,FALSE),R206,1),0)</f>
        <v>0</v>
      </c>
    </row>
    <row r="207" spans="1:52" ht="15" customHeight="1">
      <c r="A207" s="639" t="str">
        <f>Kat.!C207</f>
        <v/>
      </c>
      <c r="B207" s="640">
        <f>IF(AND('General price list'!$J207="F4",$AI$1=FALSE),0,IF(AC207="SKLADEM",1,IF(AC207=$V$3,1,0)))</f>
        <v>1</v>
      </c>
      <c r="C207" s="641" t="s">
        <v>601</v>
      </c>
      <c r="D207" s="642" t="s">
        <v>602</v>
      </c>
      <c r="E207" s="643" t="s">
        <v>12699</v>
      </c>
      <c r="F207" s="771">
        <f>IFERROR(VLOOKUP(C207,[2]List1!$A:$D,3,FALSE),"NEUVEDENO!")</f>
        <v>125</v>
      </c>
      <c r="G207" s="768">
        <f t="shared" ref="G207:G210" si="491">IF($W$17=$AF$8,ROUND((F207)/$F$17,2),(F207)*$B$19)</f>
        <v>125</v>
      </c>
      <c r="H207" s="765">
        <f t="shared" ref="H207:H210" si="492">IF($W$17=$AF$8,G207*$B$19,G207/$F$17)</f>
        <v>5.3098172148521963</v>
      </c>
      <c r="I207" s="644">
        <f>IFERROR(VLOOKUP(C207,[2]List1!$A:$D,4,FALSE),"NEUVEDENO!")</f>
        <v>30</v>
      </c>
      <c r="J207" s="733" t="s">
        <v>113</v>
      </c>
      <c r="K207" s="645" t="s">
        <v>20</v>
      </c>
      <c r="L207" s="645" t="s">
        <v>20</v>
      </c>
      <c r="M207" s="645" t="s">
        <v>114</v>
      </c>
      <c r="N207" s="645">
        <f>IFERROR(VLOOKUP(C207,[3]List1!$A:$D,4,FALSE),"N/A!")</f>
        <v>5.3460000000000001E-2</v>
      </c>
      <c r="O207" s="645">
        <f>IFERROR(VLOOKUP(C207,[3]List1!$A:$D,3,FALSE),"N/A!")</f>
        <v>1920</v>
      </c>
      <c r="P207" s="645">
        <f>IFERROR(VLOOKUP(C207,[3]List1!$A:$D,2,FALSE),"N/A!")</f>
        <v>17000</v>
      </c>
      <c r="Q207" s="645" t="s">
        <v>11263</v>
      </c>
      <c r="R207" s="645"/>
      <c r="S207" s="645"/>
      <c r="T207" s="645"/>
      <c r="U207" s="645"/>
      <c r="V207" s="645"/>
      <c r="W207" s="645" t="str">
        <f>IFERROR(IF(AND($AB207&gt;=0.1*$AA207,MOD($AB207,$AA207)&gt;=($AA207-(0.1*$AA207))),IF($W$17=$AF$1,"Zvažte možnost doobjednání ještě "&amp;Tabulka1[[#This Row],[VKPAL]]-MOD(AB207,AA207)&amp;" VK do plné palety.",VLOOKUP("Zvažte možnost doobjednání ještě ",Jazyky_ceník!A:Q,MATCH($W$17,Jazyky_ceník!$A$1:$Q$1,0),FALSE)&amp;Tabulka1[[#This Row],[VKPAL]]-MOD(AB207,AA207)&amp;VLOOKUP(" VK do plné palety.",Jazyky_ceník!A:Q,MATCH($W$17,Jazyky_ceník!$A$1:$Q$1,0),FALSE)),IFERROR(IF(AND(NOT(MOD($AB207,$AA207)=0),$AB207&gt;=0.9*$AA207,MOD($AB207,$AA207)&lt;=0.1*$AA207),IF($W$17=$AF$1,"Zvažte možnost optimalizace objednaného množství podle počtu VK na paletě ==&gt;",VLOOKUP("Zvažte možnost optimalizace objednaného množství podle počtu VK na paletě ==&gt;",Jazyky_ceník!A:Q,MATCH($W$17,Jazyky_ceník!$A$1:$Q$1,0),FALSE)),VLOOKUP('General price list'!$C207,Popisy!A:M,MATCH($W$17,Popisy!$A$7:$M$7,0),FALSE)),"---------------")),IFERROR(VLOOKUP('General price list'!$C207,Popisy!A:M,MATCH($W$17,Popisy!$A$7:$M$7,0),FALSE),"---------------"))</f>
        <v>stříbrný výmet+červená stopa a titanová detonace</v>
      </c>
      <c r="X207" s="645" t="str">
        <f t="shared" ref="X207:X210" si="493">IF(AB207&lt;0.0001,"",AB207)</f>
        <v/>
      </c>
      <c r="Y207" s="645" t="str">
        <f t="shared" ref="Y207:Y210" si="494">IF($AL$3=2,IF(OR(AB207&lt;&gt;"",AB207&lt;&gt;0),AU207,""),IF(C207="","",IF(AB207&lt;0.0001,"",IF(B207=0,"",IF(AQ207&lt;AB207,"",AB207)))))</f>
        <v/>
      </c>
      <c r="Z207" s="645" t="str">
        <f>HYPERLINK("https://www.klasekpyrotechnics.cz/ss30d")</f>
        <v>https://www.klasekpyrotechnics.cz/ss30d</v>
      </c>
      <c r="AA207" s="645">
        <f>IFERROR(IF(VLOOKUP(C207,[4]List1!$A:$D,4,FALSE)=0,"",VLOOKUP(C207,[4]List1!$A:$D,4,FALSE)),"")</f>
        <v>24</v>
      </c>
      <c r="AB207" s="646"/>
      <c r="AC207" s="647" t="str">
        <f>IFERROR(IF(VLOOKUP(C207,[1]List1!$A:$D,2,FALSE)="VYPRODÁNO",$V$9,IF(VLOOKUP(C207,[1]List1!$A:$D,2,FALSE)="DOCHÁZÍ",$V$3,VLOOKUP(C207,[1]List1!$A:$D,2,FALSE))),"OFFLINE!")</f>
        <v>SKLADEM</v>
      </c>
      <c r="AD207" s="647" t="str">
        <f ca="1">IF(AP207="NE",$V$10,IF(AC207=$V$3,IF(AQ207&lt;1,$V$8,$V$2&amp;" "&amp;AQ207&amp;" "&amp;$V$1),IF(AC207="SKLADEM",$V$6,IFERROR(IF(OR(AC207-TODAY()&gt;45,VLOOKUP(C207,[1]List1!$A:$E,4,FALSE)=0),AC207,DAY(AC207)&amp;"."&amp;MONTH(AC207)&amp;"."&amp;YEAR(AC207)&amp;" "&amp;$V$4&amp;VLOOKUP(C207,[1]List1!$A:$E,4,FALSE)&amp;" "&amp;$V$1),AC207))))</f>
        <v>SKLADEM</v>
      </c>
      <c r="AE207" s="645" t="str">
        <f t="shared" ref="AE207:AE210" ca="1" si="495">IFERROR(IF(AV207&lt;&gt;"",AV207,AD207),AD207)</f>
        <v>SKLADEM</v>
      </c>
      <c r="AF207" s="648">
        <f t="shared" ref="AF207:AF210" si="496">IFERROR(IF(AB207=Y207,G207*I207*Y207,0),0)</f>
        <v>0</v>
      </c>
      <c r="AG207" s="649">
        <f t="shared" ref="AG207:AG210" si="497">IF($W$17=$AF$8,AH207*1.23,AF207*1.21)</f>
        <v>0</v>
      </c>
      <c r="AH207" s="650">
        <f t="shared" ref="AH207:AH210" si="498">IFERROR(IF(Y207=AB207,H207*I207*Y207,0),0)</f>
        <v>0</v>
      </c>
      <c r="AI207" s="645">
        <f t="shared" ref="AI207:AI210" si="499">IFERROR(IF(Y207=AB207,(P207*Y207)/1000,1),0)</f>
        <v>0</v>
      </c>
      <c r="AJ207" s="645">
        <f t="shared" ref="AJ207:AJ210" si="500">IFERROR(IF(Y207=AB207,N207*Y207,0.1),0)</f>
        <v>0</v>
      </c>
      <c r="AK207" s="645" t="str">
        <f t="shared" ref="AK207:AK210" si="501">IFERROR(IF(Y207=AB207,IF(M207="1.1G",(O207/1000)*Y207,""),""),0)</f>
        <v/>
      </c>
      <c r="AL207" s="645">
        <f t="shared" ref="AL207:AL210" si="502">IFERROR(IF(Y207=AB207,IF(M207="1.3G",(O207/1000)*AB207,""),""),0)</f>
        <v>0</v>
      </c>
      <c r="AM207" s="645" t="str">
        <f t="shared" ref="AM207:AM210" si="503">IFERROR(IF(Y207=AB207,IF(M207="1.4G",(O207/1000)*AB207,""),""),0)</f>
        <v/>
      </c>
      <c r="AN207" s="651">
        <f t="shared" ref="AN207:AN210" si="504">SUM(AK207:AM207)</f>
        <v>0</v>
      </c>
      <c r="AO207" s="623"/>
      <c r="AP207" s="632" t="str">
        <f t="shared" si="484"/>
        <v/>
      </c>
      <c r="AQ207" s="633" t="str">
        <f>IF(AC207=$V$3,IF(VLOOKUP(C207,[1]List1!$A:$E,5,FALSE)=0,1,VLOOKUP(C207,[1]List1!$A:$E,5,FALSE)),"")</f>
        <v/>
      </c>
      <c r="AR207" s="625" t="str">
        <f t="shared" si="485"/>
        <v/>
      </c>
      <c r="AS207" s="634" t="str">
        <f t="shared" si="399"/>
        <v/>
      </c>
      <c r="AT207" s="625" t="str">
        <f t="shared" si="486"/>
        <v/>
      </c>
      <c r="AU207" s="638" t="e">
        <f t="shared" si="487"/>
        <v>#N/A</v>
      </c>
      <c r="AV207" s="625" t="e">
        <f t="shared" si="488"/>
        <v>#N/A</v>
      </c>
      <c r="AX207" s="625">
        <f>IF(AND('General price list'!$J207="F4",'General price list'!$AB207+0&gt;0),1,0)</f>
        <v>0</v>
      </c>
      <c r="AY207" s="625">
        <f t="shared" si="489"/>
        <v>1</v>
      </c>
      <c r="AZ207" s="625">
        <f t="shared" si="490"/>
        <v>0</v>
      </c>
    </row>
    <row r="208" spans="1:52" ht="15" customHeight="1">
      <c r="A208" s="621" t="str">
        <f>Kat.!C208</f>
        <v>×</v>
      </c>
      <c r="B208" s="566">
        <f>IF(AND('General price list'!$J208="F4",$AI$1=FALSE),0,IF(AC208="SKLADEM",1,IF(AC208=$V$3,1,0)))</f>
        <v>1</v>
      </c>
      <c r="C208" s="567" t="s">
        <v>603</v>
      </c>
      <c r="D208" s="568" t="s">
        <v>604</v>
      </c>
      <c r="E208" s="763" t="s">
        <v>12699</v>
      </c>
      <c r="F208" s="772">
        <f>IFERROR(VLOOKUP(C208,[2]List1!$A:$D,3,FALSE),"NEUVEDENO!")</f>
        <v>117</v>
      </c>
      <c r="G208" s="769">
        <f t="shared" si="491"/>
        <v>117</v>
      </c>
      <c r="H208" s="766">
        <f t="shared" si="492"/>
        <v>4.9699889131016555</v>
      </c>
      <c r="I208" s="764">
        <f>IFERROR(VLOOKUP(C208,[2]List1!$A:$D,4,FALSE),"NEUVEDENO!")</f>
        <v>30</v>
      </c>
      <c r="J208" s="732" t="s">
        <v>113</v>
      </c>
      <c r="K208" s="569" t="s">
        <v>20</v>
      </c>
      <c r="L208" s="569" t="s">
        <v>20</v>
      </c>
      <c r="M208" s="569" t="s">
        <v>114</v>
      </c>
      <c r="N208" s="569">
        <f>IFERROR(VLOOKUP(C208,[3]List1!$A:$D,4,FALSE),"N/A!")</f>
        <v>6.0290999999999997E-2</v>
      </c>
      <c r="O208" s="569">
        <f>IFERROR(VLOOKUP(C208,[3]List1!$A:$D,3,FALSE),"N/A!")</f>
        <v>2400</v>
      </c>
      <c r="P208" s="569">
        <f>IFERROR(VLOOKUP(C208,[3]List1!$A:$D,2,FALSE),"N/A!")</f>
        <v>17550</v>
      </c>
      <c r="Q208" s="569" t="s">
        <v>11756</v>
      </c>
      <c r="R208" s="569" t="s">
        <v>15</v>
      </c>
      <c r="S208" s="569"/>
      <c r="T208" s="569"/>
      <c r="U208" s="569">
        <v>40</v>
      </c>
      <c r="V208" s="569">
        <v>30</v>
      </c>
      <c r="W208" s="569" t="str">
        <f>IFERROR(IF(AND($AB208&gt;=0.1*$AA208,MOD($AB208,$AA208)&gt;=($AA208-(0.1*$AA208))),IF($W$17=$AF$1,"Zvažte možnost doobjednání ještě "&amp;Tabulka1[[#This Row],[VKPAL]]-MOD(AB208,AA208)&amp;" VK do plné palety.",VLOOKUP("Zvažte možnost doobjednání ještě ",Jazyky_ceník!A:Q,MATCH($W$17,Jazyky_ceník!$A$1:$Q$1,0),FALSE)&amp;Tabulka1[[#This Row],[VKPAL]]-MOD(AB208,AA208)&amp;VLOOKUP(" VK do plné palety.",Jazyky_ceník!A:Q,MATCH($W$17,Jazyky_ceník!$A$1:$Q$1,0),FALSE)),IFERROR(IF(AND(NOT(MOD($AB208,$AA208)=0),$AB208&gt;=0.9*$AA208,MOD($AB208,$AA208)&lt;=0.1*$AA208),IF($W$17=$AF$1,"Zvažte možnost optimalizace objednaného množství podle počtu VK na paletě ==&gt;",VLOOKUP("Zvažte možnost optimalizace objednaného množství podle počtu VK na paletě ==&gt;",Jazyky_ceník!A:Q,MATCH($W$17,Jazyky_ceník!$A$1:$Q$1,0),FALSE)),VLOOKUP('General price list'!$C208,Popisy!A:M,MATCH($W$17,Popisy!$A$7:$M$7,0),FALSE)),"---------------")),IFERROR(VLOOKUP('General price list'!$C208,Popisy!A:M,MATCH($W$17,Popisy!$A$7:$M$7,0),FALSE),"---------------"))</f>
        <v>4 různobarevné efekty</v>
      </c>
      <c r="X208" s="569" t="str">
        <f t="shared" si="493"/>
        <v/>
      </c>
      <c r="Y208" s="569" t="str">
        <f t="shared" si="494"/>
        <v/>
      </c>
      <c r="Z208" s="569" t="str">
        <f>HYPERLINK("https://www.klasekpyrotechnics.cz/ss30a")</f>
        <v>https://www.klasekpyrotechnics.cz/ss30a</v>
      </c>
      <c r="AA208" s="569">
        <f>IFERROR(IF(VLOOKUP(C208,[4]List1!$A:$D,4,FALSE)=0,"",VLOOKUP(C208,[4]List1!$A:$D,4,FALSE)),"")</f>
        <v>24</v>
      </c>
      <c r="AB208" s="565"/>
      <c r="AC208" s="570" t="str">
        <f>IFERROR(IF(VLOOKUP(C208,[1]List1!$A:$D,2,FALSE)="VYPRODÁNO",$V$9,IF(VLOOKUP(C208,[1]List1!$A:$D,2,FALSE)="DOCHÁZÍ",$V$3,VLOOKUP(C208,[1]List1!$A:$D,2,FALSE))),"OFFLINE!")</f>
        <v>SKLADEM</v>
      </c>
      <c r="AD208" s="570" t="str">
        <f ca="1">IF(AP208="NE",$V$10,IF(AC208=$V$3,IF(AQ208&lt;1,$V$8,$V$2&amp;" "&amp;AQ208&amp;" "&amp;$V$1),IF(AC208="SKLADEM",$V$6,IFERROR(IF(OR(AC208-TODAY()&gt;45,VLOOKUP(C208,[1]List1!$A:$E,4,FALSE)=0),AC208,DAY(AC208)&amp;"."&amp;MONTH(AC208)&amp;"."&amp;YEAR(AC208)&amp;" "&amp;$V$4&amp;VLOOKUP(C208,[1]List1!$A:$E,4,FALSE)&amp;" "&amp;$V$1),AC208))))</f>
        <v>SKLADEM</v>
      </c>
      <c r="AE208" s="581" t="str">
        <f t="shared" ca="1" si="495"/>
        <v>SKLADEM</v>
      </c>
      <c r="AF208" s="584">
        <f t="shared" si="496"/>
        <v>0</v>
      </c>
      <c r="AG208" s="585">
        <f t="shared" si="497"/>
        <v>0</v>
      </c>
      <c r="AH208" s="583">
        <f t="shared" si="498"/>
        <v>0</v>
      </c>
      <c r="AI208" s="582">
        <f t="shared" si="499"/>
        <v>0</v>
      </c>
      <c r="AJ208" s="569">
        <f t="shared" si="500"/>
        <v>0</v>
      </c>
      <c r="AK208" s="569" t="str">
        <f t="shared" si="501"/>
        <v/>
      </c>
      <c r="AL208" s="569">
        <f t="shared" si="502"/>
        <v>0</v>
      </c>
      <c r="AM208" s="569" t="str">
        <f t="shared" si="503"/>
        <v/>
      </c>
      <c r="AN208" s="581">
        <f t="shared" si="504"/>
        <v>0</v>
      </c>
      <c r="AO208" s="623"/>
      <c r="AP208" s="632" t="str">
        <f t="shared" si="484"/>
        <v/>
      </c>
      <c r="AQ208" s="633" t="str">
        <f>IF(AC208=$V$3,IF(VLOOKUP(C208,[1]List1!$A:$E,5,FALSE)=0,1,VLOOKUP(C208,[1]List1!$A:$E,5,FALSE)),"")</f>
        <v/>
      </c>
      <c r="AR208" s="625" t="str">
        <f t="shared" si="485"/>
        <v/>
      </c>
      <c r="AS208" s="634" t="str">
        <f t="shared" si="399"/>
        <v/>
      </c>
      <c r="AT208" s="625" t="str">
        <f t="shared" si="486"/>
        <v/>
      </c>
      <c r="AU208" s="638" t="e">
        <f t="shared" si="487"/>
        <v>#N/A</v>
      </c>
      <c r="AV208" s="625" t="e">
        <f t="shared" si="488"/>
        <v>#N/A</v>
      </c>
      <c r="AX208" s="625">
        <f>IF(AND('General price list'!$J208="F4",'General price list'!$AB208+0&gt;0),1,0)</f>
        <v>0</v>
      </c>
      <c r="AY208" s="625">
        <f t="shared" si="489"/>
        <v>1</v>
      </c>
      <c r="AZ208" s="625">
        <f t="shared" si="490"/>
        <v>1</v>
      </c>
    </row>
    <row r="209" spans="1:52" ht="15" customHeight="1">
      <c r="A209" s="639" t="str">
        <f>Kat.!C209</f>
        <v/>
      </c>
      <c r="B209" s="640">
        <f>IF(AND('General price list'!$J209="F4",$AI$1=FALSE),0,IF(AC209="SKLADEM",1,IF(AC209=$V$3,1,0)))</f>
        <v>1</v>
      </c>
      <c r="C209" s="641" t="s">
        <v>606</v>
      </c>
      <c r="D209" s="642" t="s">
        <v>607</v>
      </c>
      <c r="E209" s="643" t="s">
        <v>12700</v>
      </c>
      <c r="F209" s="771">
        <f>IFERROR(VLOOKUP(C209,[2]List1!$A:$D,3,FALSE),"NEUVEDENO!")</f>
        <v>220</v>
      </c>
      <c r="G209" s="768">
        <f t="shared" si="491"/>
        <v>220</v>
      </c>
      <c r="H209" s="765">
        <f t="shared" si="492"/>
        <v>9.3452782981398652</v>
      </c>
      <c r="I209" s="644">
        <f>IFERROR(VLOOKUP(C209,[2]List1!$A:$D,4,FALSE),"NEUVEDENO!")</f>
        <v>18</v>
      </c>
      <c r="J209" s="733" t="s">
        <v>113</v>
      </c>
      <c r="K209" s="645" t="s">
        <v>20</v>
      </c>
      <c r="L209" s="645" t="s">
        <v>20</v>
      </c>
      <c r="M209" s="645" t="s">
        <v>114</v>
      </c>
      <c r="N209" s="645">
        <f>IFERROR(VLOOKUP(C209,[3]List1!$A:$D,4,FALSE),"N/A!")</f>
        <v>7.835099999999999E-2</v>
      </c>
      <c r="O209" s="645">
        <f>IFERROR(VLOOKUP(C209,[3]List1!$A:$D,3,FALSE),"N/A!")</f>
        <v>2520</v>
      </c>
      <c r="P209" s="645">
        <f>IFERROR(VLOOKUP(C209,[3]List1!$A:$D,2,FALSE),"N/A!")</f>
        <v>19000</v>
      </c>
      <c r="Q209" s="645" t="s">
        <v>11757</v>
      </c>
      <c r="R209" s="645" t="s">
        <v>11239</v>
      </c>
      <c r="S209" s="645"/>
      <c r="T209" s="645"/>
      <c r="U209" s="645">
        <v>45</v>
      </c>
      <c r="V209" s="645">
        <v>33</v>
      </c>
      <c r="W209" s="645" t="str">
        <f>IFERROR(IF(AND($AB209&gt;=0.1*$AA209,MOD($AB209,$AA209)&gt;=($AA209-(0.1*$AA209))),IF($W$17=$AF$1,"Zvažte možnost doobjednání ještě "&amp;Tabulka1[[#This Row],[VKPAL]]-MOD(AB209,AA209)&amp;" VK do plné palety.",VLOOKUP("Zvažte možnost doobjednání ještě ",Jazyky_ceník!A:Q,MATCH($W$17,Jazyky_ceník!$A$1:$Q$1,0),FALSE)&amp;Tabulka1[[#This Row],[VKPAL]]-MOD(AB209,AA209)&amp;VLOOKUP(" VK do plné palety.",Jazyky_ceník!A:Q,MATCH($W$17,Jazyky_ceník!$A$1:$Q$1,0),FALSE)),IFERROR(IF(AND(NOT(MOD($AB209,$AA209)=0),$AB209&gt;=0.9*$AA209,MOD($AB209,$AA209)&lt;=0.1*$AA209),IF($W$17=$AF$1,"Zvažte možnost optimalizace objednaného množství podle počtu VK na paletě ==&gt;",VLOOKUP("Zvažte možnost optimalizace objednaného množství podle počtu VK na paletě ==&gt;",Jazyky_ceník!A:Q,MATCH($W$17,Jazyky_ceník!$A$1:$Q$1,0),FALSE)),VLOOKUP('General price list'!$C209,Popisy!A:M,MATCH($W$17,Popisy!$A$7:$M$7,0),FALSE)),"---------------")),IFERROR(VLOOKUP('General price list'!$C209,Popisy!A:M,MATCH($W$17,Popisy!$A$7:$M$7,0),FALSE),"---------------"))</f>
        <v>4 různobarevné efekty</v>
      </c>
      <c r="X209" s="645" t="str">
        <f t="shared" si="493"/>
        <v/>
      </c>
      <c r="Y209" s="645" t="str">
        <f t="shared" si="494"/>
        <v/>
      </c>
      <c r="Z209" s="645" t="str">
        <f>HYPERLINK("https://www.klasekpyrotechnics.cz/ss37k")</f>
        <v>https://www.klasekpyrotechnics.cz/ss37k</v>
      </c>
      <c r="AA209" s="645">
        <f>IFERROR(IF(VLOOKUP(C209,[4]List1!$A:$D,4,FALSE)=0,"",VLOOKUP(C209,[4]List1!$A:$D,4,FALSE)),"")</f>
        <v>14</v>
      </c>
      <c r="AB209" s="646"/>
      <c r="AC209" s="647" t="str">
        <f>IFERROR(IF(VLOOKUP(C209,[1]List1!$A:$D,2,FALSE)="VYPRODÁNO",$V$9,IF(VLOOKUP(C209,[1]List1!$A:$D,2,FALSE)="DOCHÁZÍ",$V$3,VLOOKUP(C209,[1]List1!$A:$D,2,FALSE))),"OFFLINE!")</f>
        <v>SKLADEM</v>
      </c>
      <c r="AD209" s="647" t="str">
        <f ca="1">IF(AP209="NE",$V$10,IF(AC209=$V$3,IF(AQ209&lt;1,$V$8,$V$2&amp;" "&amp;AQ209&amp;" "&amp;$V$1),IF(AC209="SKLADEM",$V$6,IFERROR(IF(OR(AC209-TODAY()&gt;45,VLOOKUP(C209,[1]List1!$A:$E,4,FALSE)=0),AC209,DAY(AC209)&amp;"."&amp;MONTH(AC209)&amp;"."&amp;YEAR(AC209)&amp;" "&amp;$V$4&amp;VLOOKUP(C209,[1]List1!$A:$E,4,FALSE)&amp;" "&amp;$V$1),AC209))))</f>
        <v>SKLADEM</v>
      </c>
      <c r="AE209" s="645" t="str">
        <f t="shared" ca="1" si="495"/>
        <v>SKLADEM</v>
      </c>
      <c r="AF209" s="648">
        <f t="shared" si="496"/>
        <v>0</v>
      </c>
      <c r="AG209" s="649">
        <f t="shared" si="497"/>
        <v>0</v>
      </c>
      <c r="AH209" s="650">
        <f t="shared" si="498"/>
        <v>0</v>
      </c>
      <c r="AI209" s="645">
        <f t="shared" si="499"/>
        <v>0</v>
      </c>
      <c r="AJ209" s="645">
        <f t="shared" si="500"/>
        <v>0</v>
      </c>
      <c r="AK209" s="645" t="str">
        <f t="shared" si="501"/>
        <v/>
      </c>
      <c r="AL209" s="645">
        <f t="shared" si="502"/>
        <v>0</v>
      </c>
      <c r="AM209" s="645" t="str">
        <f t="shared" si="503"/>
        <v/>
      </c>
      <c r="AN209" s="651">
        <f t="shared" si="504"/>
        <v>0</v>
      </c>
      <c r="AO209" s="623"/>
      <c r="AP209" s="632" t="str">
        <f t="shared" si="484"/>
        <v/>
      </c>
      <c r="AQ209" s="633" t="str">
        <f>IF(AC209=$V$3,IF(VLOOKUP(C209,[1]List1!$A:$E,5,FALSE)=0,1,VLOOKUP(C209,[1]List1!$A:$E,5,FALSE)),"")</f>
        <v/>
      </c>
      <c r="AR209" s="625" t="str">
        <f t="shared" si="485"/>
        <v/>
      </c>
      <c r="AS209" s="634" t="str">
        <f t="shared" si="399"/>
        <v/>
      </c>
      <c r="AT209" s="625" t="str">
        <f t="shared" si="486"/>
        <v/>
      </c>
      <c r="AU209" s="638" t="e">
        <f t="shared" si="487"/>
        <v>#N/A</v>
      </c>
      <c r="AV209" s="625" t="e">
        <f t="shared" si="488"/>
        <v>#N/A</v>
      </c>
      <c r="AX209" s="625">
        <f>IF(AND('General price list'!$J209="F4",'General price list'!$AB209+0&gt;0),1,0)</f>
        <v>0</v>
      </c>
      <c r="AY209" s="625">
        <f t="shared" si="489"/>
        <v>1</v>
      </c>
      <c r="AZ209" s="625">
        <f t="shared" si="490"/>
        <v>1</v>
      </c>
    </row>
    <row r="210" spans="1:52" ht="15" customHeight="1">
      <c r="A210" s="621" t="str">
        <f>Kat.!C210</f>
        <v/>
      </c>
      <c r="B210" s="566">
        <f>IF(AND('General price list'!$J210="F4",$AI$1=FALSE),0,IF(AC210="SKLADEM",1,IF(AC210=$V$3,1,0)))</f>
        <v>1</v>
      </c>
      <c r="C210" s="567" t="s">
        <v>608</v>
      </c>
      <c r="D210" s="568" t="s">
        <v>4027</v>
      </c>
      <c r="E210" s="763" t="s">
        <v>12701</v>
      </c>
      <c r="F210" s="772">
        <f>IFERROR(VLOOKUP(C210,[2]List1!$A:$D,3,FALSE),"NEUVEDENO!")</f>
        <v>458</v>
      </c>
      <c r="G210" s="769">
        <f t="shared" si="491"/>
        <v>458</v>
      </c>
      <c r="H210" s="766">
        <f t="shared" si="492"/>
        <v>19.455170275218446</v>
      </c>
      <c r="I210" s="764">
        <f>IFERROR(VLOOKUP(C210,[2]List1!$A:$D,4,FALSE),"NEUVEDENO!")</f>
        <v>9</v>
      </c>
      <c r="J210" s="732" t="s">
        <v>113</v>
      </c>
      <c r="K210" s="569" t="s">
        <v>20</v>
      </c>
      <c r="L210" s="569" t="s">
        <v>20</v>
      </c>
      <c r="M210" s="569" t="s">
        <v>114</v>
      </c>
      <c r="N210" s="569">
        <f>IFERROR(VLOOKUP(C210,[3]List1!$A:$D,4,FALSE),"N/A!")</f>
        <v>9.758E-2</v>
      </c>
      <c r="O210" s="569">
        <f>IFERROR(VLOOKUP(C210,[3]List1!$A:$D,3,FALSE),"N/A!")</f>
        <v>1440</v>
      </c>
      <c r="P210" s="569">
        <f>IFERROR(VLOOKUP(C210,[3]List1!$A:$D,2,FALSE),"N/A!")</f>
        <v>15000</v>
      </c>
      <c r="Q210" s="569" t="s">
        <v>12082</v>
      </c>
      <c r="R210" s="569" t="s">
        <v>11232</v>
      </c>
      <c r="S210" s="569"/>
      <c r="T210" s="569"/>
      <c r="U210" s="569">
        <v>60</v>
      </c>
      <c r="V210" s="569">
        <v>40</v>
      </c>
      <c r="W210" s="569" t="str">
        <f>IFERROR(IF(AND($AB210&gt;=0.1*$AA210,MOD($AB210,$AA210)&gt;=($AA210-(0.1*$AA210))),IF($W$17=$AF$1,"Zvažte možnost doobjednání ještě "&amp;Tabulka1[[#This Row],[VKPAL]]-MOD(AB210,AA210)&amp;" VK do plné palety.",VLOOKUP("Zvažte možnost doobjednání ještě ",Jazyky_ceník!A:Q,MATCH($W$17,Jazyky_ceník!$A$1:$Q$1,0),FALSE)&amp;Tabulka1[[#This Row],[VKPAL]]-MOD(AB210,AA210)&amp;VLOOKUP(" VK do plné palety.",Jazyky_ceník!A:Q,MATCH($W$17,Jazyky_ceník!$A$1:$Q$1,0),FALSE)),IFERROR(IF(AND(NOT(MOD($AB210,$AA210)=0),$AB210&gt;=0.9*$AA210,MOD($AB210,$AA210)&lt;=0.1*$AA210),IF($W$17=$AF$1,"Zvažte možnost optimalizace objednaného množství podle počtu VK na paletě ==&gt;",VLOOKUP("Zvažte možnost optimalizace objednaného množství podle počtu VK na paletě ==&gt;",Jazyky_ceník!A:Q,MATCH($W$17,Jazyky_ceník!$A$1:$Q$1,0),FALSE)),VLOOKUP('General price list'!$C210,Popisy!A:M,MATCH($W$17,Popisy!$A$7:$M$7,0),FALSE)),"---------------")),IFERROR(VLOOKUP('General price list'!$C210,Popisy!A:M,MATCH($W$17,Popisy!$A$7:$M$7,0),FALSE),"---------------"))</f>
        <v>4 různobarevné efekty</v>
      </c>
      <c r="X210" s="569" t="str">
        <f t="shared" si="493"/>
        <v/>
      </c>
      <c r="Y210" s="569" t="str">
        <f t="shared" si="494"/>
        <v/>
      </c>
      <c r="Z210" s="569" t="str">
        <f>HYPERLINK("https://www.klasekpyrotechnics.cz/ss50k")</f>
        <v>https://www.klasekpyrotechnics.cz/ss50k</v>
      </c>
      <c r="AA210" s="569">
        <f>IFERROR(IF(VLOOKUP(C210,[4]List1!$A:$D,4,FALSE)=0,"",VLOOKUP(C210,[4]List1!$A:$D,4,FALSE)),"")</f>
        <v>15</v>
      </c>
      <c r="AB210" s="565"/>
      <c r="AC210" s="570" t="str">
        <f>IFERROR(IF(VLOOKUP(C210,[1]List1!$A:$D,2,FALSE)="VYPRODÁNO",$V$9,IF(VLOOKUP(C210,[1]List1!$A:$D,2,FALSE)="DOCHÁZÍ",$V$3,VLOOKUP(C210,[1]List1!$A:$D,2,FALSE))),"OFFLINE!")</f>
        <v>SKLADEM</v>
      </c>
      <c r="AD210" s="570" t="str">
        <f ca="1">IF(AP210="NE",$V$10,IF(AC210=$V$3,IF(AQ210&lt;1,$V$8,$V$2&amp;" "&amp;AQ210&amp;" "&amp;$V$1),IF(AC210="SKLADEM",$V$6,IFERROR(IF(OR(AC210-TODAY()&gt;45,VLOOKUP(C210,[1]List1!$A:$E,4,FALSE)=0),AC210,DAY(AC210)&amp;"."&amp;MONTH(AC210)&amp;"."&amp;YEAR(AC210)&amp;" "&amp;$V$4&amp;VLOOKUP(C210,[1]List1!$A:$E,4,FALSE)&amp;" "&amp;$V$1),AC210))))</f>
        <v>SKLADEM</v>
      </c>
      <c r="AE210" s="581" t="str">
        <f t="shared" ca="1" si="495"/>
        <v>SKLADEM</v>
      </c>
      <c r="AF210" s="584">
        <f t="shared" si="496"/>
        <v>0</v>
      </c>
      <c r="AG210" s="585">
        <f t="shared" si="497"/>
        <v>0</v>
      </c>
      <c r="AH210" s="583">
        <f t="shared" si="498"/>
        <v>0</v>
      </c>
      <c r="AI210" s="582">
        <f t="shared" si="499"/>
        <v>0</v>
      </c>
      <c r="AJ210" s="569">
        <f t="shared" si="500"/>
        <v>0</v>
      </c>
      <c r="AK210" s="569" t="str">
        <f t="shared" si="501"/>
        <v/>
      </c>
      <c r="AL210" s="569">
        <f t="shared" si="502"/>
        <v>0</v>
      </c>
      <c r="AM210" s="569" t="str">
        <f t="shared" si="503"/>
        <v/>
      </c>
      <c r="AN210" s="581">
        <f t="shared" si="504"/>
        <v>0</v>
      </c>
      <c r="AO210" s="623"/>
      <c r="AP210" s="632" t="str">
        <f t="shared" si="484"/>
        <v/>
      </c>
      <c r="AQ210" s="633" t="str">
        <f>IF(AC210=$V$3,IF(VLOOKUP(C210,[1]List1!$A:$E,5,FALSE)=0,1,VLOOKUP(C210,[1]List1!$A:$E,5,FALSE)),"")</f>
        <v/>
      </c>
      <c r="AR210" s="625" t="str">
        <f t="shared" si="485"/>
        <v/>
      </c>
      <c r="AS210" s="634" t="str">
        <f t="shared" si="399"/>
        <v/>
      </c>
      <c r="AT210" s="625" t="str">
        <f t="shared" si="486"/>
        <v/>
      </c>
      <c r="AU210" s="638" t="e">
        <f t="shared" si="487"/>
        <v>#N/A</v>
      </c>
      <c r="AV210" s="625" t="e">
        <f t="shared" si="488"/>
        <v>#N/A</v>
      </c>
      <c r="AX210" s="625">
        <f>IF(AND('General price list'!$J210="F4",'General price list'!$AB210+0&gt;0),1,0)</f>
        <v>0</v>
      </c>
      <c r="AY210" s="625">
        <f t="shared" si="489"/>
        <v>1</v>
      </c>
      <c r="AZ210" s="625">
        <f t="shared" si="490"/>
        <v>1</v>
      </c>
    </row>
    <row r="211" spans="1:52" ht="15" customHeight="1">
      <c r="A211" s="751" t="str">
        <f>Kat.!C211</f>
        <v xml:space="preserve">           Miny F2</v>
      </c>
      <c r="B211" s="751"/>
      <c r="C211" s="751"/>
      <c r="D211" s="751"/>
      <c r="E211" s="751"/>
      <c r="F211" s="751"/>
      <c r="G211" s="751"/>
      <c r="H211" s="751"/>
      <c r="I211" s="752"/>
      <c r="J211" s="752"/>
      <c r="K211" s="752" t="s">
        <v>20</v>
      </c>
      <c r="L211" s="753" t="s">
        <v>20</v>
      </c>
      <c r="M211" s="752"/>
      <c r="N211" s="752"/>
      <c r="O211" s="752"/>
      <c r="P211" s="752"/>
      <c r="Q211" s="752"/>
      <c r="R211" s="752"/>
      <c r="S211" s="752"/>
      <c r="T211" s="752"/>
      <c r="U211" s="752"/>
      <c r="V211" s="752"/>
      <c r="W211" s="752"/>
      <c r="X211" s="752"/>
      <c r="Y211" s="752"/>
      <c r="Z211" s="752" t="s">
        <v>20</v>
      </c>
      <c r="AA211" s="752"/>
      <c r="AB211" s="752"/>
      <c r="AC211" s="754"/>
      <c r="AD211" s="752"/>
      <c r="AE211" s="752"/>
      <c r="AF211" s="752"/>
      <c r="AG211" s="752"/>
      <c r="AH211" s="752"/>
      <c r="AI211" s="752"/>
      <c r="AJ211" s="752"/>
      <c r="AK211" s="752"/>
      <c r="AL211" s="752"/>
      <c r="AM211" s="752"/>
      <c r="AN211" s="752"/>
      <c r="AO211" s="623"/>
      <c r="AP211" s="632" t="str">
        <f t="shared" si="484"/>
        <v/>
      </c>
      <c r="AQ211" s="633" t="str">
        <f>IF(AC211=$V$3,IF(VLOOKUP(C211,[1]List1!$A:$E,5,FALSE)=0,1,VLOOKUP(C211,[1]List1!$A:$E,5,FALSE)),"")</f>
        <v/>
      </c>
      <c r="AR211" s="625" t="str">
        <f t="shared" si="485"/>
        <v/>
      </c>
      <c r="AS211" s="634" t="str">
        <f t="shared" si="399"/>
        <v/>
      </c>
      <c r="AT211" s="625" t="str">
        <f t="shared" si="486"/>
        <v/>
      </c>
      <c r="AU211" s="638" t="e">
        <f t="shared" si="487"/>
        <v>#N/A</v>
      </c>
      <c r="AV211" s="625" t="e">
        <f t="shared" si="488"/>
        <v>#N/A</v>
      </c>
      <c r="AX211" s="625">
        <f>IF(AND('General price list'!$J211="F4",'General price list'!$AB211+0&gt;0),1,0)</f>
        <v>0</v>
      </c>
      <c r="AY211" s="625">
        <f t="shared" si="489"/>
        <v>0</v>
      </c>
      <c r="AZ211" s="625">
        <f t="shared" si="490"/>
        <v>0</v>
      </c>
    </row>
    <row r="212" spans="1:52" ht="15" customHeight="1">
      <c r="A212" s="639" t="str">
        <f>Kat.!C212</f>
        <v/>
      </c>
      <c r="B212" s="640">
        <f>IF(AND('General price list'!$J212="F4",$AI$1=FALSE),0,IF(AC212="SKLADEM",1,IF(AC212=$V$3,1,0)))</f>
        <v>0</v>
      </c>
      <c r="C212" s="641" t="s">
        <v>12447</v>
      </c>
      <c r="D212" s="642" t="s">
        <v>12520</v>
      </c>
      <c r="E212" s="643" t="s">
        <v>12701</v>
      </c>
      <c r="F212" s="771">
        <f>IFERROR(VLOOKUP(C212,[2]List1!$A:$D,3,FALSE),"NEUVEDENO!")</f>
        <v>319</v>
      </c>
      <c r="G212" s="768">
        <f t="shared" ref="G212:G213" si="505">IF($W$17=$AF$8,ROUND((F212)/$F$17,2),(F212)*$B$19)</f>
        <v>319</v>
      </c>
      <c r="H212" s="765">
        <f t="shared" ref="H212:H213" si="506">IF($W$17=$AF$8,G212*$B$19,G212/$F$17)</f>
        <v>13.550653532302805</v>
      </c>
      <c r="I212" s="644">
        <f>IFERROR(VLOOKUP(C212,[2]List1!$A:$D,4,FALSE),"NEUVEDENO!")</f>
        <v>9</v>
      </c>
      <c r="J212" s="733" t="s">
        <v>39</v>
      </c>
      <c r="K212" s="645">
        <v>4</v>
      </c>
      <c r="L212" s="645"/>
      <c r="M212" s="645" t="s">
        <v>21</v>
      </c>
      <c r="N212" s="645">
        <f>IFERROR(VLOOKUP(C212,[3]List1!$A:$D,4,FALSE),"N/A!")</f>
        <v>9.758E-2</v>
      </c>
      <c r="O212" s="645">
        <f>IFERROR(VLOOKUP(C212,[3]List1!$A:$D,3,FALSE),"N/A!")</f>
        <v>1728</v>
      </c>
      <c r="P212" s="645">
        <f>IFERROR(VLOOKUP(C212,[3]List1!$A:$D,2,FALSE),"N/A!")</f>
        <v>15000</v>
      </c>
      <c r="Q212" s="645" t="s">
        <v>12082</v>
      </c>
      <c r="R212" s="645" t="s">
        <v>11232</v>
      </c>
      <c r="S212" s="645"/>
      <c r="T212" s="645"/>
      <c r="U212" s="645"/>
      <c r="V212" s="645"/>
      <c r="W212" s="645" t="str">
        <f>IFERROR(IF(AND($AB212&gt;=0.1*$AA212,MOD($AB212,$AA212)&gt;=($AA212-(0.1*$AA212))),IF($W$17=$AF$1,"Zvažte možnost doobjednání ještě "&amp;Tabulka1[[#This Row],[VKPAL]]-MOD(AB212,AA212)&amp;" VK do plné palety.",VLOOKUP("Zvažte možnost doobjednání ještě ",Jazyky_ceník!A:Q,MATCH($W$17,Jazyky_ceník!$A$1:$Q$1,0),FALSE)&amp;Tabulka1[[#This Row],[VKPAL]]-MOD(AB212,AA212)&amp;VLOOKUP(" VK do plné palety.",Jazyky_ceník!A:Q,MATCH($W$17,Jazyky_ceník!$A$1:$Q$1,0),FALSE)),IFERROR(IF(AND(NOT(MOD($AB212,$AA212)=0),$AB212&gt;=0.9*$AA212,MOD($AB212,$AA212)&lt;=0.1*$AA212),IF($W$17=$AF$1,"Zvažte možnost optimalizace objednaného množství podle počtu VK na paletě ==&gt;",VLOOKUP("Zvažte možnost optimalizace objednaného množství podle počtu VK na paletě ==&gt;",Jazyky_ceník!A:Q,MATCH($W$17,Jazyky_ceník!$A$1:$Q$1,0),FALSE)),VLOOKUP('General price list'!$C212,Popisy!A:M,MATCH($W$17,Popisy!$A$7:$M$7,0),FALSE)),"---------------")),IFERROR(VLOOKUP('General price list'!$C212,Popisy!A:M,MATCH($W$17,Popisy!$A$7:$M$7,0),FALSE),"---------------"))</f>
        <v>4 různobarevné efekty</v>
      </c>
      <c r="X212" s="645" t="str">
        <f t="shared" ref="X212:X213" si="507">IF(AB212&lt;0.0001,"",AB212)</f>
        <v/>
      </c>
      <c r="Y212" s="645" t="str">
        <f t="shared" ref="Y212:Y213" si="508">IF($AL$3=2,IF(OR(AB212&lt;&gt;"",AB212&lt;&gt;0),AU212,""),IF(C212="","",IF(AB212&lt;0.0001,"",IF(B212=0,"",IF(AQ212&lt;AB212,"",AB212)))))</f>
        <v/>
      </c>
      <c r="Z212" s="645" t="str">
        <f>HYPERLINK("https://www.klasekpyrotechnics.cz/ss50no14")</f>
        <v>https://www.klasekpyrotechnics.cz/ss50no14</v>
      </c>
      <c r="AA212" s="645">
        <f>IFERROR(IF(VLOOKUP(C212,[4]List1!$A:$D,4,FALSE)=0,"",VLOOKUP(C212,[4]List1!$A:$D,4,FALSE)),"")</f>
        <v>15</v>
      </c>
      <c r="AB212" s="646"/>
      <c r="AC212" s="647" t="str">
        <f>IFERROR(IF(VLOOKUP(C212,[1]List1!$A:$D,2,FALSE)="VYPRODÁNO",$V$9,IF(VLOOKUP(C212,[1]List1!$A:$D,2,FALSE)="DOCHÁZÍ",$V$3,VLOOKUP(C212,[1]List1!$A:$D,2,FALSE))),"OFFLINE!")</f>
        <v>31.08.2026</v>
      </c>
      <c r="AD212" s="647" t="str">
        <f ca="1">IF(AP212="NE",$V$10,IF(AC212=$V$3,IF(AQ212&lt;1,$V$8,$V$2&amp;" "&amp;AQ212&amp;" "&amp;$V$1),IF(AC212="SKLADEM",$V$6,IFERROR(IF(OR(AC212-TODAY()&gt;45,VLOOKUP(C212,[1]List1!$A:$E,4,FALSE)=0),AC212,DAY(AC212)&amp;"."&amp;MONTH(AC212)&amp;"."&amp;YEAR(AC212)&amp;" "&amp;$V$4&amp;VLOOKUP(C212,[1]List1!$A:$E,4,FALSE)&amp;" "&amp;$V$1),AC212))))</f>
        <v>31.08.2026</v>
      </c>
      <c r="AE212" s="645" t="str">
        <f t="shared" ref="AE212:AE213" ca="1" si="509">IFERROR(IF(AV212&lt;&gt;"",AV212,AD212),AD212)</f>
        <v>31.08.2026</v>
      </c>
      <c r="AF212" s="648">
        <f t="shared" ref="AF212:AF213" si="510">IFERROR(IF(AB212=Y212,G212*I212*Y212,0),0)</f>
        <v>0</v>
      </c>
      <c r="AG212" s="649">
        <f t="shared" ref="AG212:AG213" si="511">IF($W$17=$AF$8,AH212*1.23,AF212*1.21)</f>
        <v>0</v>
      </c>
      <c r="AH212" s="650">
        <f t="shared" ref="AH212:AH213" si="512">IFERROR(IF(Y212=AB212,H212*I212*Y212,0),0)</f>
        <v>0</v>
      </c>
      <c r="AI212" s="645">
        <f t="shared" ref="AI212:AI213" si="513">IFERROR(IF(Y212=AB212,(P212*Y212)/1000,1),0)</f>
        <v>0</v>
      </c>
      <c r="AJ212" s="645">
        <f t="shared" ref="AJ212:AJ213" si="514">IFERROR(IF(Y212=AB212,N212*Y212,0.1),0)</f>
        <v>0</v>
      </c>
      <c r="AK212" s="645" t="str">
        <f t="shared" ref="AK212:AK213" si="515">IFERROR(IF(Y212=AB212,IF(M212="1.1G",(O212/1000)*Y212,""),""),0)</f>
        <v/>
      </c>
      <c r="AL212" s="645" t="str">
        <f t="shared" ref="AL212:AL213" si="516">IFERROR(IF(Y212=AB212,IF(M212="1.3G",(O212/1000)*AB212,""),""),0)</f>
        <v/>
      </c>
      <c r="AM212" s="645">
        <f t="shared" ref="AM212:AM213" si="517">IFERROR(IF(Y212=AB212,IF(M212="1.4G",(O212/1000)*AB212,""),""),0)</f>
        <v>0</v>
      </c>
      <c r="AN212" s="651">
        <f t="shared" ref="AN212:AN213" si="518">SUM(AK212:AM212)</f>
        <v>0</v>
      </c>
      <c r="AO212" s="623"/>
      <c r="AP212" s="632" t="str">
        <f t="shared" si="484"/>
        <v/>
      </c>
      <c r="AQ212" s="633" t="str">
        <f>IF(AC212=$V$3,IF(VLOOKUP(C212,[1]List1!$A:$E,5,FALSE)=0,1,VLOOKUP(C212,[1]List1!$A:$E,5,FALSE)),"")</f>
        <v/>
      </c>
      <c r="AR212" s="625" t="str">
        <f t="shared" si="485"/>
        <v/>
      </c>
      <c r="AS212" s="634" t="str">
        <f t="shared" si="399"/>
        <v/>
      </c>
      <c r="AT212" s="625" t="str">
        <f t="shared" si="486"/>
        <v/>
      </c>
      <c r="AU212" s="638" t="e">
        <f t="shared" si="487"/>
        <v>#N/A</v>
      </c>
      <c r="AV212" s="625" t="e">
        <f t="shared" si="488"/>
        <v>#N/A</v>
      </c>
      <c r="AX212" s="625">
        <f>IF(AND('General price list'!$J212="F4",'General price list'!$AB212+0&gt;0),1,0)</f>
        <v>0</v>
      </c>
      <c r="AY212" s="625">
        <f t="shared" si="489"/>
        <v>1</v>
      </c>
      <c r="AZ212" s="625">
        <f t="shared" si="490"/>
        <v>1</v>
      </c>
    </row>
    <row r="213" spans="1:52" ht="15.75" customHeight="1">
      <c r="A213" s="621" t="str">
        <f>Kat.!C213</f>
        <v/>
      </c>
      <c r="B213" s="566">
        <f>IF(AND('General price list'!$J213="F4",$AI$1=FALSE),0,IF(AC213="SKLADEM",1,IF(AC213=$V$3,1,0)))</f>
        <v>0</v>
      </c>
      <c r="C213" s="641" t="s">
        <v>12448</v>
      </c>
      <c r="D213" s="568" t="s">
        <v>12521</v>
      </c>
      <c r="E213" s="763" t="s">
        <v>12701</v>
      </c>
      <c r="F213" s="772">
        <f>IFERROR(VLOOKUP(C213,[2]List1!$A:$D,3,FALSE),"NEUVEDENO!")</f>
        <v>319</v>
      </c>
      <c r="G213" s="769">
        <f t="shared" si="505"/>
        <v>319</v>
      </c>
      <c r="H213" s="766">
        <f t="shared" si="506"/>
        <v>13.550653532302805</v>
      </c>
      <c r="I213" s="764">
        <f>IFERROR(VLOOKUP(C213,[2]List1!$A:$D,4,FALSE),"NEUVEDENO!")</f>
        <v>9</v>
      </c>
      <c r="J213" s="732" t="s">
        <v>39</v>
      </c>
      <c r="K213" s="569">
        <v>4</v>
      </c>
      <c r="L213" s="569"/>
      <c r="M213" s="569" t="s">
        <v>21</v>
      </c>
      <c r="N213" s="569">
        <f>IFERROR(VLOOKUP(C213,[3]List1!$A:$D,4,FALSE),"N/A!")</f>
        <v>9.758E-2</v>
      </c>
      <c r="O213" s="569">
        <f>IFERROR(VLOOKUP(C213,[3]List1!$A:$D,3,FALSE),"N/A!")</f>
        <v>1728</v>
      </c>
      <c r="P213" s="569">
        <f>IFERROR(VLOOKUP(C213,[3]List1!$A:$D,2,FALSE),"N/A!")</f>
        <v>15000</v>
      </c>
      <c r="Q213" s="569" t="s">
        <v>12082</v>
      </c>
      <c r="R213" s="569" t="s">
        <v>11232</v>
      </c>
      <c r="S213" s="569"/>
      <c r="T213" s="569"/>
      <c r="U213" s="569"/>
      <c r="V213" s="569"/>
      <c r="W213" s="569" t="str">
        <f>IFERROR(IF(AND($AB213&gt;=0.1*$AA213,MOD($AB213,$AA213)&gt;=($AA213-(0.1*$AA213))),IF($W$17=$AF$1,"Zvažte možnost doobjednání ještě "&amp;Tabulka1[[#This Row],[VKPAL]]-MOD(AB213,AA213)&amp;" VK do plné palety.",VLOOKUP("Zvažte možnost doobjednání ještě ",Jazyky_ceník!A:Q,MATCH($W$17,Jazyky_ceník!$A$1:$Q$1,0),FALSE)&amp;Tabulka1[[#This Row],[VKPAL]]-MOD(AB213,AA213)&amp;VLOOKUP(" VK do plné palety.",Jazyky_ceník!A:Q,MATCH($W$17,Jazyky_ceník!$A$1:$Q$1,0),FALSE)),IFERROR(IF(AND(NOT(MOD($AB213,$AA213)=0),$AB213&gt;=0.9*$AA213,MOD($AB213,$AA213)&lt;=0.1*$AA213),IF($W$17=$AF$1,"Zvažte možnost optimalizace objednaného množství podle počtu VK na paletě ==&gt;",VLOOKUP("Zvažte možnost optimalizace objednaného množství podle počtu VK na paletě ==&gt;",Jazyky_ceník!A:Q,MATCH($W$17,Jazyky_ceník!$A$1:$Q$1,0),FALSE)),VLOOKUP('General price list'!$C213,Popisy!A:M,MATCH($W$17,Popisy!$A$7:$M$7,0),FALSE)),"---------------")),IFERROR(VLOOKUP('General price list'!$C213,Popisy!A:M,MATCH($W$17,Popisy!$A$7:$M$7,0),FALSE),"---------------"))</f>
        <v>stříbnré práskající hvězdy</v>
      </c>
      <c r="X213" s="569" t="str">
        <f t="shared" si="507"/>
        <v/>
      </c>
      <c r="Y213" s="569" t="str">
        <f t="shared" si="508"/>
        <v/>
      </c>
      <c r="Z213" s="569" t="str">
        <f>HYPERLINK("https://www.klasekpyrotechnics.cz/ss50du14")</f>
        <v>https://www.klasekpyrotechnics.cz/ss50du14</v>
      </c>
      <c r="AA213" s="569">
        <f>IFERROR(IF(VLOOKUP(C213,[4]List1!$A:$D,4,FALSE)=0,"",VLOOKUP(C213,[4]List1!$A:$D,4,FALSE)),"")</f>
        <v>15</v>
      </c>
      <c r="AB213" s="565"/>
      <c r="AC213" s="570" t="str">
        <f>IFERROR(IF(VLOOKUP(C213,[1]List1!$A:$D,2,FALSE)="VYPRODÁNO",$V$9,IF(VLOOKUP(C213,[1]List1!$A:$D,2,FALSE)="DOCHÁZÍ",$V$3,VLOOKUP(C213,[1]List1!$A:$D,2,FALSE))),"OFFLINE!")</f>
        <v>31.08.2026</v>
      </c>
      <c r="AD213" s="570" t="str">
        <f ca="1">IF(AP213="NE",$V$10,IF(AC213=$V$3,IF(AQ213&lt;1,$V$8,$V$2&amp;" "&amp;AQ213&amp;" "&amp;$V$1),IF(AC213="SKLADEM",$V$6,IFERROR(IF(OR(AC213-TODAY()&gt;45,VLOOKUP(C213,[1]List1!$A:$E,4,FALSE)=0),AC213,DAY(AC213)&amp;"."&amp;MONTH(AC213)&amp;"."&amp;YEAR(AC213)&amp;" "&amp;$V$4&amp;VLOOKUP(C213,[1]List1!$A:$E,4,FALSE)&amp;" "&amp;$V$1),AC213))))</f>
        <v>31.08.2026</v>
      </c>
      <c r="AE213" s="581" t="str">
        <f t="shared" ca="1" si="509"/>
        <v>31.08.2026</v>
      </c>
      <c r="AF213" s="584">
        <f t="shared" si="510"/>
        <v>0</v>
      </c>
      <c r="AG213" s="585">
        <f t="shared" si="511"/>
        <v>0</v>
      </c>
      <c r="AH213" s="583">
        <f t="shared" si="512"/>
        <v>0</v>
      </c>
      <c r="AI213" s="582">
        <f t="shared" si="513"/>
        <v>0</v>
      </c>
      <c r="AJ213" s="569">
        <f t="shared" si="514"/>
        <v>0</v>
      </c>
      <c r="AK213" s="569" t="str">
        <f t="shared" si="515"/>
        <v/>
      </c>
      <c r="AL213" s="569" t="str">
        <f t="shared" si="516"/>
        <v/>
      </c>
      <c r="AM213" s="569">
        <f t="shared" si="517"/>
        <v>0</v>
      </c>
      <c r="AN213" s="581">
        <f t="shared" si="518"/>
        <v>0</v>
      </c>
      <c r="AO213" s="623"/>
      <c r="AP213" s="625" t="str">
        <f t="shared" si="484"/>
        <v/>
      </c>
      <c r="AQ213" s="625" t="str">
        <f>IF(AC213=$V$3,IF(VLOOKUP(C213,[1]List1!$A:$E,5,FALSE)=0,1,VLOOKUP(C213,[1]List1!$A:$E,5,FALSE)),"")</f>
        <v/>
      </c>
      <c r="AR213" s="629" t="str">
        <f t="shared" si="485"/>
        <v/>
      </c>
      <c r="AS213" s="630" t="str">
        <f t="shared" si="399"/>
        <v/>
      </c>
      <c r="AT213" s="625" t="str">
        <f t="shared" si="486"/>
        <v/>
      </c>
      <c r="AU213" s="625" t="e">
        <f t="shared" si="487"/>
        <v>#N/A</v>
      </c>
      <c r="AV213" s="625" t="e">
        <f t="shared" si="488"/>
        <v>#N/A</v>
      </c>
      <c r="AW213" s="631"/>
      <c r="AX213" s="631">
        <f>IF(AND('General price list'!$J213="F4",'General price list'!$AB213+0&gt;0),1,0)</f>
        <v>0</v>
      </c>
      <c r="AY213" s="631">
        <f t="shared" si="489"/>
        <v>1</v>
      </c>
      <c r="AZ213" s="631">
        <f t="shared" si="490"/>
        <v>1</v>
      </c>
    </row>
    <row r="214" spans="1:52" ht="15" customHeight="1">
      <c r="A214" s="751" t="str">
        <f>Kat.!C214</f>
        <v xml:space="preserve">           Vystřelovací trubice (3 rány), 20 mm moždíř</v>
      </c>
      <c r="B214" s="751"/>
      <c r="C214" s="751"/>
      <c r="D214" s="751"/>
      <c r="E214" s="751"/>
      <c r="F214" s="751"/>
      <c r="G214" s="751"/>
      <c r="H214" s="751"/>
      <c r="I214" s="752"/>
      <c r="J214" s="752"/>
      <c r="K214" s="752" t="s">
        <v>20</v>
      </c>
      <c r="L214" s="753" t="s">
        <v>2818</v>
      </c>
      <c r="M214" s="752"/>
      <c r="N214" s="752"/>
      <c r="O214" s="752"/>
      <c r="P214" s="752"/>
      <c r="Q214" s="752"/>
      <c r="R214" s="752"/>
      <c r="S214" s="752"/>
      <c r="T214" s="752"/>
      <c r="U214" s="752"/>
      <c r="V214" s="752"/>
      <c r="W214" s="752"/>
      <c r="X214" s="752"/>
      <c r="Y214" s="752"/>
      <c r="Z214" s="752" t="s">
        <v>20</v>
      </c>
      <c r="AA214" s="752"/>
      <c r="AB214" s="752"/>
      <c r="AC214" s="754"/>
      <c r="AD214" s="752"/>
      <c r="AE214" s="752"/>
      <c r="AF214" s="752"/>
      <c r="AG214" s="752"/>
      <c r="AH214" s="752"/>
      <c r="AI214" s="752"/>
      <c r="AJ214" s="752"/>
      <c r="AK214" s="752"/>
      <c r="AL214" s="752"/>
      <c r="AM214" s="752"/>
      <c r="AN214" s="752"/>
      <c r="AO214" s="623"/>
      <c r="AP214" s="632" t="str">
        <f t="shared" ref="AP214:AP277" si="519">IF($AL$3=1,IF(Y214=AB214,"","NE"),IF(AR214=$V$10,"NE",""))</f>
        <v/>
      </c>
      <c r="AQ214" s="633" t="str">
        <f>IF(AC214=$V$3,IF(VLOOKUP(C214,[1]List1!$A:$E,5,FALSE)=0,1,VLOOKUP(C214,[1]List1!$A:$E,5,FALSE)),"")</f>
        <v/>
      </c>
      <c r="AR214" s="625" t="str">
        <f t="shared" ref="AR214:AR277" si="520">IF($AL$3=1,"",IF(OR(AB214&lt;&gt;"",AB214&lt;&gt;0),IF(OR(AC214=$V$6,AC214=$V$3,AC214=$V$9),$V$10,""),""))</f>
        <v/>
      </c>
      <c r="AS214" s="634" t="str">
        <f t="shared" ref="AS214:AS277" si="521">IF(AT214&lt;&gt;"","X","")</f>
        <v/>
      </c>
      <c r="AT214" s="625" t="str">
        <f t="shared" ref="AT214:AT277" si="522">IF(AND($AL$3=2,AR214="",AB214&lt;&gt;""),AD214,"")</f>
        <v/>
      </c>
      <c r="AU214" s="638" t="e">
        <f t="shared" ref="AU214:AU277" si="523">IF(AT214=$AS$21,AB214,"")</f>
        <v>#N/A</v>
      </c>
      <c r="AV214" s="625" t="e">
        <f t="shared" ref="AV214:AV277" si="524">IF(OR(AB214="",AND(AT214&lt;&gt;"",AU214&lt;&gt;"")),"",$V$10)</f>
        <v>#N/A</v>
      </c>
      <c r="AX214" s="625">
        <f>IF(AND('General price list'!$J214="F4",'General price list'!$AB214+0&gt;0),1,0)</f>
        <v>0</v>
      </c>
      <c r="AY214" s="625">
        <f t="shared" ref="AY214:AY277" si="525">IFERROR(FIND(VLOOKUP($AC$7,$AD$1:$AE$12,2,FALSE),Q214,1),0)</f>
        <v>0</v>
      </c>
      <c r="AZ214" s="625">
        <f t="shared" ref="AZ214:AZ277" si="526">IFERROR(FIND(VLOOKUP($AC$7,$AD$1:$AE$12,2,FALSE),R214,1),0)</f>
        <v>0</v>
      </c>
    </row>
    <row r="215" spans="1:52" ht="15" customHeight="1">
      <c r="A215" s="639" t="str">
        <f>Kat.!C215</f>
        <v/>
      </c>
      <c r="B215" s="640">
        <f>IF(AND('General price list'!$J215="F4",$AI$1=FALSE),0,IF(AC215="SKLADEM",1,IF(AC215=$V$3,1,0)))</f>
        <v>1</v>
      </c>
      <c r="C215" s="641" t="s">
        <v>2563</v>
      </c>
      <c r="D215" s="642" t="s">
        <v>12522</v>
      </c>
      <c r="E215" s="643" t="s">
        <v>12668</v>
      </c>
      <c r="F215" s="771">
        <f>IFERROR(VLOOKUP(C215,[2]List1!$A:$D,3,FALSE),"NEUVEDENO!")</f>
        <v>186</v>
      </c>
      <c r="G215" s="768">
        <f t="shared" ref="G215:G217" si="527">IF($W$17=$AF$8,ROUND((F215)/$F$17,2),(F215)*$B$19)</f>
        <v>186</v>
      </c>
      <c r="H215" s="765">
        <f t="shared" ref="H215:H217" si="528">IF($W$17=$AF$8,G215*$B$19,G215/$F$17)</f>
        <v>7.9010080157000679</v>
      </c>
      <c r="I215" s="644">
        <f>IFERROR(VLOOKUP(C215,[2]List1!$A:$D,4,FALSE),"NEUVEDENO!")</f>
        <v>20</v>
      </c>
      <c r="J215" s="733" t="s">
        <v>39</v>
      </c>
      <c r="K215" s="645" t="s">
        <v>20</v>
      </c>
      <c r="L215" s="645" t="s">
        <v>10983</v>
      </c>
      <c r="M215" s="645" t="s">
        <v>114</v>
      </c>
      <c r="N215" s="645">
        <f>IFERROR(VLOOKUP(C215,[3]List1!$A:$D,4,FALSE),"N/A!")</f>
        <v>5.4022499999999994E-2</v>
      </c>
      <c r="O215" s="645">
        <f>IFERROR(VLOOKUP(C215,[3]List1!$A:$D,3,FALSE),"N/A!")</f>
        <v>2400</v>
      </c>
      <c r="P215" s="645">
        <f>IFERROR(VLOOKUP(C215,[3]List1!$A:$D,2,FALSE),"N/A!")</f>
        <v>15000</v>
      </c>
      <c r="Q215" s="645" t="s">
        <v>11758</v>
      </c>
      <c r="R215" s="645"/>
      <c r="S215" s="645" t="str">
        <f>IF($W$17=$AF$1,"červená fólie",IFERROR(VLOOKUP("červená fólie",Jazyky_ceník!$A:$Q,MATCH($W$17,Jazyky_ceník!$A$1:$Q$1,0),FALSE),"!!!"))</f>
        <v>červená fólie</v>
      </c>
      <c r="T215" s="645">
        <v>1</v>
      </c>
      <c r="U215" s="645"/>
      <c r="V215" s="645"/>
      <c r="W215" s="645" t="str">
        <f>IFERROR(IF(AND($AB215&gt;=0.1*$AA215,MOD($AB215,$AA215)&gt;=($AA215-(0.1*$AA215))),IF($W$17=$AF$1,"Zvažte možnost doobjednání ještě "&amp;Tabulka1[[#This Row],[VKPAL]]-MOD(AB215,AA215)&amp;" VK do plné palety.",VLOOKUP("Zvažte možnost doobjednání ještě ",Jazyky_ceník!A:Q,MATCH($W$17,Jazyky_ceník!$A$1:$Q$1,0),FALSE)&amp;Tabulka1[[#This Row],[VKPAL]]-MOD(AB215,AA215)&amp;VLOOKUP(" VK do plné palety.",Jazyky_ceník!A:Q,MATCH($W$17,Jazyky_ceník!$A$1:$Q$1,0),FALSE)),IFERROR(IF(AND(NOT(MOD($AB215,$AA215)=0),$AB215&gt;=0.9*$AA215,MOD($AB215,$AA215)&lt;=0.1*$AA215),IF($W$17=$AF$1,"Zvažte možnost optimalizace objednaného množství podle počtu VK na paletě ==&gt;",VLOOKUP("Zvažte možnost optimalizace objednaného množství podle počtu VK na paletě ==&gt;",Jazyky_ceník!A:Q,MATCH($W$17,Jazyky_ceník!$A$1:$Q$1,0),FALSE)),VLOOKUP('General price list'!$C215,Popisy!A:M,MATCH($W$17,Popisy!$A$7:$M$7,0),FALSE)),"---------------")),IFERROR(VLOOKUP('General price list'!$C215,Popisy!A:M,MATCH($W$17,Popisy!$A$7:$M$7,0),FALSE),"---------------"))</f>
        <v>stříbrná mina s červenou stopou a titanovou detonací</v>
      </c>
      <c r="X215" s="645" t="str">
        <f t="shared" ref="X215:X217" si="529">IF(AB215&lt;0.0001,"",AB215)</f>
        <v/>
      </c>
      <c r="Y215" s="645" t="str">
        <f t="shared" ref="Y215:Y217" si="530">IF($AL$3=2,IF(OR(AB215&lt;&gt;"",AB215&lt;&gt;0),AU215,""),IF(C215="","",IF(AB215&lt;0.0001,"",IF(B215=0,"",IF(AQ215&lt;AB215,"",AB215)))))</f>
        <v/>
      </c>
      <c r="Z215" s="645" t="str">
        <f>HYPERLINK("https://www.klasekpyrotechnics.cz/c320d")</f>
        <v>https://www.klasekpyrotechnics.cz/c320d</v>
      </c>
      <c r="AA215" s="645">
        <f>IFERROR(IF(VLOOKUP(C215,[4]List1!$A:$D,4,FALSE)=0,"",VLOOKUP(C215,[4]List1!$A:$D,4,FALSE)),"")</f>
        <v>25</v>
      </c>
      <c r="AB215" s="646"/>
      <c r="AC215" s="647" t="str">
        <f>IFERROR(IF(VLOOKUP(C215,[1]List1!$A:$D,2,FALSE)="VYPRODÁNO",$V$9,IF(VLOOKUP(C215,[1]List1!$A:$D,2,FALSE)="DOCHÁZÍ",$V$3,VLOOKUP(C215,[1]List1!$A:$D,2,FALSE))),"OFFLINE!")</f>
        <v>SKLADEM</v>
      </c>
      <c r="AD215" s="647" t="str">
        <f ca="1">IF(AP215="NE",$V$10,IF(AC215=$V$3,IF(AQ215&lt;1,$V$8,$V$2&amp;" "&amp;AQ215&amp;" "&amp;$V$1),IF(AC215="SKLADEM",$V$6,IFERROR(IF(OR(AC215-TODAY()&gt;45,VLOOKUP(C215,[1]List1!$A:$E,4,FALSE)=0),AC215,DAY(AC215)&amp;"."&amp;MONTH(AC215)&amp;"."&amp;YEAR(AC215)&amp;" "&amp;$V$4&amp;VLOOKUP(C215,[1]List1!$A:$E,4,FALSE)&amp;" "&amp;$V$1),AC215))))</f>
        <v>SKLADEM</v>
      </c>
      <c r="AE215" s="645" t="str">
        <f t="shared" ref="AE215:AE217" ca="1" si="531">IFERROR(IF(AV215&lt;&gt;"",AV215,AD215),AD215)</f>
        <v>SKLADEM</v>
      </c>
      <c r="AF215" s="648">
        <f t="shared" ref="AF215:AF217" si="532">IFERROR(IF(AB215=Y215,G215*I215*Y215,0),0)</f>
        <v>0</v>
      </c>
      <c r="AG215" s="649">
        <f t="shared" ref="AG215:AG217" si="533">IF($W$17=$AF$8,AH215*1.23,AF215*1.21)</f>
        <v>0</v>
      </c>
      <c r="AH215" s="650">
        <f t="shared" ref="AH215:AH217" si="534">IFERROR(IF(Y215=AB215,H215*I215*Y215,0),0)</f>
        <v>0</v>
      </c>
      <c r="AI215" s="645">
        <f t="shared" ref="AI215:AI217" si="535">IFERROR(IF(Y215=AB215,(P215*Y215)/1000,1),0)</f>
        <v>0</v>
      </c>
      <c r="AJ215" s="645">
        <f t="shared" ref="AJ215:AJ217" si="536">IFERROR(IF(Y215=AB215,N215*Y215,0.1),0)</f>
        <v>0</v>
      </c>
      <c r="AK215" s="645" t="str">
        <f t="shared" ref="AK215:AK217" si="537">IFERROR(IF(Y215=AB215,IF(M215="1.1G",(O215/1000)*Y215,""),""),0)</f>
        <v/>
      </c>
      <c r="AL215" s="645">
        <f t="shared" ref="AL215:AL217" si="538">IFERROR(IF(Y215=AB215,IF(M215="1.3G",(O215/1000)*AB215,""),""),0)</f>
        <v>0</v>
      </c>
      <c r="AM215" s="645" t="str">
        <f t="shared" ref="AM215:AM217" si="539">IFERROR(IF(Y215=AB215,IF(M215="1.4G",(O215/1000)*AB215,""),""),0)</f>
        <v/>
      </c>
      <c r="AN215" s="651">
        <f t="shared" ref="AN215:AN217" si="540">SUM(AK215:AM215)</f>
        <v>0</v>
      </c>
      <c r="AO215" s="623"/>
      <c r="AP215" s="632" t="str">
        <f t="shared" si="519"/>
        <v/>
      </c>
      <c r="AQ215" s="633" t="str">
        <f>IF(AC215=$V$3,IF(VLOOKUP(C215,[1]List1!$A:$E,5,FALSE)=0,1,VLOOKUP(C215,[1]List1!$A:$E,5,FALSE)),"")</f>
        <v/>
      </c>
      <c r="AR215" s="625" t="str">
        <f t="shared" si="520"/>
        <v/>
      </c>
      <c r="AS215" s="634" t="str">
        <f t="shared" si="521"/>
        <v/>
      </c>
      <c r="AT215" s="625" t="str">
        <f t="shared" si="522"/>
        <v/>
      </c>
      <c r="AU215" s="638" t="e">
        <f t="shared" si="523"/>
        <v>#N/A</v>
      </c>
      <c r="AV215" s="625" t="e">
        <f t="shared" si="524"/>
        <v>#N/A</v>
      </c>
      <c r="AX215" s="625">
        <f>IF(AND('General price list'!$J215="F4",'General price list'!$AB215+0&gt;0),1,0)</f>
        <v>0</v>
      </c>
      <c r="AY215" s="625">
        <f t="shared" si="525"/>
        <v>1</v>
      </c>
      <c r="AZ215" s="625">
        <f t="shared" si="526"/>
        <v>0</v>
      </c>
    </row>
    <row r="216" spans="1:52" ht="15" customHeight="1">
      <c r="A216" s="621" t="str">
        <f>Kat.!C216</f>
        <v/>
      </c>
      <c r="B216" s="566">
        <f>IF(AND('General price list'!$J216="F4",$AI$1=FALSE),0,IF(AC216="SKLADEM",1,IF(AC216=$V$3,1,0)))</f>
        <v>1</v>
      </c>
      <c r="C216" s="567" t="s">
        <v>11196</v>
      </c>
      <c r="D216" s="568" t="s">
        <v>11197</v>
      </c>
      <c r="E216" s="763" t="s">
        <v>12668</v>
      </c>
      <c r="F216" s="772">
        <f>IFERROR(VLOOKUP(C216,[2]List1!$A:$D,3,FALSE),"NEUVEDENO!")</f>
        <v>186</v>
      </c>
      <c r="G216" s="769">
        <f t="shared" si="527"/>
        <v>186</v>
      </c>
      <c r="H216" s="766">
        <f t="shared" si="528"/>
        <v>7.9010080157000679</v>
      </c>
      <c r="I216" s="764">
        <f>IFERROR(VLOOKUP(C216,[2]List1!$A:$D,4,FALSE),"NEUVEDENO!")</f>
        <v>20</v>
      </c>
      <c r="J216" s="732" t="s">
        <v>39</v>
      </c>
      <c r="K216" s="569" t="s">
        <v>20</v>
      </c>
      <c r="L216" s="569"/>
      <c r="M216" s="569" t="s">
        <v>114</v>
      </c>
      <c r="N216" s="569">
        <f>IFERROR(VLOOKUP(C216,[3]List1!$A:$D,4,FALSE),"N/A!")</f>
        <v>5.4022499999999994E-2</v>
      </c>
      <c r="O216" s="569">
        <f>IFERROR(VLOOKUP(C216,[3]List1!$A:$D,3,FALSE),"N/A!")</f>
        <v>2700</v>
      </c>
      <c r="P216" s="569">
        <f>IFERROR(VLOOKUP(C216,[3]List1!$A:$D,2,FALSE),"N/A!")</f>
        <v>15000</v>
      </c>
      <c r="Q216" s="569" t="s">
        <v>12083</v>
      </c>
      <c r="R216" s="569"/>
      <c r="S216" s="569" t="str">
        <f>IF($W$17=$AF$1,"červená fólie",IFERROR(VLOOKUP("červená fólie",Jazyky_ceník!$A:$Q,MATCH($W$17,Jazyky_ceník!$A$1:$Q$1,0),FALSE),"!!!"))</f>
        <v>červená fólie</v>
      </c>
      <c r="T216" s="569">
        <v>1</v>
      </c>
      <c r="U216" s="569"/>
      <c r="V216" s="569"/>
      <c r="W216" s="569" t="str">
        <f>IFERROR(IF(AND($AB216&gt;=0.1*$AA216,MOD($AB216,$AA216)&gt;=($AA216-(0.1*$AA216))),IF($W$17=$AF$1,"Zvažte možnost doobjednání ještě "&amp;Tabulka1[[#This Row],[VKPAL]]-MOD(AB216,AA216)&amp;" VK do plné palety.",VLOOKUP("Zvažte možnost doobjednání ještě ",Jazyky_ceník!A:Q,MATCH($W$17,Jazyky_ceník!$A$1:$Q$1,0),FALSE)&amp;Tabulka1[[#This Row],[VKPAL]]-MOD(AB216,AA216)&amp;VLOOKUP(" VK do plné palety.",Jazyky_ceník!A:Q,MATCH($W$17,Jazyky_ceník!$A$1:$Q$1,0),FALSE)),IFERROR(IF(AND(NOT(MOD($AB216,$AA216)=0),$AB216&gt;=0.9*$AA216,MOD($AB216,$AA216)&lt;=0.1*$AA216),IF($W$17=$AF$1,"Zvažte možnost optimalizace objednaného množství podle počtu VK na paletě ==&gt;",VLOOKUP("Zvažte možnost optimalizace objednaného množství podle počtu VK na paletě ==&gt;",Jazyky_ceník!A:Q,MATCH($W$17,Jazyky_ceník!$A$1:$Q$1,0),FALSE)),VLOOKUP('General price list'!$C216,Popisy!A:M,MATCH($W$17,Popisy!$A$7:$M$7,0),FALSE)),"---------------")),IFERROR(VLOOKUP('General price list'!$C216,Popisy!A:M,MATCH($W$17,Popisy!$A$7:$M$7,0),FALSE),"---------------"))</f>
        <v>zlatá blikajiící vrba s bílým blikajícím středem</v>
      </c>
      <c r="X216" s="569" t="str">
        <f t="shared" si="529"/>
        <v/>
      </c>
      <c r="Y216" s="569" t="str">
        <f t="shared" si="530"/>
        <v/>
      </c>
      <c r="Z216" s="569" t="str">
        <f>HYPERLINK("https://www.klasekpyrotechnics.cz/c320b")</f>
        <v>https://www.klasekpyrotechnics.cz/c320b</v>
      </c>
      <c r="AA216" s="569">
        <f>IFERROR(IF(VLOOKUP(C216,[4]List1!$A:$D,4,FALSE)=0,"",VLOOKUP(C216,[4]List1!$A:$D,4,FALSE)),"")</f>
        <v>25</v>
      </c>
      <c r="AB216" s="565"/>
      <c r="AC216" s="570" t="str">
        <f>IFERROR(IF(VLOOKUP(C216,[1]List1!$A:$D,2,FALSE)="VYPRODÁNO",$V$9,IF(VLOOKUP(C216,[1]List1!$A:$D,2,FALSE)="DOCHÁZÍ",$V$3,VLOOKUP(C216,[1]List1!$A:$D,2,FALSE))),"OFFLINE!")</f>
        <v>SKLADEM</v>
      </c>
      <c r="AD216" s="570" t="str">
        <f ca="1">IF(AP216="NE",$V$10,IF(AC216=$V$3,IF(AQ216&lt;1,$V$8,$V$2&amp;" "&amp;AQ216&amp;" "&amp;$V$1),IF(AC216="SKLADEM",$V$6,IFERROR(IF(OR(AC216-TODAY()&gt;45,VLOOKUP(C216,[1]List1!$A:$E,4,FALSE)=0),AC216,DAY(AC216)&amp;"."&amp;MONTH(AC216)&amp;"."&amp;YEAR(AC216)&amp;" "&amp;$V$4&amp;VLOOKUP(C216,[1]List1!$A:$E,4,FALSE)&amp;" "&amp;$V$1),AC216))))</f>
        <v>SKLADEM</v>
      </c>
      <c r="AE216" s="581" t="str">
        <f t="shared" ca="1" si="531"/>
        <v>SKLADEM</v>
      </c>
      <c r="AF216" s="584">
        <f t="shared" si="532"/>
        <v>0</v>
      </c>
      <c r="AG216" s="585">
        <f t="shared" si="533"/>
        <v>0</v>
      </c>
      <c r="AH216" s="583">
        <f t="shared" si="534"/>
        <v>0</v>
      </c>
      <c r="AI216" s="582">
        <f t="shared" si="535"/>
        <v>0</v>
      </c>
      <c r="AJ216" s="569">
        <f t="shared" si="536"/>
        <v>0</v>
      </c>
      <c r="AK216" s="569" t="str">
        <f t="shared" si="537"/>
        <v/>
      </c>
      <c r="AL216" s="569">
        <f t="shared" si="538"/>
        <v>0</v>
      </c>
      <c r="AM216" s="569" t="str">
        <f t="shared" si="539"/>
        <v/>
      </c>
      <c r="AN216" s="581">
        <f t="shared" si="540"/>
        <v>0</v>
      </c>
      <c r="AO216" s="623"/>
      <c r="AP216" s="632" t="str">
        <f t="shared" si="519"/>
        <v/>
      </c>
      <c r="AQ216" s="625" t="str">
        <f>IF(AC216=$V$3,IF(VLOOKUP(C216,[1]List1!$A:$E,5,FALSE)=0,1,VLOOKUP(C216,[1]List1!$A:$E,5,FALSE)),"")</f>
        <v/>
      </c>
      <c r="AR216" s="625" t="str">
        <f t="shared" si="520"/>
        <v/>
      </c>
      <c r="AS216" s="634" t="str">
        <f t="shared" si="521"/>
        <v/>
      </c>
      <c r="AT216" s="625" t="str">
        <f t="shared" si="522"/>
        <v/>
      </c>
      <c r="AU216" s="638" t="e">
        <f t="shared" si="523"/>
        <v>#N/A</v>
      </c>
      <c r="AV216" s="625" t="e">
        <f t="shared" si="524"/>
        <v>#N/A</v>
      </c>
      <c r="AX216" s="625">
        <f>IF(AND('General price list'!$J216="F4",'General price list'!$AB216+0&gt;0),1,0)</f>
        <v>0</v>
      </c>
      <c r="AY216" s="625">
        <f t="shared" si="525"/>
        <v>1</v>
      </c>
      <c r="AZ216" s="625">
        <f t="shared" si="526"/>
        <v>0</v>
      </c>
    </row>
    <row r="217" spans="1:52" ht="15" customHeight="1">
      <c r="A217" s="639" t="str">
        <f>Kat.!C217</f>
        <v/>
      </c>
      <c r="B217" s="640">
        <f>IF(AND('General price list'!$J217="F4",$AI$1=FALSE),0,IF(AC217="SKLADEM",1,IF(AC217=$V$3,1,0)))</f>
        <v>0</v>
      </c>
      <c r="C217" s="641" t="s">
        <v>12449</v>
      </c>
      <c r="D217" s="642" t="s">
        <v>12523</v>
      </c>
      <c r="E217" s="643" t="s">
        <v>12668</v>
      </c>
      <c r="F217" s="773">
        <f>IFERROR(VLOOKUP(C217,[2]List1!$A:$D,3,FALSE),"NEUVEDENO!")</f>
        <v>186</v>
      </c>
      <c r="G217" s="770">
        <f t="shared" si="527"/>
        <v>186</v>
      </c>
      <c r="H217" s="767">
        <f t="shared" si="528"/>
        <v>7.9010080157000679</v>
      </c>
      <c r="I217" s="644">
        <f>IFERROR(VLOOKUP(C217,[2]List1!$A:$D,4,FALSE),"NEUVEDENO!")</f>
        <v>20</v>
      </c>
      <c r="J217" s="733" t="s">
        <v>39</v>
      </c>
      <c r="K217" s="645">
        <v>4</v>
      </c>
      <c r="L217" s="645"/>
      <c r="M217" s="645" t="s">
        <v>21</v>
      </c>
      <c r="N217" s="645">
        <f>IFERROR(VLOOKUP(C217,[3]List1!$A:$D,4,FALSE),"N/A!")</f>
        <v>5.4022499999999994E-2</v>
      </c>
      <c r="O217" s="645">
        <f>IFERROR(VLOOKUP(C217,[3]List1!$A:$D,3,FALSE),"N/A!")</f>
        <v>2700</v>
      </c>
      <c r="P217" s="645">
        <f>IFERROR(VLOOKUP(C217,[3]List1!$A:$D,2,FALSE),"N/A!")</f>
        <v>15000</v>
      </c>
      <c r="Q217" s="645" t="s">
        <v>12083</v>
      </c>
      <c r="R217" s="645"/>
      <c r="S217" s="645" t="str">
        <f>IF($W$17=$AF$1,"červená fólie",IFERROR(VLOOKUP("červená fólie",Jazyky_ceník!$A:$Q,MATCH($W$17,Jazyky_ceník!$A$1:$Q$1,0),FALSE),"!!!"))</f>
        <v>červená fólie</v>
      </c>
      <c r="T217" s="645">
        <v>1</v>
      </c>
      <c r="U217" s="645"/>
      <c r="V217" s="645"/>
      <c r="W217" s="645" t="str">
        <f>IFERROR(IF(AND($AB217&gt;=0.1*$AA217,MOD($AB217,$AA217)&gt;=($AA217-(0.1*$AA217))),IF($W$17=$AF$1,"Zvažte možnost doobjednání ještě "&amp;Tabulka1[[#This Row],[VKPAL]]-MOD(AB217,AA217)&amp;" VK do plné palety.",VLOOKUP("Zvažte možnost doobjednání ještě ",Jazyky_ceník!A:Q,MATCH($W$17,Jazyky_ceník!$A$1:$Q$1,0),FALSE)&amp;Tabulka1[[#This Row],[VKPAL]]-MOD(AB217,AA217)&amp;VLOOKUP(" VK do plné palety.",Jazyky_ceník!A:Q,MATCH($W$17,Jazyky_ceník!$A$1:$Q$1,0),FALSE)),IFERROR(IF(AND(NOT(MOD($AB217,$AA217)=0),$AB217&gt;=0.9*$AA217,MOD($AB217,$AA217)&lt;=0.1*$AA217),IF($W$17=$AF$1,"Zvažte možnost optimalizace objednaného množství podle počtu VK na paletě ==&gt;",VLOOKUP("Zvažte možnost optimalizace objednaného množství podle počtu VK na paletě ==&gt;",Jazyky_ceník!A:Q,MATCH($W$17,Jazyky_ceník!$A$1:$Q$1,0),FALSE)),VLOOKUP('General price list'!$C217,Popisy!A:M,MATCH($W$17,Popisy!$A$7:$M$7,0),FALSE)),"---------------")),IFERROR(VLOOKUP('General price list'!$C217,Popisy!A:M,MATCH($W$17,Popisy!$A$7:$M$7,0),FALSE),"---------------"))</f>
        <v>5 různobarevných efektů</v>
      </c>
      <c r="X217" s="645" t="str">
        <f t="shared" si="529"/>
        <v/>
      </c>
      <c r="Y217" s="645" t="str">
        <f t="shared" si="530"/>
        <v/>
      </c>
      <c r="Z217" s="645" t="str">
        <f>HYPERLINK("https://www.klasekpyrotechnics.cz/c320x14")</f>
        <v>https://www.klasekpyrotechnics.cz/c320x14</v>
      </c>
      <c r="AA217" s="645">
        <f>IFERROR(IF(VLOOKUP(C217,[4]List1!$A:$D,4,FALSE)=0,"",VLOOKUP(C217,[4]List1!$A:$D,4,FALSE)),"")</f>
        <v>25</v>
      </c>
      <c r="AB217" s="646"/>
      <c r="AC217" s="647" t="str">
        <f>IFERROR(IF(VLOOKUP(C217,[1]List1!$A:$D,2,FALSE)="VYPRODÁNO",$V$9,IF(VLOOKUP(C217,[1]List1!$A:$D,2,FALSE)="DOCHÁZÍ",$V$3,VLOOKUP(C217,[1]List1!$A:$D,2,FALSE))),"OFFLINE!")</f>
        <v>31.08.2026</v>
      </c>
      <c r="AD217" s="647" t="str">
        <f ca="1">IF(AP217="NE",$V$10,IF(AC217=$V$3,IF(AQ217&lt;1,$V$8,$V$2&amp;" "&amp;AQ217&amp;" "&amp;$V$1),IF(AC217="SKLADEM",$V$6,IFERROR(IF(OR(AC217-TODAY()&gt;45,VLOOKUP(C217,[1]List1!$A:$E,4,FALSE)=0),AC217,DAY(AC217)&amp;"."&amp;MONTH(AC217)&amp;"."&amp;YEAR(AC217)&amp;" "&amp;$V$4&amp;VLOOKUP(C217,[1]List1!$A:$E,4,FALSE)&amp;" "&amp;$V$1),AC217))))</f>
        <v>31.08.2026</v>
      </c>
      <c r="AE217" s="645" t="str">
        <f t="shared" ca="1" si="531"/>
        <v>31.08.2026</v>
      </c>
      <c r="AF217" s="648">
        <f t="shared" si="532"/>
        <v>0</v>
      </c>
      <c r="AG217" s="649">
        <f t="shared" si="533"/>
        <v>0</v>
      </c>
      <c r="AH217" s="650">
        <f t="shared" si="534"/>
        <v>0</v>
      </c>
      <c r="AI217" s="645">
        <f t="shared" si="535"/>
        <v>0</v>
      </c>
      <c r="AJ217" s="645">
        <f t="shared" si="536"/>
        <v>0</v>
      </c>
      <c r="AK217" s="645" t="str">
        <f t="shared" si="537"/>
        <v/>
      </c>
      <c r="AL217" s="645" t="str">
        <f t="shared" si="538"/>
        <v/>
      </c>
      <c r="AM217" s="645">
        <f t="shared" si="539"/>
        <v>0</v>
      </c>
      <c r="AN217" s="651">
        <f t="shared" si="540"/>
        <v>0</v>
      </c>
      <c r="AO217" s="623"/>
      <c r="AP217" s="632" t="str">
        <f t="shared" si="519"/>
        <v/>
      </c>
      <c r="AQ217" s="633" t="str">
        <f>IF(AC217=$V$3,IF(VLOOKUP(C217,[1]List1!$A:$E,5,FALSE)=0,1,VLOOKUP(C217,[1]List1!$A:$E,5,FALSE)),"")</f>
        <v/>
      </c>
      <c r="AR217" s="625" t="str">
        <f t="shared" si="520"/>
        <v/>
      </c>
      <c r="AS217" s="634" t="str">
        <f t="shared" si="521"/>
        <v/>
      </c>
      <c r="AT217" s="625" t="str">
        <f t="shared" si="522"/>
        <v/>
      </c>
      <c r="AU217" s="638" t="e">
        <f t="shared" si="523"/>
        <v>#N/A</v>
      </c>
      <c r="AV217" s="625" t="e">
        <f t="shared" si="524"/>
        <v>#N/A</v>
      </c>
      <c r="AX217" s="625">
        <f>IF(AND('General price list'!$J217="F4",'General price list'!$AB217+0&gt;0),1,0)</f>
        <v>0</v>
      </c>
      <c r="AY217" s="625">
        <f t="shared" si="525"/>
        <v>1</v>
      </c>
      <c r="AZ217" s="625">
        <f t="shared" si="526"/>
        <v>0</v>
      </c>
    </row>
    <row r="218" spans="1:52" ht="15.75" customHeight="1">
      <c r="A218" s="751" t="str">
        <f>Kat.!C218</f>
        <v xml:space="preserve">           Vystřelovací trubice (3 rány), 30 mm moždíř</v>
      </c>
      <c r="B218" s="751"/>
      <c r="C218" s="751"/>
      <c r="D218" s="751"/>
      <c r="E218" s="751"/>
      <c r="F218" s="751"/>
      <c r="G218" s="751"/>
      <c r="H218" s="751"/>
      <c r="I218" s="752"/>
      <c r="J218" s="752"/>
      <c r="K218" s="752" t="s">
        <v>20</v>
      </c>
      <c r="L218" s="753" t="s">
        <v>2818</v>
      </c>
      <c r="M218" s="752"/>
      <c r="N218" s="752"/>
      <c r="O218" s="752"/>
      <c r="P218" s="752"/>
      <c r="Q218" s="752"/>
      <c r="R218" s="752"/>
      <c r="S218" s="752"/>
      <c r="T218" s="752"/>
      <c r="U218" s="752"/>
      <c r="V218" s="752"/>
      <c r="W218" s="752"/>
      <c r="X218" s="752"/>
      <c r="Y218" s="752"/>
      <c r="Z218" s="752" t="s">
        <v>20</v>
      </c>
      <c r="AA218" s="752"/>
      <c r="AB218" s="752"/>
      <c r="AC218" s="754"/>
      <c r="AD218" s="752"/>
      <c r="AE218" s="752"/>
      <c r="AF218" s="752"/>
      <c r="AG218" s="752"/>
      <c r="AH218" s="752"/>
      <c r="AI218" s="752"/>
      <c r="AJ218" s="752"/>
      <c r="AK218" s="752"/>
      <c r="AL218" s="752"/>
      <c r="AM218" s="752"/>
      <c r="AN218" s="752"/>
      <c r="AO218" s="623"/>
      <c r="AP218" s="625" t="str">
        <f t="shared" si="519"/>
        <v/>
      </c>
      <c r="AQ218" s="625" t="str">
        <f>IF(AC218=$V$3,IF(VLOOKUP(C218,[1]List1!$A:$E,5,FALSE)=0,1,VLOOKUP(C218,[1]List1!$A:$E,5,FALSE)),"")</f>
        <v/>
      </c>
      <c r="AR218" s="629" t="str">
        <f t="shared" si="520"/>
        <v/>
      </c>
      <c r="AS218" s="630" t="str">
        <f t="shared" si="521"/>
        <v/>
      </c>
      <c r="AT218" s="625" t="str">
        <f t="shared" si="522"/>
        <v/>
      </c>
      <c r="AU218" s="625" t="e">
        <f t="shared" si="523"/>
        <v>#N/A</v>
      </c>
      <c r="AV218" s="625" t="e">
        <f t="shared" si="524"/>
        <v>#N/A</v>
      </c>
      <c r="AW218" s="631"/>
      <c r="AX218" s="631">
        <f>IF(AND('General price list'!$J218="F4",'General price list'!$AB218+0&gt;0),1,0)</f>
        <v>0</v>
      </c>
      <c r="AY218" s="631">
        <f t="shared" si="525"/>
        <v>0</v>
      </c>
      <c r="AZ218" s="631">
        <f t="shared" si="526"/>
        <v>0</v>
      </c>
    </row>
    <row r="219" spans="1:52" ht="15" customHeight="1">
      <c r="A219" s="639" t="str">
        <f>Kat.!C219</f>
        <v/>
      </c>
      <c r="B219" s="640">
        <f>IF(AND('General price list'!$J219="F4",$AI$1=FALSE),0,IF(AC219="SKLADEM",1,IF(AC219=$V$3,1,0)))</f>
        <v>1</v>
      </c>
      <c r="C219" s="641" t="s">
        <v>2296</v>
      </c>
      <c r="D219" s="642" t="s">
        <v>12522</v>
      </c>
      <c r="E219" s="643" t="s">
        <v>12702</v>
      </c>
      <c r="F219" s="771">
        <f>IFERROR(VLOOKUP(C219,[2]List1!$A:$D,3,FALSE),"NEUVEDENO!")</f>
        <v>109</v>
      </c>
      <c r="G219" s="768">
        <f t="shared" ref="G219:G220" si="541">IF($W$17=$AF$8,ROUND((F219)/$F$17,2),(F219)*$B$19)</f>
        <v>109</v>
      </c>
      <c r="H219" s="765">
        <f t="shared" ref="H219:H220" si="542">IF($W$17=$AF$8,G219*$B$19,G219/$F$17)</f>
        <v>4.6301606113511147</v>
      </c>
      <c r="I219" s="644">
        <f>IFERROR(VLOOKUP(C219,[2]List1!$A:$D,4,FALSE),"NEUVEDENO!")</f>
        <v>18</v>
      </c>
      <c r="J219" s="733" t="s">
        <v>39</v>
      </c>
      <c r="K219" s="645" t="s">
        <v>20</v>
      </c>
      <c r="L219" s="645" t="s">
        <v>10983</v>
      </c>
      <c r="M219" s="645" t="s">
        <v>114</v>
      </c>
      <c r="N219" s="645">
        <f>IFERROR(VLOOKUP(C219,[3]List1!$A:$D,4,FALSE),"N/A!")</f>
        <v>2.4624E-2</v>
      </c>
      <c r="O219" s="645">
        <f>IFERROR(VLOOKUP(C219,[3]List1!$A:$D,3,FALSE),"N/A!")</f>
        <v>864</v>
      </c>
      <c r="P219" s="645">
        <f>IFERROR(VLOOKUP(C219,[3]List1!$A:$D,2,FALSE),"N/A!")</f>
        <v>8000</v>
      </c>
      <c r="Q219" s="645" t="s">
        <v>11264</v>
      </c>
      <c r="R219" s="645"/>
      <c r="S219" s="645" t="str">
        <f>IF($W$17=$AF$1,"červená fólie",IFERROR(VLOOKUP("červená fólie",Jazyky_ceník!$A:$Q,MATCH($W$17,Jazyky_ceník!$A$1:$Q$1,0),FALSE),"!!!"))</f>
        <v>červená fólie</v>
      </c>
      <c r="T219" s="645">
        <v>1</v>
      </c>
      <c r="U219" s="645"/>
      <c r="V219" s="645"/>
      <c r="W219" s="645" t="str">
        <f>IFERROR(IF(AND($AB219&gt;=0.1*$AA219,MOD($AB219,$AA219)&gt;=($AA219-(0.1*$AA219))),IF($W$17=$AF$1,"Zvažte možnost doobjednání ještě "&amp;Tabulka1[[#This Row],[VKPAL]]-MOD(AB219,AA219)&amp;" VK do plné palety.",VLOOKUP("Zvažte možnost doobjednání ještě ",Jazyky_ceník!A:Q,MATCH($W$17,Jazyky_ceník!$A$1:$Q$1,0),FALSE)&amp;Tabulka1[[#This Row],[VKPAL]]-MOD(AB219,AA219)&amp;VLOOKUP(" VK do plné palety.",Jazyky_ceník!A:Q,MATCH($W$17,Jazyky_ceník!$A$1:$Q$1,0),FALSE)),IFERROR(IF(AND(NOT(MOD($AB219,$AA219)=0),$AB219&gt;=0.9*$AA219,MOD($AB219,$AA219)&lt;=0.1*$AA219),IF($W$17=$AF$1,"Zvažte možnost optimalizace objednaného množství podle počtu VK na paletě ==&gt;",VLOOKUP("Zvažte možnost optimalizace objednaného množství podle počtu VK na paletě ==&gt;",Jazyky_ceník!A:Q,MATCH($W$17,Jazyky_ceník!$A$1:$Q$1,0),FALSE)),VLOOKUP('General price list'!$C219,Popisy!A:M,MATCH($W$17,Popisy!$A$7:$M$7,0),FALSE)),"---------------")),IFERROR(VLOOKUP('General price list'!$C219,Popisy!A:M,MATCH($W$17,Popisy!$A$7:$M$7,0),FALSE),"---------------"))</f>
        <v>stříbrné miny s červenou stopou a titanovou detonací</v>
      </c>
      <c r="X219" s="645" t="str">
        <f t="shared" ref="X219:X220" si="543">IF(AB219&lt;0.0001,"",AB219)</f>
        <v/>
      </c>
      <c r="Y219" s="645" t="str">
        <f t="shared" ref="Y219:Y220" si="544">IF($AL$3=2,IF(OR(AB219&lt;&gt;"",AB219&lt;&gt;0),AU219,""),IF(C219="","",IF(AB219&lt;0.0001,"",IF(B219=0,"",IF(AQ219&lt;AB219,"",AB219)))))</f>
        <v/>
      </c>
      <c r="Z219" s="645" t="str">
        <f>HYPERLINK("https://www.klasekpyrotechnics.cz/c330d")</f>
        <v>https://www.klasekpyrotechnics.cz/c330d</v>
      </c>
      <c r="AA219" s="645">
        <f>IFERROR(IF(VLOOKUP(C219,[4]List1!$A:$D,4,FALSE)=0,"",VLOOKUP(C219,[4]List1!$A:$D,4,FALSE)),"")</f>
        <v>56</v>
      </c>
      <c r="AB219" s="646"/>
      <c r="AC219" s="647" t="str">
        <f>IFERROR(IF(VLOOKUP(C219,[1]List1!$A:$D,2,FALSE)="VYPRODÁNO",$V$9,IF(VLOOKUP(C219,[1]List1!$A:$D,2,FALSE)="DOCHÁZÍ",$V$3,VLOOKUP(C219,[1]List1!$A:$D,2,FALSE))),"OFFLINE!")</f>
        <v>SKLADEM</v>
      </c>
      <c r="AD219" s="647" t="str">
        <f ca="1">IF(AP219="NE",$V$10,IF(AC219=$V$3,IF(AQ219&lt;1,$V$8,$V$2&amp;" "&amp;AQ219&amp;" "&amp;$V$1),IF(AC219="SKLADEM",$V$6,IFERROR(IF(OR(AC219-TODAY()&gt;45,VLOOKUP(C219,[1]List1!$A:$E,4,FALSE)=0),AC219,DAY(AC219)&amp;"."&amp;MONTH(AC219)&amp;"."&amp;YEAR(AC219)&amp;" "&amp;$V$4&amp;VLOOKUP(C219,[1]List1!$A:$E,4,FALSE)&amp;" "&amp;$V$1),AC219))))</f>
        <v>SKLADEM</v>
      </c>
      <c r="AE219" s="645" t="str">
        <f t="shared" ref="AE219:AE220" ca="1" si="545">IFERROR(IF(AV219&lt;&gt;"",AV219,AD219),AD219)</f>
        <v>SKLADEM</v>
      </c>
      <c r="AF219" s="648">
        <f t="shared" ref="AF219:AF220" si="546">IFERROR(IF(AB219=Y219,G219*I219*Y219,0),0)</f>
        <v>0</v>
      </c>
      <c r="AG219" s="649">
        <f t="shared" ref="AG219:AG220" si="547">IF($W$17=$AF$8,AH219*1.23,AF219*1.21)</f>
        <v>0</v>
      </c>
      <c r="AH219" s="650">
        <f t="shared" ref="AH219:AH220" si="548">IFERROR(IF(Y219=AB219,H219*I219*Y219,0),0)</f>
        <v>0</v>
      </c>
      <c r="AI219" s="645">
        <f t="shared" ref="AI219:AI220" si="549">IFERROR(IF(Y219=AB219,(P219*Y219)/1000,1),0)</f>
        <v>0</v>
      </c>
      <c r="AJ219" s="645">
        <f t="shared" ref="AJ219:AJ220" si="550">IFERROR(IF(Y219=AB219,N219*Y219,0.1),0)</f>
        <v>0</v>
      </c>
      <c r="AK219" s="645" t="str">
        <f t="shared" ref="AK219:AK220" si="551">IFERROR(IF(Y219=AB219,IF(M219="1.1G",(O219/1000)*Y219,""),""),0)</f>
        <v/>
      </c>
      <c r="AL219" s="645">
        <f t="shared" ref="AL219:AL220" si="552">IFERROR(IF(Y219=AB219,IF(M219="1.3G",(O219/1000)*AB219,""),""),0)</f>
        <v>0</v>
      </c>
      <c r="AM219" s="645" t="str">
        <f t="shared" ref="AM219:AM220" si="553">IFERROR(IF(Y219=AB219,IF(M219="1.4G",(O219/1000)*AB219,""),""),0)</f>
        <v/>
      </c>
      <c r="AN219" s="651">
        <f t="shared" ref="AN219:AN220" si="554">SUM(AK219:AM219)</f>
        <v>0</v>
      </c>
      <c r="AO219" s="623"/>
      <c r="AP219" s="632" t="str">
        <f t="shared" si="519"/>
        <v/>
      </c>
      <c r="AQ219" s="633" t="str">
        <f>IF(AC219=$V$3,IF(VLOOKUP(C219,[1]List1!$A:$E,5,FALSE)=0,1,VLOOKUP(C219,[1]List1!$A:$E,5,FALSE)),"")</f>
        <v/>
      </c>
      <c r="AR219" s="625" t="str">
        <f t="shared" si="520"/>
        <v/>
      </c>
      <c r="AS219" s="634" t="str">
        <f t="shared" si="521"/>
        <v/>
      </c>
      <c r="AT219" s="625" t="str">
        <f t="shared" si="522"/>
        <v/>
      </c>
      <c r="AU219" s="638" t="e">
        <f t="shared" si="523"/>
        <v>#N/A</v>
      </c>
      <c r="AV219" s="625" t="e">
        <f t="shared" si="524"/>
        <v>#N/A</v>
      </c>
      <c r="AX219" s="625">
        <f>IF(AND('General price list'!$J219="F4",'General price list'!$AB219+0&gt;0),1,0)</f>
        <v>0</v>
      </c>
      <c r="AY219" s="625">
        <f t="shared" si="525"/>
        <v>1</v>
      </c>
      <c r="AZ219" s="625">
        <f t="shared" si="526"/>
        <v>0</v>
      </c>
    </row>
    <row r="220" spans="1:52" ht="15" customHeight="1">
      <c r="A220" s="621" t="str">
        <f>Kat.!C220</f>
        <v/>
      </c>
      <c r="B220" s="566">
        <f>IF(AND('General price list'!$J220="F4",$AI$1=FALSE),0,IF(AC220="SKLADEM",1,IF(AC220=$V$3,1,0)))</f>
        <v>1</v>
      </c>
      <c r="C220" s="567" t="s">
        <v>11198</v>
      </c>
      <c r="D220" s="568" t="s">
        <v>11197</v>
      </c>
      <c r="E220" s="763" t="s">
        <v>12702</v>
      </c>
      <c r="F220" s="772">
        <f>IFERROR(VLOOKUP(C220,[2]List1!$A:$D,3,FALSE),"NEUVEDENO!")</f>
        <v>109</v>
      </c>
      <c r="G220" s="769">
        <f t="shared" si="541"/>
        <v>109</v>
      </c>
      <c r="H220" s="766">
        <f t="shared" si="542"/>
        <v>4.6301606113511147</v>
      </c>
      <c r="I220" s="764">
        <f>IFERROR(VLOOKUP(C220,[2]List1!$A:$D,4,FALSE),"NEUVEDENO!")</f>
        <v>18</v>
      </c>
      <c r="J220" s="732" t="s">
        <v>39</v>
      </c>
      <c r="K220" s="569" t="s">
        <v>20</v>
      </c>
      <c r="L220" s="569"/>
      <c r="M220" s="569" t="s">
        <v>114</v>
      </c>
      <c r="N220" s="569">
        <f>IFERROR(VLOOKUP(C220,[3]List1!$A:$D,4,FALSE),"N/A!")</f>
        <v>2.3726249999999997E-2</v>
      </c>
      <c r="O220" s="569">
        <f>IFERROR(VLOOKUP(C220,[3]List1!$A:$D,3,FALSE),"N/A!")</f>
        <v>1080</v>
      </c>
      <c r="P220" s="569">
        <f>IFERROR(VLOOKUP(C220,[3]List1!$A:$D,2,FALSE),"N/A!")</f>
        <v>8000</v>
      </c>
      <c r="Q220" s="569" t="s">
        <v>11264</v>
      </c>
      <c r="R220" s="569"/>
      <c r="S220" s="569" t="str">
        <f>IF($W$17=$AF$1,"červená fólie",IFERROR(VLOOKUP("červená fólie",Jazyky_ceník!$A:$Q,MATCH($W$17,Jazyky_ceník!$A$1:$Q$1,0),FALSE),"!!!"))</f>
        <v>červená fólie</v>
      </c>
      <c r="T220" s="569">
        <v>1</v>
      </c>
      <c r="U220" s="569"/>
      <c r="V220" s="569"/>
      <c r="W220" s="569" t="str">
        <f>IFERROR(IF(AND($AB220&gt;=0.1*$AA220,MOD($AB220,$AA220)&gt;=($AA220-(0.1*$AA220))),IF($W$17=$AF$1,"Zvažte možnost doobjednání ještě "&amp;Tabulka1[[#This Row],[VKPAL]]-MOD(AB220,AA220)&amp;" VK do plné palety.",VLOOKUP("Zvažte možnost doobjednání ještě ",Jazyky_ceník!A:Q,MATCH($W$17,Jazyky_ceník!$A$1:$Q$1,0),FALSE)&amp;Tabulka1[[#This Row],[VKPAL]]-MOD(AB220,AA220)&amp;VLOOKUP(" VK do plné palety.",Jazyky_ceník!A:Q,MATCH($W$17,Jazyky_ceník!$A$1:$Q$1,0),FALSE)),IFERROR(IF(AND(NOT(MOD($AB220,$AA220)=0),$AB220&gt;=0.9*$AA220,MOD($AB220,$AA220)&lt;=0.1*$AA220),IF($W$17=$AF$1,"Zvažte možnost optimalizace objednaného množství podle počtu VK na paletě ==&gt;",VLOOKUP("Zvažte možnost optimalizace objednaného množství podle počtu VK na paletě ==&gt;",Jazyky_ceník!A:Q,MATCH($W$17,Jazyky_ceník!$A$1:$Q$1,0),FALSE)),VLOOKUP('General price list'!$C220,Popisy!A:M,MATCH($W$17,Popisy!$A$7:$M$7,0),FALSE)),"---------------")),IFERROR(VLOOKUP('General price list'!$C220,Popisy!A:M,MATCH($W$17,Popisy!$A$7:$M$7,0),FALSE),"---------------"))</f>
        <v>zlatá blikajiící vrba s bílým blikajícím středem</v>
      </c>
      <c r="X220" s="569" t="str">
        <f t="shared" si="543"/>
        <v/>
      </c>
      <c r="Y220" s="569" t="str">
        <f t="shared" si="544"/>
        <v/>
      </c>
      <c r="Z220" s="569" t="str">
        <f>HYPERLINK("https://www.klasekpyrotechnics.cz/c330b")</f>
        <v>https://www.klasekpyrotechnics.cz/c330b</v>
      </c>
      <c r="AA220" s="569">
        <f>IFERROR(IF(VLOOKUP(C220,[4]List1!$A:$D,4,FALSE)=0,"",VLOOKUP(C220,[4]List1!$A:$D,4,FALSE)),"")</f>
        <v>56</v>
      </c>
      <c r="AB220" s="565"/>
      <c r="AC220" s="570" t="str">
        <f>IFERROR(IF(VLOOKUP(C220,[1]List1!$A:$D,2,FALSE)="VYPRODÁNO",$V$9,IF(VLOOKUP(C220,[1]List1!$A:$D,2,FALSE)="DOCHÁZÍ",$V$3,VLOOKUP(C220,[1]List1!$A:$D,2,FALSE))),"OFFLINE!")</f>
        <v>SKLADEM</v>
      </c>
      <c r="AD220" s="570" t="str">
        <f ca="1">IF(AP220="NE",$V$10,IF(AC220=$V$3,IF(AQ220&lt;1,$V$8,$V$2&amp;" "&amp;AQ220&amp;" "&amp;$V$1),IF(AC220="SKLADEM",$V$6,IFERROR(IF(OR(AC220-TODAY()&gt;45,VLOOKUP(C220,[1]List1!$A:$E,4,FALSE)=0),AC220,DAY(AC220)&amp;"."&amp;MONTH(AC220)&amp;"."&amp;YEAR(AC220)&amp;" "&amp;$V$4&amp;VLOOKUP(C220,[1]List1!$A:$E,4,FALSE)&amp;" "&amp;$V$1),AC220))))</f>
        <v>SKLADEM</v>
      </c>
      <c r="AE220" s="581" t="str">
        <f t="shared" ca="1" si="545"/>
        <v>SKLADEM</v>
      </c>
      <c r="AF220" s="584">
        <f t="shared" si="546"/>
        <v>0</v>
      </c>
      <c r="AG220" s="585">
        <f t="shared" si="547"/>
        <v>0</v>
      </c>
      <c r="AH220" s="583">
        <f t="shared" si="548"/>
        <v>0</v>
      </c>
      <c r="AI220" s="582">
        <f t="shared" si="549"/>
        <v>0</v>
      </c>
      <c r="AJ220" s="569">
        <f t="shared" si="550"/>
        <v>0</v>
      </c>
      <c r="AK220" s="569" t="str">
        <f t="shared" si="551"/>
        <v/>
      </c>
      <c r="AL220" s="569">
        <f t="shared" si="552"/>
        <v>0</v>
      </c>
      <c r="AM220" s="569" t="str">
        <f t="shared" si="553"/>
        <v/>
      </c>
      <c r="AN220" s="581">
        <f t="shared" si="554"/>
        <v>0</v>
      </c>
      <c r="AO220" s="623"/>
      <c r="AP220" s="632" t="str">
        <f t="shared" si="519"/>
        <v/>
      </c>
      <c r="AQ220" s="633" t="str">
        <f>IF(AC220=$V$3,IF(VLOOKUP(C220,[1]List1!$A:$E,5,FALSE)=0,1,VLOOKUP(C220,[1]List1!$A:$E,5,FALSE)),"")</f>
        <v/>
      </c>
      <c r="AR220" s="625" t="str">
        <f t="shared" si="520"/>
        <v/>
      </c>
      <c r="AS220" s="634" t="str">
        <f t="shared" si="521"/>
        <v/>
      </c>
      <c r="AT220" s="625" t="str">
        <f t="shared" si="522"/>
        <v/>
      </c>
      <c r="AU220" s="638" t="e">
        <f t="shared" si="523"/>
        <v>#N/A</v>
      </c>
      <c r="AV220" s="625" t="e">
        <f t="shared" si="524"/>
        <v>#N/A</v>
      </c>
      <c r="AX220" s="625">
        <f>IF(AND('General price list'!$J220="F4",'General price list'!$AB220+0&gt;0),1,0)</f>
        <v>0</v>
      </c>
      <c r="AY220" s="625">
        <f t="shared" si="525"/>
        <v>1</v>
      </c>
      <c r="AZ220" s="625">
        <f t="shared" si="526"/>
        <v>0</v>
      </c>
    </row>
    <row r="221" spans="1:52" ht="15.75" customHeight="1">
      <c r="A221" s="751" t="str">
        <f>Kat.!C221</f>
        <v xml:space="preserve">           Sada kulových pum s moždířem</v>
      </c>
      <c r="B221" s="751"/>
      <c r="C221" s="751"/>
      <c r="D221" s="751"/>
      <c r="E221" s="751"/>
      <c r="F221" s="751"/>
      <c r="G221" s="751"/>
      <c r="H221" s="751"/>
      <c r="I221" s="752"/>
      <c r="J221" s="752"/>
      <c r="K221" s="752" t="s">
        <v>20</v>
      </c>
      <c r="L221" s="753" t="s">
        <v>20</v>
      </c>
      <c r="M221" s="752"/>
      <c r="N221" s="752"/>
      <c r="O221" s="752"/>
      <c r="P221" s="752"/>
      <c r="Q221" s="752"/>
      <c r="R221" s="752"/>
      <c r="S221" s="752"/>
      <c r="T221" s="752"/>
      <c r="U221" s="752"/>
      <c r="V221" s="752"/>
      <c r="W221" s="752"/>
      <c r="X221" s="752"/>
      <c r="Y221" s="752"/>
      <c r="Z221" s="752" t="s">
        <v>20</v>
      </c>
      <c r="AA221" s="752"/>
      <c r="AB221" s="752"/>
      <c r="AC221" s="754"/>
      <c r="AD221" s="752"/>
      <c r="AE221" s="752"/>
      <c r="AF221" s="752"/>
      <c r="AG221" s="752"/>
      <c r="AH221" s="752"/>
      <c r="AI221" s="752"/>
      <c r="AJ221" s="752"/>
      <c r="AK221" s="752"/>
      <c r="AL221" s="752"/>
      <c r="AM221" s="752"/>
      <c r="AN221" s="752"/>
      <c r="AO221" s="623"/>
      <c r="AP221" s="625" t="str">
        <f t="shared" si="519"/>
        <v/>
      </c>
      <c r="AQ221" s="625" t="str">
        <f>IF(AC221=$V$3,IF(VLOOKUP(C221,[1]List1!$A:$E,5,FALSE)=0,1,VLOOKUP(C221,[1]List1!$A:$E,5,FALSE)),"")</f>
        <v/>
      </c>
      <c r="AR221" s="629" t="str">
        <f t="shared" si="520"/>
        <v/>
      </c>
      <c r="AS221" s="630" t="str">
        <f t="shared" si="521"/>
        <v/>
      </c>
      <c r="AT221" s="625" t="str">
        <f t="shared" si="522"/>
        <v/>
      </c>
      <c r="AU221" s="625" t="e">
        <f t="shared" si="523"/>
        <v>#N/A</v>
      </c>
      <c r="AV221" s="625" t="e">
        <f t="shared" si="524"/>
        <v>#N/A</v>
      </c>
      <c r="AW221" s="631"/>
      <c r="AX221" s="631">
        <f>IF(AND('General price list'!$J221="F4",'General price list'!$AB221+0&gt;0),1,0)</f>
        <v>0</v>
      </c>
      <c r="AY221" s="631">
        <f t="shared" si="525"/>
        <v>0</v>
      </c>
      <c r="AZ221" s="631">
        <f t="shared" si="526"/>
        <v>0</v>
      </c>
    </row>
    <row r="222" spans="1:52" ht="15" customHeight="1">
      <c r="A222" s="639" t="str">
        <f>Kat.!C222</f>
        <v/>
      </c>
      <c r="B222" s="640">
        <f>IF(AND('General price list'!$J222="F4",$AI$1=FALSE),0,IF(AC222="SKLADEM",1,IF(AC222=$V$3,1,0)))</f>
        <v>0</v>
      </c>
      <c r="C222" s="641" t="s">
        <v>2236</v>
      </c>
      <c r="D222" s="642" t="s">
        <v>1463</v>
      </c>
      <c r="E222" s="643" t="s">
        <v>12703</v>
      </c>
      <c r="F222" s="773">
        <f>IFERROR(VLOOKUP(C222,[2]List1!$A:$D,3,FALSE),"NEUVEDENO!")</f>
        <v>1556</v>
      </c>
      <c r="G222" s="770">
        <f t="shared" ref="G222" si="555">IF($W$17=$AF$8,ROUND((F222)/$F$17,2),(F222)*$B$19)</f>
        <v>1556</v>
      </c>
      <c r="H222" s="767">
        <f t="shared" ref="H222" si="556">IF($W$17=$AF$8,G222*$B$19,G222/$F$17)</f>
        <v>66.096604690480135</v>
      </c>
      <c r="I222" s="644">
        <f>IFERROR(VLOOKUP(C222,[2]List1!$A:$D,4,FALSE),"NEUVEDENO!")</f>
        <v>4</v>
      </c>
      <c r="J222" s="733" t="s">
        <v>614</v>
      </c>
      <c r="K222" s="645" t="s">
        <v>20</v>
      </c>
      <c r="L222" s="645" t="s">
        <v>20</v>
      </c>
      <c r="M222" s="645" t="s">
        <v>114</v>
      </c>
      <c r="N222" s="645">
        <f>IFERROR(VLOOKUP(C222,[3]List1!$A:$D,4,FALSE),"N/A!")</f>
        <v>8.6316999999999991E-2</v>
      </c>
      <c r="O222" s="645">
        <f>IFERROR(VLOOKUP(C222,[3]List1!$A:$D,3,FALSE),"N/A!")</f>
        <v>4320</v>
      </c>
      <c r="P222" s="645">
        <f>IFERROR(VLOOKUP(C222,[3]List1!$A:$D,2,FALSE),"N/A!")</f>
        <v>27000</v>
      </c>
      <c r="Q222" s="645" t="s">
        <v>11241</v>
      </c>
      <c r="R222" s="645"/>
      <c r="S222" s="645"/>
      <c r="T222" s="645"/>
      <c r="U222" s="645">
        <v>65</v>
      </c>
      <c r="V222" s="645">
        <v>45</v>
      </c>
      <c r="W222" s="645" t="str">
        <f>IFERROR(IF(AND($AB222&gt;=0.1*$AA222,MOD($AB222,$AA222)&gt;=($AA222-(0.1*$AA222))),IF($W$17=$AF$1,"Zvažte možnost doobjednání ještě "&amp;Tabulka1[[#This Row],[VKPAL]]-MOD(AB222,AA222)&amp;" VK do plné palety.",VLOOKUP("Zvažte možnost doobjednání ještě ",Jazyky_ceník!A:Q,MATCH($W$17,Jazyky_ceník!$A$1:$Q$1,0),FALSE)&amp;Tabulka1[[#This Row],[VKPAL]]-MOD(AB222,AA222)&amp;VLOOKUP(" VK do plné palety.",Jazyky_ceník!A:Q,MATCH($W$17,Jazyky_ceník!$A$1:$Q$1,0),FALSE)),IFERROR(IF(AND(NOT(MOD($AB222,$AA222)=0),$AB222&gt;=0.9*$AA222,MOD($AB222,$AA222)&lt;=0.1*$AA222),IF($W$17=$AF$1,"Zvažte možnost optimalizace objednaného množství podle počtu VK na paletě ==&gt;",VLOOKUP("Zvažte možnost optimalizace objednaného množství podle počtu VK na paletě ==&gt;",Jazyky_ceník!A:Q,MATCH($W$17,Jazyky_ceník!$A$1:$Q$1,0),FALSE)),VLOOKUP('General price list'!$C222,Popisy!A:M,MATCH($W$17,Popisy!$A$7:$M$7,0),FALSE)),"---------------")),IFERROR(VLOOKUP('General price list'!$C222,Popisy!A:M,MATCH($W$17,Popisy!$A$7:$M$7,0),FALSE),"---------------"))</f>
        <v>18 různobarevných 50mm efektů(válcová puma)-profesionální kvalita</v>
      </c>
      <c r="X222" s="645" t="str">
        <f t="shared" ref="X222" si="557">IF(AB222&lt;0.0001,"",AB222)</f>
        <v/>
      </c>
      <c r="Y222" s="645" t="str">
        <f t="shared" ref="Y222" si="558">IF($AL$3=2,IF(OR(AB222&lt;&gt;"",AB222&lt;&gt;0),AU222,""),IF(C222="","",IF(AB222&lt;0.0001,"",IF(B222=0,"",IF(AQ222&lt;AB222,"",AB222)))))</f>
        <v/>
      </c>
      <c r="Z222" s="645" t="str">
        <f>HYPERLINK("https://www.klasekpyrotechnics.cz/cs2bb")</f>
        <v>https://www.klasekpyrotechnics.cz/cs2bb</v>
      </c>
      <c r="AA222" s="645">
        <f>IFERROR(IF(VLOOKUP(C222,[4]List1!$A:$D,4,FALSE)=0,"",VLOOKUP(C222,[4]List1!$A:$D,4,FALSE)),"")</f>
        <v>12</v>
      </c>
      <c r="AB222" s="646"/>
      <c r="AC222" s="647" t="str">
        <f>IFERROR(IF(VLOOKUP(C222,[1]List1!$A:$D,2,FALSE)="VYPRODÁNO",$V$9,IF(VLOOKUP(C222,[1]List1!$A:$D,2,FALSE)="DOCHÁZÍ",$V$3,VLOOKUP(C222,[1]List1!$A:$D,2,FALSE))),"OFFLINE!")</f>
        <v>SKLADEM</v>
      </c>
      <c r="AD222" s="647" t="str">
        <f ca="1">IF(AP222="NE",$V$10,IF(AC222=$V$3,IF(AQ222&lt;1,$V$8,$V$2&amp;" "&amp;AQ222&amp;" "&amp;$V$1),IF(AC222="SKLADEM",$V$6,IFERROR(IF(OR(AC222-TODAY()&gt;45,VLOOKUP(C222,[1]List1!$A:$E,4,FALSE)=0),AC222,DAY(AC222)&amp;"."&amp;MONTH(AC222)&amp;"."&amp;YEAR(AC222)&amp;" "&amp;$V$4&amp;VLOOKUP(C222,[1]List1!$A:$E,4,FALSE)&amp;" "&amp;$V$1),AC222))))</f>
        <v>SKLADEM</v>
      </c>
      <c r="AE222" s="645" t="str">
        <f t="shared" ref="AE222" ca="1" si="559">IFERROR(IF(AV222&lt;&gt;"",AV222,AD222),AD222)</f>
        <v>SKLADEM</v>
      </c>
      <c r="AF222" s="648">
        <f t="shared" ref="AF222" si="560">IFERROR(IF(AB222=Y222,G222*I222*Y222,0),0)</f>
        <v>0</v>
      </c>
      <c r="AG222" s="649">
        <f t="shared" ref="AG222" si="561">IF($W$17=$AF$8,AH222*1.23,AF222*1.21)</f>
        <v>0</v>
      </c>
      <c r="AH222" s="650">
        <f t="shared" ref="AH222" si="562">IFERROR(IF(Y222=AB222,H222*I222*Y222,0),0)</f>
        <v>0</v>
      </c>
      <c r="AI222" s="645">
        <f t="shared" ref="AI222" si="563">IFERROR(IF(Y222=AB222,(P222*Y222)/1000,1),0)</f>
        <v>0</v>
      </c>
      <c r="AJ222" s="645">
        <f t="shared" ref="AJ222" si="564">IFERROR(IF(Y222=AB222,N222*Y222,0.1),0)</f>
        <v>0</v>
      </c>
      <c r="AK222" s="645" t="str">
        <f t="shared" ref="AK222" si="565">IFERROR(IF(Y222=AB222,IF(M222="1.1G",(O222/1000)*Y222,""),""),0)</f>
        <v/>
      </c>
      <c r="AL222" s="645">
        <f t="shared" ref="AL222" si="566">IFERROR(IF(Y222=AB222,IF(M222="1.3G",(O222/1000)*AB222,""),""),0)</f>
        <v>0</v>
      </c>
      <c r="AM222" s="645" t="str">
        <f t="shared" ref="AM222" si="567">IFERROR(IF(Y222=AB222,IF(M222="1.4G",(O222/1000)*AB222,""),""),0)</f>
        <v/>
      </c>
      <c r="AN222" s="651">
        <f t="shared" ref="AN222" si="568">SUM(AK222:AM222)</f>
        <v>0</v>
      </c>
      <c r="AO222" s="623"/>
      <c r="AP222" s="632" t="str">
        <f t="shared" si="519"/>
        <v/>
      </c>
      <c r="AQ222" s="633" t="str">
        <f>IF(AC222=$V$3,IF(VLOOKUP(C222,[1]List1!$A:$E,5,FALSE)=0,1,VLOOKUP(C222,[1]List1!$A:$E,5,FALSE)),"")</f>
        <v/>
      </c>
      <c r="AR222" s="625" t="str">
        <f t="shared" si="520"/>
        <v/>
      </c>
      <c r="AS222" s="634" t="str">
        <f t="shared" si="521"/>
        <v/>
      </c>
      <c r="AT222" s="625" t="str">
        <f t="shared" si="522"/>
        <v/>
      </c>
      <c r="AU222" s="638" t="e">
        <f t="shared" si="523"/>
        <v>#N/A</v>
      </c>
      <c r="AV222" s="625" t="e">
        <f t="shared" si="524"/>
        <v>#N/A</v>
      </c>
      <c r="AX222" s="625">
        <f>IF(AND('General price list'!$J222="F4",'General price list'!$AB222+0&gt;0),1,0)</f>
        <v>0</v>
      </c>
      <c r="AY222" s="625">
        <f t="shared" si="525"/>
        <v>1</v>
      </c>
      <c r="AZ222" s="625">
        <f t="shared" si="526"/>
        <v>0</v>
      </c>
    </row>
    <row r="223" spans="1:52" ht="15" customHeight="1">
      <c r="A223" s="751" t="str">
        <f>Kat.!C223</f>
        <v xml:space="preserve">           Škrtací petardy</v>
      </c>
      <c r="B223" s="751"/>
      <c r="C223" s="751"/>
      <c r="D223" s="751"/>
      <c r="E223" s="751"/>
      <c r="F223" s="751"/>
      <c r="G223" s="751"/>
      <c r="H223" s="751"/>
      <c r="I223" s="752"/>
      <c r="J223" s="752"/>
      <c r="K223" s="752" t="s">
        <v>20</v>
      </c>
      <c r="L223" s="753" t="s">
        <v>2818</v>
      </c>
      <c r="M223" s="752"/>
      <c r="N223" s="752"/>
      <c r="O223" s="752"/>
      <c r="P223" s="752"/>
      <c r="Q223" s="752"/>
      <c r="R223" s="752"/>
      <c r="S223" s="752"/>
      <c r="T223" s="752"/>
      <c r="U223" s="752"/>
      <c r="V223" s="752"/>
      <c r="W223" s="752"/>
      <c r="X223" s="752"/>
      <c r="Y223" s="752"/>
      <c r="Z223" s="752" t="s">
        <v>20</v>
      </c>
      <c r="AA223" s="752"/>
      <c r="AB223" s="752"/>
      <c r="AC223" s="754"/>
      <c r="AD223" s="752"/>
      <c r="AE223" s="752"/>
      <c r="AF223" s="752"/>
      <c r="AG223" s="752"/>
      <c r="AH223" s="752"/>
      <c r="AI223" s="752"/>
      <c r="AJ223" s="752"/>
      <c r="AK223" s="752"/>
      <c r="AL223" s="752"/>
      <c r="AM223" s="752"/>
      <c r="AN223" s="752"/>
      <c r="AO223" s="623"/>
      <c r="AP223" s="632" t="str">
        <f t="shared" si="519"/>
        <v/>
      </c>
      <c r="AQ223" s="633" t="str">
        <f>IF(AC223=$V$3,IF(VLOOKUP(C223,[1]List1!$A:$E,5,FALSE)=0,1,VLOOKUP(C223,[1]List1!$A:$E,5,FALSE)),"")</f>
        <v/>
      </c>
      <c r="AR223" s="625" t="str">
        <f t="shared" si="520"/>
        <v/>
      </c>
      <c r="AS223" s="634" t="str">
        <f t="shared" si="521"/>
        <v/>
      </c>
      <c r="AT223" s="625" t="str">
        <f t="shared" si="522"/>
        <v/>
      </c>
      <c r="AU223" s="638" t="e">
        <f t="shared" si="523"/>
        <v>#N/A</v>
      </c>
      <c r="AV223" s="625" t="e">
        <f t="shared" si="524"/>
        <v>#N/A</v>
      </c>
      <c r="AX223" s="625">
        <f>IF(AND('General price list'!$J223="F4",'General price list'!$AB223+0&gt;0),1,0)</f>
        <v>0</v>
      </c>
      <c r="AY223" s="625">
        <f t="shared" si="525"/>
        <v>0</v>
      </c>
      <c r="AZ223" s="625">
        <f t="shared" si="526"/>
        <v>0</v>
      </c>
    </row>
    <row r="224" spans="1:52" ht="15.75" customHeight="1">
      <c r="A224" s="639" t="str">
        <f>Kat.!C224</f>
        <v/>
      </c>
      <c r="B224" s="640">
        <f>IF(AND('General price list'!$J224="F4",$AI$1=FALSE),0,IF(AC224="SKLADEM",1,IF(AC224=$V$3,1,0)))</f>
        <v>1</v>
      </c>
      <c r="C224" s="641" t="s">
        <v>4129</v>
      </c>
      <c r="D224" s="642" t="s">
        <v>4130</v>
      </c>
      <c r="E224" s="643" t="s">
        <v>12704</v>
      </c>
      <c r="F224" s="771">
        <f>IFERROR(VLOOKUP(C224,[2]List1!$A:$D,3,FALSE),"NEUVEDENO!")</f>
        <v>64</v>
      </c>
      <c r="G224" s="768">
        <f t="shared" ref="G224:G226" si="569">IF($W$17=$AF$8,ROUND((F224)/$F$17,2),(F224)*$B$19)</f>
        <v>64</v>
      </c>
      <c r="H224" s="765">
        <f t="shared" ref="H224:H226" si="570">IF($W$17=$AF$8,G224*$B$19,G224/$F$17)</f>
        <v>2.7186264140043241</v>
      </c>
      <c r="I224" s="644">
        <f>IFERROR(VLOOKUP(C224,[2]List1!$A:$D,4,FALSE),"NEUVEDENO!")</f>
        <v>50</v>
      </c>
      <c r="J224" s="733" t="s">
        <v>39</v>
      </c>
      <c r="K224" s="645" t="s">
        <v>20</v>
      </c>
      <c r="L224" s="645" t="s">
        <v>10970</v>
      </c>
      <c r="M224" s="645" t="s">
        <v>21</v>
      </c>
      <c r="N224" s="645">
        <f>IFERROR(VLOOKUP(C224,[3]List1!$A:$D,4,FALSE),"N/A!")</f>
        <v>2.935625E-2</v>
      </c>
      <c r="O224" s="645">
        <f>IFERROR(VLOOKUP(C224,[3]List1!$A:$D,3,FALSE),"N/A!")</f>
        <v>4250</v>
      </c>
      <c r="P224" s="645">
        <f>IFERROR(VLOOKUP(C224,[3]List1!$A:$D,2,FALSE),"N/A!")</f>
        <v>20000</v>
      </c>
      <c r="Q224" s="645" t="s">
        <v>11265</v>
      </c>
      <c r="R224" s="645"/>
      <c r="S224" s="645"/>
      <c r="T224" s="645"/>
      <c r="U224" s="645"/>
      <c r="V224" s="645"/>
      <c r="W224" s="645" t="str">
        <f>IFERROR(IF(AND($AB224&gt;=0.1*$AA224,MOD($AB224,$AA224)&gt;=($AA224-(0.1*$AA224))),IF($W$17=$AF$1,"Zvažte možnost doobjednání ještě "&amp;Tabulka1[[#This Row],[VKPAL]]-MOD(AB224,AA224)&amp;" VK do plné palety.",VLOOKUP("Zvažte možnost doobjednání ještě ",Jazyky_ceník!A:Q,MATCH($W$17,Jazyky_ceník!$A$1:$Q$1,0),FALSE)&amp;Tabulka1[[#This Row],[VKPAL]]-MOD(AB224,AA224)&amp;VLOOKUP(" VK do plné palety.",Jazyky_ceník!A:Q,MATCH($W$17,Jazyky_ceník!$A$1:$Q$1,0),FALSE)),IFERROR(IF(AND(NOT(MOD($AB224,$AA224)=0),$AB224&gt;=0.9*$AA224,MOD($AB224,$AA224)&lt;=0.1*$AA224),IF($W$17=$AF$1,"Zvažte možnost optimalizace objednaného množství podle počtu VK na paletě ==&gt;",VLOOKUP("Zvažte možnost optimalizace objednaného množství podle počtu VK na paletě ==&gt;",Jazyky_ceník!A:Q,MATCH($W$17,Jazyky_ceník!$A$1:$Q$1,0),FALSE)),VLOOKUP('General price list'!$C224,Popisy!A:M,MATCH($W$17,Popisy!$A$7:$M$7,0),FALSE)),"---------------")),IFERROR(VLOOKUP('General price list'!$C224,Popisy!A:M,MATCH($W$17,Popisy!$A$7:$M$7,0),FALSE),"---------------"))</f>
        <v>škrtací petarda velká, síla výbuchu 110dB z 8m(černoprachová petarda)</v>
      </c>
      <c r="X224" s="645" t="str">
        <f t="shared" ref="X224:X226" si="571">IF(AB224&lt;0.0001,"",AB224)</f>
        <v/>
      </c>
      <c r="Y224" s="645" t="str">
        <f t="shared" ref="Y224:Y226" si="572">IF($AL$3=2,IF(OR(AB224&lt;&gt;"",AB224&lt;&gt;0),AU224,""),IF(C224="","",IF(AB224&lt;0.0001,"",IF(B224=0,"",IF(AQ224&lt;AB224,"",AB224)))))</f>
        <v/>
      </c>
      <c r="Z224" s="645" t="str">
        <f>HYPERLINK("https://www.klasekpyrotechnics.cz/k0203bp")</f>
        <v>https://www.klasekpyrotechnics.cz/k0203bp</v>
      </c>
      <c r="AA224" s="645">
        <f>IFERROR(IF(VLOOKUP(C224,[4]List1!$A:$D,4,FALSE)=0,"",VLOOKUP(C224,[4]List1!$A:$D,4,FALSE)),"")</f>
        <v>36</v>
      </c>
      <c r="AB224" s="646"/>
      <c r="AC224" s="647" t="str">
        <f>IFERROR(IF(VLOOKUP(C224,[1]List1!$A:$D,2,FALSE)="VYPRODÁNO",$V$9,IF(VLOOKUP(C224,[1]List1!$A:$D,2,FALSE)="DOCHÁZÍ",$V$3,VLOOKUP(C224,[1]List1!$A:$D,2,FALSE))),"OFFLINE!")</f>
        <v>SKLADEM</v>
      </c>
      <c r="AD224" s="647" t="str">
        <f ca="1">IF(AP224="NE",$V$10,IF(AC224=$V$3,IF(AQ224&lt;1,$V$8,$V$2&amp;" "&amp;AQ224&amp;" "&amp;$V$1),IF(AC224="SKLADEM",$V$6,IFERROR(IF(OR(AC224-TODAY()&gt;45,VLOOKUP(C224,[1]List1!$A:$E,4,FALSE)=0),AC224,DAY(AC224)&amp;"."&amp;MONTH(AC224)&amp;"."&amp;YEAR(AC224)&amp;" "&amp;$V$4&amp;VLOOKUP(C224,[1]List1!$A:$E,4,FALSE)&amp;" "&amp;$V$1),AC224))))</f>
        <v>SKLADEM</v>
      </c>
      <c r="AE224" s="645" t="str">
        <f t="shared" ref="AE224:AE226" ca="1" si="573">IFERROR(IF(AV224&lt;&gt;"",AV224,AD224),AD224)</f>
        <v>SKLADEM</v>
      </c>
      <c r="AF224" s="648">
        <f t="shared" ref="AF224:AF226" si="574">IFERROR(IF(AB224=Y224,G224*I224*Y224,0),0)</f>
        <v>0</v>
      </c>
      <c r="AG224" s="649">
        <f t="shared" ref="AG224:AG226" si="575">IF($W$17=$AF$8,AH224*1.23,AF224*1.21)</f>
        <v>0</v>
      </c>
      <c r="AH224" s="650">
        <f t="shared" ref="AH224:AH226" si="576">IFERROR(IF(Y224=AB224,H224*I224*Y224,0),0)</f>
        <v>0</v>
      </c>
      <c r="AI224" s="645">
        <f t="shared" ref="AI224:AI226" si="577">IFERROR(IF(Y224=AB224,(P224*Y224)/1000,1),0)</f>
        <v>0</v>
      </c>
      <c r="AJ224" s="645">
        <f t="shared" ref="AJ224:AJ226" si="578">IFERROR(IF(Y224=AB224,N224*Y224,0.1),0)</f>
        <v>0</v>
      </c>
      <c r="AK224" s="645" t="str">
        <f t="shared" ref="AK224:AK226" si="579">IFERROR(IF(Y224=AB224,IF(M224="1.1G",(O224/1000)*Y224,""),""),0)</f>
        <v/>
      </c>
      <c r="AL224" s="645" t="str">
        <f t="shared" ref="AL224:AL226" si="580">IFERROR(IF(Y224=AB224,IF(M224="1.3G",(O224/1000)*AB224,""),""),0)</f>
        <v/>
      </c>
      <c r="AM224" s="645">
        <f t="shared" ref="AM224:AM226" si="581">IFERROR(IF(Y224=AB224,IF(M224="1.4G",(O224/1000)*AB224,""),""),0)</f>
        <v>0</v>
      </c>
      <c r="AN224" s="651">
        <f t="shared" ref="AN224:AN226" si="582">SUM(AK224:AM224)</f>
        <v>0</v>
      </c>
      <c r="AO224" s="623"/>
      <c r="AP224" s="625" t="str">
        <f t="shared" si="519"/>
        <v/>
      </c>
      <c r="AQ224" s="625" t="str">
        <f>IF(AC224=$V$3,IF(VLOOKUP(C224,[1]List1!$A:$E,5,FALSE)=0,1,VLOOKUP(C224,[1]List1!$A:$E,5,FALSE)),"")</f>
        <v/>
      </c>
      <c r="AR224" s="629" t="str">
        <f t="shared" si="520"/>
        <v/>
      </c>
      <c r="AS224" s="630" t="str">
        <f t="shared" si="521"/>
        <v/>
      </c>
      <c r="AT224" s="625" t="str">
        <f t="shared" si="522"/>
        <v/>
      </c>
      <c r="AU224" s="625" t="e">
        <f t="shared" si="523"/>
        <v>#N/A</v>
      </c>
      <c r="AV224" s="625" t="e">
        <f t="shared" si="524"/>
        <v>#N/A</v>
      </c>
      <c r="AW224" s="631"/>
      <c r="AX224" s="631">
        <f>IF(AND('General price list'!$J224="F4",'General price list'!$AB224+0&gt;0),1,0)</f>
        <v>0</v>
      </c>
      <c r="AY224" s="631">
        <f t="shared" si="525"/>
        <v>1</v>
      </c>
      <c r="AZ224" s="631">
        <f t="shared" si="526"/>
        <v>0</v>
      </c>
    </row>
    <row r="225" spans="1:52" ht="15" customHeight="1">
      <c r="A225" s="621" t="str">
        <f>Kat.!C225</f>
        <v/>
      </c>
      <c r="B225" s="566">
        <f>IF(AND('General price list'!$J225="F4",$AI$1=FALSE),0,IF(AC225="SKLADEM",1,IF(AC225=$V$3,1,0)))</f>
        <v>1</v>
      </c>
      <c r="C225" s="567" t="s">
        <v>10947</v>
      </c>
      <c r="D225" s="568" t="s">
        <v>11701</v>
      </c>
      <c r="E225" s="763" t="s">
        <v>12705</v>
      </c>
      <c r="F225" s="772">
        <f>IFERROR(VLOOKUP(C225,[2]List1!$A:$D,3,FALSE),"NEUVEDENO!")</f>
        <v>58</v>
      </c>
      <c r="G225" s="769">
        <f t="shared" si="569"/>
        <v>58</v>
      </c>
      <c r="H225" s="766">
        <f t="shared" si="570"/>
        <v>2.4637551876914188</v>
      </c>
      <c r="I225" s="764">
        <f>IFERROR(VLOOKUP(C225,[2]List1!$A:$D,4,FALSE),"NEUVEDENO!")</f>
        <v>200</v>
      </c>
      <c r="J225" s="732" t="s">
        <v>208</v>
      </c>
      <c r="K225" s="569" t="s">
        <v>20</v>
      </c>
      <c r="L225" s="569" t="s">
        <v>12276</v>
      </c>
      <c r="M225" s="569" t="s">
        <v>21</v>
      </c>
      <c r="N225" s="569">
        <f>IFERROR(VLOOKUP(C225,[3]List1!$A:$D,4,FALSE),"N/A!")</f>
        <v>2.3369999999999998E-2</v>
      </c>
      <c r="O225" s="569">
        <f>IFERROR(VLOOKUP(C225,[3]List1!$A:$D,3,FALSE),"N/A!")</f>
        <v>960</v>
      </c>
      <c r="P225" s="569">
        <f>IFERROR(VLOOKUP(C225,[3]List1!$A:$D,2,FALSE),"N/A!")</f>
        <v>10000</v>
      </c>
      <c r="Q225" s="569" t="s">
        <v>15</v>
      </c>
      <c r="R225" s="569" t="s">
        <v>20</v>
      </c>
      <c r="S225" s="569"/>
      <c r="T225" s="569"/>
      <c r="U225" s="569"/>
      <c r="V225" s="569"/>
      <c r="W225" s="569" t="str">
        <f>IFERROR(IF(AND($AB225&gt;=0.1*$AA225,MOD($AB225,$AA225)&gt;=($AA225-(0.1*$AA225))),IF($W$17=$AF$1,"Zvažte možnost doobjednání ještě "&amp;Tabulka1[[#This Row],[VKPAL]]-MOD(AB225,AA225)&amp;" VK do plné palety.",VLOOKUP("Zvažte možnost doobjednání ještě ",Jazyky_ceník!A:Q,MATCH($W$17,Jazyky_ceník!$A$1:$Q$1,0),FALSE)&amp;Tabulka1[[#This Row],[VKPAL]]-MOD(AB225,AA225)&amp;VLOOKUP(" VK do plné palety.",Jazyky_ceník!A:Q,MATCH($W$17,Jazyky_ceník!$A$1:$Q$1,0),FALSE)),IFERROR(IF(AND(NOT(MOD($AB225,$AA225)=0),$AB225&gt;=0.9*$AA225,MOD($AB225,$AA225)&lt;=0.1*$AA225),IF($W$17=$AF$1,"Zvažte možnost optimalizace objednaného množství podle počtu VK na paletě ==&gt;",VLOOKUP("Zvažte možnost optimalizace objednaného množství podle počtu VK na paletě ==&gt;",Jazyky_ceník!A:Q,MATCH($W$17,Jazyky_ceník!$A$1:$Q$1,0),FALSE)),VLOOKUP('General price list'!$C225,Popisy!A:M,MATCH($W$17,Popisy!$A$7:$M$7,0),FALSE)),"---------------")),IFERROR(VLOOKUP('General price list'!$C225,Popisy!A:M,MATCH($W$17,Popisy!$A$7:$M$7,0),FALSE),"---------------"))</f>
        <v>škrtací petarda ,síla výbuchu 120dB z 15m, vyrobeno v Evropě, plastová ucpávka</v>
      </c>
      <c r="X225" s="569" t="str">
        <f t="shared" si="571"/>
        <v/>
      </c>
      <c r="Y225" s="569" t="str">
        <f t="shared" si="572"/>
        <v/>
      </c>
      <c r="Z225" s="569" t="str">
        <f>HYPERLINK("https://www.klasekpyrotechnics.cz/p05dsp1")</f>
        <v>https://www.klasekpyrotechnics.cz/p05dsp1</v>
      </c>
      <c r="AA225" s="569" t="str">
        <f>IFERROR(IF(VLOOKUP(C225,[4]List1!$A:$D,4,FALSE)=0,"",VLOOKUP(C225,[4]List1!$A:$D,4,FALSE)),"")</f>
        <v/>
      </c>
      <c r="AB225" s="565"/>
      <c r="AC225" s="570" t="str">
        <f>IFERROR(IF(VLOOKUP(C225,[1]List1!$A:$D,2,FALSE)="VYPRODÁNO",$V$9,IF(VLOOKUP(C225,[1]List1!$A:$D,2,FALSE)="DOCHÁZÍ",$V$3,VLOOKUP(C225,[1]List1!$A:$D,2,FALSE))),"OFFLINE!")</f>
        <v>SKLADEM</v>
      </c>
      <c r="AD225" s="570" t="str">
        <f ca="1">IF(AP225="NE",$V$10,IF(AC225=$V$3,IF(AQ225&lt;1,$V$8,$V$2&amp;" "&amp;AQ225&amp;" "&amp;$V$1),IF(AC225="SKLADEM",$V$6,IFERROR(IF(OR(AC225-TODAY()&gt;45,VLOOKUP(C225,[1]List1!$A:$E,4,FALSE)=0),AC225,DAY(AC225)&amp;"."&amp;MONTH(AC225)&amp;"."&amp;YEAR(AC225)&amp;" "&amp;$V$4&amp;VLOOKUP(C225,[1]List1!$A:$E,4,FALSE)&amp;" "&amp;$V$1),AC225))))</f>
        <v>SKLADEM</v>
      </c>
      <c r="AE225" s="581" t="str">
        <f t="shared" ca="1" si="573"/>
        <v>SKLADEM</v>
      </c>
      <c r="AF225" s="584">
        <f t="shared" si="574"/>
        <v>0</v>
      </c>
      <c r="AG225" s="585">
        <f t="shared" si="575"/>
        <v>0</v>
      </c>
      <c r="AH225" s="583">
        <f t="shared" si="576"/>
        <v>0</v>
      </c>
      <c r="AI225" s="582">
        <f t="shared" si="577"/>
        <v>0</v>
      </c>
      <c r="AJ225" s="569">
        <f t="shared" si="578"/>
        <v>0</v>
      </c>
      <c r="AK225" s="569" t="str">
        <f t="shared" si="579"/>
        <v/>
      </c>
      <c r="AL225" s="569" t="str">
        <f t="shared" si="580"/>
        <v/>
      </c>
      <c r="AM225" s="569">
        <f t="shared" si="581"/>
        <v>0</v>
      </c>
      <c r="AN225" s="581">
        <f t="shared" si="582"/>
        <v>0</v>
      </c>
      <c r="AO225" s="623"/>
      <c r="AP225" s="632" t="str">
        <f t="shared" si="519"/>
        <v/>
      </c>
      <c r="AQ225" s="633" t="str">
        <f>IF(AC225=$V$3,IF(VLOOKUP(C225,[1]List1!$A:$E,5,FALSE)=0,1,VLOOKUP(C225,[1]List1!$A:$E,5,FALSE)),"")</f>
        <v/>
      </c>
      <c r="AR225" s="625" t="str">
        <f t="shared" si="520"/>
        <v/>
      </c>
      <c r="AS225" s="634" t="str">
        <f t="shared" si="521"/>
        <v/>
      </c>
      <c r="AT225" s="625" t="str">
        <f t="shared" si="522"/>
        <v/>
      </c>
      <c r="AU225" s="638" t="e">
        <f t="shared" si="523"/>
        <v>#N/A</v>
      </c>
      <c r="AV225" s="625" t="e">
        <f t="shared" si="524"/>
        <v>#N/A</v>
      </c>
      <c r="AX225" s="625">
        <f>IF(AND('General price list'!$J225="F4",'General price list'!$AB225+0&gt;0),1,0)</f>
        <v>0</v>
      </c>
      <c r="AY225" s="625">
        <f t="shared" si="525"/>
        <v>1</v>
      </c>
      <c r="AZ225" s="625">
        <f t="shared" si="526"/>
        <v>0</v>
      </c>
    </row>
    <row r="226" spans="1:52" ht="15.75" customHeight="1">
      <c r="A226" s="639" t="str">
        <f>Kat.!C226</f>
        <v/>
      </c>
      <c r="B226" s="640">
        <f>IF(AND('General price list'!$J226="F4",$AI$1=FALSE),0,IF(AC226="SKLADEM",1,IF(AC226=$V$3,1,0)))</f>
        <v>0</v>
      </c>
      <c r="C226" s="641" t="s">
        <v>10949</v>
      </c>
      <c r="D226" s="642" t="s">
        <v>13049</v>
      </c>
      <c r="E226" s="643" t="s">
        <v>12660</v>
      </c>
      <c r="F226" s="773">
        <f>IFERROR(VLOOKUP(C226,[2]List1!$A:$D,3,FALSE),"NEUVEDENO!")</f>
        <v>98</v>
      </c>
      <c r="G226" s="770">
        <f t="shared" si="569"/>
        <v>98</v>
      </c>
      <c r="H226" s="767">
        <f t="shared" si="570"/>
        <v>4.1628966964441219</v>
      </c>
      <c r="I226" s="644">
        <f>IFERROR(VLOOKUP(C226,[2]List1!$A:$D,4,FALSE),"NEUVEDENO!")</f>
        <v>100</v>
      </c>
      <c r="J226" s="733" t="s">
        <v>208</v>
      </c>
      <c r="K226" s="645" t="s">
        <v>20</v>
      </c>
      <c r="L226" s="645" t="s">
        <v>12276</v>
      </c>
      <c r="M226" s="645" t="s">
        <v>21</v>
      </c>
      <c r="N226" s="645">
        <f>IFERROR(VLOOKUP(C226,[3]List1!$A:$D,4,FALSE),"N/A!")</f>
        <v>3.550325E-2</v>
      </c>
      <c r="O226" s="645">
        <f>IFERROR(VLOOKUP(C226,[3]List1!$A:$D,3,FALSE),"N/A!")</f>
        <v>2000</v>
      </c>
      <c r="P226" s="645">
        <f>IFERROR(VLOOKUP(C226,[3]List1!$A:$D,2,FALSE),"N/A!")</f>
        <v>13500</v>
      </c>
      <c r="Q226" s="645" t="s">
        <v>11239</v>
      </c>
      <c r="R226" s="645" t="s">
        <v>20</v>
      </c>
      <c r="S226" s="645"/>
      <c r="T226" s="645"/>
      <c r="U226" s="645"/>
      <c r="V226" s="645"/>
      <c r="W226" s="645" t="str">
        <f>IFERROR(IF(AND($AB226&gt;=0.1*$AA226,MOD($AB226,$AA226)&gt;=($AA226-(0.1*$AA226))),IF($W$17=$AF$1,"Zvažte možnost doobjednání ještě "&amp;Tabulka1[[#This Row],[VKPAL]]-MOD(AB226,AA226)&amp;" VK do plné palety.",VLOOKUP("Zvažte možnost doobjednání ještě ",Jazyky_ceník!A:Q,MATCH($W$17,Jazyky_ceník!$A$1:$Q$1,0),FALSE)&amp;Tabulka1[[#This Row],[VKPAL]]-MOD(AB226,AA226)&amp;VLOOKUP(" VK do plné palety.",Jazyky_ceník!A:Q,MATCH($W$17,Jazyky_ceník!$A$1:$Q$1,0),FALSE)),IFERROR(IF(AND(NOT(MOD($AB226,$AA226)=0),$AB226&gt;=0.9*$AA226,MOD($AB226,$AA226)&lt;=0.1*$AA226),IF($W$17=$AF$1,"Zvažte možnost optimalizace objednaného množství podle počtu VK na paletě ==&gt;",VLOOKUP("Zvažte možnost optimalizace objednaného množství podle počtu VK na paletě ==&gt;",Jazyky_ceník!A:Q,MATCH($W$17,Jazyky_ceník!$A$1:$Q$1,0),FALSE)),VLOOKUP('General price list'!$C226,Popisy!A:M,MATCH($W$17,Popisy!$A$7:$M$7,0),FALSE)),"---------------")),IFERROR(VLOOKUP('General price list'!$C226,Popisy!A:M,MATCH($W$17,Popisy!$A$7:$M$7,0),FALSE),"---------------"))</f>
        <v>škrtací petarda ,síla výbuchu 120dB z 15m, vyrobeno v Evropě, plastová ucpávka</v>
      </c>
      <c r="X226" s="645" t="str">
        <f t="shared" si="571"/>
        <v/>
      </c>
      <c r="Y226" s="645" t="str">
        <f t="shared" si="572"/>
        <v/>
      </c>
      <c r="Z226" s="645" t="str">
        <f>HYPERLINK("https://www.klasekpyrotechnics.cz/p10d20sp1")</f>
        <v>https://www.klasekpyrotechnics.cz/p10d20sp1</v>
      </c>
      <c r="AA226" s="645">
        <f>IFERROR(IF(VLOOKUP(C226,[4]List1!$A:$D,4,FALSE)=0,"",VLOOKUP(C226,[4]List1!$A:$D,4,FALSE)),"")</f>
        <v>36</v>
      </c>
      <c r="AB226" s="646"/>
      <c r="AC226" s="647" t="str">
        <f>IFERROR(IF(VLOOKUP(C226,[1]List1!$A:$D,2,FALSE)="VYPRODÁNO",$V$9,IF(VLOOKUP(C226,[1]List1!$A:$D,2,FALSE)="DOCHÁZÍ",$V$3,VLOOKUP(C226,[1]List1!$A:$D,2,FALSE))),"OFFLINE!")</f>
        <v>07.09.2026</v>
      </c>
      <c r="AD226" s="647" t="str">
        <f ca="1">IF(AP226="NE",$V$10,IF(AC226=$V$3,IF(AQ226&lt;1,$V$8,$V$2&amp;" "&amp;AQ226&amp;" "&amp;$V$1),IF(AC226="SKLADEM",$V$6,IFERROR(IF(OR(AC226-TODAY()&gt;45,VLOOKUP(C226,[1]List1!$A:$E,4,FALSE)=0),AC226,DAY(AC226)&amp;"."&amp;MONTH(AC226)&amp;"."&amp;YEAR(AC226)&amp;" "&amp;$V$4&amp;VLOOKUP(C226,[1]List1!$A:$E,4,FALSE)&amp;" "&amp;$V$1),AC226))))</f>
        <v>07.09.2026</v>
      </c>
      <c r="AE226" s="645" t="str">
        <f t="shared" ca="1" si="573"/>
        <v>07.09.2026</v>
      </c>
      <c r="AF226" s="648">
        <f t="shared" si="574"/>
        <v>0</v>
      </c>
      <c r="AG226" s="649">
        <f t="shared" si="575"/>
        <v>0</v>
      </c>
      <c r="AH226" s="650">
        <f t="shared" si="576"/>
        <v>0</v>
      </c>
      <c r="AI226" s="645">
        <f t="shared" si="577"/>
        <v>0</v>
      </c>
      <c r="AJ226" s="645">
        <f t="shared" si="578"/>
        <v>0</v>
      </c>
      <c r="AK226" s="645" t="str">
        <f t="shared" si="579"/>
        <v/>
      </c>
      <c r="AL226" s="645" t="str">
        <f t="shared" si="580"/>
        <v/>
      </c>
      <c r="AM226" s="645">
        <f t="shared" si="581"/>
        <v>0</v>
      </c>
      <c r="AN226" s="651">
        <f t="shared" si="582"/>
        <v>0</v>
      </c>
      <c r="AO226" s="623"/>
      <c r="AP226" s="625" t="str">
        <f t="shared" si="519"/>
        <v/>
      </c>
      <c r="AQ226" s="625" t="str">
        <f>IF(AC226=$V$3,IF(VLOOKUP(C226,[1]List1!$A:$E,5,FALSE)=0,1,VLOOKUP(C226,[1]List1!$A:$E,5,FALSE)),"")</f>
        <v/>
      </c>
      <c r="AR226" s="629" t="str">
        <f t="shared" si="520"/>
        <v/>
      </c>
      <c r="AS226" s="630" t="str">
        <f t="shared" si="521"/>
        <v/>
      </c>
      <c r="AT226" s="625" t="str">
        <f t="shared" si="522"/>
        <v/>
      </c>
      <c r="AU226" s="625" t="e">
        <f t="shared" si="523"/>
        <v>#N/A</v>
      </c>
      <c r="AV226" s="625" t="e">
        <f t="shared" si="524"/>
        <v>#N/A</v>
      </c>
      <c r="AW226" s="631"/>
      <c r="AX226" s="631">
        <f>IF(AND('General price list'!$J226="F4",'General price list'!$AB226+0&gt;0),1,0)</f>
        <v>0</v>
      </c>
      <c r="AY226" s="631">
        <f t="shared" si="525"/>
        <v>1</v>
      </c>
      <c r="AZ226" s="631">
        <f t="shared" si="526"/>
        <v>0</v>
      </c>
    </row>
    <row r="227" spans="1:52" ht="15" customHeight="1">
      <c r="A227" s="751" t="str">
        <f>Kat.!C227</f>
        <v xml:space="preserve">           Petardy se zápalnou šňůrou F2</v>
      </c>
      <c r="B227" s="751"/>
      <c r="C227" s="751"/>
      <c r="D227" s="751"/>
      <c r="E227" s="751"/>
      <c r="F227" s="751"/>
      <c r="G227" s="751"/>
      <c r="H227" s="751"/>
      <c r="I227" s="752"/>
      <c r="J227" s="752"/>
      <c r="K227" s="752" t="s">
        <v>20</v>
      </c>
      <c r="L227" s="753" t="s">
        <v>2818</v>
      </c>
      <c r="M227" s="752"/>
      <c r="N227" s="752"/>
      <c r="O227" s="752"/>
      <c r="P227" s="752"/>
      <c r="Q227" s="752"/>
      <c r="R227" s="752"/>
      <c r="S227" s="752"/>
      <c r="T227" s="752"/>
      <c r="U227" s="752"/>
      <c r="V227" s="752"/>
      <c r="W227" s="752"/>
      <c r="X227" s="752"/>
      <c r="Y227" s="752"/>
      <c r="Z227" s="752" t="s">
        <v>20</v>
      </c>
      <c r="AA227" s="752"/>
      <c r="AB227" s="752"/>
      <c r="AC227" s="754"/>
      <c r="AD227" s="752"/>
      <c r="AE227" s="752"/>
      <c r="AF227" s="752"/>
      <c r="AG227" s="752"/>
      <c r="AH227" s="752"/>
      <c r="AI227" s="752"/>
      <c r="AJ227" s="752"/>
      <c r="AK227" s="752"/>
      <c r="AL227" s="752"/>
      <c r="AM227" s="752"/>
      <c r="AN227" s="752"/>
      <c r="AO227" s="623"/>
      <c r="AP227" s="632" t="str">
        <f t="shared" si="519"/>
        <v/>
      </c>
      <c r="AQ227" s="633" t="str">
        <f>IF(AC227=$V$3,IF(VLOOKUP(C227,[1]List1!$A:$E,5,FALSE)=0,1,VLOOKUP(C227,[1]List1!$A:$E,5,FALSE)),"")</f>
        <v/>
      </c>
      <c r="AR227" s="625" t="str">
        <f t="shared" si="520"/>
        <v/>
      </c>
      <c r="AS227" s="634" t="str">
        <f t="shared" si="521"/>
        <v/>
      </c>
      <c r="AT227" s="625" t="str">
        <f t="shared" si="522"/>
        <v/>
      </c>
      <c r="AU227" s="638" t="e">
        <f t="shared" si="523"/>
        <v>#N/A</v>
      </c>
      <c r="AV227" s="625" t="e">
        <f t="shared" si="524"/>
        <v>#N/A</v>
      </c>
      <c r="AX227" s="625">
        <f>IF(AND('General price list'!$J227="F4",'General price list'!$AB227+0&gt;0),1,0)</f>
        <v>0</v>
      </c>
      <c r="AY227" s="625">
        <f t="shared" si="525"/>
        <v>0</v>
      </c>
      <c r="AZ227" s="625">
        <f t="shared" si="526"/>
        <v>0</v>
      </c>
    </row>
    <row r="228" spans="1:52" ht="15" customHeight="1">
      <c r="A228" s="639" t="str">
        <f>Kat.!C228</f>
        <v/>
      </c>
      <c r="B228" s="640">
        <f>IF(AND('General price list'!$J228="F4",$AI$1=FALSE),0,IF(AC228="SKLADEM",1,IF(AC228=$V$3,1,0)))</f>
        <v>1</v>
      </c>
      <c r="C228" s="641" t="s">
        <v>625</v>
      </c>
      <c r="D228" s="642" t="s">
        <v>626</v>
      </c>
      <c r="E228" s="643" t="s">
        <v>12706</v>
      </c>
      <c r="F228" s="771">
        <f>IFERROR(VLOOKUP(C228,[2]List1!$A:$D,3,FALSE),"NEUVEDENO!")</f>
        <v>439</v>
      </c>
      <c r="G228" s="768">
        <f t="shared" ref="G228:G233" si="583">IF($W$17=$AF$8,ROUND((F228)/$F$17,2),(F228)*$B$19)</f>
        <v>439</v>
      </c>
      <c r="H228" s="765">
        <f t="shared" ref="H228:H233" si="584">IF($W$17=$AF$8,G228*$B$19,G228/$F$17)</f>
        <v>18.648078058560912</v>
      </c>
      <c r="I228" s="644">
        <f>IFERROR(VLOOKUP(C228,[2]List1!$A:$D,4,FALSE),"NEUVEDENO!")</f>
        <v>6</v>
      </c>
      <c r="J228" s="733" t="s">
        <v>39</v>
      </c>
      <c r="K228" s="645" t="s">
        <v>20</v>
      </c>
      <c r="L228" s="645" t="s">
        <v>12435</v>
      </c>
      <c r="M228" s="645" t="s">
        <v>21</v>
      </c>
      <c r="N228" s="645">
        <f>IFERROR(VLOOKUP(C228,[3]List1!$A:$D,4,FALSE),"N/A!")</f>
        <v>3.4187999999999996E-2</v>
      </c>
      <c r="O228" s="645">
        <f>IFERROR(VLOOKUP(C228,[3]List1!$A:$D,3,FALSE),"N/A!")</f>
        <v>3110.3999999999996</v>
      </c>
      <c r="P228" s="645">
        <f>IFERROR(VLOOKUP(C228,[3]List1!$A:$D,2,FALSE),"N/A!")</f>
        <v>12200</v>
      </c>
      <c r="Q228" s="645" t="s">
        <v>11759</v>
      </c>
      <c r="R228" s="645"/>
      <c r="S228" s="645"/>
      <c r="T228" s="645"/>
      <c r="U228" s="645"/>
      <c r="V228" s="645"/>
      <c r="W228" s="645" t="str">
        <f>IFERROR(IF(AND($AB228&gt;=0.1*$AA228,MOD($AB228,$AA228)&gt;=($AA228-(0.1*$AA228))),IF($W$17=$AF$1,"Zvažte možnost doobjednání ještě "&amp;Tabulka1[[#This Row],[VKPAL]]-MOD(AB228,AA228)&amp;" VK do plné palety.",VLOOKUP("Zvažte možnost doobjednání ještě ",Jazyky_ceník!A:Q,MATCH($W$17,Jazyky_ceník!$A$1:$Q$1,0),FALSE)&amp;Tabulka1[[#This Row],[VKPAL]]-MOD(AB228,AA228)&amp;VLOOKUP(" VK do plné palety.",Jazyky_ceník!A:Q,MATCH($W$17,Jazyky_ceník!$A$1:$Q$1,0),FALSE)),IFERROR(IF(AND(NOT(MOD($AB228,$AA228)=0),$AB228&gt;=0.9*$AA228,MOD($AB228,$AA228)&lt;=0.1*$AA228),IF($W$17=$AF$1,"Zvažte možnost optimalizace objednaného množství podle počtu VK na paletě ==&gt;",VLOOKUP("Zvažte možnost optimalizace objednaného množství podle počtu VK na paletě ==&gt;",Jazyky_ceník!A:Q,MATCH($W$17,Jazyky_ceník!$A$1:$Q$1,0),FALSE)),VLOOKUP('General price list'!$C228,Popisy!A:M,MATCH($W$17,Popisy!$A$7:$M$7,0),FALSE)),"---------------")),IFERROR(VLOOKUP('General price list'!$C228,Popisy!A:M,MATCH($W$17,Popisy!$A$7:$M$7,0),FALSE),"---------------"))</f>
        <v>síla výbuchu 114dB z 8m</v>
      </c>
      <c r="X228" s="645" t="str">
        <f t="shared" ref="X228:X233" si="585">IF(AB228&lt;0.0001,"",AB228)</f>
        <v/>
      </c>
      <c r="Y228" s="645" t="str">
        <f t="shared" ref="Y228:Y233" si="586">IF($AL$3=2,IF(OR(AB228&lt;&gt;"",AB228&lt;&gt;0),AU228,""),IF(C228="","",IF(AB228&lt;0.0001,"",IF(B228=0,"",IF(AQ228&lt;AB228,"",AB228)))))</f>
        <v/>
      </c>
      <c r="Z228" s="645" t="str">
        <f>HYPERLINK("https://www.klasekpyrotechnics.cz/p1d")</f>
        <v>https://www.klasekpyrotechnics.cz/p1d</v>
      </c>
      <c r="AA228" s="645">
        <f>IFERROR(IF(VLOOKUP(C228,[4]List1!$A:$D,4,FALSE)=0,"",VLOOKUP(C228,[4]List1!$A:$D,4,FALSE)),"")</f>
        <v>42</v>
      </c>
      <c r="AB228" s="646"/>
      <c r="AC228" s="647" t="str">
        <f>IFERROR(IF(VLOOKUP(C228,[1]List1!$A:$D,2,FALSE)="VYPRODÁNO",$V$9,IF(VLOOKUP(C228,[1]List1!$A:$D,2,FALSE)="DOCHÁZÍ",$V$3,VLOOKUP(C228,[1]List1!$A:$D,2,FALSE))),"OFFLINE!")</f>
        <v>SKLADEM</v>
      </c>
      <c r="AD228" s="647" t="str">
        <f ca="1">IF(AP228="NE",$V$10,IF(AC228=$V$3,IF(AQ228&lt;1,$V$8,$V$2&amp;" "&amp;AQ228&amp;" "&amp;$V$1),IF(AC228="SKLADEM",$V$6,IFERROR(IF(OR(AC228-TODAY()&gt;45,VLOOKUP(C228,[1]List1!$A:$E,4,FALSE)=0),AC228,DAY(AC228)&amp;"."&amp;MONTH(AC228)&amp;"."&amp;YEAR(AC228)&amp;" "&amp;$V$4&amp;VLOOKUP(C228,[1]List1!$A:$E,4,FALSE)&amp;" "&amp;$V$1),AC228))))</f>
        <v>SKLADEM</v>
      </c>
      <c r="AE228" s="645" t="str">
        <f t="shared" ref="AE228:AE233" ca="1" si="587">IFERROR(IF(AV228&lt;&gt;"",AV228,AD228),AD228)</f>
        <v>SKLADEM</v>
      </c>
      <c r="AF228" s="648">
        <f t="shared" ref="AF228:AF233" si="588">IFERROR(IF(AB228=Y228,G228*I228*Y228,0),0)</f>
        <v>0</v>
      </c>
      <c r="AG228" s="649">
        <f t="shared" ref="AG228:AG233" si="589">IF($W$17=$AF$8,AH228*1.23,AF228*1.21)</f>
        <v>0</v>
      </c>
      <c r="AH228" s="650">
        <f t="shared" ref="AH228:AH233" si="590">IFERROR(IF(Y228=AB228,H228*I228*Y228,0),0)</f>
        <v>0</v>
      </c>
      <c r="AI228" s="645">
        <f t="shared" ref="AI228:AI233" si="591">IFERROR(IF(Y228=AB228,(P228*Y228)/1000,1),0)</f>
        <v>0</v>
      </c>
      <c r="AJ228" s="645">
        <f t="shared" ref="AJ228:AJ233" si="592">IFERROR(IF(Y228=AB228,N228*Y228,0.1),0)</f>
        <v>0</v>
      </c>
      <c r="AK228" s="645" t="str">
        <f t="shared" ref="AK228:AK233" si="593">IFERROR(IF(Y228=AB228,IF(M228="1.1G",(O228/1000)*Y228,""),""),0)</f>
        <v/>
      </c>
      <c r="AL228" s="645" t="str">
        <f t="shared" ref="AL228:AL233" si="594">IFERROR(IF(Y228=AB228,IF(M228="1.3G",(O228/1000)*AB228,""),""),0)</f>
        <v/>
      </c>
      <c r="AM228" s="645">
        <f t="shared" ref="AM228:AM233" si="595">IFERROR(IF(Y228=AB228,IF(M228="1.4G",(O228/1000)*AB228,""),""),0)</f>
        <v>0</v>
      </c>
      <c r="AN228" s="651">
        <f t="shared" ref="AN228:AN233" si="596">SUM(AK228:AM228)</f>
        <v>0</v>
      </c>
      <c r="AO228" s="623"/>
      <c r="AP228" s="632" t="str">
        <f t="shared" si="519"/>
        <v/>
      </c>
      <c r="AQ228" s="633" t="str">
        <f>IF(AC228=$V$3,IF(VLOOKUP(C228,[1]List1!$A:$E,5,FALSE)=0,1,VLOOKUP(C228,[1]List1!$A:$E,5,FALSE)),"")</f>
        <v/>
      </c>
      <c r="AR228" s="625" t="str">
        <f t="shared" si="520"/>
        <v/>
      </c>
      <c r="AS228" s="634" t="str">
        <f t="shared" si="521"/>
        <v/>
      </c>
      <c r="AT228" s="625" t="str">
        <f t="shared" si="522"/>
        <v/>
      </c>
      <c r="AU228" s="638" t="e">
        <f t="shared" si="523"/>
        <v>#N/A</v>
      </c>
      <c r="AV228" s="625" t="e">
        <f t="shared" si="524"/>
        <v>#N/A</v>
      </c>
      <c r="AX228" s="625">
        <f>IF(AND('General price list'!$J228="F4",'General price list'!$AB228+0&gt;0),1,0)</f>
        <v>0</v>
      </c>
      <c r="AY228" s="625">
        <f t="shared" si="525"/>
        <v>1</v>
      </c>
      <c r="AZ228" s="625">
        <f t="shared" si="526"/>
        <v>0</v>
      </c>
    </row>
    <row r="229" spans="1:52" ht="15" customHeight="1">
      <c r="A229" s="621" t="str">
        <f>Kat.!C229</f>
        <v/>
      </c>
      <c r="B229" s="566">
        <f>IF(AND('General price list'!$J229="F4",$AI$1=FALSE),0,IF(AC229="SKLADEM",1,IF(AC229=$V$3,1,0)))</f>
        <v>1</v>
      </c>
      <c r="C229" s="567" t="s">
        <v>627</v>
      </c>
      <c r="D229" s="568" t="s">
        <v>1144</v>
      </c>
      <c r="E229" s="763" t="s">
        <v>12707</v>
      </c>
      <c r="F229" s="772">
        <f>IFERROR(VLOOKUP(C229,[2]List1!$A:$D,3,FALSE),"NEUVEDENO!")</f>
        <v>530</v>
      </c>
      <c r="G229" s="769">
        <f t="shared" si="583"/>
        <v>530</v>
      </c>
      <c r="H229" s="766">
        <f t="shared" si="584"/>
        <v>22.513624990973312</v>
      </c>
      <c r="I229" s="764">
        <f>IFERROR(VLOOKUP(C229,[2]List1!$A:$D,4,FALSE),"NEUVEDENO!")</f>
        <v>6</v>
      </c>
      <c r="J229" s="732" t="s">
        <v>39</v>
      </c>
      <c r="K229" s="569" t="s">
        <v>20</v>
      </c>
      <c r="L229" s="569" t="s">
        <v>12435</v>
      </c>
      <c r="M229" s="569" t="s">
        <v>21</v>
      </c>
      <c r="N229" s="569">
        <f>IFERROR(VLOOKUP(C229,[3]List1!$A:$D,4,FALSE),"N/A!")</f>
        <v>5.2339199999999995E-2</v>
      </c>
      <c r="O229" s="569">
        <f>IFERROR(VLOOKUP(C229,[3]List1!$A:$D,3,FALSE),"N/A!")</f>
        <v>2835</v>
      </c>
      <c r="P229" s="569">
        <f>IFERROR(VLOOKUP(C229,[3]List1!$A:$D,2,FALSE),"N/A!")</f>
        <v>20800</v>
      </c>
      <c r="Q229" s="569" t="s">
        <v>11760</v>
      </c>
      <c r="R229" s="569" t="s">
        <v>11232</v>
      </c>
      <c r="S229" s="569"/>
      <c r="T229" s="569"/>
      <c r="U229" s="569"/>
      <c r="V229" s="569"/>
      <c r="W229" s="569" t="str">
        <f>IFERROR(IF(AND($AB229&gt;=0.1*$AA229,MOD($AB229,$AA229)&gt;=($AA229-(0.1*$AA229))),IF($W$17=$AF$1,"Zvažte možnost doobjednání ještě "&amp;Tabulka1[[#This Row],[VKPAL]]-MOD(AB229,AA229)&amp;" VK do plné palety.",VLOOKUP("Zvažte možnost doobjednání ještě ",Jazyky_ceník!A:Q,MATCH($W$17,Jazyky_ceník!$A$1:$Q$1,0),FALSE)&amp;Tabulka1[[#This Row],[VKPAL]]-MOD(AB229,AA229)&amp;VLOOKUP(" VK do plné palety.",Jazyky_ceník!A:Q,MATCH($W$17,Jazyky_ceník!$A$1:$Q$1,0),FALSE)),IFERROR(IF(AND(NOT(MOD($AB229,$AA229)=0),$AB229&gt;=0.9*$AA229,MOD($AB229,$AA229)&lt;=0.1*$AA229),IF($W$17=$AF$1,"Zvažte možnost optimalizace objednaného množství podle počtu VK na paletě ==&gt;",VLOOKUP("Zvažte možnost optimalizace objednaného množství podle počtu VK na paletě ==&gt;",Jazyky_ceník!A:Q,MATCH($W$17,Jazyky_ceník!$A$1:$Q$1,0),FALSE)),VLOOKUP('General price list'!$C229,Popisy!A:M,MATCH($W$17,Popisy!$A$7:$M$7,0),FALSE)),"---------------")),IFERROR(VLOOKUP('General price list'!$C229,Popisy!A:M,MATCH($W$17,Popisy!$A$7:$M$7,0),FALSE),"---------------"))</f>
        <v>síla výbuchu 117dB z 8m</v>
      </c>
      <c r="X229" s="569" t="str">
        <f t="shared" si="585"/>
        <v/>
      </c>
      <c r="Y229" s="569" t="str">
        <f t="shared" si="586"/>
        <v/>
      </c>
      <c r="Z229" s="569" t="str">
        <f>HYPERLINK("https://www.klasekpyrotechnics.cz/p2d")</f>
        <v>https://www.klasekpyrotechnics.cz/p2d</v>
      </c>
      <c r="AA229" s="569">
        <f>IFERROR(IF(VLOOKUP(C229,[4]List1!$A:$D,4,FALSE)=0,"",VLOOKUP(C229,[4]List1!$A:$D,4,FALSE)),"")</f>
        <v>24</v>
      </c>
      <c r="AB229" s="565"/>
      <c r="AC229" s="570" t="str">
        <f>IFERROR(IF(VLOOKUP(C229,[1]List1!$A:$D,2,FALSE)="VYPRODÁNO",$V$9,IF(VLOOKUP(C229,[1]List1!$A:$D,2,FALSE)="DOCHÁZÍ",$V$3,VLOOKUP(C229,[1]List1!$A:$D,2,FALSE))),"OFFLINE!")</f>
        <v>SKLADEM</v>
      </c>
      <c r="AD229" s="570" t="str">
        <f ca="1">IF(AP229="NE",$V$10,IF(AC229=$V$3,IF(AQ229&lt;1,$V$8,$V$2&amp;" "&amp;AQ229&amp;" "&amp;$V$1),IF(AC229="SKLADEM",$V$6,IFERROR(IF(OR(AC229-TODAY()&gt;45,VLOOKUP(C229,[1]List1!$A:$E,4,FALSE)=0),AC229,DAY(AC229)&amp;"."&amp;MONTH(AC229)&amp;"."&amp;YEAR(AC229)&amp;" "&amp;$V$4&amp;VLOOKUP(C229,[1]List1!$A:$E,4,FALSE)&amp;" "&amp;$V$1),AC229))))</f>
        <v>SKLADEM</v>
      </c>
      <c r="AE229" s="581" t="str">
        <f t="shared" ca="1" si="587"/>
        <v>SKLADEM</v>
      </c>
      <c r="AF229" s="584">
        <f t="shared" si="588"/>
        <v>0</v>
      </c>
      <c r="AG229" s="585">
        <f t="shared" si="589"/>
        <v>0</v>
      </c>
      <c r="AH229" s="583">
        <f t="shared" si="590"/>
        <v>0</v>
      </c>
      <c r="AI229" s="582">
        <f t="shared" si="591"/>
        <v>0</v>
      </c>
      <c r="AJ229" s="569">
        <f t="shared" si="592"/>
        <v>0</v>
      </c>
      <c r="AK229" s="569" t="str">
        <f t="shared" si="593"/>
        <v/>
      </c>
      <c r="AL229" s="569" t="str">
        <f t="shared" si="594"/>
        <v/>
      </c>
      <c r="AM229" s="569">
        <f t="shared" si="595"/>
        <v>0</v>
      </c>
      <c r="AN229" s="581">
        <f t="shared" si="596"/>
        <v>0</v>
      </c>
      <c r="AO229" s="623"/>
      <c r="AP229" s="632" t="str">
        <f t="shared" si="519"/>
        <v/>
      </c>
      <c r="AQ229" s="633" t="str">
        <f>IF(AC229=$V$3,IF(VLOOKUP(C229,[1]List1!$A:$E,5,FALSE)=0,1,VLOOKUP(C229,[1]List1!$A:$E,5,FALSE)),"")</f>
        <v/>
      </c>
      <c r="AR229" s="625" t="str">
        <f t="shared" si="520"/>
        <v/>
      </c>
      <c r="AS229" s="634" t="str">
        <f t="shared" si="521"/>
        <v/>
      </c>
      <c r="AT229" s="625" t="str">
        <f t="shared" si="522"/>
        <v/>
      </c>
      <c r="AU229" s="638" t="e">
        <f t="shared" si="523"/>
        <v>#N/A</v>
      </c>
      <c r="AV229" s="625" t="e">
        <f t="shared" si="524"/>
        <v>#N/A</v>
      </c>
      <c r="AX229" s="625">
        <f>IF(AND('General price list'!$J229="F4",'General price list'!$AB229+0&gt;0),1,0)</f>
        <v>0</v>
      </c>
      <c r="AY229" s="625">
        <f t="shared" si="525"/>
        <v>1</v>
      </c>
      <c r="AZ229" s="625">
        <f t="shared" si="526"/>
        <v>1</v>
      </c>
    </row>
    <row r="230" spans="1:52" ht="15.75" customHeight="1">
      <c r="A230" s="639" t="str">
        <f>Kat.!C230</f>
        <v/>
      </c>
      <c r="B230" s="640">
        <f>IF(AND('General price list'!$J230="F4",$AI$1=FALSE),0,IF(AC230="SKLADEM",1,IF(AC230=$V$3,1,0)))</f>
        <v>1</v>
      </c>
      <c r="C230" s="641" t="s">
        <v>632</v>
      </c>
      <c r="D230" s="642" t="s">
        <v>12524</v>
      </c>
      <c r="E230" s="643" t="s">
        <v>12704</v>
      </c>
      <c r="F230" s="771">
        <f>IFERROR(VLOOKUP(C230,[2]List1!$A:$D,3,FALSE),"NEUVEDENO!")</f>
        <v>43</v>
      </c>
      <c r="G230" s="768">
        <f t="shared" si="583"/>
        <v>43</v>
      </c>
      <c r="H230" s="765">
        <f t="shared" si="584"/>
        <v>1.8265771219091553</v>
      </c>
      <c r="I230" s="644">
        <f>IFERROR(VLOOKUP(C230,[2]List1!$A:$D,4,FALSE),"NEUVEDENO!")</f>
        <v>50</v>
      </c>
      <c r="J230" s="733" t="s">
        <v>39</v>
      </c>
      <c r="K230" s="645" t="s">
        <v>20</v>
      </c>
      <c r="L230" s="645" t="s">
        <v>12435</v>
      </c>
      <c r="M230" s="645" t="s">
        <v>21</v>
      </c>
      <c r="N230" s="645">
        <f>IFERROR(VLOOKUP(C230,[3]List1!$A:$D,4,FALSE),"N/A!")</f>
        <v>3.2084999999999995E-2</v>
      </c>
      <c r="O230" s="645">
        <f>IFERROR(VLOOKUP(C230,[3]List1!$A:$D,3,FALSE),"N/A!")</f>
        <v>950</v>
      </c>
      <c r="P230" s="645">
        <f>IFERROR(VLOOKUP(C230,[3]List1!$A:$D,2,FALSE),"N/A!")</f>
        <v>20000</v>
      </c>
      <c r="Q230" s="645" t="s">
        <v>12084</v>
      </c>
      <c r="R230" s="645"/>
      <c r="S230" s="645"/>
      <c r="T230" s="645"/>
      <c r="U230" s="645"/>
      <c r="V230" s="645"/>
      <c r="W230" s="645" t="str">
        <f>IFERROR(IF(AND($AB230&gt;=0.1*$AA230,MOD($AB230,$AA230)&gt;=($AA230-(0.1*$AA230))),IF($W$17=$AF$1,"Zvažte možnost doobjednání ještě "&amp;Tabulka1[[#This Row],[VKPAL]]-MOD(AB230,AA230)&amp;" VK do plné palety.",VLOOKUP("Zvažte možnost doobjednání ještě ",Jazyky_ceník!A:Q,MATCH($W$17,Jazyky_ceník!$A$1:$Q$1,0),FALSE)&amp;Tabulka1[[#This Row],[VKPAL]]-MOD(AB230,AA230)&amp;VLOOKUP(" VK do plné palety.",Jazyky_ceník!A:Q,MATCH($W$17,Jazyky_ceník!$A$1:$Q$1,0),FALSE)),IFERROR(IF(AND(NOT(MOD($AB230,$AA230)=0),$AB230&gt;=0.9*$AA230,MOD($AB230,$AA230)&lt;=0.1*$AA230),IF($W$17=$AF$1,"Zvažte možnost optimalizace objednaného množství podle počtu VK na paletě ==&gt;",VLOOKUP("Zvažte možnost optimalizace objednaného množství podle počtu VK na paletě ==&gt;",Jazyky_ceník!A:Q,MATCH($W$17,Jazyky_ceník!$A$1:$Q$1,0),FALSE)),VLOOKUP('General price list'!$C230,Popisy!A:M,MATCH($W$17,Popisy!$A$7:$M$7,0),FALSE)),"---------------")),IFERROR(VLOOKUP('General price list'!$C230,Popisy!A:M,MATCH($W$17,Popisy!$A$7:$M$7,0),FALSE),"---------------"))</f>
        <v>síla výbuchu 119dB z 8m</v>
      </c>
      <c r="X230" s="645" t="str">
        <f t="shared" si="585"/>
        <v/>
      </c>
      <c r="Y230" s="645" t="str">
        <f t="shared" si="586"/>
        <v/>
      </c>
      <c r="Z230" s="645" t="str">
        <f>HYPERLINK("https://www.klasekpyrotechnics.cz/k0203k")</f>
        <v>https://www.klasekpyrotechnics.cz/k0203k</v>
      </c>
      <c r="AA230" s="645">
        <f>IFERROR(IF(VLOOKUP(C230,[4]List1!$A:$D,4,FALSE)=0,"",VLOOKUP(C230,[4]List1!$A:$D,4,FALSE)),"")</f>
        <v>36</v>
      </c>
      <c r="AB230" s="646"/>
      <c r="AC230" s="647" t="str">
        <f>IFERROR(IF(VLOOKUP(C230,[1]List1!$A:$D,2,FALSE)="VYPRODÁNO",$V$9,IF(VLOOKUP(C230,[1]List1!$A:$D,2,FALSE)="DOCHÁZÍ",$V$3,VLOOKUP(C230,[1]List1!$A:$D,2,FALSE))),"OFFLINE!")</f>
        <v>SKLADEM</v>
      </c>
      <c r="AD230" s="647" t="str">
        <f ca="1">IF(AP230="NE",$V$10,IF(AC230=$V$3,IF(AQ230&lt;1,$V$8,$V$2&amp;" "&amp;AQ230&amp;" "&amp;$V$1),IF(AC230="SKLADEM",$V$6,IFERROR(IF(OR(AC230-TODAY()&gt;45,VLOOKUP(C230,[1]List1!$A:$E,4,FALSE)=0),AC230,DAY(AC230)&amp;"."&amp;MONTH(AC230)&amp;"."&amp;YEAR(AC230)&amp;" "&amp;$V$4&amp;VLOOKUP(C230,[1]List1!$A:$E,4,FALSE)&amp;" "&amp;$V$1),AC230))))</f>
        <v>SKLADEM</v>
      </c>
      <c r="AE230" s="645" t="str">
        <f t="shared" ca="1" si="587"/>
        <v>SKLADEM</v>
      </c>
      <c r="AF230" s="648">
        <f t="shared" si="588"/>
        <v>0</v>
      </c>
      <c r="AG230" s="649">
        <f t="shared" si="589"/>
        <v>0</v>
      </c>
      <c r="AH230" s="650">
        <f t="shared" si="590"/>
        <v>0</v>
      </c>
      <c r="AI230" s="645">
        <f t="shared" si="591"/>
        <v>0</v>
      </c>
      <c r="AJ230" s="645">
        <f t="shared" si="592"/>
        <v>0</v>
      </c>
      <c r="AK230" s="645" t="str">
        <f t="shared" si="593"/>
        <v/>
      </c>
      <c r="AL230" s="645" t="str">
        <f t="shared" si="594"/>
        <v/>
      </c>
      <c r="AM230" s="645">
        <f t="shared" si="595"/>
        <v>0</v>
      </c>
      <c r="AN230" s="651">
        <f t="shared" si="596"/>
        <v>0</v>
      </c>
      <c r="AO230" s="623"/>
      <c r="AP230" s="625" t="str">
        <f t="shared" si="519"/>
        <v/>
      </c>
      <c r="AQ230" s="625" t="str">
        <f>IF(AC230=$V$3,IF(VLOOKUP(C230,[1]List1!$A:$E,5,FALSE)=0,1,VLOOKUP(C230,[1]List1!$A:$E,5,FALSE)),"")</f>
        <v/>
      </c>
      <c r="AR230" s="629" t="str">
        <f t="shared" si="520"/>
        <v/>
      </c>
      <c r="AS230" s="630" t="str">
        <f t="shared" si="521"/>
        <v/>
      </c>
      <c r="AT230" s="625" t="str">
        <f t="shared" si="522"/>
        <v/>
      </c>
      <c r="AU230" s="625" t="e">
        <f t="shared" si="523"/>
        <v>#N/A</v>
      </c>
      <c r="AV230" s="625" t="e">
        <f t="shared" si="524"/>
        <v>#N/A</v>
      </c>
      <c r="AW230" s="631"/>
      <c r="AX230" s="631">
        <f>IF(AND('General price list'!$J230="F4",'General price list'!$AB230+0&gt;0),1,0)</f>
        <v>0</v>
      </c>
      <c r="AY230" s="631">
        <f t="shared" si="525"/>
        <v>1</v>
      </c>
      <c r="AZ230" s="631">
        <f t="shared" si="526"/>
        <v>0</v>
      </c>
    </row>
    <row r="231" spans="1:52" ht="15" customHeight="1">
      <c r="A231" s="621" t="str">
        <f>Kat.!C231</f>
        <v/>
      </c>
      <c r="B231" s="566">
        <f>IF(AND('General price list'!$J231="F4",$AI$1=FALSE),0,IF(AC231="SKLADEM",1,IF(AC231=$V$3,1,0)))</f>
        <v>1</v>
      </c>
      <c r="C231" s="567" t="s">
        <v>4128</v>
      </c>
      <c r="D231" s="568" t="s">
        <v>12525</v>
      </c>
      <c r="E231" s="763" t="s">
        <v>12708</v>
      </c>
      <c r="F231" s="772">
        <f>IFERROR(VLOOKUP(C231,[2]List1!$A:$D,3,FALSE),"NEUVEDENO!")</f>
        <v>25</v>
      </c>
      <c r="G231" s="769">
        <f t="shared" si="583"/>
        <v>25</v>
      </c>
      <c r="H231" s="766">
        <f t="shared" si="584"/>
        <v>1.0619634429704392</v>
      </c>
      <c r="I231" s="764">
        <f>IFERROR(VLOOKUP(C231,[2]List1!$A:$D,4,FALSE),"NEUVEDENO!")</f>
        <v>100</v>
      </c>
      <c r="J231" s="732" t="s">
        <v>39</v>
      </c>
      <c r="K231" s="569" t="s">
        <v>20</v>
      </c>
      <c r="L231" s="569" t="s">
        <v>12435</v>
      </c>
      <c r="M231" s="569" t="s">
        <v>21</v>
      </c>
      <c r="N231" s="569">
        <f>IFERROR(VLOOKUP(C231,[3]List1!$A:$D,4,FALSE),"N/A!")</f>
        <v>3.2751999999999996E-2</v>
      </c>
      <c r="O231" s="569">
        <f>IFERROR(VLOOKUP(C231,[3]List1!$A:$D,3,FALSE),"N/A!")</f>
        <v>1000</v>
      </c>
      <c r="P231" s="569">
        <f>IFERROR(VLOOKUP(C231,[3]List1!$A:$D,2,FALSE),"N/A!")</f>
        <v>17000</v>
      </c>
      <c r="Q231" s="569" t="s">
        <v>11232</v>
      </c>
      <c r="R231" s="569"/>
      <c r="S231" s="569"/>
      <c r="T231" s="569"/>
      <c r="U231" s="569"/>
      <c r="V231" s="569"/>
      <c r="W231" s="569" t="str">
        <f>IFERROR(IF(AND($AB231&gt;=0.1*$AA231,MOD($AB231,$AA231)&gt;=($AA231-(0.1*$AA231))),IF($W$17=$AF$1,"Zvažte možnost doobjednání ještě "&amp;Tabulka1[[#This Row],[VKPAL]]-MOD(AB231,AA231)&amp;" VK do plné palety.",VLOOKUP("Zvažte možnost doobjednání ještě ",Jazyky_ceník!A:Q,MATCH($W$17,Jazyky_ceník!$A$1:$Q$1,0),FALSE)&amp;Tabulka1[[#This Row],[VKPAL]]-MOD(AB231,AA231)&amp;VLOOKUP(" VK do plné palety.",Jazyky_ceník!A:Q,MATCH($W$17,Jazyky_ceník!$A$1:$Q$1,0),FALSE)),IFERROR(IF(AND(NOT(MOD($AB231,$AA231)=0),$AB231&gt;=0.9*$AA231,MOD($AB231,$AA231)&lt;=0.1*$AA231),IF($W$17=$AF$1,"Zvažte možnost optimalizace objednaného množství podle počtu VK na paletě ==&gt;",VLOOKUP("Zvažte možnost optimalizace objednaného množství podle počtu VK na paletě ==&gt;",Jazyky_ceník!A:Q,MATCH($W$17,Jazyky_ceník!$A$1:$Q$1,0),FALSE)),VLOOKUP('General price list'!$C231,Popisy!A:M,MATCH($W$17,Popisy!$A$7:$M$7,0),FALSE)),"---------------")),IFERROR(VLOOKUP('General price list'!$C231,Popisy!A:M,MATCH($W$17,Popisy!$A$7:$M$7,0),FALSE),"---------------"))</f>
        <v>síla výbuchu 119dB z 8m</v>
      </c>
      <c r="X231" s="569" t="str">
        <f t="shared" si="585"/>
        <v/>
      </c>
      <c r="Y231" s="569" t="str">
        <f t="shared" si="586"/>
        <v/>
      </c>
      <c r="Z231" s="569" t="str">
        <f>HYPERLINK("https://www.klasekpyrotechnics.cz/k0203kb")</f>
        <v>https://www.klasekpyrotechnics.cz/k0203kb</v>
      </c>
      <c r="AA231" s="569">
        <f>IFERROR(IF(VLOOKUP(C231,[4]List1!$A:$D,4,FALSE)=0,"",VLOOKUP(C231,[4]List1!$A:$D,4,FALSE)),"")</f>
        <v>35</v>
      </c>
      <c r="AB231" s="565"/>
      <c r="AC231" s="570" t="str">
        <f>IFERROR(IF(VLOOKUP(C231,[1]List1!$A:$D,2,FALSE)="VYPRODÁNO",$V$9,IF(VLOOKUP(C231,[1]List1!$A:$D,2,FALSE)="DOCHÁZÍ",$V$3,VLOOKUP(C231,[1]List1!$A:$D,2,FALSE))),"OFFLINE!")</f>
        <v>SKLADEM</v>
      </c>
      <c r="AD231" s="570" t="str">
        <f ca="1">IF(AP231="NE",$V$10,IF(AC231=$V$3,IF(AQ231&lt;1,$V$8,$V$2&amp;" "&amp;AQ231&amp;" "&amp;$V$1),IF(AC231="SKLADEM",$V$6,IFERROR(IF(OR(AC231-TODAY()&gt;45,VLOOKUP(C231,[1]List1!$A:$E,4,FALSE)=0),AC231,DAY(AC231)&amp;"."&amp;MONTH(AC231)&amp;"."&amp;YEAR(AC231)&amp;" "&amp;$V$4&amp;VLOOKUP(C231,[1]List1!$A:$E,4,FALSE)&amp;" "&amp;$V$1),AC231))))</f>
        <v>SKLADEM</v>
      </c>
      <c r="AE231" s="581" t="str">
        <f t="shared" ca="1" si="587"/>
        <v>SKLADEM</v>
      </c>
      <c r="AF231" s="584">
        <f t="shared" si="588"/>
        <v>0</v>
      </c>
      <c r="AG231" s="585">
        <f t="shared" si="589"/>
        <v>0</v>
      </c>
      <c r="AH231" s="583">
        <f t="shared" si="590"/>
        <v>0</v>
      </c>
      <c r="AI231" s="582">
        <f t="shared" si="591"/>
        <v>0</v>
      </c>
      <c r="AJ231" s="569">
        <f t="shared" si="592"/>
        <v>0</v>
      </c>
      <c r="AK231" s="569" t="str">
        <f t="shared" si="593"/>
        <v/>
      </c>
      <c r="AL231" s="569" t="str">
        <f t="shared" si="594"/>
        <v/>
      </c>
      <c r="AM231" s="569">
        <f t="shared" si="595"/>
        <v>0</v>
      </c>
      <c r="AN231" s="581">
        <f t="shared" si="596"/>
        <v>0</v>
      </c>
      <c r="AO231" s="623"/>
      <c r="AP231" s="632" t="str">
        <f t="shared" si="519"/>
        <v/>
      </c>
      <c r="AQ231" s="633" t="str">
        <f>IF(AC231=$V$3,IF(VLOOKUP(C231,[1]List1!$A:$E,5,FALSE)=0,1,VLOOKUP(C231,[1]List1!$A:$E,5,FALSE)),"")</f>
        <v/>
      </c>
      <c r="AR231" s="625" t="str">
        <f t="shared" si="520"/>
        <v/>
      </c>
      <c r="AS231" s="634" t="str">
        <f t="shared" si="521"/>
        <v/>
      </c>
      <c r="AT231" s="625" t="str">
        <f t="shared" si="522"/>
        <v/>
      </c>
      <c r="AU231" s="638" t="e">
        <f t="shared" si="523"/>
        <v>#N/A</v>
      </c>
      <c r="AV231" s="625" t="e">
        <f t="shared" si="524"/>
        <v>#N/A</v>
      </c>
      <c r="AX231" s="625">
        <f>IF(AND('General price list'!$J231="F4",'General price list'!$AB231+0&gt;0),1,0)</f>
        <v>0</v>
      </c>
      <c r="AY231" s="625">
        <f t="shared" si="525"/>
        <v>1</v>
      </c>
      <c r="AZ231" s="625">
        <f t="shared" si="526"/>
        <v>0</v>
      </c>
    </row>
    <row r="232" spans="1:52" ht="15" customHeight="1">
      <c r="A232" s="639" t="str">
        <f>Kat.!C232</f>
        <v/>
      </c>
      <c r="B232" s="640">
        <f>IF(AND('General price list'!$J232="F4",$AI$1=FALSE),0,IF(AC232="SKLADEM",1,IF(AC232=$V$3,1,0)))</f>
        <v>1</v>
      </c>
      <c r="C232" s="641" t="s">
        <v>636</v>
      </c>
      <c r="D232" s="642" t="s">
        <v>11699</v>
      </c>
      <c r="E232" s="643" t="s">
        <v>12705</v>
      </c>
      <c r="F232" s="771">
        <f>IFERROR(VLOOKUP(C232,[2]List1!$A:$D,3,FALSE),"NEUVEDENO!")</f>
        <v>63</v>
      </c>
      <c r="G232" s="768">
        <f t="shared" si="583"/>
        <v>63</v>
      </c>
      <c r="H232" s="765">
        <f t="shared" si="584"/>
        <v>2.6761478762855067</v>
      </c>
      <c r="I232" s="644">
        <f>IFERROR(VLOOKUP(C232,[2]List1!$A:$D,4,FALSE),"NEUVEDENO!")</f>
        <v>200</v>
      </c>
      <c r="J232" s="733" t="s">
        <v>39</v>
      </c>
      <c r="K232" s="645" t="s">
        <v>20</v>
      </c>
      <c r="L232" s="645" t="s">
        <v>12435</v>
      </c>
      <c r="M232" s="645" t="s">
        <v>21</v>
      </c>
      <c r="N232" s="645">
        <f>IFERROR(VLOOKUP(C232,[3]List1!$A:$D,4,FALSE),"N/A!")</f>
        <v>2.4149999999999998E-2</v>
      </c>
      <c r="O232" s="645">
        <f>IFERROR(VLOOKUP(C232,[3]List1!$A:$D,3,FALSE),"N/A!")</f>
        <v>600</v>
      </c>
      <c r="P232" s="645">
        <f>IFERROR(VLOOKUP(C232,[3]List1!$A:$D,2,FALSE),"N/A!")</f>
        <v>8600</v>
      </c>
      <c r="Q232" s="645" t="s">
        <v>11232</v>
      </c>
      <c r="R232" s="645" t="s">
        <v>20</v>
      </c>
      <c r="S232" s="645"/>
      <c r="T232" s="645"/>
      <c r="U232" s="645"/>
      <c r="V232" s="645"/>
      <c r="W232" s="645" t="str">
        <f>IFERROR(IF(AND($AB232&gt;=0.1*$AA232,MOD($AB232,$AA232)&gt;=($AA232-(0.1*$AA232))),IF($W$17=$AF$1,"Zvažte možnost doobjednání ještě "&amp;Tabulka1[[#This Row],[VKPAL]]-MOD(AB232,AA232)&amp;" VK do plné palety.",VLOOKUP("Zvažte možnost doobjednání ještě ",Jazyky_ceník!A:Q,MATCH($W$17,Jazyky_ceník!$A$1:$Q$1,0),FALSE)&amp;Tabulka1[[#This Row],[VKPAL]]-MOD(AB232,AA232)&amp;VLOOKUP(" VK do plné palety.",Jazyky_ceník!A:Q,MATCH($W$17,Jazyky_ceník!$A$1:$Q$1,0),FALSE)),IFERROR(IF(AND(NOT(MOD($AB232,$AA232)=0),$AB232&gt;=0.9*$AA232,MOD($AB232,$AA232)&lt;=0.1*$AA232),IF($W$17=$AF$1,"Zvažte možnost optimalizace objednaného množství podle počtu VK na paletě ==&gt;",VLOOKUP("Zvažte možnost optimalizace objednaného množství podle počtu VK na paletě ==&gt;",Jazyky_ceník!A:Q,MATCH($W$17,Jazyky_ceník!$A$1:$Q$1,0),FALSE)),VLOOKUP('General price list'!$C232,Popisy!A:M,MATCH($W$17,Popisy!$A$7:$M$7,0),FALSE)),"---------------")),IFERROR(VLOOKUP('General price list'!$C232,Popisy!A:M,MATCH($W$17,Popisy!$A$7:$M$7,0),FALSE),"---------------"))</f>
        <v>síla výbuchu 120dB z 8m, vyrobeno v Evropě, plastová ucpávka</v>
      </c>
      <c r="X232" s="645" t="str">
        <f t="shared" si="585"/>
        <v/>
      </c>
      <c r="Y232" s="645" t="str">
        <f t="shared" si="586"/>
        <v/>
      </c>
      <c r="Z232" s="645" t="str">
        <f>HYPERLINK("https://www.klasekpyrotechnics.cz/p05d")</f>
        <v>https://www.klasekpyrotechnics.cz/p05d</v>
      </c>
      <c r="AA232" s="645" t="str">
        <f>IFERROR(IF(VLOOKUP(C232,[4]List1!$A:$D,4,FALSE)=0,"",VLOOKUP(C232,[4]List1!$A:$D,4,FALSE)),"")</f>
        <v>36</v>
      </c>
      <c r="AB232" s="646"/>
      <c r="AC232" s="647" t="str">
        <f>IFERROR(IF(VLOOKUP(C232,[1]List1!$A:$D,2,FALSE)="VYPRODÁNO",$V$9,IF(VLOOKUP(C232,[1]List1!$A:$D,2,FALSE)="DOCHÁZÍ",$V$3,VLOOKUP(C232,[1]List1!$A:$D,2,FALSE))),"OFFLINE!")</f>
        <v>SKLADEM</v>
      </c>
      <c r="AD232" s="647" t="str">
        <f ca="1">IF(AP232="NE",$V$10,IF(AC232=$V$3,IF(AQ232&lt;1,$V$8,$V$2&amp;" "&amp;AQ232&amp;" "&amp;$V$1),IF(AC232="SKLADEM",$V$6,IFERROR(IF(OR(AC232-TODAY()&gt;45,VLOOKUP(C232,[1]List1!$A:$E,4,FALSE)=0),AC232,DAY(AC232)&amp;"."&amp;MONTH(AC232)&amp;"."&amp;YEAR(AC232)&amp;" "&amp;$V$4&amp;VLOOKUP(C232,[1]List1!$A:$E,4,FALSE)&amp;" "&amp;$V$1),AC232))))</f>
        <v>SKLADEM</v>
      </c>
      <c r="AE232" s="645" t="str">
        <f t="shared" ca="1" si="587"/>
        <v>SKLADEM</v>
      </c>
      <c r="AF232" s="648">
        <f t="shared" si="588"/>
        <v>0</v>
      </c>
      <c r="AG232" s="649">
        <f t="shared" si="589"/>
        <v>0</v>
      </c>
      <c r="AH232" s="650">
        <f t="shared" si="590"/>
        <v>0</v>
      </c>
      <c r="AI232" s="645">
        <f t="shared" si="591"/>
        <v>0</v>
      </c>
      <c r="AJ232" s="645">
        <f t="shared" si="592"/>
        <v>0</v>
      </c>
      <c r="AK232" s="645" t="str">
        <f t="shared" si="593"/>
        <v/>
      </c>
      <c r="AL232" s="645" t="str">
        <f t="shared" si="594"/>
        <v/>
      </c>
      <c r="AM232" s="645">
        <f t="shared" si="595"/>
        <v>0</v>
      </c>
      <c r="AN232" s="651">
        <f t="shared" si="596"/>
        <v>0</v>
      </c>
      <c r="AO232" s="623"/>
      <c r="AP232" s="632" t="str">
        <f t="shared" si="519"/>
        <v/>
      </c>
      <c r="AQ232" s="633" t="str">
        <f>IF(AC232=$V$3,IF(VLOOKUP(C232,[1]List1!$A:$E,5,FALSE)=0,1,VLOOKUP(C232,[1]List1!$A:$E,5,FALSE)),"")</f>
        <v/>
      </c>
      <c r="AR232" s="625" t="str">
        <f t="shared" si="520"/>
        <v/>
      </c>
      <c r="AS232" s="634" t="str">
        <f t="shared" si="521"/>
        <v/>
      </c>
      <c r="AT232" s="625" t="str">
        <f t="shared" si="522"/>
        <v/>
      </c>
      <c r="AU232" s="638" t="e">
        <f t="shared" si="523"/>
        <v>#N/A</v>
      </c>
      <c r="AV232" s="625" t="e">
        <f t="shared" si="524"/>
        <v>#N/A</v>
      </c>
      <c r="AX232" s="625">
        <f>IF(AND('General price list'!$J232="F4",'General price list'!$AB232+0&gt;0),1,0)</f>
        <v>0</v>
      </c>
      <c r="AY232" s="625">
        <f t="shared" si="525"/>
        <v>1</v>
      </c>
      <c r="AZ232" s="625">
        <f t="shared" si="526"/>
        <v>0</v>
      </c>
    </row>
    <row r="233" spans="1:52" ht="15.75" customHeight="1">
      <c r="A233" s="621" t="str">
        <f>Kat.!C233</f>
        <v/>
      </c>
      <c r="B233" s="566">
        <f>IF(AND('General price list'!$J233="F4",$AI$1=FALSE),0,IF(AC233="SKLADEM",1,IF(AC233=$V$3,1,0)))</f>
        <v>1</v>
      </c>
      <c r="C233" s="567" t="s">
        <v>10741</v>
      </c>
      <c r="D233" s="568" t="s">
        <v>11575</v>
      </c>
      <c r="E233" s="763" t="s">
        <v>12709</v>
      </c>
      <c r="F233" s="772">
        <f>IFERROR(VLOOKUP(C233,[2]List1!$A:$D,3,FALSE),"NEUVEDENO!")</f>
        <v>29</v>
      </c>
      <c r="G233" s="769">
        <f t="shared" si="583"/>
        <v>29</v>
      </c>
      <c r="H233" s="766">
        <f t="shared" si="584"/>
        <v>1.2318775938457094</v>
      </c>
      <c r="I233" s="764">
        <f>IFERROR(VLOOKUP(C233,[2]List1!$A:$D,4,FALSE),"NEUVEDENO!")</f>
        <v>60</v>
      </c>
      <c r="J233" s="732" t="s">
        <v>39</v>
      </c>
      <c r="K233" s="569" t="s">
        <v>20</v>
      </c>
      <c r="L233" s="569" t="s">
        <v>12435</v>
      </c>
      <c r="M233" s="569" t="s">
        <v>21</v>
      </c>
      <c r="N233" s="569">
        <f>IFERROR(VLOOKUP(C233,[3]List1!$A:$D,4,FALSE),"N/A!")</f>
        <v>2.1887999999999998E-2</v>
      </c>
      <c r="O233" s="569">
        <f>IFERROR(VLOOKUP(C233,[3]List1!$A:$D,3,FALSE),"N/A!")</f>
        <v>210</v>
      </c>
      <c r="P233" s="569">
        <f>IFERROR(VLOOKUP(C233,[3]List1!$A:$D,2,FALSE),"N/A!")</f>
        <v>10000</v>
      </c>
      <c r="Q233" s="569" t="s">
        <v>11232</v>
      </c>
      <c r="R233" s="569"/>
      <c r="S233" s="569"/>
      <c r="T233" s="569"/>
      <c r="U233" s="569"/>
      <c r="V233" s="569"/>
      <c r="W233" s="569" t="str">
        <f>IFERROR(IF(AND($AB233&gt;=0.1*$AA233,MOD($AB233,$AA233)&gt;=($AA233-(0.1*$AA233))),IF($W$17=$AF$1,"Zvažte možnost doobjednání ještě "&amp;Tabulka1[[#This Row],[VKPAL]]-MOD(AB233,AA233)&amp;" VK do plné palety.",VLOOKUP("Zvažte možnost doobjednání ještě ",Jazyky_ceník!A:Q,MATCH($W$17,Jazyky_ceník!$A$1:$Q$1,0),FALSE)&amp;Tabulka1[[#This Row],[VKPAL]]-MOD(AB233,AA233)&amp;VLOOKUP(" VK do plné palety.",Jazyky_ceník!A:Q,MATCH($W$17,Jazyky_ceník!$A$1:$Q$1,0),FALSE)),IFERROR(IF(AND(NOT(MOD($AB233,$AA233)=0),$AB233&gt;=0.9*$AA233,MOD($AB233,$AA233)&lt;=0.1*$AA233),IF($W$17=$AF$1,"Zvažte možnost optimalizace objednaného množství podle počtu VK na paletě ==&gt;",VLOOKUP("Zvažte možnost optimalizace objednaného množství podle počtu VK na paletě ==&gt;",Jazyky_ceník!A:Q,MATCH($W$17,Jazyky_ceník!$A$1:$Q$1,0),FALSE)),VLOOKUP('General price list'!$C233,Popisy!A:M,MATCH($W$17,Popisy!$A$7:$M$7,0),FALSE)),"---------------")),IFERROR(VLOOKUP('General price list'!$C233,Popisy!A:M,MATCH($W$17,Popisy!$A$7:$M$7,0),FALSE),"---------------"))</f>
        <v>síla výbuchu 120dB z 8m</v>
      </c>
      <c r="X233" s="569" t="str">
        <f t="shared" si="585"/>
        <v/>
      </c>
      <c r="Y233" s="569" t="str">
        <f t="shared" si="586"/>
        <v/>
      </c>
      <c r="Z233" s="569" t="str">
        <f>HYPERLINK("https://www.klasekpyrotechnics.cz/psf2d")</f>
        <v>https://www.klasekpyrotechnics.cz/psf2d</v>
      </c>
      <c r="AA233" s="569">
        <f>IFERROR(IF(VLOOKUP(C233,[4]List1!$A:$D,4,FALSE)=0,"",VLOOKUP(C233,[4]List1!$A:$D,4,FALSE)),"")</f>
        <v>49</v>
      </c>
      <c r="AB233" s="565"/>
      <c r="AC233" s="570" t="str">
        <f>IFERROR(IF(VLOOKUP(C233,[1]List1!$A:$D,2,FALSE)="VYPRODÁNO",$V$9,IF(VLOOKUP(C233,[1]List1!$A:$D,2,FALSE)="DOCHÁZÍ",$V$3,VLOOKUP(C233,[1]List1!$A:$D,2,FALSE))),"OFFLINE!")</f>
        <v>DOCHÁZÍ</v>
      </c>
      <c r="AD233" s="570" t="str">
        <f ca="1">IF(AP233="NE",$V$10,IF(AC233=$V$3,IF(AQ233&lt;1,$V$8,$V$2&amp;" "&amp;AQ233&amp;" "&amp;$V$1),IF(AC233="SKLADEM",$V$6,IFERROR(IF(OR(AC233-TODAY()&gt;45,VLOOKUP(C233,[1]List1!$A:$E,4,FALSE)=0),AC233,DAY(AC233)&amp;"."&amp;MONTH(AC233)&amp;"."&amp;YEAR(AC233)&amp;" "&amp;$V$4&amp;VLOOKUP(C233,[1]List1!$A:$E,4,FALSE)&amp;" "&amp;$V$1),AC233))))</f>
        <v>POSLEDNÍCH 39 VK</v>
      </c>
      <c r="AE233" s="581" t="str">
        <f t="shared" ca="1" si="587"/>
        <v>POSLEDNÍCH 39 VK</v>
      </c>
      <c r="AF233" s="584">
        <f t="shared" si="588"/>
        <v>0</v>
      </c>
      <c r="AG233" s="585">
        <f t="shared" si="589"/>
        <v>0</v>
      </c>
      <c r="AH233" s="583">
        <f t="shared" si="590"/>
        <v>0</v>
      </c>
      <c r="AI233" s="582">
        <f t="shared" si="591"/>
        <v>0</v>
      </c>
      <c r="AJ233" s="569">
        <f t="shared" si="592"/>
        <v>0</v>
      </c>
      <c r="AK233" s="569" t="str">
        <f t="shared" si="593"/>
        <v/>
      </c>
      <c r="AL233" s="569" t="str">
        <f t="shared" si="594"/>
        <v/>
      </c>
      <c r="AM233" s="569">
        <f t="shared" si="595"/>
        <v>0</v>
      </c>
      <c r="AN233" s="581">
        <f t="shared" si="596"/>
        <v>0</v>
      </c>
      <c r="AO233" s="623"/>
      <c r="AP233" s="625" t="str">
        <f t="shared" si="519"/>
        <v/>
      </c>
      <c r="AQ233" s="625">
        <f>IF(AC233=$V$3,IF(VLOOKUP(C233,[1]List1!$A:$E,5,FALSE)=0,1,VLOOKUP(C233,[1]List1!$A:$E,5,FALSE)),"")</f>
        <v>39</v>
      </c>
      <c r="AR233" s="629" t="str">
        <f t="shared" si="520"/>
        <v/>
      </c>
      <c r="AS233" s="630" t="str">
        <f t="shared" si="521"/>
        <v/>
      </c>
      <c r="AT233" s="625" t="str">
        <f t="shared" si="522"/>
        <v/>
      </c>
      <c r="AU233" s="625" t="e">
        <f t="shared" si="523"/>
        <v>#N/A</v>
      </c>
      <c r="AV233" s="625" t="e">
        <f t="shared" si="524"/>
        <v>#N/A</v>
      </c>
      <c r="AW233" s="631"/>
      <c r="AX233" s="631">
        <f>IF(AND('General price list'!$J233="F4",'General price list'!$AB233+0&gt;0),1,0)</f>
        <v>0</v>
      </c>
      <c r="AY233" s="631">
        <f t="shared" si="525"/>
        <v>1</v>
      </c>
      <c r="AZ233" s="631">
        <f t="shared" si="526"/>
        <v>0</v>
      </c>
    </row>
    <row r="234" spans="1:52" ht="15" customHeight="1">
      <c r="A234" s="751" t="str">
        <f>Kat.!C234</f>
        <v xml:space="preserve">           Petardy se zápalnou šňůrou F2 (černoprachová)</v>
      </c>
      <c r="B234" s="751"/>
      <c r="C234" s="751"/>
      <c r="D234" s="751"/>
      <c r="E234" s="751"/>
      <c r="F234" s="751"/>
      <c r="G234" s="751"/>
      <c r="H234" s="751"/>
      <c r="I234" s="752"/>
      <c r="J234" s="752"/>
      <c r="K234" s="752" t="s">
        <v>20</v>
      </c>
      <c r="L234" s="753" t="s">
        <v>2818</v>
      </c>
      <c r="M234" s="752"/>
      <c r="N234" s="752"/>
      <c r="O234" s="752"/>
      <c r="P234" s="752"/>
      <c r="Q234" s="752"/>
      <c r="R234" s="752"/>
      <c r="S234" s="752"/>
      <c r="T234" s="752"/>
      <c r="U234" s="752"/>
      <c r="V234" s="752"/>
      <c r="W234" s="752"/>
      <c r="X234" s="752"/>
      <c r="Y234" s="752"/>
      <c r="Z234" s="752" t="s">
        <v>20</v>
      </c>
      <c r="AA234" s="752"/>
      <c r="AB234" s="752"/>
      <c r="AC234" s="754"/>
      <c r="AD234" s="752"/>
      <c r="AE234" s="752"/>
      <c r="AF234" s="752"/>
      <c r="AG234" s="752"/>
      <c r="AH234" s="752"/>
      <c r="AI234" s="752"/>
      <c r="AJ234" s="752"/>
      <c r="AK234" s="752"/>
      <c r="AL234" s="752"/>
      <c r="AM234" s="752"/>
      <c r="AN234" s="752"/>
      <c r="AO234" s="623"/>
      <c r="AP234" s="632" t="str">
        <f t="shared" si="519"/>
        <v/>
      </c>
      <c r="AQ234" s="633" t="str">
        <f>IF(AC234=$V$3,IF(VLOOKUP(C234,[1]List1!$A:$E,5,FALSE)=0,1,VLOOKUP(C234,[1]List1!$A:$E,5,FALSE)),"")</f>
        <v/>
      </c>
      <c r="AR234" s="625" t="str">
        <f t="shared" si="520"/>
        <v/>
      </c>
      <c r="AS234" s="634" t="str">
        <f t="shared" si="521"/>
        <v/>
      </c>
      <c r="AT234" s="625" t="str">
        <f t="shared" si="522"/>
        <v/>
      </c>
      <c r="AU234" s="638" t="e">
        <f t="shared" si="523"/>
        <v>#N/A</v>
      </c>
      <c r="AV234" s="625" t="e">
        <f t="shared" si="524"/>
        <v>#N/A</v>
      </c>
      <c r="AX234" s="625">
        <f>IF(AND('General price list'!$J234="F4",'General price list'!$AB234+0&gt;0),1,0)</f>
        <v>0</v>
      </c>
      <c r="AY234" s="625">
        <f t="shared" si="525"/>
        <v>0</v>
      </c>
      <c r="AZ234" s="625">
        <f t="shared" si="526"/>
        <v>0</v>
      </c>
    </row>
    <row r="235" spans="1:52" ht="15" customHeight="1">
      <c r="A235" s="639" t="str">
        <f>Kat.!C235</f>
        <v/>
      </c>
      <c r="B235" s="640">
        <f>IF(AND('General price list'!$J235="F4",$AI$1=FALSE),0,IF(AC235="SKLADEM",1,IF(AC235=$V$3,1,0)))</f>
        <v>1</v>
      </c>
      <c r="C235" s="641" t="s">
        <v>11631</v>
      </c>
      <c r="D235" s="642" t="s">
        <v>11665</v>
      </c>
      <c r="E235" s="643" t="s">
        <v>12710</v>
      </c>
      <c r="F235" s="771">
        <f>IFERROR(VLOOKUP(C235,[2]List1!$A:$D,3,FALSE),"NEUVEDENO!")</f>
        <v>125</v>
      </c>
      <c r="G235" s="768">
        <f t="shared" ref="G235:G237" si="597">IF($W$17=$AF$8,ROUND((F235)/$F$17,2),(F235)*$B$19)</f>
        <v>125</v>
      </c>
      <c r="H235" s="765">
        <f t="shared" ref="H235:H237" si="598">IF($W$17=$AF$8,G235*$B$19,G235/$F$17)</f>
        <v>5.3098172148521963</v>
      </c>
      <c r="I235" s="644">
        <f>IFERROR(VLOOKUP(C235,[2]List1!$A:$D,4,FALSE),"NEUVEDENO!")</f>
        <v>24</v>
      </c>
      <c r="J235" s="733" t="s">
        <v>39</v>
      </c>
      <c r="K235" s="645" t="s">
        <v>9806</v>
      </c>
      <c r="L235" s="645" t="s">
        <v>12435</v>
      </c>
      <c r="M235" s="645" t="s">
        <v>21</v>
      </c>
      <c r="N235" s="645">
        <f>IFERROR(VLOOKUP(C235,[3]List1!$A:$D,4,FALSE),"N/A!")</f>
        <v>2.8835674999999998E-2</v>
      </c>
      <c r="O235" s="645">
        <f>IFERROR(VLOOKUP(C235,[3]List1!$A:$D,3,FALSE),"N/A!")</f>
        <v>2400</v>
      </c>
      <c r="P235" s="645">
        <f>IFERROR(VLOOKUP(C235,[3]List1!$A:$D,2,FALSE),"N/A!")</f>
        <v>16500</v>
      </c>
      <c r="Q235" s="645" t="s">
        <v>12768</v>
      </c>
      <c r="R235" s="645"/>
      <c r="S235" s="645"/>
      <c r="T235" s="645"/>
      <c r="U235" s="645"/>
      <c r="V235" s="645"/>
      <c r="W235" s="645" t="str">
        <f>IFERROR(IF(AND($AB235&gt;=0.1*$AA235,MOD($AB235,$AA235)&gt;=($AA235-(0.1*$AA235))),IF($W$17=$AF$1,"Zvažte možnost doobjednání ještě "&amp;Tabulka1[[#This Row],[VKPAL]]-MOD(AB235,AA235)&amp;" VK do plné palety.",VLOOKUP("Zvažte možnost doobjednání ještě ",Jazyky_ceník!A:Q,MATCH($W$17,Jazyky_ceník!$A$1:$Q$1,0),FALSE)&amp;Tabulka1[[#This Row],[VKPAL]]-MOD(AB235,AA235)&amp;VLOOKUP(" VK do plné palety.",Jazyky_ceník!A:Q,MATCH($W$17,Jazyky_ceník!$A$1:$Q$1,0),FALSE)),IFERROR(IF(AND(NOT(MOD($AB235,$AA235)=0),$AB235&gt;=0.9*$AA235,MOD($AB235,$AA235)&lt;=0.1*$AA235),IF($W$17=$AF$1,"Zvažte možnost optimalizace objednaného množství podle počtu VK na paletě ==&gt;",VLOOKUP("Zvažte možnost optimalizace objednaného množství podle počtu VK na paletě ==&gt;",Jazyky_ceník!A:Q,MATCH($W$17,Jazyky_ceník!$A$1:$Q$1,0),FALSE)),VLOOKUP('General price list'!$C235,Popisy!A:M,MATCH($W$17,Popisy!$A$7:$M$7,0),FALSE)),"---------------")),IFERROR(VLOOKUP('General price list'!$C235,Popisy!A:M,MATCH($W$17,Popisy!$A$7:$M$7,0),FALSE),"---------------"))</f>
        <v xml:space="preserve">síla výbuchu 115dB z 8m(černoprachová petarda) </v>
      </c>
      <c r="X235" s="645" t="str">
        <f t="shared" ref="X235:X237" si="599">IF(AB235&lt;0.0001,"",AB235)</f>
        <v/>
      </c>
      <c r="Y235" s="645" t="str">
        <f t="shared" ref="Y235:Y237" si="600">IF($AL$3=2,IF(OR(AB235&lt;&gt;"",AB235&lt;&gt;0),AU235,""),IF(C235="","",IF(AB235&lt;0.0001,"",IF(B235=0,"",IF(AQ235&lt;AB235,"",AB235)))))</f>
        <v/>
      </c>
      <c r="Z235" s="645" t="str">
        <f>HYPERLINK("https://www.klasekpyrotechnics.cz/pbdf2")</f>
        <v>https://www.klasekpyrotechnics.cz/pbdf2</v>
      </c>
      <c r="AA235" s="645">
        <f>IFERROR(IF(VLOOKUP(C235,[4]List1!$A:$D,4,FALSE)=0,"",VLOOKUP(C235,[4]List1!$A:$D,4,FALSE)),"")</f>
        <v>42</v>
      </c>
      <c r="AB235" s="646"/>
      <c r="AC235" s="647" t="str">
        <f>IFERROR(IF(VLOOKUP(C235,[1]List1!$A:$D,2,FALSE)="VYPRODÁNO",$V$9,IF(VLOOKUP(C235,[1]List1!$A:$D,2,FALSE)="DOCHÁZÍ",$V$3,VLOOKUP(C235,[1]List1!$A:$D,2,FALSE))),"OFFLINE!")</f>
        <v>SKLADEM</v>
      </c>
      <c r="AD235" s="647" t="str">
        <f ca="1">IF(AP235="NE",$V$10,IF(AC235=$V$3,IF(AQ235&lt;1,$V$8,$V$2&amp;" "&amp;AQ235&amp;" "&amp;$V$1),IF(AC235="SKLADEM",$V$6,IFERROR(IF(OR(AC235-TODAY()&gt;45,VLOOKUP(C235,[1]List1!$A:$E,4,FALSE)=0),AC235,DAY(AC235)&amp;"."&amp;MONTH(AC235)&amp;"."&amp;YEAR(AC235)&amp;" "&amp;$V$4&amp;VLOOKUP(C235,[1]List1!$A:$E,4,FALSE)&amp;" "&amp;$V$1),AC235))))</f>
        <v>SKLADEM</v>
      </c>
      <c r="AE235" s="645" t="str">
        <f t="shared" ref="AE235:AE237" ca="1" si="601">IFERROR(IF(AV235&lt;&gt;"",AV235,AD235),AD235)</f>
        <v>SKLADEM</v>
      </c>
      <c r="AF235" s="648">
        <f t="shared" ref="AF235:AF237" si="602">IFERROR(IF(AB235=Y235,G235*I235*Y235,0),0)</f>
        <v>0</v>
      </c>
      <c r="AG235" s="649">
        <f t="shared" ref="AG235:AG237" si="603">IF($W$17=$AF$8,AH235*1.23,AF235*1.21)</f>
        <v>0</v>
      </c>
      <c r="AH235" s="650">
        <f t="shared" ref="AH235:AH237" si="604">IFERROR(IF(Y235=AB235,H235*I235*Y235,0),0)</f>
        <v>0</v>
      </c>
      <c r="AI235" s="645">
        <f t="shared" ref="AI235:AI237" si="605">IFERROR(IF(Y235=AB235,(P235*Y235)/1000,1),0)</f>
        <v>0</v>
      </c>
      <c r="AJ235" s="645">
        <f t="shared" ref="AJ235:AJ237" si="606">IFERROR(IF(Y235=AB235,N235*Y235,0.1),0)</f>
        <v>0</v>
      </c>
      <c r="AK235" s="645" t="str">
        <f t="shared" ref="AK235:AK237" si="607">IFERROR(IF(Y235=AB235,IF(M235="1.1G",(O235/1000)*Y235,""),""),0)</f>
        <v/>
      </c>
      <c r="AL235" s="645" t="str">
        <f t="shared" ref="AL235:AL237" si="608">IFERROR(IF(Y235=AB235,IF(M235="1.3G",(O235/1000)*AB235,""),""),0)</f>
        <v/>
      </c>
      <c r="AM235" s="645">
        <f t="shared" ref="AM235:AM237" si="609">IFERROR(IF(Y235=AB235,IF(M235="1.4G",(O235/1000)*AB235,""),""),0)</f>
        <v>0</v>
      </c>
      <c r="AN235" s="651">
        <f t="shared" ref="AN235:AN237" si="610">SUM(AK235:AM235)</f>
        <v>0</v>
      </c>
      <c r="AO235" s="623"/>
      <c r="AP235" s="632" t="str">
        <f t="shared" si="519"/>
        <v/>
      </c>
      <c r="AQ235" s="633" t="str">
        <f>IF(AC235=$V$3,IF(VLOOKUP(C235,[1]List1!$A:$E,5,FALSE)=0,1,VLOOKUP(C235,[1]List1!$A:$E,5,FALSE)),"")</f>
        <v/>
      </c>
      <c r="AR235" s="625" t="str">
        <f t="shared" si="520"/>
        <v/>
      </c>
      <c r="AS235" s="634" t="str">
        <f t="shared" si="521"/>
        <v/>
      </c>
      <c r="AT235" s="625" t="str">
        <f t="shared" si="522"/>
        <v/>
      </c>
      <c r="AU235" s="638" t="e">
        <f t="shared" si="523"/>
        <v>#N/A</v>
      </c>
      <c r="AV235" s="625" t="e">
        <f t="shared" si="524"/>
        <v>#N/A</v>
      </c>
      <c r="AX235" s="625">
        <f>IF(AND('General price list'!$J235="F4",'General price list'!$AB235+0&gt;0),1,0)</f>
        <v>0</v>
      </c>
      <c r="AY235" s="625">
        <f t="shared" si="525"/>
        <v>1</v>
      </c>
      <c r="AZ235" s="625">
        <f t="shared" si="526"/>
        <v>0</v>
      </c>
    </row>
    <row r="236" spans="1:52" ht="15" customHeight="1">
      <c r="A236" s="621" t="str">
        <f>Kat.!C236</f>
        <v/>
      </c>
      <c r="B236" s="566">
        <f>IF(AND('General price list'!$J236="F4",$AI$1=FALSE),0,IF(AC236="SKLADEM",1,IF(AC236=$V$3,1,0)))</f>
        <v>1</v>
      </c>
      <c r="C236" s="567" t="s">
        <v>10742</v>
      </c>
      <c r="D236" s="568" t="s">
        <v>11576</v>
      </c>
      <c r="E236" s="763" t="s">
        <v>12709</v>
      </c>
      <c r="F236" s="772">
        <f>IFERROR(VLOOKUP(C236,[2]List1!$A:$D,3,FALSE),"NEUVEDENO!")</f>
        <v>35</v>
      </c>
      <c r="G236" s="769">
        <f t="shared" si="597"/>
        <v>35</v>
      </c>
      <c r="H236" s="766">
        <f t="shared" si="598"/>
        <v>1.486748820158615</v>
      </c>
      <c r="I236" s="764">
        <f>IFERROR(VLOOKUP(C236,[2]List1!$A:$D,4,FALSE),"NEUVEDENO!")</f>
        <v>60</v>
      </c>
      <c r="J236" s="732" t="s">
        <v>39</v>
      </c>
      <c r="K236" s="569" t="s">
        <v>20</v>
      </c>
      <c r="L236" s="569" t="s">
        <v>12435</v>
      </c>
      <c r="M236" s="569" t="s">
        <v>21</v>
      </c>
      <c r="N236" s="569">
        <f>IFERROR(VLOOKUP(C236,[3]List1!$A:$D,4,FALSE),"N/A!")</f>
        <v>2.1887999999999998E-2</v>
      </c>
      <c r="O236" s="569">
        <f>IFERROR(VLOOKUP(C236,[3]List1!$A:$D,3,FALSE),"N/A!")</f>
        <v>600</v>
      </c>
      <c r="P236" s="569">
        <f>IFERROR(VLOOKUP(C236,[3]List1!$A:$D,2,FALSE),"N/A!")</f>
        <v>10000</v>
      </c>
      <c r="Q236" s="569" t="s">
        <v>11265</v>
      </c>
      <c r="R236" s="569"/>
      <c r="S236" s="569"/>
      <c r="T236" s="569"/>
      <c r="U236" s="569"/>
      <c r="V236" s="569"/>
      <c r="W236" s="569" t="str">
        <f>IFERROR(IF(AND($AB236&gt;=0.1*$AA236,MOD($AB236,$AA236)&gt;=($AA236-(0.1*$AA236))),IF($W$17=$AF$1,"Zvažte možnost doobjednání ještě "&amp;Tabulka1[[#This Row],[VKPAL]]-MOD(AB236,AA236)&amp;" VK do plné palety.",VLOOKUP("Zvažte možnost doobjednání ještě ",Jazyky_ceník!A:Q,MATCH($W$17,Jazyky_ceník!$A$1:$Q$1,0),FALSE)&amp;Tabulka1[[#This Row],[VKPAL]]-MOD(AB236,AA236)&amp;VLOOKUP(" VK do plné palety.",Jazyky_ceník!A:Q,MATCH($W$17,Jazyky_ceník!$A$1:$Q$1,0),FALSE)),IFERROR(IF(AND(NOT(MOD($AB236,$AA236)=0),$AB236&gt;=0.9*$AA236,MOD($AB236,$AA236)&lt;=0.1*$AA236),IF($W$17=$AF$1,"Zvažte možnost optimalizace objednaného množství podle počtu VK na paletě ==&gt;",VLOOKUP("Zvažte možnost optimalizace objednaného množství podle počtu VK na paletě ==&gt;",Jazyky_ceník!A:Q,MATCH($W$17,Jazyky_ceník!$A$1:$Q$1,0),FALSE)),VLOOKUP('General price list'!$C236,Popisy!A:M,MATCH($W$17,Popisy!$A$7:$M$7,0),FALSE)),"---------------")),IFERROR(VLOOKUP('General price list'!$C236,Popisy!A:M,MATCH($W$17,Popisy!$A$7:$M$7,0),FALSE),"---------------"))</f>
        <v xml:space="preserve">síla výbuchu 118dB z 8m(černoprachová petarda) </v>
      </c>
      <c r="X236" s="569" t="str">
        <f t="shared" si="599"/>
        <v/>
      </c>
      <c r="Y236" s="569" t="str">
        <f t="shared" si="600"/>
        <v/>
      </c>
      <c r="Z236" s="569" t="str">
        <f>HYPERLINK("https://www.klasekpyrotechnics.cz/pbf2d")</f>
        <v>https://www.klasekpyrotechnics.cz/pbf2d</v>
      </c>
      <c r="AA236" s="569">
        <f>IFERROR(IF(VLOOKUP(C236,[4]List1!$A:$D,4,FALSE)=0,"",VLOOKUP(C236,[4]List1!$A:$D,4,FALSE)),"")</f>
        <v>56</v>
      </c>
      <c r="AB236" s="565"/>
      <c r="AC236" s="570" t="str">
        <f>IFERROR(IF(VLOOKUP(C236,[1]List1!$A:$D,2,FALSE)="VYPRODÁNO",$V$9,IF(VLOOKUP(C236,[1]List1!$A:$D,2,FALSE)="DOCHÁZÍ",$V$3,VLOOKUP(C236,[1]List1!$A:$D,2,FALSE))),"OFFLINE!")</f>
        <v>SKLADEM</v>
      </c>
      <c r="AD236" s="570" t="str">
        <f ca="1">IF(AP236="NE",$V$10,IF(AC236=$V$3,IF(AQ236&lt;1,$V$8,$V$2&amp;" "&amp;AQ236&amp;" "&amp;$V$1),IF(AC236="SKLADEM",$V$6,IFERROR(IF(OR(AC236-TODAY()&gt;45,VLOOKUP(C236,[1]List1!$A:$E,4,FALSE)=0),AC236,DAY(AC236)&amp;"."&amp;MONTH(AC236)&amp;"."&amp;YEAR(AC236)&amp;" "&amp;$V$4&amp;VLOOKUP(C236,[1]List1!$A:$E,4,FALSE)&amp;" "&amp;$V$1),AC236))))</f>
        <v>SKLADEM</v>
      </c>
      <c r="AE236" s="581" t="str">
        <f t="shared" ca="1" si="601"/>
        <v>SKLADEM</v>
      </c>
      <c r="AF236" s="584">
        <f t="shared" si="602"/>
        <v>0</v>
      </c>
      <c r="AG236" s="585">
        <f t="shared" si="603"/>
        <v>0</v>
      </c>
      <c r="AH236" s="583">
        <f t="shared" si="604"/>
        <v>0</v>
      </c>
      <c r="AI236" s="582">
        <f t="shared" si="605"/>
        <v>0</v>
      </c>
      <c r="AJ236" s="569">
        <f t="shared" si="606"/>
        <v>0</v>
      </c>
      <c r="AK236" s="569" t="str">
        <f t="shared" si="607"/>
        <v/>
      </c>
      <c r="AL236" s="569" t="str">
        <f t="shared" si="608"/>
        <v/>
      </c>
      <c r="AM236" s="569">
        <f t="shared" si="609"/>
        <v>0</v>
      </c>
      <c r="AN236" s="581">
        <f t="shared" si="610"/>
        <v>0</v>
      </c>
      <c r="AO236" s="623"/>
      <c r="AP236" s="632" t="str">
        <f t="shared" si="519"/>
        <v/>
      </c>
      <c r="AQ236" s="633" t="str">
        <f>IF(AC236=$V$3,IF(VLOOKUP(C236,[1]List1!$A:$E,5,FALSE)=0,1,VLOOKUP(C236,[1]List1!$A:$E,5,FALSE)),"")</f>
        <v/>
      </c>
      <c r="AR236" s="625" t="str">
        <f t="shared" si="520"/>
        <v/>
      </c>
      <c r="AS236" s="634" t="str">
        <f t="shared" si="521"/>
        <v/>
      </c>
      <c r="AT236" s="625" t="str">
        <f t="shared" si="522"/>
        <v/>
      </c>
      <c r="AU236" s="638" t="e">
        <f t="shared" si="523"/>
        <v>#N/A</v>
      </c>
      <c r="AV236" s="625" t="e">
        <f t="shared" si="524"/>
        <v>#N/A</v>
      </c>
      <c r="AX236" s="625">
        <f>IF(AND('General price list'!$J236="F4",'General price list'!$AB236+0&gt;0),1,0)</f>
        <v>0</v>
      </c>
      <c r="AY236" s="625">
        <f t="shared" si="525"/>
        <v>1</v>
      </c>
      <c r="AZ236" s="625">
        <f t="shared" si="526"/>
        <v>0</v>
      </c>
    </row>
    <row r="237" spans="1:52" ht="15.75" customHeight="1">
      <c r="A237" s="639" t="str">
        <f>Kat.!C237</f>
        <v/>
      </c>
      <c r="B237" s="640">
        <f>IF(AND('General price list'!$J237="F4",$AI$1=FALSE),0,IF(AC237="SKLADEM",1,IF(AC237=$V$3,1,0)))</f>
        <v>1</v>
      </c>
      <c r="C237" s="641" t="s">
        <v>639</v>
      </c>
      <c r="D237" s="642" t="s">
        <v>640</v>
      </c>
      <c r="E237" s="643" t="s">
        <v>12711</v>
      </c>
      <c r="F237" s="773">
        <f>IFERROR(VLOOKUP(C237,[2]List1!$A:$D,3,FALSE),"NEUVEDENO!")</f>
        <v>84</v>
      </c>
      <c r="G237" s="770">
        <f t="shared" si="597"/>
        <v>84</v>
      </c>
      <c r="H237" s="767">
        <f t="shared" si="598"/>
        <v>3.5681971683806757</v>
      </c>
      <c r="I237" s="644">
        <f>IFERROR(VLOOKUP(C237,[2]List1!$A:$D,4,FALSE),"NEUVEDENO!")</f>
        <v>40</v>
      </c>
      <c r="J237" s="733" t="s">
        <v>39</v>
      </c>
      <c r="K237" s="645" t="s">
        <v>9806</v>
      </c>
      <c r="L237" s="645" t="s">
        <v>10984</v>
      </c>
      <c r="M237" s="645" t="s">
        <v>21</v>
      </c>
      <c r="N237" s="645">
        <f>IFERROR(VLOOKUP(C237,[3]List1!$A:$D,4,FALSE),"N/A!")</f>
        <v>3.9168000000000001E-2</v>
      </c>
      <c r="O237" s="645">
        <f>IFERROR(VLOOKUP(C237,[3]List1!$A:$D,3,FALSE),"N/A!")</f>
        <v>1600</v>
      </c>
      <c r="P237" s="645">
        <f>IFERROR(VLOOKUP(C237,[3]List1!$A:$D,2,FALSE),"N/A!")</f>
        <v>25800</v>
      </c>
      <c r="Q237" s="645" t="s">
        <v>11761</v>
      </c>
      <c r="R237" s="645"/>
      <c r="S237" s="645"/>
      <c r="T237" s="645"/>
      <c r="U237" s="645"/>
      <c r="V237" s="645"/>
      <c r="W237" s="645" t="str">
        <f>IFERROR(IF(AND($AB237&gt;=0.1*$AA237,MOD($AB237,$AA237)&gt;=($AA237-(0.1*$AA237))),IF($W$17=$AF$1,"Zvažte možnost doobjednání ještě "&amp;Tabulka1[[#This Row],[VKPAL]]-MOD(AB237,AA237)&amp;" VK do plné palety.",VLOOKUP("Zvažte možnost doobjednání ještě ",Jazyky_ceník!A:Q,MATCH($W$17,Jazyky_ceník!$A$1:$Q$1,0),FALSE)&amp;Tabulka1[[#This Row],[VKPAL]]-MOD(AB237,AA237)&amp;VLOOKUP(" VK do plné palety.",Jazyky_ceník!A:Q,MATCH($W$17,Jazyky_ceník!$A$1:$Q$1,0),FALSE)),IFERROR(IF(AND(NOT(MOD($AB237,$AA237)=0),$AB237&gt;=0.9*$AA237,MOD($AB237,$AA237)&lt;=0.1*$AA237),IF($W$17=$AF$1,"Zvažte možnost optimalizace objednaného množství podle počtu VK na paletě ==&gt;",VLOOKUP("Zvažte možnost optimalizace objednaného množství podle počtu VK na paletě ==&gt;",Jazyky_ceník!A:Q,MATCH($W$17,Jazyky_ceník!$A$1:$Q$1,0),FALSE)),VLOOKUP('General price list'!$C237,Popisy!A:M,MATCH($W$17,Popisy!$A$7:$M$7,0),FALSE)),"---------------")),IFERROR(VLOOKUP('General price list'!$C237,Popisy!A:M,MATCH($W$17,Popisy!$A$7:$M$7,0),FALSE),"---------------"))</f>
        <v xml:space="preserve">síla výbuchu 120dB z 8m(černoprachová petarda) </v>
      </c>
      <c r="X237" s="645" t="str">
        <f t="shared" si="599"/>
        <v/>
      </c>
      <c r="Y237" s="645" t="str">
        <f t="shared" si="600"/>
        <v/>
      </c>
      <c r="Z237" s="645" t="str">
        <f>HYPERLINK("https://www.klasekpyrotechnics.cz/pb120d")</f>
        <v>https://www.klasekpyrotechnics.cz/pb120d</v>
      </c>
      <c r="AA237" s="645">
        <f>IFERROR(IF(VLOOKUP(C237,[4]List1!$A:$D,4,FALSE)=0,"",VLOOKUP(C237,[4]List1!$A:$D,4,FALSE)),"")</f>
        <v>25</v>
      </c>
      <c r="AB237" s="646"/>
      <c r="AC237" s="647" t="str">
        <f>IFERROR(IF(VLOOKUP(C237,[1]List1!$A:$D,2,FALSE)="VYPRODÁNO",$V$9,IF(VLOOKUP(C237,[1]List1!$A:$D,2,FALSE)="DOCHÁZÍ",$V$3,VLOOKUP(C237,[1]List1!$A:$D,2,FALSE))),"OFFLINE!")</f>
        <v>SKLADEM</v>
      </c>
      <c r="AD237" s="647" t="str">
        <f ca="1">IF(AP237="NE",$V$10,IF(AC237=$V$3,IF(AQ237&lt;1,$V$8,$V$2&amp;" "&amp;AQ237&amp;" "&amp;$V$1),IF(AC237="SKLADEM",$V$6,IFERROR(IF(OR(AC237-TODAY()&gt;45,VLOOKUP(C237,[1]List1!$A:$E,4,FALSE)=0),AC237,DAY(AC237)&amp;"."&amp;MONTH(AC237)&amp;"."&amp;YEAR(AC237)&amp;" "&amp;$V$4&amp;VLOOKUP(C237,[1]List1!$A:$E,4,FALSE)&amp;" "&amp;$V$1),AC237))))</f>
        <v>SKLADEM</v>
      </c>
      <c r="AE237" s="645" t="str">
        <f t="shared" ca="1" si="601"/>
        <v>SKLADEM</v>
      </c>
      <c r="AF237" s="648">
        <f t="shared" si="602"/>
        <v>0</v>
      </c>
      <c r="AG237" s="649">
        <f t="shared" si="603"/>
        <v>0</v>
      </c>
      <c r="AH237" s="650">
        <f t="shared" si="604"/>
        <v>0</v>
      </c>
      <c r="AI237" s="645">
        <f t="shared" si="605"/>
        <v>0</v>
      </c>
      <c r="AJ237" s="645">
        <f t="shared" si="606"/>
        <v>0</v>
      </c>
      <c r="AK237" s="645" t="str">
        <f t="shared" si="607"/>
        <v/>
      </c>
      <c r="AL237" s="645" t="str">
        <f t="shared" si="608"/>
        <v/>
      </c>
      <c r="AM237" s="645">
        <f t="shared" si="609"/>
        <v>0</v>
      </c>
      <c r="AN237" s="651">
        <f t="shared" si="610"/>
        <v>0</v>
      </c>
      <c r="AO237" s="623"/>
      <c r="AP237" s="625" t="str">
        <f t="shared" si="519"/>
        <v/>
      </c>
      <c r="AQ237" s="625" t="str">
        <f>IF(AC237=$V$3,IF(VLOOKUP(C237,[1]List1!$A:$E,5,FALSE)=0,1,VLOOKUP(C237,[1]List1!$A:$E,5,FALSE)),"")</f>
        <v/>
      </c>
      <c r="AR237" s="629" t="str">
        <f t="shared" si="520"/>
        <v/>
      </c>
      <c r="AS237" s="630" t="str">
        <f t="shared" si="521"/>
        <v/>
      </c>
      <c r="AT237" s="625" t="str">
        <f t="shared" si="522"/>
        <v/>
      </c>
      <c r="AU237" s="625" t="e">
        <f t="shared" si="523"/>
        <v>#N/A</v>
      </c>
      <c r="AV237" s="625" t="e">
        <f t="shared" si="524"/>
        <v>#N/A</v>
      </c>
      <c r="AW237" s="631"/>
      <c r="AX237" s="631">
        <f>IF(AND('General price list'!$J237="F4",'General price list'!$AB237+0&gt;0),1,0)</f>
        <v>0</v>
      </c>
      <c r="AY237" s="631">
        <f t="shared" si="525"/>
        <v>1</v>
      </c>
      <c r="AZ237" s="631">
        <f t="shared" si="526"/>
        <v>0</v>
      </c>
    </row>
    <row r="238" spans="1:52" ht="15" customHeight="1">
      <c r="A238" s="751" t="str">
        <f>Kat.!C238</f>
        <v xml:space="preserve">           Petardy se zápalnou šňůrou F3</v>
      </c>
      <c r="B238" s="751"/>
      <c r="C238" s="751"/>
      <c r="D238" s="751"/>
      <c r="E238" s="751"/>
      <c r="F238" s="751"/>
      <c r="G238" s="751"/>
      <c r="H238" s="751"/>
      <c r="I238" s="752"/>
      <c r="J238" s="752"/>
      <c r="K238" s="752" t="s">
        <v>20</v>
      </c>
      <c r="L238" s="753" t="s">
        <v>2818</v>
      </c>
      <c r="M238" s="752"/>
      <c r="N238" s="752"/>
      <c r="O238" s="752"/>
      <c r="P238" s="752"/>
      <c r="Q238" s="752"/>
      <c r="R238" s="752"/>
      <c r="S238" s="752"/>
      <c r="T238" s="752"/>
      <c r="U238" s="752"/>
      <c r="V238" s="752"/>
      <c r="W238" s="752"/>
      <c r="X238" s="752"/>
      <c r="Y238" s="752"/>
      <c r="Z238" s="752" t="s">
        <v>20</v>
      </c>
      <c r="AA238" s="752"/>
      <c r="AB238" s="752"/>
      <c r="AC238" s="754"/>
      <c r="AD238" s="752"/>
      <c r="AE238" s="752"/>
      <c r="AF238" s="752"/>
      <c r="AG238" s="752"/>
      <c r="AH238" s="752"/>
      <c r="AI238" s="752"/>
      <c r="AJ238" s="752"/>
      <c r="AK238" s="752"/>
      <c r="AL238" s="752"/>
      <c r="AM238" s="752"/>
      <c r="AN238" s="752"/>
      <c r="AO238" s="623"/>
      <c r="AP238" s="632" t="str">
        <f t="shared" si="519"/>
        <v/>
      </c>
      <c r="AQ238" s="633" t="str">
        <f>IF(AC238=$V$3,IF(VLOOKUP(C238,[1]List1!$A:$E,5,FALSE)=0,1,VLOOKUP(C238,[1]List1!$A:$E,5,FALSE)),"")</f>
        <v/>
      </c>
      <c r="AR238" s="625" t="str">
        <f t="shared" si="520"/>
        <v/>
      </c>
      <c r="AS238" s="634" t="str">
        <f t="shared" si="521"/>
        <v/>
      </c>
      <c r="AT238" s="625" t="str">
        <f t="shared" si="522"/>
        <v/>
      </c>
      <c r="AU238" s="638" t="e">
        <f t="shared" si="523"/>
        <v>#N/A</v>
      </c>
      <c r="AV238" s="625" t="e">
        <f t="shared" si="524"/>
        <v>#N/A</v>
      </c>
      <c r="AX238" s="625">
        <f>IF(AND('General price list'!$J238="F4",'General price list'!$AB238+0&gt;0),1,0)</f>
        <v>0</v>
      </c>
      <c r="AY238" s="625">
        <f t="shared" si="525"/>
        <v>0</v>
      </c>
      <c r="AZ238" s="625">
        <f t="shared" si="526"/>
        <v>0</v>
      </c>
    </row>
    <row r="239" spans="1:52" ht="15" customHeight="1">
      <c r="A239" s="639" t="str">
        <f>Kat.!C239</f>
        <v/>
      </c>
      <c r="B239" s="640">
        <f>IF(AND('General price list'!$J239="F4",$AI$1=FALSE),0,IF(AC239="SKLADEM",1,IF(AC239=$V$3,1,0)))</f>
        <v>1</v>
      </c>
      <c r="C239" s="641" t="s">
        <v>4149</v>
      </c>
      <c r="D239" s="642" t="s">
        <v>663</v>
      </c>
      <c r="E239" s="643" t="s">
        <v>12712</v>
      </c>
      <c r="F239" s="771">
        <f>IFERROR(VLOOKUP(C239,[2]List1!$A:$D,3,FALSE),"NEUVEDENO!")</f>
        <v>59</v>
      </c>
      <c r="G239" s="768">
        <f t="shared" ref="G239:G249" si="611">IF($W$17=$AF$8,ROUND((F239)/$F$17,2),(F239)*$B$19)</f>
        <v>59</v>
      </c>
      <c r="H239" s="765">
        <f t="shared" ref="H239:H249" si="612">IF($W$17=$AF$8,G239*$B$19,G239/$F$17)</f>
        <v>2.5062337254102367</v>
      </c>
      <c r="I239" s="644">
        <f>IFERROR(VLOOKUP(C239,[2]List1!$A:$D,4,FALSE),"NEUVEDENO!")</f>
        <v>50</v>
      </c>
      <c r="J239" s="733" t="s">
        <v>113</v>
      </c>
      <c r="K239" s="645" t="s">
        <v>20</v>
      </c>
      <c r="L239" s="645" t="s">
        <v>20</v>
      </c>
      <c r="M239" s="645" t="s">
        <v>21</v>
      </c>
      <c r="N239" s="645">
        <f>IFERROR(VLOOKUP(C239,[3]List1!$A:$D,4,FALSE),"N/A!")</f>
        <v>2.4947999999999998E-2</v>
      </c>
      <c r="O239" s="645">
        <f>IFERROR(VLOOKUP(C239,[3]List1!$A:$D,3,FALSE),"N/A!")</f>
        <v>300</v>
      </c>
      <c r="P239" s="645">
        <f>IFERROR(VLOOKUP(C239,[3]List1!$A:$D,2,FALSE),"N/A!")</f>
        <v>16500</v>
      </c>
      <c r="Q239" s="645" t="s">
        <v>11267</v>
      </c>
      <c r="R239" s="645"/>
      <c r="S239" s="645"/>
      <c r="T239" s="645"/>
      <c r="U239" s="645"/>
      <c r="V239" s="645"/>
      <c r="W239" s="645" t="str">
        <f>IFERROR(IF(AND($AB239&gt;=0.1*$AA239,MOD($AB239,$AA239)&gt;=($AA239-(0.1*$AA239))),IF($W$17=$AF$1,"Zvažte možnost doobjednání ještě "&amp;Tabulka1[[#This Row],[VKPAL]]-MOD(AB239,AA239)&amp;" VK do plné palety.",VLOOKUP("Zvažte možnost doobjednání ještě ",Jazyky_ceník!A:Q,MATCH($W$17,Jazyky_ceník!$A$1:$Q$1,0),FALSE)&amp;Tabulka1[[#This Row],[VKPAL]]-MOD(AB239,AA239)&amp;VLOOKUP(" VK do plné palety.",Jazyky_ceník!A:Q,MATCH($W$17,Jazyky_ceník!$A$1:$Q$1,0),FALSE)),IFERROR(IF(AND(NOT(MOD($AB239,$AA239)=0),$AB239&gt;=0.9*$AA239,MOD($AB239,$AA239)&lt;=0.1*$AA239),IF($W$17=$AF$1,"Zvažte možnost optimalizace objednaného množství podle počtu VK na paletě ==&gt;",VLOOKUP("Zvažte možnost optimalizace objednaného množství podle počtu VK na paletě ==&gt;",Jazyky_ceník!A:Q,MATCH($W$17,Jazyky_ceník!$A$1:$Q$1,0),FALSE)),VLOOKUP('General price list'!$C239,Popisy!A:M,MATCH($W$17,Popisy!$A$7:$M$7,0),FALSE)),"---------------")),IFERROR(VLOOKUP('General price list'!$C239,Popisy!A:M,MATCH($W$17,Popisy!$A$7:$M$7,0),FALSE),"---------------"))</f>
        <v>síla výbuchu 117dB z 15m se zeleným světlem na začátku</v>
      </c>
      <c r="X239" s="645" t="str">
        <f t="shared" ref="X239:X249" si="613">IF(AB239&lt;0.0001,"",AB239)</f>
        <v/>
      </c>
      <c r="Y239" s="645" t="str">
        <f t="shared" ref="Y239:Y249" si="614">IF($AL$3=2,IF(OR(AB239&lt;&gt;"",AB239&lt;&gt;0),AU239,""),IF(C239="","",IF(AB239&lt;0.0001,"",IF(B239=0,"",IF(AQ239&lt;AB239,"",AB239)))))</f>
        <v/>
      </c>
      <c r="Z239" s="645" t="str">
        <f>HYPERLINK("https://www.klasekpyrotechnics.cz/p6a14f3")</f>
        <v>https://www.klasekpyrotechnics.cz/p6a14f3</v>
      </c>
      <c r="AA239" s="645">
        <f>IFERROR(IF(VLOOKUP(C239,[4]List1!$A:$D,4,FALSE)=0,"",VLOOKUP(C239,[4]List1!$A:$D,4,FALSE)),"")</f>
        <v>42</v>
      </c>
      <c r="AB239" s="646"/>
      <c r="AC239" s="647" t="str">
        <f>IFERROR(IF(VLOOKUP(C239,[1]List1!$A:$D,2,FALSE)="VYPRODÁNO",$V$9,IF(VLOOKUP(C239,[1]List1!$A:$D,2,FALSE)="DOCHÁZÍ",$V$3,VLOOKUP(C239,[1]List1!$A:$D,2,FALSE))),"OFFLINE!")</f>
        <v>DOCHÁZÍ</v>
      </c>
      <c r="AD239" s="647" t="str">
        <f ca="1">IF(AP239="NE",$V$10,IF(AC239=$V$3,IF(AQ239&lt;1,$V$8,$V$2&amp;" "&amp;AQ239&amp;" "&amp;$V$1),IF(AC239="SKLADEM",$V$6,IFERROR(IF(OR(AC239-TODAY()&gt;45,VLOOKUP(C239,[1]List1!$A:$E,4,FALSE)=0),AC239,DAY(AC239)&amp;"."&amp;MONTH(AC239)&amp;"."&amp;YEAR(AC239)&amp;" "&amp;$V$4&amp;VLOOKUP(C239,[1]List1!$A:$E,4,FALSE)&amp;" "&amp;$V$1),AC239))))</f>
        <v>POSLEDNÍCH 70 VK</v>
      </c>
      <c r="AE239" s="645" t="str">
        <f t="shared" ref="AE239:AE249" ca="1" si="615">IFERROR(IF(AV239&lt;&gt;"",AV239,AD239),AD239)</f>
        <v>POSLEDNÍCH 70 VK</v>
      </c>
      <c r="AF239" s="648">
        <f t="shared" ref="AF239:AF249" si="616">IFERROR(IF(AB239=Y239,G239*I239*Y239,0),0)</f>
        <v>0</v>
      </c>
      <c r="AG239" s="649">
        <f t="shared" ref="AG239:AG249" si="617">IF($W$17=$AF$8,AH239*1.23,AF239*1.21)</f>
        <v>0</v>
      </c>
      <c r="AH239" s="650">
        <f t="shared" ref="AH239:AH249" si="618">IFERROR(IF(Y239=AB239,H239*I239*Y239,0),0)</f>
        <v>0</v>
      </c>
      <c r="AI239" s="645">
        <f t="shared" ref="AI239:AI249" si="619">IFERROR(IF(Y239=AB239,(P239*Y239)/1000,1),0)</f>
        <v>0</v>
      </c>
      <c r="AJ239" s="645">
        <f t="shared" ref="AJ239:AJ249" si="620">IFERROR(IF(Y239=AB239,N239*Y239,0.1),0)</f>
        <v>0</v>
      </c>
      <c r="AK239" s="645" t="str">
        <f t="shared" ref="AK239:AK249" si="621">IFERROR(IF(Y239=AB239,IF(M239="1.1G",(O239/1000)*Y239,""),""),0)</f>
        <v/>
      </c>
      <c r="AL239" s="645" t="str">
        <f t="shared" ref="AL239:AL249" si="622">IFERROR(IF(Y239=AB239,IF(M239="1.3G",(O239/1000)*AB239,""),""),0)</f>
        <v/>
      </c>
      <c r="AM239" s="645">
        <f t="shared" ref="AM239:AM249" si="623">IFERROR(IF(Y239=AB239,IF(M239="1.4G",(O239/1000)*AB239,""),""),0)</f>
        <v>0</v>
      </c>
      <c r="AN239" s="651">
        <f t="shared" ref="AN239:AN249" si="624">SUM(AK239:AM239)</f>
        <v>0</v>
      </c>
      <c r="AO239" s="623"/>
      <c r="AP239" s="632" t="str">
        <f t="shared" si="519"/>
        <v/>
      </c>
      <c r="AQ239" s="633">
        <f>IF(AC239=$V$3,IF(VLOOKUP(C239,[1]List1!$A:$E,5,FALSE)=0,1,VLOOKUP(C239,[1]List1!$A:$E,5,FALSE)),"")</f>
        <v>70</v>
      </c>
      <c r="AR239" s="625" t="str">
        <f t="shared" si="520"/>
        <v/>
      </c>
      <c r="AS239" s="634" t="str">
        <f t="shared" si="521"/>
        <v/>
      </c>
      <c r="AT239" s="625" t="str">
        <f t="shared" si="522"/>
        <v/>
      </c>
      <c r="AU239" s="638" t="e">
        <f t="shared" si="523"/>
        <v>#N/A</v>
      </c>
      <c r="AV239" s="625" t="e">
        <f t="shared" si="524"/>
        <v>#N/A</v>
      </c>
      <c r="AX239" s="625">
        <f>IF(AND('General price list'!$J239="F4",'General price list'!$AB239+0&gt;0),1,0)</f>
        <v>0</v>
      </c>
      <c r="AY239" s="625">
        <f t="shared" si="525"/>
        <v>1</v>
      </c>
      <c r="AZ239" s="625">
        <f t="shared" si="526"/>
        <v>0</v>
      </c>
    </row>
    <row r="240" spans="1:52" ht="15" customHeight="1">
      <c r="A240" s="621" t="str">
        <f>Kat.!C240</f>
        <v/>
      </c>
      <c r="B240" s="566">
        <f>IF(AND('General price list'!$J240="F4",$AI$1=FALSE),0,IF(AC240="SKLADEM",1,IF(AC240=$V$3,1,0)))</f>
        <v>1</v>
      </c>
      <c r="C240" s="567" t="s">
        <v>4158</v>
      </c>
      <c r="D240" s="568" t="s">
        <v>4159</v>
      </c>
      <c r="E240" s="763" t="s">
        <v>12713</v>
      </c>
      <c r="F240" s="772">
        <f>IFERROR(VLOOKUP(C240,[2]List1!$A:$D,3,FALSE),"NEUVEDENO!")</f>
        <v>69</v>
      </c>
      <c r="G240" s="769">
        <f t="shared" si="611"/>
        <v>69</v>
      </c>
      <c r="H240" s="766">
        <f t="shared" si="612"/>
        <v>2.931019102598412</v>
      </c>
      <c r="I240" s="764">
        <f>IFERROR(VLOOKUP(C240,[2]List1!$A:$D,4,FALSE),"NEUVEDENO!")</f>
        <v>40</v>
      </c>
      <c r="J240" s="732" t="s">
        <v>113</v>
      </c>
      <c r="K240" s="569" t="s">
        <v>20</v>
      </c>
      <c r="L240" s="569" t="s">
        <v>20</v>
      </c>
      <c r="M240" s="569" t="s">
        <v>21</v>
      </c>
      <c r="N240" s="569">
        <f>IFERROR(VLOOKUP(C240,[3]List1!$A:$D,4,FALSE),"N/A!")</f>
        <v>3.47347E-2</v>
      </c>
      <c r="O240" s="569">
        <f>IFERROR(VLOOKUP(C240,[3]List1!$A:$D,3,FALSE),"N/A!")</f>
        <v>388.8</v>
      </c>
      <c r="P240" s="569">
        <f>IFERROR(VLOOKUP(C240,[3]List1!$A:$D,2,FALSE),"N/A!")</f>
        <v>12000</v>
      </c>
      <c r="Q240" s="569" t="s">
        <v>11266</v>
      </c>
      <c r="R240" s="569"/>
      <c r="S240" s="569"/>
      <c r="T240" s="569"/>
      <c r="U240" s="569"/>
      <c r="V240" s="569"/>
      <c r="W240" s="569" t="str">
        <f>IFERROR(IF(AND($AB240&gt;=0.1*$AA240,MOD($AB240,$AA240)&gt;=($AA240-(0.1*$AA240))),IF($W$17=$AF$1,"Zvažte možnost doobjednání ještě "&amp;Tabulka1[[#This Row],[VKPAL]]-MOD(AB240,AA240)&amp;" VK do plné palety.",VLOOKUP("Zvažte možnost doobjednání ještě ",Jazyky_ceník!A:Q,MATCH($W$17,Jazyky_ceník!$A$1:$Q$1,0),FALSE)&amp;Tabulka1[[#This Row],[VKPAL]]-MOD(AB240,AA240)&amp;VLOOKUP(" VK do plné palety.",Jazyky_ceník!A:Q,MATCH($W$17,Jazyky_ceník!$A$1:$Q$1,0),FALSE)),IFERROR(IF(AND(NOT(MOD($AB240,$AA240)=0),$AB240&gt;=0.9*$AA240,MOD($AB240,$AA240)&lt;=0.1*$AA240),IF($W$17=$AF$1,"Zvažte možnost optimalizace objednaného množství podle počtu VK na paletě ==&gt;",VLOOKUP("Zvažte možnost optimalizace objednaného množství podle počtu VK na paletě ==&gt;",Jazyky_ceník!A:Q,MATCH($W$17,Jazyky_ceník!$A$1:$Q$1,0),FALSE)),VLOOKUP('General price list'!$C240,Popisy!A:M,MATCH($W$17,Popisy!$A$7:$M$7,0),FALSE)),"---------------")),IFERROR(VLOOKUP('General price list'!$C240,Popisy!A:M,MATCH($W$17,Popisy!$A$7:$M$7,0),FALSE),"---------------"))</f>
        <v>síla výbuchu 118dB z 15m, plastové ucpávky</v>
      </c>
      <c r="X240" s="569" t="str">
        <f t="shared" si="613"/>
        <v/>
      </c>
      <c r="Y240" s="569" t="str">
        <f t="shared" si="614"/>
        <v/>
      </c>
      <c r="Z240" s="569" t="str">
        <f>HYPERLINK("https://www.klasekpyrotechnics.cz/p7a14")</f>
        <v>https://www.klasekpyrotechnics.cz/p7a14</v>
      </c>
      <c r="AA240" s="569">
        <f>IFERROR(IF(VLOOKUP(C240,[4]List1!$A:$D,4,FALSE)=0,"",VLOOKUP(C240,[4]List1!$A:$D,4,FALSE)),"")</f>
        <v>30</v>
      </c>
      <c r="AB240" s="565"/>
      <c r="AC240" s="570" t="str">
        <f>IFERROR(IF(VLOOKUP(C240,[1]List1!$A:$D,2,FALSE)="VYPRODÁNO",$V$9,IF(VLOOKUP(C240,[1]List1!$A:$D,2,FALSE)="DOCHÁZÍ",$V$3,VLOOKUP(C240,[1]List1!$A:$D,2,FALSE))),"OFFLINE!")</f>
        <v>SKLADEM</v>
      </c>
      <c r="AD240" s="570" t="str">
        <f ca="1">IF(AP240="NE",$V$10,IF(AC240=$V$3,IF(AQ240&lt;1,$V$8,$V$2&amp;" "&amp;AQ240&amp;" "&amp;$V$1),IF(AC240="SKLADEM",$V$6,IFERROR(IF(OR(AC240-TODAY()&gt;45,VLOOKUP(C240,[1]List1!$A:$E,4,FALSE)=0),AC240,DAY(AC240)&amp;"."&amp;MONTH(AC240)&amp;"."&amp;YEAR(AC240)&amp;" "&amp;$V$4&amp;VLOOKUP(C240,[1]List1!$A:$E,4,FALSE)&amp;" "&amp;$V$1),AC240))))</f>
        <v>SKLADEM</v>
      </c>
      <c r="AE240" s="581" t="str">
        <f t="shared" ca="1" si="615"/>
        <v>SKLADEM</v>
      </c>
      <c r="AF240" s="584">
        <f t="shared" si="616"/>
        <v>0</v>
      </c>
      <c r="AG240" s="585">
        <f t="shared" si="617"/>
        <v>0</v>
      </c>
      <c r="AH240" s="583">
        <f t="shared" si="618"/>
        <v>0</v>
      </c>
      <c r="AI240" s="582">
        <f t="shared" si="619"/>
        <v>0</v>
      </c>
      <c r="AJ240" s="569">
        <f t="shared" si="620"/>
        <v>0</v>
      </c>
      <c r="AK240" s="569" t="str">
        <f t="shared" si="621"/>
        <v/>
      </c>
      <c r="AL240" s="569" t="str">
        <f t="shared" si="622"/>
        <v/>
      </c>
      <c r="AM240" s="569">
        <f t="shared" si="623"/>
        <v>0</v>
      </c>
      <c r="AN240" s="581">
        <f t="shared" si="624"/>
        <v>0</v>
      </c>
      <c r="AO240" s="623"/>
      <c r="AP240" s="632" t="str">
        <f t="shared" si="519"/>
        <v/>
      </c>
      <c r="AQ240" s="633" t="str">
        <f>IF(AC240=$V$3,IF(VLOOKUP(C240,[1]List1!$A:$E,5,FALSE)=0,1,VLOOKUP(C240,[1]List1!$A:$E,5,FALSE)),"")</f>
        <v/>
      </c>
      <c r="AR240" s="625" t="str">
        <f t="shared" si="520"/>
        <v/>
      </c>
      <c r="AS240" s="634" t="str">
        <f t="shared" si="521"/>
        <v/>
      </c>
      <c r="AT240" s="625" t="str">
        <f t="shared" si="522"/>
        <v/>
      </c>
      <c r="AU240" s="638" t="e">
        <f t="shared" si="523"/>
        <v>#N/A</v>
      </c>
      <c r="AV240" s="625" t="e">
        <f t="shared" si="524"/>
        <v>#N/A</v>
      </c>
      <c r="AX240" s="625">
        <f>IF(AND('General price list'!$J240="F4",'General price list'!$AB240+0&gt;0),1,0)</f>
        <v>0</v>
      </c>
      <c r="AY240" s="625">
        <f t="shared" si="525"/>
        <v>1</v>
      </c>
      <c r="AZ240" s="625">
        <f t="shared" si="526"/>
        <v>0</v>
      </c>
    </row>
    <row r="241" spans="1:52" ht="15.75" customHeight="1">
      <c r="A241" s="639" t="str">
        <f>Kat.!C241</f>
        <v/>
      </c>
      <c r="B241" s="640">
        <f>IF(AND('General price list'!$J241="F4",$AI$1=FALSE),0,IF(AC241="SKLADEM",1,IF(AC241=$V$3,1,0)))</f>
        <v>1</v>
      </c>
      <c r="C241" s="641" t="s">
        <v>652</v>
      </c>
      <c r="D241" s="642" t="s">
        <v>12526</v>
      </c>
      <c r="E241" s="643" t="s">
        <v>12714</v>
      </c>
      <c r="F241" s="771">
        <f>IFERROR(VLOOKUP(C241,[2]List1!$A:$D,3,FALSE),"NEUVEDENO!")</f>
        <v>49</v>
      </c>
      <c r="G241" s="768">
        <f t="shared" si="611"/>
        <v>49</v>
      </c>
      <c r="H241" s="765">
        <f t="shared" si="612"/>
        <v>2.0814483482220609</v>
      </c>
      <c r="I241" s="644">
        <f>IFERROR(VLOOKUP(C241,[2]List1!$A:$D,4,FALSE),"NEUVEDENO!")</f>
        <v>70</v>
      </c>
      <c r="J241" s="733" t="s">
        <v>113</v>
      </c>
      <c r="K241" s="645" t="s">
        <v>20</v>
      </c>
      <c r="L241" s="645" t="s">
        <v>20</v>
      </c>
      <c r="M241" s="645" t="s">
        <v>21</v>
      </c>
      <c r="N241" s="645">
        <f>IFERROR(VLOOKUP(C241,[3]List1!$A:$D,4,FALSE),"N/A!")</f>
        <v>2.9791299999999996E-2</v>
      </c>
      <c r="O241" s="645">
        <f>IFERROR(VLOOKUP(C241,[3]List1!$A:$D,3,FALSE),"N/A!")</f>
        <v>688.8</v>
      </c>
      <c r="P241" s="645">
        <f>IFERROR(VLOOKUP(C241,[3]List1!$A:$D,2,FALSE),"N/A!")</f>
        <v>19000</v>
      </c>
      <c r="Q241" s="645" t="s">
        <v>11266</v>
      </c>
      <c r="R241" s="645"/>
      <c r="S241" s="645"/>
      <c r="T241" s="645"/>
      <c r="U241" s="645"/>
      <c r="V241" s="645"/>
      <c r="W241" s="645" t="str">
        <f>IFERROR(IF(AND($AB241&gt;=0.1*$AA241,MOD($AB241,$AA241)&gt;=($AA241-(0.1*$AA241))),IF($W$17=$AF$1,"Zvažte možnost doobjednání ještě "&amp;Tabulka1[[#This Row],[VKPAL]]-MOD(AB241,AA241)&amp;" VK do plné palety.",VLOOKUP("Zvažte možnost doobjednání ještě ",Jazyky_ceník!A:Q,MATCH($W$17,Jazyky_ceník!$A$1:$Q$1,0),FALSE)&amp;Tabulka1[[#This Row],[VKPAL]]-MOD(AB241,AA241)&amp;VLOOKUP(" VK do plné palety.",Jazyky_ceník!A:Q,MATCH($W$17,Jazyky_ceník!$A$1:$Q$1,0),FALSE)),IFERROR(IF(AND(NOT(MOD($AB241,$AA241)=0),$AB241&gt;=0.9*$AA241,MOD($AB241,$AA241)&lt;=0.1*$AA241),IF($W$17=$AF$1,"Zvažte možnost optimalizace objednaného množství podle počtu VK na paletě ==&gt;",VLOOKUP("Zvažte možnost optimalizace objednaného množství podle počtu VK na paletě ==&gt;",Jazyky_ceník!A:Q,MATCH($W$17,Jazyky_ceník!$A$1:$Q$1,0),FALSE)),VLOOKUP('General price list'!$C241,Popisy!A:M,MATCH($W$17,Popisy!$A$7:$M$7,0),FALSE)),"---------------")),IFERROR(VLOOKUP('General price list'!$C241,Popisy!A:M,MATCH($W$17,Popisy!$A$7:$M$7,0),FALSE),"---------------"))</f>
        <v>síla výbuchu 120dB z 15m</v>
      </c>
      <c r="X241" s="645" t="str">
        <f t="shared" si="613"/>
        <v/>
      </c>
      <c r="Y241" s="645" t="str">
        <f t="shared" si="614"/>
        <v/>
      </c>
      <c r="Z241" s="645" t="str">
        <f>HYPERLINK("https://www.klasekpyrotechnics.cz/p4b")</f>
        <v>https://www.klasekpyrotechnics.cz/p4b</v>
      </c>
      <c r="AA241" s="645">
        <f>IFERROR(IF(VLOOKUP(C241,[4]List1!$A:$D,4,FALSE)=0,"",VLOOKUP(C241,[4]List1!$A:$D,4,FALSE)),"")</f>
        <v>36</v>
      </c>
      <c r="AB241" s="646"/>
      <c r="AC241" s="647" t="str">
        <f>IFERROR(IF(VLOOKUP(C241,[1]List1!$A:$D,2,FALSE)="VYPRODÁNO",$V$9,IF(VLOOKUP(C241,[1]List1!$A:$D,2,FALSE)="DOCHÁZÍ",$V$3,VLOOKUP(C241,[1]List1!$A:$D,2,FALSE))),"OFFLINE!")</f>
        <v>SKLADEM</v>
      </c>
      <c r="AD241" s="647" t="str">
        <f ca="1">IF(AP241="NE",$V$10,IF(AC241=$V$3,IF(AQ241&lt;1,$V$8,$V$2&amp;" "&amp;AQ241&amp;" "&amp;$V$1),IF(AC241="SKLADEM",$V$6,IFERROR(IF(OR(AC241-TODAY()&gt;45,VLOOKUP(C241,[1]List1!$A:$E,4,FALSE)=0),AC241,DAY(AC241)&amp;"."&amp;MONTH(AC241)&amp;"."&amp;YEAR(AC241)&amp;" "&amp;$V$4&amp;VLOOKUP(C241,[1]List1!$A:$E,4,FALSE)&amp;" "&amp;$V$1),AC241))))</f>
        <v>SKLADEM</v>
      </c>
      <c r="AE241" s="645" t="str">
        <f t="shared" ca="1" si="615"/>
        <v>SKLADEM</v>
      </c>
      <c r="AF241" s="648">
        <f t="shared" si="616"/>
        <v>0</v>
      </c>
      <c r="AG241" s="649">
        <f t="shared" si="617"/>
        <v>0</v>
      </c>
      <c r="AH241" s="650">
        <f t="shared" si="618"/>
        <v>0</v>
      </c>
      <c r="AI241" s="645">
        <f t="shared" si="619"/>
        <v>0</v>
      </c>
      <c r="AJ241" s="645">
        <f t="shared" si="620"/>
        <v>0</v>
      </c>
      <c r="AK241" s="645" t="str">
        <f t="shared" si="621"/>
        <v/>
      </c>
      <c r="AL241" s="645" t="str">
        <f t="shared" si="622"/>
        <v/>
      </c>
      <c r="AM241" s="645">
        <f t="shared" si="623"/>
        <v>0</v>
      </c>
      <c r="AN241" s="651">
        <f t="shared" si="624"/>
        <v>0</v>
      </c>
      <c r="AO241" s="623"/>
      <c r="AP241" s="632" t="str">
        <f t="shared" si="519"/>
        <v/>
      </c>
      <c r="AQ241" s="625" t="str">
        <f>IF(AC241=$V$3,IF(VLOOKUP(C241,[1]List1!$A:$E,5,FALSE)=0,1,VLOOKUP(C241,[1]List1!$A:$E,5,FALSE)),"")</f>
        <v/>
      </c>
      <c r="AR241" s="629" t="str">
        <f t="shared" si="520"/>
        <v/>
      </c>
      <c r="AS241" s="630" t="str">
        <f t="shared" si="521"/>
        <v/>
      </c>
      <c r="AT241" s="625" t="str">
        <f t="shared" si="522"/>
        <v/>
      </c>
      <c r="AU241" s="625" t="e">
        <f t="shared" si="523"/>
        <v>#N/A</v>
      </c>
      <c r="AV241" s="625" t="e">
        <f t="shared" si="524"/>
        <v>#N/A</v>
      </c>
      <c r="AW241" s="631"/>
      <c r="AX241" s="631">
        <f>IF(AND('General price list'!$J241="F4",'General price list'!$AB241+0&gt;0),1,0)</f>
        <v>0</v>
      </c>
      <c r="AY241" s="631">
        <f t="shared" si="525"/>
        <v>1</v>
      </c>
      <c r="AZ241" s="631">
        <f t="shared" si="526"/>
        <v>0</v>
      </c>
    </row>
    <row r="242" spans="1:52" ht="15" customHeight="1">
      <c r="A242" s="621" t="str">
        <f>Kat.!C242</f>
        <v/>
      </c>
      <c r="B242" s="566">
        <f>IF(AND('General price list'!$J242="F4",$AI$1=FALSE),0,IF(AC242="SKLADEM",1,IF(AC242=$V$3,1,0)))</f>
        <v>1</v>
      </c>
      <c r="C242" s="567" t="s">
        <v>653</v>
      </c>
      <c r="D242" s="568" t="s">
        <v>654</v>
      </c>
      <c r="E242" s="763" t="s">
        <v>12715</v>
      </c>
      <c r="F242" s="772">
        <f>IFERROR(VLOOKUP(C242,[2]List1!$A:$D,3,FALSE),"NEUVEDENO!")</f>
        <v>53</v>
      </c>
      <c r="G242" s="769">
        <f t="shared" si="611"/>
        <v>53</v>
      </c>
      <c r="H242" s="766">
        <f t="shared" si="612"/>
        <v>2.2513624990973313</v>
      </c>
      <c r="I242" s="764">
        <f>IFERROR(VLOOKUP(C242,[2]List1!$A:$D,4,FALSE),"NEUVEDENO!")</f>
        <v>50</v>
      </c>
      <c r="J242" s="732" t="s">
        <v>113</v>
      </c>
      <c r="K242" s="569" t="s">
        <v>20</v>
      </c>
      <c r="L242" s="569" t="s">
        <v>20</v>
      </c>
      <c r="M242" s="569" t="s">
        <v>21</v>
      </c>
      <c r="N242" s="569">
        <f>IFERROR(VLOOKUP(C242,[3]List1!$A:$D,4,FALSE),"N/A!")</f>
        <v>2.64E-2</v>
      </c>
      <c r="O242" s="569">
        <f>IFERROR(VLOOKUP(C242,[3]List1!$A:$D,3,FALSE),"N/A!")</f>
        <v>1000</v>
      </c>
      <c r="P242" s="569">
        <f>IFERROR(VLOOKUP(C242,[3]List1!$A:$D,2,FALSE),"N/A!")</f>
        <v>15500</v>
      </c>
      <c r="Q242" s="569" t="s">
        <v>11249</v>
      </c>
      <c r="R242" s="569"/>
      <c r="S242" s="569"/>
      <c r="T242" s="569"/>
      <c r="U242" s="569"/>
      <c r="V242" s="569"/>
      <c r="W242" s="569" t="str">
        <f>IFERROR(IF(AND($AB242&gt;=0.1*$AA242,MOD($AB242,$AA242)&gt;=($AA242-(0.1*$AA242))),IF($W$17=$AF$1,"Zvažte možnost doobjednání ještě "&amp;Tabulka1[[#This Row],[VKPAL]]-MOD(AB242,AA242)&amp;" VK do plné palety.",VLOOKUP("Zvažte možnost doobjednání ještě ",Jazyky_ceník!A:Q,MATCH($W$17,Jazyky_ceník!$A$1:$Q$1,0),FALSE)&amp;Tabulka1[[#This Row],[VKPAL]]-MOD(AB242,AA242)&amp;VLOOKUP(" VK do plné palety.",Jazyky_ceník!A:Q,MATCH($W$17,Jazyky_ceník!$A$1:$Q$1,0),FALSE)),IFERROR(IF(AND(NOT(MOD($AB242,$AA242)=0),$AB242&gt;=0.9*$AA242,MOD($AB242,$AA242)&lt;=0.1*$AA242),IF($W$17=$AF$1,"Zvažte možnost optimalizace objednaného množství podle počtu VK na paletě ==&gt;",VLOOKUP("Zvažte možnost optimalizace objednaného množství podle počtu VK na paletě ==&gt;",Jazyky_ceník!A:Q,MATCH($W$17,Jazyky_ceník!$A$1:$Q$1,0),FALSE)),VLOOKUP('General price list'!$C242,Popisy!A:M,MATCH($W$17,Popisy!$A$7:$M$7,0),FALSE)),"---------------")),IFERROR(VLOOKUP('General price list'!$C242,Popisy!A:M,MATCH($W$17,Popisy!$A$7:$M$7,0),FALSE),"---------------"))</f>
        <v>síla výbuchu 120dB z 15m se zeleným světlem na začátku</v>
      </c>
      <c r="X242" s="569" t="str">
        <f t="shared" si="613"/>
        <v/>
      </c>
      <c r="Y242" s="569" t="str">
        <f t="shared" si="614"/>
        <v/>
      </c>
      <c r="Z242" s="569" t="str">
        <f>HYPERLINK("https://www.klasekpyrotechnics.cz/p5du13")</f>
        <v>https://www.klasekpyrotechnics.cz/p5du13</v>
      </c>
      <c r="AA242" s="569">
        <f>IFERROR(IF(VLOOKUP(C242,[4]List1!$A:$D,4,FALSE)=0,"",VLOOKUP(C242,[4]List1!$A:$D,4,FALSE)),"")</f>
        <v>42</v>
      </c>
      <c r="AB242" s="565"/>
      <c r="AC242" s="570" t="str">
        <f>IFERROR(IF(VLOOKUP(C242,[1]List1!$A:$D,2,FALSE)="VYPRODÁNO",$V$9,IF(VLOOKUP(C242,[1]List1!$A:$D,2,FALSE)="DOCHÁZÍ",$V$3,VLOOKUP(C242,[1]List1!$A:$D,2,FALSE))),"OFFLINE!")</f>
        <v>SKLADEM</v>
      </c>
      <c r="AD242" s="570" t="str">
        <f ca="1">IF(AP242="NE",$V$10,IF(AC242=$V$3,IF(AQ242&lt;1,$V$8,$V$2&amp;" "&amp;AQ242&amp;" "&amp;$V$1),IF(AC242="SKLADEM",$V$6,IFERROR(IF(OR(AC242-TODAY()&gt;45,VLOOKUP(C242,[1]List1!$A:$E,4,FALSE)=0),AC242,DAY(AC242)&amp;"."&amp;MONTH(AC242)&amp;"."&amp;YEAR(AC242)&amp;" "&amp;$V$4&amp;VLOOKUP(C242,[1]List1!$A:$E,4,FALSE)&amp;" "&amp;$V$1),AC242))))</f>
        <v>SKLADEM</v>
      </c>
      <c r="AE242" s="581" t="str">
        <f t="shared" ca="1" si="615"/>
        <v>SKLADEM</v>
      </c>
      <c r="AF242" s="584">
        <f t="shared" si="616"/>
        <v>0</v>
      </c>
      <c r="AG242" s="585">
        <f t="shared" si="617"/>
        <v>0</v>
      </c>
      <c r="AH242" s="583">
        <f t="shared" si="618"/>
        <v>0</v>
      </c>
      <c r="AI242" s="582">
        <f t="shared" si="619"/>
        <v>0</v>
      </c>
      <c r="AJ242" s="569">
        <f t="shared" si="620"/>
        <v>0</v>
      </c>
      <c r="AK242" s="569" t="str">
        <f t="shared" si="621"/>
        <v/>
      </c>
      <c r="AL242" s="569" t="str">
        <f t="shared" si="622"/>
        <v/>
      </c>
      <c r="AM242" s="569">
        <f t="shared" si="623"/>
        <v>0</v>
      </c>
      <c r="AN242" s="581">
        <f t="shared" si="624"/>
        <v>0</v>
      </c>
      <c r="AO242" s="623"/>
      <c r="AP242" s="632" t="str">
        <f t="shared" si="519"/>
        <v/>
      </c>
      <c r="AQ242" s="633" t="str">
        <f>IF(AC242=$V$3,IF(VLOOKUP(C242,[1]List1!$A:$E,5,FALSE)=0,1,VLOOKUP(C242,[1]List1!$A:$E,5,FALSE)),"")</f>
        <v/>
      </c>
      <c r="AR242" s="625" t="str">
        <f t="shared" si="520"/>
        <v/>
      </c>
      <c r="AS242" s="634" t="str">
        <f t="shared" si="521"/>
        <v/>
      </c>
      <c r="AT242" s="625" t="str">
        <f t="shared" si="522"/>
        <v/>
      </c>
      <c r="AU242" s="638" t="e">
        <f t="shared" si="523"/>
        <v>#N/A</v>
      </c>
      <c r="AV242" s="625" t="e">
        <f t="shared" si="524"/>
        <v>#N/A</v>
      </c>
      <c r="AX242" s="625">
        <f>IF(AND('General price list'!$J242="F4",'General price list'!$AB242+0&gt;0),1,0)</f>
        <v>0</v>
      </c>
      <c r="AY242" s="625">
        <f t="shared" si="525"/>
        <v>1</v>
      </c>
      <c r="AZ242" s="625">
        <f t="shared" si="526"/>
        <v>0</v>
      </c>
    </row>
    <row r="243" spans="1:52" ht="15" customHeight="1">
      <c r="A243" s="639" t="str">
        <f>Kat.!C243</f>
        <v/>
      </c>
      <c r="B243" s="640">
        <f>IF(AND('General price list'!$J243="F4",$AI$1=FALSE),0,IF(AC243="SKLADEM",1,IF(AC243=$V$3,1,0)))</f>
        <v>1</v>
      </c>
      <c r="C243" s="641" t="s">
        <v>4179</v>
      </c>
      <c r="D243" s="642" t="s">
        <v>654</v>
      </c>
      <c r="E243" s="643" t="s">
        <v>12715</v>
      </c>
      <c r="F243" s="771">
        <f>IFERROR(VLOOKUP(C243,[2]List1!$A:$D,3,FALSE),"NEUVEDENO!")</f>
        <v>49</v>
      </c>
      <c r="G243" s="768">
        <f t="shared" si="611"/>
        <v>49</v>
      </c>
      <c r="H243" s="765">
        <f t="shared" si="612"/>
        <v>2.0814483482220609</v>
      </c>
      <c r="I243" s="644">
        <f>IFERROR(VLOOKUP(C243,[2]List1!$A:$D,4,FALSE),"NEUVEDENO!")</f>
        <v>50</v>
      </c>
      <c r="J243" s="733" t="s">
        <v>113</v>
      </c>
      <c r="K243" s="645" t="s">
        <v>20</v>
      </c>
      <c r="L243" s="645" t="s">
        <v>20</v>
      </c>
      <c r="M243" s="645" t="s">
        <v>21</v>
      </c>
      <c r="N243" s="645">
        <f>IFERROR(VLOOKUP(C243,[3]List1!$A:$D,4,FALSE),"N/A!")</f>
        <v>2.64E-2</v>
      </c>
      <c r="O243" s="645">
        <f>IFERROR(VLOOKUP(C243,[3]List1!$A:$D,3,FALSE),"N/A!")</f>
        <v>1000</v>
      </c>
      <c r="P243" s="645">
        <f>IFERROR(VLOOKUP(C243,[3]List1!$A:$D,2,FALSE),"N/A!")</f>
        <v>17200</v>
      </c>
      <c r="Q243" s="645" t="s">
        <v>11249</v>
      </c>
      <c r="R243" s="645"/>
      <c r="S243" s="645"/>
      <c r="T243" s="645"/>
      <c r="U243" s="645"/>
      <c r="V243" s="645"/>
      <c r="W243" s="645" t="str">
        <f>IFERROR(IF(AND($AB243&gt;=0.1*$AA243,MOD($AB243,$AA243)&gt;=($AA243-(0.1*$AA243))),IF($W$17=$AF$1,"Zvažte možnost doobjednání ještě "&amp;Tabulka1[[#This Row],[VKPAL]]-MOD(AB243,AA243)&amp;" VK do plné palety.",VLOOKUP("Zvažte možnost doobjednání ještě ",Jazyky_ceník!A:Q,MATCH($W$17,Jazyky_ceník!$A$1:$Q$1,0),FALSE)&amp;Tabulka1[[#This Row],[VKPAL]]-MOD(AB243,AA243)&amp;VLOOKUP(" VK do plné palety.",Jazyky_ceník!A:Q,MATCH($W$17,Jazyky_ceník!$A$1:$Q$1,0),FALSE)),IFERROR(IF(AND(NOT(MOD($AB243,$AA243)=0),$AB243&gt;=0.9*$AA243,MOD($AB243,$AA243)&lt;=0.1*$AA243),IF($W$17=$AF$1,"Zvažte možnost optimalizace objednaného množství podle počtu VK na paletě ==&gt;",VLOOKUP("Zvažte možnost optimalizace objednaného množství podle počtu VK na paletě ==&gt;",Jazyky_ceník!A:Q,MATCH($W$17,Jazyky_ceník!$A$1:$Q$1,0),FALSE)),VLOOKUP('General price list'!$C243,Popisy!A:M,MATCH($W$17,Popisy!$A$7:$M$7,0),FALSE)),"---------------")),IFERROR(VLOOKUP('General price list'!$C243,Popisy!A:M,MATCH($W$17,Popisy!$A$7:$M$7,0),FALSE),"---------------"))</f>
        <v>síla výbuchu 120dB z 15m s červeným světlem na začátku</v>
      </c>
      <c r="X243" s="645" t="str">
        <f t="shared" si="613"/>
        <v/>
      </c>
      <c r="Y243" s="645" t="str">
        <f t="shared" si="614"/>
        <v/>
      </c>
      <c r="Z243" s="645" t="str">
        <f>HYPERLINK("https://www.klasekpyrotechnics.cz/p5du13_m")</f>
        <v>https://www.klasekpyrotechnics.cz/p5du13_m</v>
      </c>
      <c r="AA243" s="645">
        <f>IFERROR(IF(VLOOKUP(C243,[4]List1!$A:$D,4,FALSE)=0,"",VLOOKUP(C243,[4]List1!$A:$D,4,FALSE)),"")</f>
        <v>42</v>
      </c>
      <c r="AB243" s="646"/>
      <c r="AC243" s="647" t="str">
        <f>IFERROR(IF(VLOOKUP(C243,[1]List1!$A:$D,2,FALSE)="VYPRODÁNO",$V$9,IF(VLOOKUP(C243,[1]List1!$A:$D,2,FALSE)="DOCHÁZÍ",$V$3,VLOOKUP(C243,[1]List1!$A:$D,2,FALSE))),"OFFLINE!")</f>
        <v>SKLADEM</v>
      </c>
      <c r="AD243" s="647" t="str">
        <f ca="1">IF(AP243="NE",$V$10,IF(AC243=$V$3,IF(AQ243&lt;1,$V$8,$V$2&amp;" "&amp;AQ243&amp;" "&amp;$V$1),IF(AC243="SKLADEM",$V$6,IFERROR(IF(OR(AC243-TODAY()&gt;45,VLOOKUP(C243,[1]List1!$A:$E,4,FALSE)=0),AC243,DAY(AC243)&amp;"."&amp;MONTH(AC243)&amp;"."&amp;YEAR(AC243)&amp;" "&amp;$V$4&amp;VLOOKUP(C243,[1]List1!$A:$E,4,FALSE)&amp;" "&amp;$V$1),AC243))))</f>
        <v>SKLADEM</v>
      </c>
      <c r="AE243" s="645" t="str">
        <f t="shared" ca="1" si="615"/>
        <v>SKLADEM</v>
      </c>
      <c r="AF243" s="648">
        <f t="shared" si="616"/>
        <v>0</v>
      </c>
      <c r="AG243" s="649">
        <f t="shared" si="617"/>
        <v>0</v>
      </c>
      <c r="AH243" s="650">
        <f t="shared" si="618"/>
        <v>0</v>
      </c>
      <c r="AI243" s="645">
        <f t="shared" si="619"/>
        <v>0</v>
      </c>
      <c r="AJ243" s="645">
        <f t="shared" si="620"/>
        <v>0</v>
      </c>
      <c r="AK243" s="645" t="str">
        <f t="shared" si="621"/>
        <v/>
      </c>
      <c r="AL243" s="645" t="str">
        <f t="shared" si="622"/>
        <v/>
      </c>
      <c r="AM243" s="645">
        <f t="shared" si="623"/>
        <v>0</v>
      </c>
      <c r="AN243" s="651">
        <f t="shared" si="624"/>
        <v>0</v>
      </c>
      <c r="AO243" s="623"/>
      <c r="AP243" s="632" t="str">
        <f t="shared" si="519"/>
        <v/>
      </c>
      <c r="AQ243" s="633" t="str">
        <f>IF(AC243=$V$3,IF(VLOOKUP(C243,[1]List1!$A:$E,5,FALSE)=0,1,VLOOKUP(C243,[1]List1!$A:$E,5,FALSE)),"")</f>
        <v/>
      </c>
      <c r="AR243" s="625" t="str">
        <f t="shared" si="520"/>
        <v/>
      </c>
      <c r="AS243" s="634" t="str">
        <f t="shared" si="521"/>
        <v/>
      </c>
      <c r="AT243" s="625" t="str">
        <f t="shared" si="522"/>
        <v/>
      </c>
      <c r="AU243" s="638" t="e">
        <f t="shared" si="523"/>
        <v>#N/A</v>
      </c>
      <c r="AV243" s="625" t="e">
        <f t="shared" si="524"/>
        <v>#N/A</v>
      </c>
      <c r="AX243" s="625">
        <f>IF(AND('General price list'!$J243="F4",'General price list'!$AB243+0&gt;0),1,0)</f>
        <v>0</v>
      </c>
      <c r="AY243" s="625">
        <f t="shared" si="525"/>
        <v>1</v>
      </c>
      <c r="AZ243" s="625">
        <f t="shared" si="526"/>
        <v>0</v>
      </c>
    </row>
    <row r="244" spans="1:52" ht="15" customHeight="1">
      <c r="A244" s="621" t="str">
        <f>Kat.!C244</f>
        <v/>
      </c>
      <c r="B244" s="566">
        <f>IF(AND('General price list'!$J244="F4",$AI$1=FALSE),0,IF(AC244="SKLADEM",1,IF(AC244=$V$3,1,0)))</f>
        <v>0</v>
      </c>
      <c r="C244" s="567" t="s">
        <v>658</v>
      </c>
      <c r="D244" s="568" t="s">
        <v>11700</v>
      </c>
      <c r="E244" s="763" t="s">
        <v>12716</v>
      </c>
      <c r="F244" s="791">
        <f>IFERROR(VLOOKUP(C244,[2]List1!$A:$D,3,FALSE),"NEUVEDENO!")</f>
        <v>139</v>
      </c>
      <c r="G244" s="769">
        <f t="shared" si="611"/>
        <v>139</v>
      </c>
      <c r="H244" s="766">
        <f t="shared" si="612"/>
        <v>5.904516742915642</v>
      </c>
      <c r="I244" s="764">
        <f>IFERROR(VLOOKUP(C244,[2]List1!$A:$D,4,FALSE),"NEUVEDENO!")</f>
        <v>60</v>
      </c>
      <c r="J244" s="732" t="s">
        <v>113</v>
      </c>
      <c r="K244" s="569" t="s">
        <v>11100</v>
      </c>
      <c r="L244" s="569" t="s">
        <v>20</v>
      </c>
      <c r="M244" s="569" t="s">
        <v>114</v>
      </c>
      <c r="N244" s="569">
        <f>IFERROR(VLOOKUP(C244,[3]List1!$A:$D,4,FALSE),"N/A!")</f>
        <v>2.9399999999999999E-2</v>
      </c>
      <c r="O244" s="569">
        <f>IFERROR(VLOOKUP(C244,[3]List1!$A:$D,3,FALSE),"N/A!")</f>
        <v>2400</v>
      </c>
      <c r="P244" s="569">
        <f>IFERROR(VLOOKUP(C244,[3]List1!$A:$D,2,FALSE),"N/A!")</f>
        <v>12500</v>
      </c>
      <c r="Q244" s="569" t="s">
        <v>11232</v>
      </c>
      <c r="R244" s="569" t="s">
        <v>20</v>
      </c>
      <c r="S244" s="569"/>
      <c r="T244" s="569"/>
      <c r="U244" s="569"/>
      <c r="V244" s="569"/>
      <c r="W244" s="569" t="str">
        <f>IFERROR(IF(AND($AB244&gt;=0.1*$AA244,MOD($AB244,$AA244)&gt;=($AA244-(0.1*$AA244))),IF($W$17=$AF$1,"Zvažte možnost doobjednání ještě "&amp;Tabulka1[[#This Row],[VKPAL]]-MOD(AB244,AA244)&amp;" VK do plné palety.",VLOOKUP("Zvažte možnost doobjednání ještě ",Jazyky_ceník!A:Q,MATCH($W$17,Jazyky_ceník!$A$1:$Q$1,0),FALSE)&amp;Tabulka1[[#This Row],[VKPAL]]-MOD(AB244,AA244)&amp;VLOOKUP(" VK do plné palety.",Jazyky_ceník!A:Q,MATCH($W$17,Jazyky_ceník!$A$1:$Q$1,0),FALSE)),IFERROR(IF(AND(NOT(MOD($AB244,$AA244)=0),$AB244&gt;=0.9*$AA244,MOD($AB244,$AA244)&lt;=0.1*$AA244),IF($W$17=$AF$1,"Zvažte možnost optimalizace objednaného množství podle počtu VK na paletě ==&gt;",VLOOKUP("Zvažte možnost optimalizace objednaného množství podle počtu VK na paletě ==&gt;",Jazyky_ceník!A:Q,MATCH($W$17,Jazyky_ceník!$A$1:$Q$1,0),FALSE)),VLOOKUP('General price list'!$C244,Popisy!A:M,MATCH($W$17,Popisy!$A$7:$M$7,0),FALSE)),"---------------")),IFERROR(VLOOKUP('General price list'!$C244,Popisy!A:M,MATCH($W$17,Popisy!$A$7:$M$7,0),FALSE),"---------------"))</f>
        <v>síla výbuchu 120dB z 15m, vyrobeno v Evropě, plastová ucpávka</v>
      </c>
      <c r="X244" s="569" t="str">
        <f t="shared" si="613"/>
        <v/>
      </c>
      <c r="Y244" s="569" t="str">
        <f t="shared" si="614"/>
        <v/>
      </c>
      <c r="Z244" s="569" t="str">
        <f>HYPERLINK("https://www.klasekpyrotechnics.cz/p5du")</f>
        <v>https://www.klasekpyrotechnics.cz/p5du</v>
      </c>
      <c r="AA244" s="569">
        <f>IFERROR(IF(VLOOKUP(C244,[4]List1!$A:$D,4,FALSE)=0,"",VLOOKUP(C244,[4]List1!$A:$D,4,FALSE)),"")</f>
        <v>42</v>
      </c>
      <c r="AB244" s="565"/>
      <c r="AC244" s="570" t="str">
        <f>IFERROR(IF(VLOOKUP(C244,[1]List1!$A:$D,2,FALSE)="VYPRODÁNO",$V$9,IF(VLOOKUP(C244,[1]List1!$A:$D,2,FALSE)="DOCHÁZÍ",$V$3,VLOOKUP(C244,[1]List1!$A:$D,2,FALSE))),"OFFLINE!")</f>
        <v>10.04.2026</v>
      </c>
      <c r="AD244" s="570" t="str">
        <f ca="1">IF(AP244="NE",$V$10,IF(AC244=$V$3,IF(AQ244&lt;1,$V$8,$V$2&amp;" "&amp;AQ244&amp;" "&amp;$V$1),IF(AC244="SKLADEM",$V$6,IFERROR(IF(OR(AC244-TODAY()&gt;45,VLOOKUP(C244,[1]List1!$A:$E,4,FALSE)=0),AC244,DAY(AC244)&amp;"."&amp;MONTH(AC244)&amp;"."&amp;YEAR(AC244)&amp;" "&amp;$V$4&amp;VLOOKUP(C244,[1]List1!$A:$E,4,FALSE)&amp;" "&amp;$V$1),AC244))))</f>
        <v>10.04.2026</v>
      </c>
      <c r="AE244" s="581" t="str">
        <f t="shared" ca="1" si="615"/>
        <v>10.04.2026</v>
      </c>
      <c r="AF244" s="584">
        <f t="shared" si="616"/>
        <v>0</v>
      </c>
      <c r="AG244" s="585">
        <f t="shared" si="617"/>
        <v>0</v>
      </c>
      <c r="AH244" s="583">
        <f t="shared" si="618"/>
        <v>0</v>
      </c>
      <c r="AI244" s="582">
        <f t="shared" si="619"/>
        <v>0</v>
      </c>
      <c r="AJ244" s="569">
        <f t="shared" si="620"/>
        <v>0</v>
      </c>
      <c r="AK244" s="569" t="str">
        <f t="shared" si="621"/>
        <v/>
      </c>
      <c r="AL244" s="569">
        <f t="shared" si="622"/>
        <v>0</v>
      </c>
      <c r="AM244" s="569" t="str">
        <f t="shared" si="623"/>
        <v/>
      </c>
      <c r="AN244" s="581">
        <f t="shared" si="624"/>
        <v>0</v>
      </c>
      <c r="AO244" s="623"/>
      <c r="AP244" s="632" t="str">
        <f t="shared" si="519"/>
        <v/>
      </c>
      <c r="AQ244" s="633" t="str">
        <f>IF(AC244=$V$3,IF(VLOOKUP(C244,[1]List1!$A:$E,5,FALSE)=0,1,VLOOKUP(C244,[1]List1!$A:$E,5,FALSE)),"")</f>
        <v/>
      </c>
      <c r="AR244" s="625" t="str">
        <f t="shared" si="520"/>
        <v/>
      </c>
      <c r="AS244" s="634" t="str">
        <f t="shared" si="521"/>
        <v/>
      </c>
      <c r="AT244" s="625" t="str">
        <f t="shared" si="522"/>
        <v/>
      </c>
      <c r="AU244" s="638" t="e">
        <f t="shared" si="523"/>
        <v>#N/A</v>
      </c>
      <c r="AV244" s="625" t="e">
        <f t="shared" si="524"/>
        <v>#N/A</v>
      </c>
      <c r="AX244" s="625">
        <f>IF(AND('General price list'!$J244="F4",'General price list'!$AB244+0&gt;0),1,0)</f>
        <v>0</v>
      </c>
      <c r="AY244" s="625">
        <f t="shared" si="525"/>
        <v>1</v>
      </c>
      <c r="AZ244" s="625">
        <f t="shared" si="526"/>
        <v>0</v>
      </c>
    </row>
    <row r="245" spans="1:52" ht="15" customHeight="1">
      <c r="A245" s="639" t="str">
        <f>Kat.!C245</f>
        <v/>
      </c>
      <c r="B245" s="640">
        <f>IF(AND('General price list'!$J245="F4",$AI$1=FALSE),0,IF(AC245="SKLADEM",1,IF(AC245=$V$3,1,0)))</f>
        <v>1</v>
      </c>
      <c r="C245" s="641" t="s">
        <v>659</v>
      </c>
      <c r="D245" s="642" t="s">
        <v>660</v>
      </c>
      <c r="E245" s="643" t="s">
        <v>12715</v>
      </c>
      <c r="F245" s="771">
        <f>IFERROR(VLOOKUP(C245,[2]List1!$A:$D,3,FALSE),"NEUVEDENO!")</f>
        <v>47</v>
      </c>
      <c r="G245" s="768">
        <f t="shared" si="611"/>
        <v>47</v>
      </c>
      <c r="H245" s="765">
        <f t="shared" si="612"/>
        <v>1.9964912727844257</v>
      </c>
      <c r="I245" s="644">
        <f>IFERROR(VLOOKUP(C245,[2]List1!$A:$D,4,FALSE),"NEUVEDENO!")</f>
        <v>50</v>
      </c>
      <c r="J245" s="733" t="s">
        <v>113</v>
      </c>
      <c r="K245" s="645" t="s">
        <v>20</v>
      </c>
      <c r="L245" s="645" t="s">
        <v>10985</v>
      </c>
      <c r="M245" s="645" t="s">
        <v>21</v>
      </c>
      <c r="N245" s="645">
        <f>IFERROR(VLOOKUP(C245,[3]List1!$A:$D,4,FALSE),"N/A!")</f>
        <v>2.64E-2</v>
      </c>
      <c r="O245" s="645">
        <f>IFERROR(VLOOKUP(C245,[3]List1!$A:$D,3,FALSE),"N/A!")</f>
        <v>490.00000000000006</v>
      </c>
      <c r="P245" s="645">
        <f>IFERROR(VLOOKUP(C245,[3]List1!$A:$D,2,FALSE),"N/A!")</f>
        <v>15500</v>
      </c>
      <c r="Q245" s="645" t="s">
        <v>11266</v>
      </c>
      <c r="R245" s="645"/>
      <c r="S245" s="645"/>
      <c r="T245" s="645"/>
      <c r="U245" s="645"/>
      <c r="V245" s="645"/>
      <c r="W245" s="645" t="str">
        <f>IFERROR(IF(AND($AB245&gt;=0.1*$AA245,MOD($AB245,$AA245)&gt;=($AA245-(0.1*$AA245))),IF($W$17=$AF$1,"Zvažte možnost doobjednání ještě "&amp;Tabulka1[[#This Row],[VKPAL]]-MOD(AB245,AA245)&amp;" VK do plné palety.",VLOOKUP("Zvažte možnost doobjednání ještě ",Jazyky_ceník!A:Q,MATCH($W$17,Jazyky_ceník!$A$1:$Q$1,0),FALSE)&amp;Tabulka1[[#This Row],[VKPAL]]-MOD(AB245,AA245)&amp;VLOOKUP(" VK do plné palety.",Jazyky_ceník!A:Q,MATCH($W$17,Jazyky_ceník!$A$1:$Q$1,0),FALSE)),IFERROR(IF(AND(NOT(MOD($AB245,$AA245)=0),$AB245&gt;=0.9*$AA245,MOD($AB245,$AA245)&lt;=0.1*$AA245),IF($W$17=$AF$1,"Zvažte možnost optimalizace objednaného množství podle počtu VK na paletě ==&gt;",VLOOKUP("Zvažte možnost optimalizace objednaného množství podle počtu VK na paletě ==&gt;",Jazyky_ceník!A:Q,MATCH($W$17,Jazyky_ceník!$A$1:$Q$1,0),FALSE)),VLOOKUP('General price list'!$C245,Popisy!A:M,MATCH($W$17,Popisy!$A$7:$M$7,0),FALSE)),"---------------")),IFERROR(VLOOKUP('General price list'!$C245,Popisy!A:M,MATCH($W$17,Popisy!$A$7:$M$7,0),FALSE),"---------------"))</f>
        <v>síla výbuchu 120dB z 15m</v>
      </c>
      <c r="X245" s="645" t="str">
        <f t="shared" si="613"/>
        <v/>
      </c>
      <c r="Y245" s="645" t="str">
        <f t="shared" si="614"/>
        <v/>
      </c>
      <c r="Z245" s="645" t="str">
        <f>HYPERLINK("https://www.klasekpyrotechnics.cz/p5a13")</f>
        <v>https://www.klasekpyrotechnics.cz/p5a13</v>
      </c>
      <c r="AA245" s="645">
        <f>IFERROR(IF(VLOOKUP(C245,[4]List1!$A:$D,4,FALSE)=0,"",VLOOKUP(C245,[4]List1!$A:$D,4,FALSE)),"")</f>
        <v>42</v>
      </c>
      <c r="AB245" s="646"/>
      <c r="AC245" s="647" t="str">
        <f>IFERROR(IF(VLOOKUP(C245,[1]List1!$A:$D,2,FALSE)="VYPRODÁNO",$V$9,IF(VLOOKUP(C245,[1]List1!$A:$D,2,FALSE)="DOCHÁZÍ",$V$3,VLOOKUP(C245,[1]List1!$A:$D,2,FALSE))),"OFFLINE!")</f>
        <v>SKLADEM</v>
      </c>
      <c r="AD245" s="647" t="str">
        <f ca="1">IF(AP245="NE",$V$10,IF(AC245=$V$3,IF(AQ245&lt;1,$V$8,$V$2&amp;" "&amp;AQ245&amp;" "&amp;$V$1),IF(AC245="SKLADEM",$V$6,IFERROR(IF(OR(AC245-TODAY()&gt;45,VLOOKUP(C245,[1]List1!$A:$E,4,FALSE)=0),AC245,DAY(AC245)&amp;"."&amp;MONTH(AC245)&amp;"."&amp;YEAR(AC245)&amp;" "&amp;$V$4&amp;VLOOKUP(C245,[1]List1!$A:$E,4,FALSE)&amp;" "&amp;$V$1),AC245))))</f>
        <v>SKLADEM</v>
      </c>
      <c r="AE245" s="645" t="str">
        <f t="shared" ca="1" si="615"/>
        <v>SKLADEM</v>
      </c>
      <c r="AF245" s="648">
        <f t="shared" si="616"/>
        <v>0</v>
      </c>
      <c r="AG245" s="649">
        <f t="shared" si="617"/>
        <v>0</v>
      </c>
      <c r="AH245" s="650">
        <f t="shared" si="618"/>
        <v>0</v>
      </c>
      <c r="AI245" s="645">
        <f t="shared" si="619"/>
        <v>0</v>
      </c>
      <c r="AJ245" s="645">
        <f t="shared" si="620"/>
        <v>0</v>
      </c>
      <c r="AK245" s="645" t="str">
        <f t="shared" si="621"/>
        <v/>
      </c>
      <c r="AL245" s="645" t="str">
        <f t="shared" si="622"/>
        <v/>
      </c>
      <c r="AM245" s="645">
        <f t="shared" si="623"/>
        <v>0</v>
      </c>
      <c r="AN245" s="651">
        <f t="shared" si="624"/>
        <v>0</v>
      </c>
      <c r="AO245" s="623"/>
      <c r="AP245" s="632" t="str">
        <f t="shared" si="519"/>
        <v/>
      </c>
      <c r="AQ245" s="633" t="str">
        <f>IF(AC245=$V$3,IF(VLOOKUP(C245,[1]List1!$A:$E,5,FALSE)=0,1,VLOOKUP(C245,[1]List1!$A:$E,5,FALSE)),"")</f>
        <v/>
      </c>
      <c r="AR245" s="625" t="str">
        <f t="shared" si="520"/>
        <v/>
      </c>
      <c r="AS245" s="634" t="str">
        <f t="shared" si="521"/>
        <v/>
      </c>
      <c r="AT245" s="625" t="str">
        <f t="shared" si="522"/>
        <v/>
      </c>
      <c r="AU245" s="638" t="e">
        <f t="shared" si="523"/>
        <v>#N/A</v>
      </c>
      <c r="AV245" s="625" t="e">
        <f t="shared" si="524"/>
        <v>#N/A</v>
      </c>
      <c r="AX245" s="625">
        <f>IF(AND('General price list'!$J245="F4",'General price list'!$AB245+0&gt;0),1,0)</f>
        <v>0</v>
      </c>
      <c r="AY245" s="625">
        <f t="shared" si="525"/>
        <v>1</v>
      </c>
      <c r="AZ245" s="625">
        <f t="shared" si="526"/>
        <v>0</v>
      </c>
    </row>
    <row r="246" spans="1:52" ht="15" customHeight="1">
      <c r="A246" s="621" t="str">
        <f>Kat.!C246</f>
        <v/>
      </c>
      <c r="B246" s="566">
        <f>IF(AND('General price list'!$J246="F4",$AI$1=FALSE),0,IF(AC246="SKLADEM",1,IF(AC246=$V$3,1,0)))</f>
        <v>1</v>
      </c>
      <c r="C246" s="567" t="s">
        <v>661</v>
      </c>
      <c r="D246" s="568" t="s">
        <v>662</v>
      </c>
      <c r="E246" s="763" t="s">
        <v>12715</v>
      </c>
      <c r="F246" s="772">
        <f>IFERROR(VLOOKUP(C246,[2]List1!$A:$D,3,FALSE),"NEUVEDENO!")</f>
        <v>47</v>
      </c>
      <c r="G246" s="769">
        <f t="shared" si="611"/>
        <v>47</v>
      </c>
      <c r="H246" s="766">
        <f t="shared" si="612"/>
        <v>1.9964912727844257</v>
      </c>
      <c r="I246" s="764">
        <f>IFERROR(VLOOKUP(C246,[2]List1!$A:$D,4,FALSE),"NEUVEDENO!")</f>
        <v>50</v>
      </c>
      <c r="J246" s="732" t="s">
        <v>113</v>
      </c>
      <c r="K246" s="569" t="s">
        <v>20</v>
      </c>
      <c r="L246" s="569" t="s">
        <v>10985</v>
      </c>
      <c r="M246" s="569" t="s">
        <v>21</v>
      </c>
      <c r="N246" s="569">
        <f>IFERROR(VLOOKUP(C246,[3]List1!$A:$D,4,FALSE),"N/A!")</f>
        <v>2.64E-2</v>
      </c>
      <c r="O246" s="569">
        <f>IFERROR(VLOOKUP(C246,[3]List1!$A:$D,3,FALSE),"N/A!")</f>
        <v>490.00000000000006</v>
      </c>
      <c r="P246" s="569">
        <f>IFERROR(VLOOKUP(C246,[3]List1!$A:$D,2,FALSE),"N/A!")</f>
        <v>15500</v>
      </c>
      <c r="Q246" s="569" t="s">
        <v>11266</v>
      </c>
      <c r="R246" s="569"/>
      <c r="S246" s="569"/>
      <c r="T246" s="569"/>
      <c r="U246" s="569"/>
      <c r="V246" s="569"/>
      <c r="W246" s="569" t="str">
        <f>IFERROR(IF(AND($AB246&gt;=0.1*$AA246,MOD($AB246,$AA246)&gt;=($AA246-(0.1*$AA246))),IF($W$17=$AF$1,"Zvažte možnost doobjednání ještě "&amp;Tabulka1[[#This Row],[VKPAL]]-MOD(AB246,AA246)&amp;" VK do plné palety.",VLOOKUP("Zvažte možnost doobjednání ještě ",Jazyky_ceník!A:Q,MATCH($W$17,Jazyky_ceník!$A$1:$Q$1,0),FALSE)&amp;Tabulka1[[#This Row],[VKPAL]]-MOD(AB246,AA246)&amp;VLOOKUP(" VK do plné palety.",Jazyky_ceník!A:Q,MATCH($W$17,Jazyky_ceník!$A$1:$Q$1,0),FALSE)),IFERROR(IF(AND(NOT(MOD($AB246,$AA246)=0),$AB246&gt;=0.9*$AA246,MOD($AB246,$AA246)&lt;=0.1*$AA246),IF($W$17=$AF$1,"Zvažte možnost optimalizace objednaného množství podle počtu VK na paletě ==&gt;",VLOOKUP("Zvažte možnost optimalizace objednaného množství podle počtu VK na paletě ==&gt;",Jazyky_ceník!A:Q,MATCH($W$17,Jazyky_ceník!$A$1:$Q$1,0),FALSE)),VLOOKUP('General price list'!$C246,Popisy!A:M,MATCH($W$17,Popisy!$A$7:$M$7,0),FALSE)),"---------------")),IFERROR(VLOOKUP('General price list'!$C246,Popisy!A:M,MATCH($W$17,Popisy!$A$7:$M$7,0),FALSE),"---------------"))</f>
        <v>síla výbuchu 120dB z 15m</v>
      </c>
      <c r="X246" s="569" t="str">
        <f t="shared" si="613"/>
        <v/>
      </c>
      <c r="Y246" s="569" t="str">
        <f t="shared" si="614"/>
        <v/>
      </c>
      <c r="Z246" s="569" t="str">
        <f>HYPERLINK("https://www.klasekpyrotechnics.cz/p5d13")</f>
        <v>https://www.klasekpyrotechnics.cz/p5d13</v>
      </c>
      <c r="AA246" s="569">
        <f>IFERROR(IF(VLOOKUP(C246,[4]List1!$A:$D,4,FALSE)=0,"",VLOOKUP(C246,[4]List1!$A:$D,4,FALSE)),"")</f>
        <v>42</v>
      </c>
      <c r="AB246" s="565"/>
      <c r="AC246" s="570" t="str">
        <f>IFERROR(IF(VLOOKUP(C246,[1]List1!$A:$D,2,FALSE)="VYPRODÁNO",$V$9,IF(VLOOKUP(C246,[1]List1!$A:$D,2,FALSE)="DOCHÁZÍ",$V$3,VLOOKUP(C246,[1]List1!$A:$D,2,FALSE))),"OFFLINE!")</f>
        <v>SKLADEM</v>
      </c>
      <c r="AD246" s="570" t="str">
        <f ca="1">IF(AP246="NE",$V$10,IF(AC246=$V$3,IF(AQ246&lt;1,$V$8,$V$2&amp;" "&amp;AQ246&amp;" "&amp;$V$1),IF(AC246="SKLADEM",$V$6,IFERROR(IF(OR(AC246-TODAY()&gt;45,VLOOKUP(C246,[1]List1!$A:$E,4,FALSE)=0),AC246,DAY(AC246)&amp;"."&amp;MONTH(AC246)&amp;"."&amp;YEAR(AC246)&amp;" "&amp;$V$4&amp;VLOOKUP(C246,[1]List1!$A:$E,4,FALSE)&amp;" "&amp;$V$1),AC246))))</f>
        <v>SKLADEM</v>
      </c>
      <c r="AE246" s="581" t="str">
        <f t="shared" ca="1" si="615"/>
        <v>SKLADEM</v>
      </c>
      <c r="AF246" s="584">
        <f t="shared" si="616"/>
        <v>0</v>
      </c>
      <c r="AG246" s="585">
        <f t="shared" si="617"/>
        <v>0</v>
      </c>
      <c r="AH246" s="583">
        <f t="shared" si="618"/>
        <v>0</v>
      </c>
      <c r="AI246" s="582">
        <f t="shared" si="619"/>
        <v>0</v>
      </c>
      <c r="AJ246" s="569">
        <f t="shared" si="620"/>
        <v>0</v>
      </c>
      <c r="AK246" s="569" t="str">
        <f t="shared" si="621"/>
        <v/>
      </c>
      <c r="AL246" s="569" t="str">
        <f t="shared" si="622"/>
        <v/>
      </c>
      <c r="AM246" s="569">
        <f t="shared" si="623"/>
        <v>0</v>
      </c>
      <c r="AN246" s="581">
        <f t="shared" si="624"/>
        <v>0</v>
      </c>
      <c r="AO246" s="623"/>
      <c r="AP246" s="632" t="str">
        <f t="shared" si="519"/>
        <v/>
      </c>
      <c r="AQ246" s="633" t="str">
        <f>IF(AC246=$V$3,IF(VLOOKUP(C246,[1]List1!$A:$E,5,FALSE)=0,1,VLOOKUP(C246,[1]List1!$A:$E,5,FALSE)),"")</f>
        <v/>
      </c>
      <c r="AR246" s="625" t="str">
        <f t="shared" si="520"/>
        <v/>
      </c>
      <c r="AS246" s="634" t="str">
        <f t="shared" si="521"/>
        <v/>
      </c>
      <c r="AT246" s="625" t="str">
        <f t="shared" si="522"/>
        <v/>
      </c>
      <c r="AU246" s="638" t="e">
        <f t="shared" si="523"/>
        <v>#N/A</v>
      </c>
      <c r="AV246" s="625" t="e">
        <f t="shared" si="524"/>
        <v>#N/A</v>
      </c>
      <c r="AX246" s="625">
        <f>IF(AND('General price list'!$J246="F4",'General price list'!$AB246+0&gt;0),1,0)</f>
        <v>0</v>
      </c>
      <c r="AY246" s="625">
        <f t="shared" si="525"/>
        <v>1</v>
      </c>
      <c r="AZ246" s="625">
        <f t="shared" si="526"/>
        <v>0</v>
      </c>
    </row>
    <row r="247" spans="1:52" ht="15" customHeight="1">
      <c r="A247" s="639" t="str">
        <f>Kat.!C247</f>
        <v/>
      </c>
      <c r="B247" s="640">
        <f>IF(AND('General price list'!$J247="F4",$AI$1=FALSE),0,IF(AC247="SKLADEM",1,IF(AC247=$V$3,1,0)))</f>
        <v>1</v>
      </c>
      <c r="C247" s="641" t="s">
        <v>2244</v>
      </c>
      <c r="D247" s="642" t="s">
        <v>12527</v>
      </c>
      <c r="E247" s="643" t="s">
        <v>12715</v>
      </c>
      <c r="F247" s="771">
        <f>IFERROR(VLOOKUP(C247,[2]List1!$A:$D,3,FALSE),"NEUVEDENO!")</f>
        <v>47</v>
      </c>
      <c r="G247" s="768">
        <f t="shared" si="611"/>
        <v>47</v>
      </c>
      <c r="H247" s="765">
        <f t="shared" si="612"/>
        <v>1.9964912727844257</v>
      </c>
      <c r="I247" s="644">
        <f>IFERROR(VLOOKUP(C247,[2]List1!$A:$D,4,FALSE),"NEUVEDENO!")</f>
        <v>50</v>
      </c>
      <c r="J247" s="733" t="s">
        <v>113</v>
      </c>
      <c r="K247" s="645" t="s">
        <v>20</v>
      </c>
      <c r="L247" s="645" t="s">
        <v>20</v>
      </c>
      <c r="M247" s="645" t="s">
        <v>21</v>
      </c>
      <c r="N247" s="645">
        <f>IFERROR(VLOOKUP(C247,[3]List1!$A:$D,4,FALSE),"N/A!")</f>
        <v>2.64E-2</v>
      </c>
      <c r="O247" s="645">
        <f>IFERROR(VLOOKUP(C247,[3]List1!$A:$D,3,FALSE),"N/A!")</f>
        <v>490.00000000000006</v>
      </c>
      <c r="P247" s="645">
        <f>IFERROR(VLOOKUP(C247,[3]List1!$A:$D,2,FALSE),"N/A!")</f>
        <v>15500</v>
      </c>
      <c r="Q247" s="645" t="s">
        <v>11266</v>
      </c>
      <c r="R247" s="645"/>
      <c r="S247" s="645"/>
      <c r="T247" s="645"/>
      <c r="U247" s="645"/>
      <c r="V247" s="645"/>
      <c r="W247" s="645" t="str">
        <f>IFERROR(IF(AND($AB247&gt;=0.1*$AA247,MOD($AB247,$AA247)&gt;=($AA247-(0.1*$AA247))),IF($W$17=$AF$1,"Zvažte možnost doobjednání ještě "&amp;Tabulka1[[#This Row],[VKPAL]]-MOD(AB247,AA247)&amp;" VK do plné palety.",VLOOKUP("Zvažte možnost doobjednání ještě ",Jazyky_ceník!A:Q,MATCH($W$17,Jazyky_ceník!$A$1:$Q$1,0),FALSE)&amp;Tabulka1[[#This Row],[VKPAL]]-MOD(AB247,AA247)&amp;VLOOKUP(" VK do plné palety.",Jazyky_ceník!A:Q,MATCH($W$17,Jazyky_ceník!$A$1:$Q$1,0),FALSE)),IFERROR(IF(AND(NOT(MOD($AB247,$AA247)=0),$AB247&gt;=0.9*$AA247,MOD($AB247,$AA247)&lt;=0.1*$AA247),IF($W$17=$AF$1,"Zvažte možnost optimalizace objednaného množství podle počtu VK na paletě ==&gt;",VLOOKUP("Zvažte možnost optimalizace objednaného množství podle počtu VK na paletě ==&gt;",Jazyky_ceník!A:Q,MATCH($W$17,Jazyky_ceník!$A$1:$Q$1,0),FALSE)),VLOOKUP('General price list'!$C247,Popisy!A:M,MATCH($W$17,Popisy!$A$7:$M$7,0),FALSE)),"---------------")),IFERROR(VLOOKUP('General price list'!$C247,Popisy!A:M,MATCH($W$17,Popisy!$A$7:$M$7,0),FALSE),"---------------"))</f>
        <v>síla výbuchu 120dB z 15m</v>
      </c>
      <c r="X247" s="645" t="str">
        <f t="shared" si="613"/>
        <v/>
      </c>
      <c r="Y247" s="645" t="str">
        <f t="shared" si="614"/>
        <v/>
      </c>
      <c r="Z247" s="645" t="str">
        <f>HYPERLINK("https://www.klasekpyrotechnics.cz/p5d13_w")</f>
        <v>https://www.klasekpyrotechnics.cz/p5d13_w</v>
      </c>
      <c r="AA247" s="645">
        <f>IFERROR(IF(VLOOKUP(C247,[4]List1!$A:$D,4,FALSE)=0,"",VLOOKUP(C247,[4]List1!$A:$D,4,FALSE)),"")</f>
        <v>42</v>
      </c>
      <c r="AB247" s="646"/>
      <c r="AC247" s="647" t="str">
        <f>IFERROR(IF(VLOOKUP(C247,[1]List1!$A:$D,2,FALSE)="VYPRODÁNO",$V$9,IF(VLOOKUP(C247,[1]List1!$A:$D,2,FALSE)="DOCHÁZÍ",$V$3,VLOOKUP(C247,[1]List1!$A:$D,2,FALSE))),"OFFLINE!")</f>
        <v>DOCHÁZÍ</v>
      </c>
      <c r="AD247" s="647" t="str">
        <f ca="1">IF(AP247="NE",$V$10,IF(AC247=$V$3,IF(AQ247&lt;1,$V$8,$V$2&amp;" "&amp;AQ247&amp;" "&amp;$V$1),IF(AC247="SKLADEM",$V$6,IFERROR(IF(OR(AC247-TODAY()&gt;45,VLOOKUP(C247,[1]List1!$A:$E,4,FALSE)=0),AC247,DAY(AC247)&amp;"."&amp;MONTH(AC247)&amp;"."&amp;YEAR(AC247)&amp;" "&amp;$V$4&amp;VLOOKUP(C247,[1]List1!$A:$E,4,FALSE)&amp;" "&amp;$V$1),AC247))))</f>
        <v>POSLEDNÍCH 52 VK</v>
      </c>
      <c r="AE247" s="645" t="str">
        <f t="shared" ca="1" si="615"/>
        <v>POSLEDNÍCH 52 VK</v>
      </c>
      <c r="AF247" s="648">
        <f t="shared" si="616"/>
        <v>0</v>
      </c>
      <c r="AG247" s="649">
        <f t="shared" si="617"/>
        <v>0</v>
      </c>
      <c r="AH247" s="650">
        <f t="shared" si="618"/>
        <v>0</v>
      </c>
      <c r="AI247" s="645">
        <f t="shared" si="619"/>
        <v>0</v>
      </c>
      <c r="AJ247" s="645">
        <f t="shared" si="620"/>
        <v>0</v>
      </c>
      <c r="AK247" s="645" t="str">
        <f t="shared" si="621"/>
        <v/>
      </c>
      <c r="AL247" s="645" t="str">
        <f t="shared" si="622"/>
        <v/>
      </c>
      <c r="AM247" s="645">
        <f t="shared" si="623"/>
        <v>0</v>
      </c>
      <c r="AN247" s="651">
        <f t="shared" si="624"/>
        <v>0</v>
      </c>
      <c r="AO247" s="623"/>
      <c r="AP247" s="632" t="str">
        <f t="shared" si="519"/>
        <v/>
      </c>
      <c r="AQ247" s="633">
        <f>IF(AC247=$V$3,IF(VLOOKUP(C247,[1]List1!$A:$E,5,FALSE)=0,1,VLOOKUP(C247,[1]List1!$A:$E,5,FALSE)),"")</f>
        <v>52</v>
      </c>
      <c r="AR247" s="625" t="str">
        <f t="shared" si="520"/>
        <v/>
      </c>
      <c r="AS247" s="634" t="str">
        <f t="shared" si="521"/>
        <v/>
      </c>
      <c r="AT247" s="625" t="str">
        <f t="shared" si="522"/>
        <v/>
      </c>
      <c r="AU247" s="638" t="e">
        <f t="shared" si="523"/>
        <v>#N/A</v>
      </c>
      <c r="AV247" s="625" t="e">
        <f t="shared" si="524"/>
        <v>#N/A</v>
      </c>
      <c r="AX247" s="625">
        <f>IF(AND('General price list'!$J247="F4",'General price list'!$AB247+0&gt;0),1,0)</f>
        <v>0</v>
      </c>
      <c r="AY247" s="625">
        <f t="shared" si="525"/>
        <v>1</v>
      </c>
      <c r="AZ247" s="625">
        <f t="shared" si="526"/>
        <v>0</v>
      </c>
    </row>
    <row r="248" spans="1:52" ht="15" customHeight="1">
      <c r="A248" s="621" t="str">
        <f>Kat.!C248</f>
        <v/>
      </c>
      <c r="B248" s="566">
        <f>IF(AND('General price list'!$J248="F4",$AI$1=FALSE),0,IF(AC248="SKLADEM",1,IF(AC248=$V$3,1,0)))</f>
        <v>1</v>
      </c>
      <c r="C248" s="567" t="s">
        <v>4186</v>
      </c>
      <c r="D248" s="568" t="s">
        <v>4187</v>
      </c>
      <c r="E248" s="763" t="s">
        <v>12716</v>
      </c>
      <c r="F248" s="772">
        <f>IFERROR(VLOOKUP(C248,[2]List1!$A:$D,3,FALSE),"NEUVEDENO!")</f>
        <v>79</v>
      </c>
      <c r="G248" s="769">
        <f t="shared" si="611"/>
        <v>79</v>
      </c>
      <c r="H248" s="766">
        <f t="shared" si="612"/>
        <v>3.3558044797865878</v>
      </c>
      <c r="I248" s="764">
        <f>IFERROR(VLOOKUP(C248,[2]List1!$A:$D,4,FALSE),"NEUVEDENO!")</f>
        <v>60</v>
      </c>
      <c r="J248" s="732" t="s">
        <v>113</v>
      </c>
      <c r="K248" s="569" t="s">
        <v>20</v>
      </c>
      <c r="L248" s="569" t="s">
        <v>10985</v>
      </c>
      <c r="M248" s="569" t="s">
        <v>21</v>
      </c>
      <c r="N248" s="569">
        <f>IFERROR(VLOOKUP(C248,[3]List1!$A:$D,4,FALSE),"N/A!")</f>
        <v>3.8376E-2</v>
      </c>
      <c r="O248" s="569">
        <f>IFERROR(VLOOKUP(C248,[3]List1!$A:$D,3,FALSE),"N/A!")</f>
        <v>1200</v>
      </c>
      <c r="P248" s="569">
        <f>IFERROR(VLOOKUP(C248,[3]List1!$A:$D,2,FALSE),"N/A!")</f>
        <v>25000</v>
      </c>
      <c r="Q248" s="569" t="s">
        <v>11267</v>
      </c>
      <c r="R248" s="569" t="s">
        <v>20</v>
      </c>
      <c r="S248" s="569"/>
      <c r="T248" s="569"/>
      <c r="U248" s="569"/>
      <c r="V248" s="569"/>
      <c r="W248" s="569" t="str">
        <f>IFERROR(IF(AND($AB248&gt;=0.1*$AA248,MOD($AB248,$AA248)&gt;=($AA248-(0.1*$AA248))),IF($W$17=$AF$1,"Zvažte možnost doobjednání ještě "&amp;Tabulka1[[#This Row],[VKPAL]]-MOD(AB248,AA248)&amp;" VK do plné palety.",VLOOKUP("Zvažte možnost doobjednání ještě ",Jazyky_ceník!A:Q,MATCH($W$17,Jazyky_ceník!$A$1:$Q$1,0),FALSE)&amp;Tabulka1[[#This Row],[VKPAL]]-MOD(AB248,AA248)&amp;VLOOKUP(" VK do plné palety.",Jazyky_ceník!A:Q,MATCH($W$17,Jazyky_ceník!$A$1:$Q$1,0),FALSE)),IFERROR(IF(AND(NOT(MOD($AB248,$AA248)=0),$AB248&gt;=0.9*$AA248,MOD($AB248,$AA248)&lt;=0.1*$AA248),IF($W$17=$AF$1,"Zvažte možnost optimalizace objednaného množství podle počtu VK na paletě ==&gt;",VLOOKUP("Zvažte možnost optimalizace objednaného množství podle počtu VK na paletě ==&gt;",Jazyky_ceník!A:Q,MATCH($W$17,Jazyky_ceník!$A$1:$Q$1,0),FALSE)),VLOOKUP('General price list'!$C248,Popisy!A:M,MATCH($W$17,Popisy!$A$7:$M$7,0),FALSE)),"---------------")),IFERROR(VLOOKUP('General price list'!$C248,Popisy!A:M,MATCH($W$17,Popisy!$A$7:$M$7,0),FALSE),"---------------"))</f>
        <v>síla výbuchu 120dB z 15m se zeleným světlem na začátku</v>
      </c>
      <c r="X248" s="569" t="str">
        <f t="shared" si="613"/>
        <v/>
      </c>
      <c r="Y248" s="569" t="str">
        <f t="shared" si="614"/>
        <v/>
      </c>
      <c r="Z248" s="569" t="str">
        <f>HYPERLINK("https://www.klasekpyrotechnics.cz/p6a13_gf3")</f>
        <v>https://www.klasekpyrotechnics.cz/p6a13_gf3</v>
      </c>
      <c r="AA248" s="569">
        <f>IFERROR(IF(VLOOKUP(C248,[4]List1!$A:$D,4,FALSE)=0,"",VLOOKUP(C248,[4]List1!$A:$D,4,FALSE)),"")</f>
        <v>26</v>
      </c>
      <c r="AB248" s="565"/>
      <c r="AC248" s="570" t="str">
        <f>IFERROR(IF(VLOOKUP(C248,[1]List1!$A:$D,2,FALSE)="VYPRODÁNO",$V$9,IF(VLOOKUP(C248,[1]List1!$A:$D,2,FALSE)="DOCHÁZÍ",$V$3,VLOOKUP(C248,[1]List1!$A:$D,2,FALSE))),"OFFLINE!")</f>
        <v>SKLADEM</v>
      </c>
      <c r="AD248" s="570" t="str">
        <f ca="1">IF(AP248="NE",$V$10,IF(AC248=$V$3,IF(AQ248&lt;1,$V$8,$V$2&amp;" "&amp;AQ248&amp;" "&amp;$V$1),IF(AC248="SKLADEM",$V$6,IFERROR(IF(OR(AC248-TODAY()&gt;45,VLOOKUP(C248,[1]List1!$A:$E,4,FALSE)=0),AC248,DAY(AC248)&amp;"."&amp;MONTH(AC248)&amp;"."&amp;YEAR(AC248)&amp;" "&amp;$V$4&amp;VLOOKUP(C248,[1]List1!$A:$E,4,FALSE)&amp;" "&amp;$V$1),AC248))))</f>
        <v>SKLADEM</v>
      </c>
      <c r="AE248" s="581" t="str">
        <f t="shared" ca="1" si="615"/>
        <v>SKLADEM</v>
      </c>
      <c r="AF248" s="584">
        <f t="shared" si="616"/>
        <v>0</v>
      </c>
      <c r="AG248" s="585">
        <f t="shared" si="617"/>
        <v>0</v>
      </c>
      <c r="AH248" s="583">
        <f t="shared" si="618"/>
        <v>0</v>
      </c>
      <c r="AI248" s="582">
        <f t="shared" si="619"/>
        <v>0</v>
      </c>
      <c r="AJ248" s="569">
        <f t="shared" si="620"/>
        <v>0</v>
      </c>
      <c r="AK248" s="569" t="str">
        <f t="shared" si="621"/>
        <v/>
      </c>
      <c r="AL248" s="569" t="str">
        <f t="shared" si="622"/>
        <v/>
      </c>
      <c r="AM248" s="569">
        <f t="shared" si="623"/>
        <v>0</v>
      </c>
      <c r="AN248" s="581">
        <f t="shared" si="624"/>
        <v>0</v>
      </c>
      <c r="AO248" s="623"/>
      <c r="AP248" s="632" t="str">
        <f t="shared" si="519"/>
        <v/>
      </c>
      <c r="AQ248" s="633" t="str">
        <f>IF(AC248=$V$3,IF(VLOOKUP(C248,[1]List1!$A:$E,5,FALSE)=0,1,VLOOKUP(C248,[1]List1!$A:$E,5,FALSE)),"")</f>
        <v/>
      </c>
      <c r="AR248" s="625" t="str">
        <f t="shared" si="520"/>
        <v/>
      </c>
      <c r="AS248" s="634" t="str">
        <f t="shared" si="521"/>
        <v/>
      </c>
      <c r="AT248" s="625" t="str">
        <f t="shared" si="522"/>
        <v/>
      </c>
      <c r="AU248" s="638" t="e">
        <f t="shared" si="523"/>
        <v>#N/A</v>
      </c>
      <c r="AV248" s="625" t="e">
        <f t="shared" si="524"/>
        <v>#N/A</v>
      </c>
      <c r="AX248" s="625">
        <f>IF(AND('General price list'!$J248="F4",'General price list'!$AB248+0&gt;0),1,0)</f>
        <v>0</v>
      </c>
      <c r="AY248" s="625">
        <f t="shared" si="525"/>
        <v>1</v>
      </c>
      <c r="AZ248" s="625">
        <f t="shared" si="526"/>
        <v>0</v>
      </c>
    </row>
    <row r="249" spans="1:52" ht="15" customHeight="1">
      <c r="A249" s="639" t="str">
        <f>Kat.!C249</f>
        <v/>
      </c>
      <c r="B249" s="640">
        <f>IF(AND('General price list'!$J249="F4",$AI$1=FALSE),0,IF(AC249="SKLADEM",1,IF(AC249=$V$3,1,0)))</f>
        <v>1</v>
      </c>
      <c r="C249" s="641" t="s">
        <v>4189</v>
      </c>
      <c r="D249" s="642" t="s">
        <v>4190</v>
      </c>
      <c r="E249" s="643" t="s">
        <v>12716</v>
      </c>
      <c r="F249" s="773">
        <f>IFERROR(VLOOKUP(C249,[2]List1!$A:$D,3,FALSE),"NEUVEDENO!")</f>
        <v>79</v>
      </c>
      <c r="G249" s="770">
        <f t="shared" si="611"/>
        <v>79</v>
      </c>
      <c r="H249" s="767">
        <f t="shared" si="612"/>
        <v>3.3558044797865878</v>
      </c>
      <c r="I249" s="644">
        <f>IFERROR(VLOOKUP(C249,[2]List1!$A:$D,4,FALSE),"NEUVEDENO!")</f>
        <v>60</v>
      </c>
      <c r="J249" s="733" t="s">
        <v>113</v>
      </c>
      <c r="K249" s="645" t="s">
        <v>20</v>
      </c>
      <c r="L249" s="645" t="s">
        <v>10985</v>
      </c>
      <c r="M249" s="645" t="s">
        <v>21</v>
      </c>
      <c r="N249" s="645">
        <f>IFERROR(VLOOKUP(C249,[3]List1!$A:$D,4,FALSE),"N/A!")</f>
        <v>3.8376E-2</v>
      </c>
      <c r="O249" s="645">
        <f>IFERROR(VLOOKUP(C249,[3]List1!$A:$D,3,FALSE),"N/A!")</f>
        <v>1200</v>
      </c>
      <c r="P249" s="645">
        <f>IFERROR(VLOOKUP(C249,[3]List1!$A:$D,2,FALSE),"N/A!")</f>
        <v>25000</v>
      </c>
      <c r="Q249" s="645" t="s">
        <v>11267</v>
      </c>
      <c r="R249" s="645"/>
      <c r="S249" s="645"/>
      <c r="T249" s="645"/>
      <c r="U249" s="645"/>
      <c r="V249" s="645"/>
      <c r="W249" s="645" t="str">
        <f>IFERROR(IF(AND($AB249&gt;=0.1*$AA249,MOD($AB249,$AA249)&gt;=($AA249-(0.1*$AA249))),IF($W$17=$AF$1,"Zvažte možnost doobjednání ještě "&amp;Tabulka1[[#This Row],[VKPAL]]-MOD(AB249,AA249)&amp;" VK do plné palety.",VLOOKUP("Zvažte možnost doobjednání ještě ",Jazyky_ceník!A:Q,MATCH($W$17,Jazyky_ceník!$A$1:$Q$1,0),FALSE)&amp;Tabulka1[[#This Row],[VKPAL]]-MOD(AB249,AA249)&amp;VLOOKUP(" VK do plné palety.",Jazyky_ceník!A:Q,MATCH($W$17,Jazyky_ceník!$A$1:$Q$1,0),FALSE)),IFERROR(IF(AND(NOT(MOD($AB249,$AA249)=0),$AB249&gt;=0.9*$AA249,MOD($AB249,$AA249)&lt;=0.1*$AA249),IF($W$17=$AF$1,"Zvažte možnost optimalizace objednaného množství podle počtu VK na paletě ==&gt;",VLOOKUP("Zvažte možnost optimalizace objednaného množství podle počtu VK na paletě ==&gt;",Jazyky_ceník!A:Q,MATCH($W$17,Jazyky_ceník!$A$1:$Q$1,0),FALSE)),VLOOKUP('General price list'!$C249,Popisy!A:M,MATCH($W$17,Popisy!$A$7:$M$7,0),FALSE)),"---------------")),IFERROR(VLOOKUP('General price list'!$C249,Popisy!A:M,MATCH($W$17,Popisy!$A$7:$M$7,0),FALSE),"---------------"))</f>
        <v>síla výbuchu 120dB z 15m s červeným světlem na začátku</v>
      </c>
      <c r="X249" s="645" t="str">
        <f t="shared" si="613"/>
        <v/>
      </c>
      <c r="Y249" s="645" t="str">
        <f t="shared" si="614"/>
        <v/>
      </c>
      <c r="Z249" s="645" t="str">
        <f>HYPERLINK("https://www.klasekpyrotechnics.cz/p6a13_rf3")</f>
        <v>https://www.klasekpyrotechnics.cz/p6a13_rf3</v>
      </c>
      <c r="AA249" s="645">
        <f>IFERROR(IF(VLOOKUP(C249,[4]List1!$A:$D,4,FALSE)=0,"",VLOOKUP(C249,[4]List1!$A:$D,4,FALSE)),"")</f>
        <v>26</v>
      </c>
      <c r="AB249" s="646"/>
      <c r="AC249" s="647" t="str">
        <f>IFERROR(IF(VLOOKUP(C249,[1]List1!$A:$D,2,FALSE)="VYPRODÁNO",$V$9,IF(VLOOKUP(C249,[1]List1!$A:$D,2,FALSE)="DOCHÁZÍ",$V$3,VLOOKUP(C249,[1]List1!$A:$D,2,FALSE))),"OFFLINE!")</f>
        <v>SKLADEM</v>
      </c>
      <c r="AD249" s="647" t="str">
        <f ca="1">IF(AP249="NE",$V$10,IF(AC249=$V$3,IF(AQ249&lt;1,$V$8,$V$2&amp;" "&amp;AQ249&amp;" "&amp;$V$1),IF(AC249="SKLADEM",$V$6,IFERROR(IF(OR(AC249-TODAY()&gt;45,VLOOKUP(C249,[1]List1!$A:$E,4,FALSE)=0),AC249,DAY(AC249)&amp;"."&amp;MONTH(AC249)&amp;"."&amp;YEAR(AC249)&amp;" "&amp;$V$4&amp;VLOOKUP(C249,[1]List1!$A:$E,4,FALSE)&amp;" "&amp;$V$1),AC249))))</f>
        <v>SKLADEM</v>
      </c>
      <c r="AE249" s="645" t="str">
        <f t="shared" ca="1" si="615"/>
        <v>SKLADEM</v>
      </c>
      <c r="AF249" s="648">
        <f t="shared" si="616"/>
        <v>0</v>
      </c>
      <c r="AG249" s="649">
        <f t="shared" si="617"/>
        <v>0</v>
      </c>
      <c r="AH249" s="650">
        <f t="shared" si="618"/>
        <v>0</v>
      </c>
      <c r="AI249" s="645">
        <f t="shared" si="619"/>
        <v>0</v>
      </c>
      <c r="AJ249" s="645">
        <f t="shared" si="620"/>
        <v>0</v>
      </c>
      <c r="AK249" s="645" t="str">
        <f t="shared" si="621"/>
        <v/>
      </c>
      <c r="AL249" s="645" t="str">
        <f t="shared" si="622"/>
        <v/>
      </c>
      <c r="AM249" s="645">
        <f t="shared" si="623"/>
        <v>0</v>
      </c>
      <c r="AN249" s="651">
        <f t="shared" si="624"/>
        <v>0</v>
      </c>
      <c r="AO249" s="623"/>
      <c r="AP249" s="632" t="str">
        <f t="shared" si="519"/>
        <v/>
      </c>
      <c r="AQ249" s="633" t="str">
        <f>IF(AC249=$V$3,IF(VLOOKUP(C249,[1]List1!$A:$E,5,FALSE)=0,1,VLOOKUP(C249,[1]List1!$A:$E,5,FALSE)),"")</f>
        <v/>
      </c>
      <c r="AR249" s="625" t="str">
        <f t="shared" si="520"/>
        <v/>
      </c>
      <c r="AS249" s="634" t="str">
        <f t="shared" si="521"/>
        <v/>
      </c>
      <c r="AT249" s="625" t="str">
        <f t="shared" si="522"/>
        <v/>
      </c>
      <c r="AU249" s="638" t="e">
        <f t="shared" si="523"/>
        <v>#N/A</v>
      </c>
      <c r="AV249" s="625" t="e">
        <f t="shared" si="524"/>
        <v>#N/A</v>
      </c>
      <c r="AX249" s="625">
        <f>IF(AND('General price list'!$J249="F4",'General price list'!$AB249+0&gt;0),1,0)</f>
        <v>0</v>
      </c>
      <c r="AY249" s="625">
        <f t="shared" si="525"/>
        <v>1</v>
      </c>
      <c r="AZ249" s="625">
        <f t="shared" si="526"/>
        <v>0</v>
      </c>
    </row>
    <row r="250" spans="1:52" ht="15" customHeight="1">
      <c r="A250" s="751" t="str">
        <f>Kat.!C250</f>
        <v xml:space="preserve">           Petardy se zápalnou šňůrou P1</v>
      </c>
      <c r="B250" s="751"/>
      <c r="C250" s="751"/>
      <c r="D250" s="751"/>
      <c r="E250" s="751"/>
      <c r="F250" s="751"/>
      <c r="G250" s="751"/>
      <c r="H250" s="751"/>
      <c r="I250" s="752"/>
      <c r="J250" s="752"/>
      <c r="K250" s="752" t="s">
        <v>20</v>
      </c>
      <c r="L250" s="753" t="s">
        <v>20</v>
      </c>
      <c r="M250" s="752"/>
      <c r="N250" s="752"/>
      <c r="O250" s="752"/>
      <c r="P250" s="752"/>
      <c r="Q250" s="752"/>
      <c r="R250" s="752"/>
      <c r="S250" s="752"/>
      <c r="T250" s="752"/>
      <c r="U250" s="752"/>
      <c r="V250" s="752"/>
      <c r="W250" s="752"/>
      <c r="X250" s="752"/>
      <c r="Y250" s="752"/>
      <c r="Z250" s="752" t="s">
        <v>20</v>
      </c>
      <c r="AA250" s="752"/>
      <c r="AB250" s="752"/>
      <c r="AC250" s="754"/>
      <c r="AD250" s="752"/>
      <c r="AE250" s="752"/>
      <c r="AF250" s="752"/>
      <c r="AG250" s="752"/>
      <c r="AH250" s="752"/>
      <c r="AI250" s="752"/>
      <c r="AJ250" s="752"/>
      <c r="AK250" s="752"/>
      <c r="AL250" s="752"/>
      <c r="AM250" s="752"/>
      <c r="AN250" s="752"/>
      <c r="AO250" s="623"/>
      <c r="AP250" s="632" t="str">
        <f t="shared" si="519"/>
        <v/>
      </c>
      <c r="AQ250" s="633" t="str">
        <f>IF(AC250=$V$3,IF(VLOOKUP(C250,[1]List1!$A:$E,5,FALSE)=0,1,VLOOKUP(C250,[1]List1!$A:$E,5,FALSE)),"")</f>
        <v/>
      </c>
      <c r="AR250" s="625" t="str">
        <f t="shared" si="520"/>
        <v/>
      </c>
      <c r="AS250" s="634" t="str">
        <f t="shared" si="521"/>
        <v/>
      </c>
      <c r="AT250" s="625" t="str">
        <f t="shared" si="522"/>
        <v/>
      </c>
      <c r="AU250" s="638" t="e">
        <f t="shared" si="523"/>
        <v>#N/A</v>
      </c>
      <c r="AV250" s="625" t="e">
        <f t="shared" si="524"/>
        <v>#N/A</v>
      </c>
      <c r="AX250" s="625">
        <f>IF(AND('General price list'!$J250="F4",'General price list'!$AB250+0&gt;0),1,0)</f>
        <v>0</v>
      </c>
      <c r="AY250" s="625">
        <f t="shared" si="525"/>
        <v>0</v>
      </c>
      <c r="AZ250" s="625">
        <f t="shared" si="526"/>
        <v>0</v>
      </c>
    </row>
    <row r="251" spans="1:52" ht="15" customHeight="1">
      <c r="A251" s="639" t="str">
        <f>Kat.!C251</f>
        <v/>
      </c>
      <c r="B251" s="640">
        <f>IF(AND('General price list'!$J251="F4",$AI$1=FALSE),0,IF(AC251="SKLADEM",1,IF(AC251=$V$3,1,0)))</f>
        <v>1</v>
      </c>
      <c r="C251" s="641" t="s">
        <v>10948</v>
      </c>
      <c r="D251" s="642" t="s">
        <v>11701</v>
      </c>
      <c r="E251" s="643" t="s">
        <v>12660</v>
      </c>
      <c r="F251" s="771">
        <f>IFERROR(VLOOKUP(C251,[2]List1!$A:$D,3,FALSE),"NEUVEDENO!")</f>
        <v>109</v>
      </c>
      <c r="G251" s="768">
        <f t="shared" ref="G251:G253" si="625">IF($W$17=$AF$8,ROUND((F251)/$F$17,2),(F251)*$B$19)</f>
        <v>109</v>
      </c>
      <c r="H251" s="765">
        <f t="shared" ref="H251:H253" si="626">IF($W$17=$AF$8,G251*$B$19,G251/$F$17)</f>
        <v>4.6301606113511147</v>
      </c>
      <c r="I251" s="644">
        <f>IFERROR(VLOOKUP(C251,[2]List1!$A:$D,4,FALSE),"NEUVEDENO!")</f>
        <v>100</v>
      </c>
      <c r="J251" s="733" t="s">
        <v>208</v>
      </c>
      <c r="K251" s="645" t="s">
        <v>9806</v>
      </c>
      <c r="L251" s="645" t="s">
        <v>15082</v>
      </c>
      <c r="M251" s="645" t="s">
        <v>114</v>
      </c>
      <c r="N251" s="645">
        <f>IFERROR(VLOOKUP(C251,[3]List1!$A:$D,4,FALSE),"N/A!")</f>
        <v>2.1599999999999998E-2</v>
      </c>
      <c r="O251" s="645">
        <f>IFERROR(VLOOKUP(C251,[3]List1!$A:$D,3,FALSE),"N/A!")</f>
        <v>1320</v>
      </c>
      <c r="P251" s="645">
        <f>IFERROR(VLOOKUP(C251,[3]List1!$A:$D,2,FALSE),"N/A!")</f>
        <v>10300</v>
      </c>
      <c r="Q251" s="645" t="s">
        <v>15</v>
      </c>
      <c r="R251" s="645" t="s">
        <v>20</v>
      </c>
      <c r="S251" s="645"/>
      <c r="T251" s="645"/>
      <c r="U251" s="645"/>
      <c r="V251" s="645"/>
      <c r="W251" s="645" t="str">
        <f>IFERROR(IF(AND($AB251&gt;=0.1*$AA251,MOD($AB251,$AA251)&gt;=($AA251-(0.1*$AA251))),IF($W$17=$AF$1,"Zvažte možnost doobjednání ještě "&amp;Tabulka1[[#This Row],[VKPAL]]-MOD(AB251,AA251)&amp;" VK do plné palety.",VLOOKUP("Zvažte možnost doobjednání ještě ",Jazyky_ceník!A:Q,MATCH($W$17,Jazyky_ceník!$A$1:$Q$1,0),FALSE)&amp;Tabulka1[[#This Row],[VKPAL]]-MOD(AB251,AA251)&amp;VLOOKUP(" VK do plné palety.",Jazyky_ceník!A:Q,MATCH($W$17,Jazyky_ceník!$A$1:$Q$1,0),FALSE)),IFERROR(IF(AND(NOT(MOD($AB251,$AA251)=0),$AB251&gt;=0.9*$AA251,MOD($AB251,$AA251)&lt;=0.1*$AA251),IF($W$17=$AF$1,"Zvažte možnost optimalizace objednaného množství podle počtu VK na paletě ==&gt;",VLOOKUP("Zvažte možnost optimalizace objednaného množství podle počtu VK na paletě ==&gt;",Jazyky_ceník!A:Q,MATCH($W$17,Jazyky_ceník!$A$1:$Q$1,0),FALSE)),VLOOKUP('General price list'!$C251,Popisy!A:M,MATCH($W$17,Popisy!$A$7:$M$7,0),FALSE)),"---------------")),IFERROR(VLOOKUP('General price list'!$C251,Popisy!A:M,MATCH($W$17,Popisy!$A$7:$M$7,0),FALSE),"---------------"))</f>
        <v>síla výbuchu 120dB z 15m, vyrobeno v Evropě, plastová ucpávka</v>
      </c>
      <c r="X251" s="645" t="str">
        <f t="shared" ref="X251:X253" si="627">IF(AB251&lt;0.0001,"",AB251)</f>
        <v/>
      </c>
      <c r="Y251" s="645" t="str">
        <f t="shared" ref="Y251:Y253" si="628">IF($AL$3=2,IF(OR(AB251&lt;&gt;"",AB251&lt;&gt;0),AU251,""),IF(C251="","",IF(AB251&lt;0.0001,"",IF(B251=0,"",IF(AQ251&lt;AB251,"",AB251)))))</f>
        <v/>
      </c>
      <c r="Z251" s="645" t="str">
        <f>HYPERLINK("https://www.klasekpyrotechnics.cz/p066d20p1")</f>
        <v>https://www.klasekpyrotechnics.cz/p066d20p1</v>
      </c>
      <c r="AA251" s="645">
        <f>IFERROR(IF(VLOOKUP(C251,[4]List1!$A:$D,4,FALSE)=0,"",VLOOKUP(C251,[4]List1!$A:$D,4,FALSE)),"")</f>
        <v>60</v>
      </c>
      <c r="AB251" s="646"/>
      <c r="AC251" s="647" t="str">
        <f>IFERROR(IF(VLOOKUP(C251,[1]List1!$A:$D,2,FALSE)="VYPRODÁNO",$V$9,IF(VLOOKUP(C251,[1]List1!$A:$D,2,FALSE)="DOCHÁZÍ",$V$3,VLOOKUP(C251,[1]List1!$A:$D,2,FALSE))),"OFFLINE!")</f>
        <v>SKLADEM</v>
      </c>
      <c r="AD251" s="647" t="str">
        <f ca="1">IF(AP251="NE",$V$10,IF(AC251=$V$3,IF(AQ251&lt;1,$V$8,$V$2&amp;" "&amp;AQ251&amp;" "&amp;$V$1),IF(AC251="SKLADEM",$V$6,IFERROR(IF(OR(AC251-TODAY()&gt;45,VLOOKUP(C251,[1]List1!$A:$E,4,FALSE)=0),AC251,DAY(AC251)&amp;"."&amp;MONTH(AC251)&amp;"."&amp;YEAR(AC251)&amp;" "&amp;$V$4&amp;VLOOKUP(C251,[1]List1!$A:$E,4,FALSE)&amp;" "&amp;$V$1),AC251))))</f>
        <v>SKLADEM</v>
      </c>
      <c r="AE251" s="645" t="str">
        <f t="shared" ref="AE251:AE253" ca="1" si="629">IFERROR(IF(AV251&lt;&gt;"",AV251,AD251),AD251)</f>
        <v>SKLADEM</v>
      </c>
      <c r="AF251" s="648">
        <f t="shared" ref="AF251:AF253" si="630">IFERROR(IF(AB251=Y251,G251*I251*Y251,0),0)</f>
        <v>0</v>
      </c>
      <c r="AG251" s="649">
        <f t="shared" ref="AG251:AG253" si="631">IF($W$17=$AF$8,AH251*1.23,AF251*1.21)</f>
        <v>0</v>
      </c>
      <c r="AH251" s="650">
        <f t="shared" ref="AH251:AH253" si="632">IFERROR(IF(Y251=AB251,H251*I251*Y251,0),0)</f>
        <v>0</v>
      </c>
      <c r="AI251" s="645">
        <f t="shared" ref="AI251:AI253" si="633">IFERROR(IF(Y251=AB251,(P251*Y251)/1000,1),0)</f>
        <v>0</v>
      </c>
      <c r="AJ251" s="645">
        <f t="shared" ref="AJ251:AJ253" si="634">IFERROR(IF(Y251=AB251,N251*Y251,0.1),0)</f>
        <v>0</v>
      </c>
      <c r="AK251" s="645" t="str">
        <f t="shared" ref="AK251:AK253" si="635">IFERROR(IF(Y251=AB251,IF(M251="1.1G",(O251/1000)*Y251,""),""),0)</f>
        <v/>
      </c>
      <c r="AL251" s="645">
        <f t="shared" ref="AL251:AL253" si="636">IFERROR(IF(Y251=AB251,IF(M251="1.3G",(O251/1000)*AB251,""),""),0)</f>
        <v>0</v>
      </c>
      <c r="AM251" s="645" t="str">
        <f t="shared" ref="AM251:AM253" si="637">IFERROR(IF(Y251=AB251,IF(M251="1.4G",(O251/1000)*AB251,""),""),0)</f>
        <v/>
      </c>
      <c r="AN251" s="651">
        <f t="shared" ref="AN251:AN253" si="638">SUM(AK251:AM251)</f>
        <v>0</v>
      </c>
      <c r="AO251" s="623"/>
      <c r="AP251" s="632" t="str">
        <f t="shared" si="519"/>
        <v/>
      </c>
      <c r="AQ251" s="633" t="str">
        <f>IF(AC251=$V$3,IF(VLOOKUP(C251,[1]List1!$A:$E,5,FALSE)=0,1,VLOOKUP(C251,[1]List1!$A:$E,5,FALSE)),"")</f>
        <v/>
      </c>
      <c r="AR251" s="625" t="str">
        <f t="shared" si="520"/>
        <v/>
      </c>
      <c r="AS251" s="634" t="str">
        <f t="shared" si="521"/>
        <v/>
      </c>
      <c r="AT251" s="625" t="str">
        <f t="shared" si="522"/>
        <v/>
      </c>
      <c r="AU251" s="638" t="e">
        <f t="shared" si="523"/>
        <v>#N/A</v>
      </c>
      <c r="AV251" s="625" t="e">
        <f t="shared" si="524"/>
        <v>#N/A</v>
      </c>
      <c r="AX251" s="625">
        <f>IF(AND('General price list'!$J251="F4",'General price list'!$AB251+0&gt;0),1,0)</f>
        <v>0</v>
      </c>
      <c r="AY251" s="625">
        <f t="shared" si="525"/>
        <v>1</v>
      </c>
      <c r="AZ251" s="625">
        <f t="shared" si="526"/>
        <v>0</v>
      </c>
    </row>
    <row r="252" spans="1:52" ht="15" customHeight="1">
      <c r="A252" s="621" t="str">
        <f>Kat.!C252</f>
        <v/>
      </c>
      <c r="B252" s="566">
        <f>IF(AND('General price list'!$J252="F4",$AI$1=FALSE),0,IF(AC252="SKLADEM",1,IF(AC252=$V$3,1,0)))</f>
        <v>1</v>
      </c>
      <c r="C252" s="567" t="s">
        <v>11202</v>
      </c>
      <c r="D252" s="568" t="s">
        <v>654</v>
      </c>
      <c r="E252" s="763" t="s">
        <v>12715</v>
      </c>
      <c r="F252" s="772">
        <f>IFERROR(VLOOKUP(C252,[2]List1!$A:$D,3,FALSE),"NEUVEDENO!")</f>
        <v>79</v>
      </c>
      <c r="G252" s="769">
        <f t="shared" si="625"/>
        <v>79</v>
      </c>
      <c r="H252" s="766">
        <f t="shared" si="626"/>
        <v>3.3558044797865878</v>
      </c>
      <c r="I252" s="764">
        <f>IFERROR(VLOOKUP(C252,[2]List1!$A:$D,4,FALSE),"NEUVEDENO!")</f>
        <v>50</v>
      </c>
      <c r="J252" s="732" t="s">
        <v>208</v>
      </c>
      <c r="K252" s="569" t="s">
        <v>20</v>
      </c>
      <c r="L252" s="569"/>
      <c r="M252" s="569" t="s">
        <v>21</v>
      </c>
      <c r="N252" s="569">
        <f>IFERROR(VLOOKUP(C252,[3]List1!$A:$D,4,FALSE),"N/A!")</f>
        <v>2.64E-2</v>
      </c>
      <c r="O252" s="569">
        <f>IFERROR(VLOOKUP(C252,[3]List1!$A:$D,3,FALSE),"N/A!")</f>
        <v>490.00000000000006</v>
      </c>
      <c r="P252" s="569">
        <f>IFERROR(VLOOKUP(C252,[3]List1!$A:$D,2,FALSE),"N/A!")</f>
        <v>15500</v>
      </c>
      <c r="Q252" s="569" t="s">
        <v>11268</v>
      </c>
      <c r="R252" s="569" t="s">
        <v>20</v>
      </c>
      <c r="S252" s="569"/>
      <c r="T252" s="569"/>
      <c r="U252" s="569"/>
      <c r="V252" s="569"/>
      <c r="W252" s="569" t="str">
        <f>IFERROR(IF(AND($AB252&gt;=0.1*$AA252,MOD($AB252,$AA252)&gt;=($AA252-(0.1*$AA252))),IF($W$17=$AF$1,"Zvažte možnost doobjednání ještě "&amp;Tabulka1[[#This Row],[VKPAL]]-MOD(AB252,AA252)&amp;" VK do plné palety.",VLOOKUP("Zvažte možnost doobjednání ještě ",Jazyky_ceník!A:Q,MATCH($W$17,Jazyky_ceník!$A$1:$Q$1,0),FALSE)&amp;Tabulka1[[#This Row],[VKPAL]]-MOD(AB252,AA252)&amp;VLOOKUP(" VK do plné palety.",Jazyky_ceník!A:Q,MATCH($W$17,Jazyky_ceník!$A$1:$Q$1,0),FALSE)),IFERROR(IF(AND(NOT(MOD($AB252,$AA252)=0),$AB252&gt;=0.9*$AA252,MOD($AB252,$AA252)&lt;=0.1*$AA252),IF($W$17=$AF$1,"Zvažte možnost optimalizace objednaného množství podle počtu VK na paletě ==&gt;",VLOOKUP("Zvažte možnost optimalizace objednaného množství podle počtu VK na paletě ==&gt;",Jazyky_ceník!A:Q,MATCH($W$17,Jazyky_ceník!$A$1:$Q$1,0),FALSE)),VLOOKUP('General price list'!$C252,Popisy!A:M,MATCH($W$17,Popisy!$A$7:$M$7,0),FALSE)),"---------------")),IFERROR(VLOOKUP('General price list'!$C252,Popisy!A:M,MATCH($W$17,Popisy!$A$7:$M$7,0),FALSE),"---------------"))</f>
        <v>síla výbuchu 120dB z 15m se zeleným světlem na začátku</v>
      </c>
      <c r="X252" s="569" t="str">
        <f t="shared" si="627"/>
        <v/>
      </c>
      <c r="Y252" s="569" t="str">
        <f t="shared" si="628"/>
        <v/>
      </c>
      <c r="Z252" s="569" t="str">
        <f>HYPERLINK("https://www.klasekpyrotechnics.cz/p5du13_1")</f>
        <v>https://www.klasekpyrotechnics.cz/p5du13_1</v>
      </c>
      <c r="AA252" s="569">
        <f>IFERROR(IF(VLOOKUP(C252,[4]List1!$A:$D,4,FALSE)=0,"",VLOOKUP(C252,[4]List1!$A:$D,4,FALSE)),"")</f>
        <v>42</v>
      </c>
      <c r="AB252" s="565"/>
      <c r="AC252" s="570" t="str">
        <f>IFERROR(IF(VLOOKUP(C252,[1]List1!$A:$D,2,FALSE)="VYPRODÁNO",$V$9,IF(VLOOKUP(C252,[1]List1!$A:$D,2,FALSE)="DOCHÁZÍ",$V$3,VLOOKUP(C252,[1]List1!$A:$D,2,FALSE))),"OFFLINE!")</f>
        <v>SKLADEM</v>
      </c>
      <c r="AD252" s="570" t="str">
        <f ca="1">IF(AP252="NE",$V$10,IF(AC252=$V$3,IF(AQ252&lt;1,$V$8,$V$2&amp;" "&amp;AQ252&amp;" "&amp;$V$1),IF(AC252="SKLADEM",$V$6,IFERROR(IF(OR(AC252-TODAY()&gt;45,VLOOKUP(C252,[1]List1!$A:$E,4,FALSE)=0),AC252,DAY(AC252)&amp;"."&amp;MONTH(AC252)&amp;"."&amp;YEAR(AC252)&amp;" "&amp;$V$4&amp;VLOOKUP(C252,[1]List1!$A:$E,4,FALSE)&amp;" "&amp;$V$1),AC252))))</f>
        <v>SKLADEM</v>
      </c>
      <c r="AE252" s="581" t="str">
        <f t="shared" ca="1" si="629"/>
        <v>SKLADEM</v>
      </c>
      <c r="AF252" s="584">
        <f t="shared" si="630"/>
        <v>0</v>
      </c>
      <c r="AG252" s="585">
        <f t="shared" si="631"/>
        <v>0</v>
      </c>
      <c r="AH252" s="583">
        <f t="shared" si="632"/>
        <v>0</v>
      </c>
      <c r="AI252" s="582">
        <f t="shared" si="633"/>
        <v>0</v>
      </c>
      <c r="AJ252" s="569">
        <f t="shared" si="634"/>
        <v>0</v>
      </c>
      <c r="AK252" s="569" t="str">
        <f t="shared" si="635"/>
        <v/>
      </c>
      <c r="AL252" s="569" t="str">
        <f t="shared" si="636"/>
        <v/>
      </c>
      <c r="AM252" s="569">
        <f t="shared" si="637"/>
        <v>0</v>
      </c>
      <c r="AN252" s="581">
        <f t="shared" si="638"/>
        <v>0</v>
      </c>
      <c r="AO252" s="623"/>
      <c r="AP252" s="632" t="str">
        <f t="shared" si="519"/>
        <v/>
      </c>
      <c r="AQ252" s="633" t="str">
        <f>IF(AC252=$V$3,IF(VLOOKUP(C252,[1]List1!$A:$E,5,FALSE)=0,1,VLOOKUP(C252,[1]List1!$A:$E,5,FALSE)),"")</f>
        <v/>
      </c>
      <c r="AR252" s="625" t="str">
        <f t="shared" si="520"/>
        <v/>
      </c>
      <c r="AS252" s="634" t="str">
        <f t="shared" si="521"/>
        <v/>
      </c>
      <c r="AT252" s="625" t="str">
        <f t="shared" si="522"/>
        <v/>
      </c>
      <c r="AU252" s="638" t="e">
        <f t="shared" si="523"/>
        <v>#N/A</v>
      </c>
      <c r="AV252" s="625" t="e">
        <f t="shared" si="524"/>
        <v>#N/A</v>
      </c>
      <c r="AX252" s="625">
        <f>IF(AND('General price list'!$J252="F4",'General price list'!$AB252+0&gt;0),1,0)</f>
        <v>0</v>
      </c>
      <c r="AY252" s="625">
        <f t="shared" si="525"/>
        <v>1</v>
      </c>
      <c r="AZ252" s="625">
        <f t="shared" si="526"/>
        <v>0</v>
      </c>
    </row>
    <row r="253" spans="1:52" ht="15" customHeight="1">
      <c r="A253" s="639" t="str">
        <f>Kat.!C253</f>
        <v/>
      </c>
      <c r="B253" s="640">
        <f>IF(AND('General price list'!$J253="F4",$AI$1=FALSE),0,IF(AC253="SKLADEM",1,IF(AC253=$V$3,1,0)))</f>
        <v>1</v>
      </c>
      <c r="C253" s="641" t="s">
        <v>11632</v>
      </c>
      <c r="D253" s="642" t="s">
        <v>11702</v>
      </c>
      <c r="E253" s="643" t="s">
        <v>12717</v>
      </c>
      <c r="F253" s="773">
        <f>IFERROR(VLOOKUP(C253,[2]List1!$A:$D,3,FALSE),"NEUVEDENO!")</f>
        <v>144</v>
      </c>
      <c r="G253" s="770">
        <f t="shared" si="625"/>
        <v>144</v>
      </c>
      <c r="H253" s="767">
        <f t="shared" si="626"/>
        <v>6.1169094315097299</v>
      </c>
      <c r="I253" s="644">
        <f>IFERROR(VLOOKUP(C253,[2]List1!$A:$D,4,FALSE),"NEUVEDENO!")</f>
        <v>75</v>
      </c>
      <c r="J253" s="733" t="s">
        <v>208</v>
      </c>
      <c r="K253" s="645" t="s">
        <v>9806</v>
      </c>
      <c r="L253" s="645" t="s">
        <v>15082</v>
      </c>
      <c r="M253" s="645" t="s">
        <v>114</v>
      </c>
      <c r="N253" s="645">
        <f>IFERROR(VLOOKUP(C253,[3]List1!$A:$D,4,FALSE),"N/A!")</f>
        <v>3.0995999999999999E-2</v>
      </c>
      <c r="O253" s="645">
        <f>IFERROR(VLOOKUP(C253,[3]List1!$A:$D,3,FALSE),"N/A!")</f>
        <v>3000</v>
      </c>
      <c r="P253" s="645">
        <f>IFERROR(VLOOKUP(C253,[3]List1!$A:$D,2,FALSE),"N/A!")</f>
        <v>15300</v>
      </c>
      <c r="Q253" s="645" t="s">
        <v>11265</v>
      </c>
      <c r="R253" s="645"/>
      <c r="S253" s="645"/>
      <c r="T253" s="645"/>
      <c r="U253" s="645"/>
      <c r="V253" s="645"/>
      <c r="W253" s="645" t="str">
        <f>IFERROR(IF(AND($AB253&gt;=0.1*$AA253,MOD($AB253,$AA253)&gt;=($AA253-(0.1*$AA253))),IF($W$17=$AF$1,"Zvažte možnost doobjednání ještě "&amp;Tabulka1[[#This Row],[VKPAL]]-MOD(AB253,AA253)&amp;" VK do plné palety.",VLOOKUP("Zvažte možnost doobjednání ještě ",Jazyky_ceník!A:Q,MATCH($W$17,Jazyky_ceník!$A$1:$Q$1,0),FALSE)&amp;Tabulka1[[#This Row],[VKPAL]]-MOD(AB253,AA253)&amp;VLOOKUP(" VK do plné palety.",Jazyky_ceník!A:Q,MATCH($W$17,Jazyky_ceník!$A$1:$Q$1,0),FALSE)),IFERROR(IF(AND(NOT(MOD($AB253,$AA253)=0),$AB253&gt;=0.9*$AA253,MOD($AB253,$AA253)&lt;=0.1*$AA253),IF($W$17=$AF$1,"Zvažte možnost optimalizace objednaného množství podle počtu VK na paletě ==&gt;",VLOOKUP("Zvažte možnost optimalizace objednaného množství podle počtu VK na paletě ==&gt;",Jazyky_ceník!A:Q,MATCH($W$17,Jazyky_ceník!$A$1:$Q$1,0),FALSE)),VLOOKUP('General price list'!$C253,Popisy!A:M,MATCH($W$17,Popisy!$A$7:$M$7,0),FALSE)),"---------------")),IFERROR(VLOOKUP('General price list'!$C253,Popisy!A:M,MATCH($W$17,Popisy!$A$7:$M$7,0),FALSE),"---------------"))</f>
        <v>síla výbuchu 120dB z 15m, vyrobeno v Evropě, plastová ucpávka</v>
      </c>
      <c r="X253" s="645" t="str">
        <f t="shared" si="627"/>
        <v/>
      </c>
      <c r="Y253" s="645" t="str">
        <f t="shared" si="628"/>
        <v/>
      </c>
      <c r="Z253" s="645" t="str">
        <f>HYPERLINK("https://www.klasekpyrotechnics.cz/p2gp1")</f>
        <v>https://www.klasekpyrotechnics.cz/p2gp1</v>
      </c>
      <c r="AA253" s="645">
        <f>IFERROR(IF(VLOOKUP(C253,[4]List1!$A:$D,4,FALSE)=0,"",VLOOKUP(C253,[4]List1!$A:$D,4,FALSE)),"")</f>
        <v>24</v>
      </c>
      <c r="AB253" s="646"/>
      <c r="AC253" s="647" t="str">
        <f>IFERROR(IF(VLOOKUP(C253,[1]List1!$A:$D,2,FALSE)="VYPRODÁNO",$V$9,IF(VLOOKUP(C253,[1]List1!$A:$D,2,FALSE)="DOCHÁZÍ",$V$3,VLOOKUP(C253,[1]List1!$A:$D,2,FALSE))),"OFFLINE!")</f>
        <v>SKLADEM</v>
      </c>
      <c r="AD253" s="647" t="str">
        <f ca="1">IF(AP253="NE",$V$10,IF(AC253=$V$3,IF(AQ253&lt;1,$V$8,$V$2&amp;" "&amp;AQ253&amp;" "&amp;$V$1),IF(AC253="SKLADEM",$V$6,IFERROR(IF(OR(AC253-TODAY()&gt;45,VLOOKUP(C253,[1]List1!$A:$E,4,FALSE)=0),AC253,DAY(AC253)&amp;"."&amp;MONTH(AC253)&amp;"."&amp;YEAR(AC253)&amp;" "&amp;$V$4&amp;VLOOKUP(C253,[1]List1!$A:$E,4,FALSE)&amp;" "&amp;$V$1),AC253))))</f>
        <v>SKLADEM</v>
      </c>
      <c r="AE253" s="645" t="str">
        <f t="shared" ca="1" si="629"/>
        <v>SKLADEM</v>
      </c>
      <c r="AF253" s="648">
        <f t="shared" si="630"/>
        <v>0</v>
      </c>
      <c r="AG253" s="649">
        <f t="shared" si="631"/>
        <v>0</v>
      </c>
      <c r="AH253" s="650">
        <f t="shared" si="632"/>
        <v>0</v>
      </c>
      <c r="AI253" s="645">
        <f t="shared" si="633"/>
        <v>0</v>
      </c>
      <c r="AJ253" s="645">
        <f t="shared" si="634"/>
        <v>0</v>
      </c>
      <c r="AK253" s="645" t="str">
        <f t="shared" si="635"/>
        <v/>
      </c>
      <c r="AL253" s="645">
        <f t="shared" si="636"/>
        <v>0</v>
      </c>
      <c r="AM253" s="645" t="str">
        <f t="shared" si="637"/>
        <v/>
      </c>
      <c r="AN253" s="651">
        <f t="shared" si="638"/>
        <v>0</v>
      </c>
      <c r="AO253" s="623"/>
      <c r="AP253" s="632" t="str">
        <f t="shared" si="519"/>
        <v/>
      </c>
      <c r="AQ253" s="633" t="str">
        <f>IF(AC253=$V$3,IF(VLOOKUP(C253,[1]List1!$A:$E,5,FALSE)=0,1,VLOOKUP(C253,[1]List1!$A:$E,5,FALSE)),"")</f>
        <v/>
      </c>
      <c r="AR253" s="625" t="str">
        <f t="shared" si="520"/>
        <v/>
      </c>
      <c r="AS253" s="634" t="str">
        <f t="shared" si="521"/>
        <v/>
      </c>
      <c r="AT253" s="625" t="str">
        <f t="shared" si="522"/>
        <v/>
      </c>
      <c r="AU253" s="638" t="e">
        <f t="shared" si="523"/>
        <v>#N/A</v>
      </c>
      <c r="AV253" s="625" t="e">
        <f t="shared" si="524"/>
        <v>#N/A</v>
      </c>
      <c r="AX253" s="625">
        <f>IF(AND('General price list'!$J253="F4",'General price list'!$AB253+0&gt;0),1,0)</f>
        <v>0</v>
      </c>
      <c r="AY253" s="625">
        <f t="shared" si="525"/>
        <v>1</v>
      </c>
      <c r="AZ253" s="625">
        <f t="shared" si="526"/>
        <v>0</v>
      </c>
    </row>
    <row r="254" spans="1:52" ht="15" customHeight="1">
      <c r="A254" s="751" t="str">
        <f>Kat.!C254</f>
        <v xml:space="preserve">           Petardy se zápalnou šňůrou F4 + T2</v>
      </c>
      <c r="B254" s="751"/>
      <c r="C254" s="751"/>
      <c r="D254" s="751"/>
      <c r="E254" s="751"/>
      <c r="F254" s="751"/>
      <c r="G254" s="751"/>
      <c r="H254" s="751"/>
      <c r="I254" s="752"/>
      <c r="J254" s="752"/>
      <c r="K254" s="752" t="s">
        <v>20</v>
      </c>
      <c r="L254" s="753" t="s">
        <v>20</v>
      </c>
      <c r="M254" s="752"/>
      <c r="N254" s="752"/>
      <c r="O254" s="752"/>
      <c r="P254" s="752"/>
      <c r="Q254" s="752"/>
      <c r="R254" s="752"/>
      <c r="S254" s="752"/>
      <c r="T254" s="752"/>
      <c r="U254" s="752"/>
      <c r="V254" s="752"/>
      <c r="W254" s="752"/>
      <c r="X254" s="752"/>
      <c r="Y254" s="752"/>
      <c r="Z254" s="752" t="s">
        <v>20</v>
      </c>
      <c r="AA254" s="752"/>
      <c r="AB254" s="752"/>
      <c r="AC254" s="754"/>
      <c r="AD254" s="752"/>
      <c r="AE254" s="752"/>
      <c r="AF254" s="752"/>
      <c r="AG254" s="752"/>
      <c r="AH254" s="752"/>
      <c r="AI254" s="752"/>
      <c r="AJ254" s="752"/>
      <c r="AK254" s="752"/>
      <c r="AL254" s="752"/>
      <c r="AM254" s="752"/>
      <c r="AN254" s="752"/>
      <c r="AO254" s="623"/>
      <c r="AP254" s="632" t="str">
        <f t="shared" si="519"/>
        <v/>
      </c>
      <c r="AQ254" s="633" t="str">
        <f>IF(AC254=$V$3,IF(VLOOKUP(C254,[1]List1!$A:$E,5,FALSE)=0,1,VLOOKUP(C254,[1]List1!$A:$E,5,FALSE)),"")</f>
        <v/>
      </c>
      <c r="AR254" s="625" t="str">
        <f t="shared" si="520"/>
        <v/>
      </c>
      <c r="AS254" s="634" t="str">
        <f t="shared" si="521"/>
        <v/>
      </c>
      <c r="AT254" s="625" t="str">
        <f t="shared" si="522"/>
        <v/>
      </c>
      <c r="AU254" s="638" t="e">
        <f t="shared" si="523"/>
        <v>#N/A</v>
      </c>
      <c r="AV254" s="625" t="e">
        <f t="shared" si="524"/>
        <v>#N/A</v>
      </c>
      <c r="AX254" s="625">
        <f>IF(AND('General price list'!$J254="F4",'General price list'!$AB254+0&gt;0),1,0)</f>
        <v>0</v>
      </c>
      <c r="AY254" s="625">
        <f t="shared" si="525"/>
        <v>0</v>
      </c>
      <c r="AZ254" s="625">
        <f t="shared" si="526"/>
        <v>0</v>
      </c>
    </row>
    <row r="255" spans="1:52" ht="15.75" customHeight="1">
      <c r="A255" s="639" t="str">
        <f>Kat.!C255</f>
        <v/>
      </c>
      <c r="B255" s="640">
        <f>IF(AND('General price list'!$J255="F4",$AI$1=FALSE),0,IF(AC255="SKLADEM",1,IF(AC255=$V$3,1,0)))</f>
        <v>0</v>
      </c>
      <c r="C255" s="641" t="s">
        <v>664</v>
      </c>
      <c r="D255" s="642" t="s">
        <v>11703</v>
      </c>
      <c r="E255" s="643" t="s">
        <v>12716</v>
      </c>
      <c r="F255" s="791">
        <f>IFERROR(VLOOKUP(C255,[2]List1!$A:$D,3,FALSE),"NEUVEDENO!")</f>
        <v>184</v>
      </c>
      <c r="G255" s="768">
        <f t="shared" ref="G255:G258" si="639">IF($W$17=$AF$8,ROUND((F255)/$F$17,2),(F255)*$B$19)</f>
        <v>184</v>
      </c>
      <c r="H255" s="765">
        <f t="shared" ref="H255:H258" si="640">IF($W$17=$AF$8,G255*$B$19,G255/$F$17)</f>
        <v>7.8160509402624321</v>
      </c>
      <c r="I255" s="644">
        <f>IFERROR(VLOOKUP(C255,[2]List1!$A:$D,4,FALSE),"NEUVEDENO!")</f>
        <v>60</v>
      </c>
      <c r="J255" s="733" t="s">
        <v>614</v>
      </c>
      <c r="K255" s="645" t="s">
        <v>13034</v>
      </c>
      <c r="L255" s="645" t="s">
        <v>15083</v>
      </c>
      <c r="M255" s="645" t="s">
        <v>554</v>
      </c>
      <c r="N255" s="645">
        <f>IFERROR(VLOOKUP(C255,[3]List1!$A:$D,4,FALSE),"N/A!")</f>
        <v>3.2368000000000001E-2</v>
      </c>
      <c r="O255" s="645">
        <f>IFERROR(VLOOKUP(C255,[3]List1!$A:$D,3,FALSE),"N/A!")</f>
        <v>6000</v>
      </c>
      <c r="P255" s="645">
        <f>IFERROR(VLOOKUP(C255,[3]List1!$A:$D,2,FALSE),"N/A!")</f>
        <v>16000</v>
      </c>
      <c r="Q255" s="645" t="s">
        <v>11249</v>
      </c>
      <c r="R255" s="645" t="s">
        <v>20</v>
      </c>
      <c r="S255" s="645"/>
      <c r="T255" s="645"/>
      <c r="U255" s="645"/>
      <c r="V255" s="645"/>
      <c r="W255" s="645" t="str">
        <f>IFERROR(IF(AND($AB255&gt;=0.1*$AA255,MOD($AB255,$AA255)&gt;=($AA255-(0.1*$AA255))),IF($W$17=$AF$1,"Zvažte možnost doobjednání ještě "&amp;Tabulka1[[#This Row],[VKPAL]]-MOD(AB255,AA255)&amp;" VK do plné palety.",VLOOKUP("Zvažte možnost doobjednání ještě ",Jazyky_ceník!A:Q,MATCH($W$17,Jazyky_ceník!$A$1:$Q$1,0),FALSE)&amp;Tabulka1[[#This Row],[VKPAL]]-MOD(AB255,AA255)&amp;VLOOKUP(" VK do plné palety.",Jazyky_ceník!A:Q,MATCH($W$17,Jazyky_ceník!$A$1:$Q$1,0),FALSE)),IFERROR(IF(AND(NOT(MOD($AB255,$AA255)=0),$AB255&gt;=0.9*$AA255,MOD($AB255,$AA255)&lt;=0.1*$AA255),IF($W$17=$AF$1,"Zvažte možnost optimalizace objednaného množství podle počtu VK na paletě ==&gt;",VLOOKUP("Zvažte možnost optimalizace objednaného množství podle počtu VK na paletě ==&gt;",Jazyky_ceník!A:Q,MATCH($W$17,Jazyky_ceník!$A$1:$Q$1,0),FALSE)),VLOOKUP('General price list'!$C255,Popisy!A:M,MATCH($W$17,Popisy!$A$7:$M$7,0),FALSE)),"---------------")),IFERROR(VLOOKUP('General price list'!$C255,Popisy!A:M,MATCH($W$17,Popisy!$A$7:$M$7,0),FALSE),"---------------"))</f>
        <v>5g zábleskové slože, 130dB z 15m, vyrobeno v Evropě, plastová ucpávka</v>
      </c>
      <c r="X255" s="645" t="str">
        <f t="shared" ref="X255:X258" si="641">IF(AB255&lt;0.0001,"",AB255)</f>
        <v/>
      </c>
      <c r="Y255" s="645" t="str">
        <f t="shared" ref="Y255:Y258" si="642">IF($AL$3=2,IF(OR(AB255&lt;&gt;"",AB255&lt;&gt;0),AU255,""),IF(C255="","",IF(AB255&lt;0.0001,"",IF(B255=0,"",IF(AQ255&lt;AB255,"",AB255)))))</f>
        <v/>
      </c>
      <c r="Z255" s="645" t="str">
        <f>HYPERLINK("https://www.klasekpyrotechnics.cz/p6ae")</f>
        <v>https://www.klasekpyrotechnics.cz/p6ae</v>
      </c>
      <c r="AA255" s="645">
        <f>IFERROR(IF(VLOOKUP(C255,[4]List1!$A:$D,4,FALSE)=0,"",VLOOKUP(C255,[4]List1!$A:$D,4,FALSE)),"")</f>
        <v>40</v>
      </c>
      <c r="AB255" s="646"/>
      <c r="AC255" s="647" t="str">
        <f>IFERROR(IF(VLOOKUP(C255,[1]List1!$A:$D,2,FALSE)="VYPRODÁNO",$V$9,IF(VLOOKUP(C255,[1]List1!$A:$D,2,FALSE)="DOCHÁZÍ",$V$3,VLOOKUP(C255,[1]List1!$A:$D,2,FALSE))),"OFFLINE!")</f>
        <v>01.04.2026</v>
      </c>
      <c r="AD255" s="647" t="str">
        <f ca="1">IF(AP255="NE",$V$10,IF(AC255=$V$3,IF(AQ255&lt;1,$V$8,$V$2&amp;" "&amp;AQ255&amp;" "&amp;$V$1),IF(AC255="SKLADEM",$V$6,IFERROR(IF(OR(AC255-TODAY()&gt;45,VLOOKUP(C255,[1]List1!$A:$E,4,FALSE)=0),AC255,DAY(AC255)&amp;"."&amp;MONTH(AC255)&amp;"."&amp;YEAR(AC255)&amp;" "&amp;$V$4&amp;VLOOKUP(C255,[1]List1!$A:$E,4,FALSE)&amp;" "&amp;$V$1),AC255))))</f>
        <v>1.4.2026 DORAZÍ 100+ VK</v>
      </c>
      <c r="AE255" s="645" t="str">
        <f t="shared" ref="AE255:AE258" ca="1" si="643">IFERROR(IF(AV255&lt;&gt;"",AV255,AD255),AD255)</f>
        <v>1.4.2026 DORAZÍ 100+ VK</v>
      </c>
      <c r="AF255" s="648">
        <f t="shared" ref="AF255:AF258" si="644">IFERROR(IF(AB255=Y255,G255*I255*Y255,0),0)</f>
        <v>0</v>
      </c>
      <c r="AG255" s="649">
        <f t="shared" ref="AG255:AG258" si="645">IF($W$17=$AF$8,AH255*1.23,AF255*1.21)</f>
        <v>0</v>
      </c>
      <c r="AH255" s="650">
        <f t="shared" ref="AH255:AH258" si="646">IFERROR(IF(Y255=AB255,H255*I255*Y255,0),0)</f>
        <v>0</v>
      </c>
      <c r="AI255" s="645">
        <f t="shared" ref="AI255:AI258" si="647">IFERROR(IF(Y255=AB255,(P255*Y255)/1000,1),0)</f>
        <v>0</v>
      </c>
      <c r="AJ255" s="645">
        <f t="shared" ref="AJ255:AJ258" si="648">IFERROR(IF(Y255=AB255,N255*Y255,0.1),0)</f>
        <v>0</v>
      </c>
      <c r="AK255" s="645">
        <f t="shared" ref="AK255:AK258" si="649">IFERROR(IF(Y255=AB255,IF(M255="1.1G",(O255/1000)*Y255,""),""),0)</f>
        <v>0</v>
      </c>
      <c r="AL255" s="645" t="str">
        <f t="shared" ref="AL255:AL258" si="650">IFERROR(IF(Y255=AB255,IF(M255="1.3G",(O255/1000)*AB255,""),""),0)</f>
        <v/>
      </c>
      <c r="AM255" s="645" t="str">
        <f t="shared" ref="AM255:AM258" si="651">IFERROR(IF(Y255=AB255,IF(M255="1.4G",(O255/1000)*AB255,""),""),0)</f>
        <v/>
      </c>
      <c r="AN255" s="651">
        <f t="shared" ref="AN255:AN258" si="652">SUM(AK255:AM255)</f>
        <v>0</v>
      </c>
      <c r="AO255" s="623"/>
      <c r="AP255" s="632" t="str">
        <f t="shared" si="519"/>
        <v/>
      </c>
      <c r="AQ255" s="625" t="str">
        <f>IF(AC255=$V$3,IF(VLOOKUP(C255,[1]List1!$A:$E,5,FALSE)=0,1,VLOOKUP(C255,[1]List1!$A:$E,5,FALSE)),"")</f>
        <v/>
      </c>
      <c r="AR255" s="629" t="str">
        <f t="shared" si="520"/>
        <v/>
      </c>
      <c r="AS255" s="630" t="str">
        <f t="shared" si="521"/>
        <v/>
      </c>
      <c r="AT255" s="625" t="str">
        <f t="shared" si="522"/>
        <v/>
      </c>
      <c r="AU255" s="625" t="e">
        <f t="shared" si="523"/>
        <v>#N/A</v>
      </c>
      <c r="AV255" s="625" t="e">
        <f t="shared" si="524"/>
        <v>#N/A</v>
      </c>
      <c r="AW255" s="631"/>
      <c r="AX255" s="631">
        <f>IF(AND('General price list'!$J255="F4",'General price list'!$AB255+0&gt;0),1,0)</f>
        <v>0</v>
      </c>
      <c r="AY255" s="631">
        <f t="shared" si="525"/>
        <v>1</v>
      </c>
      <c r="AZ255" s="631">
        <f t="shared" si="526"/>
        <v>0</v>
      </c>
    </row>
    <row r="256" spans="1:52" ht="15" customHeight="1">
      <c r="A256" s="621" t="str">
        <f>Kat.!C256</f>
        <v/>
      </c>
      <c r="B256" s="566">
        <f>IF(AND('General price list'!$J256="F4",$AI$1=FALSE),0,IF(AC256="SKLADEM",1,IF(AC256=$V$3,1,0)))</f>
        <v>0</v>
      </c>
      <c r="C256" s="567" t="s">
        <v>667</v>
      </c>
      <c r="D256" s="568" t="s">
        <v>11704</v>
      </c>
      <c r="E256" s="763" t="s">
        <v>12718</v>
      </c>
      <c r="F256" s="791">
        <f>IFERROR(VLOOKUP(C256,[2]List1!$A:$D,3,FALSE),"NEUVEDENO!")</f>
        <v>205</v>
      </c>
      <c r="G256" s="769">
        <f t="shared" si="639"/>
        <v>205</v>
      </c>
      <c r="H256" s="766">
        <f t="shared" si="640"/>
        <v>8.7081002323576016</v>
      </c>
      <c r="I256" s="764">
        <f>IFERROR(VLOOKUP(C256,[2]List1!$A:$D,4,FALSE),"NEUVEDENO!")</f>
        <v>54</v>
      </c>
      <c r="J256" s="732" t="s">
        <v>614</v>
      </c>
      <c r="K256" s="569" t="s">
        <v>11100</v>
      </c>
      <c r="L256" s="569" t="s">
        <v>15083</v>
      </c>
      <c r="M256" s="569" t="s">
        <v>554</v>
      </c>
      <c r="N256" s="569">
        <f>IFERROR(VLOOKUP(C256,[3]List1!$A:$D,4,FALSE),"N/A!")</f>
        <v>3.6080000000000001E-2</v>
      </c>
      <c r="O256" s="569">
        <f>IFERROR(VLOOKUP(C256,[3]List1!$A:$D,3,FALSE),"N/A!")</f>
        <v>6480</v>
      </c>
      <c r="P256" s="569">
        <f>IFERROR(VLOOKUP(C256,[3]List1!$A:$D,2,FALSE),"N/A!")</f>
        <v>16000</v>
      </c>
      <c r="Q256" s="569" t="s">
        <v>11269</v>
      </c>
      <c r="R256" s="569" t="s">
        <v>20</v>
      </c>
      <c r="S256" s="569"/>
      <c r="T256" s="569"/>
      <c r="U256" s="569"/>
      <c r="V256" s="569"/>
      <c r="W256" s="569" t="str">
        <f>IFERROR(IF(AND($AB256&gt;=0.1*$AA256,MOD($AB256,$AA256)&gt;=($AA256-(0.1*$AA256))),IF($W$17=$AF$1,"Zvažte možnost doobjednání ještě "&amp;Tabulka1[[#This Row],[VKPAL]]-MOD(AB256,AA256)&amp;" VK do plné palety.",VLOOKUP("Zvažte možnost doobjednání ještě ",Jazyky_ceník!A:Q,MATCH($W$17,Jazyky_ceník!$A$1:$Q$1,0),FALSE)&amp;Tabulka1[[#This Row],[VKPAL]]-MOD(AB256,AA256)&amp;VLOOKUP(" VK do plné palety.",Jazyky_ceník!A:Q,MATCH($W$17,Jazyky_ceník!$A$1:$Q$1,0),FALSE)),IFERROR(IF(AND(NOT(MOD($AB256,$AA256)=0),$AB256&gt;=0.9*$AA256,MOD($AB256,$AA256)&lt;=0.1*$AA256),IF($W$17=$AF$1,"Zvažte možnost optimalizace objednaného množství podle počtu VK na paletě ==&gt;",VLOOKUP("Zvažte možnost optimalizace objednaného množství podle počtu VK na paletě ==&gt;",Jazyky_ceník!A:Q,MATCH($W$17,Jazyky_ceník!$A$1:$Q$1,0),FALSE)),VLOOKUP('General price list'!$C256,Popisy!A:M,MATCH($W$17,Popisy!$A$7:$M$7,0),FALSE)),"---------------")),IFERROR(VLOOKUP('General price list'!$C256,Popisy!A:M,MATCH($W$17,Popisy!$A$7:$M$7,0),FALSE),"---------------"))</f>
        <v>30g zábleskové slože, 142dB z 15m, vyrobeno v Evropě</v>
      </c>
      <c r="X256" s="569" t="str">
        <f t="shared" si="641"/>
        <v/>
      </c>
      <c r="Y256" s="569" t="str">
        <f t="shared" si="642"/>
        <v/>
      </c>
      <c r="Z256" s="569" t="str">
        <f>HYPERLINK("https://www.klasekpyrotechnics.cz/p30d")</f>
        <v>https://www.klasekpyrotechnics.cz/p30d</v>
      </c>
      <c r="AA256" s="569">
        <f>IFERROR(IF(VLOOKUP(C256,[4]List1!$A:$D,4,FALSE)=0,"",VLOOKUP(C256,[4]List1!$A:$D,4,FALSE)),"")</f>
        <v>42</v>
      </c>
      <c r="AB256" s="565"/>
      <c r="AC256" s="570" t="str">
        <f>IFERROR(IF(VLOOKUP(C256,[1]List1!$A:$D,2,FALSE)="VYPRODÁNO",$V$9,IF(VLOOKUP(C256,[1]List1!$A:$D,2,FALSE)="DOCHÁZÍ",$V$3,VLOOKUP(C256,[1]List1!$A:$D,2,FALSE))),"OFFLINE!")</f>
        <v>02.04.2026</v>
      </c>
      <c r="AD256" s="570" t="str">
        <f ca="1">IF(AP256="NE",$V$10,IF(AC256=$V$3,IF(AQ256&lt;1,$V$8,$V$2&amp;" "&amp;AQ256&amp;" "&amp;$V$1),IF(AC256="SKLADEM",$V$6,IFERROR(IF(OR(AC256-TODAY()&gt;45,VLOOKUP(C256,[1]List1!$A:$E,4,FALSE)=0),AC256,DAY(AC256)&amp;"."&amp;MONTH(AC256)&amp;"."&amp;YEAR(AC256)&amp;" "&amp;$V$4&amp;VLOOKUP(C256,[1]List1!$A:$E,4,FALSE)&amp;" "&amp;$V$1),AC256))))</f>
        <v>2.4.2026 DORAZÍ 100+ VK</v>
      </c>
      <c r="AE256" s="581" t="str">
        <f t="shared" ca="1" si="643"/>
        <v>2.4.2026 DORAZÍ 100+ VK</v>
      </c>
      <c r="AF256" s="584">
        <f t="shared" si="644"/>
        <v>0</v>
      </c>
      <c r="AG256" s="585">
        <f t="shared" si="645"/>
        <v>0</v>
      </c>
      <c r="AH256" s="583">
        <f t="shared" si="646"/>
        <v>0</v>
      </c>
      <c r="AI256" s="582">
        <f t="shared" si="647"/>
        <v>0</v>
      </c>
      <c r="AJ256" s="569">
        <f t="shared" si="648"/>
        <v>0</v>
      </c>
      <c r="AK256" s="569">
        <f t="shared" si="649"/>
        <v>0</v>
      </c>
      <c r="AL256" s="569" t="str">
        <f t="shared" si="650"/>
        <v/>
      </c>
      <c r="AM256" s="569" t="str">
        <f t="shared" si="651"/>
        <v/>
      </c>
      <c r="AN256" s="581">
        <f t="shared" si="652"/>
        <v>0</v>
      </c>
      <c r="AO256" s="623"/>
      <c r="AP256" s="632" t="str">
        <f t="shared" si="519"/>
        <v/>
      </c>
      <c r="AQ256" s="633" t="str">
        <f>IF(AC256=$V$3,IF(VLOOKUP(C256,[1]List1!$A:$E,5,FALSE)=0,1,VLOOKUP(C256,[1]List1!$A:$E,5,FALSE)),"")</f>
        <v/>
      </c>
      <c r="AR256" s="625" t="str">
        <f t="shared" si="520"/>
        <v/>
      </c>
      <c r="AS256" s="634" t="str">
        <f t="shared" si="521"/>
        <v/>
      </c>
      <c r="AT256" s="625" t="str">
        <f t="shared" si="522"/>
        <v/>
      </c>
      <c r="AU256" s="638" t="e">
        <f t="shared" si="523"/>
        <v>#N/A</v>
      </c>
      <c r="AV256" s="625" t="e">
        <f t="shared" si="524"/>
        <v>#N/A</v>
      </c>
      <c r="AX256" s="625">
        <f>IF(AND('General price list'!$J256="F4",'General price list'!$AB256+0&gt;0),1,0)</f>
        <v>0</v>
      </c>
      <c r="AY256" s="625">
        <f t="shared" si="525"/>
        <v>1</v>
      </c>
      <c r="AZ256" s="625">
        <f t="shared" si="526"/>
        <v>0</v>
      </c>
    </row>
    <row r="257" spans="1:52" ht="15" customHeight="1">
      <c r="A257" s="639" t="str">
        <f>Kat.!C257</f>
        <v/>
      </c>
      <c r="B257" s="640">
        <f>IF(AND('General price list'!$J257="F4",$AI$1=FALSE),0,IF(AC257="SKLADEM",1,IF(AC257=$V$3,1,0)))</f>
        <v>0</v>
      </c>
      <c r="C257" s="641" t="s">
        <v>671</v>
      </c>
      <c r="D257" s="642" t="s">
        <v>11705</v>
      </c>
      <c r="E257" s="643" t="s">
        <v>12699</v>
      </c>
      <c r="F257" s="791">
        <f>IFERROR(VLOOKUP(C257,[2]List1!$A:$D,3,FALSE),"NEUVEDENO!")</f>
        <v>362</v>
      </c>
      <c r="G257" s="768">
        <f t="shared" si="639"/>
        <v>362</v>
      </c>
      <c r="H257" s="765">
        <f t="shared" si="640"/>
        <v>15.37723065421196</v>
      </c>
      <c r="I257" s="644">
        <f>IFERROR(VLOOKUP(C257,[2]List1!$A:$D,4,FALSE),"NEUVEDENO!")</f>
        <v>30</v>
      </c>
      <c r="J257" s="733" t="s">
        <v>614</v>
      </c>
      <c r="K257" s="645" t="s">
        <v>11100</v>
      </c>
      <c r="L257" s="645" t="s">
        <v>15083</v>
      </c>
      <c r="M257" s="645" t="s">
        <v>554</v>
      </c>
      <c r="N257" s="645">
        <f>IFERROR(VLOOKUP(C257,[3]List1!$A:$D,4,FALSE),"N/A!")</f>
        <v>2.9069999999999999E-2</v>
      </c>
      <c r="O257" s="645">
        <f>IFERROR(VLOOKUP(C257,[3]List1!$A:$D,3,FALSE),"N/A!")</f>
        <v>6000</v>
      </c>
      <c r="P257" s="645">
        <f>IFERROR(VLOOKUP(C257,[3]List1!$A:$D,2,FALSE),"N/A!")</f>
        <v>13500</v>
      </c>
      <c r="Q257" s="645" t="s">
        <v>11245</v>
      </c>
      <c r="R257" s="645" t="s">
        <v>20</v>
      </c>
      <c r="S257" s="645"/>
      <c r="T257" s="645"/>
      <c r="U257" s="645"/>
      <c r="V257" s="645"/>
      <c r="W257" s="645" t="str">
        <f>IFERROR(IF(AND($AB257&gt;=0.1*$AA257,MOD($AB257,$AA257)&gt;=($AA257-(0.1*$AA257))),IF($W$17=$AF$1,"Zvažte možnost doobjednání ještě "&amp;Tabulka1[[#This Row],[VKPAL]]-MOD(AB257,AA257)&amp;" VK do plné palety.",VLOOKUP("Zvažte možnost doobjednání ještě ",Jazyky_ceník!A:Q,MATCH($W$17,Jazyky_ceník!$A$1:$Q$1,0),FALSE)&amp;Tabulka1[[#This Row],[VKPAL]]-MOD(AB257,AA257)&amp;VLOOKUP(" VK do plné palety.",Jazyky_ceník!A:Q,MATCH($W$17,Jazyky_ceník!$A$1:$Q$1,0),FALSE)),IFERROR(IF(AND(NOT(MOD($AB257,$AA257)=0),$AB257&gt;=0.9*$AA257,MOD($AB257,$AA257)&lt;=0.1*$AA257),IF($W$17=$AF$1,"Zvažte možnost optimalizace objednaného množství podle počtu VK na paletě ==&gt;",VLOOKUP("Zvažte možnost optimalizace objednaného množství podle počtu VK na paletě ==&gt;",Jazyky_ceník!A:Q,MATCH($W$17,Jazyky_ceník!$A$1:$Q$1,0),FALSE)),VLOOKUP('General price list'!$C257,Popisy!A:M,MATCH($W$17,Popisy!$A$7:$M$7,0),FALSE)),"---------------")),IFERROR(VLOOKUP('General price list'!$C257,Popisy!A:M,MATCH($W$17,Popisy!$A$7:$M$7,0),FALSE),"---------------"))</f>
        <v>50g zábleskové slože, 159dB z 15m, vyrobeno v Evropě</v>
      </c>
      <c r="X257" s="645" t="str">
        <f t="shared" si="641"/>
        <v/>
      </c>
      <c r="Y257" s="645" t="str">
        <f t="shared" si="642"/>
        <v/>
      </c>
      <c r="Z257" s="645" t="str">
        <f>HYPERLINK("https://www.klasekpyrotechnics.cz/p50d")</f>
        <v>https://www.klasekpyrotechnics.cz/p50d</v>
      </c>
      <c r="AA257" s="645">
        <f>IFERROR(IF(VLOOKUP(C257,[4]List1!$A:$D,4,FALSE)=0,"",VLOOKUP(C257,[4]List1!$A:$D,4,FALSE)),"")</f>
        <v>36</v>
      </c>
      <c r="AB257" s="646"/>
      <c r="AC257" s="647" t="str">
        <f>IFERROR(IF(VLOOKUP(C257,[1]List1!$A:$D,2,FALSE)="VYPRODÁNO",$V$9,IF(VLOOKUP(C257,[1]List1!$A:$D,2,FALSE)="DOCHÁZÍ",$V$3,VLOOKUP(C257,[1]List1!$A:$D,2,FALSE))),"OFFLINE!")</f>
        <v>01.04.2026</v>
      </c>
      <c r="AD257" s="647" t="str">
        <f ca="1">IF(AP257="NE",$V$10,IF(AC257=$V$3,IF(AQ257&lt;1,$V$8,$V$2&amp;" "&amp;AQ257&amp;" "&amp;$V$1),IF(AC257="SKLADEM",$V$6,IFERROR(IF(OR(AC257-TODAY()&gt;45,VLOOKUP(C257,[1]List1!$A:$E,4,FALSE)=0),AC257,DAY(AC257)&amp;"."&amp;MONTH(AC257)&amp;"."&amp;YEAR(AC257)&amp;" "&amp;$V$4&amp;VLOOKUP(C257,[1]List1!$A:$E,4,FALSE)&amp;" "&amp;$V$1),AC257))))</f>
        <v>1.4.2026 DORAZÍ 100+ VK</v>
      </c>
      <c r="AE257" s="645" t="str">
        <f t="shared" ca="1" si="643"/>
        <v>1.4.2026 DORAZÍ 100+ VK</v>
      </c>
      <c r="AF257" s="648">
        <f t="shared" si="644"/>
        <v>0</v>
      </c>
      <c r="AG257" s="649">
        <f t="shared" si="645"/>
        <v>0</v>
      </c>
      <c r="AH257" s="650">
        <f t="shared" si="646"/>
        <v>0</v>
      </c>
      <c r="AI257" s="645">
        <f t="shared" si="647"/>
        <v>0</v>
      </c>
      <c r="AJ257" s="645">
        <f t="shared" si="648"/>
        <v>0</v>
      </c>
      <c r="AK257" s="645">
        <f t="shared" si="649"/>
        <v>0</v>
      </c>
      <c r="AL257" s="645" t="str">
        <f t="shared" si="650"/>
        <v/>
      </c>
      <c r="AM257" s="645" t="str">
        <f t="shared" si="651"/>
        <v/>
      </c>
      <c r="AN257" s="651">
        <f t="shared" si="652"/>
        <v>0</v>
      </c>
      <c r="AO257" s="623"/>
      <c r="AP257" s="632" t="str">
        <f t="shared" si="519"/>
        <v/>
      </c>
      <c r="AQ257" s="633" t="str">
        <f>IF(AC257=$V$3,IF(VLOOKUP(C257,[1]List1!$A:$E,5,FALSE)=0,1,VLOOKUP(C257,[1]List1!$A:$E,5,FALSE)),"")</f>
        <v/>
      </c>
      <c r="AR257" s="625" t="str">
        <f t="shared" si="520"/>
        <v/>
      </c>
      <c r="AS257" s="634" t="str">
        <f t="shared" si="521"/>
        <v/>
      </c>
      <c r="AT257" s="625" t="str">
        <f t="shared" si="522"/>
        <v/>
      </c>
      <c r="AU257" s="638" t="e">
        <f t="shared" si="523"/>
        <v>#N/A</v>
      </c>
      <c r="AV257" s="625" t="e">
        <f t="shared" si="524"/>
        <v>#N/A</v>
      </c>
      <c r="AX257" s="625">
        <f>IF(AND('General price list'!$J257="F4",'General price list'!$AB257+0&gt;0),1,0)</f>
        <v>0</v>
      </c>
      <c r="AY257" s="625">
        <f t="shared" si="525"/>
        <v>1</v>
      </c>
      <c r="AZ257" s="625">
        <f t="shared" si="526"/>
        <v>0</v>
      </c>
    </row>
    <row r="258" spans="1:52" ht="15" customHeight="1">
      <c r="A258" s="621" t="str">
        <f>Kat.!C258</f>
        <v/>
      </c>
      <c r="B258" s="566">
        <f>IF(AND('General price list'!$J258="F4",$AI$1=FALSE),0,IF(AC258="SKLADEM",1,IF(AC258=$V$3,1,0)))</f>
        <v>0</v>
      </c>
      <c r="C258" s="567" t="s">
        <v>2246</v>
      </c>
      <c r="D258" s="568" t="s">
        <v>11706</v>
      </c>
      <c r="E258" s="763" t="s">
        <v>12676</v>
      </c>
      <c r="F258" s="791">
        <f>IFERROR(VLOOKUP(C258,[2]List1!$A:$D,3,FALSE),"NEUVEDENO!")</f>
        <v>538</v>
      </c>
      <c r="G258" s="769">
        <f t="shared" si="639"/>
        <v>538</v>
      </c>
      <c r="H258" s="766">
        <f t="shared" si="640"/>
        <v>22.853453292723852</v>
      </c>
      <c r="I258" s="764">
        <f>IFERROR(VLOOKUP(C258,[2]List1!$A:$D,4,FALSE),"NEUVEDENO!")</f>
        <v>20</v>
      </c>
      <c r="J258" s="732" t="s">
        <v>614</v>
      </c>
      <c r="K258" s="569" t="s">
        <v>11100</v>
      </c>
      <c r="L258" s="569" t="s">
        <v>15083</v>
      </c>
      <c r="M258" s="569" t="s">
        <v>554</v>
      </c>
      <c r="N258" s="569">
        <f>IFERROR(VLOOKUP(C258,[3]List1!$A:$D,4,FALSE),"N/A!")</f>
        <v>3.5639999999999998E-2</v>
      </c>
      <c r="O258" s="569">
        <f>IFERROR(VLOOKUP(C258,[3]List1!$A:$D,3,FALSE),"N/A!")</f>
        <v>6000</v>
      </c>
      <c r="P258" s="569">
        <f>IFERROR(VLOOKUP(C258,[3]List1!$A:$D,2,FALSE),"N/A!")</f>
        <v>13000</v>
      </c>
      <c r="Q258" s="569" t="s">
        <v>11249</v>
      </c>
      <c r="R258" s="569" t="s">
        <v>20</v>
      </c>
      <c r="S258" s="569"/>
      <c r="T258" s="569"/>
      <c r="U258" s="569"/>
      <c r="V258" s="569"/>
      <c r="W258" s="569" t="str">
        <f>IFERROR(IF(AND($AB258&gt;=0.1*$AA258,MOD($AB258,$AA258)&gt;=($AA258-(0.1*$AA258))),IF($W$17=$AF$1,"Zvažte možnost doobjednání ještě "&amp;Tabulka1[[#This Row],[VKPAL]]-MOD(AB258,AA258)&amp;" VK do plné palety.",VLOOKUP("Zvažte možnost doobjednání ještě ",Jazyky_ceník!A:Q,MATCH($W$17,Jazyky_ceník!$A$1:$Q$1,0),FALSE)&amp;Tabulka1[[#This Row],[VKPAL]]-MOD(AB258,AA258)&amp;VLOOKUP(" VK do plné palety.",Jazyky_ceník!A:Q,MATCH($W$17,Jazyky_ceník!$A$1:$Q$1,0),FALSE)),IFERROR(IF(AND(NOT(MOD($AB258,$AA258)=0),$AB258&gt;=0.9*$AA258,MOD($AB258,$AA258)&lt;=0.1*$AA258),IF($W$17=$AF$1,"Zvažte možnost optimalizace objednaného množství podle počtu VK na paletě ==&gt;",VLOOKUP("Zvažte možnost optimalizace objednaného množství podle počtu VK na paletě ==&gt;",Jazyky_ceník!A:Q,MATCH($W$17,Jazyky_ceník!$A$1:$Q$1,0),FALSE)),VLOOKUP('General price list'!$C258,Popisy!A:M,MATCH($W$17,Popisy!$A$7:$M$7,0),FALSE)),"---------------")),IFERROR(VLOOKUP('General price list'!$C258,Popisy!A:M,MATCH($W$17,Popisy!$A$7:$M$7,0),FALSE),"---------------"))</f>
        <v>100g zábleskové slože, 170dB z 15m, vyrobeno v Evropě</v>
      </c>
      <c r="X258" s="569" t="str">
        <f t="shared" si="641"/>
        <v/>
      </c>
      <c r="Y258" s="569" t="str">
        <f t="shared" si="642"/>
        <v/>
      </c>
      <c r="Z258" s="569" t="str">
        <f>HYPERLINK("https://www.klasekpyrotechnics.cz/p170")</f>
        <v>https://www.klasekpyrotechnics.cz/p170</v>
      </c>
      <c r="AA258" s="569">
        <f>IFERROR(IF(VLOOKUP(C258,[4]List1!$A:$D,4,FALSE)=0,"",VLOOKUP(C258,[4]List1!$A:$D,4,FALSE)),"")</f>
        <v>28</v>
      </c>
      <c r="AB258" s="565"/>
      <c r="AC258" s="570" t="str">
        <f>IFERROR(IF(VLOOKUP(C258,[1]List1!$A:$D,2,FALSE)="VYPRODÁNO",$V$9,IF(VLOOKUP(C258,[1]List1!$A:$D,2,FALSE)="DOCHÁZÍ",$V$3,VLOOKUP(C258,[1]List1!$A:$D,2,FALSE))),"OFFLINE!")</f>
        <v>01.04.2026</v>
      </c>
      <c r="AD258" s="570" t="str">
        <f ca="1">IF(AP258="NE",$V$10,IF(AC258=$V$3,IF(AQ258&lt;1,$V$8,$V$2&amp;" "&amp;AQ258&amp;" "&amp;$V$1),IF(AC258="SKLADEM",$V$6,IFERROR(IF(OR(AC258-TODAY()&gt;45,VLOOKUP(C258,[1]List1!$A:$E,4,FALSE)=0),AC258,DAY(AC258)&amp;"."&amp;MONTH(AC258)&amp;"."&amp;YEAR(AC258)&amp;" "&amp;$V$4&amp;VLOOKUP(C258,[1]List1!$A:$E,4,FALSE)&amp;" "&amp;$V$1),AC258))))</f>
        <v>1.4.2026 DORAZÍ 100+ VK</v>
      </c>
      <c r="AE258" s="581" t="str">
        <f t="shared" ca="1" si="643"/>
        <v>1.4.2026 DORAZÍ 100+ VK</v>
      </c>
      <c r="AF258" s="584">
        <f t="shared" si="644"/>
        <v>0</v>
      </c>
      <c r="AG258" s="585">
        <f t="shared" si="645"/>
        <v>0</v>
      </c>
      <c r="AH258" s="583">
        <f t="shared" si="646"/>
        <v>0</v>
      </c>
      <c r="AI258" s="582">
        <f t="shared" si="647"/>
        <v>0</v>
      </c>
      <c r="AJ258" s="569">
        <f t="shared" si="648"/>
        <v>0</v>
      </c>
      <c r="AK258" s="569">
        <f t="shared" si="649"/>
        <v>0</v>
      </c>
      <c r="AL258" s="569" t="str">
        <f t="shared" si="650"/>
        <v/>
      </c>
      <c r="AM258" s="569" t="str">
        <f t="shared" si="651"/>
        <v/>
      </c>
      <c r="AN258" s="581">
        <f t="shared" si="652"/>
        <v>0</v>
      </c>
      <c r="AO258" s="623"/>
      <c r="AP258" s="632" t="str">
        <f t="shared" si="519"/>
        <v/>
      </c>
      <c r="AQ258" s="633" t="str">
        <f>IF(AC258=$V$3,IF(VLOOKUP(C258,[1]List1!$A:$E,5,FALSE)=0,1,VLOOKUP(C258,[1]List1!$A:$E,5,FALSE)),"")</f>
        <v/>
      </c>
      <c r="AR258" s="625" t="str">
        <f t="shared" si="520"/>
        <v/>
      </c>
      <c r="AS258" s="634" t="str">
        <f t="shared" si="521"/>
        <v/>
      </c>
      <c r="AT258" s="625" t="str">
        <f t="shared" si="522"/>
        <v/>
      </c>
      <c r="AU258" s="638" t="e">
        <f t="shared" si="523"/>
        <v>#N/A</v>
      </c>
      <c r="AV258" s="625" t="e">
        <f t="shared" si="524"/>
        <v>#N/A</v>
      </c>
      <c r="AX258" s="625">
        <f>IF(AND('General price list'!$J258="F4",'General price list'!$AB258+0&gt;0),1,0)</f>
        <v>0</v>
      </c>
      <c r="AY258" s="625">
        <f t="shared" si="525"/>
        <v>1</v>
      </c>
      <c r="AZ258" s="625">
        <f t="shared" si="526"/>
        <v>0</v>
      </c>
    </row>
    <row r="259" spans="1:52" ht="15.75" customHeight="1">
      <c r="A259" s="751" t="str">
        <f>Kat.!C259</f>
        <v xml:space="preserve">           Baterie petard</v>
      </c>
      <c r="B259" s="751"/>
      <c r="C259" s="751"/>
      <c r="D259" s="751"/>
      <c r="E259" s="751"/>
      <c r="F259" s="751"/>
      <c r="G259" s="751"/>
      <c r="H259" s="751"/>
      <c r="I259" s="752"/>
      <c r="J259" s="752"/>
      <c r="K259" s="752" t="s">
        <v>20</v>
      </c>
      <c r="L259" s="753" t="s">
        <v>2818</v>
      </c>
      <c r="M259" s="752"/>
      <c r="N259" s="752"/>
      <c r="O259" s="752"/>
      <c r="P259" s="752"/>
      <c r="Q259" s="752"/>
      <c r="R259" s="752"/>
      <c r="S259" s="752"/>
      <c r="T259" s="752"/>
      <c r="U259" s="752"/>
      <c r="V259" s="752"/>
      <c r="W259" s="752"/>
      <c r="X259" s="752"/>
      <c r="Y259" s="752"/>
      <c r="Z259" s="752" t="s">
        <v>20</v>
      </c>
      <c r="AA259" s="752"/>
      <c r="AB259" s="752"/>
      <c r="AC259" s="754"/>
      <c r="AD259" s="752"/>
      <c r="AE259" s="752"/>
      <c r="AF259" s="752"/>
      <c r="AG259" s="752"/>
      <c r="AH259" s="752"/>
      <c r="AI259" s="752"/>
      <c r="AJ259" s="752"/>
      <c r="AK259" s="752"/>
      <c r="AL259" s="752"/>
      <c r="AM259" s="752"/>
      <c r="AN259" s="752"/>
      <c r="AO259" s="623"/>
      <c r="AP259" s="632" t="str">
        <f t="shared" si="519"/>
        <v/>
      </c>
      <c r="AQ259" s="625" t="str">
        <f>IF(AC259=$V$3,IF(VLOOKUP(C259,[1]List1!$A:$E,5,FALSE)=0,1,VLOOKUP(C259,[1]List1!$A:$E,5,FALSE)),"")</f>
        <v/>
      </c>
      <c r="AR259" s="629" t="str">
        <f t="shared" si="520"/>
        <v/>
      </c>
      <c r="AS259" s="630" t="str">
        <f t="shared" si="521"/>
        <v/>
      </c>
      <c r="AT259" s="625" t="str">
        <f t="shared" si="522"/>
        <v/>
      </c>
      <c r="AU259" s="625" t="e">
        <f t="shared" si="523"/>
        <v>#N/A</v>
      </c>
      <c r="AV259" s="625" t="e">
        <f t="shared" si="524"/>
        <v>#N/A</v>
      </c>
      <c r="AW259" s="631"/>
      <c r="AX259" s="631">
        <f>IF(AND('General price list'!$J259="F4",'General price list'!$AB259+0&gt;0),1,0)</f>
        <v>0</v>
      </c>
      <c r="AY259" s="631">
        <f t="shared" si="525"/>
        <v>0</v>
      </c>
      <c r="AZ259" s="631">
        <f t="shared" si="526"/>
        <v>0</v>
      </c>
    </row>
    <row r="260" spans="1:52" ht="15" customHeight="1">
      <c r="A260" s="639" t="str">
        <f>Kat.!C260</f>
        <v/>
      </c>
      <c r="B260" s="640">
        <f>IF(AND('General price list'!$J260="F4",$AI$1=FALSE),0,IF(AC260="SKLADEM",1,IF(AC260=$V$3,1,0)))</f>
        <v>1</v>
      </c>
      <c r="C260" s="641" t="s">
        <v>80</v>
      </c>
      <c r="D260" s="642" t="s">
        <v>4251</v>
      </c>
      <c r="E260" s="643" t="s">
        <v>12719</v>
      </c>
      <c r="F260" s="771">
        <f>IFERROR(VLOOKUP(C260,[2]List1!$A:$D,3,FALSE),"NEUVEDENO!")</f>
        <v>55</v>
      </c>
      <c r="G260" s="768">
        <f t="shared" ref="G260:G271" si="653">IF($W$17=$AF$8,ROUND((F260)/$F$17,2),(F260)*$B$19)</f>
        <v>55</v>
      </c>
      <c r="H260" s="765">
        <f t="shared" ref="H260:H271" si="654">IF($W$17=$AF$8,G260*$B$19,G260/$F$17)</f>
        <v>2.3363195745349663</v>
      </c>
      <c r="I260" s="644">
        <f>IFERROR(VLOOKUP(C260,[2]List1!$A:$D,4,FALSE),"NEUVEDENO!")</f>
        <v>40</v>
      </c>
      <c r="J260" s="733" t="s">
        <v>39</v>
      </c>
      <c r="K260" s="645" t="s">
        <v>20</v>
      </c>
      <c r="L260" s="645" t="s">
        <v>10986</v>
      </c>
      <c r="M260" s="645" t="s">
        <v>21</v>
      </c>
      <c r="N260" s="645">
        <f>IFERROR(VLOOKUP(C260,[3]List1!$A:$D,4,FALSE),"N/A!")</f>
        <v>1.864275E-2</v>
      </c>
      <c r="O260" s="645">
        <f>IFERROR(VLOOKUP(C260,[3]List1!$A:$D,3,FALSE),"N/A!")</f>
        <v>1800</v>
      </c>
      <c r="P260" s="645">
        <f>IFERROR(VLOOKUP(C260,[3]List1!$A:$D,2,FALSE),"N/A!")</f>
        <v>2500</v>
      </c>
      <c r="Q260" s="645" t="s">
        <v>11236</v>
      </c>
      <c r="R260" s="645"/>
      <c r="S260" s="645"/>
      <c r="T260" s="645"/>
      <c r="U260" s="645"/>
      <c r="V260" s="645"/>
      <c r="W260" s="645" t="str">
        <f>IFERROR(IF(AND($AB260&gt;=0.1*$AA260,MOD($AB260,$AA260)&gt;=($AA260-(0.1*$AA260))),IF($W$17=$AF$1,"Zvažte možnost doobjednání ještě "&amp;Tabulka1[[#This Row],[VKPAL]]-MOD(AB260,AA260)&amp;" VK do plné palety.",VLOOKUP("Zvažte možnost doobjednání ještě ",Jazyky_ceník!A:Q,MATCH($W$17,Jazyky_ceník!$A$1:$Q$1,0),FALSE)&amp;Tabulka1[[#This Row],[VKPAL]]-MOD(AB260,AA260)&amp;VLOOKUP(" VK do plné palety.",Jazyky_ceník!A:Q,MATCH($W$17,Jazyky_ceník!$A$1:$Q$1,0),FALSE)),IFERROR(IF(AND(NOT(MOD($AB260,$AA260)=0),$AB260&gt;=0.9*$AA260,MOD($AB260,$AA260)&lt;=0.1*$AA260),IF($W$17=$AF$1,"Zvažte možnost optimalizace objednaného množství podle počtu VK na paletě ==&gt;",VLOOKUP("Zvažte možnost optimalizace objednaného množství podle počtu VK na paletě ==&gt;",Jazyky_ceník!A:Q,MATCH($W$17,Jazyky_ceník!$A$1:$Q$1,0),FALSE)),VLOOKUP('General price list'!$C260,Popisy!A:M,MATCH($W$17,Popisy!$A$7:$M$7,0),FALSE)),"---------------")),IFERROR(VLOOKUP('General price list'!$C260,Popisy!A:M,MATCH($W$17,Popisy!$A$7:$M$7,0),FALSE),"---------------"))</f>
        <v>práskající balónky 15g, průměr 38mm</v>
      </c>
      <c r="X260" s="645" t="str">
        <f t="shared" ref="X260:X271" si="655">IF(AB260&lt;0.0001,"",AB260)</f>
        <v/>
      </c>
      <c r="Y260" s="645" t="str">
        <f t="shared" ref="Y260:Y271" si="656">IF($AL$3=2,IF(OR(AB260&lt;&gt;"",AB260&lt;&gt;0),AU260,""),IF(C260="","",IF(AB260&lt;0.0001,"",IF(B260=0,"",IF(AQ260&lt;AB260,"",AB260)))))</f>
        <v/>
      </c>
      <c r="Z260" s="645" t="str">
        <f>HYPERLINK("https://www.klasekpyrotechnics.cz/eb15")</f>
        <v>https://www.klasekpyrotechnics.cz/eb15</v>
      </c>
      <c r="AA260" s="645" t="str">
        <f>IFERROR(IF(VLOOKUP(C260,[4]List1!$A:$D,4,FALSE)=0,"",VLOOKUP(C260,[4]List1!$A:$D,4,FALSE)),"")</f>
        <v>87</v>
      </c>
      <c r="AB260" s="646"/>
      <c r="AC260" s="647" t="str">
        <f>IFERROR(IF(VLOOKUP(C260,[1]List1!$A:$D,2,FALSE)="VYPRODÁNO",$V$9,IF(VLOOKUP(C260,[1]List1!$A:$D,2,FALSE)="DOCHÁZÍ",$V$3,VLOOKUP(C260,[1]List1!$A:$D,2,FALSE))),"OFFLINE!")</f>
        <v>SKLADEM</v>
      </c>
      <c r="AD260" s="647" t="str">
        <f ca="1">IF(AP260="NE",$V$10,IF(AC260=$V$3,IF(AQ260&lt;1,$V$8,$V$2&amp;" "&amp;AQ260&amp;" "&amp;$V$1),IF(AC260="SKLADEM",$V$6,IFERROR(IF(OR(AC260-TODAY()&gt;45,VLOOKUP(C260,[1]List1!$A:$E,4,FALSE)=0),AC260,DAY(AC260)&amp;"."&amp;MONTH(AC260)&amp;"."&amp;YEAR(AC260)&amp;" "&amp;$V$4&amp;VLOOKUP(C260,[1]List1!$A:$E,4,FALSE)&amp;" "&amp;$V$1),AC260))))</f>
        <v>SKLADEM</v>
      </c>
      <c r="AE260" s="645" t="str">
        <f t="shared" ref="AE260:AE271" ca="1" si="657">IFERROR(IF(AV260&lt;&gt;"",AV260,AD260),AD260)</f>
        <v>SKLADEM</v>
      </c>
      <c r="AF260" s="648">
        <f t="shared" ref="AF260:AF271" si="658">IFERROR(IF(AB260=Y260,G260*I260*Y260,0),0)</f>
        <v>0</v>
      </c>
      <c r="AG260" s="649">
        <f t="shared" ref="AG260:AG271" si="659">IF($W$17=$AF$8,AH260*1.23,AF260*1.21)</f>
        <v>0</v>
      </c>
      <c r="AH260" s="650">
        <f t="shared" ref="AH260:AH271" si="660">IFERROR(IF(Y260=AB260,H260*I260*Y260,0),0)</f>
        <v>0</v>
      </c>
      <c r="AI260" s="645">
        <f t="shared" ref="AI260:AI271" si="661">IFERROR(IF(Y260=AB260,(P260*Y260)/1000,1),0)</f>
        <v>0</v>
      </c>
      <c r="AJ260" s="645">
        <f t="shared" ref="AJ260:AJ271" si="662">IFERROR(IF(Y260=AB260,N260*Y260,0.1),0)</f>
        <v>0</v>
      </c>
      <c r="AK260" s="645" t="str">
        <f t="shared" ref="AK260:AK271" si="663">IFERROR(IF(Y260=AB260,IF(M260="1.1G",(O260/1000)*Y260,""),""),0)</f>
        <v/>
      </c>
      <c r="AL260" s="645" t="str">
        <f t="shared" ref="AL260:AL271" si="664">IFERROR(IF(Y260=AB260,IF(M260="1.3G",(O260/1000)*AB260,""),""),0)</f>
        <v/>
      </c>
      <c r="AM260" s="645">
        <f t="shared" ref="AM260:AM271" si="665">IFERROR(IF(Y260=AB260,IF(M260="1.4G",(O260/1000)*AB260,""),""),0)</f>
        <v>0</v>
      </c>
      <c r="AN260" s="651">
        <f t="shared" ref="AN260:AN271" si="666">SUM(AK260:AM260)</f>
        <v>0</v>
      </c>
      <c r="AO260" s="623"/>
      <c r="AP260" s="632" t="str">
        <f t="shared" si="519"/>
        <v/>
      </c>
      <c r="AQ260" s="633" t="str">
        <f>IF(AC260=$V$3,IF(VLOOKUP(C260,[1]List1!$A:$E,5,FALSE)=0,1,VLOOKUP(C260,[1]List1!$A:$E,5,FALSE)),"")</f>
        <v/>
      </c>
      <c r="AR260" s="625" t="str">
        <f t="shared" si="520"/>
        <v/>
      </c>
      <c r="AS260" s="634" t="str">
        <f t="shared" si="521"/>
        <v/>
      </c>
      <c r="AT260" s="625" t="str">
        <f t="shared" si="522"/>
        <v/>
      </c>
      <c r="AU260" s="638" t="e">
        <f t="shared" si="523"/>
        <v>#N/A</v>
      </c>
      <c r="AV260" s="625" t="e">
        <f t="shared" si="524"/>
        <v>#N/A</v>
      </c>
      <c r="AX260" s="625">
        <f>IF(AND('General price list'!$J260="F4",'General price list'!$AB260+0&gt;0),1,0)</f>
        <v>0</v>
      </c>
      <c r="AY260" s="625">
        <f t="shared" si="525"/>
        <v>1</v>
      </c>
      <c r="AZ260" s="625">
        <f t="shared" si="526"/>
        <v>0</v>
      </c>
    </row>
    <row r="261" spans="1:52" ht="15" customHeight="1">
      <c r="A261" s="621" t="str">
        <f>Kat.!C261</f>
        <v/>
      </c>
      <c r="B261" s="566">
        <f>IF(AND('General price list'!$J261="F4",$AI$1=FALSE),0,IF(AC261="SKLADEM",1,IF(AC261=$V$3,1,0)))</f>
        <v>0</v>
      </c>
      <c r="C261" s="641" t="s">
        <v>2221</v>
      </c>
      <c r="D261" s="568" t="s">
        <v>13035</v>
      </c>
      <c r="E261" s="762" t="s">
        <v>13036</v>
      </c>
      <c r="F261" s="772">
        <f>IFERROR(VLOOKUP(C261,[2]List1!$A:$D,3,FALSE),"NEUVEDENO!")</f>
        <v>99</v>
      </c>
      <c r="G261" s="769">
        <f t="shared" ref="G261" si="667">IF($W$17=$AF$8,ROUND((F261)/$F$17,2),(F261)*$B$19)</f>
        <v>99</v>
      </c>
      <c r="H261" s="766">
        <f t="shared" ref="H261" si="668">IF($W$17=$AF$8,G261*$B$19,G261/$F$17)</f>
        <v>4.2053752341629389</v>
      </c>
      <c r="I261" s="764">
        <f>IFERROR(VLOOKUP(C261,[2]List1!$A:$D,4,FALSE),"NEUVEDENO!")</f>
        <v>40</v>
      </c>
      <c r="J261" s="732" t="s">
        <v>39</v>
      </c>
      <c r="K261" s="569">
        <v>4</v>
      </c>
      <c r="L261" s="569" t="s">
        <v>10970</v>
      </c>
      <c r="M261" s="569" t="s">
        <v>21</v>
      </c>
      <c r="N261" s="569">
        <f>IFERROR(VLOOKUP(C261,[3]List1!$A:$D,4,FALSE),"N/A!")</f>
        <v>0</v>
      </c>
      <c r="O261" s="569">
        <f>IFERROR(VLOOKUP(C261,[3]List1!$A:$D,3,FALSE),"N/A!")</f>
        <v>1800</v>
      </c>
      <c r="P261" s="569">
        <f>IFERROR(VLOOKUP(C261,[3]List1!$A:$D,2,FALSE),"N/A!")</f>
        <v>4000</v>
      </c>
      <c r="Q261" s="569" t="s">
        <v>11236</v>
      </c>
      <c r="R261" s="569" t="s">
        <v>20</v>
      </c>
      <c r="S261" s="569"/>
      <c r="T261" s="569"/>
      <c r="U261" s="569"/>
      <c r="V261" s="569"/>
      <c r="W261" s="569" t="str">
        <f>IFERROR(VLOOKUP('General price list'!$C261,Popisy!A:M,MATCH($W$17,Popisy!$A$7:$M$7,0),FALSE),"---------------")</f>
        <v>práskající balónky 120db!!!, průměr 50mm</v>
      </c>
      <c r="X261" s="569" t="str">
        <f>IF(AB261&lt;0.0001,"",AB261)</f>
        <v/>
      </c>
      <c r="Y261" s="569" t="str">
        <f>IF($AL$3=2,IF(OR(AB261&lt;&gt;"",AB261&lt;&gt;0),AU261,""),IF(C261="","",IF(AB261&lt;0.0001,"",IF(B261=0,"",IF(AQ261&lt;AB261,"",AB261)))))</f>
        <v/>
      </c>
      <c r="Z261" s="789" t="str">
        <f>HYPERLINK("https://www.klasekpyrotechnics.cz/eb9")</f>
        <v>https://www.klasekpyrotechnics.cz/eb9</v>
      </c>
      <c r="AA261" s="569" t="str">
        <f>IFERROR(IF(VLOOKUP(C261,[4]List1!$A:$D,4,FALSE)=0,"",VLOOKUP(C261,[4]List1!$A:$D,4,FALSE)),"")</f>
        <v/>
      </c>
      <c r="AB261" s="565"/>
      <c r="AC261" s="570" t="str">
        <f>IFERROR(IF(VLOOKUP(C261,[1]List1!$A:$D,2,FALSE)="VYPRODÁNO",$V$9,IF(VLOOKUP(C261,[1]List1!$A:$D,2,FALSE)="DOCHÁZÍ",$V$3,VLOOKUP(C261,[1]List1!$A:$D,2,FALSE))),"OFFLINE!")</f>
        <v>31.08.2026</v>
      </c>
      <c r="AD261" s="570" t="str">
        <f ca="1">IF(AP261="NE",$V$10,IF(AC261=$V$3,IF(AQ261&lt;1,$V$8,$V$2&amp;" "&amp;AQ261&amp;" "&amp;$V$1),IF(AC261="SKLADEM",$V$6,IFERROR(IF(OR(AC261-TODAY()&gt;45,VLOOKUP(C261,[1]List1!$A:$E,4,FALSE)=0),AC261,DAY(AC261)&amp;"."&amp;MONTH(AC261)&amp;"."&amp;YEAR(AC261)&amp;" "&amp;$V$4&amp;VLOOKUP(C261,[1]List1!$A:$E,4,FALSE)&amp;" "&amp;$V$1),AC261))))</f>
        <v>31.08.2026</v>
      </c>
      <c r="AE261" s="581" t="str">
        <f ca="1">IFERROR(IF(AV261&lt;&gt;"",AV261,AD261),AD261)</f>
        <v>31.08.2026</v>
      </c>
      <c r="AF261" s="584">
        <f>IFERROR(IF(AB261=Y261,G261*I261*Y261,0),0)</f>
        <v>0</v>
      </c>
      <c r="AG261" s="585">
        <f>IF($W$17=$AF$8,AH261*1.23,AF261*1.21)</f>
        <v>0</v>
      </c>
      <c r="AH261" s="583">
        <f>IFERROR(IF(Y261=AB261,H261*I261*Y261,0),0)</f>
        <v>0</v>
      </c>
      <c r="AI261" s="582">
        <f>IFERROR(IF(Y261=AB261,(P261*Y261)/1000,1),0)</f>
        <v>0</v>
      </c>
      <c r="AJ261" s="569">
        <f>IFERROR(IF(Y261=AB261,N261*Y261,0.1),0)</f>
        <v>0</v>
      </c>
      <c r="AK261" s="569" t="str">
        <f>IFERROR(IF(Y261=AB261,IF(M261="1.1G",(O261/1000)*Y261,""),""),0)</f>
        <v/>
      </c>
      <c r="AL261" s="569" t="str">
        <f>IFERROR(IF(Y261=AB261,IF(M261="1.3G",(O261/1000)*AB261,""),""),0)</f>
        <v/>
      </c>
      <c r="AM261" s="569">
        <f>IFERROR(IF(Y261=AB261,IF(M261="1.4G",(O261/1000)*AB261,""),""),0)</f>
        <v>0</v>
      </c>
      <c r="AN261" s="581">
        <f>SUM(AK261:AM261)</f>
        <v>0</v>
      </c>
      <c r="AO261" s="623"/>
      <c r="AP261" s="632" t="str">
        <f t="shared" ref="AP261" si="669">IF($AL$3=1,IF(Y261=AB261,"","NE"),IF(AR261=$V$10,"NE",""))</f>
        <v/>
      </c>
      <c r="AQ261" s="633" t="str">
        <f>IF(AC261=$V$3,IF(VLOOKUP(C261,[1]List1!$A:$E,5,FALSE)=0,1,VLOOKUP(C261,[1]List1!$A:$E,5,FALSE)),"")</f>
        <v/>
      </c>
      <c r="AR261" s="625" t="str">
        <f t="shared" ref="AR261" si="670">IF($AL$3=1,"",IF(OR(AB261&lt;&gt;"",AB261&lt;&gt;0),IF(OR(AC261=$V$6,AC261=$V$3,AC261=$V$9),$V$10,""),""))</f>
        <v/>
      </c>
      <c r="AS261" s="634" t="str">
        <f t="shared" ref="AS261" si="671">IF(AT261&lt;&gt;"","X","")</f>
        <v/>
      </c>
      <c r="AT261" s="625" t="str">
        <f t="shared" ref="AT261" si="672">IF(AND($AL$3=2,AR261="",AB261&lt;&gt;""),AD261,"")</f>
        <v/>
      </c>
      <c r="AU261" s="638" t="e">
        <f t="shared" ref="AU261" si="673">IF(AT261=$AS$21,AB261,"")</f>
        <v>#N/A</v>
      </c>
      <c r="AV261" s="625" t="e">
        <f t="shared" ref="AV261" si="674">IF(OR(AB261="",AND(AT261&lt;&gt;"",AU261&lt;&gt;"")),"",$V$10)</f>
        <v>#N/A</v>
      </c>
      <c r="AX261" s="625">
        <f>IF(AND('General price list'!$J261="F4",'General price list'!$AB261+0&gt;0),1,0)</f>
        <v>0</v>
      </c>
      <c r="AY261" s="625">
        <f t="shared" ref="AY261" si="675">IFERROR(FIND(VLOOKUP($AC$7,$AD$1:$AE$12,2,FALSE),Q261,1),0)</f>
        <v>1</v>
      </c>
      <c r="AZ261" s="625">
        <f t="shared" ref="AZ261" si="676">IFERROR(FIND(VLOOKUP($AC$7,$AD$1:$AE$12,2,FALSE),R261,1),0)</f>
        <v>0</v>
      </c>
    </row>
    <row r="262" spans="1:52" ht="15.75" customHeight="1">
      <c r="A262" s="639" t="str">
        <f>Kat.!C262</f>
        <v/>
      </c>
      <c r="B262" s="640">
        <f>IF(AND('General price list'!$J262="F4",$AI$1=FALSE),0,IF(AC262="SKLADEM",1,IF(AC262=$V$3,1,0)))</f>
        <v>1</v>
      </c>
      <c r="C262" s="641" t="s">
        <v>679</v>
      </c>
      <c r="D262" s="642" t="s">
        <v>11707</v>
      </c>
      <c r="E262" s="643" t="s">
        <v>12698</v>
      </c>
      <c r="F262" s="771">
        <f>IFERROR(VLOOKUP(C262,[2]List1!$A:$D,3,FALSE),"NEUVEDENO!")</f>
        <v>112</v>
      </c>
      <c r="G262" s="768">
        <f t="shared" si="653"/>
        <v>112</v>
      </c>
      <c r="H262" s="765">
        <f t="shared" si="654"/>
        <v>4.7575962245075676</v>
      </c>
      <c r="I262" s="644">
        <f>IFERROR(VLOOKUP(C262,[2]List1!$A:$D,4,FALSE),"NEUVEDENO!")</f>
        <v>24</v>
      </c>
      <c r="J262" s="733" t="s">
        <v>39</v>
      </c>
      <c r="K262" s="645" t="s">
        <v>20</v>
      </c>
      <c r="L262" s="645" t="s">
        <v>12435</v>
      </c>
      <c r="M262" s="645" t="s">
        <v>21</v>
      </c>
      <c r="N262" s="645">
        <f>IFERROR(VLOOKUP(C262,[3]List1!$A:$D,4,FALSE),"N/A!")</f>
        <v>2.9645299999999999E-2</v>
      </c>
      <c r="O262" s="645">
        <f>IFERROR(VLOOKUP(C262,[3]List1!$A:$D,3,FALSE),"N/A!")</f>
        <v>374.40000000000003</v>
      </c>
      <c r="P262" s="645">
        <f>IFERROR(VLOOKUP(C262,[3]List1!$A:$D,2,FALSE),"N/A!")</f>
        <v>12376</v>
      </c>
      <c r="Q262" s="645" t="s">
        <v>11270</v>
      </c>
      <c r="R262" s="645" t="s">
        <v>20</v>
      </c>
      <c r="S262" s="645"/>
      <c r="T262" s="645"/>
      <c r="U262" s="645"/>
      <c r="V262" s="645"/>
      <c r="W262" s="645" t="str">
        <f>IFERROR(IF(AND($AB262&gt;=0.1*$AA262,MOD($AB262,$AA262)&gt;=($AA262-(0.1*$AA262))),IF($W$17=$AF$1,"Zvažte možnost doobjednání ještě "&amp;Tabulka1[[#This Row],[VKPAL]]-MOD(AB262,AA262)&amp;" VK do plné palety.",VLOOKUP("Zvažte možnost doobjednání ještě ",Jazyky_ceník!A:Q,MATCH($W$17,Jazyky_ceník!$A$1:$Q$1,0),FALSE)&amp;Tabulka1[[#This Row],[VKPAL]]-MOD(AB262,AA262)&amp;VLOOKUP(" VK do plné palety.",Jazyky_ceník!A:Q,MATCH($W$17,Jazyky_ceník!$A$1:$Q$1,0),FALSE)),IFERROR(IF(AND(NOT(MOD($AB262,$AA262)=0),$AB262&gt;=0.9*$AA262,MOD($AB262,$AA262)&lt;=0.1*$AA262),IF($W$17=$AF$1,"Zvažte možnost optimalizace objednaného množství podle počtu VK na paletě ==&gt;",VLOOKUP("Zvažte možnost optimalizace objednaného množství podle počtu VK na paletě ==&gt;",Jazyky_ceník!A:Q,MATCH($W$17,Jazyky_ceník!$A$1:$Q$1,0),FALSE)),VLOOKUP('General price list'!$C262,Popisy!A:M,MATCH($W$17,Popisy!$A$7:$M$7,0),FALSE)),"---------------")),IFERROR(VLOOKUP('General price list'!$C262,Popisy!A:M,MATCH($W$17,Popisy!$A$7:$M$7,0),FALSE),"---------------"))</f>
        <v>tuba s 50ks petard- imitace střelby</v>
      </c>
      <c r="X262" s="645" t="str">
        <f t="shared" si="655"/>
        <v/>
      </c>
      <c r="Y262" s="645" t="str">
        <f t="shared" si="656"/>
        <v/>
      </c>
      <c r="Z262" s="645" t="str">
        <f>HYPERLINK("https://www.klasekpyrotechnics.cz/k20k")</f>
        <v>https://www.klasekpyrotechnics.cz/k20k</v>
      </c>
      <c r="AA262" s="645">
        <f>IFERROR(IF(VLOOKUP(C262,[4]List1!$A:$D,4,FALSE)=0,"",VLOOKUP(C262,[4]List1!$A:$D,4,FALSE)),"")</f>
        <v>54</v>
      </c>
      <c r="AB262" s="646"/>
      <c r="AC262" s="647" t="str">
        <f>IFERROR(IF(VLOOKUP(C262,[1]List1!$A:$D,2,FALSE)="VYPRODÁNO",$V$9,IF(VLOOKUP(C262,[1]List1!$A:$D,2,FALSE)="DOCHÁZÍ",$V$3,VLOOKUP(C262,[1]List1!$A:$D,2,FALSE))),"OFFLINE!")</f>
        <v>SKLADEM</v>
      </c>
      <c r="AD262" s="647" t="str">
        <f ca="1">IF(AP262="NE",$V$10,IF(AC262=$V$3,IF(AQ262&lt;1,$V$8,$V$2&amp;" "&amp;AQ262&amp;" "&amp;$V$1),IF(AC262="SKLADEM",$V$6,IFERROR(IF(OR(AC262-TODAY()&gt;45,VLOOKUP(C262,[1]List1!$A:$E,4,FALSE)=0),AC262,DAY(AC262)&amp;"."&amp;MONTH(AC262)&amp;"."&amp;YEAR(AC262)&amp;" "&amp;$V$4&amp;VLOOKUP(C262,[1]List1!$A:$E,4,FALSE)&amp;" "&amp;$V$1),AC262))))</f>
        <v>SKLADEM</v>
      </c>
      <c r="AE262" s="645" t="str">
        <f t="shared" ca="1" si="657"/>
        <v>SKLADEM</v>
      </c>
      <c r="AF262" s="648">
        <f t="shared" si="658"/>
        <v>0</v>
      </c>
      <c r="AG262" s="649">
        <f t="shared" si="659"/>
        <v>0</v>
      </c>
      <c r="AH262" s="650">
        <f t="shared" si="660"/>
        <v>0</v>
      </c>
      <c r="AI262" s="645">
        <f t="shared" si="661"/>
        <v>0</v>
      </c>
      <c r="AJ262" s="645">
        <f t="shared" si="662"/>
        <v>0</v>
      </c>
      <c r="AK262" s="645" t="str">
        <f t="shared" si="663"/>
        <v/>
      </c>
      <c r="AL262" s="645" t="str">
        <f t="shared" si="664"/>
        <v/>
      </c>
      <c r="AM262" s="645">
        <f t="shared" si="665"/>
        <v>0</v>
      </c>
      <c r="AN262" s="651">
        <f t="shared" si="666"/>
        <v>0</v>
      </c>
      <c r="AO262" s="623"/>
      <c r="AP262" s="625" t="str">
        <f t="shared" si="519"/>
        <v/>
      </c>
      <c r="AQ262" s="625" t="str">
        <f>IF(AC262=$V$3,IF(VLOOKUP(C262,[1]List1!$A:$E,5,FALSE)=0,1,VLOOKUP(C262,[1]List1!$A:$E,5,FALSE)),"")</f>
        <v/>
      </c>
      <c r="AR262" s="629" t="str">
        <f t="shared" si="520"/>
        <v/>
      </c>
      <c r="AS262" s="630" t="str">
        <f t="shared" si="521"/>
        <v/>
      </c>
      <c r="AT262" s="625" t="str">
        <f t="shared" si="522"/>
        <v/>
      </c>
      <c r="AU262" s="625" t="e">
        <f t="shared" si="523"/>
        <v>#N/A</v>
      </c>
      <c r="AV262" s="625" t="e">
        <f t="shared" si="524"/>
        <v>#N/A</v>
      </c>
      <c r="AW262" s="631"/>
      <c r="AX262" s="631">
        <f>IF(AND('General price list'!$J262="F4",'General price list'!$AB262+0&gt;0),1,0)</f>
        <v>0</v>
      </c>
      <c r="AY262" s="631">
        <f t="shared" si="525"/>
        <v>1</v>
      </c>
      <c r="AZ262" s="631">
        <f t="shared" si="526"/>
        <v>0</v>
      </c>
    </row>
    <row r="263" spans="1:52" ht="15" customHeight="1">
      <c r="A263" s="621" t="str">
        <f>Kat.!C263</f>
        <v>×</v>
      </c>
      <c r="B263" s="566">
        <f>IF(AND('General price list'!$J263="F4",$AI$1=FALSE),0,IF(AC263="SKLADEM",1,IF(AC263=$V$3,1,0)))</f>
        <v>1</v>
      </c>
      <c r="C263" s="567" t="s">
        <v>680</v>
      </c>
      <c r="D263" s="568" t="s">
        <v>11708</v>
      </c>
      <c r="E263" s="763" t="s">
        <v>12683</v>
      </c>
      <c r="F263" s="772">
        <f>IFERROR(VLOOKUP(C263,[2]List1!$A:$D,3,FALSE),"NEUVEDENO!")</f>
        <v>193</v>
      </c>
      <c r="G263" s="769">
        <f t="shared" si="653"/>
        <v>193</v>
      </c>
      <c r="H263" s="766">
        <f t="shared" si="654"/>
        <v>8.1983577797317899</v>
      </c>
      <c r="I263" s="764">
        <f>IFERROR(VLOOKUP(C263,[2]List1!$A:$D,4,FALSE),"NEUVEDENO!")</f>
        <v>20</v>
      </c>
      <c r="J263" s="732" t="s">
        <v>39</v>
      </c>
      <c r="K263" s="569" t="s">
        <v>20</v>
      </c>
      <c r="L263" s="569" t="s">
        <v>20</v>
      </c>
      <c r="M263" s="569" t="s">
        <v>21</v>
      </c>
      <c r="N263" s="569">
        <f>IFERROR(VLOOKUP(C263,[3]List1!$A:$D,4,FALSE),"N/A!")</f>
        <v>4.5791159999999997E-2</v>
      </c>
      <c r="O263" s="569">
        <f>IFERROR(VLOOKUP(C263,[3]List1!$A:$D,3,FALSE),"N/A!")</f>
        <v>624</v>
      </c>
      <c r="P263" s="569">
        <f>IFERROR(VLOOKUP(C263,[3]List1!$A:$D,2,FALSE),"N/A!")</f>
        <v>15000</v>
      </c>
      <c r="Q263" s="569" t="s">
        <v>11271</v>
      </c>
      <c r="R263" s="569" t="s">
        <v>11272</v>
      </c>
      <c r="S263" s="569"/>
      <c r="T263" s="569"/>
      <c r="U263" s="569"/>
      <c r="V263" s="569"/>
      <c r="W263" s="569" t="str">
        <f>IFERROR(IF(AND($AB263&gt;=0.1*$AA263,MOD($AB263,$AA263)&gt;=($AA263-(0.1*$AA263))),IF($W$17=$AF$1,"Zvažte možnost doobjednání ještě "&amp;Tabulka1[[#This Row],[VKPAL]]-MOD(AB263,AA263)&amp;" VK do plné palety.",VLOOKUP("Zvažte možnost doobjednání ještě ",Jazyky_ceník!A:Q,MATCH($W$17,Jazyky_ceník!$A$1:$Q$1,0),FALSE)&amp;Tabulka1[[#This Row],[VKPAL]]-MOD(AB263,AA263)&amp;VLOOKUP(" VK do plné palety.",Jazyky_ceník!A:Q,MATCH($W$17,Jazyky_ceník!$A$1:$Q$1,0),FALSE)),IFERROR(IF(AND(NOT(MOD($AB263,$AA263)=0),$AB263&gt;=0.9*$AA263,MOD($AB263,$AA263)&lt;=0.1*$AA263),IF($W$17=$AF$1,"Zvažte možnost optimalizace objednaného množství podle počtu VK na paletě ==&gt;",VLOOKUP("Zvažte možnost optimalizace objednaného množství podle počtu VK na paletě ==&gt;",Jazyky_ceník!A:Q,MATCH($W$17,Jazyky_ceník!$A$1:$Q$1,0),FALSE)),VLOOKUP('General price list'!$C263,Popisy!A:M,MATCH($W$17,Popisy!$A$7:$M$7,0),FALSE)),"---------------")),IFERROR(VLOOKUP('General price list'!$C263,Popisy!A:M,MATCH($W$17,Popisy!$A$7:$M$7,0),FALSE),"---------------"))</f>
        <v>tuba s 150ks petard- imitace střelby</v>
      </c>
      <c r="X263" s="569" t="str">
        <f t="shared" si="655"/>
        <v/>
      </c>
      <c r="Y263" s="569" t="str">
        <f t="shared" si="656"/>
        <v/>
      </c>
      <c r="Z263" s="569" t="str">
        <f>HYPERLINK("https://www.klasekpyrotechnics.cz/k60k")</f>
        <v>https://www.klasekpyrotechnics.cz/k60k</v>
      </c>
      <c r="AA263" s="569">
        <f>IFERROR(IF(VLOOKUP(C263,[4]List1!$A:$D,4,FALSE)=0,"",VLOOKUP(C263,[4]List1!$A:$D,4,FALSE)),"")</f>
        <v>20</v>
      </c>
      <c r="AB263" s="565"/>
      <c r="AC263" s="570" t="str">
        <f>IFERROR(IF(VLOOKUP(C263,[1]List1!$A:$D,2,FALSE)="VYPRODÁNO",$V$9,IF(VLOOKUP(C263,[1]List1!$A:$D,2,FALSE)="DOCHÁZÍ",$V$3,VLOOKUP(C263,[1]List1!$A:$D,2,FALSE))),"OFFLINE!")</f>
        <v>SKLADEM</v>
      </c>
      <c r="AD263" s="570" t="str">
        <f ca="1">IF(AP263="NE",$V$10,IF(AC263=$V$3,IF(AQ263&lt;1,$V$8,$V$2&amp;" "&amp;AQ263&amp;" "&amp;$V$1),IF(AC263="SKLADEM",$V$6,IFERROR(IF(OR(AC263-TODAY()&gt;45,VLOOKUP(C263,[1]List1!$A:$E,4,FALSE)=0),AC263,DAY(AC263)&amp;"."&amp;MONTH(AC263)&amp;"."&amp;YEAR(AC263)&amp;" "&amp;$V$4&amp;VLOOKUP(C263,[1]List1!$A:$E,4,FALSE)&amp;" "&amp;$V$1),AC263))))</f>
        <v>SKLADEM</v>
      </c>
      <c r="AE263" s="581" t="str">
        <f t="shared" ca="1" si="657"/>
        <v>SKLADEM</v>
      </c>
      <c r="AF263" s="584">
        <f t="shared" si="658"/>
        <v>0</v>
      </c>
      <c r="AG263" s="585">
        <f t="shared" si="659"/>
        <v>0</v>
      </c>
      <c r="AH263" s="583">
        <f t="shared" si="660"/>
        <v>0</v>
      </c>
      <c r="AI263" s="582">
        <f t="shared" si="661"/>
        <v>0</v>
      </c>
      <c r="AJ263" s="569">
        <f t="shared" si="662"/>
        <v>0</v>
      </c>
      <c r="AK263" s="569" t="str">
        <f t="shared" si="663"/>
        <v/>
      </c>
      <c r="AL263" s="569" t="str">
        <f t="shared" si="664"/>
        <v/>
      </c>
      <c r="AM263" s="569">
        <f t="shared" si="665"/>
        <v>0</v>
      </c>
      <c r="AN263" s="581">
        <f t="shared" si="666"/>
        <v>0</v>
      </c>
      <c r="AO263" s="623"/>
      <c r="AP263" s="632" t="str">
        <f t="shared" si="519"/>
        <v/>
      </c>
      <c r="AQ263" s="633" t="str">
        <f>IF(AC263=$V$3,IF(VLOOKUP(C263,[1]List1!$A:$E,5,FALSE)=0,1,VLOOKUP(C263,[1]List1!$A:$E,5,FALSE)),"")</f>
        <v/>
      </c>
      <c r="AR263" s="625" t="str">
        <f t="shared" si="520"/>
        <v/>
      </c>
      <c r="AS263" s="634" t="str">
        <f t="shared" si="521"/>
        <v/>
      </c>
      <c r="AT263" s="625" t="str">
        <f t="shared" si="522"/>
        <v/>
      </c>
      <c r="AU263" s="638" t="e">
        <f t="shared" si="523"/>
        <v>#N/A</v>
      </c>
      <c r="AV263" s="625" t="e">
        <f t="shared" si="524"/>
        <v>#N/A</v>
      </c>
      <c r="AX263" s="625">
        <f>IF(AND('General price list'!$J263="F4",'General price list'!$AB263+0&gt;0),1,0)</f>
        <v>0</v>
      </c>
      <c r="AY263" s="625">
        <f t="shared" si="525"/>
        <v>1</v>
      </c>
      <c r="AZ263" s="625">
        <f t="shared" si="526"/>
        <v>1</v>
      </c>
    </row>
    <row r="264" spans="1:52" ht="15" customHeight="1">
      <c r="A264" s="639" t="str">
        <f>Kat.!C264</f>
        <v/>
      </c>
      <c r="B264" s="640">
        <f>IF(AND('General price list'!$J264="F4",$AI$1=FALSE),0,IF(AC264="SKLADEM",1,IF(AC264=$V$3,1,0)))</f>
        <v>1</v>
      </c>
      <c r="C264" s="641" t="s">
        <v>681</v>
      </c>
      <c r="D264" s="642" t="s">
        <v>11709</v>
      </c>
      <c r="E264" s="643" t="s">
        <v>12720</v>
      </c>
      <c r="F264" s="771">
        <f>IFERROR(VLOOKUP(C264,[2]List1!$A:$D,3,FALSE),"NEUVEDENO!")</f>
        <v>707</v>
      </c>
      <c r="G264" s="768">
        <f t="shared" si="653"/>
        <v>707</v>
      </c>
      <c r="H264" s="765">
        <f t="shared" si="654"/>
        <v>30.032326167204019</v>
      </c>
      <c r="I264" s="644">
        <f>IFERROR(VLOOKUP(C264,[2]List1!$A:$D,4,FALSE),"NEUVEDENO!")</f>
        <v>8</v>
      </c>
      <c r="J264" s="733" t="s">
        <v>39</v>
      </c>
      <c r="K264" s="645" t="s">
        <v>20</v>
      </c>
      <c r="L264" s="645" t="s">
        <v>12435</v>
      </c>
      <c r="M264" s="645" t="s">
        <v>21</v>
      </c>
      <c r="N264" s="645">
        <f>IFERROR(VLOOKUP(C264,[3]List1!$A:$D,4,FALSE),"N/A!")</f>
        <v>5.4179999999999999E-2</v>
      </c>
      <c r="O264" s="645">
        <f>IFERROR(VLOOKUP(C264,[3]List1!$A:$D,3,FALSE),"N/A!")</f>
        <v>4200</v>
      </c>
      <c r="P264" s="645">
        <f>IFERROR(VLOOKUP(C264,[3]List1!$A:$D,2,FALSE),"N/A!")</f>
        <v>26000</v>
      </c>
      <c r="Q264" s="645" t="s">
        <v>12085</v>
      </c>
      <c r="R264" s="645" t="s">
        <v>11233</v>
      </c>
      <c r="S264" s="645"/>
      <c r="T264" s="645"/>
      <c r="U264" s="645"/>
      <c r="V264" s="645"/>
      <c r="W264" s="645" t="str">
        <f>IFERROR(IF(AND($AB264&gt;=0.1*$AA264,MOD($AB264,$AA264)&gt;=($AA264-(0.1*$AA264))),IF($W$17=$AF$1,"Zvažte možnost doobjednání ještě "&amp;Tabulka1[[#This Row],[VKPAL]]-MOD(AB264,AA264)&amp;" VK do plné palety.",VLOOKUP("Zvažte možnost doobjednání ještě ",Jazyky_ceník!A:Q,MATCH($W$17,Jazyky_ceník!$A$1:$Q$1,0),FALSE)&amp;Tabulka1[[#This Row],[VKPAL]]-MOD(AB264,AA264)&amp;VLOOKUP(" VK do plné palety.",Jazyky_ceník!A:Q,MATCH($W$17,Jazyky_ceník!$A$1:$Q$1,0),FALSE)),IFERROR(IF(AND(NOT(MOD($AB264,$AA264)=0),$AB264&gt;=0.9*$AA264,MOD($AB264,$AA264)&lt;=0.1*$AA264),IF($W$17=$AF$1,"Zvažte možnost optimalizace objednaného množství podle počtu VK na paletě ==&gt;",VLOOKUP("Zvažte možnost optimalizace objednaného množství podle počtu VK na paletě ==&gt;",Jazyky_ceník!A:Q,MATCH($W$17,Jazyky_ceník!$A$1:$Q$1,0),FALSE)),VLOOKUP('General price list'!$C264,Popisy!A:M,MATCH($W$17,Popisy!$A$7:$M$7,0),FALSE)),"---------------")),IFERROR(VLOOKUP('General price list'!$C264,Popisy!A:M,MATCH($W$17,Popisy!$A$7:$M$7,0),FALSE),"---------------"))</f>
        <v>70ran,délka 16cm,kobereček se skládá z malých petard</v>
      </c>
      <c r="X264" s="645" t="str">
        <f t="shared" si="655"/>
        <v/>
      </c>
      <c r="Y264" s="645" t="str">
        <f t="shared" si="656"/>
        <v/>
      </c>
      <c r="Z264" s="645" t="str">
        <f>HYPERLINK("https://www.klasekpyrotechnics.cz/k01m")</f>
        <v>https://www.klasekpyrotechnics.cz/k01m</v>
      </c>
      <c r="AA264" s="645">
        <f>IFERROR(IF(VLOOKUP(C264,[4]List1!$A:$D,4,FALSE)=0,"",VLOOKUP(C264,[4]List1!$A:$D,4,FALSE)),"")</f>
        <v>24</v>
      </c>
      <c r="AB264" s="646"/>
      <c r="AC264" s="647" t="str">
        <f>IFERROR(IF(VLOOKUP(C264,[1]List1!$A:$D,2,FALSE)="VYPRODÁNO",$V$9,IF(VLOOKUP(C264,[1]List1!$A:$D,2,FALSE)="DOCHÁZÍ",$V$3,VLOOKUP(C264,[1]List1!$A:$D,2,FALSE))),"OFFLINE!")</f>
        <v>SKLADEM</v>
      </c>
      <c r="AD264" s="647" t="str">
        <f ca="1">IF(AP264="NE",$V$10,IF(AC264=$V$3,IF(AQ264&lt;1,$V$8,$V$2&amp;" "&amp;AQ264&amp;" "&amp;$V$1),IF(AC264="SKLADEM",$V$6,IFERROR(IF(OR(AC264-TODAY()&gt;45,VLOOKUP(C264,[1]List1!$A:$E,4,FALSE)=0),AC264,DAY(AC264)&amp;"."&amp;MONTH(AC264)&amp;"."&amp;YEAR(AC264)&amp;" "&amp;$V$4&amp;VLOOKUP(C264,[1]List1!$A:$E,4,FALSE)&amp;" "&amp;$V$1),AC264))))</f>
        <v>SKLADEM</v>
      </c>
      <c r="AE264" s="645" t="str">
        <f t="shared" ca="1" si="657"/>
        <v>SKLADEM</v>
      </c>
      <c r="AF264" s="648">
        <f t="shared" si="658"/>
        <v>0</v>
      </c>
      <c r="AG264" s="649">
        <f t="shared" si="659"/>
        <v>0</v>
      </c>
      <c r="AH264" s="650">
        <f t="shared" si="660"/>
        <v>0</v>
      </c>
      <c r="AI264" s="645">
        <f t="shared" si="661"/>
        <v>0</v>
      </c>
      <c r="AJ264" s="645">
        <f t="shared" si="662"/>
        <v>0</v>
      </c>
      <c r="AK264" s="645" t="str">
        <f t="shared" si="663"/>
        <v/>
      </c>
      <c r="AL264" s="645" t="str">
        <f t="shared" si="664"/>
        <v/>
      </c>
      <c r="AM264" s="645">
        <f t="shared" si="665"/>
        <v>0</v>
      </c>
      <c r="AN264" s="651">
        <f t="shared" si="666"/>
        <v>0</v>
      </c>
      <c r="AO264" s="623"/>
      <c r="AP264" s="632" t="str">
        <f t="shared" si="519"/>
        <v/>
      </c>
      <c r="AQ264" s="633" t="str">
        <f>IF(AC264=$V$3,IF(VLOOKUP(C264,[1]List1!$A:$E,5,FALSE)=0,1,VLOOKUP(C264,[1]List1!$A:$E,5,FALSE)),"")</f>
        <v/>
      </c>
      <c r="AR264" s="625" t="str">
        <f t="shared" si="520"/>
        <v/>
      </c>
      <c r="AS264" s="634" t="str">
        <f t="shared" si="521"/>
        <v/>
      </c>
      <c r="AT264" s="625" t="str">
        <f t="shared" si="522"/>
        <v/>
      </c>
      <c r="AU264" s="638" t="e">
        <f t="shared" si="523"/>
        <v>#N/A</v>
      </c>
      <c r="AV264" s="625" t="e">
        <f t="shared" si="524"/>
        <v>#N/A</v>
      </c>
      <c r="AX264" s="625">
        <f>IF(AND('General price list'!$J264="F4",'General price list'!$AB264+0&gt;0),1,0)</f>
        <v>0</v>
      </c>
      <c r="AY264" s="625">
        <f t="shared" si="525"/>
        <v>1</v>
      </c>
      <c r="AZ264" s="625">
        <f t="shared" si="526"/>
        <v>1</v>
      </c>
    </row>
    <row r="265" spans="1:52" ht="15.75" customHeight="1">
      <c r="A265" s="621" t="str">
        <f>Kat.!C265</f>
        <v/>
      </c>
      <c r="B265" s="566">
        <f>IF(AND('General price list'!$J265="F4",$AI$1=FALSE),0,IF(AC265="SKLADEM",1,IF(AC265=$V$3,1,0)))</f>
        <v>1</v>
      </c>
      <c r="C265" s="567" t="s">
        <v>11633</v>
      </c>
      <c r="D265" s="568" t="s">
        <v>11870</v>
      </c>
      <c r="E265" s="763" t="s">
        <v>12721</v>
      </c>
      <c r="F265" s="772">
        <f>IFERROR(VLOOKUP(C265,[2]List1!$A:$D,3,FALSE),"NEUVEDENO!")</f>
        <v>239</v>
      </c>
      <c r="G265" s="769">
        <f t="shared" si="653"/>
        <v>239</v>
      </c>
      <c r="H265" s="766">
        <f t="shared" si="654"/>
        <v>10.152370514797399</v>
      </c>
      <c r="I265" s="764">
        <f>IFERROR(VLOOKUP(C265,[2]List1!$A:$D,4,FALSE),"NEUVEDENO!")</f>
        <v>16</v>
      </c>
      <c r="J265" s="732" t="s">
        <v>39</v>
      </c>
      <c r="K265" s="569" t="s">
        <v>20</v>
      </c>
      <c r="L265" s="569" t="s">
        <v>12435</v>
      </c>
      <c r="M265" s="569" t="s">
        <v>21</v>
      </c>
      <c r="N265" s="569">
        <f>IFERROR(VLOOKUP(C265,[3]List1!$A:$D,4,FALSE),"N/A!")</f>
        <v>4.095E-2</v>
      </c>
      <c r="O265" s="569">
        <f>IFERROR(VLOOKUP(C265,[3]List1!$A:$D,3,FALSE),"N/A!")</f>
        <v>2160</v>
      </c>
      <c r="P265" s="569">
        <f>IFERROR(VLOOKUP(C265,[3]List1!$A:$D,2,FALSE),"N/A!")</f>
        <v>27000</v>
      </c>
      <c r="Q265" s="569" t="s">
        <v>12769</v>
      </c>
      <c r="R265" s="569" t="s">
        <v>11236</v>
      </c>
      <c r="S265" s="569"/>
      <c r="T265" s="569">
        <v>10</v>
      </c>
      <c r="U265" s="569"/>
      <c r="V265" s="569"/>
      <c r="W265" s="569" t="str">
        <f>IFERROR(IF(AND($AB265&gt;=0.1*$AA265,MOD($AB265,$AA265)&gt;=($AA265-(0.1*$AA265))),IF($W$17=$AF$1,"Zvažte možnost doobjednání ještě "&amp;Tabulka1[[#This Row],[VKPAL]]-MOD(AB265,AA265)&amp;" VK do plné palety.",VLOOKUP("Zvažte možnost doobjednání ještě ",Jazyky_ceník!A:Q,MATCH($W$17,Jazyky_ceník!$A$1:$Q$1,0),FALSE)&amp;Tabulka1[[#This Row],[VKPAL]]-MOD(AB265,AA265)&amp;VLOOKUP(" VK do plné palety.",Jazyky_ceník!A:Q,MATCH($W$17,Jazyky_ceník!$A$1:$Q$1,0),FALSE)),IFERROR(IF(AND(NOT(MOD($AB265,$AA265)=0),$AB265&gt;=0.9*$AA265,MOD($AB265,$AA265)&lt;=0.1*$AA265),IF($W$17=$AF$1,"Zvažte možnost optimalizace objednaného množství podle počtu VK na paletě ==&gt;",VLOOKUP("Zvažte možnost optimalizace objednaného množství podle počtu VK na paletě ==&gt;",Jazyky_ceník!A:Q,MATCH($W$17,Jazyky_ceník!$A$1:$Q$1,0),FALSE)),VLOOKUP('General price list'!$C265,Popisy!A:M,MATCH($W$17,Popisy!$A$7:$M$7,0),FALSE)),"---------------")),IFERROR(VLOOKUP('General price list'!$C265,Popisy!A:M,MATCH($W$17,Popisy!$A$7:$M$7,0),FALSE),"---------------"))</f>
        <v>100ran, délka 32cm, bouchající koberec z černoprachových petard</v>
      </c>
      <c r="X265" s="569" t="str">
        <f t="shared" si="655"/>
        <v/>
      </c>
      <c r="Y265" s="569" t="str">
        <f t="shared" si="656"/>
        <v/>
      </c>
      <c r="Z265" s="569" t="str">
        <f>HYPERLINK("https://www.klasekpyrotechnics.cz/k100r")</f>
        <v>https://www.klasekpyrotechnics.cz/k100r</v>
      </c>
      <c r="AA265" s="569">
        <f>IFERROR(IF(VLOOKUP(C265,[4]List1!$A:$D,4,FALSE)=0,"",VLOOKUP(C265,[4]List1!$A:$D,4,FALSE)),"")</f>
        <v>28</v>
      </c>
      <c r="AB265" s="565"/>
      <c r="AC265" s="570" t="str">
        <f>IFERROR(IF(VLOOKUP(C265,[1]List1!$A:$D,2,FALSE)="VYPRODÁNO",$V$9,IF(VLOOKUP(C265,[1]List1!$A:$D,2,FALSE)="DOCHÁZÍ",$V$3,VLOOKUP(C265,[1]List1!$A:$D,2,FALSE))),"OFFLINE!")</f>
        <v>SKLADEM</v>
      </c>
      <c r="AD265" s="570" t="str">
        <f ca="1">IF(AP265="NE",$V$10,IF(AC265=$V$3,IF(AQ265&lt;1,$V$8,$V$2&amp;" "&amp;AQ265&amp;" "&amp;$V$1),IF(AC265="SKLADEM",$V$6,IFERROR(IF(OR(AC265-TODAY()&gt;45,VLOOKUP(C265,[1]List1!$A:$E,4,FALSE)=0),AC265,DAY(AC265)&amp;"."&amp;MONTH(AC265)&amp;"."&amp;YEAR(AC265)&amp;" "&amp;$V$4&amp;VLOOKUP(C265,[1]List1!$A:$E,4,FALSE)&amp;" "&amp;$V$1),AC265))))</f>
        <v>SKLADEM</v>
      </c>
      <c r="AE265" s="581" t="str">
        <f t="shared" ca="1" si="657"/>
        <v>SKLADEM</v>
      </c>
      <c r="AF265" s="584">
        <f t="shared" si="658"/>
        <v>0</v>
      </c>
      <c r="AG265" s="585">
        <f t="shared" si="659"/>
        <v>0</v>
      </c>
      <c r="AH265" s="583">
        <f t="shared" si="660"/>
        <v>0</v>
      </c>
      <c r="AI265" s="582">
        <f t="shared" si="661"/>
        <v>0</v>
      </c>
      <c r="AJ265" s="569">
        <f t="shared" si="662"/>
        <v>0</v>
      </c>
      <c r="AK265" s="569" t="str">
        <f t="shared" si="663"/>
        <v/>
      </c>
      <c r="AL265" s="569" t="str">
        <f t="shared" si="664"/>
        <v/>
      </c>
      <c r="AM265" s="569">
        <f t="shared" si="665"/>
        <v>0</v>
      </c>
      <c r="AN265" s="581">
        <f t="shared" si="666"/>
        <v>0</v>
      </c>
      <c r="AO265" s="623"/>
      <c r="AP265" s="625" t="str">
        <f t="shared" si="519"/>
        <v/>
      </c>
      <c r="AQ265" s="625" t="str">
        <f>IF(AC265=$V$3,IF(VLOOKUP(C265,[1]List1!$A:$E,5,FALSE)=0,1,VLOOKUP(C265,[1]List1!$A:$E,5,FALSE)),"")</f>
        <v/>
      </c>
      <c r="AR265" s="629" t="str">
        <f t="shared" si="520"/>
        <v/>
      </c>
      <c r="AS265" s="630" t="str">
        <f t="shared" si="521"/>
        <v/>
      </c>
      <c r="AT265" s="625" t="str">
        <f t="shared" si="522"/>
        <v/>
      </c>
      <c r="AU265" s="625" t="e">
        <f t="shared" si="523"/>
        <v>#N/A</v>
      </c>
      <c r="AV265" s="625" t="e">
        <f t="shared" si="524"/>
        <v>#N/A</v>
      </c>
      <c r="AW265" s="631"/>
      <c r="AX265" s="631">
        <f>IF(AND('General price list'!$J265="F4",'General price list'!$AB265+0&gt;0),1,0)</f>
        <v>0</v>
      </c>
      <c r="AY265" s="631">
        <f t="shared" si="525"/>
        <v>1</v>
      </c>
      <c r="AZ265" s="631">
        <f t="shared" si="526"/>
        <v>1</v>
      </c>
    </row>
    <row r="266" spans="1:52" ht="15" customHeight="1">
      <c r="A266" s="639" t="str">
        <f>Kat.!C266</f>
        <v/>
      </c>
      <c r="B266" s="640">
        <f>IF(AND('General price list'!$J266="F4",$AI$1=FALSE),0,IF(AC266="SKLADEM",1,IF(AC266=$V$3,1,0)))</f>
        <v>1</v>
      </c>
      <c r="C266" s="641" t="s">
        <v>684</v>
      </c>
      <c r="D266" s="642" t="s">
        <v>12528</v>
      </c>
      <c r="E266" s="643" t="s">
        <v>12722</v>
      </c>
      <c r="F266" s="771">
        <f>IFERROR(VLOOKUP(C266,[2]List1!$A:$D,3,FALSE),"NEUVEDENO!")</f>
        <v>319</v>
      </c>
      <c r="G266" s="768">
        <f t="shared" si="653"/>
        <v>319</v>
      </c>
      <c r="H266" s="765">
        <f t="shared" si="654"/>
        <v>13.550653532302805</v>
      </c>
      <c r="I266" s="644">
        <f>IFERROR(VLOOKUP(C266,[2]List1!$A:$D,4,FALSE),"NEUVEDENO!")</f>
        <v>8</v>
      </c>
      <c r="J266" s="733" t="s">
        <v>39</v>
      </c>
      <c r="K266" s="645">
        <v>4</v>
      </c>
      <c r="L266" s="645" t="s">
        <v>12435</v>
      </c>
      <c r="M266" s="645" t="s">
        <v>21</v>
      </c>
      <c r="N266" s="645">
        <f>IFERROR(VLOOKUP(C266,[3]List1!$A:$D,4,FALSE),"N/A!")</f>
        <v>4.4687999999999999E-2</v>
      </c>
      <c r="O266" s="645">
        <f>IFERROR(VLOOKUP(C266,[3]List1!$A:$D,3,FALSE),"N/A!")</f>
        <v>1944</v>
      </c>
      <c r="P266" s="645">
        <f>IFERROR(VLOOKUP(C266,[3]List1!$A:$D,2,FALSE),"N/A!")</f>
        <v>21000</v>
      </c>
      <c r="Q266" s="645" t="s">
        <v>11762</v>
      </c>
      <c r="R266" s="645" t="s">
        <v>11244</v>
      </c>
      <c r="S266" s="645"/>
      <c r="T266" s="645">
        <v>15</v>
      </c>
      <c r="U266" s="645"/>
      <c r="V266" s="645"/>
      <c r="W266" s="645" t="str">
        <f>IFERROR(IF(AND($AB266&gt;=0.1*$AA266,MOD($AB266,$AA266)&gt;=($AA266-(0.1*$AA266))),IF($W$17=$AF$1,"Zvažte možnost doobjednání ještě "&amp;Tabulka1[[#This Row],[VKPAL]]-MOD(AB266,AA266)&amp;" VK do plné palety.",VLOOKUP("Zvažte možnost doobjednání ještě ",Jazyky_ceník!A:Q,MATCH($W$17,Jazyky_ceník!$A$1:$Q$1,0),FALSE)&amp;Tabulka1[[#This Row],[VKPAL]]-MOD(AB266,AA266)&amp;VLOOKUP(" VK do plné palety.",Jazyky_ceník!A:Q,MATCH($W$17,Jazyky_ceník!$A$1:$Q$1,0),FALSE)),IFERROR(IF(AND(NOT(MOD($AB266,$AA266)=0),$AB266&gt;=0.9*$AA266,MOD($AB266,$AA266)&lt;=0.1*$AA266),IF($W$17=$AF$1,"Zvažte možnost optimalizace objednaného množství podle počtu VK na paletě ==&gt;",VLOOKUP("Zvažte možnost optimalizace objednaného množství podle počtu VK na paletě ==&gt;",Jazyky_ceník!A:Q,MATCH($W$17,Jazyky_ceník!$A$1:$Q$1,0),FALSE)),VLOOKUP('General price list'!$C266,Popisy!A:M,MATCH($W$17,Popisy!$A$7:$M$7,0),FALSE)),"---------------")),IFERROR(VLOOKUP('General price list'!$C266,Popisy!A:M,MATCH($W$17,Popisy!$A$7:$M$7,0),FALSE),"---------------"))</f>
        <v>200ran,délka 62cm,bouchající koberec ze středních petard</v>
      </c>
      <c r="X266" s="645" t="str">
        <f t="shared" si="655"/>
        <v/>
      </c>
      <c r="Y266" s="645" t="str">
        <f t="shared" si="656"/>
        <v/>
      </c>
      <c r="Z266" s="645" t="str">
        <f>HYPERLINK("https://www.klasekpyrotechnics.cz/k200r")</f>
        <v>https://www.klasekpyrotechnics.cz/k200r</v>
      </c>
      <c r="AA266" s="645">
        <f>IFERROR(IF(VLOOKUP(C266,[4]List1!$A:$D,4,FALSE)=0,"",VLOOKUP(C266,[4]List1!$A:$D,4,FALSE)),"")</f>
        <v>42</v>
      </c>
      <c r="AB266" s="646"/>
      <c r="AC266" s="647" t="str">
        <f>IFERROR(IF(VLOOKUP(C266,[1]List1!$A:$D,2,FALSE)="VYPRODÁNO",$V$9,IF(VLOOKUP(C266,[1]List1!$A:$D,2,FALSE)="DOCHÁZÍ",$V$3,VLOOKUP(C266,[1]List1!$A:$D,2,FALSE))),"OFFLINE!")</f>
        <v>SKLADEM</v>
      </c>
      <c r="AD266" s="647" t="str">
        <f ca="1">IF(AP266="NE",$V$10,IF(AC266=$V$3,IF(AQ266&lt;1,$V$8,$V$2&amp;" "&amp;AQ266&amp;" "&amp;$V$1),IF(AC266="SKLADEM",$V$6,IFERROR(IF(OR(AC266-TODAY()&gt;45,VLOOKUP(C266,[1]List1!$A:$E,4,FALSE)=0),AC266,DAY(AC266)&amp;"."&amp;MONTH(AC266)&amp;"."&amp;YEAR(AC266)&amp;" "&amp;$V$4&amp;VLOOKUP(C266,[1]List1!$A:$E,4,FALSE)&amp;" "&amp;$V$1),AC266))))</f>
        <v>SKLADEM</v>
      </c>
      <c r="AE266" s="645" t="str">
        <f t="shared" ca="1" si="657"/>
        <v>SKLADEM</v>
      </c>
      <c r="AF266" s="648">
        <f t="shared" si="658"/>
        <v>0</v>
      </c>
      <c r="AG266" s="649">
        <f t="shared" si="659"/>
        <v>0</v>
      </c>
      <c r="AH266" s="650">
        <f t="shared" si="660"/>
        <v>0</v>
      </c>
      <c r="AI266" s="645">
        <f t="shared" si="661"/>
        <v>0</v>
      </c>
      <c r="AJ266" s="645">
        <f t="shared" si="662"/>
        <v>0</v>
      </c>
      <c r="AK266" s="645" t="str">
        <f t="shared" si="663"/>
        <v/>
      </c>
      <c r="AL266" s="645" t="str">
        <f t="shared" si="664"/>
        <v/>
      </c>
      <c r="AM266" s="645">
        <f t="shared" si="665"/>
        <v>0</v>
      </c>
      <c r="AN266" s="651">
        <f t="shared" si="666"/>
        <v>0</v>
      </c>
      <c r="AO266" s="623"/>
      <c r="AP266" s="632" t="str">
        <f t="shared" si="519"/>
        <v/>
      </c>
      <c r="AQ266" s="633" t="str">
        <f>IF(AC266=$V$3,IF(VLOOKUP(C266,[1]List1!$A:$E,5,FALSE)=0,1,VLOOKUP(C266,[1]List1!$A:$E,5,FALSE)),"")</f>
        <v/>
      </c>
      <c r="AR266" s="625" t="str">
        <f t="shared" si="520"/>
        <v/>
      </c>
      <c r="AS266" s="634" t="str">
        <f t="shared" si="521"/>
        <v/>
      </c>
      <c r="AT266" s="625" t="str">
        <f t="shared" si="522"/>
        <v/>
      </c>
      <c r="AU266" s="638" t="e">
        <f t="shared" si="523"/>
        <v>#N/A</v>
      </c>
      <c r="AV266" s="625" t="e">
        <f t="shared" si="524"/>
        <v>#N/A</v>
      </c>
      <c r="AX266" s="625">
        <f>IF(AND('General price list'!$J266="F4",'General price list'!$AB266+0&gt;0),1,0)</f>
        <v>0</v>
      </c>
      <c r="AY266" s="625">
        <f t="shared" si="525"/>
        <v>1</v>
      </c>
      <c r="AZ266" s="625">
        <f t="shared" si="526"/>
        <v>1</v>
      </c>
    </row>
    <row r="267" spans="1:52" ht="15" customHeight="1">
      <c r="A267" s="621" t="str">
        <f>Kat.!C267</f>
        <v/>
      </c>
      <c r="B267" s="566">
        <f>IF(AND('General price list'!$J267="F4",$AI$1=FALSE),0,IF(AC267="SKLADEM",1,IF(AC267=$V$3,1,0)))</f>
        <v>1</v>
      </c>
      <c r="C267" s="567" t="s">
        <v>688</v>
      </c>
      <c r="D267" s="568" t="s">
        <v>11710</v>
      </c>
      <c r="E267" s="763" t="s">
        <v>12723</v>
      </c>
      <c r="F267" s="772">
        <f>IFERROR(VLOOKUP(C267,[2]List1!$A:$D,3,FALSE),"NEUVEDENO!")</f>
        <v>86</v>
      </c>
      <c r="G267" s="769">
        <f t="shared" si="653"/>
        <v>86</v>
      </c>
      <c r="H267" s="766">
        <f t="shared" si="654"/>
        <v>3.6531542438183107</v>
      </c>
      <c r="I267" s="764">
        <f>IFERROR(VLOOKUP(C267,[2]List1!$A:$D,4,FALSE),"NEUVEDENO!")</f>
        <v>32</v>
      </c>
      <c r="J267" s="732" t="s">
        <v>113</v>
      </c>
      <c r="K267" s="569" t="s">
        <v>20</v>
      </c>
      <c r="L267" s="569" t="s">
        <v>20</v>
      </c>
      <c r="M267" s="569" t="s">
        <v>21</v>
      </c>
      <c r="N267" s="569">
        <f>IFERROR(VLOOKUP(C267,[3]List1!$A:$D,4,FALSE),"N/A!")</f>
        <v>3.7224E-2</v>
      </c>
      <c r="O267" s="569">
        <f>IFERROR(VLOOKUP(C267,[3]List1!$A:$D,3,FALSE),"N/A!")</f>
        <v>1920</v>
      </c>
      <c r="P267" s="569">
        <f>IFERROR(VLOOKUP(C267,[3]List1!$A:$D,2,FALSE),"N/A!")</f>
        <v>19500</v>
      </c>
      <c r="Q267" s="569" t="s">
        <v>11238</v>
      </c>
      <c r="R267" s="569"/>
      <c r="S267" s="569"/>
      <c r="T267" s="569">
        <v>35</v>
      </c>
      <c r="U267" s="569"/>
      <c r="V267" s="569"/>
      <c r="W267" s="569" t="str">
        <f>IFERROR(IF(AND($AB267&gt;=0.1*$AA267,MOD($AB267,$AA267)&gt;=($AA267-(0.1*$AA267))),IF($W$17=$AF$1,"Zvažte možnost doobjednání ještě "&amp;Tabulka1[[#This Row],[VKPAL]]-MOD(AB267,AA267)&amp;" VK do plné palety.",VLOOKUP("Zvažte možnost doobjednání ještě ",Jazyky_ceník!A:Q,MATCH($W$17,Jazyky_ceník!$A$1:$Q$1,0),FALSE)&amp;Tabulka1[[#This Row],[VKPAL]]-MOD(AB267,AA267)&amp;VLOOKUP(" VK do plné palety.",Jazyky_ceník!A:Q,MATCH($W$17,Jazyky_ceník!$A$1:$Q$1,0),FALSE)),IFERROR(IF(AND(NOT(MOD($AB267,$AA267)=0),$AB267&gt;=0.9*$AA267,MOD($AB267,$AA267)&lt;=0.1*$AA267),IF($W$17=$AF$1,"Zvažte možnost optimalizace objednaného množství podle počtu VK na paletě ==&gt;",VLOOKUP("Zvažte možnost optimalizace objednaného množství podle počtu VK na paletě ==&gt;",Jazyky_ceník!A:Q,MATCH($W$17,Jazyky_ceník!$A$1:$Q$1,0),FALSE)),VLOOKUP('General price list'!$C267,Popisy!A:M,MATCH($W$17,Popisy!$A$7:$M$7,0),FALSE)),"---------------")),IFERROR(VLOOKUP('General price list'!$C267,Popisy!A:M,MATCH($W$17,Popisy!$A$7:$M$7,0),FALSE),"---------------"))</f>
        <v>500ran,délka 155cm,bouchající koberec ze středních petard</v>
      </c>
      <c r="X267" s="569" t="str">
        <f t="shared" si="655"/>
        <v/>
      </c>
      <c r="Y267" s="569" t="str">
        <f t="shared" si="656"/>
        <v/>
      </c>
      <c r="Z267" s="569" t="str">
        <f>HYPERLINK("https://www.klasekpyrotechnics.cz/k500r")</f>
        <v>https://www.klasekpyrotechnics.cz/k500r</v>
      </c>
      <c r="AA267" s="569">
        <f>IFERROR(IF(VLOOKUP(C267,[4]List1!$A:$D,4,FALSE)=0,"",VLOOKUP(C267,[4]List1!$A:$D,4,FALSE)),"")</f>
        <v>35</v>
      </c>
      <c r="AB267" s="565"/>
      <c r="AC267" s="570" t="str">
        <f>IFERROR(IF(VLOOKUP(C267,[1]List1!$A:$D,2,FALSE)="VYPRODÁNO",$V$9,IF(VLOOKUP(C267,[1]List1!$A:$D,2,FALSE)="DOCHÁZÍ",$V$3,VLOOKUP(C267,[1]List1!$A:$D,2,FALSE))),"OFFLINE!")</f>
        <v>SKLADEM</v>
      </c>
      <c r="AD267" s="570" t="str">
        <f ca="1">IF(AP267="NE",$V$10,IF(AC267=$V$3,IF(AQ267&lt;1,$V$8,$V$2&amp;" "&amp;AQ267&amp;" "&amp;$V$1),IF(AC267="SKLADEM",$V$6,IFERROR(IF(OR(AC267-TODAY()&gt;45,VLOOKUP(C267,[1]List1!$A:$E,4,FALSE)=0),AC267,DAY(AC267)&amp;"."&amp;MONTH(AC267)&amp;"."&amp;YEAR(AC267)&amp;" "&amp;$V$4&amp;VLOOKUP(C267,[1]List1!$A:$E,4,FALSE)&amp;" "&amp;$V$1),AC267))))</f>
        <v>SKLADEM</v>
      </c>
      <c r="AE267" s="581" t="str">
        <f t="shared" ca="1" si="657"/>
        <v>SKLADEM</v>
      </c>
      <c r="AF267" s="584">
        <f t="shared" si="658"/>
        <v>0</v>
      </c>
      <c r="AG267" s="585">
        <f t="shared" si="659"/>
        <v>0</v>
      </c>
      <c r="AH267" s="583">
        <f t="shared" si="660"/>
        <v>0</v>
      </c>
      <c r="AI267" s="582">
        <f t="shared" si="661"/>
        <v>0</v>
      </c>
      <c r="AJ267" s="569">
        <f t="shared" si="662"/>
        <v>0</v>
      </c>
      <c r="AK267" s="569" t="str">
        <f t="shared" si="663"/>
        <v/>
      </c>
      <c r="AL267" s="569" t="str">
        <f t="shared" si="664"/>
        <v/>
      </c>
      <c r="AM267" s="569">
        <f t="shared" si="665"/>
        <v>0</v>
      </c>
      <c r="AN267" s="581">
        <f t="shared" si="666"/>
        <v>0</v>
      </c>
      <c r="AO267" s="623"/>
      <c r="AP267" s="632" t="str">
        <f t="shared" si="519"/>
        <v/>
      </c>
      <c r="AQ267" s="633" t="str">
        <f>IF(AC267=$V$3,IF(VLOOKUP(C267,[1]List1!$A:$E,5,FALSE)=0,1,VLOOKUP(C267,[1]List1!$A:$E,5,FALSE)),"")</f>
        <v/>
      </c>
      <c r="AR267" s="625" t="str">
        <f t="shared" si="520"/>
        <v/>
      </c>
      <c r="AS267" s="634" t="str">
        <f t="shared" si="521"/>
        <v/>
      </c>
      <c r="AT267" s="625" t="str">
        <f t="shared" si="522"/>
        <v/>
      </c>
      <c r="AU267" s="638" t="e">
        <f t="shared" si="523"/>
        <v>#N/A</v>
      </c>
      <c r="AV267" s="625" t="e">
        <f t="shared" si="524"/>
        <v>#N/A</v>
      </c>
      <c r="AX267" s="625">
        <f>IF(AND('General price list'!$J267="F4",'General price list'!$AB267+0&gt;0),1,0)</f>
        <v>0</v>
      </c>
      <c r="AY267" s="625">
        <f t="shared" si="525"/>
        <v>1</v>
      </c>
      <c r="AZ267" s="625">
        <f t="shared" si="526"/>
        <v>0</v>
      </c>
    </row>
    <row r="268" spans="1:52" ht="15" customHeight="1">
      <c r="A268" s="639" t="str">
        <f>Kat.!C268</f>
        <v/>
      </c>
      <c r="B268" s="640">
        <f>IF(AND('General price list'!$J268="F4",$AI$1=FALSE),0,IF(AC268="SKLADEM",1,IF(AC268=$V$3,1,0)))</f>
        <v>1</v>
      </c>
      <c r="C268" s="641" t="s">
        <v>692</v>
      </c>
      <c r="D268" s="642" t="s">
        <v>11711</v>
      </c>
      <c r="E268" s="643" t="s">
        <v>12724</v>
      </c>
      <c r="F268" s="771">
        <f>IFERROR(VLOOKUP(C268,[2]List1!$A:$D,3,FALSE),"NEUVEDENO!")</f>
        <v>147</v>
      </c>
      <c r="G268" s="768">
        <f t="shared" si="653"/>
        <v>147</v>
      </c>
      <c r="H268" s="765">
        <f t="shared" si="654"/>
        <v>6.2443450446661828</v>
      </c>
      <c r="I268" s="644">
        <f>IFERROR(VLOOKUP(C268,[2]List1!$A:$D,4,FALSE),"NEUVEDENO!")</f>
        <v>16</v>
      </c>
      <c r="J268" s="733" t="s">
        <v>113</v>
      </c>
      <c r="K268" s="645" t="s">
        <v>20</v>
      </c>
      <c r="L268" s="645" t="s">
        <v>20</v>
      </c>
      <c r="M268" s="645" t="s">
        <v>21</v>
      </c>
      <c r="N268" s="645">
        <f>IFERROR(VLOOKUP(C268,[3]List1!$A:$D,4,FALSE),"N/A!")</f>
        <v>3.696E-2</v>
      </c>
      <c r="O268" s="645">
        <f>IFERROR(VLOOKUP(C268,[3]List1!$A:$D,3,FALSE),"N/A!")</f>
        <v>1920</v>
      </c>
      <c r="P268" s="645">
        <f>IFERROR(VLOOKUP(C268,[3]List1!$A:$D,2,FALSE),"N/A!")</f>
        <v>19000</v>
      </c>
      <c r="Q268" s="645" t="s">
        <v>11763</v>
      </c>
      <c r="R268" s="645"/>
      <c r="S268" s="645"/>
      <c r="T268" s="645">
        <v>70</v>
      </c>
      <c r="U268" s="645"/>
      <c r="V268" s="645"/>
      <c r="W268" s="645" t="str">
        <f>IFERROR(IF(AND($AB268&gt;=0.1*$AA268,MOD($AB268,$AA268)&gt;=($AA268-(0.1*$AA268))),IF($W$17=$AF$1,"Zvažte možnost doobjednání ještě "&amp;Tabulka1[[#This Row],[VKPAL]]-MOD(AB268,AA268)&amp;" VK do plné palety.",VLOOKUP("Zvažte možnost doobjednání ještě ",Jazyky_ceník!A:Q,MATCH($W$17,Jazyky_ceník!$A$1:$Q$1,0),FALSE)&amp;Tabulka1[[#This Row],[VKPAL]]-MOD(AB268,AA268)&amp;VLOOKUP(" VK do plné palety.",Jazyky_ceník!A:Q,MATCH($W$17,Jazyky_ceník!$A$1:$Q$1,0),FALSE)),IFERROR(IF(AND(NOT(MOD($AB268,$AA268)=0),$AB268&gt;=0.9*$AA268,MOD($AB268,$AA268)&lt;=0.1*$AA268),IF($W$17=$AF$1,"Zvažte možnost optimalizace objednaného množství podle počtu VK na paletě ==&gt;",VLOOKUP("Zvažte možnost optimalizace objednaného množství podle počtu VK na paletě ==&gt;",Jazyky_ceník!A:Q,MATCH($W$17,Jazyky_ceník!$A$1:$Q$1,0),FALSE)),VLOOKUP('General price list'!$C268,Popisy!A:M,MATCH($W$17,Popisy!$A$7:$M$7,0),FALSE)),"---------------")),IFERROR(VLOOKUP('General price list'!$C268,Popisy!A:M,MATCH($W$17,Popisy!$A$7:$M$7,0),FALSE),"---------------"))</f>
        <v>1000ran,délka 310cm,bouchající koberec ze středních petard</v>
      </c>
      <c r="X268" s="645" t="str">
        <f t="shared" si="655"/>
        <v/>
      </c>
      <c r="Y268" s="645" t="str">
        <f t="shared" si="656"/>
        <v/>
      </c>
      <c r="Z268" s="645" t="str">
        <f>HYPERLINK("https://www.klasekpyrotechnics.cz/k1000r")</f>
        <v>https://www.klasekpyrotechnics.cz/k1000r</v>
      </c>
      <c r="AA268" s="645">
        <f>IFERROR(IF(VLOOKUP(C268,[4]List1!$A:$D,4,FALSE)=0,"",VLOOKUP(C268,[4]List1!$A:$D,4,FALSE)),"")</f>
        <v>30</v>
      </c>
      <c r="AB268" s="646"/>
      <c r="AC268" s="647" t="str">
        <f>IFERROR(IF(VLOOKUP(C268,[1]List1!$A:$D,2,FALSE)="VYPRODÁNO",$V$9,IF(VLOOKUP(C268,[1]List1!$A:$D,2,FALSE)="DOCHÁZÍ",$V$3,VLOOKUP(C268,[1]List1!$A:$D,2,FALSE))),"OFFLINE!")</f>
        <v>SKLADEM</v>
      </c>
      <c r="AD268" s="647" t="str">
        <f ca="1">IF(AP268="NE",$V$10,IF(AC268=$V$3,IF(AQ268&lt;1,$V$8,$V$2&amp;" "&amp;AQ268&amp;" "&amp;$V$1),IF(AC268="SKLADEM",$V$6,IFERROR(IF(OR(AC268-TODAY()&gt;45,VLOOKUP(C268,[1]List1!$A:$E,4,FALSE)=0),AC268,DAY(AC268)&amp;"."&amp;MONTH(AC268)&amp;"."&amp;YEAR(AC268)&amp;" "&amp;$V$4&amp;VLOOKUP(C268,[1]List1!$A:$E,4,FALSE)&amp;" "&amp;$V$1),AC268))))</f>
        <v>SKLADEM</v>
      </c>
      <c r="AE268" s="645" t="str">
        <f t="shared" ca="1" si="657"/>
        <v>SKLADEM</v>
      </c>
      <c r="AF268" s="648">
        <f t="shared" si="658"/>
        <v>0</v>
      </c>
      <c r="AG268" s="649">
        <f t="shared" si="659"/>
        <v>0</v>
      </c>
      <c r="AH268" s="650">
        <f t="shared" si="660"/>
        <v>0</v>
      </c>
      <c r="AI268" s="645">
        <f t="shared" si="661"/>
        <v>0</v>
      </c>
      <c r="AJ268" s="645">
        <f t="shared" si="662"/>
        <v>0</v>
      </c>
      <c r="AK268" s="645" t="str">
        <f t="shared" si="663"/>
        <v/>
      </c>
      <c r="AL268" s="645" t="str">
        <f t="shared" si="664"/>
        <v/>
      </c>
      <c r="AM268" s="645">
        <f t="shared" si="665"/>
        <v>0</v>
      </c>
      <c r="AN268" s="651">
        <f t="shared" si="666"/>
        <v>0</v>
      </c>
      <c r="AO268" s="623"/>
      <c r="AP268" s="632" t="str">
        <f t="shared" si="519"/>
        <v/>
      </c>
      <c r="AQ268" s="633" t="str">
        <f>IF(AC268=$V$3,IF(VLOOKUP(C268,[1]List1!$A:$E,5,FALSE)=0,1,VLOOKUP(C268,[1]List1!$A:$E,5,FALSE)),"")</f>
        <v/>
      </c>
      <c r="AR268" s="625" t="str">
        <f t="shared" si="520"/>
        <v/>
      </c>
      <c r="AS268" s="634" t="str">
        <f t="shared" si="521"/>
        <v/>
      </c>
      <c r="AT268" s="625" t="str">
        <f t="shared" si="522"/>
        <v/>
      </c>
      <c r="AU268" s="638" t="e">
        <f t="shared" si="523"/>
        <v>#N/A</v>
      </c>
      <c r="AV268" s="625" t="e">
        <f t="shared" si="524"/>
        <v>#N/A</v>
      </c>
      <c r="AX268" s="625">
        <f>IF(AND('General price list'!$J268="F4",'General price list'!$AB268+0&gt;0),1,0)</f>
        <v>0</v>
      </c>
      <c r="AY268" s="625">
        <f t="shared" si="525"/>
        <v>1</v>
      </c>
      <c r="AZ268" s="625">
        <f t="shared" si="526"/>
        <v>0</v>
      </c>
    </row>
    <row r="269" spans="1:52" ht="15" customHeight="1">
      <c r="A269" s="621" t="str">
        <f>Kat.!C269</f>
        <v/>
      </c>
      <c r="B269" s="566">
        <f>IF(AND('General price list'!$J269="F4",$AI$1=FALSE),0,IF(AC269="SKLADEM",1,IF(AC269=$V$3,1,0)))</f>
        <v>1</v>
      </c>
      <c r="C269" s="567" t="s">
        <v>699</v>
      </c>
      <c r="D269" s="568" t="s">
        <v>700</v>
      </c>
      <c r="E269" s="763" t="s">
        <v>12663</v>
      </c>
      <c r="F269" s="772">
        <f>IFERROR(VLOOKUP(C269,[2]List1!$A:$D,3,FALSE),"NEUVEDENO!")</f>
        <v>1358</v>
      </c>
      <c r="G269" s="769">
        <f t="shared" si="653"/>
        <v>1358</v>
      </c>
      <c r="H269" s="766">
        <f t="shared" si="654"/>
        <v>57.685854222154255</v>
      </c>
      <c r="I269" s="764">
        <f>IFERROR(VLOOKUP(C269,[2]List1!$A:$D,4,FALSE),"NEUVEDENO!")</f>
        <v>1</v>
      </c>
      <c r="J269" s="732" t="s">
        <v>113</v>
      </c>
      <c r="K269" s="569" t="s">
        <v>20</v>
      </c>
      <c r="L269" s="569" t="s">
        <v>20</v>
      </c>
      <c r="M269" s="569" t="s">
        <v>21</v>
      </c>
      <c r="N269" s="569">
        <f>IFERROR(VLOOKUP(C269,[3]List1!$A:$D,4,FALSE),"N/A!")</f>
        <v>2.5541999999999999E-2</v>
      </c>
      <c r="O269" s="569">
        <f>IFERROR(VLOOKUP(C269,[3]List1!$A:$D,3,FALSE),"N/A!")</f>
        <v>247</v>
      </c>
      <c r="P269" s="569">
        <f>IFERROR(VLOOKUP(C269,[3]List1!$A:$D,2,FALSE),"N/A!")</f>
        <v>6000</v>
      </c>
      <c r="Q269" s="569" t="s">
        <v>12086</v>
      </c>
      <c r="R269" s="569"/>
      <c r="S269" s="569"/>
      <c r="T269" s="569">
        <v>20</v>
      </c>
      <c r="U269" s="569"/>
      <c r="V269" s="569"/>
      <c r="W269" s="569" t="str">
        <f>IFERROR(IF(AND($AB269&gt;=0.1*$AA269,MOD($AB269,$AA269)&gt;=($AA269-(0.1*$AA269))),IF($W$17=$AF$1,"Zvažte možnost doobjednání ještě "&amp;Tabulka1[[#This Row],[VKPAL]]-MOD(AB269,AA269)&amp;" VK do plné palety.",VLOOKUP("Zvažte možnost doobjednání ještě ",Jazyky_ceník!A:Q,MATCH($W$17,Jazyky_ceník!$A$1:$Q$1,0),FALSE)&amp;Tabulka1[[#This Row],[VKPAL]]-MOD(AB269,AA269)&amp;VLOOKUP(" VK do plné palety.",Jazyky_ceník!A:Q,MATCH($W$17,Jazyky_ceník!$A$1:$Q$1,0),FALSE)),IFERROR(IF(AND(NOT(MOD($AB269,$AA269)=0),$AB269&gt;=0.9*$AA269,MOD($AB269,$AA269)&lt;=0.1*$AA269),IF($W$17=$AF$1,"Zvažte možnost optimalizace objednaného množství podle počtu VK na paletě ==&gt;",VLOOKUP("Zvažte možnost optimalizace objednaného množství podle počtu VK na paletě ==&gt;",Jazyky_ceník!A:Q,MATCH($W$17,Jazyky_ceník!$A$1:$Q$1,0),FALSE)),VLOOKUP('General price list'!$C269,Popisy!A:M,MATCH($W$17,Popisy!$A$7:$M$7,0),FALSE)),"---------------")),IFERROR(VLOOKUP('General price list'!$C269,Popisy!A:M,MATCH($W$17,Popisy!$A$7:$M$7,0),FALSE),"---------------"))</f>
        <v>1750ran malé petardy+200ran střední petardy+19 ran velké petardy,délka 5,25m</v>
      </c>
      <c r="X269" s="569" t="str">
        <f t="shared" si="655"/>
        <v/>
      </c>
      <c r="Y269" s="569" t="str">
        <f t="shared" si="656"/>
        <v/>
      </c>
      <c r="Z269" s="569" t="str">
        <f>HYPERLINK("https://www.klasekpyrotechnics.cz/k1969r")</f>
        <v>https://www.klasekpyrotechnics.cz/k1969r</v>
      </c>
      <c r="AA269" s="569">
        <f>IFERROR(IF(VLOOKUP(C269,[4]List1!$A:$D,4,FALSE)=0,"",VLOOKUP(C269,[4]List1!$A:$D,4,FALSE)),"")</f>
        <v>52</v>
      </c>
      <c r="AB269" s="565"/>
      <c r="AC269" s="570" t="str">
        <f>IFERROR(IF(VLOOKUP(C269,[1]List1!$A:$D,2,FALSE)="VYPRODÁNO",$V$9,IF(VLOOKUP(C269,[1]List1!$A:$D,2,FALSE)="DOCHÁZÍ",$V$3,VLOOKUP(C269,[1]List1!$A:$D,2,FALSE))),"OFFLINE!")</f>
        <v>SKLADEM</v>
      </c>
      <c r="AD269" s="570" t="str">
        <f ca="1">IF(AP269="NE",$V$10,IF(AC269=$V$3,IF(AQ269&lt;1,$V$8,$V$2&amp;" "&amp;AQ269&amp;" "&amp;$V$1),IF(AC269="SKLADEM",$V$6,IFERROR(IF(OR(AC269-TODAY()&gt;45,VLOOKUP(C269,[1]List1!$A:$E,4,FALSE)=0),AC269,DAY(AC269)&amp;"."&amp;MONTH(AC269)&amp;"."&amp;YEAR(AC269)&amp;" "&amp;$V$4&amp;VLOOKUP(C269,[1]List1!$A:$E,4,FALSE)&amp;" "&amp;$V$1),AC269))))</f>
        <v>SKLADEM</v>
      </c>
      <c r="AE269" s="581" t="str">
        <f t="shared" ca="1" si="657"/>
        <v>SKLADEM</v>
      </c>
      <c r="AF269" s="584">
        <f t="shared" si="658"/>
        <v>0</v>
      </c>
      <c r="AG269" s="585">
        <f t="shared" si="659"/>
        <v>0</v>
      </c>
      <c r="AH269" s="583">
        <f t="shared" si="660"/>
        <v>0</v>
      </c>
      <c r="AI269" s="582">
        <f t="shared" si="661"/>
        <v>0</v>
      </c>
      <c r="AJ269" s="569">
        <f t="shared" si="662"/>
        <v>0</v>
      </c>
      <c r="AK269" s="569" t="str">
        <f t="shared" si="663"/>
        <v/>
      </c>
      <c r="AL269" s="569" t="str">
        <f t="shared" si="664"/>
        <v/>
      </c>
      <c r="AM269" s="569">
        <f t="shared" si="665"/>
        <v>0</v>
      </c>
      <c r="AN269" s="581">
        <f t="shared" si="666"/>
        <v>0</v>
      </c>
      <c r="AO269" s="623"/>
      <c r="AP269" s="632" t="str">
        <f t="shared" si="519"/>
        <v/>
      </c>
      <c r="AQ269" s="633" t="str">
        <f>IF(AC269=$V$3,IF(VLOOKUP(C269,[1]List1!$A:$E,5,FALSE)=0,1,VLOOKUP(C269,[1]List1!$A:$E,5,FALSE)),"")</f>
        <v/>
      </c>
      <c r="AR269" s="625" t="str">
        <f t="shared" si="520"/>
        <v/>
      </c>
      <c r="AS269" s="634" t="str">
        <f t="shared" si="521"/>
        <v/>
      </c>
      <c r="AT269" s="625" t="str">
        <f t="shared" si="522"/>
        <v/>
      </c>
      <c r="AU269" s="638" t="e">
        <f t="shared" si="523"/>
        <v>#N/A</v>
      </c>
      <c r="AV269" s="625" t="e">
        <f t="shared" si="524"/>
        <v>#N/A</v>
      </c>
      <c r="AX269" s="625">
        <f>IF(AND('General price list'!$J269="F4",'General price list'!$AB269+0&gt;0),1,0)</f>
        <v>0</v>
      </c>
      <c r="AY269" s="625">
        <f t="shared" si="525"/>
        <v>1</v>
      </c>
      <c r="AZ269" s="625">
        <f t="shared" si="526"/>
        <v>0</v>
      </c>
    </row>
    <row r="270" spans="1:52" ht="15.75" customHeight="1">
      <c r="A270" s="639" t="str">
        <f>Kat.!C270</f>
        <v/>
      </c>
      <c r="B270" s="640">
        <f>IF(AND('General price list'!$J270="F4",$AI$1=FALSE),0,IF(AC270="SKLADEM",1,IF(AC270=$V$3,1,0)))</f>
        <v>0</v>
      </c>
      <c r="C270" s="641" t="s">
        <v>701</v>
      </c>
      <c r="D270" s="642" t="s">
        <v>702</v>
      </c>
      <c r="E270" s="643" t="s">
        <v>12663</v>
      </c>
      <c r="F270" s="791">
        <f>IFERROR(VLOOKUP(C270,[2]List1!$A:$D,3,FALSE),"NEUVEDENO!")</f>
        <v>1699</v>
      </c>
      <c r="G270" s="768">
        <f t="shared" si="653"/>
        <v>1699</v>
      </c>
      <c r="H270" s="765">
        <f t="shared" si="654"/>
        <v>72.171035584271053</v>
      </c>
      <c r="I270" s="644">
        <f>IFERROR(VLOOKUP(C270,[2]List1!$A:$D,4,FALSE),"NEUVEDENO!")</f>
        <v>1</v>
      </c>
      <c r="J270" s="733" t="s">
        <v>614</v>
      </c>
      <c r="K270" s="645" t="s">
        <v>11100</v>
      </c>
      <c r="L270" s="645" t="s">
        <v>20</v>
      </c>
      <c r="M270" s="645" t="s">
        <v>21</v>
      </c>
      <c r="N270" s="645">
        <f>IFERROR(VLOOKUP(C270,[3]List1!$A:$D,4,FALSE),"N/A!")</f>
        <v>3.7205999999999996E-2</v>
      </c>
      <c r="O270" s="645">
        <f>IFERROR(VLOOKUP(C270,[3]List1!$A:$D,3,FALSE),"N/A!")</f>
        <v>248</v>
      </c>
      <c r="P270" s="645">
        <f>IFERROR(VLOOKUP(C270,[3]List1!$A:$D,2,FALSE),"N/A!")</f>
        <v>8000</v>
      </c>
      <c r="Q270" s="645" t="s">
        <v>11273</v>
      </c>
      <c r="R270" s="645"/>
      <c r="S270" s="645"/>
      <c r="T270" s="645">
        <v>60</v>
      </c>
      <c r="U270" s="645"/>
      <c r="V270" s="645"/>
      <c r="W270" s="645" t="str">
        <f>IFERROR(IF(AND($AB270&gt;=0.1*$AA270,MOD($AB270,$AA270)&gt;=($AA270-(0.1*$AA270))),IF($W$17=$AF$1,"Zvažte možnost doobjednání ještě "&amp;Tabulka1[[#This Row],[VKPAL]]-MOD(AB270,AA270)&amp;" VK do plné palety.",VLOOKUP("Zvažte možnost doobjednání ještě ",Jazyky_ceník!A:Q,MATCH($W$17,Jazyky_ceník!$A$1:$Q$1,0),FALSE)&amp;Tabulka1[[#This Row],[VKPAL]]-MOD(AB270,AA270)&amp;VLOOKUP(" VK do plné palety.",Jazyky_ceník!A:Q,MATCH($W$17,Jazyky_ceník!$A$1:$Q$1,0),FALSE)),IFERROR(IF(AND(NOT(MOD($AB270,$AA270)=0),$AB270&gt;=0.9*$AA270,MOD($AB270,$AA270)&lt;=0.1*$AA270),IF($W$17=$AF$1,"Zvažte možnost optimalizace objednaného množství podle počtu VK na paletě ==&gt;",VLOOKUP("Zvažte možnost optimalizace objednaného množství podle počtu VK na paletě ==&gt;",Jazyky_ceník!A:Q,MATCH($W$17,Jazyky_ceník!$A$1:$Q$1,0),FALSE)),VLOOKUP('General price list'!$C270,Popisy!A:M,MATCH($W$17,Popisy!$A$7:$M$7,0),FALSE)),"---------------")),IFERROR(VLOOKUP('General price list'!$C270,Popisy!A:M,MATCH($W$17,Popisy!$A$7:$M$7,0),FALSE),"---------------"))</f>
        <v>3500ran malé petardy+400ran střední petardy+19 ran velké petardy,délka 10,5m</v>
      </c>
      <c r="X270" s="645" t="str">
        <f t="shared" si="655"/>
        <v/>
      </c>
      <c r="Y270" s="645" t="str">
        <f t="shared" si="656"/>
        <v/>
      </c>
      <c r="Z270" s="645" t="str">
        <f>HYPERLINK("https://www.klasekpyrotechnics.cz/k10m")</f>
        <v>https://www.klasekpyrotechnics.cz/k10m</v>
      </c>
      <c r="AA270" s="645">
        <f>IFERROR(IF(VLOOKUP(C270,[4]List1!$A:$D,4,FALSE)=0,"",VLOOKUP(C270,[4]List1!$A:$D,4,FALSE)),"")</f>
        <v>32</v>
      </c>
      <c r="AB270" s="646"/>
      <c r="AC270" s="647" t="str">
        <f>IFERROR(IF(VLOOKUP(C270,[1]List1!$A:$D,2,FALSE)="VYPRODÁNO",$V$9,IF(VLOOKUP(C270,[1]List1!$A:$D,2,FALSE)="DOCHÁZÍ",$V$3,VLOOKUP(C270,[1]List1!$A:$D,2,FALSE))),"OFFLINE!")</f>
        <v>31.07.2026</v>
      </c>
      <c r="AD270" s="647" t="str">
        <f ca="1">IF(AP270="NE",$V$10,IF(AC270=$V$3,IF(AQ270&lt;1,$V$8,$V$2&amp;" "&amp;AQ270&amp;" "&amp;$V$1),IF(AC270="SKLADEM",$V$6,IFERROR(IF(OR(AC270-TODAY()&gt;45,VLOOKUP(C270,[1]List1!$A:$E,4,FALSE)=0),AC270,DAY(AC270)&amp;"."&amp;MONTH(AC270)&amp;"."&amp;YEAR(AC270)&amp;" "&amp;$V$4&amp;VLOOKUP(C270,[1]List1!$A:$E,4,FALSE)&amp;" "&amp;$V$1),AC270))))</f>
        <v>31.07.2026</v>
      </c>
      <c r="AE270" s="645" t="str">
        <f t="shared" ca="1" si="657"/>
        <v>31.07.2026</v>
      </c>
      <c r="AF270" s="648">
        <f t="shared" si="658"/>
        <v>0</v>
      </c>
      <c r="AG270" s="649">
        <f t="shared" si="659"/>
        <v>0</v>
      </c>
      <c r="AH270" s="650">
        <f t="shared" si="660"/>
        <v>0</v>
      </c>
      <c r="AI270" s="645">
        <f t="shared" si="661"/>
        <v>0</v>
      </c>
      <c r="AJ270" s="645">
        <f t="shared" si="662"/>
        <v>0</v>
      </c>
      <c r="AK270" s="645" t="str">
        <f t="shared" si="663"/>
        <v/>
      </c>
      <c r="AL270" s="645" t="str">
        <f t="shared" si="664"/>
        <v/>
      </c>
      <c r="AM270" s="645">
        <f t="shared" si="665"/>
        <v>0</v>
      </c>
      <c r="AN270" s="651">
        <f t="shared" si="666"/>
        <v>0</v>
      </c>
      <c r="AO270" s="623"/>
      <c r="AP270" s="625" t="str">
        <f t="shared" si="519"/>
        <v/>
      </c>
      <c r="AQ270" s="625" t="str">
        <f>IF(AC270=$V$3,IF(VLOOKUP(C270,[1]List1!$A:$E,5,FALSE)=0,1,VLOOKUP(C270,[1]List1!$A:$E,5,FALSE)),"")</f>
        <v/>
      </c>
      <c r="AR270" s="629" t="str">
        <f t="shared" si="520"/>
        <v/>
      </c>
      <c r="AS270" s="630" t="str">
        <f t="shared" si="521"/>
        <v/>
      </c>
      <c r="AT270" s="625" t="str">
        <f t="shared" si="522"/>
        <v/>
      </c>
      <c r="AU270" s="625" t="e">
        <f t="shared" si="523"/>
        <v>#N/A</v>
      </c>
      <c r="AV270" s="625" t="e">
        <f t="shared" si="524"/>
        <v>#N/A</v>
      </c>
      <c r="AW270" s="631"/>
      <c r="AX270" s="631">
        <f>IF(AND('General price list'!$J270="F4",'General price list'!$AB270+0&gt;0),1,0)</f>
        <v>0</v>
      </c>
      <c r="AY270" s="631">
        <f t="shared" si="525"/>
        <v>1</v>
      </c>
      <c r="AZ270" s="631">
        <f t="shared" si="526"/>
        <v>0</v>
      </c>
    </row>
    <row r="271" spans="1:52" ht="15" customHeight="1">
      <c r="A271" s="621" t="str">
        <f>Kat.!C271</f>
        <v/>
      </c>
      <c r="B271" s="566">
        <f>IF(AND('General price list'!$J271="F4",$AI$1=FALSE),0,IF(AC271="SKLADEM",1,IF(AC271=$V$3,1,0)))</f>
        <v>1</v>
      </c>
      <c r="C271" s="567" t="s">
        <v>4294</v>
      </c>
      <c r="D271" s="568" t="s">
        <v>11871</v>
      </c>
      <c r="E271" s="763" t="s">
        <v>12725</v>
      </c>
      <c r="F271" s="772">
        <f>IFERROR(VLOOKUP(C271,[2]List1!$A:$D,3,FALSE),"NEUVEDENO!")</f>
        <v>567</v>
      </c>
      <c r="G271" s="769">
        <f t="shared" si="653"/>
        <v>567</v>
      </c>
      <c r="H271" s="766">
        <f t="shared" si="654"/>
        <v>24.085330886569562</v>
      </c>
      <c r="I271" s="764">
        <f>IFERROR(VLOOKUP(C271,[2]List1!$A:$D,4,FALSE),"NEUVEDENO!")</f>
        <v>40</v>
      </c>
      <c r="J271" s="732" t="s">
        <v>208</v>
      </c>
      <c r="K271" s="569" t="s">
        <v>20</v>
      </c>
      <c r="L271" s="569" t="s">
        <v>10745</v>
      </c>
      <c r="M271" s="569" t="s">
        <v>114</v>
      </c>
      <c r="N271" s="569">
        <f>IFERROR(VLOOKUP(C271,[3]List1!$A:$D,4,FALSE),"N/A!")</f>
        <v>2.9404375E-2</v>
      </c>
      <c r="O271" s="569">
        <f>IFERROR(VLOOKUP(C271,[3]List1!$A:$D,3,FALSE),"N/A!")</f>
        <v>5000</v>
      </c>
      <c r="P271" s="569">
        <f>IFERROR(VLOOKUP(C271,[3]List1!$A:$D,2,FALSE),"N/A!")</f>
        <v>16000</v>
      </c>
      <c r="Q271" s="569" t="s">
        <v>11265</v>
      </c>
      <c r="R271" s="569"/>
      <c r="S271" s="569"/>
      <c r="T271" s="569"/>
      <c r="U271" s="569"/>
      <c r="V271" s="569"/>
      <c r="W271" s="569" t="str">
        <f>IFERROR(IF(AND($AB271&gt;=0.1*$AA271,MOD($AB271,$AA271)&gt;=($AA271-(0.1*$AA271))),IF($W$17=$AF$1,"Zvažte možnost doobjednání ještě "&amp;Tabulka1[[#This Row],[VKPAL]]-MOD(AB271,AA271)&amp;" VK do plné palety.",VLOOKUP("Zvažte možnost doobjednání ještě ",Jazyky_ceník!A:Q,MATCH($W$17,Jazyky_ceník!$A$1:$Q$1,0),FALSE)&amp;Tabulka1[[#This Row],[VKPAL]]-MOD(AB271,AA271)&amp;VLOOKUP(" VK do plné palety.",Jazyky_ceník!A:Q,MATCH($W$17,Jazyky_ceník!$A$1:$Q$1,0),FALSE)),IFERROR(IF(AND(NOT(MOD($AB271,$AA271)=0),$AB271&gt;=0.9*$AA271,MOD($AB271,$AA271)&lt;=0.1*$AA271),IF($W$17=$AF$1,"Zvažte možnost optimalizace objednaného množství podle počtu VK na paletě ==&gt;",VLOOKUP("Zvažte možnost optimalizace objednaného množství podle počtu VK na paletě ==&gt;",Jazyky_ceník!A:Q,MATCH($W$17,Jazyky_ceník!$A$1:$Q$1,0),FALSE)),VLOOKUP('General price list'!$C271,Popisy!A:M,MATCH($W$17,Popisy!$A$7:$M$7,0),FALSE)),"---------------")),IFERROR(VLOOKUP('General price list'!$C271,Popisy!A:M,MATCH($W$17,Popisy!$A$7:$M$7,0),FALSE),"---------------"))</f>
        <v>Signální patrona 15mm s explozí</v>
      </c>
      <c r="X271" s="569" t="str">
        <f t="shared" si="655"/>
        <v/>
      </c>
      <c r="Y271" s="569" t="str">
        <f t="shared" si="656"/>
        <v/>
      </c>
      <c r="Z271" s="569" t="str">
        <f>HYPERLINK("https://www.klasekpyrotechnics.cz/dbb1e")</f>
        <v>https://www.klasekpyrotechnics.cz/dbb1e</v>
      </c>
      <c r="AA271" s="569">
        <f>IFERROR(IF(VLOOKUP(C271,[4]List1!$A:$D,4,FALSE)=0,"",VLOOKUP(C271,[4]List1!$A:$D,4,FALSE)),"")</f>
        <v>47</v>
      </c>
      <c r="AB271" s="565"/>
      <c r="AC271" s="570" t="str">
        <f>IFERROR(IF(VLOOKUP(C271,[1]List1!$A:$D,2,FALSE)="VYPRODÁNO",$V$9,IF(VLOOKUP(C271,[1]List1!$A:$D,2,FALSE)="DOCHÁZÍ",$V$3,VLOOKUP(C271,[1]List1!$A:$D,2,FALSE))),"OFFLINE!")</f>
        <v>SKLADEM</v>
      </c>
      <c r="AD271" s="570" t="str">
        <f ca="1">IF(AP271="NE",$V$10,IF(AC271=$V$3,IF(AQ271&lt;1,$V$8,$V$2&amp;" "&amp;AQ271&amp;" "&amp;$V$1),IF(AC271="SKLADEM",$V$6,IFERROR(IF(OR(AC271-TODAY()&gt;45,VLOOKUP(C271,[1]List1!$A:$E,4,FALSE)=0),AC271,DAY(AC271)&amp;"."&amp;MONTH(AC271)&amp;"."&amp;YEAR(AC271)&amp;" "&amp;$V$4&amp;VLOOKUP(C271,[1]List1!$A:$E,4,FALSE)&amp;" "&amp;$V$1),AC271))))</f>
        <v>SKLADEM</v>
      </c>
      <c r="AE271" s="581" t="str">
        <f t="shared" ca="1" si="657"/>
        <v>SKLADEM</v>
      </c>
      <c r="AF271" s="584">
        <f t="shared" si="658"/>
        <v>0</v>
      </c>
      <c r="AG271" s="585">
        <f t="shared" si="659"/>
        <v>0</v>
      </c>
      <c r="AH271" s="583">
        <f t="shared" si="660"/>
        <v>0</v>
      </c>
      <c r="AI271" s="582">
        <f t="shared" si="661"/>
        <v>0</v>
      </c>
      <c r="AJ271" s="569">
        <f t="shared" si="662"/>
        <v>0</v>
      </c>
      <c r="AK271" s="569" t="str">
        <f t="shared" si="663"/>
        <v/>
      </c>
      <c r="AL271" s="569">
        <f t="shared" si="664"/>
        <v>0</v>
      </c>
      <c r="AM271" s="569" t="str">
        <f t="shared" si="665"/>
        <v/>
      </c>
      <c r="AN271" s="581">
        <f t="shared" si="666"/>
        <v>0</v>
      </c>
      <c r="AO271" s="623"/>
      <c r="AP271" s="632" t="str">
        <f t="shared" si="519"/>
        <v/>
      </c>
      <c r="AQ271" s="633" t="str">
        <f>IF(AC271=$V$3,IF(VLOOKUP(C271,[1]List1!$A:$E,5,FALSE)=0,1,VLOOKUP(C271,[1]List1!$A:$E,5,FALSE)),"")</f>
        <v/>
      </c>
      <c r="AR271" s="625" t="str">
        <f t="shared" si="520"/>
        <v/>
      </c>
      <c r="AS271" s="634" t="str">
        <f t="shared" si="521"/>
        <v/>
      </c>
      <c r="AT271" s="625" t="str">
        <f t="shared" si="522"/>
        <v/>
      </c>
      <c r="AU271" s="638" t="e">
        <f t="shared" si="523"/>
        <v>#N/A</v>
      </c>
      <c r="AV271" s="625" t="e">
        <f t="shared" si="524"/>
        <v>#N/A</v>
      </c>
      <c r="AX271" s="625">
        <f>IF(AND('General price list'!$J271="F4",'General price list'!$AB271+0&gt;0),1,0)</f>
        <v>0</v>
      </c>
      <c r="AY271" s="625">
        <f t="shared" si="525"/>
        <v>1</v>
      </c>
      <c r="AZ271" s="625">
        <f t="shared" si="526"/>
        <v>0</v>
      </c>
    </row>
    <row r="272" spans="1:52" ht="15" customHeight="1">
      <c r="A272" s="751" t="str">
        <f>Kat.!C272</f>
        <v xml:space="preserve">           Raketové sety F2</v>
      </c>
      <c r="B272" s="751"/>
      <c r="C272" s="751"/>
      <c r="D272" s="751"/>
      <c r="E272" s="751"/>
      <c r="F272" s="751"/>
      <c r="G272" s="751"/>
      <c r="H272" s="751"/>
      <c r="I272" s="752"/>
      <c r="J272" s="752"/>
      <c r="K272" s="752" t="s">
        <v>20</v>
      </c>
      <c r="L272" s="753" t="s">
        <v>2818</v>
      </c>
      <c r="M272" s="752"/>
      <c r="N272" s="752"/>
      <c r="O272" s="752"/>
      <c r="P272" s="752"/>
      <c r="Q272" s="752"/>
      <c r="R272" s="752"/>
      <c r="S272" s="752"/>
      <c r="T272" s="752"/>
      <c r="U272" s="752"/>
      <c r="V272" s="752"/>
      <c r="W272" s="752"/>
      <c r="X272" s="752"/>
      <c r="Y272" s="752"/>
      <c r="Z272" s="752" t="s">
        <v>20</v>
      </c>
      <c r="AA272" s="752"/>
      <c r="AB272" s="752"/>
      <c r="AC272" s="754"/>
      <c r="AD272" s="752"/>
      <c r="AE272" s="752"/>
      <c r="AF272" s="752"/>
      <c r="AG272" s="752"/>
      <c r="AH272" s="752"/>
      <c r="AI272" s="752"/>
      <c r="AJ272" s="752"/>
      <c r="AK272" s="752"/>
      <c r="AL272" s="752"/>
      <c r="AM272" s="752"/>
      <c r="AN272" s="752"/>
      <c r="AO272" s="623"/>
      <c r="AP272" s="632" t="str">
        <f t="shared" si="519"/>
        <v/>
      </c>
      <c r="AQ272" s="633" t="str">
        <f>IF(AC272=$V$3,IF(VLOOKUP(C272,[1]List1!$A:$E,5,FALSE)=0,1,VLOOKUP(C272,[1]List1!$A:$E,5,FALSE)),"")</f>
        <v/>
      </c>
      <c r="AR272" s="625" t="str">
        <f t="shared" si="520"/>
        <v/>
      </c>
      <c r="AS272" s="634" t="str">
        <f t="shared" si="521"/>
        <v/>
      </c>
      <c r="AT272" s="625" t="str">
        <f t="shared" si="522"/>
        <v/>
      </c>
      <c r="AU272" s="638" t="e">
        <f t="shared" si="523"/>
        <v>#N/A</v>
      </c>
      <c r="AV272" s="625" t="e">
        <f t="shared" si="524"/>
        <v>#N/A</v>
      </c>
      <c r="AX272" s="625">
        <f>IF(AND('General price list'!$J272="F4",'General price list'!$AB272+0&gt;0),1,0)</f>
        <v>0</v>
      </c>
      <c r="AY272" s="625">
        <f t="shared" si="525"/>
        <v>0</v>
      </c>
      <c r="AZ272" s="625">
        <f t="shared" si="526"/>
        <v>0</v>
      </c>
    </row>
    <row r="273" spans="1:52" ht="15" customHeight="1">
      <c r="A273" s="639" t="str">
        <f>Kat.!C273</f>
        <v/>
      </c>
      <c r="B273" s="640">
        <f>IF(AND('General price list'!$J273="F4",$AI$1=FALSE),0,IF(AC273="SKLADEM",1,IF(AC273=$V$3,1,0)))</f>
        <v>1</v>
      </c>
      <c r="C273" s="641" t="s">
        <v>709</v>
      </c>
      <c r="D273" s="642" t="s">
        <v>11712</v>
      </c>
      <c r="E273" s="643" t="s">
        <v>12726</v>
      </c>
      <c r="F273" s="771">
        <f>IFERROR(VLOOKUP(C273,[2]List1!$A:$D,3,FALSE),"NEUVEDENO!")</f>
        <v>168</v>
      </c>
      <c r="G273" s="768">
        <f t="shared" ref="G273:G296" si="677">IF($W$17=$AF$8,ROUND((F273)/$F$17,2),(F273)*$B$19)</f>
        <v>168</v>
      </c>
      <c r="H273" s="765">
        <f t="shared" ref="H273:H296" si="678">IF($W$17=$AF$8,G273*$B$19,G273/$F$17)</f>
        <v>7.1363943367613514</v>
      </c>
      <c r="I273" s="644">
        <f>IFERROR(VLOOKUP(C273,[2]List1!$A:$D,4,FALSE),"NEUVEDENO!")</f>
        <v>20</v>
      </c>
      <c r="J273" s="733" t="s">
        <v>39</v>
      </c>
      <c r="K273" s="645" t="s">
        <v>20</v>
      </c>
      <c r="L273" s="645" t="s">
        <v>10963</v>
      </c>
      <c r="M273" s="645" t="s">
        <v>21</v>
      </c>
      <c r="N273" s="645">
        <f>IFERROR(VLOOKUP(C273,[3]List1!$A:$D,4,FALSE),"N/A!")</f>
        <v>3.8774999999999997E-2</v>
      </c>
      <c r="O273" s="645">
        <f>IFERROR(VLOOKUP(C273,[3]List1!$A:$D,3,FALSE),"N/A!")</f>
        <v>1440</v>
      </c>
      <c r="P273" s="645">
        <f>IFERROR(VLOOKUP(C273,[3]List1!$A:$D,2,FALSE),"N/A!")</f>
        <v>8920</v>
      </c>
      <c r="Q273" s="645" t="s">
        <v>11274</v>
      </c>
      <c r="R273" s="645" t="s">
        <v>11275</v>
      </c>
      <c r="S273" s="645"/>
      <c r="T273" s="645"/>
      <c r="U273" s="645"/>
      <c r="V273" s="645"/>
      <c r="W273" s="645" t="str">
        <f>IFERROR(IF(AND($AB273&gt;=0.1*$AA273,MOD($AB273,$AA273)&gt;=($AA273-(0.1*$AA273))),IF($W$17=$AF$1,"Zvažte možnost doobjednání ještě "&amp;Tabulka1[[#This Row],[VKPAL]]-MOD(AB273,AA273)&amp;" VK do plné palety.",VLOOKUP("Zvažte možnost doobjednání ještě ",Jazyky_ceník!A:Q,MATCH($W$17,Jazyky_ceník!$A$1:$Q$1,0),FALSE)&amp;Tabulka1[[#This Row],[VKPAL]]-MOD(AB273,AA273)&amp;VLOOKUP(" VK do plné palety.",Jazyky_ceník!A:Q,MATCH($W$17,Jazyky_ceník!$A$1:$Q$1,0),FALSE)),IFERROR(IF(AND(NOT(MOD($AB273,$AA273)=0),$AB273&gt;=0.9*$AA273,MOD($AB273,$AA273)&lt;=0.1*$AA273),IF($W$17=$AF$1,"Zvažte možnost optimalizace objednaného množství podle počtu VK na paletě ==&gt;",VLOOKUP("Zvažte možnost optimalizace objednaného množství podle počtu VK na paletě ==&gt;",Jazyky_ceník!A:Q,MATCH($W$17,Jazyky_ceník!$A$1:$Q$1,0),FALSE)),VLOOKUP('General price list'!$C273,Popisy!A:M,MATCH($W$17,Popisy!$A$7:$M$7,0),FALSE)),"---------------")),IFERROR(VLOOKUP('General price list'!$C273,Popisy!A:M,MATCH($W$17,Popisy!$A$7:$M$7,0),FALSE),"---------------"))</f>
        <v>pískající raketa s explozí</v>
      </c>
      <c r="X273" s="645" t="str">
        <f t="shared" ref="X273:X296" si="679">IF(AB273&lt;0.0001,"",AB273)</f>
        <v/>
      </c>
      <c r="Y273" s="645" t="str">
        <f t="shared" ref="Y273:Y296" si="680">IF($AL$3=2,IF(OR(AB273&lt;&gt;"",AB273&lt;&gt;0),AU273,""),IF(C273="","",IF(AB273&lt;0.0001,"",IF(B273=0,"",IF(AQ273&lt;AB273,"",AB273)))))</f>
        <v/>
      </c>
      <c r="Z273" s="645" t="str">
        <f>HYPERLINK("https://www.klasekpyrotechnics.cz/rs1")</f>
        <v>https://www.klasekpyrotechnics.cz/rs1</v>
      </c>
      <c r="AA273" s="645">
        <f>IFERROR(IF(VLOOKUP(C273,[4]List1!$A:$D,4,FALSE)=0,"",VLOOKUP(C273,[4]List1!$A:$D,4,FALSE)),"")</f>
        <v>25</v>
      </c>
      <c r="AB273" s="646"/>
      <c r="AC273" s="647" t="str">
        <f>IFERROR(IF(VLOOKUP(C273,[1]List1!$A:$D,2,FALSE)="VYPRODÁNO",$V$9,IF(VLOOKUP(C273,[1]List1!$A:$D,2,FALSE)="DOCHÁZÍ",$V$3,VLOOKUP(C273,[1]List1!$A:$D,2,FALSE))),"OFFLINE!")</f>
        <v>SKLADEM</v>
      </c>
      <c r="AD273" s="647" t="str">
        <f ca="1">IF(AP273="NE",$V$10,IF(AC273=$V$3,IF(AQ273&lt;1,$V$8,$V$2&amp;" "&amp;AQ273&amp;" "&amp;$V$1),IF(AC273="SKLADEM",$V$6,IFERROR(IF(OR(AC273-TODAY()&gt;45,VLOOKUP(C273,[1]List1!$A:$E,4,FALSE)=0),AC273,DAY(AC273)&amp;"."&amp;MONTH(AC273)&amp;"."&amp;YEAR(AC273)&amp;" "&amp;$V$4&amp;VLOOKUP(C273,[1]List1!$A:$E,4,FALSE)&amp;" "&amp;$V$1),AC273))))</f>
        <v>SKLADEM</v>
      </c>
      <c r="AE273" s="645" t="str">
        <f t="shared" ref="AE273:AE296" ca="1" si="681">IFERROR(IF(AV273&lt;&gt;"",AV273,AD273),AD273)</f>
        <v>SKLADEM</v>
      </c>
      <c r="AF273" s="648">
        <f t="shared" ref="AF273:AF296" si="682">IFERROR(IF(AB273=Y273,G273*I273*Y273,0),0)</f>
        <v>0</v>
      </c>
      <c r="AG273" s="649">
        <f t="shared" ref="AG273:AG296" si="683">IF($W$17=$AF$8,AH273*1.23,AF273*1.21)</f>
        <v>0</v>
      </c>
      <c r="AH273" s="650">
        <f t="shared" ref="AH273:AH296" si="684">IFERROR(IF(Y273=AB273,H273*I273*Y273,0),0)</f>
        <v>0</v>
      </c>
      <c r="AI273" s="645">
        <f t="shared" ref="AI273:AI296" si="685">IFERROR(IF(Y273=AB273,(P273*Y273)/1000,1),0)</f>
        <v>0</v>
      </c>
      <c r="AJ273" s="645">
        <f t="shared" ref="AJ273:AJ296" si="686">IFERROR(IF(Y273=AB273,N273*Y273,0.1),0)</f>
        <v>0</v>
      </c>
      <c r="AK273" s="645" t="str">
        <f t="shared" ref="AK273:AK296" si="687">IFERROR(IF(Y273=AB273,IF(M273="1.1G",(O273/1000)*Y273,""),""),0)</f>
        <v/>
      </c>
      <c r="AL273" s="645" t="str">
        <f t="shared" ref="AL273:AL296" si="688">IFERROR(IF(Y273=AB273,IF(M273="1.3G",(O273/1000)*AB273,""),""),0)</f>
        <v/>
      </c>
      <c r="AM273" s="645">
        <f t="shared" ref="AM273:AM296" si="689">IFERROR(IF(Y273=AB273,IF(M273="1.4G",(O273/1000)*AB273,""),""),0)</f>
        <v>0</v>
      </c>
      <c r="AN273" s="651">
        <f t="shared" ref="AN273:AN296" si="690">SUM(AK273:AM273)</f>
        <v>0</v>
      </c>
      <c r="AO273" s="623"/>
      <c r="AP273" s="632" t="str">
        <f t="shared" si="519"/>
        <v/>
      </c>
      <c r="AQ273" s="633" t="str">
        <f>IF(AC273=$V$3,IF(VLOOKUP(C273,[1]List1!$A:$E,5,FALSE)=0,1,VLOOKUP(C273,[1]List1!$A:$E,5,FALSE)),"")</f>
        <v/>
      </c>
      <c r="AR273" s="625" t="str">
        <f t="shared" si="520"/>
        <v/>
      </c>
      <c r="AS273" s="634" t="str">
        <f t="shared" si="521"/>
        <v/>
      </c>
      <c r="AT273" s="625" t="str">
        <f t="shared" si="522"/>
        <v/>
      </c>
      <c r="AU273" s="638" t="e">
        <f t="shared" si="523"/>
        <v>#N/A</v>
      </c>
      <c r="AV273" s="625" t="e">
        <f t="shared" si="524"/>
        <v>#N/A</v>
      </c>
      <c r="AX273" s="625">
        <f>IF(AND('General price list'!$J273="F4",'General price list'!$AB273+0&gt;0),1,0)</f>
        <v>0</v>
      </c>
      <c r="AY273" s="625">
        <f t="shared" si="525"/>
        <v>1</v>
      </c>
      <c r="AZ273" s="625">
        <f t="shared" si="526"/>
        <v>1</v>
      </c>
    </row>
    <row r="274" spans="1:52" ht="15" customHeight="1">
      <c r="A274" s="621" t="str">
        <f>Kat.!C274</f>
        <v/>
      </c>
      <c r="B274" s="566">
        <f>IF(AND('General price list'!$J274="F4",$AI$1=FALSE),0,IF(AC274="SKLADEM",1,IF(AC274=$V$3,1,0)))</f>
        <v>1</v>
      </c>
      <c r="C274" s="567" t="s">
        <v>713</v>
      </c>
      <c r="D274" s="568" t="s">
        <v>714</v>
      </c>
      <c r="E274" s="763" t="s">
        <v>12687</v>
      </c>
      <c r="F274" s="772">
        <f>IFERROR(VLOOKUP(C274,[2]List1!$A:$D,3,FALSE),"NEUVEDENO!")</f>
        <v>64</v>
      </c>
      <c r="G274" s="769">
        <f t="shared" si="677"/>
        <v>64</v>
      </c>
      <c r="H274" s="766">
        <f t="shared" si="678"/>
        <v>2.7186264140043241</v>
      </c>
      <c r="I274" s="764">
        <f>IFERROR(VLOOKUP(C274,[2]List1!$A:$D,4,FALSE),"NEUVEDENO!")</f>
        <v>50</v>
      </c>
      <c r="J274" s="732" t="s">
        <v>39</v>
      </c>
      <c r="K274" s="569" t="s">
        <v>20</v>
      </c>
      <c r="L274" s="569" t="s">
        <v>10973</v>
      </c>
      <c r="M274" s="569" t="s">
        <v>21</v>
      </c>
      <c r="N274" s="569">
        <f>IFERROR(VLOOKUP(C274,[3]List1!$A:$D,4,FALSE),"N/A!")</f>
        <v>2.45025E-2</v>
      </c>
      <c r="O274" s="569">
        <f>IFERROR(VLOOKUP(C274,[3]List1!$A:$D,3,FALSE),"N/A!")</f>
        <v>1500</v>
      </c>
      <c r="P274" s="569">
        <f>IFERROR(VLOOKUP(C274,[3]List1!$A:$D,2,FALSE),"N/A!")</f>
        <v>6800</v>
      </c>
      <c r="Q274" s="569" t="s">
        <v>11276</v>
      </c>
      <c r="R274" s="569"/>
      <c r="S274" s="569"/>
      <c r="T274" s="569"/>
      <c r="U274" s="569"/>
      <c r="V274" s="569"/>
      <c r="W274" s="569" t="str">
        <f>IFERROR(IF(AND($AB274&gt;=0.1*$AA274,MOD($AB274,$AA274)&gt;=($AA274-(0.1*$AA274))),IF($W$17=$AF$1,"Zvažte možnost doobjednání ještě "&amp;Tabulka1[[#This Row],[VKPAL]]-MOD(AB274,AA274)&amp;" VK do plné palety.",VLOOKUP("Zvažte možnost doobjednání ještě ",Jazyky_ceník!A:Q,MATCH($W$17,Jazyky_ceník!$A$1:$Q$1,0),FALSE)&amp;Tabulka1[[#This Row],[VKPAL]]-MOD(AB274,AA274)&amp;VLOOKUP(" VK do plné palety.",Jazyky_ceník!A:Q,MATCH($W$17,Jazyky_ceník!$A$1:$Q$1,0),FALSE)),IFERROR(IF(AND(NOT(MOD($AB274,$AA274)=0),$AB274&gt;=0.9*$AA274,MOD($AB274,$AA274)&lt;=0.1*$AA274),IF($W$17=$AF$1,"Zvažte možnost optimalizace objednaného množství podle počtu VK na paletě ==&gt;",VLOOKUP("Zvažte možnost optimalizace objednaného množství podle počtu VK na paletě ==&gt;",Jazyky_ceník!A:Q,MATCH($W$17,Jazyky_ceník!$A$1:$Q$1,0),FALSE)),VLOOKUP('General price list'!$C274,Popisy!A:M,MATCH($W$17,Popisy!$A$7:$M$7,0),FALSE)),"---------------")),IFERROR(VLOOKUP('General price list'!$C274,Popisy!A:M,MATCH($W$17,Popisy!$A$7:$M$7,0),FALSE),"---------------"))</f>
        <v>padáčková raketa</v>
      </c>
      <c r="X274" s="569" t="str">
        <f t="shared" si="679"/>
        <v/>
      </c>
      <c r="Y274" s="569" t="str">
        <f t="shared" si="680"/>
        <v/>
      </c>
      <c r="Z274" s="569" t="str">
        <f>HYPERLINK("https://www.klasekpyrotechnics.cz/rs6p")</f>
        <v>https://www.klasekpyrotechnics.cz/rs6p</v>
      </c>
      <c r="AA274" s="569">
        <f>IFERROR(IF(VLOOKUP(C274,[4]List1!$A:$D,4,FALSE)=0,"",VLOOKUP(C274,[4]List1!$A:$D,4,FALSE)),"")</f>
        <v>48</v>
      </c>
      <c r="AB274" s="565"/>
      <c r="AC274" s="570" t="str">
        <f>IFERROR(IF(VLOOKUP(C274,[1]List1!$A:$D,2,FALSE)="VYPRODÁNO",$V$9,IF(VLOOKUP(C274,[1]List1!$A:$D,2,FALSE)="DOCHÁZÍ",$V$3,VLOOKUP(C274,[1]List1!$A:$D,2,FALSE))),"OFFLINE!")</f>
        <v>SKLADEM</v>
      </c>
      <c r="AD274" s="570" t="str">
        <f ca="1">IF(AP274="NE",$V$10,IF(AC274=$V$3,IF(AQ274&lt;1,$V$8,$V$2&amp;" "&amp;AQ274&amp;" "&amp;$V$1),IF(AC274="SKLADEM",$V$6,IFERROR(IF(OR(AC274-TODAY()&gt;45,VLOOKUP(C274,[1]List1!$A:$E,4,FALSE)=0),AC274,DAY(AC274)&amp;"."&amp;MONTH(AC274)&amp;"."&amp;YEAR(AC274)&amp;" "&amp;$V$4&amp;VLOOKUP(C274,[1]List1!$A:$E,4,FALSE)&amp;" "&amp;$V$1),AC274))))</f>
        <v>SKLADEM</v>
      </c>
      <c r="AE274" s="581" t="str">
        <f t="shared" ca="1" si="681"/>
        <v>SKLADEM</v>
      </c>
      <c r="AF274" s="584">
        <f t="shared" si="682"/>
        <v>0</v>
      </c>
      <c r="AG274" s="585">
        <f t="shared" si="683"/>
        <v>0</v>
      </c>
      <c r="AH274" s="583">
        <f t="shared" si="684"/>
        <v>0</v>
      </c>
      <c r="AI274" s="582">
        <f t="shared" si="685"/>
        <v>0</v>
      </c>
      <c r="AJ274" s="569">
        <f t="shared" si="686"/>
        <v>0</v>
      </c>
      <c r="AK274" s="569" t="str">
        <f t="shared" si="687"/>
        <v/>
      </c>
      <c r="AL274" s="569" t="str">
        <f t="shared" si="688"/>
        <v/>
      </c>
      <c r="AM274" s="569">
        <f t="shared" si="689"/>
        <v>0</v>
      </c>
      <c r="AN274" s="581">
        <f t="shared" si="690"/>
        <v>0</v>
      </c>
      <c r="AO274" s="623"/>
      <c r="AP274" s="632" t="str">
        <f t="shared" si="519"/>
        <v/>
      </c>
      <c r="AQ274" s="633" t="str">
        <f>IF(AC274=$V$3,IF(VLOOKUP(C274,[1]List1!$A:$E,5,FALSE)=0,1,VLOOKUP(C274,[1]List1!$A:$E,5,FALSE)),"")</f>
        <v/>
      </c>
      <c r="AR274" s="625" t="str">
        <f t="shared" si="520"/>
        <v/>
      </c>
      <c r="AS274" s="634" t="str">
        <f t="shared" si="521"/>
        <v/>
      </c>
      <c r="AT274" s="625" t="str">
        <f t="shared" si="522"/>
        <v/>
      </c>
      <c r="AU274" s="638" t="e">
        <f t="shared" si="523"/>
        <v>#N/A</v>
      </c>
      <c r="AV274" s="625" t="e">
        <f t="shared" si="524"/>
        <v>#N/A</v>
      </c>
      <c r="AX274" s="625">
        <f>IF(AND('General price list'!$J274="F4",'General price list'!$AB274+0&gt;0),1,0)</f>
        <v>0</v>
      </c>
      <c r="AY274" s="625">
        <f t="shared" si="525"/>
        <v>1</v>
      </c>
      <c r="AZ274" s="625">
        <f t="shared" si="526"/>
        <v>0</v>
      </c>
    </row>
    <row r="275" spans="1:52" ht="15" customHeight="1">
      <c r="A275" s="639" t="str">
        <f>Kat.!C275</f>
        <v/>
      </c>
      <c r="B275" s="640">
        <f>IF(AND('General price list'!$J275="F4",$AI$1=FALSE),0,IF(AC275="SKLADEM",1,IF(AC275=$V$3,1,0)))</f>
        <v>0</v>
      </c>
      <c r="C275" s="641" t="s">
        <v>717</v>
      </c>
      <c r="D275" s="642" t="s">
        <v>718</v>
      </c>
      <c r="E275" s="643" t="s">
        <v>12687</v>
      </c>
      <c r="F275" s="771">
        <f>IFERROR(VLOOKUP(C275,[2]List1!$A:$D,3,FALSE),"NEUVEDENO!")</f>
        <v>49</v>
      </c>
      <c r="G275" s="768">
        <f t="shared" si="677"/>
        <v>49</v>
      </c>
      <c r="H275" s="765">
        <f t="shared" si="678"/>
        <v>2.0814483482220609</v>
      </c>
      <c r="I275" s="644">
        <f>IFERROR(VLOOKUP(C275,[2]List1!$A:$D,4,FALSE),"NEUVEDENO!")</f>
        <v>50</v>
      </c>
      <c r="J275" s="733" t="s">
        <v>39</v>
      </c>
      <c r="K275" s="645" t="s">
        <v>20</v>
      </c>
      <c r="L275" s="645" t="s">
        <v>15084</v>
      </c>
      <c r="M275" s="645" t="s">
        <v>21</v>
      </c>
      <c r="N275" s="645">
        <f>IFERROR(VLOOKUP(C275,[3]List1!$A:$D,4,FALSE),"N/A!")</f>
        <v>2.3099999999999999E-2</v>
      </c>
      <c r="O275" s="645">
        <f>IFERROR(VLOOKUP(C275,[3]List1!$A:$D,3,FALSE),"N/A!")</f>
        <v>1500</v>
      </c>
      <c r="P275" s="645">
        <f>IFERROR(VLOOKUP(C275,[3]List1!$A:$D,2,FALSE),"N/A!")</f>
        <v>4500</v>
      </c>
      <c r="Q275" s="645" t="s">
        <v>11276</v>
      </c>
      <c r="R275" s="645" t="s">
        <v>20</v>
      </c>
      <c r="S275" s="645"/>
      <c r="T275" s="645"/>
      <c r="U275" s="645"/>
      <c r="V275" s="645"/>
      <c r="W275" s="645" t="str">
        <f>IFERROR(IF(AND($AB275&gt;=0.1*$AA275,MOD($AB275,$AA275)&gt;=($AA275-(0.1*$AA275))),IF($W$17=$AF$1,"Zvažte možnost doobjednání ještě "&amp;Tabulka1[[#This Row],[VKPAL]]-MOD(AB275,AA275)&amp;" VK do plné palety.",VLOOKUP("Zvažte možnost doobjednání ještě ",Jazyky_ceník!A:Q,MATCH($W$17,Jazyky_ceník!$A$1:$Q$1,0),FALSE)&amp;Tabulka1[[#This Row],[VKPAL]]-MOD(AB275,AA275)&amp;VLOOKUP(" VK do plné palety.",Jazyky_ceník!A:Q,MATCH($W$17,Jazyky_ceník!$A$1:$Q$1,0),FALSE)),IFERROR(IF(AND(NOT(MOD($AB275,$AA275)=0),$AB275&gt;=0.9*$AA275,MOD($AB275,$AA275)&lt;=0.1*$AA275),IF($W$17=$AF$1,"Zvažte možnost optimalizace objednaného množství podle počtu VK na paletě ==&gt;",VLOOKUP("Zvažte možnost optimalizace objednaného množství podle počtu VK na paletě ==&gt;",Jazyky_ceník!A:Q,MATCH($W$17,Jazyky_ceník!$A$1:$Q$1,0),FALSE)),VLOOKUP('General price list'!$C275,Popisy!A:M,MATCH($W$17,Popisy!$A$7:$M$7,0),FALSE)),"---------------")),IFERROR(VLOOKUP('General price list'!$C275,Popisy!A:M,MATCH($W$17,Popisy!$A$7:$M$7,0),FALSE),"---------------"))</f>
        <v>pískající stopa+barevné světlice</v>
      </c>
      <c r="X275" s="645" t="str">
        <f t="shared" si="679"/>
        <v/>
      </c>
      <c r="Y275" s="645" t="str">
        <f t="shared" si="680"/>
        <v/>
      </c>
      <c r="Z275" s="645" t="str">
        <f>HYPERLINK("https://www.klasekpyrotechnics.cz/rs6o")</f>
        <v>https://www.klasekpyrotechnics.cz/rs6o</v>
      </c>
      <c r="AA275" s="645">
        <f>IFERROR(IF(VLOOKUP(C275,[4]List1!$A:$D,4,FALSE)=0,"",VLOOKUP(C275,[4]List1!$A:$D,4,FALSE)),"")</f>
        <v>54</v>
      </c>
      <c r="AB275" s="646"/>
      <c r="AC275" s="647" t="str">
        <f>IFERROR(IF(VLOOKUP(C275,[1]List1!$A:$D,2,FALSE)="VYPRODÁNO",$V$9,IF(VLOOKUP(C275,[1]List1!$A:$D,2,FALSE)="DOCHÁZÍ",$V$3,VLOOKUP(C275,[1]List1!$A:$D,2,FALSE))),"OFFLINE!")</f>
        <v>31.08.2026</v>
      </c>
      <c r="AD275" s="647" t="str">
        <f ca="1">IF(AP275="NE",$V$10,IF(AC275=$V$3,IF(AQ275&lt;1,$V$8,$V$2&amp;" "&amp;AQ275&amp;" "&amp;$V$1),IF(AC275="SKLADEM",$V$6,IFERROR(IF(OR(AC275-TODAY()&gt;45,VLOOKUP(C275,[1]List1!$A:$E,4,FALSE)=0),AC275,DAY(AC275)&amp;"."&amp;MONTH(AC275)&amp;"."&amp;YEAR(AC275)&amp;" "&amp;$V$4&amp;VLOOKUP(C275,[1]List1!$A:$E,4,FALSE)&amp;" "&amp;$V$1),AC275))))</f>
        <v>31.08.2026</v>
      </c>
      <c r="AE275" s="645" t="str">
        <f t="shared" ca="1" si="681"/>
        <v>31.08.2026</v>
      </c>
      <c r="AF275" s="648">
        <f t="shared" si="682"/>
        <v>0</v>
      </c>
      <c r="AG275" s="649">
        <f t="shared" si="683"/>
        <v>0</v>
      </c>
      <c r="AH275" s="650">
        <f t="shared" si="684"/>
        <v>0</v>
      </c>
      <c r="AI275" s="645">
        <f t="shared" si="685"/>
        <v>0</v>
      </c>
      <c r="AJ275" s="645">
        <f t="shared" si="686"/>
        <v>0</v>
      </c>
      <c r="AK275" s="645" t="str">
        <f t="shared" si="687"/>
        <v/>
      </c>
      <c r="AL275" s="645" t="str">
        <f t="shared" si="688"/>
        <v/>
      </c>
      <c r="AM275" s="645">
        <f t="shared" si="689"/>
        <v>0</v>
      </c>
      <c r="AN275" s="651">
        <f t="shared" si="690"/>
        <v>0</v>
      </c>
      <c r="AO275" s="623"/>
      <c r="AP275" s="632" t="str">
        <f t="shared" si="519"/>
        <v/>
      </c>
      <c r="AQ275" s="633" t="str">
        <f>IF(AC275=$V$3,IF(VLOOKUP(C275,[1]List1!$A:$E,5,FALSE)=0,1,VLOOKUP(C275,[1]List1!$A:$E,5,FALSE)),"")</f>
        <v/>
      </c>
      <c r="AR275" s="625" t="str">
        <f t="shared" si="520"/>
        <v/>
      </c>
      <c r="AS275" s="634" t="str">
        <f t="shared" si="521"/>
        <v/>
      </c>
      <c r="AT275" s="625" t="str">
        <f t="shared" si="522"/>
        <v/>
      </c>
      <c r="AU275" s="638" t="e">
        <f t="shared" si="523"/>
        <v>#N/A</v>
      </c>
      <c r="AV275" s="625" t="e">
        <f t="shared" si="524"/>
        <v>#N/A</v>
      </c>
      <c r="AX275" s="625">
        <f>IF(AND('General price list'!$J275="F4",'General price list'!$AB275+0&gt;0),1,0)</f>
        <v>0</v>
      </c>
      <c r="AY275" s="625">
        <f t="shared" si="525"/>
        <v>1</v>
      </c>
      <c r="AZ275" s="625">
        <f t="shared" si="526"/>
        <v>0</v>
      </c>
    </row>
    <row r="276" spans="1:52" ht="15" customHeight="1">
      <c r="A276" s="621" t="str">
        <f>Kat.!C276</f>
        <v/>
      </c>
      <c r="B276" s="566">
        <f>IF(AND('General price list'!$J276="F4",$AI$1=FALSE),0,IF(AC276="SKLADEM",1,IF(AC276=$V$3,1,0)))</f>
        <v>1</v>
      </c>
      <c r="C276" s="567" t="s">
        <v>722</v>
      </c>
      <c r="D276" s="568" t="s">
        <v>723</v>
      </c>
      <c r="E276" s="763" t="s">
        <v>12687</v>
      </c>
      <c r="F276" s="772">
        <f>IFERROR(VLOOKUP(C276,[2]List1!$A:$D,3,FALSE),"NEUVEDENO!")</f>
        <v>54</v>
      </c>
      <c r="G276" s="769">
        <f t="shared" si="677"/>
        <v>54</v>
      </c>
      <c r="H276" s="766">
        <f t="shared" si="678"/>
        <v>2.2938410368161488</v>
      </c>
      <c r="I276" s="764">
        <f>IFERROR(VLOOKUP(C276,[2]List1!$A:$D,4,FALSE),"NEUVEDENO!")</f>
        <v>50</v>
      </c>
      <c r="J276" s="732" t="s">
        <v>39</v>
      </c>
      <c r="K276" s="569" t="s">
        <v>20</v>
      </c>
      <c r="L276" s="569" t="s">
        <v>10963</v>
      </c>
      <c r="M276" s="569" t="s">
        <v>21</v>
      </c>
      <c r="N276" s="569">
        <f>IFERROR(VLOOKUP(C276,[3]List1!$A:$D,4,FALSE),"N/A!")</f>
        <v>2.3099999999999999E-2</v>
      </c>
      <c r="O276" s="569">
        <f>IFERROR(VLOOKUP(C276,[3]List1!$A:$D,3,FALSE),"N/A!")</f>
        <v>1500</v>
      </c>
      <c r="P276" s="569">
        <f>IFERROR(VLOOKUP(C276,[3]List1!$A:$D,2,FALSE),"N/A!")</f>
        <v>5000</v>
      </c>
      <c r="Q276" s="569" t="s">
        <v>11276</v>
      </c>
      <c r="R276" s="569"/>
      <c r="S276" s="569"/>
      <c r="T276" s="569"/>
      <c r="U276" s="569"/>
      <c r="V276" s="569"/>
      <c r="W276" s="569" t="str">
        <f>IFERROR(IF(AND($AB276&gt;=0.1*$AA276,MOD($AB276,$AA276)&gt;=($AA276-(0.1*$AA276))),IF($W$17=$AF$1,"Zvažte možnost doobjednání ještě "&amp;Tabulka1[[#This Row],[VKPAL]]-MOD(AB276,AA276)&amp;" VK do plné palety.",VLOOKUP("Zvažte možnost doobjednání ještě ",Jazyky_ceník!A:Q,MATCH($W$17,Jazyky_ceník!$A$1:$Q$1,0),FALSE)&amp;Tabulka1[[#This Row],[VKPAL]]-MOD(AB276,AA276)&amp;VLOOKUP(" VK do plné palety.",Jazyky_ceník!A:Q,MATCH($W$17,Jazyky_ceník!$A$1:$Q$1,0),FALSE)),IFERROR(IF(AND(NOT(MOD($AB276,$AA276)=0),$AB276&gt;=0.9*$AA276,MOD($AB276,$AA276)&lt;=0.1*$AA276),IF($W$17=$AF$1,"Zvažte možnost optimalizace objednaného množství podle počtu VK na paletě ==&gt;",VLOOKUP("Zvažte možnost optimalizace objednaného množství podle počtu VK na paletě ==&gt;",Jazyky_ceník!A:Q,MATCH($W$17,Jazyky_ceník!$A$1:$Q$1,0),FALSE)),VLOOKUP('General price list'!$C276,Popisy!A:M,MATCH($W$17,Popisy!$A$7:$M$7,0),FALSE)),"---------------")),IFERROR(VLOOKUP('General price list'!$C276,Popisy!A:M,MATCH($W$17,Popisy!$A$7:$M$7,0),FALSE),"---------------"))</f>
        <v>pískající stopa+stříbrné blikající hvězdy</v>
      </c>
      <c r="X276" s="569" t="str">
        <f t="shared" si="679"/>
        <v/>
      </c>
      <c r="Y276" s="569" t="str">
        <f t="shared" si="680"/>
        <v/>
      </c>
      <c r="Z276" s="569" t="str">
        <f>HYPERLINK("https://www.klasekpyrotechnics.cz/rs6s")</f>
        <v>https://www.klasekpyrotechnics.cz/rs6s</v>
      </c>
      <c r="AA276" s="569">
        <f>IFERROR(IF(VLOOKUP(C276,[4]List1!$A:$D,4,FALSE)=0,"",VLOOKUP(C276,[4]List1!$A:$D,4,FALSE)),"")</f>
        <v>63</v>
      </c>
      <c r="AB276" s="565"/>
      <c r="AC276" s="570" t="str">
        <f>IFERROR(IF(VLOOKUP(C276,[1]List1!$A:$D,2,FALSE)="VYPRODÁNO",$V$9,IF(VLOOKUP(C276,[1]List1!$A:$D,2,FALSE)="DOCHÁZÍ",$V$3,VLOOKUP(C276,[1]List1!$A:$D,2,FALSE))),"OFFLINE!")</f>
        <v>SKLADEM</v>
      </c>
      <c r="AD276" s="570" t="str">
        <f ca="1">IF(AP276="NE",$V$10,IF(AC276=$V$3,IF(AQ276&lt;1,$V$8,$V$2&amp;" "&amp;AQ276&amp;" "&amp;$V$1),IF(AC276="SKLADEM",$V$6,IFERROR(IF(OR(AC276-TODAY()&gt;45,VLOOKUP(C276,[1]List1!$A:$E,4,FALSE)=0),AC276,DAY(AC276)&amp;"."&amp;MONTH(AC276)&amp;"."&amp;YEAR(AC276)&amp;" "&amp;$V$4&amp;VLOOKUP(C276,[1]List1!$A:$E,4,FALSE)&amp;" "&amp;$V$1),AC276))))</f>
        <v>SKLADEM</v>
      </c>
      <c r="AE276" s="581" t="str">
        <f t="shared" ca="1" si="681"/>
        <v>SKLADEM</v>
      </c>
      <c r="AF276" s="584">
        <f t="shared" si="682"/>
        <v>0</v>
      </c>
      <c r="AG276" s="585">
        <f t="shared" si="683"/>
        <v>0</v>
      </c>
      <c r="AH276" s="583">
        <f t="shared" si="684"/>
        <v>0</v>
      </c>
      <c r="AI276" s="582">
        <f t="shared" si="685"/>
        <v>0</v>
      </c>
      <c r="AJ276" s="569">
        <f t="shared" si="686"/>
        <v>0</v>
      </c>
      <c r="AK276" s="569" t="str">
        <f t="shared" si="687"/>
        <v/>
      </c>
      <c r="AL276" s="569" t="str">
        <f t="shared" si="688"/>
        <v/>
      </c>
      <c r="AM276" s="569">
        <f t="shared" si="689"/>
        <v>0</v>
      </c>
      <c r="AN276" s="581">
        <f t="shared" si="690"/>
        <v>0</v>
      </c>
      <c r="AO276" s="623"/>
      <c r="AP276" s="632" t="str">
        <f t="shared" si="519"/>
        <v/>
      </c>
      <c r="AQ276" s="633" t="str">
        <f>IF(AC276=$V$3,IF(VLOOKUP(C276,[1]List1!$A:$E,5,FALSE)=0,1,VLOOKUP(C276,[1]List1!$A:$E,5,FALSE)),"")</f>
        <v/>
      </c>
      <c r="AR276" s="625" t="str">
        <f t="shared" si="520"/>
        <v/>
      </c>
      <c r="AS276" s="634" t="str">
        <f t="shared" si="521"/>
        <v/>
      </c>
      <c r="AT276" s="625" t="str">
        <f t="shared" si="522"/>
        <v/>
      </c>
      <c r="AU276" s="638" t="e">
        <f t="shared" si="523"/>
        <v>#N/A</v>
      </c>
      <c r="AV276" s="625" t="e">
        <f t="shared" si="524"/>
        <v>#N/A</v>
      </c>
      <c r="AX276" s="625">
        <f>IF(AND('General price list'!$J276="F4",'General price list'!$AB276+0&gt;0),1,0)</f>
        <v>0</v>
      </c>
      <c r="AY276" s="625">
        <f t="shared" si="525"/>
        <v>1</v>
      </c>
      <c r="AZ276" s="625">
        <f t="shared" si="526"/>
        <v>0</v>
      </c>
    </row>
    <row r="277" spans="1:52" ht="15.75" customHeight="1">
      <c r="A277" s="639" t="str">
        <f>Kat.!C277</f>
        <v/>
      </c>
      <c r="B277" s="640">
        <f>IF(AND('General price list'!$J277="F4",$AI$1=FALSE),0,IF(AC277="SKLADEM",1,IF(AC277=$V$3,1,0)))</f>
        <v>1</v>
      </c>
      <c r="C277" s="641" t="s">
        <v>11634</v>
      </c>
      <c r="D277" s="642" t="s">
        <v>11666</v>
      </c>
      <c r="E277" s="643" t="s">
        <v>12690</v>
      </c>
      <c r="F277" s="771">
        <f>IFERROR(VLOOKUP(C277,[2]List1!$A:$D,3,FALSE),"NEUVEDENO!")</f>
        <v>102</v>
      </c>
      <c r="G277" s="768">
        <f t="shared" si="677"/>
        <v>102</v>
      </c>
      <c r="H277" s="765">
        <f t="shared" si="678"/>
        <v>4.3328108473193918</v>
      </c>
      <c r="I277" s="644">
        <f>IFERROR(VLOOKUP(C277,[2]List1!$A:$D,4,FALSE),"NEUVEDENO!")</f>
        <v>36</v>
      </c>
      <c r="J277" s="733" t="s">
        <v>39</v>
      </c>
      <c r="K277" s="645" t="s">
        <v>20</v>
      </c>
      <c r="L277" s="645" t="s">
        <v>15084</v>
      </c>
      <c r="M277" s="645" t="s">
        <v>21</v>
      </c>
      <c r="N277" s="645">
        <f>IFERROR(VLOOKUP(C277,[3]List1!$A:$D,4,FALSE),"N/A!")</f>
        <v>3.1049999999999998E-2</v>
      </c>
      <c r="O277" s="645">
        <f>IFERROR(VLOOKUP(C277,[3]List1!$A:$D,3,FALSE),"N/A!")</f>
        <v>1684.8</v>
      </c>
      <c r="P277" s="645">
        <f>IFERROR(VLOOKUP(C277,[3]List1!$A:$D,2,FALSE),"N/A!")</f>
        <v>8000</v>
      </c>
      <c r="Q277" s="645" t="s">
        <v>11238</v>
      </c>
      <c r="R277" s="645"/>
      <c r="S277" s="645"/>
      <c r="T277" s="645"/>
      <c r="U277" s="645"/>
      <c r="V277" s="645"/>
      <c r="W277" s="645" t="str">
        <f>IFERROR(IF(AND($AB277&gt;=0.1*$AA277,MOD($AB277,$AA277)&gt;=($AA277-(0.1*$AA277))),IF($W$17=$AF$1,"Zvažte možnost doobjednání ještě "&amp;Tabulka1[[#This Row],[VKPAL]]-MOD(AB277,AA277)&amp;" VK do plné palety.",VLOOKUP("Zvažte možnost doobjednání ještě ",Jazyky_ceník!A:Q,MATCH($W$17,Jazyky_ceník!$A$1:$Q$1,0),FALSE)&amp;Tabulka1[[#This Row],[VKPAL]]-MOD(AB277,AA277)&amp;VLOOKUP(" VK do plné palety.",Jazyky_ceník!A:Q,MATCH($W$17,Jazyky_ceník!$A$1:$Q$1,0),FALSE)),IFERROR(IF(AND(NOT(MOD($AB277,$AA277)=0),$AB277&gt;=0.9*$AA277,MOD($AB277,$AA277)&lt;=0.1*$AA277),IF($W$17=$AF$1,"Zvažte možnost optimalizace objednaného množství podle počtu VK na paletě ==&gt;",VLOOKUP("Zvažte možnost optimalizace objednaného množství podle počtu VK na paletě ==&gt;",Jazyky_ceník!A:Q,MATCH($W$17,Jazyky_ceník!$A$1:$Q$1,0),FALSE)),VLOOKUP('General price list'!$C277,Popisy!A:M,MATCH($W$17,Popisy!$A$7:$M$7,0),FALSE)),"---------------")),IFERROR(VLOOKUP('General price list'!$C277,Popisy!A:M,MATCH($W$17,Popisy!$A$7:$M$7,0),FALSE),"---------------"))</f>
        <v>3x pískající stopa+stříbrné práskající hvězdy</v>
      </c>
      <c r="X277" s="645" t="str">
        <f t="shared" si="679"/>
        <v/>
      </c>
      <c r="Y277" s="645" t="str">
        <f t="shared" si="680"/>
        <v/>
      </c>
      <c r="Z277" s="645" t="str">
        <f>HYPERLINK("https://www.klasekpyrotechnics.cz/rs6sm")</f>
        <v>https://www.klasekpyrotechnics.cz/rs6sm</v>
      </c>
      <c r="AA277" s="645">
        <f>IFERROR(IF(VLOOKUP(C277,[4]List1!$A:$D,4,FALSE)=0,"",VLOOKUP(C277,[4]List1!$A:$D,4,FALSE)),"")</f>
        <v>36</v>
      </c>
      <c r="AB277" s="646"/>
      <c r="AC277" s="647" t="str">
        <f>IFERROR(IF(VLOOKUP(C277,[1]List1!$A:$D,2,FALSE)="VYPRODÁNO",$V$9,IF(VLOOKUP(C277,[1]List1!$A:$D,2,FALSE)="DOCHÁZÍ",$V$3,VLOOKUP(C277,[1]List1!$A:$D,2,FALSE))),"OFFLINE!")</f>
        <v>SKLADEM</v>
      </c>
      <c r="AD277" s="647" t="str">
        <f ca="1">IF(AP277="NE",$V$10,IF(AC277=$V$3,IF(AQ277&lt;1,$V$8,$V$2&amp;" "&amp;AQ277&amp;" "&amp;$V$1),IF(AC277="SKLADEM",$V$6,IFERROR(IF(OR(AC277-TODAY()&gt;45,VLOOKUP(C277,[1]List1!$A:$E,4,FALSE)=0),AC277,DAY(AC277)&amp;"."&amp;MONTH(AC277)&amp;"."&amp;YEAR(AC277)&amp;" "&amp;$V$4&amp;VLOOKUP(C277,[1]List1!$A:$E,4,FALSE)&amp;" "&amp;$V$1),AC277))))</f>
        <v>SKLADEM</v>
      </c>
      <c r="AE277" s="645" t="str">
        <f t="shared" ca="1" si="681"/>
        <v>SKLADEM</v>
      </c>
      <c r="AF277" s="648">
        <f t="shared" si="682"/>
        <v>0</v>
      </c>
      <c r="AG277" s="649">
        <f t="shared" si="683"/>
        <v>0</v>
      </c>
      <c r="AH277" s="650">
        <f t="shared" si="684"/>
        <v>0</v>
      </c>
      <c r="AI277" s="645">
        <f t="shared" si="685"/>
        <v>0</v>
      </c>
      <c r="AJ277" s="645">
        <f t="shared" si="686"/>
        <v>0</v>
      </c>
      <c r="AK277" s="645" t="str">
        <f t="shared" si="687"/>
        <v/>
      </c>
      <c r="AL277" s="645" t="str">
        <f t="shared" si="688"/>
        <v/>
      </c>
      <c r="AM277" s="645">
        <f t="shared" si="689"/>
        <v>0</v>
      </c>
      <c r="AN277" s="651">
        <f t="shared" si="690"/>
        <v>0</v>
      </c>
      <c r="AO277" s="623"/>
      <c r="AP277" s="625" t="str">
        <f t="shared" si="519"/>
        <v/>
      </c>
      <c r="AQ277" s="625" t="str">
        <f>IF(AC277=$V$3,IF(VLOOKUP(C277,[1]List1!$A:$E,5,FALSE)=0,1,VLOOKUP(C277,[1]List1!$A:$E,5,FALSE)),"")</f>
        <v/>
      </c>
      <c r="AR277" s="629" t="str">
        <f t="shared" si="520"/>
        <v/>
      </c>
      <c r="AS277" s="630" t="str">
        <f t="shared" si="521"/>
        <v/>
      </c>
      <c r="AT277" s="625" t="str">
        <f t="shared" si="522"/>
        <v/>
      </c>
      <c r="AU277" s="625" t="e">
        <f t="shared" si="523"/>
        <v>#N/A</v>
      </c>
      <c r="AV277" s="625" t="e">
        <f t="shared" si="524"/>
        <v>#N/A</v>
      </c>
      <c r="AW277" s="631"/>
      <c r="AX277" s="631">
        <f>IF(AND('General price list'!$J277="F4",'General price list'!$AB277+0&gt;0),1,0)</f>
        <v>0</v>
      </c>
      <c r="AY277" s="631">
        <f t="shared" si="525"/>
        <v>1</v>
      </c>
      <c r="AZ277" s="631">
        <f t="shared" si="526"/>
        <v>0</v>
      </c>
    </row>
    <row r="278" spans="1:52" ht="15" customHeight="1">
      <c r="A278" s="621" t="str">
        <f>Kat.!C278</f>
        <v/>
      </c>
      <c r="B278" s="566">
        <f>IF(AND('General price list'!$J278="F4",$AI$1=FALSE),0,IF(AC278="SKLADEM",1,IF(AC278=$V$3,1,0)))</f>
        <v>1</v>
      </c>
      <c r="C278" s="567" t="s">
        <v>727</v>
      </c>
      <c r="D278" s="568" t="s">
        <v>728</v>
      </c>
      <c r="E278" s="763" t="s">
        <v>12727</v>
      </c>
      <c r="F278" s="772">
        <f>IFERROR(VLOOKUP(C278,[2]List1!$A:$D,3,FALSE),"NEUVEDENO!")</f>
        <v>104</v>
      </c>
      <c r="G278" s="769">
        <f t="shared" si="677"/>
        <v>104</v>
      </c>
      <c r="H278" s="766">
        <f t="shared" si="678"/>
        <v>4.4177679227570268</v>
      </c>
      <c r="I278" s="764">
        <f>IFERROR(VLOOKUP(C278,[2]List1!$A:$D,4,FALSE),"NEUVEDENO!")</f>
        <v>36</v>
      </c>
      <c r="J278" s="732" t="s">
        <v>39</v>
      </c>
      <c r="K278" s="569" t="s">
        <v>20</v>
      </c>
      <c r="L278" s="569" t="s">
        <v>10973</v>
      </c>
      <c r="M278" s="569" t="s">
        <v>21</v>
      </c>
      <c r="N278" s="569">
        <f>IFERROR(VLOOKUP(C278,[3]List1!$A:$D,4,FALSE),"N/A!")</f>
        <v>4.5102999999999997E-2</v>
      </c>
      <c r="O278" s="569">
        <f>IFERROR(VLOOKUP(C278,[3]List1!$A:$D,3,FALSE),"N/A!")</f>
        <v>1728</v>
      </c>
      <c r="P278" s="569">
        <f>IFERROR(VLOOKUP(C278,[3]List1!$A:$D,2,FALSE),"N/A!")</f>
        <v>11000</v>
      </c>
      <c r="Q278" s="569" t="s">
        <v>11247</v>
      </c>
      <c r="R278" s="569"/>
      <c r="S278" s="569"/>
      <c r="T278" s="569"/>
      <c r="U278" s="569"/>
      <c r="V278" s="569"/>
      <c r="W278" s="569" t="str">
        <f>IFERROR(IF(AND($AB278&gt;=0.1*$AA278,MOD($AB278,$AA278)&gt;=($AA278-(0.1*$AA278))),IF($W$17=$AF$1,"Zvažte možnost doobjednání ještě "&amp;Tabulka1[[#This Row],[VKPAL]]-MOD(AB278,AA278)&amp;" VK do plné palety.",VLOOKUP("Zvažte možnost doobjednání ještě ",Jazyky_ceník!A:Q,MATCH($W$17,Jazyky_ceník!$A$1:$Q$1,0),FALSE)&amp;Tabulka1[[#This Row],[VKPAL]]-MOD(AB278,AA278)&amp;VLOOKUP(" VK do plné palety.",Jazyky_ceník!A:Q,MATCH($W$17,Jazyky_ceník!$A$1:$Q$1,0),FALSE)),IFERROR(IF(AND(NOT(MOD($AB278,$AA278)=0),$AB278&gt;=0.9*$AA278,MOD($AB278,$AA278)&lt;=0.1*$AA278),IF($W$17=$AF$1,"Zvažte možnost optimalizace objednaného množství podle počtu VK na paletě ==&gt;",VLOOKUP("Zvažte možnost optimalizace objednaného množství podle počtu VK na paletě ==&gt;",Jazyky_ceník!A:Q,MATCH($W$17,Jazyky_ceník!$A$1:$Q$1,0),FALSE)),VLOOKUP('General price list'!$C278,Popisy!A:M,MATCH($W$17,Popisy!$A$7:$M$7,0),FALSE)),"---------------")),IFERROR(VLOOKUP('General price list'!$C278,Popisy!A:M,MATCH($W$17,Popisy!$A$7:$M$7,0),FALSE),"---------------"))</f>
        <v>42cm výška,barevné světlice</v>
      </c>
      <c r="X278" s="569" t="str">
        <f t="shared" si="679"/>
        <v/>
      </c>
      <c r="Y278" s="569" t="str">
        <f t="shared" si="680"/>
        <v/>
      </c>
      <c r="Z278" s="569" t="str">
        <f>HYPERLINK("https://www.klasekpyrotechnics.cz/r12t1")</f>
        <v>https://www.klasekpyrotechnics.cz/r12t1</v>
      </c>
      <c r="AA278" s="569">
        <f>IFERROR(IF(VLOOKUP(C278,[4]List1!$A:$D,4,FALSE)=0,"",VLOOKUP(C278,[4]List1!$A:$D,4,FALSE)),"")</f>
        <v>24</v>
      </c>
      <c r="AB278" s="565"/>
      <c r="AC278" s="570" t="str">
        <f>IFERROR(IF(VLOOKUP(C278,[1]List1!$A:$D,2,FALSE)="VYPRODÁNO",$V$9,IF(VLOOKUP(C278,[1]List1!$A:$D,2,FALSE)="DOCHÁZÍ",$V$3,VLOOKUP(C278,[1]List1!$A:$D,2,FALSE))),"OFFLINE!")</f>
        <v>SKLADEM</v>
      </c>
      <c r="AD278" s="570" t="str">
        <f ca="1">IF(AP278="NE",$V$10,IF(AC278=$V$3,IF(AQ278&lt;1,$V$8,$V$2&amp;" "&amp;AQ278&amp;" "&amp;$V$1),IF(AC278="SKLADEM",$V$6,IFERROR(IF(OR(AC278-TODAY()&gt;45,VLOOKUP(C278,[1]List1!$A:$E,4,FALSE)=0),AC278,DAY(AC278)&amp;"."&amp;MONTH(AC278)&amp;"."&amp;YEAR(AC278)&amp;" "&amp;$V$4&amp;VLOOKUP(C278,[1]List1!$A:$E,4,FALSE)&amp;" "&amp;$V$1),AC278))))</f>
        <v>SKLADEM</v>
      </c>
      <c r="AE278" s="581" t="str">
        <f t="shared" ca="1" si="681"/>
        <v>SKLADEM</v>
      </c>
      <c r="AF278" s="584">
        <f t="shared" si="682"/>
        <v>0</v>
      </c>
      <c r="AG278" s="585">
        <f t="shared" si="683"/>
        <v>0</v>
      </c>
      <c r="AH278" s="583">
        <f t="shared" si="684"/>
        <v>0</v>
      </c>
      <c r="AI278" s="582">
        <f t="shared" si="685"/>
        <v>0</v>
      </c>
      <c r="AJ278" s="569">
        <f t="shared" si="686"/>
        <v>0</v>
      </c>
      <c r="AK278" s="569" t="str">
        <f t="shared" si="687"/>
        <v/>
      </c>
      <c r="AL278" s="569" t="str">
        <f t="shared" si="688"/>
        <v/>
      </c>
      <c r="AM278" s="569">
        <f t="shared" si="689"/>
        <v>0</v>
      </c>
      <c r="AN278" s="581">
        <f t="shared" si="690"/>
        <v>0</v>
      </c>
      <c r="AO278" s="623"/>
      <c r="AP278" s="632" t="str">
        <f t="shared" ref="AP278:AP296" si="691">IF($AL$3=1,IF(Y278=AB278,"","NE"),IF(AR278=$V$10,"NE",""))</f>
        <v/>
      </c>
      <c r="AQ278" s="633" t="str">
        <f>IF(AC278=$V$3,IF(VLOOKUP(C278,[1]List1!$A:$E,5,FALSE)=0,1,VLOOKUP(C278,[1]List1!$A:$E,5,FALSE)),"")</f>
        <v/>
      </c>
      <c r="AR278" s="625" t="str">
        <f t="shared" ref="AR278:AR296" si="692">IF($AL$3=1,"",IF(OR(AB278&lt;&gt;"",AB278&lt;&gt;0),IF(OR(AC278=$V$6,AC278=$V$3,AC278=$V$9),$V$10,""),""))</f>
        <v/>
      </c>
      <c r="AS278" s="634" t="str">
        <f t="shared" ref="AS278:AS296" si="693">IF(AT278&lt;&gt;"","X","")</f>
        <v/>
      </c>
      <c r="AT278" s="625" t="str">
        <f t="shared" ref="AT278:AT296" si="694">IF(AND($AL$3=2,AR278="",AB278&lt;&gt;""),AD278,"")</f>
        <v/>
      </c>
      <c r="AU278" s="638" t="e">
        <f t="shared" ref="AU278:AU296" si="695">IF(AT278=$AS$21,AB278,"")</f>
        <v>#N/A</v>
      </c>
      <c r="AV278" s="625" t="e">
        <f t="shared" ref="AV278:AV296" si="696">IF(OR(AB278="",AND(AT278&lt;&gt;"",AU278&lt;&gt;"")),"",$V$10)</f>
        <v>#N/A</v>
      </c>
      <c r="AX278" s="625">
        <f>IF(AND('General price list'!$J278="F4",'General price list'!$AB278+0&gt;0),1,0)</f>
        <v>0</v>
      </c>
      <c r="AY278" s="625">
        <f t="shared" ref="AY278:AY296" si="697">IFERROR(FIND(VLOOKUP($AC$7,$AD$1:$AE$12,2,FALSE),Q278,1),0)</f>
        <v>1</v>
      </c>
      <c r="AZ278" s="625">
        <f t="shared" ref="AZ278:AZ296" si="698">IFERROR(FIND(VLOOKUP($AC$7,$AD$1:$AE$12,2,FALSE),R278,1),0)</f>
        <v>0</v>
      </c>
    </row>
    <row r="279" spans="1:52" ht="15" customHeight="1">
      <c r="A279" s="639" t="str">
        <f>Kat.!C279</f>
        <v/>
      </c>
      <c r="B279" s="640">
        <f>IF(AND('General price list'!$J279="F4",$AI$1=FALSE),0,IF(AC279="SKLADEM",1,IF(AC279=$V$3,1,0)))</f>
        <v>0</v>
      </c>
      <c r="C279" s="641" t="s">
        <v>2247</v>
      </c>
      <c r="D279" s="642" t="s">
        <v>2248</v>
      </c>
      <c r="E279" s="643" t="s">
        <v>12689</v>
      </c>
      <c r="F279" s="771">
        <f>IFERROR(VLOOKUP(C279,[2]List1!$A:$D,3,FALSE),"NEUVEDENO!")</f>
        <v>220</v>
      </c>
      <c r="G279" s="768">
        <f t="shared" si="677"/>
        <v>220</v>
      </c>
      <c r="H279" s="765">
        <f t="shared" si="678"/>
        <v>9.3452782981398652</v>
      </c>
      <c r="I279" s="644">
        <f>IFERROR(VLOOKUP(C279,[2]List1!$A:$D,4,FALSE),"NEUVEDENO!")</f>
        <v>24</v>
      </c>
      <c r="J279" s="733" t="s">
        <v>39</v>
      </c>
      <c r="K279" s="645" t="s">
        <v>20</v>
      </c>
      <c r="L279" s="645" t="s">
        <v>15085</v>
      </c>
      <c r="M279" s="645" t="s">
        <v>21</v>
      </c>
      <c r="N279" s="645">
        <f>IFERROR(VLOOKUP(C279,[3]List1!$A:$D,4,FALSE),"N/A!")</f>
        <v>7.6949999999999991E-2</v>
      </c>
      <c r="O279" s="645">
        <f>IFERROR(VLOOKUP(C279,[3]List1!$A:$D,3,FALSE),"N/A!")</f>
        <v>2592</v>
      </c>
      <c r="P279" s="645">
        <f>IFERROR(VLOOKUP(C279,[3]List1!$A:$D,2,FALSE),"N/A!")</f>
        <v>15500</v>
      </c>
      <c r="Q279" s="645" t="s">
        <v>11277</v>
      </c>
      <c r="R279" s="645"/>
      <c r="S279" s="645"/>
      <c r="T279" s="645"/>
      <c r="U279" s="645"/>
      <c r="V279" s="645"/>
      <c r="W279" s="645" t="str">
        <f>IFERROR(IF(AND($AB279&gt;=0.1*$AA279,MOD($AB279,$AA279)&gt;=($AA279-(0.1*$AA279))),IF($W$17=$AF$1,"Zvažte možnost doobjednání ještě "&amp;Tabulka1[[#This Row],[VKPAL]]-MOD(AB279,AA279)&amp;" VK do plné palety.",VLOOKUP("Zvažte možnost doobjednání ještě ",Jazyky_ceník!A:Q,MATCH($W$17,Jazyky_ceník!$A$1:$Q$1,0),FALSE)&amp;Tabulka1[[#This Row],[VKPAL]]-MOD(AB279,AA279)&amp;VLOOKUP(" VK do plné palety.",Jazyky_ceník!A:Q,MATCH($W$17,Jazyky_ceník!$A$1:$Q$1,0),FALSE)),IFERROR(IF(AND(NOT(MOD($AB279,$AA279)=0),$AB279&gt;=0.9*$AA279,MOD($AB279,$AA279)&lt;=0.1*$AA279),IF($W$17=$AF$1,"Zvažte možnost optimalizace objednaného množství podle počtu VK na paletě ==&gt;",VLOOKUP("Zvažte možnost optimalizace objednaného množství podle počtu VK na paletě ==&gt;",Jazyky_ceník!A:Q,MATCH($W$17,Jazyky_ceník!$A$1:$Q$1,0),FALSE)),VLOOKUP('General price list'!$C279,Popisy!A:M,MATCH($W$17,Popisy!$A$7:$M$7,0),FALSE)),"---------------")),IFERROR(VLOOKUP('General price list'!$C279,Popisy!A:M,MATCH($W$17,Popisy!$A$7:$M$7,0),FALSE),"---------------"))</f>
        <v>72cm výška,barevné světice</v>
      </c>
      <c r="X279" s="645" t="str">
        <f t="shared" si="679"/>
        <v/>
      </c>
      <c r="Y279" s="645" t="str">
        <f t="shared" si="680"/>
        <v/>
      </c>
      <c r="Z279" s="645" t="str">
        <f>HYPERLINK("https://www.klasekpyrotechnics.cz/r12t3")</f>
        <v>https://www.klasekpyrotechnics.cz/r12t3</v>
      </c>
      <c r="AA279" s="645" t="str">
        <f>IFERROR(IF(VLOOKUP(C279,[4]List1!$A:$D,4,FALSE)=0,"",VLOOKUP(C279,[4]List1!$A:$D,4,FALSE)),"")</f>
        <v>18</v>
      </c>
      <c r="AB279" s="646"/>
      <c r="AC279" s="647" t="str">
        <f>IFERROR(IF(VLOOKUP(C279,[1]List1!$A:$D,2,FALSE)="VYPRODÁNO",$V$9,IF(VLOOKUP(C279,[1]List1!$A:$D,2,FALSE)="DOCHÁZÍ",$V$3,VLOOKUP(C279,[1]List1!$A:$D,2,FALSE))),"OFFLINE!")</f>
        <v>31.07.2026</v>
      </c>
      <c r="AD279" s="647" t="str">
        <f ca="1">IF(AP279="NE",$V$10,IF(AC279=$V$3,IF(AQ279&lt;1,$V$8,$V$2&amp;" "&amp;AQ279&amp;" "&amp;$V$1),IF(AC279="SKLADEM",$V$6,IFERROR(IF(OR(AC279-TODAY()&gt;45,VLOOKUP(C279,[1]List1!$A:$E,4,FALSE)=0),AC279,DAY(AC279)&amp;"."&amp;MONTH(AC279)&amp;"."&amp;YEAR(AC279)&amp;" "&amp;$V$4&amp;VLOOKUP(C279,[1]List1!$A:$E,4,FALSE)&amp;" "&amp;$V$1),AC279))))</f>
        <v>31.07.2026</v>
      </c>
      <c r="AE279" s="645" t="str">
        <f t="shared" ca="1" si="681"/>
        <v>31.07.2026</v>
      </c>
      <c r="AF279" s="648">
        <f t="shared" si="682"/>
        <v>0</v>
      </c>
      <c r="AG279" s="649">
        <f t="shared" si="683"/>
        <v>0</v>
      </c>
      <c r="AH279" s="650">
        <f t="shared" si="684"/>
        <v>0</v>
      </c>
      <c r="AI279" s="645">
        <f t="shared" si="685"/>
        <v>0</v>
      </c>
      <c r="AJ279" s="645">
        <f t="shared" si="686"/>
        <v>0</v>
      </c>
      <c r="AK279" s="645" t="str">
        <f t="shared" si="687"/>
        <v/>
      </c>
      <c r="AL279" s="645" t="str">
        <f t="shared" si="688"/>
        <v/>
      </c>
      <c r="AM279" s="645">
        <f t="shared" si="689"/>
        <v>0</v>
      </c>
      <c r="AN279" s="651">
        <f t="shared" si="690"/>
        <v>0</v>
      </c>
      <c r="AO279" s="623"/>
      <c r="AP279" s="632" t="str">
        <f t="shared" si="691"/>
        <v/>
      </c>
      <c r="AQ279" s="633" t="str">
        <f>IF(AC279=$V$3,IF(VLOOKUP(C279,[1]List1!$A:$E,5,FALSE)=0,1,VLOOKUP(C279,[1]List1!$A:$E,5,FALSE)),"")</f>
        <v/>
      </c>
      <c r="AR279" s="625" t="str">
        <f t="shared" si="692"/>
        <v/>
      </c>
      <c r="AS279" s="634" t="str">
        <f t="shared" si="693"/>
        <v/>
      </c>
      <c r="AT279" s="625" t="str">
        <f t="shared" si="694"/>
        <v/>
      </c>
      <c r="AU279" s="638" t="e">
        <f t="shared" si="695"/>
        <v>#N/A</v>
      </c>
      <c r="AV279" s="625" t="e">
        <f t="shared" si="696"/>
        <v>#N/A</v>
      </c>
      <c r="AX279" s="625">
        <f>IF(AND('General price list'!$J279="F4",'General price list'!$AB279+0&gt;0),1,0)</f>
        <v>0</v>
      </c>
      <c r="AY279" s="625">
        <f t="shared" si="697"/>
        <v>1</v>
      </c>
      <c r="AZ279" s="625">
        <f t="shared" si="698"/>
        <v>0</v>
      </c>
    </row>
    <row r="280" spans="1:52" ht="15" customHeight="1">
      <c r="A280" s="621" t="str">
        <f>Kat.!C280</f>
        <v/>
      </c>
      <c r="B280" s="566">
        <f>IF(AND('General price list'!$J280="F4",$AI$1=FALSE),0,IF(AC280="SKLADEM",1,IF(AC280=$V$3,1,0)))</f>
        <v>0</v>
      </c>
      <c r="C280" s="567" t="s">
        <v>9052</v>
      </c>
      <c r="D280" s="568" t="s">
        <v>11713</v>
      </c>
      <c r="E280" s="763" t="s">
        <v>12682</v>
      </c>
      <c r="F280" s="791">
        <f>IFERROR(VLOOKUP(C280,[2]List1!$A:$D,3,FALSE),"NEUVEDENO!")</f>
        <v>590</v>
      </c>
      <c r="G280" s="769">
        <f t="shared" si="677"/>
        <v>590</v>
      </c>
      <c r="H280" s="766">
        <f t="shared" si="678"/>
        <v>25.062337254102363</v>
      </c>
      <c r="I280" s="764">
        <f>IFERROR(VLOOKUP(C280,[2]List1!$A:$D,4,FALSE),"NEUVEDENO!")</f>
        <v>20</v>
      </c>
      <c r="J280" s="732" t="s">
        <v>39</v>
      </c>
      <c r="K280" s="569" t="s">
        <v>11100</v>
      </c>
      <c r="L280" s="569" t="s">
        <v>15086</v>
      </c>
      <c r="M280" s="569" t="s">
        <v>114</v>
      </c>
      <c r="N280" s="569">
        <f>IFERROR(VLOOKUP(C280,[3]List1!$A:$D,4,FALSE),"N/A!")</f>
        <v>3.5775999999999995E-2</v>
      </c>
      <c r="O280" s="569">
        <f>IFERROR(VLOOKUP(C280,[3]List1!$A:$D,3,FALSE),"N/A!")</f>
        <v>960</v>
      </c>
      <c r="P280" s="569">
        <f>IFERROR(VLOOKUP(C280,[3]List1!$A:$D,2,FALSE),"N/A!")</f>
        <v>5300</v>
      </c>
      <c r="Q280" s="569" t="s">
        <v>11278</v>
      </c>
      <c r="R280" s="569" t="s">
        <v>20</v>
      </c>
      <c r="S280" s="569"/>
      <c r="T280" s="569"/>
      <c r="U280" s="569"/>
      <c r="V280" s="569"/>
      <c r="W280" s="569" t="str">
        <f>IFERROR(IF(AND($AB280&gt;=0.1*$AA280,MOD($AB280,$AA280)&gt;=($AA280-(0.1*$AA280))),IF($W$17=$AF$1,"Zvažte možnost doobjednání ještě "&amp;Tabulka1[[#This Row],[VKPAL]]-MOD(AB280,AA280)&amp;" VK do plné palety.",VLOOKUP("Zvažte možnost doobjednání ještě ",Jazyky_ceník!A:Q,MATCH($W$17,Jazyky_ceník!$A$1:$Q$1,0),FALSE)&amp;Tabulka1[[#This Row],[VKPAL]]-MOD(AB280,AA280)&amp;VLOOKUP(" VK do plné palety.",Jazyky_ceník!A:Q,MATCH($W$17,Jazyky_ceník!$A$1:$Q$1,0),FALSE)),IFERROR(IF(AND(NOT(MOD($AB280,$AA280)=0),$AB280&gt;=0.9*$AA280,MOD($AB280,$AA280)&lt;=0.1*$AA280),IF($W$17=$AF$1,"Zvažte možnost optimalizace objednaného množství podle počtu VK na paletě ==&gt;",VLOOKUP("Zvažte možnost optimalizace objednaného množství podle počtu VK na paletě ==&gt;",Jazyky_ceník!A:Q,MATCH($W$17,Jazyky_ceník!$A$1:$Q$1,0),FALSE)),VLOOKUP('General price list'!$C280,Popisy!A:M,MATCH($W$17,Popisy!$A$7:$M$7,0),FALSE)),"---------------")),IFERROR(VLOOKUP('General price list'!$C280,Popisy!A:M,MATCH($W$17,Popisy!$A$7:$M$7,0),FALSE),"---------------"))</f>
        <v>pískající raketa s explozí- vyrobeno v Evropě</v>
      </c>
      <c r="X280" s="569" t="str">
        <f t="shared" si="679"/>
        <v/>
      </c>
      <c r="Y280" s="569" t="str">
        <f t="shared" si="680"/>
        <v/>
      </c>
      <c r="Z280" s="569" t="str">
        <f>HYPERLINK("https://www.klasekpyrotechnics.cz/rsd6")</f>
        <v>https://www.klasekpyrotechnics.cz/rsd6</v>
      </c>
      <c r="AA280" s="569" t="str">
        <f>IFERROR(IF(VLOOKUP(C280,[4]List1!$A:$D,4,FALSE)=0,"",VLOOKUP(C280,[4]List1!$A:$D,4,FALSE)),"")</f>
        <v>30</v>
      </c>
      <c r="AB280" s="565"/>
      <c r="AC280" s="570" t="str">
        <f>IFERROR(IF(VLOOKUP(C280,[1]List1!$A:$D,2,FALSE)="VYPRODÁNO",$V$9,IF(VLOOKUP(C280,[1]List1!$A:$D,2,FALSE)="DOCHÁZÍ",$V$3,VLOOKUP(C280,[1]List1!$A:$D,2,FALSE))),"OFFLINE!")</f>
        <v>VYPRODÁNO</v>
      </c>
      <c r="AD280" s="570" t="str">
        <f ca="1">IF(AP280="NE",$V$10,IF(AC280=$V$3,IF(AQ280&lt;1,$V$8,$V$2&amp;" "&amp;AQ280&amp;" "&amp;$V$1),IF(AC280="SKLADEM",$V$6,IFERROR(IF(OR(AC280-TODAY()&gt;45,VLOOKUP(C280,[1]List1!$A:$E,4,FALSE)=0),AC280,DAY(AC280)&amp;"."&amp;MONTH(AC280)&amp;"."&amp;YEAR(AC280)&amp;" "&amp;$V$4&amp;VLOOKUP(C280,[1]List1!$A:$E,4,FALSE)&amp;" "&amp;$V$1),AC280))))</f>
        <v>VYPRODÁNO</v>
      </c>
      <c r="AE280" s="581" t="str">
        <f t="shared" ca="1" si="681"/>
        <v>VYPRODÁNO</v>
      </c>
      <c r="AF280" s="584">
        <f t="shared" si="682"/>
        <v>0</v>
      </c>
      <c r="AG280" s="585">
        <f t="shared" si="683"/>
        <v>0</v>
      </c>
      <c r="AH280" s="583">
        <f t="shared" si="684"/>
        <v>0</v>
      </c>
      <c r="AI280" s="582">
        <f t="shared" si="685"/>
        <v>0</v>
      </c>
      <c r="AJ280" s="569">
        <f t="shared" si="686"/>
        <v>0</v>
      </c>
      <c r="AK280" s="569" t="str">
        <f t="shared" si="687"/>
        <v/>
      </c>
      <c r="AL280" s="569">
        <f t="shared" si="688"/>
        <v>0</v>
      </c>
      <c r="AM280" s="569" t="str">
        <f t="shared" si="689"/>
        <v/>
      </c>
      <c r="AN280" s="581">
        <f t="shared" si="690"/>
        <v>0</v>
      </c>
      <c r="AO280" s="623"/>
      <c r="AP280" s="632" t="str">
        <f t="shared" si="691"/>
        <v/>
      </c>
      <c r="AQ280" s="633" t="str">
        <f>IF(AC280=$V$3,IF(VLOOKUP(C280,[1]List1!$A:$E,5,FALSE)=0,1,VLOOKUP(C280,[1]List1!$A:$E,5,FALSE)),"")</f>
        <v/>
      </c>
      <c r="AR280" s="625" t="str">
        <f t="shared" si="692"/>
        <v/>
      </c>
      <c r="AS280" s="634" t="str">
        <f t="shared" si="693"/>
        <v/>
      </c>
      <c r="AT280" s="625" t="str">
        <f t="shared" si="694"/>
        <v/>
      </c>
      <c r="AU280" s="638" t="e">
        <f t="shared" si="695"/>
        <v>#N/A</v>
      </c>
      <c r="AV280" s="625" t="e">
        <f t="shared" si="696"/>
        <v>#N/A</v>
      </c>
      <c r="AX280" s="625">
        <f>IF(AND('General price list'!$J280="F4",'General price list'!$AB280+0&gt;0),1,0)</f>
        <v>0</v>
      </c>
      <c r="AY280" s="625">
        <f t="shared" si="697"/>
        <v>1</v>
      </c>
      <c r="AZ280" s="625">
        <f t="shared" si="698"/>
        <v>0</v>
      </c>
    </row>
    <row r="281" spans="1:52" ht="15" customHeight="1">
      <c r="A281" s="639" t="str">
        <f>Kat.!C281</f>
        <v/>
      </c>
      <c r="B281" s="640">
        <f>IF(AND('General price list'!$J281="F4",$AI$1=FALSE),0,IF(AC281="SKLADEM",1,IF(AC281=$V$3,1,0)))</f>
        <v>1</v>
      </c>
      <c r="C281" s="641" t="s">
        <v>732</v>
      </c>
      <c r="D281" s="642" t="s">
        <v>11203</v>
      </c>
      <c r="E281" s="643" t="s">
        <v>12728</v>
      </c>
      <c r="F281" s="771">
        <f>IFERROR(VLOOKUP(C281,[2]List1!$A:$D,3,FALSE),"NEUVEDENO!")</f>
        <v>262</v>
      </c>
      <c r="G281" s="768">
        <f t="shared" si="677"/>
        <v>262</v>
      </c>
      <c r="H281" s="765">
        <f t="shared" si="678"/>
        <v>11.129376882330202</v>
      </c>
      <c r="I281" s="644">
        <f>IFERROR(VLOOKUP(C281,[2]List1!$A:$D,4,FALSE),"NEUVEDENO!")</f>
        <v>18</v>
      </c>
      <c r="J281" s="733" t="s">
        <v>39</v>
      </c>
      <c r="K281" s="645" t="s">
        <v>20</v>
      </c>
      <c r="L281" s="645" t="s">
        <v>15084</v>
      </c>
      <c r="M281" s="645" t="s">
        <v>21</v>
      </c>
      <c r="N281" s="645">
        <f>IFERROR(VLOOKUP(C281,[3]List1!$A:$D,4,FALSE),"N/A!")</f>
        <v>6.6599999999999993E-2</v>
      </c>
      <c r="O281" s="645">
        <f>IFERROR(VLOOKUP(C281,[3]List1!$A:$D,3,FALSE),"N/A!")</f>
        <v>2160</v>
      </c>
      <c r="P281" s="645">
        <f>IFERROR(VLOOKUP(C281,[3]List1!$A:$D,2,FALSE),"N/A!")</f>
        <v>10500</v>
      </c>
      <c r="Q281" s="645" t="s">
        <v>12087</v>
      </c>
      <c r="R281" s="645"/>
      <c r="S281" s="645"/>
      <c r="T281" s="645"/>
      <c r="U281" s="645"/>
      <c r="V281" s="645"/>
      <c r="W281" s="645" t="str">
        <f>IFERROR(IF(AND($AB281&gt;=0.1*$AA281,MOD($AB281,$AA281)&gt;=($AA281-(0.1*$AA281))),IF($W$17=$AF$1,"Zvažte možnost doobjednání ještě "&amp;Tabulka1[[#This Row],[VKPAL]]-MOD(AB281,AA281)&amp;" VK do plné palety.",VLOOKUP("Zvažte možnost doobjednání ještě ",Jazyky_ceník!A:Q,MATCH($W$17,Jazyky_ceník!$A$1:$Q$1,0),FALSE)&amp;Tabulka1[[#This Row],[VKPAL]]-MOD(AB281,AA281)&amp;VLOOKUP(" VK do plné palety.",Jazyky_ceník!A:Q,MATCH($W$17,Jazyky_ceník!$A$1:$Q$1,0),FALSE)),IFERROR(IF(AND(NOT(MOD($AB281,$AA281)=0),$AB281&gt;=0.9*$AA281,MOD($AB281,$AA281)&lt;=0.1*$AA281),IF($W$17=$AF$1,"Zvažte možnost optimalizace objednaného množství podle počtu VK na paletě ==&gt;",VLOOKUP("Zvažte možnost optimalizace objednaného množství podle počtu VK na paletě ==&gt;",Jazyky_ceník!A:Q,MATCH($W$17,Jazyky_ceník!$A$1:$Q$1,0),FALSE)),VLOOKUP('General price list'!$C281,Popisy!A:M,MATCH($W$17,Popisy!$A$7:$M$7,0),FALSE)),"---------------")),IFERROR(VLOOKUP('General price list'!$C281,Popisy!A:M,MATCH($W$17,Popisy!$A$7:$M$7,0),FALSE),"---------------"))</f>
        <v>velká pískající raketa s explozí a práskajícími hvězdami</v>
      </c>
      <c r="X281" s="645" t="str">
        <f t="shared" si="679"/>
        <v/>
      </c>
      <c r="Y281" s="645" t="str">
        <f t="shared" si="680"/>
        <v/>
      </c>
      <c r="Z281" s="645" t="str">
        <f>HYPERLINK("https://www.klasekpyrotechnics.cz/rs6xs")</f>
        <v>https://www.klasekpyrotechnics.cz/rs6xs</v>
      </c>
      <c r="AA281" s="645">
        <f>IFERROR(IF(VLOOKUP(C281,[4]List1!$A:$D,4,FALSE)=0,"",VLOOKUP(C281,[4]List1!$A:$D,4,FALSE)),"")</f>
        <v>27</v>
      </c>
      <c r="AB281" s="646"/>
      <c r="AC281" s="647" t="str">
        <f>IFERROR(IF(VLOOKUP(C281,[1]List1!$A:$D,2,FALSE)="VYPRODÁNO",$V$9,IF(VLOOKUP(C281,[1]List1!$A:$D,2,FALSE)="DOCHÁZÍ",$V$3,VLOOKUP(C281,[1]List1!$A:$D,2,FALSE))),"OFFLINE!")</f>
        <v>SKLADEM</v>
      </c>
      <c r="AD281" s="647" t="str">
        <f ca="1">IF(AP281="NE",$V$10,IF(AC281=$V$3,IF(AQ281&lt;1,$V$8,$V$2&amp;" "&amp;AQ281&amp;" "&amp;$V$1),IF(AC281="SKLADEM",$V$6,IFERROR(IF(OR(AC281-TODAY()&gt;45,VLOOKUP(C281,[1]List1!$A:$E,4,FALSE)=0),AC281,DAY(AC281)&amp;"."&amp;MONTH(AC281)&amp;"."&amp;YEAR(AC281)&amp;" "&amp;$V$4&amp;VLOOKUP(C281,[1]List1!$A:$E,4,FALSE)&amp;" "&amp;$V$1),AC281))))</f>
        <v>SKLADEM</v>
      </c>
      <c r="AE281" s="645" t="str">
        <f t="shared" ca="1" si="681"/>
        <v>SKLADEM</v>
      </c>
      <c r="AF281" s="648">
        <f t="shared" si="682"/>
        <v>0</v>
      </c>
      <c r="AG281" s="649">
        <f t="shared" si="683"/>
        <v>0</v>
      </c>
      <c r="AH281" s="650">
        <f t="shared" si="684"/>
        <v>0</v>
      </c>
      <c r="AI281" s="645">
        <f t="shared" si="685"/>
        <v>0</v>
      </c>
      <c r="AJ281" s="645">
        <f t="shared" si="686"/>
        <v>0</v>
      </c>
      <c r="AK281" s="645" t="str">
        <f t="shared" si="687"/>
        <v/>
      </c>
      <c r="AL281" s="645" t="str">
        <f t="shared" si="688"/>
        <v/>
      </c>
      <c r="AM281" s="645">
        <f t="shared" si="689"/>
        <v>0</v>
      </c>
      <c r="AN281" s="651">
        <f t="shared" si="690"/>
        <v>0</v>
      </c>
      <c r="AO281" s="623"/>
      <c r="AP281" s="632" t="str">
        <f t="shared" si="691"/>
        <v/>
      </c>
      <c r="AQ281" s="633" t="str">
        <f>IF(AC281=$V$3,IF(VLOOKUP(C281,[1]List1!$A:$E,5,FALSE)=0,1,VLOOKUP(C281,[1]List1!$A:$E,5,FALSE)),"")</f>
        <v/>
      </c>
      <c r="AR281" s="625" t="str">
        <f t="shared" si="692"/>
        <v/>
      </c>
      <c r="AS281" s="634" t="str">
        <f t="shared" si="693"/>
        <v/>
      </c>
      <c r="AT281" s="625" t="str">
        <f t="shared" si="694"/>
        <v/>
      </c>
      <c r="AU281" s="638" t="e">
        <f t="shared" si="695"/>
        <v>#N/A</v>
      </c>
      <c r="AV281" s="625" t="e">
        <f t="shared" si="696"/>
        <v>#N/A</v>
      </c>
      <c r="AX281" s="625">
        <f>IF(AND('General price list'!$J281="F4",'General price list'!$AB281+0&gt;0),1,0)</f>
        <v>0</v>
      </c>
      <c r="AY281" s="625">
        <f t="shared" si="697"/>
        <v>1</v>
      </c>
      <c r="AZ281" s="625">
        <f t="shared" si="698"/>
        <v>0</v>
      </c>
    </row>
    <row r="282" spans="1:52" ht="15.75" customHeight="1">
      <c r="A282" s="621" t="str">
        <f>Kat.!C282</f>
        <v/>
      </c>
      <c r="B282" s="566">
        <f>IF(AND('General price list'!$J282="F4",$AI$1=FALSE),0,IF(AC282="SKLADEM",1,IF(AC282=$V$3,1,0)))</f>
        <v>1</v>
      </c>
      <c r="C282" s="567" t="s">
        <v>2249</v>
      </c>
      <c r="D282" s="568" t="s">
        <v>11714</v>
      </c>
      <c r="E282" s="763" t="s">
        <v>12668</v>
      </c>
      <c r="F282" s="772">
        <f>IFERROR(VLOOKUP(C282,[2]List1!$A:$D,3,FALSE),"NEUVEDENO!")</f>
        <v>207</v>
      </c>
      <c r="G282" s="769">
        <f t="shared" si="677"/>
        <v>207</v>
      </c>
      <c r="H282" s="766">
        <f t="shared" si="678"/>
        <v>8.7930573077952374</v>
      </c>
      <c r="I282" s="764">
        <f>IFERROR(VLOOKUP(C282,[2]List1!$A:$D,4,FALSE),"NEUVEDENO!")</f>
        <v>20</v>
      </c>
      <c r="J282" s="732" t="s">
        <v>39</v>
      </c>
      <c r="K282" s="569" t="s">
        <v>20</v>
      </c>
      <c r="L282" s="569" t="s">
        <v>10983</v>
      </c>
      <c r="M282" s="569" t="s">
        <v>114</v>
      </c>
      <c r="N282" s="569">
        <f>IFERROR(VLOOKUP(C282,[3]List1!$A:$D,4,FALSE),"N/A!")</f>
        <v>5.9941999999999995E-2</v>
      </c>
      <c r="O282" s="569">
        <f>IFERROR(VLOOKUP(C282,[3]List1!$A:$D,3,FALSE),"N/A!")</f>
        <v>2000</v>
      </c>
      <c r="P282" s="569">
        <f>IFERROR(VLOOKUP(C282,[3]List1!$A:$D,2,FALSE),"N/A!")</f>
        <v>10600</v>
      </c>
      <c r="Q282" s="569" t="s">
        <v>11279</v>
      </c>
      <c r="R282" s="569"/>
      <c r="S282" s="569"/>
      <c r="T282" s="569"/>
      <c r="U282" s="569"/>
      <c r="V282" s="569"/>
      <c r="W282" s="569" t="str">
        <f>IFERROR(IF(AND($AB282&gt;=0.1*$AA282,MOD($AB282,$AA282)&gt;=($AA282-(0.1*$AA282))),IF($W$17=$AF$1,"Zvažte možnost doobjednání ještě "&amp;Tabulka1[[#This Row],[VKPAL]]-MOD(AB282,AA282)&amp;" VK do plné palety.",VLOOKUP("Zvažte možnost doobjednání ještě ",Jazyky_ceník!A:Q,MATCH($W$17,Jazyky_ceník!$A$1:$Q$1,0),FALSE)&amp;Tabulka1[[#This Row],[VKPAL]]-MOD(AB282,AA282)&amp;VLOOKUP(" VK do plné palety.",Jazyky_ceník!A:Q,MATCH($W$17,Jazyky_ceník!$A$1:$Q$1,0),FALSE)),IFERROR(IF(AND(NOT(MOD($AB282,$AA282)=0),$AB282&gt;=0.9*$AA282,MOD($AB282,$AA282)&lt;=0.1*$AA282),IF($W$17=$AF$1,"Zvažte možnost optimalizace objednaného množství podle počtu VK na paletě ==&gt;",VLOOKUP("Zvažte možnost optimalizace objednaného množství podle počtu VK na paletě ==&gt;",Jazyky_ceník!A:Q,MATCH($W$17,Jazyky_ceník!$A$1:$Q$1,0),FALSE)),VLOOKUP('General price list'!$C282,Popisy!A:M,MATCH($W$17,Popisy!$A$7:$M$7,0),FALSE)),"---------------")),IFERROR(VLOOKUP('General price list'!$C282,Popisy!A:M,MATCH($W$17,Popisy!$A$7:$M$7,0),FALSE),"---------------"))</f>
        <v>stříbrná stopa s titanovou detonací a práskajícími hvězdami(2g zábleskové slože)</v>
      </c>
      <c r="X282" s="569" t="str">
        <f t="shared" si="679"/>
        <v/>
      </c>
      <c r="Y282" s="569" t="str">
        <f t="shared" si="680"/>
        <v/>
      </c>
      <c r="Z282" s="569" t="str">
        <f>HYPERLINK("https://www.klasekpyrotechnics.cz/rs5du")</f>
        <v>https://www.klasekpyrotechnics.cz/rs5du</v>
      </c>
      <c r="AA282" s="569">
        <f>IFERROR(IF(VLOOKUP(C282,[4]List1!$A:$D,4,FALSE)=0,"",VLOOKUP(C282,[4]List1!$A:$D,4,FALSE)),"")</f>
        <v>22</v>
      </c>
      <c r="AB282" s="565"/>
      <c r="AC282" s="570" t="str">
        <f>IFERROR(IF(VLOOKUP(C282,[1]List1!$A:$D,2,FALSE)="VYPRODÁNO",$V$9,IF(VLOOKUP(C282,[1]List1!$A:$D,2,FALSE)="DOCHÁZÍ",$V$3,VLOOKUP(C282,[1]List1!$A:$D,2,FALSE))),"OFFLINE!")</f>
        <v>DOCHÁZÍ</v>
      </c>
      <c r="AD282" s="570" t="str">
        <f ca="1">IF(AP282="NE",$V$10,IF(AC282=$V$3,IF(AQ282&lt;1,$V$8,$V$2&amp;" "&amp;AQ282&amp;" "&amp;$V$1),IF(AC282="SKLADEM",$V$6,IFERROR(IF(OR(AC282-TODAY()&gt;45,VLOOKUP(C282,[1]List1!$A:$E,4,FALSE)=0),AC282,DAY(AC282)&amp;"."&amp;MONTH(AC282)&amp;"."&amp;YEAR(AC282)&amp;" "&amp;$V$4&amp;VLOOKUP(C282,[1]List1!$A:$E,4,FALSE)&amp;" "&amp;$V$1),AC282))))</f>
        <v>POSLEDNÍCH 35 VK</v>
      </c>
      <c r="AE282" s="581" t="str">
        <f t="shared" ca="1" si="681"/>
        <v>POSLEDNÍCH 35 VK</v>
      </c>
      <c r="AF282" s="584">
        <f t="shared" si="682"/>
        <v>0</v>
      </c>
      <c r="AG282" s="585">
        <f t="shared" si="683"/>
        <v>0</v>
      </c>
      <c r="AH282" s="583">
        <f t="shared" si="684"/>
        <v>0</v>
      </c>
      <c r="AI282" s="582">
        <f t="shared" si="685"/>
        <v>0</v>
      </c>
      <c r="AJ282" s="569">
        <f t="shared" si="686"/>
        <v>0</v>
      </c>
      <c r="AK282" s="569" t="str">
        <f t="shared" si="687"/>
        <v/>
      </c>
      <c r="AL282" s="569">
        <f t="shared" si="688"/>
        <v>0</v>
      </c>
      <c r="AM282" s="569" t="str">
        <f t="shared" si="689"/>
        <v/>
      </c>
      <c r="AN282" s="581">
        <f t="shared" si="690"/>
        <v>0</v>
      </c>
      <c r="AO282" s="623"/>
      <c r="AP282" s="625" t="str">
        <f t="shared" si="691"/>
        <v/>
      </c>
      <c r="AQ282" s="625">
        <f>IF(AC282=$V$3,IF(VLOOKUP(C282,[1]List1!$A:$E,5,FALSE)=0,1,VLOOKUP(C282,[1]List1!$A:$E,5,FALSE)),"")</f>
        <v>35</v>
      </c>
      <c r="AR282" s="629" t="str">
        <f t="shared" si="692"/>
        <v/>
      </c>
      <c r="AS282" s="630" t="str">
        <f t="shared" si="693"/>
        <v/>
      </c>
      <c r="AT282" s="625" t="str">
        <f t="shared" si="694"/>
        <v/>
      </c>
      <c r="AU282" s="625" t="e">
        <f t="shared" si="695"/>
        <v>#N/A</v>
      </c>
      <c r="AV282" s="625" t="e">
        <f t="shared" si="696"/>
        <v>#N/A</v>
      </c>
      <c r="AW282" s="631"/>
      <c r="AX282" s="631">
        <f>IF(AND('General price list'!$J282="F4",'General price list'!$AB282+0&gt;0),1,0)</f>
        <v>0</v>
      </c>
      <c r="AY282" s="631">
        <f t="shared" si="697"/>
        <v>1</v>
      </c>
      <c r="AZ282" s="631">
        <f t="shared" si="698"/>
        <v>0</v>
      </c>
    </row>
    <row r="283" spans="1:52" ht="15" customHeight="1">
      <c r="A283" s="639" t="str">
        <f>Kat.!C283</f>
        <v/>
      </c>
      <c r="B283" s="640">
        <f>IF(AND('General price list'!$J283="F4",$AI$1=FALSE),0,IF(AC283="SKLADEM",1,IF(AC283=$V$3,1,0)))</f>
        <v>1</v>
      </c>
      <c r="C283" s="641" t="s">
        <v>12450</v>
      </c>
      <c r="D283" s="642" t="s">
        <v>11873</v>
      </c>
      <c r="E283" s="643" t="s">
        <v>12682</v>
      </c>
      <c r="F283" s="791">
        <f>IFERROR(VLOOKUP(C283,[2]List1!$A:$D,3,FALSE),"NEUVEDENO!")</f>
        <v>341</v>
      </c>
      <c r="G283" s="768">
        <f t="shared" si="677"/>
        <v>341</v>
      </c>
      <c r="H283" s="765">
        <f t="shared" si="678"/>
        <v>14.485181362116791</v>
      </c>
      <c r="I283" s="644">
        <f>IFERROR(VLOOKUP(C283,[2]List1!$A:$D,4,FALSE),"NEUVEDENO!")</f>
        <v>20</v>
      </c>
      <c r="J283" s="733" t="s">
        <v>39</v>
      </c>
      <c r="K283" s="645" t="s">
        <v>13032</v>
      </c>
      <c r="L283" s="645"/>
      <c r="M283" s="645" t="s">
        <v>114</v>
      </c>
      <c r="N283" s="645">
        <f>IFERROR(VLOOKUP(C283,[3]List1!$A:$D,4,FALSE),"N/A!")</f>
        <v>7.2231749999999997E-2</v>
      </c>
      <c r="O283" s="645">
        <f>IFERROR(VLOOKUP(C283,[3]List1!$A:$D,3,FALSE),"N/A!")</f>
        <v>2760</v>
      </c>
      <c r="P283" s="645">
        <f>IFERROR(VLOOKUP(C283,[3]List1!$A:$D,2,FALSE),"N/A!")</f>
        <v>9000</v>
      </c>
      <c r="Q283" s="645" t="s">
        <v>11766</v>
      </c>
      <c r="R283" s="645"/>
      <c r="S283" s="645"/>
      <c r="T283" s="645"/>
      <c r="U283" s="645"/>
      <c r="V283" s="645"/>
      <c r="W283" s="645" t="str">
        <f>IFERROR(IF(AND($AB283&gt;=0.1*$AA283,MOD($AB283,$AA283)&gt;=($AA283-(0.1*$AA283))),IF($W$17=$AF$1,"Zvažte možnost doobjednání ještě "&amp;Tabulka1[[#This Row],[VKPAL]]-MOD(AB283,AA283)&amp;" VK do plné palety.",VLOOKUP("Zvažte možnost doobjednání ještě ",Jazyky_ceník!A:Q,MATCH($W$17,Jazyky_ceník!$A$1:$Q$1,0),FALSE)&amp;Tabulka1[[#This Row],[VKPAL]]-MOD(AB283,AA283)&amp;VLOOKUP(" VK do plné palety.",Jazyky_ceník!A:Q,MATCH($W$17,Jazyky_ceník!$A$1:$Q$1,0),FALSE)),IFERROR(IF(AND(NOT(MOD($AB283,$AA283)=0),$AB283&gt;=0.9*$AA283,MOD($AB283,$AA283)&lt;=0.1*$AA283),IF($W$17=$AF$1,"Zvažte možnost optimalizace objednaného množství podle počtu VK na paletě ==&gt;",VLOOKUP("Zvažte možnost optimalizace objednaného množství podle počtu VK na paletě ==&gt;",Jazyky_ceník!A:Q,MATCH($W$17,Jazyky_ceník!$A$1:$Q$1,0),FALSE)),VLOOKUP('General price list'!$C283,Popisy!A:M,MATCH($W$17,Popisy!$A$7:$M$7,0),FALSE)),"---------------")),IFERROR(VLOOKUP('General price list'!$C283,Popisy!A:M,MATCH($W$17,Popisy!$A$7:$M$7,0),FALSE),"---------------"))</f>
        <v>6 různobarevných efektu</v>
      </c>
      <c r="X283" s="645" t="str">
        <f t="shared" si="679"/>
        <v/>
      </c>
      <c r="Y283" s="645" t="str">
        <f t="shared" si="680"/>
        <v/>
      </c>
      <c r="Z283" s="645" t="str">
        <f>HYPERLINK("https://www.klasekpyrotechnics.cz/hf24733r")</f>
        <v>https://www.klasekpyrotechnics.cz/hf24733r</v>
      </c>
      <c r="AA283" s="645" t="str">
        <f>IFERROR(IF(VLOOKUP(C283,[4]List1!$A:$D,4,FALSE)=0,"",VLOOKUP(C283,[4]List1!$A:$D,4,FALSE)),"")</f>
        <v/>
      </c>
      <c r="AB283" s="646"/>
      <c r="AC283" s="647" t="str">
        <f>IFERROR(IF(VLOOKUP(C283,[1]List1!$A:$D,2,FALSE)="VYPRODÁNO",$V$9,IF(VLOOKUP(C283,[1]List1!$A:$D,2,FALSE)="DOCHÁZÍ",$V$3,VLOOKUP(C283,[1]List1!$A:$D,2,FALSE))),"OFFLINE!")</f>
        <v>SKLADEM</v>
      </c>
      <c r="AD283" s="647" t="str">
        <f ca="1">IF(AP283="NE",$V$10,IF(AC283=$V$3,IF(AQ283&lt;1,$V$8,$V$2&amp;" "&amp;AQ283&amp;" "&amp;$V$1),IF(AC283="SKLADEM",$V$6,IFERROR(IF(OR(AC283-TODAY()&gt;45,VLOOKUP(C283,[1]List1!$A:$E,4,FALSE)=0),AC283,DAY(AC283)&amp;"."&amp;MONTH(AC283)&amp;"."&amp;YEAR(AC283)&amp;" "&amp;$V$4&amp;VLOOKUP(C283,[1]List1!$A:$E,4,FALSE)&amp;" "&amp;$V$1),AC283))))</f>
        <v>SKLADEM</v>
      </c>
      <c r="AE283" s="645" t="str">
        <f t="shared" ca="1" si="681"/>
        <v>SKLADEM</v>
      </c>
      <c r="AF283" s="648">
        <f t="shared" si="682"/>
        <v>0</v>
      </c>
      <c r="AG283" s="649">
        <f t="shared" si="683"/>
        <v>0</v>
      </c>
      <c r="AH283" s="650">
        <f t="shared" si="684"/>
        <v>0</v>
      </c>
      <c r="AI283" s="645">
        <f t="shared" si="685"/>
        <v>0</v>
      </c>
      <c r="AJ283" s="645">
        <f t="shared" si="686"/>
        <v>0</v>
      </c>
      <c r="AK283" s="645" t="str">
        <f t="shared" si="687"/>
        <v/>
      </c>
      <c r="AL283" s="645">
        <f t="shared" si="688"/>
        <v>0</v>
      </c>
      <c r="AM283" s="645" t="str">
        <f t="shared" si="689"/>
        <v/>
      </c>
      <c r="AN283" s="651">
        <f t="shared" si="690"/>
        <v>0</v>
      </c>
      <c r="AO283" s="623"/>
      <c r="AP283" s="632" t="str">
        <f t="shared" si="691"/>
        <v/>
      </c>
      <c r="AQ283" s="633" t="str">
        <f>IF(AC283=$V$3,IF(VLOOKUP(C283,[1]List1!$A:$E,5,FALSE)=0,1,VLOOKUP(C283,[1]List1!$A:$E,5,FALSE)),"")</f>
        <v/>
      </c>
      <c r="AR283" s="625" t="str">
        <f t="shared" si="692"/>
        <v/>
      </c>
      <c r="AS283" s="634" t="str">
        <f t="shared" si="693"/>
        <v/>
      </c>
      <c r="AT283" s="625" t="str">
        <f t="shared" si="694"/>
        <v/>
      </c>
      <c r="AU283" s="638" t="e">
        <f t="shared" si="695"/>
        <v>#N/A</v>
      </c>
      <c r="AV283" s="625" t="e">
        <f t="shared" si="696"/>
        <v>#N/A</v>
      </c>
      <c r="AX283" s="625">
        <f>IF(AND('General price list'!$J283="F4",'General price list'!$AB283+0&gt;0),1,0)</f>
        <v>0</v>
      </c>
      <c r="AY283" s="625">
        <f t="shared" si="697"/>
        <v>1</v>
      </c>
      <c r="AZ283" s="625">
        <f t="shared" si="698"/>
        <v>0</v>
      </c>
    </row>
    <row r="284" spans="1:52" ht="15" customHeight="1">
      <c r="A284" s="621" t="str">
        <f>Kat.!C284</f>
        <v/>
      </c>
      <c r="B284" s="566">
        <f>IF(AND('General price list'!$J284="F4",$AI$1=FALSE),0,IF(AC284="SKLADEM",1,IF(AC284=$V$3,1,0)))</f>
        <v>1</v>
      </c>
      <c r="C284" s="567" t="s">
        <v>740</v>
      </c>
      <c r="D284" s="568" t="s">
        <v>11872</v>
      </c>
      <c r="E284" s="763" t="s">
        <v>12638</v>
      </c>
      <c r="F284" s="772">
        <f>IFERROR(VLOOKUP(C284,[2]List1!$A:$D,3,FALSE),"NEUVEDENO!")</f>
        <v>82</v>
      </c>
      <c r="G284" s="769">
        <f t="shared" si="677"/>
        <v>82</v>
      </c>
      <c r="H284" s="766">
        <f t="shared" si="678"/>
        <v>3.4832400929430407</v>
      </c>
      <c r="I284" s="764">
        <f>IFERROR(VLOOKUP(C284,[2]List1!$A:$D,4,FALSE),"NEUVEDENO!")</f>
        <v>50</v>
      </c>
      <c r="J284" s="732" t="s">
        <v>39</v>
      </c>
      <c r="K284" s="569" t="s">
        <v>20</v>
      </c>
      <c r="L284" s="569" t="s">
        <v>15084</v>
      </c>
      <c r="M284" s="569" t="s">
        <v>21</v>
      </c>
      <c r="N284" s="569">
        <f>IFERROR(VLOOKUP(C284,[3]List1!$A:$D,4,FALSE),"N/A!")</f>
        <v>5.4566999999999997E-2</v>
      </c>
      <c r="O284" s="569">
        <f>IFERROR(VLOOKUP(C284,[3]List1!$A:$D,3,FALSE),"N/A!")</f>
        <v>4000</v>
      </c>
      <c r="P284" s="569">
        <f>IFERROR(VLOOKUP(C284,[3]List1!$A:$D,2,FALSE),"N/A!")</f>
        <v>11700</v>
      </c>
      <c r="Q284" s="569" t="s">
        <v>11764</v>
      </c>
      <c r="R284" s="569"/>
      <c r="S284" s="569"/>
      <c r="T284" s="569"/>
      <c r="U284" s="569"/>
      <c r="V284" s="569"/>
      <c r="W284" s="569" t="str">
        <f>IFERROR(IF(AND($AB284&gt;=0.1*$AA284,MOD($AB284,$AA284)&gt;=($AA284-(0.1*$AA284))),IF($W$17=$AF$1,"Zvažte možnost doobjednání ještě "&amp;Tabulka1[[#This Row],[VKPAL]]-MOD(AB284,AA284)&amp;" VK do plné palety.",VLOOKUP("Zvažte možnost doobjednání ještě ",Jazyky_ceník!A:Q,MATCH($W$17,Jazyky_ceník!$A$1:$Q$1,0),FALSE)&amp;Tabulka1[[#This Row],[VKPAL]]-MOD(AB284,AA284)&amp;VLOOKUP(" VK do plné palety.",Jazyky_ceník!A:Q,MATCH($W$17,Jazyky_ceník!$A$1:$Q$1,0),FALSE)),IFERROR(IF(AND(NOT(MOD($AB284,$AA284)=0),$AB284&gt;=0.9*$AA284,MOD($AB284,$AA284)&lt;=0.1*$AA284),IF($W$17=$AF$1,"Zvažte možnost optimalizace objednaného množství podle počtu VK na paletě ==&gt;",VLOOKUP("Zvažte možnost optimalizace objednaného množství podle počtu VK na paletě ==&gt;",Jazyky_ceník!A:Q,MATCH($W$17,Jazyky_ceník!$A$1:$Q$1,0),FALSE)),VLOOKUP('General price list'!$C284,Popisy!A:M,MATCH($W$17,Popisy!$A$7:$M$7,0),FALSE)),"---------------")),IFERROR(VLOOKUP('General price list'!$C284,Popisy!A:M,MATCH($W$17,Popisy!$A$7:$M$7,0),FALSE),"---------------"))</f>
        <v>4 různobarevné efekty</v>
      </c>
      <c r="X284" s="569" t="str">
        <f t="shared" si="679"/>
        <v/>
      </c>
      <c r="Y284" s="569" t="str">
        <f t="shared" si="680"/>
        <v/>
      </c>
      <c r="Z284" s="569" t="str">
        <f>HYPERLINK("https://www.klasekpyrotechnics.cz/rs4h14")</f>
        <v>https://www.klasekpyrotechnics.cz/rs4h14</v>
      </c>
      <c r="AA284" s="569">
        <f>IFERROR(IF(VLOOKUP(C284,[4]List1!$A:$D,4,FALSE)=0,"",VLOOKUP(C284,[4]List1!$A:$D,4,FALSE)),"")</f>
        <v>30</v>
      </c>
      <c r="AB284" s="565"/>
      <c r="AC284" s="570" t="str">
        <f>IFERROR(IF(VLOOKUP(C284,[1]List1!$A:$D,2,FALSE)="VYPRODÁNO",$V$9,IF(VLOOKUP(C284,[1]List1!$A:$D,2,FALSE)="DOCHÁZÍ",$V$3,VLOOKUP(C284,[1]List1!$A:$D,2,FALSE))),"OFFLINE!")</f>
        <v>SKLADEM</v>
      </c>
      <c r="AD284" s="570" t="str">
        <f ca="1">IF(AP284="NE",$V$10,IF(AC284=$V$3,IF(AQ284&lt;1,$V$8,$V$2&amp;" "&amp;AQ284&amp;" "&amp;$V$1),IF(AC284="SKLADEM",$V$6,IFERROR(IF(OR(AC284-TODAY()&gt;45,VLOOKUP(C284,[1]List1!$A:$E,4,FALSE)=0),AC284,DAY(AC284)&amp;"."&amp;MONTH(AC284)&amp;"."&amp;YEAR(AC284)&amp;" "&amp;$V$4&amp;VLOOKUP(C284,[1]List1!$A:$E,4,FALSE)&amp;" "&amp;$V$1),AC284))))</f>
        <v>SKLADEM</v>
      </c>
      <c r="AE284" s="581" t="str">
        <f t="shared" ca="1" si="681"/>
        <v>SKLADEM</v>
      </c>
      <c r="AF284" s="584">
        <f t="shared" si="682"/>
        <v>0</v>
      </c>
      <c r="AG284" s="585">
        <f t="shared" si="683"/>
        <v>0</v>
      </c>
      <c r="AH284" s="583">
        <f t="shared" si="684"/>
        <v>0</v>
      </c>
      <c r="AI284" s="582">
        <f t="shared" si="685"/>
        <v>0</v>
      </c>
      <c r="AJ284" s="569">
        <f t="shared" si="686"/>
        <v>0</v>
      </c>
      <c r="AK284" s="569" t="str">
        <f t="shared" si="687"/>
        <v/>
      </c>
      <c r="AL284" s="569" t="str">
        <f t="shared" si="688"/>
        <v/>
      </c>
      <c r="AM284" s="569">
        <f t="shared" si="689"/>
        <v>0</v>
      </c>
      <c r="AN284" s="581">
        <f t="shared" si="690"/>
        <v>0</v>
      </c>
      <c r="AO284" s="623"/>
      <c r="AP284" s="632" t="str">
        <f t="shared" si="691"/>
        <v/>
      </c>
      <c r="AQ284" s="633" t="str">
        <f>IF(AC284=$V$3,IF(VLOOKUP(C284,[1]List1!$A:$E,5,FALSE)=0,1,VLOOKUP(C284,[1]List1!$A:$E,5,FALSE)),"")</f>
        <v/>
      </c>
      <c r="AR284" s="625" t="str">
        <f t="shared" si="692"/>
        <v/>
      </c>
      <c r="AS284" s="634" t="str">
        <f t="shared" si="693"/>
        <v/>
      </c>
      <c r="AT284" s="625" t="str">
        <f t="shared" si="694"/>
        <v/>
      </c>
      <c r="AU284" s="638" t="e">
        <f t="shared" si="695"/>
        <v>#N/A</v>
      </c>
      <c r="AV284" s="625" t="e">
        <f t="shared" si="696"/>
        <v>#N/A</v>
      </c>
      <c r="AX284" s="625">
        <f>IF(AND('General price list'!$J284="F4",'General price list'!$AB284+0&gt;0),1,0)</f>
        <v>0</v>
      </c>
      <c r="AY284" s="625">
        <f t="shared" si="697"/>
        <v>1</v>
      </c>
      <c r="AZ284" s="625">
        <f t="shared" si="698"/>
        <v>0</v>
      </c>
    </row>
    <row r="285" spans="1:52" ht="15" customHeight="1">
      <c r="A285" s="639" t="str">
        <f>Kat.!C285</f>
        <v/>
      </c>
      <c r="B285" s="640">
        <f>IF(AND('General price list'!$J285="F4",$AI$1=FALSE),0,IF(AC285="SKLADEM",1,IF(AC285=$V$3,1,0)))</f>
        <v>0</v>
      </c>
      <c r="C285" s="641" t="s">
        <v>741</v>
      </c>
      <c r="D285" s="642" t="s">
        <v>742</v>
      </c>
      <c r="E285" s="643" t="s">
        <v>12729</v>
      </c>
      <c r="F285" s="771">
        <f>IFERROR(VLOOKUP(C285,[2]List1!$A:$D,3,FALSE),"NEUVEDENO!")</f>
        <v>193</v>
      </c>
      <c r="G285" s="768">
        <f t="shared" si="677"/>
        <v>193</v>
      </c>
      <c r="H285" s="765">
        <f t="shared" si="678"/>
        <v>8.1983577797317899</v>
      </c>
      <c r="I285" s="644">
        <f>IFERROR(VLOOKUP(C285,[2]List1!$A:$D,4,FALSE),"NEUVEDENO!")</f>
        <v>30</v>
      </c>
      <c r="J285" s="733" t="s">
        <v>39</v>
      </c>
      <c r="K285" s="645" t="s">
        <v>20</v>
      </c>
      <c r="L285" s="645" t="s">
        <v>15084</v>
      </c>
      <c r="M285" s="645" t="s">
        <v>21</v>
      </c>
      <c r="N285" s="645">
        <f>IFERROR(VLOOKUP(C285,[3]List1!$A:$D,4,FALSE),"N/A!")</f>
        <v>7.2764999999999996E-2</v>
      </c>
      <c r="O285" s="645">
        <f>IFERROR(VLOOKUP(C285,[3]List1!$A:$D,3,FALSE),"N/A!")</f>
        <v>4200</v>
      </c>
      <c r="P285" s="645">
        <f>IFERROR(VLOOKUP(C285,[3]List1!$A:$D,2,FALSE),"N/A!")</f>
        <v>15200</v>
      </c>
      <c r="Q285" s="645" t="s">
        <v>11280</v>
      </c>
      <c r="R285" s="645" t="s">
        <v>20</v>
      </c>
      <c r="S285" s="645"/>
      <c r="T285" s="645"/>
      <c r="U285" s="645"/>
      <c r="V285" s="645"/>
      <c r="W285" s="645" t="str">
        <f>IFERROR(IF(AND($AB285&gt;=0.1*$AA285,MOD($AB285,$AA285)&gt;=($AA285-(0.1*$AA285))),IF($W$17=$AF$1,"Zvažte možnost doobjednání ještě "&amp;Tabulka1[[#This Row],[VKPAL]]-MOD(AB285,AA285)&amp;" VK do plné palety.",VLOOKUP("Zvažte možnost doobjednání ještě ",Jazyky_ceník!A:Q,MATCH($W$17,Jazyky_ceník!$A$1:$Q$1,0),FALSE)&amp;Tabulka1[[#This Row],[VKPAL]]-MOD(AB285,AA285)&amp;VLOOKUP(" VK do plné palety.",Jazyky_ceník!A:Q,MATCH($W$17,Jazyky_ceník!$A$1:$Q$1,0),FALSE)),IFERROR(IF(AND(NOT(MOD($AB285,$AA285)=0),$AB285&gt;=0.9*$AA285,MOD($AB285,$AA285)&lt;=0.1*$AA285),IF($W$17=$AF$1,"Zvažte možnost optimalizace objednaného množství podle počtu VK na paletě ==&gt;",VLOOKUP("Zvažte možnost optimalizace objednaného množství podle počtu VK na paletě ==&gt;",Jazyky_ceník!A:Q,MATCH($W$17,Jazyky_ceník!$A$1:$Q$1,0),FALSE)),VLOOKUP('General price list'!$C285,Popisy!A:M,MATCH($W$17,Popisy!$A$7:$M$7,0),FALSE)),"---------------")),IFERROR(VLOOKUP('General price list'!$C285,Popisy!A:M,MATCH($W$17,Popisy!$A$7:$M$7,0),FALSE),"---------------"))</f>
        <v>7 různobarevných efektů</v>
      </c>
      <c r="X285" s="645" t="str">
        <f t="shared" si="679"/>
        <v/>
      </c>
      <c r="Y285" s="645" t="str">
        <f t="shared" si="680"/>
        <v/>
      </c>
      <c r="Z285" s="645" t="str">
        <f>HYPERLINK("https://www.klasekpyrotechnics.cz/rs7md14")</f>
        <v>https://www.klasekpyrotechnics.cz/rs7md14</v>
      </c>
      <c r="AA285" s="645">
        <f>IFERROR(IF(VLOOKUP(C285,[4]List1!$A:$D,4,FALSE)=0,"",VLOOKUP(C285,[4]List1!$A:$D,4,FALSE)),"")</f>
        <v>15</v>
      </c>
      <c r="AB285" s="646"/>
      <c r="AC285" s="647" t="str">
        <f>IFERROR(IF(VLOOKUP(C285,[1]List1!$A:$D,2,FALSE)="VYPRODÁNO",$V$9,IF(VLOOKUP(C285,[1]List1!$A:$D,2,FALSE)="DOCHÁZÍ",$V$3,VLOOKUP(C285,[1]List1!$A:$D,2,FALSE))),"OFFLINE!")</f>
        <v>06.04.2026</v>
      </c>
      <c r="AD285" s="647" t="str">
        <f ca="1">IF(AP285="NE",$V$10,IF(AC285=$V$3,IF(AQ285&lt;1,$V$8,$V$2&amp;" "&amp;AQ285&amp;" "&amp;$V$1),IF(AC285="SKLADEM",$V$6,IFERROR(IF(OR(AC285-TODAY()&gt;45,VLOOKUP(C285,[1]List1!$A:$E,4,FALSE)=0),AC285,DAY(AC285)&amp;"."&amp;MONTH(AC285)&amp;"."&amp;YEAR(AC285)&amp;" "&amp;$V$4&amp;VLOOKUP(C285,[1]List1!$A:$E,4,FALSE)&amp;" "&amp;$V$1),AC285))))</f>
        <v>6.4.2026 DORAZÍ 75 VK</v>
      </c>
      <c r="AE285" s="645" t="str">
        <f t="shared" ca="1" si="681"/>
        <v>6.4.2026 DORAZÍ 75 VK</v>
      </c>
      <c r="AF285" s="648">
        <f t="shared" si="682"/>
        <v>0</v>
      </c>
      <c r="AG285" s="649">
        <f t="shared" si="683"/>
        <v>0</v>
      </c>
      <c r="AH285" s="650">
        <f t="shared" si="684"/>
        <v>0</v>
      </c>
      <c r="AI285" s="645">
        <f t="shared" si="685"/>
        <v>0</v>
      </c>
      <c r="AJ285" s="645">
        <f t="shared" si="686"/>
        <v>0</v>
      </c>
      <c r="AK285" s="645" t="str">
        <f t="shared" si="687"/>
        <v/>
      </c>
      <c r="AL285" s="645" t="str">
        <f t="shared" si="688"/>
        <v/>
      </c>
      <c r="AM285" s="645">
        <f t="shared" si="689"/>
        <v>0</v>
      </c>
      <c r="AN285" s="651">
        <f t="shared" si="690"/>
        <v>0</v>
      </c>
      <c r="AO285" s="623"/>
      <c r="AP285" s="632" t="str">
        <f t="shared" si="691"/>
        <v/>
      </c>
      <c r="AQ285" s="633" t="str">
        <f>IF(AC285=$V$3,IF(VLOOKUP(C285,[1]List1!$A:$E,5,FALSE)=0,1,VLOOKUP(C285,[1]List1!$A:$E,5,FALSE)),"")</f>
        <v/>
      </c>
      <c r="AR285" s="625" t="str">
        <f t="shared" si="692"/>
        <v/>
      </c>
      <c r="AS285" s="634" t="str">
        <f t="shared" si="693"/>
        <v/>
      </c>
      <c r="AT285" s="625" t="str">
        <f t="shared" si="694"/>
        <v/>
      </c>
      <c r="AU285" s="638" t="e">
        <f t="shared" si="695"/>
        <v>#N/A</v>
      </c>
      <c r="AV285" s="625" t="e">
        <f t="shared" si="696"/>
        <v>#N/A</v>
      </c>
      <c r="AX285" s="625">
        <f>IF(AND('General price list'!$J285="F4",'General price list'!$AB285+0&gt;0),1,0)</f>
        <v>0</v>
      </c>
      <c r="AY285" s="625">
        <f t="shared" si="697"/>
        <v>1</v>
      </c>
      <c r="AZ285" s="625">
        <f t="shared" si="698"/>
        <v>0</v>
      </c>
    </row>
    <row r="286" spans="1:52" ht="15" customHeight="1">
      <c r="A286" s="621" t="str">
        <f>Kat.!C286</f>
        <v/>
      </c>
      <c r="B286" s="566">
        <f>IF(AND('General price list'!$J286="F4",$AI$1=FALSE),0,IF(AC286="SKLADEM",1,IF(AC286=$V$3,1,0)))</f>
        <v>1</v>
      </c>
      <c r="C286" s="567" t="s">
        <v>746</v>
      </c>
      <c r="D286" s="568" t="s">
        <v>666</v>
      </c>
      <c r="E286" s="763" t="s">
        <v>12730</v>
      </c>
      <c r="F286" s="772">
        <f>IFERROR(VLOOKUP(C286,[2]List1!$A:$D,3,FALSE),"NEUVEDENO!")</f>
        <v>267</v>
      </c>
      <c r="G286" s="769">
        <f t="shared" si="677"/>
        <v>267</v>
      </c>
      <c r="H286" s="766">
        <f t="shared" si="678"/>
        <v>11.34176957092429</v>
      </c>
      <c r="I286" s="764">
        <f>IFERROR(VLOOKUP(C286,[2]List1!$A:$D,4,FALSE),"NEUVEDENO!")</f>
        <v>20</v>
      </c>
      <c r="J286" s="732" t="s">
        <v>39</v>
      </c>
      <c r="K286" s="569" t="s">
        <v>20</v>
      </c>
      <c r="L286" s="569" t="s">
        <v>15084</v>
      </c>
      <c r="M286" s="569" t="s">
        <v>21</v>
      </c>
      <c r="N286" s="569">
        <f>IFERROR(VLOOKUP(C286,[3]List1!$A:$D,4,FALSE),"N/A!")</f>
        <v>0.10012499999999999</v>
      </c>
      <c r="O286" s="569">
        <f>IFERROR(VLOOKUP(C286,[3]List1!$A:$D,3,FALSE),"N/A!")</f>
        <v>2800</v>
      </c>
      <c r="P286" s="569">
        <f>IFERROR(VLOOKUP(C286,[3]List1!$A:$D,2,FALSE),"N/A!")</f>
        <v>14900</v>
      </c>
      <c r="Q286" s="569" t="s">
        <v>11765</v>
      </c>
      <c r="R286" s="569"/>
      <c r="S286" s="569"/>
      <c r="T286" s="569"/>
      <c r="U286" s="569"/>
      <c r="V286" s="569"/>
      <c r="W286" s="569" t="str">
        <f>IFERROR(IF(AND($AB286&gt;=0.1*$AA286,MOD($AB286,$AA286)&gt;=($AA286-(0.1*$AA286))),IF($W$17=$AF$1,"Zvažte možnost doobjednání ještě "&amp;Tabulka1[[#This Row],[VKPAL]]-MOD(AB286,AA286)&amp;" VK do plné palety.",VLOOKUP("Zvažte možnost doobjednání ještě ",Jazyky_ceník!A:Q,MATCH($W$17,Jazyky_ceník!$A$1:$Q$1,0),FALSE)&amp;Tabulka1[[#This Row],[VKPAL]]-MOD(AB286,AA286)&amp;VLOOKUP(" VK do plné palety.",Jazyky_ceník!A:Q,MATCH($W$17,Jazyky_ceník!$A$1:$Q$1,0),FALSE)),IFERROR(IF(AND(NOT(MOD($AB286,$AA286)=0),$AB286&gt;=0.9*$AA286,MOD($AB286,$AA286)&lt;=0.1*$AA286),IF($W$17=$AF$1,"Zvažte možnost optimalizace objednaného množství podle počtu VK na paletě ==&gt;",VLOOKUP("Zvažte možnost optimalizace objednaného množství podle počtu VK na paletě ==&gt;",Jazyky_ceník!A:Q,MATCH($W$17,Jazyky_ceník!$A$1:$Q$1,0),FALSE)),VLOOKUP('General price list'!$C286,Popisy!A:M,MATCH($W$17,Popisy!$A$7:$M$7,0),FALSE)),"---------------")),IFERROR(VLOOKUP('General price list'!$C286,Popisy!A:M,MATCH($W$17,Popisy!$A$7:$M$7,0),FALSE),"---------------"))</f>
        <v>7 různobarevných efektů</v>
      </c>
      <c r="X286" s="569" t="str">
        <f t="shared" si="679"/>
        <v/>
      </c>
      <c r="Y286" s="569" t="str">
        <f t="shared" si="680"/>
        <v/>
      </c>
      <c r="Z286" s="569" t="str">
        <f>HYPERLINK("https://www.klasekpyrotechnics.cz/rs7t14")</f>
        <v>https://www.klasekpyrotechnics.cz/rs7t14</v>
      </c>
      <c r="AA286" s="569">
        <f>IFERROR(IF(VLOOKUP(C286,[4]List1!$A:$D,4,FALSE)=0,"",VLOOKUP(C286,[4]List1!$A:$D,4,FALSE)),"")</f>
        <v>12</v>
      </c>
      <c r="AB286" s="565"/>
      <c r="AC286" s="570" t="str">
        <f>IFERROR(IF(VLOOKUP(C286,[1]List1!$A:$D,2,FALSE)="VYPRODÁNO",$V$9,IF(VLOOKUP(C286,[1]List1!$A:$D,2,FALSE)="DOCHÁZÍ",$V$3,VLOOKUP(C286,[1]List1!$A:$D,2,FALSE))),"OFFLINE!")</f>
        <v>SKLADEM</v>
      </c>
      <c r="AD286" s="570" t="str">
        <f ca="1">IF(AP286="NE",$V$10,IF(AC286=$V$3,IF(AQ286&lt;1,$V$8,$V$2&amp;" "&amp;AQ286&amp;" "&amp;$V$1),IF(AC286="SKLADEM",$V$6,IFERROR(IF(OR(AC286-TODAY()&gt;45,VLOOKUP(C286,[1]List1!$A:$E,4,FALSE)=0),AC286,DAY(AC286)&amp;"."&amp;MONTH(AC286)&amp;"."&amp;YEAR(AC286)&amp;" "&amp;$V$4&amp;VLOOKUP(C286,[1]List1!$A:$E,4,FALSE)&amp;" "&amp;$V$1),AC286))))</f>
        <v>SKLADEM</v>
      </c>
      <c r="AE286" s="581" t="str">
        <f t="shared" ca="1" si="681"/>
        <v>SKLADEM</v>
      </c>
      <c r="AF286" s="584">
        <f t="shared" si="682"/>
        <v>0</v>
      </c>
      <c r="AG286" s="585">
        <f t="shared" si="683"/>
        <v>0</v>
      </c>
      <c r="AH286" s="583">
        <f t="shared" si="684"/>
        <v>0</v>
      </c>
      <c r="AI286" s="582">
        <f t="shared" si="685"/>
        <v>0</v>
      </c>
      <c r="AJ286" s="569">
        <f t="shared" si="686"/>
        <v>0</v>
      </c>
      <c r="AK286" s="569" t="str">
        <f t="shared" si="687"/>
        <v/>
      </c>
      <c r="AL286" s="569" t="str">
        <f t="shared" si="688"/>
        <v/>
      </c>
      <c r="AM286" s="569">
        <f t="shared" si="689"/>
        <v>0</v>
      </c>
      <c r="AN286" s="581">
        <f t="shared" si="690"/>
        <v>0</v>
      </c>
      <c r="AO286" s="623"/>
      <c r="AP286" s="632" t="str">
        <f t="shared" si="691"/>
        <v/>
      </c>
      <c r="AQ286" s="633" t="str">
        <f>IF(AC286=$V$3,IF(VLOOKUP(C286,[1]List1!$A:$E,5,FALSE)=0,1,VLOOKUP(C286,[1]List1!$A:$E,5,FALSE)),"")</f>
        <v/>
      </c>
      <c r="AR286" s="625" t="str">
        <f t="shared" si="692"/>
        <v/>
      </c>
      <c r="AS286" s="634" t="str">
        <f t="shared" si="693"/>
        <v/>
      </c>
      <c r="AT286" s="625" t="str">
        <f t="shared" si="694"/>
        <v/>
      </c>
      <c r="AU286" s="638" t="e">
        <f t="shared" si="695"/>
        <v>#N/A</v>
      </c>
      <c r="AV286" s="625" t="e">
        <f t="shared" si="696"/>
        <v>#N/A</v>
      </c>
      <c r="AX286" s="625">
        <f>IF(AND('General price list'!$J286="F4",'General price list'!$AB286+0&gt;0),1,0)</f>
        <v>0</v>
      </c>
      <c r="AY286" s="625">
        <f t="shared" si="697"/>
        <v>1</v>
      </c>
      <c r="AZ286" s="625">
        <f t="shared" si="698"/>
        <v>0</v>
      </c>
    </row>
    <row r="287" spans="1:52" ht="15" customHeight="1">
      <c r="A287" s="639" t="str">
        <f>Kat.!C287</f>
        <v/>
      </c>
      <c r="B287" s="640">
        <f>IF(AND('General price list'!$J287="F4",$AI$1=FALSE),0,IF(AC287="SKLADEM",1,IF(AC287=$V$3,1,0)))</f>
        <v>1</v>
      </c>
      <c r="C287" s="641" t="s">
        <v>750</v>
      </c>
      <c r="D287" s="642" t="s">
        <v>751</v>
      </c>
      <c r="E287" s="643" t="s">
        <v>12731</v>
      </c>
      <c r="F287" s="771">
        <f>IFERROR(VLOOKUP(C287,[2]List1!$A:$D,3,FALSE),"NEUVEDENO!")</f>
        <v>327</v>
      </c>
      <c r="G287" s="768">
        <f t="shared" si="677"/>
        <v>327</v>
      </c>
      <c r="H287" s="765">
        <f t="shared" si="678"/>
        <v>13.890481834053345</v>
      </c>
      <c r="I287" s="644">
        <f>IFERROR(VLOOKUP(C287,[2]List1!$A:$D,4,FALSE),"NEUVEDENO!")</f>
        <v>20</v>
      </c>
      <c r="J287" s="733" t="s">
        <v>39</v>
      </c>
      <c r="K287" s="645" t="s">
        <v>20</v>
      </c>
      <c r="L287" s="645" t="s">
        <v>15084</v>
      </c>
      <c r="M287" s="645" t="s">
        <v>21</v>
      </c>
      <c r="N287" s="645">
        <f>IFERROR(VLOOKUP(C287,[3]List1!$A:$D,4,FALSE),"N/A!")</f>
        <v>0.10764</v>
      </c>
      <c r="O287" s="645">
        <f>IFERROR(VLOOKUP(C287,[3]List1!$A:$D,3,FALSE),"N/A!")</f>
        <v>3600</v>
      </c>
      <c r="P287" s="645">
        <f>IFERROR(VLOOKUP(C287,[3]List1!$A:$D,2,FALSE),"N/A!")</f>
        <v>17840</v>
      </c>
      <c r="Q287" s="645" t="s">
        <v>11281</v>
      </c>
      <c r="R287" s="645"/>
      <c r="S287" s="645"/>
      <c r="T287" s="645"/>
      <c r="U287" s="645"/>
      <c r="V287" s="645"/>
      <c r="W287" s="645" t="str">
        <f>IFERROR(IF(AND($AB287&gt;=0.1*$AA287,MOD($AB287,$AA287)&gt;=($AA287-(0.1*$AA287))),IF($W$17=$AF$1,"Zvažte možnost doobjednání ještě "&amp;Tabulka1[[#This Row],[VKPAL]]-MOD(AB287,AA287)&amp;" VK do plné palety.",VLOOKUP("Zvažte možnost doobjednání ještě ",Jazyky_ceník!A:Q,MATCH($W$17,Jazyky_ceník!$A$1:$Q$1,0),FALSE)&amp;Tabulka1[[#This Row],[VKPAL]]-MOD(AB287,AA287)&amp;VLOOKUP(" VK do plné palety.",Jazyky_ceník!A:Q,MATCH($W$17,Jazyky_ceník!$A$1:$Q$1,0),FALSE)),IFERROR(IF(AND(NOT(MOD($AB287,$AA287)=0),$AB287&gt;=0.9*$AA287,MOD($AB287,$AA287)&lt;=0.1*$AA287),IF($W$17=$AF$1,"Zvažte možnost optimalizace objednaného množství podle počtu VK na paletě ==&gt;",VLOOKUP("Zvažte možnost optimalizace objednaného množství podle počtu VK na paletě ==&gt;",Jazyky_ceník!A:Q,MATCH($W$17,Jazyky_ceník!$A$1:$Q$1,0),FALSE)),VLOOKUP('General price list'!$C287,Popisy!A:M,MATCH($W$17,Popisy!$A$7:$M$7,0),FALSE)),"---------------")),IFERROR(VLOOKUP('General price list'!$C287,Popisy!A:M,MATCH($W$17,Popisy!$A$7:$M$7,0),FALSE),"---------------"))</f>
        <v>9 různobarevných efektů</v>
      </c>
      <c r="X287" s="645" t="str">
        <f t="shared" si="679"/>
        <v/>
      </c>
      <c r="Y287" s="645" t="str">
        <f t="shared" si="680"/>
        <v/>
      </c>
      <c r="Z287" s="645" t="str">
        <f>HYPERLINK("https://www.klasekpyrotechnics.cz/rs9t14")</f>
        <v>https://www.klasekpyrotechnics.cz/rs9t14</v>
      </c>
      <c r="AA287" s="645">
        <f>IFERROR(IF(VLOOKUP(C287,[4]List1!$A:$D,4,FALSE)=0,"",VLOOKUP(C287,[4]List1!$A:$D,4,FALSE)),"")</f>
        <v>10</v>
      </c>
      <c r="AB287" s="646"/>
      <c r="AC287" s="647" t="str">
        <f>IFERROR(IF(VLOOKUP(C287,[1]List1!$A:$D,2,FALSE)="VYPRODÁNO",$V$9,IF(VLOOKUP(C287,[1]List1!$A:$D,2,FALSE)="DOCHÁZÍ",$V$3,VLOOKUP(C287,[1]List1!$A:$D,2,FALSE))),"OFFLINE!")</f>
        <v>SKLADEM</v>
      </c>
      <c r="AD287" s="647" t="str">
        <f ca="1">IF(AP287="NE",$V$10,IF(AC287=$V$3,IF(AQ287&lt;1,$V$8,$V$2&amp;" "&amp;AQ287&amp;" "&amp;$V$1),IF(AC287="SKLADEM",$V$6,IFERROR(IF(OR(AC287-TODAY()&gt;45,VLOOKUP(C287,[1]List1!$A:$E,4,FALSE)=0),AC287,DAY(AC287)&amp;"."&amp;MONTH(AC287)&amp;"."&amp;YEAR(AC287)&amp;" "&amp;$V$4&amp;VLOOKUP(C287,[1]List1!$A:$E,4,FALSE)&amp;" "&amp;$V$1),AC287))))</f>
        <v>SKLADEM</v>
      </c>
      <c r="AE287" s="645" t="str">
        <f t="shared" ca="1" si="681"/>
        <v>SKLADEM</v>
      </c>
      <c r="AF287" s="648">
        <f t="shared" si="682"/>
        <v>0</v>
      </c>
      <c r="AG287" s="649">
        <f t="shared" si="683"/>
        <v>0</v>
      </c>
      <c r="AH287" s="650">
        <f t="shared" si="684"/>
        <v>0</v>
      </c>
      <c r="AI287" s="645">
        <f t="shared" si="685"/>
        <v>0</v>
      </c>
      <c r="AJ287" s="645">
        <f t="shared" si="686"/>
        <v>0</v>
      </c>
      <c r="AK287" s="645" t="str">
        <f t="shared" si="687"/>
        <v/>
      </c>
      <c r="AL287" s="645" t="str">
        <f t="shared" si="688"/>
        <v/>
      </c>
      <c r="AM287" s="645">
        <f t="shared" si="689"/>
        <v>0</v>
      </c>
      <c r="AN287" s="651">
        <f t="shared" si="690"/>
        <v>0</v>
      </c>
      <c r="AO287" s="623"/>
      <c r="AP287" s="632" t="str">
        <f t="shared" si="691"/>
        <v/>
      </c>
      <c r="AQ287" s="633" t="str">
        <f>IF(AC287=$V$3,IF(VLOOKUP(C287,[1]List1!$A:$E,5,FALSE)=0,1,VLOOKUP(C287,[1]List1!$A:$E,5,FALSE)),"")</f>
        <v/>
      </c>
      <c r="AR287" s="625" t="str">
        <f t="shared" si="692"/>
        <v/>
      </c>
      <c r="AS287" s="634" t="str">
        <f t="shared" si="693"/>
        <v/>
      </c>
      <c r="AT287" s="625" t="str">
        <f t="shared" si="694"/>
        <v/>
      </c>
      <c r="AU287" s="638" t="e">
        <f t="shared" si="695"/>
        <v>#N/A</v>
      </c>
      <c r="AV287" s="625" t="e">
        <f t="shared" si="696"/>
        <v>#N/A</v>
      </c>
      <c r="AX287" s="625">
        <f>IF(AND('General price list'!$J287="F4",'General price list'!$AB287+0&gt;0),1,0)</f>
        <v>0</v>
      </c>
      <c r="AY287" s="625">
        <f t="shared" si="697"/>
        <v>1</v>
      </c>
      <c r="AZ287" s="625">
        <f t="shared" si="698"/>
        <v>0</v>
      </c>
    </row>
    <row r="288" spans="1:52" ht="15" customHeight="1">
      <c r="A288" s="621" t="str">
        <f>Kat.!C288</f>
        <v/>
      </c>
      <c r="B288" s="566">
        <f>IF(AND('General price list'!$J288="F4",$AI$1=FALSE),0,IF(AC288="SKLADEM",1,IF(AC288=$V$3,1,0)))</f>
        <v>1</v>
      </c>
      <c r="C288" s="567" t="s">
        <v>752</v>
      </c>
      <c r="D288" s="568" t="s">
        <v>753</v>
      </c>
      <c r="E288" s="763" t="s">
        <v>12731</v>
      </c>
      <c r="F288" s="772">
        <f>IFERROR(VLOOKUP(C288,[2]List1!$A:$D,3,FALSE),"NEUVEDENO!")</f>
        <v>327</v>
      </c>
      <c r="G288" s="769">
        <f t="shared" si="677"/>
        <v>327</v>
      </c>
      <c r="H288" s="766">
        <f t="shared" si="678"/>
        <v>13.890481834053345</v>
      </c>
      <c r="I288" s="764">
        <f>IFERROR(VLOOKUP(C288,[2]List1!$A:$D,4,FALSE),"NEUVEDENO!")</f>
        <v>20</v>
      </c>
      <c r="J288" s="732" t="s">
        <v>39</v>
      </c>
      <c r="K288" s="569" t="s">
        <v>20</v>
      </c>
      <c r="L288" s="569" t="s">
        <v>15084</v>
      </c>
      <c r="M288" s="569" t="s">
        <v>21</v>
      </c>
      <c r="N288" s="569">
        <f>IFERROR(VLOOKUP(C288,[3]List1!$A:$D,4,FALSE),"N/A!")</f>
        <v>0.10764</v>
      </c>
      <c r="O288" s="569">
        <f>IFERROR(VLOOKUP(C288,[3]List1!$A:$D,3,FALSE),"N/A!")</f>
        <v>3600</v>
      </c>
      <c r="P288" s="569">
        <f>IFERROR(VLOOKUP(C288,[3]List1!$A:$D,2,FALSE),"N/A!")</f>
        <v>17500</v>
      </c>
      <c r="Q288" s="569" t="s">
        <v>11281</v>
      </c>
      <c r="R288" s="569"/>
      <c r="S288" s="569"/>
      <c r="T288" s="569"/>
      <c r="U288" s="569"/>
      <c r="V288" s="569"/>
      <c r="W288" s="569" t="str">
        <f>IFERROR(IF(AND($AB288&gt;=0.1*$AA288,MOD($AB288,$AA288)&gt;=($AA288-(0.1*$AA288))),IF($W$17=$AF$1,"Zvažte možnost doobjednání ještě "&amp;Tabulka1[[#This Row],[VKPAL]]-MOD(AB288,AA288)&amp;" VK do plné palety.",VLOOKUP("Zvažte možnost doobjednání ještě ",Jazyky_ceník!A:Q,MATCH($W$17,Jazyky_ceník!$A$1:$Q$1,0),FALSE)&amp;Tabulka1[[#This Row],[VKPAL]]-MOD(AB288,AA288)&amp;VLOOKUP(" VK do plné palety.",Jazyky_ceník!A:Q,MATCH($W$17,Jazyky_ceník!$A$1:$Q$1,0),FALSE)),IFERROR(IF(AND(NOT(MOD($AB288,$AA288)=0),$AB288&gt;=0.9*$AA288,MOD($AB288,$AA288)&lt;=0.1*$AA288),IF($W$17=$AF$1,"Zvažte možnost optimalizace objednaného množství podle počtu VK na paletě ==&gt;",VLOOKUP("Zvažte možnost optimalizace objednaného množství podle počtu VK na paletě ==&gt;",Jazyky_ceník!A:Q,MATCH($W$17,Jazyky_ceník!$A$1:$Q$1,0),FALSE)),VLOOKUP('General price list'!$C288,Popisy!A:M,MATCH($W$17,Popisy!$A$7:$M$7,0),FALSE)),"---------------")),IFERROR(VLOOKUP('General price list'!$C288,Popisy!A:M,MATCH($W$17,Popisy!$A$7:$M$7,0),FALSE),"---------------"))</f>
        <v>9 různobarevných efektů</v>
      </c>
      <c r="X288" s="569" t="str">
        <f t="shared" si="679"/>
        <v/>
      </c>
      <c r="Y288" s="569" t="str">
        <f t="shared" si="680"/>
        <v/>
      </c>
      <c r="Z288" s="569" t="str">
        <f>HYPERLINK("https://www.klasekpyrotechnics.cz/rs9p14")</f>
        <v>https://www.klasekpyrotechnics.cz/rs9p14</v>
      </c>
      <c r="AA288" s="569">
        <f>IFERROR(IF(VLOOKUP(C288,[4]List1!$A:$D,4,FALSE)=0,"",VLOOKUP(C288,[4]List1!$A:$D,4,FALSE)),"")</f>
        <v>10</v>
      </c>
      <c r="AB288" s="565"/>
      <c r="AC288" s="570" t="str">
        <f>IFERROR(IF(VLOOKUP(C288,[1]List1!$A:$D,2,FALSE)="VYPRODÁNO",$V$9,IF(VLOOKUP(C288,[1]List1!$A:$D,2,FALSE)="DOCHÁZÍ",$V$3,VLOOKUP(C288,[1]List1!$A:$D,2,FALSE))),"OFFLINE!")</f>
        <v>SKLADEM</v>
      </c>
      <c r="AD288" s="570" t="str">
        <f ca="1">IF(AP288="NE",$V$10,IF(AC288=$V$3,IF(AQ288&lt;1,$V$8,$V$2&amp;" "&amp;AQ288&amp;" "&amp;$V$1),IF(AC288="SKLADEM",$V$6,IFERROR(IF(OR(AC288-TODAY()&gt;45,VLOOKUP(C288,[1]List1!$A:$E,4,FALSE)=0),AC288,DAY(AC288)&amp;"."&amp;MONTH(AC288)&amp;"."&amp;YEAR(AC288)&amp;" "&amp;$V$4&amp;VLOOKUP(C288,[1]List1!$A:$E,4,FALSE)&amp;" "&amp;$V$1),AC288))))</f>
        <v>SKLADEM</v>
      </c>
      <c r="AE288" s="581" t="str">
        <f t="shared" ca="1" si="681"/>
        <v>SKLADEM</v>
      </c>
      <c r="AF288" s="584">
        <f t="shared" si="682"/>
        <v>0</v>
      </c>
      <c r="AG288" s="585">
        <f t="shared" si="683"/>
        <v>0</v>
      </c>
      <c r="AH288" s="583">
        <f t="shared" si="684"/>
        <v>0</v>
      </c>
      <c r="AI288" s="582">
        <f t="shared" si="685"/>
        <v>0</v>
      </c>
      <c r="AJ288" s="569">
        <f t="shared" si="686"/>
        <v>0</v>
      </c>
      <c r="AK288" s="569" t="str">
        <f t="shared" si="687"/>
        <v/>
      </c>
      <c r="AL288" s="569" t="str">
        <f t="shared" si="688"/>
        <v/>
      </c>
      <c r="AM288" s="569">
        <f t="shared" si="689"/>
        <v>0</v>
      </c>
      <c r="AN288" s="581">
        <f t="shared" si="690"/>
        <v>0</v>
      </c>
      <c r="AO288" s="623"/>
      <c r="AP288" s="632" t="str">
        <f t="shared" si="691"/>
        <v/>
      </c>
      <c r="AQ288" s="633" t="str">
        <f>IF(AC288=$V$3,IF(VLOOKUP(C288,[1]List1!$A:$E,5,FALSE)=0,1,VLOOKUP(C288,[1]List1!$A:$E,5,FALSE)),"")</f>
        <v/>
      </c>
      <c r="AR288" s="625" t="str">
        <f t="shared" si="692"/>
        <v/>
      </c>
      <c r="AS288" s="634" t="str">
        <f t="shared" si="693"/>
        <v/>
      </c>
      <c r="AT288" s="625" t="str">
        <f t="shared" si="694"/>
        <v/>
      </c>
      <c r="AU288" s="638" t="e">
        <f t="shared" si="695"/>
        <v>#N/A</v>
      </c>
      <c r="AV288" s="625" t="e">
        <f t="shared" si="696"/>
        <v>#N/A</v>
      </c>
      <c r="AX288" s="625">
        <f>IF(AND('General price list'!$J288="F4",'General price list'!$AB288+0&gt;0),1,0)</f>
        <v>0</v>
      </c>
      <c r="AY288" s="625">
        <f t="shared" si="697"/>
        <v>1</v>
      </c>
      <c r="AZ288" s="625">
        <f t="shared" si="698"/>
        <v>0</v>
      </c>
    </row>
    <row r="289" spans="1:52" ht="15" customHeight="1">
      <c r="A289" s="639" t="str">
        <f>Kat.!C289</f>
        <v/>
      </c>
      <c r="B289" s="640">
        <f>IF(AND('General price list'!$J289="F4",$AI$1=FALSE),0,IF(AC289="SKLADEM",1,IF(AC289=$V$3,1,0)))</f>
        <v>1</v>
      </c>
      <c r="C289" s="641" t="s">
        <v>12013</v>
      </c>
      <c r="D289" s="642" t="s">
        <v>760</v>
      </c>
      <c r="E289" s="643" t="s">
        <v>12732</v>
      </c>
      <c r="F289" s="771">
        <f>IFERROR(VLOOKUP(C289,[2]List1!$A:$D,3,FALSE),"NEUVEDENO!")</f>
        <v>534</v>
      </c>
      <c r="G289" s="768">
        <f t="shared" si="677"/>
        <v>534</v>
      </c>
      <c r="H289" s="765">
        <f t="shared" si="678"/>
        <v>22.683539141848581</v>
      </c>
      <c r="I289" s="644">
        <f>IFERROR(VLOOKUP(C289,[2]List1!$A:$D,4,FALSE),"NEUVEDENO!")</f>
        <v>12</v>
      </c>
      <c r="J289" s="733" t="s">
        <v>39</v>
      </c>
      <c r="K289" s="645" t="s">
        <v>20</v>
      </c>
      <c r="L289" s="645"/>
      <c r="M289" s="645" t="s">
        <v>114</v>
      </c>
      <c r="N289" s="645">
        <f>IFERROR(VLOOKUP(C289,[3]List1!$A:$D,4,FALSE),"N/A!")</f>
        <v>0.13824400000000001</v>
      </c>
      <c r="O289" s="645">
        <f>IFERROR(VLOOKUP(C289,[3]List1!$A:$D,3,FALSE),"N/A!")</f>
        <v>8280</v>
      </c>
      <c r="P289" s="645">
        <f>IFERROR(VLOOKUP(C289,[3]List1!$A:$D,2,FALSE),"N/A!")</f>
        <v>17500</v>
      </c>
      <c r="Q289" s="645" t="s">
        <v>11283</v>
      </c>
      <c r="R289" s="645" t="s">
        <v>20</v>
      </c>
      <c r="S289" s="645"/>
      <c r="T289" s="645"/>
      <c r="U289" s="645"/>
      <c r="V289" s="645"/>
      <c r="W289" s="645" t="str">
        <f>IFERROR(IF(AND($AB289&gt;=0.1*$AA289,MOD($AB289,$AA289)&gt;=($AA289-(0.1*$AA289))),IF($W$17=$AF$1,"Zvažte možnost doobjednání ještě "&amp;Tabulka1[[#This Row],[VKPAL]]-MOD(AB289,AA289)&amp;" VK do plné palety.",VLOOKUP("Zvažte možnost doobjednání ještě ",Jazyky_ceník!A:Q,MATCH($W$17,Jazyky_ceník!$A$1:$Q$1,0),FALSE)&amp;Tabulka1[[#This Row],[VKPAL]]-MOD(AB289,AA289)&amp;VLOOKUP(" VK do plné palety.",Jazyky_ceník!A:Q,MATCH($W$17,Jazyky_ceník!$A$1:$Q$1,0),FALSE)),IFERROR(IF(AND(NOT(MOD($AB289,$AA289)=0),$AB289&gt;=0.9*$AA289,MOD($AB289,$AA289)&lt;=0.1*$AA289),IF($W$17=$AF$1,"Zvažte možnost optimalizace objednaného množství podle počtu VK na paletě ==&gt;",VLOOKUP("Zvažte možnost optimalizace objednaného množství podle počtu VK na paletě ==&gt;",Jazyky_ceník!A:Q,MATCH($W$17,Jazyky_ceník!$A$1:$Q$1,0),FALSE)),VLOOKUP('General price list'!$C289,Popisy!A:M,MATCH($W$17,Popisy!$A$7:$M$7,0),FALSE)),"---------------")),IFERROR(VLOOKUP('General price list'!$C289,Popisy!A:M,MATCH($W$17,Popisy!$A$7:$M$7,0),FALSE),"---------------"))</f>
        <v>11 různobarevných efektů</v>
      </c>
      <c r="X289" s="645" t="str">
        <f t="shared" si="679"/>
        <v/>
      </c>
      <c r="Y289" s="645" t="str">
        <f t="shared" si="680"/>
        <v/>
      </c>
      <c r="Z289" s="645" t="str">
        <f>HYPERLINK("https://www.klasekpyrotechnics.cz/rs11hf2")</f>
        <v>https://www.klasekpyrotechnics.cz/rs11hf2</v>
      </c>
      <c r="AA289" s="645">
        <f>IFERROR(IF(VLOOKUP(C289,[4]List1!$A:$D,4,FALSE)=0,"",VLOOKUP(C289,[4]List1!$A:$D,4,FALSE)),"")</f>
        <v>8</v>
      </c>
      <c r="AB289" s="646"/>
      <c r="AC289" s="647" t="str">
        <f>IFERROR(IF(VLOOKUP(C289,[1]List1!$A:$D,2,FALSE)="VYPRODÁNO",$V$9,IF(VLOOKUP(C289,[1]List1!$A:$D,2,FALSE)="DOCHÁZÍ",$V$3,VLOOKUP(C289,[1]List1!$A:$D,2,FALSE))),"OFFLINE!")</f>
        <v>SKLADEM</v>
      </c>
      <c r="AD289" s="647" t="str">
        <f ca="1">IF(AP289="NE",$V$10,IF(AC289=$V$3,IF(AQ289&lt;1,$V$8,$V$2&amp;" "&amp;AQ289&amp;" "&amp;$V$1),IF(AC289="SKLADEM",$V$6,IFERROR(IF(OR(AC289-TODAY()&gt;45,VLOOKUP(C289,[1]List1!$A:$E,4,FALSE)=0),AC289,DAY(AC289)&amp;"."&amp;MONTH(AC289)&amp;"."&amp;YEAR(AC289)&amp;" "&amp;$V$4&amp;VLOOKUP(C289,[1]List1!$A:$E,4,FALSE)&amp;" "&amp;$V$1),AC289))))</f>
        <v>SKLADEM</v>
      </c>
      <c r="AE289" s="645" t="str">
        <f t="shared" ca="1" si="681"/>
        <v>SKLADEM</v>
      </c>
      <c r="AF289" s="648">
        <f t="shared" si="682"/>
        <v>0</v>
      </c>
      <c r="AG289" s="649">
        <f t="shared" si="683"/>
        <v>0</v>
      </c>
      <c r="AH289" s="650">
        <f t="shared" si="684"/>
        <v>0</v>
      </c>
      <c r="AI289" s="645">
        <f t="shared" si="685"/>
        <v>0</v>
      </c>
      <c r="AJ289" s="645">
        <f t="shared" si="686"/>
        <v>0</v>
      </c>
      <c r="AK289" s="645" t="str">
        <f t="shared" si="687"/>
        <v/>
      </c>
      <c r="AL289" s="645">
        <f t="shared" si="688"/>
        <v>0</v>
      </c>
      <c r="AM289" s="645" t="str">
        <f t="shared" si="689"/>
        <v/>
      </c>
      <c r="AN289" s="651">
        <f t="shared" si="690"/>
        <v>0</v>
      </c>
      <c r="AO289" s="623"/>
      <c r="AP289" s="632" t="str">
        <f t="shared" si="691"/>
        <v/>
      </c>
      <c r="AQ289" s="633" t="str">
        <f>IF(AC289=$V$3,IF(VLOOKUP(C289,[1]List1!$A:$E,5,FALSE)=0,1,VLOOKUP(C289,[1]List1!$A:$E,5,FALSE)),"")</f>
        <v/>
      </c>
      <c r="AR289" s="625" t="str">
        <f t="shared" si="692"/>
        <v/>
      </c>
      <c r="AS289" s="634" t="str">
        <f t="shared" si="693"/>
        <v/>
      </c>
      <c r="AT289" s="625" t="str">
        <f t="shared" si="694"/>
        <v/>
      </c>
      <c r="AU289" s="638" t="e">
        <f t="shared" si="695"/>
        <v>#N/A</v>
      </c>
      <c r="AV289" s="625" t="e">
        <f t="shared" si="696"/>
        <v>#N/A</v>
      </c>
      <c r="AX289" s="625">
        <f>IF(AND('General price list'!$J289="F4",'General price list'!$AB289+0&gt;0),1,0)</f>
        <v>0</v>
      </c>
      <c r="AY289" s="625">
        <f t="shared" si="697"/>
        <v>1</v>
      </c>
      <c r="AZ289" s="625">
        <f t="shared" si="698"/>
        <v>0</v>
      </c>
    </row>
    <row r="290" spans="1:52" ht="15" customHeight="1">
      <c r="A290" s="621" t="str">
        <f>Kat.!C290</f>
        <v/>
      </c>
      <c r="B290" s="566">
        <f>IF(AND('General price list'!$J290="F4",$AI$1=FALSE),0,IF(AC290="SKLADEM",1,IF(AC290=$V$3,1,0)))</f>
        <v>1</v>
      </c>
      <c r="C290" s="567" t="s">
        <v>12014</v>
      </c>
      <c r="D290" s="568" t="s">
        <v>761</v>
      </c>
      <c r="E290" s="763" t="s">
        <v>12733</v>
      </c>
      <c r="F290" s="772">
        <f>IFERROR(VLOOKUP(C290,[2]List1!$A:$D,3,FALSE),"NEUVEDENO!")</f>
        <v>576</v>
      </c>
      <c r="G290" s="769">
        <f t="shared" si="677"/>
        <v>576</v>
      </c>
      <c r="H290" s="766">
        <f t="shared" si="678"/>
        <v>24.46763772603892</v>
      </c>
      <c r="I290" s="764">
        <f>IFERROR(VLOOKUP(C290,[2]List1!$A:$D,4,FALSE),"NEUVEDENO!")</f>
        <v>12</v>
      </c>
      <c r="J290" s="732" t="s">
        <v>39</v>
      </c>
      <c r="K290" s="569" t="s">
        <v>20</v>
      </c>
      <c r="L290" s="569"/>
      <c r="M290" s="569" t="s">
        <v>114</v>
      </c>
      <c r="N290" s="569">
        <f>IFERROR(VLOOKUP(C290,[3]List1!$A:$D,4,FALSE),"N/A!")</f>
        <v>0.119988</v>
      </c>
      <c r="O290" s="569">
        <f>IFERROR(VLOOKUP(C290,[3]List1!$A:$D,3,FALSE),"N/A!")</f>
        <v>5820</v>
      </c>
      <c r="P290" s="569">
        <f>IFERROR(VLOOKUP(C290,[3]List1!$A:$D,2,FALSE),"N/A!")</f>
        <v>20000</v>
      </c>
      <c r="Q290" s="569" t="s">
        <v>12088</v>
      </c>
      <c r="R290" s="569" t="s">
        <v>20</v>
      </c>
      <c r="S290" s="569"/>
      <c r="T290" s="569"/>
      <c r="U290" s="569"/>
      <c r="V290" s="569"/>
      <c r="W290" s="569" t="str">
        <f>IFERROR(IF(AND($AB290&gt;=0.1*$AA290,MOD($AB290,$AA290)&gt;=($AA290-(0.1*$AA290))),IF($W$17=$AF$1,"Zvažte možnost doobjednání ještě "&amp;Tabulka1[[#This Row],[VKPAL]]-MOD(AB290,AA290)&amp;" VK do plné palety.",VLOOKUP("Zvažte možnost doobjednání ještě ",Jazyky_ceník!A:Q,MATCH($W$17,Jazyky_ceník!$A$1:$Q$1,0),FALSE)&amp;Tabulka1[[#This Row],[VKPAL]]-MOD(AB290,AA290)&amp;VLOOKUP(" VK do plné palety.",Jazyky_ceník!A:Q,MATCH($W$17,Jazyky_ceník!$A$1:$Q$1,0),FALSE)),IFERROR(IF(AND(NOT(MOD($AB290,$AA290)=0),$AB290&gt;=0.9*$AA290,MOD($AB290,$AA290)&lt;=0.1*$AA290),IF($W$17=$AF$1,"Zvažte možnost optimalizace objednaného množství podle počtu VK na paletě ==&gt;",VLOOKUP("Zvažte možnost optimalizace objednaného množství podle počtu VK na paletě ==&gt;",Jazyky_ceník!A:Q,MATCH($W$17,Jazyky_ceník!$A$1:$Q$1,0),FALSE)),VLOOKUP('General price list'!$C290,Popisy!A:M,MATCH($W$17,Popisy!$A$7:$M$7,0),FALSE)),"---------------")),IFERROR(VLOOKUP('General price list'!$C290,Popisy!A:M,MATCH($W$17,Popisy!$A$7:$M$7,0),FALSE),"---------------"))</f>
        <v>12 různobarevných efektů</v>
      </c>
      <c r="X290" s="569" t="str">
        <f t="shared" si="679"/>
        <v/>
      </c>
      <c r="Y290" s="569" t="str">
        <f t="shared" si="680"/>
        <v/>
      </c>
      <c r="Z290" s="569" t="str">
        <f>HYPERLINK("https://www.klasekpyrotechnics.cz/sp3cf2")</f>
        <v>https://www.klasekpyrotechnics.cz/sp3cf2</v>
      </c>
      <c r="AA290" s="569">
        <f>IFERROR(IF(VLOOKUP(C290,[4]List1!$A:$D,4,FALSE)=0,"",VLOOKUP(C290,[4]List1!$A:$D,4,FALSE)),"")</f>
        <v>10</v>
      </c>
      <c r="AB290" s="565"/>
      <c r="AC290" s="570" t="str">
        <f>IFERROR(IF(VLOOKUP(C290,[1]List1!$A:$D,2,FALSE)="VYPRODÁNO",$V$9,IF(VLOOKUP(C290,[1]List1!$A:$D,2,FALSE)="DOCHÁZÍ",$V$3,VLOOKUP(C290,[1]List1!$A:$D,2,FALSE))),"OFFLINE!")</f>
        <v>SKLADEM</v>
      </c>
      <c r="AD290" s="570" t="str">
        <f ca="1">IF(AP290="NE",$V$10,IF(AC290=$V$3,IF(AQ290&lt;1,$V$8,$V$2&amp;" "&amp;AQ290&amp;" "&amp;$V$1),IF(AC290="SKLADEM",$V$6,IFERROR(IF(OR(AC290-TODAY()&gt;45,VLOOKUP(C290,[1]List1!$A:$E,4,FALSE)=0),AC290,DAY(AC290)&amp;"."&amp;MONTH(AC290)&amp;"."&amp;YEAR(AC290)&amp;" "&amp;$V$4&amp;VLOOKUP(C290,[1]List1!$A:$E,4,FALSE)&amp;" "&amp;$V$1),AC290))))</f>
        <v>SKLADEM</v>
      </c>
      <c r="AE290" s="581" t="str">
        <f t="shared" ca="1" si="681"/>
        <v>SKLADEM</v>
      </c>
      <c r="AF290" s="584">
        <f t="shared" si="682"/>
        <v>0</v>
      </c>
      <c r="AG290" s="585">
        <f t="shared" si="683"/>
        <v>0</v>
      </c>
      <c r="AH290" s="583">
        <f t="shared" si="684"/>
        <v>0</v>
      </c>
      <c r="AI290" s="582">
        <f t="shared" si="685"/>
        <v>0</v>
      </c>
      <c r="AJ290" s="569">
        <f t="shared" si="686"/>
        <v>0</v>
      </c>
      <c r="AK290" s="569" t="str">
        <f t="shared" si="687"/>
        <v/>
      </c>
      <c r="AL290" s="569">
        <f t="shared" si="688"/>
        <v>0</v>
      </c>
      <c r="AM290" s="569" t="str">
        <f t="shared" si="689"/>
        <v/>
      </c>
      <c r="AN290" s="581">
        <f t="shared" si="690"/>
        <v>0</v>
      </c>
      <c r="AO290" s="623"/>
      <c r="AP290" s="632" t="str">
        <f t="shared" si="691"/>
        <v/>
      </c>
      <c r="AQ290" s="633" t="str">
        <f>IF(AC290=$V$3,IF(VLOOKUP(C290,[1]List1!$A:$E,5,FALSE)=0,1,VLOOKUP(C290,[1]List1!$A:$E,5,FALSE)),"")</f>
        <v/>
      </c>
      <c r="AR290" s="625" t="str">
        <f t="shared" si="692"/>
        <v/>
      </c>
      <c r="AS290" s="634" t="str">
        <f t="shared" si="693"/>
        <v/>
      </c>
      <c r="AT290" s="625" t="str">
        <f t="shared" si="694"/>
        <v/>
      </c>
      <c r="AU290" s="638" t="e">
        <f t="shared" si="695"/>
        <v>#N/A</v>
      </c>
      <c r="AV290" s="625" t="e">
        <f t="shared" si="696"/>
        <v>#N/A</v>
      </c>
      <c r="AX290" s="625">
        <f>IF(AND('General price list'!$J290="F4",'General price list'!$AB290+0&gt;0),1,0)</f>
        <v>0</v>
      </c>
      <c r="AY290" s="625">
        <f t="shared" si="697"/>
        <v>1</v>
      </c>
      <c r="AZ290" s="625">
        <f t="shared" si="698"/>
        <v>0</v>
      </c>
    </row>
    <row r="291" spans="1:52" ht="15" customHeight="1">
      <c r="A291" s="639" t="str">
        <f>Kat.!C291</f>
        <v/>
      </c>
      <c r="B291" s="640">
        <f>IF(AND('General price list'!$J291="F4",$AI$1=FALSE),0,IF(AC291="SKLADEM",1,IF(AC291=$V$3,1,0)))</f>
        <v>1</v>
      </c>
      <c r="C291" s="641" t="s">
        <v>12015</v>
      </c>
      <c r="D291" s="642" t="s">
        <v>762</v>
      </c>
      <c r="E291" s="643" t="s">
        <v>12734</v>
      </c>
      <c r="F291" s="771">
        <f>IFERROR(VLOOKUP(C291,[2]List1!$A:$D,3,FALSE),"NEUVEDENO!")</f>
        <v>912</v>
      </c>
      <c r="G291" s="768">
        <f t="shared" si="677"/>
        <v>912</v>
      </c>
      <c r="H291" s="765">
        <f t="shared" si="678"/>
        <v>38.74042639956162</v>
      </c>
      <c r="I291" s="644">
        <f>IFERROR(VLOOKUP(C291,[2]List1!$A:$D,4,FALSE),"NEUVEDENO!")</f>
        <v>10</v>
      </c>
      <c r="J291" s="733" t="s">
        <v>39</v>
      </c>
      <c r="K291" s="645" t="s">
        <v>20</v>
      </c>
      <c r="L291" s="645"/>
      <c r="M291" s="645" t="s">
        <v>114</v>
      </c>
      <c r="N291" s="645">
        <f>IFERROR(VLOOKUP(C291,[3]List1!$A:$D,4,FALSE),"N/A!")</f>
        <v>0.138432</v>
      </c>
      <c r="O291" s="645">
        <f>IFERROR(VLOOKUP(C291,[3]List1!$A:$D,3,FALSE),"N/A!")</f>
        <v>7650</v>
      </c>
      <c r="P291" s="645">
        <f>IFERROR(VLOOKUP(C291,[3]List1!$A:$D,2,FALSE),"N/A!")</f>
        <v>22500</v>
      </c>
      <c r="Q291" s="645" t="s">
        <v>11284</v>
      </c>
      <c r="R291" s="645" t="s">
        <v>20</v>
      </c>
      <c r="S291" s="645"/>
      <c r="T291" s="645"/>
      <c r="U291" s="645"/>
      <c r="V291" s="645"/>
      <c r="W291" s="645" t="str">
        <f>IFERROR(IF(AND($AB291&gt;=0.1*$AA291,MOD($AB291,$AA291)&gt;=($AA291-(0.1*$AA291))),IF($W$17=$AF$1,"Zvažte možnost doobjednání ještě "&amp;Tabulka1[[#This Row],[VKPAL]]-MOD(AB291,AA291)&amp;" VK do plné palety.",VLOOKUP("Zvažte možnost doobjednání ještě ",Jazyky_ceník!A:Q,MATCH($W$17,Jazyky_ceník!$A$1:$Q$1,0),FALSE)&amp;Tabulka1[[#This Row],[VKPAL]]-MOD(AB291,AA291)&amp;VLOOKUP(" VK do plné palety.",Jazyky_ceník!A:Q,MATCH($W$17,Jazyky_ceník!$A$1:$Q$1,0),FALSE)),IFERROR(IF(AND(NOT(MOD($AB291,$AA291)=0),$AB291&gt;=0.9*$AA291,MOD($AB291,$AA291)&lt;=0.1*$AA291),IF($W$17=$AF$1,"Zvažte možnost optimalizace objednaného množství podle počtu VK na paletě ==&gt;",VLOOKUP("Zvažte možnost optimalizace objednaného množství podle počtu VK na paletě ==&gt;",Jazyky_ceník!A:Q,MATCH($W$17,Jazyky_ceník!$A$1:$Q$1,0),FALSE)),VLOOKUP('General price list'!$C291,Popisy!A:M,MATCH($W$17,Popisy!$A$7:$M$7,0),FALSE)),"---------------")),IFERROR(VLOOKUP('General price list'!$C291,Popisy!A:M,MATCH($W$17,Popisy!$A$7:$M$7,0),FALSE),"---------------"))</f>
        <v>18 různobarevných efektů</v>
      </c>
      <c r="X291" s="645" t="str">
        <f t="shared" si="679"/>
        <v/>
      </c>
      <c r="Y291" s="645" t="str">
        <f t="shared" si="680"/>
        <v/>
      </c>
      <c r="Z291" s="645" t="str">
        <f>HYPERLINK("https://www.klasekpyrotechnics.cz/rs18tf2")</f>
        <v>https://www.klasekpyrotechnics.cz/rs18tf2</v>
      </c>
      <c r="AA291" s="645" t="str">
        <f>IFERROR(IF(VLOOKUP(C291,[4]List1!$A:$D,4,FALSE)=0,"",VLOOKUP(C291,[4]List1!$A:$D,4,FALSE)),"")</f>
        <v/>
      </c>
      <c r="AB291" s="646"/>
      <c r="AC291" s="647" t="str">
        <f>IFERROR(IF(VLOOKUP(C291,[1]List1!$A:$D,2,FALSE)="VYPRODÁNO",$V$9,IF(VLOOKUP(C291,[1]List1!$A:$D,2,FALSE)="DOCHÁZÍ",$V$3,VLOOKUP(C291,[1]List1!$A:$D,2,FALSE))),"OFFLINE!")</f>
        <v>SKLADEM</v>
      </c>
      <c r="AD291" s="647" t="str">
        <f ca="1">IF(AP291="NE",$V$10,IF(AC291=$V$3,IF(AQ291&lt;1,$V$8,$V$2&amp;" "&amp;AQ291&amp;" "&amp;$V$1),IF(AC291="SKLADEM",$V$6,IFERROR(IF(OR(AC291-TODAY()&gt;45,VLOOKUP(C291,[1]List1!$A:$E,4,FALSE)=0),AC291,DAY(AC291)&amp;"."&amp;MONTH(AC291)&amp;"."&amp;YEAR(AC291)&amp;" "&amp;$V$4&amp;VLOOKUP(C291,[1]List1!$A:$E,4,FALSE)&amp;" "&amp;$V$1),AC291))))</f>
        <v>SKLADEM</v>
      </c>
      <c r="AE291" s="645" t="str">
        <f t="shared" ca="1" si="681"/>
        <v>SKLADEM</v>
      </c>
      <c r="AF291" s="648">
        <f t="shared" si="682"/>
        <v>0</v>
      </c>
      <c r="AG291" s="649">
        <f t="shared" si="683"/>
        <v>0</v>
      </c>
      <c r="AH291" s="650">
        <f t="shared" si="684"/>
        <v>0</v>
      </c>
      <c r="AI291" s="645">
        <f t="shared" si="685"/>
        <v>0</v>
      </c>
      <c r="AJ291" s="645">
        <f t="shared" si="686"/>
        <v>0</v>
      </c>
      <c r="AK291" s="645" t="str">
        <f t="shared" si="687"/>
        <v/>
      </c>
      <c r="AL291" s="645">
        <f t="shared" si="688"/>
        <v>0</v>
      </c>
      <c r="AM291" s="645" t="str">
        <f t="shared" si="689"/>
        <v/>
      </c>
      <c r="AN291" s="651">
        <f t="shared" si="690"/>
        <v>0</v>
      </c>
      <c r="AO291" s="623"/>
      <c r="AP291" s="632" t="str">
        <f t="shared" si="691"/>
        <v/>
      </c>
      <c r="AQ291" s="633" t="str">
        <f>IF(AC291=$V$3,IF(VLOOKUP(C291,[1]List1!$A:$E,5,FALSE)=0,1,VLOOKUP(C291,[1]List1!$A:$E,5,FALSE)),"")</f>
        <v/>
      </c>
      <c r="AR291" s="625" t="str">
        <f t="shared" si="692"/>
        <v/>
      </c>
      <c r="AS291" s="634" t="str">
        <f t="shared" si="693"/>
        <v/>
      </c>
      <c r="AT291" s="625" t="str">
        <f t="shared" si="694"/>
        <v/>
      </c>
      <c r="AU291" s="638" t="e">
        <f t="shared" si="695"/>
        <v>#N/A</v>
      </c>
      <c r="AV291" s="625" t="e">
        <f t="shared" si="696"/>
        <v>#N/A</v>
      </c>
      <c r="AX291" s="625">
        <f>IF(AND('General price list'!$J291="F4",'General price list'!$AB291+0&gt;0),1,0)</f>
        <v>0</v>
      </c>
      <c r="AY291" s="625">
        <f t="shared" si="697"/>
        <v>1</v>
      </c>
      <c r="AZ291" s="625">
        <f t="shared" si="698"/>
        <v>0</v>
      </c>
    </row>
    <row r="292" spans="1:52" ht="15" customHeight="1">
      <c r="A292" s="621" t="str">
        <f>Kat.!C292</f>
        <v/>
      </c>
      <c r="B292" s="566">
        <f>IF(AND('General price list'!$J292="F4",$AI$1=FALSE),0,IF(AC292="SKLADEM",1,IF(AC292=$V$3,1,0)))</f>
        <v>1</v>
      </c>
      <c r="C292" s="567" t="s">
        <v>12016</v>
      </c>
      <c r="D292" s="568" t="s">
        <v>766</v>
      </c>
      <c r="E292" s="763" t="s">
        <v>12734</v>
      </c>
      <c r="F292" s="772">
        <f>IFERROR(VLOOKUP(C292,[2]List1!$A:$D,3,FALSE),"NEUVEDENO!")</f>
        <v>912</v>
      </c>
      <c r="G292" s="769">
        <f t="shared" si="677"/>
        <v>912</v>
      </c>
      <c r="H292" s="766">
        <f t="shared" si="678"/>
        <v>38.74042639956162</v>
      </c>
      <c r="I292" s="764">
        <f>IFERROR(VLOOKUP(C292,[2]List1!$A:$D,4,FALSE),"NEUVEDENO!")</f>
        <v>10</v>
      </c>
      <c r="J292" s="732" t="s">
        <v>39</v>
      </c>
      <c r="K292" s="569" t="s">
        <v>20</v>
      </c>
      <c r="L292" s="569"/>
      <c r="M292" s="569" t="s">
        <v>114</v>
      </c>
      <c r="N292" s="569">
        <f>IFERROR(VLOOKUP(C292,[3]List1!$A:$D,4,FALSE),"N/A!")</f>
        <v>0.138432</v>
      </c>
      <c r="O292" s="569">
        <f>IFERROR(VLOOKUP(C292,[3]List1!$A:$D,3,FALSE),"N/A!")</f>
        <v>7650</v>
      </c>
      <c r="P292" s="569">
        <f>IFERROR(VLOOKUP(C292,[3]List1!$A:$D,2,FALSE),"N/A!")</f>
        <v>22500</v>
      </c>
      <c r="Q292" s="569" t="s">
        <v>11284</v>
      </c>
      <c r="R292" s="569" t="s">
        <v>20</v>
      </c>
      <c r="S292" s="569"/>
      <c r="T292" s="569"/>
      <c r="U292" s="569"/>
      <c r="V292" s="569"/>
      <c r="W292" s="569" t="str">
        <f>IFERROR(IF(AND($AB292&gt;=0.1*$AA292,MOD($AB292,$AA292)&gt;=($AA292-(0.1*$AA292))),IF($W$17=$AF$1,"Zvažte možnost doobjednání ještě "&amp;Tabulka1[[#This Row],[VKPAL]]-MOD(AB292,AA292)&amp;" VK do plné palety.",VLOOKUP("Zvažte možnost doobjednání ještě ",Jazyky_ceník!A:Q,MATCH($W$17,Jazyky_ceník!$A$1:$Q$1,0),FALSE)&amp;Tabulka1[[#This Row],[VKPAL]]-MOD(AB292,AA292)&amp;VLOOKUP(" VK do plné palety.",Jazyky_ceník!A:Q,MATCH($W$17,Jazyky_ceník!$A$1:$Q$1,0),FALSE)),IFERROR(IF(AND(NOT(MOD($AB292,$AA292)=0),$AB292&gt;=0.9*$AA292,MOD($AB292,$AA292)&lt;=0.1*$AA292),IF($W$17=$AF$1,"Zvažte možnost optimalizace objednaného množství podle počtu VK na paletě ==&gt;",VLOOKUP("Zvažte možnost optimalizace objednaného množství podle počtu VK na paletě ==&gt;",Jazyky_ceník!A:Q,MATCH($W$17,Jazyky_ceník!$A$1:$Q$1,0),FALSE)),VLOOKUP('General price list'!$C292,Popisy!A:M,MATCH($W$17,Popisy!$A$7:$M$7,0),FALSE)),"---------------")),IFERROR(VLOOKUP('General price list'!$C292,Popisy!A:M,MATCH($W$17,Popisy!$A$7:$M$7,0),FALSE),"---------------"))</f>
        <v>18 různobarevných efektů</v>
      </c>
      <c r="X292" s="569" t="str">
        <f t="shared" si="679"/>
        <v/>
      </c>
      <c r="Y292" s="569" t="str">
        <f t="shared" si="680"/>
        <v/>
      </c>
      <c r="Z292" s="569" t="str">
        <f>HYPERLINK("https://www.klasekpyrotechnics.cz/rs18sf2")</f>
        <v>https://www.klasekpyrotechnics.cz/rs18sf2</v>
      </c>
      <c r="AA292" s="569" t="str">
        <f>IFERROR(IF(VLOOKUP(C292,[4]List1!$A:$D,4,FALSE)=0,"",VLOOKUP(C292,[4]List1!$A:$D,4,FALSE)),"")</f>
        <v/>
      </c>
      <c r="AB292" s="565"/>
      <c r="AC292" s="570" t="str">
        <f>IFERROR(IF(VLOOKUP(C292,[1]List1!$A:$D,2,FALSE)="VYPRODÁNO",$V$9,IF(VLOOKUP(C292,[1]List1!$A:$D,2,FALSE)="DOCHÁZÍ",$V$3,VLOOKUP(C292,[1]List1!$A:$D,2,FALSE))),"OFFLINE!")</f>
        <v>SKLADEM</v>
      </c>
      <c r="AD292" s="570" t="str">
        <f ca="1">IF(AP292="NE",$V$10,IF(AC292=$V$3,IF(AQ292&lt;1,$V$8,$V$2&amp;" "&amp;AQ292&amp;" "&amp;$V$1),IF(AC292="SKLADEM",$V$6,IFERROR(IF(OR(AC292-TODAY()&gt;45,VLOOKUP(C292,[1]List1!$A:$E,4,FALSE)=0),AC292,DAY(AC292)&amp;"."&amp;MONTH(AC292)&amp;"."&amp;YEAR(AC292)&amp;" "&amp;$V$4&amp;VLOOKUP(C292,[1]List1!$A:$E,4,FALSE)&amp;" "&amp;$V$1),AC292))))</f>
        <v>SKLADEM</v>
      </c>
      <c r="AE292" s="581" t="str">
        <f t="shared" ca="1" si="681"/>
        <v>SKLADEM</v>
      </c>
      <c r="AF292" s="584">
        <f t="shared" si="682"/>
        <v>0</v>
      </c>
      <c r="AG292" s="585">
        <f t="shared" si="683"/>
        <v>0</v>
      </c>
      <c r="AH292" s="583">
        <f t="shared" si="684"/>
        <v>0</v>
      </c>
      <c r="AI292" s="582">
        <f t="shared" si="685"/>
        <v>0</v>
      </c>
      <c r="AJ292" s="569">
        <f t="shared" si="686"/>
        <v>0</v>
      </c>
      <c r="AK292" s="569" t="str">
        <f t="shared" si="687"/>
        <v/>
      </c>
      <c r="AL292" s="569">
        <f t="shared" si="688"/>
        <v>0</v>
      </c>
      <c r="AM292" s="569" t="str">
        <f t="shared" si="689"/>
        <v/>
      </c>
      <c r="AN292" s="581">
        <f t="shared" si="690"/>
        <v>0</v>
      </c>
      <c r="AO292" s="623"/>
      <c r="AP292" s="632" t="str">
        <f t="shared" si="691"/>
        <v/>
      </c>
      <c r="AQ292" s="633" t="str">
        <f>IF(AC292=$V$3,IF(VLOOKUP(C292,[1]List1!$A:$E,5,FALSE)=0,1,VLOOKUP(C292,[1]List1!$A:$E,5,FALSE)),"")</f>
        <v/>
      </c>
      <c r="AR292" s="625" t="str">
        <f t="shared" si="692"/>
        <v/>
      </c>
      <c r="AS292" s="634" t="str">
        <f t="shared" si="693"/>
        <v/>
      </c>
      <c r="AT292" s="625" t="str">
        <f t="shared" si="694"/>
        <v/>
      </c>
      <c r="AU292" s="638" t="e">
        <f t="shared" si="695"/>
        <v>#N/A</v>
      </c>
      <c r="AV292" s="625" t="e">
        <f t="shared" si="696"/>
        <v>#N/A</v>
      </c>
      <c r="AX292" s="625">
        <f>IF(AND('General price list'!$J292="F4",'General price list'!$AB292+0&gt;0),1,0)</f>
        <v>0</v>
      </c>
      <c r="AY292" s="625">
        <f t="shared" si="697"/>
        <v>1</v>
      </c>
      <c r="AZ292" s="625">
        <f t="shared" si="698"/>
        <v>0</v>
      </c>
    </row>
    <row r="293" spans="1:52" ht="15" customHeight="1">
      <c r="A293" s="639" t="str">
        <f>Kat.!C293</f>
        <v/>
      </c>
      <c r="B293" s="640">
        <f>IF(AND('General price list'!$J293="F4",$AI$1=FALSE),0,IF(AC293="SKLADEM",1,IF(AC293=$V$3,1,0)))</f>
        <v>1</v>
      </c>
      <c r="C293" s="641" t="s">
        <v>2251</v>
      </c>
      <c r="D293" s="642" t="s">
        <v>2252</v>
      </c>
      <c r="E293" s="643" t="s">
        <v>12735</v>
      </c>
      <c r="F293" s="771">
        <f>IFERROR(VLOOKUP(C293,[2]List1!$A:$D,3,FALSE),"NEUVEDENO!")</f>
        <v>813</v>
      </c>
      <c r="G293" s="768">
        <f t="shared" si="677"/>
        <v>813</v>
      </c>
      <c r="H293" s="765">
        <f t="shared" si="678"/>
        <v>34.535051165398684</v>
      </c>
      <c r="I293" s="644">
        <f>IFERROR(VLOOKUP(C293,[2]List1!$A:$D,4,FALSE),"NEUVEDENO!")</f>
        <v>5</v>
      </c>
      <c r="J293" s="733" t="s">
        <v>39</v>
      </c>
      <c r="K293" s="645" t="s">
        <v>20</v>
      </c>
      <c r="L293" s="645" t="s">
        <v>15085</v>
      </c>
      <c r="M293" s="645" t="s">
        <v>21</v>
      </c>
      <c r="N293" s="645">
        <f>IFERROR(VLOOKUP(C293,[3]List1!$A:$D,4,FALSE),"N/A!")</f>
        <v>7.6960000000000001E-2</v>
      </c>
      <c r="O293" s="645">
        <f>IFERROR(VLOOKUP(C293,[3]List1!$A:$D,3,FALSE),"N/A!")</f>
        <v>2100</v>
      </c>
      <c r="P293" s="645">
        <f>IFERROR(VLOOKUP(C293,[3]List1!$A:$D,2,FALSE),"N/A!")</f>
        <v>10500</v>
      </c>
      <c r="Q293" s="645" t="s">
        <v>11282</v>
      </c>
      <c r="R293" s="645"/>
      <c r="S293" s="645"/>
      <c r="T293" s="645"/>
      <c r="U293" s="645"/>
      <c r="V293" s="645"/>
      <c r="W293" s="645" t="str">
        <f>IFERROR(IF(AND($AB293&gt;=0.1*$AA293,MOD($AB293,$AA293)&gt;=($AA293-(0.1*$AA293))),IF($W$17=$AF$1,"Zvažte možnost doobjednání ještě "&amp;Tabulka1[[#This Row],[VKPAL]]-MOD(AB293,AA293)&amp;" VK do plné palety.",VLOOKUP("Zvažte možnost doobjednání ještě ",Jazyky_ceník!A:Q,MATCH($W$17,Jazyky_ceník!$A$1:$Q$1,0),FALSE)&amp;Tabulka1[[#This Row],[VKPAL]]-MOD(AB293,AA293)&amp;VLOOKUP(" VK do plné palety.",Jazyky_ceník!A:Q,MATCH($W$17,Jazyky_ceník!$A$1:$Q$1,0),FALSE)),IFERROR(IF(AND(NOT(MOD($AB293,$AA293)=0),$AB293&gt;=0.9*$AA293,MOD($AB293,$AA293)&lt;=0.1*$AA293),IF($W$17=$AF$1,"Zvažte možnost optimalizace objednaného množství podle počtu VK na paletě ==&gt;",VLOOKUP("Zvažte možnost optimalizace objednaného množství podle počtu VK na paletě ==&gt;",Jazyky_ceník!A:Q,MATCH($W$17,Jazyky_ceník!$A$1:$Q$1,0),FALSE)),VLOOKUP('General price list'!$C293,Popisy!A:M,MATCH($W$17,Popisy!$A$7:$M$7,0),FALSE)),"---------------")),IFERROR(VLOOKUP('General price list'!$C293,Popisy!A:M,MATCH($W$17,Popisy!$A$7:$M$7,0),FALSE),"---------------"))</f>
        <v>21 různobarevných efektů</v>
      </c>
      <c r="X293" s="645" t="str">
        <f t="shared" si="679"/>
        <v/>
      </c>
      <c r="Y293" s="645" t="str">
        <f t="shared" si="680"/>
        <v/>
      </c>
      <c r="Z293" s="645" t="str">
        <f>HYPERLINK("https://www.klasekpyrotechnics.cz/rs21z14")</f>
        <v>https://www.klasekpyrotechnics.cz/rs21z14</v>
      </c>
      <c r="AA293" s="645">
        <f>IFERROR(IF(VLOOKUP(C293,[4]List1!$A:$D,4,FALSE)=0,"",VLOOKUP(C293,[4]List1!$A:$D,4,FALSE)),"")</f>
        <v>18</v>
      </c>
      <c r="AB293" s="646"/>
      <c r="AC293" s="647" t="str">
        <f>IFERROR(IF(VLOOKUP(C293,[1]List1!$A:$D,2,FALSE)="VYPRODÁNO",$V$9,IF(VLOOKUP(C293,[1]List1!$A:$D,2,FALSE)="DOCHÁZÍ",$V$3,VLOOKUP(C293,[1]List1!$A:$D,2,FALSE))),"OFFLINE!")</f>
        <v>SKLADEM</v>
      </c>
      <c r="AD293" s="647" t="str">
        <f ca="1">IF(AP293="NE",$V$10,IF(AC293=$V$3,IF(AQ293&lt;1,$V$8,$V$2&amp;" "&amp;AQ293&amp;" "&amp;$V$1),IF(AC293="SKLADEM",$V$6,IFERROR(IF(OR(AC293-TODAY()&gt;45,VLOOKUP(C293,[1]List1!$A:$E,4,FALSE)=0),AC293,DAY(AC293)&amp;"."&amp;MONTH(AC293)&amp;"."&amp;YEAR(AC293)&amp;" "&amp;$V$4&amp;VLOOKUP(C293,[1]List1!$A:$E,4,FALSE)&amp;" "&amp;$V$1),AC293))))</f>
        <v>SKLADEM</v>
      </c>
      <c r="AE293" s="645" t="str">
        <f t="shared" ca="1" si="681"/>
        <v>SKLADEM</v>
      </c>
      <c r="AF293" s="648">
        <f t="shared" si="682"/>
        <v>0</v>
      </c>
      <c r="AG293" s="649">
        <f t="shared" si="683"/>
        <v>0</v>
      </c>
      <c r="AH293" s="650">
        <f t="shared" si="684"/>
        <v>0</v>
      </c>
      <c r="AI293" s="645">
        <f t="shared" si="685"/>
        <v>0</v>
      </c>
      <c r="AJ293" s="645">
        <f t="shared" si="686"/>
        <v>0</v>
      </c>
      <c r="AK293" s="645" t="str">
        <f t="shared" si="687"/>
        <v/>
      </c>
      <c r="AL293" s="645" t="str">
        <f t="shared" si="688"/>
        <v/>
      </c>
      <c r="AM293" s="645">
        <f t="shared" si="689"/>
        <v>0</v>
      </c>
      <c r="AN293" s="651">
        <f t="shared" si="690"/>
        <v>0</v>
      </c>
      <c r="AO293" s="623"/>
      <c r="AP293" s="632" t="str">
        <f t="shared" si="691"/>
        <v/>
      </c>
      <c r="AQ293" s="633" t="str">
        <f>IF(AC293=$V$3,IF(VLOOKUP(C293,[1]List1!$A:$E,5,FALSE)=0,1,VLOOKUP(C293,[1]List1!$A:$E,5,FALSE)),"")</f>
        <v/>
      </c>
      <c r="AR293" s="625" t="str">
        <f t="shared" si="692"/>
        <v/>
      </c>
      <c r="AS293" s="634" t="str">
        <f t="shared" si="693"/>
        <v/>
      </c>
      <c r="AT293" s="625" t="str">
        <f t="shared" si="694"/>
        <v/>
      </c>
      <c r="AU293" s="638" t="e">
        <f t="shared" si="695"/>
        <v>#N/A</v>
      </c>
      <c r="AV293" s="625" t="e">
        <f t="shared" si="696"/>
        <v>#N/A</v>
      </c>
      <c r="AX293" s="625">
        <f>IF(AND('General price list'!$J293="F4",'General price list'!$AB293+0&gt;0),1,0)</f>
        <v>0</v>
      </c>
      <c r="AY293" s="625">
        <f t="shared" si="697"/>
        <v>1</v>
      </c>
      <c r="AZ293" s="625">
        <f t="shared" si="698"/>
        <v>0</v>
      </c>
    </row>
    <row r="294" spans="1:52" ht="15" customHeight="1">
      <c r="A294" s="621" t="str">
        <f>Kat.!C294</f>
        <v/>
      </c>
      <c r="B294" s="566">
        <f>IF(AND('General price list'!$J294="F4",$AI$1=FALSE),0,IF(AC294="SKLADEM",1,IF(AC294=$V$3,1,0)))</f>
        <v>1</v>
      </c>
      <c r="C294" s="567" t="s">
        <v>2253</v>
      </c>
      <c r="D294" s="568" t="s">
        <v>2254</v>
      </c>
      <c r="E294" s="763" t="s">
        <v>12736</v>
      </c>
      <c r="F294" s="772">
        <f>IFERROR(VLOOKUP(C294,[2]List1!$A:$D,3,FALSE),"NEUVEDENO!")</f>
        <v>1289</v>
      </c>
      <c r="G294" s="769">
        <f t="shared" si="677"/>
        <v>1289</v>
      </c>
      <c r="H294" s="766">
        <f t="shared" si="678"/>
        <v>54.754835119555842</v>
      </c>
      <c r="I294" s="764">
        <f>IFERROR(VLOOKUP(C294,[2]List1!$A:$D,4,FALSE),"NEUVEDENO!")</f>
        <v>6</v>
      </c>
      <c r="J294" s="732" t="s">
        <v>39</v>
      </c>
      <c r="K294" s="569" t="s">
        <v>20</v>
      </c>
      <c r="L294" s="569" t="s">
        <v>15084</v>
      </c>
      <c r="M294" s="569" t="s">
        <v>21</v>
      </c>
      <c r="N294" s="569">
        <f>IFERROR(VLOOKUP(C294,[3]List1!$A:$D,4,FALSE),"N/A!")</f>
        <v>0.13908399999999999</v>
      </c>
      <c r="O294" s="569">
        <f>IFERROR(VLOOKUP(C294,[3]List1!$A:$D,3,FALSE),"N/A!")</f>
        <v>3960</v>
      </c>
      <c r="P294" s="569">
        <f>IFERROR(VLOOKUP(C294,[3]List1!$A:$D,2,FALSE),"N/A!")</f>
        <v>20000</v>
      </c>
      <c r="Q294" s="569" t="s">
        <v>11285</v>
      </c>
      <c r="R294" s="569"/>
      <c r="S294" s="569"/>
      <c r="T294" s="569"/>
      <c r="U294" s="569"/>
      <c r="V294" s="569"/>
      <c r="W294" s="569" t="str">
        <f>IFERROR(IF(AND($AB294&gt;=0.1*$AA294,MOD($AB294,$AA294)&gt;=($AA294-(0.1*$AA294))),IF($W$17=$AF$1,"Zvažte možnost doobjednání ještě "&amp;Tabulka1[[#This Row],[VKPAL]]-MOD(AB294,AA294)&amp;" VK do plné palety.",VLOOKUP("Zvažte možnost doobjednání ještě ",Jazyky_ceník!A:Q,MATCH($W$17,Jazyky_ceník!$A$1:$Q$1,0),FALSE)&amp;Tabulka1[[#This Row],[VKPAL]]-MOD(AB294,AA294)&amp;VLOOKUP(" VK do plné palety.",Jazyky_ceník!A:Q,MATCH($W$17,Jazyky_ceník!$A$1:$Q$1,0),FALSE)),IFERROR(IF(AND(NOT(MOD($AB294,$AA294)=0),$AB294&gt;=0.9*$AA294,MOD($AB294,$AA294)&lt;=0.1*$AA294),IF($W$17=$AF$1,"Zvažte možnost optimalizace objednaného množství podle počtu VK na paletě ==&gt;",VLOOKUP("Zvažte možnost optimalizace objednaného množství podle počtu VK na paletě ==&gt;",Jazyky_ceník!A:Q,MATCH($W$17,Jazyky_ceník!$A$1:$Q$1,0),FALSE)),VLOOKUP('General price list'!$C294,Popisy!A:M,MATCH($W$17,Popisy!$A$7:$M$7,0),FALSE)),"---------------")),IFERROR(VLOOKUP('General price list'!$C294,Popisy!A:M,MATCH($W$17,Popisy!$A$7:$M$7,0),FALSE),"---------------"))</f>
        <v>33 různobarevných efektů</v>
      </c>
      <c r="X294" s="569" t="str">
        <f t="shared" si="679"/>
        <v/>
      </c>
      <c r="Y294" s="569" t="str">
        <f t="shared" si="680"/>
        <v/>
      </c>
      <c r="Z294" s="569" t="str">
        <f>HYPERLINK("https://www.klasekpyrotechnics.cz/rs33r14")</f>
        <v>https://www.klasekpyrotechnics.cz/rs33r14</v>
      </c>
      <c r="AA294" s="569">
        <f>IFERROR(IF(VLOOKUP(C294,[4]List1!$A:$D,4,FALSE)=0,"",VLOOKUP(C294,[4]List1!$A:$D,4,FALSE)),"")</f>
        <v>8</v>
      </c>
      <c r="AB294" s="565"/>
      <c r="AC294" s="570" t="str">
        <f>IFERROR(IF(VLOOKUP(C294,[1]List1!$A:$D,2,FALSE)="VYPRODÁNO",$V$9,IF(VLOOKUP(C294,[1]List1!$A:$D,2,FALSE)="DOCHÁZÍ",$V$3,VLOOKUP(C294,[1]List1!$A:$D,2,FALSE))),"OFFLINE!")</f>
        <v>SKLADEM</v>
      </c>
      <c r="AD294" s="570" t="str">
        <f ca="1">IF(AP294="NE",$V$10,IF(AC294=$V$3,IF(AQ294&lt;1,$V$8,$V$2&amp;" "&amp;AQ294&amp;" "&amp;$V$1),IF(AC294="SKLADEM",$V$6,IFERROR(IF(OR(AC294-TODAY()&gt;45,VLOOKUP(C294,[1]List1!$A:$E,4,FALSE)=0),AC294,DAY(AC294)&amp;"."&amp;MONTH(AC294)&amp;"."&amp;YEAR(AC294)&amp;" "&amp;$V$4&amp;VLOOKUP(C294,[1]List1!$A:$E,4,FALSE)&amp;" "&amp;$V$1),AC294))))</f>
        <v>SKLADEM</v>
      </c>
      <c r="AE294" s="581" t="str">
        <f t="shared" ca="1" si="681"/>
        <v>SKLADEM</v>
      </c>
      <c r="AF294" s="584">
        <f t="shared" si="682"/>
        <v>0</v>
      </c>
      <c r="AG294" s="585">
        <f t="shared" si="683"/>
        <v>0</v>
      </c>
      <c r="AH294" s="583">
        <f t="shared" si="684"/>
        <v>0</v>
      </c>
      <c r="AI294" s="582">
        <f t="shared" si="685"/>
        <v>0</v>
      </c>
      <c r="AJ294" s="569">
        <f t="shared" si="686"/>
        <v>0</v>
      </c>
      <c r="AK294" s="569" t="str">
        <f t="shared" si="687"/>
        <v/>
      </c>
      <c r="AL294" s="569" t="str">
        <f t="shared" si="688"/>
        <v/>
      </c>
      <c r="AM294" s="569">
        <f t="shared" si="689"/>
        <v>0</v>
      </c>
      <c r="AN294" s="581">
        <f t="shared" si="690"/>
        <v>0</v>
      </c>
      <c r="AO294" s="623"/>
      <c r="AP294" s="632" t="str">
        <f t="shared" si="691"/>
        <v/>
      </c>
      <c r="AQ294" s="633" t="str">
        <f>IF(AC294=$V$3,IF(VLOOKUP(C294,[1]List1!$A:$E,5,FALSE)=0,1,VLOOKUP(C294,[1]List1!$A:$E,5,FALSE)),"")</f>
        <v/>
      </c>
      <c r="AR294" s="625" t="str">
        <f t="shared" si="692"/>
        <v/>
      </c>
      <c r="AS294" s="634" t="str">
        <f t="shared" si="693"/>
        <v/>
      </c>
      <c r="AT294" s="625" t="str">
        <f t="shared" si="694"/>
        <v/>
      </c>
      <c r="AU294" s="638" t="e">
        <f t="shared" si="695"/>
        <v>#N/A</v>
      </c>
      <c r="AV294" s="625" t="e">
        <f t="shared" si="696"/>
        <v>#N/A</v>
      </c>
      <c r="AX294" s="625">
        <f>IF(AND('General price list'!$J294="F4",'General price list'!$AB294+0&gt;0),1,0)</f>
        <v>0</v>
      </c>
      <c r="AY294" s="625">
        <f t="shared" si="697"/>
        <v>1</v>
      </c>
      <c r="AZ294" s="625">
        <f t="shared" si="698"/>
        <v>0</v>
      </c>
    </row>
    <row r="295" spans="1:52" ht="15" customHeight="1">
      <c r="A295" s="639" t="str">
        <f>Kat.!C295</f>
        <v/>
      </c>
      <c r="B295" s="640">
        <f>IF(AND('General price list'!$J295="F4",$AI$1=FALSE),0,IF(AC295="SKLADEM",1,IF(AC295=$V$3,1,0)))</f>
        <v>1</v>
      </c>
      <c r="C295" s="641" t="s">
        <v>770</v>
      </c>
      <c r="D295" s="642" t="s">
        <v>771</v>
      </c>
      <c r="E295" s="643" t="s">
        <v>12737</v>
      </c>
      <c r="F295" s="771">
        <f>IFERROR(VLOOKUP(C295,[2]List1!$A:$D,3,FALSE),"NEUVEDENO!")</f>
        <v>427</v>
      </c>
      <c r="G295" s="768">
        <f t="shared" si="677"/>
        <v>427</v>
      </c>
      <c r="H295" s="765">
        <f t="shared" si="678"/>
        <v>18.138335605935101</v>
      </c>
      <c r="I295" s="644">
        <f>IFERROR(VLOOKUP(C295,[2]List1!$A:$D,4,FALSE),"NEUVEDENO!")</f>
        <v>8</v>
      </c>
      <c r="J295" s="733" t="s">
        <v>39</v>
      </c>
      <c r="K295" s="645" t="s">
        <v>20</v>
      </c>
      <c r="L295" s="645" t="s">
        <v>15087</v>
      </c>
      <c r="M295" s="645" t="s">
        <v>114</v>
      </c>
      <c r="N295" s="645">
        <f>IFERROR(VLOOKUP(C295,[3]List1!$A:$D,4,FALSE),"N/A!")</f>
        <v>7.3079999999999992E-2</v>
      </c>
      <c r="O295" s="645">
        <f>IFERROR(VLOOKUP(C295,[3]List1!$A:$D,3,FALSE),"N/A!")</f>
        <v>3000</v>
      </c>
      <c r="P295" s="645">
        <f>IFERROR(VLOOKUP(C295,[3]List1!$A:$D,2,FALSE),"N/A!")</f>
        <v>9000</v>
      </c>
      <c r="Q295" s="645" t="s">
        <v>11282</v>
      </c>
      <c r="R295" s="645"/>
      <c r="S295" s="645"/>
      <c r="T295" s="645"/>
      <c r="U295" s="645"/>
      <c r="V295" s="645"/>
      <c r="W295" s="645" t="str">
        <f>IFERROR(IF(AND($AB295&gt;=0.1*$AA295,MOD($AB295,$AA295)&gt;=($AA295-(0.1*$AA295))),IF($W$17=$AF$1,"Zvažte možnost doobjednání ještě "&amp;Tabulka1[[#This Row],[VKPAL]]-MOD(AB295,AA295)&amp;" VK do plné palety.",VLOOKUP("Zvažte možnost doobjednání ještě ",Jazyky_ceník!A:Q,MATCH($W$17,Jazyky_ceník!$A$1:$Q$1,0),FALSE)&amp;Tabulka1[[#This Row],[VKPAL]]-MOD(AB295,AA295)&amp;VLOOKUP(" VK do plné palety.",Jazyky_ceník!A:Q,MATCH($W$17,Jazyky_ceník!$A$1:$Q$1,0),FALSE)),IFERROR(IF(AND(NOT(MOD($AB295,$AA295)=0),$AB295&gt;=0.9*$AA295,MOD($AB295,$AA295)&lt;=0.1*$AA295),IF($W$17=$AF$1,"Zvažte možnost optimalizace objednaného množství podle počtu VK na paletě ==&gt;",VLOOKUP("Zvažte možnost optimalizace objednaného množství podle počtu VK na paletě ==&gt;",Jazyky_ceník!A:Q,MATCH($W$17,Jazyky_ceník!$A$1:$Q$1,0),FALSE)),VLOOKUP('General price list'!$C295,Popisy!A:M,MATCH($W$17,Popisy!$A$7:$M$7,0),FALSE)),"---------------")),IFERROR(VLOOKUP('General price list'!$C295,Popisy!A:M,MATCH($W$17,Popisy!$A$7:$M$7,0),FALSE),"---------------"))</f>
        <v>5 různobarevné efekty</v>
      </c>
      <c r="X295" s="645" t="str">
        <f t="shared" si="679"/>
        <v/>
      </c>
      <c r="Y295" s="645" t="str">
        <f t="shared" si="680"/>
        <v/>
      </c>
      <c r="Z295" s="645" t="str">
        <f>HYPERLINK("https://www.klasekpyrotechnics.cz/rssf2")</f>
        <v>https://www.klasekpyrotechnics.cz/rssf2</v>
      </c>
      <c r="AA295" s="645" t="str">
        <f>IFERROR(IF(VLOOKUP(C295,[4]List1!$A:$D,4,FALSE)=0,"",VLOOKUP(C295,[4]List1!$A:$D,4,FALSE)),"")</f>
        <v>18</v>
      </c>
      <c r="AB295" s="646"/>
      <c r="AC295" s="647" t="str">
        <f>IFERROR(IF(VLOOKUP(C295,[1]List1!$A:$D,2,FALSE)="VYPRODÁNO",$V$9,IF(VLOOKUP(C295,[1]List1!$A:$D,2,FALSE)="DOCHÁZÍ",$V$3,VLOOKUP(C295,[1]List1!$A:$D,2,FALSE))),"OFFLINE!")</f>
        <v>SKLADEM</v>
      </c>
      <c r="AD295" s="647" t="str">
        <f ca="1">IF(AP295="NE",$V$10,IF(AC295=$V$3,IF(AQ295&lt;1,$V$8,$V$2&amp;" "&amp;AQ295&amp;" "&amp;$V$1),IF(AC295="SKLADEM",$V$6,IFERROR(IF(OR(AC295-TODAY()&gt;45,VLOOKUP(C295,[1]List1!$A:$E,4,FALSE)=0),AC295,DAY(AC295)&amp;"."&amp;MONTH(AC295)&amp;"."&amp;YEAR(AC295)&amp;" "&amp;$V$4&amp;VLOOKUP(C295,[1]List1!$A:$E,4,FALSE)&amp;" "&amp;$V$1),AC295))))</f>
        <v>SKLADEM</v>
      </c>
      <c r="AE295" s="645" t="str">
        <f t="shared" ca="1" si="681"/>
        <v>SKLADEM</v>
      </c>
      <c r="AF295" s="648">
        <f t="shared" si="682"/>
        <v>0</v>
      </c>
      <c r="AG295" s="649">
        <f t="shared" si="683"/>
        <v>0</v>
      </c>
      <c r="AH295" s="650">
        <f t="shared" si="684"/>
        <v>0</v>
      </c>
      <c r="AI295" s="645">
        <f t="shared" si="685"/>
        <v>0</v>
      </c>
      <c r="AJ295" s="645">
        <f t="shared" si="686"/>
        <v>0</v>
      </c>
      <c r="AK295" s="645" t="str">
        <f t="shared" si="687"/>
        <v/>
      </c>
      <c r="AL295" s="645">
        <f t="shared" si="688"/>
        <v>0</v>
      </c>
      <c r="AM295" s="645" t="str">
        <f t="shared" si="689"/>
        <v/>
      </c>
      <c r="AN295" s="651">
        <f t="shared" si="690"/>
        <v>0</v>
      </c>
      <c r="AO295" s="623"/>
      <c r="AP295" s="632" t="str">
        <f t="shared" si="691"/>
        <v/>
      </c>
      <c r="AQ295" s="633" t="str">
        <f>IF(AC295=$V$3,IF(VLOOKUP(C295,[1]List1!$A:$E,5,FALSE)=0,1,VLOOKUP(C295,[1]List1!$A:$E,5,FALSE)),"")</f>
        <v/>
      </c>
      <c r="AR295" s="625" t="str">
        <f t="shared" si="692"/>
        <v/>
      </c>
      <c r="AS295" s="634" t="str">
        <f t="shared" si="693"/>
        <v/>
      </c>
      <c r="AT295" s="625" t="str">
        <f t="shared" si="694"/>
        <v/>
      </c>
      <c r="AU295" s="638" t="e">
        <f t="shared" si="695"/>
        <v>#N/A</v>
      </c>
      <c r="AV295" s="625" t="e">
        <f t="shared" si="696"/>
        <v>#N/A</v>
      </c>
      <c r="AX295" s="625">
        <f>IF(AND('General price list'!$J295="F4",'General price list'!$AB295+0&gt;0),1,0)</f>
        <v>0</v>
      </c>
      <c r="AY295" s="625">
        <f t="shared" si="697"/>
        <v>1</v>
      </c>
      <c r="AZ295" s="625">
        <f t="shared" si="698"/>
        <v>0</v>
      </c>
    </row>
    <row r="296" spans="1:52" ht="15" customHeight="1">
      <c r="A296" s="621" t="str">
        <f>Kat.!C296</f>
        <v/>
      </c>
      <c r="B296" s="566">
        <f>IF(AND('General price list'!$J296="F4",$AI$1=FALSE),0,IF(AC296="SKLADEM",1,IF(AC296=$V$3,1,0)))</f>
        <v>1</v>
      </c>
      <c r="C296" s="567" t="s">
        <v>11204</v>
      </c>
      <c r="D296" s="568" t="s">
        <v>11205</v>
      </c>
      <c r="E296" s="763" t="s">
        <v>12738</v>
      </c>
      <c r="F296" s="772">
        <f>IFERROR(VLOOKUP(C296,[2]List1!$A:$D,3,FALSE),"NEUVEDENO!")</f>
        <v>718</v>
      </c>
      <c r="G296" s="769">
        <f t="shared" si="677"/>
        <v>718</v>
      </c>
      <c r="H296" s="766">
        <f t="shared" si="678"/>
        <v>30.499590082111013</v>
      </c>
      <c r="I296" s="764">
        <f>IFERROR(VLOOKUP(C296,[2]List1!$A:$D,4,FALSE),"NEUVEDENO!")</f>
        <v>8</v>
      </c>
      <c r="J296" s="732" t="s">
        <v>39</v>
      </c>
      <c r="K296" s="569" t="s">
        <v>20</v>
      </c>
      <c r="L296" s="569"/>
      <c r="M296" s="569" t="s">
        <v>114</v>
      </c>
      <c r="N296" s="569">
        <f>IFERROR(VLOOKUP(C296,[3]List1!$A:$D,4,FALSE),"N/A!")</f>
        <v>0.100842</v>
      </c>
      <c r="O296" s="569">
        <f>IFERROR(VLOOKUP(C296,[3]List1!$A:$D,3,FALSE),"N/A!")</f>
        <v>3600</v>
      </c>
      <c r="P296" s="569">
        <f>IFERROR(VLOOKUP(C296,[3]List1!$A:$D,2,FALSE),"N/A!")</f>
        <v>7000</v>
      </c>
      <c r="Q296" s="569" t="s">
        <v>11282</v>
      </c>
      <c r="R296" s="569"/>
      <c r="S296" s="569"/>
      <c r="T296" s="569"/>
      <c r="U296" s="569"/>
      <c r="V296" s="569"/>
      <c r="W296" s="569" t="str">
        <f>IFERROR(IF(AND($AB296&gt;=0.1*$AA296,MOD($AB296,$AA296)&gt;=($AA296-(0.1*$AA296))),IF($W$17=$AF$1,"Zvažte možnost doobjednání ještě "&amp;Tabulka1[[#This Row],[VKPAL]]-MOD(AB296,AA296)&amp;" VK do plné palety.",VLOOKUP("Zvažte možnost doobjednání ještě ",Jazyky_ceník!A:Q,MATCH($W$17,Jazyky_ceník!$A$1:$Q$1,0),FALSE)&amp;Tabulka1[[#This Row],[VKPAL]]-MOD(AB296,AA296)&amp;VLOOKUP(" VK do plné palety.",Jazyky_ceník!A:Q,MATCH($W$17,Jazyky_ceník!$A$1:$Q$1,0),FALSE)),IFERROR(IF(AND(NOT(MOD($AB296,$AA296)=0),$AB296&gt;=0.9*$AA296,MOD($AB296,$AA296)&lt;=0.1*$AA296),IF($W$17=$AF$1,"Zvažte možnost optimalizace objednaného množství podle počtu VK na paletě ==&gt;",VLOOKUP("Zvažte možnost optimalizace objednaného množství podle počtu VK na paletě ==&gt;",Jazyky_ceník!A:Q,MATCH($W$17,Jazyky_ceník!$A$1:$Q$1,0),FALSE)),VLOOKUP('General price list'!$C296,Popisy!A:M,MATCH($W$17,Popisy!$A$7:$M$7,0),FALSE)),"---------------")),IFERROR(VLOOKUP('General price list'!$C296,Popisy!A:M,MATCH($W$17,Popisy!$A$7:$M$7,0),FALSE),"---------------"))</f>
        <v>6 různobarevných efektu</v>
      </c>
      <c r="X296" s="569" t="str">
        <f t="shared" si="679"/>
        <v/>
      </c>
      <c r="Y296" s="569" t="str">
        <f t="shared" si="680"/>
        <v/>
      </c>
      <c r="Z296" s="569" t="str">
        <f>HYPERLINK("https://www.klasekpyrotechnics.cz/rss75")</f>
        <v>https://www.klasekpyrotechnics.cz/rss75</v>
      </c>
      <c r="AA296" s="569">
        <f>IFERROR(IF(VLOOKUP(C296,[4]List1!$A:$D,4,FALSE)=0,"",VLOOKUP(C296,[4]List1!$A:$D,4,FALSE)),"")</f>
        <v>12</v>
      </c>
      <c r="AB296" s="565"/>
      <c r="AC296" s="570" t="str">
        <f>IFERROR(IF(VLOOKUP(C296,[1]List1!$A:$D,2,FALSE)="VYPRODÁNO",$V$9,IF(VLOOKUP(C296,[1]List1!$A:$D,2,FALSE)="DOCHÁZÍ",$V$3,VLOOKUP(C296,[1]List1!$A:$D,2,FALSE))),"OFFLINE!")</f>
        <v>SKLADEM</v>
      </c>
      <c r="AD296" s="570" t="str">
        <f ca="1">IF(AP296="NE",$V$10,IF(AC296=$V$3,IF(AQ296&lt;1,$V$8,$V$2&amp;" "&amp;AQ296&amp;" "&amp;$V$1),IF(AC296="SKLADEM",$V$6,IFERROR(IF(OR(AC296-TODAY()&gt;45,VLOOKUP(C296,[1]List1!$A:$E,4,FALSE)=0),AC296,DAY(AC296)&amp;"."&amp;MONTH(AC296)&amp;"."&amp;YEAR(AC296)&amp;" "&amp;$V$4&amp;VLOOKUP(C296,[1]List1!$A:$E,4,FALSE)&amp;" "&amp;$V$1),AC296))))</f>
        <v>SKLADEM</v>
      </c>
      <c r="AE296" s="581" t="str">
        <f t="shared" ca="1" si="681"/>
        <v>SKLADEM</v>
      </c>
      <c r="AF296" s="584">
        <f t="shared" si="682"/>
        <v>0</v>
      </c>
      <c r="AG296" s="585">
        <f t="shared" si="683"/>
        <v>0</v>
      </c>
      <c r="AH296" s="583">
        <f t="shared" si="684"/>
        <v>0</v>
      </c>
      <c r="AI296" s="582">
        <f t="shared" si="685"/>
        <v>0</v>
      </c>
      <c r="AJ296" s="569">
        <f t="shared" si="686"/>
        <v>0</v>
      </c>
      <c r="AK296" s="569" t="str">
        <f t="shared" si="687"/>
        <v/>
      </c>
      <c r="AL296" s="569">
        <f t="shared" si="688"/>
        <v>0</v>
      </c>
      <c r="AM296" s="569" t="str">
        <f t="shared" si="689"/>
        <v/>
      </c>
      <c r="AN296" s="581">
        <f t="shared" si="690"/>
        <v>0</v>
      </c>
      <c r="AO296" s="623"/>
      <c r="AP296" s="632" t="str">
        <f t="shared" si="691"/>
        <v/>
      </c>
      <c r="AQ296" s="633" t="str">
        <f>IF(AC296=$V$3,IF(VLOOKUP(C296,[1]List1!$A:$E,5,FALSE)=0,1,VLOOKUP(C296,[1]List1!$A:$E,5,FALSE)),"")</f>
        <v/>
      </c>
      <c r="AR296" s="625" t="str">
        <f t="shared" si="692"/>
        <v/>
      </c>
      <c r="AS296" s="634" t="str">
        <f t="shared" si="693"/>
        <v/>
      </c>
      <c r="AT296" s="625" t="str">
        <f t="shared" si="694"/>
        <v/>
      </c>
      <c r="AU296" s="638" t="e">
        <f t="shared" si="695"/>
        <v>#N/A</v>
      </c>
      <c r="AV296" s="625" t="e">
        <f t="shared" si="696"/>
        <v>#N/A</v>
      </c>
      <c r="AX296" s="625">
        <f>IF(AND('General price list'!$J296="F4",'General price list'!$AB296+0&gt;0),1,0)</f>
        <v>0</v>
      </c>
      <c r="AY296" s="625">
        <f t="shared" si="697"/>
        <v>1</v>
      </c>
      <c r="AZ296" s="625">
        <f t="shared" si="698"/>
        <v>0</v>
      </c>
    </row>
    <row r="297" spans="1:52" ht="15" customHeight="1">
      <c r="A297" s="751" t="str">
        <f>Kat.!C297</f>
        <v xml:space="preserve">           Raketové sety F3</v>
      </c>
      <c r="B297" s="751"/>
      <c r="C297" s="751"/>
      <c r="D297" s="751"/>
      <c r="E297" s="751"/>
      <c r="F297" s="751"/>
      <c r="G297" s="751"/>
      <c r="H297" s="751"/>
      <c r="I297" s="752"/>
      <c r="J297" s="752"/>
      <c r="K297" s="752" t="s">
        <v>20</v>
      </c>
      <c r="L297" s="753" t="s">
        <v>20</v>
      </c>
      <c r="M297" s="752"/>
      <c r="N297" s="752"/>
      <c r="O297" s="752"/>
      <c r="P297" s="752"/>
      <c r="Q297" s="752"/>
      <c r="R297" s="752"/>
      <c r="S297" s="752"/>
      <c r="T297" s="752"/>
      <c r="U297" s="752"/>
      <c r="V297" s="752"/>
      <c r="W297" s="752"/>
      <c r="X297" s="752"/>
      <c r="Y297" s="752"/>
      <c r="Z297" s="752" t="s">
        <v>20</v>
      </c>
      <c r="AA297" s="752"/>
      <c r="AB297" s="752"/>
      <c r="AC297" s="754"/>
      <c r="AD297" s="752"/>
      <c r="AE297" s="752"/>
      <c r="AF297" s="752"/>
      <c r="AG297" s="752"/>
      <c r="AH297" s="752"/>
      <c r="AI297" s="752"/>
      <c r="AJ297" s="752"/>
      <c r="AK297" s="752"/>
      <c r="AL297" s="752"/>
      <c r="AM297" s="752"/>
      <c r="AN297" s="752"/>
      <c r="AO297" s="623"/>
      <c r="AP297" s="632" t="str">
        <f t="shared" ref="AP297:AP307" si="699">IF($AL$3=1,IF(Y297=AB297,"","NE"),IF(AR297=$V$10,"NE",""))</f>
        <v/>
      </c>
      <c r="AQ297" s="633" t="str">
        <f>IF(AC297=$V$3,IF(VLOOKUP(C297,[1]List1!$A:$E,5,FALSE)=0,1,VLOOKUP(C297,[1]List1!$A:$E,5,FALSE)),"")</f>
        <v/>
      </c>
      <c r="AR297" s="625" t="str">
        <f t="shared" ref="AR297:AR307" si="700">IF($AL$3=1,"",IF(OR(AB297&lt;&gt;"",AB297&lt;&gt;0),IF(OR(AC297=$V$6,AC297=$V$3,AC297=$V$9),$V$10,""),""))</f>
        <v/>
      </c>
      <c r="AS297" s="634" t="str">
        <f t="shared" ref="AS297:AS307" si="701">IF(AT297&lt;&gt;"","X","")</f>
        <v/>
      </c>
      <c r="AT297" s="625" t="str">
        <f t="shared" ref="AT297:AT307" si="702">IF(AND($AL$3=2,AR297="",AB297&lt;&gt;""),AD297,"")</f>
        <v/>
      </c>
      <c r="AU297" s="638" t="e">
        <f t="shared" ref="AU297:AU307" si="703">IF(AT297=$AS$21,AB297,"")</f>
        <v>#N/A</v>
      </c>
      <c r="AV297" s="625" t="e">
        <f t="shared" ref="AV297:AV307" si="704">IF(OR(AB297="",AND(AT297&lt;&gt;"",AU297&lt;&gt;"")),"",$V$10)</f>
        <v>#N/A</v>
      </c>
      <c r="AX297" s="625">
        <f>IF(AND('General price list'!$J297="F4",'General price list'!$AB297+0&gt;0),1,0)</f>
        <v>0</v>
      </c>
      <c r="AY297" s="625">
        <f t="shared" ref="AY297:AY307" si="705">IFERROR(FIND(VLOOKUP($AC$7,$AD$1:$AE$12,2,FALSE),Q297,1),0)</f>
        <v>0</v>
      </c>
      <c r="AZ297" s="625">
        <f t="shared" ref="AZ297:AZ307" si="706">IFERROR(FIND(VLOOKUP($AC$7,$AD$1:$AE$12,2,FALSE),R297,1),0)</f>
        <v>0</v>
      </c>
    </row>
    <row r="298" spans="1:52" ht="15" customHeight="1">
      <c r="A298" s="639" t="str">
        <f>Kat.!C298</f>
        <v/>
      </c>
      <c r="B298" s="640">
        <f>IF(AND('General price list'!$J298="F4",$AI$1=FALSE),0,IF(AC298="SKLADEM",1,IF(AC298=$V$3,1,0)))</f>
        <v>1</v>
      </c>
      <c r="C298" s="641" t="s">
        <v>773</v>
      </c>
      <c r="D298" s="642" t="s">
        <v>774</v>
      </c>
      <c r="E298" s="643" t="s">
        <v>12650</v>
      </c>
      <c r="F298" s="771">
        <f>IFERROR(VLOOKUP(C298,[2]List1!$A:$D,3,FALSE),"NEUVEDENO!")</f>
        <v>146</v>
      </c>
      <c r="G298" s="768">
        <f t="shared" ref="G298:G307" si="707">IF($W$17=$AF$8,ROUND((F298)/$F$17,2),(F298)*$B$19)</f>
        <v>146</v>
      </c>
      <c r="H298" s="765">
        <f t="shared" ref="H298:H307" si="708">IF($W$17=$AF$8,G298*$B$19,G298/$F$17)</f>
        <v>6.2018665069473649</v>
      </c>
      <c r="I298" s="644">
        <f>IFERROR(VLOOKUP(C298,[2]List1!$A:$D,4,FALSE),"NEUVEDENO!")</f>
        <v>24</v>
      </c>
      <c r="J298" s="733" t="s">
        <v>113</v>
      </c>
      <c r="K298" s="645" t="s">
        <v>20</v>
      </c>
      <c r="L298" s="645" t="s">
        <v>20</v>
      </c>
      <c r="M298" s="645" t="s">
        <v>114</v>
      </c>
      <c r="N298" s="645">
        <f>IFERROR(VLOOKUP(C298,[3]List1!$A:$D,4,FALSE),"N/A!")</f>
        <v>5.8589999999999996E-2</v>
      </c>
      <c r="O298" s="645">
        <f>IFERROR(VLOOKUP(C298,[3]List1!$A:$D,3,FALSE),"N/A!")</f>
        <v>3840</v>
      </c>
      <c r="P298" s="645">
        <f>IFERROR(VLOOKUP(C298,[3]List1!$A:$D,2,FALSE),"N/A!")</f>
        <v>10500</v>
      </c>
      <c r="Q298" s="645" t="s">
        <v>11748</v>
      </c>
      <c r="R298" s="645"/>
      <c r="S298" s="645"/>
      <c r="T298" s="645"/>
      <c r="U298" s="645"/>
      <c r="V298" s="645"/>
      <c r="W298" s="645" t="str">
        <f>IFERROR(IF(AND($AB298&gt;=0.1*$AA298,MOD($AB298,$AA298)&gt;=($AA298-(0.1*$AA298))),IF($W$17=$AF$1,"Zvažte možnost doobjednání ještě "&amp;Tabulka1[[#This Row],[VKPAL]]-MOD(AB298,AA298)&amp;" VK do plné palety.",VLOOKUP("Zvažte možnost doobjednání ještě ",Jazyky_ceník!A:Q,MATCH($W$17,Jazyky_ceník!$A$1:$Q$1,0),FALSE)&amp;Tabulka1[[#This Row],[VKPAL]]-MOD(AB298,AA298)&amp;VLOOKUP(" VK do plné palety.",Jazyky_ceník!A:Q,MATCH($W$17,Jazyky_ceník!$A$1:$Q$1,0),FALSE)),IFERROR(IF(AND(NOT(MOD($AB298,$AA298)=0),$AB298&gt;=0.9*$AA298,MOD($AB298,$AA298)&lt;=0.1*$AA298),IF($W$17=$AF$1,"Zvažte možnost optimalizace objednaného množství podle počtu VK na paletě ==&gt;",VLOOKUP("Zvažte možnost optimalizace objednaného množství podle počtu VK na paletě ==&gt;",Jazyky_ceník!A:Q,MATCH($W$17,Jazyky_ceník!$A$1:$Q$1,0),FALSE)),VLOOKUP('General price list'!$C298,Popisy!A:M,MATCH($W$17,Popisy!$A$7:$M$7,0),FALSE)),"---------------")),IFERROR(VLOOKUP('General price list'!$C298,Popisy!A:M,MATCH($W$17,Popisy!$A$7:$M$7,0),FALSE),"---------------"))</f>
        <v>stříbrná stopa s titanovou detonací a práskajícími hvězdami(5g zábleskové slože)</v>
      </c>
      <c r="X298" s="645" t="str">
        <f t="shared" ref="X298:X307" si="709">IF(AB298&lt;0.0001,"",AB298)</f>
        <v/>
      </c>
      <c r="Y298" s="645" t="str">
        <f t="shared" ref="Y298:Y307" si="710">IF($AL$3=2,IF(OR(AB298&lt;&gt;"",AB298&lt;&gt;0),AU298,""),IF(C298="","",IF(AB298&lt;0.0001,"",IF(B298=0,"",IF(AQ298&lt;AB298,"",AB298)))))</f>
        <v/>
      </c>
      <c r="Z298" s="645" t="str">
        <f>HYPERLINK("https://www.klasekpyrotechnics.cz/rs4d")</f>
        <v>https://www.klasekpyrotechnics.cz/rs4d</v>
      </c>
      <c r="AA298" s="645">
        <f>IFERROR(IF(VLOOKUP(C298,[4]List1!$A:$D,4,FALSE)=0,"",VLOOKUP(C298,[4]List1!$A:$D,4,FALSE)),"")</f>
        <v>21</v>
      </c>
      <c r="AB298" s="646"/>
      <c r="AC298" s="647" t="str">
        <f>IFERROR(IF(VLOOKUP(C298,[1]List1!$A:$D,2,FALSE)="VYPRODÁNO",$V$9,IF(VLOOKUP(C298,[1]List1!$A:$D,2,FALSE)="DOCHÁZÍ",$V$3,VLOOKUP(C298,[1]List1!$A:$D,2,FALSE))),"OFFLINE!")</f>
        <v>SKLADEM</v>
      </c>
      <c r="AD298" s="647" t="str">
        <f ca="1">IF(AP298="NE",$V$10,IF(AC298=$V$3,IF(AQ298&lt;1,$V$8,$V$2&amp;" "&amp;AQ298&amp;" "&amp;$V$1),IF(AC298="SKLADEM",$V$6,IFERROR(IF(OR(AC298-TODAY()&gt;45,VLOOKUP(C298,[1]List1!$A:$E,4,FALSE)=0),AC298,DAY(AC298)&amp;"."&amp;MONTH(AC298)&amp;"."&amp;YEAR(AC298)&amp;" "&amp;$V$4&amp;VLOOKUP(C298,[1]List1!$A:$E,4,FALSE)&amp;" "&amp;$V$1),AC298))))</f>
        <v>SKLADEM</v>
      </c>
      <c r="AE298" s="645" t="str">
        <f t="shared" ref="AE298:AE307" ca="1" si="711">IFERROR(IF(AV298&lt;&gt;"",AV298,AD298),AD298)</f>
        <v>SKLADEM</v>
      </c>
      <c r="AF298" s="648">
        <f t="shared" ref="AF298:AF307" si="712">IFERROR(IF(AB298=Y298,G298*I298*Y298,0),0)</f>
        <v>0</v>
      </c>
      <c r="AG298" s="649">
        <f t="shared" ref="AG298:AG307" si="713">IF($W$17=$AF$8,AH298*1.23,AF298*1.21)</f>
        <v>0</v>
      </c>
      <c r="AH298" s="650">
        <f t="shared" ref="AH298:AH307" si="714">IFERROR(IF(Y298=AB298,H298*I298*Y298,0),0)</f>
        <v>0</v>
      </c>
      <c r="AI298" s="645">
        <f t="shared" ref="AI298:AI307" si="715">IFERROR(IF(Y298=AB298,(P298*Y298)/1000,1),0)</f>
        <v>0</v>
      </c>
      <c r="AJ298" s="645">
        <f t="shared" ref="AJ298:AJ307" si="716">IFERROR(IF(Y298=AB298,N298*Y298,0.1),0)</f>
        <v>0</v>
      </c>
      <c r="AK298" s="645" t="str">
        <f t="shared" ref="AK298:AK307" si="717">IFERROR(IF(Y298=AB298,IF(M298="1.1G",(O298/1000)*Y298,""),""),0)</f>
        <v/>
      </c>
      <c r="AL298" s="645">
        <f t="shared" ref="AL298:AL307" si="718">IFERROR(IF(Y298=AB298,IF(M298="1.3G",(O298/1000)*AB298,""),""),0)</f>
        <v>0</v>
      </c>
      <c r="AM298" s="645" t="str">
        <f t="shared" ref="AM298:AM307" si="719">IFERROR(IF(Y298=AB298,IF(M298="1.4G",(O298/1000)*AB298,""),""),0)</f>
        <v/>
      </c>
      <c r="AN298" s="651">
        <f t="shared" ref="AN298:AN307" si="720">SUM(AK298:AM298)</f>
        <v>0</v>
      </c>
      <c r="AO298" s="623"/>
      <c r="AP298" s="632" t="str">
        <f t="shared" si="699"/>
        <v/>
      </c>
      <c r="AQ298" s="633" t="str">
        <f>IF(AC298=$V$3,IF(VLOOKUP(C298,[1]List1!$A:$E,5,FALSE)=0,1,VLOOKUP(C298,[1]List1!$A:$E,5,FALSE)),"")</f>
        <v/>
      </c>
      <c r="AR298" s="625" t="str">
        <f t="shared" si="700"/>
        <v/>
      </c>
      <c r="AS298" s="634" t="str">
        <f t="shared" si="701"/>
        <v/>
      </c>
      <c r="AT298" s="625" t="str">
        <f t="shared" si="702"/>
        <v/>
      </c>
      <c r="AU298" s="638" t="e">
        <f t="shared" si="703"/>
        <v>#N/A</v>
      </c>
      <c r="AV298" s="625" t="e">
        <f t="shared" si="704"/>
        <v>#N/A</v>
      </c>
      <c r="AX298" s="625">
        <f>IF(AND('General price list'!$J298="F4",'General price list'!$AB298+0&gt;0),1,0)</f>
        <v>0</v>
      </c>
      <c r="AY298" s="625">
        <f t="shared" si="705"/>
        <v>1</v>
      </c>
      <c r="AZ298" s="625">
        <f t="shared" si="706"/>
        <v>0</v>
      </c>
    </row>
    <row r="299" spans="1:52" ht="15.75" customHeight="1">
      <c r="A299" s="621" t="str">
        <f>Kat.!C299</f>
        <v>×</v>
      </c>
      <c r="B299" s="566">
        <f>IF(AND('General price list'!$J299="F4",$AI$1=FALSE),0,IF(AC299="SKLADEM",1,IF(AC299=$V$3,1,0)))</f>
        <v>1</v>
      </c>
      <c r="C299" s="567" t="s">
        <v>779</v>
      </c>
      <c r="D299" s="568" t="s">
        <v>761</v>
      </c>
      <c r="E299" s="763" t="s">
        <v>12733</v>
      </c>
      <c r="F299" s="772">
        <f>IFERROR(VLOOKUP(C299,[2]List1!$A:$D,3,FALSE),"NEUVEDENO!")</f>
        <v>576</v>
      </c>
      <c r="G299" s="769">
        <f t="shared" si="707"/>
        <v>576</v>
      </c>
      <c r="H299" s="766">
        <f t="shared" si="708"/>
        <v>24.46763772603892</v>
      </c>
      <c r="I299" s="764">
        <f>IFERROR(VLOOKUP(C299,[2]List1!$A:$D,4,FALSE),"NEUVEDENO!")</f>
        <v>12</v>
      </c>
      <c r="J299" s="732" t="s">
        <v>113</v>
      </c>
      <c r="K299" s="569" t="s">
        <v>20</v>
      </c>
      <c r="L299" s="569" t="s">
        <v>20</v>
      </c>
      <c r="M299" s="569" t="s">
        <v>114</v>
      </c>
      <c r="N299" s="569">
        <f>IFERROR(VLOOKUP(C299,[3]List1!$A:$D,4,FALSE),"N/A!")</f>
        <v>0.11069999999999999</v>
      </c>
      <c r="O299" s="569">
        <f>IFERROR(VLOOKUP(C299,[3]List1!$A:$D,3,FALSE),"N/A!")</f>
        <v>8280</v>
      </c>
      <c r="P299" s="569">
        <f>IFERROR(VLOOKUP(C299,[3]List1!$A:$D,2,FALSE),"N/A!")</f>
        <v>20000</v>
      </c>
      <c r="Q299" s="569" t="s">
        <v>11767</v>
      </c>
      <c r="R299" s="569"/>
      <c r="S299" s="569"/>
      <c r="T299" s="569"/>
      <c r="U299" s="569"/>
      <c r="V299" s="569"/>
      <c r="W299" s="569" t="str">
        <f>IFERROR(IF(AND($AB299&gt;=0.1*$AA299,MOD($AB299,$AA299)&gt;=($AA299-(0.1*$AA299))),IF($W$17=$AF$1,"Zvažte možnost doobjednání ještě "&amp;Tabulka1[[#This Row],[VKPAL]]-MOD(AB299,AA299)&amp;" VK do plné palety.",VLOOKUP("Zvažte možnost doobjednání ještě ",Jazyky_ceník!A:Q,MATCH($W$17,Jazyky_ceník!$A$1:$Q$1,0),FALSE)&amp;Tabulka1[[#This Row],[VKPAL]]-MOD(AB299,AA299)&amp;VLOOKUP(" VK do plné palety.",Jazyky_ceník!A:Q,MATCH($W$17,Jazyky_ceník!$A$1:$Q$1,0),FALSE)),IFERROR(IF(AND(NOT(MOD($AB299,$AA299)=0),$AB299&gt;=0.9*$AA299,MOD($AB299,$AA299)&lt;=0.1*$AA299),IF($W$17=$AF$1,"Zvažte možnost optimalizace objednaného množství podle počtu VK na paletě ==&gt;",VLOOKUP("Zvažte možnost optimalizace objednaného množství podle počtu VK na paletě ==&gt;",Jazyky_ceník!A:Q,MATCH($W$17,Jazyky_ceník!$A$1:$Q$1,0),FALSE)),VLOOKUP('General price list'!$C299,Popisy!A:M,MATCH($W$17,Popisy!$A$7:$M$7,0),FALSE)),"---------------")),IFERROR(VLOOKUP('General price list'!$C299,Popisy!A:M,MATCH($W$17,Popisy!$A$7:$M$7,0),FALSE),"---------------"))</f>
        <v>12 různobarevných efektů</v>
      </c>
      <c r="X299" s="569" t="str">
        <f t="shared" si="709"/>
        <v/>
      </c>
      <c r="Y299" s="569" t="str">
        <f t="shared" si="710"/>
        <v/>
      </c>
      <c r="Z299" s="569" t="str">
        <f>HYPERLINK("https://www.klasekpyrotechnics.cz/sp3c")</f>
        <v>https://www.klasekpyrotechnics.cz/sp3c</v>
      </c>
      <c r="AA299" s="569">
        <f>IFERROR(IF(VLOOKUP(C299,[4]List1!$A:$D,4,FALSE)=0,"",VLOOKUP(C299,[4]List1!$A:$D,4,FALSE)),"")</f>
        <v>10</v>
      </c>
      <c r="AB299" s="565"/>
      <c r="AC299" s="570" t="str">
        <f>IFERROR(IF(VLOOKUP(C299,[1]List1!$A:$D,2,FALSE)="VYPRODÁNO",$V$9,IF(VLOOKUP(C299,[1]List1!$A:$D,2,FALSE)="DOCHÁZÍ",$V$3,VLOOKUP(C299,[1]List1!$A:$D,2,FALSE))),"OFFLINE!")</f>
        <v>SKLADEM</v>
      </c>
      <c r="AD299" s="570" t="str">
        <f ca="1">IF(AP299="NE",$V$10,IF(AC299=$V$3,IF(AQ299&lt;1,$V$8,$V$2&amp;" "&amp;AQ299&amp;" "&amp;$V$1),IF(AC299="SKLADEM",$V$6,IFERROR(IF(OR(AC299-TODAY()&gt;45,VLOOKUP(C299,[1]List1!$A:$E,4,FALSE)=0),AC299,DAY(AC299)&amp;"."&amp;MONTH(AC299)&amp;"."&amp;YEAR(AC299)&amp;" "&amp;$V$4&amp;VLOOKUP(C299,[1]List1!$A:$E,4,FALSE)&amp;" "&amp;$V$1),AC299))))</f>
        <v>SKLADEM</v>
      </c>
      <c r="AE299" s="581" t="str">
        <f t="shared" ca="1" si="711"/>
        <v>SKLADEM</v>
      </c>
      <c r="AF299" s="584">
        <f t="shared" si="712"/>
        <v>0</v>
      </c>
      <c r="AG299" s="585">
        <f t="shared" si="713"/>
        <v>0</v>
      </c>
      <c r="AH299" s="583">
        <f t="shared" si="714"/>
        <v>0</v>
      </c>
      <c r="AI299" s="582">
        <f t="shared" si="715"/>
        <v>0</v>
      </c>
      <c r="AJ299" s="569">
        <f t="shared" si="716"/>
        <v>0</v>
      </c>
      <c r="AK299" s="569" t="str">
        <f t="shared" si="717"/>
        <v/>
      </c>
      <c r="AL299" s="569">
        <f t="shared" si="718"/>
        <v>0</v>
      </c>
      <c r="AM299" s="569" t="str">
        <f t="shared" si="719"/>
        <v/>
      </c>
      <c r="AN299" s="581">
        <f t="shared" si="720"/>
        <v>0</v>
      </c>
      <c r="AO299" s="623"/>
      <c r="AP299" s="625" t="str">
        <f t="shared" si="699"/>
        <v/>
      </c>
      <c r="AQ299" s="625" t="str">
        <f>IF(AC299=$V$3,IF(VLOOKUP(C299,[1]List1!$A:$E,5,FALSE)=0,1,VLOOKUP(C299,[1]List1!$A:$E,5,FALSE)),"")</f>
        <v/>
      </c>
      <c r="AR299" s="629" t="str">
        <f t="shared" si="700"/>
        <v/>
      </c>
      <c r="AS299" s="630" t="str">
        <f t="shared" si="701"/>
        <v/>
      </c>
      <c r="AT299" s="625" t="str">
        <f t="shared" si="702"/>
        <v/>
      </c>
      <c r="AU299" s="625" t="e">
        <f t="shared" si="703"/>
        <v>#N/A</v>
      </c>
      <c r="AV299" s="625" t="e">
        <f t="shared" si="704"/>
        <v>#N/A</v>
      </c>
      <c r="AW299" s="631"/>
      <c r="AX299" s="631">
        <f>IF(AND('General price list'!$J299="F4",'General price list'!$AB299+0&gt;0),1,0)</f>
        <v>0</v>
      </c>
      <c r="AY299" s="631">
        <f t="shared" si="705"/>
        <v>1</v>
      </c>
      <c r="AZ299" s="631">
        <f t="shared" si="706"/>
        <v>0</v>
      </c>
    </row>
    <row r="300" spans="1:52" ht="15" customHeight="1">
      <c r="A300" s="639" t="str">
        <f>Kat.!C300</f>
        <v>×</v>
      </c>
      <c r="B300" s="640">
        <f>IF(AND('General price list'!$J300="F4",$AI$1=FALSE),0,IF(AC300="SKLADEM",1,IF(AC300=$V$3,1,0)))</f>
        <v>1</v>
      </c>
      <c r="C300" s="641" t="s">
        <v>780</v>
      </c>
      <c r="D300" s="642" t="s">
        <v>762</v>
      </c>
      <c r="E300" s="643" t="s">
        <v>12734</v>
      </c>
      <c r="F300" s="771">
        <f>IFERROR(VLOOKUP(C300,[2]List1!$A:$D,3,FALSE),"NEUVEDENO!")</f>
        <v>912</v>
      </c>
      <c r="G300" s="768">
        <f t="shared" si="707"/>
        <v>912</v>
      </c>
      <c r="H300" s="765">
        <f t="shared" si="708"/>
        <v>38.74042639956162</v>
      </c>
      <c r="I300" s="644">
        <f>IFERROR(VLOOKUP(C300,[2]List1!$A:$D,4,FALSE),"NEUVEDENO!")</f>
        <v>10</v>
      </c>
      <c r="J300" s="733" t="s">
        <v>113</v>
      </c>
      <c r="K300" s="645" t="s">
        <v>20</v>
      </c>
      <c r="L300" s="645" t="s">
        <v>20</v>
      </c>
      <c r="M300" s="645" t="s">
        <v>114</v>
      </c>
      <c r="N300" s="645">
        <f>IFERROR(VLOOKUP(C300,[3]List1!$A:$D,4,FALSE),"N/A!")</f>
        <v>0.14124</v>
      </c>
      <c r="O300" s="645">
        <f>IFERROR(VLOOKUP(C300,[3]List1!$A:$D,3,FALSE),"N/A!")</f>
        <v>7650</v>
      </c>
      <c r="P300" s="645">
        <f>IFERROR(VLOOKUP(C300,[3]List1!$A:$D,2,FALSE),"N/A!")</f>
        <v>22500</v>
      </c>
      <c r="Q300" s="645" t="s">
        <v>11768</v>
      </c>
      <c r="R300" s="645"/>
      <c r="S300" s="645"/>
      <c r="T300" s="645"/>
      <c r="U300" s="645"/>
      <c r="V300" s="645"/>
      <c r="W300" s="645" t="str">
        <f>IFERROR(IF(AND($AB300&gt;=0.1*$AA300,MOD($AB300,$AA300)&gt;=($AA300-(0.1*$AA300))),IF($W$17=$AF$1,"Zvažte možnost doobjednání ještě "&amp;Tabulka1[[#This Row],[VKPAL]]-MOD(AB300,AA300)&amp;" VK do plné palety.",VLOOKUP("Zvažte možnost doobjednání ještě ",Jazyky_ceník!A:Q,MATCH($W$17,Jazyky_ceník!$A$1:$Q$1,0),FALSE)&amp;Tabulka1[[#This Row],[VKPAL]]-MOD(AB300,AA300)&amp;VLOOKUP(" VK do plné palety.",Jazyky_ceník!A:Q,MATCH($W$17,Jazyky_ceník!$A$1:$Q$1,0),FALSE)),IFERROR(IF(AND(NOT(MOD($AB300,$AA300)=0),$AB300&gt;=0.9*$AA300,MOD($AB300,$AA300)&lt;=0.1*$AA300),IF($W$17=$AF$1,"Zvažte možnost optimalizace objednaného množství podle počtu VK na paletě ==&gt;",VLOOKUP("Zvažte možnost optimalizace objednaného množství podle počtu VK na paletě ==&gt;",Jazyky_ceník!A:Q,MATCH($W$17,Jazyky_ceník!$A$1:$Q$1,0),FALSE)),VLOOKUP('General price list'!$C300,Popisy!A:M,MATCH($W$17,Popisy!$A$7:$M$7,0),FALSE)),"---------------")),IFERROR(VLOOKUP('General price list'!$C300,Popisy!A:M,MATCH($W$17,Popisy!$A$7:$M$7,0),FALSE),"---------------"))</f>
        <v>18 různobarevných efektů</v>
      </c>
      <c r="X300" s="645" t="str">
        <f t="shared" si="709"/>
        <v/>
      </c>
      <c r="Y300" s="645" t="str">
        <f t="shared" si="710"/>
        <v/>
      </c>
      <c r="Z300" s="645" t="str">
        <f>HYPERLINK("https://www.klasekpyrotechnics.cz/rs18t")</f>
        <v>https://www.klasekpyrotechnics.cz/rs18t</v>
      </c>
      <c r="AA300" s="645">
        <f>IFERROR(IF(VLOOKUP(C300,[4]List1!$A:$D,4,FALSE)=0,"",VLOOKUP(C300,[4]List1!$A:$D,4,FALSE)),"")</f>
        <v>8</v>
      </c>
      <c r="AB300" s="646"/>
      <c r="AC300" s="647" t="str">
        <f>IFERROR(IF(VLOOKUP(C300,[1]List1!$A:$D,2,FALSE)="VYPRODÁNO",$V$9,IF(VLOOKUP(C300,[1]List1!$A:$D,2,FALSE)="DOCHÁZÍ",$V$3,VLOOKUP(C300,[1]List1!$A:$D,2,FALSE))),"OFFLINE!")</f>
        <v>SKLADEM</v>
      </c>
      <c r="AD300" s="647" t="str">
        <f ca="1">IF(AP300="NE",$V$10,IF(AC300=$V$3,IF(AQ300&lt;1,$V$8,$V$2&amp;" "&amp;AQ300&amp;" "&amp;$V$1),IF(AC300="SKLADEM",$V$6,IFERROR(IF(OR(AC300-TODAY()&gt;45,VLOOKUP(C300,[1]List1!$A:$E,4,FALSE)=0),AC300,DAY(AC300)&amp;"."&amp;MONTH(AC300)&amp;"."&amp;YEAR(AC300)&amp;" "&amp;$V$4&amp;VLOOKUP(C300,[1]List1!$A:$E,4,FALSE)&amp;" "&amp;$V$1),AC300))))</f>
        <v>SKLADEM</v>
      </c>
      <c r="AE300" s="645" t="str">
        <f t="shared" ca="1" si="711"/>
        <v>SKLADEM</v>
      </c>
      <c r="AF300" s="648">
        <f t="shared" si="712"/>
        <v>0</v>
      </c>
      <c r="AG300" s="649">
        <f t="shared" si="713"/>
        <v>0</v>
      </c>
      <c r="AH300" s="650">
        <f t="shared" si="714"/>
        <v>0</v>
      </c>
      <c r="AI300" s="645">
        <f t="shared" si="715"/>
        <v>0</v>
      </c>
      <c r="AJ300" s="645">
        <f t="shared" si="716"/>
        <v>0</v>
      </c>
      <c r="AK300" s="645" t="str">
        <f t="shared" si="717"/>
        <v/>
      </c>
      <c r="AL300" s="645">
        <f t="shared" si="718"/>
        <v>0</v>
      </c>
      <c r="AM300" s="645" t="str">
        <f t="shared" si="719"/>
        <v/>
      </c>
      <c r="AN300" s="651">
        <f t="shared" si="720"/>
        <v>0</v>
      </c>
      <c r="AO300" s="623"/>
      <c r="AP300" s="632" t="str">
        <f t="shared" si="699"/>
        <v/>
      </c>
      <c r="AQ300" s="633" t="str">
        <f>IF(AC300=$V$3,IF(VLOOKUP(C300,[1]List1!$A:$E,5,FALSE)=0,1,VLOOKUP(C300,[1]List1!$A:$E,5,FALSE)),"")</f>
        <v/>
      </c>
      <c r="AR300" s="625" t="str">
        <f t="shared" si="700"/>
        <v/>
      </c>
      <c r="AS300" s="634" t="str">
        <f t="shared" si="701"/>
        <v/>
      </c>
      <c r="AT300" s="625" t="str">
        <f t="shared" si="702"/>
        <v/>
      </c>
      <c r="AU300" s="638" t="e">
        <f t="shared" si="703"/>
        <v>#N/A</v>
      </c>
      <c r="AV300" s="625" t="e">
        <f t="shared" si="704"/>
        <v>#N/A</v>
      </c>
      <c r="AX300" s="625">
        <f>IF(AND('General price list'!$J300="F4",'General price list'!$AB300+0&gt;0),1,0)</f>
        <v>0</v>
      </c>
      <c r="AY300" s="625">
        <f t="shared" si="705"/>
        <v>1</v>
      </c>
      <c r="AZ300" s="625">
        <f t="shared" si="706"/>
        <v>0</v>
      </c>
    </row>
    <row r="301" spans="1:52" ht="15" customHeight="1">
      <c r="A301" s="621" t="str">
        <f>Kat.!C301</f>
        <v>×</v>
      </c>
      <c r="B301" s="566">
        <f>IF(AND('General price list'!$J301="F4",$AI$1=FALSE),0,IF(AC301="SKLADEM",1,IF(AC301=$V$3,1,0)))</f>
        <v>1</v>
      </c>
      <c r="C301" s="567" t="s">
        <v>781</v>
      </c>
      <c r="D301" s="568" t="s">
        <v>766</v>
      </c>
      <c r="E301" s="763" t="s">
        <v>12734</v>
      </c>
      <c r="F301" s="772">
        <f>IFERROR(VLOOKUP(C301,[2]List1!$A:$D,3,FALSE),"NEUVEDENO!")</f>
        <v>912</v>
      </c>
      <c r="G301" s="769">
        <f t="shared" si="707"/>
        <v>912</v>
      </c>
      <c r="H301" s="766">
        <f t="shared" si="708"/>
        <v>38.74042639956162</v>
      </c>
      <c r="I301" s="764">
        <f>IFERROR(VLOOKUP(C301,[2]List1!$A:$D,4,FALSE),"NEUVEDENO!")</f>
        <v>10</v>
      </c>
      <c r="J301" s="732" t="s">
        <v>113</v>
      </c>
      <c r="K301" s="569" t="s">
        <v>20</v>
      </c>
      <c r="L301" s="569" t="s">
        <v>20</v>
      </c>
      <c r="M301" s="569" t="s">
        <v>114</v>
      </c>
      <c r="N301" s="569">
        <f>IFERROR(VLOOKUP(C301,[3]List1!$A:$D,4,FALSE),"N/A!")</f>
        <v>0.14124</v>
      </c>
      <c r="O301" s="569">
        <f>IFERROR(VLOOKUP(C301,[3]List1!$A:$D,3,FALSE),"N/A!")</f>
        <v>7650</v>
      </c>
      <c r="P301" s="569">
        <f>IFERROR(VLOOKUP(C301,[3]List1!$A:$D,2,FALSE),"N/A!")</f>
        <v>22500</v>
      </c>
      <c r="Q301" s="569" t="s">
        <v>11768</v>
      </c>
      <c r="R301" s="569"/>
      <c r="S301" s="569"/>
      <c r="T301" s="569"/>
      <c r="U301" s="569"/>
      <c r="V301" s="569"/>
      <c r="W301" s="569" t="str">
        <f>IFERROR(IF(AND($AB301&gt;=0.1*$AA301,MOD($AB301,$AA301)&gt;=($AA301-(0.1*$AA301))),IF($W$17=$AF$1,"Zvažte možnost doobjednání ještě "&amp;Tabulka1[[#This Row],[VKPAL]]-MOD(AB301,AA301)&amp;" VK do plné palety.",VLOOKUP("Zvažte možnost doobjednání ještě ",Jazyky_ceník!A:Q,MATCH($W$17,Jazyky_ceník!$A$1:$Q$1,0),FALSE)&amp;Tabulka1[[#This Row],[VKPAL]]-MOD(AB301,AA301)&amp;VLOOKUP(" VK do plné palety.",Jazyky_ceník!A:Q,MATCH($W$17,Jazyky_ceník!$A$1:$Q$1,0),FALSE)),IFERROR(IF(AND(NOT(MOD($AB301,$AA301)=0),$AB301&gt;=0.9*$AA301,MOD($AB301,$AA301)&lt;=0.1*$AA301),IF($W$17=$AF$1,"Zvažte možnost optimalizace objednaného množství podle počtu VK na paletě ==&gt;",VLOOKUP("Zvažte možnost optimalizace objednaného množství podle počtu VK na paletě ==&gt;",Jazyky_ceník!A:Q,MATCH($W$17,Jazyky_ceník!$A$1:$Q$1,0),FALSE)),VLOOKUP('General price list'!$C301,Popisy!A:M,MATCH($W$17,Popisy!$A$7:$M$7,0),FALSE)),"---------------")),IFERROR(VLOOKUP('General price list'!$C301,Popisy!A:M,MATCH($W$17,Popisy!$A$7:$M$7,0),FALSE),"---------------"))</f>
        <v>18 různobarevných efektů</v>
      </c>
      <c r="X301" s="569" t="str">
        <f t="shared" si="709"/>
        <v/>
      </c>
      <c r="Y301" s="569" t="str">
        <f t="shared" si="710"/>
        <v/>
      </c>
      <c r="Z301" s="569" t="str">
        <f>HYPERLINK("https://www.klasekpyrotechnics.cz/rs18s")</f>
        <v>https://www.klasekpyrotechnics.cz/rs18s</v>
      </c>
      <c r="AA301" s="569">
        <f>IFERROR(IF(VLOOKUP(C301,[4]List1!$A:$D,4,FALSE)=0,"",VLOOKUP(C301,[4]List1!$A:$D,4,FALSE)),"")</f>
        <v>8</v>
      </c>
      <c r="AB301" s="565"/>
      <c r="AC301" s="570" t="str">
        <f>IFERROR(IF(VLOOKUP(C301,[1]List1!$A:$D,2,FALSE)="VYPRODÁNO",$V$9,IF(VLOOKUP(C301,[1]List1!$A:$D,2,FALSE)="DOCHÁZÍ",$V$3,VLOOKUP(C301,[1]List1!$A:$D,2,FALSE))),"OFFLINE!")</f>
        <v>SKLADEM</v>
      </c>
      <c r="AD301" s="570" t="str">
        <f ca="1">IF(AP301="NE",$V$10,IF(AC301=$V$3,IF(AQ301&lt;1,$V$8,$V$2&amp;" "&amp;AQ301&amp;" "&amp;$V$1),IF(AC301="SKLADEM",$V$6,IFERROR(IF(OR(AC301-TODAY()&gt;45,VLOOKUP(C301,[1]List1!$A:$E,4,FALSE)=0),AC301,DAY(AC301)&amp;"."&amp;MONTH(AC301)&amp;"."&amp;YEAR(AC301)&amp;" "&amp;$V$4&amp;VLOOKUP(C301,[1]List1!$A:$E,4,FALSE)&amp;" "&amp;$V$1),AC301))))</f>
        <v>SKLADEM</v>
      </c>
      <c r="AE301" s="581" t="str">
        <f t="shared" ca="1" si="711"/>
        <v>SKLADEM</v>
      </c>
      <c r="AF301" s="584">
        <f t="shared" si="712"/>
        <v>0</v>
      </c>
      <c r="AG301" s="585">
        <f t="shared" si="713"/>
        <v>0</v>
      </c>
      <c r="AH301" s="583">
        <f t="shared" si="714"/>
        <v>0</v>
      </c>
      <c r="AI301" s="582">
        <f t="shared" si="715"/>
        <v>0</v>
      </c>
      <c r="AJ301" s="569">
        <f t="shared" si="716"/>
        <v>0</v>
      </c>
      <c r="AK301" s="569" t="str">
        <f t="shared" si="717"/>
        <v/>
      </c>
      <c r="AL301" s="569">
        <f t="shared" si="718"/>
        <v>0</v>
      </c>
      <c r="AM301" s="569" t="str">
        <f t="shared" si="719"/>
        <v/>
      </c>
      <c r="AN301" s="581">
        <f t="shared" si="720"/>
        <v>0</v>
      </c>
      <c r="AO301" s="623"/>
      <c r="AP301" s="632" t="str">
        <f t="shared" si="699"/>
        <v/>
      </c>
      <c r="AQ301" s="633" t="str">
        <f>IF(AC301=$V$3,IF(VLOOKUP(C301,[1]List1!$A:$E,5,FALSE)=0,1,VLOOKUP(C301,[1]List1!$A:$E,5,FALSE)),"")</f>
        <v/>
      </c>
      <c r="AR301" s="625" t="str">
        <f t="shared" si="700"/>
        <v/>
      </c>
      <c r="AS301" s="634" t="str">
        <f t="shared" si="701"/>
        <v/>
      </c>
      <c r="AT301" s="625" t="str">
        <f t="shared" si="702"/>
        <v/>
      </c>
      <c r="AU301" s="638" t="e">
        <f t="shared" si="703"/>
        <v>#N/A</v>
      </c>
      <c r="AV301" s="625" t="e">
        <f t="shared" si="704"/>
        <v>#N/A</v>
      </c>
      <c r="AX301" s="625">
        <f>IF(AND('General price list'!$J301="F4",'General price list'!$AB301+0&gt;0),1,0)</f>
        <v>0</v>
      </c>
      <c r="AY301" s="625">
        <f t="shared" si="705"/>
        <v>1</v>
      </c>
      <c r="AZ301" s="625">
        <f t="shared" si="706"/>
        <v>0</v>
      </c>
    </row>
    <row r="302" spans="1:52" ht="15.75" customHeight="1">
      <c r="A302" s="639" t="str">
        <f>Kat.!C302</f>
        <v>×</v>
      </c>
      <c r="B302" s="640">
        <f>IF(AND('General price list'!$J302="F4",$AI$1=FALSE),0,IF(AC302="SKLADEM",1,IF(AC302=$V$3,1,0)))</f>
        <v>1</v>
      </c>
      <c r="C302" s="641" t="s">
        <v>782</v>
      </c>
      <c r="D302" s="642" t="s">
        <v>2254</v>
      </c>
      <c r="E302" s="643" t="s">
        <v>12736</v>
      </c>
      <c r="F302" s="771">
        <f>IFERROR(VLOOKUP(C302,[2]List1!$A:$D,3,FALSE),"NEUVEDENO!")</f>
        <v>1289</v>
      </c>
      <c r="G302" s="768">
        <f t="shared" si="707"/>
        <v>1289</v>
      </c>
      <c r="H302" s="765">
        <f t="shared" si="708"/>
        <v>54.754835119555842</v>
      </c>
      <c r="I302" s="644">
        <f>IFERROR(VLOOKUP(C302,[2]List1!$A:$D,4,FALSE),"NEUVEDENO!")</f>
        <v>6</v>
      </c>
      <c r="J302" s="733" t="s">
        <v>113</v>
      </c>
      <c r="K302" s="645" t="s">
        <v>20</v>
      </c>
      <c r="L302" s="645" t="s">
        <v>20</v>
      </c>
      <c r="M302" s="645" t="s">
        <v>114</v>
      </c>
      <c r="N302" s="645">
        <f>IFERROR(VLOOKUP(C302,[3]List1!$A:$D,4,FALSE),"N/A!")</f>
        <v>0.13908399999999999</v>
      </c>
      <c r="O302" s="645">
        <f>IFERROR(VLOOKUP(C302,[3]List1!$A:$D,3,FALSE),"N/A!")</f>
        <v>11796</v>
      </c>
      <c r="P302" s="645">
        <f>IFERROR(VLOOKUP(C302,[3]List1!$A:$D,2,FALSE),"N/A!")</f>
        <v>20000</v>
      </c>
      <c r="Q302" s="645" t="s">
        <v>11285</v>
      </c>
      <c r="R302" s="645" t="s">
        <v>20</v>
      </c>
      <c r="S302" s="645"/>
      <c r="T302" s="645"/>
      <c r="U302" s="645"/>
      <c r="V302" s="645"/>
      <c r="W302" s="645" t="str">
        <f>IFERROR(IF(AND($AB302&gt;=0.1*$AA302,MOD($AB302,$AA302)&gt;=($AA302-(0.1*$AA302))),IF($W$17=$AF$1,"Zvažte možnost doobjednání ještě "&amp;Tabulka1[[#This Row],[VKPAL]]-MOD(AB302,AA302)&amp;" VK do plné palety.",VLOOKUP("Zvažte možnost doobjednání ještě ",Jazyky_ceník!A:Q,MATCH($W$17,Jazyky_ceník!$A$1:$Q$1,0),FALSE)&amp;Tabulka1[[#This Row],[VKPAL]]-MOD(AB302,AA302)&amp;VLOOKUP(" VK do plné palety.",Jazyky_ceník!A:Q,MATCH($W$17,Jazyky_ceník!$A$1:$Q$1,0),FALSE)),IFERROR(IF(AND(NOT(MOD($AB302,$AA302)=0),$AB302&gt;=0.9*$AA302,MOD($AB302,$AA302)&lt;=0.1*$AA302),IF($W$17=$AF$1,"Zvažte možnost optimalizace objednaného množství podle počtu VK na paletě ==&gt;",VLOOKUP("Zvažte možnost optimalizace objednaného množství podle počtu VK na paletě ==&gt;",Jazyky_ceník!A:Q,MATCH($W$17,Jazyky_ceník!$A$1:$Q$1,0),FALSE)),VLOOKUP('General price list'!$C302,Popisy!A:M,MATCH($W$17,Popisy!$A$7:$M$7,0),FALSE)),"---------------")),IFERROR(VLOOKUP('General price list'!$C302,Popisy!A:M,MATCH($W$17,Popisy!$A$7:$M$7,0),FALSE),"---------------"))</f>
        <v>33 různobarevných efektů</v>
      </c>
      <c r="X302" s="645" t="str">
        <f t="shared" si="709"/>
        <v/>
      </c>
      <c r="Y302" s="645" t="str">
        <f t="shared" si="710"/>
        <v/>
      </c>
      <c r="Z302" s="645" t="str">
        <f>HYPERLINK("https://www.klasekpyrotechnics.cz/rs33r")</f>
        <v>https://www.klasekpyrotechnics.cz/rs33r</v>
      </c>
      <c r="AA302" s="645">
        <f>IFERROR(IF(VLOOKUP(C302,[4]List1!$A:$D,4,FALSE)=0,"",VLOOKUP(C302,[4]List1!$A:$D,4,FALSE)),"")</f>
        <v>8</v>
      </c>
      <c r="AB302" s="646"/>
      <c r="AC302" s="647" t="str">
        <f>IFERROR(IF(VLOOKUP(C302,[1]List1!$A:$D,2,FALSE)="VYPRODÁNO",$V$9,IF(VLOOKUP(C302,[1]List1!$A:$D,2,FALSE)="DOCHÁZÍ",$V$3,VLOOKUP(C302,[1]List1!$A:$D,2,FALSE))),"OFFLINE!")</f>
        <v>SKLADEM</v>
      </c>
      <c r="AD302" s="647" t="str">
        <f ca="1">IF(AP302="NE",$V$10,IF(AC302=$V$3,IF(AQ302&lt;1,$V$8,$V$2&amp;" "&amp;AQ302&amp;" "&amp;$V$1),IF(AC302="SKLADEM",$V$6,IFERROR(IF(OR(AC302-TODAY()&gt;45,VLOOKUP(C302,[1]List1!$A:$E,4,FALSE)=0),AC302,DAY(AC302)&amp;"."&amp;MONTH(AC302)&amp;"."&amp;YEAR(AC302)&amp;" "&amp;$V$4&amp;VLOOKUP(C302,[1]List1!$A:$E,4,FALSE)&amp;" "&amp;$V$1),AC302))))</f>
        <v>SKLADEM</v>
      </c>
      <c r="AE302" s="645" t="str">
        <f t="shared" ca="1" si="711"/>
        <v>SKLADEM</v>
      </c>
      <c r="AF302" s="648">
        <f t="shared" si="712"/>
        <v>0</v>
      </c>
      <c r="AG302" s="649">
        <f t="shared" si="713"/>
        <v>0</v>
      </c>
      <c r="AH302" s="650">
        <f t="shared" si="714"/>
        <v>0</v>
      </c>
      <c r="AI302" s="645">
        <f t="shared" si="715"/>
        <v>0</v>
      </c>
      <c r="AJ302" s="645">
        <f t="shared" si="716"/>
        <v>0</v>
      </c>
      <c r="AK302" s="645" t="str">
        <f t="shared" si="717"/>
        <v/>
      </c>
      <c r="AL302" s="645">
        <f t="shared" si="718"/>
        <v>0</v>
      </c>
      <c r="AM302" s="645" t="str">
        <f t="shared" si="719"/>
        <v/>
      </c>
      <c r="AN302" s="651">
        <f t="shared" si="720"/>
        <v>0</v>
      </c>
      <c r="AO302" s="623"/>
      <c r="AP302" s="625" t="str">
        <f t="shared" si="699"/>
        <v/>
      </c>
      <c r="AQ302" s="625" t="str">
        <f>IF(AC302=$V$3,IF(VLOOKUP(C302,[1]List1!$A:$E,5,FALSE)=0,1,VLOOKUP(C302,[1]List1!$A:$E,5,FALSE)),"")</f>
        <v/>
      </c>
      <c r="AR302" s="629" t="str">
        <f t="shared" si="700"/>
        <v/>
      </c>
      <c r="AS302" s="630" t="str">
        <f t="shared" si="701"/>
        <v/>
      </c>
      <c r="AT302" s="625" t="str">
        <f t="shared" si="702"/>
        <v/>
      </c>
      <c r="AU302" s="625" t="e">
        <f t="shared" si="703"/>
        <v>#N/A</v>
      </c>
      <c r="AV302" s="625" t="e">
        <f t="shared" si="704"/>
        <v>#N/A</v>
      </c>
      <c r="AW302" s="631"/>
      <c r="AX302" s="631">
        <f>IF(AND('General price list'!$J302="F4",'General price list'!$AB302+0&gt;0),1,0)</f>
        <v>0</v>
      </c>
      <c r="AY302" s="631">
        <f t="shared" si="705"/>
        <v>1</v>
      </c>
      <c r="AZ302" s="631">
        <f t="shared" si="706"/>
        <v>0</v>
      </c>
    </row>
    <row r="303" spans="1:52" ht="15" customHeight="1">
      <c r="A303" s="621" t="str">
        <f>Kat.!C303</f>
        <v/>
      </c>
      <c r="B303" s="566">
        <f>IF(AND('General price list'!$J303="F4",$AI$1=FALSE),0,IF(AC303="SKLADEM",1,IF(AC303=$V$3,1,0)))</f>
        <v>0</v>
      </c>
      <c r="C303" s="567" t="s">
        <v>783</v>
      </c>
      <c r="D303" s="568" t="s">
        <v>784</v>
      </c>
      <c r="E303" s="763" t="s">
        <v>12737</v>
      </c>
      <c r="F303" s="772">
        <f>IFERROR(VLOOKUP(C303,[2]List1!$A:$D,3,FALSE),"NEUVEDENO!")</f>
        <v>655</v>
      </c>
      <c r="G303" s="769">
        <f t="shared" si="707"/>
        <v>655</v>
      </c>
      <c r="H303" s="766">
        <f t="shared" si="708"/>
        <v>27.823442205825508</v>
      </c>
      <c r="I303" s="764">
        <f>IFERROR(VLOOKUP(C303,[2]List1!$A:$D,4,FALSE),"NEUVEDENO!")</f>
        <v>8</v>
      </c>
      <c r="J303" s="732" t="s">
        <v>113</v>
      </c>
      <c r="K303" s="569" t="s">
        <v>20</v>
      </c>
      <c r="L303" s="569" t="s">
        <v>20</v>
      </c>
      <c r="M303" s="569" t="s">
        <v>114</v>
      </c>
      <c r="N303" s="569">
        <f>IFERROR(VLOOKUP(C303,[3]List1!$A:$D,4,FALSE),"N/A!")</f>
        <v>9.2069999999999999E-2</v>
      </c>
      <c r="O303" s="569">
        <f>IFERROR(VLOOKUP(C303,[3]List1!$A:$D,3,FALSE),"N/A!")</f>
        <v>4000</v>
      </c>
      <c r="P303" s="569">
        <f>IFERROR(VLOOKUP(C303,[3]List1!$A:$D,2,FALSE),"N/A!")</f>
        <v>13400</v>
      </c>
      <c r="Q303" s="569" t="s">
        <v>11284</v>
      </c>
      <c r="R303" s="569"/>
      <c r="S303" s="569"/>
      <c r="T303" s="569"/>
      <c r="U303" s="569"/>
      <c r="V303" s="569"/>
      <c r="W303" s="569" t="str">
        <f>IFERROR(IF(AND($AB303&gt;=0.1*$AA303,MOD($AB303,$AA303)&gt;=($AA303-(0.1*$AA303))),IF($W$17=$AF$1,"Zvažte možnost doobjednání ještě "&amp;Tabulka1[[#This Row],[VKPAL]]-MOD(AB303,AA303)&amp;" VK do plné palety.",VLOOKUP("Zvažte možnost doobjednání ještě ",Jazyky_ceník!A:Q,MATCH($W$17,Jazyky_ceník!$A$1:$Q$1,0),FALSE)&amp;Tabulka1[[#This Row],[VKPAL]]-MOD(AB303,AA303)&amp;VLOOKUP(" VK do plné palety.",Jazyky_ceník!A:Q,MATCH($W$17,Jazyky_ceník!$A$1:$Q$1,0),FALSE)),IFERROR(IF(AND(NOT(MOD($AB303,$AA303)=0),$AB303&gt;=0.9*$AA303,MOD($AB303,$AA303)&lt;=0.1*$AA303),IF($W$17=$AF$1,"Zvažte možnost optimalizace objednaného množství podle počtu VK na paletě ==&gt;",VLOOKUP("Zvažte možnost optimalizace objednaného množství podle počtu VK na paletě ==&gt;",Jazyky_ceník!A:Q,MATCH($W$17,Jazyky_ceník!$A$1:$Q$1,0),FALSE)),VLOOKUP('General price list'!$C303,Popisy!A:M,MATCH($W$17,Popisy!$A$7:$M$7,0),FALSE)),"---------------")),IFERROR(VLOOKUP('General price list'!$C303,Popisy!A:M,MATCH($W$17,Popisy!$A$7:$M$7,0),FALSE),"---------------"))</f>
        <v>5 různobarevné efekty</v>
      </c>
      <c r="X303" s="569" t="str">
        <f t="shared" si="709"/>
        <v/>
      </c>
      <c r="Y303" s="569" t="str">
        <f t="shared" si="710"/>
        <v/>
      </c>
      <c r="Z303" s="569" t="str">
        <f>HYPERLINK("https://www.klasekpyrotechnics.cz/rss100")</f>
        <v>https://www.klasekpyrotechnics.cz/rss100</v>
      </c>
      <c r="AA303" s="569">
        <f>IFERROR(IF(VLOOKUP(C303,[4]List1!$A:$D,4,FALSE)=0,"",VLOOKUP(C303,[4]List1!$A:$D,4,FALSE)),"")</f>
        <v>15</v>
      </c>
      <c r="AB303" s="565"/>
      <c r="AC303" s="570" t="str">
        <f>IFERROR(IF(VLOOKUP(C303,[1]List1!$A:$D,2,FALSE)="VYPRODÁNO",$V$9,IF(VLOOKUP(C303,[1]List1!$A:$D,2,FALSE)="DOCHÁZÍ",$V$3,VLOOKUP(C303,[1]List1!$A:$D,2,FALSE))),"OFFLINE!")</f>
        <v>31.07.2026</v>
      </c>
      <c r="AD303" s="570" t="str">
        <f ca="1">IF(AP303="NE",$V$10,IF(AC303=$V$3,IF(AQ303&lt;1,$V$8,$V$2&amp;" "&amp;AQ303&amp;" "&amp;$V$1),IF(AC303="SKLADEM",$V$6,IFERROR(IF(OR(AC303-TODAY()&gt;45,VLOOKUP(C303,[1]List1!$A:$E,4,FALSE)=0),AC303,DAY(AC303)&amp;"."&amp;MONTH(AC303)&amp;"."&amp;YEAR(AC303)&amp;" "&amp;$V$4&amp;VLOOKUP(C303,[1]List1!$A:$E,4,FALSE)&amp;" "&amp;$V$1),AC303))))</f>
        <v>31.07.2026</v>
      </c>
      <c r="AE303" s="581" t="str">
        <f t="shared" ca="1" si="711"/>
        <v>31.07.2026</v>
      </c>
      <c r="AF303" s="584">
        <f t="shared" si="712"/>
        <v>0</v>
      </c>
      <c r="AG303" s="585">
        <f t="shared" si="713"/>
        <v>0</v>
      </c>
      <c r="AH303" s="583">
        <f t="shared" si="714"/>
        <v>0</v>
      </c>
      <c r="AI303" s="582">
        <f t="shared" si="715"/>
        <v>0</v>
      </c>
      <c r="AJ303" s="569">
        <f t="shared" si="716"/>
        <v>0</v>
      </c>
      <c r="AK303" s="569" t="str">
        <f t="shared" si="717"/>
        <v/>
      </c>
      <c r="AL303" s="569">
        <f t="shared" si="718"/>
        <v>0</v>
      </c>
      <c r="AM303" s="569" t="str">
        <f t="shared" si="719"/>
        <v/>
      </c>
      <c r="AN303" s="581">
        <f t="shared" si="720"/>
        <v>0</v>
      </c>
      <c r="AO303" s="623"/>
      <c r="AP303" s="632" t="str">
        <f t="shared" si="699"/>
        <v/>
      </c>
      <c r="AQ303" s="633" t="str">
        <f>IF(AC303=$V$3,IF(VLOOKUP(C303,[1]List1!$A:$E,5,FALSE)=0,1,VLOOKUP(C303,[1]List1!$A:$E,5,FALSE)),"")</f>
        <v/>
      </c>
      <c r="AR303" s="625" t="str">
        <f t="shared" si="700"/>
        <v/>
      </c>
      <c r="AS303" s="634" t="str">
        <f t="shared" si="701"/>
        <v/>
      </c>
      <c r="AT303" s="625" t="str">
        <f t="shared" si="702"/>
        <v/>
      </c>
      <c r="AU303" s="638" t="e">
        <f t="shared" si="703"/>
        <v>#N/A</v>
      </c>
      <c r="AV303" s="625" t="e">
        <f t="shared" si="704"/>
        <v>#N/A</v>
      </c>
      <c r="AX303" s="625">
        <f>IF(AND('General price list'!$J303="F4",'General price list'!$AB303+0&gt;0),1,0)</f>
        <v>0</v>
      </c>
      <c r="AY303" s="625">
        <f t="shared" si="705"/>
        <v>1</v>
      </c>
      <c r="AZ303" s="625">
        <f t="shared" si="706"/>
        <v>0</v>
      </c>
    </row>
    <row r="304" spans="1:52" ht="15" customHeight="1">
      <c r="A304" s="639" t="str">
        <f>Kat.!C304</f>
        <v/>
      </c>
      <c r="B304" s="640">
        <f>IF(AND('General price list'!$J304="F4",$AI$1=FALSE),0,IF(AC304="SKLADEM",1,IF(AC304=$V$3,1,0)))</f>
        <v>1</v>
      </c>
      <c r="C304" s="641" t="s">
        <v>785</v>
      </c>
      <c r="D304" s="642" t="s">
        <v>786</v>
      </c>
      <c r="E304" s="643" t="s">
        <v>12739</v>
      </c>
      <c r="F304" s="771">
        <f>IFERROR(VLOOKUP(C304,[2]List1!$A:$D,3,FALSE),"NEUVEDENO!")</f>
        <v>614</v>
      </c>
      <c r="G304" s="768">
        <f t="shared" si="707"/>
        <v>614</v>
      </c>
      <c r="H304" s="765">
        <f t="shared" si="708"/>
        <v>26.081822159353987</v>
      </c>
      <c r="I304" s="644">
        <f>IFERROR(VLOOKUP(C304,[2]List1!$A:$D,4,FALSE),"NEUVEDENO!")</f>
        <v>12</v>
      </c>
      <c r="J304" s="733" t="s">
        <v>113</v>
      </c>
      <c r="K304" s="645" t="s">
        <v>20</v>
      </c>
      <c r="L304" s="645" t="s">
        <v>20</v>
      </c>
      <c r="M304" s="645" t="s">
        <v>114</v>
      </c>
      <c r="N304" s="645">
        <f>IFERROR(VLOOKUP(C304,[3]List1!$A:$D,4,FALSE),"N/A!")</f>
        <v>0.15295799999999998</v>
      </c>
      <c r="O304" s="645">
        <f>IFERROR(VLOOKUP(C304,[3]List1!$A:$D,3,FALSE),"N/A!")</f>
        <v>4680</v>
      </c>
      <c r="P304" s="645">
        <f>IFERROR(VLOOKUP(C304,[3]List1!$A:$D,2,FALSE),"N/A!")</f>
        <v>18000</v>
      </c>
      <c r="Q304" s="645" t="s">
        <v>11286</v>
      </c>
      <c r="R304" s="645" t="s">
        <v>2493</v>
      </c>
      <c r="S304" s="645"/>
      <c r="T304" s="645"/>
      <c r="U304" s="645"/>
      <c r="V304" s="645"/>
      <c r="W304" s="645" t="str">
        <f>IFERROR(IF(AND($AB304&gt;=0.1*$AA304,MOD($AB304,$AA304)&gt;=($AA304-(0.1*$AA304))),IF($W$17=$AF$1,"Zvažte možnost doobjednání ještě "&amp;Tabulka1[[#This Row],[VKPAL]]-MOD(AB304,AA304)&amp;" VK do plné palety.",VLOOKUP("Zvažte možnost doobjednání ještě ",Jazyky_ceník!A:Q,MATCH($W$17,Jazyky_ceník!$A$1:$Q$1,0),FALSE)&amp;Tabulka1[[#This Row],[VKPAL]]-MOD(AB304,AA304)&amp;VLOOKUP(" VK do plné palety.",Jazyky_ceník!A:Q,MATCH($W$17,Jazyky_ceník!$A$1:$Q$1,0),FALSE)),IFERROR(IF(AND(NOT(MOD($AB304,$AA304)=0),$AB304&gt;=0.9*$AA304,MOD($AB304,$AA304)&lt;=0.1*$AA304),IF($W$17=$AF$1,"Zvažte možnost optimalizace objednaného množství podle počtu VK na paletě ==&gt;",VLOOKUP("Zvažte možnost optimalizace objednaného množství podle počtu VK na paletě ==&gt;",Jazyky_ceník!A:Q,MATCH($W$17,Jazyky_ceník!$A$1:$Q$1,0),FALSE)),VLOOKUP('General price list'!$C304,Popisy!A:M,MATCH($W$17,Popisy!$A$7:$M$7,0),FALSE)),"---------------")),IFERROR(VLOOKUP('General price list'!$C304,Popisy!A:M,MATCH($W$17,Popisy!$A$7:$M$7,0),FALSE),"---------------"))</f>
        <v>170cm výška, chromové rakety najvyšší kvality, 2 různobarevné efekty</v>
      </c>
      <c r="X304" s="645" t="str">
        <f t="shared" si="709"/>
        <v/>
      </c>
      <c r="Y304" s="645" t="str">
        <f t="shared" si="710"/>
        <v/>
      </c>
      <c r="Z304" s="645" t="str">
        <f>HYPERLINK("https://www.klasekpyrotechnics.cz/r170b")</f>
        <v>https://www.klasekpyrotechnics.cz/r170b</v>
      </c>
      <c r="AA304" s="645">
        <f>IFERROR(IF(VLOOKUP(C304,[4]List1!$A:$D,4,FALSE)=0,"",VLOOKUP(C304,[4]List1!$A:$D,4,FALSE)),"")</f>
        <v>9</v>
      </c>
      <c r="AB304" s="646"/>
      <c r="AC304" s="647" t="str">
        <f>IFERROR(IF(VLOOKUP(C304,[1]List1!$A:$D,2,FALSE)="VYPRODÁNO",$V$9,IF(VLOOKUP(C304,[1]List1!$A:$D,2,FALSE)="DOCHÁZÍ",$V$3,VLOOKUP(C304,[1]List1!$A:$D,2,FALSE))),"OFFLINE!")</f>
        <v>SKLADEM</v>
      </c>
      <c r="AD304" s="647" t="str">
        <f ca="1">IF(AP304="NE",$V$10,IF(AC304=$V$3,IF(AQ304&lt;1,$V$8,$V$2&amp;" "&amp;AQ304&amp;" "&amp;$V$1),IF(AC304="SKLADEM",$V$6,IFERROR(IF(OR(AC304-TODAY()&gt;45,VLOOKUP(C304,[1]List1!$A:$E,4,FALSE)=0),AC304,DAY(AC304)&amp;"."&amp;MONTH(AC304)&amp;"."&amp;YEAR(AC304)&amp;" "&amp;$V$4&amp;VLOOKUP(C304,[1]List1!$A:$E,4,FALSE)&amp;" "&amp;$V$1),AC304))))</f>
        <v>SKLADEM</v>
      </c>
      <c r="AE304" s="645" t="str">
        <f t="shared" ca="1" si="711"/>
        <v>SKLADEM</v>
      </c>
      <c r="AF304" s="648">
        <f t="shared" si="712"/>
        <v>0</v>
      </c>
      <c r="AG304" s="649">
        <f t="shared" si="713"/>
        <v>0</v>
      </c>
      <c r="AH304" s="650">
        <f t="shared" si="714"/>
        <v>0</v>
      </c>
      <c r="AI304" s="645">
        <f t="shared" si="715"/>
        <v>0</v>
      </c>
      <c r="AJ304" s="645">
        <f t="shared" si="716"/>
        <v>0</v>
      </c>
      <c r="AK304" s="645" t="str">
        <f t="shared" si="717"/>
        <v/>
      </c>
      <c r="AL304" s="645">
        <f t="shared" si="718"/>
        <v>0</v>
      </c>
      <c r="AM304" s="645" t="str">
        <f t="shared" si="719"/>
        <v/>
      </c>
      <c r="AN304" s="651">
        <f t="shared" si="720"/>
        <v>0</v>
      </c>
      <c r="AO304" s="623"/>
      <c r="AP304" s="632" t="str">
        <f t="shared" si="699"/>
        <v/>
      </c>
      <c r="AQ304" s="633" t="str">
        <f>IF(AC304=$V$3,IF(VLOOKUP(C304,[1]List1!$A:$E,5,FALSE)=0,1,VLOOKUP(C304,[1]List1!$A:$E,5,FALSE)),"")</f>
        <v/>
      </c>
      <c r="AR304" s="625" t="str">
        <f t="shared" si="700"/>
        <v/>
      </c>
      <c r="AS304" s="634" t="str">
        <f t="shared" si="701"/>
        <v/>
      </c>
      <c r="AT304" s="625" t="str">
        <f t="shared" si="702"/>
        <v/>
      </c>
      <c r="AU304" s="638" t="e">
        <f t="shared" si="703"/>
        <v>#N/A</v>
      </c>
      <c r="AV304" s="625" t="e">
        <f t="shared" si="704"/>
        <v>#N/A</v>
      </c>
      <c r="AX304" s="625">
        <f>IF(AND('General price list'!$J304="F4",'General price list'!$AB304+0&gt;0),1,0)</f>
        <v>0</v>
      </c>
      <c r="AY304" s="625">
        <f t="shared" si="705"/>
        <v>1</v>
      </c>
      <c r="AZ304" s="625">
        <f t="shared" si="706"/>
        <v>0</v>
      </c>
    </row>
    <row r="305" spans="1:52" ht="15" customHeight="1">
      <c r="A305" s="621" t="str">
        <f>Kat.!C305</f>
        <v/>
      </c>
      <c r="B305" s="566">
        <f>IF(AND('General price list'!$J305="F4",$AI$1=FALSE),0,IF(AC305="SKLADEM",1,IF(AC305=$V$3,1,0)))</f>
        <v>1</v>
      </c>
      <c r="C305" s="567" t="s">
        <v>2256</v>
      </c>
      <c r="D305" s="568" t="s">
        <v>2257</v>
      </c>
      <c r="E305" s="763" t="s">
        <v>12740</v>
      </c>
      <c r="F305" s="772">
        <f>IFERROR(VLOOKUP(C305,[2]List1!$A:$D,3,FALSE),"NEUVEDENO!")</f>
        <v>949</v>
      </c>
      <c r="G305" s="769">
        <f t="shared" si="707"/>
        <v>949</v>
      </c>
      <c r="H305" s="766">
        <f t="shared" si="708"/>
        <v>40.312132295157873</v>
      </c>
      <c r="I305" s="764">
        <f>IFERROR(VLOOKUP(C305,[2]List1!$A:$D,4,FALSE),"NEUVEDENO!")</f>
        <v>6</v>
      </c>
      <c r="J305" s="732" t="s">
        <v>113</v>
      </c>
      <c r="K305" s="569" t="s">
        <v>20</v>
      </c>
      <c r="L305" s="569" t="s">
        <v>20</v>
      </c>
      <c r="M305" s="569" t="s">
        <v>114</v>
      </c>
      <c r="N305" s="569">
        <f>IFERROR(VLOOKUP(C305,[3]List1!$A:$D,4,FALSE),"N/A!")</f>
        <v>0.11372399999999999</v>
      </c>
      <c r="O305" s="569">
        <f>IFERROR(VLOOKUP(C305,[3]List1!$A:$D,3,FALSE),"N/A!")</f>
        <v>3510</v>
      </c>
      <c r="P305" s="569">
        <f>IFERROR(VLOOKUP(C305,[3]List1!$A:$D,2,FALSE),"N/A!")</f>
        <v>13000</v>
      </c>
      <c r="Q305" s="569" t="s">
        <v>11286</v>
      </c>
      <c r="R305" s="569" t="s">
        <v>2493</v>
      </c>
      <c r="S305" s="569"/>
      <c r="T305" s="569"/>
      <c r="U305" s="569"/>
      <c r="V305" s="569"/>
      <c r="W305" s="569" t="str">
        <f>IFERROR(IF(AND($AB305&gt;=0.1*$AA305,MOD($AB305,$AA305)&gt;=($AA305-(0.1*$AA305))),IF($W$17=$AF$1,"Zvažte možnost doobjednání ještě "&amp;Tabulka1[[#This Row],[VKPAL]]-MOD(AB305,AA305)&amp;" VK do plné palety.",VLOOKUP("Zvažte možnost doobjednání ještě ",Jazyky_ceník!A:Q,MATCH($W$17,Jazyky_ceník!$A$1:$Q$1,0),FALSE)&amp;Tabulka1[[#This Row],[VKPAL]]-MOD(AB305,AA305)&amp;VLOOKUP(" VK do plné palety.",Jazyky_ceník!A:Q,MATCH($W$17,Jazyky_ceník!$A$1:$Q$1,0),FALSE)),IFERROR(IF(AND(NOT(MOD($AB305,$AA305)=0),$AB305&gt;=0.9*$AA305,MOD($AB305,$AA305)&lt;=0.1*$AA305),IF($W$17=$AF$1,"Zvažte možnost optimalizace objednaného množství podle počtu VK na paletě ==&gt;",VLOOKUP("Zvažte možnost optimalizace objednaného množství podle počtu VK na paletě ==&gt;",Jazyky_ceník!A:Q,MATCH($W$17,Jazyky_ceník!$A$1:$Q$1,0),FALSE)),VLOOKUP('General price list'!$C305,Popisy!A:M,MATCH($W$17,Popisy!$A$7:$M$7,0),FALSE)),"---------------")),IFERROR(VLOOKUP('General price list'!$C305,Popisy!A:M,MATCH($W$17,Popisy!$A$7:$M$7,0),FALSE),"---------------"))</f>
        <v>170cm výška, chromové rakety najvyšší kvality, 3 různobarevné efekty</v>
      </c>
      <c r="X305" s="569" t="str">
        <f t="shared" si="709"/>
        <v/>
      </c>
      <c r="Y305" s="569" t="str">
        <f t="shared" si="710"/>
        <v/>
      </c>
      <c r="Z305" s="569" t="str">
        <f>HYPERLINK("https://www.klasekpyrotechnics.cz/r170x")</f>
        <v>https://www.klasekpyrotechnics.cz/r170x</v>
      </c>
      <c r="AA305" s="569">
        <f>IFERROR(IF(VLOOKUP(C305,[4]List1!$A:$D,4,FALSE)=0,"",VLOOKUP(C305,[4]List1!$A:$D,4,FALSE)),"")</f>
        <v>12</v>
      </c>
      <c r="AB305" s="565"/>
      <c r="AC305" s="570" t="str">
        <f>IFERROR(IF(VLOOKUP(C305,[1]List1!$A:$D,2,FALSE)="VYPRODÁNO",$V$9,IF(VLOOKUP(C305,[1]List1!$A:$D,2,FALSE)="DOCHÁZÍ",$V$3,VLOOKUP(C305,[1]List1!$A:$D,2,FALSE))),"OFFLINE!")</f>
        <v>SKLADEM</v>
      </c>
      <c r="AD305" s="570" t="str">
        <f ca="1">IF(AP305="NE",$V$10,IF(AC305=$V$3,IF(AQ305&lt;1,$V$8,$V$2&amp;" "&amp;AQ305&amp;" "&amp;$V$1),IF(AC305="SKLADEM",$V$6,IFERROR(IF(OR(AC305-TODAY()&gt;45,VLOOKUP(C305,[1]List1!$A:$E,4,FALSE)=0),AC305,DAY(AC305)&amp;"."&amp;MONTH(AC305)&amp;"."&amp;YEAR(AC305)&amp;" "&amp;$V$4&amp;VLOOKUP(C305,[1]List1!$A:$E,4,FALSE)&amp;" "&amp;$V$1),AC305))))</f>
        <v>SKLADEM</v>
      </c>
      <c r="AE305" s="581" t="str">
        <f t="shared" ca="1" si="711"/>
        <v>SKLADEM</v>
      </c>
      <c r="AF305" s="584">
        <f t="shared" si="712"/>
        <v>0</v>
      </c>
      <c r="AG305" s="585">
        <f t="shared" si="713"/>
        <v>0</v>
      </c>
      <c r="AH305" s="583">
        <f t="shared" si="714"/>
        <v>0</v>
      </c>
      <c r="AI305" s="582">
        <f t="shared" si="715"/>
        <v>0</v>
      </c>
      <c r="AJ305" s="569">
        <f t="shared" si="716"/>
        <v>0</v>
      </c>
      <c r="AK305" s="569" t="str">
        <f t="shared" si="717"/>
        <v/>
      </c>
      <c r="AL305" s="569">
        <f t="shared" si="718"/>
        <v>0</v>
      </c>
      <c r="AM305" s="569" t="str">
        <f t="shared" si="719"/>
        <v/>
      </c>
      <c r="AN305" s="581">
        <f t="shared" si="720"/>
        <v>0</v>
      </c>
      <c r="AO305" s="623"/>
      <c r="AP305" s="632" t="str">
        <f t="shared" si="699"/>
        <v/>
      </c>
      <c r="AQ305" s="633" t="str">
        <f>IF(AC305=$V$3,IF(VLOOKUP(C305,[1]List1!$A:$E,5,FALSE)=0,1,VLOOKUP(C305,[1]List1!$A:$E,5,FALSE)),"")</f>
        <v/>
      </c>
      <c r="AR305" s="625" t="str">
        <f t="shared" si="700"/>
        <v/>
      </c>
      <c r="AS305" s="634" t="str">
        <f t="shared" si="701"/>
        <v/>
      </c>
      <c r="AT305" s="625" t="str">
        <f t="shared" si="702"/>
        <v/>
      </c>
      <c r="AU305" s="638" t="e">
        <f t="shared" si="703"/>
        <v>#N/A</v>
      </c>
      <c r="AV305" s="625" t="e">
        <f t="shared" si="704"/>
        <v>#N/A</v>
      </c>
      <c r="AX305" s="625">
        <f>IF(AND('General price list'!$J305="F4",'General price list'!$AB305+0&gt;0),1,0)</f>
        <v>0</v>
      </c>
      <c r="AY305" s="625">
        <f t="shared" si="705"/>
        <v>1</v>
      </c>
      <c r="AZ305" s="625">
        <f t="shared" si="706"/>
        <v>0</v>
      </c>
    </row>
    <row r="306" spans="1:52" ht="15" customHeight="1">
      <c r="A306" s="639" t="str">
        <f>Kat.!C306</f>
        <v/>
      </c>
      <c r="B306" s="640">
        <f>IF(AND('General price list'!$J306="F4",$AI$1=FALSE),0,IF(AC306="SKLADEM",1,IF(AC306=$V$3,1,0)))</f>
        <v>1</v>
      </c>
      <c r="C306" s="641" t="s">
        <v>2258</v>
      </c>
      <c r="D306" s="642" t="s">
        <v>2259</v>
      </c>
      <c r="E306" s="643" t="s">
        <v>12741</v>
      </c>
      <c r="F306" s="771">
        <f>IFERROR(VLOOKUP(C306,[2]List1!$A:$D,3,FALSE),"NEUVEDENO!")</f>
        <v>1375</v>
      </c>
      <c r="G306" s="768">
        <f t="shared" si="707"/>
        <v>1375</v>
      </c>
      <c r="H306" s="765">
        <f t="shared" si="708"/>
        <v>58.407989363374156</v>
      </c>
      <c r="I306" s="644">
        <f>IFERROR(VLOOKUP(C306,[2]List1!$A:$D,4,FALSE),"NEUVEDENO!")</f>
        <v>4</v>
      </c>
      <c r="J306" s="733" t="s">
        <v>113</v>
      </c>
      <c r="K306" s="645" t="s">
        <v>20</v>
      </c>
      <c r="L306" s="645" t="s">
        <v>20</v>
      </c>
      <c r="M306" s="645" t="s">
        <v>114</v>
      </c>
      <c r="N306" s="645">
        <f>IFERROR(VLOOKUP(C306,[3]List1!$A:$D,4,FALSE),"N/A!")</f>
        <v>8.4083999999999992E-2</v>
      </c>
      <c r="O306" s="645">
        <f>IFERROR(VLOOKUP(C306,[3]List1!$A:$D,3,FALSE),"N/A!")</f>
        <v>2400</v>
      </c>
      <c r="P306" s="645">
        <f>IFERROR(VLOOKUP(C306,[3]List1!$A:$D,2,FALSE),"N/A!")</f>
        <v>10700</v>
      </c>
      <c r="Q306" s="645" t="s">
        <v>12770</v>
      </c>
      <c r="R306" s="645"/>
      <c r="S306" s="645"/>
      <c r="T306" s="645"/>
      <c r="U306" s="645"/>
      <c r="V306" s="645"/>
      <c r="W306" s="645" t="str">
        <f>IFERROR(IF(AND($AB306&gt;=0.1*$AA306,MOD($AB306,$AA306)&gt;=($AA306-(0.1*$AA306))),IF($W$17=$AF$1,"Zvažte možnost doobjednání ještě "&amp;Tabulka1[[#This Row],[VKPAL]]-MOD(AB306,AA306)&amp;" VK do plné palety.",VLOOKUP("Zvažte možnost doobjednání ještě ",Jazyky_ceník!A:Q,MATCH($W$17,Jazyky_ceník!$A$1:$Q$1,0),FALSE)&amp;Tabulka1[[#This Row],[VKPAL]]-MOD(AB306,AA306)&amp;VLOOKUP(" VK do plné palety.",Jazyky_ceník!A:Q,MATCH($W$17,Jazyky_ceník!$A$1:$Q$1,0),FALSE)),IFERROR(IF(AND(NOT(MOD($AB306,$AA306)=0),$AB306&gt;=0.9*$AA306,MOD($AB306,$AA306)&lt;=0.1*$AA306),IF($W$17=$AF$1,"Zvažte možnost optimalizace objednaného množství podle počtu VK na paletě ==&gt;",VLOOKUP("Zvažte možnost optimalizace objednaného množství podle počtu VK na paletě ==&gt;",Jazyky_ceník!A:Q,MATCH($W$17,Jazyky_ceník!$A$1:$Q$1,0),FALSE)),VLOOKUP('General price list'!$C306,Popisy!A:M,MATCH($W$17,Popisy!$A$7:$M$7,0),FALSE)),"---------------")),IFERROR(VLOOKUP('General price list'!$C306,Popisy!A:M,MATCH($W$17,Popisy!$A$7:$M$7,0),FALSE),"---------------"))</f>
        <v>5 různobarevné efekty</v>
      </c>
      <c r="X306" s="645" t="str">
        <f t="shared" si="709"/>
        <v/>
      </c>
      <c r="Y306" s="645" t="str">
        <f t="shared" si="710"/>
        <v/>
      </c>
      <c r="Z306" s="645" t="str">
        <f>HYPERLINK("https://www.klasekpyrotechnics.cz/r170m")</f>
        <v>https://www.klasekpyrotechnics.cz/r170m</v>
      </c>
      <c r="AA306" s="645" t="str">
        <f>IFERROR(IF(VLOOKUP(C306,[4]List1!$A:$D,4,FALSE)=0,"",VLOOKUP(C306,[4]List1!$A:$D,4,FALSE)),"")</f>
        <v>15</v>
      </c>
      <c r="AB306" s="646"/>
      <c r="AC306" s="647" t="str">
        <f>IFERROR(IF(VLOOKUP(C306,[1]List1!$A:$D,2,FALSE)="VYPRODÁNO",$V$9,IF(VLOOKUP(C306,[1]List1!$A:$D,2,FALSE)="DOCHÁZÍ",$V$3,VLOOKUP(C306,[1]List1!$A:$D,2,FALSE))),"OFFLINE!")</f>
        <v>SKLADEM</v>
      </c>
      <c r="AD306" s="647" t="str">
        <f ca="1">IF(AP306="NE",$V$10,IF(AC306=$V$3,IF(AQ306&lt;1,$V$8,$V$2&amp;" "&amp;AQ306&amp;" "&amp;$V$1),IF(AC306="SKLADEM",$V$6,IFERROR(IF(OR(AC306-TODAY()&gt;45,VLOOKUP(C306,[1]List1!$A:$E,4,FALSE)=0),AC306,DAY(AC306)&amp;"."&amp;MONTH(AC306)&amp;"."&amp;YEAR(AC306)&amp;" "&amp;$V$4&amp;VLOOKUP(C306,[1]List1!$A:$E,4,FALSE)&amp;" "&amp;$V$1),AC306))))</f>
        <v>SKLADEM</v>
      </c>
      <c r="AE306" s="645" t="str">
        <f t="shared" ca="1" si="711"/>
        <v>SKLADEM</v>
      </c>
      <c r="AF306" s="648">
        <f t="shared" si="712"/>
        <v>0</v>
      </c>
      <c r="AG306" s="649">
        <f t="shared" si="713"/>
        <v>0</v>
      </c>
      <c r="AH306" s="650">
        <f t="shared" si="714"/>
        <v>0</v>
      </c>
      <c r="AI306" s="645">
        <f t="shared" si="715"/>
        <v>0</v>
      </c>
      <c r="AJ306" s="645">
        <f t="shared" si="716"/>
        <v>0</v>
      </c>
      <c r="AK306" s="645" t="str">
        <f t="shared" si="717"/>
        <v/>
      </c>
      <c r="AL306" s="645">
        <f t="shared" si="718"/>
        <v>0</v>
      </c>
      <c r="AM306" s="645" t="str">
        <f t="shared" si="719"/>
        <v/>
      </c>
      <c r="AN306" s="651">
        <f t="shared" si="720"/>
        <v>0</v>
      </c>
      <c r="AO306" s="623"/>
      <c r="AP306" s="632" t="str">
        <f t="shared" si="699"/>
        <v/>
      </c>
      <c r="AQ306" s="633" t="str">
        <f>IF(AC306=$V$3,IF(VLOOKUP(C306,[1]List1!$A:$E,5,FALSE)=0,1,VLOOKUP(C306,[1]List1!$A:$E,5,FALSE)),"")</f>
        <v/>
      </c>
      <c r="AR306" s="625" t="str">
        <f t="shared" si="700"/>
        <v/>
      </c>
      <c r="AS306" s="634" t="str">
        <f t="shared" si="701"/>
        <v/>
      </c>
      <c r="AT306" s="625" t="str">
        <f t="shared" si="702"/>
        <v/>
      </c>
      <c r="AU306" s="638" t="e">
        <f t="shared" si="703"/>
        <v>#N/A</v>
      </c>
      <c r="AV306" s="625" t="e">
        <f t="shared" si="704"/>
        <v>#N/A</v>
      </c>
      <c r="AX306" s="625">
        <f>IF(AND('General price list'!$J306="F4",'General price list'!$AB306+0&gt;0),1,0)</f>
        <v>0</v>
      </c>
      <c r="AY306" s="625">
        <f t="shared" si="705"/>
        <v>1</v>
      </c>
      <c r="AZ306" s="625">
        <f t="shared" si="706"/>
        <v>0</v>
      </c>
    </row>
    <row r="307" spans="1:52" ht="15" customHeight="1">
      <c r="A307" s="621" t="str">
        <f>Kat.!C307</f>
        <v/>
      </c>
      <c r="B307" s="566">
        <f>IF(AND('General price list'!$J307="F4",$AI$1=FALSE),0,IF(AC307="SKLADEM",1,IF(AC307=$V$3,1,0)))</f>
        <v>0</v>
      </c>
      <c r="C307" s="567" t="s">
        <v>789</v>
      </c>
      <c r="D307" s="568" t="s">
        <v>790</v>
      </c>
      <c r="E307" s="763" t="s">
        <v>12741</v>
      </c>
      <c r="F307" s="772">
        <f>IFERROR(VLOOKUP(C307,[2]List1!$A:$D,3,FALSE),"NEUVEDENO!")</f>
        <v>1493</v>
      </c>
      <c r="G307" s="769">
        <f t="shared" si="707"/>
        <v>1493</v>
      </c>
      <c r="H307" s="766">
        <f t="shared" si="708"/>
        <v>63.42045681419463</v>
      </c>
      <c r="I307" s="764">
        <f>IFERROR(VLOOKUP(C307,[2]List1!$A:$D,4,FALSE),"NEUVEDENO!")</f>
        <v>4</v>
      </c>
      <c r="J307" s="732" t="s">
        <v>113</v>
      </c>
      <c r="K307" s="569" t="s">
        <v>20</v>
      </c>
      <c r="L307" s="569" t="s">
        <v>20</v>
      </c>
      <c r="M307" s="569" t="s">
        <v>114</v>
      </c>
      <c r="N307" s="569">
        <f>IFERROR(VLOOKUP(C307,[3]List1!$A:$D,4,FALSE),"N/A!")</f>
        <v>8.4083999999999992E-2</v>
      </c>
      <c r="O307" s="569">
        <f>IFERROR(VLOOKUP(C307,[3]List1!$A:$D,3,FALSE),"N/A!")</f>
        <v>3120</v>
      </c>
      <c r="P307" s="569">
        <f>IFERROR(VLOOKUP(C307,[3]List1!$A:$D,2,FALSE),"N/A!")</f>
        <v>11000</v>
      </c>
      <c r="Q307" s="569" t="s">
        <v>11287</v>
      </c>
      <c r="R307" s="569" t="s">
        <v>20</v>
      </c>
      <c r="S307" s="569"/>
      <c r="T307" s="569"/>
      <c r="U307" s="569"/>
      <c r="V307" s="569"/>
      <c r="W307" s="569" t="str">
        <f>IFERROR(IF(AND($AB307&gt;=0.1*$AA307,MOD($AB307,$AA307)&gt;=($AA307-(0.1*$AA307))),IF($W$17=$AF$1,"Zvažte možnost doobjednání ještě "&amp;Tabulka1[[#This Row],[VKPAL]]-MOD(AB307,AA307)&amp;" VK do plné palety.",VLOOKUP("Zvažte možnost doobjednání ještě ",Jazyky_ceník!A:Q,MATCH($W$17,Jazyky_ceník!$A$1:$Q$1,0),FALSE)&amp;Tabulka1[[#This Row],[VKPAL]]-MOD(AB307,AA307)&amp;VLOOKUP(" VK do plné palety.",Jazyky_ceník!A:Q,MATCH($W$17,Jazyky_ceník!$A$1:$Q$1,0),FALSE)),IFERROR(IF(AND(NOT(MOD($AB307,$AA307)=0),$AB307&gt;=0.9*$AA307,MOD($AB307,$AA307)&lt;=0.1*$AA307),IF($W$17=$AF$1,"Zvažte možnost optimalizace objednaného množství podle počtu VK na paletě ==&gt;",VLOOKUP("Zvažte možnost optimalizace objednaného množství podle počtu VK na paletě ==&gt;",Jazyky_ceník!A:Q,MATCH($W$17,Jazyky_ceník!$A$1:$Q$1,0),FALSE)),VLOOKUP('General price list'!$C307,Popisy!A:M,MATCH($W$17,Popisy!$A$7:$M$7,0),FALSE)),"---------------")),IFERROR(VLOOKUP('General price list'!$C307,Popisy!A:M,MATCH($W$17,Popisy!$A$7:$M$7,0),FALSE),"---------------"))</f>
        <v>5 různobarevné efekty</v>
      </c>
      <c r="X307" s="569" t="str">
        <f t="shared" si="709"/>
        <v/>
      </c>
      <c r="Y307" s="569" t="str">
        <f t="shared" si="710"/>
        <v/>
      </c>
      <c r="Z307" s="569" t="str">
        <f>HYPERLINK("https://www.klasekpyrotechnics.cz/rssf3")</f>
        <v>https://www.klasekpyrotechnics.cz/rssf3</v>
      </c>
      <c r="AA307" s="569">
        <f>IFERROR(IF(VLOOKUP(C307,[4]List1!$A:$D,4,FALSE)=0,"",VLOOKUP(C307,[4]List1!$A:$D,4,FALSE)),"")</f>
        <v>15</v>
      </c>
      <c r="AB307" s="565"/>
      <c r="AC307" s="570" t="str">
        <f>IFERROR(IF(VLOOKUP(C307,[1]List1!$A:$D,2,FALSE)="VYPRODÁNO",$V$9,IF(VLOOKUP(C307,[1]List1!$A:$D,2,FALSE)="DOCHÁZÍ",$V$3,VLOOKUP(C307,[1]List1!$A:$D,2,FALSE))),"OFFLINE!")</f>
        <v>31.07.2026</v>
      </c>
      <c r="AD307" s="570" t="str">
        <f ca="1">IF(AP307="NE",$V$10,IF(AC307=$V$3,IF(AQ307&lt;1,$V$8,$V$2&amp;" "&amp;AQ307&amp;" "&amp;$V$1),IF(AC307="SKLADEM",$V$6,IFERROR(IF(OR(AC307-TODAY()&gt;45,VLOOKUP(C307,[1]List1!$A:$E,4,FALSE)=0),AC307,DAY(AC307)&amp;"."&amp;MONTH(AC307)&amp;"."&amp;YEAR(AC307)&amp;" "&amp;$V$4&amp;VLOOKUP(C307,[1]List1!$A:$E,4,FALSE)&amp;" "&amp;$V$1),AC307))))</f>
        <v>31.07.2026</v>
      </c>
      <c r="AE307" s="581" t="str">
        <f t="shared" ca="1" si="711"/>
        <v>31.07.2026</v>
      </c>
      <c r="AF307" s="584">
        <f t="shared" si="712"/>
        <v>0</v>
      </c>
      <c r="AG307" s="585">
        <f t="shared" si="713"/>
        <v>0</v>
      </c>
      <c r="AH307" s="583">
        <f t="shared" si="714"/>
        <v>0</v>
      </c>
      <c r="AI307" s="582">
        <f t="shared" si="715"/>
        <v>0</v>
      </c>
      <c r="AJ307" s="569">
        <f t="shared" si="716"/>
        <v>0</v>
      </c>
      <c r="AK307" s="569" t="str">
        <f t="shared" si="717"/>
        <v/>
      </c>
      <c r="AL307" s="569">
        <f t="shared" si="718"/>
        <v>0</v>
      </c>
      <c r="AM307" s="569" t="str">
        <f t="shared" si="719"/>
        <v/>
      </c>
      <c r="AN307" s="581">
        <f t="shared" si="720"/>
        <v>0</v>
      </c>
      <c r="AO307" s="623"/>
      <c r="AP307" s="632" t="str">
        <f t="shared" si="699"/>
        <v/>
      </c>
      <c r="AQ307" s="633" t="str">
        <f>IF(AC307=$V$3,IF(VLOOKUP(C307,[1]List1!$A:$E,5,FALSE)=0,1,VLOOKUP(C307,[1]List1!$A:$E,5,FALSE)),"")</f>
        <v/>
      </c>
      <c r="AR307" s="625" t="str">
        <f t="shared" si="700"/>
        <v/>
      </c>
      <c r="AS307" s="634" t="str">
        <f t="shared" si="701"/>
        <v/>
      </c>
      <c r="AT307" s="625" t="str">
        <f t="shared" si="702"/>
        <v/>
      </c>
      <c r="AU307" s="638" t="e">
        <f t="shared" si="703"/>
        <v>#N/A</v>
      </c>
      <c r="AV307" s="625" t="e">
        <f t="shared" si="704"/>
        <v>#N/A</v>
      </c>
      <c r="AX307" s="625">
        <f>IF(AND('General price list'!$J307="F4",'General price list'!$AB307+0&gt;0),1,0)</f>
        <v>0</v>
      </c>
      <c r="AY307" s="625">
        <f t="shared" si="705"/>
        <v>1</v>
      </c>
      <c r="AZ307" s="625">
        <f t="shared" si="706"/>
        <v>0</v>
      </c>
    </row>
    <row r="308" spans="1:52" ht="15" customHeight="1">
      <c r="A308" s="751" t="str">
        <f>Kat.!C308</f>
        <v xml:space="preserve">           Oblečení</v>
      </c>
      <c r="B308" s="751"/>
      <c r="C308" s="751"/>
      <c r="D308" s="751"/>
      <c r="E308" s="751"/>
      <c r="F308" s="751"/>
      <c r="G308" s="751"/>
      <c r="H308" s="751"/>
      <c r="I308" s="752"/>
      <c r="J308" s="752"/>
      <c r="K308" s="752" t="s">
        <v>20</v>
      </c>
      <c r="L308" s="753" t="s">
        <v>2818</v>
      </c>
      <c r="M308" s="752"/>
      <c r="N308" s="752"/>
      <c r="O308" s="752"/>
      <c r="P308" s="752"/>
      <c r="Q308" s="752"/>
      <c r="R308" s="752"/>
      <c r="S308" s="752"/>
      <c r="T308" s="752"/>
      <c r="U308" s="752"/>
      <c r="V308" s="752"/>
      <c r="W308" s="752"/>
      <c r="X308" s="752"/>
      <c r="Y308" s="752"/>
      <c r="Z308" s="752" t="s">
        <v>20</v>
      </c>
      <c r="AA308" s="752"/>
      <c r="AB308" s="752"/>
      <c r="AC308" s="754"/>
      <c r="AD308" s="752"/>
      <c r="AE308" s="752"/>
      <c r="AF308" s="752"/>
      <c r="AG308" s="752"/>
      <c r="AH308" s="752"/>
      <c r="AI308" s="752"/>
      <c r="AJ308" s="752"/>
      <c r="AK308" s="752"/>
      <c r="AL308" s="752"/>
      <c r="AM308" s="752"/>
      <c r="AN308" s="752"/>
      <c r="AO308" s="623"/>
      <c r="AP308" s="632" t="str">
        <f t="shared" ref="AP308:AP337" si="721">IF($AL$3=1,IF(Y308=AB308,"","NE"),IF(AR308=$V$10,"NE",""))</f>
        <v/>
      </c>
      <c r="AQ308" s="633" t="str">
        <f>IF(AC308=$V$3,IF(VLOOKUP(C308,[1]List1!$A:$E,5,FALSE)=0,1,VLOOKUP(C308,[1]List1!$A:$E,5,FALSE)),"")</f>
        <v/>
      </c>
      <c r="AR308" s="625" t="str">
        <f t="shared" ref="AR308:AR337" si="722">IF($AL$3=1,"",IF(OR(AB308&lt;&gt;"",AB308&lt;&gt;0),IF(OR(AC308=$V$6,AC308=$V$3,AC308=$V$9),$V$10,""),""))</f>
        <v/>
      </c>
      <c r="AS308" s="634" t="str">
        <f t="shared" ref="AS308:AS342" si="723">IF(AT308&lt;&gt;"","X","")</f>
        <v/>
      </c>
      <c r="AT308" s="625" t="str">
        <f t="shared" ref="AT308:AT337" si="724">IF(AND($AL$3=2,AR308="",AB308&lt;&gt;""),AD308,"")</f>
        <v/>
      </c>
      <c r="AU308" s="638" t="e">
        <f t="shared" ref="AU308:AU337" si="725">IF(AT308=$AS$21,AB308,"")</f>
        <v>#N/A</v>
      </c>
      <c r="AV308" s="625" t="e">
        <f t="shared" ref="AV308:AV337" si="726">IF(OR(AB308="",AND(AT308&lt;&gt;"",AU308&lt;&gt;"")),"",$V$10)</f>
        <v>#N/A</v>
      </c>
      <c r="AX308" s="625">
        <f>IF(AND('General price list'!$J308="F4",'General price list'!$AB308+0&gt;0),1,0)</f>
        <v>0</v>
      </c>
      <c r="AY308" s="625">
        <f t="shared" ref="AY308:AY337" si="727">IFERROR(FIND(VLOOKUP($AC$7,$AD$1:$AE$12,2,FALSE),Q308,1),0)</f>
        <v>0</v>
      </c>
      <c r="AZ308" s="625">
        <f t="shared" ref="AZ308:AZ337" si="728">IFERROR(FIND(VLOOKUP($AC$7,$AD$1:$AE$12,2,FALSE),R308,1),0)</f>
        <v>0</v>
      </c>
    </row>
    <row r="309" spans="1:52" ht="15" customHeight="1">
      <c r="A309" s="639" t="str">
        <f>Kat.!C309</f>
        <v>×</v>
      </c>
      <c r="B309" s="640">
        <f>IF(AND('General price list'!$J309="F4",$AI$1=FALSE),0,IF(AC309="SKLADEM",1,IF(AC309=$V$3,1,0)))</f>
        <v>1</v>
      </c>
      <c r="C309" s="641" t="s">
        <v>827</v>
      </c>
      <c r="D309" s="642" t="s">
        <v>10743</v>
      </c>
      <c r="E309" s="643" t="s">
        <v>12663</v>
      </c>
      <c r="F309" s="771">
        <f>IFERROR(VLOOKUP(C309,[2]List1!$A:$D,3,FALSE),"NEUVEDENO!")</f>
        <v>380</v>
      </c>
      <c r="G309" s="768">
        <f t="shared" ref="G309:G312" si="729">IF($W$17=$AF$8,ROUND((F309)/$F$17,2),(F309)*$B$19)</f>
        <v>380</v>
      </c>
      <c r="H309" s="765">
        <f t="shared" ref="H309:H312" si="730">IF($W$17=$AF$8,G309*$B$19,G309/$F$17)</f>
        <v>16.141844333150676</v>
      </c>
      <c r="I309" s="644">
        <f>IFERROR(VLOOKUP(C309,[2]List1!$A:$D,4,FALSE),"NEUVEDENO!")</f>
        <v>1</v>
      </c>
      <c r="J309" s="733"/>
      <c r="K309" s="645" t="s">
        <v>20</v>
      </c>
      <c r="L309" s="645" t="s">
        <v>15089</v>
      </c>
      <c r="M309" s="645"/>
      <c r="N309" s="645">
        <f>IFERROR(VLOOKUP(C309,[3]List1!$A:$D,4,FALSE),"N/A!")</f>
        <v>0</v>
      </c>
      <c r="O309" s="645">
        <f>IFERROR(VLOOKUP(C309,[3]List1!$A:$D,3,FALSE),"N/A!")</f>
        <v>0</v>
      </c>
      <c r="P309" s="645">
        <f>IFERROR(VLOOKUP(C309,[3]List1!$A:$D,2,FALSE),"N/A!")</f>
        <v>196</v>
      </c>
      <c r="Q309" s="645"/>
      <c r="R309" s="645" t="s">
        <v>20</v>
      </c>
      <c r="S309" s="645"/>
      <c r="T309" s="645"/>
      <c r="U309" s="645"/>
      <c r="V309" s="645"/>
      <c r="W309" s="645" t="str">
        <f>IFERROR(IF(AND($AB309&gt;=0.1*$AA309,MOD($AB309,$AA309)&gt;=($AA309-(0.1*$AA309))),IF($W$17=$AF$1,"Zvažte možnost doobjednání ještě "&amp;Tabulka1[[#This Row],[VKPAL]]-MOD(AB309,AA309)&amp;" VK do plné palety.",VLOOKUP("Zvažte možnost doobjednání ještě ",Jazyky_ceník!A:Q,MATCH($W$17,Jazyky_ceník!$A$1:$Q$1,0),FALSE)&amp;Tabulka1[[#This Row],[VKPAL]]-MOD(AB309,AA309)&amp;VLOOKUP(" VK do plné palety.",Jazyky_ceník!A:Q,MATCH($W$17,Jazyky_ceník!$A$1:$Q$1,0),FALSE)),IFERROR(IF(AND(NOT(MOD($AB309,$AA309)=0),$AB309&gt;=0.9*$AA309,MOD($AB309,$AA309)&lt;=0.1*$AA309),IF($W$17=$AF$1,"Zvažte možnost optimalizace objednaného množství podle počtu VK na paletě ==&gt;",VLOOKUP("Zvažte možnost optimalizace objednaného množství podle počtu VK na paletě ==&gt;",Jazyky_ceník!A:Q,MATCH($W$17,Jazyky_ceník!$A$1:$Q$1,0),FALSE)),VLOOKUP('General price list'!$C309,Popisy!A:M,MATCH($W$17,Popisy!$A$7:$M$7,0),FALSE)),"---------------")),IFERROR(VLOOKUP('General price list'!$C309,Popisy!A:M,MATCH($W$17,Popisy!$A$7:$M$7,0),FALSE),"---------------"))</f>
        <v>tričko Dumbum, gramáž 180g</v>
      </c>
      <c r="X309" s="645" t="str">
        <f t="shared" ref="X309:X312" si="731">IF(AB309&lt;0.0001,"",AB309)</f>
        <v/>
      </c>
      <c r="Y309" s="645" t="str">
        <f t="shared" ref="Y309:Y312" si="732">IF($AL$3=2,IF(OR(AB309&lt;&gt;"",AB309&lt;&gt;0),AU309,""),IF(C309="","",IF(AB309&lt;0.0001,"",IF(B309=0,"",IF(AQ309&lt;AB309,"",AB309)))))</f>
        <v/>
      </c>
      <c r="Z309" s="645" t="str">
        <f>HYPERLINK("https://www.klasekpyrotechnics.cz/tidb1l")</f>
        <v>https://www.klasekpyrotechnics.cz/tidb1l</v>
      </c>
      <c r="AA309" s="645" t="str">
        <f>IFERROR(IF(VLOOKUP(C309,[4]List1!$A:$D,4,FALSE)=0,"",VLOOKUP(C309,[4]List1!$A:$D,4,FALSE)),"")</f>
        <v/>
      </c>
      <c r="AB309" s="646"/>
      <c r="AC309" s="647" t="str">
        <f>IFERROR(IF(VLOOKUP(C309,[1]List1!$A:$D,2,FALSE)="VYPRODÁNO",$V$9,IF(VLOOKUP(C309,[1]List1!$A:$D,2,FALSE)="DOCHÁZÍ",$V$3,VLOOKUP(C309,[1]List1!$A:$D,2,FALSE))),"OFFLINE!")</f>
        <v>SKLADEM</v>
      </c>
      <c r="AD309" s="647" t="str">
        <f ca="1">IF(AP309="NE",$V$10,IF(AC309=$V$3,IF(AQ309&lt;1,$V$8,$V$2&amp;" "&amp;AQ309&amp;" "&amp;$V$1),IF(AC309="SKLADEM",$V$6,IFERROR(IF(OR(AC309-TODAY()&gt;45,VLOOKUP(C309,[1]List1!$A:$E,4,FALSE)=0),AC309,DAY(AC309)&amp;"."&amp;MONTH(AC309)&amp;"."&amp;YEAR(AC309)&amp;" "&amp;$V$4&amp;VLOOKUP(C309,[1]List1!$A:$E,4,FALSE)&amp;" "&amp;$V$1),AC309))))</f>
        <v>SKLADEM</v>
      </c>
      <c r="AE309" s="645" t="str">
        <f t="shared" ref="AE309:AE312" ca="1" si="733">IFERROR(IF(AV309&lt;&gt;"",AV309,AD309),AD309)</f>
        <v>SKLADEM</v>
      </c>
      <c r="AF309" s="648">
        <f t="shared" ref="AF309:AF312" si="734">IFERROR(IF(AB309=Y309,G309*I309*Y309,0),0)</f>
        <v>0</v>
      </c>
      <c r="AG309" s="649">
        <f t="shared" ref="AG309:AG312" si="735">IF($W$17=$AF$8,AH309*1.23,AF309*1.21)</f>
        <v>0</v>
      </c>
      <c r="AH309" s="650">
        <f t="shared" ref="AH309:AH312" si="736">IFERROR(IF(Y309=AB309,H309*I309*Y309,0),0)</f>
        <v>0</v>
      </c>
      <c r="AI309" s="645">
        <f t="shared" ref="AI309:AI312" si="737">IFERROR(IF(Y309=AB309,(P309*Y309)/1000,1),0)</f>
        <v>0</v>
      </c>
      <c r="AJ309" s="645">
        <f t="shared" ref="AJ309:AJ312" si="738">IFERROR(IF(Y309=AB309,N309*Y309,0.1),0)</f>
        <v>0</v>
      </c>
      <c r="AK309" s="645" t="str">
        <f t="shared" ref="AK309:AK312" si="739">IFERROR(IF(Y309=AB309,IF(M309="1.1G",(O309/1000)*Y309,""),""),0)</f>
        <v/>
      </c>
      <c r="AL309" s="645" t="str">
        <f t="shared" ref="AL309:AL312" si="740">IFERROR(IF(Y309=AB309,IF(M309="1.3G",(O309/1000)*AB309,""),""),0)</f>
        <v/>
      </c>
      <c r="AM309" s="645" t="str">
        <f t="shared" ref="AM309:AM312" si="741">IFERROR(IF(Y309=AB309,IF(M309="1.4G",(O309/1000)*AB309,""),""),0)</f>
        <v/>
      </c>
      <c r="AN309" s="651">
        <f t="shared" ref="AN309:AN312" si="742">SUM(AK309:AM309)</f>
        <v>0</v>
      </c>
      <c r="AO309" s="623"/>
      <c r="AP309" s="632" t="str">
        <f t="shared" si="721"/>
        <v/>
      </c>
      <c r="AQ309" s="633" t="str">
        <f>IF(AC309=$V$3,IF(VLOOKUP(C309,[1]List1!$A:$E,5,FALSE)=0,1,VLOOKUP(C309,[1]List1!$A:$E,5,FALSE)),"")</f>
        <v/>
      </c>
      <c r="AR309" s="625" t="str">
        <f t="shared" si="722"/>
        <v/>
      </c>
      <c r="AS309" s="634" t="str">
        <f t="shared" si="723"/>
        <v/>
      </c>
      <c r="AT309" s="625" t="str">
        <f t="shared" si="724"/>
        <v/>
      </c>
      <c r="AU309" s="638" t="e">
        <f t="shared" si="725"/>
        <v>#N/A</v>
      </c>
      <c r="AV309" s="625" t="e">
        <f t="shared" si="726"/>
        <v>#N/A</v>
      </c>
      <c r="AX309" s="625">
        <f>IF(AND('General price list'!$J309="F4",'General price list'!$AB309+0&gt;0),1,0)</f>
        <v>0</v>
      </c>
      <c r="AY309" s="625">
        <f t="shared" si="727"/>
        <v>0</v>
      </c>
      <c r="AZ309" s="625">
        <f t="shared" si="728"/>
        <v>0</v>
      </c>
    </row>
    <row r="310" spans="1:52" ht="15" customHeight="1">
      <c r="A310" s="621" t="str">
        <f>Kat.!C310</f>
        <v>×</v>
      </c>
      <c r="B310" s="566">
        <f>IF(AND('General price list'!$J310="F4",$AI$1=FALSE),0,IF(AC310="SKLADEM",1,IF(AC310=$V$3,1,0)))</f>
        <v>1</v>
      </c>
      <c r="C310" s="567" t="s">
        <v>833</v>
      </c>
      <c r="D310" s="568" t="s">
        <v>9949</v>
      </c>
      <c r="E310" s="763" t="s">
        <v>12663</v>
      </c>
      <c r="F310" s="772">
        <f>IFERROR(VLOOKUP(C310,[2]List1!$A:$D,3,FALSE),"NEUVEDENO!")</f>
        <v>880</v>
      </c>
      <c r="G310" s="769">
        <f t="shared" si="729"/>
        <v>880</v>
      </c>
      <c r="H310" s="766">
        <f t="shared" si="730"/>
        <v>37.381113192559461</v>
      </c>
      <c r="I310" s="764">
        <f>IFERROR(VLOOKUP(C310,[2]List1!$A:$D,4,FALSE),"NEUVEDENO!")</f>
        <v>1</v>
      </c>
      <c r="J310" s="732"/>
      <c r="K310" s="569" t="s">
        <v>20</v>
      </c>
      <c r="L310" s="569" t="s">
        <v>15089</v>
      </c>
      <c r="M310" s="569"/>
      <c r="N310" s="569">
        <f>IFERROR(VLOOKUP(C310,[3]List1!$A:$D,4,FALSE),"N/A!")</f>
        <v>0</v>
      </c>
      <c r="O310" s="569">
        <f>IFERROR(VLOOKUP(C310,[3]List1!$A:$D,3,FALSE),"N/A!")</f>
        <v>0</v>
      </c>
      <c r="P310" s="569">
        <f>IFERROR(VLOOKUP(C310,[3]List1!$A:$D,2,FALSE),"N/A!")</f>
        <v>257</v>
      </c>
      <c r="Q310" s="569"/>
      <c r="R310" s="569" t="s">
        <v>20</v>
      </c>
      <c r="S310" s="569"/>
      <c r="T310" s="569"/>
      <c r="U310" s="569"/>
      <c r="V310" s="569"/>
      <c r="W310" s="569" t="str">
        <f>IFERROR(IF(AND($AB310&gt;=0.1*$AA310,MOD($AB310,$AA310)&gt;=($AA310-(0.1*$AA310))),IF($W$17=$AF$1,"Zvažte možnost doobjednání ještě "&amp;Tabulka1[[#This Row],[VKPAL]]-MOD(AB310,AA310)&amp;" VK do plné palety.",VLOOKUP("Zvažte možnost doobjednání ještě ",Jazyky_ceník!A:Q,MATCH($W$17,Jazyky_ceník!$A$1:$Q$1,0),FALSE)&amp;Tabulka1[[#This Row],[VKPAL]]-MOD(AB310,AA310)&amp;VLOOKUP(" VK do plné palety.",Jazyky_ceník!A:Q,MATCH($W$17,Jazyky_ceník!$A$1:$Q$1,0),FALSE)),IFERROR(IF(AND(NOT(MOD($AB310,$AA310)=0),$AB310&gt;=0.9*$AA310,MOD($AB310,$AA310)&lt;=0.1*$AA310),IF($W$17=$AF$1,"Zvažte možnost optimalizace objednaného množství podle počtu VK na paletě ==&gt;",VLOOKUP("Zvažte možnost optimalizace objednaného množství podle počtu VK na paletě ==&gt;",Jazyky_ceník!A:Q,MATCH($W$17,Jazyky_ceník!$A$1:$Q$1,0),FALSE)),VLOOKUP('General price list'!$C310,Popisy!A:M,MATCH($W$17,Popisy!$A$7:$M$7,0),FALSE)),"---------------")),IFERROR(VLOOKUP('General price list'!$C310,Popisy!A:M,MATCH($W$17,Popisy!$A$7:$M$7,0),FALSE),"---------------"))</f>
        <v>polo triko Dumbum, gramáž 225g</v>
      </c>
      <c r="X310" s="569" t="str">
        <f t="shared" si="731"/>
        <v/>
      </c>
      <c r="Y310" s="569" t="str">
        <f t="shared" si="732"/>
        <v/>
      </c>
      <c r="Z310" s="569" t="str">
        <f>HYPERLINK("https://www.klasekpyrotechnics.cz/tpd1l")</f>
        <v>https://www.klasekpyrotechnics.cz/tpd1l</v>
      </c>
      <c r="AA310" s="569" t="str">
        <f>IFERROR(IF(VLOOKUP(C310,[4]List1!$A:$D,4,FALSE)=0,"",VLOOKUP(C310,[4]List1!$A:$D,4,FALSE)),"")</f>
        <v/>
      </c>
      <c r="AB310" s="565"/>
      <c r="AC310" s="570" t="str">
        <f>IFERROR(IF(VLOOKUP(C310,[1]List1!$A:$D,2,FALSE)="VYPRODÁNO",$V$9,IF(VLOOKUP(C310,[1]List1!$A:$D,2,FALSE)="DOCHÁZÍ",$V$3,VLOOKUP(C310,[1]List1!$A:$D,2,FALSE))),"OFFLINE!")</f>
        <v>SKLADEM</v>
      </c>
      <c r="AD310" s="570" t="str">
        <f ca="1">IF(AP310="NE",$V$10,IF(AC310=$V$3,IF(AQ310&lt;1,$V$8,$V$2&amp;" "&amp;AQ310&amp;" "&amp;$V$1),IF(AC310="SKLADEM",$V$6,IFERROR(IF(OR(AC310-TODAY()&gt;45,VLOOKUP(C310,[1]List1!$A:$E,4,FALSE)=0),AC310,DAY(AC310)&amp;"."&amp;MONTH(AC310)&amp;"."&amp;YEAR(AC310)&amp;" "&amp;$V$4&amp;VLOOKUP(C310,[1]List1!$A:$E,4,FALSE)&amp;" "&amp;$V$1),AC310))))</f>
        <v>SKLADEM</v>
      </c>
      <c r="AE310" s="581" t="str">
        <f t="shared" ca="1" si="733"/>
        <v>SKLADEM</v>
      </c>
      <c r="AF310" s="584">
        <f t="shared" si="734"/>
        <v>0</v>
      </c>
      <c r="AG310" s="585">
        <f t="shared" si="735"/>
        <v>0</v>
      </c>
      <c r="AH310" s="583">
        <f t="shared" si="736"/>
        <v>0</v>
      </c>
      <c r="AI310" s="582">
        <f t="shared" si="737"/>
        <v>0</v>
      </c>
      <c r="AJ310" s="569">
        <f t="shared" si="738"/>
        <v>0</v>
      </c>
      <c r="AK310" s="569" t="str">
        <f t="shared" si="739"/>
        <v/>
      </c>
      <c r="AL310" s="569" t="str">
        <f t="shared" si="740"/>
        <v/>
      </c>
      <c r="AM310" s="569" t="str">
        <f t="shared" si="741"/>
        <v/>
      </c>
      <c r="AN310" s="581">
        <f t="shared" si="742"/>
        <v>0</v>
      </c>
      <c r="AO310" s="623"/>
      <c r="AP310" s="632" t="str">
        <f t="shared" si="721"/>
        <v/>
      </c>
      <c r="AQ310" s="633" t="str">
        <f>IF(AC310=$V$3,IF(VLOOKUP(C310,[1]List1!$A:$E,5,FALSE)=0,1,VLOOKUP(C310,[1]List1!$A:$E,5,FALSE)),"")</f>
        <v/>
      </c>
      <c r="AR310" s="625" t="str">
        <f t="shared" si="722"/>
        <v/>
      </c>
      <c r="AS310" s="634" t="str">
        <f t="shared" si="723"/>
        <v/>
      </c>
      <c r="AT310" s="625" t="str">
        <f t="shared" si="724"/>
        <v/>
      </c>
      <c r="AU310" s="638" t="e">
        <f t="shared" si="725"/>
        <v>#N/A</v>
      </c>
      <c r="AV310" s="625" t="e">
        <f t="shared" si="726"/>
        <v>#N/A</v>
      </c>
      <c r="AX310" s="625">
        <f>IF(AND('General price list'!$J310="F4",'General price list'!$AB310+0&gt;0),1,0)</f>
        <v>0</v>
      </c>
      <c r="AY310" s="625">
        <f t="shared" si="727"/>
        <v>0</v>
      </c>
      <c r="AZ310" s="625">
        <f t="shared" si="728"/>
        <v>0</v>
      </c>
    </row>
    <row r="311" spans="1:52" ht="15" customHeight="1">
      <c r="A311" s="639" t="str">
        <f>Kat.!C311</f>
        <v>×</v>
      </c>
      <c r="B311" s="640">
        <f>IF(AND('General price list'!$J311="F4",$AI$1=FALSE),0,IF(AC311="SKLADEM",1,IF(AC311=$V$3,1,0)))</f>
        <v>0</v>
      </c>
      <c r="C311" s="641" t="s">
        <v>834</v>
      </c>
      <c r="D311" s="642" t="s">
        <v>9950</v>
      </c>
      <c r="E311" s="643" t="s">
        <v>12663</v>
      </c>
      <c r="F311" s="771">
        <f>IFERROR(VLOOKUP(C311,[2]List1!$A:$D,3,FALSE),"NEUVEDENO!")</f>
        <v>880</v>
      </c>
      <c r="G311" s="768">
        <f t="shared" si="729"/>
        <v>880</v>
      </c>
      <c r="H311" s="765">
        <f t="shared" si="730"/>
        <v>37.381113192559461</v>
      </c>
      <c r="I311" s="644">
        <f>IFERROR(VLOOKUP(C311,[2]List1!$A:$D,4,FALSE),"NEUVEDENO!")</f>
        <v>1</v>
      </c>
      <c r="J311" s="733"/>
      <c r="K311" s="645" t="s">
        <v>20</v>
      </c>
      <c r="L311" s="645" t="s">
        <v>15089</v>
      </c>
      <c r="M311" s="645"/>
      <c r="N311" s="645">
        <f>IFERROR(VLOOKUP(C311,[3]List1!$A:$D,4,FALSE),"N/A!")</f>
        <v>0</v>
      </c>
      <c r="O311" s="645">
        <f>IFERROR(VLOOKUP(C311,[3]List1!$A:$D,3,FALSE),"N/A!")</f>
        <v>0</v>
      </c>
      <c r="P311" s="645">
        <f>IFERROR(VLOOKUP(C311,[3]List1!$A:$D,2,FALSE),"N/A!")</f>
        <v>283</v>
      </c>
      <c r="Q311" s="645"/>
      <c r="R311" s="645" t="s">
        <v>20</v>
      </c>
      <c r="S311" s="645"/>
      <c r="T311" s="645"/>
      <c r="U311" s="645"/>
      <c r="V311" s="645"/>
      <c r="W311" s="645" t="str">
        <f>IFERROR(IF(AND($AB311&gt;=0.1*$AA311,MOD($AB311,$AA311)&gt;=($AA311-(0.1*$AA311))),IF($W$17=$AF$1,"Zvažte možnost doobjednání ještě "&amp;Tabulka1[[#This Row],[VKPAL]]-MOD(AB311,AA311)&amp;" VK do plné palety.",VLOOKUP("Zvažte možnost doobjednání ještě ",Jazyky_ceník!A:Q,MATCH($W$17,Jazyky_ceník!$A$1:$Q$1,0),FALSE)&amp;Tabulka1[[#This Row],[VKPAL]]-MOD(AB311,AA311)&amp;VLOOKUP(" VK do plné palety.",Jazyky_ceník!A:Q,MATCH($W$17,Jazyky_ceník!$A$1:$Q$1,0),FALSE)),IFERROR(IF(AND(NOT(MOD($AB311,$AA311)=0),$AB311&gt;=0.9*$AA311,MOD($AB311,$AA311)&lt;=0.1*$AA311),IF($W$17=$AF$1,"Zvažte možnost optimalizace objednaného množství podle počtu VK na paletě ==&gt;",VLOOKUP("Zvažte možnost optimalizace objednaného množství podle počtu VK na paletě ==&gt;",Jazyky_ceník!A:Q,MATCH($W$17,Jazyky_ceník!$A$1:$Q$1,0),FALSE)),VLOOKUP('General price list'!$C311,Popisy!A:M,MATCH($W$17,Popisy!$A$7:$M$7,0),FALSE)),"---------------")),IFERROR(VLOOKUP('General price list'!$C311,Popisy!A:M,MATCH($W$17,Popisy!$A$7:$M$7,0),FALSE),"---------------"))</f>
        <v>polo triko Dumbum, gramáž 225g</v>
      </c>
      <c r="X311" s="645" t="str">
        <f t="shared" si="731"/>
        <v/>
      </c>
      <c r="Y311" s="645" t="str">
        <f t="shared" si="732"/>
        <v/>
      </c>
      <c r="Z311" s="645" t="str">
        <f>HYPERLINK("https://www.klasekpyrotechnics.cz/tpd1xl")</f>
        <v>https://www.klasekpyrotechnics.cz/tpd1xl</v>
      </c>
      <c r="AA311" s="645" t="str">
        <f>IFERROR(IF(VLOOKUP(C311,[4]List1!$A:$D,4,FALSE)=0,"",VLOOKUP(C311,[4]List1!$A:$D,4,FALSE)),"")</f>
        <v/>
      </c>
      <c r="AB311" s="646"/>
      <c r="AC311" s="647" t="str">
        <f>IFERROR(IF(VLOOKUP(C311,[1]List1!$A:$D,2,FALSE)="VYPRODÁNO",$V$9,IF(VLOOKUP(C311,[1]List1!$A:$D,2,FALSE)="DOCHÁZÍ",$V$3,VLOOKUP(C311,[1]List1!$A:$D,2,FALSE))),"OFFLINE!")</f>
        <v>VYPRODÁNO</v>
      </c>
      <c r="AD311" s="647" t="str">
        <f ca="1">IF(AP311="NE",$V$10,IF(AC311=$V$3,IF(AQ311&lt;1,$V$8,$V$2&amp;" "&amp;AQ311&amp;" "&amp;$V$1),IF(AC311="SKLADEM",$V$6,IFERROR(IF(OR(AC311-TODAY()&gt;45,VLOOKUP(C311,[1]List1!$A:$E,4,FALSE)=0),AC311,DAY(AC311)&amp;"."&amp;MONTH(AC311)&amp;"."&amp;YEAR(AC311)&amp;" "&amp;$V$4&amp;VLOOKUP(C311,[1]List1!$A:$E,4,FALSE)&amp;" "&amp;$V$1),AC311))))</f>
        <v>VYPRODÁNO</v>
      </c>
      <c r="AE311" s="645" t="str">
        <f t="shared" ca="1" si="733"/>
        <v>VYPRODÁNO</v>
      </c>
      <c r="AF311" s="648">
        <f t="shared" si="734"/>
        <v>0</v>
      </c>
      <c r="AG311" s="649">
        <f t="shared" si="735"/>
        <v>0</v>
      </c>
      <c r="AH311" s="650">
        <f t="shared" si="736"/>
        <v>0</v>
      </c>
      <c r="AI311" s="645">
        <f t="shared" si="737"/>
        <v>0</v>
      </c>
      <c r="AJ311" s="645">
        <f t="shared" si="738"/>
        <v>0</v>
      </c>
      <c r="AK311" s="645" t="str">
        <f t="shared" si="739"/>
        <v/>
      </c>
      <c r="AL311" s="645" t="str">
        <f t="shared" si="740"/>
        <v/>
      </c>
      <c r="AM311" s="645" t="str">
        <f t="shared" si="741"/>
        <v/>
      </c>
      <c r="AN311" s="651">
        <f t="shared" si="742"/>
        <v>0</v>
      </c>
      <c r="AO311" s="623"/>
      <c r="AP311" s="632" t="str">
        <f t="shared" si="721"/>
        <v/>
      </c>
      <c r="AQ311" s="633" t="str">
        <f>IF(AC311=$V$3,IF(VLOOKUP(C311,[1]List1!$A:$E,5,FALSE)=0,1,VLOOKUP(C311,[1]List1!$A:$E,5,FALSE)),"")</f>
        <v/>
      </c>
      <c r="AR311" s="625" t="str">
        <f t="shared" si="722"/>
        <v/>
      </c>
      <c r="AS311" s="634" t="str">
        <f t="shared" si="723"/>
        <v/>
      </c>
      <c r="AT311" s="625" t="str">
        <f t="shared" si="724"/>
        <v/>
      </c>
      <c r="AU311" s="638" t="e">
        <f t="shared" si="725"/>
        <v>#N/A</v>
      </c>
      <c r="AV311" s="625" t="e">
        <f t="shared" si="726"/>
        <v>#N/A</v>
      </c>
      <c r="AX311" s="625">
        <f>IF(AND('General price list'!$J311="F4",'General price list'!$AB311+0&gt;0),1,0)</f>
        <v>0</v>
      </c>
      <c r="AY311" s="625">
        <f t="shared" si="727"/>
        <v>0</v>
      </c>
      <c r="AZ311" s="625">
        <f t="shared" si="728"/>
        <v>0</v>
      </c>
    </row>
    <row r="312" spans="1:52" ht="15" customHeight="1">
      <c r="A312" s="621" t="str">
        <f>Kat.!C312</f>
        <v>×</v>
      </c>
      <c r="B312" s="566">
        <f>IF(AND('General price list'!$J312="F4",$AI$1=FALSE),0,IF(AC312="SKLADEM",1,IF(AC312=$V$3,1,0)))</f>
        <v>0</v>
      </c>
      <c r="C312" s="567" t="s">
        <v>840</v>
      </c>
      <c r="D312" s="568" t="s">
        <v>9951</v>
      </c>
      <c r="E312" s="763" t="s">
        <v>12663</v>
      </c>
      <c r="F312" s="772">
        <f>IFERROR(VLOOKUP(C312,[2]List1!$A:$D,3,FALSE),"NEUVEDENO!")</f>
        <v>1800</v>
      </c>
      <c r="G312" s="769">
        <f t="shared" si="729"/>
        <v>1800</v>
      </c>
      <c r="H312" s="766">
        <f t="shared" si="730"/>
        <v>76.461367893871625</v>
      </c>
      <c r="I312" s="764">
        <f>IFERROR(VLOOKUP(C312,[2]List1!$A:$D,4,FALSE),"NEUVEDENO!")</f>
        <v>1</v>
      </c>
      <c r="J312" s="732"/>
      <c r="K312" s="569" t="s">
        <v>20</v>
      </c>
      <c r="L312" s="569" t="s">
        <v>15089</v>
      </c>
      <c r="M312" s="569"/>
      <c r="N312" s="569">
        <f>IFERROR(VLOOKUP(C312,[3]List1!$A:$D,4,FALSE),"N/A!")</f>
        <v>0</v>
      </c>
      <c r="O312" s="569">
        <f>IFERROR(VLOOKUP(C312,[3]List1!$A:$D,3,FALSE),"N/A!")</f>
        <v>0</v>
      </c>
      <c r="P312" s="569">
        <f>IFERROR(VLOOKUP(C312,[3]List1!$A:$D,2,FALSE),"N/A!")</f>
        <v>912</v>
      </c>
      <c r="Q312" s="569"/>
      <c r="R312" s="569" t="s">
        <v>20</v>
      </c>
      <c r="S312" s="569"/>
      <c r="T312" s="569"/>
      <c r="U312" s="569"/>
      <c r="V312" s="569"/>
      <c r="W312" s="569" t="str">
        <f>IFERROR(IF(AND($AB312&gt;=0.1*$AA312,MOD($AB312,$AA312)&gt;=($AA312-(0.1*$AA312))),IF($W$17=$AF$1,"Zvažte možnost doobjednání ještě "&amp;Tabulka1[[#This Row],[VKPAL]]-MOD(AB312,AA312)&amp;" VK do plné palety.",VLOOKUP("Zvažte možnost doobjednání ještě ",Jazyky_ceník!A:Q,MATCH($W$17,Jazyky_ceník!$A$1:$Q$1,0),FALSE)&amp;Tabulka1[[#This Row],[VKPAL]]-MOD(AB312,AA312)&amp;VLOOKUP(" VK do plné palety.",Jazyky_ceník!A:Q,MATCH($W$17,Jazyky_ceník!$A$1:$Q$1,0),FALSE)),IFERROR(IF(AND(NOT(MOD($AB312,$AA312)=0),$AB312&gt;=0.9*$AA312,MOD($AB312,$AA312)&lt;=0.1*$AA312),IF($W$17=$AF$1,"Zvažte možnost optimalizace objednaného množství podle počtu VK na paletě ==&gt;",VLOOKUP("Zvažte možnost optimalizace objednaného množství podle počtu VK na paletě ==&gt;",Jazyky_ceník!A:Q,MATCH($W$17,Jazyky_ceník!$A$1:$Q$1,0),FALSE)),VLOOKUP('General price list'!$C312,Popisy!A:M,MATCH($W$17,Popisy!$A$7:$M$7,0),FALSE)),"---------------")),IFERROR(VLOOKUP('General price list'!$C312,Popisy!A:M,MATCH($W$17,Popisy!$A$7:$M$7,0),FALSE),"---------------"))</f>
        <v>bunda fleece Dumbum, gramáž 600g</v>
      </c>
      <c r="X312" s="569" t="str">
        <f t="shared" si="731"/>
        <v/>
      </c>
      <c r="Y312" s="569" t="str">
        <f t="shared" si="732"/>
        <v/>
      </c>
      <c r="Z312" s="569" t="str">
        <f>HYPERLINK("https://www.klasekpyrotechnics.cz/bd1xxl")</f>
        <v>https://www.klasekpyrotechnics.cz/bd1xxl</v>
      </c>
      <c r="AA312" s="569" t="str">
        <f>IFERROR(IF(VLOOKUP(C312,[4]List1!$A:$D,4,FALSE)=0,"",VLOOKUP(C312,[4]List1!$A:$D,4,FALSE)),"")</f>
        <v/>
      </c>
      <c r="AB312" s="565"/>
      <c r="AC312" s="570" t="str">
        <f>IFERROR(IF(VLOOKUP(C312,[1]List1!$A:$D,2,FALSE)="VYPRODÁNO",$V$9,IF(VLOOKUP(C312,[1]List1!$A:$D,2,FALSE)="DOCHÁZÍ",$V$3,VLOOKUP(C312,[1]List1!$A:$D,2,FALSE))),"OFFLINE!")</f>
        <v>VYPRODÁNO</v>
      </c>
      <c r="AD312" s="570" t="str">
        <f ca="1">IF(AP312="NE",$V$10,IF(AC312=$V$3,IF(AQ312&lt;1,$V$8,$V$2&amp;" "&amp;AQ312&amp;" "&amp;$V$1),IF(AC312="SKLADEM",$V$6,IFERROR(IF(OR(AC312-TODAY()&gt;45,VLOOKUP(C312,[1]List1!$A:$E,4,FALSE)=0),AC312,DAY(AC312)&amp;"."&amp;MONTH(AC312)&amp;"."&amp;YEAR(AC312)&amp;" "&amp;$V$4&amp;VLOOKUP(C312,[1]List1!$A:$E,4,FALSE)&amp;" "&amp;$V$1),AC312))))</f>
        <v>VYPRODÁNO</v>
      </c>
      <c r="AE312" s="581" t="str">
        <f t="shared" ca="1" si="733"/>
        <v>VYPRODÁNO</v>
      </c>
      <c r="AF312" s="584">
        <f t="shared" si="734"/>
        <v>0</v>
      </c>
      <c r="AG312" s="585">
        <f t="shared" si="735"/>
        <v>0</v>
      </c>
      <c r="AH312" s="583">
        <f t="shared" si="736"/>
        <v>0</v>
      </c>
      <c r="AI312" s="582">
        <f t="shared" si="737"/>
        <v>0</v>
      </c>
      <c r="AJ312" s="569">
        <f t="shared" si="738"/>
        <v>0</v>
      </c>
      <c r="AK312" s="569" t="str">
        <f t="shared" si="739"/>
        <v/>
      </c>
      <c r="AL312" s="569" t="str">
        <f t="shared" si="740"/>
        <v/>
      </c>
      <c r="AM312" s="569" t="str">
        <f t="shared" si="741"/>
        <v/>
      </c>
      <c r="AN312" s="581">
        <f t="shared" si="742"/>
        <v>0</v>
      </c>
      <c r="AO312" s="623"/>
      <c r="AP312" s="632" t="str">
        <f t="shared" si="721"/>
        <v/>
      </c>
      <c r="AQ312" s="633" t="str">
        <f>IF(AC312=$V$3,IF(VLOOKUP(C312,[1]List1!$A:$E,5,FALSE)=0,1,VLOOKUP(C312,[1]List1!$A:$E,5,FALSE)),"")</f>
        <v/>
      </c>
      <c r="AR312" s="625" t="str">
        <f t="shared" si="722"/>
        <v/>
      </c>
      <c r="AS312" s="634" t="str">
        <f t="shared" si="723"/>
        <v/>
      </c>
      <c r="AT312" s="625" t="str">
        <f t="shared" si="724"/>
        <v/>
      </c>
      <c r="AU312" s="638" t="e">
        <f t="shared" si="725"/>
        <v>#N/A</v>
      </c>
      <c r="AV312" s="625" t="e">
        <f t="shared" si="726"/>
        <v>#N/A</v>
      </c>
      <c r="AX312" s="625">
        <f>IF(AND('General price list'!$J312="F4",'General price list'!$AB312+0&gt;0),1,0)</f>
        <v>0</v>
      </c>
      <c r="AY312" s="625">
        <f t="shared" si="727"/>
        <v>0</v>
      </c>
      <c r="AZ312" s="625">
        <f t="shared" si="728"/>
        <v>0</v>
      </c>
    </row>
    <row r="313" spans="1:52" ht="15" customHeight="1">
      <c r="A313" s="751" t="str">
        <f>Kat.!C313</f>
        <v xml:space="preserve">           Oblečení Dumbum – limitovaná edice</v>
      </c>
      <c r="B313" s="751"/>
      <c r="C313" s="751"/>
      <c r="D313" s="751"/>
      <c r="E313" s="751"/>
      <c r="F313" s="751"/>
      <c r="G313" s="751"/>
      <c r="H313" s="751"/>
      <c r="I313" s="752"/>
      <c r="J313" s="752"/>
      <c r="K313" s="752" t="s">
        <v>20</v>
      </c>
      <c r="L313" s="753" t="s">
        <v>2818</v>
      </c>
      <c r="M313" s="752"/>
      <c r="N313" s="752"/>
      <c r="O313" s="752"/>
      <c r="P313" s="752"/>
      <c r="Q313" s="752"/>
      <c r="R313" s="752"/>
      <c r="S313" s="752"/>
      <c r="T313" s="752"/>
      <c r="U313" s="752"/>
      <c r="V313" s="752"/>
      <c r="W313" s="752"/>
      <c r="X313" s="752"/>
      <c r="Y313" s="752"/>
      <c r="Z313" s="752" t="s">
        <v>20</v>
      </c>
      <c r="AA313" s="752"/>
      <c r="AB313" s="752"/>
      <c r="AC313" s="754"/>
      <c r="AD313" s="752"/>
      <c r="AE313" s="752"/>
      <c r="AF313" s="752"/>
      <c r="AG313" s="752"/>
      <c r="AH313" s="752"/>
      <c r="AI313" s="752"/>
      <c r="AJ313" s="752"/>
      <c r="AK313" s="752"/>
      <c r="AL313" s="752"/>
      <c r="AM313" s="752"/>
      <c r="AN313" s="752"/>
      <c r="AO313" s="623"/>
      <c r="AP313" s="632" t="str">
        <f t="shared" si="721"/>
        <v/>
      </c>
      <c r="AQ313" s="633" t="str">
        <f>IF(AC313=$V$3,IF(VLOOKUP(C313,[1]List1!$A:$E,5,FALSE)=0,1,VLOOKUP(C313,[1]List1!$A:$E,5,FALSE)),"")</f>
        <v/>
      </c>
      <c r="AR313" s="625" t="str">
        <f t="shared" si="722"/>
        <v/>
      </c>
      <c r="AS313" s="634" t="str">
        <f t="shared" si="723"/>
        <v/>
      </c>
      <c r="AT313" s="625" t="str">
        <f t="shared" si="724"/>
        <v/>
      </c>
      <c r="AU313" s="638" t="e">
        <f t="shared" si="725"/>
        <v>#N/A</v>
      </c>
      <c r="AV313" s="625" t="e">
        <f t="shared" si="726"/>
        <v>#N/A</v>
      </c>
      <c r="AX313" s="625">
        <f>IF(AND('General price list'!$J313="F4",'General price list'!$AB313+0&gt;0),1,0)</f>
        <v>0</v>
      </c>
      <c r="AY313" s="625">
        <f t="shared" si="727"/>
        <v>0</v>
      </c>
      <c r="AZ313" s="625">
        <f t="shared" si="728"/>
        <v>0</v>
      </c>
    </row>
    <row r="314" spans="1:52" ht="15.75" customHeight="1">
      <c r="A314" s="639" t="str">
        <f>Kat.!C314</f>
        <v/>
      </c>
      <c r="B314" s="640">
        <f>IF(AND('General price list'!$J314="F4",$AI$1=FALSE),0,IF(AC314="SKLADEM",1,IF(AC314=$V$3,1,0)))</f>
        <v>0</v>
      </c>
      <c r="C314" s="641" t="s">
        <v>2377</v>
      </c>
      <c r="D314" s="642" t="s">
        <v>2378</v>
      </c>
      <c r="E314" s="643" t="s">
        <v>12663</v>
      </c>
      <c r="F314" s="771">
        <f>IFERROR(VLOOKUP(C314,[2]List1!$A:$D,3,FALSE),"NEUVEDENO!")</f>
        <v>380</v>
      </c>
      <c r="G314" s="768">
        <f t="shared" ref="G314:G317" si="743">IF($W$17=$AF$8,ROUND((F314)/$F$17,2),(F314)*$B$19)</f>
        <v>380</v>
      </c>
      <c r="H314" s="765">
        <f t="shared" ref="H314:H317" si="744">IF($W$17=$AF$8,G314*$B$19,G314/$F$17)</f>
        <v>16.141844333150676</v>
      </c>
      <c r="I314" s="644">
        <f>IFERROR(VLOOKUP(C314,[2]List1!$A:$D,4,FALSE),"NEUVEDENO!")</f>
        <v>1</v>
      </c>
      <c r="J314" s="733"/>
      <c r="K314" s="645" t="s">
        <v>20</v>
      </c>
      <c r="L314" s="645" t="s">
        <v>15089</v>
      </c>
      <c r="M314" s="645"/>
      <c r="N314" s="645">
        <f>IFERROR(VLOOKUP(C314,[3]List1!$A:$D,4,FALSE),"N/A!")</f>
        <v>0</v>
      </c>
      <c r="O314" s="645">
        <f>IFERROR(VLOOKUP(C314,[3]List1!$A:$D,3,FALSE),"N/A!")</f>
        <v>0</v>
      </c>
      <c r="P314" s="645">
        <f>IFERROR(VLOOKUP(C314,[3]List1!$A:$D,2,FALSE),"N/A!")</f>
        <v>165</v>
      </c>
      <c r="Q314" s="645" t="s">
        <v>20</v>
      </c>
      <c r="R314" s="645" t="s">
        <v>20</v>
      </c>
      <c r="S314" s="645"/>
      <c r="T314" s="645"/>
      <c r="U314" s="645"/>
      <c r="V314" s="645"/>
      <c r="W314" s="645" t="str">
        <f>IFERROR(IF(AND($AB314&gt;=0.1*$AA314,MOD($AB314,$AA314)&gt;=($AA314-(0.1*$AA314))),IF($W$17=$AF$1,"Zvažte možnost doobjednání ještě "&amp;Tabulka1[[#This Row],[VKPAL]]-MOD(AB314,AA314)&amp;" VK do plné palety.",VLOOKUP("Zvažte možnost doobjednání ještě ",Jazyky_ceník!A:Q,MATCH($W$17,Jazyky_ceník!$A$1:$Q$1,0),FALSE)&amp;Tabulka1[[#This Row],[VKPAL]]-MOD(AB314,AA314)&amp;VLOOKUP(" VK do plné palety.",Jazyky_ceník!A:Q,MATCH($W$17,Jazyky_ceník!$A$1:$Q$1,0),FALSE)),IFERROR(IF(AND(NOT(MOD($AB314,$AA314)=0),$AB314&gt;=0.9*$AA314,MOD($AB314,$AA314)&lt;=0.1*$AA314),IF($W$17=$AF$1,"Zvažte možnost optimalizace objednaného množství podle počtu VK na paletě ==&gt;",VLOOKUP("Zvažte možnost optimalizace objednaného množství podle počtu VK na paletě ==&gt;",Jazyky_ceník!A:Q,MATCH($W$17,Jazyky_ceník!$A$1:$Q$1,0),FALSE)),VLOOKUP('General price list'!$C314,Popisy!A:M,MATCH($W$17,Popisy!$A$7:$M$7,0),FALSE)),"---------------")),IFERROR(VLOOKUP('General price list'!$C314,Popisy!A:M,MATCH($W$17,Popisy!$A$7:$M$7,0),FALSE),"---------------"))</f>
        <v>Dumbum tričko M - limited edition</v>
      </c>
      <c r="X314" s="645" t="str">
        <f t="shared" ref="X314:X317" si="745">IF(AB314&lt;0.0001,"",AB314)</f>
        <v/>
      </c>
      <c r="Y314" s="645" t="str">
        <f t="shared" ref="Y314:Y317" si="746">IF($AL$3=2,IF(OR(AB314&lt;&gt;"",AB314&lt;&gt;0),AU314,""),IF(C314="","",IF(AB314&lt;0.0001,"",IF(B314=0,"",IF(AQ314&lt;AB314,"",AB314)))))</f>
        <v/>
      </c>
      <c r="Z314" s="645" t="str">
        <f>HYPERLINK("https://www.klasekpyrotechnics.cz/tdle1m")</f>
        <v>https://www.klasekpyrotechnics.cz/tdle1m</v>
      </c>
      <c r="AA314" s="645" t="str">
        <f>IFERROR(IF(VLOOKUP(C314,[4]List1!$A:$D,4,FALSE)=0,"",VLOOKUP(C314,[4]List1!$A:$D,4,FALSE)),"")</f>
        <v/>
      </c>
      <c r="AB314" s="646"/>
      <c r="AC314" s="647" t="str">
        <f>IFERROR(IF(VLOOKUP(C314,[1]List1!$A:$D,2,FALSE)="VYPRODÁNO",$V$9,IF(VLOOKUP(C314,[1]List1!$A:$D,2,FALSE)="DOCHÁZÍ",$V$3,VLOOKUP(C314,[1]List1!$A:$D,2,FALSE))),"OFFLINE!")</f>
        <v>31.03.2026</v>
      </c>
      <c r="AD314" s="647" t="str">
        <f ca="1">IF(AP314="NE",$V$10,IF(AC314=$V$3,IF(AQ314&lt;1,$V$8,$V$2&amp;" "&amp;AQ314&amp;" "&amp;$V$1),IF(AC314="SKLADEM",$V$6,IFERROR(IF(OR(AC314-TODAY()&gt;45,VLOOKUP(C314,[1]List1!$A:$E,4,FALSE)=0),AC314,DAY(AC314)&amp;"."&amp;MONTH(AC314)&amp;"."&amp;YEAR(AC314)&amp;" "&amp;$V$4&amp;VLOOKUP(C314,[1]List1!$A:$E,4,FALSE)&amp;" "&amp;$V$1),AC314))))</f>
        <v>31.3.2026 DORAZÍ 20 VK</v>
      </c>
      <c r="AE314" s="645" t="str">
        <f t="shared" ref="AE314:AE317" ca="1" si="747">IFERROR(IF(AV314&lt;&gt;"",AV314,AD314),AD314)</f>
        <v>31.3.2026 DORAZÍ 20 VK</v>
      </c>
      <c r="AF314" s="648">
        <f t="shared" ref="AF314:AF317" si="748">IFERROR(IF(AB314=Y314,G314*I314*Y314,0),0)</f>
        <v>0</v>
      </c>
      <c r="AG314" s="649">
        <f t="shared" ref="AG314:AG317" si="749">IF($W$17=$AF$8,AH314*1.23,AF314*1.21)</f>
        <v>0</v>
      </c>
      <c r="AH314" s="650">
        <f t="shared" ref="AH314:AH317" si="750">IFERROR(IF(Y314=AB314,H314*I314*Y314,0),0)</f>
        <v>0</v>
      </c>
      <c r="AI314" s="645">
        <f t="shared" ref="AI314:AI317" si="751">IFERROR(IF(Y314=AB314,(P314*Y314)/1000,1),0)</f>
        <v>0</v>
      </c>
      <c r="AJ314" s="645">
        <f t="shared" ref="AJ314:AJ317" si="752">IFERROR(IF(Y314=AB314,N314*Y314,0.1),0)</f>
        <v>0</v>
      </c>
      <c r="AK314" s="645" t="str">
        <f t="shared" ref="AK314:AK317" si="753">IFERROR(IF(Y314=AB314,IF(M314="1.1G",(O314/1000)*Y314,""),""),0)</f>
        <v/>
      </c>
      <c r="AL314" s="645" t="str">
        <f t="shared" ref="AL314:AL317" si="754">IFERROR(IF(Y314=AB314,IF(M314="1.3G",(O314/1000)*AB314,""),""),0)</f>
        <v/>
      </c>
      <c r="AM314" s="645" t="str">
        <f t="shared" ref="AM314:AM317" si="755">IFERROR(IF(Y314=AB314,IF(M314="1.4G",(O314/1000)*AB314,""),""),0)</f>
        <v/>
      </c>
      <c r="AN314" s="651">
        <f t="shared" ref="AN314:AN317" si="756">SUM(AK314:AM314)</f>
        <v>0</v>
      </c>
      <c r="AO314" s="623"/>
      <c r="AP314" s="625" t="str">
        <f t="shared" si="721"/>
        <v/>
      </c>
      <c r="AQ314" s="625" t="str">
        <f>IF(AC314=$V$3,IF(VLOOKUP(C314,[1]List1!$A:$E,5,FALSE)=0,1,VLOOKUP(C314,[1]List1!$A:$E,5,FALSE)),"")</f>
        <v/>
      </c>
      <c r="AR314" s="629" t="str">
        <f t="shared" si="722"/>
        <v/>
      </c>
      <c r="AS314" s="630" t="str">
        <f t="shared" si="723"/>
        <v/>
      </c>
      <c r="AT314" s="625" t="str">
        <f t="shared" si="724"/>
        <v/>
      </c>
      <c r="AU314" s="625" t="e">
        <f t="shared" si="725"/>
        <v>#N/A</v>
      </c>
      <c r="AV314" s="625" t="e">
        <f t="shared" si="726"/>
        <v>#N/A</v>
      </c>
      <c r="AW314" s="631"/>
      <c r="AX314" s="631">
        <f>IF(AND('General price list'!$J314="F4",'General price list'!$AB314+0&gt;0),1,0)</f>
        <v>0</v>
      </c>
      <c r="AY314" s="631">
        <f t="shared" si="727"/>
        <v>0</v>
      </c>
      <c r="AZ314" s="631">
        <f t="shared" si="728"/>
        <v>0</v>
      </c>
    </row>
    <row r="315" spans="1:52" ht="15.75" customHeight="1">
      <c r="A315" s="621" t="str">
        <f>Kat.!C315</f>
        <v/>
      </c>
      <c r="B315" s="566">
        <f>IF(AND('General price list'!$J315="F4",$AI$1=FALSE),0,IF(AC315="SKLADEM",1,IF(AC315=$V$3,1,0)))</f>
        <v>1</v>
      </c>
      <c r="C315" s="567" t="s">
        <v>2379</v>
      </c>
      <c r="D315" s="568" t="s">
        <v>2380</v>
      </c>
      <c r="E315" s="763" t="s">
        <v>12663</v>
      </c>
      <c r="F315" s="772">
        <f>IFERROR(VLOOKUP(C315,[2]List1!$A:$D,3,FALSE),"NEUVEDENO!")</f>
        <v>380</v>
      </c>
      <c r="G315" s="769">
        <f t="shared" si="743"/>
        <v>380</v>
      </c>
      <c r="H315" s="766">
        <f t="shared" si="744"/>
        <v>16.141844333150676</v>
      </c>
      <c r="I315" s="764">
        <f>IFERROR(VLOOKUP(C315,[2]List1!$A:$D,4,FALSE),"NEUVEDENO!")</f>
        <v>1</v>
      </c>
      <c r="J315" s="732"/>
      <c r="K315" s="569" t="s">
        <v>20</v>
      </c>
      <c r="L315" s="569" t="s">
        <v>15089</v>
      </c>
      <c r="M315" s="569"/>
      <c r="N315" s="569">
        <f>IFERROR(VLOOKUP(C315,[3]List1!$A:$D,4,FALSE),"N/A!")</f>
        <v>0</v>
      </c>
      <c r="O315" s="569">
        <f>IFERROR(VLOOKUP(C315,[3]List1!$A:$D,3,FALSE),"N/A!")</f>
        <v>0</v>
      </c>
      <c r="P315" s="569">
        <f>IFERROR(VLOOKUP(C315,[3]List1!$A:$D,2,FALSE),"N/A!")</f>
        <v>180</v>
      </c>
      <c r="Q315" s="569" t="s">
        <v>20</v>
      </c>
      <c r="R315" s="569" t="s">
        <v>20</v>
      </c>
      <c r="S315" s="569"/>
      <c r="T315" s="569"/>
      <c r="U315" s="569"/>
      <c r="V315" s="569"/>
      <c r="W315" s="569" t="str">
        <f>IFERROR(IF(AND($AB315&gt;=0.1*$AA315,MOD($AB315,$AA315)&gt;=($AA315-(0.1*$AA315))),IF($W$17=$AF$1,"Zvažte možnost doobjednání ještě "&amp;Tabulka1[[#This Row],[VKPAL]]-MOD(AB315,AA315)&amp;" VK do plné palety.",VLOOKUP("Zvažte možnost doobjednání ještě ",Jazyky_ceník!A:Q,MATCH($W$17,Jazyky_ceník!$A$1:$Q$1,0),FALSE)&amp;Tabulka1[[#This Row],[VKPAL]]-MOD(AB315,AA315)&amp;VLOOKUP(" VK do plné palety.",Jazyky_ceník!A:Q,MATCH($W$17,Jazyky_ceník!$A$1:$Q$1,0),FALSE)),IFERROR(IF(AND(NOT(MOD($AB315,$AA315)=0),$AB315&gt;=0.9*$AA315,MOD($AB315,$AA315)&lt;=0.1*$AA315),IF($W$17=$AF$1,"Zvažte možnost optimalizace objednaného množství podle počtu VK na paletě ==&gt;",VLOOKUP("Zvažte možnost optimalizace objednaného množství podle počtu VK na paletě ==&gt;",Jazyky_ceník!A:Q,MATCH($W$17,Jazyky_ceník!$A$1:$Q$1,0),FALSE)),VLOOKUP('General price list'!$C315,Popisy!A:M,MATCH($W$17,Popisy!$A$7:$M$7,0),FALSE)),"---------------")),IFERROR(VLOOKUP('General price list'!$C315,Popisy!A:M,MATCH($W$17,Popisy!$A$7:$M$7,0),FALSE),"---------------"))</f>
        <v>Dumbum tričko L - limited edition</v>
      </c>
      <c r="X315" s="569" t="str">
        <f t="shared" si="745"/>
        <v/>
      </c>
      <c r="Y315" s="569" t="str">
        <f t="shared" si="746"/>
        <v/>
      </c>
      <c r="Z315" s="569" t="str">
        <f>HYPERLINK("https://www.klasekpyrotechnics.cz/tdle1l")</f>
        <v>https://www.klasekpyrotechnics.cz/tdle1l</v>
      </c>
      <c r="AA315" s="569" t="str">
        <f>IFERROR(IF(VLOOKUP(C315,[4]List1!$A:$D,4,FALSE)=0,"",VLOOKUP(C315,[4]List1!$A:$D,4,FALSE)),"")</f>
        <v/>
      </c>
      <c r="AB315" s="565"/>
      <c r="AC315" s="570" t="str">
        <f>IFERROR(IF(VLOOKUP(C315,[1]List1!$A:$D,2,FALSE)="VYPRODÁNO",$V$9,IF(VLOOKUP(C315,[1]List1!$A:$D,2,FALSE)="DOCHÁZÍ",$V$3,VLOOKUP(C315,[1]List1!$A:$D,2,FALSE))),"OFFLINE!")</f>
        <v>DOCHÁZÍ</v>
      </c>
      <c r="AD315" s="570" t="str">
        <f ca="1">IF(AP315="NE",$V$10,IF(AC315=$V$3,IF(AQ315&lt;1,$V$8,$V$2&amp;" "&amp;AQ315&amp;" "&amp;$V$1),IF(AC315="SKLADEM",$V$6,IFERROR(IF(OR(AC315-TODAY()&gt;45,VLOOKUP(C315,[1]List1!$A:$E,4,FALSE)=0),AC315,DAY(AC315)&amp;"."&amp;MONTH(AC315)&amp;"."&amp;YEAR(AC315)&amp;" "&amp;$V$4&amp;VLOOKUP(C315,[1]List1!$A:$E,4,FALSE)&amp;" "&amp;$V$1),AC315))))</f>
        <v>POSLEDNÍCH 8 VK</v>
      </c>
      <c r="AE315" s="581" t="str">
        <f t="shared" ca="1" si="747"/>
        <v>POSLEDNÍCH 8 VK</v>
      </c>
      <c r="AF315" s="584">
        <f t="shared" si="748"/>
        <v>0</v>
      </c>
      <c r="AG315" s="585">
        <f t="shared" si="749"/>
        <v>0</v>
      </c>
      <c r="AH315" s="583">
        <f t="shared" si="750"/>
        <v>0</v>
      </c>
      <c r="AI315" s="582">
        <f t="shared" si="751"/>
        <v>0</v>
      </c>
      <c r="AJ315" s="569">
        <f t="shared" si="752"/>
        <v>0</v>
      </c>
      <c r="AK315" s="569" t="str">
        <f t="shared" si="753"/>
        <v/>
      </c>
      <c r="AL315" s="569" t="str">
        <f t="shared" si="754"/>
        <v/>
      </c>
      <c r="AM315" s="569" t="str">
        <f t="shared" si="755"/>
        <v/>
      </c>
      <c r="AN315" s="581">
        <f t="shared" si="756"/>
        <v>0</v>
      </c>
      <c r="AO315" s="623"/>
      <c r="AP315" s="625" t="str">
        <f t="shared" si="721"/>
        <v/>
      </c>
      <c r="AQ315" s="625">
        <f>IF(AC315=$V$3,IF(VLOOKUP(C315,[1]List1!$A:$E,5,FALSE)=0,1,VLOOKUP(C315,[1]List1!$A:$E,5,FALSE)),"")</f>
        <v>8</v>
      </c>
      <c r="AR315" s="629" t="str">
        <f t="shared" si="722"/>
        <v/>
      </c>
      <c r="AS315" s="630" t="str">
        <f t="shared" si="723"/>
        <v/>
      </c>
      <c r="AT315" s="625" t="str">
        <f t="shared" si="724"/>
        <v/>
      </c>
      <c r="AU315" s="625" t="e">
        <f t="shared" si="725"/>
        <v>#N/A</v>
      </c>
      <c r="AV315" s="625" t="e">
        <f t="shared" si="726"/>
        <v>#N/A</v>
      </c>
      <c r="AW315" s="631"/>
      <c r="AX315" s="631">
        <f>IF(AND('General price list'!$J315="F4",'General price list'!$AB315+0&gt;0),1,0)</f>
        <v>0</v>
      </c>
      <c r="AY315" s="631">
        <f t="shared" si="727"/>
        <v>0</v>
      </c>
      <c r="AZ315" s="631">
        <f t="shared" si="728"/>
        <v>0</v>
      </c>
    </row>
    <row r="316" spans="1:52" ht="15" customHeight="1">
      <c r="A316" s="639" t="str">
        <f>Kat.!C316</f>
        <v/>
      </c>
      <c r="B316" s="640">
        <f>IF(AND('General price list'!$J316="F4",$AI$1=FALSE),0,IF(AC316="SKLADEM",1,IF(AC316=$V$3,1,0)))</f>
        <v>1</v>
      </c>
      <c r="C316" s="641" t="s">
        <v>2381</v>
      </c>
      <c r="D316" s="642" t="s">
        <v>2382</v>
      </c>
      <c r="E316" s="643" t="s">
        <v>12663</v>
      </c>
      <c r="F316" s="771">
        <f>IFERROR(VLOOKUP(C316,[2]List1!$A:$D,3,FALSE),"NEUVEDENO!")</f>
        <v>380</v>
      </c>
      <c r="G316" s="768">
        <f t="shared" si="743"/>
        <v>380</v>
      </c>
      <c r="H316" s="765">
        <f t="shared" si="744"/>
        <v>16.141844333150676</v>
      </c>
      <c r="I316" s="644">
        <f>IFERROR(VLOOKUP(C316,[2]List1!$A:$D,4,FALSE),"NEUVEDENO!")</f>
        <v>1</v>
      </c>
      <c r="J316" s="733"/>
      <c r="K316" s="645" t="s">
        <v>20</v>
      </c>
      <c r="L316" s="645" t="s">
        <v>15089</v>
      </c>
      <c r="M316" s="645"/>
      <c r="N316" s="645">
        <f>IFERROR(VLOOKUP(C316,[3]List1!$A:$D,4,FALSE),"N/A!")</f>
        <v>0</v>
      </c>
      <c r="O316" s="645">
        <f>IFERROR(VLOOKUP(C316,[3]List1!$A:$D,3,FALSE),"N/A!")</f>
        <v>0</v>
      </c>
      <c r="P316" s="645">
        <f>IFERROR(VLOOKUP(C316,[3]List1!$A:$D,2,FALSE),"N/A!")</f>
        <v>204</v>
      </c>
      <c r="Q316" s="645" t="s">
        <v>20</v>
      </c>
      <c r="R316" s="645" t="s">
        <v>20</v>
      </c>
      <c r="S316" s="645"/>
      <c r="T316" s="645"/>
      <c r="U316" s="645"/>
      <c r="V316" s="645"/>
      <c r="W316" s="645" t="str">
        <f>IFERROR(IF(AND($AB316&gt;=0.1*$AA316,MOD($AB316,$AA316)&gt;=($AA316-(0.1*$AA316))),IF($W$17=$AF$1,"Zvažte možnost doobjednání ještě "&amp;Tabulka1[[#This Row],[VKPAL]]-MOD(AB316,AA316)&amp;" VK do plné palety.",VLOOKUP("Zvažte možnost doobjednání ještě ",Jazyky_ceník!A:Q,MATCH($W$17,Jazyky_ceník!$A$1:$Q$1,0),FALSE)&amp;Tabulka1[[#This Row],[VKPAL]]-MOD(AB316,AA316)&amp;VLOOKUP(" VK do plné palety.",Jazyky_ceník!A:Q,MATCH($W$17,Jazyky_ceník!$A$1:$Q$1,0),FALSE)),IFERROR(IF(AND(NOT(MOD($AB316,$AA316)=0),$AB316&gt;=0.9*$AA316,MOD($AB316,$AA316)&lt;=0.1*$AA316),IF($W$17=$AF$1,"Zvažte možnost optimalizace objednaného množství podle počtu VK na paletě ==&gt;",VLOOKUP("Zvažte možnost optimalizace objednaného množství podle počtu VK na paletě ==&gt;",Jazyky_ceník!A:Q,MATCH($W$17,Jazyky_ceník!$A$1:$Q$1,0),FALSE)),VLOOKUP('General price list'!$C316,Popisy!A:M,MATCH($W$17,Popisy!$A$7:$M$7,0),FALSE)),"---------------")),IFERROR(VLOOKUP('General price list'!$C316,Popisy!A:M,MATCH($W$17,Popisy!$A$7:$M$7,0),FALSE),"---------------"))</f>
        <v>Dumbum tričko XL - limited edition</v>
      </c>
      <c r="X316" s="645" t="str">
        <f t="shared" si="745"/>
        <v/>
      </c>
      <c r="Y316" s="645" t="str">
        <f t="shared" si="746"/>
        <v/>
      </c>
      <c r="Z316" s="645" t="str">
        <f>HYPERLINK("https://www.klasekpyrotechnics.cz/tdle1xl")</f>
        <v>https://www.klasekpyrotechnics.cz/tdle1xl</v>
      </c>
      <c r="AA316" s="645" t="str">
        <f>IFERROR(IF(VLOOKUP(C316,[4]List1!$A:$D,4,FALSE)=0,"",VLOOKUP(C316,[4]List1!$A:$D,4,FALSE)),"")</f>
        <v/>
      </c>
      <c r="AB316" s="646"/>
      <c r="AC316" s="647" t="str">
        <f>IFERROR(IF(VLOOKUP(C316,[1]List1!$A:$D,2,FALSE)="VYPRODÁNO",$V$9,IF(VLOOKUP(C316,[1]List1!$A:$D,2,FALSE)="DOCHÁZÍ",$V$3,VLOOKUP(C316,[1]List1!$A:$D,2,FALSE))),"OFFLINE!")</f>
        <v>SKLADEM</v>
      </c>
      <c r="AD316" s="647" t="str">
        <f ca="1">IF(AP316="NE",$V$10,IF(AC316=$V$3,IF(AQ316&lt;1,$V$8,$V$2&amp;" "&amp;AQ316&amp;" "&amp;$V$1),IF(AC316="SKLADEM",$V$6,IFERROR(IF(OR(AC316-TODAY()&gt;45,VLOOKUP(C316,[1]List1!$A:$E,4,FALSE)=0),AC316,DAY(AC316)&amp;"."&amp;MONTH(AC316)&amp;"."&amp;YEAR(AC316)&amp;" "&amp;$V$4&amp;VLOOKUP(C316,[1]List1!$A:$E,4,FALSE)&amp;" "&amp;$V$1),AC316))))</f>
        <v>SKLADEM</v>
      </c>
      <c r="AE316" s="645" t="str">
        <f t="shared" ca="1" si="747"/>
        <v>SKLADEM</v>
      </c>
      <c r="AF316" s="648">
        <f t="shared" si="748"/>
        <v>0</v>
      </c>
      <c r="AG316" s="649">
        <f t="shared" si="749"/>
        <v>0</v>
      </c>
      <c r="AH316" s="650">
        <f t="shared" si="750"/>
        <v>0</v>
      </c>
      <c r="AI316" s="645">
        <f t="shared" si="751"/>
        <v>0</v>
      </c>
      <c r="AJ316" s="645">
        <f t="shared" si="752"/>
        <v>0</v>
      </c>
      <c r="AK316" s="645" t="str">
        <f t="shared" si="753"/>
        <v/>
      </c>
      <c r="AL316" s="645" t="str">
        <f t="shared" si="754"/>
        <v/>
      </c>
      <c r="AM316" s="645" t="str">
        <f t="shared" si="755"/>
        <v/>
      </c>
      <c r="AN316" s="651">
        <f t="shared" si="756"/>
        <v>0</v>
      </c>
      <c r="AO316" s="623"/>
      <c r="AP316" s="632" t="str">
        <f t="shared" si="721"/>
        <v/>
      </c>
      <c r="AQ316" s="633" t="str">
        <f>IF(AC316=$V$3,IF(VLOOKUP(C316,[1]List1!$A:$E,5,FALSE)=0,1,VLOOKUP(C316,[1]List1!$A:$E,5,FALSE)),"")</f>
        <v/>
      </c>
      <c r="AR316" s="625" t="str">
        <f t="shared" si="722"/>
        <v/>
      </c>
      <c r="AS316" s="634" t="str">
        <f t="shared" si="723"/>
        <v/>
      </c>
      <c r="AT316" s="625" t="str">
        <f t="shared" si="724"/>
        <v/>
      </c>
      <c r="AU316" s="638" t="e">
        <f t="shared" si="725"/>
        <v>#N/A</v>
      </c>
      <c r="AV316" s="625" t="e">
        <f t="shared" si="726"/>
        <v>#N/A</v>
      </c>
      <c r="AX316" s="625">
        <f>IF(AND('General price list'!$J316="F4",'General price list'!$AB316+0&gt;0),1,0)</f>
        <v>0</v>
      </c>
      <c r="AY316" s="625">
        <f t="shared" si="727"/>
        <v>0</v>
      </c>
      <c r="AZ316" s="625">
        <f t="shared" si="728"/>
        <v>0</v>
      </c>
    </row>
    <row r="317" spans="1:52" ht="15" customHeight="1">
      <c r="A317" s="621" t="str">
        <f>Kat.!C317</f>
        <v/>
      </c>
      <c r="B317" s="566">
        <f>IF(AND('General price list'!$J317="F4",$AI$1=FALSE),0,IF(AC317="SKLADEM",1,IF(AC317=$V$3,1,0)))</f>
        <v>1</v>
      </c>
      <c r="C317" s="567" t="s">
        <v>2383</v>
      </c>
      <c r="D317" s="568" t="s">
        <v>2384</v>
      </c>
      <c r="E317" s="763" t="s">
        <v>12663</v>
      </c>
      <c r="F317" s="772">
        <f>IFERROR(VLOOKUP(C317,[2]List1!$A:$D,3,FALSE),"NEUVEDENO!")</f>
        <v>380</v>
      </c>
      <c r="G317" s="769">
        <f t="shared" si="743"/>
        <v>380</v>
      </c>
      <c r="H317" s="766">
        <f t="shared" si="744"/>
        <v>16.141844333150676</v>
      </c>
      <c r="I317" s="764">
        <f>IFERROR(VLOOKUP(C317,[2]List1!$A:$D,4,FALSE),"NEUVEDENO!")</f>
        <v>1</v>
      </c>
      <c r="J317" s="732"/>
      <c r="K317" s="569" t="s">
        <v>20</v>
      </c>
      <c r="L317" s="569" t="s">
        <v>15089</v>
      </c>
      <c r="M317" s="569"/>
      <c r="N317" s="569">
        <f>IFERROR(VLOOKUP(C317,[3]List1!$A:$D,4,FALSE),"N/A!")</f>
        <v>0</v>
      </c>
      <c r="O317" s="569">
        <f>IFERROR(VLOOKUP(C317,[3]List1!$A:$D,3,FALSE),"N/A!")</f>
        <v>0</v>
      </c>
      <c r="P317" s="569">
        <f>IFERROR(VLOOKUP(C317,[3]List1!$A:$D,2,FALSE),"N/A!")</f>
        <v>224</v>
      </c>
      <c r="Q317" s="569" t="s">
        <v>20</v>
      </c>
      <c r="R317" s="569" t="s">
        <v>20</v>
      </c>
      <c r="S317" s="569"/>
      <c r="T317" s="569"/>
      <c r="U317" s="569"/>
      <c r="V317" s="569"/>
      <c r="W317" s="569" t="str">
        <f>IFERROR(IF(AND($AB317&gt;=0.1*$AA317,MOD($AB317,$AA317)&gt;=($AA317-(0.1*$AA317))),IF($W$17=$AF$1,"Zvažte možnost doobjednání ještě "&amp;Tabulka1[[#This Row],[VKPAL]]-MOD(AB317,AA317)&amp;" VK do plné palety.",VLOOKUP("Zvažte možnost doobjednání ještě ",Jazyky_ceník!A:Q,MATCH($W$17,Jazyky_ceník!$A$1:$Q$1,0),FALSE)&amp;Tabulka1[[#This Row],[VKPAL]]-MOD(AB317,AA317)&amp;VLOOKUP(" VK do plné palety.",Jazyky_ceník!A:Q,MATCH($W$17,Jazyky_ceník!$A$1:$Q$1,0),FALSE)),IFERROR(IF(AND(NOT(MOD($AB317,$AA317)=0),$AB317&gt;=0.9*$AA317,MOD($AB317,$AA317)&lt;=0.1*$AA317),IF($W$17=$AF$1,"Zvažte možnost optimalizace objednaného množství podle počtu VK na paletě ==&gt;",VLOOKUP("Zvažte možnost optimalizace objednaného množství podle počtu VK na paletě ==&gt;",Jazyky_ceník!A:Q,MATCH($W$17,Jazyky_ceník!$A$1:$Q$1,0),FALSE)),VLOOKUP('General price list'!$C317,Popisy!A:M,MATCH($W$17,Popisy!$A$7:$M$7,0),FALSE)),"---------------")),IFERROR(VLOOKUP('General price list'!$C317,Popisy!A:M,MATCH($W$17,Popisy!$A$7:$M$7,0),FALSE),"---------------"))</f>
        <v>Dumbum tričko XXL - limited edition</v>
      </c>
      <c r="X317" s="569" t="str">
        <f t="shared" si="745"/>
        <v/>
      </c>
      <c r="Y317" s="569" t="str">
        <f t="shared" si="746"/>
        <v/>
      </c>
      <c r="Z317" s="569" t="str">
        <f>HYPERLINK("https://www.klasekpyrotechnics.cz/tdle1xxl")</f>
        <v>https://www.klasekpyrotechnics.cz/tdle1xxl</v>
      </c>
      <c r="AA317" s="569" t="str">
        <f>IFERROR(IF(VLOOKUP(C317,[4]List1!$A:$D,4,FALSE)=0,"",VLOOKUP(C317,[4]List1!$A:$D,4,FALSE)),"")</f>
        <v/>
      </c>
      <c r="AB317" s="565"/>
      <c r="AC317" s="570" t="str">
        <f>IFERROR(IF(VLOOKUP(C317,[1]List1!$A:$D,2,FALSE)="VYPRODÁNO",$V$9,IF(VLOOKUP(C317,[1]List1!$A:$D,2,FALSE)="DOCHÁZÍ",$V$3,VLOOKUP(C317,[1]List1!$A:$D,2,FALSE))),"OFFLINE!")</f>
        <v>SKLADEM</v>
      </c>
      <c r="AD317" s="570" t="str">
        <f ca="1">IF(AP317="NE",$V$10,IF(AC317=$V$3,IF(AQ317&lt;1,$V$8,$V$2&amp;" "&amp;AQ317&amp;" "&amp;$V$1),IF(AC317="SKLADEM",$V$6,IFERROR(IF(OR(AC317-TODAY()&gt;45,VLOOKUP(C317,[1]List1!$A:$E,4,FALSE)=0),AC317,DAY(AC317)&amp;"."&amp;MONTH(AC317)&amp;"."&amp;YEAR(AC317)&amp;" "&amp;$V$4&amp;VLOOKUP(C317,[1]List1!$A:$E,4,FALSE)&amp;" "&amp;$V$1),AC317))))</f>
        <v>SKLADEM</v>
      </c>
      <c r="AE317" s="581" t="str">
        <f t="shared" ca="1" si="747"/>
        <v>SKLADEM</v>
      </c>
      <c r="AF317" s="584">
        <f t="shared" si="748"/>
        <v>0</v>
      </c>
      <c r="AG317" s="585">
        <f t="shared" si="749"/>
        <v>0</v>
      </c>
      <c r="AH317" s="583">
        <f t="shared" si="750"/>
        <v>0</v>
      </c>
      <c r="AI317" s="582">
        <f t="shared" si="751"/>
        <v>0</v>
      </c>
      <c r="AJ317" s="569">
        <f t="shared" si="752"/>
        <v>0</v>
      </c>
      <c r="AK317" s="569" t="str">
        <f t="shared" si="753"/>
        <v/>
      </c>
      <c r="AL317" s="569" t="str">
        <f t="shared" si="754"/>
        <v/>
      </c>
      <c r="AM317" s="569" t="str">
        <f t="shared" si="755"/>
        <v/>
      </c>
      <c r="AN317" s="581">
        <f t="shared" si="756"/>
        <v>0</v>
      </c>
      <c r="AO317" s="623"/>
      <c r="AP317" s="632" t="str">
        <f t="shared" si="721"/>
        <v/>
      </c>
      <c r="AQ317" s="633" t="str">
        <f>IF(AC317=$V$3,IF(VLOOKUP(C317,[1]List1!$A:$E,5,FALSE)=0,1,VLOOKUP(C317,[1]List1!$A:$E,5,FALSE)),"")</f>
        <v/>
      </c>
      <c r="AR317" s="625" t="str">
        <f t="shared" si="722"/>
        <v/>
      </c>
      <c r="AS317" s="634" t="str">
        <f t="shared" si="723"/>
        <v/>
      </c>
      <c r="AT317" s="625" t="str">
        <f t="shared" si="724"/>
        <v/>
      </c>
      <c r="AU317" s="638" t="e">
        <f t="shared" si="725"/>
        <v>#N/A</v>
      </c>
      <c r="AV317" s="625" t="e">
        <f t="shared" si="726"/>
        <v>#N/A</v>
      </c>
      <c r="AX317" s="625">
        <f>IF(AND('General price list'!$J317="F4",'General price list'!$AB317+0&gt;0),1,0)</f>
        <v>0</v>
      </c>
      <c r="AY317" s="625">
        <f t="shared" si="727"/>
        <v>0</v>
      </c>
      <c r="AZ317" s="625">
        <f t="shared" si="728"/>
        <v>0</v>
      </c>
    </row>
    <row r="318" spans="1:52" ht="15" customHeight="1">
      <c r="A318" s="751" t="str">
        <f>Kat.!C318</f>
        <v/>
      </c>
      <c r="B318" s="751"/>
      <c r="C318" s="751"/>
      <c r="D318" s="751"/>
      <c r="E318" s="751"/>
      <c r="F318" s="751"/>
      <c r="G318" s="751"/>
      <c r="H318" s="751"/>
      <c r="I318" s="752"/>
      <c r="J318" s="752"/>
      <c r="K318" s="752" t="s">
        <v>20</v>
      </c>
      <c r="L318" s="753" t="s">
        <v>2818</v>
      </c>
      <c r="M318" s="752"/>
      <c r="N318" s="752"/>
      <c r="O318" s="752"/>
      <c r="P318" s="752"/>
      <c r="Q318" s="752"/>
      <c r="R318" s="752"/>
      <c r="S318" s="752"/>
      <c r="T318" s="752"/>
      <c r="U318" s="752"/>
      <c r="V318" s="752"/>
      <c r="W318" s="752"/>
      <c r="X318" s="752"/>
      <c r="Y318" s="752"/>
      <c r="Z318" s="752" t="s">
        <v>20</v>
      </c>
      <c r="AA318" s="752"/>
      <c r="AB318" s="752"/>
      <c r="AC318" s="754"/>
      <c r="AD318" s="752"/>
      <c r="AE318" s="752"/>
      <c r="AF318" s="752"/>
      <c r="AG318" s="752"/>
      <c r="AH318" s="752"/>
      <c r="AI318" s="752"/>
      <c r="AJ318" s="752"/>
      <c r="AK318" s="752"/>
      <c r="AL318" s="752"/>
      <c r="AM318" s="752"/>
      <c r="AN318" s="752"/>
      <c r="AO318" s="623"/>
      <c r="AP318" s="632" t="str">
        <f t="shared" si="721"/>
        <v/>
      </c>
      <c r="AQ318" s="633" t="str">
        <f>IF(AC318=$V$3,IF(VLOOKUP(C318,[1]List1!$A:$E,5,FALSE)=0,1,VLOOKUP(C318,[1]List1!$A:$E,5,FALSE)),"")</f>
        <v/>
      </c>
      <c r="AR318" s="625" t="str">
        <f t="shared" si="722"/>
        <v/>
      </c>
      <c r="AS318" s="634" t="str">
        <f t="shared" si="723"/>
        <v/>
      </c>
      <c r="AT318" s="625" t="str">
        <f t="shared" si="724"/>
        <v/>
      </c>
      <c r="AU318" s="638" t="e">
        <f t="shared" si="725"/>
        <v>#N/A</v>
      </c>
      <c r="AV318" s="625" t="e">
        <f t="shared" si="726"/>
        <v>#N/A</v>
      </c>
      <c r="AX318" s="625">
        <f>IF(AND('General price list'!$J318="F4",'General price list'!$AB318+0&gt;0),1,0)</f>
        <v>0</v>
      </c>
      <c r="AY318" s="625">
        <f t="shared" si="727"/>
        <v>0</v>
      </c>
      <c r="AZ318" s="625">
        <f t="shared" si="728"/>
        <v>0</v>
      </c>
    </row>
    <row r="319" spans="1:52" ht="15" customHeight="1">
      <c r="A319" s="639" t="str">
        <f>Kat.!C319</f>
        <v>×</v>
      </c>
      <c r="B319" s="640">
        <f>IF(AND('General price list'!$J319="F4",$AI$1=FALSE),0,IF(AC319="SKLADEM",1,IF(AC319=$V$3,1,0)))</f>
        <v>0</v>
      </c>
      <c r="C319" s="641" t="s">
        <v>2385</v>
      </c>
      <c r="D319" s="642" t="s">
        <v>12529</v>
      </c>
      <c r="E319" s="643" t="s">
        <v>12663</v>
      </c>
      <c r="F319" s="771">
        <f>IFERROR(VLOOKUP(C319,[2]List1!$A:$D,3,FALSE),"NEUVEDENO!")</f>
        <v>900</v>
      </c>
      <c r="G319" s="768">
        <f t="shared" ref="G319:G322" si="757">IF($W$17=$AF$8,ROUND((F319)/$F$17,2),(F319)*$B$19)</f>
        <v>900</v>
      </c>
      <c r="H319" s="765">
        <f t="shared" ref="H319:H322" si="758">IF($W$17=$AF$8,G319*$B$19,G319/$F$17)</f>
        <v>38.230683946935812</v>
      </c>
      <c r="I319" s="644">
        <f>IFERROR(VLOOKUP(C319,[2]List1!$A:$D,4,FALSE),"NEUVEDENO!")</f>
        <v>1</v>
      </c>
      <c r="J319" s="733"/>
      <c r="K319" s="645" t="s">
        <v>20</v>
      </c>
      <c r="L319" s="645" t="s">
        <v>15089</v>
      </c>
      <c r="M319" s="645"/>
      <c r="N319" s="645">
        <f>IFERROR(VLOOKUP(C319,[3]List1!$A:$D,4,FALSE),"N/A!")</f>
        <v>0</v>
      </c>
      <c r="O319" s="645">
        <f>IFERROR(VLOOKUP(C319,[3]List1!$A:$D,3,FALSE),"N/A!")</f>
        <v>0</v>
      </c>
      <c r="P319" s="645">
        <f>IFERROR(VLOOKUP(C319,[3]List1!$A:$D,2,FALSE),"N/A!")</f>
        <v>247</v>
      </c>
      <c r="Q319" s="645" t="s">
        <v>20</v>
      </c>
      <c r="R319" s="645" t="s">
        <v>20</v>
      </c>
      <c r="S319" s="645"/>
      <c r="T319" s="645"/>
      <c r="U319" s="645"/>
      <c r="V319" s="645"/>
      <c r="W319" s="645" t="str">
        <f>IFERROR(IF(AND($AB319&gt;=0.1*$AA319,MOD($AB319,$AA319)&gt;=($AA319-(0.1*$AA319))),IF($W$17=$AF$1,"Zvažte možnost doobjednání ještě "&amp;Tabulka1[[#This Row],[VKPAL]]-MOD(AB319,AA319)&amp;" VK do plné palety.",VLOOKUP("Zvažte možnost doobjednání ještě ",Jazyky_ceník!A:Q,MATCH($W$17,Jazyky_ceník!$A$1:$Q$1,0),FALSE)&amp;Tabulka1[[#This Row],[VKPAL]]-MOD(AB319,AA319)&amp;VLOOKUP(" VK do plné palety.",Jazyky_ceník!A:Q,MATCH($W$17,Jazyky_ceník!$A$1:$Q$1,0),FALSE)),IFERROR(IF(AND(NOT(MOD($AB319,$AA319)=0),$AB319&gt;=0.9*$AA319,MOD($AB319,$AA319)&lt;=0.1*$AA319),IF($W$17=$AF$1,"Zvažte možnost optimalizace objednaného množství podle počtu VK na paletě ==&gt;",VLOOKUP("Zvažte možnost optimalizace objednaného množství podle počtu VK na paletě ==&gt;",Jazyky_ceník!A:Q,MATCH($W$17,Jazyky_ceník!$A$1:$Q$1,0),FALSE)),VLOOKUP('General price list'!$C319,Popisy!A:M,MATCH($W$17,Popisy!$A$7:$M$7,0),FALSE)),"---------------")),IFERROR(VLOOKUP('General price list'!$C319,Popisy!A:M,MATCH($W$17,Popisy!$A$7:$M$7,0),FALSE),"---------------"))</f>
        <v>Dumbum tričko polo  M - limited edition</v>
      </c>
      <c r="X319" s="645" t="str">
        <f t="shared" ref="X319:X322" si="759">IF(AB319&lt;0.0001,"",AB319)</f>
        <v/>
      </c>
      <c r="Y319" s="645" t="str">
        <f t="shared" ref="Y319:Y322" si="760">IF($AL$3=2,IF(OR(AB319&lt;&gt;"",AB319&lt;&gt;0),AU319,""),IF(C319="","",IF(AB319&lt;0.0001,"",IF(B319=0,"",IF(AQ319&lt;AB319,"",AB319)))))</f>
        <v/>
      </c>
      <c r="Z319" s="645" t="str">
        <f>HYPERLINK("https://www.klasekpyrotechnics.cz/tpdle1m")</f>
        <v>https://www.klasekpyrotechnics.cz/tpdle1m</v>
      </c>
      <c r="AA319" s="645" t="str">
        <f>IFERROR(IF(VLOOKUP(C319,[4]List1!$A:$D,4,FALSE)=0,"",VLOOKUP(C319,[4]List1!$A:$D,4,FALSE)),"")</f>
        <v/>
      </c>
      <c r="AB319" s="646"/>
      <c r="AC319" s="647" t="str">
        <f>IFERROR(IF(VLOOKUP(C319,[1]List1!$A:$D,2,FALSE)="VYPRODÁNO",$V$9,IF(VLOOKUP(C319,[1]List1!$A:$D,2,FALSE)="DOCHÁZÍ",$V$3,VLOOKUP(C319,[1]List1!$A:$D,2,FALSE))),"OFFLINE!")</f>
        <v>VYPRODÁNO</v>
      </c>
      <c r="AD319" s="647" t="str">
        <f ca="1">IF(AP319="NE",$V$10,IF(AC319=$V$3,IF(AQ319&lt;1,$V$8,$V$2&amp;" "&amp;AQ319&amp;" "&amp;$V$1),IF(AC319="SKLADEM",$V$6,IFERROR(IF(OR(AC319-TODAY()&gt;45,VLOOKUP(C319,[1]List1!$A:$E,4,FALSE)=0),AC319,DAY(AC319)&amp;"."&amp;MONTH(AC319)&amp;"."&amp;YEAR(AC319)&amp;" "&amp;$V$4&amp;VLOOKUP(C319,[1]List1!$A:$E,4,FALSE)&amp;" "&amp;$V$1),AC319))))</f>
        <v>VYPRODÁNO</v>
      </c>
      <c r="AE319" s="645" t="str">
        <f t="shared" ref="AE319:AE322" ca="1" si="761">IFERROR(IF(AV319&lt;&gt;"",AV319,AD319),AD319)</f>
        <v>VYPRODÁNO</v>
      </c>
      <c r="AF319" s="648">
        <f t="shared" ref="AF319:AF322" si="762">IFERROR(IF(AB319=Y319,G319*I319*Y319,0),0)</f>
        <v>0</v>
      </c>
      <c r="AG319" s="649">
        <f t="shared" ref="AG319:AG322" si="763">IF($W$17=$AF$8,AH319*1.23,AF319*1.21)</f>
        <v>0</v>
      </c>
      <c r="AH319" s="650">
        <f t="shared" ref="AH319:AH322" si="764">IFERROR(IF(Y319=AB319,H319*I319*Y319,0),0)</f>
        <v>0</v>
      </c>
      <c r="AI319" s="645">
        <f t="shared" ref="AI319:AI322" si="765">IFERROR(IF(Y319=AB319,(P319*Y319)/1000,1),0)</f>
        <v>0</v>
      </c>
      <c r="AJ319" s="645">
        <f t="shared" ref="AJ319:AJ322" si="766">IFERROR(IF(Y319=AB319,N319*Y319,0.1),0)</f>
        <v>0</v>
      </c>
      <c r="AK319" s="645" t="str">
        <f t="shared" ref="AK319:AK322" si="767">IFERROR(IF(Y319=AB319,IF(M319="1.1G",(O319/1000)*Y319,""),""),0)</f>
        <v/>
      </c>
      <c r="AL319" s="645" t="str">
        <f t="shared" ref="AL319:AL322" si="768">IFERROR(IF(Y319=AB319,IF(M319="1.3G",(O319/1000)*AB319,""),""),0)</f>
        <v/>
      </c>
      <c r="AM319" s="645" t="str">
        <f t="shared" ref="AM319:AM322" si="769">IFERROR(IF(Y319=AB319,IF(M319="1.4G",(O319/1000)*AB319,""),""),0)</f>
        <v/>
      </c>
      <c r="AN319" s="651">
        <f t="shared" ref="AN319:AN322" si="770">SUM(AK319:AM319)</f>
        <v>0</v>
      </c>
      <c r="AO319" s="623"/>
      <c r="AP319" s="632" t="str">
        <f t="shared" si="721"/>
        <v/>
      </c>
      <c r="AQ319" s="633" t="str">
        <f>IF(AC319=$V$3,IF(VLOOKUP(C319,[1]List1!$A:$E,5,FALSE)=0,1,VLOOKUP(C319,[1]List1!$A:$E,5,FALSE)),"")</f>
        <v/>
      </c>
      <c r="AR319" s="625" t="str">
        <f t="shared" si="722"/>
        <v/>
      </c>
      <c r="AS319" s="634" t="str">
        <f t="shared" si="723"/>
        <v/>
      </c>
      <c r="AT319" s="625" t="str">
        <f t="shared" si="724"/>
        <v/>
      </c>
      <c r="AU319" s="638" t="e">
        <f t="shared" si="725"/>
        <v>#N/A</v>
      </c>
      <c r="AV319" s="625" t="e">
        <f t="shared" si="726"/>
        <v>#N/A</v>
      </c>
      <c r="AX319" s="625">
        <f>IF(AND('General price list'!$J319="F4",'General price list'!$AB319+0&gt;0),1,0)</f>
        <v>0</v>
      </c>
      <c r="AY319" s="625">
        <f t="shared" si="727"/>
        <v>0</v>
      </c>
      <c r="AZ319" s="625">
        <f t="shared" si="728"/>
        <v>0</v>
      </c>
    </row>
    <row r="320" spans="1:52" ht="15.75" customHeight="1">
      <c r="A320" s="621" t="str">
        <f>Kat.!C320</f>
        <v>×</v>
      </c>
      <c r="B320" s="566">
        <f>IF(AND('General price list'!$J320="F4",$AI$1=FALSE),0,IF(AC320="SKLADEM",1,IF(AC320=$V$3,1,0)))</f>
        <v>0</v>
      </c>
      <c r="C320" s="567" t="s">
        <v>2387</v>
      </c>
      <c r="D320" s="568" t="s">
        <v>12530</v>
      </c>
      <c r="E320" s="763" t="s">
        <v>12663</v>
      </c>
      <c r="F320" s="772">
        <f>IFERROR(VLOOKUP(C320,[2]List1!$A:$D,3,FALSE),"NEUVEDENO!")</f>
        <v>900</v>
      </c>
      <c r="G320" s="769">
        <f t="shared" si="757"/>
        <v>900</v>
      </c>
      <c r="H320" s="766">
        <f t="shared" si="758"/>
        <v>38.230683946935812</v>
      </c>
      <c r="I320" s="764">
        <f>IFERROR(VLOOKUP(C320,[2]List1!$A:$D,4,FALSE),"NEUVEDENO!")</f>
        <v>1</v>
      </c>
      <c r="J320" s="732"/>
      <c r="K320" s="569" t="s">
        <v>20</v>
      </c>
      <c r="L320" s="569" t="s">
        <v>15089</v>
      </c>
      <c r="M320" s="569"/>
      <c r="N320" s="569">
        <f>IFERROR(VLOOKUP(C320,[3]List1!$A:$D,4,FALSE),"N/A!")</f>
        <v>0</v>
      </c>
      <c r="O320" s="569">
        <f>IFERROR(VLOOKUP(C320,[3]List1!$A:$D,3,FALSE),"N/A!")</f>
        <v>0</v>
      </c>
      <c r="P320" s="569">
        <f>IFERROR(VLOOKUP(C320,[3]List1!$A:$D,2,FALSE),"N/A!")</f>
        <v>257</v>
      </c>
      <c r="Q320" s="569" t="s">
        <v>20</v>
      </c>
      <c r="R320" s="569" t="s">
        <v>20</v>
      </c>
      <c r="S320" s="569"/>
      <c r="T320" s="569"/>
      <c r="U320" s="569"/>
      <c r="V320" s="569"/>
      <c r="W320" s="569" t="str">
        <f>IFERROR(IF(AND($AB320&gt;=0.1*$AA320,MOD($AB320,$AA320)&gt;=($AA320-(0.1*$AA320))),IF($W$17=$AF$1,"Zvažte možnost doobjednání ještě "&amp;Tabulka1[[#This Row],[VKPAL]]-MOD(AB320,AA320)&amp;" VK do plné palety.",VLOOKUP("Zvažte možnost doobjednání ještě ",Jazyky_ceník!A:Q,MATCH($W$17,Jazyky_ceník!$A$1:$Q$1,0),FALSE)&amp;Tabulka1[[#This Row],[VKPAL]]-MOD(AB320,AA320)&amp;VLOOKUP(" VK do plné palety.",Jazyky_ceník!A:Q,MATCH($W$17,Jazyky_ceník!$A$1:$Q$1,0),FALSE)),IFERROR(IF(AND(NOT(MOD($AB320,$AA320)=0),$AB320&gt;=0.9*$AA320,MOD($AB320,$AA320)&lt;=0.1*$AA320),IF($W$17=$AF$1,"Zvažte možnost optimalizace objednaného množství podle počtu VK na paletě ==&gt;",VLOOKUP("Zvažte možnost optimalizace objednaného množství podle počtu VK na paletě ==&gt;",Jazyky_ceník!A:Q,MATCH($W$17,Jazyky_ceník!$A$1:$Q$1,0),FALSE)),VLOOKUP('General price list'!$C320,Popisy!A:M,MATCH($W$17,Popisy!$A$7:$M$7,0),FALSE)),"---------------")),IFERROR(VLOOKUP('General price list'!$C320,Popisy!A:M,MATCH($W$17,Popisy!$A$7:$M$7,0),FALSE),"---------------"))</f>
        <v>Dumbum tričko polo  L- limited edition</v>
      </c>
      <c r="X320" s="569" t="str">
        <f t="shared" si="759"/>
        <v/>
      </c>
      <c r="Y320" s="569" t="str">
        <f t="shared" si="760"/>
        <v/>
      </c>
      <c r="Z320" s="569" t="str">
        <f>HYPERLINK("https://www.klasekpyrotechnics.cz/tpdle1l")</f>
        <v>https://www.klasekpyrotechnics.cz/tpdle1l</v>
      </c>
      <c r="AA320" s="569" t="str">
        <f>IFERROR(IF(VLOOKUP(C320,[4]List1!$A:$D,4,FALSE)=0,"",VLOOKUP(C320,[4]List1!$A:$D,4,FALSE)),"")</f>
        <v/>
      </c>
      <c r="AB320" s="565"/>
      <c r="AC320" s="570" t="str">
        <f>IFERROR(IF(VLOOKUP(C320,[1]List1!$A:$D,2,FALSE)="VYPRODÁNO",$V$9,IF(VLOOKUP(C320,[1]List1!$A:$D,2,FALSE)="DOCHÁZÍ",$V$3,VLOOKUP(C320,[1]List1!$A:$D,2,FALSE))),"OFFLINE!")</f>
        <v>VYPRODÁNO</v>
      </c>
      <c r="AD320" s="570" t="str">
        <f ca="1">IF(AP320="NE",$V$10,IF(AC320=$V$3,IF(AQ320&lt;1,$V$8,$V$2&amp;" "&amp;AQ320&amp;" "&amp;$V$1),IF(AC320="SKLADEM",$V$6,IFERROR(IF(OR(AC320-TODAY()&gt;45,VLOOKUP(C320,[1]List1!$A:$E,4,FALSE)=0),AC320,DAY(AC320)&amp;"."&amp;MONTH(AC320)&amp;"."&amp;YEAR(AC320)&amp;" "&amp;$V$4&amp;VLOOKUP(C320,[1]List1!$A:$E,4,FALSE)&amp;" "&amp;$V$1),AC320))))</f>
        <v>VYPRODÁNO</v>
      </c>
      <c r="AE320" s="581" t="str">
        <f t="shared" ca="1" si="761"/>
        <v>VYPRODÁNO</v>
      </c>
      <c r="AF320" s="584">
        <f t="shared" si="762"/>
        <v>0</v>
      </c>
      <c r="AG320" s="585">
        <f t="shared" si="763"/>
        <v>0</v>
      </c>
      <c r="AH320" s="583">
        <f t="shared" si="764"/>
        <v>0</v>
      </c>
      <c r="AI320" s="582">
        <f t="shared" si="765"/>
        <v>0</v>
      </c>
      <c r="AJ320" s="569">
        <f t="shared" si="766"/>
        <v>0</v>
      </c>
      <c r="AK320" s="569" t="str">
        <f t="shared" si="767"/>
        <v/>
      </c>
      <c r="AL320" s="569" t="str">
        <f t="shared" si="768"/>
        <v/>
      </c>
      <c r="AM320" s="569" t="str">
        <f t="shared" si="769"/>
        <v/>
      </c>
      <c r="AN320" s="581">
        <f t="shared" si="770"/>
        <v>0</v>
      </c>
      <c r="AO320" s="623"/>
      <c r="AP320" s="625" t="str">
        <f t="shared" si="721"/>
        <v/>
      </c>
      <c r="AQ320" s="625" t="str">
        <f>IF(AC320=$V$3,IF(VLOOKUP(C320,[1]List1!$A:$E,5,FALSE)=0,1,VLOOKUP(C320,[1]List1!$A:$E,5,FALSE)),"")</f>
        <v/>
      </c>
      <c r="AR320" s="629" t="str">
        <f t="shared" si="722"/>
        <v/>
      </c>
      <c r="AS320" s="630" t="str">
        <f t="shared" si="723"/>
        <v/>
      </c>
      <c r="AT320" s="625" t="str">
        <f t="shared" si="724"/>
        <v/>
      </c>
      <c r="AU320" s="625" t="e">
        <f t="shared" si="725"/>
        <v>#N/A</v>
      </c>
      <c r="AV320" s="625" t="e">
        <f t="shared" si="726"/>
        <v>#N/A</v>
      </c>
      <c r="AW320" s="631"/>
      <c r="AX320" s="631">
        <f>IF(AND('General price list'!$J320="F4",'General price list'!$AB320+0&gt;0),1,0)</f>
        <v>0</v>
      </c>
      <c r="AY320" s="631">
        <f t="shared" si="727"/>
        <v>0</v>
      </c>
      <c r="AZ320" s="631">
        <f t="shared" si="728"/>
        <v>0</v>
      </c>
    </row>
    <row r="321" spans="1:52" ht="15" customHeight="1">
      <c r="A321" s="639" t="str">
        <f>Kat.!C321</f>
        <v>×</v>
      </c>
      <c r="B321" s="640">
        <f>IF(AND('General price list'!$J321="F4",$AI$1=FALSE),0,IF(AC321="SKLADEM",1,IF(AC321=$V$3,1,0)))</f>
        <v>1</v>
      </c>
      <c r="C321" s="641" t="s">
        <v>2389</v>
      </c>
      <c r="D321" s="642" t="s">
        <v>12531</v>
      </c>
      <c r="E321" s="643" t="s">
        <v>12663</v>
      </c>
      <c r="F321" s="771">
        <f>IFERROR(VLOOKUP(C321,[2]List1!$A:$D,3,FALSE),"NEUVEDENO!")</f>
        <v>900</v>
      </c>
      <c r="G321" s="768">
        <f t="shared" si="757"/>
        <v>900</v>
      </c>
      <c r="H321" s="765">
        <f t="shared" si="758"/>
        <v>38.230683946935812</v>
      </c>
      <c r="I321" s="644">
        <f>IFERROR(VLOOKUP(C321,[2]List1!$A:$D,4,FALSE),"NEUVEDENO!")</f>
        <v>1</v>
      </c>
      <c r="J321" s="733"/>
      <c r="K321" s="645" t="s">
        <v>20</v>
      </c>
      <c r="L321" s="645" t="s">
        <v>15089</v>
      </c>
      <c r="M321" s="645"/>
      <c r="N321" s="645">
        <f>IFERROR(VLOOKUP(C321,[3]List1!$A:$D,4,FALSE),"N/A!")</f>
        <v>0</v>
      </c>
      <c r="O321" s="645">
        <f>IFERROR(VLOOKUP(C321,[3]List1!$A:$D,3,FALSE),"N/A!")</f>
        <v>0</v>
      </c>
      <c r="P321" s="645">
        <f>IFERROR(VLOOKUP(C321,[3]List1!$A:$D,2,FALSE),"N/A!")</f>
        <v>283</v>
      </c>
      <c r="Q321" s="645" t="s">
        <v>20</v>
      </c>
      <c r="R321" s="645" t="s">
        <v>20</v>
      </c>
      <c r="S321" s="645"/>
      <c r="T321" s="645"/>
      <c r="U321" s="645"/>
      <c r="V321" s="645"/>
      <c r="W321" s="645" t="str">
        <f>IFERROR(IF(AND($AB321&gt;=0.1*$AA321,MOD($AB321,$AA321)&gt;=($AA321-(0.1*$AA321))),IF($W$17=$AF$1,"Zvažte možnost doobjednání ještě "&amp;Tabulka1[[#This Row],[VKPAL]]-MOD(AB321,AA321)&amp;" VK do plné palety.",VLOOKUP("Zvažte možnost doobjednání ještě ",Jazyky_ceník!A:Q,MATCH($W$17,Jazyky_ceník!$A$1:$Q$1,0),FALSE)&amp;Tabulka1[[#This Row],[VKPAL]]-MOD(AB321,AA321)&amp;VLOOKUP(" VK do plné palety.",Jazyky_ceník!A:Q,MATCH($W$17,Jazyky_ceník!$A$1:$Q$1,0),FALSE)),IFERROR(IF(AND(NOT(MOD($AB321,$AA321)=0),$AB321&gt;=0.9*$AA321,MOD($AB321,$AA321)&lt;=0.1*$AA321),IF($W$17=$AF$1,"Zvažte možnost optimalizace objednaného množství podle počtu VK na paletě ==&gt;",VLOOKUP("Zvažte možnost optimalizace objednaného množství podle počtu VK na paletě ==&gt;",Jazyky_ceník!A:Q,MATCH($W$17,Jazyky_ceník!$A$1:$Q$1,0),FALSE)),VLOOKUP('General price list'!$C321,Popisy!A:M,MATCH($W$17,Popisy!$A$7:$M$7,0),FALSE)),"---------------")),IFERROR(VLOOKUP('General price list'!$C321,Popisy!A:M,MATCH($W$17,Popisy!$A$7:$M$7,0),FALSE),"---------------"))</f>
        <v>Dumbum tričko polo  XL - limited edition</v>
      </c>
      <c r="X321" s="645" t="str">
        <f t="shared" si="759"/>
        <v/>
      </c>
      <c r="Y321" s="645" t="str">
        <f t="shared" si="760"/>
        <v/>
      </c>
      <c r="Z321" s="645" t="str">
        <f>HYPERLINK("https://www.klasekpyrotechnics.cz/tpdle1xl")</f>
        <v>https://www.klasekpyrotechnics.cz/tpdle1xl</v>
      </c>
      <c r="AA321" s="645" t="str">
        <f>IFERROR(IF(VLOOKUP(C321,[4]List1!$A:$D,4,FALSE)=0,"",VLOOKUP(C321,[4]List1!$A:$D,4,FALSE)),"")</f>
        <v/>
      </c>
      <c r="AB321" s="646"/>
      <c r="AC321" s="647" t="str">
        <f>IFERROR(IF(VLOOKUP(C321,[1]List1!$A:$D,2,FALSE)="VYPRODÁNO",$V$9,IF(VLOOKUP(C321,[1]List1!$A:$D,2,FALSE)="DOCHÁZÍ",$V$3,VLOOKUP(C321,[1]List1!$A:$D,2,FALSE))),"OFFLINE!")</f>
        <v>DOCHÁZÍ</v>
      </c>
      <c r="AD321" s="647" t="str">
        <f ca="1">IF(AP321="NE",$V$10,IF(AC321=$V$3,IF(AQ321&lt;1,$V$8,$V$2&amp;" "&amp;AQ321&amp;" "&amp;$V$1),IF(AC321="SKLADEM",$V$6,IFERROR(IF(OR(AC321-TODAY()&gt;45,VLOOKUP(C321,[1]List1!$A:$E,4,FALSE)=0),AC321,DAY(AC321)&amp;"."&amp;MONTH(AC321)&amp;"."&amp;YEAR(AC321)&amp;" "&amp;$V$4&amp;VLOOKUP(C321,[1]List1!$A:$E,4,FALSE)&amp;" "&amp;$V$1),AC321))))</f>
        <v>POSLEDNÍCH 2 VK</v>
      </c>
      <c r="AE321" s="645" t="str">
        <f t="shared" ca="1" si="761"/>
        <v>POSLEDNÍCH 2 VK</v>
      </c>
      <c r="AF321" s="648">
        <f t="shared" si="762"/>
        <v>0</v>
      </c>
      <c r="AG321" s="649">
        <f t="shared" si="763"/>
        <v>0</v>
      </c>
      <c r="AH321" s="650">
        <f t="shared" si="764"/>
        <v>0</v>
      </c>
      <c r="AI321" s="645">
        <f t="shared" si="765"/>
        <v>0</v>
      </c>
      <c r="AJ321" s="645">
        <f t="shared" si="766"/>
        <v>0</v>
      </c>
      <c r="AK321" s="645" t="str">
        <f t="shared" si="767"/>
        <v/>
      </c>
      <c r="AL321" s="645" t="str">
        <f t="shared" si="768"/>
        <v/>
      </c>
      <c r="AM321" s="645" t="str">
        <f t="shared" si="769"/>
        <v/>
      </c>
      <c r="AN321" s="651">
        <f t="shared" si="770"/>
        <v>0</v>
      </c>
      <c r="AO321" s="623"/>
      <c r="AP321" s="632" t="str">
        <f t="shared" si="721"/>
        <v/>
      </c>
      <c r="AQ321" s="633">
        <f>IF(AC321=$V$3,IF(VLOOKUP(C321,[1]List1!$A:$E,5,FALSE)=0,1,VLOOKUP(C321,[1]List1!$A:$E,5,FALSE)),"")</f>
        <v>2</v>
      </c>
      <c r="AR321" s="625" t="str">
        <f t="shared" si="722"/>
        <v/>
      </c>
      <c r="AS321" s="634" t="str">
        <f t="shared" si="723"/>
        <v/>
      </c>
      <c r="AT321" s="625" t="str">
        <f t="shared" si="724"/>
        <v/>
      </c>
      <c r="AU321" s="638" t="e">
        <f t="shared" si="725"/>
        <v>#N/A</v>
      </c>
      <c r="AV321" s="625" t="e">
        <f t="shared" si="726"/>
        <v>#N/A</v>
      </c>
      <c r="AX321" s="625">
        <f>IF(AND('General price list'!$J321="F4",'General price list'!$AB321+0&gt;0),1,0)</f>
        <v>0</v>
      </c>
      <c r="AY321" s="625">
        <f t="shared" si="727"/>
        <v>0</v>
      </c>
      <c r="AZ321" s="625">
        <f t="shared" si="728"/>
        <v>0</v>
      </c>
    </row>
    <row r="322" spans="1:52" ht="15" customHeight="1">
      <c r="A322" s="621" t="str">
        <f>Kat.!C322</f>
        <v>×</v>
      </c>
      <c r="B322" s="566">
        <f>IF(AND('General price list'!$J322="F4",$AI$1=FALSE),0,IF(AC322="SKLADEM",1,IF(AC322=$V$3,1,0)))</f>
        <v>0</v>
      </c>
      <c r="C322" s="567" t="s">
        <v>2391</v>
      </c>
      <c r="D322" s="568" t="s">
        <v>12532</v>
      </c>
      <c r="E322" s="763" t="s">
        <v>12663</v>
      </c>
      <c r="F322" s="772">
        <f>IFERROR(VLOOKUP(C322,[2]List1!$A:$D,3,FALSE),"NEUVEDENO!")</f>
        <v>900</v>
      </c>
      <c r="G322" s="769">
        <f t="shared" si="757"/>
        <v>900</v>
      </c>
      <c r="H322" s="766">
        <f t="shared" si="758"/>
        <v>38.230683946935812</v>
      </c>
      <c r="I322" s="764">
        <f>IFERROR(VLOOKUP(C322,[2]List1!$A:$D,4,FALSE),"NEUVEDENO!")</f>
        <v>1</v>
      </c>
      <c r="J322" s="732"/>
      <c r="K322" s="569" t="s">
        <v>20</v>
      </c>
      <c r="L322" s="569" t="s">
        <v>15089</v>
      </c>
      <c r="M322" s="569"/>
      <c r="N322" s="569">
        <f>IFERROR(VLOOKUP(C322,[3]List1!$A:$D,4,FALSE),"N/A!")</f>
        <v>0</v>
      </c>
      <c r="O322" s="569">
        <f>IFERROR(VLOOKUP(C322,[3]List1!$A:$D,3,FALSE),"N/A!")</f>
        <v>0</v>
      </c>
      <c r="P322" s="569">
        <f>IFERROR(VLOOKUP(C322,[3]List1!$A:$D,2,FALSE),"N/A!")</f>
        <v>290</v>
      </c>
      <c r="Q322" s="569" t="s">
        <v>20</v>
      </c>
      <c r="R322" s="569" t="s">
        <v>20</v>
      </c>
      <c r="S322" s="569"/>
      <c r="T322" s="569"/>
      <c r="U322" s="569"/>
      <c r="V322" s="569"/>
      <c r="W322" s="569" t="str">
        <f>IFERROR(IF(AND($AB322&gt;=0.1*$AA322,MOD($AB322,$AA322)&gt;=($AA322-(0.1*$AA322))),IF($W$17=$AF$1,"Zvažte možnost doobjednání ještě "&amp;Tabulka1[[#This Row],[VKPAL]]-MOD(AB322,AA322)&amp;" VK do plné palety.",VLOOKUP("Zvažte možnost doobjednání ještě ",Jazyky_ceník!A:Q,MATCH($W$17,Jazyky_ceník!$A$1:$Q$1,0),FALSE)&amp;Tabulka1[[#This Row],[VKPAL]]-MOD(AB322,AA322)&amp;VLOOKUP(" VK do plné palety.",Jazyky_ceník!A:Q,MATCH($W$17,Jazyky_ceník!$A$1:$Q$1,0),FALSE)),IFERROR(IF(AND(NOT(MOD($AB322,$AA322)=0),$AB322&gt;=0.9*$AA322,MOD($AB322,$AA322)&lt;=0.1*$AA322),IF($W$17=$AF$1,"Zvažte možnost optimalizace objednaného množství podle počtu VK na paletě ==&gt;",VLOOKUP("Zvažte možnost optimalizace objednaného množství podle počtu VK na paletě ==&gt;",Jazyky_ceník!A:Q,MATCH($W$17,Jazyky_ceník!$A$1:$Q$1,0),FALSE)),VLOOKUP('General price list'!$C322,Popisy!A:M,MATCH($W$17,Popisy!$A$7:$M$7,0),FALSE)),"---------------")),IFERROR(VLOOKUP('General price list'!$C322,Popisy!A:M,MATCH($W$17,Popisy!$A$7:$M$7,0),FALSE),"---------------"))</f>
        <v>Dumbum tričko polo  XXL - limited edition</v>
      </c>
      <c r="X322" s="569" t="str">
        <f t="shared" si="759"/>
        <v/>
      </c>
      <c r="Y322" s="569" t="str">
        <f t="shared" si="760"/>
        <v/>
      </c>
      <c r="Z322" s="569" t="str">
        <f>HYPERLINK("https://www.klasekpyrotechnics.cz/tpdle1xxl")</f>
        <v>https://www.klasekpyrotechnics.cz/tpdle1xxl</v>
      </c>
      <c r="AA322" s="569" t="str">
        <f>IFERROR(IF(VLOOKUP(C322,[4]List1!$A:$D,4,FALSE)=0,"",VLOOKUP(C322,[4]List1!$A:$D,4,FALSE)),"")</f>
        <v/>
      </c>
      <c r="AB322" s="565"/>
      <c r="AC322" s="570" t="str">
        <f>IFERROR(IF(VLOOKUP(C322,[1]List1!$A:$D,2,FALSE)="VYPRODÁNO",$V$9,IF(VLOOKUP(C322,[1]List1!$A:$D,2,FALSE)="DOCHÁZÍ",$V$3,VLOOKUP(C322,[1]List1!$A:$D,2,FALSE))),"OFFLINE!")</f>
        <v>VYPRODÁNO</v>
      </c>
      <c r="AD322" s="570" t="str">
        <f ca="1">IF(AP322="NE",$V$10,IF(AC322=$V$3,IF(AQ322&lt;1,$V$8,$V$2&amp;" "&amp;AQ322&amp;" "&amp;$V$1),IF(AC322="SKLADEM",$V$6,IFERROR(IF(OR(AC322-TODAY()&gt;45,VLOOKUP(C322,[1]List1!$A:$E,4,FALSE)=0),AC322,DAY(AC322)&amp;"."&amp;MONTH(AC322)&amp;"."&amp;YEAR(AC322)&amp;" "&amp;$V$4&amp;VLOOKUP(C322,[1]List1!$A:$E,4,FALSE)&amp;" "&amp;$V$1),AC322))))</f>
        <v>VYPRODÁNO</v>
      </c>
      <c r="AE322" s="581" t="str">
        <f t="shared" ca="1" si="761"/>
        <v>VYPRODÁNO</v>
      </c>
      <c r="AF322" s="584">
        <f t="shared" si="762"/>
        <v>0</v>
      </c>
      <c r="AG322" s="585">
        <f t="shared" si="763"/>
        <v>0</v>
      </c>
      <c r="AH322" s="583">
        <f t="shared" si="764"/>
        <v>0</v>
      </c>
      <c r="AI322" s="582">
        <f t="shared" si="765"/>
        <v>0</v>
      </c>
      <c r="AJ322" s="569">
        <f t="shared" si="766"/>
        <v>0</v>
      </c>
      <c r="AK322" s="569" t="str">
        <f t="shared" si="767"/>
        <v/>
      </c>
      <c r="AL322" s="569" t="str">
        <f t="shared" si="768"/>
        <v/>
      </c>
      <c r="AM322" s="569" t="str">
        <f t="shared" si="769"/>
        <v/>
      </c>
      <c r="AN322" s="581">
        <f t="shared" si="770"/>
        <v>0</v>
      </c>
      <c r="AO322" s="623"/>
      <c r="AP322" s="632" t="str">
        <f t="shared" si="721"/>
        <v/>
      </c>
      <c r="AQ322" s="633" t="str">
        <f>IF(AC322=$V$3,IF(VLOOKUP(C322,[1]List1!$A:$E,5,FALSE)=0,1,VLOOKUP(C322,[1]List1!$A:$E,5,FALSE)),"")</f>
        <v/>
      </c>
      <c r="AR322" s="625" t="str">
        <f t="shared" si="722"/>
        <v/>
      </c>
      <c r="AS322" s="634" t="str">
        <f t="shared" si="723"/>
        <v/>
      </c>
      <c r="AT322" s="625" t="str">
        <f t="shared" si="724"/>
        <v/>
      </c>
      <c r="AU322" s="638" t="e">
        <f t="shared" si="725"/>
        <v>#N/A</v>
      </c>
      <c r="AV322" s="625" t="e">
        <f t="shared" si="726"/>
        <v>#N/A</v>
      </c>
      <c r="AX322" s="625">
        <f>IF(AND('General price list'!$J322="F4",'General price list'!$AB322+0&gt;0),1,0)</f>
        <v>0</v>
      </c>
      <c r="AY322" s="625">
        <f t="shared" si="727"/>
        <v>0</v>
      </c>
      <c r="AZ322" s="625">
        <f t="shared" si="728"/>
        <v>0</v>
      </c>
    </row>
    <row r="323" spans="1:52" ht="15" customHeight="1">
      <c r="A323" s="751" t="str">
        <f>Kat.!C323</f>
        <v/>
      </c>
      <c r="B323" s="751"/>
      <c r="C323" s="751"/>
      <c r="D323" s="751"/>
      <c r="E323" s="751"/>
      <c r="F323" s="751"/>
      <c r="G323" s="751"/>
      <c r="H323" s="751"/>
      <c r="I323" s="752"/>
      <c r="J323" s="752"/>
      <c r="K323" s="752" t="s">
        <v>20</v>
      </c>
      <c r="L323" s="753" t="s">
        <v>2818</v>
      </c>
      <c r="M323" s="752"/>
      <c r="N323" s="752"/>
      <c r="O323" s="752"/>
      <c r="P323" s="752"/>
      <c r="Q323" s="752"/>
      <c r="R323" s="752"/>
      <c r="S323" s="752"/>
      <c r="T323" s="752"/>
      <c r="U323" s="752"/>
      <c r="V323" s="752"/>
      <c r="W323" s="752"/>
      <c r="X323" s="752"/>
      <c r="Y323" s="752"/>
      <c r="Z323" s="752" t="s">
        <v>20</v>
      </c>
      <c r="AA323" s="752"/>
      <c r="AB323" s="752"/>
      <c r="AC323" s="754"/>
      <c r="AD323" s="752"/>
      <c r="AE323" s="752"/>
      <c r="AF323" s="752"/>
      <c r="AG323" s="752"/>
      <c r="AH323" s="752"/>
      <c r="AI323" s="752"/>
      <c r="AJ323" s="752"/>
      <c r="AK323" s="752"/>
      <c r="AL323" s="752"/>
      <c r="AM323" s="752"/>
      <c r="AN323" s="752"/>
      <c r="AO323" s="623"/>
      <c r="AP323" s="632" t="str">
        <f t="shared" si="721"/>
        <v/>
      </c>
      <c r="AQ323" s="633" t="str">
        <f>IF(AC323=$V$3,IF(VLOOKUP(C323,[1]List1!$A:$E,5,FALSE)=0,1,VLOOKUP(C323,[1]List1!$A:$E,5,FALSE)),"")</f>
        <v/>
      </c>
      <c r="AR323" s="625" t="str">
        <f t="shared" si="722"/>
        <v/>
      </c>
      <c r="AS323" s="634" t="str">
        <f t="shared" si="723"/>
        <v/>
      </c>
      <c r="AT323" s="625" t="str">
        <f t="shared" si="724"/>
        <v/>
      </c>
      <c r="AU323" s="638" t="e">
        <f t="shared" si="725"/>
        <v>#N/A</v>
      </c>
      <c r="AV323" s="625" t="e">
        <f t="shared" si="726"/>
        <v>#N/A</v>
      </c>
      <c r="AX323" s="625">
        <f>IF(AND('General price list'!$J323="F4",'General price list'!$AB323+0&gt;0),1,0)</f>
        <v>0</v>
      </c>
      <c r="AY323" s="625">
        <f t="shared" si="727"/>
        <v>0</v>
      </c>
      <c r="AZ323" s="625">
        <f t="shared" si="728"/>
        <v>0</v>
      </c>
    </row>
    <row r="324" spans="1:52" ht="15" customHeight="1">
      <c r="A324" s="639" t="str">
        <f>Kat.!C324</f>
        <v/>
      </c>
      <c r="B324" s="640">
        <f>IF(AND('General price list'!$J324="F4",$AI$1=FALSE),0,IF(AC324="SKLADEM",1,IF(AC324=$V$3,1,0)))</f>
        <v>1</v>
      </c>
      <c r="C324" s="641" t="s">
        <v>2393</v>
      </c>
      <c r="D324" s="642" t="s">
        <v>2394</v>
      </c>
      <c r="E324" s="643" t="s">
        <v>12663</v>
      </c>
      <c r="F324" s="771">
        <f>IFERROR(VLOOKUP(C324,[2]List1!$A:$D,3,FALSE),"NEUVEDENO!")</f>
        <v>1830</v>
      </c>
      <c r="G324" s="768">
        <f t="shared" ref="G324:G327" si="771">IF($W$17=$AF$8,ROUND((F324)/$F$17,2),(F324)*$B$19)</f>
        <v>1830</v>
      </c>
      <c r="H324" s="765">
        <f t="shared" ref="H324:H327" si="772">IF($W$17=$AF$8,G324*$B$19,G324/$F$17)</f>
        <v>77.735724025436156</v>
      </c>
      <c r="I324" s="644">
        <f>IFERROR(VLOOKUP(C324,[2]List1!$A:$D,4,FALSE),"NEUVEDENO!")</f>
        <v>1</v>
      </c>
      <c r="J324" s="733"/>
      <c r="K324" s="645" t="s">
        <v>20</v>
      </c>
      <c r="L324" s="645" t="s">
        <v>15089</v>
      </c>
      <c r="M324" s="645"/>
      <c r="N324" s="645">
        <f>IFERROR(VLOOKUP(C324,[3]List1!$A:$D,4,FALSE),"N/A!")</f>
        <v>0</v>
      </c>
      <c r="O324" s="645">
        <f>IFERROR(VLOOKUP(C324,[3]List1!$A:$D,3,FALSE),"N/A!")</f>
        <v>0</v>
      </c>
      <c r="P324" s="645">
        <f>IFERROR(VLOOKUP(C324,[3]List1!$A:$D,2,FALSE),"N/A!")</f>
        <v>500</v>
      </c>
      <c r="Q324" s="645" t="s">
        <v>20</v>
      </c>
      <c r="R324" s="645" t="s">
        <v>20</v>
      </c>
      <c r="S324" s="645"/>
      <c r="T324" s="645"/>
      <c r="U324" s="645"/>
      <c r="V324" s="645"/>
      <c r="W324" s="645" t="str">
        <f>IFERROR(IF(AND($AB324&gt;=0.1*$AA324,MOD($AB324,$AA324)&gt;=($AA324-(0.1*$AA324))),IF($W$17=$AF$1,"Zvažte možnost doobjednání ještě "&amp;Tabulka1[[#This Row],[VKPAL]]-MOD(AB324,AA324)&amp;" VK do plné palety.",VLOOKUP("Zvažte možnost doobjednání ještě ",Jazyky_ceník!A:Q,MATCH($W$17,Jazyky_ceník!$A$1:$Q$1,0),FALSE)&amp;Tabulka1[[#This Row],[VKPAL]]-MOD(AB324,AA324)&amp;VLOOKUP(" VK do plné palety.",Jazyky_ceník!A:Q,MATCH($W$17,Jazyky_ceník!$A$1:$Q$1,0),FALSE)),IFERROR(IF(AND(NOT(MOD($AB324,$AA324)=0),$AB324&gt;=0.9*$AA324,MOD($AB324,$AA324)&lt;=0.1*$AA324),IF($W$17=$AF$1,"Zvažte možnost optimalizace objednaného množství podle počtu VK na paletě ==&gt;",VLOOKUP("Zvažte možnost optimalizace objednaného množství podle počtu VK na paletě ==&gt;",Jazyky_ceník!A:Q,MATCH($W$17,Jazyky_ceník!$A$1:$Q$1,0),FALSE)),VLOOKUP('General price list'!$C324,Popisy!A:M,MATCH($W$17,Popisy!$A$7:$M$7,0),FALSE)),"---------------")),IFERROR(VLOOKUP('General price list'!$C324,Popisy!A:M,MATCH($W$17,Popisy!$A$7:$M$7,0),FALSE),"---------------"))</f>
        <v>Dumbum vesta softshell M-limited edition</v>
      </c>
      <c r="X324" s="645" t="str">
        <f t="shared" ref="X324:X327" si="773">IF(AB324&lt;0.0001,"",AB324)</f>
        <v/>
      </c>
      <c r="Y324" s="645" t="str">
        <f t="shared" ref="Y324:Y327" si="774">IF($AL$3=2,IF(OR(AB324&lt;&gt;"",AB324&lt;&gt;0),AU324,""),IF(C324="","",IF(AB324&lt;0.0001,"",IF(B324=0,"",IF(AQ324&lt;AB324,"",AB324)))))</f>
        <v/>
      </c>
      <c r="Z324" s="645" t="str">
        <f>HYPERLINK("https://www.klasekpyrotechnics.cz/vdle1m")</f>
        <v>https://www.klasekpyrotechnics.cz/vdle1m</v>
      </c>
      <c r="AA324" s="645" t="str">
        <f>IFERROR(IF(VLOOKUP(C324,[4]List1!$A:$D,4,FALSE)=0,"",VLOOKUP(C324,[4]List1!$A:$D,4,FALSE)),"")</f>
        <v/>
      </c>
      <c r="AB324" s="646"/>
      <c r="AC324" s="647" t="str">
        <f>IFERROR(IF(VLOOKUP(C324,[1]List1!$A:$D,2,FALSE)="VYPRODÁNO",$V$9,IF(VLOOKUP(C324,[1]List1!$A:$D,2,FALSE)="DOCHÁZÍ",$V$3,VLOOKUP(C324,[1]List1!$A:$D,2,FALSE))),"OFFLINE!")</f>
        <v>SKLADEM</v>
      </c>
      <c r="AD324" s="647" t="str">
        <f ca="1">IF(AP324="NE",$V$10,IF(AC324=$V$3,IF(AQ324&lt;1,$V$8,$V$2&amp;" "&amp;AQ324&amp;" "&amp;$V$1),IF(AC324="SKLADEM",$V$6,IFERROR(IF(OR(AC324-TODAY()&gt;45,VLOOKUP(C324,[1]List1!$A:$E,4,FALSE)=0),AC324,DAY(AC324)&amp;"."&amp;MONTH(AC324)&amp;"."&amp;YEAR(AC324)&amp;" "&amp;$V$4&amp;VLOOKUP(C324,[1]List1!$A:$E,4,FALSE)&amp;" "&amp;$V$1),AC324))))</f>
        <v>SKLADEM</v>
      </c>
      <c r="AE324" s="645" t="str">
        <f t="shared" ref="AE324:AE327" ca="1" si="775">IFERROR(IF(AV324&lt;&gt;"",AV324,AD324),AD324)</f>
        <v>SKLADEM</v>
      </c>
      <c r="AF324" s="648">
        <f t="shared" ref="AF324:AF327" si="776">IFERROR(IF(AB324=Y324,G324*I324*Y324,0),0)</f>
        <v>0</v>
      </c>
      <c r="AG324" s="649">
        <f t="shared" ref="AG324:AG327" si="777">IF($W$17=$AF$8,AH324*1.23,AF324*1.21)</f>
        <v>0</v>
      </c>
      <c r="AH324" s="650">
        <f t="shared" ref="AH324:AH327" si="778">IFERROR(IF(Y324=AB324,H324*I324*Y324,0),0)</f>
        <v>0</v>
      </c>
      <c r="AI324" s="645">
        <f t="shared" ref="AI324:AI327" si="779">IFERROR(IF(Y324=AB324,(P324*Y324)/1000,1),0)</f>
        <v>0</v>
      </c>
      <c r="AJ324" s="645">
        <f t="shared" ref="AJ324:AJ327" si="780">IFERROR(IF(Y324=AB324,N324*Y324,0.1),0)</f>
        <v>0</v>
      </c>
      <c r="AK324" s="645" t="str">
        <f t="shared" ref="AK324:AK327" si="781">IFERROR(IF(Y324=AB324,IF(M324="1.1G",(O324/1000)*Y324,""),""),0)</f>
        <v/>
      </c>
      <c r="AL324" s="645" t="str">
        <f t="shared" ref="AL324:AL327" si="782">IFERROR(IF(Y324=AB324,IF(M324="1.3G",(O324/1000)*AB324,""),""),0)</f>
        <v/>
      </c>
      <c r="AM324" s="645" t="str">
        <f t="shared" ref="AM324:AM327" si="783">IFERROR(IF(Y324=AB324,IF(M324="1.4G",(O324/1000)*AB324,""),""),0)</f>
        <v/>
      </c>
      <c r="AN324" s="651">
        <f t="shared" ref="AN324:AN327" si="784">SUM(AK324:AM324)</f>
        <v>0</v>
      </c>
      <c r="AO324" s="623"/>
      <c r="AP324" s="632" t="str">
        <f t="shared" si="721"/>
        <v/>
      </c>
      <c r="AQ324" s="633" t="str">
        <f>IF(AC324=$V$3,IF(VLOOKUP(C324,[1]List1!$A:$E,5,FALSE)=0,1,VLOOKUP(C324,[1]List1!$A:$E,5,FALSE)),"")</f>
        <v/>
      </c>
      <c r="AR324" s="625" t="str">
        <f t="shared" si="722"/>
        <v/>
      </c>
      <c r="AS324" s="634" t="str">
        <f t="shared" si="723"/>
        <v/>
      </c>
      <c r="AT324" s="625" t="str">
        <f t="shared" si="724"/>
        <v/>
      </c>
      <c r="AU324" s="638" t="e">
        <f t="shared" si="725"/>
        <v>#N/A</v>
      </c>
      <c r="AV324" s="625" t="e">
        <f t="shared" si="726"/>
        <v>#N/A</v>
      </c>
      <c r="AX324" s="625">
        <f>IF(AND('General price list'!$J324="F4",'General price list'!$AB324+0&gt;0),1,0)</f>
        <v>0</v>
      </c>
      <c r="AY324" s="625">
        <f t="shared" si="727"/>
        <v>0</v>
      </c>
      <c r="AZ324" s="625">
        <f t="shared" si="728"/>
        <v>0</v>
      </c>
    </row>
    <row r="325" spans="1:52" ht="15.75" customHeight="1">
      <c r="A325" s="621" t="str">
        <f>Kat.!C325</f>
        <v/>
      </c>
      <c r="B325" s="566">
        <f>IF(AND('General price list'!$J325="F4",$AI$1=FALSE),0,IF(AC325="SKLADEM",1,IF(AC325=$V$3,1,0)))</f>
        <v>1</v>
      </c>
      <c r="C325" s="567" t="s">
        <v>2395</v>
      </c>
      <c r="D325" s="568" t="s">
        <v>2396</v>
      </c>
      <c r="E325" s="763" t="s">
        <v>12663</v>
      </c>
      <c r="F325" s="772">
        <f>IFERROR(VLOOKUP(C325,[2]List1!$A:$D,3,FALSE),"NEUVEDENO!")</f>
        <v>1830</v>
      </c>
      <c r="G325" s="769">
        <f t="shared" si="771"/>
        <v>1830</v>
      </c>
      <c r="H325" s="766">
        <f t="shared" si="772"/>
        <v>77.735724025436156</v>
      </c>
      <c r="I325" s="764">
        <f>IFERROR(VLOOKUP(C325,[2]List1!$A:$D,4,FALSE),"NEUVEDENO!")</f>
        <v>1</v>
      </c>
      <c r="J325" s="732"/>
      <c r="K325" s="569" t="s">
        <v>20</v>
      </c>
      <c r="L325" s="569" t="s">
        <v>15089</v>
      </c>
      <c r="M325" s="569"/>
      <c r="N325" s="569">
        <f>IFERROR(VLOOKUP(C325,[3]List1!$A:$D,4,FALSE),"N/A!")</f>
        <v>0</v>
      </c>
      <c r="O325" s="569">
        <f>IFERROR(VLOOKUP(C325,[3]List1!$A:$D,3,FALSE),"N/A!")</f>
        <v>0</v>
      </c>
      <c r="P325" s="569">
        <f>IFERROR(VLOOKUP(C325,[3]List1!$A:$D,2,FALSE),"N/A!")</f>
        <v>500</v>
      </c>
      <c r="Q325" s="569" t="s">
        <v>20</v>
      </c>
      <c r="R325" s="569" t="s">
        <v>20</v>
      </c>
      <c r="S325" s="569"/>
      <c r="T325" s="569"/>
      <c r="U325" s="569"/>
      <c r="V325" s="569"/>
      <c r="W325" s="569" t="str">
        <f>IFERROR(IF(AND($AB325&gt;=0.1*$AA325,MOD($AB325,$AA325)&gt;=($AA325-(0.1*$AA325))),IF($W$17=$AF$1,"Zvažte možnost doobjednání ještě "&amp;Tabulka1[[#This Row],[VKPAL]]-MOD(AB325,AA325)&amp;" VK do plné palety.",VLOOKUP("Zvažte možnost doobjednání ještě ",Jazyky_ceník!A:Q,MATCH($W$17,Jazyky_ceník!$A$1:$Q$1,0),FALSE)&amp;Tabulka1[[#This Row],[VKPAL]]-MOD(AB325,AA325)&amp;VLOOKUP(" VK do plné palety.",Jazyky_ceník!A:Q,MATCH($W$17,Jazyky_ceník!$A$1:$Q$1,0),FALSE)),IFERROR(IF(AND(NOT(MOD($AB325,$AA325)=0),$AB325&gt;=0.9*$AA325,MOD($AB325,$AA325)&lt;=0.1*$AA325),IF($W$17=$AF$1,"Zvažte možnost optimalizace objednaného množství podle počtu VK na paletě ==&gt;",VLOOKUP("Zvažte možnost optimalizace objednaného množství podle počtu VK na paletě ==&gt;",Jazyky_ceník!A:Q,MATCH($W$17,Jazyky_ceník!$A$1:$Q$1,0),FALSE)),VLOOKUP('General price list'!$C325,Popisy!A:M,MATCH($W$17,Popisy!$A$7:$M$7,0),FALSE)),"---------------")),IFERROR(VLOOKUP('General price list'!$C325,Popisy!A:M,MATCH($W$17,Popisy!$A$7:$M$7,0),FALSE),"---------------"))</f>
        <v>Dumbum vesta softshell L-limited edition</v>
      </c>
      <c r="X325" s="569" t="str">
        <f t="shared" si="773"/>
        <v/>
      </c>
      <c r="Y325" s="569" t="str">
        <f t="shared" si="774"/>
        <v/>
      </c>
      <c r="Z325" s="569" t="str">
        <f>HYPERLINK("https://www.klasekpyrotechnics.cz/vdle1l")</f>
        <v>https://www.klasekpyrotechnics.cz/vdle1l</v>
      </c>
      <c r="AA325" s="569" t="str">
        <f>IFERROR(IF(VLOOKUP(C325,[4]List1!$A:$D,4,FALSE)=0,"",VLOOKUP(C325,[4]List1!$A:$D,4,FALSE)),"")</f>
        <v/>
      </c>
      <c r="AB325" s="565"/>
      <c r="AC325" s="570" t="str">
        <f>IFERROR(IF(VLOOKUP(C325,[1]List1!$A:$D,2,FALSE)="VYPRODÁNO",$V$9,IF(VLOOKUP(C325,[1]List1!$A:$D,2,FALSE)="DOCHÁZÍ",$V$3,VLOOKUP(C325,[1]List1!$A:$D,2,FALSE))),"OFFLINE!")</f>
        <v>SKLADEM</v>
      </c>
      <c r="AD325" s="570" t="str">
        <f ca="1">IF(AP325="NE",$V$10,IF(AC325=$V$3,IF(AQ325&lt;1,$V$8,$V$2&amp;" "&amp;AQ325&amp;" "&amp;$V$1),IF(AC325="SKLADEM",$V$6,IFERROR(IF(OR(AC325-TODAY()&gt;45,VLOOKUP(C325,[1]List1!$A:$E,4,FALSE)=0),AC325,DAY(AC325)&amp;"."&amp;MONTH(AC325)&amp;"."&amp;YEAR(AC325)&amp;" "&amp;$V$4&amp;VLOOKUP(C325,[1]List1!$A:$E,4,FALSE)&amp;" "&amp;$V$1),AC325))))</f>
        <v>SKLADEM</v>
      </c>
      <c r="AE325" s="581" t="str">
        <f t="shared" ca="1" si="775"/>
        <v>SKLADEM</v>
      </c>
      <c r="AF325" s="584">
        <f t="shared" si="776"/>
        <v>0</v>
      </c>
      <c r="AG325" s="585">
        <f t="shared" si="777"/>
        <v>0</v>
      </c>
      <c r="AH325" s="583">
        <f t="shared" si="778"/>
        <v>0</v>
      </c>
      <c r="AI325" s="582">
        <f t="shared" si="779"/>
        <v>0</v>
      </c>
      <c r="AJ325" s="569">
        <f t="shared" si="780"/>
        <v>0</v>
      </c>
      <c r="AK325" s="569" t="str">
        <f t="shared" si="781"/>
        <v/>
      </c>
      <c r="AL325" s="569" t="str">
        <f t="shared" si="782"/>
        <v/>
      </c>
      <c r="AM325" s="569" t="str">
        <f t="shared" si="783"/>
        <v/>
      </c>
      <c r="AN325" s="581">
        <f t="shared" si="784"/>
        <v>0</v>
      </c>
      <c r="AO325" s="623"/>
      <c r="AP325" s="625" t="str">
        <f t="shared" si="721"/>
        <v/>
      </c>
      <c r="AQ325" s="625" t="str">
        <f>IF(AC325=$V$3,IF(VLOOKUP(C325,[1]List1!$A:$E,5,FALSE)=0,1,VLOOKUP(C325,[1]List1!$A:$E,5,FALSE)),"")</f>
        <v/>
      </c>
      <c r="AR325" s="629" t="str">
        <f t="shared" si="722"/>
        <v/>
      </c>
      <c r="AS325" s="630" t="str">
        <f t="shared" si="723"/>
        <v/>
      </c>
      <c r="AT325" s="625" t="str">
        <f t="shared" si="724"/>
        <v/>
      </c>
      <c r="AU325" s="625" t="e">
        <f t="shared" si="725"/>
        <v>#N/A</v>
      </c>
      <c r="AV325" s="625" t="e">
        <f t="shared" si="726"/>
        <v>#N/A</v>
      </c>
      <c r="AW325" s="631"/>
      <c r="AX325" s="631">
        <f>IF(AND('General price list'!$J325="F4",'General price list'!$AB325+0&gt;0),1,0)</f>
        <v>0</v>
      </c>
      <c r="AY325" s="631">
        <f t="shared" si="727"/>
        <v>0</v>
      </c>
      <c r="AZ325" s="631">
        <f t="shared" si="728"/>
        <v>0</v>
      </c>
    </row>
    <row r="326" spans="1:52" ht="15" customHeight="1">
      <c r="A326" s="639" t="str">
        <f>Kat.!C326</f>
        <v/>
      </c>
      <c r="B326" s="640">
        <f>IF(AND('General price list'!$J326="F4",$AI$1=FALSE),0,IF(AC326="SKLADEM",1,IF(AC326=$V$3,1,0)))</f>
        <v>1</v>
      </c>
      <c r="C326" s="641" t="s">
        <v>2397</v>
      </c>
      <c r="D326" s="642" t="s">
        <v>2398</v>
      </c>
      <c r="E326" s="643" t="s">
        <v>12663</v>
      </c>
      <c r="F326" s="771">
        <f>IFERROR(VLOOKUP(C326,[2]List1!$A:$D,3,FALSE),"NEUVEDENO!")</f>
        <v>1830</v>
      </c>
      <c r="G326" s="768">
        <f t="shared" si="771"/>
        <v>1830</v>
      </c>
      <c r="H326" s="765">
        <f t="shared" si="772"/>
        <v>77.735724025436156</v>
      </c>
      <c r="I326" s="644">
        <f>IFERROR(VLOOKUP(C326,[2]List1!$A:$D,4,FALSE),"NEUVEDENO!")</f>
        <v>1</v>
      </c>
      <c r="J326" s="733"/>
      <c r="K326" s="645" t="s">
        <v>20</v>
      </c>
      <c r="L326" s="645" t="s">
        <v>15089</v>
      </c>
      <c r="M326" s="645"/>
      <c r="N326" s="645">
        <f>IFERROR(VLOOKUP(C326,[3]List1!$A:$D,4,FALSE),"N/A!")</f>
        <v>0</v>
      </c>
      <c r="O326" s="645">
        <f>IFERROR(VLOOKUP(C326,[3]List1!$A:$D,3,FALSE),"N/A!")</f>
        <v>0</v>
      </c>
      <c r="P326" s="645">
        <f>IFERROR(VLOOKUP(C326,[3]List1!$A:$D,2,FALSE),"N/A!")</f>
        <v>500</v>
      </c>
      <c r="Q326" s="645" t="s">
        <v>20</v>
      </c>
      <c r="R326" s="645" t="s">
        <v>20</v>
      </c>
      <c r="S326" s="645"/>
      <c r="T326" s="645"/>
      <c r="U326" s="645"/>
      <c r="V326" s="645"/>
      <c r="W326" s="645" t="str">
        <f>IFERROR(IF(AND($AB326&gt;=0.1*$AA326,MOD($AB326,$AA326)&gt;=($AA326-(0.1*$AA326))),IF($W$17=$AF$1,"Zvažte možnost doobjednání ještě "&amp;Tabulka1[[#This Row],[VKPAL]]-MOD(AB326,AA326)&amp;" VK do plné palety.",VLOOKUP("Zvažte možnost doobjednání ještě ",Jazyky_ceník!A:Q,MATCH($W$17,Jazyky_ceník!$A$1:$Q$1,0),FALSE)&amp;Tabulka1[[#This Row],[VKPAL]]-MOD(AB326,AA326)&amp;VLOOKUP(" VK do plné palety.",Jazyky_ceník!A:Q,MATCH($W$17,Jazyky_ceník!$A$1:$Q$1,0),FALSE)),IFERROR(IF(AND(NOT(MOD($AB326,$AA326)=0),$AB326&gt;=0.9*$AA326,MOD($AB326,$AA326)&lt;=0.1*$AA326),IF($W$17=$AF$1,"Zvažte možnost optimalizace objednaného množství podle počtu VK na paletě ==&gt;",VLOOKUP("Zvažte možnost optimalizace objednaného množství podle počtu VK na paletě ==&gt;",Jazyky_ceník!A:Q,MATCH($W$17,Jazyky_ceník!$A$1:$Q$1,0),FALSE)),VLOOKUP('General price list'!$C326,Popisy!A:M,MATCH($W$17,Popisy!$A$7:$M$7,0),FALSE)),"---------------")),IFERROR(VLOOKUP('General price list'!$C326,Popisy!A:M,MATCH($W$17,Popisy!$A$7:$M$7,0),FALSE),"---------------"))</f>
        <v>Dumbum vesta softshell XL -limited edition</v>
      </c>
      <c r="X326" s="645" t="str">
        <f t="shared" si="773"/>
        <v/>
      </c>
      <c r="Y326" s="645" t="str">
        <f t="shared" si="774"/>
        <v/>
      </c>
      <c r="Z326" s="645" t="str">
        <f>HYPERLINK("https://www.klasekpyrotechnics.cz/vdle1xl")</f>
        <v>https://www.klasekpyrotechnics.cz/vdle1xl</v>
      </c>
      <c r="AA326" s="645" t="str">
        <f>IFERROR(IF(VLOOKUP(C326,[4]List1!$A:$D,4,FALSE)=0,"",VLOOKUP(C326,[4]List1!$A:$D,4,FALSE)),"")</f>
        <v/>
      </c>
      <c r="AB326" s="646"/>
      <c r="AC326" s="647" t="str">
        <f>IFERROR(IF(VLOOKUP(C326,[1]List1!$A:$D,2,FALSE)="VYPRODÁNO",$V$9,IF(VLOOKUP(C326,[1]List1!$A:$D,2,FALSE)="DOCHÁZÍ",$V$3,VLOOKUP(C326,[1]List1!$A:$D,2,FALSE))),"OFFLINE!")</f>
        <v>SKLADEM</v>
      </c>
      <c r="AD326" s="647" t="str">
        <f ca="1">IF(AP326="NE",$V$10,IF(AC326=$V$3,IF(AQ326&lt;1,$V$8,$V$2&amp;" "&amp;AQ326&amp;" "&amp;$V$1),IF(AC326="SKLADEM",$V$6,IFERROR(IF(OR(AC326-TODAY()&gt;45,VLOOKUP(C326,[1]List1!$A:$E,4,FALSE)=0),AC326,DAY(AC326)&amp;"."&amp;MONTH(AC326)&amp;"."&amp;YEAR(AC326)&amp;" "&amp;$V$4&amp;VLOOKUP(C326,[1]List1!$A:$E,4,FALSE)&amp;" "&amp;$V$1),AC326))))</f>
        <v>SKLADEM</v>
      </c>
      <c r="AE326" s="645" t="str">
        <f t="shared" ca="1" si="775"/>
        <v>SKLADEM</v>
      </c>
      <c r="AF326" s="648">
        <f t="shared" si="776"/>
        <v>0</v>
      </c>
      <c r="AG326" s="649">
        <f t="shared" si="777"/>
        <v>0</v>
      </c>
      <c r="AH326" s="650">
        <f t="shared" si="778"/>
        <v>0</v>
      </c>
      <c r="AI326" s="645">
        <f t="shared" si="779"/>
        <v>0</v>
      </c>
      <c r="AJ326" s="645">
        <f t="shared" si="780"/>
        <v>0</v>
      </c>
      <c r="AK326" s="645" t="str">
        <f t="shared" si="781"/>
        <v/>
      </c>
      <c r="AL326" s="645" t="str">
        <f t="shared" si="782"/>
        <v/>
      </c>
      <c r="AM326" s="645" t="str">
        <f t="shared" si="783"/>
        <v/>
      </c>
      <c r="AN326" s="651">
        <f t="shared" si="784"/>
        <v>0</v>
      </c>
      <c r="AO326" s="623"/>
      <c r="AP326" s="632" t="str">
        <f t="shared" si="721"/>
        <v/>
      </c>
      <c r="AQ326" s="633" t="str">
        <f>IF(AC326=$V$3,IF(VLOOKUP(C326,[1]List1!$A:$E,5,FALSE)=0,1,VLOOKUP(C326,[1]List1!$A:$E,5,FALSE)),"")</f>
        <v/>
      </c>
      <c r="AR326" s="625" t="str">
        <f t="shared" si="722"/>
        <v/>
      </c>
      <c r="AS326" s="634" t="str">
        <f t="shared" si="723"/>
        <v/>
      </c>
      <c r="AT326" s="625" t="str">
        <f t="shared" si="724"/>
        <v/>
      </c>
      <c r="AU326" s="638" t="e">
        <f t="shared" si="725"/>
        <v>#N/A</v>
      </c>
      <c r="AV326" s="625" t="e">
        <f t="shared" si="726"/>
        <v>#N/A</v>
      </c>
      <c r="AX326" s="625">
        <f>IF(AND('General price list'!$J326="F4",'General price list'!$AB326+0&gt;0),1,0)</f>
        <v>0</v>
      </c>
      <c r="AY326" s="625">
        <f t="shared" si="727"/>
        <v>0</v>
      </c>
      <c r="AZ326" s="625">
        <f t="shared" si="728"/>
        <v>0</v>
      </c>
    </row>
    <row r="327" spans="1:52" ht="15" customHeight="1">
      <c r="A327" s="621" t="str">
        <f>Kat.!C327</f>
        <v/>
      </c>
      <c r="B327" s="566">
        <f>IF(AND('General price list'!$J327="F4",$AI$1=FALSE),0,IF(AC327="SKLADEM",1,IF(AC327=$V$3,1,0)))</f>
        <v>1</v>
      </c>
      <c r="C327" s="567" t="s">
        <v>2399</v>
      </c>
      <c r="D327" s="568" t="s">
        <v>2400</v>
      </c>
      <c r="E327" s="763" t="s">
        <v>12663</v>
      </c>
      <c r="F327" s="772">
        <f>IFERROR(VLOOKUP(C327,[2]List1!$A:$D,3,FALSE),"NEUVEDENO!")</f>
        <v>1830</v>
      </c>
      <c r="G327" s="769">
        <f t="shared" si="771"/>
        <v>1830</v>
      </c>
      <c r="H327" s="766">
        <f t="shared" si="772"/>
        <v>77.735724025436156</v>
      </c>
      <c r="I327" s="764">
        <f>IFERROR(VLOOKUP(C327,[2]List1!$A:$D,4,FALSE),"NEUVEDENO!")</f>
        <v>1</v>
      </c>
      <c r="J327" s="732"/>
      <c r="K327" s="569" t="s">
        <v>20</v>
      </c>
      <c r="L327" s="569" t="s">
        <v>15089</v>
      </c>
      <c r="M327" s="569"/>
      <c r="N327" s="569">
        <f>IFERROR(VLOOKUP(C327,[3]List1!$A:$D,4,FALSE),"N/A!")</f>
        <v>0</v>
      </c>
      <c r="O327" s="569">
        <f>IFERROR(VLOOKUP(C327,[3]List1!$A:$D,3,FALSE),"N/A!")</f>
        <v>0</v>
      </c>
      <c r="P327" s="569">
        <f>IFERROR(VLOOKUP(C327,[3]List1!$A:$D,2,FALSE),"N/A!")</f>
        <v>500</v>
      </c>
      <c r="Q327" s="569" t="s">
        <v>20</v>
      </c>
      <c r="R327" s="569" t="s">
        <v>20</v>
      </c>
      <c r="S327" s="569"/>
      <c r="T327" s="569"/>
      <c r="U327" s="569"/>
      <c r="V327" s="569"/>
      <c r="W327" s="569" t="str">
        <f>IFERROR(IF(AND($AB327&gt;=0.1*$AA327,MOD($AB327,$AA327)&gt;=($AA327-(0.1*$AA327))),IF($W$17=$AF$1,"Zvažte možnost doobjednání ještě "&amp;Tabulka1[[#This Row],[VKPAL]]-MOD(AB327,AA327)&amp;" VK do plné palety.",VLOOKUP("Zvažte možnost doobjednání ještě ",Jazyky_ceník!A:Q,MATCH($W$17,Jazyky_ceník!$A$1:$Q$1,0),FALSE)&amp;Tabulka1[[#This Row],[VKPAL]]-MOD(AB327,AA327)&amp;VLOOKUP(" VK do plné palety.",Jazyky_ceník!A:Q,MATCH($W$17,Jazyky_ceník!$A$1:$Q$1,0),FALSE)),IFERROR(IF(AND(NOT(MOD($AB327,$AA327)=0),$AB327&gt;=0.9*$AA327,MOD($AB327,$AA327)&lt;=0.1*$AA327),IF($W$17=$AF$1,"Zvažte možnost optimalizace objednaného množství podle počtu VK na paletě ==&gt;",VLOOKUP("Zvažte možnost optimalizace objednaného množství podle počtu VK na paletě ==&gt;",Jazyky_ceník!A:Q,MATCH($W$17,Jazyky_ceník!$A$1:$Q$1,0),FALSE)),VLOOKUP('General price list'!$C327,Popisy!A:M,MATCH($W$17,Popisy!$A$7:$M$7,0),FALSE)),"---------------")),IFERROR(VLOOKUP('General price list'!$C327,Popisy!A:M,MATCH($W$17,Popisy!$A$7:$M$7,0),FALSE),"---------------"))</f>
        <v>Dumbum vesta softshell XXL -limited edition</v>
      </c>
      <c r="X327" s="569" t="str">
        <f t="shared" si="773"/>
        <v/>
      </c>
      <c r="Y327" s="569" t="str">
        <f t="shared" si="774"/>
        <v/>
      </c>
      <c r="Z327" s="569" t="str">
        <f>HYPERLINK("https://www.klasekpyrotechnics.cz/vdle1xxl")</f>
        <v>https://www.klasekpyrotechnics.cz/vdle1xxl</v>
      </c>
      <c r="AA327" s="569" t="str">
        <f>IFERROR(IF(VLOOKUP(C327,[4]List1!$A:$D,4,FALSE)=0,"",VLOOKUP(C327,[4]List1!$A:$D,4,FALSE)),"")</f>
        <v/>
      </c>
      <c r="AB327" s="565"/>
      <c r="AC327" s="570" t="str">
        <f>IFERROR(IF(VLOOKUP(C327,[1]List1!$A:$D,2,FALSE)="VYPRODÁNO",$V$9,IF(VLOOKUP(C327,[1]List1!$A:$D,2,FALSE)="DOCHÁZÍ",$V$3,VLOOKUP(C327,[1]List1!$A:$D,2,FALSE))),"OFFLINE!")</f>
        <v>DOCHÁZÍ</v>
      </c>
      <c r="AD327" s="570" t="str">
        <f ca="1">IF(AP327="NE",$V$10,IF(AC327=$V$3,IF(AQ327&lt;1,$V$8,$V$2&amp;" "&amp;AQ327&amp;" "&amp;$V$1),IF(AC327="SKLADEM",$V$6,IFERROR(IF(OR(AC327-TODAY()&gt;45,VLOOKUP(C327,[1]List1!$A:$E,4,FALSE)=0),AC327,DAY(AC327)&amp;"."&amp;MONTH(AC327)&amp;"."&amp;YEAR(AC327)&amp;" "&amp;$V$4&amp;VLOOKUP(C327,[1]List1!$A:$E,4,FALSE)&amp;" "&amp;$V$1),AC327))))</f>
        <v>POSLEDNÍCH 3 VK</v>
      </c>
      <c r="AE327" s="581" t="str">
        <f t="shared" ca="1" si="775"/>
        <v>POSLEDNÍCH 3 VK</v>
      </c>
      <c r="AF327" s="584">
        <f t="shared" si="776"/>
        <v>0</v>
      </c>
      <c r="AG327" s="585">
        <f t="shared" si="777"/>
        <v>0</v>
      </c>
      <c r="AH327" s="583">
        <f t="shared" si="778"/>
        <v>0</v>
      </c>
      <c r="AI327" s="582">
        <f t="shared" si="779"/>
        <v>0</v>
      </c>
      <c r="AJ327" s="569">
        <f t="shared" si="780"/>
        <v>0</v>
      </c>
      <c r="AK327" s="569" t="str">
        <f t="shared" si="781"/>
        <v/>
      </c>
      <c r="AL327" s="569" t="str">
        <f t="shared" si="782"/>
        <v/>
      </c>
      <c r="AM327" s="569" t="str">
        <f t="shared" si="783"/>
        <v/>
      </c>
      <c r="AN327" s="581">
        <f t="shared" si="784"/>
        <v>0</v>
      </c>
      <c r="AO327" s="623"/>
      <c r="AP327" s="632" t="str">
        <f t="shared" si="721"/>
        <v/>
      </c>
      <c r="AQ327" s="633">
        <f>IF(AC327=$V$3,IF(VLOOKUP(C327,[1]List1!$A:$E,5,FALSE)=0,1,VLOOKUP(C327,[1]List1!$A:$E,5,FALSE)),"")</f>
        <v>3</v>
      </c>
      <c r="AR327" s="625" t="str">
        <f t="shared" si="722"/>
        <v/>
      </c>
      <c r="AS327" s="634" t="str">
        <f t="shared" si="723"/>
        <v/>
      </c>
      <c r="AT327" s="625" t="str">
        <f t="shared" si="724"/>
        <v/>
      </c>
      <c r="AU327" s="638" t="e">
        <f t="shared" si="725"/>
        <v>#N/A</v>
      </c>
      <c r="AV327" s="625" t="e">
        <f t="shared" si="726"/>
        <v>#N/A</v>
      </c>
      <c r="AX327" s="625">
        <f>IF(AND('General price list'!$J327="F4",'General price list'!$AB327+0&gt;0),1,0)</f>
        <v>0</v>
      </c>
      <c r="AY327" s="625">
        <f t="shared" si="727"/>
        <v>0</v>
      </c>
      <c r="AZ327" s="625">
        <f t="shared" si="728"/>
        <v>0</v>
      </c>
    </row>
    <row r="328" spans="1:52" ht="15" customHeight="1">
      <c r="A328" s="751" t="str">
        <f>Kat.!C328</f>
        <v/>
      </c>
      <c r="B328" s="751"/>
      <c r="C328" s="751"/>
      <c r="D328" s="751"/>
      <c r="E328" s="751"/>
      <c r="F328" s="751"/>
      <c r="G328" s="751"/>
      <c r="H328" s="751"/>
      <c r="I328" s="752"/>
      <c r="J328" s="752"/>
      <c r="K328" s="752" t="s">
        <v>20</v>
      </c>
      <c r="L328" s="753" t="s">
        <v>2818</v>
      </c>
      <c r="M328" s="752"/>
      <c r="N328" s="752"/>
      <c r="O328" s="752"/>
      <c r="P328" s="752"/>
      <c r="Q328" s="752"/>
      <c r="R328" s="752"/>
      <c r="S328" s="752"/>
      <c r="T328" s="752"/>
      <c r="U328" s="752"/>
      <c r="V328" s="752"/>
      <c r="W328" s="752"/>
      <c r="X328" s="752"/>
      <c r="Y328" s="752"/>
      <c r="Z328" s="752" t="s">
        <v>20</v>
      </c>
      <c r="AA328" s="752"/>
      <c r="AB328" s="752"/>
      <c r="AC328" s="754"/>
      <c r="AD328" s="752"/>
      <c r="AE328" s="752"/>
      <c r="AF328" s="752"/>
      <c r="AG328" s="752"/>
      <c r="AH328" s="752"/>
      <c r="AI328" s="752"/>
      <c r="AJ328" s="752"/>
      <c r="AK328" s="752"/>
      <c r="AL328" s="752"/>
      <c r="AM328" s="752"/>
      <c r="AN328" s="752"/>
      <c r="AO328" s="623"/>
      <c r="AP328" s="632" t="str">
        <f t="shared" si="721"/>
        <v/>
      </c>
      <c r="AQ328" s="633" t="str">
        <f>IF(AC328=$V$3,IF(VLOOKUP(C328,[1]List1!$A:$E,5,FALSE)=0,1,VLOOKUP(C328,[1]List1!$A:$E,5,FALSE)),"")</f>
        <v/>
      </c>
      <c r="AR328" s="625" t="str">
        <f t="shared" si="722"/>
        <v/>
      </c>
      <c r="AS328" s="634" t="str">
        <f t="shared" si="723"/>
        <v/>
      </c>
      <c r="AT328" s="625" t="str">
        <f t="shared" si="724"/>
        <v/>
      </c>
      <c r="AU328" s="638" t="e">
        <f t="shared" si="725"/>
        <v>#N/A</v>
      </c>
      <c r="AV328" s="625" t="e">
        <f t="shared" si="726"/>
        <v>#N/A</v>
      </c>
      <c r="AX328" s="625">
        <f>IF(AND('General price list'!$J328="F4",'General price list'!$AB328+0&gt;0),1,0)</f>
        <v>0</v>
      </c>
      <c r="AY328" s="625">
        <f t="shared" si="727"/>
        <v>0</v>
      </c>
      <c r="AZ328" s="625">
        <f t="shared" si="728"/>
        <v>0</v>
      </c>
    </row>
    <row r="329" spans="1:52" ht="15" customHeight="1">
      <c r="A329" s="639" t="str">
        <f>Kat.!C329</f>
        <v/>
      </c>
      <c r="B329" s="640">
        <f>IF(AND('General price list'!$J329="F4",$AI$1=FALSE),0,IF(AC329="SKLADEM",1,IF(AC329=$V$3,1,0)))</f>
        <v>0</v>
      </c>
      <c r="C329" s="641" t="s">
        <v>2401</v>
      </c>
      <c r="D329" s="642" t="s">
        <v>2402</v>
      </c>
      <c r="E329" s="643" t="s">
        <v>12663</v>
      </c>
      <c r="F329" s="771">
        <f>IFERROR(VLOOKUP(C329,[2]List1!$A:$D,3,FALSE),"NEUVEDENO!")</f>
        <v>2330</v>
      </c>
      <c r="G329" s="768">
        <f t="shared" ref="G329:G332" si="785">IF($W$17=$AF$8,ROUND((F329)/$F$17,2),(F329)*$B$19)</f>
        <v>2330</v>
      </c>
      <c r="H329" s="765">
        <f t="shared" ref="H329:H332" si="786">IF($W$17=$AF$8,G329*$B$19,G329/$F$17)</f>
        <v>98.974992884844937</v>
      </c>
      <c r="I329" s="644">
        <f>IFERROR(VLOOKUP(C329,[2]List1!$A:$D,4,FALSE),"NEUVEDENO!")</f>
        <v>1</v>
      </c>
      <c r="J329" s="733"/>
      <c r="K329" s="645" t="s">
        <v>20</v>
      </c>
      <c r="L329" s="645" t="s">
        <v>15089</v>
      </c>
      <c r="M329" s="645"/>
      <c r="N329" s="645">
        <f>IFERROR(VLOOKUP(C329,[3]List1!$A:$D,4,FALSE),"N/A!")</f>
        <v>0</v>
      </c>
      <c r="O329" s="645">
        <f>IFERROR(VLOOKUP(C329,[3]List1!$A:$D,3,FALSE),"N/A!")</f>
        <v>0</v>
      </c>
      <c r="P329" s="645">
        <f>IFERROR(VLOOKUP(C329,[3]List1!$A:$D,2,FALSE),"N/A!")</f>
        <v>805</v>
      </c>
      <c r="Q329" s="645" t="s">
        <v>20</v>
      </c>
      <c r="R329" s="645" t="s">
        <v>20</v>
      </c>
      <c r="S329" s="645"/>
      <c r="T329" s="645"/>
      <c r="U329" s="645"/>
      <c r="V329" s="645"/>
      <c r="W329" s="645" t="str">
        <f>IFERROR(IF(AND($AB329&gt;=0.1*$AA329,MOD($AB329,$AA329)&gt;=($AA329-(0.1*$AA329))),IF($W$17=$AF$1,"Zvažte možnost doobjednání ještě "&amp;Tabulka1[[#This Row],[VKPAL]]-MOD(AB329,AA329)&amp;" VK do plné palety.",VLOOKUP("Zvažte možnost doobjednání ještě ",Jazyky_ceník!A:Q,MATCH($W$17,Jazyky_ceník!$A$1:$Q$1,0),FALSE)&amp;Tabulka1[[#This Row],[VKPAL]]-MOD(AB329,AA329)&amp;VLOOKUP(" VK do plné palety.",Jazyky_ceník!A:Q,MATCH($W$17,Jazyky_ceník!$A$1:$Q$1,0),FALSE)),IFERROR(IF(AND(NOT(MOD($AB329,$AA329)=0),$AB329&gt;=0.9*$AA329,MOD($AB329,$AA329)&lt;=0.1*$AA329),IF($W$17=$AF$1,"Zvažte možnost optimalizace objednaného množství podle počtu VK na paletě ==&gt;",VLOOKUP("Zvažte možnost optimalizace objednaného množství podle počtu VK na paletě ==&gt;",Jazyky_ceník!A:Q,MATCH($W$17,Jazyky_ceník!$A$1:$Q$1,0),FALSE)),VLOOKUP('General price list'!$C329,Popisy!A:M,MATCH($W$17,Popisy!$A$7:$M$7,0),FALSE)),"---------------")),IFERROR(VLOOKUP('General price list'!$C329,Popisy!A:M,MATCH($W$17,Popisy!$A$7:$M$7,0),FALSE),"---------------"))</f>
        <v>Dumbum bunda fleece M -limited edition</v>
      </c>
      <c r="X329" s="645" t="str">
        <f t="shared" ref="X329:X332" si="787">IF(AB329&lt;0.0001,"",AB329)</f>
        <v/>
      </c>
      <c r="Y329" s="645" t="str">
        <f t="shared" ref="Y329:Y332" si="788">IF($AL$3=2,IF(OR(AB329&lt;&gt;"",AB329&lt;&gt;0),AU329,""),IF(C329="","",IF(AB329&lt;0.0001,"",IF(B329=0,"",IF(AQ329&lt;AB329,"",AB329)))))</f>
        <v/>
      </c>
      <c r="Z329" s="645" t="str">
        <f>HYPERLINK("https://www.klasekpyrotechnics.cz/bdle1m")</f>
        <v>https://www.klasekpyrotechnics.cz/bdle1m</v>
      </c>
      <c r="AA329" s="645" t="str">
        <f>IFERROR(IF(VLOOKUP(C329,[4]List1!$A:$D,4,FALSE)=0,"",VLOOKUP(C329,[4]List1!$A:$D,4,FALSE)),"")</f>
        <v/>
      </c>
      <c r="AB329" s="646"/>
      <c r="AC329" s="647" t="str">
        <f>IFERROR(IF(VLOOKUP(C329,[1]List1!$A:$D,2,FALSE)="VYPRODÁNO",$V$9,IF(VLOOKUP(C329,[1]List1!$A:$D,2,FALSE)="DOCHÁZÍ",$V$3,VLOOKUP(C329,[1]List1!$A:$D,2,FALSE))),"OFFLINE!")</f>
        <v>31.03.2026</v>
      </c>
      <c r="AD329" s="647" t="str">
        <f ca="1">IF(AP329="NE",$V$10,IF(AC329=$V$3,IF(AQ329&lt;1,$V$8,$V$2&amp;" "&amp;AQ329&amp;" "&amp;$V$1),IF(AC329="SKLADEM",$V$6,IFERROR(IF(OR(AC329-TODAY()&gt;45,VLOOKUP(C329,[1]List1!$A:$E,4,FALSE)=0),AC329,DAY(AC329)&amp;"."&amp;MONTH(AC329)&amp;"."&amp;YEAR(AC329)&amp;" "&amp;$V$4&amp;VLOOKUP(C329,[1]List1!$A:$E,4,FALSE)&amp;" "&amp;$V$1),AC329))))</f>
        <v>31.3.2026 DORAZÍ 15 VK</v>
      </c>
      <c r="AE329" s="645" t="str">
        <f t="shared" ref="AE329:AE332" ca="1" si="789">IFERROR(IF(AV329&lt;&gt;"",AV329,AD329),AD329)</f>
        <v>31.3.2026 DORAZÍ 15 VK</v>
      </c>
      <c r="AF329" s="648">
        <f t="shared" ref="AF329:AF332" si="790">IFERROR(IF(AB329=Y329,G329*I329*Y329,0),0)</f>
        <v>0</v>
      </c>
      <c r="AG329" s="649">
        <f t="shared" ref="AG329:AG332" si="791">IF($W$17=$AF$8,AH329*1.23,AF329*1.21)</f>
        <v>0</v>
      </c>
      <c r="AH329" s="650">
        <f t="shared" ref="AH329:AH332" si="792">IFERROR(IF(Y329=AB329,H329*I329*Y329,0),0)</f>
        <v>0</v>
      </c>
      <c r="AI329" s="645">
        <f t="shared" ref="AI329:AI332" si="793">IFERROR(IF(Y329=AB329,(P329*Y329)/1000,1),0)</f>
        <v>0</v>
      </c>
      <c r="AJ329" s="645">
        <f t="shared" ref="AJ329:AJ332" si="794">IFERROR(IF(Y329=AB329,N329*Y329,0.1),0)</f>
        <v>0</v>
      </c>
      <c r="AK329" s="645" t="str">
        <f t="shared" ref="AK329:AK332" si="795">IFERROR(IF(Y329=AB329,IF(M329="1.1G",(O329/1000)*Y329,""),""),0)</f>
        <v/>
      </c>
      <c r="AL329" s="645" t="str">
        <f t="shared" ref="AL329:AL332" si="796">IFERROR(IF(Y329=AB329,IF(M329="1.3G",(O329/1000)*AB329,""),""),0)</f>
        <v/>
      </c>
      <c r="AM329" s="645" t="str">
        <f t="shared" ref="AM329:AM332" si="797">IFERROR(IF(Y329=AB329,IF(M329="1.4G",(O329/1000)*AB329,""),""),0)</f>
        <v/>
      </c>
      <c r="AN329" s="651">
        <f t="shared" ref="AN329:AN332" si="798">SUM(AK329:AM329)</f>
        <v>0</v>
      </c>
      <c r="AO329" s="623"/>
      <c r="AP329" s="632" t="str">
        <f t="shared" si="721"/>
        <v/>
      </c>
      <c r="AQ329" s="633" t="str">
        <f>IF(AC329=$V$3,IF(VLOOKUP(C329,[1]List1!$A:$E,5,FALSE)=0,1,VLOOKUP(C329,[1]List1!$A:$E,5,FALSE)),"")</f>
        <v/>
      </c>
      <c r="AR329" s="625" t="str">
        <f t="shared" si="722"/>
        <v/>
      </c>
      <c r="AS329" s="634" t="str">
        <f t="shared" si="723"/>
        <v/>
      </c>
      <c r="AT329" s="625" t="str">
        <f t="shared" si="724"/>
        <v/>
      </c>
      <c r="AU329" s="638" t="e">
        <f t="shared" si="725"/>
        <v>#N/A</v>
      </c>
      <c r="AV329" s="625" t="e">
        <f t="shared" si="726"/>
        <v>#N/A</v>
      </c>
      <c r="AX329" s="625">
        <f>IF(AND('General price list'!$J329="F4",'General price list'!$AB329+0&gt;0),1,0)</f>
        <v>0</v>
      </c>
      <c r="AY329" s="625">
        <f t="shared" si="727"/>
        <v>0</v>
      </c>
      <c r="AZ329" s="625">
        <f t="shared" si="728"/>
        <v>0</v>
      </c>
    </row>
    <row r="330" spans="1:52" ht="15.75" customHeight="1">
      <c r="A330" s="621" t="str">
        <f>Kat.!C330</f>
        <v/>
      </c>
      <c r="B330" s="566">
        <f>IF(AND('General price list'!$J330="F4",$AI$1=FALSE),0,IF(AC330="SKLADEM",1,IF(AC330=$V$3,1,0)))</f>
        <v>0</v>
      </c>
      <c r="C330" s="567" t="s">
        <v>2403</v>
      </c>
      <c r="D330" s="568" t="s">
        <v>2404</v>
      </c>
      <c r="E330" s="763" t="s">
        <v>12663</v>
      </c>
      <c r="F330" s="772">
        <f>IFERROR(VLOOKUP(C330,[2]List1!$A:$D,3,FALSE),"NEUVEDENO!")</f>
        <v>2330</v>
      </c>
      <c r="G330" s="769">
        <f t="shared" si="785"/>
        <v>2330</v>
      </c>
      <c r="H330" s="766">
        <f t="shared" si="786"/>
        <v>98.974992884844937</v>
      </c>
      <c r="I330" s="764">
        <f>IFERROR(VLOOKUP(C330,[2]List1!$A:$D,4,FALSE),"NEUVEDENO!")</f>
        <v>1</v>
      </c>
      <c r="J330" s="732"/>
      <c r="K330" s="569" t="s">
        <v>20</v>
      </c>
      <c r="L330" s="569" t="s">
        <v>15089</v>
      </c>
      <c r="M330" s="569"/>
      <c r="N330" s="569">
        <f>IFERROR(VLOOKUP(C330,[3]List1!$A:$D,4,FALSE),"N/A!")</f>
        <v>0</v>
      </c>
      <c r="O330" s="569">
        <f>IFERROR(VLOOKUP(C330,[3]List1!$A:$D,3,FALSE),"N/A!")</f>
        <v>0</v>
      </c>
      <c r="P330" s="569">
        <f>IFERROR(VLOOKUP(C330,[3]List1!$A:$D,2,FALSE),"N/A!")</f>
        <v>823</v>
      </c>
      <c r="Q330" s="569" t="s">
        <v>20</v>
      </c>
      <c r="R330" s="569" t="s">
        <v>20</v>
      </c>
      <c r="S330" s="569"/>
      <c r="T330" s="569"/>
      <c r="U330" s="569"/>
      <c r="V330" s="569"/>
      <c r="W330" s="569" t="str">
        <f>IFERROR(IF(AND($AB330&gt;=0.1*$AA330,MOD($AB330,$AA330)&gt;=($AA330-(0.1*$AA330))),IF($W$17=$AF$1,"Zvažte možnost doobjednání ještě "&amp;Tabulka1[[#This Row],[VKPAL]]-MOD(AB330,AA330)&amp;" VK do plné palety.",VLOOKUP("Zvažte možnost doobjednání ještě ",Jazyky_ceník!A:Q,MATCH($W$17,Jazyky_ceník!$A$1:$Q$1,0),FALSE)&amp;Tabulka1[[#This Row],[VKPAL]]-MOD(AB330,AA330)&amp;VLOOKUP(" VK do plné palety.",Jazyky_ceník!A:Q,MATCH($W$17,Jazyky_ceník!$A$1:$Q$1,0),FALSE)),IFERROR(IF(AND(NOT(MOD($AB330,$AA330)=0),$AB330&gt;=0.9*$AA330,MOD($AB330,$AA330)&lt;=0.1*$AA330),IF($W$17=$AF$1,"Zvažte možnost optimalizace objednaného množství podle počtu VK na paletě ==&gt;",VLOOKUP("Zvažte možnost optimalizace objednaného množství podle počtu VK na paletě ==&gt;",Jazyky_ceník!A:Q,MATCH($W$17,Jazyky_ceník!$A$1:$Q$1,0),FALSE)),VLOOKUP('General price list'!$C330,Popisy!A:M,MATCH($W$17,Popisy!$A$7:$M$7,0),FALSE)),"---------------")),IFERROR(VLOOKUP('General price list'!$C330,Popisy!A:M,MATCH($W$17,Popisy!$A$7:$M$7,0),FALSE),"---------------"))</f>
        <v>Dumbum bunda fleece L -limited edition</v>
      </c>
      <c r="X330" s="569" t="str">
        <f t="shared" si="787"/>
        <v/>
      </c>
      <c r="Y330" s="569" t="str">
        <f t="shared" si="788"/>
        <v/>
      </c>
      <c r="Z330" s="569" t="str">
        <f>HYPERLINK("https://www.klasekpyrotechnics.cz/bdle1l")</f>
        <v>https://www.klasekpyrotechnics.cz/bdle1l</v>
      </c>
      <c r="AA330" s="569" t="str">
        <f>IFERROR(IF(VLOOKUP(C330,[4]List1!$A:$D,4,FALSE)=0,"",VLOOKUP(C330,[4]List1!$A:$D,4,FALSE)),"")</f>
        <v/>
      </c>
      <c r="AB330" s="565"/>
      <c r="AC330" s="570" t="str">
        <f>IFERROR(IF(VLOOKUP(C330,[1]List1!$A:$D,2,FALSE)="VYPRODÁNO",$V$9,IF(VLOOKUP(C330,[1]List1!$A:$D,2,FALSE)="DOCHÁZÍ",$V$3,VLOOKUP(C330,[1]List1!$A:$D,2,FALSE))),"OFFLINE!")</f>
        <v>31.03.2026</v>
      </c>
      <c r="AD330" s="570" t="str">
        <f ca="1">IF(AP330="NE",$V$10,IF(AC330=$V$3,IF(AQ330&lt;1,$V$8,$V$2&amp;" "&amp;AQ330&amp;" "&amp;$V$1),IF(AC330="SKLADEM",$V$6,IFERROR(IF(OR(AC330-TODAY()&gt;45,VLOOKUP(C330,[1]List1!$A:$E,4,FALSE)=0),AC330,DAY(AC330)&amp;"."&amp;MONTH(AC330)&amp;"."&amp;YEAR(AC330)&amp;" "&amp;$V$4&amp;VLOOKUP(C330,[1]List1!$A:$E,4,FALSE)&amp;" "&amp;$V$1),AC330))))</f>
        <v>31.3.2026 DORAZÍ 15 VK</v>
      </c>
      <c r="AE330" s="581" t="str">
        <f t="shared" ca="1" si="789"/>
        <v>31.3.2026 DORAZÍ 15 VK</v>
      </c>
      <c r="AF330" s="584">
        <f t="shared" si="790"/>
        <v>0</v>
      </c>
      <c r="AG330" s="585">
        <f t="shared" si="791"/>
        <v>0</v>
      </c>
      <c r="AH330" s="583">
        <f t="shared" si="792"/>
        <v>0</v>
      </c>
      <c r="AI330" s="582">
        <f t="shared" si="793"/>
        <v>0</v>
      </c>
      <c r="AJ330" s="569">
        <f t="shared" si="794"/>
        <v>0</v>
      </c>
      <c r="AK330" s="569" t="str">
        <f t="shared" si="795"/>
        <v/>
      </c>
      <c r="AL330" s="569" t="str">
        <f t="shared" si="796"/>
        <v/>
      </c>
      <c r="AM330" s="569" t="str">
        <f t="shared" si="797"/>
        <v/>
      </c>
      <c r="AN330" s="581">
        <f t="shared" si="798"/>
        <v>0</v>
      </c>
      <c r="AO330" s="623"/>
      <c r="AP330" s="625" t="str">
        <f t="shared" si="721"/>
        <v/>
      </c>
      <c r="AQ330" s="625" t="str">
        <f>IF(AC330=$V$3,IF(VLOOKUP(C330,[1]List1!$A:$E,5,FALSE)=0,1,VLOOKUP(C330,[1]List1!$A:$E,5,FALSE)),"")</f>
        <v/>
      </c>
      <c r="AR330" s="629" t="str">
        <f t="shared" si="722"/>
        <v/>
      </c>
      <c r="AS330" s="630" t="str">
        <f t="shared" si="723"/>
        <v/>
      </c>
      <c r="AT330" s="625" t="str">
        <f t="shared" si="724"/>
        <v/>
      </c>
      <c r="AU330" s="625" t="e">
        <f t="shared" si="725"/>
        <v>#N/A</v>
      </c>
      <c r="AV330" s="625" t="e">
        <f t="shared" si="726"/>
        <v>#N/A</v>
      </c>
      <c r="AW330" s="631"/>
      <c r="AX330" s="631">
        <f>IF(AND('General price list'!$J330="F4",'General price list'!$AB330+0&gt;0),1,0)</f>
        <v>0</v>
      </c>
      <c r="AY330" s="631">
        <f t="shared" si="727"/>
        <v>0</v>
      </c>
      <c r="AZ330" s="631">
        <f t="shared" si="728"/>
        <v>0</v>
      </c>
    </row>
    <row r="331" spans="1:52" ht="15" customHeight="1">
      <c r="A331" s="639" t="str">
        <f>Kat.!C331</f>
        <v/>
      </c>
      <c r="B331" s="640">
        <f>IF(AND('General price list'!$J331="F4",$AI$1=FALSE),0,IF(AC331="SKLADEM",1,IF(AC331=$V$3,1,0)))</f>
        <v>0</v>
      </c>
      <c r="C331" s="641" t="s">
        <v>2405</v>
      </c>
      <c r="D331" s="642" t="s">
        <v>2406</v>
      </c>
      <c r="E331" s="643" t="s">
        <v>12663</v>
      </c>
      <c r="F331" s="771">
        <f>IFERROR(VLOOKUP(C331,[2]List1!$A:$D,3,FALSE),"NEUVEDENO!")</f>
        <v>2330</v>
      </c>
      <c r="G331" s="768">
        <f t="shared" si="785"/>
        <v>2330</v>
      </c>
      <c r="H331" s="765">
        <f t="shared" si="786"/>
        <v>98.974992884844937</v>
      </c>
      <c r="I331" s="644">
        <f>IFERROR(VLOOKUP(C331,[2]List1!$A:$D,4,FALSE),"NEUVEDENO!")</f>
        <v>1</v>
      </c>
      <c r="J331" s="733"/>
      <c r="K331" s="645" t="s">
        <v>20</v>
      </c>
      <c r="L331" s="645" t="s">
        <v>15089</v>
      </c>
      <c r="M331" s="645"/>
      <c r="N331" s="645">
        <f>IFERROR(VLOOKUP(C331,[3]List1!$A:$D,4,FALSE),"N/A!")</f>
        <v>0</v>
      </c>
      <c r="O331" s="645">
        <f>IFERROR(VLOOKUP(C331,[3]List1!$A:$D,3,FALSE),"N/A!")</f>
        <v>0</v>
      </c>
      <c r="P331" s="645">
        <f>IFERROR(VLOOKUP(C331,[3]List1!$A:$D,2,FALSE),"N/A!")</f>
        <v>862</v>
      </c>
      <c r="Q331" s="645" t="s">
        <v>20</v>
      </c>
      <c r="R331" s="645" t="s">
        <v>20</v>
      </c>
      <c r="S331" s="645"/>
      <c r="T331" s="645"/>
      <c r="U331" s="645"/>
      <c r="V331" s="645"/>
      <c r="W331" s="645" t="str">
        <f>IFERROR(IF(AND($AB331&gt;=0.1*$AA331,MOD($AB331,$AA331)&gt;=($AA331-(0.1*$AA331))),IF($W$17=$AF$1,"Zvažte možnost doobjednání ještě "&amp;Tabulka1[[#This Row],[VKPAL]]-MOD(AB331,AA331)&amp;" VK do plné palety.",VLOOKUP("Zvažte možnost doobjednání ještě ",Jazyky_ceník!A:Q,MATCH($W$17,Jazyky_ceník!$A$1:$Q$1,0),FALSE)&amp;Tabulka1[[#This Row],[VKPAL]]-MOD(AB331,AA331)&amp;VLOOKUP(" VK do plné palety.",Jazyky_ceník!A:Q,MATCH($W$17,Jazyky_ceník!$A$1:$Q$1,0),FALSE)),IFERROR(IF(AND(NOT(MOD($AB331,$AA331)=0),$AB331&gt;=0.9*$AA331,MOD($AB331,$AA331)&lt;=0.1*$AA331),IF($W$17=$AF$1,"Zvažte možnost optimalizace objednaného množství podle počtu VK na paletě ==&gt;",VLOOKUP("Zvažte možnost optimalizace objednaného množství podle počtu VK na paletě ==&gt;",Jazyky_ceník!A:Q,MATCH($W$17,Jazyky_ceník!$A$1:$Q$1,0),FALSE)),VLOOKUP('General price list'!$C331,Popisy!A:M,MATCH($W$17,Popisy!$A$7:$M$7,0),FALSE)),"---------------")),IFERROR(VLOOKUP('General price list'!$C331,Popisy!A:M,MATCH($W$17,Popisy!$A$7:$M$7,0),FALSE),"---------------"))</f>
        <v>Dumbum bunda fleece XL -limited edition</v>
      </c>
      <c r="X331" s="645" t="str">
        <f t="shared" si="787"/>
        <v/>
      </c>
      <c r="Y331" s="645" t="str">
        <f t="shared" si="788"/>
        <v/>
      </c>
      <c r="Z331" s="645" t="str">
        <f>HYPERLINK("https://www.klasekpyrotechnics.cz/bdle1xl")</f>
        <v>https://www.klasekpyrotechnics.cz/bdle1xl</v>
      </c>
      <c r="AA331" s="645" t="str">
        <f>IFERROR(IF(VLOOKUP(C331,[4]List1!$A:$D,4,FALSE)=0,"",VLOOKUP(C331,[4]List1!$A:$D,4,FALSE)),"")</f>
        <v/>
      </c>
      <c r="AB331" s="646"/>
      <c r="AC331" s="647" t="str">
        <f>IFERROR(IF(VLOOKUP(C331,[1]List1!$A:$D,2,FALSE)="VYPRODÁNO",$V$9,IF(VLOOKUP(C331,[1]List1!$A:$D,2,FALSE)="DOCHÁZÍ",$V$3,VLOOKUP(C331,[1]List1!$A:$D,2,FALSE))),"OFFLINE!")</f>
        <v>31.03.2026</v>
      </c>
      <c r="AD331" s="647" t="str">
        <f ca="1">IF(AP331="NE",$V$10,IF(AC331=$V$3,IF(AQ331&lt;1,$V$8,$V$2&amp;" "&amp;AQ331&amp;" "&amp;$V$1),IF(AC331="SKLADEM",$V$6,IFERROR(IF(OR(AC331-TODAY()&gt;45,VLOOKUP(C331,[1]List1!$A:$E,4,FALSE)=0),AC331,DAY(AC331)&amp;"."&amp;MONTH(AC331)&amp;"."&amp;YEAR(AC331)&amp;" "&amp;$V$4&amp;VLOOKUP(C331,[1]List1!$A:$E,4,FALSE)&amp;" "&amp;$V$1),AC331))))</f>
        <v>31.3.2026 DORAZÍ 15 VK</v>
      </c>
      <c r="AE331" s="645" t="str">
        <f t="shared" ca="1" si="789"/>
        <v>31.3.2026 DORAZÍ 15 VK</v>
      </c>
      <c r="AF331" s="648">
        <f t="shared" si="790"/>
        <v>0</v>
      </c>
      <c r="AG331" s="649">
        <f t="shared" si="791"/>
        <v>0</v>
      </c>
      <c r="AH331" s="650">
        <f t="shared" si="792"/>
        <v>0</v>
      </c>
      <c r="AI331" s="645">
        <f t="shared" si="793"/>
        <v>0</v>
      </c>
      <c r="AJ331" s="645">
        <f t="shared" si="794"/>
        <v>0</v>
      </c>
      <c r="AK331" s="645" t="str">
        <f t="shared" si="795"/>
        <v/>
      </c>
      <c r="AL331" s="645" t="str">
        <f t="shared" si="796"/>
        <v/>
      </c>
      <c r="AM331" s="645" t="str">
        <f t="shared" si="797"/>
        <v/>
      </c>
      <c r="AN331" s="651">
        <f t="shared" si="798"/>
        <v>0</v>
      </c>
      <c r="AO331" s="623"/>
      <c r="AP331" s="632" t="str">
        <f t="shared" si="721"/>
        <v/>
      </c>
      <c r="AQ331" s="633" t="str">
        <f>IF(AC331=$V$3,IF(VLOOKUP(C331,[1]List1!$A:$E,5,FALSE)=0,1,VLOOKUP(C331,[1]List1!$A:$E,5,FALSE)),"")</f>
        <v/>
      </c>
      <c r="AR331" s="625" t="str">
        <f t="shared" si="722"/>
        <v/>
      </c>
      <c r="AS331" s="634" t="str">
        <f t="shared" si="723"/>
        <v/>
      </c>
      <c r="AT331" s="625" t="str">
        <f t="shared" si="724"/>
        <v/>
      </c>
      <c r="AU331" s="638" t="e">
        <f t="shared" si="725"/>
        <v>#N/A</v>
      </c>
      <c r="AV331" s="625" t="e">
        <f t="shared" si="726"/>
        <v>#N/A</v>
      </c>
      <c r="AX331" s="625">
        <f>IF(AND('General price list'!$J331="F4",'General price list'!$AB331+0&gt;0),1,0)</f>
        <v>0</v>
      </c>
      <c r="AY331" s="625">
        <f t="shared" si="727"/>
        <v>0</v>
      </c>
      <c r="AZ331" s="625">
        <f t="shared" si="728"/>
        <v>0</v>
      </c>
    </row>
    <row r="332" spans="1:52" ht="15" customHeight="1">
      <c r="A332" s="621" t="str">
        <f>Kat.!C332</f>
        <v/>
      </c>
      <c r="B332" s="566">
        <f>IF(AND('General price list'!$J332="F4",$AI$1=FALSE),0,IF(AC332="SKLADEM",1,IF(AC332=$V$3,1,0)))</f>
        <v>1</v>
      </c>
      <c r="C332" s="567" t="s">
        <v>2407</v>
      </c>
      <c r="D332" s="568" t="s">
        <v>2408</v>
      </c>
      <c r="E332" s="763" t="s">
        <v>12663</v>
      </c>
      <c r="F332" s="772">
        <f>IFERROR(VLOOKUP(C332,[2]List1!$A:$D,3,FALSE),"NEUVEDENO!")</f>
        <v>2330</v>
      </c>
      <c r="G332" s="769">
        <f t="shared" si="785"/>
        <v>2330</v>
      </c>
      <c r="H332" s="766">
        <f t="shared" si="786"/>
        <v>98.974992884844937</v>
      </c>
      <c r="I332" s="764">
        <f>IFERROR(VLOOKUP(C332,[2]List1!$A:$D,4,FALSE),"NEUVEDENO!")</f>
        <v>1</v>
      </c>
      <c r="J332" s="732"/>
      <c r="K332" s="569" t="s">
        <v>20</v>
      </c>
      <c r="L332" s="569" t="s">
        <v>15089</v>
      </c>
      <c r="M332" s="569"/>
      <c r="N332" s="569">
        <f>IFERROR(VLOOKUP(C332,[3]List1!$A:$D,4,FALSE),"N/A!")</f>
        <v>0</v>
      </c>
      <c r="O332" s="569">
        <f>IFERROR(VLOOKUP(C332,[3]List1!$A:$D,3,FALSE),"N/A!")</f>
        <v>0</v>
      </c>
      <c r="P332" s="569">
        <f>IFERROR(VLOOKUP(C332,[3]List1!$A:$D,2,FALSE),"N/A!")</f>
        <v>912</v>
      </c>
      <c r="Q332" s="569" t="s">
        <v>20</v>
      </c>
      <c r="R332" s="569" t="s">
        <v>20</v>
      </c>
      <c r="S332" s="569"/>
      <c r="T332" s="569"/>
      <c r="U332" s="569"/>
      <c r="V332" s="569"/>
      <c r="W332" s="569" t="str">
        <f>IFERROR(IF(AND($AB332&gt;=0.1*$AA332,MOD($AB332,$AA332)&gt;=($AA332-(0.1*$AA332))),IF($W$17=$AF$1,"Zvažte možnost doobjednání ještě "&amp;Tabulka1[[#This Row],[VKPAL]]-MOD(AB332,AA332)&amp;" VK do plné palety.",VLOOKUP("Zvažte možnost doobjednání ještě ",Jazyky_ceník!A:Q,MATCH($W$17,Jazyky_ceník!$A$1:$Q$1,0),FALSE)&amp;Tabulka1[[#This Row],[VKPAL]]-MOD(AB332,AA332)&amp;VLOOKUP(" VK do plné palety.",Jazyky_ceník!A:Q,MATCH($W$17,Jazyky_ceník!$A$1:$Q$1,0),FALSE)),IFERROR(IF(AND(NOT(MOD($AB332,$AA332)=0),$AB332&gt;=0.9*$AA332,MOD($AB332,$AA332)&lt;=0.1*$AA332),IF($W$17=$AF$1,"Zvažte možnost optimalizace objednaného množství podle počtu VK na paletě ==&gt;",VLOOKUP("Zvažte možnost optimalizace objednaného množství podle počtu VK na paletě ==&gt;",Jazyky_ceník!A:Q,MATCH($W$17,Jazyky_ceník!$A$1:$Q$1,0),FALSE)),VLOOKUP('General price list'!$C332,Popisy!A:M,MATCH($W$17,Popisy!$A$7:$M$7,0),FALSE)),"---------------")),IFERROR(VLOOKUP('General price list'!$C332,Popisy!A:M,MATCH($W$17,Popisy!$A$7:$M$7,0),FALSE),"---------------"))</f>
        <v>Dumbum bunda fleece XXL -limited edition</v>
      </c>
      <c r="X332" s="569" t="str">
        <f t="shared" si="787"/>
        <v/>
      </c>
      <c r="Y332" s="569" t="str">
        <f t="shared" si="788"/>
        <v/>
      </c>
      <c r="Z332" s="569" t="str">
        <f>HYPERLINK("https://www.klasekpyrotechnics.cz/bdle1xxl")</f>
        <v>https://www.klasekpyrotechnics.cz/bdle1xxl</v>
      </c>
      <c r="AA332" s="569" t="str">
        <f>IFERROR(IF(VLOOKUP(C332,[4]List1!$A:$D,4,FALSE)=0,"",VLOOKUP(C332,[4]List1!$A:$D,4,FALSE)),"")</f>
        <v/>
      </c>
      <c r="AB332" s="565"/>
      <c r="AC332" s="570" t="str">
        <f>IFERROR(IF(VLOOKUP(C332,[1]List1!$A:$D,2,FALSE)="VYPRODÁNO",$V$9,IF(VLOOKUP(C332,[1]List1!$A:$D,2,FALSE)="DOCHÁZÍ",$V$3,VLOOKUP(C332,[1]List1!$A:$D,2,FALSE))),"OFFLINE!")</f>
        <v>DOCHÁZÍ</v>
      </c>
      <c r="AD332" s="570" t="str">
        <f ca="1">IF(AP332="NE",$V$10,IF(AC332=$V$3,IF(AQ332&lt;1,$V$8,$V$2&amp;" "&amp;AQ332&amp;" "&amp;$V$1),IF(AC332="SKLADEM",$V$6,IFERROR(IF(OR(AC332-TODAY()&gt;45,VLOOKUP(C332,[1]List1!$A:$E,4,FALSE)=0),AC332,DAY(AC332)&amp;"."&amp;MONTH(AC332)&amp;"."&amp;YEAR(AC332)&amp;" "&amp;$V$4&amp;VLOOKUP(C332,[1]List1!$A:$E,4,FALSE)&amp;" "&amp;$V$1),AC332))))</f>
        <v>POSLEDNÍCH 1 VK</v>
      </c>
      <c r="AE332" s="581" t="str">
        <f t="shared" ca="1" si="789"/>
        <v>POSLEDNÍCH 1 VK</v>
      </c>
      <c r="AF332" s="584">
        <f t="shared" si="790"/>
        <v>0</v>
      </c>
      <c r="AG332" s="585">
        <f t="shared" si="791"/>
        <v>0</v>
      </c>
      <c r="AH332" s="583">
        <f t="shared" si="792"/>
        <v>0</v>
      </c>
      <c r="AI332" s="582">
        <f t="shared" si="793"/>
        <v>0</v>
      </c>
      <c r="AJ332" s="569">
        <f t="shared" si="794"/>
        <v>0</v>
      </c>
      <c r="AK332" s="569" t="str">
        <f t="shared" si="795"/>
        <v/>
      </c>
      <c r="AL332" s="569" t="str">
        <f t="shared" si="796"/>
        <v/>
      </c>
      <c r="AM332" s="569" t="str">
        <f t="shared" si="797"/>
        <v/>
      </c>
      <c r="AN332" s="581">
        <f t="shared" si="798"/>
        <v>0</v>
      </c>
      <c r="AO332" s="623"/>
      <c r="AP332" s="632" t="str">
        <f t="shared" si="721"/>
        <v/>
      </c>
      <c r="AQ332" s="633">
        <f>IF(AC332=$V$3,IF(VLOOKUP(C332,[1]List1!$A:$E,5,FALSE)=0,1,VLOOKUP(C332,[1]List1!$A:$E,5,FALSE)),"")</f>
        <v>1</v>
      </c>
      <c r="AR332" s="625" t="str">
        <f t="shared" si="722"/>
        <v/>
      </c>
      <c r="AS332" s="634" t="str">
        <f t="shared" si="723"/>
        <v/>
      </c>
      <c r="AT332" s="625" t="str">
        <f t="shared" si="724"/>
        <v/>
      </c>
      <c r="AU332" s="638" t="e">
        <f t="shared" si="725"/>
        <v>#N/A</v>
      </c>
      <c r="AV332" s="625" t="e">
        <f t="shared" si="726"/>
        <v>#N/A</v>
      </c>
      <c r="AX332" s="625">
        <f>IF(AND('General price list'!$J332="F4",'General price list'!$AB332+0&gt;0),1,0)</f>
        <v>0</v>
      </c>
      <c r="AY332" s="625">
        <f t="shared" si="727"/>
        <v>0</v>
      </c>
      <c r="AZ332" s="625">
        <f t="shared" si="728"/>
        <v>0</v>
      </c>
    </row>
    <row r="333" spans="1:52" ht="15" customHeight="1">
      <c r="A333" s="751" t="str">
        <f>Kat.!C333</f>
        <v/>
      </c>
      <c r="B333" s="751"/>
      <c r="C333" s="751"/>
      <c r="D333" s="751"/>
      <c r="E333" s="751"/>
      <c r="F333" s="751"/>
      <c r="G333" s="751"/>
      <c r="H333" s="751"/>
      <c r="I333" s="752"/>
      <c r="J333" s="752"/>
      <c r="K333" s="752" t="s">
        <v>20</v>
      </c>
      <c r="L333" s="753" t="s">
        <v>2818</v>
      </c>
      <c r="M333" s="752"/>
      <c r="N333" s="752"/>
      <c r="O333" s="752"/>
      <c r="P333" s="752"/>
      <c r="Q333" s="752"/>
      <c r="R333" s="752"/>
      <c r="S333" s="752"/>
      <c r="T333" s="752"/>
      <c r="U333" s="752"/>
      <c r="V333" s="752"/>
      <c r="W333" s="752"/>
      <c r="X333" s="752"/>
      <c r="Y333" s="752"/>
      <c r="Z333" s="752" t="s">
        <v>20</v>
      </c>
      <c r="AA333" s="752"/>
      <c r="AB333" s="752"/>
      <c r="AC333" s="754"/>
      <c r="AD333" s="752"/>
      <c r="AE333" s="752"/>
      <c r="AF333" s="752"/>
      <c r="AG333" s="752"/>
      <c r="AH333" s="752"/>
      <c r="AI333" s="752"/>
      <c r="AJ333" s="752"/>
      <c r="AK333" s="752"/>
      <c r="AL333" s="752"/>
      <c r="AM333" s="752"/>
      <c r="AN333" s="752"/>
      <c r="AO333" s="623"/>
      <c r="AP333" s="632" t="str">
        <f t="shared" si="721"/>
        <v/>
      </c>
      <c r="AQ333" s="633" t="str">
        <f>IF(AC333=$V$3,IF(VLOOKUP(C333,[1]List1!$A:$E,5,FALSE)=0,1,VLOOKUP(C333,[1]List1!$A:$E,5,FALSE)),"")</f>
        <v/>
      </c>
      <c r="AR333" s="625" t="str">
        <f t="shared" si="722"/>
        <v/>
      </c>
      <c r="AS333" s="634" t="str">
        <f t="shared" si="723"/>
        <v/>
      </c>
      <c r="AT333" s="625" t="str">
        <f t="shared" si="724"/>
        <v/>
      </c>
      <c r="AU333" s="638" t="e">
        <f t="shared" si="725"/>
        <v>#N/A</v>
      </c>
      <c r="AV333" s="625" t="e">
        <f t="shared" si="726"/>
        <v>#N/A</v>
      </c>
      <c r="AX333" s="625">
        <f>IF(AND('General price list'!$J333="F4",'General price list'!$AB333+0&gt;0),1,0)</f>
        <v>0</v>
      </c>
      <c r="AY333" s="625">
        <f t="shared" si="727"/>
        <v>0</v>
      </c>
      <c r="AZ333" s="625">
        <f t="shared" si="728"/>
        <v>0</v>
      </c>
    </row>
    <row r="334" spans="1:52" ht="15" customHeight="1">
      <c r="A334" s="639" t="str">
        <f>Kat.!C334</f>
        <v/>
      </c>
      <c r="B334" s="640">
        <f>IF(AND('General price list'!$J334="F4",$AI$1=FALSE),0,IF(AC334="SKLADEM",1,IF(AC334=$V$3,1,0)))</f>
        <v>1</v>
      </c>
      <c r="C334" s="641" t="s">
        <v>2409</v>
      </c>
      <c r="D334" s="642" t="s">
        <v>2410</v>
      </c>
      <c r="E334" s="643" t="s">
        <v>12663</v>
      </c>
      <c r="F334" s="771">
        <f>IFERROR(VLOOKUP(C334,[2]List1!$A:$D,3,FALSE),"NEUVEDENO!")</f>
        <v>1780</v>
      </c>
      <c r="G334" s="768">
        <f t="shared" ref="G334:G337" si="799">IF($W$17=$AF$8,ROUND((F334)/$F$17,2),(F334)*$B$19)</f>
        <v>1780</v>
      </c>
      <c r="H334" s="765">
        <f t="shared" ref="H334:H337" si="800">IF($W$17=$AF$8,G334*$B$19,G334/$F$17)</f>
        <v>75.611797139495266</v>
      </c>
      <c r="I334" s="644">
        <f>IFERROR(VLOOKUP(C334,[2]List1!$A:$D,4,FALSE),"NEUVEDENO!")</f>
        <v>1</v>
      </c>
      <c r="J334" s="733"/>
      <c r="K334" s="645" t="s">
        <v>20</v>
      </c>
      <c r="L334" s="645" t="s">
        <v>15089</v>
      </c>
      <c r="M334" s="645"/>
      <c r="N334" s="645">
        <f>IFERROR(VLOOKUP(C334,[3]List1!$A:$D,4,FALSE),"N/A!")</f>
        <v>0</v>
      </c>
      <c r="O334" s="645">
        <f>IFERROR(VLOOKUP(C334,[3]List1!$A:$D,3,FALSE),"N/A!")</f>
        <v>0</v>
      </c>
      <c r="P334" s="645">
        <f>IFERROR(VLOOKUP(C334,[3]List1!$A:$D,2,FALSE),"N/A!")</f>
        <v>750</v>
      </c>
      <c r="Q334" s="645" t="s">
        <v>20</v>
      </c>
      <c r="R334" s="645" t="s">
        <v>20</v>
      </c>
      <c r="S334" s="645"/>
      <c r="T334" s="645"/>
      <c r="U334" s="645"/>
      <c r="V334" s="645"/>
      <c r="W334" s="645" t="str">
        <f>IFERROR(IF(AND($AB334&gt;=0.1*$AA334,MOD($AB334,$AA334)&gt;=($AA334-(0.1*$AA334))),IF($W$17=$AF$1,"Zvažte možnost doobjednání ještě "&amp;Tabulka1[[#This Row],[VKPAL]]-MOD(AB334,AA334)&amp;" VK do plné palety.",VLOOKUP("Zvažte možnost doobjednání ještě ",Jazyky_ceník!A:Q,MATCH($W$17,Jazyky_ceník!$A$1:$Q$1,0),FALSE)&amp;Tabulka1[[#This Row],[VKPAL]]-MOD(AB334,AA334)&amp;VLOOKUP(" VK do plné palety.",Jazyky_ceník!A:Q,MATCH($W$17,Jazyky_ceník!$A$1:$Q$1,0),FALSE)),IFERROR(IF(AND(NOT(MOD($AB334,$AA334)=0),$AB334&gt;=0.9*$AA334,MOD($AB334,$AA334)&lt;=0.1*$AA334),IF($W$17=$AF$1,"Zvažte možnost optimalizace objednaného množství podle počtu VK na paletě ==&gt;",VLOOKUP("Zvažte možnost optimalizace objednaného množství podle počtu VK na paletě ==&gt;",Jazyky_ceník!A:Q,MATCH($W$17,Jazyky_ceník!$A$1:$Q$1,0),FALSE)),VLOOKUP('General price list'!$C334,Popisy!A:M,MATCH($W$17,Popisy!$A$7:$M$7,0),FALSE)),"---------------")),IFERROR(VLOOKUP('General price list'!$C334,Popisy!A:M,MATCH($W$17,Popisy!$A$7:$M$7,0),FALSE),"---------------"))</f>
        <v>Dumbum mikina s kapucí M -limited edition</v>
      </c>
      <c r="X334" s="645" t="str">
        <f t="shared" ref="X334:X337" si="801">IF(AB334&lt;0.0001,"",AB334)</f>
        <v/>
      </c>
      <c r="Y334" s="645" t="str">
        <f t="shared" ref="Y334:Y337" si="802">IF($AL$3=2,IF(OR(AB334&lt;&gt;"",AB334&lt;&gt;0),AU334,""),IF(C334="","",IF(AB334&lt;0.0001,"",IF(B334=0,"",IF(AQ334&lt;AB334,"",AB334)))))</f>
        <v/>
      </c>
      <c r="Z334" s="645" t="str">
        <f>HYPERLINK("https://www.klasekpyrotechnics.cz/mdle1m")</f>
        <v>https://www.klasekpyrotechnics.cz/mdle1m</v>
      </c>
      <c r="AA334" s="645" t="str">
        <f>IFERROR(IF(VLOOKUP(C334,[4]List1!$A:$D,4,FALSE)=0,"",VLOOKUP(C334,[4]List1!$A:$D,4,FALSE)),"")</f>
        <v/>
      </c>
      <c r="AB334" s="646"/>
      <c r="AC334" s="647" t="str">
        <f>IFERROR(IF(VLOOKUP(C334,[1]List1!$A:$D,2,FALSE)="VYPRODÁNO",$V$9,IF(VLOOKUP(C334,[1]List1!$A:$D,2,FALSE)="DOCHÁZÍ",$V$3,VLOOKUP(C334,[1]List1!$A:$D,2,FALSE))),"OFFLINE!")</f>
        <v>SKLADEM</v>
      </c>
      <c r="AD334" s="647" t="str">
        <f ca="1">IF(AP334="NE",$V$10,IF(AC334=$V$3,IF(AQ334&lt;1,$V$8,$V$2&amp;" "&amp;AQ334&amp;" "&amp;$V$1),IF(AC334="SKLADEM",$V$6,IFERROR(IF(OR(AC334-TODAY()&gt;45,VLOOKUP(C334,[1]List1!$A:$E,4,FALSE)=0),AC334,DAY(AC334)&amp;"."&amp;MONTH(AC334)&amp;"."&amp;YEAR(AC334)&amp;" "&amp;$V$4&amp;VLOOKUP(C334,[1]List1!$A:$E,4,FALSE)&amp;" "&amp;$V$1),AC334))))</f>
        <v>SKLADEM</v>
      </c>
      <c r="AE334" s="645" t="str">
        <f t="shared" ref="AE334:AE337" ca="1" si="803">IFERROR(IF(AV334&lt;&gt;"",AV334,AD334),AD334)</f>
        <v>SKLADEM</v>
      </c>
      <c r="AF334" s="648">
        <f t="shared" ref="AF334:AF337" si="804">IFERROR(IF(AB334=Y334,G334*I334*Y334,0),0)</f>
        <v>0</v>
      </c>
      <c r="AG334" s="649">
        <f t="shared" ref="AG334:AG337" si="805">IF($W$17=$AF$8,AH334*1.23,AF334*1.21)</f>
        <v>0</v>
      </c>
      <c r="AH334" s="650">
        <f t="shared" ref="AH334:AH337" si="806">IFERROR(IF(Y334=AB334,H334*I334*Y334,0),0)</f>
        <v>0</v>
      </c>
      <c r="AI334" s="645">
        <f t="shared" ref="AI334:AI337" si="807">IFERROR(IF(Y334=AB334,(P334*Y334)/1000,1),0)</f>
        <v>0</v>
      </c>
      <c r="AJ334" s="645">
        <f t="shared" ref="AJ334:AJ337" si="808">IFERROR(IF(Y334=AB334,N334*Y334,0.1),0)</f>
        <v>0</v>
      </c>
      <c r="AK334" s="645" t="str">
        <f t="shared" ref="AK334:AK337" si="809">IFERROR(IF(Y334=AB334,IF(M334="1.1G",(O334/1000)*Y334,""),""),0)</f>
        <v/>
      </c>
      <c r="AL334" s="645" t="str">
        <f t="shared" ref="AL334:AL337" si="810">IFERROR(IF(Y334=AB334,IF(M334="1.3G",(O334/1000)*AB334,""),""),0)</f>
        <v/>
      </c>
      <c r="AM334" s="645" t="str">
        <f t="shared" ref="AM334:AM337" si="811">IFERROR(IF(Y334=AB334,IF(M334="1.4G",(O334/1000)*AB334,""),""),0)</f>
        <v/>
      </c>
      <c r="AN334" s="651">
        <f t="shared" ref="AN334:AN337" si="812">SUM(AK334:AM334)</f>
        <v>0</v>
      </c>
      <c r="AO334" s="623"/>
      <c r="AP334" s="632" t="str">
        <f t="shared" si="721"/>
        <v/>
      </c>
      <c r="AQ334" s="633" t="str">
        <f>IF(AC334=$V$3,IF(VLOOKUP(C334,[1]List1!$A:$E,5,FALSE)=0,1,VLOOKUP(C334,[1]List1!$A:$E,5,FALSE)),"")</f>
        <v/>
      </c>
      <c r="AR334" s="625" t="str">
        <f t="shared" si="722"/>
        <v/>
      </c>
      <c r="AS334" s="634" t="str">
        <f t="shared" si="723"/>
        <v/>
      </c>
      <c r="AT334" s="625" t="str">
        <f t="shared" si="724"/>
        <v/>
      </c>
      <c r="AU334" s="638" t="e">
        <f t="shared" si="725"/>
        <v>#N/A</v>
      </c>
      <c r="AV334" s="625" t="e">
        <f t="shared" si="726"/>
        <v>#N/A</v>
      </c>
      <c r="AX334" s="625">
        <f>IF(AND('General price list'!$J334="F4",'General price list'!$AB334+0&gt;0),1,0)</f>
        <v>0</v>
      </c>
      <c r="AY334" s="625">
        <f t="shared" si="727"/>
        <v>0</v>
      </c>
      <c r="AZ334" s="625">
        <f t="shared" si="728"/>
        <v>0</v>
      </c>
    </row>
    <row r="335" spans="1:52" ht="15.75" customHeight="1">
      <c r="A335" s="621" t="str">
        <f>Kat.!C335</f>
        <v/>
      </c>
      <c r="B335" s="566">
        <f>IF(AND('General price list'!$J335="F4",$AI$1=FALSE),0,IF(AC335="SKLADEM",1,IF(AC335=$V$3,1,0)))</f>
        <v>1</v>
      </c>
      <c r="C335" s="567" t="s">
        <v>2411</v>
      </c>
      <c r="D335" s="568" t="s">
        <v>2412</v>
      </c>
      <c r="E335" s="763" t="s">
        <v>12663</v>
      </c>
      <c r="F335" s="772">
        <f>IFERROR(VLOOKUP(C335,[2]List1!$A:$D,3,FALSE),"NEUVEDENO!")</f>
        <v>1780</v>
      </c>
      <c r="G335" s="769">
        <f t="shared" si="799"/>
        <v>1780</v>
      </c>
      <c r="H335" s="766">
        <f t="shared" si="800"/>
        <v>75.611797139495266</v>
      </c>
      <c r="I335" s="764">
        <f>IFERROR(VLOOKUP(C335,[2]List1!$A:$D,4,FALSE),"NEUVEDENO!")</f>
        <v>1</v>
      </c>
      <c r="J335" s="732"/>
      <c r="K335" s="569" t="s">
        <v>20</v>
      </c>
      <c r="L335" s="569" t="s">
        <v>15089</v>
      </c>
      <c r="M335" s="569"/>
      <c r="N335" s="569">
        <f>IFERROR(VLOOKUP(C335,[3]List1!$A:$D,4,FALSE),"N/A!")</f>
        <v>0</v>
      </c>
      <c r="O335" s="569">
        <f>IFERROR(VLOOKUP(C335,[3]List1!$A:$D,3,FALSE),"N/A!")</f>
        <v>0</v>
      </c>
      <c r="P335" s="569">
        <f>IFERROR(VLOOKUP(C335,[3]List1!$A:$D,2,FALSE),"N/A!")</f>
        <v>750</v>
      </c>
      <c r="Q335" s="569" t="s">
        <v>20</v>
      </c>
      <c r="R335" s="569" t="s">
        <v>20</v>
      </c>
      <c r="S335" s="569"/>
      <c r="T335" s="569"/>
      <c r="U335" s="569"/>
      <c r="V335" s="569"/>
      <c r="W335" s="569" t="str">
        <f>IFERROR(IF(AND($AB335&gt;=0.1*$AA335,MOD($AB335,$AA335)&gt;=($AA335-(0.1*$AA335))),IF($W$17=$AF$1,"Zvažte možnost doobjednání ještě "&amp;Tabulka1[[#This Row],[VKPAL]]-MOD(AB335,AA335)&amp;" VK do plné palety.",VLOOKUP("Zvažte možnost doobjednání ještě ",Jazyky_ceník!A:Q,MATCH($W$17,Jazyky_ceník!$A$1:$Q$1,0),FALSE)&amp;Tabulka1[[#This Row],[VKPAL]]-MOD(AB335,AA335)&amp;VLOOKUP(" VK do plné palety.",Jazyky_ceník!A:Q,MATCH($W$17,Jazyky_ceník!$A$1:$Q$1,0),FALSE)),IFERROR(IF(AND(NOT(MOD($AB335,$AA335)=0),$AB335&gt;=0.9*$AA335,MOD($AB335,$AA335)&lt;=0.1*$AA335),IF($W$17=$AF$1,"Zvažte možnost optimalizace objednaného množství podle počtu VK na paletě ==&gt;",VLOOKUP("Zvažte možnost optimalizace objednaného množství podle počtu VK na paletě ==&gt;",Jazyky_ceník!A:Q,MATCH($W$17,Jazyky_ceník!$A$1:$Q$1,0),FALSE)),VLOOKUP('General price list'!$C335,Popisy!A:M,MATCH($W$17,Popisy!$A$7:$M$7,0),FALSE)),"---------------")),IFERROR(VLOOKUP('General price list'!$C335,Popisy!A:M,MATCH($W$17,Popisy!$A$7:$M$7,0),FALSE),"---------------"))</f>
        <v>Dumbum mikina s kapucí L -limited edition</v>
      </c>
      <c r="X335" s="569" t="str">
        <f t="shared" si="801"/>
        <v/>
      </c>
      <c r="Y335" s="569" t="str">
        <f t="shared" si="802"/>
        <v/>
      </c>
      <c r="Z335" s="569" t="str">
        <f>HYPERLINK("https://www.klasekpyrotechnics.cz/mdle1l")</f>
        <v>https://www.klasekpyrotechnics.cz/mdle1l</v>
      </c>
      <c r="AA335" s="569" t="str">
        <f>IFERROR(IF(VLOOKUP(C335,[4]List1!$A:$D,4,FALSE)=0,"",VLOOKUP(C335,[4]List1!$A:$D,4,FALSE)),"")</f>
        <v/>
      </c>
      <c r="AB335" s="565"/>
      <c r="AC335" s="570" t="str">
        <f>IFERROR(IF(VLOOKUP(C335,[1]List1!$A:$D,2,FALSE)="VYPRODÁNO",$V$9,IF(VLOOKUP(C335,[1]List1!$A:$D,2,FALSE)="DOCHÁZÍ",$V$3,VLOOKUP(C335,[1]List1!$A:$D,2,FALSE))),"OFFLINE!")</f>
        <v>SKLADEM</v>
      </c>
      <c r="AD335" s="570" t="str">
        <f ca="1">IF(AP335="NE",$V$10,IF(AC335=$V$3,IF(AQ335&lt;1,$V$8,$V$2&amp;" "&amp;AQ335&amp;" "&amp;$V$1),IF(AC335="SKLADEM",$V$6,IFERROR(IF(OR(AC335-TODAY()&gt;45,VLOOKUP(C335,[1]List1!$A:$E,4,FALSE)=0),AC335,DAY(AC335)&amp;"."&amp;MONTH(AC335)&amp;"."&amp;YEAR(AC335)&amp;" "&amp;$V$4&amp;VLOOKUP(C335,[1]List1!$A:$E,4,FALSE)&amp;" "&amp;$V$1),AC335))))</f>
        <v>SKLADEM</v>
      </c>
      <c r="AE335" s="581" t="str">
        <f t="shared" ca="1" si="803"/>
        <v>SKLADEM</v>
      </c>
      <c r="AF335" s="584">
        <f t="shared" si="804"/>
        <v>0</v>
      </c>
      <c r="AG335" s="585">
        <f t="shared" si="805"/>
        <v>0</v>
      </c>
      <c r="AH335" s="583">
        <f t="shared" si="806"/>
        <v>0</v>
      </c>
      <c r="AI335" s="582">
        <f t="shared" si="807"/>
        <v>0</v>
      </c>
      <c r="AJ335" s="569">
        <f t="shared" si="808"/>
        <v>0</v>
      </c>
      <c r="AK335" s="569" t="str">
        <f t="shared" si="809"/>
        <v/>
      </c>
      <c r="AL335" s="569" t="str">
        <f t="shared" si="810"/>
        <v/>
      </c>
      <c r="AM335" s="569" t="str">
        <f t="shared" si="811"/>
        <v/>
      </c>
      <c r="AN335" s="581">
        <f t="shared" si="812"/>
        <v>0</v>
      </c>
      <c r="AO335" s="623"/>
      <c r="AP335" s="625" t="str">
        <f t="shared" si="721"/>
        <v/>
      </c>
      <c r="AQ335" s="625" t="str">
        <f>IF(AC335=$V$3,IF(VLOOKUP(C335,[1]List1!$A:$E,5,FALSE)=0,1,VLOOKUP(C335,[1]List1!$A:$E,5,FALSE)),"")</f>
        <v/>
      </c>
      <c r="AR335" s="629" t="str">
        <f t="shared" si="722"/>
        <v/>
      </c>
      <c r="AS335" s="630" t="str">
        <f t="shared" si="723"/>
        <v/>
      </c>
      <c r="AT335" s="625" t="str">
        <f t="shared" si="724"/>
        <v/>
      </c>
      <c r="AU335" s="625" t="e">
        <f t="shared" si="725"/>
        <v>#N/A</v>
      </c>
      <c r="AV335" s="625" t="e">
        <f t="shared" si="726"/>
        <v>#N/A</v>
      </c>
      <c r="AW335" s="631"/>
      <c r="AX335" s="631">
        <f>IF(AND('General price list'!$J335="F4",'General price list'!$AB335+0&gt;0),1,0)</f>
        <v>0</v>
      </c>
      <c r="AY335" s="631">
        <f t="shared" si="727"/>
        <v>0</v>
      </c>
      <c r="AZ335" s="631">
        <f t="shared" si="728"/>
        <v>0</v>
      </c>
    </row>
    <row r="336" spans="1:52" ht="15" customHeight="1">
      <c r="A336" s="639" t="str">
        <f>Kat.!C336</f>
        <v/>
      </c>
      <c r="B336" s="640">
        <f>IF(AND('General price list'!$J336="F4",$AI$1=FALSE),0,IF(AC336="SKLADEM",1,IF(AC336=$V$3,1,0)))</f>
        <v>1</v>
      </c>
      <c r="C336" s="641" t="s">
        <v>2413</v>
      </c>
      <c r="D336" s="642" t="s">
        <v>2414</v>
      </c>
      <c r="E336" s="643" t="s">
        <v>12663</v>
      </c>
      <c r="F336" s="771">
        <f>IFERROR(VLOOKUP(C336,[2]List1!$A:$D,3,FALSE),"NEUVEDENO!")</f>
        <v>1780</v>
      </c>
      <c r="G336" s="768">
        <f t="shared" si="799"/>
        <v>1780</v>
      </c>
      <c r="H336" s="765">
        <f t="shared" si="800"/>
        <v>75.611797139495266</v>
      </c>
      <c r="I336" s="644">
        <f>IFERROR(VLOOKUP(C336,[2]List1!$A:$D,4,FALSE),"NEUVEDENO!")</f>
        <v>1</v>
      </c>
      <c r="J336" s="733"/>
      <c r="K336" s="645" t="s">
        <v>20</v>
      </c>
      <c r="L336" s="645" t="s">
        <v>15089</v>
      </c>
      <c r="M336" s="645"/>
      <c r="N336" s="645">
        <f>IFERROR(VLOOKUP(C336,[3]List1!$A:$D,4,FALSE),"N/A!")</f>
        <v>0</v>
      </c>
      <c r="O336" s="645">
        <f>IFERROR(VLOOKUP(C336,[3]List1!$A:$D,3,FALSE),"N/A!")</f>
        <v>0</v>
      </c>
      <c r="P336" s="645">
        <f>IFERROR(VLOOKUP(C336,[3]List1!$A:$D,2,FALSE),"N/A!")</f>
        <v>750</v>
      </c>
      <c r="Q336" s="645" t="s">
        <v>20</v>
      </c>
      <c r="R336" s="645" t="s">
        <v>20</v>
      </c>
      <c r="S336" s="645"/>
      <c r="T336" s="645"/>
      <c r="U336" s="645"/>
      <c r="V336" s="645"/>
      <c r="W336" s="645" t="str">
        <f>IFERROR(IF(AND($AB336&gt;=0.1*$AA336,MOD($AB336,$AA336)&gt;=($AA336-(0.1*$AA336))),IF($W$17=$AF$1,"Zvažte možnost doobjednání ještě "&amp;Tabulka1[[#This Row],[VKPAL]]-MOD(AB336,AA336)&amp;" VK do plné palety.",VLOOKUP("Zvažte možnost doobjednání ještě ",Jazyky_ceník!A:Q,MATCH($W$17,Jazyky_ceník!$A$1:$Q$1,0),FALSE)&amp;Tabulka1[[#This Row],[VKPAL]]-MOD(AB336,AA336)&amp;VLOOKUP(" VK do plné palety.",Jazyky_ceník!A:Q,MATCH($W$17,Jazyky_ceník!$A$1:$Q$1,0),FALSE)),IFERROR(IF(AND(NOT(MOD($AB336,$AA336)=0),$AB336&gt;=0.9*$AA336,MOD($AB336,$AA336)&lt;=0.1*$AA336),IF($W$17=$AF$1,"Zvažte možnost optimalizace objednaného množství podle počtu VK na paletě ==&gt;",VLOOKUP("Zvažte možnost optimalizace objednaného množství podle počtu VK na paletě ==&gt;",Jazyky_ceník!A:Q,MATCH($W$17,Jazyky_ceník!$A$1:$Q$1,0),FALSE)),VLOOKUP('General price list'!$C336,Popisy!A:M,MATCH($W$17,Popisy!$A$7:$M$7,0),FALSE)),"---------------")),IFERROR(VLOOKUP('General price list'!$C336,Popisy!A:M,MATCH($W$17,Popisy!$A$7:$M$7,0),FALSE),"---------------"))</f>
        <v>Dumbum mikina s kapucí XL -limited edition</v>
      </c>
      <c r="X336" s="645" t="str">
        <f t="shared" si="801"/>
        <v/>
      </c>
      <c r="Y336" s="645" t="str">
        <f t="shared" si="802"/>
        <v/>
      </c>
      <c r="Z336" s="645" t="str">
        <f>HYPERLINK("https://www.klasekpyrotechnics.cz/mdle1xl")</f>
        <v>https://www.klasekpyrotechnics.cz/mdle1xl</v>
      </c>
      <c r="AA336" s="645" t="str">
        <f>IFERROR(IF(VLOOKUP(C336,[4]List1!$A:$D,4,FALSE)=0,"",VLOOKUP(C336,[4]List1!$A:$D,4,FALSE)),"")</f>
        <v/>
      </c>
      <c r="AB336" s="646"/>
      <c r="AC336" s="647" t="str">
        <f>IFERROR(IF(VLOOKUP(C336,[1]List1!$A:$D,2,FALSE)="VYPRODÁNO",$V$9,IF(VLOOKUP(C336,[1]List1!$A:$D,2,FALSE)="DOCHÁZÍ",$V$3,VLOOKUP(C336,[1]List1!$A:$D,2,FALSE))),"OFFLINE!")</f>
        <v>SKLADEM</v>
      </c>
      <c r="AD336" s="647" t="str">
        <f ca="1">IF(AP336="NE",$V$10,IF(AC336=$V$3,IF(AQ336&lt;1,$V$8,$V$2&amp;" "&amp;AQ336&amp;" "&amp;$V$1),IF(AC336="SKLADEM",$V$6,IFERROR(IF(OR(AC336-TODAY()&gt;45,VLOOKUP(C336,[1]List1!$A:$E,4,FALSE)=0),AC336,DAY(AC336)&amp;"."&amp;MONTH(AC336)&amp;"."&amp;YEAR(AC336)&amp;" "&amp;$V$4&amp;VLOOKUP(C336,[1]List1!$A:$E,4,FALSE)&amp;" "&amp;$V$1),AC336))))</f>
        <v>SKLADEM</v>
      </c>
      <c r="AE336" s="645" t="str">
        <f t="shared" ca="1" si="803"/>
        <v>SKLADEM</v>
      </c>
      <c r="AF336" s="648">
        <f t="shared" si="804"/>
        <v>0</v>
      </c>
      <c r="AG336" s="649">
        <f t="shared" si="805"/>
        <v>0</v>
      </c>
      <c r="AH336" s="650">
        <f t="shared" si="806"/>
        <v>0</v>
      </c>
      <c r="AI336" s="645">
        <f t="shared" si="807"/>
        <v>0</v>
      </c>
      <c r="AJ336" s="645">
        <f t="shared" si="808"/>
        <v>0</v>
      </c>
      <c r="AK336" s="645" t="str">
        <f t="shared" si="809"/>
        <v/>
      </c>
      <c r="AL336" s="645" t="str">
        <f t="shared" si="810"/>
        <v/>
      </c>
      <c r="AM336" s="645" t="str">
        <f t="shared" si="811"/>
        <v/>
      </c>
      <c r="AN336" s="651">
        <f t="shared" si="812"/>
        <v>0</v>
      </c>
      <c r="AO336" s="623"/>
      <c r="AP336" s="632" t="str">
        <f t="shared" si="721"/>
        <v/>
      </c>
      <c r="AQ336" s="633" t="str">
        <f>IF(AC336=$V$3,IF(VLOOKUP(C336,[1]List1!$A:$E,5,FALSE)=0,1,VLOOKUP(C336,[1]List1!$A:$E,5,FALSE)),"")</f>
        <v/>
      </c>
      <c r="AR336" s="625" t="str">
        <f t="shared" si="722"/>
        <v/>
      </c>
      <c r="AS336" s="634" t="str">
        <f t="shared" si="723"/>
        <v/>
      </c>
      <c r="AT336" s="625" t="str">
        <f t="shared" si="724"/>
        <v/>
      </c>
      <c r="AU336" s="638" t="e">
        <f t="shared" si="725"/>
        <v>#N/A</v>
      </c>
      <c r="AV336" s="625" t="e">
        <f t="shared" si="726"/>
        <v>#N/A</v>
      </c>
      <c r="AX336" s="625">
        <f>IF(AND('General price list'!$J336="F4",'General price list'!$AB336+0&gt;0),1,0)</f>
        <v>0</v>
      </c>
      <c r="AY336" s="625">
        <f t="shared" si="727"/>
        <v>0</v>
      </c>
      <c r="AZ336" s="625">
        <f t="shared" si="728"/>
        <v>0</v>
      </c>
    </row>
    <row r="337" spans="1:52" ht="15" customHeight="1">
      <c r="A337" s="621" t="str">
        <f>Kat.!C337</f>
        <v/>
      </c>
      <c r="B337" s="566">
        <f>IF(AND('General price list'!$J337="F4",$AI$1=FALSE),0,IF(AC337="SKLADEM",1,IF(AC337=$V$3,1,0)))</f>
        <v>1</v>
      </c>
      <c r="C337" s="567" t="s">
        <v>2415</v>
      </c>
      <c r="D337" s="568" t="s">
        <v>2416</v>
      </c>
      <c r="E337" s="763" t="s">
        <v>12663</v>
      </c>
      <c r="F337" s="772">
        <f>IFERROR(VLOOKUP(C337,[2]List1!$A:$D,3,FALSE),"NEUVEDENO!")</f>
        <v>1780</v>
      </c>
      <c r="G337" s="769">
        <f t="shared" si="799"/>
        <v>1780</v>
      </c>
      <c r="H337" s="766">
        <f t="shared" si="800"/>
        <v>75.611797139495266</v>
      </c>
      <c r="I337" s="764">
        <f>IFERROR(VLOOKUP(C337,[2]List1!$A:$D,4,FALSE),"NEUVEDENO!")</f>
        <v>1</v>
      </c>
      <c r="J337" s="732"/>
      <c r="K337" s="569" t="s">
        <v>20</v>
      </c>
      <c r="L337" s="569" t="s">
        <v>15089</v>
      </c>
      <c r="M337" s="569"/>
      <c r="N337" s="569">
        <f>IFERROR(VLOOKUP(C337,[3]List1!$A:$D,4,FALSE),"N/A!")</f>
        <v>0</v>
      </c>
      <c r="O337" s="569">
        <f>IFERROR(VLOOKUP(C337,[3]List1!$A:$D,3,FALSE),"N/A!")</f>
        <v>0</v>
      </c>
      <c r="P337" s="569">
        <f>IFERROR(VLOOKUP(C337,[3]List1!$A:$D,2,FALSE),"N/A!")</f>
        <v>750</v>
      </c>
      <c r="Q337" s="569" t="s">
        <v>20</v>
      </c>
      <c r="R337" s="569" t="s">
        <v>20</v>
      </c>
      <c r="S337" s="569"/>
      <c r="T337" s="569"/>
      <c r="U337" s="569"/>
      <c r="V337" s="569"/>
      <c r="W337" s="569" t="str">
        <f>IFERROR(IF(AND($AB337&gt;=0.1*$AA337,MOD($AB337,$AA337)&gt;=($AA337-(0.1*$AA337))),IF($W$17=$AF$1,"Zvažte možnost doobjednání ještě "&amp;Tabulka1[[#This Row],[VKPAL]]-MOD(AB337,AA337)&amp;" VK do plné palety.",VLOOKUP("Zvažte možnost doobjednání ještě ",Jazyky_ceník!A:Q,MATCH($W$17,Jazyky_ceník!$A$1:$Q$1,0),FALSE)&amp;Tabulka1[[#This Row],[VKPAL]]-MOD(AB337,AA337)&amp;VLOOKUP(" VK do plné palety.",Jazyky_ceník!A:Q,MATCH($W$17,Jazyky_ceník!$A$1:$Q$1,0),FALSE)),IFERROR(IF(AND(NOT(MOD($AB337,$AA337)=0),$AB337&gt;=0.9*$AA337,MOD($AB337,$AA337)&lt;=0.1*$AA337),IF($W$17=$AF$1,"Zvažte možnost optimalizace objednaného množství podle počtu VK na paletě ==&gt;",VLOOKUP("Zvažte možnost optimalizace objednaného množství podle počtu VK na paletě ==&gt;",Jazyky_ceník!A:Q,MATCH($W$17,Jazyky_ceník!$A$1:$Q$1,0),FALSE)),VLOOKUP('General price list'!$C337,Popisy!A:M,MATCH($W$17,Popisy!$A$7:$M$7,0),FALSE)),"---------------")),IFERROR(VLOOKUP('General price list'!$C337,Popisy!A:M,MATCH($W$17,Popisy!$A$7:$M$7,0),FALSE),"---------------"))</f>
        <v>Dumbum mikina s kapucí XXL -limited edition</v>
      </c>
      <c r="X337" s="569" t="str">
        <f t="shared" si="801"/>
        <v/>
      </c>
      <c r="Y337" s="569" t="str">
        <f t="shared" si="802"/>
        <v/>
      </c>
      <c r="Z337" s="569" t="str">
        <f>HYPERLINK("https://www.klasekpyrotechnics.cz/mdle1xxl")</f>
        <v>https://www.klasekpyrotechnics.cz/mdle1xxl</v>
      </c>
      <c r="AA337" s="569" t="str">
        <f>IFERROR(IF(VLOOKUP(C337,[4]List1!$A:$D,4,FALSE)=0,"",VLOOKUP(C337,[4]List1!$A:$D,4,FALSE)),"")</f>
        <v/>
      </c>
      <c r="AB337" s="565"/>
      <c r="AC337" s="570" t="str">
        <f>IFERROR(IF(VLOOKUP(C337,[1]List1!$A:$D,2,FALSE)="VYPRODÁNO",$V$9,IF(VLOOKUP(C337,[1]List1!$A:$D,2,FALSE)="DOCHÁZÍ",$V$3,VLOOKUP(C337,[1]List1!$A:$D,2,FALSE))),"OFFLINE!")</f>
        <v>SKLADEM</v>
      </c>
      <c r="AD337" s="570" t="str">
        <f ca="1">IF(AP337="NE",$V$10,IF(AC337=$V$3,IF(AQ337&lt;1,$V$8,$V$2&amp;" "&amp;AQ337&amp;" "&amp;$V$1),IF(AC337="SKLADEM",$V$6,IFERROR(IF(OR(AC337-TODAY()&gt;45,VLOOKUP(C337,[1]List1!$A:$E,4,FALSE)=0),AC337,DAY(AC337)&amp;"."&amp;MONTH(AC337)&amp;"."&amp;YEAR(AC337)&amp;" "&amp;$V$4&amp;VLOOKUP(C337,[1]List1!$A:$E,4,FALSE)&amp;" "&amp;$V$1),AC337))))</f>
        <v>SKLADEM</v>
      </c>
      <c r="AE337" s="581" t="str">
        <f t="shared" ca="1" si="803"/>
        <v>SKLADEM</v>
      </c>
      <c r="AF337" s="584">
        <f t="shared" si="804"/>
        <v>0</v>
      </c>
      <c r="AG337" s="585">
        <f t="shared" si="805"/>
        <v>0</v>
      </c>
      <c r="AH337" s="583">
        <f t="shared" si="806"/>
        <v>0</v>
      </c>
      <c r="AI337" s="582">
        <f t="shared" si="807"/>
        <v>0</v>
      </c>
      <c r="AJ337" s="569">
        <f t="shared" si="808"/>
        <v>0</v>
      </c>
      <c r="AK337" s="569" t="str">
        <f t="shared" si="809"/>
        <v/>
      </c>
      <c r="AL337" s="569" t="str">
        <f t="shared" si="810"/>
        <v/>
      </c>
      <c r="AM337" s="569" t="str">
        <f t="shared" si="811"/>
        <v/>
      </c>
      <c r="AN337" s="581">
        <f t="shared" si="812"/>
        <v>0</v>
      </c>
      <c r="AO337" s="623"/>
      <c r="AP337" s="632" t="str">
        <f t="shared" si="721"/>
        <v/>
      </c>
      <c r="AQ337" s="633" t="str">
        <f>IF(AC337=$V$3,IF(VLOOKUP(C337,[1]List1!$A:$E,5,FALSE)=0,1,VLOOKUP(C337,[1]List1!$A:$E,5,FALSE)),"")</f>
        <v/>
      </c>
      <c r="AR337" s="625" t="str">
        <f t="shared" si="722"/>
        <v/>
      </c>
      <c r="AS337" s="634" t="str">
        <f t="shared" si="723"/>
        <v/>
      </c>
      <c r="AT337" s="625" t="str">
        <f t="shared" si="724"/>
        <v/>
      </c>
      <c r="AU337" s="638" t="e">
        <f t="shared" si="725"/>
        <v>#N/A</v>
      </c>
      <c r="AV337" s="625" t="e">
        <f t="shared" si="726"/>
        <v>#N/A</v>
      </c>
      <c r="AX337" s="625">
        <f>IF(AND('General price list'!$J337="F4",'General price list'!$AB337+0&gt;0),1,0)</f>
        <v>0</v>
      </c>
      <c r="AY337" s="625">
        <f t="shared" si="727"/>
        <v>0</v>
      </c>
      <c r="AZ337" s="625">
        <f t="shared" si="728"/>
        <v>0</v>
      </c>
    </row>
    <row r="338" spans="1:52" ht="15" customHeight="1">
      <c r="A338" s="751" t="str">
        <f>Kat.!C338</f>
        <v/>
      </c>
      <c r="B338" s="751"/>
      <c r="C338" s="751"/>
      <c r="D338" s="751"/>
      <c r="E338" s="751"/>
      <c r="F338" s="751"/>
      <c r="G338" s="751"/>
      <c r="H338" s="751"/>
      <c r="I338" s="752"/>
      <c r="J338" s="752"/>
      <c r="K338" s="752" t="s">
        <v>20</v>
      </c>
      <c r="L338" s="753" t="s">
        <v>2818</v>
      </c>
      <c r="M338" s="752"/>
      <c r="N338" s="752"/>
      <c r="O338" s="752"/>
      <c r="P338" s="752"/>
      <c r="Q338" s="752"/>
      <c r="R338" s="752"/>
      <c r="S338" s="752"/>
      <c r="T338" s="752"/>
      <c r="U338" s="752"/>
      <c r="V338" s="752"/>
      <c r="W338" s="752"/>
      <c r="X338" s="752"/>
      <c r="Y338" s="752"/>
      <c r="Z338" s="752" t="s">
        <v>20</v>
      </c>
      <c r="AA338" s="752"/>
      <c r="AB338" s="752"/>
      <c r="AC338" s="754"/>
      <c r="AD338" s="752"/>
      <c r="AE338" s="752"/>
      <c r="AF338" s="752"/>
      <c r="AG338" s="752"/>
      <c r="AH338" s="752"/>
      <c r="AI338" s="752"/>
      <c r="AJ338" s="752"/>
      <c r="AK338" s="752"/>
      <c r="AL338" s="752"/>
      <c r="AM338" s="752"/>
      <c r="AN338" s="752"/>
      <c r="AO338" s="623"/>
      <c r="AP338" s="632" t="str">
        <f t="shared" ref="AP338:AP342" si="813">IF($AL$3=1,IF(Y338=AB338,"","NE"),IF(AR338=$V$10,"NE",""))</f>
        <v/>
      </c>
      <c r="AQ338" s="633" t="str">
        <f>IF(AC338=$V$3,IF(VLOOKUP(C338,[1]List1!$A:$E,5,FALSE)=0,1,VLOOKUP(C338,[1]List1!$A:$E,5,FALSE)),"")</f>
        <v/>
      </c>
      <c r="AR338" s="625" t="str">
        <f t="shared" ref="AR338:AR342" si="814">IF($AL$3=1,"",IF(OR(AB338&lt;&gt;"",AB338&lt;&gt;0),IF(OR(AC338=$V$6,AC338=$V$3,AC338=$V$9),$V$10,""),""))</f>
        <v/>
      </c>
      <c r="AS338" s="634" t="str">
        <f t="shared" si="723"/>
        <v/>
      </c>
      <c r="AT338" s="625" t="str">
        <f t="shared" ref="AT338:AT342" si="815">IF(AND($AL$3=2,AR338="",AB338&lt;&gt;""),AD338,"")</f>
        <v/>
      </c>
      <c r="AU338" s="638" t="e">
        <f t="shared" ref="AU338:AU342" si="816">IF(AT338=$AS$21,AB338,"")</f>
        <v>#N/A</v>
      </c>
      <c r="AV338" s="625" t="e">
        <f t="shared" ref="AV338:AV342" si="817">IF(OR(AB338="",AND(AT338&lt;&gt;"",AU338&lt;&gt;"")),"",$V$10)</f>
        <v>#N/A</v>
      </c>
      <c r="AX338" s="625">
        <f>IF(AND('General price list'!$J338="F4",'General price list'!$AB338+0&gt;0),1,0)</f>
        <v>0</v>
      </c>
      <c r="AY338" s="625">
        <f t="shared" ref="AY338:AY342" si="818">IFERROR(FIND(VLOOKUP($AC$7,$AD$1:$AE$12,2,FALSE),Q338,1),0)</f>
        <v>0</v>
      </c>
      <c r="AZ338" s="625">
        <f t="shared" ref="AZ338:AZ342" si="819">IFERROR(FIND(VLOOKUP($AC$7,$AD$1:$AE$12,2,FALSE),R338,1),0)</f>
        <v>0</v>
      </c>
    </row>
    <row r="339" spans="1:52" ht="15" customHeight="1">
      <c r="A339" s="639" t="str">
        <f>Kat.!C339</f>
        <v/>
      </c>
      <c r="B339" s="640">
        <f>IF(AND('General price list'!$J339="F4",$AI$1=FALSE),0,IF(AC339="SKLADEM",1,IF(AC339=$V$3,1,0)))</f>
        <v>1</v>
      </c>
      <c r="C339" s="641" t="s">
        <v>10950</v>
      </c>
      <c r="D339" s="642" t="s">
        <v>10951</v>
      </c>
      <c r="E339" s="643" t="s">
        <v>12663</v>
      </c>
      <c r="F339" s="771">
        <f>IFERROR(VLOOKUP(C339,[2]List1!$A:$D,3,FALSE),"NEUVEDENO!")</f>
        <v>1380</v>
      </c>
      <c r="G339" s="768">
        <f t="shared" ref="G339:G342" si="820">IF($W$17=$AF$8,ROUND((F339)/$F$17,2),(F339)*$B$19)</f>
        <v>1380</v>
      </c>
      <c r="H339" s="765">
        <f t="shared" ref="H339:H342" si="821">IF($W$17=$AF$8,G339*$B$19,G339/$F$17)</f>
        <v>58.620382051968242</v>
      </c>
      <c r="I339" s="644">
        <f>IFERROR(VLOOKUP(C339,[2]List1!$A:$D,4,FALSE),"NEUVEDENO!")</f>
        <v>1</v>
      </c>
      <c r="J339" s="733"/>
      <c r="K339" s="645" t="s">
        <v>20</v>
      </c>
      <c r="L339" s="645" t="s">
        <v>15089</v>
      </c>
      <c r="M339" s="645"/>
      <c r="N339" s="645">
        <f>IFERROR(VLOOKUP(C339,[3]List1!$A:$D,4,FALSE),"N/A!")</f>
        <v>0</v>
      </c>
      <c r="O339" s="645">
        <f>IFERROR(VLOOKUP(C339,[3]List1!$A:$D,3,FALSE),"N/A!")</f>
        <v>0</v>
      </c>
      <c r="P339" s="645">
        <f>IFERROR(VLOOKUP(C339,[3]List1!$A:$D,2,FALSE),"N/A!")</f>
        <v>670</v>
      </c>
      <c r="Q339" s="645"/>
      <c r="R339" s="645"/>
      <c r="S339" s="645"/>
      <c r="T339" s="645"/>
      <c r="U339" s="645"/>
      <c r="V339" s="645"/>
      <c r="W339" s="645" t="str">
        <f>IFERROR(IF(AND($AB339&gt;=0.1*$AA339,MOD($AB339,$AA339)&gt;=($AA339-(0.1*$AA339))),IF($W$17=$AF$1,"Zvažte možnost doobjednání ještě "&amp;Tabulka1[[#This Row],[VKPAL]]-MOD(AB339,AA339)&amp;" VK do plné palety.",VLOOKUP("Zvažte možnost doobjednání ještě ",Jazyky_ceník!A:Q,MATCH($W$17,Jazyky_ceník!$A$1:$Q$1,0),FALSE)&amp;Tabulka1[[#This Row],[VKPAL]]-MOD(AB339,AA339)&amp;VLOOKUP(" VK do plné palety.",Jazyky_ceník!A:Q,MATCH($W$17,Jazyky_ceník!$A$1:$Q$1,0),FALSE)),IFERROR(IF(AND(NOT(MOD($AB339,$AA339)=0),$AB339&gt;=0.9*$AA339,MOD($AB339,$AA339)&lt;=0.1*$AA339),IF($W$17=$AF$1,"Zvažte možnost optimalizace objednaného množství podle počtu VK na paletě ==&gt;",VLOOKUP("Zvažte možnost optimalizace objednaného množství podle počtu VK na paletě ==&gt;",Jazyky_ceník!A:Q,MATCH($W$17,Jazyky_ceník!$A$1:$Q$1,0),FALSE)),VLOOKUP('General price list'!$C339,Popisy!A:M,MATCH($W$17,Popisy!$A$7:$M$7,0),FALSE)),"---------------")),IFERROR(VLOOKUP('General price list'!$C339,Popisy!A:M,MATCH($W$17,Popisy!$A$7:$M$7,0),FALSE),"---------------"))</f>
        <v>Dumbum mikina se zipem a kapucí M -limited edition</v>
      </c>
      <c r="X339" s="645" t="str">
        <f t="shared" ref="X339:X342" si="822">IF(AB339&lt;0.0001,"",AB339)</f>
        <v/>
      </c>
      <c r="Y339" s="645" t="str">
        <f t="shared" ref="Y339:Y342" si="823">IF($AL$3=2,IF(OR(AB339&lt;&gt;"",AB339&lt;&gt;0),AU339,""),IF(C339="","",IF(AB339&lt;0.0001,"",IF(B339=0,"",IF(AQ339&lt;AB339,"",AB339)))))</f>
        <v/>
      </c>
      <c r="Z339" s="645" t="str">
        <f>HYPERLINK("https://www.klasekpyrotechnics.cz/mdlez1m")</f>
        <v>https://www.klasekpyrotechnics.cz/mdlez1m</v>
      </c>
      <c r="AA339" s="645" t="str">
        <f>IFERROR(IF(VLOOKUP(C339,[4]List1!$A:$D,4,FALSE)=0,"",VLOOKUP(C339,[4]List1!$A:$D,4,FALSE)),"")</f>
        <v/>
      </c>
      <c r="AB339" s="646"/>
      <c r="AC339" s="647" t="str">
        <f>IFERROR(IF(VLOOKUP(C339,[1]List1!$A:$D,2,FALSE)="VYPRODÁNO",$V$9,IF(VLOOKUP(C339,[1]List1!$A:$D,2,FALSE)="DOCHÁZÍ",$V$3,VLOOKUP(C339,[1]List1!$A:$D,2,FALSE))),"OFFLINE!")</f>
        <v>SKLADEM</v>
      </c>
      <c r="AD339" s="647" t="str">
        <f ca="1">IF(AP339="NE",$V$10,IF(AC339=$V$3,IF(AQ339&lt;1,$V$8,$V$2&amp;" "&amp;AQ339&amp;" "&amp;$V$1),IF(AC339="SKLADEM",$V$6,IFERROR(IF(OR(AC339-TODAY()&gt;45,VLOOKUP(C339,[1]List1!$A:$E,4,FALSE)=0),AC339,DAY(AC339)&amp;"."&amp;MONTH(AC339)&amp;"."&amp;YEAR(AC339)&amp;" "&amp;$V$4&amp;VLOOKUP(C339,[1]List1!$A:$E,4,FALSE)&amp;" "&amp;$V$1),AC339))))</f>
        <v>SKLADEM</v>
      </c>
      <c r="AE339" s="645" t="str">
        <f t="shared" ref="AE339:AE342" ca="1" si="824">IFERROR(IF(AV339&lt;&gt;"",AV339,AD339),AD339)</f>
        <v>SKLADEM</v>
      </c>
      <c r="AF339" s="648">
        <f t="shared" ref="AF339:AF342" si="825">IFERROR(IF(AB339=Y339,G339*I339*Y339,0),0)</f>
        <v>0</v>
      </c>
      <c r="AG339" s="649">
        <f t="shared" ref="AG339:AG342" si="826">IF($W$17=$AF$8,AH339*1.23,AF339*1.21)</f>
        <v>0</v>
      </c>
      <c r="AH339" s="650">
        <f t="shared" ref="AH339:AH342" si="827">IFERROR(IF(Y339=AB339,H339*I339*Y339,0),0)</f>
        <v>0</v>
      </c>
      <c r="AI339" s="645">
        <f t="shared" ref="AI339:AI342" si="828">IFERROR(IF(Y339=AB339,(P339*Y339)/1000,1),0)</f>
        <v>0</v>
      </c>
      <c r="AJ339" s="645">
        <f t="shared" ref="AJ339:AJ342" si="829">IFERROR(IF(Y339=AB339,N339*Y339,0.1),0)</f>
        <v>0</v>
      </c>
      <c r="AK339" s="645" t="str">
        <f t="shared" ref="AK339:AK342" si="830">IFERROR(IF(Y339=AB339,IF(M339="1.1G",(O339/1000)*Y339,""),""),0)</f>
        <v/>
      </c>
      <c r="AL339" s="645" t="str">
        <f t="shared" ref="AL339:AL342" si="831">IFERROR(IF(Y339=AB339,IF(M339="1.3G",(O339/1000)*AB339,""),""),0)</f>
        <v/>
      </c>
      <c r="AM339" s="645" t="str">
        <f t="shared" ref="AM339:AM342" si="832">IFERROR(IF(Y339=AB339,IF(M339="1.4G",(O339/1000)*AB339,""),""),0)</f>
        <v/>
      </c>
      <c r="AN339" s="651">
        <f t="shared" ref="AN339:AN342" si="833">SUM(AK339:AM339)</f>
        <v>0</v>
      </c>
      <c r="AO339" s="623"/>
      <c r="AP339" s="632" t="str">
        <f t="shared" si="813"/>
        <v/>
      </c>
      <c r="AQ339" s="633" t="str">
        <f>IF(AC339=$V$3,IF(VLOOKUP(C339,[1]List1!$A:$E,5,FALSE)=0,1,VLOOKUP(C339,[1]List1!$A:$E,5,FALSE)),"")</f>
        <v/>
      </c>
      <c r="AR339" s="625" t="str">
        <f t="shared" si="814"/>
        <v/>
      </c>
      <c r="AS339" s="634" t="str">
        <f t="shared" si="723"/>
        <v/>
      </c>
      <c r="AT339" s="625" t="str">
        <f t="shared" si="815"/>
        <v/>
      </c>
      <c r="AU339" s="638" t="e">
        <f t="shared" si="816"/>
        <v>#N/A</v>
      </c>
      <c r="AV339" s="625" t="e">
        <f t="shared" si="817"/>
        <v>#N/A</v>
      </c>
      <c r="AX339" s="625">
        <f>IF(AND('General price list'!$J339="F4",'General price list'!$AB339+0&gt;0),1,0)</f>
        <v>0</v>
      </c>
      <c r="AY339" s="625">
        <f t="shared" si="818"/>
        <v>0</v>
      </c>
      <c r="AZ339" s="625">
        <f t="shared" si="819"/>
        <v>0</v>
      </c>
    </row>
    <row r="340" spans="1:52" ht="15.75" customHeight="1">
      <c r="A340" s="621" t="str">
        <f>Kat.!C340</f>
        <v/>
      </c>
      <c r="B340" s="566">
        <f>IF(AND('General price list'!$J340="F4",$AI$1=FALSE),0,IF(AC340="SKLADEM",1,IF(AC340=$V$3,1,0)))</f>
        <v>1</v>
      </c>
      <c r="C340" s="567" t="s">
        <v>10952</v>
      </c>
      <c r="D340" s="568" t="s">
        <v>10953</v>
      </c>
      <c r="E340" s="763" t="s">
        <v>12663</v>
      </c>
      <c r="F340" s="772">
        <f>IFERROR(VLOOKUP(C340,[2]List1!$A:$D,3,FALSE),"NEUVEDENO!")</f>
        <v>1380</v>
      </c>
      <c r="G340" s="769">
        <f t="shared" si="820"/>
        <v>1380</v>
      </c>
      <c r="H340" s="766">
        <f t="shared" si="821"/>
        <v>58.620382051968242</v>
      </c>
      <c r="I340" s="764">
        <f>IFERROR(VLOOKUP(C340,[2]List1!$A:$D,4,FALSE),"NEUVEDENO!")</f>
        <v>1</v>
      </c>
      <c r="J340" s="732"/>
      <c r="K340" s="569" t="s">
        <v>20</v>
      </c>
      <c r="L340" s="569" t="s">
        <v>15089</v>
      </c>
      <c r="M340" s="569"/>
      <c r="N340" s="569">
        <f>IFERROR(VLOOKUP(C340,[3]List1!$A:$D,4,FALSE),"N/A!")</f>
        <v>0</v>
      </c>
      <c r="O340" s="569">
        <f>IFERROR(VLOOKUP(C340,[3]List1!$A:$D,3,FALSE),"N/A!")</f>
        <v>0</v>
      </c>
      <c r="P340" s="569">
        <f>IFERROR(VLOOKUP(C340,[3]List1!$A:$D,2,FALSE),"N/A!")</f>
        <v>670</v>
      </c>
      <c r="Q340" s="569"/>
      <c r="R340" s="569"/>
      <c r="S340" s="569"/>
      <c r="T340" s="569"/>
      <c r="U340" s="569"/>
      <c r="V340" s="569"/>
      <c r="W340" s="569" t="str">
        <f>IFERROR(IF(AND($AB340&gt;=0.1*$AA340,MOD($AB340,$AA340)&gt;=($AA340-(0.1*$AA340))),IF($W$17=$AF$1,"Zvažte možnost doobjednání ještě "&amp;Tabulka1[[#This Row],[VKPAL]]-MOD(AB340,AA340)&amp;" VK do plné palety.",VLOOKUP("Zvažte možnost doobjednání ještě ",Jazyky_ceník!A:Q,MATCH($W$17,Jazyky_ceník!$A$1:$Q$1,0),FALSE)&amp;Tabulka1[[#This Row],[VKPAL]]-MOD(AB340,AA340)&amp;VLOOKUP(" VK do plné palety.",Jazyky_ceník!A:Q,MATCH($W$17,Jazyky_ceník!$A$1:$Q$1,0),FALSE)),IFERROR(IF(AND(NOT(MOD($AB340,$AA340)=0),$AB340&gt;=0.9*$AA340,MOD($AB340,$AA340)&lt;=0.1*$AA340),IF($W$17=$AF$1,"Zvažte možnost optimalizace objednaného množství podle počtu VK na paletě ==&gt;",VLOOKUP("Zvažte možnost optimalizace objednaného množství podle počtu VK na paletě ==&gt;",Jazyky_ceník!A:Q,MATCH($W$17,Jazyky_ceník!$A$1:$Q$1,0),FALSE)),VLOOKUP('General price list'!$C340,Popisy!A:M,MATCH($W$17,Popisy!$A$7:$M$7,0),FALSE)),"---------------")),IFERROR(VLOOKUP('General price list'!$C340,Popisy!A:M,MATCH($W$17,Popisy!$A$7:$M$7,0),FALSE),"---------------"))</f>
        <v>Dumbum mikina se zipem a kapucí L -limited edition</v>
      </c>
      <c r="X340" s="569" t="str">
        <f t="shared" si="822"/>
        <v/>
      </c>
      <c r="Y340" s="569" t="str">
        <f t="shared" si="823"/>
        <v/>
      </c>
      <c r="Z340" s="569" t="str">
        <f>HYPERLINK("https://www.klasekpyrotechnics.cz/mdlez1l")</f>
        <v>https://www.klasekpyrotechnics.cz/mdlez1l</v>
      </c>
      <c r="AA340" s="569" t="str">
        <f>IFERROR(IF(VLOOKUP(C340,[4]List1!$A:$D,4,FALSE)=0,"",VLOOKUP(C340,[4]List1!$A:$D,4,FALSE)),"")</f>
        <v/>
      </c>
      <c r="AB340" s="565"/>
      <c r="AC340" s="570" t="str">
        <f>IFERROR(IF(VLOOKUP(C340,[1]List1!$A:$D,2,FALSE)="VYPRODÁNO",$V$9,IF(VLOOKUP(C340,[1]List1!$A:$D,2,FALSE)="DOCHÁZÍ",$V$3,VLOOKUP(C340,[1]List1!$A:$D,2,FALSE))),"OFFLINE!")</f>
        <v>DOCHÁZÍ</v>
      </c>
      <c r="AD340" s="570" t="str">
        <f ca="1">IF(AP340="NE",$V$10,IF(AC340=$V$3,IF(AQ340&lt;1,$V$8,$V$2&amp;" "&amp;AQ340&amp;" "&amp;$V$1),IF(AC340="SKLADEM",$V$6,IFERROR(IF(OR(AC340-TODAY()&gt;45,VLOOKUP(C340,[1]List1!$A:$E,4,FALSE)=0),AC340,DAY(AC340)&amp;"."&amp;MONTH(AC340)&amp;"."&amp;YEAR(AC340)&amp;" "&amp;$V$4&amp;VLOOKUP(C340,[1]List1!$A:$E,4,FALSE)&amp;" "&amp;$V$1),AC340))))</f>
        <v>POSLEDNÍCH 3 VK</v>
      </c>
      <c r="AE340" s="581" t="str">
        <f t="shared" ca="1" si="824"/>
        <v>POSLEDNÍCH 3 VK</v>
      </c>
      <c r="AF340" s="584">
        <f t="shared" si="825"/>
        <v>0</v>
      </c>
      <c r="AG340" s="585">
        <f t="shared" si="826"/>
        <v>0</v>
      </c>
      <c r="AH340" s="583">
        <f t="shared" si="827"/>
        <v>0</v>
      </c>
      <c r="AI340" s="582">
        <f t="shared" si="828"/>
        <v>0</v>
      </c>
      <c r="AJ340" s="569">
        <f t="shared" si="829"/>
        <v>0</v>
      </c>
      <c r="AK340" s="569" t="str">
        <f t="shared" si="830"/>
        <v/>
      </c>
      <c r="AL340" s="569" t="str">
        <f t="shared" si="831"/>
        <v/>
      </c>
      <c r="AM340" s="569" t="str">
        <f t="shared" si="832"/>
        <v/>
      </c>
      <c r="AN340" s="581">
        <f t="shared" si="833"/>
        <v>0</v>
      </c>
      <c r="AO340" s="623"/>
      <c r="AP340" s="625" t="str">
        <f t="shared" si="813"/>
        <v/>
      </c>
      <c r="AQ340" s="625">
        <f>IF(AC340=$V$3,IF(VLOOKUP(C340,[1]List1!$A:$E,5,FALSE)=0,1,VLOOKUP(C340,[1]List1!$A:$E,5,FALSE)),"")</f>
        <v>3</v>
      </c>
      <c r="AR340" s="629" t="str">
        <f t="shared" si="814"/>
        <v/>
      </c>
      <c r="AS340" s="630" t="str">
        <f t="shared" si="723"/>
        <v/>
      </c>
      <c r="AT340" s="625" t="str">
        <f t="shared" si="815"/>
        <v/>
      </c>
      <c r="AU340" s="625" t="e">
        <f t="shared" si="816"/>
        <v>#N/A</v>
      </c>
      <c r="AV340" s="625" t="e">
        <f t="shared" si="817"/>
        <v>#N/A</v>
      </c>
      <c r="AW340" s="631"/>
      <c r="AX340" s="631">
        <f>IF(AND('General price list'!$J340="F4",'General price list'!$AB340+0&gt;0),1,0)</f>
        <v>0</v>
      </c>
      <c r="AY340" s="631">
        <f t="shared" si="818"/>
        <v>0</v>
      </c>
      <c r="AZ340" s="631">
        <f t="shared" si="819"/>
        <v>0</v>
      </c>
    </row>
    <row r="341" spans="1:52" ht="15" customHeight="1">
      <c r="A341" s="639" t="str">
        <f>Kat.!C341</f>
        <v/>
      </c>
      <c r="B341" s="640">
        <f>IF(AND('General price list'!$J341="F4",$AI$1=FALSE),0,IF(AC341="SKLADEM",1,IF(AC341=$V$3,1,0)))</f>
        <v>1</v>
      </c>
      <c r="C341" s="641" t="s">
        <v>10954</v>
      </c>
      <c r="D341" s="642" t="s">
        <v>10955</v>
      </c>
      <c r="E341" s="643" t="s">
        <v>12663</v>
      </c>
      <c r="F341" s="771">
        <f>IFERROR(VLOOKUP(C341,[2]List1!$A:$D,3,FALSE),"NEUVEDENO!")</f>
        <v>1380</v>
      </c>
      <c r="G341" s="768">
        <f t="shared" si="820"/>
        <v>1380</v>
      </c>
      <c r="H341" s="765">
        <f t="shared" si="821"/>
        <v>58.620382051968242</v>
      </c>
      <c r="I341" s="644">
        <f>IFERROR(VLOOKUP(C341,[2]List1!$A:$D,4,FALSE),"NEUVEDENO!")</f>
        <v>1</v>
      </c>
      <c r="J341" s="733"/>
      <c r="K341" s="645" t="s">
        <v>20</v>
      </c>
      <c r="L341" s="645" t="s">
        <v>15089</v>
      </c>
      <c r="M341" s="645"/>
      <c r="N341" s="645">
        <f>IFERROR(VLOOKUP(C341,[3]List1!$A:$D,4,FALSE),"N/A!")</f>
        <v>0</v>
      </c>
      <c r="O341" s="645">
        <f>IFERROR(VLOOKUP(C341,[3]List1!$A:$D,3,FALSE),"N/A!")</f>
        <v>0</v>
      </c>
      <c r="P341" s="645">
        <f>IFERROR(VLOOKUP(C341,[3]List1!$A:$D,2,FALSE),"N/A!")</f>
        <v>670</v>
      </c>
      <c r="Q341" s="645"/>
      <c r="R341" s="645"/>
      <c r="S341" s="645"/>
      <c r="T341" s="645"/>
      <c r="U341" s="645"/>
      <c r="V341" s="645"/>
      <c r="W341" s="645" t="str">
        <f>IFERROR(IF(AND($AB341&gt;=0.1*$AA341,MOD($AB341,$AA341)&gt;=($AA341-(0.1*$AA341))),IF($W$17=$AF$1,"Zvažte možnost doobjednání ještě "&amp;Tabulka1[[#This Row],[VKPAL]]-MOD(AB341,AA341)&amp;" VK do plné palety.",VLOOKUP("Zvažte možnost doobjednání ještě ",Jazyky_ceník!A:Q,MATCH($W$17,Jazyky_ceník!$A$1:$Q$1,0),FALSE)&amp;Tabulka1[[#This Row],[VKPAL]]-MOD(AB341,AA341)&amp;VLOOKUP(" VK do plné palety.",Jazyky_ceník!A:Q,MATCH($W$17,Jazyky_ceník!$A$1:$Q$1,0),FALSE)),IFERROR(IF(AND(NOT(MOD($AB341,$AA341)=0),$AB341&gt;=0.9*$AA341,MOD($AB341,$AA341)&lt;=0.1*$AA341),IF($W$17=$AF$1,"Zvažte možnost optimalizace objednaného množství podle počtu VK na paletě ==&gt;",VLOOKUP("Zvažte možnost optimalizace objednaného množství podle počtu VK na paletě ==&gt;",Jazyky_ceník!A:Q,MATCH($W$17,Jazyky_ceník!$A$1:$Q$1,0),FALSE)),VLOOKUP('General price list'!$C341,Popisy!A:M,MATCH($W$17,Popisy!$A$7:$M$7,0),FALSE)),"---------------")),IFERROR(VLOOKUP('General price list'!$C341,Popisy!A:M,MATCH($W$17,Popisy!$A$7:$M$7,0),FALSE),"---------------"))</f>
        <v>Dumbum mikina se zipem a kapucí XL -limited edition</v>
      </c>
      <c r="X341" s="645" t="str">
        <f t="shared" si="822"/>
        <v/>
      </c>
      <c r="Y341" s="645" t="str">
        <f t="shared" si="823"/>
        <v/>
      </c>
      <c r="Z341" s="645" t="str">
        <f>HYPERLINK("https://www.klasekpyrotechnics.cz/mdlez1xl")</f>
        <v>https://www.klasekpyrotechnics.cz/mdlez1xl</v>
      </c>
      <c r="AA341" s="645" t="str">
        <f>IFERROR(IF(VLOOKUP(C341,[4]List1!$A:$D,4,FALSE)=0,"",VLOOKUP(C341,[4]List1!$A:$D,4,FALSE)),"")</f>
        <v/>
      </c>
      <c r="AB341" s="646"/>
      <c r="AC341" s="647" t="str">
        <f>IFERROR(IF(VLOOKUP(C341,[1]List1!$A:$D,2,FALSE)="VYPRODÁNO",$V$9,IF(VLOOKUP(C341,[1]List1!$A:$D,2,FALSE)="DOCHÁZÍ",$V$3,VLOOKUP(C341,[1]List1!$A:$D,2,FALSE))),"OFFLINE!")</f>
        <v>DOCHÁZÍ</v>
      </c>
      <c r="AD341" s="647" t="str">
        <f ca="1">IF(AP341="NE",$V$10,IF(AC341=$V$3,IF(AQ341&lt;1,$V$8,$V$2&amp;" "&amp;AQ341&amp;" "&amp;$V$1),IF(AC341="SKLADEM",$V$6,IFERROR(IF(OR(AC341-TODAY()&gt;45,VLOOKUP(C341,[1]List1!$A:$E,4,FALSE)=0),AC341,DAY(AC341)&amp;"."&amp;MONTH(AC341)&amp;"."&amp;YEAR(AC341)&amp;" "&amp;$V$4&amp;VLOOKUP(C341,[1]List1!$A:$E,4,FALSE)&amp;" "&amp;$V$1),AC341))))</f>
        <v>POSLEDNÍCH 3 VK</v>
      </c>
      <c r="AE341" s="645" t="str">
        <f t="shared" ca="1" si="824"/>
        <v>POSLEDNÍCH 3 VK</v>
      </c>
      <c r="AF341" s="648">
        <f t="shared" si="825"/>
        <v>0</v>
      </c>
      <c r="AG341" s="649">
        <f t="shared" si="826"/>
        <v>0</v>
      </c>
      <c r="AH341" s="650">
        <f t="shared" si="827"/>
        <v>0</v>
      </c>
      <c r="AI341" s="645">
        <f t="shared" si="828"/>
        <v>0</v>
      </c>
      <c r="AJ341" s="645">
        <f t="shared" si="829"/>
        <v>0</v>
      </c>
      <c r="AK341" s="645" t="str">
        <f t="shared" si="830"/>
        <v/>
      </c>
      <c r="AL341" s="645" t="str">
        <f t="shared" si="831"/>
        <v/>
      </c>
      <c r="AM341" s="645" t="str">
        <f t="shared" si="832"/>
        <v/>
      </c>
      <c r="AN341" s="651">
        <f t="shared" si="833"/>
        <v>0</v>
      </c>
      <c r="AO341" s="623"/>
      <c r="AP341" s="632" t="str">
        <f t="shared" si="813"/>
        <v/>
      </c>
      <c r="AQ341" s="633">
        <f>IF(AC341=$V$3,IF(VLOOKUP(C341,[1]List1!$A:$E,5,FALSE)=0,1,VLOOKUP(C341,[1]List1!$A:$E,5,FALSE)),"")</f>
        <v>3</v>
      </c>
      <c r="AR341" s="625" t="str">
        <f t="shared" si="814"/>
        <v/>
      </c>
      <c r="AS341" s="634" t="str">
        <f t="shared" si="723"/>
        <v/>
      </c>
      <c r="AT341" s="625" t="str">
        <f t="shared" si="815"/>
        <v/>
      </c>
      <c r="AU341" s="638" t="e">
        <f t="shared" si="816"/>
        <v>#N/A</v>
      </c>
      <c r="AV341" s="625" t="e">
        <f t="shared" si="817"/>
        <v>#N/A</v>
      </c>
      <c r="AX341" s="625">
        <f>IF(AND('General price list'!$J341="F4",'General price list'!$AB341+0&gt;0),1,0)</f>
        <v>0</v>
      </c>
      <c r="AY341" s="625">
        <f t="shared" si="818"/>
        <v>0</v>
      </c>
      <c r="AZ341" s="625">
        <f t="shared" si="819"/>
        <v>0</v>
      </c>
    </row>
    <row r="342" spans="1:52" ht="15" customHeight="1">
      <c r="A342" s="621" t="str">
        <f>Kat.!C342</f>
        <v/>
      </c>
      <c r="B342" s="566">
        <f>IF(AND('General price list'!$J342="F4",$AI$1=FALSE),0,IF(AC342="SKLADEM",1,IF(AC342=$V$3,1,0)))</f>
        <v>1</v>
      </c>
      <c r="C342" s="567" t="s">
        <v>10956</v>
      </c>
      <c r="D342" s="568" t="s">
        <v>10957</v>
      </c>
      <c r="E342" s="763" t="s">
        <v>12663</v>
      </c>
      <c r="F342" s="772">
        <f>IFERROR(VLOOKUP(C342,[2]List1!$A:$D,3,FALSE),"NEUVEDENO!")</f>
        <v>1380</v>
      </c>
      <c r="G342" s="769">
        <f t="shared" si="820"/>
        <v>1380</v>
      </c>
      <c r="H342" s="766">
        <f t="shared" si="821"/>
        <v>58.620382051968242</v>
      </c>
      <c r="I342" s="764">
        <f>IFERROR(VLOOKUP(C342,[2]List1!$A:$D,4,FALSE),"NEUVEDENO!")</f>
        <v>1</v>
      </c>
      <c r="J342" s="732"/>
      <c r="K342" s="569" t="s">
        <v>20</v>
      </c>
      <c r="L342" s="569" t="s">
        <v>15089</v>
      </c>
      <c r="M342" s="569"/>
      <c r="N342" s="569">
        <f>IFERROR(VLOOKUP(C342,[3]List1!$A:$D,4,FALSE),"N/A!")</f>
        <v>0</v>
      </c>
      <c r="O342" s="569">
        <f>IFERROR(VLOOKUP(C342,[3]List1!$A:$D,3,FALSE),"N/A!")</f>
        <v>0</v>
      </c>
      <c r="P342" s="569">
        <f>IFERROR(VLOOKUP(C342,[3]List1!$A:$D,2,FALSE),"N/A!")</f>
        <v>670</v>
      </c>
      <c r="Q342" s="569"/>
      <c r="R342" s="569"/>
      <c r="S342" s="569"/>
      <c r="T342" s="569"/>
      <c r="U342" s="569"/>
      <c r="V342" s="569"/>
      <c r="W342" s="569" t="str">
        <f>IFERROR(IF(AND($AB342&gt;=0.1*$AA342,MOD($AB342,$AA342)&gt;=($AA342-(0.1*$AA342))),IF($W$17=$AF$1,"Zvažte možnost doobjednání ještě "&amp;Tabulka1[[#This Row],[VKPAL]]-MOD(AB342,AA342)&amp;" VK do plné palety.",VLOOKUP("Zvažte možnost doobjednání ještě ",Jazyky_ceník!A:Q,MATCH($W$17,Jazyky_ceník!$A$1:$Q$1,0),FALSE)&amp;Tabulka1[[#This Row],[VKPAL]]-MOD(AB342,AA342)&amp;VLOOKUP(" VK do plné palety.",Jazyky_ceník!A:Q,MATCH($W$17,Jazyky_ceník!$A$1:$Q$1,0),FALSE)),IFERROR(IF(AND(NOT(MOD($AB342,$AA342)=0),$AB342&gt;=0.9*$AA342,MOD($AB342,$AA342)&lt;=0.1*$AA342),IF($W$17=$AF$1,"Zvažte možnost optimalizace objednaného množství podle počtu VK na paletě ==&gt;",VLOOKUP("Zvažte možnost optimalizace objednaného množství podle počtu VK na paletě ==&gt;",Jazyky_ceník!A:Q,MATCH($W$17,Jazyky_ceník!$A$1:$Q$1,0),FALSE)),VLOOKUP('General price list'!$C342,Popisy!A:M,MATCH($W$17,Popisy!$A$7:$M$7,0),FALSE)),"---------------")),IFERROR(VLOOKUP('General price list'!$C342,Popisy!A:M,MATCH($W$17,Popisy!$A$7:$M$7,0),FALSE),"---------------"))</f>
        <v>Dumbum mikina se zipem a kapucí XXL -limited edition</v>
      </c>
      <c r="X342" s="569" t="str">
        <f t="shared" si="822"/>
        <v/>
      </c>
      <c r="Y342" s="569" t="str">
        <f t="shared" si="823"/>
        <v/>
      </c>
      <c r="Z342" s="569" t="str">
        <f>HYPERLINK("https://www.klasekpyrotechnics.cz/mdlez1xxl")</f>
        <v>https://www.klasekpyrotechnics.cz/mdlez1xxl</v>
      </c>
      <c r="AA342" s="569" t="str">
        <f>IFERROR(IF(VLOOKUP(C342,[4]List1!$A:$D,4,FALSE)=0,"",VLOOKUP(C342,[4]List1!$A:$D,4,FALSE)),"")</f>
        <v/>
      </c>
      <c r="AB342" s="565"/>
      <c r="AC342" s="570" t="str">
        <f>IFERROR(IF(VLOOKUP(C342,[1]List1!$A:$D,2,FALSE)="VYPRODÁNO",$V$9,IF(VLOOKUP(C342,[1]List1!$A:$D,2,FALSE)="DOCHÁZÍ",$V$3,VLOOKUP(C342,[1]List1!$A:$D,2,FALSE))),"OFFLINE!")</f>
        <v>SKLADEM</v>
      </c>
      <c r="AD342" s="570" t="str">
        <f ca="1">IF(AP342="NE",$V$10,IF(AC342=$V$3,IF(AQ342&lt;1,$V$8,$V$2&amp;" "&amp;AQ342&amp;" "&amp;$V$1),IF(AC342="SKLADEM",$V$6,IFERROR(IF(OR(AC342-TODAY()&gt;45,VLOOKUP(C342,[1]List1!$A:$E,4,FALSE)=0),AC342,DAY(AC342)&amp;"."&amp;MONTH(AC342)&amp;"."&amp;YEAR(AC342)&amp;" "&amp;$V$4&amp;VLOOKUP(C342,[1]List1!$A:$E,4,FALSE)&amp;" "&amp;$V$1),AC342))))</f>
        <v>SKLADEM</v>
      </c>
      <c r="AE342" s="581" t="str">
        <f t="shared" ca="1" si="824"/>
        <v>SKLADEM</v>
      </c>
      <c r="AF342" s="584">
        <f t="shared" si="825"/>
        <v>0</v>
      </c>
      <c r="AG342" s="585">
        <f t="shared" si="826"/>
        <v>0</v>
      </c>
      <c r="AH342" s="583">
        <f t="shared" si="827"/>
        <v>0</v>
      </c>
      <c r="AI342" s="582">
        <f t="shared" si="828"/>
        <v>0</v>
      </c>
      <c r="AJ342" s="569">
        <f t="shared" si="829"/>
        <v>0</v>
      </c>
      <c r="AK342" s="569" t="str">
        <f t="shared" si="830"/>
        <v/>
      </c>
      <c r="AL342" s="569" t="str">
        <f t="shared" si="831"/>
        <v/>
      </c>
      <c r="AM342" s="569" t="str">
        <f t="shared" si="832"/>
        <v/>
      </c>
      <c r="AN342" s="581">
        <f t="shared" si="833"/>
        <v>0</v>
      </c>
      <c r="AO342" s="623"/>
      <c r="AP342" s="632" t="str">
        <f t="shared" si="813"/>
        <v/>
      </c>
      <c r="AQ342" s="633" t="str">
        <f>IF(AC342=$V$3,IF(VLOOKUP(C342,[1]List1!$A:$E,5,FALSE)=0,1,VLOOKUP(C342,[1]List1!$A:$E,5,FALSE)),"")</f>
        <v/>
      </c>
      <c r="AR342" s="625" t="str">
        <f t="shared" si="814"/>
        <v/>
      </c>
      <c r="AS342" s="634" t="str">
        <f t="shared" si="723"/>
        <v/>
      </c>
      <c r="AT342" s="625" t="str">
        <f t="shared" si="815"/>
        <v/>
      </c>
      <c r="AU342" s="638" t="e">
        <f t="shared" si="816"/>
        <v>#N/A</v>
      </c>
      <c r="AV342" s="625" t="e">
        <f t="shared" si="817"/>
        <v>#N/A</v>
      </c>
      <c r="AX342" s="625">
        <f>IF(AND('General price list'!$J342="F4",'General price list'!$AB342+0&gt;0),1,0)</f>
        <v>0</v>
      </c>
      <c r="AY342" s="625">
        <f t="shared" si="818"/>
        <v>0</v>
      </c>
      <c r="AZ342" s="625">
        <f t="shared" si="819"/>
        <v>0</v>
      </c>
    </row>
    <row r="343" spans="1:52" ht="15" customHeight="1">
      <c r="A343" s="751" t="str">
        <f>Kat.!C343</f>
        <v/>
      </c>
      <c r="B343" s="751"/>
      <c r="C343" s="751"/>
      <c r="D343" s="751"/>
      <c r="E343" s="751"/>
      <c r="F343" s="751"/>
      <c r="G343" s="751"/>
      <c r="H343" s="751"/>
      <c r="I343" s="752"/>
      <c r="J343" s="752"/>
      <c r="K343" s="752" t="s">
        <v>20</v>
      </c>
      <c r="L343" s="753" t="s">
        <v>2818</v>
      </c>
      <c r="M343" s="752"/>
      <c r="N343" s="752"/>
      <c r="O343" s="752"/>
      <c r="P343" s="752"/>
      <c r="Q343" s="752"/>
      <c r="R343" s="752"/>
      <c r="S343" s="752"/>
      <c r="T343" s="752"/>
      <c r="U343" s="752"/>
      <c r="V343" s="752"/>
      <c r="W343" s="752"/>
      <c r="X343" s="752"/>
      <c r="Y343" s="752"/>
      <c r="Z343" s="752" t="s">
        <v>20</v>
      </c>
      <c r="AA343" s="752"/>
      <c r="AB343" s="752"/>
      <c r="AC343" s="754"/>
      <c r="AD343" s="752"/>
      <c r="AE343" s="752"/>
      <c r="AF343" s="752"/>
      <c r="AG343" s="752"/>
      <c r="AH343" s="752"/>
      <c r="AI343" s="752"/>
      <c r="AJ343" s="752"/>
      <c r="AK343" s="752"/>
      <c r="AL343" s="752"/>
      <c r="AM343" s="752"/>
      <c r="AN343" s="752"/>
      <c r="AO343" s="623"/>
      <c r="AP343" s="632" t="str">
        <f t="shared" ref="AP343:AP401" si="834">IF($AL$3=1,IF(Y343=AB343,"","NE"),IF(AR343=$V$10,"NE",""))</f>
        <v/>
      </c>
      <c r="AQ343" s="633" t="str">
        <f>IF(AC343=$V$3,IF(VLOOKUP(C343,[1]List1!$A:$E,5,FALSE)=0,1,VLOOKUP(C343,[1]List1!$A:$E,5,FALSE)),"")</f>
        <v/>
      </c>
      <c r="AR343" s="625" t="str">
        <f t="shared" ref="AR343:AR401" si="835">IF($AL$3=1,"",IF(OR(AB343&lt;&gt;"",AB343&lt;&gt;0),IF(OR(AC343=$V$6,AC343=$V$3,AC343=$V$9),$V$10,""),""))</f>
        <v/>
      </c>
      <c r="AS343" s="634" t="str">
        <f t="shared" ref="AS343:AS401" si="836">IF(AT343&lt;&gt;"","X","")</f>
        <v/>
      </c>
      <c r="AT343" s="625" t="str">
        <f t="shared" ref="AT343:AT401" si="837">IF(AND($AL$3=2,AR343="",AB343&lt;&gt;""),AD343,"")</f>
        <v/>
      </c>
      <c r="AU343" s="638" t="e">
        <f t="shared" ref="AU343:AU401" si="838">IF(AT343=$AS$21,AB343,"")</f>
        <v>#N/A</v>
      </c>
      <c r="AV343" s="625" t="e">
        <f t="shared" ref="AV343:AV401" si="839">IF(OR(AB343="",AND(AT343&lt;&gt;"",AU343&lt;&gt;"")),"",$V$10)</f>
        <v>#N/A</v>
      </c>
      <c r="AX343" s="625">
        <f>IF(AND('General price list'!$J343="F4",'General price list'!$AB343+0&gt;0),1,0)</f>
        <v>0</v>
      </c>
      <c r="AY343" s="625">
        <f t="shared" ref="AY343:AY401" si="840">IFERROR(FIND(VLOOKUP($AC$7,$AD$1:$AE$12,2,FALSE),Q343,1),0)</f>
        <v>0</v>
      </c>
      <c r="AZ343" s="625">
        <f t="shared" ref="AZ343:AZ401" si="841">IFERROR(FIND(VLOOKUP($AC$7,$AD$1:$AE$12,2,FALSE),R343,1),0)</f>
        <v>0</v>
      </c>
    </row>
    <row r="344" spans="1:52" ht="15" customHeight="1">
      <c r="A344" s="639" t="str">
        <f>Kat.!C344</f>
        <v/>
      </c>
      <c r="B344" s="640">
        <f>IF(AND('General price list'!$J344="F4",$AI$1=FALSE),0,IF(AC344="SKLADEM",1,IF(AC344=$V$3,1,0)))</f>
        <v>1</v>
      </c>
      <c r="C344" s="641" t="s">
        <v>2417</v>
      </c>
      <c r="D344" s="642" t="s">
        <v>2418</v>
      </c>
      <c r="E344" s="643" t="s">
        <v>12663</v>
      </c>
      <c r="F344" s="771">
        <f>IFERROR(VLOOKUP(C344,[2]List1!$A:$D,3,FALSE),"NEUVEDENO!")</f>
        <v>300</v>
      </c>
      <c r="G344" s="768">
        <f t="shared" ref="G344:G345" si="842">IF($W$17=$AF$8,ROUND((F344)/$F$17,2),(F344)*$B$19)</f>
        <v>300</v>
      </c>
      <c r="H344" s="765">
        <f t="shared" ref="H344:H345" si="843">IF($W$17=$AF$8,G344*$B$19,G344/$F$17)</f>
        <v>12.74356131564527</v>
      </c>
      <c r="I344" s="644">
        <f>IFERROR(VLOOKUP(C344,[2]List1!$A:$D,4,FALSE),"NEUVEDENO!")</f>
        <v>1</v>
      </c>
      <c r="J344" s="733"/>
      <c r="K344" s="645" t="s">
        <v>20</v>
      </c>
      <c r="L344" s="645" t="s">
        <v>15089</v>
      </c>
      <c r="M344" s="645"/>
      <c r="N344" s="645">
        <f>IFERROR(VLOOKUP(C344,[3]List1!$A:$D,4,FALSE),"N/A!")</f>
        <v>0</v>
      </c>
      <c r="O344" s="645">
        <f>IFERROR(VLOOKUP(C344,[3]List1!$A:$D,3,FALSE),"N/A!")</f>
        <v>0</v>
      </c>
      <c r="P344" s="645">
        <f>IFERROR(VLOOKUP(C344,[3]List1!$A:$D,2,FALSE),"N/A!")</f>
        <v>72</v>
      </c>
      <c r="Q344" s="645" t="s">
        <v>20</v>
      </c>
      <c r="R344" s="645" t="s">
        <v>20</v>
      </c>
      <c r="S344" s="645"/>
      <c r="T344" s="645"/>
      <c r="U344" s="645"/>
      <c r="V344" s="645"/>
      <c r="W344" s="645" t="str">
        <f>IFERROR(IF(AND($AB344&gt;=0.1*$AA344,MOD($AB344,$AA344)&gt;=($AA344-(0.1*$AA344))),IF($W$17=$AF$1,"Zvažte možnost doobjednání ještě "&amp;Tabulka1[[#This Row],[VKPAL]]-MOD(AB344,AA344)&amp;" VK do plné palety.",VLOOKUP("Zvažte možnost doobjednání ještě ",Jazyky_ceník!A:Q,MATCH($W$17,Jazyky_ceník!$A$1:$Q$1,0),FALSE)&amp;Tabulka1[[#This Row],[VKPAL]]-MOD(AB344,AA344)&amp;VLOOKUP(" VK do plné palety.",Jazyky_ceník!A:Q,MATCH($W$17,Jazyky_ceník!$A$1:$Q$1,0),FALSE)),IFERROR(IF(AND(NOT(MOD($AB344,$AA344)=0),$AB344&gt;=0.9*$AA344,MOD($AB344,$AA344)&lt;=0.1*$AA344),IF($W$17=$AF$1,"Zvažte možnost optimalizace objednaného množství podle počtu VK na paletě ==&gt;",VLOOKUP("Zvažte možnost optimalizace objednaného množství podle počtu VK na paletě ==&gt;",Jazyky_ceník!A:Q,MATCH($W$17,Jazyky_ceník!$A$1:$Q$1,0),FALSE)),VLOOKUP('General price list'!$C344,Popisy!A:M,MATCH($W$17,Popisy!$A$7:$M$7,0),FALSE)),"---------------")),IFERROR(VLOOKUP('General price list'!$C344,Popisy!A:M,MATCH($W$17,Popisy!$A$7:$M$7,0),FALSE),"---------------"))</f>
        <v>Dumbum kšiltovka - limited edition</v>
      </c>
      <c r="X344" s="645" t="str">
        <f t="shared" ref="X344:X345" si="844">IF(AB344&lt;0.0001,"",AB344)</f>
        <v/>
      </c>
      <c r="Y344" s="645" t="str">
        <f t="shared" ref="Y344:Y345" si="845">IF($AL$3=2,IF(OR(AB344&lt;&gt;"",AB344&lt;&gt;0),AU344,""),IF(C344="","",IF(AB344&lt;0.0001,"",IF(B344=0,"",IF(AQ344&lt;AB344,"",AB344)))))</f>
        <v/>
      </c>
      <c r="Z344" s="645" t="str">
        <f>HYPERLINK("https://www.klasekpyrotechnics.cz/kdle1")</f>
        <v>https://www.klasekpyrotechnics.cz/kdle1</v>
      </c>
      <c r="AA344" s="645" t="str">
        <f>IFERROR(IF(VLOOKUP(C344,[4]List1!$A:$D,4,FALSE)=0,"",VLOOKUP(C344,[4]List1!$A:$D,4,FALSE)),"")</f>
        <v/>
      </c>
      <c r="AB344" s="646"/>
      <c r="AC344" s="647" t="str">
        <f>IFERROR(IF(VLOOKUP(C344,[1]List1!$A:$D,2,FALSE)="VYPRODÁNO",$V$9,IF(VLOOKUP(C344,[1]List1!$A:$D,2,FALSE)="DOCHÁZÍ",$V$3,VLOOKUP(C344,[1]List1!$A:$D,2,FALSE))),"OFFLINE!")</f>
        <v>SKLADEM</v>
      </c>
      <c r="AD344" s="647" t="str">
        <f ca="1">IF(AP344="NE",$V$10,IF(AC344=$V$3,IF(AQ344&lt;1,$V$8,$V$2&amp;" "&amp;AQ344&amp;" "&amp;$V$1),IF(AC344="SKLADEM",$V$6,IFERROR(IF(OR(AC344-TODAY()&gt;45,VLOOKUP(C344,[1]List1!$A:$E,4,FALSE)=0),AC344,DAY(AC344)&amp;"."&amp;MONTH(AC344)&amp;"."&amp;YEAR(AC344)&amp;" "&amp;$V$4&amp;VLOOKUP(C344,[1]List1!$A:$E,4,FALSE)&amp;" "&amp;$V$1),AC344))))</f>
        <v>SKLADEM</v>
      </c>
      <c r="AE344" s="645" t="str">
        <f t="shared" ref="AE344:AE345" ca="1" si="846">IFERROR(IF(AV344&lt;&gt;"",AV344,AD344),AD344)</f>
        <v>SKLADEM</v>
      </c>
      <c r="AF344" s="648">
        <f t="shared" ref="AF344:AF345" si="847">IFERROR(IF(AB344=Y344,G344*I344*Y344,0),0)</f>
        <v>0</v>
      </c>
      <c r="AG344" s="649">
        <f t="shared" ref="AG344:AG345" si="848">IF($W$17=$AF$8,AH344*1.23,AF344*1.21)</f>
        <v>0</v>
      </c>
      <c r="AH344" s="650">
        <f t="shared" ref="AH344:AH345" si="849">IFERROR(IF(Y344=AB344,H344*I344*Y344,0),0)</f>
        <v>0</v>
      </c>
      <c r="AI344" s="645">
        <f t="shared" ref="AI344:AI345" si="850">IFERROR(IF(Y344=AB344,(P344*Y344)/1000,1),0)</f>
        <v>0</v>
      </c>
      <c r="AJ344" s="645">
        <f t="shared" ref="AJ344:AJ345" si="851">IFERROR(IF(Y344=AB344,N344*Y344,0.1),0)</f>
        <v>0</v>
      </c>
      <c r="AK344" s="645" t="str">
        <f t="shared" ref="AK344:AK345" si="852">IFERROR(IF(Y344=AB344,IF(M344="1.1G",(O344/1000)*Y344,""),""),0)</f>
        <v/>
      </c>
      <c r="AL344" s="645" t="str">
        <f t="shared" ref="AL344:AL345" si="853">IFERROR(IF(Y344=AB344,IF(M344="1.3G",(O344/1000)*AB344,""),""),0)</f>
        <v/>
      </c>
      <c r="AM344" s="645" t="str">
        <f t="shared" ref="AM344:AM345" si="854">IFERROR(IF(Y344=AB344,IF(M344="1.4G",(O344/1000)*AB344,""),""),0)</f>
        <v/>
      </c>
      <c r="AN344" s="651">
        <f t="shared" ref="AN344:AN345" si="855">SUM(AK344:AM344)</f>
        <v>0</v>
      </c>
      <c r="AO344" s="623"/>
      <c r="AP344" s="632" t="str">
        <f t="shared" si="834"/>
        <v/>
      </c>
      <c r="AQ344" s="633" t="str">
        <f>IF(AC344=$V$3,IF(VLOOKUP(C344,[1]List1!$A:$E,5,FALSE)=0,1,VLOOKUP(C344,[1]List1!$A:$E,5,FALSE)),"")</f>
        <v/>
      </c>
      <c r="AR344" s="625" t="str">
        <f t="shared" si="835"/>
        <v/>
      </c>
      <c r="AS344" s="634" t="str">
        <f t="shared" si="836"/>
        <v/>
      </c>
      <c r="AT344" s="625" t="str">
        <f t="shared" si="837"/>
        <v/>
      </c>
      <c r="AU344" s="638" t="e">
        <f t="shared" si="838"/>
        <v>#N/A</v>
      </c>
      <c r="AV344" s="625" t="e">
        <f t="shared" si="839"/>
        <v>#N/A</v>
      </c>
      <c r="AX344" s="625">
        <f>IF(AND('General price list'!$J344="F4",'General price list'!$AB344+0&gt;0),1,0)</f>
        <v>0</v>
      </c>
      <c r="AY344" s="625">
        <f t="shared" si="840"/>
        <v>0</v>
      </c>
      <c r="AZ344" s="625">
        <f t="shared" si="841"/>
        <v>0</v>
      </c>
    </row>
    <row r="345" spans="1:52" ht="15.75" customHeight="1">
      <c r="A345" s="621" t="str">
        <f>Kat.!C345</f>
        <v/>
      </c>
      <c r="B345" s="566">
        <f>IF(AND('General price list'!$J345="F4",$AI$1=FALSE),0,IF(AC345="SKLADEM",1,IF(AC345=$V$3,1,0)))</f>
        <v>1</v>
      </c>
      <c r="C345" s="567" t="s">
        <v>2419</v>
      </c>
      <c r="D345" s="568" t="s">
        <v>2420</v>
      </c>
      <c r="E345" s="763" t="s">
        <v>12663</v>
      </c>
      <c r="F345" s="772">
        <f>IFERROR(VLOOKUP(C345,[2]List1!$A:$D,3,FALSE),"NEUVEDENO!")</f>
        <v>360</v>
      </c>
      <c r="G345" s="769">
        <f t="shared" si="842"/>
        <v>360</v>
      </c>
      <c r="H345" s="766">
        <f t="shared" si="843"/>
        <v>15.292273578774324</v>
      </c>
      <c r="I345" s="764">
        <f>IFERROR(VLOOKUP(C345,[2]List1!$A:$D,4,FALSE),"NEUVEDENO!")</f>
        <v>1</v>
      </c>
      <c r="J345" s="732"/>
      <c r="K345" s="569" t="s">
        <v>20</v>
      </c>
      <c r="L345" s="569" t="s">
        <v>15089</v>
      </c>
      <c r="M345" s="569"/>
      <c r="N345" s="569">
        <f>IFERROR(VLOOKUP(C345,[3]List1!$A:$D,4,FALSE),"N/A!")</f>
        <v>0</v>
      </c>
      <c r="O345" s="569">
        <f>IFERROR(VLOOKUP(C345,[3]List1!$A:$D,3,FALSE),"N/A!")</f>
        <v>0</v>
      </c>
      <c r="P345" s="569">
        <f>IFERROR(VLOOKUP(C345,[3]List1!$A:$D,2,FALSE),"N/A!")</f>
        <v>47</v>
      </c>
      <c r="Q345" s="569" t="s">
        <v>20</v>
      </c>
      <c r="R345" s="569" t="s">
        <v>20</v>
      </c>
      <c r="S345" s="569"/>
      <c r="T345" s="569"/>
      <c r="U345" s="569"/>
      <c r="V345" s="569"/>
      <c r="W345" s="569" t="str">
        <f>IFERROR(IF(AND($AB345&gt;=0.1*$AA345,MOD($AB345,$AA345)&gt;=($AA345-(0.1*$AA345))),IF($W$17=$AF$1,"Zvažte možnost doobjednání ještě "&amp;Tabulka1[[#This Row],[VKPAL]]-MOD(AB345,AA345)&amp;" VK do plné palety.",VLOOKUP("Zvažte možnost doobjednání ještě ",Jazyky_ceník!A:Q,MATCH($W$17,Jazyky_ceník!$A$1:$Q$1,0),FALSE)&amp;Tabulka1[[#This Row],[VKPAL]]-MOD(AB345,AA345)&amp;VLOOKUP(" VK do plné palety.",Jazyky_ceník!A:Q,MATCH($W$17,Jazyky_ceník!$A$1:$Q$1,0),FALSE)),IFERROR(IF(AND(NOT(MOD($AB345,$AA345)=0),$AB345&gt;=0.9*$AA345,MOD($AB345,$AA345)&lt;=0.1*$AA345),IF($W$17=$AF$1,"Zvažte možnost optimalizace objednaného množství podle počtu VK na paletě ==&gt;",VLOOKUP("Zvažte možnost optimalizace objednaného množství podle počtu VK na paletě ==&gt;",Jazyky_ceník!A:Q,MATCH($W$17,Jazyky_ceník!$A$1:$Q$1,0),FALSE)),VLOOKUP('General price list'!$C345,Popisy!A:M,MATCH($W$17,Popisy!$A$7:$M$7,0),FALSE)),"---------------")),IFERROR(VLOOKUP('General price list'!$C345,Popisy!A:M,MATCH($W$17,Popisy!$A$7:$M$7,0),FALSE),"---------------"))</f>
        <v>Dumbum zimní čepice - limited edition</v>
      </c>
      <c r="X345" s="569" t="str">
        <f t="shared" si="844"/>
        <v/>
      </c>
      <c r="Y345" s="569" t="str">
        <f t="shared" si="845"/>
        <v/>
      </c>
      <c r="Z345" s="569" t="str">
        <f>HYPERLINK("https://www.klasekpyrotechnics.cz/cdle1")</f>
        <v>https://www.klasekpyrotechnics.cz/cdle1</v>
      </c>
      <c r="AA345" s="569" t="str">
        <f>IFERROR(IF(VLOOKUP(C345,[4]List1!$A:$D,4,FALSE)=0,"",VLOOKUP(C345,[4]List1!$A:$D,4,FALSE)),"")</f>
        <v/>
      </c>
      <c r="AB345" s="565"/>
      <c r="AC345" s="570" t="str">
        <f>IFERROR(IF(VLOOKUP(C345,[1]List1!$A:$D,2,FALSE)="VYPRODÁNO",$V$9,IF(VLOOKUP(C345,[1]List1!$A:$D,2,FALSE)="DOCHÁZÍ",$V$3,VLOOKUP(C345,[1]List1!$A:$D,2,FALSE))),"OFFLINE!")</f>
        <v>SKLADEM</v>
      </c>
      <c r="AD345" s="570" t="str">
        <f ca="1">IF(AP345="NE",$V$10,IF(AC345=$V$3,IF(AQ345&lt;1,$V$8,$V$2&amp;" "&amp;AQ345&amp;" "&amp;$V$1),IF(AC345="SKLADEM",$V$6,IFERROR(IF(OR(AC345-TODAY()&gt;45,VLOOKUP(C345,[1]List1!$A:$E,4,FALSE)=0),AC345,DAY(AC345)&amp;"."&amp;MONTH(AC345)&amp;"."&amp;YEAR(AC345)&amp;" "&amp;$V$4&amp;VLOOKUP(C345,[1]List1!$A:$E,4,FALSE)&amp;" "&amp;$V$1),AC345))))</f>
        <v>SKLADEM</v>
      </c>
      <c r="AE345" s="581" t="str">
        <f t="shared" ca="1" si="846"/>
        <v>SKLADEM</v>
      </c>
      <c r="AF345" s="584">
        <f t="shared" si="847"/>
        <v>0</v>
      </c>
      <c r="AG345" s="585">
        <f t="shared" si="848"/>
        <v>0</v>
      </c>
      <c r="AH345" s="583">
        <f t="shared" si="849"/>
        <v>0</v>
      </c>
      <c r="AI345" s="582">
        <f t="shared" si="850"/>
        <v>0</v>
      </c>
      <c r="AJ345" s="569">
        <f t="shared" si="851"/>
        <v>0</v>
      </c>
      <c r="AK345" s="569" t="str">
        <f t="shared" si="852"/>
        <v/>
      </c>
      <c r="AL345" s="569" t="str">
        <f t="shared" si="853"/>
        <v/>
      </c>
      <c r="AM345" s="569" t="str">
        <f t="shared" si="854"/>
        <v/>
      </c>
      <c r="AN345" s="581">
        <f t="shared" si="855"/>
        <v>0</v>
      </c>
      <c r="AO345" s="623"/>
      <c r="AP345" s="625" t="str">
        <f t="shared" si="834"/>
        <v/>
      </c>
      <c r="AQ345" s="625" t="str">
        <f>IF(AC345=$V$3,IF(VLOOKUP(C345,[1]List1!$A:$E,5,FALSE)=0,1,VLOOKUP(C345,[1]List1!$A:$E,5,FALSE)),"")</f>
        <v/>
      </c>
      <c r="AR345" s="629" t="str">
        <f t="shared" si="835"/>
        <v/>
      </c>
      <c r="AS345" s="630" t="str">
        <f t="shared" si="836"/>
        <v/>
      </c>
      <c r="AT345" s="625" t="str">
        <f t="shared" si="837"/>
        <v/>
      </c>
      <c r="AU345" s="625" t="e">
        <f t="shared" si="838"/>
        <v>#N/A</v>
      </c>
      <c r="AV345" s="625" t="e">
        <f t="shared" si="839"/>
        <v>#N/A</v>
      </c>
      <c r="AW345" s="631"/>
      <c r="AX345" s="631">
        <f>IF(AND('General price list'!$J345="F4",'General price list'!$AB345+0&gt;0),1,0)</f>
        <v>0</v>
      </c>
      <c r="AY345" s="631">
        <f t="shared" si="840"/>
        <v>0</v>
      </c>
      <c r="AZ345" s="631">
        <f t="shared" si="841"/>
        <v>0</v>
      </c>
    </row>
    <row r="346" spans="1:52" ht="15" customHeight="1">
      <c r="A346" s="751" t="str">
        <f>Kat.!C346</f>
        <v xml:space="preserve">           Reklamní položky</v>
      </c>
      <c r="B346" s="751"/>
      <c r="C346" s="751"/>
      <c r="D346" s="751"/>
      <c r="E346" s="751"/>
      <c r="F346" s="751"/>
      <c r="G346" s="751"/>
      <c r="H346" s="751"/>
      <c r="I346" s="752"/>
      <c r="J346" s="752"/>
      <c r="K346" s="752" t="s">
        <v>20</v>
      </c>
      <c r="L346" s="753" t="s">
        <v>2818</v>
      </c>
      <c r="M346" s="752"/>
      <c r="N346" s="752"/>
      <c r="O346" s="752"/>
      <c r="P346" s="752"/>
      <c r="Q346" s="752"/>
      <c r="R346" s="752"/>
      <c r="S346" s="752"/>
      <c r="T346" s="752"/>
      <c r="U346" s="752"/>
      <c r="V346" s="752"/>
      <c r="W346" s="752"/>
      <c r="X346" s="752"/>
      <c r="Y346" s="752"/>
      <c r="Z346" s="752" t="s">
        <v>20</v>
      </c>
      <c r="AA346" s="752"/>
      <c r="AB346" s="752"/>
      <c r="AC346" s="754"/>
      <c r="AD346" s="752"/>
      <c r="AE346" s="752"/>
      <c r="AF346" s="752"/>
      <c r="AG346" s="752"/>
      <c r="AH346" s="752"/>
      <c r="AI346" s="752"/>
      <c r="AJ346" s="752"/>
      <c r="AK346" s="752"/>
      <c r="AL346" s="752"/>
      <c r="AM346" s="752"/>
      <c r="AN346" s="752"/>
      <c r="AO346" s="623"/>
      <c r="AP346" s="632" t="str">
        <f t="shared" si="834"/>
        <v/>
      </c>
      <c r="AQ346" s="633" t="str">
        <f>IF(AC346=$V$3,IF(VLOOKUP(C346,[1]List1!$A:$E,5,FALSE)=0,1,VLOOKUP(C346,[1]List1!$A:$E,5,FALSE)),"")</f>
        <v/>
      </c>
      <c r="AR346" s="625" t="str">
        <f t="shared" si="835"/>
        <v/>
      </c>
      <c r="AS346" s="634" t="str">
        <f t="shared" si="836"/>
        <v/>
      </c>
      <c r="AT346" s="625" t="str">
        <f t="shared" si="837"/>
        <v/>
      </c>
      <c r="AU346" s="638" t="e">
        <f t="shared" si="838"/>
        <v>#N/A</v>
      </c>
      <c r="AV346" s="625" t="e">
        <f t="shared" si="839"/>
        <v>#N/A</v>
      </c>
      <c r="AX346" s="625">
        <f>IF(AND('General price list'!$J346="F4",'General price list'!$AB346+0&gt;0),1,0)</f>
        <v>0</v>
      </c>
      <c r="AY346" s="625">
        <f t="shared" si="840"/>
        <v>0</v>
      </c>
      <c r="AZ346" s="625">
        <f t="shared" si="841"/>
        <v>0</v>
      </c>
    </row>
    <row r="347" spans="1:52" ht="15" customHeight="1">
      <c r="A347" s="639" t="str">
        <f>Kat.!C347</f>
        <v/>
      </c>
      <c r="B347" s="640">
        <f>IF(AND('General price list'!$J347="F4",$AI$1=FALSE),0,IF(AC347="SKLADEM",1,IF(AC347=$V$3,1,0)))</f>
        <v>1</v>
      </c>
      <c r="C347" s="641" t="s">
        <v>849</v>
      </c>
      <c r="D347" s="642" t="s">
        <v>850</v>
      </c>
      <c r="E347" s="643" t="s">
        <v>12681</v>
      </c>
      <c r="F347" s="771">
        <f>IFERROR(VLOOKUP(C347,[2]List1!$A:$D,3,FALSE),"NEUVEDENO!")</f>
        <v>40</v>
      </c>
      <c r="G347" s="768">
        <f t="shared" ref="G347:G360" si="856">IF($W$17=$AF$8,ROUND((F347)/$F$17,2),(F347)*$B$19)</f>
        <v>40</v>
      </c>
      <c r="H347" s="765">
        <f t="shared" ref="H347:H360" si="857">IF($W$17=$AF$8,G347*$B$19,G347/$F$17)</f>
        <v>1.6991415087527026</v>
      </c>
      <c r="I347" s="644">
        <f>IFERROR(VLOOKUP(C347,[2]List1!$A:$D,4,FALSE),"NEUVEDENO!")</f>
        <v>24</v>
      </c>
      <c r="J347" s="733"/>
      <c r="K347" s="645" t="s">
        <v>20</v>
      </c>
      <c r="L347" s="645" t="s">
        <v>15089</v>
      </c>
      <c r="M347" s="645"/>
      <c r="N347" s="645">
        <f>IFERROR(VLOOKUP(C347,[3]List1!$A:$D,4,FALSE),"N/A!")</f>
        <v>1.0163999999999999E-2</v>
      </c>
      <c r="O347" s="645">
        <f>IFERROR(VLOOKUP(C347,[3]List1!$A:$D,3,FALSE),"N/A!")</f>
        <v>0</v>
      </c>
      <c r="P347" s="645">
        <f>IFERROR(VLOOKUP(C347,[3]List1!$A:$D,2,FALSE),"N/A!")</f>
        <v>6500</v>
      </c>
      <c r="Q347" s="645" t="s">
        <v>20</v>
      </c>
      <c r="R347" s="645" t="s">
        <v>20</v>
      </c>
      <c r="S347" s="645"/>
      <c r="T347" s="645"/>
      <c r="U347" s="645"/>
      <c r="V347" s="645"/>
      <c r="W347" s="645" t="str">
        <f>IFERROR(IF(AND($AB347&gt;=0.1*$AA347,MOD($AB347,$AA347)&gt;=($AA347-(0.1*$AA347))),IF($W$17=$AF$1,"Zvažte možnost doobjednání ještě "&amp;Tabulka1[[#This Row],[VKPAL]]-MOD(AB347,AA347)&amp;" VK do plné palety.",VLOOKUP("Zvažte možnost doobjednání ještě ",Jazyky_ceník!A:Q,MATCH($W$17,Jazyky_ceník!$A$1:$Q$1,0),FALSE)&amp;Tabulka1[[#This Row],[VKPAL]]-MOD(AB347,AA347)&amp;VLOOKUP(" VK do plné palety.",Jazyky_ceník!A:Q,MATCH($W$17,Jazyky_ceník!$A$1:$Q$1,0),FALSE)),IFERROR(IF(AND(NOT(MOD($AB347,$AA347)=0),$AB347&gt;=0.9*$AA347,MOD($AB347,$AA347)&lt;=0.1*$AA347),IF($W$17=$AF$1,"Zvažte možnost optimalizace objednaného množství podle počtu VK na paletě ==&gt;",VLOOKUP("Zvažte možnost optimalizace objednaného množství podle počtu VK na paletě ==&gt;",Jazyky_ceník!A:Q,MATCH($W$17,Jazyky_ceník!$A$1:$Q$1,0),FALSE)),VLOOKUP('General price list'!$C347,Popisy!A:M,MATCH($W$17,Popisy!$A$7:$M$7,0),FALSE)),"---------------")),IFERROR(VLOOKUP('General price list'!$C347,Popisy!A:M,MATCH($W$17,Popisy!$A$7:$M$7,0),FALSE),"---------------"))</f>
        <v>energetický nápoj 250ml, vyrobeno v EU</v>
      </c>
      <c r="X347" s="645" t="str">
        <f t="shared" ref="X347:X360" si="858">IF(AB347&lt;0.0001,"",AB347)</f>
        <v/>
      </c>
      <c r="Y347" s="645" t="str">
        <f t="shared" ref="Y347:Y360" si="859">IF($AL$3=2,IF(OR(AB347&lt;&gt;"",AB347&lt;&gt;0),AU347,""),IF(C347="","",IF(AB347&lt;0.0001,"",IF(B347=0,"",IF(AQ347&lt;AB347,"",AB347)))))</f>
        <v/>
      </c>
      <c r="Z347" s="645" t="str">
        <f>HYPERLINK("https://www.klasekpyrotechnics.cz/n1")</f>
        <v>https://www.klasekpyrotechnics.cz/n1</v>
      </c>
      <c r="AA347" s="645" t="str">
        <f>IFERROR(IF(VLOOKUP(C347,[4]List1!$A:$D,4,FALSE)=0,"",VLOOKUP(C347,[4]List1!$A:$D,4,FALSE)),"")</f>
        <v>120</v>
      </c>
      <c r="AB347" s="646"/>
      <c r="AC347" s="647" t="str">
        <f>IFERROR(IF(VLOOKUP(C347,[1]List1!$A:$D,2,FALSE)="VYPRODÁNO",$V$9,IF(VLOOKUP(C347,[1]List1!$A:$D,2,FALSE)="DOCHÁZÍ",$V$3,VLOOKUP(C347,[1]List1!$A:$D,2,FALSE))),"OFFLINE!")</f>
        <v>SKLADEM</v>
      </c>
      <c r="AD347" s="647" t="str">
        <f ca="1">IF(AP347="NE",$V$10,IF(AC347=$V$3,IF(AQ347&lt;1,$V$8,$V$2&amp;" "&amp;AQ347&amp;" "&amp;$V$1),IF(AC347="SKLADEM",$V$6,IFERROR(IF(OR(AC347-TODAY()&gt;45,VLOOKUP(C347,[1]List1!$A:$E,4,FALSE)=0),AC347,DAY(AC347)&amp;"."&amp;MONTH(AC347)&amp;"."&amp;YEAR(AC347)&amp;" "&amp;$V$4&amp;VLOOKUP(C347,[1]List1!$A:$E,4,FALSE)&amp;" "&amp;$V$1),AC347))))</f>
        <v>SKLADEM</v>
      </c>
      <c r="AE347" s="645" t="str">
        <f t="shared" ref="AE347:AE360" ca="1" si="860">IFERROR(IF(AV347&lt;&gt;"",AV347,AD347),AD347)</f>
        <v>SKLADEM</v>
      </c>
      <c r="AF347" s="648">
        <f t="shared" ref="AF347:AF360" si="861">IFERROR(IF(AB347=Y347,G347*I347*Y347,0),0)</f>
        <v>0</v>
      </c>
      <c r="AG347" s="649">
        <f t="shared" ref="AG347:AG360" si="862">IF($W$17=$AF$8,AH347*1.23,AF347*1.21)</f>
        <v>0</v>
      </c>
      <c r="AH347" s="650">
        <f t="shared" ref="AH347:AH360" si="863">IFERROR(IF(Y347=AB347,H347*I347*Y347,0),0)</f>
        <v>0</v>
      </c>
      <c r="AI347" s="645">
        <f t="shared" ref="AI347:AI360" si="864">IFERROR(IF(Y347=AB347,(P347*Y347)/1000,1),0)</f>
        <v>0</v>
      </c>
      <c r="AJ347" s="645">
        <f t="shared" ref="AJ347:AJ360" si="865">IFERROR(IF(Y347=AB347,N347*Y347,0.1),0)</f>
        <v>0</v>
      </c>
      <c r="AK347" s="645" t="str">
        <f t="shared" ref="AK347:AK360" si="866">IFERROR(IF(Y347=AB347,IF(M347="1.1G",(O347/1000)*Y347,""),""),0)</f>
        <v/>
      </c>
      <c r="AL347" s="645" t="str">
        <f t="shared" ref="AL347:AL360" si="867">IFERROR(IF(Y347=AB347,IF(M347="1.3G",(O347/1000)*AB347,""),""),0)</f>
        <v/>
      </c>
      <c r="AM347" s="645" t="str">
        <f t="shared" ref="AM347:AM360" si="868">IFERROR(IF(Y347=AB347,IF(M347="1.4G",(O347/1000)*AB347,""),""),0)</f>
        <v/>
      </c>
      <c r="AN347" s="651">
        <f t="shared" ref="AN347:AN360" si="869">SUM(AK347:AM347)</f>
        <v>0</v>
      </c>
      <c r="AO347" s="623"/>
      <c r="AP347" s="632" t="str">
        <f t="shared" si="834"/>
        <v/>
      </c>
      <c r="AQ347" s="633" t="str">
        <f>IF(AC347=$V$3,IF(VLOOKUP(C347,[1]List1!$A:$E,5,FALSE)=0,1,VLOOKUP(C347,[1]List1!$A:$E,5,FALSE)),"")</f>
        <v/>
      </c>
      <c r="AR347" s="625" t="str">
        <f t="shared" si="835"/>
        <v/>
      </c>
      <c r="AS347" s="634" t="str">
        <f t="shared" si="836"/>
        <v/>
      </c>
      <c r="AT347" s="625" t="str">
        <f t="shared" si="837"/>
        <v/>
      </c>
      <c r="AU347" s="638" t="e">
        <f t="shared" si="838"/>
        <v>#N/A</v>
      </c>
      <c r="AV347" s="625" t="e">
        <f t="shared" si="839"/>
        <v>#N/A</v>
      </c>
      <c r="AX347" s="625">
        <f>IF(AND('General price list'!$J347="F4",'General price list'!$AB347+0&gt;0),1,0)</f>
        <v>0</v>
      </c>
      <c r="AY347" s="625">
        <f t="shared" si="840"/>
        <v>0</v>
      </c>
      <c r="AZ347" s="625">
        <f t="shared" si="841"/>
        <v>0</v>
      </c>
    </row>
    <row r="348" spans="1:52" ht="15" customHeight="1">
      <c r="A348" s="621" t="str">
        <f>Kat.!C348</f>
        <v>×</v>
      </c>
      <c r="B348" s="566">
        <f>IF(AND('General price list'!$J348="F4",$AI$1=FALSE),0,IF(AC348="SKLADEM",1,IF(AC348=$V$3,1,0)))</f>
        <v>1</v>
      </c>
      <c r="C348" s="567" t="s">
        <v>862</v>
      </c>
      <c r="D348" s="568" t="s">
        <v>863</v>
      </c>
      <c r="E348" s="763" t="s">
        <v>12663</v>
      </c>
      <c r="F348" s="792">
        <f>IFERROR(VLOOKUP(C348,[2]List1!$A:$D,3,FALSE),"NEUVEDENO!")</f>
        <v>2199</v>
      </c>
      <c r="G348" s="769">
        <f t="shared" si="856"/>
        <v>2199</v>
      </c>
      <c r="H348" s="766">
        <f t="shared" si="857"/>
        <v>93.410304443679834</v>
      </c>
      <c r="I348" s="764">
        <f>IFERROR(VLOOKUP(C348,[2]List1!$A:$D,4,FALSE),"NEUVEDENO!")</f>
        <v>1</v>
      </c>
      <c r="J348" s="732"/>
      <c r="K348" s="569" t="s">
        <v>9836</v>
      </c>
      <c r="L348" s="569" t="s">
        <v>15089</v>
      </c>
      <c r="M348" s="569"/>
      <c r="N348" s="569">
        <f>IFERROR(VLOOKUP(C348,[3]List1!$A:$D,4,FALSE),"N/A!")</f>
        <v>0</v>
      </c>
      <c r="O348" s="569">
        <f>IFERROR(VLOOKUP(C348,[3]List1!$A:$D,3,FALSE),"N/A!")</f>
        <v>0</v>
      </c>
      <c r="P348" s="569">
        <f>IFERROR(VLOOKUP(C348,[3]List1!$A:$D,2,FALSE),"N/A!")</f>
        <v>3100</v>
      </c>
      <c r="Q348" s="569"/>
      <c r="R348" s="569" t="s">
        <v>20</v>
      </c>
      <c r="S348" s="569"/>
      <c r="T348" s="569"/>
      <c r="U348" s="569"/>
      <c r="V348" s="569"/>
      <c r="W348" s="569" t="str">
        <f>IFERROR(IF(AND($AB348&gt;=0.1*$AA348,MOD($AB348,$AA348)&gt;=($AA348-(0.1*$AA348))),IF($W$17=$AF$1,"Zvažte možnost doobjednání ještě "&amp;Tabulka1[[#This Row],[VKPAL]]-MOD(AB348,AA348)&amp;" VK do plné palety.",VLOOKUP("Zvažte možnost doobjednání ještě ",Jazyky_ceník!A:Q,MATCH($W$17,Jazyky_ceník!$A$1:$Q$1,0),FALSE)&amp;Tabulka1[[#This Row],[VKPAL]]-MOD(AB348,AA348)&amp;VLOOKUP(" VK do plné palety.",Jazyky_ceník!A:Q,MATCH($W$17,Jazyky_ceník!$A$1:$Q$1,0),FALSE)),IFERROR(IF(AND(NOT(MOD($AB348,$AA348)=0),$AB348&gt;=0.9*$AA348,MOD($AB348,$AA348)&lt;=0.1*$AA348),IF($W$17=$AF$1,"Zvažte možnost optimalizace objednaného množství podle počtu VK na paletě ==&gt;",VLOOKUP("Zvažte možnost optimalizace objednaného množství podle počtu VK na paletě ==&gt;",Jazyky_ceník!A:Q,MATCH($W$17,Jazyky_ceník!$A$1:$Q$1,0),FALSE)),VLOOKUP('General price list'!$C348,Popisy!A:M,MATCH($W$17,Popisy!$A$7:$M$7,0),FALSE)),"---------------")),IFERROR(VLOOKUP('General price list'!$C348,Popisy!A:M,MATCH($W$17,Popisy!$A$7:$M$7,0),FALSE),"---------------"))</f>
        <v>rozměr 200x85cm(Roll up No sound fireworks)- samostatně stojící</v>
      </c>
      <c r="X348" s="569" t="str">
        <f t="shared" si="858"/>
        <v/>
      </c>
      <c r="Y348" s="569" t="str">
        <f t="shared" si="859"/>
        <v/>
      </c>
      <c r="Z348" s="569" t="str">
        <f>HYPERLINK("https://www.klasekpyrotechnics.cz/run1")</f>
        <v>https://www.klasekpyrotechnics.cz/run1</v>
      </c>
      <c r="AA348" s="569" t="str">
        <f>IFERROR(IF(VLOOKUP(C348,[4]List1!$A:$D,4,FALSE)=0,"",VLOOKUP(C348,[4]List1!$A:$D,4,FALSE)),"")</f>
        <v/>
      </c>
      <c r="AB348" s="565"/>
      <c r="AC348" s="570" t="str">
        <f>IFERROR(IF(VLOOKUP(C348,[1]List1!$A:$D,2,FALSE)="VYPRODÁNO",$V$9,IF(VLOOKUP(C348,[1]List1!$A:$D,2,FALSE)="DOCHÁZÍ",$V$3,VLOOKUP(C348,[1]List1!$A:$D,2,FALSE))),"OFFLINE!")</f>
        <v>DOCHÁZÍ</v>
      </c>
      <c r="AD348" s="570" t="str">
        <f ca="1">IF(AP348="NE",$V$10,IF(AC348=$V$3,IF(AQ348&lt;1,$V$8,$V$2&amp;" "&amp;AQ348&amp;" "&amp;$V$1),IF(AC348="SKLADEM",$V$6,IFERROR(IF(OR(AC348-TODAY()&gt;45,VLOOKUP(C348,[1]List1!$A:$E,4,FALSE)=0),AC348,DAY(AC348)&amp;"."&amp;MONTH(AC348)&amp;"."&amp;YEAR(AC348)&amp;" "&amp;$V$4&amp;VLOOKUP(C348,[1]List1!$A:$E,4,FALSE)&amp;" "&amp;$V$1),AC348))))</f>
        <v>POSLEDNÍCH 1 VK</v>
      </c>
      <c r="AE348" s="581" t="str">
        <f t="shared" ca="1" si="860"/>
        <v>POSLEDNÍCH 1 VK</v>
      </c>
      <c r="AF348" s="584">
        <f t="shared" si="861"/>
        <v>0</v>
      </c>
      <c r="AG348" s="585">
        <f t="shared" si="862"/>
        <v>0</v>
      </c>
      <c r="AH348" s="583">
        <f t="shared" si="863"/>
        <v>0</v>
      </c>
      <c r="AI348" s="582">
        <f t="shared" si="864"/>
        <v>0</v>
      </c>
      <c r="AJ348" s="569">
        <f t="shared" si="865"/>
        <v>0</v>
      </c>
      <c r="AK348" s="569" t="str">
        <f t="shared" si="866"/>
        <v/>
      </c>
      <c r="AL348" s="569" t="str">
        <f t="shared" si="867"/>
        <v/>
      </c>
      <c r="AM348" s="569" t="str">
        <f t="shared" si="868"/>
        <v/>
      </c>
      <c r="AN348" s="581">
        <f t="shared" si="869"/>
        <v>0</v>
      </c>
      <c r="AO348" s="623"/>
      <c r="AP348" s="632" t="str">
        <f t="shared" si="834"/>
        <v/>
      </c>
      <c r="AQ348" s="633">
        <f>IF(AC348=$V$3,IF(VLOOKUP(C348,[1]List1!$A:$E,5,FALSE)=0,1,VLOOKUP(C348,[1]List1!$A:$E,5,FALSE)),"")</f>
        <v>1</v>
      </c>
      <c r="AR348" s="625" t="str">
        <f t="shared" si="835"/>
        <v/>
      </c>
      <c r="AS348" s="634" t="str">
        <f t="shared" si="836"/>
        <v/>
      </c>
      <c r="AT348" s="625" t="str">
        <f t="shared" si="837"/>
        <v/>
      </c>
      <c r="AU348" s="638" t="e">
        <f t="shared" si="838"/>
        <v>#N/A</v>
      </c>
      <c r="AV348" s="625" t="e">
        <f t="shared" si="839"/>
        <v>#N/A</v>
      </c>
      <c r="AX348" s="625">
        <f>IF(AND('General price list'!$J348="F4",'General price list'!$AB348+0&gt;0),1,0)</f>
        <v>0</v>
      </c>
      <c r="AY348" s="625">
        <f t="shared" si="840"/>
        <v>0</v>
      </c>
      <c r="AZ348" s="625">
        <f t="shared" si="841"/>
        <v>0</v>
      </c>
    </row>
    <row r="349" spans="1:52" ht="15" customHeight="1">
      <c r="A349" s="639" t="str">
        <f>Kat.!C349</f>
        <v>×</v>
      </c>
      <c r="B349" s="640">
        <f>IF(AND('General price list'!$J349="F4",$AI$1=FALSE),0,IF(AC349="SKLADEM",1,IF(AC349=$V$3,1,0)))</f>
        <v>1</v>
      </c>
      <c r="C349" s="641" t="s">
        <v>10744</v>
      </c>
      <c r="D349" s="642" t="s">
        <v>11874</v>
      </c>
      <c r="E349" s="643" t="s">
        <v>12663</v>
      </c>
      <c r="F349" s="792">
        <f>IFERROR(VLOOKUP(C349,[2]List1!$A:$D,3,FALSE),"NEUVEDENO!")</f>
        <v>3500</v>
      </c>
      <c r="G349" s="768">
        <f t="shared" si="856"/>
        <v>3500</v>
      </c>
      <c r="H349" s="765">
        <f t="shared" si="857"/>
        <v>148.6748820158615</v>
      </c>
      <c r="I349" s="644">
        <f>IFERROR(VLOOKUP(C349,[2]List1!$A:$D,4,FALSE),"NEUVEDENO!")</f>
        <v>1</v>
      </c>
      <c r="J349" s="733"/>
      <c r="K349" s="645" t="s">
        <v>9836</v>
      </c>
      <c r="L349" s="645" t="s">
        <v>15089</v>
      </c>
      <c r="M349" s="645"/>
      <c r="N349" s="645">
        <f>IFERROR(VLOOKUP(C349,[3]List1!$A:$D,4,FALSE),"N/A!")</f>
        <v>0</v>
      </c>
      <c r="O349" s="645">
        <f>IFERROR(VLOOKUP(C349,[3]List1!$A:$D,3,FALSE),"N/A!")</f>
        <v>0</v>
      </c>
      <c r="P349" s="645">
        <f>IFERROR(VLOOKUP(C349,[3]List1!$A:$D,2,FALSE),"N/A!")</f>
        <v>8200</v>
      </c>
      <c r="Q349" s="645" t="s">
        <v>20</v>
      </c>
      <c r="R349" s="645" t="s">
        <v>20</v>
      </c>
      <c r="S349" s="645"/>
      <c r="T349" s="645"/>
      <c r="U349" s="645"/>
      <c r="V349" s="645"/>
      <c r="W349" s="645" t="str">
        <f>IFERROR(IF(AND($AB349&gt;=0.1*$AA349,MOD($AB349,$AA349)&gt;=($AA349-(0.1*$AA349))),IF($W$17=$AF$1,"Zvažte možnost doobjednání ještě "&amp;Tabulka1[[#This Row],[VKPAL]]-MOD(AB349,AA349)&amp;" VK do plné palety.",VLOOKUP("Zvažte možnost doobjednání ještě ",Jazyky_ceník!A:Q,MATCH($W$17,Jazyky_ceník!$A$1:$Q$1,0),FALSE)&amp;Tabulka1[[#This Row],[VKPAL]]-MOD(AB349,AA349)&amp;VLOOKUP(" VK do plné palety.",Jazyky_ceník!A:Q,MATCH($W$17,Jazyky_ceník!$A$1:$Q$1,0),FALSE)),IFERROR(IF(AND(NOT(MOD($AB349,$AA349)=0),$AB349&gt;=0.9*$AA349,MOD($AB349,$AA349)&lt;=0.1*$AA349),IF($W$17=$AF$1,"Zvažte možnost optimalizace objednaného množství podle počtu VK na paletě ==&gt;",VLOOKUP("Zvažte možnost optimalizace objednaného množství podle počtu VK na paletě ==&gt;",Jazyky_ceník!A:Q,MATCH($W$17,Jazyky_ceník!$A$1:$Q$1,0),FALSE)),VLOOKUP('General price list'!$C349,Popisy!A:M,MATCH($W$17,Popisy!$A$7:$M$7,0),FALSE)),"---------------")),IFERROR(VLOOKUP('General price list'!$C349,Popisy!A:M,MATCH($W$17,Popisy!$A$7:$M$7,0),FALSE),"---------------"))</f>
        <v>rozměr 84x60cm- samostatně stojící venkovní reklama</v>
      </c>
      <c r="X349" s="645" t="str">
        <f t="shared" si="858"/>
        <v/>
      </c>
      <c r="Y349" s="645" t="str">
        <f t="shared" si="859"/>
        <v/>
      </c>
      <c r="Z349" s="645" t="str">
        <f>HYPERLINK("https://www.klasekpyrotechnics.cz/rt1du")</f>
        <v>https://www.klasekpyrotechnics.cz/rt1du</v>
      </c>
      <c r="AA349" s="645" t="str">
        <f>IFERROR(IF(VLOOKUP(C349,[4]List1!$A:$D,4,FALSE)=0,"",VLOOKUP(C349,[4]List1!$A:$D,4,FALSE)),"")</f>
        <v/>
      </c>
      <c r="AB349" s="646"/>
      <c r="AC349" s="647" t="str">
        <f>IFERROR(IF(VLOOKUP(C349,[1]List1!$A:$D,2,FALSE)="VYPRODÁNO",$V$9,IF(VLOOKUP(C349,[1]List1!$A:$D,2,FALSE)="DOCHÁZÍ",$V$3,VLOOKUP(C349,[1]List1!$A:$D,2,FALSE))),"OFFLINE!")</f>
        <v>SKLADEM</v>
      </c>
      <c r="AD349" s="647" t="str">
        <f ca="1">IF(AP349="NE",$V$10,IF(AC349=$V$3,IF(AQ349&lt;1,$V$8,$V$2&amp;" "&amp;AQ349&amp;" "&amp;$V$1),IF(AC349="SKLADEM",$V$6,IFERROR(IF(OR(AC349-TODAY()&gt;45,VLOOKUP(C349,[1]List1!$A:$E,4,FALSE)=0),AC349,DAY(AC349)&amp;"."&amp;MONTH(AC349)&amp;"."&amp;YEAR(AC349)&amp;" "&amp;$V$4&amp;VLOOKUP(C349,[1]List1!$A:$E,4,FALSE)&amp;" "&amp;$V$1),AC349))))</f>
        <v>SKLADEM</v>
      </c>
      <c r="AE349" s="645" t="str">
        <f t="shared" ca="1" si="860"/>
        <v>SKLADEM</v>
      </c>
      <c r="AF349" s="648">
        <f t="shared" si="861"/>
        <v>0</v>
      </c>
      <c r="AG349" s="649">
        <f t="shared" si="862"/>
        <v>0</v>
      </c>
      <c r="AH349" s="650">
        <f t="shared" si="863"/>
        <v>0</v>
      </c>
      <c r="AI349" s="645">
        <f t="shared" si="864"/>
        <v>0</v>
      </c>
      <c r="AJ349" s="645">
        <f t="shared" si="865"/>
        <v>0</v>
      </c>
      <c r="AK349" s="645" t="str">
        <f t="shared" si="866"/>
        <v/>
      </c>
      <c r="AL349" s="645" t="str">
        <f t="shared" si="867"/>
        <v/>
      </c>
      <c r="AM349" s="645" t="str">
        <f t="shared" si="868"/>
        <v/>
      </c>
      <c r="AN349" s="651">
        <f t="shared" si="869"/>
        <v>0</v>
      </c>
      <c r="AO349" s="623"/>
      <c r="AP349" s="632" t="str">
        <f t="shared" si="834"/>
        <v/>
      </c>
      <c r="AQ349" s="633" t="str">
        <f>IF(AC349=$V$3,IF(VLOOKUP(C349,[1]List1!$A:$E,5,FALSE)=0,1,VLOOKUP(C349,[1]List1!$A:$E,5,FALSE)),"")</f>
        <v/>
      </c>
      <c r="AR349" s="625" t="str">
        <f t="shared" si="835"/>
        <v/>
      </c>
      <c r="AS349" s="634" t="str">
        <f t="shared" si="836"/>
        <v/>
      </c>
      <c r="AT349" s="625" t="str">
        <f t="shared" si="837"/>
        <v/>
      </c>
      <c r="AU349" s="638" t="e">
        <f t="shared" si="838"/>
        <v>#N/A</v>
      </c>
      <c r="AV349" s="625" t="e">
        <f t="shared" si="839"/>
        <v>#N/A</v>
      </c>
      <c r="AX349" s="625">
        <f>IF(AND('General price list'!$J349="F4",'General price list'!$AB349+0&gt;0),1,0)</f>
        <v>0</v>
      </c>
      <c r="AY349" s="625">
        <f t="shared" si="840"/>
        <v>0</v>
      </c>
      <c r="AZ349" s="625">
        <f t="shared" si="841"/>
        <v>0</v>
      </c>
    </row>
    <row r="350" spans="1:52" ht="15.75" customHeight="1">
      <c r="A350" s="621" t="str">
        <f>Kat.!C350</f>
        <v/>
      </c>
      <c r="B350" s="566">
        <f>IF(AND('General price list'!$J350="F4",$AI$1=FALSE),0,IF(AC350="SKLADEM",1,IF(AC350=$V$3,1,0)))</f>
        <v>1</v>
      </c>
      <c r="C350" s="567" t="s">
        <v>886</v>
      </c>
      <c r="D350" s="568" t="s">
        <v>887</v>
      </c>
      <c r="E350" s="763" t="s">
        <v>12663</v>
      </c>
      <c r="F350" s="772">
        <f>IFERROR(VLOOKUP(C350,[2]List1!$A:$D,3,FALSE),"NEUVEDENO!")</f>
        <v>36</v>
      </c>
      <c r="G350" s="769">
        <f t="shared" si="856"/>
        <v>36</v>
      </c>
      <c r="H350" s="766">
        <f t="shared" si="857"/>
        <v>1.5292273578774325</v>
      </c>
      <c r="I350" s="764">
        <f>IFERROR(VLOOKUP(C350,[2]List1!$A:$D,4,FALSE),"NEUVEDENO!")</f>
        <v>1</v>
      </c>
      <c r="J350" s="732"/>
      <c r="K350" s="569" t="s">
        <v>20</v>
      </c>
      <c r="L350" s="569" t="s">
        <v>15089</v>
      </c>
      <c r="M350" s="569"/>
      <c r="N350" s="569">
        <f>IFERROR(VLOOKUP(C350,[3]List1!$A:$D,4,FALSE),"N/A!")</f>
        <v>0</v>
      </c>
      <c r="O350" s="569">
        <f>IFERROR(VLOOKUP(C350,[3]List1!$A:$D,3,FALSE),"N/A!")</f>
        <v>0</v>
      </c>
      <c r="P350" s="569">
        <f>IFERROR(VLOOKUP(C350,[3]List1!$A:$D,2,FALSE),"N/A!")</f>
        <v>3</v>
      </c>
      <c r="Q350" s="569" t="s">
        <v>20</v>
      </c>
      <c r="R350" s="569" t="s">
        <v>20</v>
      </c>
      <c r="S350" s="569"/>
      <c r="T350" s="569"/>
      <c r="U350" s="569"/>
      <c r="V350" s="569"/>
      <c r="W350" s="569" t="str">
        <f>IFERROR(IF(AND($AB350&gt;=0.1*$AA350,MOD($AB350,$AA350)&gt;=($AA350-(0.1*$AA350))),IF($W$17=$AF$1,"Zvažte možnost doobjednání ještě "&amp;Tabulka1[[#This Row],[VKPAL]]-MOD(AB350,AA350)&amp;" VK do plné palety.",VLOOKUP("Zvažte možnost doobjednání ještě ",Jazyky_ceník!A:Q,MATCH($W$17,Jazyky_ceník!$A$1:$Q$1,0),FALSE)&amp;Tabulka1[[#This Row],[VKPAL]]-MOD(AB350,AA350)&amp;VLOOKUP(" VK do plné palety.",Jazyky_ceník!A:Q,MATCH($W$17,Jazyky_ceník!$A$1:$Q$1,0),FALSE)),IFERROR(IF(AND(NOT(MOD($AB350,$AA350)=0),$AB350&gt;=0.9*$AA350,MOD($AB350,$AA350)&lt;=0.1*$AA350),IF($W$17=$AF$1,"Zvažte možnost optimalizace objednaného množství podle počtu VK na paletě ==&gt;",VLOOKUP("Zvažte možnost optimalizace objednaného množství podle počtu VK na paletě ==&gt;",Jazyky_ceník!A:Q,MATCH($W$17,Jazyky_ceník!$A$1:$Q$1,0),FALSE)),VLOOKUP('General price list'!$C350,Popisy!A:M,MATCH($W$17,Popisy!$A$7:$M$7,0),FALSE)),"---------------")),IFERROR(VLOOKUP('General price list'!$C350,Popisy!A:M,MATCH($W$17,Popisy!$A$7:$M$7,0),FALSE),"---------------"))</f>
        <v>rozměr 84x60cm(na výšku)</v>
      </c>
      <c r="X350" s="569" t="str">
        <f t="shared" si="858"/>
        <v/>
      </c>
      <c r="Y350" s="569" t="str">
        <f t="shared" si="859"/>
        <v/>
      </c>
      <c r="Z350" s="569" t="str">
        <f>HYPERLINK("https://www.klasekpyrotechnics.cz/pl1du")</f>
        <v>https://www.klasekpyrotechnics.cz/pl1du</v>
      </c>
      <c r="AA350" s="569" t="str">
        <f>IFERROR(IF(VLOOKUP(C350,[4]List1!$A:$D,4,FALSE)=0,"",VLOOKUP(C350,[4]List1!$A:$D,4,FALSE)),"")</f>
        <v/>
      </c>
      <c r="AB350" s="565"/>
      <c r="AC350" s="570" t="str">
        <f>IFERROR(IF(VLOOKUP(C350,[1]List1!$A:$D,2,FALSE)="VYPRODÁNO",$V$9,IF(VLOOKUP(C350,[1]List1!$A:$D,2,FALSE)="DOCHÁZÍ",$V$3,VLOOKUP(C350,[1]List1!$A:$D,2,FALSE))),"OFFLINE!")</f>
        <v>SKLADEM</v>
      </c>
      <c r="AD350" s="570" t="str">
        <f ca="1">IF(AP350="NE",$V$10,IF(AC350=$V$3,IF(AQ350&lt;1,$V$8,$V$2&amp;" "&amp;AQ350&amp;" "&amp;$V$1),IF(AC350="SKLADEM",$V$6,IFERROR(IF(OR(AC350-TODAY()&gt;45,VLOOKUP(C350,[1]List1!$A:$E,4,FALSE)=0),AC350,DAY(AC350)&amp;"."&amp;MONTH(AC350)&amp;"."&amp;YEAR(AC350)&amp;" "&amp;$V$4&amp;VLOOKUP(C350,[1]List1!$A:$E,4,FALSE)&amp;" "&amp;$V$1),AC350))))</f>
        <v>SKLADEM</v>
      </c>
      <c r="AE350" s="581" t="str">
        <f t="shared" ca="1" si="860"/>
        <v>SKLADEM</v>
      </c>
      <c r="AF350" s="584">
        <f t="shared" si="861"/>
        <v>0</v>
      </c>
      <c r="AG350" s="585">
        <f t="shared" si="862"/>
        <v>0</v>
      </c>
      <c r="AH350" s="583">
        <f t="shared" si="863"/>
        <v>0</v>
      </c>
      <c r="AI350" s="582">
        <f t="shared" si="864"/>
        <v>0</v>
      </c>
      <c r="AJ350" s="569">
        <f t="shared" si="865"/>
        <v>0</v>
      </c>
      <c r="AK350" s="569" t="str">
        <f t="shared" si="866"/>
        <v/>
      </c>
      <c r="AL350" s="569" t="str">
        <f t="shared" si="867"/>
        <v/>
      </c>
      <c r="AM350" s="569" t="str">
        <f t="shared" si="868"/>
        <v/>
      </c>
      <c r="AN350" s="581">
        <f t="shared" si="869"/>
        <v>0</v>
      </c>
      <c r="AO350" s="623"/>
      <c r="AP350" s="625" t="str">
        <f t="shared" si="834"/>
        <v/>
      </c>
      <c r="AQ350" s="625" t="str">
        <f>IF(AC350=$V$3,IF(VLOOKUP(C350,[1]List1!$A:$E,5,FALSE)=0,1,VLOOKUP(C350,[1]List1!$A:$E,5,FALSE)),"")</f>
        <v/>
      </c>
      <c r="AR350" s="629" t="str">
        <f t="shared" si="835"/>
        <v/>
      </c>
      <c r="AS350" s="630" t="str">
        <f t="shared" si="836"/>
        <v/>
      </c>
      <c r="AT350" s="625" t="str">
        <f t="shared" si="837"/>
        <v/>
      </c>
      <c r="AU350" s="625" t="e">
        <f t="shared" si="838"/>
        <v>#N/A</v>
      </c>
      <c r="AV350" s="625" t="e">
        <f t="shared" si="839"/>
        <v>#N/A</v>
      </c>
      <c r="AW350" s="631"/>
      <c r="AX350" s="631">
        <f>IF(AND('General price list'!$J350="F4",'General price list'!$AB350+0&gt;0),1,0)</f>
        <v>0</v>
      </c>
      <c r="AY350" s="631">
        <f t="shared" si="840"/>
        <v>0</v>
      </c>
      <c r="AZ350" s="631">
        <f t="shared" si="841"/>
        <v>0</v>
      </c>
    </row>
    <row r="351" spans="1:52" ht="15" customHeight="1">
      <c r="A351" s="639" t="str">
        <f>Kat.!C351</f>
        <v/>
      </c>
      <c r="B351" s="640">
        <f>IF(AND('General price list'!$J351="F4",$AI$1=FALSE),0,IF(AC351="SKLADEM",1,IF(AC351=$V$3,1,0)))</f>
        <v>0</v>
      </c>
      <c r="C351" s="641" t="s">
        <v>889</v>
      </c>
      <c r="D351" s="642" t="s">
        <v>890</v>
      </c>
      <c r="E351" s="643" t="s">
        <v>12742</v>
      </c>
      <c r="F351" s="771">
        <f>IFERROR(VLOOKUP(C351,[2]List1!$A:$D,3,FALSE),"NEUVEDENO!")</f>
        <v>1880</v>
      </c>
      <c r="G351" s="768">
        <f t="shared" si="856"/>
        <v>1880</v>
      </c>
      <c r="H351" s="765">
        <f t="shared" si="857"/>
        <v>79.859650911377031</v>
      </c>
      <c r="I351" s="644">
        <f>IFERROR(VLOOKUP(C351,[2]List1!$A:$D,4,FALSE),"NEUVEDENO!")</f>
        <v>1</v>
      </c>
      <c r="J351" s="733"/>
      <c r="K351" s="645" t="s">
        <v>20</v>
      </c>
      <c r="L351" s="645" t="s">
        <v>15089</v>
      </c>
      <c r="M351" s="645"/>
      <c r="N351" s="645">
        <f>IFERROR(VLOOKUP(C351,[3]List1!$A:$D,4,FALSE),"N/A!")</f>
        <v>0</v>
      </c>
      <c r="O351" s="645">
        <f>IFERROR(VLOOKUP(C351,[3]List1!$A:$D,3,FALSE),"N/A!")</f>
        <v>0</v>
      </c>
      <c r="P351" s="645">
        <f>IFERROR(VLOOKUP(C351,[3]List1!$A:$D,2,FALSE),"N/A!")</f>
        <v>900</v>
      </c>
      <c r="Q351" s="645" t="s">
        <v>20</v>
      </c>
      <c r="R351" s="645" t="s">
        <v>20</v>
      </c>
      <c r="S351" s="645"/>
      <c r="T351" s="645"/>
      <c r="U351" s="645"/>
      <c r="V351" s="645"/>
      <c r="W351" s="645" t="str">
        <f>IFERROR(IF(AND($AB351&gt;=0.1*$AA351,MOD($AB351,$AA351)&gt;=($AA351-(0.1*$AA351))),IF($W$17=$AF$1,"Zvažte možnost doobjednání ještě "&amp;Tabulka1[[#This Row],[VKPAL]]-MOD(AB351,AA351)&amp;" VK do plné palety.",VLOOKUP("Zvažte možnost doobjednání ještě ",Jazyky_ceník!A:Q,MATCH($W$17,Jazyky_ceník!$A$1:$Q$1,0),FALSE)&amp;Tabulka1[[#This Row],[VKPAL]]-MOD(AB351,AA351)&amp;VLOOKUP(" VK do plné palety.",Jazyky_ceník!A:Q,MATCH($W$17,Jazyky_ceník!$A$1:$Q$1,0),FALSE)),IFERROR(IF(AND(NOT(MOD($AB351,$AA351)=0),$AB351&gt;=0.9*$AA351,MOD($AB351,$AA351)&lt;=0.1*$AA351),IF($W$17=$AF$1,"Zvažte možnost optimalizace objednaného množství podle počtu VK na paletě ==&gt;",VLOOKUP("Zvažte možnost optimalizace objednaného množství podle počtu VK na paletě ==&gt;",Jazyky_ceník!A:Q,MATCH($W$17,Jazyky_ceník!$A$1:$Q$1,0),FALSE)),VLOOKUP('General price list'!$C351,Popisy!A:M,MATCH($W$17,Popisy!$A$7:$M$7,0),FALSE)),"---------------")),IFERROR(VLOOKUP('General price list'!$C351,Popisy!A:M,MATCH($W$17,Popisy!$A$7:$M$7,0),FALSE),"---------------"))</f>
        <v>zapalovač s turboplamenem Dumbum</v>
      </c>
      <c r="X351" s="645" t="str">
        <f t="shared" si="858"/>
        <v/>
      </c>
      <c r="Y351" s="645" t="str">
        <f t="shared" si="859"/>
        <v/>
      </c>
      <c r="Z351" s="645" t="str">
        <f>HYPERLINK("https://www.klasekpyrotechnics.cz/zd1")</f>
        <v>https://www.klasekpyrotechnics.cz/zd1</v>
      </c>
      <c r="AA351" s="645" t="str">
        <f>IFERROR(IF(VLOOKUP(C351,[4]List1!$A:$D,4,FALSE)=0,"",VLOOKUP(C351,[4]List1!$A:$D,4,FALSE)),"")</f>
        <v/>
      </c>
      <c r="AB351" s="646"/>
      <c r="AC351" s="647" t="str">
        <f>IFERROR(IF(VLOOKUP(C351,[1]List1!$A:$D,2,FALSE)="VYPRODÁNO",$V$9,IF(VLOOKUP(C351,[1]List1!$A:$D,2,FALSE)="DOCHÁZÍ",$V$3,VLOOKUP(C351,[1]List1!$A:$D,2,FALSE))),"OFFLINE!")</f>
        <v>07.04.2026</v>
      </c>
      <c r="AD351" s="647" t="str">
        <f ca="1">IF(AP351="NE",$V$10,IF(AC351=$V$3,IF(AQ351&lt;1,$V$8,$V$2&amp;" "&amp;AQ351&amp;" "&amp;$V$1),IF(AC351="SKLADEM",$V$6,IFERROR(IF(OR(AC351-TODAY()&gt;45,VLOOKUP(C351,[1]List1!$A:$E,4,FALSE)=0),AC351,DAY(AC351)&amp;"."&amp;MONTH(AC351)&amp;"."&amp;YEAR(AC351)&amp;" "&amp;$V$4&amp;VLOOKUP(C351,[1]List1!$A:$E,4,FALSE)&amp;" "&amp;$V$1),AC351))))</f>
        <v>7.4.2026 DORAZÍ 100+ VK</v>
      </c>
      <c r="AE351" s="645" t="str">
        <f t="shared" ca="1" si="860"/>
        <v>7.4.2026 DORAZÍ 100+ VK</v>
      </c>
      <c r="AF351" s="648">
        <f t="shared" si="861"/>
        <v>0</v>
      </c>
      <c r="AG351" s="649">
        <f t="shared" si="862"/>
        <v>0</v>
      </c>
      <c r="AH351" s="650">
        <f t="shared" si="863"/>
        <v>0</v>
      </c>
      <c r="AI351" s="645">
        <f t="shared" si="864"/>
        <v>0</v>
      </c>
      <c r="AJ351" s="645">
        <f t="shared" si="865"/>
        <v>0</v>
      </c>
      <c r="AK351" s="645" t="str">
        <f t="shared" si="866"/>
        <v/>
      </c>
      <c r="AL351" s="645" t="str">
        <f t="shared" si="867"/>
        <v/>
      </c>
      <c r="AM351" s="645" t="str">
        <f t="shared" si="868"/>
        <v/>
      </c>
      <c r="AN351" s="651">
        <f t="shared" si="869"/>
        <v>0</v>
      </c>
      <c r="AO351" s="623"/>
      <c r="AP351" s="632" t="str">
        <f t="shared" si="834"/>
        <v/>
      </c>
      <c r="AQ351" s="633" t="str">
        <f>IF(AC351=$V$3,IF(VLOOKUP(C351,[1]List1!$A:$E,5,FALSE)=0,1,VLOOKUP(C351,[1]List1!$A:$E,5,FALSE)),"")</f>
        <v/>
      </c>
      <c r="AR351" s="625" t="str">
        <f t="shared" si="835"/>
        <v/>
      </c>
      <c r="AS351" s="634" t="str">
        <f t="shared" si="836"/>
        <v/>
      </c>
      <c r="AT351" s="625" t="str">
        <f t="shared" si="837"/>
        <v/>
      </c>
      <c r="AU351" s="638" t="e">
        <f t="shared" si="838"/>
        <v>#N/A</v>
      </c>
      <c r="AV351" s="625" t="e">
        <f t="shared" si="839"/>
        <v>#N/A</v>
      </c>
      <c r="AX351" s="625">
        <f>IF(AND('General price list'!$J351="F4",'General price list'!$AB351+0&gt;0),1,0)</f>
        <v>0</v>
      </c>
      <c r="AY351" s="625">
        <f t="shared" si="840"/>
        <v>0</v>
      </c>
      <c r="AZ351" s="625">
        <f t="shared" si="841"/>
        <v>0</v>
      </c>
    </row>
    <row r="352" spans="1:52" ht="15" customHeight="1">
      <c r="A352" s="621" t="str">
        <f>Kat.!C352</f>
        <v>×</v>
      </c>
      <c r="B352" s="566">
        <f>IF(AND('General price list'!$J352="F4",$AI$1=FALSE),0,IF(AC352="SKLADEM",1,IF(AC352=$V$3,1,0)))</f>
        <v>1</v>
      </c>
      <c r="C352" s="567" t="s">
        <v>894</v>
      </c>
      <c r="D352" s="568" t="s">
        <v>895</v>
      </c>
      <c r="E352" s="763" t="s">
        <v>12663</v>
      </c>
      <c r="F352" s="772">
        <f>IFERROR(VLOOKUP(C352,[2]List1!$A:$D,3,FALSE),"NEUVEDENO!")</f>
        <v>175</v>
      </c>
      <c r="G352" s="769">
        <f t="shared" si="856"/>
        <v>175</v>
      </c>
      <c r="H352" s="766">
        <f t="shared" si="857"/>
        <v>7.4337441007930742</v>
      </c>
      <c r="I352" s="764">
        <f>IFERROR(VLOOKUP(C352,[2]List1!$A:$D,4,FALSE),"NEUVEDENO!")</f>
        <v>1</v>
      </c>
      <c r="J352" s="732"/>
      <c r="K352" s="569" t="s">
        <v>20</v>
      </c>
      <c r="L352" s="569" t="s">
        <v>15089</v>
      </c>
      <c r="M352" s="569"/>
      <c r="N352" s="569">
        <f>IFERROR(VLOOKUP(C352,[3]List1!$A:$D,4,FALSE),"N/A!")</f>
        <v>0</v>
      </c>
      <c r="O352" s="569">
        <f>IFERROR(VLOOKUP(C352,[3]List1!$A:$D,3,FALSE),"N/A!")</f>
        <v>0</v>
      </c>
      <c r="P352" s="569">
        <f>IFERROR(VLOOKUP(C352,[3]List1!$A:$D,2,FALSE),"N/A!")</f>
        <v>20</v>
      </c>
      <c r="Q352" s="569" t="s">
        <v>20</v>
      </c>
      <c r="R352" s="569" t="s">
        <v>20</v>
      </c>
      <c r="S352" s="569"/>
      <c r="T352" s="569"/>
      <c r="U352" s="569"/>
      <c r="V352" s="569"/>
      <c r="W352" s="569" t="str">
        <f>IFERROR(IF(AND($AB352&gt;=0.1*$AA352,MOD($AB352,$AA352)&gt;=($AA352-(0.1*$AA352))),IF($W$17=$AF$1,"Zvažte možnost doobjednání ještě "&amp;Tabulka1[[#This Row],[VKPAL]]-MOD(AB352,AA352)&amp;" VK do plné palety.",VLOOKUP("Zvažte možnost doobjednání ještě ",Jazyky_ceník!A:Q,MATCH($W$17,Jazyky_ceník!$A$1:$Q$1,0),FALSE)&amp;Tabulka1[[#This Row],[VKPAL]]-MOD(AB352,AA352)&amp;VLOOKUP(" VK do plné palety.",Jazyky_ceník!A:Q,MATCH($W$17,Jazyky_ceník!$A$1:$Q$1,0),FALSE)),IFERROR(IF(AND(NOT(MOD($AB352,$AA352)=0),$AB352&gt;=0.9*$AA352,MOD($AB352,$AA352)&lt;=0.1*$AA352),IF($W$17=$AF$1,"Zvažte možnost optimalizace objednaného množství podle počtu VK na paletě ==&gt;",VLOOKUP("Zvažte možnost optimalizace objednaného množství podle počtu VK na paletě ==&gt;",Jazyky_ceník!A:Q,MATCH($W$17,Jazyky_ceník!$A$1:$Q$1,0),FALSE)),VLOOKUP('General price list'!$C352,Popisy!A:M,MATCH($W$17,Popisy!$A$7:$M$7,0),FALSE)),"---------------")),IFERROR(VLOOKUP('General price list'!$C352,Popisy!A:M,MATCH($W$17,Popisy!$A$7:$M$7,0),FALSE),"---------------"))</f>
        <v>USB Zapalovač Dumbum</v>
      </c>
      <c r="X352" s="569" t="str">
        <f t="shared" si="858"/>
        <v/>
      </c>
      <c r="Y352" s="569" t="str">
        <f t="shared" si="859"/>
        <v/>
      </c>
      <c r="Z352" s="569" t="str">
        <f>HYPERLINK("https://www.klasekpyrotechnics.cz/uzd2")</f>
        <v>https://www.klasekpyrotechnics.cz/uzd2</v>
      </c>
      <c r="AA352" s="569" t="str">
        <f>IFERROR(IF(VLOOKUP(C352,[4]List1!$A:$D,4,FALSE)=0,"",VLOOKUP(C352,[4]List1!$A:$D,4,FALSE)),"")</f>
        <v/>
      </c>
      <c r="AB352" s="565"/>
      <c r="AC352" s="570" t="str">
        <f>IFERROR(IF(VLOOKUP(C352,[1]List1!$A:$D,2,FALSE)="VYPRODÁNO",$V$9,IF(VLOOKUP(C352,[1]List1!$A:$D,2,FALSE)="DOCHÁZÍ",$V$3,VLOOKUP(C352,[1]List1!$A:$D,2,FALSE))),"OFFLINE!")</f>
        <v>DOCHÁZÍ</v>
      </c>
      <c r="AD352" s="570" t="str">
        <f ca="1">IF(AP352="NE",$V$10,IF(AC352=$V$3,IF(AQ352&lt;1,$V$8,$V$2&amp;" "&amp;AQ352&amp;" "&amp;$V$1),IF(AC352="SKLADEM",$V$6,IFERROR(IF(OR(AC352-TODAY()&gt;45,VLOOKUP(C352,[1]List1!$A:$E,4,FALSE)=0),AC352,DAY(AC352)&amp;"."&amp;MONTH(AC352)&amp;"."&amp;YEAR(AC352)&amp;" "&amp;$V$4&amp;VLOOKUP(C352,[1]List1!$A:$E,4,FALSE)&amp;" "&amp;$V$1),AC352))))</f>
        <v>POSLEDNÍCH 5 VK</v>
      </c>
      <c r="AE352" s="581" t="str">
        <f t="shared" ca="1" si="860"/>
        <v>POSLEDNÍCH 5 VK</v>
      </c>
      <c r="AF352" s="584">
        <f t="shared" si="861"/>
        <v>0</v>
      </c>
      <c r="AG352" s="585">
        <f t="shared" si="862"/>
        <v>0</v>
      </c>
      <c r="AH352" s="583">
        <f t="shared" si="863"/>
        <v>0</v>
      </c>
      <c r="AI352" s="582">
        <f t="shared" si="864"/>
        <v>0</v>
      </c>
      <c r="AJ352" s="569">
        <f t="shared" si="865"/>
        <v>0</v>
      </c>
      <c r="AK352" s="569" t="str">
        <f t="shared" si="866"/>
        <v/>
      </c>
      <c r="AL352" s="569" t="str">
        <f t="shared" si="867"/>
        <v/>
      </c>
      <c r="AM352" s="569" t="str">
        <f t="shared" si="868"/>
        <v/>
      </c>
      <c r="AN352" s="581">
        <f t="shared" si="869"/>
        <v>0</v>
      </c>
      <c r="AO352" s="623"/>
      <c r="AP352" s="632" t="str">
        <f t="shared" si="834"/>
        <v/>
      </c>
      <c r="AQ352" s="633">
        <f>IF(AC352=$V$3,IF(VLOOKUP(C352,[1]List1!$A:$E,5,FALSE)=0,1,VLOOKUP(C352,[1]List1!$A:$E,5,FALSE)),"")</f>
        <v>5</v>
      </c>
      <c r="AR352" s="625" t="str">
        <f t="shared" si="835"/>
        <v/>
      </c>
      <c r="AS352" s="634" t="str">
        <f t="shared" si="836"/>
        <v/>
      </c>
      <c r="AT352" s="625" t="str">
        <f t="shared" si="837"/>
        <v/>
      </c>
      <c r="AU352" s="638" t="e">
        <f t="shared" si="838"/>
        <v>#N/A</v>
      </c>
      <c r="AV352" s="625" t="e">
        <f t="shared" si="839"/>
        <v>#N/A</v>
      </c>
      <c r="AX352" s="625">
        <f>IF(AND('General price list'!$J352="F4",'General price list'!$AB352+0&gt;0),1,0)</f>
        <v>0</v>
      </c>
      <c r="AY352" s="625">
        <f t="shared" si="840"/>
        <v>0</v>
      </c>
      <c r="AZ352" s="625">
        <f t="shared" si="841"/>
        <v>0</v>
      </c>
    </row>
    <row r="353" spans="1:52" ht="15.75" customHeight="1">
      <c r="A353" s="639" t="str">
        <f>Kat.!C353</f>
        <v/>
      </c>
      <c r="B353" s="640">
        <f>IF(AND('General price list'!$J353="F4",$AI$1=FALSE),0,IF(AC353="SKLADEM",1,IF(AC353=$V$3,1,0)))</f>
        <v>1</v>
      </c>
      <c r="C353" s="641" t="s">
        <v>898</v>
      </c>
      <c r="D353" s="642" t="s">
        <v>899</v>
      </c>
      <c r="E353" s="643" t="s">
        <v>12663</v>
      </c>
      <c r="F353" s="771">
        <f>IFERROR(VLOOKUP(C353,[2]List1!$A:$D,3,FALSE),"NEUVEDENO!")</f>
        <v>14</v>
      </c>
      <c r="G353" s="768">
        <f t="shared" si="856"/>
        <v>14</v>
      </c>
      <c r="H353" s="765">
        <f t="shared" si="857"/>
        <v>0.59469952806344595</v>
      </c>
      <c r="I353" s="644">
        <f>IFERROR(VLOOKUP(C353,[2]List1!$A:$D,4,FALSE),"NEUVEDENO!")</f>
        <v>1</v>
      </c>
      <c r="J353" s="733"/>
      <c r="K353" s="645" t="s">
        <v>20</v>
      </c>
      <c r="L353" s="645" t="s">
        <v>15089</v>
      </c>
      <c r="M353" s="645"/>
      <c r="N353" s="645">
        <f>IFERROR(VLOOKUP(C353,[3]List1!$A:$D,4,FALSE),"N/A!")</f>
        <v>0</v>
      </c>
      <c r="O353" s="645">
        <f>IFERROR(VLOOKUP(C353,[3]List1!$A:$D,3,FALSE),"N/A!")</f>
        <v>0</v>
      </c>
      <c r="P353" s="645">
        <f>IFERROR(VLOOKUP(C353,[3]List1!$A:$D,2,FALSE),"N/A!")</f>
        <v>3</v>
      </c>
      <c r="Q353" s="645"/>
      <c r="R353" s="645" t="s">
        <v>20</v>
      </c>
      <c r="S353" s="645"/>
      <c r="T353" s="645"/>
      <c r="U353" s="645"/>
      <c r="V353" s="645"/>
      <c r="W353" s="645" t="str">
        <f>IFERROR(IF(AND($AB353&gt;=0.1*$AA353,MOD($AB353,$AA353)&gt;=($AA353-(0.1*$AA353))),IF($W$17=$AF$1,"Zvažte možnost doobjednání ještě "&amp;Tabulka1[[#This Row],[VKPAL]]-MOD(AB353,AA353)&amp;" VK do plné palety.",VLOOKUP("Zvažte možnost doobjednání ještě ",Jazyky_ceník!A:Q,MATCH($W$17,Jazyky_ceník!$A$1:$Q$1,0),FALSE)&amp;Tabulka1[[#This Row],[VKPAL]]-MOD(AB353,AA353)&amp;VLOOKUP(" VK do plné palety.",Jazyky_ceník!A:Q,MATCH($W$17,Jazyky_ceník!$A$1:$Q$1,0),FALSE)),IFERROR(IF(AND(NOT(MOD($AB353,$AA353)=0),$AB353&gt;=0.9*$AA353,MOD($AB353,$AA353)&lt;=0.1*$AA353),IF($W$17=$AF$1,"Zvažte možnost optimalizace objednaného množství podle počtu VK na paletě ==&gt;",VLOOKUP("Zvažte možnost optimalizace objednaného množství podle počtu VK na paletě ==&gt;",Jazyky_ceník!A:Q,MATCH($W$17,Jazyky_ceník!$A$1:$Q$1,0),FALSE)),VLOOKUP('General price list'!$C353,Popisy!A:M,MATCH($W$17,Popisy!$A$7:$M$7,0),FALSE)),"---------------")),IFERROR(VLOOKUP('General price list'!$C353,Popisy!A:M,MATCH($W$17,Popisy!$A$7:$M$7,0),FALSE),"---------------"))</f>
        <v>samolepka Dumbum rozměr 17x15cm</v>
      </c>
      <c r="X353" s="645" t="str">
        <f t="shared" si="858"/>
        <v/>
      </c>
      <c r="Y353" s="645" t="str">
        <f t="shared" si="859"/>
        <v/>
      </c>
      <c r="Z353" s="645" t="str">
        <f>HYPERLINK("https://www.klasekpyrotechnics.cz/nd1")</f>
        <v>https://www.klasekpyrotechnics.cz/nd1</v>
      </c>
      <c r="AA353" s="645" t="str">
        <f>IFERROR(IF(VLOOKUP(C353,[4]List1!$A:$D,4,FALSE)=0,"",VLOOKUP(C353,[4]List1!$A:$D,4,FALSE)),"")</f>
        <v/>
      </c>
      <c r="AB353" s="646"/>
      <c r="AC353" s="647" t="str">
        <f>IFERROR(IF(VLOOKUP(C353,[1]List1!$A:$D,2,FALSE)="VYPRODÁNO",$V$9,IF(VLOOKUP(C353,[1]List1!$A:$D,2,FALSE)="DOCHÁZÍ",$V$3,VLOOKUP(C353,[1]List1!$A:$D,2,FALSE))),"OFFLINE!")</f>
        <v>SKLADEM</v>
      </c>
      <c r="AD353" s="647" t="str">
        <f ca="1">IF(AP353="NE",$V$10,IF(AC353=$V$3,IF(AQ353&lt;1,$V$8,$V$2&amp;" "&amp;AQ353&amp;" "&amp;$V$1),IF(AC353="SKLADEM",$V$6,IFERROR(IF(OR(AC353-TODAY()&gt;45,VLOOKUP(C353,[1]List1!$A:$E,4,FALSE)=0),AC353,DAY(AC353)&amp;"."&amp;MONTH(AC353)&amp;"."&amp;YEAR(AC353)&amp;" "&amp;$V$4&amp;VLOOKUP(C353,[1]List1!$A:$E,4,FALSE)&amp;" "&amp;$V$1),AC353))))</f>
        <v>SKLADEM</v>
      </c>
      <c r="AE353" s="645" t="str">
        <f t="shared" ca="1" si="860"/>
        <v>SKLADEM</v>
      </c>
      <c r="AF353" s="648">
        <f t="shared" si="861"/>
        <v>0</v>
      </c>
      <c r="AG353" s="649">
        <f t="shared" si="862"/>
        <v>0</v>
      </c>
      <c r="AH353" s="650">
        <f t="shared" si="863"/>
        <v>0</v>
      </c>
      <c r="AI353" s="645">
        <f t="shared" si="864"/>
        <v>0</v>
      </c>
      <c r="AJ353" s="645">
        <f t="shared" si="865"/>
        <v>0</v>
      </c>
      <c r="AK353" s="645" t="str">
        <f t="shared" si="866"/>
        <v/>
      </c>
      <c r="AL353" s="645" t="str">
        <f t="shared" si="867"/>
        <v/>
      </c>
      <c r="AM353" s="645" t="str">
        <f t="shared" si="868"/>
        <v/>
      </c>
      <c r="AN353" s="651">
        <f t="shared" si="869"/>
        <v>0</v>
      </c>
      <c r="AO353" s="623"/>
      <c r="AP353" s="625" t="str">
        <f t="shared" si="834"/>
        <v/>
      </c>
      <c r="AQ353" s="625" t="str">
        <f>IF(AC353=$V$3,IF(VLOOKUP(C353,[1]List1!$A:$E,5,FALSE)=0,1,VLOOKUP(C353,[1]List1!$A:$E,5,FALSE)),"")</f>
        <v/>
      </c>
      <c r="AR353" s="629" t="str">
        <f t="shared" si="835"/>
        <v/>
      </c>
      <c r="AS353" s="630" t="str">
        <f t="shared" si="836"/>
        <v/>
      </c>
      <c r="AT353" s="625" t="str">
        <f t="shared" si="837"/>
        <v/>
      </c>
      <c r="AU353" s="625" t="e">
        <f t="shared" si="838"/>
        <v>#N/A</v>
      </c>
      <c r="AV353" s="625" t="e">
        <f t="shared" si="839"/>
        <v>#N/A</v>
      </c>
      <c r="AW353" s="631"/>
      <c r="AX353" s="631">
        <f>IF(AND('General price list'!$J353="F4",'General price list'!$AB353+0&gt;0),1,0)</f>
        <v>0</v>
      </c>
      <c r="AY353" s="631">
        <f t="shared" si="840"/>
        <v>0</v>
      </c>
      <c r="AZ353" s="631">
        <f t="shared" si="841"/>
        <v>0</v>
      </c>
    </row>
    <row r="354" spans="1:52" ht="15" customHeight="1">
      <c r="A354" s="621" t="str">
        <f>Kat.!C354</f>
        <v>×</v>
      </c>
      <c r="B354" s="566">
        <f>IF(AND('General price list'!$J354="F4",$AI$1=FALSE),0,IF(AC354="SKLADEM",1,IF(AC354=$V$3,1,0)))</f>
        <v>1</v>
      </c>
      <c r="C354" s="567" t="s">
        <v>666</v>
      </c>
      <c r="D354" s="568" t="s">
        <v>906</v>
      </c>
      <c r="E354" s="763" t="s">
        <v>12663</v>
      </c>
      <c r="F354" s="772">
        <f>IFERROR(VLOOKUP(C354,[2]List1!$A:$D,3,FALSE),"NEUVEDENO!")</f>
        <v>20</v>
      </c>
      <c r="G354" s="769">
        <f t="shared" si="856"/>
        <v>20</v>
      </c>
      <c r="H354" s="766">
        <f t="shared" si="857"/>
        <v>0.84957075437635132</v>
      </c>
      <c r="I354" s="764">
        <f>IFERROR(VLOOKUP(C354,[2]List1!$A:$D,4,FALSE),"NEUVEDENO!")</f>
        <v>1</v>
      </c>
      <c r="J354" s="732"/>
      <c r="K354" s="569" t="s">
        <v>20</v>
      </c>
      <c r="L354" s="569" t="s">
        <v>15089</v>
      </c>
      <c r="M354" s="569"/>
      <c r="N354" s="569">
        <f>IFERROR(VLOOKUP(C354,[3]List1!$A:$D,4,FALSE),"N/A!")</f>
        <v>0</v>
      </c>
      <c r="O354" s="569">
        <f>IFERROR(VLOOKUP(C354,[3]List1!$A:$D,3,FALSE),"N/A!")</f>
        <v>0</v>
      </c>
      <c r="P354" s="569">
        <f>IFERROR(VLOOKUP(C354,[3]List1!$A:$D,2,FALSE),"N/A!")</f>
        <v>5</v>
      </c>
      <c r="Q354" s="569" t="s">
        <v>20</v>
      </c>
      <c r="R354" s="569" t="s">
        <v>20</v>
      </c>
      <c r="S354" s="569"/>
      <c r="T354" s="569"/>
      <c r="U354" s="569"/>
      <c r="V354" s="569"/>
      <c r="W354" s="569" t="str">
        <f>IFERROR(IF(AND($AB354&gt;=0.1*$AA354,MOD($AB354,$AA354)&gt;=($AA354-(0.1*$AA354))),IF($W$17=$AF$1,"Zvažte možnost doobjednání ještě "&amp;Tabulka1[[#This Row],[VKPAL]]-MOD(AB354,AA354)&amp;" VK do plné palety.",VLOOKUP("Zvažte možnost doobjednání ještě ",Jazyky_ceník!A:Q,MATCH($W$17,Jazyky_ceník!$A$1:$Q$1,0),FALSE)&amp;Tabulka1[[#This Row],[VKPAL]]-MOD(AB354,AA354)&amp;VLOOKUP(" VK do plné palety.",Jazyky_ceník!A:Q,MATCH($W$17,Jazyky_ceník!$A$1:$Q$1,0),FALSE)),IFERROR(IF(AND(NOT(MOD($AB354,$AA354)=0),$AB354&gt;=0.9*$AA354,MOD($AB354,$AA354)&lt;=0.1*$AA354),IF($W$17=$AF$1,"Zvažte možnost optimalizace objednaného množství podle počtu VK na paletě ==&gt;",VLOOKUP("Zvažte možnost optimalizace objednaného množství podle počtu VK na paletě ==&gt;",Jazyky_ceník!A:Q,MATCH($W$17,Jazyky_ceník!$A$1:$Q$1,0),FALSE)),VLOOKUP('General price list'!$C354,Popisy!A:M,MATCH($W$17,Popisy!$A$7:$M$7,0),FALSE)),"---------------")),IFERROR(VLOOKUP('General price list'!$C354,Popisy!A:M,MATCH($W$17,Popisy!$A$7:$M$7,0),FALSE),"---------------"))</f>
        <v>nákupní taška Dumbum, rozměr 45x34cm</v>
      </c>
      <c r="X354" s="569" t="str">
        <f t="shared" si="858"/>
        <v/>
      </c>
      <c r="Y354" s="569" t="str">
        <f t="shared" si="859"/>
        <v/>
      </c>
      <c r="Z354" s="569" t="str">
        <f>HYPERLINK("https://www.klasekpyrotechnics.cz/t2")</f>
        <v>https://www.klasekpyrotechnics.cz/t2</v>
      </c>
      <c r="AA354" s="569" t="str">
        <f>IFERROR(IF(VLOOKUP(C354,[4]List1!$A:$D,4,FALSE)=0,"",VLOOKUP(C354,[4]List1!$A:$D,4,FALSE)),"")</f>
        <v/>
      </c>
      <c r="AB354" s="565"/>
      <c r="AC354" s="570" t="str">
        <f>IFERROR(IF(VLOOKUP(C354,[1]List1!$A:$D,2,FALSE)="VYPRODÁNO",$V$9,IF(VLOOKUP(C354,[1]List1!$A:$D,2,FALSE)="DOCHÁZÍ",$V$3,VLOOKUP(C354,[1]List1!$A:$D,2,FALSE))),"OFFLINE!")</f>
        <v>SKLADEM</v>
      </c>
      <c r="AD354" s="570" t="str">
        <f ca="1">IF(AP354="NE",$V$10,IF(AC354=$V$3,IF(AQ354&lt;1,$V$8,$V$2&amp;" "&amp;AQ354&amp;" "&amp;$V$1),IF(AC354="SKLADEM",$V$6,IFERROR(IF(OR(AC354-TODAY()&gt;45,VLOOKUP(C354,[1]List1!$A:$E,4,FALSE)=0),AC354,DAY(AC354)&amp;"."&amp;MONTH(AC354)&amp;"."&amp;YEAR(AC354)&amp;" "&amp;$V$4&amp;VLOOKUP(C354,[1]List1!$A:$E,4,FALSE)&amp;" "&amp;$V$1),AC354))))</f>
        <v>SKLADEM</v>
      </c>
      <c r="AE354" s="581" t="str">
        <f t="shared" ca="1" si="860"/>
        <v>SKLADEM</v>
      </c>
      <c r="AF354" s="584">
        <f t="shared" si="861"/>
        <v>0</v>
      </c>
      <c r="AG354" s="585">
        <f t="shared" si="862"/>
        <v>0</v>
      </c>
      <c r="AH354" s="583">
        <f t="shared" si="863"/>
        <v>0</v>
      </c>
      <c r="AI354" s="582">
        <f t="shared" si="864"/>
        <v>0</v>
      </c>
      <c r="AJ354" s="569">
        <f t="shared" si="865"/>
        <v>0</v>
      </c>
      <c r="AK354" s="569" t="str">
        <f t="shared" si="866"/>
        <v/>
      </c>
      <c r="AL354" s="569" t="str">
        <f t="shared" si="867"/>
        <v/>
      </c>
      <c r="AM354" s="569" t="str">
        <f t="shared" si="868"/>
        <v/>
      </c>
      <c r="AN354" s="581">
        <f t="shared" si="869"/>
        <v>0</v>
      </c>
      <c r="AO354" s="623"/>
      <c r="AP354" s="632" t="str">
        <f t="shared" si="834"/>
        <v/>
      </c>
      <c r="AQ354" s="633" t="str">
        <f>IF(AC354=$V$3,IF(VLOOKUP(C354,[1]List1!$A:$E,5,FALSE)=0,1,VLOOKUP(C354,[1]List1!$A:$E,5,FALSE)),"")</f>
        <v/>
      </c>
      <c r="AR354" s="625" t="str">
        <f t="shared" si="835"/>
        <v/>
      </c>
      <c r="AS354" s="634" t="str">
        <f t="shared" si="836"/>
        <v/>
      </c>
      <c r="AT354" s="625" t="str">
        <f t="shared" si="837"/>
        <v/>
      </c>
      <c r="AU354" s="638" t="e">
        <f t="shared" si="838"/>
        <v>#N/A</v>
      </c>
      <c r="AV354" s="625" t="e">
        <f t="shared" si="839"/>
        <v>#N/A</v>
      </c>
      <c r="AX354" s="625">
        <f>IF(AND('General price list'!$J354="F4",'General price list'!$AB354+0&gt;0),1,0)</f>
        <v>0</v>
      </c>
      <c r="AY354" s="625">
        <f t="shared" si="840"/>
        <v>0</v>
      </c>
      <c r="AZ354" s="625">
        <f t="shared" si="841"/>
        <v>0</v>
      </c>
    </row>
    <row r="355" spans="1:52" ht="15" customHeight="1">
      <c r="A355" s="639" t="str">
        <f>Kat.!C355</f>
        <v/>
      </c>
      <c r="B355" s="640">
        <f>IF(AND('General price list'!$J355="F4",$AI$1=FALSE),0,IF(AC355="SKLADEM",1,IF(AC355=$V$3,1,0)))</f>
        <v>0</v>
      </c>
      <c r="C355" s="641" t="s">
        <v>12405</v>
      </c>
      <c r="D355" s="642" t="s">
        <v>12406</v>
      </c>
      <c r="E355" s="643" t="s">
        <v>12663</v>
      </c>
      <c r="F355" s="771">
        <f>IFERROR(VLOOKUP(C355,[2]List1!$A:$D,3,FALSE),"NEUVEDENO!")</f>
        <v>958</v>
      </c>
      <c r="G355" s="768">
        <f t="shared" si="856"/>
        <v>958</v>
      </c>
      <c r="H355" s="765">
        <f t="shared" si="857"/>
        <v>40.694439134627231</v>
      </c>
      <c r="I355" s="644">
        <f>IFERROR(VLOOKUP(C355,[2]List1!$A:$D,4,FALSE),"NEUVEDENO!")</f>
        <v>1</v>
      </c>
      <c r="J355" s="733"/>
      <c r="K355" s="645" t="s">
        <v>20</v>
      </c>
      <c r="L355" s="645" t="s">
        <v>15089</v>
      </c>
      <c r="M355" s="645"/>
      <c r="N355" s="645">
        <f>IFERROR(VLOOKUP(C355,[3]List1!$A:$D,4,FALSE),"N/A!")</f>
        <v>0</v>
      </c>
      <c r="O355" s="645">
        <f>IFERROR(VLOOKUP(C355,[3]List1!$A:$D,3,FALSE),"N/A!")</f>
        <v>0</v>
      </c>
      <c r="P355" s="645">
        <f>IFERROR(VLOOKUP(C355,[3]List1!$A:$D,2,FALSE),"N/A!")</f>
        <v>438</v>
      </c>
      <c r="Q355" s="645" t="s">
        <v>20</v>
      </c>
      <c r="R355" s="645" t="s">
        <v>20</v>
      </c>
      <c r="S355" s="645"/>
      <c r="T355" s="645"/>
      <c r="U355" s="645"/>
      <c r="V355" s="645"/>
      <c r="W355" s="645" t="str">
        <f>IFERROR(IF(AND($AB355&gt;=0.1*$AA355,MOD($AB355,$AA355)&gt;=($AA355-(0.1*$AA355))),IF($W$17=$AF$1,"Zvažte možnost doobjednání ještě "&amp;Tabulka1[[#This Row],[VKPAL]]-MOD(AB355,AA355)&amp;" VK do plné palety.",VLOOKUP("Zvažte možnost doobjednání ještě ",Jazyky_ceník!A:Q,MATCH($W$17,Jazyky_ceník!$A$1:$Q$1,0),FALSE)&amp;Tabulka1[[#This Row],[VKPAL]]-MOD(AB355,AA355)&amp;VLOOKUP(" VK do plné palety.",Jazyky_ceník!A:Q,MATCH($W$17,Jazyky_ceník!$A$1:$Q$1,0),FALSE)),IFERROR(IF(AND(NOT(MOD($AB355,$AA355)=0),$AB355&gt;=0.9*$AA355,MOD($AB355,$AA355)&lt;=0.1*$AA355),IF($W$17=$AF$1,"Zvažte možnost optimalizace objednaného množství podle počtu VK na paletě ==&gt;",VLOOKUP("Zvažte možnost optimalizace objednaného množství podle počtu VK na paletě ==&gt;",Jazyky_ceník!A:Q,MATCH($W$17,Jazyky_ceník!$A$1:$Q$1,0),FALSE)),VLOOKUP('General price list'!$C355,Popisy!A:M,MATCH($W$17,Popisy!$A$7:$M$7,0),FALSE)),"---------------")),IFERROR(VLOOKUP('General price list'!$C355,Popisy!A:M,MATCH($W$17,Popisy!$A$7:$M$7,0),FALSE),"---------------"))</f>
        <v>katalog produktů</v>
      </c>
      <c r="X355" s="645" t="str">
        <f t="shared" si="858"/>
        <v/>
      </c>
      <c r="Y355" s="645" t="str">
        <f t="shared" si="859"/>
        <v/>
      </c>
      <c r="Z355" s="645" t="str">
        <f>HYPERLINK("https://www.klasekpyrotechnics.cz/kk2020")</f>
        <v>https://www.klasekpyrotechnics.cz/kk2020</v>
      </c>
      <c r="AA355" s="645" t="str">
        <f>IFERROR(IF(VLOOKUP(C355,[4]List1!$A:$D,4,FALSE)=0,"",VLOOKUP(C355,[4]List1!$A:$D,4,FALSE)),"")</f>
        <v/>
      </c>
      <c r="AB355" s="646"/>
      <c r="AC355" s="647" t="str">
        <f>IFERROR(IF(VLOOKUP(C355,[1]List1!$A:$D,2,FALSE)="VYPRODÁNO",$V$9,IF(VLOOKUP(C355,[1]List1!$A:$D,2,FALSE)="DOCHÁZÍ",$V$3,VLOOKUP(C355,[1]List1!$A:$D,2,FALSE))),"OFFLINE!")</f>
        <v>VYPRODÁNO</v>
      </c>
      <c r="AD355" s="647" t="str">
        <f ca="1">IF(AP355="NE",$V$10,IF(AC355=$V$3,IF(AQ355&lt;1,$V$8,$V$2&amp;" "&amp;AQ355&amp;" "&amp;$V$1),IF(AC355="SKLADEM",$V$6,IFERROR(IF(OR(AC355-TODAY()&gt;45,VLOOKUP(C355,[1]List1!$A:$E,4,FALSE)=0),AC355,DAY(AC355)&amp;"."&amp;MONTH(AC355)&amp;"."&amp;YEAR(AC355)&amp;" "&amp;$V$4&amp;VLOOKUP(C355,[1]List1!$A:$E,4,FALSE)&amp;" "&amp;$V$1),AC355))))</f>
        <v>VYPRODÁNO</v>
      </c>
      <c r="AE355" s="645" t="str">
        <f t="shared" ca="1" si="860"/>
        <v>VYPRODÁNO</v>
      </c>
      <c r="AF355" s="648">
        <f t="shared" si="861"/>
        <v>0</v>
      </c>
      <c r="AG355" s="649">
        <f t="shared" si="862"/>
        <v>0</v>
      </c>
      <c r="AH355" s="650">
        <f t="shared" si="863"/>
        <v>0</v>
      </c>
      <c r="AI355" s="645">
        <f t="shared" si="864"/>
        <v>0</v>
      </c>
      <c r="AJ355" s="645">
        <f t="shared" si="865"/>
        <v>0</v>
      </c>
      <c r="AK355" s="645" t="str">
        <f t="shared" si="866"/>
        <v/>
      </c>
      <c r="AL355" s="645" t="str">
        <f t="shared" si="867"/>
        <v/>
      </c>
      <c r="AM355" s="645" t="str">
        <f t="shared" si="868"/>
        <v/>
      </c>
      <c r="AN355" s="651">
        <f t="shared" si="869"/>
        <v>0</v>
      </c>
      <c r="AO355" s="623"/>
      <c r="AP355" s="632" t="str">
        <f t="shared" si="834"/>
        <v/>
      </c>
      <c r="AQ355" s="633" t="str">
        <f>IF(AC355=$V$3,IF(VLOOKUP(C355,[1]List1!$A:$E,5,FALSE)=0,1,VLOOKUP(C355,[1]List1!$A:$E,5,FALSE)),"")</f>
        <v/>
      </c>
      <c r="AR355" s="625" t="str">
        <f t="shared" si="835"/>
        <v/>
      </c>
      <c r="AS355" s="634" t="str">
        <f t="shared" si="836"/>
        <v/>
      </c>
      <c r="AT355" s="625" t="str">
        <f t="shared" si="837"/>
        <v/>
      </c>
      <c r="AU355" s="638" t="e">
        <f t="shared" si="838"/>
        <v>#N/A</v>
      </c>
      <c r="AV355" s="625" t="e">
        <f t="shared" si="839"/>
        <v>#N/A</v>
      </c>
      <c r="AX355" s="625">
        <f>IF(AND('General price list'!$J355="F4",'General price list'!$AB355+0&gt;0),1,0)</f>
        <v>0</v>
      </c>
      <c r="AY355" s="625">
        <f t="shared" si="840"/>
        <v>0</v>
      </c>
      <c r="AZ355" s="625">
        <f t="shared" si="841"/>
        <v>0</v>
      </c>
    </row>
    <row r="356" spans="1:52" ht="15" customHeight="1">
      <c r="A356" s="621" t="str">
        <f>Kat.!C356</f>
        <v/>
      </c>
      <c r="B356" s="566">
        <f>IF(AND('General price list'!$J356="F4",$AI$1=FALSE),0,IF(AC356="SKLADEM",1,IF(AC356=$V$3,1,0)))</f>
        <v>1</v>
      </c>
      <c r="C356" s="567" t="s">
        <v>910</v>
      </c>
      <c r="D356" s="568" t="s">
        <v>911</v>
      </c>
      <c r="E356" s="763" t="s">
        <v>12663</v>
      </c>
      <c r="F356" s="772">
        <f>IFERROR(VLOOKUP(C356,[2]List1!$A:$D,3,FALSE),"NEUVEDENO!")</f>
        <v>320</v>
      </c>
      <c r="G356" s="769">
        <f t="shared" si="856"/>
        <v>320</v>
      </c>
      <c r="H356" s="766">
        <f t="shared" si="857"/>
        <v>13.593132070021621</v>
      </c>
      <c r="I356" s="764">
        <f>IFERROR(VLOOKUP(C356,[2]List1!$A:$D,4,FALSE),"NEUVEDENO!")</f>
        <v>1</v>
      </c>
      <c r="J356" s="732"/>
      <c r="K356" s="569" t="s">
        <v>20</v>
      </c>
      <c r="L356" s="569" t="s">
        <v>15089</v>
      </c>
      <c r="M356" s="569"/>
      <c r="N356" s="569">
        <f>IFERROR(VLOOKUP(C356,[3]List1!$A:$D,4,FALSE),"N/A!")</f>
        <v>0</v>
      </c>
      <c r="O356" s="569">
        <f>IFERROR(VLOOKUP(C356,[3]List1!$A:$D,3,FALSE),"N/A!")</f>
        <v>0</v>
      </c>
      <c r="P356" s="569">
        <f>IFERROR(VLOOKUP(C356,[3]List1!$A:$D,2,FALSE),"N/A!")</f>
        <v>318</v>
      </c>
      <c r="Q356" s="569" t="s">
        <v>20</v>
      </c>
      <c r="R356" s="569" t="s">
        <v>20</v>
      </c>
      <c r="S356" s="569"/>
      <c r="T356" s="569"/>
      <c r="U356" s="569"/>
      <c r="V356" s="569"/>
      <c r="W356" s="569" t="str">
        <f>IFERROR(IF(AND($AB356&gt;=0.1*$AA356,MOD($AB356,$AA356)&gt;=($AA356-(0.1*$AA356))),IF($W$17=$AF$1,"Zvažte možnost doobjednání ještě "&amp;Tabulka1[[#This Row],[VKPAL]]-MOD(AB356,AA356)&amp;" VK do plné palety.",VLOOKUP("Zvažte možnost doobjednání ještě ",Jazyky_ceník!A:Q,MATCH($W$17,Jazyky_ceník!$A$1:$Q$1,0),FALSE)&amp;Tabulka1[[#This Row],[VKPAL]]-MOD(AB356,AA356)&amp;VLOOKUP(" VK do plné palety.",Jazyky_ceník!A:Q,MATCH($W$17,Jazyky_ceník!$A$1:$Q$1,0),FALSE)),IFERROR(IF(AND(NOT(MOD($AB356,$AA356)=0),$AB356&gt;=0.9*$AA356,MOD($AB356,$AA356)&lt;=0.1*$AA356),IF($W$17=$AF$1,"Zvažte možnost optimalizace objednaného množství podle počtu VK na paletě ==&gt;",VLOOKUP("Zvažte možnost optimalizace objednaného množství podle počtu VK na paletě ==&gt;",Jazyky_ceník!A:Q,MATCH($W$17,Jazyky_ceník!$A$1:$Q$1,0),FALSE)),VLOOKUP('General price list'!$C356,Popisy!A:M,MATCH($W$17,Popisy!$A$7:$M$7,0),FALSE)),"---------------")),IFERROR(VLOOKUP('General price list'!$C356,Popisy!A:M,MATCH($W$17,Popisy!$A$7:$M$7,0),FALSE),"---------------"))</f>
        <v>keramický hrnek Dumbum</v>
      </c>
      <c r="X356" s="569" t="str">
        <f t="shared" si="858"/>
        <v/>
      </c>
      <c r="Y356" s="569" t="str">
        <f t="shared" si="859"/>
        <v/>
      </c>
      <c r="Z356" s="569" t="str">
        <f>HYPERLINK("https://www.klasekpyrotechnics.cz/hd1")</f>
        <v>https://www.klasekpyrotechnics.cz/hd1</v>
      </c>
      <c r="AA356" s="569" t="str">
        <f>IFERROR(IF(VLOOKUP(C356,[4]List1!$A:$D,4,FALSE)=0,"",VLOOKUP(C356,[4]List1!$A:$D,4,FALSE)),"")</f>
        <v/>
      </c>
      <c r="AB356" s="565"/>
      <c r="AC356" s="570" t="str">
        <f>IFERROR(IF(VLOOKUP(C356,[1]List1!$A:$D,2,FALSE)="VYPRODÁNO",$V$9,IF(VLOOKUP(C356,[1]List1!$A:$D,2,FALSE)="DOCHÁZÍ",$V$3,VLOOKUP(C356,[1]List1!$A:$D,2,FALSE))),"OFFLINE!")</f>
        <v>SKLADEM</v>
      </c>
      <c r="AD356" s="570" t="str">
        <f ca="1">IF(AP356="NE",$V$10,IF(AC356=$V$3,IF(AQ356&lt;1,$V$8,$V$2&amp;" "&amp;AQ356&amp;" "&amp;$V$1),IF(AC356="SKLADEM",$V$6,IFERROR(IF(OR(AC356-TODAY()&gt;45,VLOOKUP(C356,[1]List1!$A:$E,4,FALSE)=0),AC356,DAY(AC356)&amp;"."&amp;MONTH(AC356)&amp;"."&amp;YEAR(AC356)&amp;" "&amp;$V$4&amp;VLOOKUP(C356,[1]List1!$A:$E,4,FALSE)&amp;" "&amp;$V$1),AC356))))</f>
        <v>SKLADEM</v>
      </c>
      <c r="AE356" s="581" t="str">
        <f t="shared" ca="1" si="860"/>
        <v>SKLADEM</v>
      </c>
      <c r="AF356" s="584">
        <f t="shared" si="861"/>
        <v>0</v>
      </c>
      <c r="AG356" s="585">
        <f t="shared" si="862"/>
        <v>0</v>
      </c>
      <c r="AH356" s="583">
        <f t="shared" si="863"/>
        <v>0</v>
      </c>
      <c r="AI356" s="582">
        <f t="shared" si="864"/>
        <v>0</v>
      </c>
      <c r="AJ356" s="569">
        <f t="shared" si="865"/>
        <v>0</v>
      </c>
      <c r="AK356" s="569" t="str">
        <f t="shared" si="866"/>
        <v/>
      </c>
      <c r="AL356" s="569" t="str">
        <f t="shared" si="867"/>
        <v/>
      </c>
      <c r="AM356" s="569" t="str">
        <f t="shared" si="868"/>
        <v/>
      </c>
      <c r="AN356" s="581">
        <f t="shared" si="869"/>
        <v>0</v>
      </c>
      <c r="AO356" s="623"/>
      <c r="AP356" s="632" t="str">
        <f t="shared" si="834"/>
        <v/>
      </c>
      <c r="AQ356" s="633" t="str">
        <f>IF(AC356=$V$3,IF(VLOOKUP(C356,[1]List1!$A:$E,5,FALSE)=0,1,VLOOKUP(C356,[1]List1!$A:$E,5,FALSE)),"")</f>
        <v/>
      </c>
      <c r="AR356" s="625" t="str">
        <f t="shared" si="835"/>
        <v/>
      </c>
      <c r="AS356" s="634" t="str">
        <f t="shared" si="836"/>
        <v/>
      </c>
      <c r="AT356" s="625" t="str">
        <f t="shared" si="837"/>
        <v/>
      </c>
      <c r="AU356" s="638" t="e">
        <f t="shared" si="838"/>
        <v>#N/A</v>
      </c>
      <c r="AV356" s="625" t="e">
        <f t="shared" si="839"/>
        <v>#N/A</v>
      </c>
      <c r="AX356" s="625">
        <f>IF(AND('General price list'!$J356="F4",'General price list'!$AB356+0&gt;0),1,0)</f>
        <v>0</v>
      </c>
      <c r="AY356" s="625">
        <f t="shared" si="840"/>
        <v>0</v>
      </c>
      <c r="AZ356" s="625">
        <f t="shared" si="841"/>
        <v>0</v>
      </c>
    </row>
    <row r="357" spans="1:52" ht="15" customHeight="1">
      <c r="A357" s="639" t="str">
        <f>Kat.!C357</f>
        <v/>
      </c>
      <c r="B357" s="640">
        <f>IF(AND('General price list'!$J357="F4",$AI$1=FALSE),0,IF(AC357="SKLADEM",1,IF(AC357=$V$3,1,0)))</f>
        <v>1</v>
      </c>
      <c r="C357" s="641" t="s">
        <v>915</v>
      </c>
      <c r="D357" s="642" t="s">
        <v>916</v>
      </c>
      <c r="E357" s="643" t="s">
        <v>12663</v>
      </c>
      <c r="F357" s="771">
        <f>IFERROR(VLOOKUP(C357,[2]List1!$A:$D,3,FALSE),"NEUVEDENO!")</f>
        <v>262</v>
      </c>
      <c r="G357" s="768">
        <f t="shared" si="856"/>
        <v>262</v>
      </c>
      <c r="H357" s="765">
        <f t="shared" si="857"/>
        <v>11.129376882330202</v>
      </c>
      <c r="I357" s="644">
        <f>IFERROR(VLOOKUP(C357,[2]List1!$A:$D,4,FALSE),"NEUVEDENO!")</f>
        <v>1</v>
      </c>
      <c r="J357" s="733"/>
      <c r="K357" s="645" t="s">
        <v>20</v>
      </c>
      <c r="L357" s="645" t="s">
        <v>15089</v>
      </c>
      <c r="M357" s="645"/>
      <c r="N357" s="645">
        <f>IFERROR(VLOOKUP(C357,[3]List1!$A:$D,4,FALSE),"N/A!")</f>
        <v>0</v>
      </c>
      <c r="O357" s="645">
        <f>IFERROR(VLOOKUP(C357,[3]List1!$A:$D,3,FALSE),"N/A!")</f>
        <v>0</v>
      </c>
      <c r="P357" s="645">
        <f>IFERROR(VLOOKUP(C357,[3]List1!$A:$D,2,FALSE),"N/A!")</f>
        <v>34</v>
      </c>
      <c r="Q357" s="645" t="s">
        <v>20</v>
      </c>
      <c r="R357" s="645" t="s">
        <v>20</v>
      </c>
      <c r="S357" s="645"/>
      <c r="T357" s="645"/>
      <c r="U357" s="645"/>
      <c r="V357" s="645"/>
      <c r="W357" s="645" t="str">
        <f>IFERROR(IF(AND($AB357&gt;=0.1*$AA357,MOD($AB357,$AA357)&gt;=($AA357-(0.1*$AA357))),IF($W$17=$AF$1,"Zvažte možnost doobjednání ještě "&amp;Tabulka1[[#This Row],[VKPAL]]-MOD(AB357,AA357)&amp;" VK do plné palety.",VLOOKUP("Zvažte možnost doobjednání ještě ",Jazyky_ceník!A:Q,MATCH($W$17,Jazyky_ceník!$A$1:$Q$1,0),FALSE)&amp;Tabulka1[[#This Row],[VKPAL]]-MOD(AB357,AA357)&amp;VLOOKUP(" VK do plné palety.",Jazyky_ceník!A:Q,MATCH($W$17,Jazyky_ceník!$A$1:$Q$1,0),FALSE)),IFERROR(IF(AND(NOT(MOD($AB357,$AA357)=0),$AB357&gt;=0.9*$AA357,MOD($AB357,$AA357)&lt;=0.1*$AA357),IF($W$17=$AF$1,"Zvažte možnost optimalizace objednaného množství podle počtu VK na paletě ==&gt;",VLOOKUP("Zvažte možnost optimalizace objednaného množství podle počtu VK na paletě ==&gt;",Jazyky_ceník!A:Q,MATCH($W$17,Jazyky_ceník!$A$1:$Q$1,0),FALSE)),VLOOKUP('General price list'!$C357,Popisy!A:M,MATCH($W$17,Popisy!$A$7:$M$7,0),FALSE)),"---------------")),IFERROR(VLOOKUP('General price list'!$C357,Popisy!A:M,MATCH($W$17,Popisy!$A$7:$M$7,0),FALSE),"---------------"))</f>
        <v>podložka pod myš Dumbum</v>
      </c>
      <c r="X357" s="645" t="str">
        <f t="shared" si="858"/>
        <v/>
      </c>
      <c r="Y357" s="645" t="str">
        <f t="shared" si="859"/>
        <v/>
      </c>
      <c r="Z357" s="645" t="str">
        <f>HYPERLINK("https://www.klasekpyrotechnics.cz/ppmd1")</f>
        <v>https://www.klasekpyrotechnics.cz/ppmd1</v>
      </c>
      <c r="AA357" s="645" t="str">
        <f>IFERROR(IF(VLOOKUP(C357,[4]List1!$A:$D,4,FALSE)=0,"",VLOOKUP(C357,[4]List1!$A:$D,4,FALSE)),"")</f>
        <v/>
      </c>
      <c r="AB357" s="646"/>
      <c r="AC357" s="647" t="str">
        <f>IFERROR(IF(VLOOKUP(C357,[1]List1!$A:$D,2,FALSE)="VYPRODÁNO",$V$9,IF(VLOOKUP(C357,[1]List1!$A:$D,2,FALSE)="DOCHÁZÍ",$V$3,VLOOKUP(C357,[1]List1!$A:$D,2,FALSE))),"OFFLINE!")</f>
        <v>SKLADEM</v>
      </c>
      <c r="AD357" s="647" t="str">
        <f ca="1">IF(AP357="NE",$V$10,IF(AC357=$V$3,IF(AQ357&lt;1,$V$8,$V$2&amp;" "&amp;AQ357&amp;" "&amp;$V$1),IF(AC357="SKLADEM",$V$6,IFERROR(IF(OR(AC357-TODAY()&gt;45,VLOOKUP(C357,[1]List1!$A:$E,4,FALSE)=0),AC357,DAY(AC357)&amp;"."&amp;MONTH(AC357)&amp;"."&amp;YEAR(AC357)&amp;" "&amp;$V$4&amp;VLOOKUP(C357,[1]List1!$A:$E,4,FALSE)&amp;" "&amp;$V$1),AC357))))</f>
        <v>SKLADEM</v>
      </c>
      <c r="AE357" s="645" t="str">
        <f t="shared" ca="1" si="860"/>
        <v>SKLADEM</v>
      </c>
      <c r="AF357" s="648">
        <f t="shared" si="861"/>
        <v>0</v>
      </c>
      <c r="AG357" s="649">
        <f t="shared" si="862"/>
        <v>0</v>
      </c>
      <c r="AH357" s="650">
        <f t="shared" si="863"/>
        <v>0</v>
      </c>
      <c r="AI357" s="645">
        <f t="shared" si="864"/>
        <v>0</v>
      </c>
      <c r="AJ357" s="645">
        <f t="shared" si="865"/>
        <v>0</v>
      </c>
      <c r="AK357" s="645" t="str">
        <f t="shared" si="866"/>
        <v/>
      </c>
      <c r="AL357" s="645" t="str">
        <f t="shared" si="867"/>
        <v/>
      </c>
      <c r="AM357" s="645" t="str">
        <f t="shared" si="868"/>
        <v/>
      </c>
      <c r="AN357" s="651">
        <f t="shared" si="869"/>
        <v>0</v>
      </c>
      <c r="AO357" s="623"/>
      <c r="AP357" s="632" t="str">
        <f t="shared" si="834"/>
        <v/>
      </c>
      <c r="AQ357" s="633" t="str">
        <f>IF(AC357=$V$3,IF(VLOOKUP(C357,[1]List1!$A:$E,5,FALSE)=0,1,VLOOKUP(C357,[1]List1!$A:$E,5,FALSE)),"")</f>
        <v/>
      </c>
      <c r="AR357" s="625" t="str">
        <f t="shared" si="835"/>
        <v/>
      </c>
      <c r="AS357" s="634" t="str">
        <f t="shared" si="836"/>
        <v/>
      </c>
      <c r="AT357" s="625" t="str">
        <f t="shared" si="837"/>
        <v/>
      </c>
      <c r="AU357" s="638" t="e">
        <f t="shared" si="838"/>
        <v>#N/A</v>
      </c>
      <c r="AV357" s="625" t="e">
        <f t="shared" si="839"/>
        <v>#N/A</v>
      </c>
      <c r="AX357" s="625">
        <f>IF(AND('General price list'!$J357="F4",'General price list'!$AB357+0&gt;0),1,0)</f>
        <v>0</v>
      </c>
      <c r="AY357" s="625">
        <f t="shared" si="840"/>
        <v>0</v>
      </c>
      <c r="AZ357" s="625">
        <f t="shared" si="841"/>
        <v>0</v>
      </c>
    </row>
    <row r="358" spans="1:52" ht="15" customHeight="1">
      <c r="A358" s="621" t="str">
        <f>Kat.!C358</f>
        <v>×</v>
      </c>
      <c r="B358" s="566">
        <f>IF(AND('General price list'!$J358="F4",$AI$1=FALSE),0,IF(AC358="SKLADEM",1,IF(AC358=$V$3,1,0)))</f>
        <v>1</v>
      </c>
      <c r="C358" s="567" t="s">
        <v>920</v>
      </c>
      <c r="D358" s="568" t="s">
        <v>921</v>
      </c>
      <c r="E358" s="763" t="s">
        <v>12663</v>
      </c>
      <c r="F358" s="772">
        <f>IFERROR(VLOOKUP(C358,[2]List1!$A:$D,3,FALSE),"NEUVEDENO!")</f>
        <v>1071</v>
      </c>
      <c r="G358" s="769">
        <f t="shared" si="856"/>
        <v>1071</v>
      </c>
      <c r="H358" s="766">
        <f t="shared" si="857"/>
        <v>45.494513896853618</v>
      </c>
      <c r="I358" s="764">
        <f>IFERROR(VLOOKUP(C358,[2]List1!$A:$D,4,FALSE),"NEUVEDENO!")</f>
        <v>1</v>
      </c>
      <c r="J358" s="732"/>
      <c r="K358" s="569" t="s">
        <v>20</v>
      </c>
      <c r="L358" s="569" t="s">
        <v>15089</v>
      </c>
      <c r="M358" s="569"/>
      <c r="N358" s="569">
        <f>IFERROR(VLOOKUP(C358,[3]List1!$A:$D,4,FALSE),"N/A!")</f>
        <v>0</v>
      </c>
      <c r="O358" s="569">
        <f>IFERROR(VLOOKUP(C358,[3]List1!$A:$D,3,FALSE),"N/A!")</f>
        <v>0</v>
      </c>
      <c r="P358" s="569">
        <f>IFERROR(VLOOKUP(C358,[3]List1!$A:$D,2,FALSE),"N/A!")</f>
        <v>354</v>
      </c>
      <c r="Q358" s="569"/>
      <c r="R358" s="569" t="s">
        <v>20</v>
      </c>
      <c r="S358" s="569"/>
      <c r="T358" s="569"/>
      <c r="U358" s="569"/>
      <c r="V358" s="569"/>
      <c r="W358" s="569" t="str">
        <f>IFERROR(IF(AND($AB358&gt;=0.1*$AA358,MOD($AB358,$AA358)&gt;=($AA358-(0.1*$AA358))),IF($W$17=$AF$1,"Zvažte možnost doobjednání ještě "&amp;Tabulka1[[#This Row],[VKPAL]]-MOD(AB358,AA358)&amp;" VK do plné palety.",VLOOKUP("Zvažte možnost doobjednání ještě ",Jazyky_ceník!A:Q,MATCH($W$17,Jazyky_ceník!$A$1:$Q$1,0),FALSE)&amp;Tabulka1[[#This Row],[VKPAL]]-MOD(AB358,AA358)&amp;VLOOKUP(" VK do plné palety.",Jazyky_ceník!A:Q,MATCH($W$17,Jazyky_ceník!$A$1:$Q$1,0),FALSE)),IFERROR(IF(AND(NOT(MOD($AB358,$AA358)=0),$AB358&gt;=0.9*$AA358,MOD($AB358,$AA358)&lt;=0.1*$AA358),IF($W$17=$AF$1,"Zvažte možnost optimalizace objednaného množství podle počtu VK na paletě ==&gt;",VLOOKUP("Zvažte možnost optimalizace objednaného množství podle počtu VK na paletě ==&gt;",Jazyky_ceník!A:Q,MATCH($W$17,Jazyky_ceník!$A$1:$Q$1,0),FALSE)),VLOOKUP('General price list'!$C358,Popisy!A:M,MATCH($W$17,Popisy!$A$7:$M$7,0),FALSE)),"---------------")),IFERROR(VLOOKUP('General price list'!$C358,Popisy!A:M,MATCH($W$17,Popisy!$A$7:$M$7,0),FALSE),"---------------"))</f>
        <v>deštník Dumbum</v>
      </c>
      <c r="X358" s="569" t="str">
        <f t="shared" si="858"/>
        <v/>
      </c>
      <c r="Y358" s="569" t="str">
        <f t="shared" si="859"/>
        <v/>
      </c>
      <c r="Z358" s="569" t="str">
        <f>HYPERLINK("https://www.klasekpyrotechnics.cz/dd1")</f>
        <v>https://www.klasekpyrotechnics.cz/dd1</v>
      </c>
      <c r="AA358" s="569" t="str">
        <f>IFERROR(IF(VLOOKUP(C358,[4]List1!$A:$D,4,FALSE)=0,"",VLOOKUP(C358,[4]List1!$A:$D,4,FALSE)),"")</f>
        <v/>
      </c>
      <c r="AB358" s="565"/>
      <c r="AC358" s="570" t="str">
        <f>IFERROR(IF(VLOOKUP(C358,[1]List1!$A:$D,2,FALSE)="VYPRODÁNO",$V$9,IF(VLOOKUP(C358,[1]List1!$A:$D,2,FALSE)="DOCHÁZÍ",$V$3,VLOOKUP(C358,[1]List1!$A:$D,2,FALSE))),"OFFLINE!")</f>
        <v>SKLADEM</v>
      </c>
      <c r="AD358" s="570" t="str">
        <f ca="1">IF(AP358="NE",$V$10,IF(AC358=$V$3,IF(AQ358&lt;1,$V$8,$V$2&amp;" "&amp;AQ358&amp;" "&amp;$V$1),IF(AC358="SKLADEM",$V$6,IFERROR(IF(OR(AC358-TODAY()&gt;45,VLOOKUP(C358,[1]List1!$A:$E,4,FALSE)=0),AC358,DAY(AC358)&amp;"."&amp;MONTH(AC358)&amp;"."&amp;YEAR(AC358)&amp;" "&amp;$V$4&amp;VLOOKUP(C358,[1]List1!$A:$E,4,FALSE)&amp;" "&amp;$V$1),AC358))))</f>
        <v>SKLADEM</v>
      </c>
      <c r="AE358" s="581" t="str">
        <f t="shared" ca="1" si="860"/>
        <v>SKLADEM</v>
      </c>
      <c r="AF358" s="584">
        <f t="shared" si="861"/>
        <v>0</v>
      </c>
      <c r="AG358" s="585">
        <f t="shared" si="862"/>
        <v>0</v>
      </c>
      <c r="AH358" s="583">
        <f t="shared" si="863"/>
        <v>0</v>
      </c>
      <c r="AI358" s="582">
        <f t="shared" si="864"/>
        <v>0</v>
      </c>
      <c r="AJ358" s="569">
        <f t="shared" si="865"/>
        <v>0</v>
      </c>
      <c r="AK358" s="569" t="str">
        <f t="shared" si="866"/>
        <v/>
      </c>
      <c r="AL358" s="569" t="str">
        <f t="shared" si="867"/>
        <v/>
      </c>
      <c r="AM358" s="569" t="str">
        <f t="shared" si="868"/>
        <v/>
      </c>
      <c r="AN358" s="581">
        <f t="shared" si="869"/>
        <v>0</v>
      </c>
      <c r="AO358" s="623"/>
      <c r="AP358" s="632" t="str">
        <f t="shared" si="834"/>
        <v/>
      </c>
      <c r="AQ358" s="633" t="str">
        <f>IF(AC358=$V$3,IF(VLOOKUP(C358,[1]List1!$A:$E,5,FALSE)=0,1,VLOOKUP(C358,[1]List1!$A:$E,5,FALSE)),"")</f>
        <v/>
      </c>
      <c r="AR358" s="625" t="str">
        <f t="shared" si="835"/>
        <v/>
      </c>
      <c r="AS358" s="634" t="str">
        <f t="shared" si="836"/>
        <v/>
      </c>
      <c r="AT358" s="625" t="str">
        <f t="shared" si="837"/>
        <v/>
      </c>
      <c r="AU358" s="638" t="e">
        <f t="shared" si="838"/>
        <v>#N/A</v>
      </c>
      <c r="AV358" s="625" t="e">
        <f t="shared" si="839"/>
        <v>#N/A</v>
      </c>
      <c r="AX358" s="625">
        <f>IF(AND('General price list'!$J358="F4",'General price list'!$AB358+0&gt;0),1,0)</f>
        <v>0</v>
      </c>
      <c r="AY358" s="625">
        <f t="shared" si="840"/>
        <v>0</v>
      </c>
      <c r="AZ358" s="625">
        <f t="shared" si="841"/>
        <v>0</v>
      </c>
    </row>
    <row r="359" spans="1:52" ht="15" customHeight="1">
      <c r="A359" s="639" t="str">
        <f>Kat.!C359</f>
        <v/>
      </c>
      <c r="B359" s="640">
        <f>IF(AND('General price list'!$J359="F4",$AI$1=FALSE),0,IF(AC359="SKLADEM",1,IF(AC359=$V$3,1,0)))</f>
        <v>1</v>
      </c>
      <c r="C359" s="641" t="s">
        <v>10491</v>
      </c>
      <c r="D359" s="642" t="s">
        <v>10492</v>
      </c>
      <c r="E359" s="643" t="s">
        <v>12663</v>
      </c>
      <c r="F359" s="771">
        <f>IFERROR(VLOOKUP(C359,[2]List1!$A:$D,3,FALSE),"NEUVEDENO!")</f>
        <v>88</v>
      </c>
      <c r="G359" s="768">
        <f t="shared" si="856"/>
        <v>88</v>
      </c>
      <c r="H359" s="765">
        <f t="shared" si="857"/>
        <v>3.7381113192559461</v>
      </c>
      <c r="I359" s="644">
        <f>IFERROR(VLOOKUP(C359,[2]List1!$A:$D,4,FALSE),"NEUVEDENO!")</f>
        <v>1</v>
      </c>
      <c r="J359" s="733"/>
      <c r="K359" s="645" t="s">
        <v>20</v>
      </c>
      <c r="L359" s="645" t="s">
        <v>15089</v>
      </c>
      <c r="M359" s="645"/>
      <c r="N359" s="645">
        <f>IFERROR(VLOOKUP(C359,[3]List1!$A:$D,4,FALSE),"N/A!")</f>
        <v>0</v>
      </c>
      <c r="O359" s="645">
        <f>IFERROR(VLOOKUP(C359,[3]List1!$A:$D,3,FALSE),"N/A!")</f>
        <v>0</v>
      </c>
      <c r="P359" s="645">
        <f>IFERROR(VLOOKUP(C359,[3]List1!$A:$D,2,FALSE),"N/A!")</f>
        <v>10</v>
      </c>
      <c r="Q359" s="645"/>
      <c r="R359" s="645"/>
      <c r="S359" s="645"/>
      <c r="T359" s="645"/>
      <c r="U359" s="645"/>
      <c r="V359" s="645"/>
      <c r="W359" s="645" t="str">
        <f>IFERROR(IF(AND($AB359&gt;=0.1*$AA359,MOD($AB359,$AA359)&gt;=($AA359-(0.1*$AA359))),IF($W$17=$AF$1,"Zvažte možnost doobjednání ještě "&amp;Tabulka1[[#This Row],[VKPAL]]-MOD(AB359,AA359)&amp;" VK do plné palety.",VLOOKUP("Zvažte možnost doobjednání ještě ",Jazyky_ceník!A:Q,MATCH($W$17,Jazyky_ceník!$A$1:$Q$1,0),FALSE)&amp;Tabulka1[[#This Row],[VKPAL]]-MOD(AB359,AA359)&amp;VLOOKUP(" VK do plné palety.",Jazyky_ceník!A:Q,MATCH($W$17,Jazyky_ceník!$A$1:$Q$1,0),FALSE)),IFERROR(IF(AND(NOT(MOD($AB359,$AA359)=0),$AB359&gt;=0.9*$AA359,MOD($AB359,$AA359)&lt;=0.1*$AA359),IF($W$17=$AF$1,"Zvažte možnost optimalizace objednaného množství podle počtu VK na paletě ==&gt;",VLOOKUP("Zvažte možnost optimalizace objednaného množství podle počtu VK na paletě ==&gt;",Jazyky_ceník!A:Q,MATCH($W$17,Jazyky_ceník!$A$1:$Q$1,0),FALSE)),VLOOKUP('General price list'!$C359,Popisy!A:M,MATCH($W$17,Popisy!$A$7:$M$7,0),FALSE)),"---------------")),IFERROR(VLOOKUP('General price list'!$C359,Popisy!A:M,MATCH($W$17,Popisy!$A$7:$M$7,0),FALSE),"---------------"))</f>
        <v>klíčenka na krk Dumbum</v>
      </c>
      <c r="X359" s="645" t="str">
        <f t="shared" si="858"/>
        <v/>
      </c>
      <c r="Y359" s="645" t="str">
        <f t="shared" si="859"/>
        <v/>
      </c>
      <c r="Z359" s="645" t="str">
        <f>HYPERLINK("https://www.klasekpyrotechnics.cz/KKD1")</f>
        <v>https://www.klasekpyrotechnics.cz/KKD1</v>
      </c>
      <c r="AA359" s="645" t="str">
        <f>IFERROR(IF(VLOOKUP(C359,[4]List1!$A:$D,4,FALSE)=0,"",VLOOKUP(C359,[4]List1!$A:$D,4,FALSE)),"")</f>
        <v/>
      </c>
      <c r="AB359" s="646"/>
      <c r="AC359" s="647" t="str">
        <f>IFERROR(IF(VLOOKUP(C359,[1]List1!$A:$D,2,FALSE)="VYPRODÁNO",$V$9,IF(VLOOKUP(C359,[1]List1!$A:$D,2,FALSE)="DOCHÁZÍ",$V$3,VLOOKUP(C359,[1]List1!$A:$D,2,FALSE))),"OFFLINE!")</f>
        <v>SKLADEM</v>
      </c>
      <c r="AD359" s="647" t="str">
        <f ca="1">IF(AP359="NE",$V$10,IF(AC359=$V$3,IF(AQ359&lt;1,$V$8,$V$2&amp;" "&amp;AQ359&amp;" "&amp;$V$1),IF(AC359="SKLADEM",$V$6,IFERROR(IF(OR(AC359-TODAY()&gt;45,VLOOKUP(C359,[1]List1!$A:$E,4,FALSE)=0),AC359,DAY(AC359)&amp;"."&amp;MONTH(AC359)&amp;"."&amp;YEAR(AC359)&amp;" "&amp;$V$4&amp;VLOOKUP(C359,[1]List1!$A:$E,4,FALSE)&amp;" "&amp;$V$1),AC359))))</f>
        <v>SKLADEM</v>
      </c>
      <c r="AE359" s="645" t="str">
        <f t="shared" ca="1" si="860"/>
        <v>SKLADEM</v>
      </c>
      <c r="AF359" s="648">
        <f t="shared" si="861"/>
        <v>0</v>
      </c>
      <c r="AG359" s="649">
        <f t="shared" si="862"/>
        <v>0</v>
      </c>
      <c r="AH359" s="650">
        <f t="shared" si="863"/>
        <v>0</v>
      </c>
      <c r="AI359" s="645">
        <f t="shared" si="864"/>
        <v>0</v>
      </c>
      <c r="AJ359" s="645">
        <f t="shared" si="865"/>
        <v>0</v>
      </c>
      <c r="AK359" s="645" t="str">
        <f t="shared" si="866"/>
        <v/>
      </c>
      <c r="AL359" s="645" t="str">
        <f t="shared" si="867"/>
        <v/>
      </c>
      <c r="AM359" s="645" t="str">
        <f t="shared" si="868"/>
        <v/>
      </c>
      <c r="AN359" s="651">
        <f t="shared" si="869"/>
        <v>0</v>
      </c>
      <c r="AO359" s="623"/>
      <c r="AP359" s="632" t="str">
        <f t="shared" si="834"/>
        <v/>
      </c>
      <c r="AQ359" s="633" t="str">
        <f>IF(AC359=$V$3,IF(VLOOKUP(C359,[1]List1!$A:$E,5,FALSE)=0,1,VLOOKUP(C359,[1]List1!$A:$E,5,FALSE)),"")</f>
        <v/>
      </c>
      <c r="AR359" s="625" t="str">
        <f t="shared" si="835"/>
        <v/>
      </c>
      <c r="AS359" s="634" t="str">
        <f t="shared" si="836"/>
        <v/>
      </c>
      <c r="AT359" s="625" t="str">
        <f t="shared" si="837"/>
        <v/>
      </c>
      <c r="AU359" s="638" t="e">
        <f t="shared" si="838"/>
        <v>#N/A</v>
      </c>
      <c r="AV359" s="625" t="e">
        <f t="shared" si="839"/>
        <v>#N/A</v>
      </c>
      <c r="AX359" s="625">
        <f>IF(AND('General price list'!$J359="F4",'General price list'!$AB359+0&gt;0),1,0)</f>
        <v>0</v>
      </c>
      <c r="AY359" s="625">
        <f t="shared" si="840"/>
        <v>0</v>
      </c>
      <c r="AZ359" s="625">
        <f t="shared" si="841"/>
        <v>0</v>
      </c>
    </row>
    <row r="360" spans="1:52" ht="15" customHeight="1">
      <c r="A360" s="621" t="str">
        <f>Kat.!C360</f>
        <v/>
      </c>
      <c r="B360" s="566">
        <f>IF(AND('General price list'!$J360="F4",$AI$1=FALSE),0,IF(AC360="SKLADEM",1,IF(AC360=$V$3,1,0)))</f>
        <v>1</v>
      </c>
      <c r="C360" s="641" t="s">
        <v>12451</v>
      </c>
      <c r="D360" s="568" t="s">
        <v>12533</v>
      </c>
      <c r="E360" s="763" t="s">
        <v>12663</v>
      </c>
      <c r="F360" s="772">
        <f>IFERROR(VLOOKUP(C360,[2]List1!$A:$D,3,FALSE),"NEUVEDENO!")</f>
        <v>120</v>
      </c>
      <c r="G360" s="769">
        <f t="shared" si="856"/>
        <v>120</v>
      </c>
      <c r="H360" s="766">
        <f t="shared" si="857"/>
        <v>5.0974245262581084</v>
      </c>
      <c r="I360" s="764">
        <f>IFERROR(VLOOKUP(C360,[2]List1!$A:$D,4,FALSE),"NEUVEDENO!")</f>
        <v>1</v>
      </c>
      <c r="J360" s="732"/>
      <c r="K360" s="569">
        <v>4</v>
      </c>
      <c r="L360" s="569" t="s">
        <v>15089</v>
      </c>
      <c r="M360" s="569"/>
      <c r="N360" s="569">
        <f>IFERROR(VLOOKUP(C360,[3]List1!$A:$D,4,FALSE),"N/A!")</f>
        <v>0</v>
      </c>
      <c r="O360" s="569">
        <f>IFERROR(VLOOKUP(C360,[3]List1!$A:$D,3,FALSE),"N/A!")</f>
        <v>0</v>
      </c>
      <c r="P360" s="569">
        <f>IFERROR(VLOOKUP(C360,[3]List1!$A:$D,2,FALSE),"N/A!")</f>
        <v>100</v>
      </c>
      <c r="Q360" s="569"/>
      <c r="R360" s="569"/>
      <c r="S360" s="569"/>
      <c r="T360" s="569"/>
      <c r="U360" s="569"/>
      <c r="V360" s="569"/>
      <c r="W360" s="569" t="str">
        <f>IFERROR(IF(AND($AB360&gt;=0.1*$AA360,MOD($AB360,$AA360)&gt;=($AA360-(0.1*$AA360))),IF($W$17=$AF$1,"Zvažte možnost doobjednání ještě "&amp;Tabulka1[[#This Row],[VKPAL]]-MOD(AB360,AA360)&amp;" VK do plné palety.",VLOOKUP("Zvažte možnost doobjednání ještě ",Jazyky_ceník!A:Q,MATCH($W$17,Jazyky_ceník!$A$1:$Q$1,0),FALSE)&amp;Tabulka1[[#This Row],[VKPAL]]-MOD(AB360,AA360)&amp;VLOOKUP(" VK do plné palety.",Jazyky_ceník!A:Q,MATCH($W$17,Jazyky_ceník!$A$1:$Q$1,0),FALSE)),IFERROR(IF(AND(NOT(MOD($AB360,$AA360)=0),$AB360&gt;=0.9*$AA360,MOD($AB360,$AA360)&lt;=0.1*$AA360),IF($W$17=$AF$1,"Zvažte možnost optimalizace objednaného množství podle počtu VK na paletě ==&gt;",VLOOKUP("Zvažte možnost optimalizace objednaného množství podle počtu VK na paletě ==&gt;",Jazyky_ceník!A:Q,MATCH($W$17,Jazyky_ceník!$A$1:$Q$1,0),FALSE)),VLOOKUP('General price list'!$C360,Popisy!A:M,MATCH($W$17,Popisy!$A$7:$M$7,0),FALSE)),"---------------")),IFERROR(VLOOKUP('General price list'!$C360,Popisy!A:M,MATCH($W$17,Popisy!$A$7:$M$7,0),FALSE),"---------------"))</f>
        <v>3D logo Dumbum</v>
      </c>
      <c r="X360" s="569" t="str">
        <f t="shared" si="858"/>
        <v/>
      </c>
      <c r="Y360" s="569" t="str">
        <f t="shared" si="859"/>
        <v/>
      </c>
      <c r="Z360" s="569" t="str">
        <f>HYPERLINK("https://www.klasekpyrotechnics.cz/LO1DU")</f>
        <v>https://www.klasekpyrotechnics.cz/LO1DU</v>
      </c>
      <c r="AA360" s="569" t="str">
        <f>IFERROR(IF(VLOOKUP(C360,[4]List1!$A:$D,4,FALSE)=0,"",VLOOKUP(C360,[4]List1!$A:$D,4,FALSE)),"")</f>
        <v/>
      </c>
      <c r="AB360" s="565"/>
      <c r="AC360" s="570" t="str">
        <f>IFERROR(IF(VLOOKUP(C360,[1]List1!$A:$D,2,FALSE)="VYPRODÁNO",$V$9,IF(VLOOKUP(C360,[1]List1!$A:$D,2,FALSE)="DOCHÁZÍ",$V$3,VLOOKUP(C360,[1]List1!$A:$D,2,FALSE))),"OFFLINE!")</f>
        <v>SKLADEM</v>
      </c>
      <c r="AD360" s="570" t="str">
        <f ca="1">IF(AP360="NE",$V$10,IF(AC360=$V$3,IF(AQ360&lt;1,$V$8,$V$2&amp;" "&amp;AQ360&amp;" "&amp;$V$1),IF(AC360="SKLADEM",$V$6,IFERROR(IF(OR(AC360-TODAY()&gt;45,VLOOKUP(C360,[1]List1!$A:$E,4,FALSE)=0),AC360,DAY(AC360)&amp;"."&amp;MONTH(AC360)&amp;"."&amp;YEAR(AC360)&amp;" "&amp;$V$4&amp;VLOOKUP(C360,[1]List1!$A:$E,4,FALSE)&amp;" "&amp;$V$1),AC360))))</f>
        <v>SKLADEM</v>
      </c>
      <c r="AE360" s="581" t="str">
        <f t="shared" ca="1" si="860"/>
        <v>SKLADEM</v>
      </c>
      <c r="AF360" s="584">
        <f t="shared" si="861"/>
        <v>0</v>
      </c>
      <c r="AG360" s="585">
        <f t="shared" si="862"/>
        <v>0</v>
      </c>
      <c r="AH360" s="583">
        <f t="shared" si="863"/>
        <v>0</v>
      </c>
      <c r="AI360" s="582">
        <f t="shared" si="864"/>
        <v>0</v>
      </c>
      <c r="AJ360" s="569">
        <f t="shared" si="865"/>
        <v>0</v>
      </c>
      <c r="AK360" s="569" t="str">
        <f t="shared" si="866"/>
        <v/>
      </c>
      <c r="AL360" s="569" t="str">
        <f t="shared" si="867"/>
        <v/>
      </c>
      <c r="AM360" s="569" t="str">
        <f t="shared" si="868"/>
        <v/>
      </c>
      <c r="AN360" s="581">
        <f t="shared" si="869"/>
        <v>0</v>
      </c>
      <c r="AO360" s="623"/>
      <c r="AP360" s="632" t="str">
        <f t="shared" si="834"/>
        <v/>
      </c>
      <c r="AQ360" s="633" t="str">
        <f>IF(AC360=$V$3,IF(VLOOKUP(C360,[1]List1!$A:$E,5,FALSE)=0,1,VLOOKUP(C360,[1]List1!$A:$E,5,FALSE)),"")</f>
        <v/>
      </c>
      <c r="AR360" s="625" t="str">
        <f t="shared" si="835"/>
        <v/>
      </c>
      <c r="AS360" s="634" t="str">
        <f t="shared" si="836"/>
        <v/>
      </c>
      <c r="AT360" s="625" t="str">
        <f t="shared" si="837"/>
        <v/>
      </c>
      <c r="AU360" s="638" t="e">
        <f t="shared" si="838"/>
        <v>#N/A</v>
      </c>
      <c r="AV360" s="625" t="e">
        <f t="shared" si="839"/>
        <v>#N/A</v>
      </c>
      <c r="AX360" s="625">
        <f>IF(AND('General price list'!$J360="F4",'General price list'!$AB360+0&gt;0),1,0)</f>
        <v>0</v>
      </c>
      <c r="AY360" s="625">
        <f t="shared" si="840"/>
        <v>0</v>
      </c>
      <c r="AZ360" s="625">
        <f t="shared" si="841"/>
        <v>0</v>
      </c>
    </row>
    <row r="361" spans="1:52" ht="15" customHeight="1">
      <c r="A361" s="751" t="str">
        <f>Kat.!C361</f>
        <v xml:space="preserve">           Ostatní</v>
      </c>
      <c r="B361" s="751"/>
      <c r="C361" s="751"/>
      <c r="D361" s="751"/>
      <c r="E361" s="751"/>
      <c r="F361" s="751"/>
      <c r="G361" s="751"/>
      <c r="H361" s="751"/>
      <c r="I361" s="752"/>
      <c r="J361" s="752"/>
      <c r="K361" s="752" t="s">
        <v>20</v>
      </c>
      <c r="L361" s="753" t="s">
        <v>2818</v>
      </c>
      <c r="M361" s="752"/>
      <c r="N361" s="752"/>
      <c r="O361" s="752"/>
      <c r="P361" s="752"/>
      <c r="Q361" s="752"/>
      <c r="R361" s="752"/>
      <c r="S361" s="752"/>
      <c r="T361" s="752"/>
      <c r="U361" s="752"/>
      <c r="V361" s="752"/>
      <c r="W361" s="752"/>
      <c r="X361" s="752"/>
      <c r="Y361" s="752"/>
      <c r="Z361" s="752" t="s">
        <v>20</v>
      </c>
      <c r="AA361" s="752"/>
      <c r="AB361" s="752"/>
      <c r="AC361" s="754"/>
      <c r="AD361" s="752"/>
      <c r="AE361" s="752"/>
      <c r="AF361" s="752"/>
      <c r="AG361" s="752"/>
      <c r="AH361" s="752"/>
      <c r="AI361" s="752"/>
      <c r="AJ361" s="752"/>
      <c r="AK361" s="752"/>
      <c r="AL361" s="752"/>
      <c r="AM361" s="752"/>
      <c r="AN361" s="752"/>
      <c r="AO361" s="623"/>
      <c r="AP361" s="632" t="str">
        <f t="shared" si="834"/>
        <v/>
      </c>
      <c r="AQ361" s="633" t="str">
        <f>IF(AC361=$V$3,IF(VLOOKUP(C361,[1]List1!$A:$E,5,FALSE)=0,1,VLOOKUP(C361,[1]List1!$A:$E,5,FALSE)),"")</f>
        <v/>
      </c>
      <c r="AR361" s="625" t="str">
        <f t="shared" si="835"/>
        <v/>
      </c>
      <c r="AS361" s="634" t="str">
        <f t="shared" si="836"/>
        <v/>
      </c>
      <c r="AT361" s="625" t="str">
        <f t="shared" si="837"/>
        <v/>
      </c>
      <c r="AU361" s="638" t="e">
        <f t="shared" si="838"/>
        <v>#N/A</v>
      </c>
      <c r="AV361" s="625" t="e">
        <f t="shared" si="839"/>
        <v>#N/A</v>
      </c>
      <c r="AX361" s="625">
        <f>IF(AND('General price list'!$J361="F4",'General price list'!$AB361+0&gt;0),1,0)</f>
        <v>0</v>
      </c>
      <c r="AY361" s="625">
        <f t="shared" si="840"/>
        <v>0</v>
      </c>
      <c r="AZ361" s="625">
        <f t="shared" si="841"/>
        <v>0</v>
      </c>
    </row>
    <row r="362" spans="1:52" ht="15" customHeight="1">
      <c r="A362" s="639" t="str">
        <f>Kat.!C362</f>
        <v/>
      </c>
      <c r="B362" s="640">
        <f>IF(AND('General price list'!$J362="F4",$AI$1=FALSE),0,IF(AC362="SKLADEM",1,IF(AC362=$V$3,1,0)))</f>
        <v>1</v>
      </c>
      <c r="C362" s="641" t="s">
        <v>928</v>
      </c>
      <c r="D362" s="642" t="s">
        <v>929</v>
      </c>
      <c r="E362" s="643" t="s">
        <v>12663</v>
      </c>
      <c r="F362" s="771">
        <f>IFERROR(VLOOKUP(C362,[2]List1!$A:$D,3,FALSE),"NEUVEDENO!")</f>
        <v>1000</v>
      </c>
      <c r="G362" s="768">
        <f t="shared" ref="G362:G363" si="870">IF($W$17=$AF$8,ROUND((F362)/$F$17,2),(F362)*$B$19)</f>
        <v>1000</v>
      </c>
      <c r="H362" s="765">
        <f t="shared" ref="H362:H363" si="871">IF($W$17=$AF$8,G362*$B$19,G362/$F$17)</f>
        <v>42.47853771881757</v>
      </c>
      <c r="I362" s="644">
        <f>IFERROR(VLOOKUP(C362,[2]List1!$A:$D,4,FALSE),"NEUVEDENO!")</f>
        <v>1</v>
      </c>
      <c r="J362" s="733"/>
      <c r="K362" s="645" t="s">
        <v>20</v>
      </c>
      <c r="L362" s="645" t="s">
        <v>15089</v>
      </c>
      <c r="M362" s="645"/>
      <c r="N362" s="645">
        <f>IFERROR(VLOOKUP(C362,[3]List1!$A:$D,4,FALSE),"N/A!")</f>
        <v>1.9844000000000001E-2</v>
      </c>
      <c r="O362" s="645">
        <f>IFERROR(VLOOKUP(C362,[3]List1!$A:$D,3,FALSE),"N/A!")</f>
        <v>0</v>
      </c>
      <c r="P362" s="645">
        <f>IFERROR(VLOOKUP(C362,[3]List1!$A:$D,2,FALSE),"N/A!")</f>
        <v>138</v>
      </c>
      <c r="Q362" s="645" t="s">
        <v>15</v>
      </c>
      <c r="R362" s="645" t="s">
        <v>20</v>
      </c>
      <c r="S362" s="645"/>
      <c r="T362" s="645"/>
      <c r="U362" s="645"/>
      <c r="V362" s="645"/>
      <c r="W362" s="645" t="str">
        <f>IFERROR(IF(AND($AB362&gt;=0.1*$AA362,MOD($AB362,$AA362)&gt;=($AA362-(0.1*$AA362))),IF($W$17=$AF$1,"Zvažte možnost doobjednání ještě "&amp;Tabulka1[[#This Row],[VKPAL]]-MOD(AB362,AA362)&amp;" VK do plné palety.",VLOOKUP("Zvažte možnost doobjednání ještě ",Jazyky_ceník!A:Q,MATCH($W$17,Jazyky_ceník!$A$1:$Q$1,0),FALSE)&amp;Tabulka1[[#This Row],[VKPAL]]-MOD(AB362,AA362)&amp;VLOOKUP(" VK do plné palety.",Jazyky_ceník!A:Q,MATCH($W$17,Jazyky_ceník!$A$1:$Q$1,0),FALSE)),IFERROR(IF(AND(NOT(MOD($AB362,$AA362)=0),$AB362&gt;=0.9*$AA362,MOD($AB362,$AA362)&lt;=0.1*$AA362),IF($W$17=$AF$1,"Zvažte možnost optimalizace objednaného množství podle počtu VK na paletě ==&gt;",VLOOKUP("Zvažte možnost optimalizace objednaného množství podle počtu VK na paletě ==&gt;",Jazyky_ceník!A:Q,MATCH($W$17,Jazyky_ceník!$A$1:$Q$1,0),FALSE)),VLOOKUP('General price list'!$C362,Popisy!A:M,MATCH($W$17,Popisy!$A$7:$M$7,0),FALSE)),"---------------")),IFERROR(VLOOKUP('General price list'!$C362,Popisy!A:M,MATCH($W$17,Popisy!$A$7:$M$7,0),FALSE),"---------------"))</f>
        <v>odpalovací zařízení na dálkový odpal(4 pozice)+ dálkový ovladač+4ks el.palníku</v>
      </c>
      <c r="X362" s="645" t="str">
        <f t="shared" ref="X362:X363" si="872">IF(AB362&lt;0.0001,"",AB362)</f>
        <v/>
      </c>
      <c r="Y362" s="645" t="str">
        <f t="shared" ref="Y362:Y363" si="873">IF($AL$3=2,IF(OR(AB362&lt;&gt;"",AB362&lt;&gt;0),AU362,""),IF(C362="","",IF(AB362&lt;0.0001,"",IF(B362=0,"",IF(AQ362&lt;AB362,"",AB362)))))</f>
        <v/>
      </c>
      <c r="Z362" s="645" t="str">
        <f>HYPERLINK("https://www.klasekpyrotechnics.cz/oz4")</f>
        <v>https://www.klasekpyrotechnics.cz/oz4</v>
      </c>
      <c r="AA362" s="645" t="str">
        <f>IFERROR(IF(VLOOKUP(C362,[4]List1!$A:$D,4,FALSE)=0,"",VLOOKUP(C362,[4]List1!$A:$D,4,FALSE)),"")</f>
        <v/>
      </c>
      <c r="AB362" s="646"/>
      <c r="AC362" s="647" t="str">
        <f>IFERROR(IF(VLOOKUP(C362,[1]List1!$A:$D,2,FALSE)="VYPRODÁNO",$V$9,IF(VLOOKUP(C362,[1]List1!$A:$D,2,FALSE)="DOCHÁZÍ",$V$3,VLOOKUP(C362,[1]List1!$A:$D,2,FALSE))),"OFFLINE!")</f>
        <v>SKLADEM</v>
      </c>
      <c r="AD362" s="647" t="str">
        <f ca="1">IF(AP362="NE",$V$10,IF(AC362=$V$3,IF(AQ362&lt;1,$V$8,$V$2&amp;" "&amp;AQ362&amp;" "&amp;$V$1),IF(AC362="SKLADEM",$V$6,IFERROR(IF(OR(AC362-TODAY()&gt;45,VLOOKUP(C362,[1]List1!$A:$E,4,FALSE)=0),AC362,DAY(AC362)&amp;"."&amp;MONTH(AC362)&amp;"."&amp;YEAR(AC362)&amp;" "&amp;$V$4&amp;VLOOKUP(C362,[1]List1!$A:$E,4,FALSE)&amp;" "&amp;$V$1),AC362))))</f>
        <v>SKLADEM</v>
      </c>
      <c r="AE362" s="645" t="str">
        <f t="shared" ref="AE362:AE363" ca="1" si="874">IFERROR(IF(AV362&lt;&gt;"",AV362,AD362),AD362)</f>
        <v>SKLADEM</v>
      </c>
      <c r="AF362" s="648">
        <f t="shared" ref="AF362:AF363" si="875">IFERROR(IF(AB362=Y362,G362*I362*Y362,0),0)</f>
        <v>0</v>
      </c>
      <c r="AG362" s="649">
        <f t="shared" ref="AG362:AG363" si="876">IF($W$17=$AF$8,AH362*1.23,AF362*1.21)</f>
        <v>0</v>
      </c>
      <c r="AH362" s="650">
        <f t="shared" ref="AH362:AH363" si="877">IFERROR(IF(Y362=AB362,H362*I362*Y362,0),0)</f>
        <v>0</v>
      </c>
      <c r="AI362" s="645">
        <f t="shared" ref="AI362:AI363" si="878">IFERROR(IF(Y362=AB362,(P362*Y362)/1000,1),0)</f>
        <v>0</v>
      </c>
      <c r="AJ362" s="645">
        <f t="shared" ref="AJ362:AJ363" si="879">IFERROR(IF(Y362=AB362,N362*Y362,0.1),0)</f>
        <v>0</v>
      </c>
      <c r="AK362" s="645" t="str">
        <f t="shared" ref="AK362:AK363" si="880">IFERROR(IF(Y362=AB362,IF(M362="1.1G",(O362/1000)*Y362,""),""),0)</f>
        <v/>
      </c>
      <c r="AL362" s="645" t="str">
        <f t="shared" ref="AL362:AL363" si="881">IFERROR(IF(Y362=AB362,IF(M362="1.3G",(O362/1000)*AB362,""),""),0)</f>
        <v/>
      </c>
      <c r="AM362" s="645" t="str">
        <f t="shared" ref="AM362:AM363" si="882">IFERROR(IF(Y362=AB362,IF(M362="1.4G",(O362/1000)*AB362,""),""),0)</f>
        <v/>
      </c>
      <c r="AN362" s="651">
        <f t="shared" ref="AN362:AN363" si="883">SUM(AK362:AM362)</f>
        <v>0</v>
      </c>
      <c r="AO362" s="623"/>
      <c r="AP362" s="632" t="str">
        <f t="shared" si="834"/>
        <v/>
      </c>
      <c r="AQ362" s="633" t="str">
        <f>IF(AC362=$V$3,IF(VLOOKUP(C362,[1]List1!$A:$E,5,FALSE)=0,1,VLOOKUP(C362,[1]List1!$A:$E,5,FALSE)),"")</f>
        <v/>
      </c>
      <c r="AR362" s="625" t="str">
        <f t="shared" si="835"/>
        <v/>
      </c>
      <c r="AS362" s="634" t="str">
        <f t="shared" si="836"/>
        <v/>
      </c>
      <c r="AT362" s="625" t="str">
        <f t="shared" si="837"/>
        <v/>
      </c>
      <c r="AU362" s="638" t="e">
        <f t="shared" si="838"/>
        <v>#N/A</v>
      </c>
      <c r="AV362" s="625" t="e">
        <f t="shared" si="839"/>
        <v>#N/A</v>
      </c>
      <c r="AX362" s="625">
        <f>IF(AND('General price list'!$J362="F4",'General price list'!$AB362+0&gt;0),1,0)</f>
        <v>0</v>
      </c>
      <c r="AY362" s="625">
        <f t="shared" si="840"/>
        <v>1</v>
      </c>
      <c r="AZ362" s="625">
        <f t="shared" si="841"/>
        <v>0</v>
      </c>
    </row>
    <row r="363" spans="1:52" ht="15" customHeight="1">
      <c r="A363" s="621" t="str">
        <f>Kat.!C363</f>
        <v/>
      </c>
      <c r="B363" s="566">
        <f>IF(AND('General price list'!$J363="F4",$AI$1=FALSE),0,IF(AC363="SKLADEM",1,IF(AC363=$V$3,1,0)))</f>
        <v>1</v>
      </c>
      <c r="C363" s="567" t="s">
        <v>933</v>
      </c>
      <c r="D363" s="568" t="s">
        <v>934</v>
      </c>
      <c r="E363" s="763" t="s">
        <v>12743</v>
      </c>
      <c r="F363" s="772">
        <f>IFERROR(VLOOKUP(C363,[2]List1!$A:$D,3,FALSE),"NEUVEDENO!")</f>
        <v>70</v>
      </c>
      <c r="G363" s="769">
        <f t="shared" si="870"/>
        <v>70</v>
      </c>
      <c r="H363" s="766">
        <f t="shared" si="871"/>
        <v>2.97349764031723</v>
      </c>
      <c r="I363" s="764">
        <f>IFERROR(VLOOKUP(C363,[2]List1!$A:$D,4,FALSE),"NEUVEDENO!")</f>
        <v>100</v>
      </c>
      <c r="J363" s="732" t="s">
        <v>208</v>
      </c>
      <c r="K363" s="569" t="s">
        <v>20</v>
      </c>
      <c r="L363" s="569" t="s">
        <v>12755</v>
      </c>
      <c r="M363" s="569" t="s">
        <v>21</v>
      </c>
      <c r="N363" s="569">
        <f>IFERROR(VLOOKUP(C363,[3]List1!$A:$D,4,FALSE),"N/A!")</f>
        <v>2.0299999999999999E-2</v>
      </c>
      <c r="O363" s="569">
        <f>IFERROR(VLOOKUP(C363,[3]List1!$A:$D,3,FALSE),"N/A!")</f>
        <v>1250</v>
      </c>
      <c r="P363" s="569">
        <f>IFERROR(VLOOKUP(C363,[3]List1!$A:$D,2,FALSE),"N/A!")</f>
        <v>7000</v>
      </c>
      <c r="Q363" s="569" t="s">
        <v>15</v>
      </c>
      <c r="R363" s="569" t="s">
        <v>20</v>
      </c>
      <c r="S363" s="569"/>
      <c r="T363" s="569">
        <v>620</v>
      </c>
      <c r="U363" s="569"/>
      <c r="V363" s="569"/>
      <c r="W363" s="569" t="str">
        <f>IFERROR(IF(AND($AB363&gt;=0.1*$AA363,MOD($AB363,$AA363)&gt;=($AA363-(0.1*$AA363))),IF($W$17=$AF$1,"Zvažte možnost doobjednání ještě "&amp;Tabulka1[[#This Row],[VKPAL]]-MOD(AB363,AA363)&amp;" VK do plné palety.",VLOOKUP("Zvažte možnost doobjednání ještě ",Jazyky_ceník!A:Q,MATCH($W$17,Jazyky_ceník!$A$1:$Q$1,0),FALSE)&amp;Tabulka1[[#This Row],[VKPAL]]-MOD(AB363,AA363)&amp;VLOOKUP(" VK do plné palety.",Jazyky_ceník!A:Q,MATCH($W$17,Jazyky_ceník!$A$1:$Q$1,0),FALSE)),IFERROR(IF(AND(NOT(MOD($AB363,$AA363)=0),$AB363&gt;=0.9*$AA363,MOD($AB363,$AA363)&lt;=0.1*$AA363),IF($W$17=$AF$1,"Zvažte možnost optimalizace objednaného množství podle počtu VK na paletě ==&gt;",VLOOKUP("Zvažte možnost optimalizace objednaného množství podle počtu VK na paletě ==&gt;",Jazyky_ceník!A:Q,MATCH($W$17,Jazyky_ceník!$A$1:$Q$1,0),FALSE)),VLOOKUP('General price list'!$C363,Popisy!A:M,MATCH($W$17,Popisy!$A$7:$M$7,0),FALSE)),"---------------")),IFERROR(VLOOKUP('General price list'!$C363,Popisy!A:M,MATCH($W$17,Popisy!$A$7:$M$7,0),FALSE),"---------------"))</f>
        <v>2mm zelená zápalná šnůra, baleno po 5m</v>
      </c>
      <c r="X363" s="569" t="str">
        <f t="shared" si="872"/>
        <v/>
      </c>
      <c r="Y363" s="569" t="str">
        <f t="shared" si="873"/>
        <v/>
      </c>
      <c r="Z363" s="569" t="str">
        <f>HYPERLINK("https://www.klasekpyrotechnics.cz/zs5m")</f>
        <v>https://www.klasekpyrotechnics.cz/zs5m</v>
      </c>
      <c r="AA363" s="569">
        <f>IFERROR(IF(VLOOKUP(C363,[4]List1!$A:$D,4,FALSE)=0,"",VLOOKUP(C363,[4]List1!$A:$D,4,FALSE)),"")</f>
        <v>36</v>
      </c>
      <c r="AB363" s="565"/>
      <c r="AC363" s="570" t="str">
        <f>IFERROR(IF(VLOOKUP(C363,[1]List1!$A:$D,2,FALSE)="VYPRODÁNO",$V$9,IF(VLOOKUP(C363,[1]List1!$A:$D,2,FALSE)="DOCHÁZÍ",$V$3,VLOOKUP(C363,[1]List1!$A:$D,2,FALSE))),"OFFLINE!")</f>
        <v>SKLADEM</v>
      </c>
      <c r="AD363" s="570" t="str">
        <f ca="1">IF(AP363="NE",$V$10,IF(AC363=$V$3,IF(AQ363&lt;1,$V$8,$V$2&amp;" "&amp;AQ363&amp;" "&amp;$V$1),IF(AC363="SKLADEM",$V$6,IFERROR(IF(OR(AC363-TODAY()&gt;45,VLOOKUP(C363,[1]List1!$A:$E,4,FALSE)=0),AC363,DAY(AC363)&amp;"."&amp;MONTH(AC363)&amp;"."&amp;YEAR(AC363)&amp;" "&amp;$V$4&amp;VLOOKUP(C363,[1]List1!$A:$E,4,FALSE)&amp;" "&amp;$V$1),AC363))))</f>
        <v>SKLADEM</v>
      </c>
      <c r="AE363" s="581" t="str">
        <f t="shared" ca="1" si="874"/>
        <v>SKLADEM</v>
      </c>
      <c r="AF363" s="584">
        <f t="shared" si="875"/>
        <v>0</v>
      </c>
      <c r="AG363" s="585">
        <f t="shared" si="876"/>
        <v>0</v>
      </c>
      <c r="AH363" s="583">
        <f t="shared" si="877"/>
        <v>0</v>
      </c>
      <c r="AI363" s="582">
        <f t="shared" si="878"/>
        <v>0</v>
      </c>
      <c r="AJ363" s="569">
        <f t="shared" si="879"/>
        <v>0</v>
      </c>
      <c r="AK363" s="569" t="str">
        <f t="shared" si="880"/>
        <v/>
      </c>
      <c r="AL363" s="569" t="str">
        <f t="shared" si="881"/>
        <v/>
      </c>
      <c r="AM363" s="569">
        <f t="shared" si="882"/>
        <v>0</v>
      </c>
      <c r="AN363" s="581">
        <f t="shared" si="883"/>
        <v>0</v>
      </c>
      <c r="AO363" s="623"/>
      <c r="AP363" s="632" t="str">
        <f t="shared" si="834"/>
        <v/>
      </c>
      <c r="AQ363" s="633" t="str">
        <f>IF(AC363=$V$3,IF(VLOOKUP(C363,[1]List1!$A:$E,5,FALSE)=0,1,VLOOKUP(C363,[1]List1!$A:$E,5,FALSE)),"")</f>
        <v/>
      </c>
      <c r="AR363" s="625" t="str">
        <f t="shared" si="835"/>
        <v/>
      </c>
      <c r="AS363" s="634" t="str">
        <f t="shared" si="836"/>
        <v/>
      </c>
      <c r="AT363" s="625" t="str">
        <f t="shared" si="837"/>
        <v/>
      </c>
      <c r="AU363" s="638" t="e">
        <f t="shared" si="838"/>
        <v>#N/A</v>
      </c>
      <c r="AV363" s="625" t="e">
        <f t="shared" si="839"/>
        <v>#N/A</v>
      </c>
      <c r="AX363" s="625">
        <f>IF(AND('General price list'!$J363="F4",'General price list'!$AB363+0&gt;0),1,0)</f>
        <v>0</v>
      </c>
      <c r="AY363" s="625">
        <f t="shared" si="840"/>
        <v>1</v>
      </c>
      <c r="AZ363" s="625">
        <f t="shared" si="841"/>
        <v>0</v>
      </c>
    </row>
    <row r="364" spans="1:52" ht="15" customHeight="1">
      <c r="A364" s="751" t="str">
        <f>Kat.!C364</f>
        <v xml:space="preserve">           Baterie raket 25–1000 ran, 8 mm moždíř – 1.4G</v>
      </c>
      <c r="B364" s="751"/>
      <c r="C364" s="751"/>
      <c r="D364" s="751"/>
      <c r="E364" s="751"/>
      <c r="F364" s="751"/>
      <c r="G364" s="751"/>
      <c r="H364" s="751"/>
      <c r="I364" s="752"/>
      <c r="J364" s="752"/>
      <c r="K364" s="752" t="s">
        <v>20</v>
      </c>
      <c r="L364" s="753" t="s">
        <v>2818</v>
      </c>
      <c r="M364" s="752"/>
      <c r="N364" s="752"/>
      <c r="O364" s="752"/>
      <c r="P364" s="752"/>
      <c r="Q364" s="752"/>
      <c r="R364" s="752"/>
      <c r="S364" s="752"/>
      <c r="T364" s="752"/>
      <c r="U364" s="752"/>
      <c r="V364" s="752"/>
      <c r="W364" s="752"/>
      <c r="X364" s="752"/>
      <c r="Y364" s="752"/>
      <c r="Z364" s="752" t="s">
        <v>20</v>
      </c>
      <c r="AA364" s="752"/>
      <c r="AB364" s="752"/>
      <c r="AC364" s="754"/>
      <c r="AD364" s="752"/>
      <c r="AE364" s="752"/>
      <c r="AF364" s="752"/>
      <c r="AG364" s="752"/>
      <c r="AH364" s="752"/>
      <c r="AI364" s="752"/>
      <c r="AJ364" s="752"/>
      <c r="AK364" s="752"/>
      <c r="AL364" s="752"/>
      <c r="AM364" s="752"/>
      <c r="AN364" s="752"/>
      <c r="AO364" s="623"/>
      <c r="AP364" s="632" t="str">
        <f t="shared" si="834"/>
        <v/>
      </c>
      <c r="AQ364" s="633" t="str">
        <f>IF(AC364=$V$3,IF(VLOOKUP(C364,[1]List1!$A:$E,5,FALSE)=0,1,VLOOKUP(C364,[1]List1!$A:$E,5,FALSE)),"")</f>
        <v/>
      </c>
      <c r="AR364" s="625" t="str">
        <f t="shared" si="835"/>
        <v/>
      </c>
      <c r="AS364" s="634" t="str">
        <f t="shared" si="836"/>
        <v/>
      </c>
      <c r="AT364" s="625" t="str">
        <f t="shared" si="837"/>
        <v/>
      </c>
      <c r="AU364" s="638" t="e">
        <f t="shared" si="838"/>
        <v>#N/A</v>
      </c>
      <c r="AV364" s="625" t="e">
        <f t="shared" si="839"/>
        <v>#N/A</v>
      </c>
      <c r="AX364" s="625">
        <f>IF(AND('General price list'!$J364="F4",'General price list'!$AB364+0&gt;0),1,0)</f>
        <v>0</v>
      </c>
      <c r="AY364" s="625">
        <f t="shared" si="840"/>
        <v>0</v>
      </c>
      <c r="AZ364" s="625">
        <f t="shared" si="841"/>
        <v>0</v>
      </c>
    </row>
    <row r="365" spans="1:52" ht="15" customHeight="1">
      <c r="A365" s="639" t="str">
        <f>Kat.!C365</f>
        <v/>
      </c>
      <c r="B365" s="640">
        <f>IF(AND('General price list'!$J365="F4",$AI$1=FALSE),0,IF(AC365="SKLADEM",1,IF(AC365=$V$3,1,0)))</f>
        <v>1</v>
      </c>
      <c r="C365" s="641" t="s">
        <v>940</v>
      </c>
      <c r="D365" s="642" t="s">
        <v>11715</v>
      </c>
      <c r="E365" s="643" t="s">
        <v>12744</v>
      </c>
      <c r="F365" s="771">
        <f>IFERROR(VLOOKUP(C365,[2]List1!$A:$D,3,FALSE),"NEUVEDENO!")</f>
        <v>160</v>
      </c>
      <c r="G365" s="768">
        <f t="shared" ref="G365:G366" si="884">IF($W$17=$AF$8,ROUND((F365)/$F$17,2),(F365)*$B$19)</f>
        <v>160</v>
      </c>
      <c r="H365" s="765">
        <f t="shared" ref="H365:H366" si="885">IF($W$17=$AF$8,G365*$B$19,G365/$F$17)</f>
        <v>6.7965660350108106</v>
      </c>
      <c r="I365" s="644">
        <f>IFERROR(VLOOKUP(C365,[2]List1!$A:$D,4,FALSE),"NEUVEDENO!")</f>
        <v>15</v>
      </c>
      <c r="J365" s="733" t="s">
        <v>39</v>
      </c>
      <c r="K365" s="645" t="s">
        <v>20</v>
      </c>
      <c r="L365" s="645" t="s">
        <v>10970</v>
      </c>
      <c r="M365" s="645" t="s">
        <v>21</v>
      </c>
      <c r="N365" s="645">
        <f>IFERROR(VLOOKUP(C365,[3]List1!$A:$D,4,FALSE),"N/A!")</f>
        <v>1.7049999999999999E-2</v>
      </c>
      <c r="O365" s="645">
        <f>IFERROR(VLOOKUP(C365,[3]List1!$A:$D,3,FALSE),"N/A!")</f>
        <v>960</v>
      </c>
      <c r="P365" s="645">
        <f>IFERROR(VLOOKUP(C365,[3]List1!$A:$D,2,FALSE),"N/A!")</f>
        <v>7500</v>
      </c>
      <c r="Q365" s="645" t="s">
        <v>12771</v>
      </c>
      <c r="R365" s="645" t="s">
        <v>20</v>
      </c>
      <c r="S365" s="645" t="str">
        <f>IF($W$17=$AF$1,"design",IFERROR(VLOOKUP("design",Jazyky_ceník!$A:$Q,MATCH($W$17,Jazyky_ceník!$A$1:$Q$1,0),FALSE),"!!!"))</f>
        <v>design</v>
      </c>
      <c r="T365" s="645">
        <v>15</v>
      </c>
      <c r="U365" s="645"/>
      <c r="V365" s="645"/>
      <c r="W365" s="645" t="str">
        <f>IFERROR(IF(AND($AB365&gt;=0.1*$AA365,MOD($AB365,$AA365)&gt;=($AA365-(0.1*$AA365))),IF($W$17=$AF$1,"Zvažte možnost doobjednání ještě "&amp;Tabulka1[[#This Row],[VKPAL]]-MOD(AB365,AA365)&amp;" VK do plné palety.",VLOOKUP("Zvažte možnost doobjednání ještě ",Jazyky_ceník!A:Q,MATCH($W$17,Jazyky_ceník!$A$1:$Q$1,0),FALSE)&amp;Tabulka1[[#This Row],[VKPAL]]-MOD(AB365,AA365)&amp;VLOOKUP(" VK do plné palety.",Jazyky_ceník!A:Q,MATCH($W$17,Jazyky_ceník!$A$1:$Q$1,0),FALSE)),IFERROR(IF(AND(NOT(MOD($AB365,$AA365)=0),$AB365&gt;=0.9*$AA365,MOD($AB365,$AA365)&lt;=0.1*$AA365),IF($W$17=$AF$1,"Zvažte možnost optimalizace objednaného množství podle počtu VK na paletě ==&gt;",VLOOKUP("Zvažte možnost optimalizace objednaného množství podle počtu VK na paletě ==&gt;",Jazyky_ceník!A:Q,MATCH($W$17,Jazyky_ceník!$A$1:$Q$1,0),FALSE)),VLOOKUP('General price list'!$C365,Popisy!A:M,MATCH($W$17,Popisy!$A$7:$M$7,0),FALSE)),"---------------")),IFERROR(VLOOKUP('General price list'!$C365,Popisy!A:M,MATCH($W$17,Popisy!$A$7:$M$7,0),FALSE),"---------------"))</f>
        <v>stříbrné pískající komety s explozí</v>
      </c>
      <c r="X365" s="645" t="str">
        <f t="shared" ref="X365:X366" si="886">IF(AB365&lt;0.0001,"",AB365)</f>
        <v/>
      </c>
      <c r="Y365" s="645" t="str">
        <f t="shared" ref="Y365:Y366" si="887">IF($AL$3=2,IF(OR(AB365&lt;&gt;"",AB365&lt;&gt;0),AU365,""),IF(C365="","",IF(AB365&lt;0.0001,"",IF(B365=0,"",IF(AQ365&lt;AB365,"",AB365)))))</f>
        <v/>
      </c>
      <c r="Z365" s="645" t="str">
        <f>HYPERLINK("https://www.klasekpyrotechnics.cz/c2508r")</f>
        <v>https://www.klasekpyrotechnics.cz/c2508r</v>
      </c>
      <c r="AA365" s="645">
        <f>IFERROR(IF(VLOOKUP(C365,[4]List1!$A:$D,4,FALSE)=0,"",VLOOKUP(C365,[4]List1!$A:$D,4,FALSE)),"")</f>
        <v>40</v>
      </c>
      <c r="AB365" s="646"/>
      <c r="AC365" s="647" t="str">
        <f>IFERROR(IF(VLOOKUP(C365,[1]List1!$A:$D,2,FALSE)="VYPRODÁNO",$V$9,IF(VLOOKUP(C365,[1]List1!$A:$D,2,FALSE)="DOCHÁZÍ",$V$3,VLOOKUP(C365,[1]List1!$A:$D,2,FALSE))),"OFFLINE!")</f>
        <v>SKLADEM</v>
      </c>
      <c r="AD365" s="647" t="str">
        <f ca="1">IF(AP365="NE",$V$10,IF(AC365=$V$3,IF(AQ365&lt;1,$V$8,$V$2&amp;" "&amp;AQ365&amp;" "&amp;$V$1),IF(AC365="SKLADEM",$V$6,IFERROR(IF(OR(AC365-TODAY()&gt;45,VLOOKUP(C365,[1]List1!$A:$E,4,FALSE)=0),AC365,DAY(AC365)&amp;"."&amp;MONTH(AC365)&amp;"."&amp;YEAR(AC365)&amp;" "&amp;$V$4&amp;VLOOKUP(C365,[1]List1!$A:$E,4,FALSE)&amp;" "&amp;$V$1),AC365))))</f>
        <v>SKLADEM</v>
      </c>
      <c r="AE365" s="645" t="str">
        <f t="shared" ref="AE365:AE366" ca="1" si="888">IFERROR(IF(AV365&lt;&gt;"",AV365,AD365),AD365)</f>
        <v>SKLADEM</v>
      </c>
      <c r="AF365" s="648">
        <f t="shared" ref="AF365:AF366" si="889">IFERROR(IF(AB365=Y365,G365*I365*Y365,0),0)</f>
        <v>0</v>
      </c>
      <c r="AG365" s="649">
        <f t="shared" ref="AG365:AG366" si="890">IF($W$17=$AF$8,AH365*1.23,AF365*1.21)</f>
        <v>0</v>
      </c>
      <c r="AH365" s="650">
        <f t="shared" ref="AH365:AH366" si="891">IFERROR(IF(Y365=AB365,H365*I365*Y365,0),0)</f>
        <v>0</v>
      </c>
      <c r="AI365" s="645">
        <f t="shared" ref="AI365:AI366" si="892">IFERROR(IF(Y365=AB365,(P365*Y365)/1000,1),0)</f>
        <v>0</v>
      </c>
      <c r="AJ365" s="645">
        <f t="shared" ref="AJ365:AJ366" si="893">IFERROR(IF(Y365=AB365,N365*Y365,0.1),0)</f>
        <v>0</v>
      </c>
      <c r="AK365" s="645" t="str">
        <f t="shared" ref="AK365:AK366" si="894">IFERROR(IF(Y365=AB365,IF(M365="1.1G",(O365/1000)*Y365,""),""),0)</f>
        <v/>
      </c>
      <c r="AL365" s="645" t="str">
        <f t="shared" ref="AL365:AL366" si="895">IFERROR(IF(Y365=AB365,IF(M365="1.3G",(O365/1000)*AB365,""),""),0)</f>
        <v/>
      </c>
      <c r="AM365" s="645">
        <f t="shared" ref="AM365:AM366" si="896">IFERROR(IF(Y365=AB365,IF(M365="1.4G",(O365/1000)*AB365,""),""),0)</f>
        <v>0</v>
      </c>
      <c r="AN365" s="651">
        <f t="shared" ref="AN365:AN366" si="897">SUM(AK365:AM365)</f>
        <v>0</v>
      </c>
      <c r="AO365" s="623"/>
      <c r="AP365" s="632" t="str">
        <f t="shared" si="834"/>
        <v/>
      </c>
      <c r="AQ365" s="633" t="str">
        <f>IF(AC365=$V$3,IF(VLOOKUP(C365,[1]List1!$A:$E,5,FALSE)=0,1,VLOOKUP(C365,[1]List1!$A:$E,5,FALSE)),"")</f>
        <v/>
      </c>
      <c r="AR365" s="625" t="str">
        <f t="shared" si="835"/>
        <v/>
      </c>
      <c r="AS365" s="634" t="str">
        <f t="shared" si="836"/>
        <v/>
      </c>
      <c r="AT365" s="625" t="str">
        <f t="shared" si="837"/>
        <v/>
      </c>
      <c r="AU365" s="638" t="e">
        <f t="shared" si="838"/>
        <v>#N/A</v>
      </c>
      <c r="AV365" s="625" t="e">
        <f t="shared" si="839"/>
        <v>#N/A</v>
      </c>
      <c r="AX365" s="625">
        <f>IF(AND('General price list'!$J365="F4",'General price list'!$AB365+0&gt;0),1,0)</f>
        <v>0</v>
      </c>
      <c r="AY365" s="625">
        <f t="shared" si="840"/>
        <v>1</v>
      </c>
      <c r="AZ365" s="625">
        <f t="shared" si="841"/>
        <v>0</v>
      </c>
    </row>
    <row r="366" spans="1:52" ht="15" customHeight="1">
      <c r="A366" s="621" t="str">
        <f>Kat.!C366</f>
        <v/>
      </c>
      <c r="B366" s="566">
        <f>IF(AND('General price list'!$J366="F4",$AI$1=FALSE),0,IF(AC366="SKLADEM",1,IF(AC366=$V$3,1,0)))</f>
        <v>1</v>
      </c>
      <c r="C366" s="567" t="s">
        <v>944</v>
      </c>
      <c r="D366" s="568" t="s">
        <v>11716</v>
      </c>
      <c r="E366" s="763" t="s">
        <v>12652</v>
      </c>
      <c r="F366" s="772">
        <f>IFERROR(VLOOKUP(C366,[2]List1!$A:$D,3,FALSE),"NEUVEDENO!")</f>
        <v>151</v>
      </c>
      <c r="G366" s="769">
        <f t="shared" si="884"/>
        <v>151</v>
      </c>
      <c r="H366" s="766">
        <f t="shared" si="885"/>
        <v>6.4142591955414527</v>
      </c>
      <c r="I366" s="764">
        <f>IFERROR(VLOOKUP(C366,[2]List1!$A:$D,4,FALSE),"NEUVEDENO!")</f>
        <v>30</v>
      </c>
      <c r="J366" s="732" t="s">
        <v>39</v>
      </c>
      <c r="K366" s="569" t="s">
        <v>20</v>
      </c>
      <c r="L366" s="569" t="s">
        <v>10987</v>
      </c>
      <c r="M366" s="569" t="s">
        <v>21</v>
      </c>
      <c r="N366" s="569">
        <f>IFERROR(VLOOKUP(C366,[3]List1!$A:$D,4,FALSE),"N/A!")</f>
        <v>3.0671999999999998E-2</v>
      </c>
      <c r="O366" s="569">
        <f>IFERROR(VLOOKUP(C366,[3]List1!$A:$D,3,FALSE),"N/A!")</f>
        <v>1920</v>
      </c>
      <c r="P366" s="569">
        <f>IFERROR(VLOOKUP(C366,[3]List1!$A:$D,2,FALSE),"N/A!")</f>
        <v>14000</v>
      </c>
      <c r="Q366" s="569" t="s">
        <v>11238</v>
      </c>
      <c r="R366" s="569" t="s">
        <v>20</v>
      </c>
      <c r="S366" s="569" t="str">
        <f>IF($W$17=$AF$1,"design",IFERROR(VLOOKUP("design",Jazyky_ceník!$A:$Q,MATCH($W$17,Jazyky_ceník!$A$1:$Q$1,0),FALSE),"!!!"))</f>
        <v>design</v>
      </c>
      <c r="T366" s="569">
        <v>30</v>
      </c>
      <c r="U366" s="569"/>
      <c r="V366" s="569"/>
      <c r="W366" s="569" t="str">
        <f>IFERROR(IF(AND($AB366&gt;=0.1*$AA366,MOD($AB366,$AA366)&gt;=($AA366-(0.1*$AA366))),IF($W$17=$AF$1,"Zvažte možnost doobjednání ještě "&amp;Tabulka1[[#This Row],[VKPAL]]-MOD(AB366,AA366)&amp;" VK do plné palety.",VLOOKUP("Zvažte možnost doobjednání ještě ",Jazyky_ceník!A:Q,MATCH($W$17,Jazyky_ceník!$A$1:$Q$1,0),FALSE)&amp;Tabulka1[[#This Row],[VKPAL]]-MOD(AB366,AA366)&amp;VLOOKUP(" VK do plné palety.",Jazyky_ceník!A:Q,MATCH($W$17,Jazyky_ceník!$A$1:$Q$1,0),FALSE)),IFERROR(IF(AND(NOT(MOD($AB366,$AA366)=0),$AB366&gt;=0.9*$AA366,MOD($AB366,$AA366)&lt;=0.1*$AA366),IF($W$17=$AF$1,"Zvažte možnost optimalizace objednaného množství podle počtu VK na paletě ==&gt;",VLOOKUP("Zvažte možnost optimalizace objednaného množství podle počtu VK na paletě ==&gt;",Jazyky_ceník!A:Q,MATCH($W$17,Jazyky_ceník!$A$1:$Q$1,0),FALSE)),VLOOKUP('General price list'!$C366,Popisy!A:M,MATCH($W$17,Popisy!$A$7:$M$7,0),FALSE)),"---------------")),IFERROR(VLOOKUP('General price list'!$C366,Popisy!A:M,MATCH($W$17,Popisy!$A$7:$M$7,0),FALSE),"---------------"))</f>
        <v>stříbrné pískající komety s explozí</v>
      </c>
      <c r="X366" s="569" t="str">
        <f t="shared" si="886"/>
        <v/>
      </c>
      <c r="Y366" s="569" t="str">
        <f t="shared" si="887"/>
        <v/>
      </c>
      <c r="Z366" s="569" t="str">
        <f>HYPERLINK("https://www.klasekpyrotechnics.cz/c10008r")</f>
        <v>https://www.klasekpyrotechnics.cz/c10008r</v>
      </c>
      <c r="AA366" s="569" t="str">
        <f>IFERROR(IF(VLOOKUP(C366,[4]List1!$A:$D,4,FALSE)=0,"",VLOOKUP(C366,[4]List1!$A:$D,4,FALSE)),"")</f>
        <v>21</v>
      </c>
      <c r="AB366" s="565"/>
      <c r="AC366" s="570" t="str">
        <f>IFERROR(IF(VLOOKUP(C366,[1]List1!$A:$D,2,FALSE)="VYPRODÁNO",$V$9,IF(VLOOKUP(C366,[1]List1!$A:$D,2,FALSE)="DOCHÁZÍ",$V$3,VLOOKUP(C366,[1]List1!$A:$D,2,FALSE))),"OFFLINE!")</f>
        <v>SKLADEM</v>
      </c>
      <c r="AD366" s="570" t="str">
        <f ca="1">IF(AP366="NE",$V$10,IF(AC366=$V$3,IF(AQ366&lt;1,$V$8,$V$2&amp;" "&amp;AQ366&amp;" "&amp;$V$1),IF(AC366="SKLADEM",$V$6,IFERROR(IF(OR(AC366-TODAY()&gt;45,VLOOKUP(C366,[1]List1!$A:$E,4,FALSE)=0),AC366,DAY(AC366)&amp;"."&amp;MONTH(AC366)&amp;"."&amp;YEAR(AC366)&amp;" "&amp;$V$4&amp;VLOOKUP(C366,[1]List1!$A:$E,4,FALSE)&amp;" "&amp;$V$1),AC366))))</f>
        <v>SKLADEM</v>
      </c>
      <c r="AE366" s="581" t="str">
        <f t="shared" ca="1" si="888"/>
        <v>SKLADEM</v>
      </c>
      <c r="AF366" s="584">
        <f t="shared" si="889"/>
        <v>0</v>
      </c>
      <c r="AG366" s="585">
        <f t="shared" si="890"/>
        <v>0</v>
      </c>
      <c r="AH366" s="583">
        <f t="shared" si="891"/>
        <v>0</v>
      </c>
      <c r="AI366" s="582">
        <f t="shared" si="892"/>
        <v>0</v>
      </c>
      <c r="AJ366" s="569">
        <f t="shared" si="893"/>
        <v>0</v>
      </c>
      <c r="AK366" s="569" t="str">
        <f t="shared" si="894"/>
        <v/>
      </c>
      <c r="AL366" s="569" t="str">
        <f t="shared" si="895"/>
        <v/>
      </c>
      <c r="AM366" s="569">
        <f t="shared" si="896"/>
        <v>0</v>
      </c>
      <c r="AN366" s="581">
        <f t="shared" si="897"/>
        <v>0</v>
      </c>
      <c r="AO366" s="623"/>
      <c r="AP366" s="632" t="str">
        <f t="shared" si="834"/>
        <v/>
      </c>
      <c r="AQ366" s="633" t="str">
        <f>IF(AC366=$V$3,IF(VLOOKUP(C366,[1]List1!$A:$E,5,FALSE)=0,1,VLOOKUP(C366,[1]List1!$A:$E,5,FALSE)),"")</f>
        <v/>
      </c>
      <c r="AR366" s="625" t="str">
        <f t="shared" si="835"/>
        <v/>
      </c>
      <c r="AS366" s="634" t="str">
        <f t="shared" si="836"/>
        <v/>
      </c>
      <c r="AT366" s="625" t="str">
        <f t="shared" si="837"/>
        <v/>
      </c>
      <c r="AU366" s="638" t="e">
        <f t="shared" si="838"/>
        <v>#N/A</v>
      </c>
      <c r="AV366" s="625" t="e">
        <f t="shared" si="839"/>
        <v>#N/A</v>
      </c>
      <c r="AX366" s="625">
        <f>IF(AND('General price list'!$J366="F4",'General price list'!$AB366+0&gt;0),1,0)</f>
        <v>0</v>
      </c>
      <c r="AY366" s="625">
        <f t="shared" si="840"/>
        <v>1</v>
      </c>
      <c r="AZ366" s="625">
        <f t="shared" si="841"/>
        <v>0</v>
      </c>
    </row>
    <row r="367" spans="1:52" ht="15.75" customHeight="1">
      <c r="A367" s="751" t="str">
        <f>Kat.!C367</f>
        <v xml:space="preserve">           Baterie 100 ran, 8 mm moždíř – 1.4G</v>
      </c>
      <c r="B367" s="751"/>
      <c r="C367" s="751"/>
      <c r="D367" s="751"/>
      <c r="E367" s="751"/>
      <c r="F367" s="751"/>
      <c r="G367" s="751"/>
      <c r="H367" s="751"/>
      <c r="I367" s="752"/>
      <c r="J367" s="752"/>
      <c r="K367" s="752" t="s">
        <v>20</v>
      </c>
      <c r="L367" s="753" t="s">
        <v>2818</v>
      </c>
      <c r="M367" s="752"/>
      <c r="N367" s="752"/>
      <c r="O367" s="752"/>
      <c r="P367" s="752"/>
      <c r="Q367" s="752"/>
      <c r="R367" s="752"/>
      <c r="S367" s="752"/>
      <c r="T367" s="752"/>
      <c r="U367" s="752"/>
      <c r="V367" s="752"/>
      <c r="W367" s="752"/>
      <c r="X367" s="752"/>
      <c r="Y367" s="752"/>
      <c r="Z367" s="752" t="s">
        <v>20</v>
      </c>
      <c r="AA367" s="752"/>
      <c r="AB367" s="752"/>
      <c r="AC367" s="754"/>
      <c r="AD367" s="752"/>
      <c r="AE367" s="752"/>
      <c r="AF367" s="752"/>
      <c r="AG367" s="752"/>
      <c r="AH367" s="752"/>
      <c r="AI367" s="752"/>
      <c r="AJ367" s="752"/>
      <c r="AK367" s="752"/>
      <c r="AL367" s="752"/>
      <c r="AM367" s="752"/>
      <c r="AN367" s="752"/>
      <c r="AO367" s="623"/>
      <c r="AP367" s="625" t="str">
        <f t="shared" si="834"/>
        <v/>
      </c>
      <c r="AQ367" s="625" t="str">
        <f>IF(AC367=$V$3,IF(VLOOKUP(C367,[1]List1!$A:$E,5,FALSE)=0,1,VLOOKUP(C367,[1]List1!$A:$E,5,FALSE)),"")</f>
        <v/>
      </c>
      <c r="AR367" s="629" t="str">
        <f t="shared" si="835"/>
        <v/>
      </c>
      <c r="AS367" s="630" t="str">
        <f t="shared" si="836"/>
        <v/>
      </c>
      <c r="AT367" s="625" t="str">
        <f t="shared" si="837"/>
        <v/>
      </c>
      <c r="AU367" s="625" t="e">
        <f t="shared" si="838"/>
        <v>#N/A</v>
      </c>
      <c r="AV367" s="625" t="e">
        <f t="shared" si="839"/>
        <v>#N/A</v>
      </c>
      <c r="AW367" s="631"/>
      <c r="AX367" s="631">
        <f>IF(AND('General price list'!$J367="F4",'General price list'!$AB367+0&gt;0),1,0)</f>
        <v>0</v>
      </c>
      <c r="AY367" s="631">
        <f t="shared" si="840"/>
        <v>0</v>
      </c>
      <c r="AZ367" s="631">
        <f t="shared" si="841"/>
        <v>0</v>
      </c>
    </row>
    <row r="368" spans="1:52" ht="15" customHeight="1">
      <c r="A368" s="639" t="str">
        <f>Kat.!C368</f>
        <v/>
      </c>
      <c r="B368" s="640">
        <f>IF(AND('General price list'!$J368="F4",$AI$1=FALSE),0,IF(AC368="SKLADEM",1,IF(AC368=$V$3,1,0)))</f>
        <v>0</v>
      </c>
      <c r="C368" s="641" t="s">
        <v>4715</v>
      </c>
      <c r="D368" s="642" t="s">
        <v>4716</v>
      </c>
      <c r="E368" s="643" t="s">
        <v>12681</v>
      </c>
      <c r="F368" s="773">
        <f>IFERROR(VLOOKUP(C368,[2]List1!$A:$D,3,FALSE),"NEUVEDENO!")</f>
        <v>113</v>
      </c>
      <c r="G368" s="770">
        <f t="shared" ref="G368" si="898">IF($W$17=$AF$8,ROUND((F368)/$F$17,2),(F368)*$B$19)</f>
        <v>113</v>
      </c>
      <c r="H368" s="767">
        <f t="shared" ref="H368" si="899">IF($W$17=$AF$8,G368*$B$19,G368/$F$17)</f>
        <v>4.8000747622263855</v>
      </c>
      <c r="I368" s="644">
        <f>IFERROR(VLOOKUP(C368,[2]List1!$A:$D,4,FALSE),"NEUVEDENO!")</f>
        <v>24</v>
      </c>
      <c r="J368" s="733" t="s">
        <v>39</v>
      </c>
      <c r="K368" s="645" t="s">
        <v>20</v>
      </c>
      <c r="L368" s="645" t="s">
        <v>10970</v>
      </c>
      <c r="M368" s="645" t="s">
        <v>21</v>
      </c>
      <c r="N368" s="645">
        <f>IFERROR(VLOOKUP(C368,[3]List1!$A:$D,4,FALSE),"N/A!")</f>
        <v>3.7409999999999999E-2</v>
      </c>
      <c r="O368" s="645">
        <f>IFERROR(VLOOKUP(C368,[3]List1!$A:$D,3,FALSE),"N/A!")</f>
        <v>1368</v>
      </c>
      <c r="P368" s="645">
        <f>IFERROR(VLOOKUP(C368,[3]List1!$A:$D,2,FALSE),"N/A!")</f>
        <v>13500</v>
      </c>
      <c r="Q368" s="645" t="s">
        <v>11238</v>
      </c>
      <c r="R368" s="645"/>
      <c r="S368" s="645" t="str">
        <f>IF($W$17=$AF$1,"design",IFERROR(VLOOKUP("design",Jazyky_ceník!$A:$Q,MATCH($W$17,Jazyky_ceník!$A$1:$Q$1,0),FALSE),"!!!"))</f>
        <v>design</v>
      </c>
      <c r="T368" s="645">
        <v>30</v>
      </c>
      <c r="U368" s="645"/>
      <c r="V368" s="645"/>
      <c r="W368" s="645" t="str">
        <f>IFERROR(IF(AND($AB368&gt;=0.1*$AA368,MOD($AB368,$AA368)&gt;=($AA368-(0.1*$AA368))),IF($W$17=$AF$1,"Zvažte možnost doobjednání ještě "&amp;Tabulka1[[#This Row],[VKPAL]]-MOD(AB368,AA368)&amp;" VK do plné palety.",VLOOKUP("Zvažte možnost doobjednání ještě ",Jazyky_ceník!A:Q,MATCH($W$17,Jazyky_ceník!$A$1:$Q$1,0),FALSE)&amp;Tabulka1[[#This Row],[VKPAL]]-MOD(AB368,AA368)&amp;VLOOKUP(" VK do plné palety.",Jazyky_ceník!A:Q,MATCH($W$17,Jazyky_ceník!$A$1:$Q$1,0),FALSE)),IFERROR(IF(AND(NOT(MOD($AB368,$AA368)=0),$AB368&gt;=0.9*$AA368,MOD($AB368,$AA368)&lt;=0.1*$AA368),IF($W$17=$AF$1,"Zvažte možnost optimalizace objednaného množství podle počtu VK na paletě ==&gt;",VLOOKUP("Zvažte možnost optimalizace objednaného množství podle počtu VK na paletě ==&gt;",Jazyky_ceník!A:Q,MATCH($W$17,Jazyky_ceník!$A$1:$Q$1,0),FALSE)),VLOOKUP('General price list'!$C368,Popisy!A:M,MATCH($W$17,Popisy!$A$7:$M$7,0),FALSE)),"---------------")),IFERROR(VLOOKUP('General price list'!$C368,Popisy!A:M,MATCH($W$17,Popisy!$A$7:$M$7,0),FALSE),"---------------"))</f>
        <v>barevné a práskající komety</v>
      </c>
      <c r="X368" s="645" t="str">
        <f t="shared" ref="X368" si="900">IF(AB368&lt;0.0001,"",AB368)</f>
        <v/>
      </c>
      <c r="Y368" s="645" t="str">
        <f t="shared" ref="Y368" si="901">IF($AL$3=2,IF(OR(AB368&lt;&gt;"",AB368&lt;&gt;0),AU368,""),IF(C368="","",IF(AB368&lt;0.0001,"",IF(B368=0,"",IF(AQ368&lt;AB368,"",AB368)))))</f>
        <v/>
      </c>
      <c r="Z368" s="645" t="str">
        <f>HYPERLINK("https://www.klasekpyrotechnics.cz/c1008cc")</f>
        <v>https://www.klasekpyrotechnics.cz/c1008cc</v>
      </c>
      <c r="AA368" s="645">
        <f>IFERROR(IF(VLOOKUP(C368,[4]List1!$A:$D,4,FALSE)=0,"",VLOOKUP(C368,[4]List1!$A:$D,4,FALSE)),"")</f>
        <v>42</v>
      </c>
      <c r="AB368" s="646"/>
      <c r="AC368" s="647" t="str">
        <f>IFERROR(IF(VLOOKUP(C368,[1]List1!$A:$D,2,FALSE)="VYPRODÁNO",$V$9,IF(VLOOKUP(C368,[1]List1!$A:$D,2,FALSE)="DOCHÁZÍ",$V$3,VLOOKUP(C368,[1]List1!$A:$D,2,FALSE))),"OFFLINE!")</f>
        <v>31.08.2026</v>
      </c>
      <c r="AD368" s="647" t="str">
        <f ca="1">IF(AP368="NE",$V$10,IF(AC368=$V$3,IF(AQ368&lt;1,$V$8,$V$2&amp;" "&amp;AQ368&amp;" "&amp;$V$1),IF(AC368="SKLADEM",$V$6,IFERROR(IF(OR(AC368-TODAY()&gt;45,VLOOKUP(C368,[1]List1!$A:$E,4,FALSE)=0),AC368,DAY(AC368)&amp;"."&amp;MONTH(AC368)&amp;"."&amp;YEAR(AC368)&amp;" "&amp;$V$4&amp;VLOOKUP(C368,[1]List1!$A:$E,4,FALSE)&amp;" "&amp;$V$1),AC368))))</f>
        <v>31.08.2026</v>
      </c>
      <c r="AE368" s="645" t="str">
        <f t="shared" ref="AE368" ca="1" si="902">IFERROR(IF(AV368&lt;&gt;"",AV368,AD368),AD368)</f>
        <v>31.08.2026</v>
      </c>
      <c r="AF368" s="648">
        <f t="shared" ref="AF368" si="903">IFERROR(IF(AB368=Y368,G368*I368*Y368,0),0)</f>
        <v>0</v>
      </c>
      <c r="AG368" s="649">
        <f t="shared" ref="AG368" si="904">IF($W$17=$AF$8,AH368*1.23,AF368*1.21)</f>
        <v>0</v>
      </c>
      <c r="AH368" s="650">
        <f t="shared" ref="AH368" si="905">IFERROR(IF(Y368=AB368,H368*I368*Y368,0),0)</f>
        <v>0</v>
      </c>
      <c r="AI368" s="645">
        <f t="shared" ref="AI368" si="906">IFERROR(IF(Y368=AB368,(P368*Y368)/1000,1),0)</f>
        <v>0</v>
      </c>
      <c r="AJ368" s="645">
        <f t="shared" ref="AJ368" si="907">IFERROR(IF(Y368=AB368,N368*Y368,0.1),0)</f>
        <v>0</v>
      </c>
      <c r="AK368" s="645" t="str">
        <f t="shared" ref="AK368" si="908">IFERROR(IF(Y368=AB368,IF(M368="1.1G",(O368/1000)*Y368,""),""),0)</f>
        <v/>
      </c>
      <c r="AL368" s="645" t="str">
        <f t="shared" ref="AL368" si="909">IFERROR(IF(Y368=AB368,IF(M368="1.3G",(O368/1000)*AB368,""),""),0)</f>
        <v/>
      </c>
      <c r="AM368" s="645">
        <f t="shared" ref="AM368" si="910">IFERROR(IF(Y368=AB368,IF(M368="1.4G",(O368/1000)*AB368,""),""),0)</f>
        <v>0</v>
      </c>
      <c r="AN368" s="651">
        <f t="shared" ref="AN368" si="911">SUM(AK368:AM368)</f>
        <v>0</v>
      </c>
      <c r="AO368" s="623"/>
      <c r="AP368" s="632" t="str">
        <f t="shared" si="834"/>
        <v/>
      </c>
      <c r="AQ368" s="633" t="str">
        <f>IF(AC368=$V$3,IF(VLOOKUP(C368,[1]List1!$A:$E,5,FALSE)=0,1,VLOOKUP(C368,[1]List1!$A:$E,5,FALSE)),"")</f>
        <v/>
      </c>
      <c r="AR368" s="625" t="str">
        <f t="shared" si="835"/>
        <v/>
      </c>
      <c r="AS368" s="634" t="str">
        <f t="shared" si="836"/>
        <v/>
      </c>
      <c r="AT368" s="625" t="str">
        <f t="shared" si="837"/>
        <v/>
      </c>
      <c r="AU368" s="638" t="e">
        <f t="shared" si="838"/>
        <v>#N/A</v>
      </c>
      <c r="AV368" s="625" t="e">
        <f t="shared" si="839"/>
        <v>#N/A</v>
      </c>
      <c r="AX368" s="625">
        <f>IF(AND('General price list'!$J368="F4",'General price list'!$AB368+0&gt;0),1,0)</f>
        <v>0</v>
      </c>
      <c r="AY368" s="625">
        <f t="shared" si="840"/>
        <v>1</v>
      </c>
      <c r="AZ368" s="625">
        <f t="shared" si="841"/>
        <v>0</v>
      </c>
    </row>
    <row r="369" spans="1:52" ht="15" customHeight="1">
      <c r="A369" s="751" t="str">
        <f>Kat.!C369</f>
        <v xml:space="preserve">           Baterie 16 ran, 14 mm moždíř – 1.4G</v>
      </c>
      <c r="B369" s="751"/>
      <c r="C369" s="751"/>
      <c r="D369" s="751"/>
      <c r="E369" s="751"/>
      <c r="F369" s="751"/>
      <c r="G369" s="751"/>
      <c r="H369" s="751"/>
      <c r="I369" s="752"/>
      <c r="J369" s="752"/>
      <c r="K369" s="752" t="s">
        <v>20</v>
      </c>
      <c r="L369" s="753" t="s">
        <v>2818</v>
      </c>
      <c r="M369" s="752"/>
      <c r="N369" s="752"/>
      <c r="O369" s="752"/>
      <c r="P369" s="752"/>
      <c r="Q369" s="752"/>
      <c r="R369" s="752"/>
      <c r="S369" s="752"/>
      <c r="T369" s="752"/>
      <c r="U369" s="752"/>
      <c r="V369" s="752"/>
      <c r="W369" s="752"/>
      <c r="X369" s="752"/>
      <c r="Y369" s="752"/>
      <c r="Z369" s="752" t="s">
        <v>20</v>
      </c>
      <c r="AA369" s="752"/>
      <c r="AB369" s="752"/>
      <c r="AC369" s="754"/>
      <c r="AD369" s="752"/>
      <c r="AE369" s="752"/>
      <c r="AF369" s="752"/>
      <c r="AG369" s="752"/>
      <c r="AH369" s="752"/>
      <c r="AI369" s="752"/>
      <c r="AJ369" s="752"/>
      <c r="AK369" s="752"/>
      <c r="AL369" s="752"/>
      <c r="AM369" s="752"/>
      <c r="AN369" s="752"/>
      <c r="AO369" s="623"/>
      <c r="AP369" s="632" t="str">
        <f t="shared" si="834"/>
        <v/>
      </c>
      <c r="AQ369" s="633" t="str">
        <f>IF(AC369=$V$3,IF(VLOOKUP(C369,[1]List1!$A:$E,5,FALSE)=0,1,VLOOKUP(C369,[1]List1!$A:$E,5,FALSE)),"")</f>
        <v/>
      </c>
      <c r="AR369" s="625" t="str">
        <f t="shared" si="835"/>
        <v/>
      </c>
      <c r="AS369" s="634" t="str">
        <f t="shared" si="836"/>
        <v/>
      </c>
      <c r="AT369" s="625" t="str">
        <f t="shared" si="837"/>
        <v/>
      </c>
      <c r="AU369" s="638" t="e">
        <f t="shared" si="838"/>
        <v>#N/A</v>
      </c>
      <c r="AV369" s="625" t="e">
        <f t="shared" si="839"/>
        <v>#N/A</v>
      </c>
      <c r="AX369" s="625">
        <f>IF(AND('General price list'!$J369="F4",'General price list'!$AB369+0&gt;0),1,0)</f>
        <v>0</v>
      </c>
      <c r="AY369" s="625">
        <f t="shared" si="840"/>
        <v>0</v>
      </c>
      <c r="AZ369" s="625">
        <f t="shared" si="841"/>
        <v>0</v>
      </c>
    </row>
    <row r="370" spans="1:52" ht="15.75" customHeight="1">
      <c r="A370" s="639" t="str">
        <f>Kat.!C370</f>
        <v/>
      </c>
      <c r="B370" s="640">
        <f>IF(AND('General price list'!$J370="F4",$AI$1=FALSE),0,IF(AC370="SKLADEM",1,IF(AC370=$V$3,1,0)))</f>
        <v>1</v>
      </c>
      <c r="C370" s="641" t="s">
        <v>949</v>
      </c>
      <c r="D370" s="642" t="s">
        <v>948</v>
      </c>
      <c r="E370" s="643" t="s">
        <v>12667</v>
      </c>
      <c r="F370" s="773">
        <f>IFERROR(VLOOKUP(C370,[2]List1!$A:$D,3,FALSE),"NEUVEDENO!")</f>
        <v>106</v>
      </c>
      <c r="G370" s="770">
        <f t="shared" ref="G370" si="912">IF($W$17=$AF$8,ROUND((F370)/$F$17,2),(F370)*$B$19)</f>
        <v>106</v>
      </c>
      <c r="H370" s="767">
        <f t="shared" ref="H370" si="913">IF($W$17=$AF$8,G370*$B$19,G370/$F$17)</f>
        <v>4.5027249981946627</v>
      </c>
      <c r="I370" s="644">
        <f>IFERROR(VLOOKUP(C370,[2]List1!$A:$D,4,FALSE),"NEUVEDENO!")</f>
        <v>50</v>
      </c>
      <c r="J370" s="733" t="s">
        <v>39</v>
      </c>
      <c r="K370" s="645" t="s">
        <v>20</v>
      </c>
      <c r="L370" s="645" t="s">
        <v>10973</v>
      </c>
      <c r="M370" s="645" t="s">
        <v>21</v>
      </c>
      <c r="N370" s="645">
        <f>IFERROR(VLOOKUP(C370,[3]List1!$A:$D,4,FALSE),"N/A!")</f>
        <v>2.7435999999999999E-2</v>
      </c>
      <c r="O370" s="645">
        <f>IFERROR(VLOOKUP(C370,[3]List1!$A:$D,3,FALSE),"N/A!")</f>
        <v>2100</v>
      </c>
      <c r="P370" s="645">
        <f>IFERROR(VLOOKUP(C370,[3]List1!$A:$D,2,FALSE),"N/A!")</f>
        <v>14500</v>
      </c>
      <c r="Q370" s="645" t="s">
        <v>11232</v>
      </c>
      <c r="R370" s="645"/>
      <c r="S370" s="645" t="str">
        <f>IF($W$17=$AF$1,"design",IFERROR(VLOOKUP("design",Jazyky_ceník!$A:$Q,MATCH($W$17,Jazyky_ceník!$A$1:$Q$1,0),FALSE),"!!!"))</f>
        <v>design</v>
      </c>
      <c r="T370" s="645">
        <v>15</v>
      </c>
      <c r="U370" s="645">
        <v>18</v>
      </c>
      <c r="V370" s="645">
        <v>13</v>
      </c>
      <c r="W370" s="645" t="str">
        <f>IFERROR(IF(AND($AB370&gt;=0.1*$AA370,MOD($AB370,$AA370)&gt;=($AA370-(0.1*$AA370))),IF($W$17=$AF$1,"Zvažte možnost doobjednání ještě "&amp;Tabulka1[[#This Row],[VKPAL]]-MOD(AB370,AA370)&amp;" VK do plné palety.",VLOOKUP("Zvažte možnost doobjednání ještě ",Jazyky_ceník!A:Q,MATCH($W$17,Jazyky_ceník!$A$1:$Q$1,0),FALSE)&amp;Tabulka1[[#This Row],[VKPAL]]-MOD(AB370,AA370)&amp;VLOOKUP(" VK do plné palety.",Jazyky_ceník!A:Q,MATCH($W$17,Jazyky_ceník!$A$1:$Q$1,0),FALSE)),IFERROR(IF(AND(NOT(MOD($AB370,$AA370)=0),$AB370&gt;=0.9*$AA370,MOD($AB370,$AA370)&lt;=0.1*$AA370),IF($W$17=$AF$1,"Zvažte možnost optimalizace objednaného množství podle počtu VK na paletě ==&gt;",VLOOKUP("Zvažte možnost optimalizace objednaného množství podle počtu VK na paletě ==&gt;",Jazyky_ceník!A:Q,MATCH($W$17,Jazyky_ceník!$A$1:$Q$1,0),FALSE)),VLOOKUP('General price list'!$C370,Popisy!A:M,MATCH($W$17,Popisy!$A$7:$M$7,0),FALSE)),"---------------")),IFERROR(VLOOKUP('General price list'!$C370,Popisy!A:M,MATCH($W$17,Popisy!$A$7:$M$7,0),FALSE),"---------------"))</f>
        <v>4 různobarevné efekty</v>
      </c>
      <c r="X370" s="645" t="str">
        <f t="shared" ref="X370" si="914">IF(AB370&lt;0.0001,"",AB370)</f>
        <v/>
      </c>
      <c r="Y370" s="645" t="str">
        <f t="shared" ref="Y370" si="915">IF($AL$3=2,IF(OR(AB370&lt;&gt;"",AB370&lt;&gt;0),AU370,""),IF(C370="","",IF(AB370&lt;0.0001,"",IF(B370=0,"",IF(AQ370&lt;AB370,"",AB370)))))</f>
        <v/>
      </c>
      <c r="Z370" s="645" t="str">
        <f>HYPERLINK("https://www.klasekpyrotechnics.cz/c1614e14")</f>
        <v>https://www.klasekpyrotechnics.cz/c1614e14</v>
      </c>
      <c r="AA370" s="645">
        <f>IFERROR(IF(VLOOKUP(C370,[4]List1!$A:$D,4,FALSE)=0,"",VLOOKUP(C370,[4]List1!$A:$D,4,FALSE)),"")</f>
        <v>48</v>
      </c>
      <c r="AB370" s="646"/>
      <c r="AC370" s="647" t="str">
        <f>IFERROR(IF(VLOOKUP(C370,[1]List1!$A:$D,2,FALSE)="VYPRODÁNO",$V$9,IF(VLOOKUP(C370,[1]List1!$A:$D,2,FALSE)="DOCHÁZÍ",$V$3,VLOOKUP(C370,[1]List1!$A:$D,2,FALSE))),"OFFLINE!")</f>
        <v>SKLADEM</v>
      </c>
      <c r="AD370" s="647" t="str">
        <f ca="1">IF(AP370="NE",$V$10,IF(AC370=$V$3,IF(AQ370&lt;1,$V$8,$V$2&amp;" "&amp;AQ370&amp;" "&amp;$V$1),IF(AC370="SKLADEM",$V$6,IFERROR(IF(OR(AC370-TODAY()&gt;45,VLOOKUP(C370,[1]List1!$A:$E,4,FALSE)=0),AC370,DAY(AC370)&amp;"."&amp;MONTH(AC370)&amp;"."&amp;YEAR(AC370)&amp;" "&amp;$V$4&amp;VLOOKUP(C370,[1]List1!$A:$E,4,FALSE)&amp;" "&amp;$V$1),AC370))))</f>
        <v>SKLADEM</v>
      </c>
      <c r="AE370" s="645" t="str">
        <f t="shared" ref="AE370" ca="1" si="916">IFERROR(IF(AV370&lt;&gt;"",AV370,AD370),AD370)</f>
        <v>SKLADEM</v>
      </c>
      <c r="AF370" s="648">
        <f t="shared" ref="AF370" si="917">IFERROR(IF(AB370=Y370,G370*I370*Y370,0),0)</f>
        <v>0</v>
      </c>
      <c r="AG370" s="649">
        <f t="shared" ref="AG370" si="918">IF($W$17=$AF$8,AH370*1.23,AF370*1.21)</f>
        <v>0</v>
      </c>
      <c r="AH370" s="650">
        <f t="shared" ref="AH370" si="919">IFERROR(IF(Y370=AB370,H370*I370*Y370,0),0)</f>
        <v>0</v>
      </c>
      <c r="AI370" s="645">
        <f t="shared" ref="AI370" si="920">IFERROR(IF(Y370=AB370,(P370*Y370)/1000,1),0)</f>
        <v>0</v>
      </c>
      <c r="AJ370" s="645">
        <f t="shared" ref="AJ370" si="921">IFERROR(IF(Y370=AB370,N370*Y370,0.1),0)</f>
        <v>0</v>
      </c>
      <c r="AK370" s="645" t="str">
        <f t="shared" ref="AK370" si="922">IFERROR(IF(Y370=AB370,IF(M370="1.1G",(O370/1000)*Y370,""),""),0)</f>
        <v/>
      </c>
      <c r="AL370" s="645" t="str">
        <f t="shared" ref="AL370" si="923">IFERROR(IF(Y370=AB370,IF(M370="1.3G",(O370/1000)*AB370,""),""),0)</f>
        <v/>
      </c>
      <c r="AM370" s="645">
        <f t="shared" ref="AM370" si="924">IFERROR(IF(Y370=AB370,IF(M370="1.4G",(O370/1000)*AB370,""),""),0)</f>
        <v>0</v>
      </c>
      <c r="AN370" s="651">
        <f t="shared" ref="AN370" si="925">SUM(AK370:AM370)</f>
        <v>0</v>
      </c>
      <c r="AO370" s="623"/>
      <c r="AP370" s="625" t="str">
        <f t="shared" si="834"/>
        <v/>
      </c>
      <c r="AQ370" s="625" t="str">
        <f>IF(AC370=$V$3,IF(VLOOKUP(C370,[1]List1!$A:$E,5,FALSE)=0,1,VLOOKUP(C370,[1]List1!$A:$E,5,FALSE)),"")</f>
        <v/>
      </c>
      <c r="AR370" s="629" t="str">
        <f t="shared" si="835"/>
        <v/>
      </c>
      <c r="AS370" s="630" t="str">
        <f t="shared" si="836"/>
        <v/>
      </c>
      <c r="AT370" s="625" t="str">
        <f t="shared" si="837"/>
        <v/>
      </c>
      <c r="AU370" s="625" t="e">
        <f t="shared" si="838"/>
        <v>#N/A</v>
      </c>
      <c r="AV370" s="625" t="e">
        <f t="shared" si="839"/>
        <v>#N/A</v>
      </c>
      <c r="AW370" s="631"/>
      <c r="AX370" s="631">
        <f>IF(AND('General price list'!$J370="F4",'General price list'!$AB370+0&gt;0),1,0)</f>
        <v>0</v>
      </c>
      <c r="AY370" s="631">
        <f t="shared" si="840"/>
        <v>1</v>
      </c>
      <c r="AZ370" s="631">
        <f t="shared" si="841"/>
        <v>0</v>
      </c>
    </row>
    <row r="371" spans="1:52" ht="15" customHeight="1">
      <c r="A371" s="751" t="str">
        <f>Kat.!C371</f>
        <v xml:space="preserve">           Baterie 36 ran, 14 mm moždíř – 1.4G</v>
      </c>
      <c r="B371" s="751"/>
      <c r="C371" s="751"/>
      <c r="D371" s="751"/>
      <c r="E371" s="751"/>
      <c r="F371" s="751"/>
      <c r="G371" s="751"/>
      <c r="H371" s="751"/>
      <c r="I371" s="752"/>
      <c r="J371" s="752"/>
      <c r="K371" s="752" t="s">
        <v>20</v>
      </c>
      <c r="L371" s="753" t="s">
        <v>20</v>
      </c>
      <c r="M371" s="752"/>
      <c r="N371" s="752"/>
      <c r="O371" s="752"/>
      <c r="P371" s="752"/>
      <c r="Q371" s="752"/>
      <c r="R371" s="752"/>
      <c r="S371" s="752"/>
      <c r="T371" s="752"/>
      <c r="U371" s="752"/>
      <c r="V371" s="752"/>
      <c r="W371" s="752"/>
      <c r="X371" s="752"/>
      <c r="Y371" s="752"/>
      <c r="Z371" s="752" t="s">
        <v>20</v>
      </c>
      <c r="AA371" s="752"/>
      <c r="AB371" s="752"/>
      <c r="AC371" s="754"/>
      <c r="AD371" s="752"/>
      <c r="AE371" s="752"/>
      <c r="AF371" s="752"/>
      <c r="AG371" s="752"/>
      <c r="AH371" s="752"/>
      <c r="AI371" s="752"/>
      <c r="AJ371" s="752"/>
      <c r="AK371" s="752"/>
      <c r="AL371" s="752"/>
      <c r="AM371" s="752"/>
      <c r="AN371" s="752"/>
      <c r="AO371" s="623"/>
      <c r="AP371" s="632" t="str">
        <f t="shared" si="834"/>
        <v/>
      </c>
      <c r="AQ371" s="633" t="str">
        <f>IF(AC371=$V$3,IF(VLOOKUP(C371,[1]List1!$A:$E,5,FALSE)=0,1,VLOOKUP(C371,[1]List1!$A:$E,5,FALSE)),"")</f>
        <v/>
      </c>
      <c r="AR371" s="625" t="str">
        <f t="shared" si="835"/>
        <v/>
      </c>
      <c r="AS371" s="634" t="str">
        <f t="shared" si="836"/>
        <v/>
      </c>
      <c r="AT371" s="625" t="str">
        <f t="shared" si="837"/>
        <v/>
      </c>
      <c r="AU371" s="638" t="e">
        <f t="shared" si="838"/>
        <v>#N/A</v>
      </c>
      <c r="AV371" s="625" t="e">
        <f t="shared" si="839"/>
        <v>#N/A</v>
      </c>
      <c r="AX371" s="625">
        <f>IF(AND('General price list'!$J371="F4",'General price list'!$AB371+0&gt;0),1,0)</f>
        <v>0</v>
      </c>
      <c r="AY371" s="625">
        <f t="shared" si="840"/>
        <v>0</v>
      </c>
      <c r="AZ371" s="625">
        <f t="shared" si="841"/>
        <v>0</v>
      </c>
    </row>
    <row r="372" spans="1:52" ht="15" customHeight="1">
      <c r="A372" s="639" t="str">
        <f>Kat.!C372</f>
        <v/>
      </c>
      <c r="B372" s="640">
        <f>IF(AND('General price list'!$J372="F4",$AI$1=FALSE),0,IF(AC372="SKLADEM",1,IF(AC372=$V$3,1,0)))</f>
        <v>1</v>
      </c>
      <c r="C372" s="641" t="s">
        <v>11207</v>
      </c>
      <c r="D372" s="642" t="s">
        <v>11208</v>
      </c>
      <c r="E372" s="643" t="s">
        <v>12652</v>
      </c>
      <c r="F372" s="773">
        <f>IFERROR(VLOOKUP(C372,[2]List1!$A:$D,3,FALSE),"NEUVEDENO!")</f>
        <v>220</v>
      </c>
      <c r="G372" s="770">
        <f t="shared" ref="G372" si="926">IF($W$17=$AF$8,ROUND((F372)/$F$17,2),(F372)*$B$19)</f>
        <v>220</v>
      </c>
      <c r="H372" s="767">
        <f t="shared" ref="H372" si="927">IF($W$17=$AF$8,G372*$B$19,G372/$F$17)</f>
        <v>9.3452782981398652</v>
      </c>
      <c r="I372" s="644">
        <f>IFERROR(VLOOKUP(C372,[2]List1!$A:$D,4,FALSE),"NEUVEDENO!")</f>
        <v>30</v>
      </c>
      <c r="J372" s="733" t="s">
        <v>39</v>
      </c>
      <c r="K372" s="645" t="s">
        <v>20</v>
      </c>
      <c r="L372" s="645"/>
      <c r="M372" s="645" t="s">
        <v>21</v>
      </c>
      <c r="N372" s="645">
        <f>IFERROR(VLOOKUP(C372,[3]List1!$A:$D,4,FALSE),"N/A!")</f>
        <v>4.3504999999999995E-2</v>
      </c>
      <c r="O372" s="645">
        <f>IFERROR(VLOOKUP(C372,[3]List1!$A:$D,3,FALSE),"N/A!")</f>
        <v>3120</v>
      </c>
      <c r="P372" s="645">
        <f>IFERROR(VLOOKUP(C372,[3]List1!$A:$D,2,FALSE),"N/A!")</f>
        <v>21000</v>
      </c>
      <c r="Q372" s="645" t="s">
        <v>11233</v>
      </c>
      <c r="R372" s="645"/>
      <c r="S372" s="645" t="str">
        <f>IF($W$17=$AF$1,"design",IFERROR(VLOOKUP("design",Jazyky_ceník!$A:$Q,MATCH($W$17,Jazyky_ceník!$A$1:$Q$1,0),FALSE),"!!!"))</f>
        <v>design</v>
      </c>
      <c r="T372" s="645">
        <v>30</v>
      </c>
      <c r="U372" s="645">
        <v>18</v>
      </c>
      <c r="V372" s="645">
        <v>13</v>
      </c>
      <c r="W372" s="645" t="str">
        <f>IFERROR(IF(AND($AB372&gt;=0.1*$AA372,MOD($AB372,$AA372)&gt;=($AA372-(0.1*$AA372))),IF($W$17=$AF$1,"Zvažte možnost doobjednání ještě "&amp;Tabulka1[[#This Row],[VKPAL]]-MOD(AB372,AA372)&amp;" VK do plné palety.",VLOOKUP("Zvažte možnost doobjednání ještě ",Jazyky_ceník!A:Q,MATCH($W$17,Jazyky_ceník!$A$1:$Q$1,0),FALSE)&amp;Tabulka1[[#This Row],[VKPAL]]-MOD(AB372,AA372)&amp;VLOOKUP(" VK do plné palety.",Jazyky_ceník!A:Q,MATCH($W$17,Jazyky_ceník!$A$1:$Q$1,0),FALSE)),IFERROR(IF(AND(NOT(MOD($AB372,$AA372)=0),$AB372&gt;=0.9*$AA372,MOD($AB372,$AA372)&lt;=0.1*$AA372),IF($W$17=$AF$1,"Zvažte možnost optimalizace objednaného množství podle počtu VK na paletě ==&gt;",VLOOKUP("Zvažte možnost optimalizace objednaného množství podle počtu VK na paletě ==&gt;",Jazyky_ceník!A:Q,MATCH($W$17,Jazyky_ceník!$A$1:$Q$1,0),FALSE)),VLOOKUP('General price list'!$C372,Popisy!A:M,MATCH($W$17,Popisy!$A$7:$M$7,0),FALSE)),"---------------")),IFERROR(VLOOKUP('General price list'!$C372,Popisy!A:M,MATCH($W$17,Popisy!$A$7:$M$7,0),FALSE),"---------------"))</f>
        <v>6 různobarevných efektu</v>
      </c>
      <c r="X372" s="645" t="str">
        <f t="shared" ref="X372" si="928">IF(AB372&lt;0.0001,"",AB372)</f>
        <v/>
      </c>
      <c r="Y372" s="645" t="str">
        <f t="shared" ref="Y372" si="929">IF($AL$3=2,IF(OR(AB372&lt;&gt;"",AB372&lt;&gt;0),AU372,""),IF(C372="","",IF(AB372&lt;0.0001,"",IF(B372=0,"",IF(AQ372&lt;AB372,"",AB372)))))</f>
        <v/>
      </c>
      <c r="Z372" s="645" t="str">
        <f>HYPERLINK("https://www.klasekpyrotechnics.cz/c3614b14")</f>
        <v>https://www.klasekpyrotechnics.cz/c3614b14</v>
      </c>
      <c r="AA372" s="645">
        <f>IFERROR(IF(VLOOKUP(C372,[4]List1!$A:$D,4,FALSE)=0,"",VLOOKUP(C372,[4]List1!$A:$D,4,FALSE)),"")</f>
        <v>28</v>
      </c>
      <c r="AB372" s="646"/>
      <c r="AC372" s="647" t="str">
        <f>IFERROR(IF(VLOOKUP(C372,[1]List1!$A:$D,2,FALSE)="VYPRODÁNO",$V$9,IF(VLOOKUP(C372,[1]List1!$A:$D,2,FALSE)="DOCHÁZÍ",$V$3,VLOOKUP(C372,[1]List1!$A:$D,2,FALSE))),"OFFLINE!")</f>
        <v>SKLADEM</v>
      </c>
      <c r="AD372" s="647" t="str">
        <f ca="1">IF(AP372="NE",$V$10,IF(AC372=$V$3,IF(AQ372&lt;1,$V$8,$V$2&amp;" "&amp;AQ372&amp;" "&amp;$V$1),IF(AC372="SKLADEM",$V$6,IFERROR(IF(OR(AC372-TODAY()&gt;45,VLOOKUP(C372,[1]List1!$A:$E,4,FALSE)=0),AC372,DAY(AC372)&amp;"."&amp;MONTH(AC372)&amp;"."&amp;YEAR(AC372)&amp;" "&amp;$V$4&amp;VLOOKUP(C372,[1]List1!$A:$E,4,FALSE)&amp;" "&amp;$V$1),AC372))))</f>
        <v>SKLADEM</v>
      </c>
      <c r="AE372" s="645" t="str">
        <f t="shared" ref="AE372" ca="1" si="930">IFERROR(IF(AV372&lt;&gt;"",AV372,AD372),AD372)</f>
        <v>SKLADEM</v>
      </c>
      <c r="AF372" s="648">
        <f t="shared" ref="AF372" si="931">IFERROR(IF(AB372=Y372,G372*I372*Y372,0),0)</f>
        <v>0</v>
      </c>
      <c r="AG372" s="649">
        <f t="shared" ref="AG372" si="932">IF($W$17=$AF$8,AH372*1.23,AF372*1.21)</f>
        <v>0</v>
      </c>
      <c r="AH372" s="650">
        <f t="shared" ref="AH372" si="933">IFERROR(IF(Y372=AB372,H372*I372*Y372,0),0)</f>
        <v>0</v>
      </c>
      <c r="AI372" s="645">
        <f t="shared" ref="AI372" si="934">IFERROR(IF(Y372=AB372,(P372*Y372)/1000,1),0)</f>
        <v>0</v>
      </c>
      <c r="AJ372" s="645">
        <f t="shared" ref="AJ372" si="935">IFERROR(IF(Y372=AB372,N372*Y372,0.1),0)</f>
        <v>0</v>
      </c>
      <c r="AK372" s="645" t="str">
        <f t="shared" ref="AK372" si="936">IFERROR(IF(Y372=AB372,IF(M372="1.1G",(O372/1000)*Y372,""),""),0)</f>
        <v/>
      </c>
      <c r="AL372" s="645" t="str">
        <f t="shared" ref="AL372" si="937">IFERROR(IF(Y372=AB372,IF(M372="1.3G",(O372/1000)*AB372,""),""),0)</f>
        <v/>
      </c>
      <c r="AM372" s="645">
        <f t="shared" ref="AM372" si="938">IFERROR(IF(Y372=AB372,IF(M372="1.4G",(O372/1000)*AB372,""),""),0)</f>
        <v>0</v>
      </c>
      <c r="AN372" s="651">
        <f t="shared" ref="AN372" si="939">SUM(AK372:AM372)</f>
        <v>0</v>
      </c>
      <c r="AO372" s="623"/>
      <c r="AP372" s="632" t="str">
        <f t="shared" si="834"/>
        <v/>
      </c>
      <c r="AQ372" s="633" t="str">
        <f>IF(AC372=$V$3,IF(VLOOKUP(C372,[1]List1!$A:$E,5,FALSE)=0,1,VLOOKUP(C372,[1]List1!$A:$E,5,FALSE)),"")</f>
        <v/>
      </c>
      <c r="AR372" s="625" t="str">
        <f t="shared" si="835"/>
        <v/>
      </c>
      <c r="AS372" s="634" t="str">
        <f t="shared" si="836"/>
        <v/>
      </c>
      <c r="AT372" s="625" t="str">
        <f t="shared" si="837"/>
        <v/>
      </c>
      <c r="AU372" s="638" t="e">
        <f t="shared" si="838"/>
        <v>#N/A</v>
      </c>
      <c r="AV372" s="625" t="e">
        <f t="shared" si="839"/>
        <v>#N/A</v>
      </c>
      <c r="AX372" s="625">
        <f>IF(AND('General price list'!$J372="F4",'General price list'!$AB372+0&gt;0),1,0)</f>
        <v>0</v>
      </c>
      <c r="AY372" s="625">
        <f t="shared" si="840"/>
        <v>1</v>
      </c>
      <c r="AZ372" s="625">
        <f t="shared" si="841"/>
        <v>0</v>
      </c>
    </row>
    <row r="373" spans="1:52" ht="15.75" customHeight="1">
      <c r="A373" s="751" t="str">
        <f>Kat.!C373</f>
        <v xml:space="preserve">           Baterie 64 ran, 14 mm moždíř – 1.4G</v>
      </c>
      <c r="B373" s="751"/>
      <c r="C373" s="751"/>
      <c r="D373" s="751"/>
      <c r="E373" s="751"/>
      <c r="F373" s="751"/>
      <c r="G373" s="751"/>
      <c r="H373" s="751"/>
      <c r="I373" s="752"/>
      <c r="J373" s="752"/>
      <c r="K373" s="752" t="s">
        <v>20</v>
      </c>
      <c r="L373" s="753" t="s">
        <v>20</v>
      </c>
      <c r="M373" s="752"/>
      <c r="N373" s="752"/>
      <c r="O373" s="752"/>
      <c r="P373" s="752"/>
      <c r="Q373" s="752"/>
      <c r="R373" s="752"/>
      <c r="S373" s="752"/>
      <c r="T373" s="752"/>
      <c r="U373" s="752"/>
      <c r="V373" s="752"/>
      <c r="W373" s="752"/>
      <c r="X373" s="752"/>
      <c r="Y373" s="752"/>
      <c r="Z373" s="752" t="s">
        <v>20</v>
      </c>
      <c r="AA373" s="752"/>
      <c r="AB373" s="752"/>
      <c r="AC373" s="754"/>
      <c r="AD373" s="752"/>
      <c r="AE373" s="752"/>
      <c r="AF373" s="752"/>
      <c r="AG373" s="752"/>
      <c r="AH373" s="752"/>
      <c r="AI373" s="752"/>
      <c r="AJ373" s="752"/>
      <c r="AK373" s="752"/>
      <c r="AL373" s="752"/>
      <c r="AM373" s="752"/>
      <c r="AN373" s="752"/>
      <c r="AO373" s="623"/>
      <c r="AP373" s="625" t="str">
        <f t="shared" si="834"/>
        <v/>
      </c>
      <c r="AQ373" s="625" t="str">
        <f>IF(AC373=$V$3,IF(VLOOKUP(C373,[1]List1!$A:$E,5,FALSE)=0,1,VLOOKUP(C373,[1]List1!$A:$E,5,FALSE)),"")</f>
        <v/>
      </c>
      <c r="AR373" s="629" t="str">
        <f t="shared" si="835"/>
        <v/>
      </c>
      <c r="AS373" s="630" t="str">
        <f t="shared" si="836"/>
        <v/>
      </c>
      <c r="AT373" s="625" t="str">
        <f t="shared" si="837"/>
        <v/>
      </c>
      <c r="AU373" s="625" t="e">
        <f t="shared" si="838"/>
        <v>#N/A</v>
      </c>
      <c r="AV373" s="625" t="e">
        <f t="shared" si="839"/>
        <v>#N/A</v>
      </c>
      <c r="AW373" s="631"/>
      <c r="AX373" s="631">
        <f>IF(AND('General price list'!$J373="F4",'General price list'!$AB373+0&gt;0),1,0)</f>
        <v>0</v>
      </c>
      <c r="AY373" s="631">
        <f t="shared" si="840"/>
        <v>0</v>
      </c>
      <c r="AZ373" s="631">
        <f t="shared" si="841"/>
        <v>0</v>
      </c>
    </row>
    <row r="374" spans="1:52" ht="15" customHeight="1">
      <c r="A374" s="639" t="str">
        <f>Kat.!C374</f>
        <v/>
      </c>
      <c r="B374" s="640">
        <f>IF(AND('General price list'!$J374="F4",$AI$1=FALSE),0,IF(AC374="SKLADEM",1,IF(AC374=$V$3,1,0)))</f>
        <v>1</v>
      </c>
      <c r="C374" s="641" t="s">
        <v>12017</v>
      </c>
      <c r="D374" s="642" t="s">
        <v>12018</v>
      </c>
      <c r="E374" s="643" t="s">
        <v>12675</v>
      </c>
      <c r="F374" s="773">
        <f>IFERROR(VLOOKUP(C374,[2]List1!$A:$D,3,FALSE),"NEUVEDENO!")</f>
        <v>386</v>
      </c>
      <c r="G374" s="770">
        <f t="shared" ref="G374" si="940">IF($W$17=$AF$8,ROUND((F374)/$F$17,2),(F374)*$B$19)</f>
        <v>386</v>
      </c>
      <c r="H374" s="767">
        <f t="shared" ref="H374" si="941">IF($W$17=$AF$8,G374*$B$19,G374/$F$17)</f>
        <v>16.39671555946358</v>
      </c>
      <c r="I374" s="644">
        <f>IFERROR(VLOOKUP(C374,[2]List1!$A:$D,4,FALSE),"NEUVEDENO!")</f>
        <v>12</v>
      </c>
      <c r="J374" s="733" t="s">
        <v>39</v>
      </c>
      <c r="K374" s="645" t="s">
        <v>20</v>
      </c>
      <c r="L374" s="645"/>
      <c r="M374" s="645" t="s">
        <v>21</v>
      </c>
      <c r="N374" s="645">
        <f>IFERROR(VLOOKUP(C374,[3]List1!$A:$D,4,FALSE),"N/A!")</f>
        <v>3.3440879999999999E-2</v>
      </c>
      <c r="O374" s="645">
        <f>IFERROR(VLOOKUP(C374,[3]List1!$A:$D,3,FALSE),"N/A!")</f>
        <v>2304</v>
      </c>
      <c r="P374" s="645">
        <f>IFERROR(VLOOKUP(C374,[3]List1!$A:$D,2,FALSE),"N/A!")</f>
        <v>17000</v>
      </c>
      <c r="Q374" s="645" t="s">
        <v>11233</v>
      </c>
      <c r="R374" s="645"/>
      <c r="S374" s="645" t="str">
        <f>IF($W$17=$AF$1,"design",IFERROR(VLOOKUP("design",Jazyky_ceník!$A:$Q,MATCH($W$17,Jazyky_ceník!$A$1:$Q$1,0),FALSE),"!!!"))</f>
        <v>design</v>
      </c>
      <c r="T374" s="645">
        <v>40</v>
      </c>
      <c r="U374" s="645">
        <v>18</v>
      </c>
      <c r="V374" s="645">
        <v>13</v>
      </c>
      <c r="W374" s="645" t="str">
        <f>IFERROR(IF(AND($AB374&gt;=0.1*$AA374,MOD($AB374,$AA374)&gt;=($AA374-(0.1*$AA374))),IF($W$17=$AF$1,"Zvažte možnost doobjednání ještě "&amp;Tabulka1[[#This Row],[VKPAL]]-MOD(AB374,AA374)&amp;" VK do plné palety.",VLOOKUP("Zvažte možnost doobjednání ještě ",Jazyky_ceník!A:Q,MATCH($W$17,Jazyky_ceník!$A$1:$Q$1,0),FALSE)&amp;Tabulka1[[#This Row],[VKPAL]]-MOD(AB374,AA374)&amp;VLOOKUP(" VK do plné palety.",Jazyky_ceník!A:Q,MATCH($W$17,Jazyky_ceník!$A$1:$Q$1,0),FALSE)),IFERROR(IF(AND(NOT(MOD($AB374,$AA374)=0),$AB374&gt;=0.9*$AA374,MOD($AB374,$AA374)&lt;=0.1*$AA374),IF($W$17=$AF$1,"Zvažte možnost optimalizace objednaného množství podle počtu VK na paletě ==&gt;",VLOOKUP("Zvažte možnost optimalizace objednaného množství podle počtu VK na paletě ==&gt;",Jazyky_ceník!A:Q,MATCH($W$17,Jazyky_ceník!$A$1:$Q$1,0),FALSE)),VLOOKUP('General price list'!$C374,Popisy!A:M,MATCH($W$17,Popisy!$A$7:$M$7,0),FALSE)),"---------------")),IFERROR(VLOOKUP('General price list'!$C374,Popisy!A:M,MATCH($W$17,Popisy!$A$7:$M$7,0),FALSE),"---------------"))</f>
        <v>8 různobarevných efektů</v>
      </c>
      <c r="X374" s="645" t="str">
        <f t="shared" ref="X374" si="942">IF(AB374&lt;0.0001,"",AB374)</f>
        <v/>
      </c>
      <c r="Y374" s="645" t="str">
        <f t="shared" ref="Y374" si="943">IF($AL$3=2,IF(OR(AB374&lt;&gt;"",AB374&lt;&gt;0),AU374,""),IF(C374="","",IF(AB374&lt;0.0001,"",IF(B374=0,"",IF(AQ374&lt;AB374,"",AB374)))))</f>
        <v/>
      </c>
      <c r="Z374" s="645" t="str">
        <f>HYPERLINK("https://www.klasekpyrotechnics.cz/c6414c14")</f>
        <v>https://www.klasekpyrotechnics.cz/c6414c14</v>
      </c>
      <c r="AA374" s="645">
        <f>IFERROR(IF(VLOOKUP(C374,[4]List1!$A:$D,4,FALSE)=0,"",VLOOKUP(C374,[4]List1!$A:$D,4,FALSE)),"")</f>
        <v>35</v>
      </c>
      <c r="AB374" s="646"/>
      <c r="AC374" s="647" t="str">
        <f>IFERROR(IF(VLOOKUP(C374,[1]List1!$A:$D,2,FALSE)="VYPRODÁNO",$V$9,IF(VLOOKUP(C374,[1]List1!$A:$D,2,FALSE)="DOCHÁZÍ",$V$3,VLOOKUP(C374,[1]List1!$A:$D,2,FALSE))),"OFFLINE!")</f>
        <v>SKLADEM</v>
      </c>
      <c r="AD374" s="647" t="str">
        <f ca="1">IF(AP374="NE",$V$10,IF(AC374=$V$3,IF(AQ374&lt;1,$V$8,$V$2&amp;" "&amp;AQ374&amp;" "&amp;$V$1),IF(AC374="SKLADEM",$V$6,IFERROR(IF(OR(AC374-TODAY()&gt;45,VLOOKUP(C374,[1]List1!$A:$E,4,FALSE)=0),AC374,DAY(AC374)&amp;"."&amp;MONTH(AC374)&amp;"."&amp;YEAR(AC374)&amp;" "&amp;$V$4&amp;VLOOKUP(C374,[1]List1!$A:$E,4,FALSE)&amp;" "&amp;$V$1),AC374))))</f>
        <v>SKLADEM</v>
      </c>
      <c r="AE374" s="645" t="str">
        <f t="shared" ref="AE374" ca="1" si="944">IFERROR(IF(AV374&lt;&gt;"",AV374,AD374),AD374)</f>
        <v>SKLADEM</v>
      </c>
      <c r="AF374" s="648">
        <f t="shared" ref="AF374" si="945">IFERROR(IF(AB374=Y374,G374*I374*Y374,0),0)</f>
        <v>0</v>
      </c>
      <c r="AG374" s="649">
        <f t="shared" ref="AG374" si="946">IF($W$17=$AF$8,AH374*1.23,AF374*1.21)</f>
        <v>0</v>
      </c>
      <c r="AH374" s="650">
        <f t="shared" ref="AH374" si="947">IFERROR(IF(Y374=AB374,H374*I374*Y374,0),0)</f>
        <v>0</v>
      </c>
      <c r="AI374" s="645">
        <f t="shared" ref="AI374" si="948">IFERROR(IF(Y374=AB374,(P374*Y374)/1000,1),0)</f>
        <v>0</v>
      </c>
      <c r="AJ374" s="645">
        <f t="shared" ref="AJ374" si="949">IFERROR(IF(Y374=AB374,N374*Y374,0.1),0)</f>
        <v>0</v>
      </c>
      <c r="AK374" s="645" t="str">
        <f t="shared" ref="AK374" si="950">IFERROR(IF(Y374=AB374,IF(M374="1.1G",(O374/1000)*Y374,""),""),0)</f>
        <v/>
      </c>
      <c r="AL374" s="645" t="str">
        <f t="shared" ref="AL374" si="951">IFERROR(IF(Y374=AB374,IF(M374="1.3G",(O374/1000)*AB374,""),""),0)</f>
        <v/>
      </c>
      <c r="AM374" s="645">
        <f t="shared" ref="AM374" si="952">IFERROR(IF(Y374=AB374,IF(M374="1.4G",(O374/1000)*AB374,""),""),0)</f>
        <v>0</v>
      </c>
      <c r="AN374" s="651">
        <f t="shared" ref="AN374" si="953">SUM(AK374:AM374)</f>
        <v>0</v>
      </c>
      <c r="AO374" s="623"/>
      <c r="AP374" s="625" t="str">
        <f t="shared" si="834"/>
        <v/>
      </c>
      <c r="AQ374" s="625" t="str">
        <f>IF(AC374=$V$3,IF(VLOOKUP(C374,[1]List1!$A:$E,5,FALSE)=0,1,VLOOKUP(C374,[1]List1!$A:$E,5,FALSE)),"")</f>
        <v/>
      </c>
      <c r="AR374" s="625" t="str">
        <f t="shared" si="835"/>
        <v/>
      </c>
      <c r="AS374" s="625" t="str">
        <f t="shared" si="836"/>
        <v/>
      </c>
      <c r="AT374" s="625" t="str">
        <f t="shared" si="837"/>
        <v/>
      </c>
      <c r="AU374" s="625" t="e">
        <f t="shared" si="838"/>
        <v>#N/A</v>
      </c>
      <c r="AV374" s="625" t="e">
        <f t="shared" si="839"/>
        <v>#N/A</v>
      </c>
      <c r="AX374" s="625">
        <f>IF(AND('General price list'!$J374="F4",'General price list'!$AB374+0&gt;0),1,0)</f>
        <v>0</v>
      </c>
      <c r="AY374" s="625">
        <f t="shared" si="840"/>
        <v>1</v>
      </c>
      <c r="AZ374" s="625">
        <f t="shared" si="841"/>
        <v>0</v>
      </c>
    </row>
    <row r="375" spans="1:52" ht="15.75" customHeight="1">
      <c r="A375" s="751" t="str">
        <f>Kat.!C375</f>
        <v xml:space="preserve">           Baterie 100 ran, 14 mm moždíř – 1.3G</v>
      </c>
      <c r="B375" s="751"/>
      <c r="C375" s="751"/>
      <c r="D375" s="751"/>
      <c r="E375" s="751"/>
      <c r="F375" s="751"/>
      <c r="G375" s="751"/>
      <c r="H375" s="751"/>
      <c r="I375" s="752"/>
      <c r="J375" s="752"/>
      <c r="K375" s="752" t="s">
        <v>20</v>
      </c>
      <c r="L375" s="753" t="s">
        <v>20</v>
      </c>
      <c r="M375" s="752"/>
      <c r="N375" s="752"/>
      <c r="O375" s="752"/>
      <c r="P375" s="752"/>
      <c r="Q375" s="752"/>
      <c r="R375" s="752"/>
      <c r="S375" s="752"/>
      <c r="T375" s="752"/>
      <c r="U375" s="752"/>
      <c r="V375" s="752"/>
      <c r="W375" s="752"/>
      <c r="X375" s="752"/>
      <c r="Y375" s="752"/>
      <c r="Z375" s="752" t="s">
        <v>20</v>
      </c>
      <c r="AA375" s="752"/>
      <c r="AB375" s="752"/>
      <c r="AC375" s="754"/>
      <c r="AD375" s="752"/>
      <c r="AE375" s="752"/>
      <c r="AF375" s="752"/>
      <c r="AG375" s="752"/>
      <c r="AH375" s="752"/>
      <c r="AI375" s="752"/>
      <c r="AJ375" s="752"/>
      <c r="AK375" s="752"/>
      <c r="AL375" s="752"/>
      <c r="AM375" s="752"/>
      <c r="AN375" s="752"/>
      <c r="AO375" s="623"/>
      <c r="AP375" s="625" t="str">
        <f t="shared" si="834"/>
        <v/>
      </c>
      <c r="AQ375" s="625" t="str">
        <f>IF(AC375=$V$3,IF(VLOOKUP(C375,[1]List1!$A:$E,5,FALSE)=0,1,VLOOKUP(C375,[1]List1!$A:$E,5,FALSE)),"")</f>
        <v/>
      </c>
      <c r="AR375" s="629" t="str">
        <f t="shared" si="835"/>
        <v/>
      </c>
      <c r="AS375" s="630" t="str">
        <f t="shared" si="836"/>
        <v/>
      </c>
      <c r="AT375" s="625" t="str">
        <f t="shared" si="837"/>
        <v/>
      </c>
      <c r="AU375" s="625" t="e">
        <f t="shared" si="838"/>
        <v>#N/A</v>
      </c>
      <c r="AV375" s="625" t="e">
        <f t="shared" si="839"/>
        <v>#N/A</v>
      </c>
      <c r="AW375" s="631"/>
      <c r="AX375" s="631">
        <f>IF(AND('General price list'!$J375="F4",'General price list'!$AB375+0&gt;0),1,0)</f>
        <v>0</v>
      </c>
      <c r="AY375" s="631">
        <f t="shared" si="840"/>
        <v>0</v>
      </c>
      <c r="AZ375" s="631">
        <f t="shared" si="841"/>
        <v>0</v>
      </c>
    </row>
    <row r="376" spans="1:52" ht="15" customHeight="1">
      <c r="A376" s="639" t="str">
        <f>Kat.!C376</f>
        <v/>
      </c>
      <c r="B376" s="640">
        <f>IF(AND('General price list'!$J376="F4",$AI$1=FALSE),0,IF(AC376="SKLADEM",1,IF(AC376=$V$3,1,0)))</f>
        <v>1</v>
      </c>
      <c r="C376" s="641" t="s">
        <v>950</v>
      </c>
      <c r="D376" s="642" t="s">
        <v>951</v>
      </c>
      <c r="E376" s="643" t="s">
        <v>12675</v>
      </c>
      <c r="F376" s="773">
        <f>IFERROR(VLOOKUP(C376,[2]List1!$A:$D,3,FALSE),"NEUVEDENO!")</f>
        <v>571</v>
      </c>
      <c r="G376" s="770">
        <f t="shared" ref="G376" si="954">IF($W$17=$AF$8,ROUND((F376)/$F$17,2),(F376)*$B$19)</f>
        <v>571</v>
      </c>
      <c r="H376" s="767">
        <f t="shared" ref="H376" si="955">IF($W$17=$AF$8,G376*$B$19,G376/$F$17)</f>
        <v>24.25524503744483</v>
      </c>
      <c r="I376" s="644">
        <f>IFERROR(VLOOKUP(C376,[2]List1!$A:$D,4,FALSE),"NEUVEDENO!")</f>
        <v>12</v>
      </c>
      <c r="J376" s="733" t="s">
        <v>39</v>
      </c>
      <c r="K376" s="645" t="s">
        <v>20</v>
      </c>
      <c r="L376" s="645" t="s">
        <v>20</v>
      </c>
      <c r="M376" s="645" t="s">
        <v>114</v>
      </c>
      <c r="N376" s="645">
        <f>IFERROR(VLOOKUP(C376,[3]List1!$A:$D,4,FALSE),"N/A!")</f>
        <v>4.1495999999999998E-2</v>
      </c>
      <c r="O376" s="645">
        <f>IFERROR(VLOOKUP(C376,[3]List1!$A:$D,3,FALSE),"N/A!")</f>
        <v>3360</v>
      </c>
      <c r="P376" s="645">
        <f>IFERROR(VLOOKUP(C376,[3]List1!$A:$D,2,FALSE),"N/A!")</f>
        <v>21000</v>
      </c>
      <c r="Q376" s="645" t="s">
        <v>12089</v>
      </c>
      <c r="R376" s="645"/>
      <c r="S376" s="645" t="str">
        <f>IF($W$17=$AF$1,"design",IFERROR(VLOOKUP("design",Jazyky_ceník!$A:$Q,MATCH($W$17,Jazyky_ceník!$A$1:$Q$1,0),FALSE),"!!!"))</f>
        <v>design</v>
      </c>
      <c r="T376" s="645">
        <v>60</v>
      </c>
      <c r="U376" s="645">
        <v>18</v>
      </c>
      <c r="V376" s="645">
        <v>13</v>
      </c>
      <c r="W376" s="645" t="str">
        <f>IFERROR(IF(AND($AB376&gt;=0.1*$AA376,MOD($AB376,$AA376)&gt;=($AA376-(0.1*$AA376))),IF($W$17=$AF$1,"Zvažte možnost doobjednání ještě "&amp;Tabulka1[[#This Row],[VKPAL]]-MOD(AB376,AA376)&amp;" VK do plné palety.",VLOOKUP("Zvažte možnost doobjednání ještě ",Jazyky_ceník!A:Q,MATCH($W$17,Jazyky_ceník!$A$1:$Q$1,0),FALSE)&amp;Tabulka1[[#This Row],[VKPAL]]-MOD(AB376,AA376)&amp;VLOOKUP(" VK do plné palety.",Jazyky_ceník!A:Q,MATCH($W$17,Jazyky_ceník!$A$1:$Q$1,0),FALSE)),IFERROR(IF(AND(NOT(MOD($AB376,$AA376)=0),$AB376&gt;=0.9*$AA376,MOD($AB376,$AA376)&lt;=0.1*$AA376),IF($W$17=$AF$1,"Zvažte možnost optimalizace objednaného množství podle počtu VK na paletě ==&gt;",VLOOKUP("Zvažte možnost optimalizace objednaného množství podle počtu VK na paletě ==&gt;",Jazyky_ceník!A:Q,MATCH($W$17,Jazyky_ceník!$A$1:$Q$1,0),FALSE)),VLOOKUP('General price list'!$C376,Popisy!A:M,MATCH($W$17,Popisy!$A$7:$M$7,0),FALSE)),"---------------")),IFERROR(VLOOKUP('General price list'!$C376,Popisy!A:M,MATCH($W$17,Popisy!$A$7:$M$7,0),FALSE),"---------------"))</f>
        <v>10 různobarevných efektů</v>
      </c>
      <c r="X376" s="645" t="str">
        <f t="shared" ref="X376" si="956">IF(AB376&lt;0.0001,"",AB376)</f>
        <v/>
      </c>
      <c r="Y376" s="645" t="str">
        <f t="shared" ref="Y376" si="957">IF($AL$3=2,IF(OR(AB376&lt;&gt;"",AB376&lt;&gt;0),AU376,""),IF(C376="","",IF(AB376&lt;0.0001,"",IF(B376=0,"",IF(AQ376&lt;AB376,"",AB376)))))</f>
        <v/>
      </c>
      <c r="Z376" s="645" t="str">
        <f>HYPERLINK("https://www.klasekpyrotechnics.cz/c10014a")</f>
        <v>https://www.klasekpyrotechnics.cz/c10014a</v>
      </c>
      <c r="AA376" s="645">
        <f>IFERROR(IF(VLOOKUP(C376,[4]List1!$A:$D,4,FALSE)=0,"",VLOOKUP(C376,[4]List1!$A:$D,4,FALSE)),"")</f>
        <v>32</v>
      </c>
      <c r="AB376" s="646"/>
      <c r="AC376" s="647" t="str">
        <f>IFERROR(IF(VLOOKUP(C376,[1]List1!$A:$D,2,FALSE)="VYPRODÁNO",$V$9,IF(VLOOKUP(C376,[1]List1!$A:$D,2,FALSE)="DOCHÁZÍ",$V$3,VLOOKUP(C376,[1]List1!$A:$D,2,FALSE))),"OFFLINE!")</f>
        <v>SKLADEM</v>
      </c>
      <c r="AD376" s="647" t="str">
        <f ca="1">IF(AP376="NE",$V$10,IF(AC376=$V$3,IF(AQ376&lt;1,$V$8,$V$2&amp;" "&amp;AQ376&amp;" "&amp;$V$1),IF(AC376="SKLADEM",$V$6,IFERROR(IF(OR(AC376-TODAY()&gt;45,VLOOKUP(C376,[1]List1!$A:$E,4,FALSE)=0),AC376,DAY(AC376)&amp;"."&amp;MONTH(AC376)&amp;"."&amp;YEAR(AC376)&amp;" "&amp;$V$4&amp;VLOOKUP(C376,[1]List1!$A:$E,4,FALSE)&amp;" "&amp;$V$1),AC376))))</f>
        <v>SKLADEM</v>
      </c>
      <c r="AE376" s="645" t="str">
        <f t="shared" ref="AE376" ca="1" si="958">IFERROR(IF(AV376&lt;&gt;"",AV376,AD376),AD376)</f>
        <v>SKLADEM</v>
      </c>
      <c r="AF376" s="648">
        <f t="shared" ref="AF376" si="959">IFERROR(IF(AB376=Y376,G376*I376*Y376,0),0)</f>
        <v>0</v>
      </c>
      <c r="AG376" s="649">
        <f t="shared" ref="AG376" si="960">IF($W$17=$AF$8,AH376*1.23,AF376*1.21)</f>
        <v>0</v>
      </c>
      <c r="AH376" s="650">
        <f t="shared" ref="AH376" si="961">IFERROR(IF(Y376=AB376,H376*I376*Y376,0),0)</f>
        <v>0</v>
      </c>
      <c r="AI376" s="645">
        <f t="shared" ref="AI376" si="962">IFERROR(IF(Y376=AB376,(P376*Y376)/1000,1),0)</f>
        <v>0</v>
      </c>
      <c r="AJ376" s="645">
        <f t="shared" ref="AJ376" si="963">IFERROR(IF(Y376=AB376,N376*Y376,0.1),0)</f>
        <v>0</v>
      </c>
      <c r="AK376" s="645" t="str">
        <f t="shared" ref="AK376" si="964">IFERROR(IF(Y376=AB376,IF(M376="1.1G",(O376/1000)*Y376,""),""),0)</f>
        <v/>
      </c>
      <c r="AL376" s="645">
        <f t="shared" ref="AL376" si="965">IFERROR(IF(Y376=AB376,IF(M376="1.3G",(O376/1000)*AB376,""),""),0)</f>
        <v>0</v>
      </c>
      <c r="AM376" s="645" t="str">
        <f t="shared" ref="AM376" si="966">IFERROR(IF(Y376=AB376,IF(M376="1.4G",(O376/1000)*AB376,""),""),0)</f>
        <v/>
      </c>
      <c r="AN376" s="651">
        <f t="shared" ref="AN376" si="967">SUM(AK376:AM376)</f>
        <v>0</v>
      </c>
      <c r="AO376" s="623"/>
      <c r="AP376" s="632" t="str">
        <f t="shared" si="834"/>
        <v/>
      </c>
      <c r="AQ376" s="633" t="str">
        <f>IF(AC376=$V$3,IF(VLOOKUP(C376,[1]List1!$A:$E,5,FALSE)=0,1,VLOOKUP(C376,[1]List1!$A:$E,5,FALSE)),"")</f>
        <v/>
      </c>
      <c r="AR376" s="625" t="str">
        <f t="shared" si="835"/>
        <v/>
      </c>
      <c r="AS376" s="634" t="str">
        <f t="shared" si="836"/>
        <v/>
      </c>
      <c r="AT376" s="625" t="str">
        <f t="shared" si="837"/>
        <v/>
      </c>
      <c r="AU376" s="638" t="e">
        <f t="shared" si="838"/>
        <v>#N/A</v>
      </c>
      <c r="AV376" s="625" t="e">
        <f t="shared" si="839"/>
        <v>#N/A</v>
      </c>
      <c r="AX376" s="625">
        <f>IF(AND('General price list'!$J376="F4",'General price list'!$AB376+0&gt;0),1,0)</f>
        <v>0</v>
      </c>
      <c r="AY376" s="625">
        <f t="shared" si="840"/>
        <v>1</v>
      </c>
      <c r="AZ376" s="625">
        <f t="shared" si="841"/>
        <v>0</v>
      </c>
    </row>
    <row r="377" spans="1:52" ht="15.75" customHeight="1">
      <c r="A377" s="751" t="str">
        <f>Kat.!C377</f>
        <v xml:space="preserve">           Baterie 200 ran, 14 mm moždíř – 1.4G</v>
      </c>
      <c r="B377" s="751"/>
      <c r="C377" s="751"/>
      <c r="D377" s="751"/>
      <c r="E377" s="751"/>
      <c r="F377" s="751"/>
      <c r="G377" s="751"/>
      <c r="H377" s="751"/>
      <c r="I377" s="752"/>
      <c r="J377" s="752"/>
      <c r="K377" s="752" t="s">
        <v>20</v>
      </c>
      <c r="L377" s="753" t="s">
        <v>20</v>
      </c>
      <c r="M377" s="752"/>
      <c r="N377" s="752"/>
      <c r="O377" s="752"/>
      <c r="P377" s="752"/>
      <c r="Q377" s="752"/>
      <c r="R377" s="752"/>
      <c r="S377" s="752"/>
      <c r="T377" s="752"/>
      <c r="U377" s="752"/>
      <c r="V377" s="752"/>
      <c r="W377" s="752"/>
      <c r="X377" s="752"/>
      <c r="Y377" s="752"/>
      <c r="Z377" s="752" t="s">
        <v>20</v>
      </c>
      <c r="AA377" s="752"/>
      <c r="AB377" s="752"/>
      <c r="AC377" s="754"/>
      <c r="AD377" s="752"/>
      <c r="AE377" s="752"/>
      <c r="AF377" s="752"/>
      <c r="AG377" s="752"/>
      <c r="AH377" s="752"/>
      <c r="AI377" s="752"/>
      <c r="AJ377" s="752"/>
      <c r="AK377" s="752"/>
      <c r="AL377" s="752"/>
      <c r="AM377" s="752"/>
      <c r="AN377" s="752"/>
      <c r="AO377" s="623"/>
      <c r="AP377" s="625" t="str">
        <f t="shared" si="834"/>
        <v/>
      </c>
      <c r="AQ377" s="625" t="str">
        <f>IF(AC377=$V$3,IF(VLOOKUP(C377,[1]List1!$A:$E,5,FALSE)=0,1,VLOOKUP(C377,[1]List1!$A:$E,5,FALSE)),"")</f>
        <v/>
      </c>
      <c r="AR377" s="629" t="str">
        <f t="shared" si="835"/>
        <v/>
      </c>
      <c r="AS377" s="630" t="str">
        <f t="shared" si="836"/>
        <v/>
      </c>
      <c r="AT377" s="625" t="str">
        <f t="shared" si="837"/>
        <v/>
      </c>
      <c r="AU377" s="625" t="e">
        <f t="shared" si="838"/>
        <v>#N/A</v>
      </c>
      <c r="AV377" s="625" t="e">
        <f t="shared" si="839"/>
        <v>#N/A</v>
      </c>
      <c r="AW377" s="631"/>
      <c r="AX377" s="631">
        <f>IF(AND('General price list'!$J377="F4",'General price list'!$AB377+0&gt;0),1,0)</f>
        <v>0</v>
      </c>
      <c r="AY377" s="631">
        <f t="shared" si="840"/>
        <v>0</v>
      </c>
      <c r="AZ377" s="631">
        <f t="shared" si="841"/>
        <v>0</v>
      </c>
    </row>
    <row r="378" spans="1:52" ht="15" customHeight="1">
      <c r="A378" s="639" t="str">
        <f>Kat.!C378</f>
        <v/>
      </c>
      <c r="B378" s="640">
        <f>IF(AND('General price list'!$J378="F4",$AI$1=FALSE),0,IF(AC378="SKLADEM",1,IF(AC378=$V$3,1,0)))</f>
        <v>1</v>
      </c>
      <c r="C378" s="641" t="s">
        <v>12019</v>
      </c>
      <c r="D378" s="642" t="s">
        <v>12020</v>
      </c>
      <c r="E378" s="643" t="s">
        <v>12745</v>
      </c>
      <c r="F378" s="773">
        <f>IFERROR(VLOOKUP(C378,[2]List1!$A:$D,3,FALSE),"NEUVEDENO!")</f>
        <v>1220</v>
      </c>
      <c r="G378" s="770">
        <f t="shared" ref="G378" si="968">IF($W$17=$AF$8,ROUND((F378)/$F$17,2),(F378)*$B$19)</f>
        <v>1220</v>
      </c>
      <c r="H378" s="767">
        <f t="shared" ref="H378" si="969">IF($W$17=$AF$8,G378*$B$19,G378/$F$17)</f>
        <v>51.82381601695743</v>
      </c>
      <c r="I378" s="644">
        <f>IFERROR(VLOOKUP(C378,[2]List1!$A:$D,4,FALSE),"NEUVEDENO!")</f>
        <v>3</v>
      </c>
      <c r="J378" s="733" t="s">
        <v>39</v>
      </c>
      <c r="K378" s="645" t="s">
        <v>20</v>
      </c>
      <c r="L378" s="645"/>
      <c r="M378" s="645" t="s">
        <v>21</v>
      </c>
      <c r="N378" s="645">
        <f>IFERROR(VLOOKUP(C378,[3]List1!$A:$D,4,FALSE),"N/A!")</f>
        <v>2.4832E-2</v>
      </c>
      <c r="O378" s="645">
        <f>IFERROR(VLOOKUP(C378,[3]List1!$A:$D,3,FALSE),"N/A!")</f>
        <v>1500</v>
      </c>
      <c r="P378" s="645">
        <f>IFERROR(VLOOKUP(C378,[3]List1!$A:$D,2,FALSE),"N/A!")</f>
        <v>13000</v>
      </c>
      <c r="Q378" s="645" t="s">
        <v>11244</v>
      </c>
      <c r="R378" s="645"/>
      <c r="S378" s="645" t="str">
        <f>IF($W$17=$AF$1,"design",IFERROR(VLOOKUP("design",Jazyky_ceník!$A:$Q,MATCH($W$17,Jazyky_ceník!$A$1:$Q$1,0),FALSE),"!!!"))</f>
        <v>design</v>
      </c>
      <c r="T378" s="645">
        <v>100</v>
      </c>
      <c r="U378" s="645">
        <v>18</v>
      </c>
      <c r="V378" s="645">
        <v>13</v>
      </c>
      <c r="W378" s="645" t="str">
        <f>IFERROR(IF(AND($AB378&gt;=0.1*$AA378,MOD($AB378,$AA378)&gt;=($AA378-(0.1*$AA378))),IF($W$17=$AF$1,"Zvažte možnost doobjednání ještě "&amp;Tabulka1[[#This Row],[VKPAL]]-MOD(AB378,AA378)&amp;" VK do plné palety.",VLOOKUP("Zvažte možnost doobjednání ještě ",Jazyky_ceník!A:Q,MATCH($W$17,Jazyky_ceník!$A$1:$Q$1,0),FALSE)&amp;Tabulka1[[#This Row],[VKPAL]]-MOD(AB378,AA378)&amp;VLOOKUP(" VK do plné palety.",Jazyky_ceník!A:Q,MATCH($W$17,Jazyky_ceník!$A$1:$Q$1,0),FALSE)),IFERROR(IF(AND(NOT(MOD($AB378,$AA378)=0),$AB378&gt;=0.9*$AA378,MOD($AB378,$AA378)&lt;=0.1*$AA378),IF($W$17=$AF$1,"Zvažte možnost optimalizace objednaného množství podle počtu VK na paletě ==&gt;",VLOOKUP("Zvažte možnost optimalizace objednaného množství podle počtu VK na paletě ==&gt;",Jazyky_ceník!A:Q,MATCH($W$17,Jazyky_ceník!$A$1:$Q$1,0),FALSE)),VLOOKUP('General price list'!$C378,Popisy!A:M,MATCH($W$17,Popisy!$A$7:$M$7,0),FALSE)),"---------------")),IFERROR(VLOOKUP('General price list'!$C378,Popisy!A:M,MATCH($W$17,Popisy!$A$7:$M$7,0),FALSE),"---------------"))</f>
        <v>20 různobarevných efektů</v>
      </c>
      <c r="X378" s="645" t="str">
        <f t="shared" ref="X378" si="970">IF(AB378&lt;0.0001,"",AB378)</f>
        <v/>
      </c>
      <c r="Y378" s="645" t="str">
        <f t="shared" ref="Y378" si="971">IF($AL$3=2,IF(OR(AB378&lt;&gt;"",AB378&lt;&gt;0),AU378,""),IF(C378="","",IF(AB378&lt;0.0001,"",IF(B378=0,"",IF(AQ378&lt;AB378,"",AB378)))))</f>
        <v/>
      </c>
      <c r="Z378" s="645" t="str">
        <f>HYPERLINK("https://www.klasekpyrotechnics.cz/c20014f14")</f>
        <v>https://www.klasekpyrotechnics.cz/c20014f14</v>
      </c>
      <c r="AA378" s="645">
        <f>IFERROR(IF(VLOOKUP(C378,[4]List1!$A:$D,4,FALSE)=0,"",VLOOKUP(C378,[4]List1!$A:$D,4,FALSE)),"")</f>
        <v>55</v>
      </c>
      <c r="AB378" s="646"/>
      <c r="AC378" s="647" t="str">
        <f>IFERROR(IF(VLOOKUP(C378,[1]List1!$A:$D,2,FALSE)="VYPRODÁNO",$V$9,IF(VLOOKUP(C378,[1]List1!$A:$D,2,FALSE)="DOCHÁZÍ",$V$3,VLOOKUP(C378,[1]List1!$A:$D,2,FALSE))),"OFFLINE!")</f>
        <v>SKLADEM</v>
      </c>
      <c r="AD378" s="647" t="str">
        <f ca="1">IF(AP378="NE",$V$10,IF(AC378=$V$3,IF(AQ378&lt;1,$V$8,$V$2&amp;" "&amp;AQ378&amp;" "&amp;$V$1),IF(AC378="SKLADEM",$V$6,IFERROR(IF(OR(AC378-TODAY()&gt;45,VLOOKUP(C378,[1]List1!$A:$E,4,FALSE)=0),AC378,DAY(AC378)&amp;"."&amp;MONTH(AC378)&amp;"."&amp;YEAR(AC378)&amp;" "&amp;$V$4&amp;VLOOKUP(C378,[1]List1!$A:$E,4,FALSE)&amp;" "&amp;$V$1),AC378))))</f>
        <v>SKLADEM</v>
      </c>
      <c r="AE378" s="645" t="str">
        <f t="shared" ref="AE378" ca="1" si="972">IFERROR(IF(AV378&lt;&gt;"",AV378,AD378),AD378)</f>
        <v>SKLADEM</v>
      </c>
      <c r="AF378" s="648">
        <f t="shared" ref="AF378" si="973">IFERROR(IF(AB378=Y378,G378*I378*Y378,0),0)</f>
        <v>0</v>
      </c>
      <c r="AG378" s="649">
        <f t="shared" ref="AG378" si="974">IF($W$17=$AF$8,AH378*1.23,AF378*1.21)</f>
        <v>0</v>
      </c>
      <c r="AH378" s="650">
        <f t="shared" ref="AH378" si="975">IFERROR(IF(Y378=AB378,H378*I378*Y378,0),0)</f>
        <v>0</v>
      </c>
      <c r="AI378" s="645">
        <f t="shared" ref="AI378" si="976">IFERROR(IF(Y378=AB378,(P378*Y378)/1000,1),0)</f>
        <v>0</v>
      </c>
      <c r="AJ378" s="645">
        <f t="shared" ref="AJ378" si="977">IFERROR(IF(Y378=AB378,N378*Y378,0.1),0)</f>
        <v>0</v>
      </c>
      <c r="AK378" s="645" t="str">
        <f t="shared" ref="AK378" si="978">IFERROR(IF(Y378=AB378,IF(M378="1.1G",(O378/1000)*Y378,""),""),0)</f>
        <v/>
      </c>
      <c r="AL378" s="645" t="str">
        <f t="shared" ref="AL378" si="979">IFERROR(IF(Y378=AB378,IF(M378="1.3G",(O378/1000)*AB378,""),""),0)</f>
        <v/>
      </c>
      <c r="AM378" s="645">
        <f t="shared" ref="AM378" si="980">IFERROR(IF(Y378=AB378,IF(M378="1.4G",(O378/1000)*AB378,""),""),0)</f>
        <v>0</v>
      </c>
      <c r="AN378" s="651">
        <f t="shared" ref="AN378" si="981">SUM(AK378:AM378)</f>
        <v>0</v>
      </c>
      <c r="AO378" s="623"/>
      <c r="AP378" s="632" t="str">
        <f t="shared" si="834"/>
        <v/>
      </c>
      <c r="AQ378" s="633" t="str">
        <f>IF(AC378=$V$3,IF(VLOOKUP(C378,[1]List1!$A:$E,5,FALSE)=0,1,VLOOKUP(C378,[1]List1!$A:$E,5,FALSE)),"")</f>
        <v/>
      </c>
      <c r="AR378" s="625" t="str">
        <f t="shared" si="835"/>
        <v/>
      </c>
      <c r="AS378" s="634" t="str">
        <f t="shared" si="836"/>
        <v/>
      </c>
      <c r="AT378" s="625" t="str">
        <f t="shared" si="837"/>
        <v/>
      </c>
      <c r="AU378" s="638" t="e">
        <f t="shared" si="838"/>
        <v>#N/A</v>
      </c>
      <c r="AV378" s="625" t="e">
        <f t="shared" si="839"/>
        <v>#N/A</v>
      </c>
      <c r="AX378" s="625">
        <f>IF(AND('General price list'!$J378="F4",'General price list'!$AB378+0&gt;0),1,0)</f>
        <v>0</v>
      </c>
      <c r="AY378" s="625">
        <f t="shared" si="840"/>
        <v>1</v>
      </c>
      <c r="AZ378" s="625">
        <f t="shared" si="841"/>
        <v>0</v>
      </c>
    </row>
    <row r="379" spans="1:52" ht="15.75" customHeight="1">
      <c r="A379" s="751" t="str">
        <f>Kat.!C379</f>
        <v xml:space="preserve">           Složený ohňostroj 14 mm – F2 – 1.4G – maximum 1000 g NEC</v>
      </c>
      <c r="B379" s="751"/>
      <c r="C379" s="751"/>
      <c r="D379" s="751"/>
      <c r="E379" s="751"/>
      <c r="F379" s="751"/>
      <c r="G379" s="751"/>
      <c r="H379" s="751"/>
      <c r="I379" s="752"/>
      <c r="J379" s="752"/>
      <c r="K379" s="752" t="s">
        <v>20</v>
      </c>
      <c r="L379" s="753" t="s">
        <v>20</v>
      </c>
      <c r="M379" s="752"/>
      <c r="N379" s="752"/>
      <c r="O379" s="752"/>
      <c r="P379" s="752"/>
      <c r="Q379" s="752"/>
      <c r="R379" s="752"/>
      <c r="S379" s="752"/>
      <c r="T379" s="752"/>
      <c r="U379" s="752"/>
      <c r="V379" s="752"/>
      <c r="W379" s="752"/>
      <c r="X379" s="752"/>
      <c r="Y379" s="752"/>
      <c r="Z379" s="752" t="s">
        <v>20</v>
      </c>
      <c r="AA379" s="752"/>
      <c r="AB379" s="752"/>
      <c r="AC379" s="754"/>
      <c r="AD379" s="752"/>
      <c r="AE379" s="752"/>
      <c r="AF379" s="752"/>
      <c r="AG379" s="752"/>
      <c r="AH379" s="752"/>
      <c r="AI379" s="752"/>
      <c r="AJ379" s="752"/>
      <c r="AK379" s="752"/>
      <c r="AL379" s="752"/>
      <c r="AM379" s="752"/>
      <c r="AN379" s="752"/>
      <c r="AO379" s="623"/>
      <c r="AP379" s="625" t="str">
        <f t="shared" si="834"/>
        <v/>
      </c>
      <c r="AQ379" s="625" t="str">
        <f>IF(AC379=$V$3,IF(VLOOKUP(C379,[1]List1!$A:$E,5,FALSE)=0,1,VLOOKUP(C379,[1]List1!$A:$E,5,FALSE)),"")</f>
        <v/>
      </c>
      <c r="AR379" s="629" t="str">
        <f t="shared" si="835"/>
        <v/>
      </c>
      <c r="AS379" s="630" t="str">
        <f t="shared" si="836"/>
        <v/>
      </c>
      <c r="AT379" s="625" t="str">
        <f t="shared" si="837"/>
        <v/>
      </c>
      <c r="AU379" s="625" t="e">
        <f t="shared" si="838"/>
        <v>#N/A</v>
      </c>
      <c r="AV379" s="625" t="e">
        <f t="shared" si="839"/>
        <v>#N/A</v>
      </c>
      <c r="AW379" s="631"/>
      <c r="AX379" s="631">
        <f>IF(AND('General price list'!$J379="F4",'General price list'!$AB379+0&gt;0),1,0)</f>
        <v>0</v>
      </c>
      <c r="AY379" s="631">
        <f t="shared" si="840"/>
        <v>0</v>
      </c>
      <c r="AZ379" s="631">
        <f t="shared" si="841"/>
        <v>0</v>
      </c>
    </row>
    <row r="380" spans="1:52" ht="15" customHeight="1">
      <c r="A380" s="639" t="str">
        <f>Kat.!C380</f>
        <v/>
      </c>
      <c r="B380" s="640">
        <f>IF(AND('General price list'!$J380="F4",$AI$1=FALSE),0,IF(AC380="SKLADEM",1,IF(AC380=$V$3,1,0)))</f>
        <v>0</v>
      </c>
      <c r="C380" s="641" t="s">
        <v>12452</v>
      </c>
      <c r="D380" s="642" t="s">
        <v>12534</v>
      </c>
      <c r="E380" s="643" t="s">
        <v>12663</v>
      </c>
      <c r="F380" s="773">
        <f>IFERROR(VLOOKUP(C380,[2]List1!$A:$D,3,FALSE),"NEUVEDENO!")</f>
        <v>2318</v>
      </c>
      <c r="G380" s="770">
        <f t="shared" ref="G380" si="982">IF($W$17=$AF$8,ROUND((F380)/$F$17,2),(F380)*$B$19)</f>
        <v>2318</v>
      </c>
      <c r="H380" s="767">
        <f t="shared" ref="H380" si="983">IF($W$17=$AF$8,G380*$B$19,G380/$F$17)</f>
        <v>98.465250432219122</v>
      </c>
      <c r="I380" s="644">
        <f>IFERROR(VLOOKUP(C380,[2]List1!$A:$D,4,FALSE),"NEUVEDENO!")</f>
        <v>1</v>
      </c>
      <c r="J380" s="733" t="s">
        <v>39</v>
      </c>
      <c r="K380" s="645">
        <v>4</v>
      </c>
      <c r="L380" s="645"/>
      <c r="M380" s="645" t="s">
        <v>21</v>
      </c>
      <c r="N380" s="645">
        <f>IFERROR(VLOOKUP(C380,[3]List1!$A:$D,4,FALSE),"N/A!")</f>
        <v>0</v>
      </c>
      <c r="O380" s="645">
        <f>IFERROR(VLOOKUP(C380,[3]List1!$A:$D,3,FALSE),"N/A!")</f>
        <v>1000</v>
      </c>
      <c r="P380" s="645">
        <f>IFERROR(VLOOKUP(C380,[3]List1!$A:$D,2,FALSE),"N/A!")</f>
        <v>9000</v>
      </c>
      <c r="Q380" s="645" t="s">
        <v>15069</v>
      </c>
      <c r="R380" s="645"/>
      <c r="S380" s="645" t="str">
        <f>IF($W$17=$AF$1,"červená fólie",IFERROR(VLOOKUP("červená fólie",Jazyky_ceník!$A:$Q,MATCH($W$17,Jazyky_ceník!$A$1:$Q$1,0),FALSE),"!!!"))</f>
        <v>červená fólie</v>
      </c>
      <c r="T380" s="645">
        <v>200</v>
      </c>
      <c r="U380" s="645">
        <v>18</v>
      </c>
      <c r="V380" s="645">
        <v>13</v>
      </c>
      <c r="W380" s="645" t="str">
        <f>IFERROR(IF(AND($AB380&gt;=0.1*$AA380,MOD($AB380,$AA380)&gt;=($AA380-(0.1*$AA380))),IF($W$17=$AF$1,"Zvažte možnost doobjednání ještě "&amp;Tabulka1[[#This Row],[VKPAL]]-MOD(AB380,AA380)&amp;" VK do plné palety.",VLOOKUP("Zvažte možnost doobjednání ještě ",Jazyky_ceník!A:Q,MATCH($W$17,Jazyky_ceník!$A$1:$Q$1,0),FALSE)&amp;Tabulka1[[#This Row],[VKPAL]]-MOD(AB380,AA380)&amp;VLOOKUP(" VK do plné palety.",Jazyky_ceník!A:Q,MATCH($W$17,Jazyky_ceník!$A$1:$Q$1,0),FALSE)),IFERROR(IF(AND(NOT(MOD($AB380,$AA380)=0),$AB380&gt;=0.9*$AA380,MOD($AB380,$AA380)&lt;=0.1*$AA380),IF($W$17=$AF$1,"Zvažte možnost optimalizace objednaného množství podle počtu VK na paletě ==&gt;",VLOOKUP("Zvažte možnost optimalizace objednaného množství podle počtu VK na paletě ==&gt;",Jazyky_ceník!A:Q,MATCH($W$17,Jazyky_ceník!$A$1:$Q$1,0),FALSE)),VLOOKUP('General price list'!$C380,Popisy!A:M,MATCH($W$17,Popisy!$A$7:$M$7,0),FALSE)),"---------------")),IFERROR(VLOOKUP('General price list'!$C380,Popisy!A:M,MATCH($W$17,Popisy!$A$7:$M$7,0),FALSE),"---------------"))</f>
        <v>40 různobarevných efektů</v>
      </c>
      <c r="X380" s="645" t="str">
        <f t="shared" ref="X380" si="984">IF(AB380&lt;0.0001,"",AB380)</f>
        <v/>
      </c>
      <c r="Y380" s="645" t="str">
        <f t="shared" ref="Y380" si="985">IF($AL$3=2,IF(OR(AB380&lt;&gt;"",AB380&lt;&gt;0),AU380,""),IF(C380="","",IF(AB380&lt;0.0001,"",IF(B380=0,"",IF(AQ380&lt;AB380,"",AB380)))))</f>
        <v/>
      </c>
      <c r="Z380" s="645" t="str">
        <f>HYPERLINK("https://www.klasekpyrotechnics.cz/c40014w-c14")</f>
        <v>https://www.klasekpyrotechnics.cz/c40014w-c14</v>
      </c>
      <c r="AA380" s="645" t="str">
        <f>IFERROR(IF(VLOOKUP(C380,[4]List1!$A:$D,4,FALSE)=0,"",VLOOKUP(C380,[4]List1!$A:$D,4,FALSE)),"")</f>
        <v/>
      </c>
      <c r="AB380" s="646"/>
      <c r="AC380" s="647" t="str">
        <f>IFERROR(IF(VLOOKUP(C380,[1]List1!$A:$D,2,FALSE)="VYPRODÁNO",$V$9,IF(VLOOKUP(C380,[1]List1!$A:$D,2,FALSE)="DOCHÁZÍ",$V$3,VLOOKUP(C380,[1]List1!$A:$D,2,FALSE))),"OFFLINE!")</f>
        <v>31.08.2026</v>
      </c>
      <c r="AD380" s="647" t="str">
        <f ca="1">IF(AP380="NE",$V$10,IF(AC380=$V$3,IF(AQ380&lt;1,$V$8,$V$2&amp;" "&amp;AQ380&amp;" "&amp;$V$1),IF(AC380="SKLADEM",$V$6,IFERROR(IF(OR(AC380-TODAY()&gt;45,VLOOKUP(C380,[1]List1!$A:$E,4,FALSE)=0),AC380,DAY(AC380)&amp;"."&amp;MONTH(AC380)&amp;"."&amp;YEAR(AC380)&amp;" "&amp;$V$4&amp;VLOOKUP(C380,[1]List1!$A:$E,4,FALSE)&amp;" "&amp;$V$1),AC380))))</f>
        <v>31.08.2026</v>
      </c>
      <c r="AE380" s="645" t="str">
        <f t="shared" ref="AE380" ca="1" si="986">IFERROR(IF(AV380&lt;&gt;"",AV380,AD380),AD380)</f>
        <v>31.08.2026</v>
      </c>
      <c r="AF380" s="648">
        <f t="shared" ref="AF380" si="987">IFERROR(IF(AB380=Y380,G380*I380*Y380,0),0)</f>
        <v>0</v>
      </c>
      <c r="AG380" s="649">
        <f t="shared" ref="AG380" si="988">IF($W$17=$AF$8,AH380*1.23,AF380*1.21)</f>
        <v>0</v>
      </c>
      <c r="AH380" s="650">
        <f t="shared" ref="AH380" si="989">IFERROR(IF(Y380=AB380,H380*I380*Y380,0),0)</f>
        <v>0</v>
      </c>
      <c r="AI380" s="645">
        <f t="shared" ref="AI380" si="990">IFERROR(IF(Y380=AB380,(P380*Y380)/1000,1),0)</f>
        <v>0</v>
      </c>
      <c r="AJ380" s="645">
        <f t="shared" ref="AJ380" si="991">IFERROR(IF(Y380=AB380,N380*Y380,0.1),0)</f>
        <v>0</v>
      </c>
      <c r="AK380" s="645" t="str">
        <f t="shared" ref="AK380" si="992">IFERROR(IF(Y380=AB380,IF(M380="1.1G",(O380/1000)*Y380,""),""),0)</f>
        <v/>
      </c>
      <c r="AL380" s="645" t="str">
        <f t="shared" ref="AL380" si="993">IFERROR(IF(Y380=AB380,IF(M380="1.3G",(O380/1000)*AB380,""),""),0)</f>
        <v/>
      </c>
      <c r="AM380" s="645">
        <f t="shared" ref="AM380" si="994">IFERROR(IF(Y380=AB380,IF(M380="1.4G",(O380/1000)*AB380,""),""),0)</f>
        <v>0</v>
      </c>
      <c r="AN380" s="651">
        <f t="shared" ref="AN380" si="995">SUM(AK380:AM380)</f>
        <v>0</v>
      </c>
      <c r="AO380" s="623"/>
      <c r="AP380" s="632" t="str">
        <f t="shared" si="834"/>
        <v/>
      </c>
      <c r="AQ380" s="633" t="str">
        <f>IF(AC380=$V$3,IF(VLOOKUP(C380,[1]List1!$A:$E,5,FALSE)=0,1,VLOOKUP(C380,[1]List1!$A:$E,5,FALSE)),"")</f>
        <v/>
      </c>
      <c r="AR380" s="625" t="str">
        <f t="shared" si="835"/>
        <v/>
      </c>
      <c r="AS380" s="634" t="str">
        <f t="shared" si="836"/>
        <v/>
      </c>
      <c r="AT380" s="625" t="str">
        <f t="shared" si="837"/>
        <v/>
      </c>
      <c r="AU380" s="638" t="e">
        <f t="shared" si="838"/>
        <v>#N/A</v>
      </c>
      <c r="AV380" s="625" t="e">
        <f t="shared" si="839"/>
        <v>#N/A</v>
      </c>
      <c r="AX380" s="625">
        <f>IF(AND('General price list'!$J380="F4",'General price list'!$AB380+0&gt;0),1,0)</f>
        <v>0</v>
      </c>
      <c r="AY380" s="625">
        <f t="shared" si="840"/>
        <v>1</v>
      </c>
      <c r="AZ380" s="625">
        <f t="shared" si="841"/>
        <v>0</v>
      </c>
    </row>
    <row r="381" spans="1:52" ht="15.75" customHeight="1">
      <c r="A381" s="751" t="str">
        <f>Kat.!C381</f>
        <v xml:space="preserve">           Baterie 208 ran, 14 mm rovný + šikmý moždíř – 1.4G</v>
      </c>
      <c r="B381" s="751"/>
      <c r="C381" s="751"/>
      <c r="D381" s="751"/>
      <c r="E381" s="751"/>
      <c r="F381" s="751"/>
      <c r="G381" s="751"/>
      <c r="H381" s="751"/>
      <c r="I381" s="752"/>
      <c r="J381" s="752"/>
      <c r="K381" s="752" t="s">
        <v>20</v>
      </c>
      <c r="L381" s="753" t="s">
        <v>2818</v>
      </c>
      <c r="M381" s="752"/>
      <c r="N381" s="752"/>
      <c r="O381" s="752"/>
      <c r="P381" s="752"/>
      <c r="Q381" s="752"/>
      <c r="R381" s="752"/>
      <c r="S381" s="752"/>
      <c r="T381" s="752"/>
      <c r="U381" s="752"/>
      <c r="V381" s="752"/>
      <c r="W381" s="752"/>
      <c r="X381" s="752"/>
      <c r="Y381" s="752"/>
      <c r="Z381" s="752" t="s">
        <v>20</v>
      </c>
      <c r="AA381" s="752"/>
      <c r="AB381" s="752"/>
      <c r="AC381" s="754"/>
      <c r="AD381" s="752"/>
      <c r="AE381" s="752"/>
      <c r="AF381" s="752"/>
      <c r="AG381" s="752"/>
      <c r="AH381" s="752"/>
      <c r="AI381" s="752"/>
      <c r="AJ381" s="752"/>
      <c r="AK381" s="752"/>
      <c r="AL381" s="752"/>
      <c r="AM381" s="752"/>
      <c r="AN381" s="752"/>
      <c r="AO381" s="623"/>
      <c r="AP381" s="625" t="str">
        <f t="shared" si="834"/>
        <v/>
      </c>
      <c r="AQ381" s="625" t="str">
        <f>IF(AC381=$V$3,IF(VLOOKUP(C381,[1]List1!$A:$E,5,FALSE)=0,1,VLOOKUP(C381,[1]List1!$A:$E,5,FALSE)),"")</f>
        <v/>
      </c>
      <c r="AR381" s="629" t="str">
        <f t="shared" si="835"/>
        <v/>
      </c>
      <c r="AS381" s="630" t="str">
        <f t="shared" si="836"/>
        <v/>
      </c>
      <c r="AT381" s="625" t="str">
        <f t="shared" si="837"/>
        <v/>
      </c>
      <c r="AU381" s="625" t="e">
        <f t="shared" si="838"/>
        <v>#N/A</v>
      </c>
      <c r="AV381" s="625" t="e">
        <f t="shared" si="839"/>
        <v>#N/A</v>
      </c>
      <c r="AW381" s="631"/>
      <c r="AX381" s="631">
        <f>IF(AND('General price list'!$J381="F4",'General price list'!$AB381+0&gt;0),1,0)</f>
        <v>0</v>
      </c>
      <c r="AY381" s="631">
        <f t="shared" si="840"/>
        <v>0</v>
      </c>
      <c r="AZ381" s="631">
        <f t="shared" si="841"/>
        <v>0</v>
      </c>
    </row>
    <row r="382" spans="1:52" ht="15" customHeight="1">
      <c r="A382" s="639" t="str">
        <f>Kat.!C382</f>
        <v/>
      </c>
      <c r="B382" s="640">
        <f>IF(AND('General price list'!$J382="F4",$AI$1=FALSE),0,IF(AC382="SKLADEM",1,IF(AC382=$V$3,1,0)))</f>
        <v>1</v>
      </c>
      <c r="C382" s="641" t="s">
        <v>2264</v>
      </c>
      <c r="D382" s="642" t="s">
        <v>2263</v>
      </c>
      <c r="E382" s="643" t="s">
        <v>12651</v>
      </c>
      <c r="F382" s="773">
        <f>IFERROR(VLOOKUP(C382,[2]List1!$A:$D,3,FALSE),"NEUVEDENO!")</f>
        <v>1533</v>
      </c>
      <c r="G382" s="770">
        <f t="shared" ref="G382" si="996">IF($W$17=$AF$8,ROUND((F382)/$F$17,2),(F382)*$B$19)</f>
        <v>1533</v>
      </c>
      <c r="H382" s="767">
        <f t="shared" ref="H382" si="997">IF($W$17=$AF$8,G382*$B$19,G382/$F$17)</f>
        <v>65.119598322947326</v>
      </c>
      <c r="I382" s="644">
        <f>IFERROR(VLOOKUP(C382,[2]List1!$A:$D,4,FALSE),"NEUVEDENO!")</f>
        <v>4</v>
      </c>
      <c r="J382" s="733" t="s">
        <v>39</v>
      </c>
      <c r="K382" s="645" t="s">
        <v>20</v>
      </c>
      <c r="L382" s="645" t="s">
        <v>10970</v>
      </c>
      <c r="M382" s="645" t="s">
        <v>21</v>
      </c>
      <c r="N382" s="645">
        <f>IFERROR(VLOOKUP(C382,[3]List1!$A:$D,4,FALSE),"N/A!")</f>
        <v>5.076E-2</v>
      </c>
      <c r="O382" s="645">
        <f>IFERROR(VLOOKUP(C382,[3]List1!$A:$D,3,FALSE),"N/A!")</f>
        <v>1992</v>
      </c>
      <c r="P382" s="645">
        <f>IFERROR(VLOOKUP(C382,[3]List1!$A:$D,2,FALSE),"N/A!")</f>
        <v>18000</v>
      </c>
      <c r="Q382" s="645" t="s">
        <v>11769</v>
      </c>
      <c r="R382" s="645"/>
      <c r="S382" s="645" t="str">
        <f>IF($W$17=$AF$1,"design",IFERROR(VLOOKUP("design",Jazyky_ceník!$A:$Q,MATCH($W$17,Jazyky_ceník!$A$1:$Q$1,0),FALSE),"!!!"))</f>
        <v>design</v>
      </c>
      <c r="T382" s="645">
        <v>90</v>
      </c>
      <c r="U382" s="645">
        <v>18</v>
      </c>
      <c r="V382" s="645">
        <v>11</v>
      </c>
      <c r="W382" s="645" t="str">
        <f>IFERROR(IF(AND($AB382&gt;=0.1*$AA382,MOD($AB382,$AA382)&gt;=($AA382-(0.1*$AA382))),IF($W$17=$AF$1,"Zvažte možnost doobjednání ještě "&amp;Tabulka1[[#This Row],[VKPAL]]-MOD(AB382,AA382)&amp;" VK do plné palety.",VLOOKUP("Zvažte možnost doobjednání ještě ",Jazyky_ceník!A:Q,MATCH($W$17,Jazyky_ceník!$A$1:$Q$1,0),FALSE)&amp;Tabulka1[[#This Row],[VKPAL]]-MOD(AB382,AA382)&amp;VLOOKUP(" VK do plné palety.",Jazyky_ceník!A:Q,MATCH($W$17,Jazyky_ceník!$A$1:$Q$1,0),FALSE)),IFERROR(IF(AND(NOT(MOD($AB382,$AA382)=0),$AB382&gt;=0.9*$AA382,MOD($AB382,$AA382)&lt;=0.1*$AA382),IF($W$17=$AF$1,"Zvažte možnost optimalizace objednaného množství podle počtu VK na paletě ==&gt;",VLOOKUP("Zvažte možnost optimalizace objednaného množství podle počtu VK na paletě ==&gt;",Jazyky_ceník!A:Q,MATCH($W$17,Jazyky_ceník!$A$1:$Q$1,0),FALSE)),VLOOKUP('General price list'!$C382,Popisy!A:M,MATCH($W$17,Popisy!$A$7:$M$7,0),FALSE)),"---------------")),IFERROR(VLOOKUP('General price list'!$C382,Popisy!A:M,MATCH($W$17,Popisy!$A$7:$M$7,0),FALSE),"---------------"))</f>
        <v>20 různobarevných efektů</v>
      </c>
      <c r="X382" s="645" t="str">
        <f t="shared" ref="X382" si="998">IF(AB382&lt;0.0001,"",AB382)</f>
        <v/>
      </c>
      <c r="Y382" s="645" t="str">
        <f t="shared" ref="Y382" si="999">IF($AL$3=2,IF(OR(AB382&lt;&gt;"",AB382&lt;&gt;0),AU382,""),IF(C382="","",IF(AB382&lt;0.0001,"",IF(B382=0,"",IF(AQ382&lt;AB382,"",AB382)))))</f>
        <v/>
      </c>
      <c r="Z382" s="645" t="str">
        <f>HYPERLINK("https://www.klasekpyrotechnics.cz/c20814xpr14")</f>
        <v>https://www.klasekpyrotechnics.cz/c20814xpr14</v>
      </c>
      <c r="AA382" s="645">
        <f>IFERROR(IF(VLOOKUP(C382,[4]List1!$A:$D,4,FALSE)=0,"",VLOOKUP(C382,[4]List1!$A:$D,4,FALSE)),"")</f>
        <v>24</v>
      </c>
      <c r="AB382" s="646"/>
      <c r="AC382" s="647" t="str">
        <f>IFERROR(IF(VLOOKUP(C382,[1]List1!$A:$D,2,FALSE)="VYPRODÁNO",$V$9,IF(VLOOKUP(C382,[1]List1!$A:$D,2,FALSE)="DOCHÁZÍ",$V$3,VLOOKUP(C382,[1]List1!$A:$D,2,FALSE))),"OFFLINE!")</f>
        <v>SKLADEM</v>
      </c>
      <c r="AD382" s="647" t="str">
        <f ca="1">IF(AP382="NE",$V$10,IF(AC382=$V$3,IF(AQ382&lt;1,$V$8,$V$2&amp;" "&amp;AQ382&amp;" "&amp;$V$1),IF(AC382="SKLADEM",$V$6,IFERROR(IF(OR(AC382-TODAY()&gt;45,VLOOKUP(C382,[1]List1!$A:$E,4,FALSE)=0),AC382,DAY(AC382)&amp;"."&amp;MONTH(AC382)&amp;"."&amp;YEAR(AC382)&amp;" "&amp;$V$4&amp;VLOOKUP(C382,[1]List1!$A:$E,4,FALSE)&amp;" "&amp;$V$1),AC382))))</f>
        <v>SKLADEM</v>
      </c>
      <c r="AE382" s="645" t="str">
        <f t="shared" ref="AE382" ca="1" si="1000">IFERROR(IF(AV382&lt;&gt;"",AV382,AD382),AD382)</f>
        <v>SKLADEM</v>
      </c>
      <c r="AF382" s="648">
        <f t="shared" ref="AF382" si="1001">IFERROR(IF(AB382=Y382,G382*I382*Y382,0),0)</f>
        <v>0</v>
      </c>
      <c r="AG382" s="649">
        <f t="shared" ref="AG382" si="1002">IF($W$17=$AF$8,AH382*1.23,AF382*1.21)</f>
        <v>0</v>
      </c>
      <c r="AH382" s="650">
        <f t="shared" ref="AH382" si="1003">IFERROR(IF(Y382=AB382,H382*I382*Y382,0),0)</f>
        <v>0</v>
      </c>
      <c r="AI382" s="645">
        <f t="shared" ref="AI382" si="1004">IFERROR(IF(Y382=AB382,(P382*Y382)/1000,1),0)</f>
        <v>0</v>
      </c>
      <c r="AJ382" s="645">
        <f t="shared" ref="AJ382" si="1005">IFERROR(IF(Y382=AB382,N382*Y382,0.1),0)</f>
        <v>0</v>
      </c>
      <c r="AK382" s="645" t="str">
        <f t="shared" ref="AK382" si="1006">IFERROR(IF(Y382=AB382,IF(M382="1.1G",(O382/1000)*Y382,""),""),0)</f>
        <v/>
      </c>
      <c r="AL382" s="645" t="str">
        <f t="shared" ref="AL382" si="1007">IFERROR(IF(Y382=AB382,IF(M382="1.3G",(O382/1000)*AB382,""),""),0)</f>
        <v/>
      </c>
      <c r="AM382" s="645">
        <f t="shared" ref="AM382" si="1008">IFERROR(IF(Y382=AB382,IF(M382="1.4G",(O382/1000)*AB382,""),""),0)</f>
        <v>0</v>
      </c>
      <c r="AN382" s="651">
        <f t="shared" ref="AN382" si="1009">SUM(AK382:AM382)</f>
        <v>0</v>
      </c>
      <c r="AO382" s="623"/>
      <c r="AP382" s="632" t="str">
        <f t="shared" si="834"/>
        <v/>
      </c>
      <c r="AQ382" s="633" t="str">
        <f>IF(AC382=$V$3,IF(VLOOKUP(C382,[1]List1!$A:$E,5,FALSE)=0,1,VLOOKUP(C382,[1]List1!$A:$E,5,FALSE)),"")</f>
        <v/>
      </c>
      <c r="AR382" s="625" t="str">
        <f t="shared" si="835"/>
        <v/>
      </c>
      <c r="AS382" s="634" t="str">
        <f t="shared" si="836"/>
        <v/>
      </c>
      <c r="AT382" s="625" t="str">
        <f t="shared" si="837"/>
        <v/>
      </c>
      <c r="AU382" s="638" t="e">
        <f t="shared" si="838"/>
        <v>#N/A</v>
      </c>
      <c r="AV382" s="625" t="e">
        <f t="shared" si="839"/>
        <v>#N/A</v>
      </c>
      <c r="AX382" s="625">
        <f>IF(AND('General price list'!$J382="F4",'General price list'!$AB382+0&gt;0),1,0)</f>
        <v>0</v>
      </c>
      <c r="AY382" s="625">
        <f t="shared" si="840"/>
        <v>1</v>
      </c>
      <c r="AZ382" s="625">
        <f t="shared" si="841"/>
        <v>0</v>
      </c>
    </row>
    <row r="383" spans="1:52" ht="15.75" customHeight="1">
      <c r="A383" s="751" t="str">
        <f>Kat.!C383</f>
        <v xml:space="preserve">           Baterie 90 ran, 16 mm moždíř (různé úhly moždířů) – 1.4G</v>
      </c>
      <c r="B383" s="751"/>
      <c r="C383" s="751"/>
      <c r="D383" s="751"/>
      <c r="E383" s="751"/>
      <c r="F383" s="751"/>
      <c r="G383" s="751"/>
      <c r="H383" s="751"/>
      <c r="I383" s="752"/>
      <c r="J383" s="752"/>
      <c r="K383" s="752" t="s">
        <v>20</v>
      </c>
      <c r="L383" s="753" t="s">
        <v>20</v>
      </c>
      <c r="M383" s="752"/>
      <c r="N383" s="752"/>
      <c r="O383" s="752"/>
      <c r="P383" s="752"/>
      <c r="Q383" s="752"/>
      <c r="R383" s="752"/>
      <c r="S383" s="752"/>
      <c r="T383" s="752"/>
      <c r="U383" s="752"/>
      <c r="V383" s="752"/>
      <c r="W383" s="752"/>
      <c r="X383" s="752"/>
      <c r="Y383" s="752"/>
      <c r="Z383" s="752" t="s">
        <v>20</v>
      </c>
      <c r="AA383" s="752"/>
      <c r="AB383" s="752"/>
      <c r="AC383" s="754"/>
      <c r="AD383" s="752"/>
      <c r="AE383" s="752"/>
      <c r="AF383" s="752"/>
      <c r="AG383" s="752"/>
      <c r="AH383" s="752"/>
      <c r="AI383" s="752"/>
      <c r="AJ383" s="752"/>
      <c r="AK383" s="752"/>
      <c r="AL383" s="752"/>
      <c r="AM383" s="752"/>
      <c r="AN383" s="752"/>
      <c r="AO383" s="623"/>
      <c r="AP383" s="625" t="str">
        <f t="shared" si="834"/>
        <v/>
      </c>
      <c r="AQ383" s="625" t="str">
        <f>IF(AC383=$V$3,IF(VLOOKUP(C383,[1]List1!$A:$E,5,FALSE)=0,1,VLOOKUP(C383,[1]List1!$A:$E,5,FALSE)),"")</f>
        <v/>
      </c>
      <c r="AR383" s="629" t="str">
        <f t="shared" si="835"/>
        <v/>
      </c>
      <c r="AS383" s="630" t="str">
        <f t="shared" si="836"/>
        <v/>
      </c>
      <c r="AT383" s="625" t="str">
        <f t="shared" si="837"/>
        <v/>
      </c>
      <c r="AU383" s="625" t="e">
        <f t="shared" si="838"/>
        <v>#N/A</v>
      </c>
      <c r="AV383" s="625" t="e">
        <f t="shared" si="839"/>
        <v>#N/A</v>
      </c>
      <c r="AW383" s="631"/>
      <c r="AX383" s="631">
        <f>IF(AND('General price list'!$J383="F4",'General price list'!$AB383+0&gt;0),1,0)</f>
        <v>0</v>
      </c>
      <c r="AY383" s="631">
        <f t="shared" si="840"/>
        <v>0</v>
      </c>
      <c r="AZ383" s="631">
        <f t="shared" si="841"/>
        <v>0</v>
      </c>
    </row>
    <row r="384" spans="1:52" ht="15" customHeight="1">
      <c r="A384" s="639" t="str">
        <f>Kat.!C384</f>
        <v/>
      </c>
      <c r="B384" s="640">
        <f>IF(AND('General price list'!$J384="F4",$AI$1=FALSE),0,IF(AC384="SKLADEM",1,IF(AC384=$V$3,1,0)))</f>
        <v>1</v>
      </c>
      <c r="C384" s="641" t="s">
        <v>12021</v>
      </c>
      <c r="D384" s="642" t="s">
        <v>12022</v>
      </c>
      <c r="E384" s="643" t="s">
        <v>12746</v>
      </c>
      <c r="F384" s="773">
        <f>IFERROR(VLOOKUP(C384,[2]List1!$A:$D,3,FALSE),"NEUVEDENO!")</f>
        <v>787</v>
      </c>
      <c r="G384" s="770">
        <f t="shared" ref="G384" si="1010">IF($W$17=$AF$8,ROUND((F384)/$F$17,2),(F384)*$B$19)</f>
        <v>787</v>
      </c>
      <c r="H384" s="767">
        <f t="shared" ref="H384" si="1011">IF($W$17=$AF$8,G384*$B$19,G384/$F$17)</f>
        <v>33.430609184709425</v>
      </c>
      <c r="I384" s="644">
        <f>IFERROR(VLOOKUP(C384,[2]List1!$A:$D,4,FALSE),"NEUVEDENO!")</f>
        <v>6</v>
      </c>
      <c r="J384" s="733" t="s">
        <v>39</v>
      </c>
      <c r="K384" s="645" t="s">
        <v>20</v>
      </c>
      <c r="L384" s="645"/>
      <c r="M384" s="645" t="s">
        <v>21</v>
      </c>
      <c r="N384" s="645">
        <f>IFERROR(VLOOKUP(C384,[3]List1!$A:$D,4,FALSE),"N/A!")</f>
        <v>5.6543999999999997E-2</v>
      </c>
      <c r="O384" s="645">
        <f>IFERROR(VLOOKUP(C384,[3]List1!$A:$D,3,FALSE),"N/A!")</f>
        <v>2226</v>
      </c>
      <c r="P384" s="645">
        <f>IFERROR(VLOOKUP(C384,[3]List1!$A:$D,2,FALSE),"N/A!")</f>
        <v>18000</v>
      </c>
      <c r="Q384" s="645" t="s">
        <v>15057</v>
      </c>
      <c r="R384" s="645"/>
      <c r="S384" s="645" t="str">
        <f>IF($W$17=$AF$1,"design",IFERROR(VLOOKUP("design",Jazyky_ceník!$A:$Q,MATCH($W$17,Jazyky_ceník!$A$1:$Q$1,0),FALSE),"!!!"))</f>
        <v>design</v>
      </c>
      <c r="T384" s="645">
        <v>45</v>
      </c>
      <c r="U384" s="645">
        <v>22</v>
      </c>
      <c r="V384" s="645">
        <v>13</v>
      </c>
      <c r="W384" s="645" t="str">
        <f>IFERROR(IF(AND($AB384&gt;=0.1*$AA384,MOD($AB384,$AA384)&gt;=($AA384-(0.1*$AA384))),IF($W$17=$AF$1,"Zvažte možnost doobjednání ještě "&amp;Tabulka1[[#This Row],[VKPAL]]-MOD(AB384,AA384)&amp;" VK do plné palety.",VLOOKUP("Zvažte možnost doobjednání ještě ",Jazyky_ceník!A:Q,MATCH($W$17,Jazyky_ceník!$A$1:$Q$1,0),FALSE)&amp;Tabulka1[[#This Row],[VKPAL]]-MOD(AB384,AA384)&amp;VLOOKUP(" VK do plné palety.",Jazyky_ceník!A:Q,MATCH($W$17,Jazyky_ceník!$A$1:$Q$1,0),FALSE)),IFERROR(IF(AND(NOT(MOD($AB384,$AA384)=0),$AB384&gt;=0.9*$AA384,MOD($AB384,$AA384)&lt;=0.1*$AA384),IF($W$17=$AF$1,"Zvažte možnost optimalizace objednaného množství podle počtu VK na paletě ==&gt;",VLOOKUP("Zvažte možnost optimalizace objednaného množství podle počtu VK na paletě ==&gt;",Jazyky_ceník!A:Q,MATCH($W$17,Jazyky_ceník!$A$1:$Q$1,0),FALSE)),VLOOKUP('General price list'!$C384,Popisy!A:M,MATCH($W$17,Popisy!$A$7:$M$7,0),FALSE)),"---------------")),IFERROR(VLOOKUP('General price list'!$C384,Popisy!A:M,MATCH($W$17,Popisy!$A$7:$M$7,0),FALSE),"---------------"))</f>
        <v>14 různobarevných efektů</v>
      </c>
      <c r="X384" s="645" t="str">
        <f t="shared" ref="X384" si="1012">IF(AB384&lt;0.0001,"",AB384)</f>
        <v/>
      </c>
      <c r="Y384" s="645" t="str">
        <f t="shared" ref="Y384" si="1013">IF($AL$3=2,IF(OR(AB384&lt;&gt;"",AB384&lt;&gt;0),AU384,""),IF(C384="","",IF(AB384&lt;0.0001,"",IF(B384=0,"",IF(AQ384&lt;AB384,"",AB384)))))</f>
        <v/>
      </c>
      <c r="Z384" s="645" t="str">
        <f>HYPERLINK("https://www.klasekpyrotechnics.cz/c9016xc14")</f>
        <v>https://www.klasekpyrotechnics.cz/c9016xc14</v>
      </c>
      <c r="AA384" s="645">
        <f>IFERROR(IF(VLOOKUP(C384,[4]List1!$A:$D,4,FALSE)=0,"",VLOOKUP(C384,[4]List1!$A:$D,4,FALSE)),"")</f>
        <v>20</v>
      </c>
      <c r="AB384" s="646"/>
      <c r="AC384" s="647" t="str">
        <f>IFERROR(IF(VLOOKUP(C384,[1]List1!$A:$D,2,FALSE)="VYPRODÁNO",$V$9,IF(VLOOKUP(C384,[1]List1!$A:$D,2,FALSE)="DOCHÁZÍ",$V$3,VLOOKUP(C384,[1]List1!$A:$D,2,FALSE))),"OFFLINE!")</f>
        <v>SKLADEM</v>
      </c>
      <c r="AD384" s="647" t="str">
        <f ca="1">IF(AP384="NE",$V$10,IF(AC384=$V$3,IF(AQ384&lt;1,$V$8,$V$2&amp;" "&amp;AQ384&amp;" "&amp;$V$1),IF(AC384="SKLADEM",$V$6,IFERROR(IF(OR(AC384-TODAY()&gt;45,VLOOKUP(C384,[1]List1!$A:$E,4,FALSE)=0),AC384,DAY(AC384)&amp;"."&amp;MONTH(AC384)&amp;"."&amp;YEAR(AC384)&amp;" "&amp;$V$4&amp;VLOOKUP(C384,[1]List1!$A:$E,4,FALSE)&amp;" "&amp;$V$1),AC384))))</f>
        <v>SKLADEM</v>
      </c>
      <c r="AE384" s="645" t="str">
        <f t="shared" ref="AE384" ca="1" si="1014">IFERROR(IF(AV384&lt;&gt;"",AV384,AD384),AD384)</f>
        <v>SKLADEM</v>
      </c>
      <c r="AF384" s="648">
        <f t="shared" ref="AF384" si="1015">IFERROR(IF(AB384=Y384,G384*I384*Y384,0),0)</f>
        <v>0</v>
      </c>
      <c r="AG384" s="649">
        <f t="shared" ref="AG384" si="1016">IF($W$17=$AF$8,AH384*1.23,AF384*1.21)</f>
        <v>0</v>
      </c>
      <c r="AH384" s="650">
        <f t="shared" ref="AH384" si="1017">IFERROR(IF(Y384=AB384,H384*I384*Y384,0),0)</f>
        <v>0</v>
      </c>
      <c r="AI384" s="645">
        <f t="shared" ref="AI384" si="1018">IFERROR(IF(Y384=AB384,(P384*Y384)/1000,1),0)</f>
        <v>0</v>
      </c>
      <c r="AJ384" s="645">
        <f t="shared" ref="AJ384" si="1019">IFERROR(IF(Y384=AB384,N384*Y384,0.1),0)</f>
        <v>0</v>
      </c>
      <c r="AK384" s="645" t="str">
        <f t="shared" ref="AK384" si="1020">IFERROR(IF(Y384=AB384,IF(M384="1.1G",(O384/1000)*Y384,""),""),0)</f>
        <v/>
      </c>
      <c r="AL384" s="645" t="str">
        <f t="shared" ref="AL384" si="1021">IFERROR(IF(Y384=AB384,IF(M384="1.3G",(O384/1000)*AB384,""),""),0)</f>
        <v/>
      </c>
      <c r="AM384" s="645">
        <f t="shared" ref="AM384" si="1022">IFERROR(IF(Y384=AB384,IF(M384="1.4G",(O384/1000)*AB384,""),""),0)</f>
        <v>0</v>
      </c>
      <c r="AN384" s="651">
        <f t="shared" ref="AN384" si="1023">SUM(AK384:AM384)</f>
        <v>0</v>
      </c>
      <c r="AO384" s="623"/>
      <c r="AP384" s="632" t="str">
        <f t="shared" si="834"/>
        <v/>
      </c>
      <c r="AQ384" s="633" t="str">
        <f>IF(AC384=$V$3,IF(VLOOKUP(C384,[1]List1!$A:$E,5,FALSE)=0,1,VLOOKUP(C384,[1]List1!$A:$E,5,FALSE)),"")</f>
        <v/>
      </c>
      <c r="AR384" s="625" t="str">
        <f t="shared" si="835"/>
        <v/>
      </c>
      <c r="AS384" s="634" t="str">
        <f t="shared" si="836"/>
        <v/>
      </c>
      <c r="AT384" s="625" t="str">
        <f t="shared" si="837"/>
        <v/>
      </c>
      <c r="AU384" s="638" t="e">
        <f t="shared" si="838"/>
        <v>#N/A</v>
      </c>
      <c r="AV384" s="625" t="e">
        <f t="shared" si="839"/>
        <v>#N/A</v>
      </c>
      <c r="AX384" s="625">
        <f>IF(AND('General price list'!$J384="F4",'General price list'!$AB384+0&gt;0),1,0)</f>
        <v>0</v>
      </c>
      <c r="AY384" s="625">
        <f t="shared" si="840"/>
        <v>1</v>
      </c>
      <c r="AZ384" s="625">
        <f t="shared" si="841"/>
        <v>0</v>
      </c>
    </row>
    <row r="385" spans="1:52" ht="15.75" customHeight="1">
      <c r="A385" s="751" t="str">
        <f>Kat.!C385</f>
        <v xml:space="preserve">           Baterie 160 ran, 16 mm moždíř (různé úhly moždířů) – 1.4G</v>
      </c>
      <c r="B385" s="751"/>
      <c r="C385" s="751"/>
      <c r="D385" s="751"/>
      <c r="E385" s="751"/>
      <c r="F385" s="751"/>
      <c r="G385" s="751"/>
      <c r="H385" s="751"/>
      <c r="I385" s="752"/>
      <c r="J385" s="752"/>
      <c r="K385" s="752" t="s">
        <v>20</v>
      </c>
      <c r="L385" s="753" t="s">
        <v>20</v>
      </c>
      <c r="M385" s="752"/>
      <c r="N385" s="752"/>
      <c r="O385" s="752"/>
      <c r="P385" s="752"/>
      <c r="Q385" s="752"/>
      <c r="R385" s="752"/>
      <c r="S385" s="752"/>
      <c r="T385" s="752"/>
      <c r="U385" s="752"/>
      <c r="V385" s="752"/>
      <c r="W385" s="752"/>
      <c r="X385" s="752"/>
      <c r="Y385" s="752"/>
      <c r="Z385" s="752" t="s">
        <v>20</v>
      </c>
      <c r="AA385" s="752"/>
      <c r="AB385" s="752"/>
      <c r="AC385" s="754"/>
      <c r="AD385" s="752"/>
      <c r="AE385" s="752"/>
      <c r="AF385" s="752"/>
      <c r="AG385" s="752"/>
      <c r="AH385" s="752"/>
      <c r="AI385" s="752"/>
      <c r="AJ385" s="752"/>
      <c r="AK385" s="752"/>
      <c r="AL385" s="752"/>
      <c r="AM385" s="752"/>
      <c r="AN385" s="752"/>
      <c r="AO385" s="623"/>
      <c r="AP385" s="625" t="str">
        <f t="shared" si="834"/>
        <v/>
      </c>
      <c r="AQ385" s="625" t="str">
        <f>IF(AC385=$V$3,IF(VLOOKUP(C385,[1]List1!$A:$E,5,FALSE)=0,1,VLOOKUP(C385,[1]List1!$A:$E,5,FALSE)),"")</f>
        <v/>
      </c>
      <c r="AR385" s="629" t="str">
        <f t="shared" si="835"/>
        <v/>
      </c>
      <c r="AS385" s="630" t="str">
        <f t="shared" si="836"/>
        <v/>
      </c>
      <c r="AT385" s="625" t="str">
        <f t="shared" si="837"/>
        <v/>
      </c>
      <c r="AU385" s="625" t="e">
        <f t="shared" si="838"/>
        <v>#N/A</v>
      </c>
      <c r="AV385" s="625" t="e">
        <f t="shared" si="839"/>
        <v>#N/A</v>
      </c>
      <c r="AW385" s="631"/>
      <c r="AX385" s="631">
        <f>IF(AND('General price list'!$J385="F4",'General price list'!$AB385+0&gt;0),1,0)</f>
        <v>0</v>
      </c>
      <c r="AY385" s="631">
        <f t="shared" si="840"/>
        <v>0</v>
      </c>
      <c r="AZ385" s="631">
        <f t="shared" si="841"/>
        <v>0</v>
      </c>
    </row>
    <row r="386" spans="1:52" ht="15.75" customHeight="1">
      <c r="A386" s="639" t="str">
        <f>Kat.!C386</f>
        <v/>
      </c>
      <c r="B386" s="640">
        <f>IF(AND('General price list'!$J386="F4",$AI$1=FALSE),0,IF(AC386="SKLADEM",1,IF(AC386=$V$3,1,0)))</f>
        <v>0</v>
      </c>
      <c r="C386" s="641" t="s">
        <v>12453</v>
      </c>
      <c r="D386" s="642" t="s">
        <v>12535</v>
      </c>
      <c r="E386" s="643" t="s">
        <v>12745</v>
      </c>
      <c r="F386" s="773">
        <f>IFERROR(VLOOKUP(C386,[2]List1!$A:$D,3,FALSE),"NEUVEDENO!")</f>
        <v>1432</v>
      </c>
      <c r="G386" s="770">
        <f t="shared" ref="G386" si="1024">IF($W$17=$AF$8,ROUND((F386)/$F$17,2),(F386)*$B$19)</f>
        <v>1432</v>
      </c>
      <c r="H386" s="767">
        <f t="shared" ref="H386" si="1025">IF($W$17=$AF$8,G386*$B$19,G386/$F$17)</f>
        <v>60.829266013346761</v>
      </c>
      <c r="I386" s="644">
        <f>IFERROR(VLOOKUP(C386,[2]List1!$A:$D,4,FALSE),"NEUVEDENO!")</f>
        <v>3</v>
      </c>
      <c r="J386" s="733" t="s">
        <v>39</v>
      </c>
      <c r="K386" s="645">
        <v>4</v>
      </c>
      <c r="L386" s="645"/>
      <c r="M386" s="645" t="s">
        <v>21</v>
      </c>
      <c r="N386" s="645">
        <f>IFERROR(VLOOKUP(C386,[3]List1!$A:$D,4,FALSE),"N/A!")</f>
        <v>0</v>
      </c>
      <c r="O386" s="645">
        <f>IFERROR(VLOOKUP(C386,[3]List1!$A:$D,3,FALSE),"N/A!")</f>
        <v>1497</v>
      </c>
      <c r="P386" s="645">
        <f>IFERROR(VLOOKUP(C386,[3]List1!$A:$D,2,FALSE),"N/A!")</f>
        <v>13500</v>
      </c>
      <c r="Q386" s="645" t="s">
        <v>15070</v>
      </c>
      <c r="R386" s="645"/>
      <c r="S386" s="645" t="str">
        <f>IF($W$17=$AF$1,"design",IFERROR(VLOOKUP("design",Jazyky_ceník!$A:$Q,MATCH($W$17,Jazyky_ceník!$A$1:$Q$1,0),FALSE),"!!!"))</f>
        <v>design</v>
      </c>
      <c r="T386" s="645">
        <v>80</v>
      </c>
      <c r="U386" s="645">
        <v>22</v>
      </c>
      <c r="V386" s="645">
        <v>13</v>
      </c>
      <c r="W386" s="645" t="str">
        <f>IFERROR(IF(AND($AB386&gt;=0.1*$AA386,MOD($AB386,$AA386)&gt;=($AA386-(0.1*$AA386))),IF($W$17=$AF$1,"Zvažte možnost doobjednání ještě "&amp;Tabulka1[[#This Row],[VKPAL]]-MOD(AB386,AA386)&amp;" VK do plné palety.",VLOOKUP("Zvažte možnost doobjednání ještě ",Jazyky_ceník!A:Q,MATCH($W$17,Jazyky_ceník!$A$1:$Q$1,0),FALSE)&amp;Tabulka1[[#This Row],[VKPAL]]-MOD(AB386,AA386)&amp;VLOOKUP(" VK do plné palety.",Jazyky_ceník!A:Q,MATCH($W$17,Jazyky_ceník!$A$1:$Q$1,0),FALSE)),IFERROR(IF(AND(NOT(MOD($AB386,$AA386)=0),$AB386&gt;=0.9*$AA386,MOD($AB386,$AA386)&lt;=0.1*$AA386),IF($W$17=$AF$1,"Zvažte možnost optimalizace objednaného množství podle počtu VK na paletě ==&gt;",VLOOKUP("Zvažte možnost optimalizace objednaného množství podle počtu VK na paletě ==&gt;",Jazyky_ceník!A:Q,MATCH($W$17,Jazyky_ceník!$A$1:$Q$1,0),FALSE)),VLOOKUP('General price list'!$C386,Popisy!A:M,MATCH($W$17,Popisy!$A$7:$M$7,0),FALSE)),"---------------")),IFERROR(VLOOKUP('General price list'!$C386,Popisy!A:M,MATCH($W$17,Popisy!$A$7:$M$7,0),FALSE),"---------------"))</f>
        <v>20 různobarevných efektů</v>
      </c>
      <c r="X386" s="645" t="str">
        <f t="shared" ref="X386" si="1026">IF(AB386&lt;0.0001,"",AB386)</f>
        <v/>
      </c>
      <c r="Y386" s="645" t="str">
        <f t="shared" ref="Y386" si="1027">IF($AL$3=2,IF(OR(AB386&lt;&gt;"",AB386&lt;&gt;0),AU386,""),IF(C386="","",IF(AB386&lt;0.0001,"",IF(B386=0,"",IF(AQ386&lt;AB386,"",AB386)))))</f>
        <v/>
      </c>
      <c r="Z386" s="645" t="str">
        <f>HYPERLINK("https://www.klasekpyrotechnics.cz/c16016xp14")</f>
        <v>https://www.klasekpyrotechnics.cz/c16016xp14</v>
      </c>
      <c r="AA386" s="645" t="str">
        <f>IFERROR(IF(VLOOKUP(C386,[4]List1!$A:$D,4,FALSE)=0,"",VLOOKUP(C386,[4]List1!$A:$D,4,FALSE)),"")</f>
        <v/>
      </c>
      <c r="AB386" s="646"/>
      <c r="AC386" s="647" t="str">
        <f>IFERROR(IF(VLOOKUP(C386,[1]List1!$A:$D,2,FALSE)="VYPRODÁNO",$V$9,IF(VLOOKUP(C386,[1]List1!$A:$D,2,FALSE)="DOCHÁZÍ",$V$3,VLOOKUP(C386,[1]List1!$A:$D,2,FALSE))),"OFFLINE!")</f>
        <v>31.08.2026</v>
      </c>
      <c r="AD386" s="647" t="str">
        <f ca="1">IF(AP386="NE",$V$10,IF(AC386=$V$3,IF(AQ386&lt;1,$V$8,$V$2&amp;" "&amp;AQ386&amp;" "&amp;$V$1),IF(AC386="SKLADEM",$V$6,IFERROR(IF(OR(AC386-TODAY()&gt;45,VLOOKUP(C386,[1]List1!$A:$E,4,FALSE)=0),AC386,DAY(AC386)&amp;"."&amp;MONTH(AC386)&amp;"."&amp;YEAR(AC386)&amp;" "&amp;$V$4&amp;VLOOKUP(C386,[1]List1!$A:$E,4,FALSE)&amp;" "&amp;$V$1),AC386))))</f>
        <v>31.08.2026</v>
      </c>
      <c r="AE386" s="645" t="str">
        <f t="shared" ref="AE386" ca="1" si="1028">IFERROR(IF(AV386&lt;&gt;"",AV386,AD386),AD386)</f>
        <v>31.08.2026</v>
      </c>
      <c r="AF386" s="648">
        <f t="shared" ref="AF386" si="1029">IFERROR(IF(AB386=Y386,G386*I386*Y386,0),0)</f>
        <v>0</v>
      </c>
      <c r="AG386" s="649">
        <f t="shared" ref="AG386" si="1030">IF($W$17=$AF$8,AH386*1.23,AF386*1.21)</f>
        <v>0</v>
      </c>
      <c r="AH386" s="650">
        <f t="shared" ref="AH386" si="1031">IFERROR(IF(Y386=AB386,H386*I386*Y386,0),0)</f>
        <v>0</v>
      </c>
      <c r="AI386" s="645">
        <f t="shared" ref="AI386" si="1032">IFERROR(IF(Y386=AB386,(P386*Y386)/1000,1),0)</f>
        <v>0</v>
      </c>
      <c r="AJ386" s="645">
        <f t="shared" ref="AJ386" si="1033">IFERROR(IF(Y386=AB386,N386*Y386,0.1),0)</f>
        <v>0</v>
      </c>
      <c r="AK386" s="645" t="str">
        <f t="shared" ref="AK386" si="1034">IFERROR(IF(Y386=AB386,IF(M386="1.1G",(O386/1000)*Y386,""),""),0)</f>
        <v/>
      </c>
      <c r="AL386" s="645" t="str">
        <f t="shared" ref="AL386" si="1035">IFERROR(IF(Y386=AB386,IF(M386="1.3G",(O386/1000)*AB386,""),""),0)</f>
        <v/>
      </c>
      <c r="AM386" s="645">
        <f t="shared" ref="AM386" si="1036">IFERROR(IF(Y386=AB386,IF(M386="1.4G",(O386/1000)*AB386,""),""),0)</f>
        <v>0</v>
      </c>
      <c r="AN386" s="651">
        <f t="shared" ref="AN386" si="1037">SUM(AK386:AM386)</f>
        <v>0</v>
      </c>
      <c r="AO386" s="623"/>
      <c r="AP386" s="625" t="str">
        <f t="shared" si="834"/>
        <v/>
      </c>
      <c r="AQ386" s="625" t="str">
        <f>IF(AC386=$V$3,IF(VLOOKUP(C386,[1]List1!$A:$E,5,FALSE)=0,1,VLOOKUP(C386,[1]List1!$A:$E,5,FALSE)),"")</f>
        <v/>
      </c>
      <c r="AR386" s="629" t="str">
        <f t="shared" si="835"/>
        <v/>
      </c>
      <c r="AS386" s="630" t="str">
        <f t="shared" si="836"/>
        <v/>
      </c>
      <c r="AT386" s="625" t="str">
        <f t="shared" si="837"/>
        <v/>
      </c>
      <c r="AU386" s="625" t="e">
        <f t="shared" si="838"/>
        <v>#N/A</v>
      </c>
      <c r="AV386" s="625" t="e">
        <f t="shared" si="839"/>
        <v>#N/A</v>
      </c>
      <c r="AW386" s="631"/>
      <c r="AX386" s="631">
        <f>IF(AND('General price list'!$J386="F4",'General price list'!$AB386+0&gt;0),1,0)</f>
        <v>0</v>
      </c>
      <c r="AY386" s="631">
        <f t="shared" si="840"/>
        <v>1</v>
      </c>
      <c r="AZ386" s="631">
        <f t="shared" si="841"/>
        <v>0</v>
      </c>
    </row>
    <row r="387" spans="1:52" ht="15.75" customHeight="1">
      <c r="A387" s="751" t="str">
        <f>Kat.!C387</f>
        <v xml:space="preserve">           Složený ohňostroj 16 mm – F2 – 1.4G – maximum 1000 g NEC</v>
      </c>
      <c r="B387" s="751"/>
      <c r="C387" s="751"/>
      <c r="D387" s="751"/>
      <c r="E387" s="751"/>
      <c r="F387" s="751"/>
      <c r="G387" s="751"/>
      <c r="H387" s="751"/>
      <c r="I387" s="752"/>
      <c r="J387" s="752"/>
      <c r="K387" s="752" t="s">
        <v>20</v>
      </c>
      <c r="L387" s="753" t="s">
        <v>20</v>
      </c>
      <c r="M387" s="752"/>
      <c r="N387" s="752"/>
      <c r="O387" s="752"/>
      <c r="P387" s="752"/>
      <c r="Q387" s="752"/>
      <c r="R387" s="752"/>
      <c r="S387" s="752"/>
      <c r="T387" s="752"/>
      <c r="U387" s="752"/>
      <c r="V387" s="752"/>
      <c r="W387" s="752"/>
      <c r="X387" s="752"/>
      <c r="Y387" s="752"/>
      <c r="Z387" s="752" t="s">
        <v>20</v>
      </c>
      <c r="AA387" s="752"/>
      <c r="AB387" s="752"/>
      <c r="AC387" s="754"/>
      <c r="AD387" s="752"/>
      <c r="AE387" s="752"/>
      <c r="AF387" s="752"/>
      <c r="AG387" s="752"/>
      <c r="AH387" s="752"/>
      <c r="AI387" s="752"/>
      <c r="AJ387" s="752"/>
      <c r="AK387" s="752"/>
      <c r="AL387" s="752"/>
      <c r="AM387" s="752"/>
      <c r="AN387" s="752"/>
      <c r="AO387" s="623"/>
      <c r="AP387" s="625" t="str">
        <f t="shared" si="834"/>
        <v/>
      </c>
      <c r="AQ387" s="625" t="str">
        <f>IF(AC387=$V$3,IF(VLOOKUP(C387,[1]List1!$A:$E,5,FALSE)=0,1,VLOOKUP(C387,[1]List1!$A:$E,5,FALSE)),"")</f>
        <v/>
      </c>
      <c r="AR387" s="629" t="str">
        <f t="shared" si="835"/>
        <v/>
      </c>
      <c r="AS387" s="630" t="str">
        <f t="shared" si="836"/>
        <v/>
      </c>
      <c r="AT387" s="625" t="str">
        <f t="shared" si="837"/>
        <v/>
      </c>
      <c r="AU387" s="625" t="e">
        <f t="shared" si="838"/>
        <v>#N/A</v>
      </c>
      <c r="AV387" s="625" t="e">
        <f t="shared" si="839"/>
        <v>#N/A</v>
      </c>
      <c r="AW387" s="631"/>
      <c r="AX387" s="631">
        <f>IF(AND('General price list'!$J387="F4",'General price list'!$AB387+0&gt;0),1,0)</f>
        <v>0</v>
      </c>
      <c r="AY387" s="631">
        <f t="shared" si="840"/>
        <v>0</v>
      </c>
      <c r="AZ387" s="631">
        <f t="shared" si="841"/>
        <v>0</v>
      </c>
    </row>
    <row r="388" spans="1:52" ht="15" customHeight="1">
      <c r="A388" s="639" t="str">
        <f>Kat.!C388</f>
        <v/>
      </c>
      <c r="B388" s="640">
        <f>IF(AND('General price list'!$J388="F4",$AI$1=FALSE),0,IF(AC388="SKLADEM",1,IF(AC388=$V$3,1,0)))</f>
        <v>0</v>
      </c>
      <c r="C388" s="641" t="s">
        <v>12454</v>
      </c>
      <c r="D388" s="642" t="s">
        <v>12536</v>
      </c>
      <c r="E388" s="643" t="s">
        <v>12663</v>
      </c>
      <c r="F388" s="771">
        <f>IFERROR(VLOOKUP(C388,[2]List1!$A:$D,3,FALSE),"NEUVEDENO!")</f>
        <v>2587</v>
      </c>
      <c r="G388" s="768">
        <f t="shared" ref="G388:G389" si="1038">IF($W$17=$AF$8,ROUND((F388)/$F$17,2),(F388)*$B$19)</f>
        <v>2587</v>
      </c>
      <c r="H388" s="765">
        <f t="shared" ref="H388:H389" si="1039">IF($W$17=$AF$8,G388*$B$19,G388/$F$17)</f>
        <v>109.89197707858105</v>
      </c>
      <c r="I388" s="644">
        <f>IFERROR(VLOOKUP(C388,[2]List1!$A:$D,4,FALSE),"NEUVEDENO!")</f>
        <v>1</v>
      </c>
      <c r="J388" s="733" t="s">
        <v>39</v>
      </c>
      <c r="K388" s="645">
        <v>4</v>
      </c>
      <c r="L388" s="645"/>
      <c r="M388" s="645" t="s">
        <v>21</v>
      </c>
      <c r="N388" s="645">
        <f>IFERROR(VLOOKUP(C388,[3]List1!$A:$D,4,FALSE),"N/A!")</f>
        <v>3.0039E-2</v>
      </c>
      <c r="O388" s="645">
        <f>IFERROR(VLOOKUP(C388,[3]List1!$A:$D,3,FALSE),"N/A!")</f>
        <v>999</v>
      </c>
      <c r="P388" s="645">
        <f>IFERROR(VLOOKUP(C388,[3]List1!$A:$D,2,FALSE),"N/A!")</f>
        <v>9000</v>
      </c>
      <c r="Q388" s="645" t="s">
        <v>11296</v>
      </c>
      <c r="R388" s="645"/>
      <c r="S388" s="645" t="str">
        <f>IF($W$17=$AF$1,"červená fólie",IFERROR(VLOOKUP("červená fólie",Jazyky_ceník!$A:$Q,MATCH($W$17,Jazyky_ceník!$A$1:$Q$1,0),FALSE),"!!!"))</f>
        <v>červená fólie</v>
      </c>
      <c r="T388" s="645">
        <v>130</v>
      </c>
      <c r="U388" s="645">
        <v>22</v>
      </c>
      <c r="V388" s="645">
        <v>13</v>
      </c>
      <c r="W388" s="645" t="str">
        <f>IFERROR(IF(AND($AB388&gt;=0.1*$AA388,MOD($AB388,$AA388)&gt;=($AA388-(0.1*$AA388))),IF($W$17=$AF$1,"Zvažte možnost doobjednání ještě "&amp;Tabulka1[[#This Row],[VKPAL]]-MOD(AB388,AA388)&amp;" VK do plné palety.",VLOOKUP("Zvažte možnost doobjednání ještě ",Jazyky_ceník!A:Q,MATCH($W$17,Jazyky_ceník!$A$1:$Q$1,0),FALSE)&amp;Tabulka1[[#This Row],[VKPAL]]-MOD(AB388,AA388)&amp;VLOOKUP(" VK do plné palety.",Jazyky_ceník!A:Q,MATCH($W$17,Jazyky_ceník!$A$1:$Q$1,0),FALSE)),IFERROR(IF(AND(NOT(MOD($AB388,$AA388)=0),$AB388&gt;=0.9*$AA388,MOD($AB388,$AA388)&lt;=0.1*$AA388),IF($W$17=$AF$1,"Zvažte možnost optimalizace objednaného množství podle počtu VK na paletě ==&gt;",VLOOKUP("Zvažte možnost optimalizace objednaného množství podle počtu VK na paletě ==&gt;",Jazyky_ceník!A:Q,MATCH($W$17,Jazyky_ceník!$A$1:$Q$1,0),FALSE)),VLOOKUP('General price list'!$C388,Popisy!A:M,MATCH($W$17,Popisy!$A$7:$M$7,0),FALSE)),"---------------")),IFERROR(VLOOKUP('General price list'!$C388,Popisy!A:M,MATCH($W$17,Popisy!$A$7:$M$7,0),FALSE),"---------------"))</f>
        <v>42 různobarevných efektů</v>
      </c>
      <c r="X388" s="645" t="str">
        <f t="shared" ref="X388:X389" si="1040">IF(AB388&lt;0.0001,"",AB388)</f>
        <v/>
      </c>
      <c r="Y388" s="645" t="str">
        <f t="shared" ref="Y388:Y389" si="1041">IF($AL$3=2,IF(OR(AB388&lt;&gt;"",AB388&lt;&gt;0),AU388,""),IF(C388="","",IF(AB388&lt;0.0001,"",IF(B388=0,"",IF(AQ388&lt;AB388,"",AB388)))))</f>
        <v/>
      </c>
      <c r="Z388" s="645" t="str">
        <f>HYPERLINK("https://www.klasekpyrotechnics.cz/c27016xg-c14")</f>
        <v>https://www.klasekpyrotechnics.cz/c27016xg-c14</v>
      </c>
      <c r="AA388" s="645" t="str">
        <f>IFERROR(IF(VLOOKUP(C388,[4]List1!$A:$D,4,FALSE)=0,"",VLOOKUP(C388,[4]List1!$A:$D,4,FALSE)),"")</f>
        <v/>
      </c>
      <c r="AB388" s="646"/>
      <c r="AC388" s="647" t="str">
        <f>IFERROR(IF(VLOOKUP(C388,[1]List1!$A:$D,2,FALSE)="VYPRODÁNO",$V$9,IF(VLOOKUP(C388,[1]List1!$A:$D,2,FALSE)="DOCHÁZÍ",$V$3,VLOOKUP(C388,[1]List1!$A:$D,2,FALSE))),"OFFLINE!")</f>
        <v>31.08.2026</v>
      </c>
      <c r="AD388" s="647" t="str">
        <f ca="1">IF(AP388="NE",$V$10,IF(AC388=$V$3,IF(AQ388&lt;1,$V$8,$V$2&amp;" "&amp;AQ388&amp;" "&amp;$V$1),IF(AC388="SKLADEM",$V$6,IFERROR(IF(OR(AC388-TODAY()&gt;45,VLOOKUP(C388,[1]List1!$A:$E,4,FALSE)=0),AC388,DAY(AC388)&amp;"."&amp;MONTH(AC388)&amp;"."&amp;YEAR(AC388)&amp;" "&amp;$V$4&amp;VLOOKUP(C388,[1]List1!$A:$E,4,FALSE)&amp;" "&amp;$V$1),AC388))))</f>
        <v>31.08.2026</v>
      </c>
      <c r="AE388" s="645" t="str">
        <f t="shared" ref="AE388:AE389" ca="1" si="1042">IFERROR(IF(AV388&lt;&gt;"",AV388,AD388),AD388)</f>
        <v>31.08.2026</v>
      </c>
      <c r="AF388" s="648">
        <f t="shared" ref="AF388:AF389" si="1043">IFERROR(IF(AB388=Y388,G388*I388*Y388,0),0)</f>
        <v>0</v>
      </c>
      <c r="AG388" s="649">
        <f t="shared" ref="AG388:AG389" si="1044">IF($W$17=$AF$8,AH388*1.23,AF388*1.21)</f>
        <v>0</v>
      </c>
      <c r="AH388" s="650">
        <f t="shared" ref="AH388:AH389" si="1045">IFERROR(IF(Y388=AB388,H388*I388*Y388,0),0)</f>
        <v>0</v>
      </c>
      <c r="AI388" s="645">
        <f t="shared" ref="AI388:AI389" si="1046">IFERROR(IF(Y388=AB388,(P388*Y388)/1000,1),0)</f>
        <v>0</v>
      </c>
      <c r="AJ388" s="645">
        <f t="shared" ref="AJ388:AJ389" si="1047">IFERROR(IF(Y388=AB388,N388*Y388,0.1),0)</f>
        <v>0</v>
      </c>
      <c r="AK388" s="645" t="str">
        <f t="shared" ref="AK388:AK389" si="1048">IFERROR(IF(Y388=AB388,IF(M388="1.1G",(O388/1000)*Y388,""),""),0)</f>
        <v/>
      </c>
      <c r="AL388" s="645" t="str">
        <f t="shared" ref="AL388:AL389" si="1049">IFERROR(IF(Y388=AB388,IF(M388="1.3G",(O388/1000)*AB388,""),""),0)</f>
        <v/>
      </c>
      <c r="AM388" s="645">
        <f t="shared" ref="AM388:AM389" si="1050">IFERROR(IF(Y388=AB388,IF(M388="1.4G",(O388/1000)*AB388,""),""),0)</f>
        <v>0</v>
      </c>
      <c r="AN388" s="651">
        <f t="shared" ref="AN388:AN389" si="1051">SUM(AK388:AM388)</f>
        <v>0</v>
      </c>
      <c r="AO388" s="623"/>
      <c r="AP388" s="632" t="str">
        <f t="shared" si="834"/>
        <v/>
      </c>
      <c r="AQ388" s="633" t="str">
        <f>IF(AC388=$V$3,IF(VLOOKUP(C388,[1]List1!$A:$E,5,FALSE)=0,1,VLOOKUP(C388,[1]List1!$A:$E,5,FALSE)),"")</f>
        <v/>
      </c>
      <c r="AR388" s="625" t="str">
        <f t="shared" si="835"/>
        <v/>
      </c>
      <c r="AS388" s="634" t="str">
        <f t="shared" si="836"/>
        <v/>
      </c>
      <c r="AT388" s="625" t="str">
        <f t="shared" si="837"/>
        <v/>
      </c>
      <c r="AU388" s="638" t="e">
        <f t="shared" si="838"/>
        <v>#N/A</v>
      </c>
      <c r="AV388" s="625" t="e">
        <f t="shared" si="839"/>
        <v>#N/A</v>
      </c>
      <c r="AX388" s="625">
        <f>IF(AND('General price list'!$J388="F4",'General price list'!$AB388+0&gt;0),1,0)</f>
        <v>0</v>
      </c>
      <c r="AY388" s="625">
        <f t="shared" si="840"/>
        <v>1</v>
      </c>
      <c r="AZ388" s="625">
        <f t="shared" si="841"/>
        <v>0</v>
      </c>
    </row>
    <row r="389" spans="1:52" ht="15.75" customHeight="1">
      <c r="A389" s="621" t="str">
        <f>Kat.!C389</f>
        <v/>
      </c>
      <c r="B389" s="566">
        <f>IF(AND('General price list'!$J389="F4",$AI$1=FALSE),0,IF(AC389="SKLADEM",1,IF(AC389=$V$3,1,0)))</f>
        <v>0</v>
      </c>
      <c r="C389" s="641" t="s">
        <v>12455</v>
      </c>
      <c r="D389" s="568" t="s">
        <v>12537</v>
      </c>
      <c r="E389" s="763" t="s">
        <v>12663</v>
      </c>
      <c r="F389" s="772">
        <f>IFERROR(VLOOKUP(C389,[2]List1!$A:$D,3,FALSE),"NEUVEDENO!")</f>
        <v>3105</v>
      </c>
      <c r="G389" s="769">
        <f t="shared" si="1038"/>
        <v>3105</v>
      </c>
      <c r="H389" s="766">
        <f t="shared" si="1039"/>
        <v>131.89585961692856</v>
      </c>
      <c r="I389" s="764">
        <f>IFERROR(VLOOKUP(C389,[2]List1!$A:$D,4,FALSE),"NEUVEDENO!")</f>
        <v>1</v>
      </c>
      <c r="J389" s="732" t="s">
        <v>39</v>
      </c>
      <c r="K389" s="569">
        <v>4</v>
      </c>
      <c r="L389" s="569"/>
      <c r="M389" s="569" t="s">
        <v>21</v>
      </c>
      <c r="N389" s="569">
        <f>IFERROR(VLOOKUP(C389,[3]List1!$A:$D,4,FALSE),"N/A!")</f>
        <v>0</v>
      </c>
      <c r="O389" s="569">
        <f>IFERROR(VLOOKUP(C389,[3]List1!$A:$D,3,FALSE),"N/A!")</f>
        <v>998</v>
      </c>
      <c r="P389" s="569">
        <f>IFERROR(VLOOKUP(C389,[3]List1!$A:$D,2,FALSE),"N/A!")</f>
        <v>11000</v>
      </c>
      <c r="Q389" s="569" t="s">
        <v>15071</v>
      </c>
      <c r="R389" s="569"/>
      <c r="S389" s="569" t="str">
        <f>IF($W$17=$AF$1,"červená fólie",IFERROR(VLOOKUP("červená fólie",Jazyky_ceník!$A:$Q,MATCH($W$17,Jazyky_ceník!$A$1:$Q$1,0),FALSE),"!!!"))</f>
        <v>červená fólie</v>
      </c>
      <c r="T389" s="569">
        <v>160</v>
      </c>
      <c r="U389" s="569">
        <v>22</v>
      </c>
      <c r="V389" s="569">
        <v>13</v>
      </c>
      <c r="W389" s="569" t="str">
        <f>IFERROR(IF(AND($AB389&gt;=0.1*$AA389,MOD($AB389,$AA389)&gt;=($AA389-(0.1*$AA389))),IF($W$17=$AF$1,"Zvažte možnost doobjednání ještě "&amp;Tabulka1[[#This Row],[VKPAL]]-MOD(AB389,AA389)&amp;" VK do plné palety.",VLOOKUP("Zvažte možnost doobjednání ještě ",Jazyky_ceník!A:Q,MATCH($W$17,Jazyky_ceník!$A$1:$Q$1,0),FALSE)&amp;Tabulka1[[#This Row],[VKPAL]]-MOD(AB389,AA389)&amp;VLOOKUP(" VK do plné palety.",Jazyky_ceník!A:Q,MATCH($W$17,Jazyky_ceník!$A$1:$Q$1,0),FALSE)),IFERROR(IF(AND(NOT(MOD($AB389,$AA389)=0),$AB389&gt;=0.9*$AA389,MOD($AB389,$AA389)&lt;=0.1*$AA389),IF($W$17=$AF$1,"Zvažte možnost optimalizace objednaného množství podle počtu VK na paletě ==&gt;",VLOOKUP("Zvažte možnost optimalizace objednaného množství podle počtu VK na paletě ==&gt;",Jazyky_ceník!A:Q,MATCH($W$17,Jazyky_ceník!$A$1:$Q$1,0),FALSE)),VLOOKUP('General price list'!$C389,Popisy!A:M,MATCH($W$17,Popisy!$A$7:$M$7,0),FALSE)),"---------------")),IFERROR(VLOOKUP('General price list'!$C389,Popisy!A:M,MATCH($W$17,Popisy!$A$7:$M$7,0),FALSE),"---------------"))</f>
        <v>40 různobarevných efektů</v>
      </c>
      <c r="X389" s="569" t="str">
        <f t="shared" si="1040"/>
        <v/>
      </c>
      <c r="Y389" s="569" t="str">
        <f t="shared" si="1041"/>
        <v/>
      </c>
      <c r="Z389" s="569" t="str">
        <f>HYPERLINK("https://www.klasekpyrotechnics.cz/c32016xb-c14")</f>
        <v>https://www.klasekpyrotechnics.cz/c32016xb-c14</v>
      </c>
      <c r="AA389" s="569" t="str">
        <f>IFERROR(IF(VLOOKUP(C389,[4]List1!$A:$D,4,FALSE)=0,"",VLOOKUP(C389,[4]List1!$A:$D,4,FALSE)),"")</f>
        <v/>
      </c>
      <c r="AB389" s="565"/>
      <c r="AC389" s="570" t="str">
        <f>IFERROR(IF(VLOOKUP(C389,[1]List1!$A:$D,2,FALSE)="VYPRODÁNO",$V$9,IF(VLOOKUP(C389,[1]List1!$A:$D,2,FALSE)="DOCHÁZÍ",$V$3,VLOOKUP(C389,[1]List1!$A:$D,2,FALSE))),"OFFLINE!")</f>
        <v>31.08.2026</v>
      </c>
      <c r="AD389" s="570" t="str">
        <f ca="1">IF(AP389="NE",$V$10,IF(AC389=$V$3,IF(AQ389&lt;1,$V$8,$V$2&amp;" "&amp;AQ389&amp;" "&amp;$V$1),IF(AC389="SKLADEM",$V$6,IFERROR(IF(OR(AC389-TODAY()&gt;45,VLOOKUP(C389,[1]List1!$A:$E,4,FALSE)=0),AC389,DAY(AC389)&amp;"."&amp;MONTH(AC389)&amp;"."&amp;YEAR(AC389)&amp;" "&amp;$V$4&amp;VLOOKUP(C389,[1]List1!$A:$E,4,FALSE)&amp;" "&amp;$V$1),AC389))))</f>
        <v>31.08.2026</v>
      </c>
      <c r="AE389" s="581" t="str">
        <f t="shared" ca="1" si="1042"/>
        <v>31.08.2026</v>
      </c>
      <c r="AF389" s="584">
        <f t="shared" si="1043"/>
        <v>0</v>
      </c>
      <c r="AG389" s="585">
        <f t="shared" si="1044"/>
        <v>0</v>
      </c>
      <c r="AH389" s="583">
        <f t="shared" si="1045"/>
        <v>0</v>
      </c>
      <c r="AI389" s="582">
        <f t="shared" si="1046"/>
        <v>0</v>
      </c>
      <c r="AJ389" s="569">
        <f t="shared" si="1047"/>
        <v>0</v>
      </c>
      <c r="AK389" s="569" t="str">
        <f t="shared" si="1048"/>
        <v/>
      </c>
      <c r="AL389" s="569" t="str">
        <f t="shared" si="1049"/>
        <v/>
      </c>
      <c r="AM389" s="569">
        <f t="shared" si="1050"/>
        <v>0</v>
      </c>
      <c r="AN389" s="581">
        <f t="shared" si="1051"/>
        <v>0</v>
      </c>
      <c r="AO389" s="623"/>
      <c r="AP389" s="625" t="str">
        <f t="shared" si="834"/>
        <v/>
      </c>
      <c r="AQ389" s="625" t="str">
        <f>IF(AC389=$V$3,IF(VLOOKUP(C389,[1]List1!$A:$E,5,FALSE)=0,1,VLOOKUP(C389,[1]List1!$A:$E,5,FALSE)),"")</f>
        <v/>
      </c>
      <c r="AR389" s="629" t="str">
        <f t="shared" si="835"/>
        <v/>
      </c>
      <c r="AS389" s="630" t="str">
        <f t="shared" si="836"/>
        <v/>
      </c>
      <c r="AT389" s="625" t="str">
        <f t="shared" si="837"/>
        <v/>
      </c>
      <c r="AU389" s="625" t="e">
        <f t="shared" si="838"/>
        <v>#N/A</v>
      </c>
      <c r="AV389" s="625" t="e">
        <f t="shared" si="839"/>
        <v>#N/A</v>
      </c>
      <c r="AW389" s="631"/>
      <c r="AX389" s="631">
        <f>IF(AND('General price list'!$J389="F4",'General price list'!$AB389+0&gt;0),1,0)</f>
        <v>0</v>
      </c>
      <c r="AY389" s="631">
        <f t="shared" si="840"/>
        <v>1</v>
      </c>
      <c r="AZ389" s="631">
        <f t="shared" si="841"/>
        <v>0</v>
      </c>
    </row>
    <row r="390" spans="1:52" ht="15" customHeight="1">
      <c r="A390" s="751" t="str">
        <f>Kat.!C390</f>
        <v xml:space="preserve">           Baterie 63 ran, 14 mm (30 ran), 16 mm (33 ran)</v>
      </c>
      <c r="B390" s="751"/>
      <c r="C390" s="751"/>
      <c r="D390" s="751"/>
      <c r="E390" s="751"/>
      <c r="F390" s="751"/>
      <c r="G390" s="751"/>
      <c r="H390" s="751"/>
      <c r="I390" s="752"/>
      <c r="J390" s="752"/>
      <c r="K390" s="752" t="s">
        <v>20</v>
      </c>
      <c r="L390" s="753" t="s">
        <v>20</v>
      </c>
      <c r="M390" s="752"/>
      <c r="N390" s="752"/>
      <c r="O390" s="752"/>
      <c r="P390" s="752"/>
      <c r="Q390" s="752"/>
      <c r="R390" s="752"/>
      <c r="S390" s="752"/>
      <c r="T390" s="752"/>
      <c r="U390" s="752"/>
      <c r="V390" s="752"/>
      <c r="W390" s="752"/>
      <c r="X390" s="752"/>
      <c r="Y390" s="752"/>
      <c r="Z390" s="752" t="s">
        <v>20</v>
      </c>
      <c r="AA390" s="752"/>
      <c r="AB390" s="752"/>
      <c r="AC390" s="754"/>
      <c r="AD390" s="752"/>
      <c r="AE390" s="752"/>
      <c r="AF390" s="752"/>
      <c r="AG390" s="752"/>
      <c r="AH390" s="752"/>
      <c r="AI390" s="752"/>
      <c r="AJ390" s="752"/>
      <c r="AK390" s="752"/>
      <c r="AL390" s="752"/>
      <c r="AM390" s="752"/>
      <c r="AN390" s="752"/>
      <c r="AO390" s="623"/>
      <c r="AP390" s="632" t="str">
        <f t="shared" si="834"/>
        <v/>
      </c>
      <c r="AQ390" s="633" t="str">
        <f>IF(AC390=$V$3,IF(VLOOKUP(C390,[1]List1!$A:$E,5,FALSE)=0,1,VLOOKUP(C390,[1]List1!$A:$E,5,FALSE)),"")</f>
        <v/>
      </c>
      <c r="AR390" s="625" t="str">
        <f t="shared" si="835"/>
        <v/>
      </c>
      <c r="AS390" s="634" t="str">
        <f t="shared" si="836"/>
        <v/>
      </c>
      <c r="AT390" s="625" t="str">
        <f t="shared" si="837"/>
        <v/>
      </c>
      <c r="AU390" s="638" t="e">
        <f t="shared" si="838"/>
        <v>#N/A</v>
      </c>
      <c r="AV390" s="625" t="e">
        <f t="shared" si="839"/>
        <v>#N/A</v>
      </c>
      <c r="AX390" s="625">
        <f>IF(AND('General price list'!$J390="F4",'General price list'!$AB390+0&gt;0),1,0)</f>
        <v>0</v>
      </c>
      <c r="AY390" s="625">
        <f t="shared" si="840"/>
        <v>0</v>
      </c>
      <c r="AZ390" s="625">
        <f t="shared" si="841"/>
        <v>0</v>
      </c>
    </row>
    <row r="391" spans="1:52" ht="15.75" customHeight="1">
      <c r="A391" s="639" t="str">
        <f>Kat.!C391</f>
        <v/>
      </c>
      <c r="B391" s="640">
        <f>IF(AND('General price list'!$J391="F4",$AI$1=FALSE),0,IF(AC391="SKLADEM",1,IF(AC391=$V$3,1,0)))</f>
        <v>1</v>
      </c>
      <c r="C391" s="641" t="s">
        <v>12023</v>
      </c>
      <c r="D391" s="642" t="s">
        <v>12024</v>
      </c>
      <c r="E391" s="643" t="s">
        <v>12678</v>
      </c>
      <c r="F391" s="773">
        <f>IFERROR(VLOOKUP(C391,[2]List1!$A:$D,3,FALSE),"NEUVEDENO!")</f>
        <v>558</v>
      </c>
      <c r="G391" s="770">
        <f t="shared" ref="G391" si="1052">IF($W$17=$AF$8,ROUND((F391)/$F$17,2),(F391)*$B$19)</f>
        <v>558</v>
      </c>
      <c r="H391" s="767">
        <f t="shared" ref="H391" si="1053">IF($W$17=$AF$8,G391*$B$19,G391/$F$17)</f>
        <v>23.703024047100204</v>
      </c>
      <c r="I391" s="644">
        <f>IFERROR(VLOOKUP(C391,[2]List1!$A:$D,4,FALSE),"NEUVEDENO!")</f>
        <v>8</v>
      </c>
      <c r="J391" s="733" t="s">
        <v>39</v>
      </c>
      <c r="K391" s="645" t="s">
        <v>20</v>
      </c>
      <c r="L391" s="645"/>
      <c r="M391" s="645" t="s">
        <v>21</v>
      </c>
      <c r="N391" s="645">
        <f>IFERROR(VLOOKUP(C391,[3]List1!$A:$D,4,FALSE),"N/A!")</f>
        <v>3.5997000000000001E-2</v>
      </c>
      <c r="O391" s="645">
        <f>IFERROR(VLOOKUP(C391,[3]List1!$A:$D,3,FALSE),"N/A!")</f>
        <v>1776</v>
      </c>
      <c r="P391" s="645">
        <f>IFERROR(VLOOKUP(C391,[3]List1!$A:$D,2,FALSE),"N/A!")</f>
        <v>13000</v>
      </c>
      <c r="Q391" s="645" t="s">
        <v>15058</v>
      </c>
      <c r="R391" s="645"/>
      <c r="S391" s="645" t="str">
        <f>IF($W$17=$AF$1,"design",IFERROR(VLOOKUP("design",Jazyky_ceník!$A:$Q,MATCH($W$17,Jazyky_ceník!$A$1:$Q$1,0),FALSE),"!!!"))</f>
        <v>design</v>
      </c>
      <c r="T391" s="645">
        <v>50</v>
      </c>
      <c r="U391" s="645" t="s">
        <v>12786</v>
      </c>
      <c r="V391" s="645" t="s">
        <v>12787</v>
      </c>
      <c r="W391" s="645" t="str">
        <f>IFERROR(IF(AND($AB391&gt;=0.1*$AA391,MOD($AB391,$AA391)&gt;=($AA391-(0.1*$AA391))),IF($W$17=$AF$1,"Zvažte možnost doobjednání ještě "&amp;Tabulka1[[#This Row],[VKPAL]]-MOD(AB391,AA391)&amp;" VK do plné palety.",VLOOKUP("Zvažte možnost doobjednání ještě ",Jazyky_ceník!A:Q,MATCH($W$17,Jazyky_ceník!$A$1:$Q$1,0),FALSE)&amp;Tabulka1[[#This Row],[VKPAL]]-MOD(AB391,AA391)&amp;VLOOKUP(" VK do plné palety.",Jazyky_ceník!A:Q,MATCH($W$17,Jazyky_ceník!$A$1:$Q$1,0),FALSE)),IFERROR(IF(AND(NOT(MOD($AB391,$AA391)=0),$AB391&gt;=0.9*$AA391,MOD($AB391,$AA391)&lt;=0.1*$AA391),IF($W$17=$AF$1,"Zvažte možnost optimalizace objednaného množství podle počtu VK na paletě ==&gt;",VLOOKUP("Zvažte možnost optimalizace objednaného množství podle počtu VK na paletě ==&gt;",Jazyky_ceník!A:Q,MATCH($W$17,Jazyky_ceník!$A$1:$Q$1,0),FALSE)),VLOOKUP('General price list'!$C391,Popisy!A:M,MATCH($W$17,Popisy!$A$7:$M$7,0),FALSE)),"---------------")),IFERROR(VLOOKUP('General price list'!$C391,Popisy!A:M,MATCH($W$17,Popisy!$A$7:$M$7,0),FALSE),"---------------"))</f>
        <v>7 různobarevných efektů</v>
      </c>
      <c r="X391" s="645" t="str">
        <f t="shared" ref="X391" si="1054">IF(AB391&lt;0.0001,"",AB391)</f>
        <v/>
      </c>
      <c r="Y391" s="645" t="str">
        <f t="shared" ref="Y391" si="1055">IF($AL$3=2,IF(OR(AB391&lt;&gt;"",AB391&lt;&gt;0),AU391,""),IF(C391="","",IF(AB391&lt;0.0001,"",IF(B391=0,"",IF(AQ391&lt;AB391,"",AB391)))))</f>
        <v/>
      </c>
      <c r="Z391" s="645" t="str">
        <f>HYPERLINK("https://www.klasekpyrotechnics.cz/c63mxs14")</f>
        <v>https://www.klasekpyrotechnics.cz/c63mxs14</v>
      </c>
      <c r="AA391" s="645">
        <f>IFERROR(IF(VLOOKUP(C391,[4]List1!$A:$D,4,FALSE)=0,"",VLOOKUP(C391,[4]List1!$A:$D,4,FALSE)),"")</f>
        <v>36</v>
      </c>
      <c r="AB391" s="646"/>
      <c r="AC391" s="647" t="str">
        <f>IFERROR(IF(VLOOKUP(C391,[1]List1!$A:$D,2,FALSE)="VYPRODÁNO",$V$9,IF(VLOOKUP(C391,[1]List1!$A:$D,2,FALSE)="DOCHÁZÍ",$V$3,VLOOKUP(C391,[1]List1!$A:$D,2,FALSE))),"OFFLINE!")</f>
        <v>SKLADEM</v>
      </c>
      <c r="AD391" s="647" t="str">
        <f ca="1">IF(AP391="NE",$V$10,IF(AC391=$V$3,IF(AQ391&lt;1,$V$8,$V$2&amp;" "&amp;AQ391&amp;" "&amp;$V$1),IF(AC391="SKLADEM",$V$6,IFERROR(IF(OR(AC391-TODAY()&gt;45,VLOOKUP(C391,[1]List1!$A:$E,4,FALSE)=0),AC391,DAY(AC391)&amp;"."&amp;MONTH(AC391)&amp;"."&amp;YEAR(AC391)&amp;" "&amp;$V$4&amp;VLOOKUP(C391,[1]List1!$A:$E,4,FALSE)&amp;" "&amp;$V$1),AC391))))</f>
        <v>SKLADEM</v>
      </c>
      <c r="AE391" s="645" t="str">
        <f t="shared" ref="AE391" ca="1" si="1056">IFERROR(IF(AV391&lt;&gt;"",AV391,AD391),AD391)</f>
        <v>SKLADEM</v>
      </c>
      <c r="AF391" s="648">
        <f t="shared" ref="AF391" si="1057">IFERROR(IF(AB391=Y391,G391*I391*Y391,0),0)</f>
        <v>0</v>
      </c>
      <c r="AG391" s="649">
        <f t="shared" ref="AG391" si="1058">IF($W$17=$AF$8,AH391*1.23,AF391*1.21)</f>
        <v>0</v>
      </c>
      <c r="AH391" s="650">
        <f t="shared" ref="AH391" si="1059">IFERROR(IF(Y391=AB391,H391*I391*Y391,0),0)</f>
        <v>0</v>
      </c>
      <c r="AI391" s="645">
        <f t="shared" ref="AI391" si="1060">IFERROR(IF(Y391=AB391,(P391*Y391)/1000,1),0)</f>
        <v>0</v>
      </c>
      <c r="AJ391" s="645">
        <f t="shared" ref="AJ391" si="1061">IFERROR(IF(Y391=AB391,N391*Y391,0.1),0)</f>
        <v>0</v>
      </c>
      <c r="AK391" s="645" t="str">
        <f t="shared" ref="AK391" si="1062">IFERROR(IF(Y391=AB391,IF(M391="1.1G",(O391/1000)*Y391,""),""),0)</f>
        <v/>
      </c>
      <c r="AL391" s="645" t="str">
        <f t="shared" ref="AL391" si="1063">IFERROR(IF(Y391=AB391,IF(M391="1.3G",(O391/1000)*AB391,""),""),0)</f>
        <v/>
      </c>
      <c r="AM391" s="645">
        <f t="shared" ref="AM391" si="1064">IFERROR(IF(Y391=AB391,IF(M391="1.4G",(O391/1000)*AB391,""),""),0)</f>
        <v>0</v>
      </c>
      <c r="AN391" s="651">
        <f t="shared" ref="AN391" si="1065">SUM(AK391:AM391)</f>
        <v>0</v>
      </c>
      <c r="AO391" s="623"/>
      <c r="AP391" s="625" t="str">
        <f t="shared" si="834"/>
        <v/>
      </c>
      <c r="AQ391" s="625" t="str">
        <f>IF(AC391=$V$3,IF(VLOOKUP(C391,[1]List1!$A:$E,5,FALSE)=0,1,VLOOKUP(C391,[1]List1!$A:$E,5,FALSE)),"")</f>
        <v/>
      </c>
      <c r="AR391" s="629" t="str">
        <f t="shared" si="835"/>
        <v/>
      </c>
      <c r="AS391" s="630" t="str">
        <f t="shared" si="836"/>
        <v/>
      </c>
      <c r="AT391" s="625" t="str">
        <f t="shared" si="837"/>
        <v/>
      </c>
      <c r="AU391" s="625" t="e">
        <f t="shared" si="838"/>
        <v>#N/A</v>
      </c>
      <c r="AV391" s="625" t="e">
        <f t="shared" si="839"/>
        <v>#N/A</v>
      </c>
      <c r="AW391" s="631"/>
      <c r="AX391" s="631">
        <f>IF(AND('General price list'!$J391="F4",'General price list'!$AB391+0&gt;0),1,0)</f>
        <v>0</v>
      </c>
      <c r="AY391" s="631">
        <f t="shared" si="840"/>
        <v>1</v>
      </c>
      <c r="AZ391" s="631">
        <f t="shared" si="841"/>
        <v>0</v>
      </c>
    </row>
    <row r="392" spans="1:52" ht="15" customHeight="1">
      <c r="A392" s="751" t="str">
        <f>Kat.!C392</f>
        <v xml:space="preserve">           Baterie 9 ran, 20 mm moždíř – 1.3G</v>
      </c>
      <c r="B392" s="751"/>
      <c r="C392" s="751"/>
      <c r="D392" s="751"/>
      <c r="E392" s="751"/>
      <c r="F392" s="751"/>
      <c r="G392" s="751"/>
      <c r="H392" s="751"/>
      <c r="I392" s="752"/>
      <c r="J392" s="752"/>
      <c r="K392" s="752" t="s">
        <v>20</v>
      </c>
      <c r="L392" s="753" t="s">
        <v>2818</v>
      </c>
      <c r="M392" s="752"/>
      <c r="N392" s="752"/>
      <c r="O392" s="752"/>
      <c r="P392" s="752"/>
      <c r="Q392" s="752"/>
      <c r="R392" s="752"/>
      <c r="S392" s="752"/>
      <c r="T392" s="752"/>
      <c r="U392" s="752"/>
      <c r="V392" s="752"/>
      <c r="W392" s="752"/>
      <c r="X392" s="752"/>
      <c r="Y392" s="752"/>
      <c r="Z392" s="752" t="s">
        <v>20</v>
      </c>
      <c r="AA392" s="752"/>
      <c r="AB392" s="752"/>
      <c r="AC392" s="754"/>
      <c r="AD392" s="752"/>
      <c r="AE392" s="752"/>
      <c r="AF392" s="752"/>
      <c r="AG392" s="752"/>
      <c r="AH392" s="752"/>
      <c r="AI392" s="752"/>
      <c r="AJ392" s="752"/>
      <c r="AK392" s="752"/>
      <c r="AL392" s="752"/>
      <c r="AM392" s="752"/>
      <c r="AN392" s="752"/>
      <c r="AO392" s="623"/>
      <c r="AP392" s="632" t="str">
        <f t="shared" si="834"/>
        <v/>
      </c>
      <c r="AQ392" s="633" t="str">
        <f>IF(AC392=$V$3,IF(VLOOKUP(C392,[1]List1!$A:$E,5,FALSE)=0,1,VLOOKUP(C392,[1]List1!$A:$E,5,FALSE)),"")</f>
        <v/>
      </c>
      <c r="AR392" s="625" t="str">
        <f t="shared" si="835"/>
        <v/>
      </c>
      <c r="AS392" s="634" t="str">
        <f t="shared" si="836"/>
        <v/>
      </c>
      <c r="AT392" s="625" t="str">
        <f t="shared" si="837"/>
        <v/>
      </c>
      <c r="AU392" s="638" t="e">
        <f t="shared" si="838"/>
        <v>#N/A</v>
      </c>
      <c r="AV392" s="625" t="e">
        <f t="shared" si="839"/>
        <v>#N/A</v>
      </c>
      <c r="AX392" s="625">
        <f>IF(AND('General price list'!$J392="F4",'General price list'!$AB392+0&gt;0),1,0)</f>
        <v>0</v>
      </c>
      <c r="AY392" s="625">
        <f t="shared" si="840"/>
        <v>0</v>
      </c>
      <c r="AZ392" s="625">
        <f t="shared" si="841"/>
        <v>0</v>
      </c>
    </row>
    <row r="393" spans="1:52" ht="15" customHeight="1">
      <c r="A393" s="639" t="str">
        <f>Kat.!C393</f>
        <v/>
      </c>
      <c r="B393" s="640">
        <f>IF(AND('General price list'!$J393="F4",$AI$1=FALSE),0,IF(AC393="SKLADEM",1,IF(AC393=$V$3,1,0)))</f>
        <v>1</v>
      </c>
      <c r="C393" s="641" t="s">
        <v>954</v>
      </c>
      <c r="D393" s="642" t="s">
        <v>11875</v>
      </c>
      <c r="E393" s="643" t="s">
        <v>12653</v>
      </c>
      <c r="F393" s="791">
        <f>IFERROR(VLOOKUP(C393,[2]List1!$A:$D,3,FALSE),"NEUVEDENO!")</f>
        <v>75</v>
      </c>
      <c r="G393" s="768">
        <f t="shared" ref="G393:G394" si="1066">IF($W$17=$AF$8,ROUND((F393)/$F$17,2),(F393)*$B$19)</f>
        <v>75</v>
      </c>
      <c r="H393" s="765">
        <f t="shared" ref="H393:H394" si="1067">IF($W$17=$AF$8,G393*$B$19,G393/$F$17)</f>
        <v>3.1858903289113174</v>
      </c>
      <c r="I393" s="644">
        <f>IFERROR(VLOOKUP(C393,[2]List1!$A:$D,4,FALSE),"NEUVEDENO!")</f>
        <v>40</v>
      </c>
      <c r="J393" s="733" t="s">
        <v>39</v>
      </c>
      <c r="K393" s="645" t="s">
        <v>11100</v>
      </c>
      <c r="L393" s="645" t="s">
        <v>10988</v>
      </c>
      <c r="M393" s="645" t="s">
        <v>114</v>
      </c>
      <c r="N393" s="645">
        <f>IFERROR(VLOOKUP(C393,[3]List1!$A:$D,4,FALSE),"N/A!")</f>
        <v>3.6196874999999996E-2</v>
      </c>
      <c r="O393" s="645">
        <f>IFERROR(VLOOKUP(C393,[3]List1!$A:$D,3,FALSE),"N/A!")</f>
        <v>2880</v>
      </c>
      <c r="P393" s="645">
        <f>IFERROR(VLOOKUP(C393,[3]List1!$A:$D,2,FALSE),"N/A!")</f>
        <v>14500</v>
      </c>
      <c r="Q393" s="645" t="s">
        <v>11289</v>
      </c>
      <c r="R393" s="645"/>
      <c r="S393" s="645" t="str">
        <f>IF($W$17=$AF$1,"červená fólie",IFERROR(VLOOKUP("červená fólie",Jazyky_ceník!$A:$Q,MATCH($W$17,Jazyky_ceník!$A$1:$Q$1,0),FALSE),"!!!"))</f>
        <v>červená fólie</v>
      </c>
      <c r="T393" s="645">
        <v>15</v>
      </c>
      <c r="U393" s="645">
        <v>25</v>
      </c>
      <c r="V393" s="645">
        <v>16</v>
      </c>
      <c r="W393" s="645" t="str">
        <f>IFERROR(IF(AND($AB393&gt;=0.1*$AA393,MOD($AB393,$AA393)&gt;=($AA393-(0.1*$AA393))),IF($W$17=$AF$1,"Zvažte možnost doobjednání ještě "&amp;Tabulka1[[#This Row],[VKPAL]]-MOD(AB393,AA393)&amp;" VK do plné palety.",VLOOKUP("Zvažte možnost doobjednání ještě ",Jazyky_ceník!A:Q,MATCH($W$17,Jazyky_ceník!$A$1:$Q$1,0),FALSE)&amp;Tabulka1[[#This Row],[VKPAL]]-MOD(AB393,AA393)&amp;VLOOKUP(" VK do plné palety.",Jazyky_ceník!A:Q,MATCH($W$17,Jazyky_ceník!$A$1:$Q$1,0),FALSE)),IFERROR(IF(AND(NOT(MOD($AB393,$AA393)=0),$AB393&gt;=0.9*$AA393,MOD($AB393,$AA393)&lt;=0.1*$AA393),IF($W$17=$AF$1,"Zvažte možnost optimalizace objednaného množství podle počtu VK na paletě ==&gt;",VLOOKUP("Zvažte možnost optimalizace objednaného množství podle počtu VK na paletě ==&gt;",Jazyky_ceník!A:Q,MATCH($W$17,Jazyky_ceník!$A$1:$Q$1,0),FALSE)),VLOOKUP('General price list'!$C393,Popisy!A:M,MATCH($W$17,Popisy!$A$7:$M$7,0),FALSE)),"---------------")),IFERROR(VLOOKUP('General price list'!$C393,Popisy!A:M,MATCH($W$17,Popisy!$A$7:$M$7,0),FALSE),"---------------"))</f>
        <v>3 různobarevné efekty</v>
      </c>
      <c r="X393" s="645" t="str">
        <f t="shared" ref="X393:X394" si="1068">IF(AB393&lt;0.0001,"",AB393)</f>
        <v/>
      </c>
      <c r="Y393" s="645" t="str">
        <f t="shared" ref="Y393:Y394" si="1069">IF($AL$3=2,IF(OR(AB393&lt;&gt;"",AB393&lt;&gt;0),AU393,""),IF(C393="","",IF(AB393&lt;0.0001,"",IF(B393=0,"",IF(AQ393&lt;AB393,"",AB393)))))</f>
        <v/>
      </c>
      <c r="Z393" s="645" t="str">
        <f>HYPERLINK("https://www.klasekpyrotechnics.cz/c920l")</f>
        <v>https://www.klasekpyrotechnics.cz/c920l</v>
      </c>
      <c r="AA393" s="645">
        <f>IFERROR(IF(VLOOKUP(C393,[4]List1!$A:$D,4,FALSE)=0,"",VLOOKUP(C393,[4]List1!$A:$D,4,FALSE)),"")</f>
        <v>36</v>
      </c>
      <c r="AB393" s="646"/>
      <c r="AC393" s="647" t="str">
        <f>IFERROR(IF(VLOOKUP(C393,[1]List1!$A:$D,2,FALSE)="VYPRODÁNO",$V$9,IF(VLOOKUP(C393,[1]List1!$A:$D,2,FALSE)="DOCHÁZÍ",$V$3,VLOOKUP(C393,[1]List1!$A:$D,2,FALSE))),"OFFLINE!")</f>
        <v>SKLADEM</v>
      </c>
      <c r="AD393" s="647" t="str">
        <f ca="1">IF(AP393="NE",$V$10,IF(AC393=$V$3,IF(AQ393&lt;1,$V$8,$V$2&amp;" "&amp;AQ393&amp;" "&amp;$V$1),IF(AC393="SKLADEM",$V$6,IFERROR(IF(OR(AC393-TODAY()&gt;45,VLOOKUP(C393,[1]List1!$A:$E,4,FALSE)=0),AC393,DAY(AC393)&amp;"."&amp;MONTH(AC393)&amp;"."&amp;YEAR(AC393)&amp;" "&amp;$V$4&amp;VLOOKUP(C393,[1]List1!$A:$E,4,FALSE)&amp;" "&amp;$V$1),AC393))))</f>
        <v>SKLADEM</v>
      </c>
      <c r="AE393" s="645" t="str">
        <f t="shared" ref="AE393:AE394" ca="1" si="1070">IFERROR(IF(AV393&lt;&gt;"",AV393,AD393),AD393)</f>
        <v>SKLADEM</v>
      </c>
      <c r="AF393" s="648">
        <f t="shared" ref="AF393:AF394" si="1071">IFERROR(IF(AB393=Y393,G393*I393*Y393,0),0)</f>
        <v>0</v>
      </c>
      <c r="AG393" s="649">
        <f t="shared" ref="AG393:AG394" si="1072">IF($W$17=$AF$8,AH393*1.23,AF393*1.21)</f>
        <v>0</v>
      </c>
      <c r="AH393" s="650">
        <f t="shared" ref="AH393:AH394" si="1073">IFERROR(IF(Y393=AB393,H393*I393*Y393,0),0)</f>
        <v>0</v>
      </c>
      <c r="AI393" s="645">
        <f t="shared" ref="AI393:AI394" si="1074">IFERROR(IF(Y393=AB393,(P393*Y393)/1000,1),0)</f>
        <v>0</v>
      </c>
      <c r="AJ393" s="645">
        <f t="shared" ref="AJ393:AJ394" si="1075">IFERROR(IF(Y393=AB393,N393*Y393,0.1),0)</f>
        <v>0</v>
      </c>
      <c r="AK393" s="645" t="str">
        <f t="shared" ref="AK393:AK394" si="1076">IFERROR(IF(Y393=AB393,IF(M393="1.1G",(O393/1000)*Y393,""),""),0)</f>
        <v/>
      </c>
      <c r="AL393" s="645">
        <f t="shared" ref="AL393:AL394" si="1077">IFERROR(IF(Y393=AB393,IF(M393="1.3G",(O393/1000)*AB393,""),""),0)</f>
        <v>0</v>
      </c>
      <c r="AM393" s="645" t="str">
        <f t="shared" ref="AM393:AM394" si="1078">IFERROR(IF(Y393=AB393,IF(M393="1.4G",(O393/1000)*AB393,""),""),0)</f>
        <v/>
      </c>
      <c r="AN393" s="651">
        <f t="shared" ref="AN393:AN394" si="1079">SUM(AK393:AM393)</f>
        <v>0</v>
      </c>
      <c r="AO393" s="623"/>
      <c r="AP393" s="632" t="str">
        <f t="shared" si="834"/>
        <v/>
      </c>
      <c r="AQ393" s="633" t="str">
        <f>IF(AC393=$V$3,IF(VLOOKUP(C393,[1]List1!$A:$E,5,FALSE)=0,1,VLOOKUP(C393,[1]List1!$A:$E,5,FALSE)),"")</f>
        <v/>
      </c>
      <c r="AR393" s="625" t="str">
        <f t="shared" si="835"/>
        <v/>
      </c>
      <c r="AS393" s="634" t="str">
        <f t="shared" si="836"/>
        <v/>
      </c>
      <c r="AT393" s="625" t="str">
        <f t="shared" si="837"/>
        <v/>
      </c>
      <c r="AU393" s="638" t="e">
        <f t="shared" si="838"/>
        <v>#N/A</v>
      </c>
      <c r="AV393" s="625" t="e">
        <f t="shared" si="839"/>
        <v>#N/A</v>
      </c>
      <c r="AX393" s="625">
        <f>IF(AND('General price list'!$J393="F4",'General price list'!$AB393+0&gt;0),1,0)</f>
        <v>0</v>
      </c>
      <c r="AY393" s="625">
        <f t="shared" si="840"/>
        <v>1</v>
      </c>
      <c r="AZ393" s="625">
        <f t="shared" si="841"/>
        <v>0</v>
      </c>
    </row>
    <row r="394" spans="1:52" ht="15.75" customHeight="1">
      <c r="A394" s="621" t="str">
        <f>Kat.!C394</f>
        <v/>
      </c>
      <c r="B394" s="566">
        <f>IF(AND('General price list'!$J394="F4",$AI$1=FALSE),0,IF(AC394="SKLADEM",1,IF(AC394=$V$3,1,0)))</f>
        <v>1</v>
      </c>
      <c r="C394" s="567" t="s">
        <v>958</v>
      </c>
      <c r="D394" s="568" t="s">
        <v>959</v>
      </c>
      <c r="E394" s="763" t="s">
        <v>12653</v>
      </c>
      <c r="F394" s="791">
        <f>IFERROR(VLOOKUP(C394,[2]List1!$A:$D,3,FALSE),"NEUVEDENO!")</f>
        <v>75</v>
      </c>
      <c r="G394" s="769">
        <f t="shared" si="1066"/>
        <v>75</v>
      </c>
      <c r="H394" s="766">
        <f t="shared" si="1067"/>
        <v>3.1858903289113174</v>
      </c>
      <c r="I394" s="764">
        <f>IFERROR(VLOOKUP(C394,[2]List1!$A:$D,4,FALSE),"NEUVEDENO!")</f>
        <v>40</v>
      </c>
      <c r="J394" s="732" t="s">
        <v>39</v>
      </c>
      <c r="K394" s="569" t="s">
        <v>11100</v>
      </c>
      <c r="L394" s="569" t="s">
        <v>10988</v>
      </c>
      <c r="M394" s="569" t="s">
        <v>114</v>
      </c>
      <c r="N394" s="569">
        <f>IFERROR(VLOOKUP(C394,[3]List1!$A:$D,4,FALSE),"N/A!")</f>
        <v>3.6196874999999996E-2</v>
      </c>
      <c r="O394" s="569">
        <f>IFERROR(VLOOKUP(C394,[3]List1!$A:$D,3,FALSE),"N/A!")</f>
        <v>2880</v>
      </c>
      <c r="P394" s="569">
        <f>IFERROR(VLOOKUP(C394,[3]List1!$A:$D,2,FALSE),"N/A!")</f>
        <v>14500</v>
      </c>
      <c r="Q394" s="569" t="s">
        <v>11269</v>
      </c>
      <c r="R394" s="569"/>
      <c r="S394" s="569" t="str">
        <f>IF($W$17=$AF$1,"červená fólie",IFERROR(VLOOKUP("červená fólie",Jazyky_ceník!$A:$Q,MATCH($W$17,Jazyky_ceník!$A$1:$Q$1,0),FALSE),"!!!"))</f>
        <v>červená fólie</v>
      </c>
      <c r="T394" s="569">
        <v>15</v>
      </c>
      <c r="U394" s="569">
        <v>25</v>
      </c>
      <c r="V394" s="569">
        <v>16</v>
      </c>
      <c r="W394" s="569" t="str">
        <f>IFERROR(IF(AND($AB394&gt;=0.1*$AA394,MOD($AB394,$AA394)&gt;=($AA394-(0.1*$AA394))),IF($W$17=$AF$1,"Zvažte možnost doobjednání ještě "&amp;Tabulka1[[#This Row],[VKPAL]]-MOD(AB394,AA394)&amp;" VK do plné palety.",VLOOKUP("Zvažte možnost doobjednání ještě ",Jazyky_ceník!A:Q,MATCH($W$17,Jazyky_ceník!$A$1:$Q$1,0),FALSE)&amp;Tabulka1[[#This Row],[VKPAL]]-MOD(AB394,AA394)&amp;VLOOKUP(" VK do plné palety.",Jazyky_ceník!A:Q,MATCH($W$17,Jazyky_ceník!$A$1:$Q$1,0),FALSE)),IFERROR(IF(AND(NOT(MOD($AB394,$AA394)=0),$AB394&gt;=0.9*$AA394,MOD($AB394,$AA394)&lt;=0.1*$AA394),IF($W$17=$AF$1,"Zvažte možnost optimalizace objednaného množství podle počtu VK na paletě ==&gt;",VLOOKUP("Zvažte možnost optimalizace objednaného množství podle počtu VK na paletě ==&gt;",Jazyky_ceník!A:Q,MATCH($W$17,Jazyky_ceník!$A$1:$Q$1,0),FALSE)),VLOOKUP('General price list'!$C394,Popisy!A:M,MATCH($W$17,Popisy!$A$7:$M$7,0),FALSE)),"---------------")),IFERROR(VLOOKUP('General price list'!$C394,Popisy!A:M,MATCH($W$17,Popisy!$A$7:$M$7,0),FALSE),"---------------"))</f>
        <v>3 různobarevné efekty</v>
      </c>
      <c r="X394" s="569" t="str">
        <f t="shared" si="1068"/>
        <v/>
      </c>
      <c r="Y394" s="569" t="str">
        <f t="shared" si="1069"/>
        <v/>
      </c>
      <c r="Z394" s="569" t="str">
        <f>HYPERLINK("https://www.klasekpyrotechnics.cz/c920m")</f>
        <v>https://www.klasekpyrotechnics.cz/c920m</v>
      </c>
      <c r="AA394" s="569">
        <f>IFERROR(IF(VLOOKUP(C394,[4]List1!$A:$D,4,FALSE)=0,"",VLOOKUP(C394,[4]List1!$A:$D,4,FALSE)),"")</f>
        <v>36</v>
      </c>
      <c r="AB394" s="565"/>
      <c r="AC394" s="570" t="str">
        <f>IFERROR(IF(VLOOKUP(C394,[1]List1!$A:$D,2,FALSE)="VYPRODÁNO",$V$9,IF(VLOOKUP(C394,[1]List1!$A:$D,2,FALSE)="DOCHÁZÍ",$V$3,VLOOKUP(C394,[1]List1!$A:$D,2,FALSE))),"OFFLINE!")</f>
        <v>SKLADEM</v>
      </c>
      <c r="AD394" s="570" t="str">
        <f ca="1">IF(AP394="NE",$V$10,IF(AC394=$V$3,IF(AQ394&lt;1,$V$8,$V$2&amp;" "&amp;AQ394&amp;" "&amp;$V$1),IF(AC394="SKLADEM",$V$6,IFERROR(IF(OR(AC394-TODAY()&gt;45,VLOOKUP(C394,[1]List1!$A:$E,4,FALSE)=0),AC394,DAY(AC394)&amp;"."&amp;MONTH(AC394)&amp;"."&amp;YEAR(AC394)&amp;" "&amp;$V$4&amp;VLOOKUP(C394,[1]List1!$A:$E,4,FALSE)&amp;" "&amp;$V$1),AC394))))</f>
        <v>SKLADEM</v>
      </c>
      <c r="AE394" s="581" t="str">
        <f t="shared" ca="1" si="1070"/>
        <v>SKLADEM</v>
      </c>
      <c r="AF394" s="584">
        <f t="shared" si="1071"/>
        <v>0</v>
      </c>
      <c r="AG394" s="585">
        <f t="shared" si="1072"/>
        <v>0</v>
      </c>
      <c r="AH394" s="583">
        <f t="shared" si="1073"/>
        <v>0</v>
      </c>
      <c r="AI394" s="582">
        <f t="shared" si="1074"/>
        <v>0</v>
      </c>
      <c r="AJ394" s="569">
        <f t="shared" si="1075"/>
        <v>0</v>
      </c>
      <c r="AK394" s="569" t="str">
        <f t="shared" si="1076"/>
        <v/>
      </c>
      <c r="AL394" s="569">
        <f t="shared" si="1077"/>
        <v>0</v>
      </c>
      <c r="AM394" s="569" t="str">
        <f t="shared" si="1078"/>
        <v/>
      </c>
      <c r="AN394" s="581">
        <f t="shared" si="1079"/>
        <v>0</v>
      </c>
      <c r="AO394" s="623"/>
      <c r="AP394" s="625" t="str">
        <f t="shared" si="834"/>
        <v/>
      </c>
      <c r="AQ394" s="625" t="str">
        <f>IF(AC394=$V$3,IF(VLOOKUP(C394,[1]List1!$A:$E,5,FALSE)=0,1,VLOOKUP(C394,[1]List1!$A:$E,5,FALSE)),"")</f>
        <v/>
      </c>
      <c r="AR394" s="629" t="str">
        <f t="shared" si="835"/>
        <v/>
      </c>
      <c r="AS394" s="630" t="str">
        <f t="shared" si="836"/>
        <v/>
      </c>
      <c r="AT394" s="625" t="str">
        <f t="shared" si="837"/>
        <v/>
      </c>
      <c r="AU394" s="625" t="e">
        <f t="shared" si="838"/>
        <v>#N/A</v>
      </c>
      <c r="AV394" s="625" t="e">
        <f t="shared" si="839"/>
        <v>#N/A</v>
      </c>
      <c r="AW394" s="631"/>
      <c r="AX394" s="631">
        <f>IF(AND('General price list'!$J394="F4",'General price list'!$AB394+0&gt;0),1,0)</f>
        <v>0</v>
      </c>
      <c r="AY394" s="631">
        <f t="shared" si="840"/>
        <v>1</v>
      </c>
      <c r="AZ394" s="631">
        <f t="shared" si="841"/>
        <v>0</v>
      </c>
    </row>
    <row r="395" spans="1:52" ht="15" customHeight="1">
      <c r="A395" s="751" t="str">
        <f>Kat.!C395</f>
        <v xml:space="preserve">           Baterie 16 ran, 20 mm moždíř – 1.3G</v>
      </c>
      <c r="B395" s="751"/>
      <c r="C395" s="751"/>
      <c r="D395" s="751"/>
      <c r="E395" s="751"/>
      <c r="F395" s="751"/>
      <c r="G395" s="751"/>
      <c r="H395" s="751"/>
      <c r="I395" s="752"/>
      <c r="J395" s="752"/>
      <c r="K395" s="752" t="s">
        <v>20</v>
      </c>
      <c r="L395" s="753" t="s">
        <v>2818</v>
      </c>
      <c r="M395" s="752"/>
      <c r="N395" s="752"/>
      <c r="O395" s="752"/>
      <c r="P395" s="752"/>
      <c r="Q395" s="752"/>
      <c r="R395" s="752"/>
      <c r="S395" s="752"/>
      <c r="T395" s="752"/>
      <c r="U395" s="752"/>
      <c r="V395" s="752"/>
      <c r="W395" s="752"/>
      <c r="X395" s="752"/>
      <c r="Y395" s="752"/>
      <c r="Z395" s="752" t="s">
        <v>20</v>
      </c>
      <c r="AA395" s="752"/>
      <c r="AB395" s="752"/>
      <c r="AC395" s="754"/>
      <c r="AD395" s="752"/>
      <c r="AE395" s="752"/>
      <c r="AF395" s="752"/>
      <c r="AG395" s="752"/>
      <c r="AH395" s="752"/>
      <c r="AI395" s="752"/>
      <c r="AJ395" s="752"/>
      <c r="AK395" s="752"/>
      <c r="AL395" s="752"/>
      <c r="AM395" s="752"/>
      <c r="AN395" s="752"/>
      <c r="AO395" s="623"/>
      <c r="AP395" s="632" t="str">
        <f t="shared" si="834"/>
        <v/>
      </c>
      <c r="AQ395" s="633" t="str">
        <f>IF(AC395=$V$3,IF(VLOOKUP(C395,[1]List1!$A:$E,5,FALSE)=0,1,VLOOKUP(C395,[1]List1!$A:$E,5,FALSE)),"")</f>
        <v/>
      </c>
      <c r="AR395" s="625" t="str">
        <f t="shared" si="835"/>
        <v/>
      </c>
      <c r="AS395" s="634" t="str">
        <f t="shared" si="836"/>
        <v/>
      </c>
      <c r="AT395" s="625" t="str">
        <f t="shared" si="837"/>
        <v/>
      </c>
      <c r="AU395" s="638" t="e">
        <f t="shared" si="838"/>
        <v>#N/A</v>
      </c>
      <c r="AV395" s="625" t="e">
        <f t="shared" si="839"/>
        <v>#N/A</v>
      </c>
      <c r="AX395" s="625">
        <f>IF(AND('General price list'!$J395="F4",'General price list'!$AB395+0&gt;0),1,0)</f>
        <v>0</v>
      </c>
      <c r="AY395" s="625">
        <f t="shared" si="840"/>
        <v>0</v>
      </c>
      <c r="AZ395" s="625">
        <f t="shared" si="841"/>
        <v>0</v>
      </c>
    </row>
    <row r="396" spans="1:52" ht="15" customHeight="1">
      <c r="A396" s="639" t="str">
        <f>Kat.!C396</f>
        <v/>
      </c>
      <c r="B396" s="640">
        <f>IF(AND('General price list'!$J396="F4",$AI$1=FALSE),0,IF(AC396="SKLADEM",1,IF(AC396=$V$3,1,0)))</f>
        <v>0</v>
      </c>
      <c r="C396" s="641" t="s">
        <v>960</v>
      </c>
      <c r="D396" s="642" t="s">
        <v>12538</v>
      </c>
      <c r="E396" s="643" t="s">
        <v>12681</v>
      </c>
      <c r="F396" s="771">
        <f>IFERROR(VLOOKUP(C396,[2]List1!$A:$D,3,FALSE),"NEUVEDENO!")</f>
        <v>131</v>
      </c>
      <c r="G396" s="768">
        <f t="shared" ref="G396:G401" si="1080">IF($W$17=$AF$8,ROUND((F396)/$F$17,2),(F396)*$B$19)</f>
        <v>131</v>
      </c>
      <c r="H396" s="765">
        <f t="shared" ref="H396:H401" si="1081">IF($W$17=$AF$8,G396*$B$19,G396/$F$17)</f>
        <v>5.5646884411651012</v>
      </c>
      <c r="I396" s="644">
        <f>IFERROR(VLOOKUP(C396,[2]List1!$A:$D,4,FALSE),"NEUVEDENO!")</f>
        <v>24</v>
      </c>
      <c r="J396" s="733" t="s">
        <v>39</v>
      </c>
      <c r="K396" s="645" t="s">
        <v>20</v>
      </c>
      <c r="L396" s="645" t="s">
        <v>10989</v>
      </c>
      <c r="M396" s="645" t="s">
        <v>114</v>
      </c>
      <c r="N396" s="645">
        <f>IFERROR(VLOOKUP(C396,[3]List1!$A:$D,4,FALSE),"N/A!")</f>
        <v>3.6861499999999991E-2</v>
      </c>
      <c r="O396" s="645">
        <f>IFERROR(VLOOKUP(C396,[3]List1!$A:$D,3,FALSE),"N/A!")</f>
        <v>3072</v>
      </c>
      <c r="P396" s="645">
        <f>IFERROR(VLOOKUP(C396,[3]List1!$A:$D,2,FALSE),"N/A!")</f>
        <v>17500</v>
      </c>
      <c r="Q396" s="645" t="s">
        <v>11244</v>
      </c>
      <c r="R396" s="645"/>
      <c r="S396" s="645" t="str">
        <f>IF($W$17=$AF$1,"design",IFERROR(VLOOKUP("design",Jazyky_ceník!$A:$Q,MATCH($W$17,Jazyky_ceník!$A$1:$Q$1,0),FALSE),"!!!"))</f>
        <v>design</v>
      </c>
      <c r="T396" s="645">
        <v>15</v>
      </c>
      <c r="U396" s="645">
        <v>25</v>
      </c>
      <c r="V396" s="645"/>
      <c r="W396" s="645" t="str">
        <f>IFERROR(IF(AND($AB396&gt;=0.1*$AA396,MOD($AB396,$AA396)&gt;=($AA396-(0.1*$AA396))),IF($W$17=$AF$1,"Zvažte možnost doobjednání ještě "&amp;Tabulka1[[#This Row],[VKPAL]]-MOD(AB396,AA396)&amp;" VK do plné palety.",VLOOKUP("Zvažte možnost doobjednání ještě ",Jazyky_ceník!A:Q,MATCH($W$17,Jazyky_ceník!$A$1:$Q$1,0),FALSE)&amp;Tabulka1[[#This Row],[VKPAL]]-MOD(AB396,AA396)&amp;VLOOKUP(" VK do plné palety.",Jazyky_ceník!A:Q,MATCH($W$17,Jazyky_ceník!$A$1:$Q$1,0),FALSE)),IFERROR(IF(AND(NOT(MOD($AB396,$AA396)=0),$AB396&gt;=0.9*$AA396,MOD($AB396,$AA396)&lt;=0.1*$AA396),IF($W$17=$AF$1,"Zvažte možnost optimalizace objednaného množství podle počtu VK na paletě ==&gt;",VLOOKUP("Zvažte možnost optimalizace objednaného množství podle počtu VK na paletě ==&gt;",Jazyky_ceník!A:Q,MATCH($W$17,Jazyky_ceník!$A$1:$Q$1,0),FALSE)),VLOOKUP('General price list'!$C396,Popisy!A:M,MATCH($W$17,Popisy!$A$7:$M$7,0),FALSE)),"---------------")),IFERROR(VLOOKUP('General price list'!$C396,Popisy!A:M,MATCH($W$17,Popisy!$A$7:$M$7,0),FALSE),"---------------"))</f>
        <v>stříbrná mina s červenou stopou a titanovou detonací</v>
      </c>
      <c r="X396" s="645" t="str">
        <f t="shared" ref="X396:X401" si="1082">IF(AB396&lt;0.0001,"",AB396)</f>
        <v/>
      </c>
      <c r="Y396" s="645" t="str">
        <f t="shared" ref="Y396:Y401" si="1083">IF($AL$3=2,IF(OR(AB396&lt;&gt;"",AB396&lt;&gt;0),AU396,""),IF(C396="","",IF(AB396&lt;0.0001,"",IF(B396=0,"",IF(AQ396&lt;AB396,"",AB396)))))</f>
        <v/>
      </c>
      <c r="Z396" s="645" t="str">
        <f>HYPERLINK("https://www.klasekpyrotechnics.cz/c1620du")</f>
        <v>https://www.klasekpyrotechnics.cz/c1620du</v>
      </c>
      <c r="AA396" s="645">
        <f>IFERROR(IF(VLOOKUP(C396,[4]List1!$A:$D,4,FALSE)=0,"",VLOOKUP(C396,[4]List1!$A:$D,4,FALSE)),"")</f>
        <v>36</v>
      </c>
      <c r="AB396" s="646"/>
      <c r="AC396" s="647" t="str">
        <f>IFERROR(IF(VLOOKUP(C396,[1]List1!$A:$D,2,FALSE)="VYPRODÁNO",$V$9,IF(VLOOKUP(C396,[1]List1!$A:$D,2,FALSE)="DOCHÁZÍ",$V$3,VLOOKUP(C396,[1]List1!$A:$D,2,FALSE))),"OFFLINE!")</f>
        <v>14.04.2026</v>
      </c>
      <c r="AD396" s="647" t="str">
        <f ca="1">IF(AP396="NE",$V$10,IF(AC396=$V$3,IF(AQ396&lt;1,$V$8,$V$2&amp;" "&amp;AQ396&amp;" "&amp;$V$1),IF(AC396="SKLADEM",$V$6,IFERROR(IF(OR(AC396-TODAY()&gt;45,VLOOKUP(C396,[1]List1!$A:$E,4,FALSE)=0),AC396,DAY(AC396)&amp;"."&amp;MONTH(AC396)&amp;"."&amp;YEAR(AC396)&amp;" "&amp;$V$4&amp;VLOOKUP(C396,[1]List1!$A:$E,4,FALSE)&amp;" "&amp;$V$1),AC396))))</f>
        <v>14.4.2026 DORAZÍ 100+ VK</v>
      </c>
      <c r="AE396" s="645" t="str">
        <f t="shared" ref="AE396:AE401" ca="1" si="1084">IFERROR(IF(AV396&lt;&gt;"",AV396,AD396),AD396)</f>
        <v>14.4.2026 DORAZÍ 100+ VK</v>
      </c>
      <c r="AF396" s="648">
        <f t="shared" ref="AF396:AF401" si="1085">IFERROR(IF(AB396=Y396,G396*I396*Y396,0),0)</f>
        <v>0</v>
      </c>
      <c r="AG396" s="649">
        <f t="shared" ref="AG396:AG401" si="1086">IF($W$17=$AF$8,AH396*1.23,AF396*1.21)</f>
        <v>0</v>
      </c>
      <c r="AH396" s="650">
        <f t="shared" ref="AH396:AH401" si="1087">IFERROR(IF(Y396=AB396,H396*I396*Y396,0),0)</f>
        <v>0</v>
      </c>
      <c r="AI396" s="645">
        <f t="shared" ref="AI396:AI401" si="1088">IFERROR(IF(Y396=AB396,(P396*Y396)/1000,1),0)</f>
        <v>0</v>
      </c>
      <c r="AJ396" s="645">
        <f t="shared" ref="AJ396:AJ401" si="1089">IFERROR(IF(Y396=AB396,N396*Y396,0.1),0)</f>
        <v>0</v>
      </c>
      <c r="AK396" s="645" t="str">
        <f t="shared" ref="AK396:AK401" si="1090">IFERROR(IF(Y396=AB396,IF(M396="1.1G",(O396/1000)*Y396,""),""),0)</f>
        <v/>
      </c>
      <c r="AL396" s="645">
        <f t="shared" ref="AL396:AL401" si="1091">IFERROR(IF(Y396=AB396,IF(M396="1.3G",(O396/1000)*AB396,""),""),0)</f>
        <v>0</v>
      </c>
      <c r="AM396" s="645" t="str">
        <f t="shared" ref="AM396:AM401" si="1092">IFERROR(IF(Y396=AB396,IF(M396="1.4G",(O396/1000)*AB396,""),""),0)</f>
        <v/>
      </c>
      <c r="AN396" s="651">
        <f t="shared" ref="AN396:AN401" si="1093">SUM(AK396:AM396)</f>
        <v>0</v>
      </c>
      <c r="AO396" s="623"/>
      <c r="AP396" s="632" t="str">
        <f t="shared" si="834"/>
        <v/>
      </c>
      <c r="AQ396" s="633" t="str">
        <f>IF(AC396=$V$3,IF(VLOOKUP(C396,[1]List1!$A:$E,5,FALSE)=0,1,VLOOKUP(C396,[1]List1!$A:$E,5,FALSE)),"")</f>
        <v/>
      </c>
      <c r="AR396" s="625" t="str">
        <f t="shared" si="835"/>
        <v/>
      </c>
      <c r="AS396" s="634" t="str">
        <f t="shared" si="836"/>
        <v/>
      </c>
      <c r="AT396" s="625" t="str">
        <f t="shared" si="837"/>
        <v/>
      </c>
      <c r="AU396" s="638" t="e">
        <f t="shared" si="838"/>
        <v>#N/A</v>
      </c>
      <c r="AV396" s="625" t="e">
        <f t="shared" si="839"/>
        <v>#N/A</v>
      </c>
      <c r="AX396" s="625">
        <f>IF(AND('General price list'!$J396="F4",'General price list'!$AB396+0&gt;0),1,0)</f>
        <v>0</v>
      </c>
      <c r="AY396" s="625">
        <f t="shared" si="840"/>
        <v>1</v>
      </c>
      <c r="AZ396" s="625">
        <f t="shared" si="841"/>
        <v>0</v>
      </c>
    </row>
    <row r="397" spans="1:52" ht="15" customHeight="1">
      <c r="A397" s="621" t="str">
        <f>Kat.!C397</f>
        <v>×</v>
      </c>
      <c r="B397" s="566">
        <f>IF(AND('General price list'!$J397="F4",$AI$1=FALSE),0,IF(AC397="SKLADEM",1,IF(AC397=$V$3,1,0)))</f>
        <v>0</v>
      </c>
      <c r="C397" s="567" t="s">
        <v>4756</v>
      </c>
      <c r="D397" s="568" t="s">
        <v>12539</v>
      </c>
      <c r="E397" s="763" t="s">
        <v>12681</v>
      </c>
      <c r="F397" s="772">
        <f>IFERROR(VLOOKUP(C397,[2]List1!$A:$D,3,FALSE),"NEUVEDENO!")</f>
        <v>131</v>
      </c>
      <c r="G397" s="769">
        <f t="shared" si="1080"/>
        <v>131</v>
      </c>
      <c r="H397" s="766">
        <f t="shared" si="1081"/>
        <v>5.5646884411651012</v>
      </c>
      <c r="I397" s="764">
        <f>IFERROR(VLOOKUP(C397,[2]List1!$A:$D,4,FALSE),"NEUVEDENO!")</f>
        <v>24</v>
      </c>
      <c r="J397" s="732" t="s">
        <v>39</v>
      </c>
      <c r="K397" s="569" t="s">
        <v>20</v>
      </c>
      <c r="L397" s="569" t="s">
        <v>10989</v>
      </c>
      <c r="M397" s="569" t="s">
        <v>114</v>
      </c>
      <c r="N397" s="569">
        <f>IFERROR(VLOOKUP(C397,[3]List1!$A:$D,4,FALSE),"N/A!")</f>
        <v>3.6861499999999991E-2</v>
      </c>
      <c r="O397" s="569">
        <f>IFERROR(VLOOKUP(C397,[3]List1!$A:$D,3,FALSE),"N/A!")</f>
        <v>3072</v>
      </c>
      <c r="P397" s="569">
        <f>IFERROR(VLOOKUP(C397,[3]List1!$A:$D,2,FALSE),"N/A!")</f>
        <v>17500</v>
      </c>
      <c r="Q397" s="569" t="s">
        <v>12090</v>
      </c>
      <c r="R397" s="569"/>
      <c r="S397" s="569" t="str">
        <f>IF($W$17=$AF$1,"design",IFERROR(VLOOKUP("design",Jazyky_ceník!$A:$Q,MATCH($W$17,Jazyky_ceník!$A$1:$Q$1,0),FALSE),"!!!"))</f>
        <v>design</v>
      </c>
      <c r="T397" s="569">
        <v>5</v>
      </c>
      <c r="U397" s="569">
        <v>25</v>
      </c>
      <c r="V397" s="569"/>
      <c r="W397" s="569" t="str">
        <f>IFERROR(IF(AND($AB397&gt;=0.1*$AA397,MOD($AB397,$AA397)&gt;=($AA397-(0.1*$AA397))),IF($W$17=$AF$1,"Zvažte možnost doobjednání ještě "&amp;Tabulka1[[#This Row],[VKPAL]]-MOD(AB397,AA397)&amp;" VK do plné palety.",VLOOKUP("Zvažte možnost doobjednání ještě ",Jazyky_ceník!A:Q,MATCH($W$17,Jazyky_ceník!$A$1:$Q$1,0),FALSE)&amp;Tabulka1[[#This Row],[VKPAL]]-MOD(AB397,AA397)&amp;VLOOKUP(" VK do plné palety.",Jazyky_ceník!A:Q,MATCH($W$17,Jazyky_ceník!$A$1:$Q$1,0),FALSE)),IFERROR(IF(AND(NOT(MOD($AB397,$AA397)=0),$AB397&gt;=0.9*$AA397,MOD($AB397,$AA397)&lt;=0.1*$AA397),IF($W$17=$AF$1,"Zvažte možnost optimalizace objednaného množství podle počtu VK na paletě ==&gt;",VLOOKUP("Zvažte možnost optimalizace objednaného množství podle počtu VK na paletě ==&gt;",Jazyky_ceník!A:Q,MATCH($W$17,Jazyky_ceník!$A$1:$Q$1,0),FALSE)),VLOOKUP('General price list'!$C397,Popisy!A:M,MATCH($W$17,Popisy!$A$7:$M$7,0),FALSE)),"---------------")),IFERROR(VLOOKUP('General price list'!$C397,Popisy!A:M,MATCH($W$17,Popisy!$A$7:$M$7,0),FALSE),"---------------"))</f>
        <v>stříbrná mina s červenou stopou a titanovou detonací</v>
      </c>
      <c r="X397" s="569" t="str">
        <f t="shared" si="1082"/>
        <v/>
      </c>
      <c r="Y397" s="569" t="str">
        <f t="shared" si="1083"/>
        <v/>
      </c>
      <c r="Z397" s="569" t="str">
        <f>HYPERLINK("https://www.klasekpyrotechnics.cz/c1620du_5")</f>
        <v>https://www.klasekpyrotechnics.cz/c1620du_5</v>
      </c>
      <c r="AA397" s="569">
        <f>IFERROR(IF(VLOOKUP(C397,[4]List1!$A:$D,4,FALSE)=0,"",VLOOKUP(C397,[4]List1!$A:$D,4,FALSE)),"")</f>
        <v>36</v>
      </c>
      <c r="AB397" s="565"/>
      <c r="AC397" s="570" t="str">
        <f>IFERROR(IF(VLOOKUP(C397,[1]List1!$A:$D,2,FALSE)="VYPRODÁNO",$V$9,IF(VLOOKUP(C397,[1]List1!$A:$D,2,FALSE)="DOCHÁZÍ",$V$3,VLOOKUP(C397,[1]List1!$A:$D,2,FALSE))),"OFFLINE!")</f>
        <v>VYPRODÁNO</v>
      </c>
      <c r="AD397" s="570" t="str">
        <f ca="1">IF(AP397="NE",$V$10,IF(AC397=$V$3,IF(AQ397&lt;1,$V$8,$V$2&amp;" "&amp;AQ397&amp;" "&amp;$V$1),IF(AC397="SKLADEM",$V$6,IFERROR(IF(OR(AC397-TODAY()&gt;45,VLOOKUP(C397,[1]List1!$A:$E,4,FALSE)=0),AC397,DAY(AC397)&amp;"."&amp;MONTH(AC397)&amp;"."&amp;YEAR(AC397)&amp;" "&amp;$V$4&amp;VLOOKUP(C397,[1]List1!$A:$E,4,FALSE)&amp;" "&amp;$V$1),AC397))))</f>
        <v>VYPRODÁNO</v>
      </c>
      <c r="AE397" s="581" t="str">
        <f t="shared" ca="1" si="1084"/>
        <v>VYPRODÁNO</v>
      </c>
      <c r="AF397" s="584">
        <f t="shared" si="1085"/>
        <v>0</v>
      </c>
      <c r="AG397" s="585">
        <f t="shared" si="1086"/>
        <v>0</v>
      </c>
      <c r="AH397" s="583">
        <f t="shared" si="1087"/>
        <v>0</v>
      </c>
      <c r="AI397" s="582">
        <f t="shared" si="1088"/>
        <v>0</v>
      </c>
      <c r="AJ397" s="569">
        <f t="shared" si="1089"/>
        <v>0</v>
      </c>
      <c r="AK397" s="569" t="str">
        <f t="shared" si="1090"/>
        <v/>
      </c>
      <c r="AL397" s="569">
        <f t="shared" si="1091"/>
        <v>0</v>
      </c>
      <c r="AM397" s="569" t="str">
        <f t="shared" si="1092"/>
        <v/>
      </c>
      <c r="AN397" s="581">
        <f t="shared" si="1093"/>
        <v>0</v>
      </c>
      <c r="AO397" s="623"/>
      <c r="AP397" s="632" t="str">
        <f t="shared" si="834"/>
        <v/>
      </c>
      <c r="AQ397" s="633" t="str">
        <f>IF(AC397=$V$3,IF(VLOOKUP(C397,[1]List1!$A:$E,5,FALSE)=0,1,VLOOKUP(C397,[1]List1!$A:$E,5,FALSE)),"")</f>
        <v/>
      </c>
      <c r="AR397" s="625" t="str">
        <f t="shared" si="835"/>
        <v/>
      </c>
      <c r="AS397" s="634" t="str">
        <f t="shared" si="836"/>
        <v/>
      </c>
      <c r="AT397" s="625" t="str">
        <f t="shared" si="837"/>
        <v/>
      </c>
      <c r="AU397" s="638" t="e">
        <f t="shared" si="838"/>
        <v>#N/A</v>
      </c>
      <c r="AV397" s="625" t="e">
        <f t="shared" si="839"/>
        <v>#N/A</v>
      </c>
      <c r="AX397" s="625">
        <f>IF(AND('General price list'!$J397="F4",'General price list'!$AB397+0&gt;0),1,0)</f>
        <v>0</v>
      </c>
      <c r="AY397" s="625">
        <f t="shared" si="840"/>
        <v>1</v>
      </c>
      <c r="AZ397" s="625">
        <f t="shared" si="841"/>
        <v>0</v>
      </c>
    </row>
    <row r="398" spans="1:52" ht="15.75" customHeight="1">
      <c r="A398" s="639" t="str">
        <f>Kat.!C398</f>
        <v/>
      </c>
      <c r="B398" s="640">
        <f>IF(AND('General price list'!$J398="F4",$AI$1=FALSE),0,IF(AC398="SKLADEM",1,IF(AC398=$V$3,1,0)))</f>
        <v>1</v>
      </c>
      <c r="C398" s="641" t="s">
        <v>963</v>
      </c>
      <c r="D398" s="642" t="s">
        <v>11876</v>
      </c>
      <c r="E398" s="643" t="s">
        <v>12681</v>
      </c>
      <c r="F398" s="791">
        <f>IFERROR(VLOOKUP(C398,[2]List1!$A:$D,3,FALSE),"NEUVEDENO!")</f>
        <v>116</v>
      </c>
      <c r="G398" s="768">
        <f t="shared" si="1080"/>
        <v>116</v>
      </c>
      <c r="H398" s="765">
        <f t="shared" si="1081"/>
        <v>4.9275103753828375</v>
      </c>
      <c r="I398" s="644">
        <f>IFERROR(VLOOKUP(C398,[2]List1!$A:$D,4,FALSE),"NEUVEDENO!")</f>
        <v>24</v>
      </c>
      <c r="J398" s="733" t="s">
        <v>39</v>
      </c>
      <c r="K398" s="645" t="s">
        <v>11100</v>
      </c>
      <c r="L398" s="645" t="s">
        <v>10960</v>
      </c>
      <c r="M398" s="645" t="s">
        <v>114</v>
      </c>
      <c r="N398" s="645">
        <f>IFERROR(VLOOKUP(C398,[3]List1!$A:$D,4,FALSE),"N/A!")</f>
        <v>3.6861499999999991E-2</v>
      </c>
      <c r="O398" s="645">
        <f>IFERROR(VLOOKUP(C398,[3]List1!$A:$D,3,FALSE),"N/A!")</f>
        <v>2640</v>
      </c>
      <c r="P398" s="645">
        <f>IFERROR(VLOOKUP(C398,[3]List1!$A:$D,2,FALSE),"N/A!")</f>
        <v>16000</v>
      </c>
      <c r="Q398" s="645" t="s">
        <v>11755</v>
      </c>
      <c r="R398" s="645"/>
      <c r="S398" s="645" t="str">
        <f>IF($W$17=$AF$1,"design",IFERROR(VLOOKUP("design",Jazyky_ceník!$A:$Q,MATCH($W$17,Jazyky_ceník!$A$1:$Q$1,0),FALSE),"!!!"))</f>
        <v>design</v>
      </c>
      <c r="T398" s="645">
        <v>20</v>
      </c>
      <c r="U398" s="645">
        <v>25</v>
      </c>
      <c r="V398" s="645">
        <v>15</v>
      </c>
      <c r="W398" s="645" t="str">
        <f>IFERROR(IF(AND($AB398&gt;=0.1*$AA398,MOD($AB398,$AA398)&gt;=($AA398-(0.1*$AA398))),IF($W$17=$AF$1,"Zvažte možnost doobjednání ještě "&amp;Tabulka1[[#This Row],[VKPAL]]-MOD(AB398,AA398)&amp;" VK do plné palety.",VLOOKUP("Zvažte možnost doobjednání ještě ",Jazyky_ceník!A:Q,MATCH($W$17,Jazyky_ceník!$A$1:$Q$1,0),FALSE)&amp;Tabulka1[[#This Row],[VKPAL]]-MOD(AB398,AA398)&amp;VLOOKUP(" VK do plné palety.",Jazyky_ceník!A:Q,MATCH($W$17,Jazyky_ceník!$A$1:$Q$1,0),FALSE)),IFERROR(IF(AND(NOT(MOD($AB398,$AA398)=0),$AB398&gt;=0.9*$AA398,MOD($AB398,$AA398)&lt;=0.1*$AA398),IF($W$17=$AF$1,"Zvažte možnost optimalizace objednaného množství podle počtu VK na paletě ==&gt;",VLOOKUP("Zvažte možnost optimalizace objednaného množství podle počtu VK na paletě ==&gt;",Jazyky_ceník!A:Q,MATCH($W$17,Jazyky_ceník!$A$1:$Q$1,0),FALSE)),VLOOKUP('General price list'!$C398,Popisy!A:M,MATCH($W$17,Popisy!$A$7:$M$7,0),FALSE)),"---------------")),IFERROR(VLOOKUP('General price list'!$C398,Popisy!A:M,MATCH($W$17,Popisy!$A$7:$M$7,0),FALSE),"---------------"))</f>
        <v>4 různobarevné efekty</v>
      </c>
      <c r="X398" s="645" t="str">
        <f t="shared" si="1082"/>
        <v/>
      </c>
      <c r="Y398" s="645" t="str">
        <f t="shared" si="1083"/>
        <v/>
      </c>
      <c r="Z398" s="645" t="str">
        <f>HYPERLINK("https://www.klasekpyrotechnics.cz/c1620bpf")</f>
        <v>https://www.klasekpyrotechnics.cz/c1620bpf</v>
      </c>
      <c r="AA398" s="645">
        <f>IFERROR(IF(VLOOKUP(C398,[4]List1!$A:$D,4,FALSE)=0,"",VLOOKUP(C398,[4]List1!$A:$D,4,FALSE)),"")</f>
        <v>36</v>
      </c>
      <c r="AB398" s="646"/>
      <c r="AC398" s="647" t="str">
        <f>IFERROR(IF(VLOOKUP(C398,[1]List1!$A:$D,2,FALSE)="VYPRODÁNO",$V$9,IF(VLOOKUP(C398,[1]List1!$A:$D,2,FALSE)="DOCHÁZÍ",$V$3,VLOOKUP(C398,[1]List1!$A:$D,2,FALSE))),"OFFLINE!")</f>
        <v>SKLADEM</v>
      </c>
      <c r="AD398" s="647" t="str">
        <f ca="1">IF(AP398="NE",$V$10,IF(AC398=$V$3,IF(AQ398&lt;1,$V$8,$V$2&amp;" "&amp;AQ398&amp;" "&amp;$V$1),IF(AC398="SKLADEM",$V$6,IFERROR(IF(OR(AC398-TODAY()&gt;45,VLOOKUP(C398,[1]List1!$A:$E,4,FALSE)=0),AC398,DAY(AC398)&amp;"."&amp;MONTH(AC398)&amp;"."&amp;YEAR(AC398)&amp;" "&amp;$V$4&amp;VLOOKUP(C398,[1]List1!$A:$E,4,FALSE)&amp;" "&amp;$V$1),AC398))))</f>
        <v>SKLADEM</v>
      </c>
      <c r="AE398" s="645" t="str">
        <f t="shared" ca="1" si="1084"/>
        <v>SKLADEM</v>
      </c>
      <c r="AF398" s="648">
        <f t="shared" si="1085"/>
        <v>0</v>
      </c>
      <c r="AG398" s="649">
        <f t="shared" si="1086"/>
        <v>0</v>
      </c>
      <c r="AH398" s="650">
        <f t="shared" si="1087"/>
        <v>0</v>
      </c>
      <c r="AI398" s="645">
        <f t="shared" si="1088"/>
        <v>0</v>
      </c>
      <c r="AJ398" s="645">
        <f t="shared" si="1089"/>
        <v>0</v>
      </c>
      <c r="AK398" s="645" t="str">
        <f t="shared" si="1090"/>
        <v/>
      </c>
      <c r="AL398" s="645">
        <f t="shared" si="1091"/>
        <v>0</v>
      </c>
      <c r="AM398" s="645" t="str">
        <f t="shared" si="1092"/>
        <v/>
      </c>
      <c r="AN398" s="651">
        <f t="shared" si="1093"/>
        <v>0</v>
      </c>
      <c r="AO398" s="623"/>
      <c r="AP398" s="625" t="str">
        <f t="shared" si="834"/>
        <v/>
      </c>
      <c r="AQ398" s="625" t="str">
        <f>IF(AC398=$V$3,IF(VLOOKUP(C398,[1]List1!$A:$E,5,FALSE)=0,1,VLOOKUP(C398,[1]List1!$A:$E,5,FALSE)),"")</f>
        <v/>
      </c>
      <c r="AR398" s="629" t="str">
        <f t="shared" si="835"/>
        <v/>
      </c>
      <c r="AS398" s="630" t="str">
        <f t="shared" si="836"/>
        <v/>
      </c>
      <c r="AT398" s="625" t="str">
        <f t="shared" si="837"/>
        <v/>
      </c>
      <c r="AU398" s="625" t="e">
        <f t="shared" si="838"/>
        <v>#N/A</v>
      </c>
      <c r="AV398" s="625" t="e">
        <f t="shared" si="839"/>
        <v>#N/A</v>
      </c>
      <c r="AW398" s="631"/>
      <c r="AX398" s="631">
        <f>IF(AND('General price list'!$J398="F4",'General price list'!$AB398+0&gt;0),1,0)</f>
        <v>0</v>
      </c>
      <c r="AY398" s="631">
        <f t="shared" si="840"/>
        <v>1</v>
      </c>
      <c r="AZ398" s="631">
        <f t="shared" si="841"/>
        <v>0</v>
      </c>
    </row>
    <row r="399" spans="1:52" ht="15" customHeight="1">
      <c r="A399" s="621" t="str">
        <f>Kat.!C399</f>
        <v/>
      </c>
      <c r="B399" s="566">
        <f>IF(AND('General price list'!$J399="F4",$AI$1=FALSE),0,IF(AC399="SKLADEM",1,IF(AC399=$V$3,1,0)))</f>
        <v>1</v>
      </c>
      <c r="C399" s="567" t="s">
        <v>964</v>
      </c>
      <c r="D399" s="568" t="s">
        <v>965</v>
      </c>
      <c r="E399" s="763" t="s">
        <v>12681</v>
      </c>
      <c r="F399" s="791">
        <f>IFERROR(VLOOKUP(C399,[2]List1!$A:$D,3,FALSE),"NEUVEDENO!")</f>
        <v>123</v>
      </c>
      <c r="G399" s="769">
        <f t="shared" si="1080"/>
        <v>123</v>
      </c>
      <c r="H399" s="766">
        <f t="shared" si="1081"/>
        <v>5.2248601394145613</v>
      </c>
      <c r="I399" s="764">
        <f>IFERROR(VLOOKUP(C399,[2]List1!$A:$D,4,FALSE),"NEUVEDENO!")</f>
        <v>24</v>
      </c>
      <c r="J399" s="732" t="s">
        <v>39</v>
      </c>
      <c r="K399" s="569" t="s">
        <v>11100</v>
      </c>
      <c r="L399" s="569" t="s">
        <v>10988</v>
      </c>
      <c r="M399" s="569" t="s">
        <v>114</v>
      </c>
      <c r="N399" s="569">
        <f>IFERROR(VLOOKUP(C399,[3]List1!$A:$D,4,FALSE),"N/A!")</f>
        <v>3.6861499999999991E-2</v>
      </c>
      <c r="O399" s="569">
        <f>IFERROR(VLOOKUP(C399,[3]List1!$A:$D,3,FALSE),"N/A!")</f>
        <v>3072</v>
      </c>
      <c r="P399" s="569">
        <f>IFERROR(VLOOKUP(C399,[3]List1!$A:$D,2,FALSE),"N/A!")</f>
        <v>16000</v>
      </c>
      <c r="Q399" s="569" t="s">
        <v>11244</v>
      </c>
      <c r="R399" s="569"/>
      <c r="S399" s="569" t="str">
        <f>IF($W$17=$AF$1,"design",IFERROR(VLOOKUP("design",Jazyky_ceník!$A:$Q,MATCH($W$17,Jazyky_ceník!$A$1:$Q$1,0),FALSE),"!!!"))</f>
        <v>design</v>
      </c>
      <c r="T399" s="569">
        <v>20</v>
      </c>
      <c r="U399" s="569">
        <v>25</v>
      </c>
      <c r="V399" s="569">
        <v>16</v>
      </c>
      <c r="W399" s="569" t="str">
        <f>IFERROR(IF(AND($AB399&gt;=0.1*$AA399,MOD($AB399,$AA399)&gt;=($AA399-(0.1*$AA399))),IF($W$17=$AF$1,"Zvažte možnost doobjednání ještě "&amp;Tabulka1[[#This Row],[VKPAL]]-MOD(AB399,AA399)&amp;" VK do plné palety.",VLOOKUP("Zvažte možnost doobjednání ještě ",Jazyky_ceník!A:Q,MATCH($W$17,Jazyky_ceník!$A$1:$Q$1,0),FALSE)&amp;Tabulka1[[#This Row],[VKPAL]]-MOD(AB399,AA399)&amp;VLOOKUP(" VK do plné palety.",Jazyky_ceník!A:Q,MATCH($W$17,Jazyky_ceník!$A$1:$Q$1,0),FALSE)),IFERROR(IF(AND(NOT(MOD($AB399,$AA399)=0),$AB399&gt;=0.9*$AA399,MOD($AB399,$AA399)&lt;=0.1*$AA399),IF($W$17=$AF$1,"Zvažte možnost optimalizace objednaného množství podle počtu VK na paletě ==&gt;",VLOOKUP("Zvažte možnost optimalizace objednaného množství podle počtu VK na paletě ==&gt;",Jazyky_ceník!A:Q,MATCH($W$17,Jazyky_ceník!$A$1:$Q$1,0),FALSE)),VLOOKUP('General price list'!$C399,Popisy!A:M,MATCH($W$17,Popisy!$A$7:$M$7,0),FALSE)),"---------------")),IFERROR(VLOOKUP('General price list'!$C399,Popisy!A:M,MATCH($W$17,Popisy!$A$7:$M$7,0),FALSE),"---------------"))</f>
        <v>4 různobarevné efekty</v>
      </c>
      <c r="X399" s="569" t="str">
        <f t="shared" si="1082"/>
        <v/>
      </c>
      <c r="Y399" s="569" t="str">
        <f t="shared" si="1083"/>
        <v/>
      </c>
      <c r="Z399" s="569" t="str">
        <f>HYPERLINK("https://www.klasekpyrotechnics.cz/c1620h")</f>
        <v>https://www.klasekpyrotechnics.cz/c1620h</v>
      </c>
      <c r="AA399" s="569">
        <f>IFERROR(IF(VLOOKUP(C399,[4]List1!$A:$D,4,FALSE)=0,"",VLOOKUP(C399,[4]List1!$A:$D,4,FALSE)),"")</f>
        <v>36</v>
      </c>
      <c r="AB399" s="565"/>
      <c r="AC399" s="570" t="str">
        <f>IFERROR(IF(VLOOKUP(C399,[1]List1!$A:$D,2,FALSE)="VYPRODÁNO",$V$9,IF(VLOOKUP(C399,[1]List1!$A:$D,2,FALSE)="DOCHÁZÍ",$V$3,VLOOKUP(C399,[1]List1!$A:$D,2,FALSE))),"OFFLINE!")</f>
        <v>SKLADEM</v>
      </c>
      <c r="AD399" s="570" t="str">
        <f ca="1">IF(AP399="NE",$V$10,IF(AC399=$V$3,IF(AQ399&lt;1,$V$8,$V$2&amp;" "&amp;AQ399&amp;" "&amp;$V$1),IF(AC399="SKLADEM",$V$6,IFERROR(IF(OR(AC399-TODAY()&gt;45,VLOOKUP(C399,[1]List1!$A:$E,4,FALSE)=0),AC399,DAY(AC399)&amp;"."&amp;MONTH(AC399)&amp;"."&amp;YEAR(AC399)&amp;" "&amp;$V$4&amp;VLOOKUP(C399,[1]List1!$A:$E,4,FALSE)&amp;" "&amp;$V$1),AC399))))</f>
        <v>SKLADEM</v>
      </c>
      <c r="AE399" s="581" t="str">
        <f t="shared" ca="1" si="1084"/>
        <v>SKLADEM</v>
      </c>
      <c r="AF399" s="584">
        <f t="shared" si="1085"/>
        <v>0</v>
      </c>
      <c r="AG399" s="585">
        <f t="shared" si="1086"/>
        <v>0</v>
      </c>
      <c r="AH399" s="583">
        <f t="shared" si="1087"/>
        <v>0</v>
      </c>
      <c r="AI399" s="582">
        <f t="shared" si="1088"/>
        <v>0</v>
      </c>
      <c r="AJ399" s="569">
        <f t="shared" si="1089"/>
        <v>0</v>
      </c>
      <c r="AK399" s="569" t="str">
        <f t="shared" si="1090"/>
        <v/>
      </c>
      <c r="AL399" s="569">
        <f t="shared" si="1091"/>
        <v>0</v>
      </c>
      <c r="AM399" s="569" t="str">
        <f t="shared" si="1092"/>
        <v/>
      </c>
      <c r="AN399" s="581">
        <f t="shared" si="1093"/>
        <v>0</v>
      </c>
      <c r="AO399" s="623"/>
      <c r="AP399" s="632" t="str">
        <f t="shared" si="834"/>
        <v/>
      </c>
      <c r="AQ399" s="633" t="str">
        <f>IF(AC399=$V$3,IF(VLOOKUP(C399,[1]List1!$A:$E,5,FALSE)=0,1,VLOOKUP(C399,[1]List1!$A:$E,5,FALSE)),"")</f>
        <v/>
      </c>
      <c r="AR399" s="625" t="str">
        <f t="shared" si="835"/>
        <v/>
      </c>
      <c r="AS399" s="634" t="str">
        <f t="shared" si="836"/>
        <v/>
      </c>
      <c r="AT399" s="625" t="str">
        <f t="shared" si="837"/>
        <v/>
      </c>
      <c r="AU399" s="638" t="e">
        <f t="shared" si="838"/>
        <v>#N/A</v>
      </c>
      <c r="AV399" s="625" t="e">
        <f t="shared" si="839"/>
        <v>#N/A</v>
      </c>
      <c r="AX399" s="625">
        <f>IF(AND('General price list'!$J399="F4",'General price list'!$AB399+0&gt;0),1,0)</f>
        <v>0</v>
      </c>
      <c r="AY399" s="625">
        <f t="shared" si="840"/>
        <v>1</v>
      </c>
      <c r="AZ399" s="625">
        <f t="shared" si="841"/>
        <v>0</v>
      </c>
    </row>
    <row r="400" spans="1:52" ht="15" customHeight="1">
      <c r="A400" s="639" t="str">
        <f>Kat.!C400</f>
        <v/>
      </c>
      <c r="B400" s="640">
        <f>IF(AND('General price list'!$J400="F4",$AI$1=FALSE),0,IF(AC400="SKLADEM",1,IF(AC400=$V$3,1,0)))</f>
        <v>1</v>
      </c>
      <c r="C400" s="567" t="s">
        <v>966</v>
      </c>
      <c r="D400" s="642" t="s">
        <v>967</v>
      </c>
      <c r="E400" s="643" t="s">
        <v>12681</v>
      </c>
      <c r="F400" s="791">
        <f>IFERROR(VLOOKUP(C400,[2]List1!$A:$D,3,FALSE),"NEUVEDENO!")</f>
        <v>123</v>
      </c>
      <c r="G400" s="768">
        <f t="shared" si="1080"/>
        <v>123</v>
      </c>
      <c r="H400" s="765">
        <f t="shared" si="1081"/>
        <v>5.2248601394145613</v>
      </c>
      <c r="I400" s="644">
        <f>IFERROR(VLOOKUP(C400,[2]List1!$A:$D,4,FALSE),"NEUVEDENO!")</f>
        <v>24</v>
      </c>
      <c r="J400" s="733" t="s">
        <v>39</v>
      </c>
      <c r="K400" s="645" t="s">
        <v>11171</v>
      </c>
      <c r="L400" s="645" t="s">
        <v>10988</v>
      </c>
      <c r="M400" s="645" t="s">
        <v>114</v>
      </c>
      <c r="N400" s="645">
        <f>IFERROR(VLOOKUP(C400,[3]List1!$A:$D,4,FALSE),"N/A!")</f>
        <v>3.6861499999999991E-2</v>
      </c>
      <c r="O400" s="645">
        <f>IFERROR(VLOOKUP(C400,[3]List1!$A:$D,3,FALSE),"N/A!")</f>
        <v>3072</v>
      </c>
      <c r="P400" s="645">
        <f>IFERROR(VLOOKUP(C400,[3]List1!$A:$D,2,FALSE),"N/A!")</f>
        <v>17000</v>
      </c>
      <c r="Q400" s="645" t="s">
        <v>11244</v>
      </c>
      <c r="R400" s="645"/>
      <c r="S400" s="645" t="str">
        <f>IF($W$17=$AF$1,"design",IFERROR(VLOOKUP("design",Jazyky_ceník!$A:$Q,MATCH($W$17,Jazyky_ceník!$A$1:$Q$1,0),FALSE),"!!!"))</f>
        <v>design</v>
      </c>
      <c r="T400" s="645">
        <v>20</v>
      </c>
      <c r="U400" s="645">
        <v>25</v>
      </c>
      <c r="V400" s="645">
        <v>16</v>
      </c>
      <c r="W400" s="645" t="str">
        <f>IFERROR(IF(AND($AB400&gt;=0.1*$AA400,MOD($AB400,$AA400)&gt;=($AA400-(0.1*$AA400))),IF($W$17=$AF$1,"Zvažte možnost doobjednání ještě "&amp;Tabulka1[[#This Row],[VKPAL]]-MOD(AB400,AA400)&amp;" VK do plné palety.",VLOOKUP("Zvažte možnost doobjednání ještě ",Jazyky_ceník!A:Q,MATCH($W$17,Jazyky_ceník!$A$1:$Q$1,0),FALSE)&amp;Tabulka1[[#This Row],[VKPAL]]-MOD(AB400,AA400)&amp;VLOOKUP(" VK do plné palety.",Jazyky_ceník!A:Q,MATCH($W$17,Jazyky_ceník!$A$1:$Q$1,0),FALSE)),IFERROR(IF(AND(NOT(MOD($AB400,$AA400)=0),$AB400&gt;=0.9*$AA400,MOD($AB400,$AA400)&lt;=0.1*$AA400),IF($W$17=$AF$1,"Zvažte možnost optimalizace objednaného množství podle počtu VK na paletě ==&gt;",VLOOKUP("Zvažte možnost optimalizace objednaného množství podle počtu VK na paletě ==&gt;",Jazyky_ceník!A:Q,MATCH($W$17,Jazyky_ceník!$A$1:$Q$1,0),FALSE)),VLOOKUP('General price list'!$C400,Popisy!A:M,MATCH($W$17,Popisy!$A$7:$M$7,0),FALSE)),"---------------")),IFERROR(VLOOKUP('General price list'!$C400,Popisy!A:M,MATCH($W$17,Popisy!$A$7:$M$7,0),FALSE),"---------------"))</f>
        <v>4 různobarevné efekty</v>
      </c>
      <c r="X400" s="645" t="str">
        <f t="shared" si="1082"/>
        <v/>
      </c>
      <c r="Y400" s="645" t="str">
        <f t="shared" si="1083"/>
        <v/>
      </c>
      <c r="Z400" s="645" t="str">
        <f>HYPERLINK("https://www.klasekpyrotechnics.cz/c1620n")</f>
        <v>https://www.klasekpyrotechnics.cz/c1620n</v>
      </c>
      <c r="AA400" s="645">
        <f>IFERROR(IF(VLOOKUP(C400,[4]List1!$A:$D,4,FALSE)=0,"",VLOOKUP(C400,[4]List1!$A:$D,4,FALSE)),"")</f>
        <v>36</v>
      </c>
      <c r="AB400" s="646"/>
      <c r="AC400" s="647" t="str">
        <f>IFERROR(IF(VLOOKUP(C400,[1]List1!$A:$D,2,FALSE)="VYPRODÁNO",$V$9,IF(VLOOKUP(C400,[1]List1!$A:$D,2,FALSE)="DOCHÁZÍ",$V$3,VLOOKUP(C400,[1]List1!$A:$D,2,FALSE))),"OFFLINE!")</f>
        <v>SKLADEM</v>
      </c>
      <c r="AD400" s="647" t="str">
        <f ca="1">IF(AP400="NE",$V$10,IF(AC400=$V$3,IF(AQ400&lt;1,$V$8,$V$2&amp;" "&amp;AQ400&amp;" "&amp;$V$1),IF(AC400="SKLADEM",$V$6,IFERROR(IF(OR(AC400-TODAY()&gt;45,VLOOKUP(C400,[1]List1!$A:$E,4,FALSE)=0),AC400,DAY(AC400)&amp;"."&amp;MONTH(AC400)&amp;"."&amp;YEAR(AC400)&amp;" "&amp;$V$4&amp;VLOOKUP(C400,[1]List1!$A:$E,4,FALSE)&amp;" "&amp;$V$1),AC400))))</f>
        <v>SKLADEM</v>
      </c>
      <c r="AE400" s="645" t="str">
        <f t="shared" ca="1" si="1084"/>
        <v>SKLADEM</v>
      </c>
      <c r="AF400" s="648">
        <f t="shared" si="1085"/>
        <v>0</v>
      </c>
      <c r="AG400" s="649">
        <f t="shared" si="1086"/>
        <v>0</v>
      </c>
      <c r="AH400" s="650">
        <f t="shared" si="1087"/>
        <v>0</v>
      </c>
      <c r="AI400" s="645">
        <f t="shared" si="1088"/>
        <v>0</v>
      </c>
      <c r="AJ400" s="645">
        <f t="shared" si="1089"/>
        <v>0</v>
      </c>
      <c r="AK400" s="645" t="str">
        <f t="shared" si="1090"/>
        <v/>
      </c>
      <c r="AL400" s="645">
        <f t="shared" si="1091"/>
        <v>0</v>
      </c>
      <c r="AM400" s="645" t="str">
        <f t="shared" si="1092"/>
        <v/>
      </c>
      <c r="AN400" s="651">
        <f t="shared" si="1093"/>
        <v>0</v>
      </c>
      <c r="AO400" s="623"/>
      <c r="AP400" s="632" t="str">
        <f t="shared" si="834"/>
        <v/>
      </c>
      <c r="AQ400" s="633" t="str">
        <f>IF(AC400=$V$3,IF(VLOOKUP(C400,[1]List1!$A:$E,5,FALSE)=0,1,VLOOKUP(C400,[1]List1!$A:$E,5,FALSE)),"")</f>
        <v/>
      </c>
      <c r="AR400" s="625" t="str">
        <f t="shared" si="835"/>
        <v/>
      </c>
      <c r="AS400" s="634" t="str">
        <f t="shared" si="836"/>
        <v/>
      </c>
      <c r="AT400" s="625" t="str">
        <f t="shared" si="837"/>
        <v/>
      </c>
      <c r="AU400" s="638" t="e">
        <f t="shared" si="838"/>
        <v>#N/A</v>
      </c>
      <c r="AV400" s="625" t="e">
        <f t="shared" si="839"/>
        <v>#N/A</v>
      </c>
      <c r="AX400" s="625">
        <f>IF(AND('General price list'!$J400="F4",'General price list'!$AB400+0&gt;0),1,0)</f>
        <v>0</v>
      </c>
      <c r="AY400" s="625">
        <f t="shared" si="840"/>
        <v>1</v>
      </c>
      <c r="AZ400" s="625">
        <f t="shared" si="841"/>
        <v>0</v>
      </c>
    </row>
    <row r="401" spans="1:52" ht="15.75" customHeight="1">
      <c r="A401" s="621" t="str">
        <f>Kat.!C401</f>
        <v/>
      </c>
      <c r="B401" s="566">
        <f>IF(AND('General price list'!$J401="F4",$AI$1=FALSE),0,IF(AC401="SKLADEM",1,IF(AC401=$V$3,1,0)))</f>
        <v>1</v>
      </c>
      <c r="C401" s="567" t="s">
        <v>969</v>
      </c>
      <c r="D401" s="568" t="s">
        <v>970</v>
      </c>
      <c r="E401" s="763" t="s">
        <v>12681</v>
      </c>
      <c r="F401" s="791">
        <f>IFERROR(VLOOKUP(C401,[2]List1!$A:$D,3,FALSE),"NEUVEDENO!")</f>
        <v>123</v>
      </c>
      <c r="G401" s="769">
        <f t="shared" si="1080"/>
        <v>123</v>
      </c>
      <c r="H401" s="766">
        <f t="shared" si="1081"/>
        <v>5.2248601394145613</v>
      </c>
      <c r="I401" s="764">
        <f>IFERROR(VLOOKUP(C401,[2]List1!$A:$D,4,FALSE),"NEUVEDENO!")</f>
        <v>24</v>
      </c>
      <c r="J401" s="732" t="s">
        <v>39</v>
      </c>
      <c r="K401" s="569" t="s">
        <v>11100</v>
      </c>
      <c r="L401" s="569" t="s">
        <v>10988</v>
      </c>
      <c r="M401" s="569" t="s">
        <v>114</v>
      </c>
      <c r="N401" s="569">
        <f>IFERROR(VLOOKUP(C401,[3]List1!$A:$D,4,FALSE),"N/A!")</f>
        <v>3.6861499999999991E-2</v>
      </c>
      <c r="O401" s="569">
        <f>IFERROR(VLOOKUP(C401,[3]List1!$A:$D,3,FALSE),"N/A!")</f>
        <v>3072</v>
      </c>
      <c r="P401" s="569">
        <f>IFERROR(VLOOKUP(C401,[3]List1!$A:$D,2,FALSE),"N/A!")</f>
        <v>16400</v>
      </c>
      <c r="Q401" s="569" t="s">
        <v>11244</v>
      </c>
      <c r="R401" s="569"/>
      <c r="S401" s="569" t="str">
        <f>IF($W$17=$AF$1,"design",IFERROR(VLOOKUP("design",Jazyky_ceník!$A:$Q,MATCH($W$17,Jazyky_ceník!$A$1:$Q$1,0),FALSE),"!!!"))</f>
        <v>design</v>
      </c>
      <c r="T401" s="569">
        <v>20</v>
      </c>
      <c r="U401" s="569">
        <v>25</v>
      </c>
      <c r="V401" s="569">
        <v>16</v>
      </c>
      <c r="W401" s="569" t="str">
        <f>IFERROR(IF(AND($AB401&gt;=0.1*$AA401,MOD($AB401,$AA401)&gt;=($AA401-(0.1*$AA401))),IF($W$17=$AF$1,"Zvažte možnost doobjednání ještě "&amp;Tabulka1[[#This Row],[VKPAL]]-MOD(AB401,AA401)&amp;" VK do plné palety.",VLOOKUP("Zvažte možnost doobjednání ještě ",Jazyky_ceník!A:Q,MATCH($W$17,Jazyky_ceník!$A$1:$Q$1,0),FALSE)&amp;Tabulka1[[#This Row],[VKPAL]]-MOD(AB401,AA401)&amp;VLOOKUP(" VK do plné palety.",Jazyky_ceník!A:Q,MATCH($W$17,Jazyky_ceník!$A$1:$Q$1,0),FALSE)),IFERROR(IF(AND(NOT(MOD($AB401,$AA401)=0),$AB401&gt;=0.9*$AA401,MOD($AB401,$AA401)&lt;=0.1*$AA401),IF($W$17=$AF$1,"Zvažte možnost optimalizace objednaného množství podle počtu VK na paletě ==&gt;",VLOOKUP("Zvažte možnost optimalizace objednaného množství podle počtu VK na paletě ==&gt;",Jazyky_ceník!A:Q,MATCH($W$17,Jazyky_ceník!$A$1:$Q$1,0),FALSE)),VLOOKUP('General price list'!$C401,Popisy!A:M,MATCH($W$17,Popisy!$A$7:$M$7,0),FALSE)),"---------------")),IFERROR(VLOOKUP('General price list'!$C401,Popisy!A:M,MATCH($W$17,Popisy!$A$7:$M$7,0),FALSE),"---------------"))</f>
        <v>4 různobarevné efekty</v>
      </c>
      <c r="X401" s="569" t="str">
        <f t="shared" si="1082"/>
        <v/>
      </c>
      <c r="Y401" s="569" t="str">
        <f t="shared" si="1083"/>
        <v/>
      </c>
      <c r="Z401" s="569" t="str">
        <f>HYPERLINK("https://www.klasekpyrotechnics.cz/c1620f")</f>
        <v>https://www.klasekpyrotechnics.cz/c1620f</v>
      </c>
      <c r="AA401" s="569">
        <f>IFERROR(IF(VLOOKUP(C401,[4]List1!$A:$D,4,FALSE)=0,"",VLOOKUP(C401,[4]List1!$A:$D,4,FALSE)),"")</f>
        <v>36</v>
      </c>
      <c r="AB401" s="565"/>
      <c r="AC401" s="570" t="str">
        <f>IFERROR(IF(VLOOKUP(C401,[1]List1!$A:$D,2,FALSE)="VYPRODÁNO",$V$9,IF(VLOOKUP(C401,[1]List1!$A:$D,2,FALSE)="DOCHÁZÍ",$V$3,VLOOKUP(C401,[1]List1!$A:$D,2,FALSE))),"OFFLINE!")</f>
        <v>SKLADEM</v>
      </c>
      <c r="AD401" s="570" t="str">
        <f ca="1">IF(AP401="NE",$V$10,IF(AC401=$V$3,IF(AQ401&lt;1,$V$8,$V$2&amp;" "&amp;AQ401&amp;" "&amp;$V$1),IF(AC401="SKLADEM",$V$6,IFERROR(IF(OR(AC401-TODAY()&gt;45,VLOOKUP(C401,[1]List1!$A:$E,4,FALSE)=0),AC401,DAY(AC401)&amp;"."&amp;MONTH(AC401)&amp;"."&amp;YEAR(AC401)&amp;" "&amp;$V$4&amp;VLOOKUP(C401,[1]List1!$A:$E,4,FALSE)&amp;" "&amp;$V$1),AC401))))</f>
        <v>SKLADEM</v>
      </c>
      <c r="AE401" s="581" t="str">
        <f t="shared" ca="1" si="1084"/>
        <v>SKLADEM</v>
      </c>
      <c r="AF401" s="584">
        <f t="shared" si="1085"/>
        <v>0</v>
      </c>
      <c r="AG401" s="585">
        <f t="shared" si="1086"/>
        <v>0</v>
      </c>
      <c r="AH401" s="583">
        <f t="shared" si="1087"/>
        <v>0</v>
      </c>
      <c r="AI401" s="582">
        <f t="shared" si="1088"/>
        <v>0</v>
      </c>
      <c r="AJ401" s="569">
        <f t="shared" si="1089"/>
        <v>0</v>
      </c>
      <c r="AK401" s="569" t="str">
        <f t="shared" si="1090"/>
        <v/>
      </c>
      <c r="AL401" s="569">
        <f t="shared" si="1091"/>
        <v>0</v>
      </c>
      <c r="AM401" s="569" t="str">
        <f t="shared" si="1092"/>
        <v/>
      </c>
      <c r="AN401" s="581">
        <f t="shared" si="1093"/>
        <v>0</v>
      </c>
      <c r="AO401" s="623"/>
      <c r="AP401" s="625" t="str">
        <f t="shared" si="834"/>
        <v/>
      </c>
      <c r="AQ401" s="625" t="str">
        <f>IF(AC401=$V$3,IF(VLOOKUP(C401,[1]List1!$A:$E,5,FALSE)=0,1,VLOOKUP(C401,[1]List1!$A:$E,5,FALSE)),"")</f>
        <v/>
      </c>
      <c r="AR401" s="629" t="str">
        <f t="shared" si="835"/>
        <v/>
      </c>
      <c r="AS401" s="630" t="str">
        <f t="shared" si="836"/>
        <v/>
      </c>
      <c r="AT401" s="625" t="str">
        <f t="shared" si="837"/>
        <v/>
      </c>
      <c r="AU401" s="625" t="e">
        <f t="shared" si="838"/>
        <v>#N/A</v>
      </c>
      <c r="AV401" s="625" t="e">
        <f t="shared" si="839"/>
        <v>#N/A</v>
      </c>
      <c r="AW401" s="631"/>
      <c r="AX401" s="631">
        <f>IF(AND('General price list'!$J401="F4",'General price list'!$AB401+0&gt;0),1,0)</f>
        <v>0</v>
      </c>
      <c r="AY401" s="631">
        <f t="shared" si="840"/>
        <v>1</v>
      </c>
      <c r="AZ401" s="631">
        <f t="shared" si="841"/>
        <v>0</v>
      </c>
    </row>
    <row r="402" spans="1:52" ht="15" customHeight="1">
      <c r="A402" s="751" t="str">
        <f>Kat.!C402</f>
        <v xml:space="preserve">           Baterie 16 ran, 20 mm moždíř – 1.4G</v>
      </c>
      <c r="B402" s="751"/>
      <c r="C402" s="751"/>
      <c r="D402" s="751"/>
      <c r="E402" s="751"/>
      <c r="F402" s="751"/>
      <c r="G402" s="751"/>
      <c r="H402" s="751"/>
      <c r="I402" s="752"/>
      <c r="J402" s="752"/>
      <c r="K402" s="752" t="s">
        <v>20</v>
      </c>
      <c r="L402" s="753" t="s">
        <v>2818</v>
      </c>
      <c r="M402" s="752"/>
      <c r="N402" s="752"/>
      <c r="O402" s="752"/>
      <c r="P402" s="752"/>
      <c r="Q402" s="752"/>
      <c r="R402" s="752"/>
      <c r="S402" s="752"/>
      <c r="T402" s="752"/>
      <c r="U402" s="752"/>
      <c r="V402" s="752"/>
      <c r="W402" s="752"/>
      <c r="X402" s="752"/>
      <c r="Y402" s="752"/>
      <c r="Z402" s="752" t="s">
        <v>20</v>
      </c>
      <c r="AA402" s="752"/>
      <c r="AB402" s="752"/>
      <c r="AC402" s="754"/>
      <c r="AD402" s="752"/>
      <c r="AE402" s="752"/>
      <c r="AF402" s="752"/>
      <c r="AG402" s="752"/>
      <c r="AH402" s="752"/>
      <c r="AI402" s="752"/>
      <c r="AJ402" s="752"/>
      <c r="AK402" s="752"/>
      <c r="AL402" s="752"/>
      <c r="AM402" s="752"/>
      <c r="AN402" s="752"/>
      <c r="AO402" s="623"/>
      <c r="AP402" s="632" t="str">
        <f t="shared" ref="AP402:AP462" si="1094">IF($AL$3=1,IF(Y402=AB402,"","NE"),IF(AR402=$V$10,"NE",""))</f>
        <v/>
      </c>
      <c r="AQ402" s="633" t="str">
        <f>IF(AC402=$V$3,IF(VLOOKUP(C402,[1]List1!$A:$E,5,FALSE)=0,1,VLOOKUP(C402,[1]List1!$A:$E,5,FALSE)),"")</f>
        <v/>
      </c>
      <c r="AR402" s="625" t="str">
        <f t="shared" ref="AR402:AR462" si="1095">IF($AL$3=1,"",IF(OR(AB402&lt;&gt;"",AB402&lt;&gt;0),IF(OR(AC402=$V$6,AC402=$V$3,AC402=$V$9),$V$10,""),""))</f>
        <v/>
      </c>
      <c r="AS402" s="634" t="str">
        <f t="shared" ref="AS402:AS458" si="1096">IF(AT402&lt;&gt;"","X","")</f>
        <v/>
      </c>
      <c r="AT402" s="625" t="str">
        <f t="shared" ref="AT402:AT462" si="1097">IF(AND($AL$3=2,AR402="",AB402&lt;&gt;""),AD402,"")</f>
        <v/>
      </c>
      <c r="AU402" s="638" t="e">
        <f t="shared" ref="AU402:AU462" si="1098">IF(AT402=$AS$21,AB402,"")</f>
        <v>#N/A</v>
      </c>
      <c r="AV402" s="625" t="e">
        <f t="shared" ref="AV402:AV462" si="1099">IF(OR(AB402="",AND(AT402&lt;&gt;"",AU402&lt;&gt;"")),"",$V$10)</f>
        <v>#N/A</v>
      </c>
      <c r="AX402" s="625">
        <f>IF(AND('General price list'!$J402="F4",'General price list'!$AB402+0&gt;0),1,0)</f>
        <v>0</v>
      </c>
      <c r="AY402" s="625">
        <f t="shared" ref="AY402:AY462" si="1100">IFERROR(FIND(VLOOKUP($AC$7,$AD$1:$AE$12,2,FALSE),Q402,1),0)</f>
        <v>0</v>
      </c>
      <c r="AZ402" s="625">
        <f t="shared" ref="AZ402:AZ462" si="1101">IFERROR(FIND(VLOOKUP($AC$7,$AD$1:$AE$12,2,FALSE),R402,1),0)</f>
        <v>0</v>
      </c>
    </row>
    <row r="403" spans="1:52" ht="15" customHeight="1">
      <c r="A403" s="639" t="str">
        <f>Kat.!C403</f>
        <v/>
      </c>
      <c r="B403" s="640">
        <f>IF(AND('General price list'!$J403="F4",$AI$1=FALSE),0,IF(AC403="SKLADEM",1,IF(AC403=$V$3,1,0)))</f>
        <v>1</v>
      </c>
      <c r="C403" s="641" t="s">
        <v>972</v>
      </c>
      <c r="D403" s="642" t="s">
        <v>965</v>
      </c>
      <c r="E403" s="643" t="s">
        <v>12681</v>
      </c>
      <c r="F403" s="791">
        <f>IFERROR(VLOOKUP(C403,[2]List1!$A:$D,3,FALSE),"NEUVEDENO!")</f>
        <v>123</v>
      </c>
      <c r="G403" s="768">
        <f t="shared" ref="G403:G404" si="1102">IF($W$17=$AF$8,ROUND((F403)/$F$17,2),(F403)*$B$19)</f>
        <v>123</v>
      </c>
      <c r="H403" s="765">
        <f t="shared" ref="H403:H404" si="1103">IF($W$17=$AF$8,G403*$B$19,G403/$F$17)</f>
        <v>5.2248601394145613</v>
      </c>
      <c r="I403" s="644">
        <f>IFERROR(VLOOKUP(C403,[2]List1!$A:$D,4,FALSE),"NEUVEDENO!")</f>
        <v>24</v>
      </c>
      <c r="J403" s="733" t="s">
        <v>39</v>
      </c>
      <c r="K403" s="645" t="s">
        <v>11100</v>
      </c>
      <c r="L403" s="645" t="s">
        <v>10990</v>
      </c>
      <c r="M403" s="645" t="s">
        <v>21</v>
      </c>
      <c r="N403" s="645">
        <f>IFERROR(VLOOKUP(C403,[3]List1!$A:$D,4,FALSE),"N/A!")</f>
        <v>3.6861499999999991E-2</v>
      </c>
      <c r="O403" s="645">
        <f>IFERROR(VLOOKUP(C403,[3]List1!$A:$D,3,FALSE),"N/A!")</f>
        <v>3072</v>
      </c>
      <c r="P403" s="645">
        <f>IFERROR(VLOOKUP(C403,[3]List1!$A:$D,2,FALSE),"N/A!")</f>
        <v>16400</v>
      </c>
      <c r="Q403" s="645" t="s">
        <v>11290</v>
      </c>
      <c r="R403" s="645" t="s">
        <v>20</v>
      </c>
      <c r="S403" s="645" t="str">
        <f>IF($W$17=$AF$1,"design",IFERROR(VLOOKUP("design",Jazyky_ceník!$A:$Q,MATCH($W$17,Jazyky_ceník!$A$1:$Q$1,0),FALSE),"!!!"))</f>
        <v>design</v>
      </c>
      <c r="T403" s="645">
        <v>20</v>
      </c>
      <c r="U403" s="645">
        <v>25</v>
      </c>
      <c r="V403" s="645">
        <v>13</v>
      </c>
      <c r="W403" s="645" t="str">
        <f>IFERROR(IF(AND($AB403&gt;=0.1*$AA403,MOD($AB403,$AA403)&gt;=($AA403-(0.1*$AA403))),IF($W$17=$AF$1,"Zvažte možnost doobjednání ještě "&amp;Tabulka1[[#This Row],[VKPAL]]-MOD(AB403,AA403)&amp;" VK do plné palety.",VLOOKUP("Zvažte možnost doobjednání ještě ",Jazyky_ceník!A:Q,MATCH($W$17,Jazyky_ceník!$A$1:$Q$1,0),FALSE)&amp;Tabulka1[[#This Row],[VKPAL]]-MOD(AB403,AA403)&amp;VLOOKUP(" VK do plné palety.",Jazyky_ceník!A:Q,MATCH($W$17,Jazyky_ceník!$A$1:$Q$1,0),FALSE)),IFERROR(IF(AND(NOT(MOD($AB403,$AA403)=0),$AB403&gt;=0.9*$AA403,MOD($AB403,$AA403)&lt;=0.1*$AA403),IF($W$17=$AF$1,"Zvažte možnost optimalizace objednaného množství podle počtu VK na paletě ==&gt;",VLOOKUP("Zvažte možnost optimalizace objednaného množství podle počtu VK na paletě ==&gt;",Jazyky_ceník!A:Q,MATCH($W$17,Jazyky_ceník!$A$1:$Q$1,0),FALSE)),VLOOKUP('General price list'!$C403,Popisy!A:M,MATCH($W$17,Popisy!$A$7:$M$7,0),FALSE)),"---------------")),IFERROR(VLOOKUP('General price list'!$C403,Popisy!A:M,MATCH($W$17,Popisy!$A$7:$M$7,0),FALSE),"---------------"))</f>
        <v>4 různobarevné efekty</v>
      </c>
      <c r="X403" s="645" t="str">
        <f t="shared" ref="X403:X404" si="1104">IF(AB403&lt;0.0001,"",AB403)</f>
        <v/>
      </c>
      <c r="Y403" s="645" t="str">
        <f t="shared" ref="Y403:Y404" si="1105">IF($AL$3=2,IF(OR(AB403&lt;&gt;"",AB403&lt;&gt;0),AU403,""),IF(C403="","",IF(AB403&lt;0.0001,"",IF(B403=0,"",IF(AQ403&lt;AB403,"",AB403)))))</f>
        <v/>
      </c>
      <c r="Z403" s="645" t="str">
        <f>HYPERLINK("https://www.klasekpyrotechnics.cz/c1620h14")</f>
        <v>https://www.klasekpyrotechnics.cz/c1620h14</v>
      </c>
      <c r="AA403" s="645">
        <f>IFERROR(IF(VLOOKUP(C403,[4]List1!$A:$D,4,FALSE)=0,"",VLOOKUP(C403,[4]List1!$A:$D,4,FALSE)),"")</f>
        <v>36</v>
      </c>
      <c r="AB403" s="646"/>
      <c r="AC403" s="647" t="str">
        <f>IFERROR(IF(VLOOKUP(C403,[1]List1!$A:$D,2,FALSE)="VYPRODÁNO",$V$9,IF(VLOOKUP(C403,[1]List1!$A:$D,2,FALSE)="DOCHÁZÍ",$V$3,VLOOKUP(C403,[1]List1!$A:$D,2,FALSE))),"OFFLINE!")</f>
        <v>SKLADEM</v>
      </c>
      <c r="AD403" s="647" t="str">
        <f ca="1">IF(AP403="NE",$V$10,IF(AC403=$V$3,IF(AQ403&lt;1,$V$8,$V$2&amp;" "&amp;AQ403&amp;" "&amp;$V$1),IF(AC403="SKLADEM",$V$6,IFERROR(IF(OR(AC403-TODAY()&gt;45,VLOOKUP(C403,[1]List1!$A:$E,4,FALSE)=0),AC403,DAY(AC403)&amp;"."&amp;MONTH(AC403)&amp;"."&amp;YEAR(AC403)&amp;" "&amp;$V$4&amp;VLOOKUP(C403,[1]List1!$A:$E,4,FALSE)&amp;" "&amp;$V$1),AC403))))</f>
        <v>SKLADEM</v>
      </c>
      <c r="AE403" s="645" t="str">
        <f t="shared" ref="AE403:AE404" ca="1" si="1106">IFERROR(IF(AV403&lt;&gt;"",AV403,AD403),AD403)</f>
        <v>SKLADEM</v>
      </c>
      <c r="AF403" s="648">
        <f t="shared" ref="AF403:AF404" si="1107">IFERROR(IF(AB403=Y403,G403*I403*Y403,0),0)</f>
        <v>0</v>
      </c>
      <c r="AG403" s="649">
        <f t="shared" ref="AG403:AG404" si="1108">IF($W$17=$AF$8,AH403*1.23,AF403*1.21)</f>
        <v>0</v>
      </c>
      <c r="AH403" s="650">
        <f t="shared" ref="AH403:AH404" si="1109">IFERROR(IF(Y403=AB403,H403*I403*Y403,0),0)</f>
        <v>0</v>
      </c>
      <c r="AI403" s="645">
        <f t="shared" ref="AI403:AI404" si="1110">IFERROR(IF(Y403=AB403,(P403*Y403)/1000,1),0)</f>
        <v>0</v>
      </c>
      <c r="AJ403" s="645">
        <f t="shared" ref="AJ403:AJ404" si="1111">IFERROR(IF(Y403=AB403,N403*Y403,0.1),0)</f>
        <v>0</v>
      </c>
      <c r="AK403" s="645" t="str">
        <f t="shared" ref="AK403:AK404" si="1112">IFERROR(IF(Y403=AB403,IF(M403="1.1G",(O403/1000)*Y403,""),""),0)</f>
        <v/>
      </c>
      <c r="AL403" s="645" t="str">
        <f t="shared" ref="AL403:AL404" si="1113">IFERROR(IF(Y403=AB403,IF(M403="1.3G",(O403/1000)*AB403,""),""),0)</f>
        <v/>
      </c>
      <c r="AM403" s="645">
        <f t="shared" ref="AM403:AM404" si="1114">IFERROR(IF(Y403=AB403,IF(M403="1.4G",(O403/1000)*AB403,""),""),0)</f>
        <v>0</v>
      </c>
      <c r="AN403" s="651">
        <f t="shared" ref="AN403:AN404" si="1115">SUM(AK403:AM403)</f>
        <v>0</v>
      </c>
      <c r="AO403" s="623"/>
      <c r="AP403" s="632" t="str">
        <f t="shared" si="1094"/>
        <v/>
      </c>
      <c r="AQ403" s="633" t="str">
        <f>IF(AC403=$V$3,IF(VLOOKUP(C403,[1]List1!$A:$E,5,FALSE)=0,1,VLOOKUP(C403,[1]List1!$A:$E,5,FALSE)),"")</f>
        <v/>
      </c>
      <c r="AR403" s="625" t="str">
        <f t="shared" si="1095"/>
        <v/>
      </c>
      <c r="AS403" s="634" t="str">
        <f t="shared" si="1096"/>
        <v/>
      </c>
      <c r="AT403" s="625" t="str">
        <f t="shared" si="1097"/>
        <v/>
      </c>
      <c r="AU403" s="638" t="e">
        <f t="shared" si="1098"/>
        <v>#N/A</v>
      </c>
      <c r="AV403" s="625" t="e">
        <f t="shared" si="1099"/>
        <v>#N/A</v>
      </c>
      <c r="AX403" s="625">
        <f>IF(AND('General price list'!$J403="F4",'General price list'!$AB403+0&gt;0),1,0)</f>
        <v>0</v>
      </c>
      <c r="AY403" s="625">
        <f t="shared" si="1100"/>
        <v>1</v>
      </c>
      <c r="AZ403" s="625">
        <f t="shared" si="1101"/>
        <v>0</v>
      </c>
    </row>
    <row r="404" spans="1:52" ht="15.75" customHeight="1">
      <c r="A404" s="621" t="str">
        <f>Kat.!C404</f>
        <v/>
      </c>
      <c r="B404" s="566">
        <f>IF(AND('General price list'!$J404="F4",$AI$1=FALSE),0,IF(AC404="SKLADEM",1,IF(AC404=$V$3,1,0)))</f>
        <v>0</v>
      </c>
      <c r="C404" s="567" t="s">
        <v>975</v>
      </c>
      <c r="D404" s="568" t="s">
        <v>970</v>
      </c>
      <c r="E404" s="763" t="s">
        <v>12681</v>
      </c>
      <c r="F404" s="791">
        <f>IFERROR(VLOOKUP(C404,[2]List1!$A:$D,3,FALSE),"NEUVEDENO!")</f>
        <v>123</v>
      </c>
      <c r="G404" s="769">
        <f t="shared" si="1102"/>
        <v>123</v>
      </c>
      <c r="H404" s="766">
        <f t="shared" si="1103"/>
        <v>5.2248601394145613</v>
      </c>
      <c r="I404" s="764">
        <f>IFERROR(VLOOKUP(C404,[2]List1!$A:$D,4,FALSE),"NEUVEDENO!")</f>
        <v>24</v>
      </c>
      <c r="J404" s="732" t="s">
        <v>39</v>
      </c>
      <c r="K404" s="569" t="s">
        <v>11100</v>
      </c>
      <c r="L404" s="569" t="s">
        <v>10990</v>
      </c>
      <c r="M404" s="569" t="s">
        <v>21</v>
      </c>
      <c r="N404" s="569">
        <f>IFERROR(VLOOKUP(C404,[3]List1!$A:$D,4,FALSE),"N/A!")</f>
        <v>3.6861499999999991E-2</v>
      </c>
      <c r="O404" s="569">
        <f>IFERROR(VLOOKUP(C404,[3]List1!$A:$D,3,FALSE),"N/A!")</f>
        <v>3072</v>
      </c>
      <c r="P404" s="569">
        <f>IFERROR(VLOOKUP(C404,[3]List1!$A:$D,2,FALSE),"N/A!")</f>
        <v>16400</v>
      </c>
      <c r="Q404" s="569" t="s">
        <v>11290</v>
      </c>
      <c r="R404" s="569"/>
      <c r="S404" s="569" t="str">
        <f>IF($W$17=$AF$1,"design",IFERROR(VLOOKUP("design",Jazyky_ceník!$A:$Q,MATCH($W$17,Jazyky_ceník!$A$1:$Q$1,0),FALSE),"!!!"))</f>
        <v>design</v>
      </c>
      <c r="T404" s="569">
        <v>20</v>
      </c>
      <c r="U404" s="569">
        <v>25</v>
      </c>
      <c r="V404" s="569">
        <v>13</v>
      </c>
      <c r="W404" s="569" t="str">
        <f>IFERROR(IF(AND($AB404&gt;=0.1*$AA404,MOD($AB404,$AA404)&gt;=($AA404-(0.1*$AA404))),IF($W$17=$AF$1,"Zvažte možnost doobjednání ještě "&amp;Tabulka1[[#This Row],[VKPAL]]-MOD(AB404,AA404)&amp;" VK do plné palety.",VLOOKUP("Zvažte možnost doobjednání ještě ",Jazyky_ceník!A:Q,MATCH($W$17,Jazyky_ceník!$A$1:$Q$1,0),FALSE)&amp;Tabulka1[[#This Row],[VKPAL]]-MOD(AB404,AA404)&amp;VLOOKUP(" VK do plné palety.",Jazyky_ceník!A:Q,MATCH($W$17,Jazyky_ceník!$A$1:$Q$1,0),FALSE)),IFERROR(IF(AND(NOT(MOD($AB404,$AA404)=0),$AB404&gt;=0.9*$AA404,MOD($AB404,$AA404)&lt;=0.1*$AA404),IF($W$17=$AF$1,"Zvažte možnost optimalizace objednaného množství podle počtu VK na paletě ==&gt;",VLOOKUP("Zvažte možnost optimalizace objednaného množství podle počtu VK na paletě ==&gt;",Jazyky_ceník!A:Q,MATCH($W$17,Jazyky_ceník!$A$1:$Q$1,0),FALSE)),VLOOKUP('General price list'!$C404,Popisy!A:M,MATCH($W$17,Popisy!$A$7:$M$7,0),FALSE)),"---------------")),IFERROR(VLOOKUP('General price list'!$C404,Popisy!A:M,MATCH($W$17,Popisy!$A$7:$M$7,0),FALSE),"---------------"))</f>
        <v>4 různobarevné efekty</v>
      </c>
      <c r="X404" s="569" t="str">
        <f t="shared" si="1104"/>
        <v/>
      </c>
      <c r="Y404" s="569" t="str">
        <f t="shared" si="1105"/>
        <v/>
      </c>
      <c r="Z404" s="569" t="str">
        <f>HYPERLINK("https://www.klasekpyrotechnics.cz/c1620f14")</f>
        <v>https://www.klasekpyrotechnics.cz/c1620f14</v>
      </c>
      <c r="AA404" s="569">
        <f>IFERROR(IF(VLOOKUP(C404,[4]List1!$A:$D,4,FALSE)=0,"",VLOOKUP(C404,[4]List1!$A:$D,4,FALSE)),"")</f>
        <v>36</v>
      </c>
      <c r="AB404" s="565"/>
      <c r="AC404" s="570" t="str">
        <f>IFERROR(IF(VLOOKUP(C404,[1]List1!$A:$D,2,FALSE)="VYPRODÁNO",$V$9,IF(VLOOKUP(C404,[1]List1!$A:$D,2,FALSE)="DOCHÁZÍ",$V$3,VLOOKUP(C404,[1]List1!$A:$D,2,FALSE))),"OFFLINE!")</f>
        <v>01.04.2026</v>
      </c>
      <c r="AD404" s="570" t="str">
        <f ca="1">IF(AP404="NE",$V$10,IF(AC404=$V$3,IF(AQ404&lt;1,$V$8,$V$2&amp;" "&amp;AQ404&amp;" "&amp;$V$1),IF(AC404="SKLADEM",$V$6,IFERROR(IF(OR(AC404-TODAY()&gt;45,VLOOKUP(C404,[1]List1!$A:$E,4,FALSE)=0),AC404,DAY(AC404)&amp;"."&amp;MONTH(AC404)&amp;"."&amp;YEAR(AC404)&amp;" "&amp;$V$4&amp;VLOOKUP(C404,[1]List1!$A:$E,4,FALSE)&amp;" "&amp;$V$1),AC404))))</f>
        <v>1.4.2026 DORAZÍ 100+ VK</v>
      </c>
      <c r="AE404" s="581" t="str">
        <f t="shared" ca="1" si="1106"/>
        <v>1.4.2026 DORAZÍ 100+ VK</v>
      </c>
      <c r="AF404" s="584">
        <f t="shared" si="1107"/>
        <v>0</v>
      </c>
      <c r="AG404" s="585">
        <f t="shared" si="1108"/>
        <v>0</v>
      </c>
      <c r="AH404" s="583">
        <f t="shared" si="1109"/>
        <v>0</v>
      </c>
      <c r="AI404" s="582">
        <f t="shared" si="1110"/>
        <v>0</v>
      </c>
      <c r="AJ404" s="569">
        <f t="shared" si="1111"/>
        <v>0</v>
      </c>
      <c r="AK404" s="569" t="str">
        <f t="shared" si="1112"/>
        <v/>
      </c>
      <c r="AL404" s="569" t="str">
        <f t="shared" si="1113"/>
        <v/>
      </c>
      <c r="AM404" s="569">
        <f t="shared" si="1114"/>
        <v>0</v>
      </c>
      <c r="AN404" s="581">
        <f t="shared" si="1115"/>
        <v>0</v>
      </c>
      <c r="AO404" s="623"/>
      <c r="AP404" s="625" t="str">
        <f t="shared" si="1094"/>
        <v/>
      </c>
      <c r="AQ404" s="625" t="str">
        <f>IF(AC404=$V$3,IF(VLOOKUP(C404,[1]List1!$A:$E,5,FALSE)=0,1,VLOOKUP(C404,[1]List1!$A:$E,5,FALSE)),"")</f>
        <v/>
      </c>
      <c r="AR404" s="629" t="str">
        <f t="shared" si="1095"/>
        <v/>
      </c>
      <c r="AS404" s="630" t="str">
        <f t="shared" si="1096"/>
        <v/>
      </c>
      <c r="AT404" s="625" t="str">
        <f t="shared" si="1097"/>
        <v/>
      </c>
      <c r="AU404" s="625" t="e">
        <f t="shared" si="1098"/>
        <v>#N/A</v>
      </c>
      <c r="AV404" s="625" t="e">
        <f t="shared" si="1099"/>
        <v>#N/A</v>
      </c>
      <c r="AW404" s="631"/>
      <c r="AX404" s="631">
        <f>IF(AND('General price list'!$J404="F4",'General price list'!$AB404+0&gt;0),1,0)</f>
        <v>0</v>
      </c>
      <c r="AY404" s="631">
        <f t="shared" si="1100"/>
        <v>1</v>
      </c>
      <c r="AZ404" s="631">
        <f t="shared" si="1101"/>
        <v>0</v>
      </c>
    </row>
    <row r="405" spans="1:52" ht="15" customHeight="1">
      <c r="A405" s="751" t="str">
        <f>Kat.!C405</f>
        <v xml:space="preserve">           Baterie 16 ran, 20 mm šikmý moždíř – 1.3G</v>
      </c>
      <c r="B405" s="751"/>
      <c r="C405" s="751"/>
      <c r="D405" s="751"/>
      <c r="E405" s="751"/>
      <c r="F405" s="751"/>
      <c r="G405" s="751"/>
      <c r="H405" s="751"/>
      <c r="I405" s="752"/>
      <c r="J405" s="752"/>
      <c r="K405" s="752" t="s">
        <v>20</v>
      </c>
      <c r="L405" s="753" t="s">
        <v>20</v>
      </c>
      <c r="M405" s="752"/>
      <c r="N405" s="752"/>
      <c r="O405" s="752"/>
      <c r="P405" s="752"/>
      <c r="Q405" s="752"/>
      <c r="R405" s="752"/>
      <c r="S405" s="752"/>
      <c r="T405" s="752"/>
      <c r="U405" s="752"/>
      <c r="V405" s="752"/>
      <c r="W405" s="752"/>
      <c r="X405" s="752"/>
      <c r="Y405" s="752"/>
      <c r="Z405" s="752" t="s">
        <v>20</v>
      </c>
      <c r="AA405" s="752"/>
      <c r="AB405" s="752"/>
      <c r="AC405" s="754"/>
      <c r="AD405" s="752"/>
      <c r="AE405" s="752"/>
      <c r="AF405" s="752"/>
      <c r="AG405" s="752"/>
      <c r="AH405" s="752"/>
      <c r="AI405" s="752"/>
      <c r="AJ405" s="752"/>
      <c r="AK405" s="752"/>
      <c r="AL405" s="752"/>
      <c r="AM405" s="752"/>
      <c r="AN405" s="752"/>
      <c r="AO405" s="623"/>
      <c r="AP405" s="632" t="str">
        <f t="shared" si="1094"/>
        <v/>
      </c>
      <c r="AQ405" s="633" t="str">
        <f>IF(AC405=$V$3,IF(VLOOKUP(C405,[1]List1!$A:$E,5,FALSE)=0,1,VLOOKUP(C405,[1]List1!$A:$E,5,FALSE)),"")</f>
        <v/>
      </c>
      <c r="AR405" s="625" t="str">
        <f t="shared" si="1095"/>
        <v/>
      </c>
      <c r="AS405" s="634" t="str">
        <f t="shared" si="1096"/>
        <v/>
      </c>
      <c r="AT405" s="625" t="str">
        <f t="shared" si="1097"/>
        <v/>
      </c>
      <c r="AU405" s="638" t="e">
        <f t="shared" si="1098"/>
        <v>#N/A</v>
      </c>
      <c r="AV405" s="625" t="e">
        <f t="shared" si="1099"/>
        <v>#N/A</v>
      </c>
      <c r="AX405" s="625">
        <f>IF(AND('General price list'!$J405="F4",'General price list'!$AB405+0&gt;0),1,0)</f>
        <v>0</v>
      </c>
      <c r="AY405" s="625">
        <f t="shared" si="1100"/>
        <v>0</v>
      </c>
      <c r="AZ405" s="625">
        <f t="shared" si="1101"/>
        <v>0</v>
      </c>
    </row>
    <row r="406" spans="1:52" ht="15" customHeight="1">
      <c r="A406" s="639" t="str">
        <f>Kat.!C406</f>
        <v/>
      </c>
      <c r="B406" s="640">
        <f>IF(AND('General price list'!$J406="F4",$AI$1=FALSE),0,IF(AC406="SKLADEM",1,IF(AC406=$V$3,1,0)))</f>
        <v>1</v>
      </c>
      <c r="C406" s="641" t="s">
        <v>2266</v>
      </c>
      <c r="D406" s="642" t="s">
        <v>2267</v>
      </c>
      <c r="E406" s="643" t="s">
        <v>12724</v>
      </c>
      <c r="F406" s="771">
        <f>IFERROR(VLOOKUP(C406,[2]List1!$A:$D,3,FALSE),"NEUVEDENO!")</f>
        <v>163</v>
      </c>
      <c r="G406" s="768">
        <f t="shared" ref="G406:G407" si="1116">IF($W$17=$AF$8,ROUND((F406)/$F$17,2),(F406)*$B$19)</f>
        <v>163</v>
      </c>
      <c r="H406" s="765">
        <f t="shared" ref="H406:H407" si="1117">IF($W$17=$AF$8,G406*$B$19,G406/$F$17)</f>
        <v>6.9240016481672635</v>
      </c>
      <c r="I406" s="644">
        <f>IFERROR(VLOOKUP(C406,[2]List1!$A:$D,4,FALSE),"NEUVEDENO!")</f>
        <v>16</v>
      </c>
      <c r="J406" s="733" t="s">
        <v>39</v>
      </c>
      <c r="K406" s="645" t="s">
        <v>20</v>
      </c>
      <c r="L406" s="645" t="s">
        <v>20</v>
      </c>
      <c r="M406" s="645" t="s">
        <v>114</v>
      </c>
      <c r="N406" s="645">
        <f>IFERROR(VLOOKUP(C406,[3]List1!$A:$D,4,FALSE),"N/A!")</f>
        <v>3.8272E-2</v>
      </c>
      <c r="O406" s="645">
        <f>IFERROR(VLOOKUP(C406,[3]List1!$A:$D,3,FALSE),"N/A!")</f>
        <v>2048</v>
      </c>
      <c r="P406" s="645">
        <f>IFERROR(VLOOKUP(C406,[3]List1!$A:$D,2,FALSE),"N/A!")</f>
        <v>13000</v>
      </c>
      <c r="Q406" s="645" t="s">
        <v>11770</v>
      </c>
      <c r="R406" s="645"/>
      <c r="S406" s="645" t="str">
        <f>IF($W$17=$AF$1,"design",IFERROR(VLOOKUP("design",Jazyky_ceník!$A:$Q,MATCH($W$17,Jazyky_ceník!$A$1:$Q$1,0),FALSE),"!!!"))</f>
        <v>design</v>
      </c>
      <c r="T406" s="645">
        <v>8</v>
      </c>
      <c r="U406" s="645">
        <v>25</v>
      </c>
      <c r="V406" s="645"/>
      <c r="W406" s="645" t="str">
        <f>IFERROR(IF(AND($AB406&gt;=0.1*$AA406,MOD($AB406,$AA406)&gt;=($AA406-(0.1*$AA406))),IF($W$17=$AF$1,"Zvažte možnost doobjednání ještě "&amp;Tabulka1[[#This Row],[VKPAL]]-MOD(AB406,AA406)&amp;" VK do plné palety.",VLOOKUP("Zvažte možnost doobjednání ještě ",Jazyky_ceník!A:Q,MATCH($W$17,Jazyky_ceník!$A$1:$Q$1,0),FALSE)&amp;Tabulka1[[#This Row],[VKPAL]]-MOD(AB406,AA406)&amp;VLOOKUP(" VK do plné palety.",Jazyky_ceník!A:Q,MATCH($W$17,Jazyky_ceník!$A$1:$Q$1,0),FALSE)),IFERROR(IF(AND(NOT(MOD($AB406,$AA406)=0),$AB406&gt;=0.9*$AA406,MOD($AB406,$AA406)&lt;=0.1*$AA406),IF($W$17=$AF$1,"Zvažte možnost optimalizace objednaného množství podle počtu VK na paletě ==&gt;",VLOOKUP("Zvažte možnost optimalizace objednaného množství podle počtu VK na paletě ==&gt;",Jazyky_ceník!A:Q,MATCH($W$17,Jazyky_ceník!$A$1:$Q$1,0),FALSE)),VLOOKUP('General price list'!$C406,Popisy!A:M,MATCH($W$17,Popisy!$A$7:$M$7,0),FALSE)),"---------------")),IFERROR(VLOOKUP('General price list'!$C406,Popisy!A:M,MATCH($W$17,Popisy!$A$7:$M$7,0),FALSE),"---------------"))</f>
        <v>stříbrná mina s červenou stopou a titanovou detonací</v>
      </c>
      <c r="X406" s="645" t="str">
        <f t="shared" ref="X406:X407" si="1118">IF(AB406&lt;0.0001,"",AB406)</f>
        <v/>
      </c>
      <c r="Y406" s="645" t="str">
        <f t="shared" ref="Y406:Y407" si="1119">IF($AL$3=2,IF(OR(AB406&lt;&gt;"",AB406&lt;&gt;0),AU406,""),IF(C406="","",IF(AB406&lt;0.0001,"",IF(B406=0,"",IF(AQ406&lt;AB406,"",AB406)))))</f>
        <v/>
      </c>
      <c r="Z406" s="645" t="str">
        <f>HYPERLINK("https://www.klasekpyrotechnics.cz/cx1620d")</f>
        <v>https://www.klasekpyrotechnics.cz/cx1620d</v>
      </c>
      <c r="AA406" s="645">
        <f>IFERROR(IF(VLOOKUP(C406,[4]List1!$A:$D,4,FALSE)=0,"",VLOOKUP(C406,[4]List1!$A:$D,4,FALSE)),"")</f>
        <v>30</v>
      </c>
      <c r="AB406" s="646"/>
      <c r="AC406" s="647" t="str">
        <f>IFERROR(IF(VLOOKUP(C406,[1]List1!$A:$D,2,FALSE)="VYPRODÁNO",$V$9,IF(VLOOKUP(C406,[1]List1!$A:$D,2,FALSE)="DOCHÁZÍ",$V$3,VLOOKUP(C406,[1]List1!$A:$D,2,FALSE))),"OFFLINE!")</f>
        <v>SKLADEM</v>
      </c>
      <c r="AD406" s="647" t="str">
        <f ca="1">IF(AP406="NE",$V$10,IF(AC406=$V$3,IF(AQ406&lt;1,$V$8,$V$2&amp;" "&amp;AQ406&amp;" "&amp;$V$1),IF(AC406="SKLADEM",$V$6,IFERROR(IF(OR(AC406-TODAY()&gt;45,VLOOKUP(C406,[1]List1!$A:$E,4,FALSE)=0),AC406,DAY(AC406)&amp;"."&amp;MONTH(AC406)&amp;"."&amp;YEAR(AC406)&amp;" "&amp;$V$4&amp;VLOOKUP(C406,[1]List1!$A:$E,4,FALSE)&amp;" "&amp;$V$1),AC406))))</f>
        <v>SKLADEM</v>
      </c>
      <c r="AE406" s="645" t="str">
        <f t="shared" ref="AE406:AE407" ca="1" si="1120">IFERROR(IF(AV406&lt;&gt;"",AV406,AD406),AD406)</f>
        <v>SKLADEM</v>
      </c>
      <c r="AF406" s="648">
        <f t="shared" ref="AF406:AF407" si="1121">IFERROR(IF(AB406=Y406,G406*I406*Y406,0),0)</f>
        <v>0</v>
      </c>
      <c r="AG406" s="649">
        <f t="shared" ref="AG406:AG407" si="1122">IF($W$17=$AF$8,AH406*1.23,AF406*1.21)</f>
        <v>0</v>
      </c>
      <c r="AH406" s="650">
        <f t="shared" ref="AH406:AH407" si="1123">IFERROR(IF(Y406=AB406,H406*I406*Y406,0),0)</f>
        <v>0</v>
      </c>
      <c r="AI406" s="645">
        <f t="shared" ref="AI406:AI407" si="1124">IFERROR(IF(Y406=AB406,(P406*Y406)/1000,1),0)</f>
        <v>0</v>
      </c>
      <c r="AJ406" s="645">
        <f t="shared" ref="AJ406:AJ407" si="1125">IFERROR(IF(Y406=AB406,N406*Y406,0.1),0)</f>
        <v>0</v>
      </c>
      <c r="AK406" s="645" t="str">
        <f t="shared" ref="AK406:AK407" si="1126">IFERROR(IF(Y406=AB406,IF(M406="1.1G",(O406/1000)*Y406,""),""),0)</f>
        <v/>
      </c>
      <c r="AL406" s="645">
        <f t="shared" ref="AL406:AL407" si="1127">IFERROR(IF(Y406=AB406,IF(M406="1.3G",(O406/1000)*AB406,""),""),0)</f>
        <v>0</v>
      </c>
      <c r="AM406" s="645" t="str">
        <f t="shared" ref="AM406:AM407" si="1128">IFERROR(IF(Y406=AB406,IF(M406="1.4G",(O406/1000)*AB406,""),""),0)</f>
        <v/>
      </c>
      <c r="AN406" s="651">
        <f t="shared" ref="AN406:AN407" si="1129">SUM(AK406:AM406)</f>
        <v>0</v>
      </c>
      <c r="AO406" s="623"/>
      <c r="AP406" s="632" t="str">
        <f t="shared" si="1094"/>
        <v/>
      </c>
      <c r="AQ406" s="633" t="str">
        <f>IF(AC406=$V$3,IF(VLOOKUP(C406,[1]List1!$A:$E,5,FALSE)=0,1,VLOOKUP(C406,[1]List1!$A:$E,5,FALSE)),"")</f>
        <v/>
      </c>
      <c r="AR406" s="625" t="str">
        <f t="shared" si="1095"/>
        <v/>
      </c>
      <c r="AS406" s="634" t="str">
        <f t="shared" si="1096"/>
        <v/>
      </c>
      <c r="AT406" s="625" t="str">
        <f t="shared" si="1097"/>
        <v/>
      </c>
      <c r="AU406" s="638" t="e">
        <f t="shared" si="1098"/>
        <v>#N/A</v>
      </c>
      <c r="AV406" s="625" t="e">
        <f t="shared" si="1099"/>
        <v>#N/A</v>
      </c>
      <c r="AX406" s="625">
        <f>IF(AND('General price list'!$J406="F4",'General price list'!$AB406+0&gt;0),1,0)</f>
        <v>0</v>
      </c>
      <c r="AY406" s="625">
        <f t="shared" si="1100"/>
        <v>1</v>
      </c>
      <c r="AZ406" s="625">
        <f t="shared" si="1101"/>
        <v>0</v>
      </c>
    </row>
    <row r="407" spans="1:52" ht="15.75" customHeight="1">
      <c r="A407" s="621" t="str">
        <f>Kat.!C407</f>
        <v/>
      </c>
      <c r="B407" s="566">
        <f>IF(AND('General price list'!$J407="F4",$AI$1=FALSE),0,IF(AC407="SKLADEM",1,IF(AC407=$V$3,1,0)))</f>
        <v>1</v>
      </c>
      <c r="C407" s="567" t="s">
        <v>2268</v>
      </c>
      <c r="D407" s="568" t="s">
        <v>2269</v>
      </c>
      <c r="E407" s="763" t="s">
        <v>12724</v>
      </c>
      <c r="F407" s="772">
        <f>IFERROR(VLOOKUP(C407,[2]List1!$A:$D,3,FALSE),"NEUVEDENO!")</f>
        <v>163</v>
      </c>
      <c r="G407" s="769">
        <f t="shared" si="1116"/>
        <v>163</v>
      </c>
      <c r="H407" s="766">
        <f t="shared" si="1117"/>
        <v>6.9240016481672635</v>
      </c>
      <c r="I407" s="764">
        <f>IFERROR(VLOOKUP(C407,[2]List1!$A:$D,4,FALSE),"NEUVEDENO!")</f>
        <v>16</v>
      </c>
      <c r="J407" s="732" t="s">
        <v>39</v>
      </c>
      <c r="K407" s="569" t="s">
        <v>20</v>
      </c>
      <c r="L407" s="569" t="s">
        <v>20</v>
      </c>
      <c r="M407" s="569" t="s">
        <v>114</v>
      </c>
      <c r="N407" s="569">
        <f>IFERROR(VLOOKUP(C407,[3]List1!$A:$D,4,FALSE),"N/A!")</f>
        <v>3.8272E-2</v>
      </c>
      <c r="O407" s="569">
        <f>IFERROR(VLOOKUP(C407,[3]List1!$A:$D,3,FALSE),"N/A!")</f>
        <v>2048</v>
      </c>
      <c r="P407" s="569">
        <f>IFERROR(VLOOKUP(C407,[3]List1!$A:$D,2,FALSE),"N/A!")</f>
        <v>13000</v>
      </c>
      <c r="Q407" s="569" t="s">
        <v>11770</v>
      </c>
      <c r="R407" s="569"/>
      <c r="S407" s="569" t="str">
        <f>IF($W$17=$AF$1,"červená fólie",IFERROR(VLOOKUP("červená fólie",Jazyky_ceník!$A:$Q,MATCH($W$17,Jazyky_ceník!$A$1:$Q$1,0),FALSE),"!!!"))</f>
        <v>červená fólie</v>
      </c>
      <c r="T407" s="569">
        <v>15</v>
      </c>
      <c r="U407" s="569">
        <v>25</v>
      </c>
      <c r="V407" s="569">
        <v>16</v>
      </c>
      <c r="W407" s="569" t="str">
        <f>IFERROR(IF(AND($AB407&gt;=0.1*$AA407,MOD($AB407,$AA407)&gt;=($AA407-(0.1*$AA407))),IF($W$17=$AF$1,"Zvažte možnost doobjednání ještě "&amp;Tabulka1[[#This Row],[VKPAL]]-MOD(AB407,AA407)&amp;" VK do plné palety.",VLOOKUP("Zvažte možnost doobjednání ještě ",Jazyky_ceník!A:Q,MATCH($W$17,Jazyky_ceník!$A$1:$Q$1,0),FALSE)&amp;Tabulka1[[#This Row],[VKPAL]]-MOD(AB407,AA407)&amp;VLOOKUP(" VK do plné palety.",Jazyky_ceník!A:Q,MATCH($W$17,Jazyky_ceník!$A$1:$Q$1,0),FALSE)),IFERROR(IF(AND(NOT(MOD($AB407,$AA407)=0),$AB407&gt;=0.9*$AA407,MOD($AB407,$AA407)&lt;=0.1*$AA407),IF($W$17=$AF$1,"Zvažte možnost optimalizace objednaného množství podle počtu VK na paletě ==&gt;",VLOOKUP("Zvažte možnost optimalizace objednaného množství podle počtu VK na paletě ==&gt;",Jazyky_ceník!A:Q,MATCH($W$17,Jazyky_ceník!$A$1:$Q$1,0),FALSE)),VLOOKUP('General price list'!$C407,Popisy!A:M,MATCH($W$17,Popisy!$A$7:$M$7,0),FALSE)),"---------------")),IFERROR(VLOOKUP('General price list'!$C407,Popisy!A:M,MATCH($W$17,Popisy!$A$7:$M$7,0),FALSE),"---------------"))</f>
        <v>4 různobarevných efektů</v>
      </c>
      <c r="X407" s="569" t="str">
        <f t="shared" si="1118"/>
        <v/>
      </c>
      <c r="Y407" s="569" t="str">
        <f t="shared" si="1119"/>
        <v/>
      </c>
      <c r="Z407" s="569" t="str">
        <f>HYPERLINK("https://www.klasekpyrotechnics.cz/cx1620x")</f>
        <v>https://www.klasekpyrotechnics.cz/cx1620x</v>
      </c>
      <c r="AA407" s="569">
        <f>IFERROR(IF(VLOOKUP(C407,[4]List1!$A:$D,4,FALSE)=0,"",VLOOKUP(C407,[4]List1!$A:$D,4,FALSE)),"")</f>
        <v>30</v>
      </c>
      <c r="AB407" s="565"/>
      <c r="AC407" s="570" t="str">
        <f>IFERROR(IF(VLOOKUP(C407,[1]List1!$A:$D,2,FALSE)="VYPRODÁNO",$V$9,IF(VLOOKUP(C407,[1]List1!$A:$D,2,FALSE)="DOCHÁZÍ",$V$3,VLOOKUP(C407,[1]List1!$A:$D,2,FALSE))),"OFFLINE!")</f>
        <v>SKLADEM</v>
      </c>
      <c r="AD407" s="570" t="str">
        <f ca="1">IF(AP407="NE",$V$10,IF(AC407=$V$3,IF(AQ407&lt;1,$V$8,$V$2&amp;" "&amp;AQ407&amp;" "&amp;$V$1),IF(AC407="SKLADEM",$V$6,IFERROR(IF(OR(AC407-TODAY()&gt;45,VLOOKUP(C407,[1]List1!$A:$E,4,FALSE)=0),AC407,DAY(AC407)&amp;"."&amp;MONTH(AC407)&amp;"."&amp;YEAR(AC407)&amp;" "&amp;$V$4&amp;VLOOKUP(C407,[1]List1!$A:$E,4,FALSE)&amp;" "&amp;$V$1),AC407))))</f>
        <v>SKLADEM</v>
      </c>
      <c r="AE407" s="581" t="str">
        <f t="shared" ca="1" si="1120"/>
        <v>SKLADEM</v>
      </c>
      <c r="AF407" s="584">
        <f t="shared" si="1121"/>
        <v>0</v>
      </c>
      <c r="AG407" s="585">
        <f t="shared" si="1122"/>
        <v>0</v>
      </c>
      <c r="AH407" s="583">
        <f t="shared" si="1123"/>
        <v>0</v>
      </c>
      <c r="AI407" s="582">
        <f t="shared" si="1124"/>
        <v>0</v>
      </c>
      <c r="AJ407" s="569">
        <f t="shared" si="1125"/>
        <v>0</v>
      </c>
      <c r="AK407" s="569" t="str">
        <f t="shared" si="1126"/>
        <v/>
      </c>
      <c r="AL407" s="569">
        <f t="shared" si="1127"/>
        <v>0</v>
      </c>
      <c r="AM407" s="569" t="str">
        <f t="shared" si="1128"/>
        <v/>
      </c>
      <c r="AN407" s="581">
        <f t="shared" si="1129"/>
        <v>0</v>
      </c>
      <c r="AO407" s="623"/>
      <c r="AP407" s="625" t="str">
        <f t="shared" si="1094"/>
        <v/>
      </c>
      <c r="AQ407" s="625" t="str">
        <f>IF(AC407=$V$3,IF(VLOOKUP(C407,[1]List1!$A:$E,5,FALSE)=0,1,VLOOKUP(C407,[1]List1!$A:$E,5,FALSE)),"")</f>
        <v/>
      </c>
      <c r="AR407" s="629" t="str">
        <f t="shared" si="1095"/>
        <v/>
      </c>
      <c r="AS407" s="630" t="str">
        <f t="shared" si="1096"/>
        <v/>
      </c>
      <c r="AT407" s="625" t="str">
        <f t="shared" si="1097"/>
        <v/>
      </c>
      <c r="AU407" s="625" t="e">
        <f t="shared" si="1098"/>
        <v>#N/A</v>
      </c>
      <c r="AV407" s="625" t="e">
        <f t="shared" si="1099"/>
        <v>#N/A</v>
      </c>
      <c r="AW407" s="631"/>
      <c r="AX407" s="631">
        <f>IF(AND('General price list'!$J407="F4",'General price list'!$AB407+0&gt;0),1,0)</f>
        <v>0</v>
      </c>
      <c r="AY407" s="631">
        <f t="shared" si="1100"/>
        <v>1</v>
      </c>
      <c r="AZ407" s="631">
        <f t="shared" si="1101"/>
        <v>0</v>
      </c>
    </row>
    <row r="408" spans="1:52" ht="15" customHeight="1">
      <c r="A408" s="751" t="str">
        <f>Kat.!C408</f>
        <v xml:space="preserve">           Baterie 25 ran, 20 mm moždíř – 1.3G</v>
      </c>
      <c r="B408" s="751"/>
      <c r="C408" s="751"/>
      <c r="D408" s="751"/>
      <c r="E408" s="751"/>
      <c r="F408" s="751"/>
      <c r="G408" s="751"/>
      <c r="H408" s="751"/>
      <c r="I408" s="752"/>
      <c r="J408" s="752"/>
      <c r="K408" s="752" t="s">
        <v>20</v>
      </c>
      <c r="L408" s="753" t="s">
        <v>2818</v>
      </c>
      <c r="M408" s="752"/>
      <c r="N408" s="752"/>
      <c r="O408" s="752"/>
      <c r="P408" s="752"/>
      <c r="Q408" s="752"/>
      <c r="R408" s="752"/>
      <c r="S408" s="752"/>
      <c r="T408" s="752"/>
      <c r="U408" s="752"/>
      <c r="V408" s="752"/>
      <c r="W408" s="752"/>
      <c r="X408" s="752"/>
      <c r="Y408" s="752"/>
      <c r="Z408" s="752" t="s">
        <v>20</v>
      </c>
      <c r="AA408" s="752"/>
      <c r="AB408" s="752"/>
      <c r="AC408" s="754"/>
      <c r="AD408" s="752"/>
      <c r="AE408" s="752"/>
      <c r="AF408" s="752"/>
      <c r="AG408" s="752"/>
      <c r="AH408" s="752"/>
      <c r="AI408" s="752"/>
      <c r="AJ408" s="752"/>
      <c r="AK408" s="752"/>
      <c r="AL408" s="752"/>
      <c r="AM408" s="752"/>
      <c r="AN408" s="752"/>
      <c r="AO408" s="623"/>
      <c r="AP408" s="632" t="str">
        <f t="shared" si="1094"/>
        <v/>
      </c>
      <c r="AQ408" s="633" t="str">
        <f>IF(AC408=$V$3,IF(VLOOKUP(C408,[1]List1!$A:$E,5,FALSE)=0,1,VLOOKUP(C408,[1]List1!$A:$E,5,FALSE)),"")</f>
        <v/>
      </c>
      <c r="AR408" s="625" t="str">
        <f t="shared" si="1095"/>
        <v/>
      </c>
      <c r="AS408" s="634" t="str">
        <f t="shared" si="1096"/>
        <v/>
      </c>
      <c r="AT408" s="625" t="str">
        <f t="shared" si="1097"/>
        <v/>
      </c>
      <c r="AU408" s="638" t="e">
        <f t="shared" si="1098"/>
        <v>#N/A</v>
      </c>
      <c r="AV408" s="625" t="e">
        <f t="shared" si="1099"/>
        <v>#N/A</v>
      </c>
      <c r="AX408" s="625">
        <f>IF(AND('General price list'!$J408="F4",'General price list'!$AB408+0&gt;0),1,0)</f>
        <v>0</v>
      </c>
      <c r="AY408" s="625">
        <f t="shared" si="1100"/>
        <v>0</v>
      </c>
      <c r="AZ408" s="625">
        <f t="shared" si="1101"/>
        <v>0</v>
      </c>
    </row>
    <row r="409" spans="1:52" ht="15" customHeight="1">
      <c r="A409" s="639" t="str">
        <f>Kat.!C409</f>
        <v/>
      </c>
      <c r="B409" s="640">
        <f>IF(AND('General price list'!$J409="F4",$AI$1=FALSE),0,IF(AC409="SKLADEM",1,IF(AC409=$V$3,1,0)))</f>
        <v>1</v>
      </c>
      <c r="C409" s="641" t="s">
        <v>976</v>
      </c>
      <c r="D409" s="642" t="s">
        <v>11877</v>
      </c>
      <c r="E409" s="643" t="s">
        <v>12675</v>
      </c>
      <c r="F409" s="791">
        <f>IFERROR(VLOOKUP(C409,[2]List1!$A:$D,3,FALSE),"NEUVEDENO!")</f>
        <v>179</v>
      </c>
      <c r="G409" s="768">
        <f t="shared" ref="G409:G418" si="1130">IF($W$17=$AF$8,ROUND((F409)/$F$17,2),(F409)*$B$19)</f>
        <v>179</v>
      </c>
      <c r="H409" s="765">
        <f t="shared" ref="H409:H418" si="1131">IF($W$17=$AF$8,G409*$B$19,G409/$F$17)</f>
        <v>7.6036582516683451</v>
      </c>
      <c r="I409" s="644">
        <f>IFERROR(VLOOKUP(C409,[2]List1!$A:$D,4,FALSE),"NEUVEDENO!")</f>
        <v>12</v>
      </c>
      <c r="J409" s="733" t="s">
        <v>39</v>
      </c>
      <c r="K409" s="645" t="s">
        <v>11100</v>
      </c>
      <c r="L409" s="645" t="s">
        <v>20</v>
      </c>
      <c r="M409" s="645" t="s">
        <v>114</v>
      </c>
      <c r="N409" s="645">
        <f>IFERROR(VLOOKUP(C409,[3]List1!$A:$D,4,FALSE),"N/A!")</f>
        <v>2.6870999999999999E-2</v>
      </c>
      <c r="O409" s="645">
        <f>IFERROR(VLOOKUP(C409,[3]List1!$A:$D,3,FALSE),"N/A!")</f>
        <v>2100</v>
      </c>
      <c r="P409" s="645">
        <f>IFERROR(VLOOKUP(C409,[3]List1!$A:$D,2,FALSE),"N/A!")</f>
        <v>13000</v>
      </c>
      <c r="Q409" s="645" t="s">
        <v>11771</v>
      </c>
      <c r="R409" s="645"/>
      <c r="S409" s="645" t="str">
        <f>IF($W$17=$AF$1,"design",IFERROR(VLOOKUP("design",Jazyky_ceník!$A:$Q,MATCH($W$17,Jazyky_ceník!$A$1:$Q$1,0),FALSE),"!!!"))</f>
        <v>design</v>
      </c>
      <c r="T409" s="645">
        <v>25</v>
      </c>
      <c r="U409" s="645">
        <v>25</v>
      </c>
      <c r="V409" s="645">
        <v>15</v>
      </c>
      <c r="W409" s="645" t="str">
        <f>IFERROR(IF(AND($AB409&gt;=0.1*$AA409,MOD($AB409,$AA409)&gt;=($AA409-(0.1*$AA409))),IF($W$17=$AF$1,"Zvažte možnost doobjednání ještě "&amp;Tabulka1[[#This Row],[VKPAL]]-MOD(AB409,AA409)&amp;" VK do plné palety.",VLOOKUP("Zvažte možnost doobjednání ještě ",Jazyky_ceník!A:Q,MATCH($W$17,Jazyky_ceník!$A$1:$Q$1,0),FALSE)&amp;Tabulka1[[#This Row],[VKPAL]]-MOD(AB409,AA409)&amp;VLOOKUP(" VK do plné palety.",Jazyky_ceník!A:Q,MATCH($W$17,Jazyky_ceník!$A$1:$Q$1,0),FALSE)),IFERROR(IF(AND(NOT(MOD($AB409,$AA409)=0),$AB409&gt;=0.9*$AA409,MOD($AB409,$AA409)&lt;=0.1*$AA409),IF($W$17=$AF$1,"Zvažte možnost optimalizace objednaného množství podle počtu VK na paletě ==&gt;",VLOOKUP("Zvažte možnost optimalizace objednaného množství podle počtu VK na paletě ==&gt;",Jazyky_ceník!A:Q,MATCH($W$17,Jazyky_ceník!$A$1:$Q$1,0),FALSE)),VLOOKUP('General price list'!$C409,Popisy!A:M,MATCH($W$17,Popisy!$A$7:$M$7,0),FALSE)),"---------------")),IFERROR(VLOOKUP('General price list'!$C409,Popisy!A:M,MATCH($W$17,Popisy!$A$7:$M$7,0),FALSE),"---------------"))</f>
        <v>5 různobarevných efektů</v>
      </c>
      <c r="X409" s="645" t="str">
        <f t="shared" ref="X409:X418" si="1132">IF(AB409&lt;0.0001,"",AB409)</f>
        <v/>
      </c>
      <c r="Y409" s="645" t="str">
        <f t="shared" ref="Y409:Y418" si="1133">IF($AL$3=2,IF(OR(AB409&lt;&gt;"",AB409&lt;&gt;0),AU409,""),IF(C409="","",IF(AB409&lt;0.0001,"",IF(B409=0,"",IF(AQ409&lt;AB409,"",AB409)))))</f>
        <v/>
      </c>
      <c r="Z409" s="645" t="str">
        <f>HYPERLINK("https://www.klasekpyrotechnics.cz/c2520bp")</f>
        <v>https://www.klasekpyrotechnics.cz/c2520bp</v>
      </c>
      <c r="AA409" s="645">
        <f>IFERROR(IF(VLOOKUP(C409,[4]List1!$A:$D,4,FALSE)=0,"",VLOOKUP(C409,[4]List1!$A:$D,4,FALSE)),"")</f>
        <v>54</v>
      </c>
      <c r="AB409" s="646"/>
      <c r="AC409" s="647" t="str">
        <f>IFERROR(IF(VLOOKUP(C409,[1]List1!$A:$D,2,FALSE)="VYPRODÁNO",$V$9,IF(VLOOKUP(C409,[1]List1!$A:$D,2,FALSE)="DOCHÁZÍ",$V$3,VLOOKUP(C409,[1]List1!$A:$D,2,FALSE))),"OFFLINE!")</f>
        <v>SKLADEM</v>
      </c>
      <c r="AD409" s="647" t="str">
        <f ca="1">IF(AP409="NE",$V$10,IF(AC409=$V$3,IF(AQ409&lt;1,$V$8,$V$2&amp;" "&amp;AQ409&amp;" "&amp;$V$1),IF(AC409="SKLADEM",$V$6,IFERROR(IF(OR(AC409-TODAY()&gt;45,VLOOKUP(C409,[1]List1!$A:$E,4,FALSE)=0),AC409,DAY(AC409)&amp;"."&amp;MONTH(AC409)&amp;"."&amp;YEAR(AC409)&amp;" "&amp;$V$4&amp;VLOOKUP(C409,[1]List1!$A:$E,4,FALSE)&amp;" "&amp;$V$1),AC409))))</f>
        <v>SKLADEM</v>
      </c>
      <c r="AE409" s="645" t="str">
        <f t="shared" ref="AE409:AE418" ca="1" si="1134">IFERROR(IF(AV409&lt;&gt;"",AV409,AD409),AD409)</f>
        <v>SKLADEM</v>
      </c>
      <c r="AF409" s="648">
        <f t="shared" ref="AF409:AF418" si="1135">IFERROR(IF(AB409=Y409,G409*I409*Y409,0),0)</f>
        <v>0</v>
      </c>
      <c r="AG409" s="649">
        <f t="shared" ref="AG409:AG418" si="1136">IF($W$17=$AF$8,AH409*1.23,AF409*1.21)</f>
        <v>0</v>
      </c>
      <c r="AH409" s="650">
        <f t="shared" ref="AH409:AH418" si="1137">IFERROR(IF(Y409=AB409,H409*I409*Y409,0),0)</f>
        <v>0</v>
      </c>
      <c r="AI409" s="645">
        <f t="shared" ref="AI409:AI418" si="1138">IFERROR(IF(Y409=AB409,(P409*Y409)/1000,1),0)</f>
        <v>0</v>
      </c>
      <c r="AJ409" s="645">
        <f t="shared" ref="AJ409:AJ418" si="1139">IFERROR(IF(Y409=AB409,N409*Y409,0.1),0)</f>
        <v>0</v>
      </c>
      <c r="AK409" s="645" t="str">
        <f t="shared" ref="AK409:AK418" si="1140">IFERROR(IF(Y409=AB409,IF(M409="1.1G",(O409/1000)*Y409,""),""),0)</f>
        <v/>
      </c>
      <c r="AL409" s="645">
        <f t="shared" ref="AL409:AL418" si="1141">IFERROR(IF(Y409=AB409,IF(M409="1.3G",(O409/1000)*AB409,""),""),0)</f>
        <v>0</v>
      </c>
      <c r="AM409" s="645" t="str">
        <f t="shared" ref="AM409:AM418" si="1142">IFERROR(IF(Y409=AB409,IF(M409="1.4G",(O409/1000)*AB409,""),""),0)</f>
        <v/>
      </c>
      <c r="AN409" s="651">
        <f t="shared" ref="AN409:AN418" si="1143">SUM(AK409:AM409)</f>
        <v>0</v>
      </c>
      <c r="AO409" s="623"/>
      <c r="AP409" s="632" t="str">
        <f t="shared" si="1094"/>
        <v/>
      </c>
      <c r="AQ409" s="633" t="str">
        <f>IF(AC409=$V$3,IF(VLOOKUP(C409,[1]List1!$A:$E,5,FALSE)=0,1,VLOOKUP(C409,[1]List1!$A:$E,5,FALSE)),"")</f>
        <v/>
      </c>
      <c r="AR409" s="625" t="str">
        <f t="shared" si="1095"/>
        <v/>
      </c>
      <c r="AS409" s="634" t="str">
        <f t="shared" si="1096"/>
        <v/>
      </c>
      <c r="AT409" s="625" t="str">
        <f t="shared" si="1097"/>
        <v/>
      </c>
      <c r="AU409" s="638" t="e">
        <f t="shared" si="1098"/>
        <v>#N/A</v>
      </c>
      <c r="AV409" s="625" t="e">
        <f t="shared" si="1099"/>
        <v>#N/A</v>
      </c>
      <c r="AX409" s="625">
        <f>IF(AND('General price list'!$J409="F4",'General price list'!$AB409+0&gt;0),1,0)</f>
        <v>0</v>
      </c>
      <c r="AY409" s="625">
        <f t="shared" si="1100"/>
        <v>1</v>
      </c>
      <c r="AZ409" s="625">
        <f t="shared" si="1101"/>
        <v>0</v>
      </c>
    </row>
    <row r="410" spans="1:52" ht="15" customHeight="1">
      <c r="A410" s="621" t="str">
        <f>Kat.!C410</f>
        <v/>
      </c>
      <c r="B410" s="566">
        <f>IF(AND('General price list'!$J410="F4",$AI$1=FALSE),0,IF(AC410="SKLADEM",1,IF(AC410=$V$3,1,0)))</f>
        <v>1</v>
      </c>
      <c r="C410" s="567" t="s">
        <v>977</v>
      </c>
      <c r="D410" s="568" t="s">
        <v>11718</v>
      </c>
      <c r="E410" s="763" t="s">
        <v>12675</v>
      </c>
      <c r="F410" s="772">
        <f>IFERROR(VLOOKUP(C410,[2]List1!$A:$D,3,FALSE),"NEUVEDENO!")</f>
        <v>243</v>
      </c>
      <c r="G410" s="769">
        <f t="shared" si="1130"/>
        <v>243</v>
      </c>
      <c r="H410" s="766">
        <f t="shared" si="1131"/>
        <v>10.322284665672669</v>
      </c>
      <c r="I410" s="764">
        <f>IFERROR(VLOOKUP(C410,[2]List1!$A:$D,4,FALSE),"NEUVEDENO!")</f>
        <v>12</v>
      </c>
      <c r="J410" s="732" t="s">
        <v>39</v>
      </c>
      <c r="K410" s="569" t="s">
        <v>20</v>
      </c>
      <c r="L410" s="569" t="s">
        <v>20</v>
      </c>
      <c r="M410" s="569" t="s">
        <v>114</v>
      </c>
      <c r="N410" s="569">
        <f>IFERROR(VLOOKUP(C410,[3]List1!$A:$D,4,FALSE),"N/A!")</f>
        <v>3.6039999999999996E-2</v>
      </c>
      <c r="O410" s="569">
        <f>IFERROR(VLOOKUP(C410,[3]List1!$A:$D,3,FALSE),"N/A!")</f>
        <v>3900</v>
      </c>
      <c r="P410" s="569">
        <f>IFERROR(VLOOKUP(C410,[3]List1!$A:$D,2,FALSE),"N/A!")</f>
        <v>15000</v>
      </c>
      <c r="Q410" s="569" t="s">
        <v>11238</v>
      </c>
      <c r="R410" s="569"/>
      <c r="S410" s="569" t="str">
        <f>IF($W$17=$AF$1,"design",IFERROR(VLOOKUP("design",Jazyky_ceník!$A:$Q,MATCH($W$17,Jazyky_ceník!$A$1:$Q$1,0),FALSE),"!!!"))</f>
        <v>design</v>
      </c>
      <c r="T410" s="569">
        <v>25</v>
      </c>
      <c r="U410" s="569">
        <v>27</v>
      </c>
      <c r="V410" s="569">
        <v>18</v>
      </c>
      <c r="W410" s="569" t="str">
        <f>IFERROR(IF(AND($AB410&gt;=0.1*$AA410,MOD($AB410,$AA410)&gt;=($AA410-(0.1*$AA410))),IF($W$17=$AF$1,"Zvažte možnost doobjednání ještě "&amp;Tabulka1[[#This Row],[VKPAL]]-MOD(AB410,AA410)&amp;" VK do plné palety.",VLOOKUP("Zvažte možnost doobjednání ještě ",Jazyky_ceník!A:Q,MATCH($W$17,Jazyky_ceník!$A$1:$Q$1,0),FALSE)&amp;Tabulka1[[#This Row],[VKPAL]]-MOD(AB410,AA410)&amp;VLOOKUP(" VK do plné palety.",Jazyky_ceník!A:Q,MATCH($W$17,Jazyky_ceník!$A$1:$Q$1,0),FALSE)),IFERROR(IF(AND(NOT(MOD($AB410,$AA410)=0),$AB410&gt;=0.9*$AA410,MOD($AB410,$AA410)&lt;=0.1*$AA410),IF($W$17=$AF$1,"Zvažte možnost optimalizace objednaného množství podle počtu VK na paletě ==&gt;",VLOOKUP("Zvažte možnost optimalizace objednaného množství podle počtu VK na paletě ==&gt;",Jazyky_ceník!A:Q,MATCH($W$17,Jazyky_ceník!$A$1:$Q$1,0),FALSE)),VLOOKUP('General price list'!$C410,Popisy!A:M,MATCH($W$17,Popisy!$A$7:$M$7,0),FALSE)),"---------------")),IFERROR(VLOOKUP('General price list'!$C410,Popisy!A:M,MATCH($W$17,Popisy!$A$7:$M$7,0),FALSE),"---------------"))</f>
        <v>5 různobarevných efektů</v>
      </c>
      <c r="X410" s="569" t="str">
        <f t="shared" si="1132"/>
        <v/>
      </c>
      <c r="Y410" s="569" t="str">
        <f t="shared" si="1133"/>
        <v/>
      </c>
      <c r="Z410" s="569" t="str">
        <f>HYPERLINK("https://www.klasekpyrotechnics.cz/c2520sig")</f>
        <v>https://www.klasekpyrotechnics.cz/c2520sig</v>
      </c>
      <c r="AA410" s="569">
        <f>IFERROR(IF(VLOOKUP(C410,[4]List1!$A:$D,4,FALSE)=0,"",VLOOKUP(C410,[4]List1!$A:$D,4,FALSE)),"")</f>
        <v>40</v>
      </c>
      <c r="AB410" s="565"/>
      <c r="AC410" s="570" t="str">
        <f>IFERROR(IF(VLOOKUP(C410,[1]List1!$A:$D,2,FALSE)="VYPRODÁNO",$V$9,IF(VLOOKUP(C410,[1]List1!$A:$D,2,FALSE)="DOCHÁZÍ",$V$3,VLOOKUP(C410,[1]List1!$A:$D,2,FALSE))),"OFFLINE!")</f>
        <v>SKLADEM</v>
      </c>
      <c r="AD410" s="570" t="str">
        <f ca="1">IF(AP410="NE",$V$10,IF(AC410=$V$3,IF(AQ410&lt;1,$V$8,$V$2&amp;" "&amp;AQ410&amp;" "&amp;$V$1),IF(AC410="SKLADEM",$V$6,IFERROR(IF(OR(AC410-TODAY()&gt;45,VLOOKUP(C410,[1]List1!$A:$E,4,FALSE)=0),AC410,DAY(AC410)&amp;"."&amp;MONTH(AC410)&amp;"."&amp;YEAR(AC410)&amp;" "&amp;$V$4&amp;VLOOKUP(C410,[1]List1!$A:$E,4,FALSE)&amp;" "&amp;$V$1),AC410))))</f>
        <v>SKLADEM</v>
      </c>
      <c r="AE410" s="581" t="str">
        <f t="shared" ca="1" si="1134"/>
        <v>SKLADEM</v>
      </c>
      <c r="AF410" s="584">
        <f t="shared" si="1135"/>
        <v>0</v>
      </c>
      <c r="AG410" s="585">
        <f t="shared" si="1136"/>
        <v>0</v>
      </c>
      <c r="AH410" s="583">
        <f t="shared" si="1137"/>
        <v>0</v>
      </c>
      <c r="AI410" s="582">
        <f t="shared" si="1138"/>
        <v>0</v>
      </c>
      <c r="AJ410" s="569">
        <f t="shared" si="1139"/>
        <v>0</v>
      </c>
      <c r="AK410" s="569" t="str">
        <f t="shared" si="1140"/>
        <v/>
      </c>
      <c r="AL410" s="569">
        <f t="shared" si="1141"/>
        <v>0</v>
      </c>
      <c r="AM410" s="569" t="str">
        <f t="shared" si="1142"/>
        <v/>
      </c>
      <c r="AN410" s="581">
        <f t="shared" si="1143"/>
        <v>0</v>
      </c>
      <c r="AO410" s="623"/>
      <c r="AP410" s="632" t="str">
        <f t="shared" si="1094"/>
        <v/>
      </c>
      <c r="AQ410" s="633" t="str">
        <f>IF(AC410=$V$3,IF(VLOOKUP(C410,[1]List1!$A:$E,5,FALSE)=0,1,VLOOKUP(C410,[1]List1!$A:$E,5,FALSE)),"")</f>
        <v/>
      </c>
      <c r="AR410" s="625" t="str">
        <f t="shared" si="1095"/>
        <v/>
      </c>
      <c r="AS410" s="634" t="str">
        <f t="shared" si="1096"/>
        <v/>
      </c>
      <c r="AT410" s="625" t="str">
        <f t="shared" si="1097"/>
        <v/>
      </c>
      <c r="AU410" s="638" t="e">
        <f t="shared" si="1098"/>
        <v>#N/A</v>
      </c>
      <c r="AV410" s="625" t="e">
        <f t="shared" si="1099"/>
        <v>#N/A</v>
      </c>
      <c r="AX410" s="625">
        <f>IF(AND('General price list'!$J410="F4",'General price list'!$AB410+0&gt;0),1,0)</f>
        <v>0</v>
      </c>
      <c r="AY410" s="625">
        <f t="shared" si="1100"/>
        <v>1</v>
      </c>
      <c r="AZ410" s="625">
        <f t="shared" si="1101"/>
        <v>0</v>
      </c>
    </row>
    <row r="411" spans="1:52" ht="15" customHeight="1">
      <c r="A411" s="639" t="str">
        <f>Kat.!C411</f>
        <v>×</v>
      </c>
      <c r="B411" s="640">
        <f>IF(AND('General price list'!$J411="F4",$AI$1=FALSE),0,IF(AC411="SKLADEM",1,IF(AC411=$V$3,1,0)))</f>
        <v>1</v>
      </c>
      <c r="C411" s="641" t="s">
        <v>978</v>
      </c>
      <c r="D411" s="642" t="s">
        <v>979</v>
      </c>
      <c r="E411" s="643" t="s">
        <v>12675</v>
      </c>
      <c r="F411" s="791">
        <f>IFERROR(VLOOKUP(C411,[2]List1!$A:$D,3,FALSE),"NEUVEDENO!")</f>
        <v>189</v>
      </c>
      <c r="G411" s="768">
        <f t="shared" si="1130"/>
        <v>189</v>
      </c>
      <c r="H411" s="765">
        <f t="shared" si="1131"/>
        <v>8.02844362885652</v>
      </c>
      <c r="I411" s="644">
        <f>IFERROR(VLOOKUP(C411,[2]List1!$A:$D,4,FALSE),"NEUVEDENO!")</f>
        <v>12</v>
      </c>
      <c r="J411" s="733" t="s">
        <v>39</v>
      </c>
      <c r="K411" s="645" t="s">
        <v>11100</v>
      </c>
      <c r="L411" s="645" t="s">
        <v>10988</v>
      </c>
      <c r="M411" s="645" t="s">
        <v>114</v>
      </c>
      <c r="N411" s="645">
        <f>IFERROR(VLOOKUP(C411,[3]List1!$A:$D,4,FALSE),"N/A!")</f>
        <v>2.6870999999999999E-2</v>
      </c>
      <c r="O411" s="645">
        <f>IFERROR(VLOOKUP(C411,[3]List1!$A:$D,3,FALSE),"N/A!")</f>
        <v>2400</v>
      </c>
      <c r="P411" s="645">
        <f>IFERROR(VLOOKUP(C411,[3]List1!$A:$D,2,FALSE),"N/A!")</f>
        <v>13000</v>
      </c>
      <c r="Q411" s="645" t="s">
        <v>11771</v>
      </c>
      <c r="R411" s="645"/>
      <c r="S411" s="645" t="str">
        <f>IF($W$17=$AF$1,"design",IFERROR(VLOOKUP("design",Jazyky_ceník!$A:$Q,MATCH($W$17,Jazyky_ceník!$A$1:$Q$1,0),FALSE),"!!!"))</f>
        <v>design</v>
      </c>
      <c r="T411" s="645">
        <v>30</v>
      </c>
      <c r="U411" s="645">
        <v>25</v>
      </c>
      <c r="V411" s="645">
        <v>16</v>
      </c>
      <c r="W411" s="645" t="str">
        <f>IFERROR(IF(AND($AB411&gt;=0.1*$AA411,MOD($AB411,$AA411)&gt;=($AA411-(0.1*$AA411))),IF($W$17=$AF$1,"Zvažte možnost doobjednání ještě "&amp;Tabulka1[[#This Row],[VKPAL]]-MOD(AB411,AA411)&amp;" VK do plné palety.",VLOOKUP("Zvažte možnost doobjednání ještě ",Jazyky_ceník!A:Q,MATCH($W$17,Jazyky_ceník!$A$1:$Q$1,0),FALSE)&amp;Tabulka1[[#This Row],[VKPAL]]-MOD(AB411,AA411)&amp;VLOOKUP(" VK do plné palety.",Jazyky_ceník!A:Q,MATCH($W$17,Jazyky_ceník!$A$1:$Q$1,0),FALSE)),IFERROR(IF(AND(NOT(MOD($AB411,$AA411)=0),$AB411&gt;=0.9*$AA411,MOD($AB411,$AA411)&lt;=0.1*$AA411),IF($W$17=$AF$1,"Zvažte možnost optimalizace objednaného množství podle počtu VK na paletě ==&gt;",VLOOKUP("Zvažte možnost optimalizace objednaného množství podle počtu VK na paletě ==&gt;",Jazyky_ceník!A:Q,MATCH($W$17,Jazyky_ceník!$A$1:$Q$1,0),FALSE)),VLOOKUP('General price list'!$C411,Popisy!A:M,MATCH($W$17,Popisy!$A$7:$M$7,0),FALSE)),"---------------")),IFERROR(VLOOKUP('General price list'!$C411,Popisy!A:M,MATCH($W$17,Popisy!$A$7:$M$7,0),FALSE),"---------------"))</f>
        <v>5 různobarevných efektů</v>
      </c>
      <c r="X411" s="645" t="str">
        <f t="shared" si="1132"/>
        <v/>
      </c>
      <c r="Y411" s="645" t="str">
        <f t="shared" si="1133"/>
        <v/>
      </c>
      <c r="Z411" s="645" t="str">
        <f>HYPERLINK("https://www.klasekpyrotechnics.cz/c2520z")</f>
        <v>https://www.klasekpyrotechnics.cz/c2520z</v>
      </c>
      <c r="AA411" s="645">
        <f>IFERROR(IF(VLOOKUP(C411,[4]List1!$A:$D,4,FALSE)=0,"",VLOOKUP(C411,[4]List1!$A:$D,4,FALSE)),"")</f>
        <v>54</v>
      </c>
      <c r="AB411" s="646"/>
      <c r="AC411" s="647" t="str">
        <f>IFERROR(IF(VLOOKUP(C411,[1]List1!$A:$D,2,FALSE)="VYPRODÁNO",$V$9,IF(VLOOKUP(C411,[1]List1!$A:$D,2,FALSE)="DOCHÁZÍ",$V$3,VLOOKUP(C411,[1]List1!$A:$D,2,FALSE))),"OFFLINE!")</f>
        <v>SKLADEM</v>
      </c>
      <c r="AD411" s="647" t="str">
        <f ca="1">IF(AP411="NE",$V$10,IF(AC411=$V$3,IF(AQ411&lt;1,$V$8,$V$2&amp;" "&amp;AQ411&amp;" "&amp;$V$1),IF(AC411="SKLADEM",$V$6,IFERROR(IF(OR(AC411-TODAY()&gt;45,VLOOKUP(C411,[1]List1!$A:$E,4,FALSE)=0),AC411,DAY(AC411)&amp;"."&amp;MONTH(AC411)&amp;"."&amp;YEAR(AC411)&amp;" "&amp;$V$4&amp;VLOOKUP(C411,[1]List1!$A:$E,4,FALSE)&amp;" "&amp;$V$1),AC411))))</f>
        <v>SKLADEM</v>
      </c>
      <c r="AE411" s="645" t="str">
        <f t="shared" ca="1" si="1134"/>
        <v>SKLADEM</v>
      </c>
      <c r="AF411" s="648">
        <f t="shared" si="1135"/>
        <v>0</v>
      </c>
      <c r="AG411" s="649">
        <f t="shared" si="1136"/>
        <v>0</v>
      </c>
      <c r="AH411" s="650">
        <f t="shared" si="1137"/>
        <v>0</v>
      </c>
      <c r="AI411" s="645">
        <f t="shared" si="1138"/>
        <v>0</v>
      </c>
      <c r="AJ411" s="645">
        <f t="shared" si="1139"/>
        <v>0</v>
      </c>
      <c r="AK411" s="645" t="str">
        <f t="shared" si="1140"/>
        <v/>
      </c>
      <c r="AL411" s="645">
        <f t="shared" si="1141"/>
        <v>0</v>
      </c>
      <c r="AM411" s="645" t="str">
        <f t="shared" si="1142"/>
        <v/>
      </c>
      <c r="AN411" s="651">
        <f t="shared" si="1143"/>
        <v>0</v>
      </c>
      <c r="AO411" s="623"/>
      <c r="AP411" s="632" t="str">
        <f t="shared" si="1094"/>
        <v/>
      </c>
      <c r="AQ411" s="633" t="str">
        <f>IF(AC411=$V$3,IF(VLOOKUP(C411,[1]List1!$A:$E,5,FALSE)=0,1,VLOOKUP(C411,[1]List1!$A:$E,5,FALSE)),"")</f>
        <v/>
      </c>
      <c r="AR411" s="625" t="str">
        <f t="shared" si="1095"/>
        <v/>
      </c>
      <c r="AS411" s="634" t="str">
        <f t="shared" si="1096"/>
        <v/>
      </c>
      <c r="AT411" s="625" t="str">
        <f t="shared" si="1097"/>
        <v/>
      </c>
      <c r="AU411" s="638" t="e">
        <f t="shared" si="1098"/>
        <v>#N/A</v>
      </c>
      <c r="AV411" s="625" t="e">
        <f t="shared" si="1099"/>
        <v>#N/A</v>
      </c>
      <c r="AX411" s="625">
        <f>IF(AND('General price list'!$J411="F4",'General price list'!$AB411+0&gt;0),1,0)</f>
        <v>0</v>
      </c>
      <c r="AY411" s="625">
        <f t="shared" si="1100"/>
        <v>1</v>
      </c>
      <c r="AZ411" s="625">
        <f t="shared" si="1101"/>
        <v>0</v>
      </c>
    </row>
    <row r="412" spans="1:52" ht="15.75" customHeight="1">
      <c r="A412" s="621" t="str">
        <f>Kat.!C412</f>
        <v/>
      </c>
      <c r="B412" s="566">
        <f>IF(AND('General price list'!$J412="F4",$AI$1=FALSE),0,IF(AC412="SKLADEM",1,IF(AC412=$V$3,1,0)))</f>
        <v>1</v>
      </c>
      <c r="C412" s="567" t="s">
        <v>981</v>
      </c>
      <c r="D412" s="568" t="s">
        <v>982</v>
      </c>
      <c r="E412" s="763" t="s">
        <v>12675</v>
      </c>
      <c r="F412" s="791">
        <f>IFERROR(VLOOKUP(C412,[2]List1!$A:$D,3,FALSE),"NEUVEDENO!")</f>
        <v>189</v>
      </c>
      <c r="G412" s="769">
        <f t="shared" si="1130"/>
        <v>189</v>
      </c>
      <c r="H412" s="766">
        <f t="shared" si="1131"/>
        <v>8.02844362885652</v>
      </c>
      <c r="I412" s="764">
        <f>IFERROR(VLOOKUP(C412,[2]List1!$A:$D,4,FALSE),"NEUVEDENO!")</f>
        <v>12</v>
      </c>
      <c r="J412" s="732" t="s">
        <v>39</v>
      </c>
      <c r="K412" s="569" t="s">
        <v>11100</v>
      </c>
      <c r="L412" s="569" t="s">
        <v>10988</v>
      </c>
      <c r="M412" s="569" t="s">
        <v>114</v>
      </c>
      <c r="N412" s="569">
        <f>IFERROR(VLOOKUP(C412,[3]List1!$A:$D,4,FALSE),"N/A!")</f>
        <v>2.6870999999999999E-2</v>
      </c>
      <c r="O412" s="569">
        <f>IFERROR(VLOOKUP(C412,[3]List1!$A:$D,3,FALSE),"N/A!")</f>
        <v>2400</v>
      </c>
      <c r="P412" s="569">
        <f>IFERROR(VLOOKUP(C412,[3]List1!$A:$D,2,FALSE),"N/A!")</f>
        <v>13000</v>
      </c>
      <c r="Q412" s="569" t="s">
        <v>11771</v>
      </c>
      <c r="R412" s="569"/>
      <c r="S412" s="569" t="str">
        <f>IF($W$17=$AF$1,"design",IFERROR(VLOOKUP("design",Jazyky_ceník!$A:$Q,MATCH($W$17,Jazyky_ceník!$A$1:$Q$1,0),FALSE),"!!!"))</f>
        <v>design</v>
      </c>
      <c r="T412" s="569">
        <v>30</v>
      </c>
      <c r="U412" s="569">
        <v>25</v>
      </c>
      <c r="V412" s="569">
        <v>16</v>
      </c>
      <c r="W412" s="569" t="str">
        <f>IFERROR(IF(AND($AB412&gt;=0.1*$AA412,MOD($AB412,$AA412)&gt;=($AA412-(0.1*$AA412))),IF($W$17=$AF$1,"Zvažte možnost doobjednání ještě "&amp;Tabulka1[[#This Row],[VKPAL]]-MOD(AB412,AA412)&amp;" VK do plné palety.",VLOOKUP("Zvažte možnost doobjednání ještě ",Jazyky_ceník!A:Q,MATCH($W$17,Jazyky_ceník!$A$1:$Q$1,0),FALSE)&amp;Tabulka1[[#This Row],[VKPAL]]-MOD(AB412,AA412)&amp;VLOOKUP(" VK do plné palety.",Jazyky_ceník!A:Q,MATCH($W$17,Jazyky_ceník!$A$1:$Q$1,0),FALSE)),IFERROR(IF(AND(NOT(MOD($AB412,$AA412)=0),$AB412&gt;=0.9*$AA412,MOD($AB412,$AA412)&lt;=0.1*$AA412),IF($W$17=$AF$1,"Zvažte možnost optimalizace objednaného množství podle počtu VK na paletě ==&gt;",VLOOKUP("Zvažte možnost optimalizace objednaného množství podle počtu VK na paletě ==&gt;",Jazyky_ceník!A:Q,MATCH($W$17,Jazyky_ceník!$A$1:$Q$1,0),FALSE)),VLOOKUP('General price list'!$C412,Popisy!A:M,MATCH($W$17,Popisy!$A$7:$M$7,0),FALSE)),"---------------")),IFERROR(VLOOKUP('General price list'!$C412,Popisy!A:M,MATCH($W$17,Popisy!$A$7:$M$7,0),FALSE),"---------------"))</f>
        <v>5 různobarevných efektů</v>
      </c>
      <c r="X412" s="569" t="str">
        <f t="shared" si="1132"/>
        <v/>
      </c>
      <c r="Y412" s="569" t="str">
        <f t="shared" si="1133"/>
        <v/>
      </c>
      <c r="Z412" s="569" t="str">
        <f>HYPERLINK("https://www.klasekpyrotechnics.cz/c2520di")</f>
        <v>https://www.klasekpyrotechnics.cz/c2520di</v>
      </c>
      <c r="AA412" s="569">
        <f>IFERROR(IF(VLOOKUP(C412,[4]List1!$A:$D,4,FALSE)=0,"",VLOOKUP(C412,[4]List1!$A:$D,4,FALSE)),"")</f>
        <v>54</v>
      </c>
      <c r="AB412" s="565"/>
      <c r="AC412" s="570" t="str">
        <f>IFERROR(IF(VLOOKUP(C412,[1]List1!$A:$D,2,FALSE)="VYPRODÁNO",$V$9,IF(VLOOKUP(C412,[1]List1!$A:$D,2,FALSE)="DOCHÁZÍ",$V$3,VLOOKUP(C412,[1]List1!$A:$D,2,FALSE))),"OFFLINE!")</f>
        <v>SKLADEM</v>
      </c>
      <c r="AD412" s="570" t="str">
        <f ca="1">IF(AP412="NE",$V$10,IF(AC412=$V$3,IF(AQ412&lt;1,$V$8,$V$2&amp;" "&amp;AQ412&amp;" "&amp;$V$1),IF(AC412="SKLADEM",$V$6,IFERROR(IF(OR(AC412-TODAY()&gt;45,VLOOKUP(C412,[1]List1!$A:$E,4,FALSE)=0),AC412,DAY(AC412)&amp;"."&amp;MONTH(AC412)&amp;"."&amp;YEAR(AC412)&amp;" "&amp;$V$4&amp;VLOOKUP(C412,[1]List1!$A:$E,4,FALSE)&amp;" "&amp;$V$1),AC412))))</f>
        <v>SKLADEM</v>
      </c>
      <c r="AE412" s="581" t="str">
        <f t="shared" ca="1" si="1134"/>
        <v>SKLADEM</v>
      </c>
      <c r="AF412" s="584">
        <f t="shared" si="1135"/>
        <v>0</v>
      </c>
      <c r="AG412" s="585">
        <f t="shared" si="1136"/>
        <v>0</v>
      </c>
      <c r="AH412" s="583">
        <f t="shared" si="1137"/>
        <v>0</v>
      </c>
      <c r="AI412" s="582">
        <f t="shared" si="1138"/>
        <v>0</v>
      </c>
      <c r="AJ412" s="569">
        <f t="shared" si="1139"/>
        <v>0</v>
      </c>
      <c r="AK412" s="569" t="str">
        <f t="shared" si="1140"/>
        <v/>
      </c>
      <c r="AL412" s="569">
        <f t="shared" si="1141"/>
        <v>0</v>
      </c>
      <c r="AM412" s="569" t="str">
        <f t="shared" si="1142"/>
        <v/>
      </c>
      <c r="AN412" s="581">
        <f t="shared" si="1143"/>
        <v>0</v>
      </c>
      <c r="AO412" s="623"/>
      <c r="AP412" s="625" t="str">
        <f t="shared" si="1094"/>
        <v/>
      </c>
      <c r="AQ412" s="625" t="str">
        <f>IF(AC412=$V$3,IF(VLOOKUP(C412,[1]List1!$A:$E,5,FALSE)=0,1,VLOOKUP(C412,[1]List1!$A:$E,5,FALSE)),"")</f>
        <v/>
      </c>
      <c r="AR412" s="629" t="str">
        <f t="shared" si="1095"/>
        <v/>
      </c>
      <c r="AS412" s="630" t="str">
        <f t="shared" si="1096"/>
        <v/>
      </c>
      <c r="AT412" s="625" t="str">
        <f t="shared" si="1097"/>
        <v/>
      </c>
      <c r="AU412" s="625" t="e">
        <f t="shared" si="1098"/>
        <v>#N/A</v>
      </c>
      <c r="AV412" s="625" t="e">
        <f t="shared" si="1099"/>
        <v>#N/A</v>
      </c>
      <c r="AW412" s="631"/>
      <c r="AX412" s="631">
        <f>IF(AND('General price list'!$J412="F4",'General price list'!$AB412+0&gt;0),1,0)</f>
        <v>0</v>
      </c>
      <c r="AY412" s="631">
        <f t="shared" si="1100"/>
        <v>1</v>
      </c>
      <c r="AZ412" s="631">
        <f t="shared" si="1101"/>
        <v>0</v>
      </c>
    </row>
    <row r="413" spans="1:52" ht="15" customHeight="1">
      <c r="A413" s="639" t="str">
        <f>Kat.!C413</f>
        <v/>
      </c>
      <c r="B413" s="640">
        <f>IF(AND('General price list'!$J413="F4",$AI$1=FALSE),0,IF(AC413="SKLADEM",1,IF(AC413=$V$3,1,0)))</f>
        <v>1</v>
      </c>
      <c r="C413" s="641" t="s">
        <v>983</v>
      </c>
      <c r="D413" s="642" t="s">
        <v>984</v>
      </c>
      <c r="E413" s="643" t="s">
        <v>12675</v>
      </c>
      <c r="F413" s="791">
        <f>IFERROR(VLOOKUP(C413,[2]List1!$A:$D,3,FALSE),"NEUVEDENO!")</f>
        <v>189</v>
      </c>
      <c r="G413" s="768">
        <f t="shared" si="1130"/>
        <v>189</v>
      </c>
      <c r="H413" s="765">
        <f t="shared" si="1131"/>
        <v>8.02844362885652</v>
      </c>
      <c r="I413" s="644">
        <f>IFERROR(VLOOKUP(C413,[2]List1!$A:$D,4,FALSE),"NEUVEDENO!")</f>
        <v>12</v>
      </c>
      <c r="J413" s="733" t="s">
        <v>39</v>
      </c>
      <c r="K413" s="645" t="s">
        <v>11100</v>
      </c>
      <c r="L413" s="645" t="s">
        <v>10988</v>
      </c>
      <c r="M413" s="645" t="s">
        <v>114</v>
      </c>
      <c r="N413" s="645">
        <f>IFERROR(VLOOKUP(C413,[3]List1!$A:$D,4,FALSE),"N/A!")</f>
        <v>2.6870999999999999E-2</v>
      </c>
      <c r="O413" s="645">
        <f>IFERROR(VLOOKUP(C413,[3]List1!$A:$D,3,FALSE),"N/A!")</f>
        <v>2400</v>
      </c>
      <c r="P413" s="645">
        <f>IFERROR(VLOOKUP(C413,[3]List1!$A:$D,2,FALSE),"N/A!")</f>
        <v>11600</v>
      </c>
      <c r="Q413" s="645" t="s">
        <v>11771</v>
      </c>
      <c r="R413" s="645"/>
      <c r="S413" s="645" t="str">
        <f>IF($W$17=$AF$1,"design",IFERROR(VLOOKUP("design",Jazyky_ceník!$A:$Q,MATCH($W$17,Jazyky_ceník!$A$1:$Q$1,0),FALSE),"!!!"))</f>
        <v>design</v>
      </c>
      <c r="T413" s="645">
        <v>30</v>
      </c>
      <c r="U413" s="645">
        <v>25</v>
      </c>
      <c r="V413" s="645">
        <v>16</v>
      </c>
      <c r="W413" s="645" t="str">
        <f>IFERROR(IF(AND($AB413&gt;=0.1*$AA413,MOD($AB413,$AA413)&gt;=($AA413-(0.1*$AA413))),IF($W$17=$AF$1,"Zvažte možnost doobjednání ještě "&amp;Tabulka1[[#This Row],[VKPAL]]-MOD(AB413,AA413)&amp;" VK do plné palety.",VLOOKUP("Zvažte možnost doobjednání ještě ",Jazyky_ceník!A:Q,MATCH($W$17,Jazyky_ceník!$A$1:$Q$1,0),FALSE)&amp;Tabulka1[[#This Row],[VKPAL]]-MOD(AB413,AA413)&amp;VLOOKUP(" VK do plné palety.",Jazyky_ceník!A:Q,MATCH($W$17,Jazyky_ceník!$A$1:$Q$1,0),FALSE)),IFERROR(IF(AND(NOT(MOD($AB413,$AA413)=0),$AB413&gt;=0.9*$AA413,MOD($AB413,$AA413)&lt;=0.1*$AA413),IF($W$17=$AF$1,"Zvažte možnost optimalizace objednaného množství podle počtu VK na paletě ==&gt;",VLOOKUP("Zvažte možnost optimalizace objednaného množství podle počtu VK na paletě ==&gt;",Jazyky_ceník!A:Q,MATCH($W$17,Jazyky_ceník!$A$1:$Q$1,0),FALSE)),VLOOKUP('General price list'!$C413,Popisy!A:M,MATCH($W$17,Popisy!$A$7:$M$7,0),FALSE)),"---------------")),IFERROR(VLOOKUP('General price list'!$C413,Popisy!A:M,MATCH($W$17,Popisy!$A$7:$M$7,0),FALSE),"---------------"))</f>
        <v>5 různobarevných efektů</v>
      </c>
      <c r="X413" s="645" t="str">
        <f t="shared" si="1132"/>
        <v/>
      </c>
      <c r="Y413" s="645" t="str">
        <f t="shared" si="1133"/>
        <v/>
      </c>
      <c r="Z413" s="645" t="str">
        <f>HYPERLINK("https://www.klasekpyrotechnics.cz/c2520t")</f>
        <v>https://www.klasekpyrotechnics.cz/c2520t</v>
      </c>
      <c r="AA413" s="645">
        <f>IFERROR(IF(VLOOKUP(C413,[4]List1!$A:$D,4,FALSE)=0,"",VLOOKUP(C413,[4]List1!$A:$D,4,FALSE)),"")</f>
        <v>54</v>
      </c>
      <c r="AB413" s="646"/>
      <c r="AC413" s="647" t="str">
        <f>IFERROR(IF(VLOOKUP(C413,[1]List1!$A:$D,2,FALSE)="VYPRODÁNO",$V$9,IF(VLOOKUP(C413,[1]List1!$A:$D,2,FALSE)="DOCHÁZÍ",$V$3,VLOOKUP(C413,[1]List1!$A:$D,2,FALSE))),"OFFLINE!")</f>
        <v>SKLADEM</v>
      </c>
      <c r="AD413" s="647" t="str">
        <f ca="1">IF(AP413="NE",$V$10,IF(AC413=$V$3,IF(AQ413&lt;1,$V$8,$V$2&amp;" "&amp;AQ413&amp;" "&amp;$V$1),IF(AC413="SKLADEM",$V$6,IFERROR(IF(OR(AC413-TODAY()&gt;45,VLOOKUP(C413,[1]List1!$A:$E,4,FALSE)=0),AC413,DAY(AC413)&amp;"."&amp;MONTH(AC413)&amp;"."&amp;YEAR(AC413)&amp;" "&amp;$V$4&amp;VLOOKUP(C413,[1]List1!$A:$E,4,FALSE)&amp;" "&amp;$V$1),AC413))))</f>
        <v>SKLADEM</v>
      </c>
      <c r="AE413" s="645" t="str">
        <f t="shared" ca="1" si="1134"/>
        <v>SKLADEM</v>
      </c>
      <c r="AF413" s="648">
        <f t="shared" si="1135"/>
        <v>0</v>
      </c>
      <c r="AG413" s="649">
        <f t="shared" si="1136"/>
        <v>0</v>
      </c>
      <c r="AH413" s="650">
        <f t="shared" si="1137"/>
        <v>0</v>
      </c>
      <c r="AI413" s="645">
        <f t="shared" si="1138"/>
        <v>0</v>
      </c>
      <c r="AJ413" s="645">
        <f t="shared" si="1139"/>
        <v>0</v>
      </c>
      <c r="AK413" s="645" t="str">
        <f t="shared" si="1140"/>
        <v/>
      </c>
      <c r="AL413" s="645">
        <f t="shared" si="1141"/>
        <v>0</v>
      </c>
      <c r="AM413" s="645" t="str">
        <f t="shared" si="1142"/>
        <v/>
      </c>
      <c r="AN413" s="651">
        <f t="shared" si="1143"/>
        <v>0</v>
      </c>
      <c r="AO413" s="623"/>
      <c r="AP413" s="632" t="str">
        <f t="shared" si="1094"/>
        <v/>
      </c>
      <c r="AQ413" s="633" t="str">
        <f>IF(AC413=$V$3,IF(VLOOKUP(C413,[1]List1!$A:$E,5,FALSE)=0,1,VLOOKUP(C413,[1]List1!$A:$E,5,FALSE)),"")</f>
        <v/>
      </c>
      <c r="AR413" s="625" t="str">
        <f t="shared" si="1095"/>
        <v/>
      </c>
      <c r="AS413" s="634" t="str">
        <f t="shared" si="1096"/>
        <v/>
      </c>
      <c r="AT413" s="625" t="str">
        <f t="shared" si="1097"/>
        <v/>
      </c>
      <c r="AU413" s="638" t="e">
        <f t="shared" si="1098"/>
        <v>#N/A</v>
      </c>
      <c r="AV413" s="625" t="e">
        <f t="shared" si="1099"/>
        <v>#N/A</v>
      </c>
      <c r="AX413" s="625">
        <f>IF(AND('General price list'!$J413="F4",'General price list'!$AB413+0&gt;0),1,0)</f>
        <v>0</v>
      </c>
      <c r="AY413" s="625">
        <f t="shared" si="1100"/>
        <v>1</v>
      </c>
      <c r="AZ413" s="625">
        <f t="shared" si="1101"/>
        <v>0</v>
      </c>
    </row>
    <row r="414" spans="1:52" ht="15" customHeight="1">
      <c r="A414" s="621" t="str">
        <f>Kat.!C414</f>
        <v/>
      </c>
      <c r="B414" s="566">
        <f>IF(AND('General price list'!$J414="F4",$AI$1=FALSE),0,IF(AC414="SKLADEM",1,IF(AC414=$V$3,1,0)))</f>
        <v>1</v>
      </c>
      <c r="C414" s="567" t="s">
        <v>985</v>
      </c>
      <c r="D414" s="568" t="s">
        <v>986</v>
      </c>
      <c r="E414" s="763" t="s">
        <v>12675</v>
      </c>
      <c r="F414" s="791">
        <f>IFERROR(VLOOKUP(C414,[2]List1!$A:$D,3,FALSE),"NEUVEDENO!")</f>
        <v>189</v>
      </c>
      <c r="G414" s="769">
        <f t="shared" si="1130"/>
        <v>189</v>
      </c>
      <c r="H414" s="766">
        <f t="shared" si="1131"/>
        <v>8.02844362885652</v>
      </c>
      <c r="I414" s="764">
        <f>IFERROR(VLOOKUP(C414,[2]List1!$A:$D,4,FALSE),"NEUVEDENO!")</f>
        <v>12</v>
      </c>
      <c r="J414" s="732" t="s">
        <v>39</v>
      </c>
      <c r="K414" s="569" t="s">
        <v>11100</v>
      </c>
      <c r="L414" s="569" t="s">
        <v>10988</v>
      </c>
      <c r="M414" s="569" t="s">
        <v>114</v>
      </c>
      <c r="N414" s="569">
        <f>IFERROR(VLOOKUP(C414,[3]List1!$A:$D,4,FALSE),"N/A!")</f>
        <v>2.6870999999999999E-2</v>
      </c>
      <c r="O414" s="569">
        <f>IFERROR(VLOOKUP(C414,[3]List1!$A:$D,3,FALSE),"N/A!")</f>
        <v>2400</v>
      </c>
      <c r="P414" s="569">
        <f>IFERROR(VLOOKUP(C414,[3]List1!$A:$D,2,FALSE),"N/A!")</f>
        <v>11600</v>
      </c>
      <c r="Q414" s="569" t="s">
        <v>11771</v>
      </c>
      <c r="R414" s="569"/>
      <c r="S414" s="569" t="str">
        <f>IF($W$17=$AF$1,"design",IFERROR(VLOOKUP("design",Jazyky_ceník!$A:$Q,MATCH($W$17,Jazyky_ceník!$A$1:$Q$1,0),FALSE),"!!!"))</f>
        <v>design</v>
      </c>
      <c r="T414" s="569">
        <v>30</v>
      </c>
      <c r="U414" s="569">
        <v>25</v>
      </c>
      <c r="V414" s="569">
        <v>16</v>
      </c>
      <c r="W414" s="569" t="str">
        <f>IFERROR(IF(AND($AB414&gt;=0.1*$AA414,MOD($AB414,$AA414)&gt;=($AA414-(0.1*$AA414))),IF($W$17=$AF$1,"Zvažte možnost doobjednání ještě "&amp;Tabulka1[[#This Row],[VKPAL]]-MOD(AB414,AA414)&amp;" VK do plné palety.",VLOOKUP("Zvažte možnost doobjednání ještě ",Jazyky_ceník!A:Q,MATCH($W$17,Jazyky_ceník!$A$1:$Q$1,0),FALSE)&amp;Tabulka1[[#This Row],[VKPAL]]-MOD(AB414,AA414)&amp;VLOOKUP(" VK do plné palety.",Jazyky_ceník!A:Q,MATCH($W$17,Jazyky_ceník!$A$1:$Q$1,0),FALSE)),IFERROR(IF(AND(NOT(MOD($AB414,$AA414)=0),$AB414&gt;=0.9*$AA414,MOD($AB414,$AA414)&lt;=0.1*$AA414),IF($W$17=$AF$1,"Zvažte možnost optimalizace objednaného množství podle počtu VK na paletě ==&gt;",VLOOKUP("Zvažte možnost optimalizace objednaného množství podle počtu VK na paletě ==&gt;",Jazyky_ceník!A:Q,MATCH($W$17,Jazyky_ceník!$A$1:$Q$1,0),FALSE)),VLOOKUP('General price list'!$C414,Popisy!A:M,MATCH($W$17,Popisy!$A$7:$M$7,0),FALSE)),"---------------")),IFERROR(VLOOKUP('General price list'!$C414,Popisy!A:M,MATCH($W$17,Popisy!$A$7:$M$7,0),FALSE),"---------------"))</f>
        <v>5 různobarevných efektů</v>
      </c>
      <c r="X414" s="569" t="str">
        <f t="shared" si="1132"/>
        <v/>
      </c>
      <c r="Y414" s="569" t="str">
        <f t="shared" si="1133"/>
        <v/>
      </c>
      <c r="Z414" s="569" t="str">
        <f>HYPERLINK("https://www.klasekpyrotechnics.cz/c2520se")</f>
        <v>https://www.klasekpyrotechnics.cz/c2520se</v>
      </c>
      <c r="AA414" s="569">
        <f>IFERROR(IF(VLOOKUP(C414,[4]List1!$A:$D,4,FALSE)=0,"",VLOOKUP(C414,[4]List1!$A:$D,4,FALSE)),"")</f>
        <v>54</v>
      </c>
      <c r="AB414" s="565"/>
      <c r="AC414" s="570" t="str">
        <f>IFERROR(IF(VLOOKUP(C414,[1]List1!$A:$D,2,FALSE)="VYPRODÁNO",$V$9,IF(VLOOKUP(C414,[1]List1!$A:$D,2,FALSE)="DOCHÁZÍ",$V$3,VLOOKUP(C414,[1]List1!$A:$D,2,FALSE))),"OFFLINE!")</f>
        <v>SKLADEM</v>
      </c>
      <c r="AD414" s="570" t="str">
        <f ca="1">IF(AP414="NE",$V$10,IF(AC414=$V$3,IF(AQ414&lt;1,$V$8,$V$2&amp;" "&amp;AQ414&amp;" "&amp;$V$1),IF(AC414="SKLADEM",$V$6,IFERROR(IF(OR(AC414-TODAY()&gt;45,VLOOKUP(C414,[1]List1!$A:$E,4,FALSE)=0),AC414,DAY(AC414)&amp;"."&amp;MONTH(AC414)&amp;"."&amp;YEAR(AC414)&amp;" "&amp;$V$4&amp;VLOOKUP(C414,[1]List1!$A:$E,4,FALSE)&amp;" "&amp;$V$1),AC414))))</f>
        <v>SKLADEM</v>
      </c>
      <c r="AE414" s="581" t="str">
        <f t="shared" ca="1" si="1134"/>
        <v>SKLADEM</v>
      </c>
      <c r="AF414" s="584">
        <f t="shared" si="1135"/>
        <v>0</v>
      </c>
      <c r="AG414" s="585">
        <f t="shared" si="1136"/>
        <v>0</v>
      </c>
      <c r="AH414" s="583">
        <f t="shared" si="1137"/>
        <v>0</v>
      </c>
      <c r="AI414" s="582">
        <f t="shared" si="1138"/>
        <v>0</v>
      </c>
      <c r="AJ414" s="569">
        <f t="shared" si="1139"/>
        <v>0</v>
      </c>
      <c r="AK414" s="569" t="str">
        <f t="shared" si="1140"/>
        <v/>
      </c>
      <c r="AL414" s="569">
        <f t="shared" si="1141"/>
        <v>0</v>
      </c>
      <c r="AM414" s="569" t="str">
        <f t="shared" si="1142"/>
        <v/>
      </c>
      <c r="AN414" s="581">
        <f t="shared" si="1143"/>
        <v>0</v>
      </c>
      <c r="AO414" s="623"/>
      <c r="AP414" s="632" t="str">
        <f t="shared" si="1094"/>
        <v/>
      </c>
      <c r="AQ414" s="633" t="str">
        <f>IF(AC414=$V$3,IF(VLOOKUP(C414,[1]List1!$A:$E,5,FALSE)=0,1,VLOOKUP(C414,[1]List1!$A:$E,5,FALSE)),"")</f>
        <v/>
      </c>
      <c r="AR414" s="625" t="str">
        <f t="shared" si="1095"/>
        <v/>
      </c>
      <c r="AS414" s="634" t="str">
        <f t="shared" si="1096"/>
        <v/>
      </c>
      <c r="AT414" s="625" t="str">
        <f t="shared" si="1097"/>
        <v/>
      </c>
      <c r="AU414" s="638" t="e">
        <f t="shared" si="1098"/>
        <v>#N/A</v>
      </c>
      <c r="AV414" s="625" t="e">
        <f t="shared" si="1099"/>
        <v>#N/A</v>
      </c>
      <c r="AX414" s="625">
        <f>IF(AND('General price list'!$J414="F4",'General price list'!$AB414+0&gt;0),1,0)</f>
        <v>0</v>
      </c>
      <c r="AY414" s="625">
        <f t="shared" si="1100"/>
        <v>1</v>
      </c>
      <c r="AZ414" s="625">
        <f t="shared" si="1101"/>
        <v>0</v>
      </c>
    </row>
    <row r="415" spans="1:52" ht="15" customHeight="1">
      <c r="A415" s="639" t="str">
        <f>Kat.!C415</f>
        <v/>
      </c>
      <c r="B415" s="640">
        <f>IF(AND('General price list'!$J415="F4",$AI$1=FALSE),0,IF(AC415="SKLADEM",1,IF(AC415=$V$3,1,0)))</f>
        <v>1</v>
      </c>
      <c r="C415" s="641" t="s">
        <v>990</v>
      </c>
      <c r="D415" s="642" t="s">
        <v>991</v>
      </c>
      <c r="E415" s="643" t="s">
        <v>12675</v>
      </c>
      <c r="F415" s="791">
        <f>IFERROR(VLOOKUP(C415,[2]List1!$A:$D,3,FALSE),"NEUVEDENO!")</f>
        <v>189</v>
      </c>
      <c r="G415" s="768">
        <f t="shared" si="1130"/>
        <v>189</v>
      </c>
      <c r="H415" s="765">
        <f t="shared" si="1131"/>
        <v>8.02844362885652</v>
      </c>
      <c r="I415" s="644">
        <f>IFERROR(VLOOKUP(C415,[2]List1!$A:$D,4,FALSE),"NEUVEDENO!")</f>
        <v>12</v>
      </c>
      <c r="J415" s="733" t="s">
        <v>39</v>
      </c>
      <c r="K415" s="645" t="s">
        <v>11100</v>
      </c>
      <c r="L415" s="645" t="s">
        <v>10988</v>
      </c>
      <c r="M415" s="645" t="s">
        <v>114</v>
      </c>
      <c r="N415" s="645">
        <f>IFERROR(VLOOKUP(C415,[3]List1!$A:$D,4,FALSE),"N/A!")</f>
        <v>2.6870999999999999E-2</v>
      </c>
      <c r="O415" s="645">
        <f>IFERROR(VLOOKUP(C415,[3]List1!$A:$D,3,FALSE),"N/A!")</f>
        <v>2400</v>
      </c>
      <c r="P415" s="645">
        <f>IFERROR(VLOOKUP(C415,[3]List1!$A:$D,2,FALSE),"N/A!")</f>
        <v>12300</v>
      </c>
      <c r="Q415" s="645" t="s">
        <v>11771</v>
      </c>
      <c r="R415" s="645"/>
      <c r="S415" s="645" t="str">
        <f>IF($W$17=$AF$1,"červená fólie",IFERROR(VLOOKUP("červená fólie",Jazyky_ceník!$A:$Q,MATCH($W$17,Jazyky_ceník!$A$1:$Q$1,0),FALSE),"!!!"))</f>
        <v>červená fólie</v>
      </c>
      <c r="T415" s="645">
        <v>30</v>
      </c>
      <c r="U415" s="645">
        <v>25</v>
      </c>
      <c r="V415" s="645">
        <v>16</v>
      </c>
      <c r="W415" s="645" t="str">
        <f>IFERROR(IF(AND($AB415&gt;=0.1*$AA415,MOD($AB415,$AA415)&gt;=($AA415-(0.1*$AA415))),IF($W$17=$AF$1,"Zvažte možnost doobjednání ještě "&amp;Tabulka1[[#This Row],[VKPAL]]-MOD(AB415,AA415)&amp;" VK do plné palety.",VLOOKUP("Zvažte možnost doobjednání ještě ",Jazyky_ceník!A:Q,MATCH($W$17,Jazyky_ceník!$A$1:$Q$1,0),FALSE)&amp;Tabulka1[[#This Row],[VKPAL]]-MOD(AB415,AA415)&amp;VLOOKUP(" VK do plné palety.",Jazyky_ceník!A:Q,MATCH($W$17,Jazyky_ceník!$A$1:$Q$1,0),FALSE)),IFERROR(IF(AND(NOT(MOD($AB415,$AA415)=0),$AB415&gt;=0.9*$AA415,MOD($AB415,$AA415)&lt;=0.1*$AA415),IF($W$17=$AF$1,"Zvažte možnost optimalizace objednaného množství podle počtu VK na paletě ==&gt;",VLOOKUP("Zvažte možnost optimalizace objednaného množství podle počtu VK na paletě ==&gt;",Jazyky_ceník!A:Q,MATCH($W$17,Jazyky_ceník!$A$1:$Q$1,0),FALSE)),VLOOKUP('General price list'!$C415,Popisy!A:M,MATCH($W$17,Popisy!$A$7:$M$7,0),FALSE)),"---------------")),IFERROR(VLOOKUP('General price list'!$C415,Popisy!A:M,MATCH($W$17,Popisy!$A$7:$M$7,0),FALSE),"---------------"))</f>
        <v>červená vlna s práskajícím středem, stříbrná mina s červenou stopou a titanovou detonací</v>
      </c>
      <c r="X415" s="645" t="str">
        <f t="shared" si="1132"/>
        <v/>
      </c>
      <c r="Y415" s="645" t="str">
        <f t="shared" si="1133"/>
        <v/>
      </c>
      <c r="Z415" s="645" t="str">
        <f>HYPERLINK("https://www.klasekpyrotechnics.cz/c2520st")</f>
        <v>https://www.klasekpyrotechnics.cz/c2520st</v>
      </c>
      <c r="AA415" s="645">
        <f>IFERROR(IF(VLOOKUP(C415,[4]List1!$A:$D,4,FALSE)=0,"",VLOOKUP(C415,[4]List1!$A:$D,4,FALSE)),"")</f>
        <v>54</v>
      </c>
      <c r="AB415" s="646"/>
      <c r="AC415" s="647" t="str">
        <f>IFERROR(IF(VLOOKUP(C415,[1]List1!$A:$D,2,FALSE)="VYPRODÁNO",$V$9,IF(VLOOKUP(C415,[1]List1!$A:$D,2,FALSE)="DOCHÁZÍ",$V$3,VLOOKUP(C415,[1]List1!$A:$D,2,FALSE))),"OFFLINE!")</f>
        <v>SKLADEM</v>
      </c>
      <c r="AD415" s="647" t="str">
        <f ca="1">IF(AP415="NE",$V$10,IF(AC415=$V$3,IF(AQ415&lt;1,$V$8,$V$2&amp;" "&amp;AQ415&amp;" "&amp;$V$1),IF(AC415="SKLADEM",$V$6,IFERROR(IF(OR(AC415-TODAY()&gt;45,VLOOKUP(C415,[1]List1!$A:$E,4,FALSE)=0),AC415,DAY(AC415)&amp;"."&amp;MONTH(AC415)&amp;"."&amp;YEAR(AC415)&amp;" "&amp;$V$4&amp;VLOOKUP(C415,[1]List1!$A:$E,4,FALSE)&amp;" "&amp;$V$1),AC415))))</f>
        <v>SKLADEM</v>
      </c>
      <c r="AE415" s="645" t="str">
        <f t="shared" ca="1" si="1134"/>
        <v>SKLADEM</v>
      </c>
      <c r="AF415" s="648">
        <f t="shared" si="1135"/>
        <v>0</v>
      </c>
      <c r="AG415" s="649">
        <f t="shared" si="1136"/>
        <v>0</v>
      </c>
      <c r="AH415" s="650">
        <f t="shared" si="1137"/>
        <v>0</v>
      </c>
      <c r="AI415" s="645">
        <f t="shared" si="1138"/>
        <v>0</v>
      </c>
      <c r="AJ415" s="645">
        <f t="shared" si="1139"/>
        <v>0</v>
      </c>
      <c r="AK415" s="645" t="str">
        <f t="shared" si="1140"/>
        <v/>
      </c>
      <c r="AL415" s="645">
        <f t="shared" si="1141"/>
        <v>0</v>
      </c>
      <c r="AM415" s="645" t="str">
        <f t="shared" si="1142"/>
        <v/>
      </c>
      <c r="AN415" s="651">
        <f t="shared" si="1143"/>
        <v>0</v>
      </c>
      <c r="AO415" s="623"/>
      <c r="AP415" s="632" t="str">
        <f t="shared" si="1094"/>
        <v/>
      </c>
      <c r="AQ415" s="633" t="str">
        <f>IF(AC415=$V$3,IF(VLOOKUP(C415,[1]List1!$A:$E,5,FALSE)=0,1,VLOOKUP(C415,[1]List1!$A:$E,5,FALSE)),"")</f>
        <v/>
      </c>
      <c r="AR415" s="625" t="str">
        <f t="shared" si="1095"/>
        <v/>
      </c>
      <c r="AS415" s="634" t="str">
        <f t="shared" si="1096"/>
        <v/>
      </c>
      <c r="AT415" s="625" t="str">
        <f t="shared" si="1097"/>
        <v/>
      </c>
      <c r="AU415" s="638" t="e">
        <f t="shared" si="1098"/>
        <v>#N/A</v>
      </c>
      <c r="AV415" s="625" t="e">
        <f t="shared" si="1099"/>
        <v>#N/A</v>
      </c>
      <c r="AX415" s="625">
        <f>IF(AND('General price list'!$J415="F4",'General price list'!$AB415+0&gt;0),1,0)</f>
        <v>0</v>
      </c>
      <c r="AY415" s="625">
        <f t="shared" si="1100"/>
        <v>1</v>
      </c>
      <c r="AZ415" s="625">
        <f t="shared" si="1101"/>
        <v>0</v>
      </c>
    </row>
    <row r="416" spans="1:52" ht="15.75" customHeight="1">
      <c r="A416" s="621" t="str">
        <f>Kat.!C416</f>
        <v/>
      </c>
      <c r="B416" s="566">
        <f>IF(AND('General price list'!$J416="F4",$AI$1=FALSE),0,IF(AC416="SKLADEM",1,IF(AC416=$V$3,1,0)))</f>
        <v>1</v>
      </c>
      <c r="C416" s="567" t="s">
        <v>995</v>
      </c>
      <c r="D416" s="568" t="s">
        <v>996</v>
      </c>
      <c r="E416" s="763" t="s">
        <v>12675</v>
      </c>
      <c r="F416" s="791">
        <f>IFERROR(VLOOKUP(C416,[2]List1!$A:$D,3,FALSE),"NEUVEDENO!")</f>
        <v>189</v>
      </c>
      <c r="G416" s="769">
        <f t="shared" si="1130"/>
        <v>189</v>
      </c>
      <c r="H416" s="766">
        <f t="shared" si="1131"/>
        <v>8.02844362885652</v>
      </c>
      <c r="I416" s="764">
        <f>IFERROR(VLOOKUP(C416,[2]List1!$A:$D,4,FALSE),"NEUVEDENO!")</f>
        <v>12</v>
      </c>
      <c r="J416" s="732" t="s">
        <v>39</v>
      </c>
      <c r="K416" s="569" t="s">
        <v>11100</v>
      </c>
      <c r="L416" s="569" t="s">
        <v>10988</v>
      </c>
      <c r="M416" s="569" t="s">
        <v>114</v>
      </c>
      <c r="N416" s="569">
        <f>IFERROR(VLOOKUP(C416,[3]List1!$A:$D,4,FALSE),"N/A!")</f>
        <v>2.6870999999999999E-2</v>
      </c>
      <c r="O416" s="569">
        <f>IFERROR(VLOOKUP(C416,[3]List1!$A:$D,3,FALSE),"N/A!")</f>
        <v>2400</v>
      </c>
      <c r="P416" s="569">
        <f>IFERROR(VLOOKUP(C416,[3]List1!$A:$D,2,FALSE),"N/A!")</f>
        <v>11600</v>
      </c>
      <c r="Q416" s="569" t="s">
        <v>11771</v>
      </c>
      <c r="R416" s="569"/>
      <c r="S416" s="569" t="str">
        <f>IF($W$17=$AF$1,"design",IFERROR(VLOOKUP("design",Jazyky_ceník!$A:$Q,MATCH($W$17,Jazyky_ceník!$A$1:$Q$1,0),FALSE),"!!!"))</f>
        <v>design</v>
      </c>
      <c r="T416" s="569">
        <v>30</v>
      </c>
      <c r="U416" s="569">
        <v>25</v>
      </c>
      <c r="V416" s="569">
        <v>16</v>
      </c>
      <c r="W416" s="569" t="str">
        <f>IFERROR(IF(AND($AB416&gt;=0.1*$AA416,MOD($AB416,$AA416)&gt;=($AA416-(0.1*$AA416))),IF($W$17=$AF$1,"Zvažte možnost doobjednání ještě "&amp;Tabulka1[[#This Row],[VKPAL]]-MOD(AB416,AA416)&amp;" VK do plné palety.",VLOOKUP("Zvažte možnost doobjednání ještě ",Jazyky_ceník!A:Q,MATCH($W$17,Jazyky_ceník!$A$1:$Q$1,0),FALSE)&amp;Tabulka1[[#This Row],[VKPAL]]-MOD(AB416,AA416)&amp;VLOOKUP(" VK do plné palety.",Jazyky_ceník!A:Q,MATCH($W$17,Jazyky_ceník!$A$1:$Q$1,0),FALSE)),IFERROR(IF(AND(NOT(MOD($AB416,$AA416)=0),$AB416&gt;=0.9*$AA416,MOD($AB416,$AA416)&lt;=0.1*$AA416),IF($W$17=$AF$1,"Zvažte možnost optimalizace objednaného množství podle počtu VK na paletě ==&gt;",VLOOKUP("Zvažte možnost optimalizace objednaného množství podle počtu VK na paletě ==&gt;",Jazyky_ceník!A:Q,MATCH($W$17,Jazyky_ceník!$A$1:$Q$1,0),FALSE)),VLOOKUP('General price list'!$C416,Popisy!A:M,MATCH($W$17,Popisy!$A$7:$M$7,0),FALSE)),"---------------")),IFERROR(VLOOKUP('General price list'!$C416,Popisy!A:M,MATCH($W$17,Popisy!$A$7:$M$7,0),FALSE),"---------------"))</f>
        <v>stříbrná vlna se zelenými konci a blikajícím středem, oranžová stopa s oranžovými perlami s práskajícími hvězdami</v>
      </c>
      <c r="X416" s="569" t="str">
        <f t="shared" si="1132"/>
        <v/>
      </c>
      <c r="Y416" s="569" t="str">
        <f t="shared" si="1133"/>
        <v/>
      </c>
      <c r="Z416" s="569" t="str">
        <f>HYPERLINK("https://www.klasekpyrotechnics.cz/c2520sl")</f>
        <v>https://www.klasekpyrotechnics.cz/c2520sl</v>
      </c>
      <c r="AA416" s="569">
        <f>IFERROR(IF(VLOOKUP(C416,[4]List1!$A:$D,4,FALSE)=0,"",VLOOKUP(C416,[4]List1!$A:$D,4,FALSE)),"")</f>
        <v>54</v>
      </c>
      <c r="AB416" s="565"/>
      <c r="AC416" s="570" t="str">
        <f>IFERROR(IF(VLOOKUP(C416,[1]List1!$A:$D,2,FALSE)="VYPRODÁNO",$V$9,IF(VLOOKUP(C416,[1]List1!$A:$D,2,FALSE)="DOCHÁZÍ",$V$3,VLOOKUP(C416,[1]List1!$A:$D,2,FALSE))),"OFFLINE!")</f>
        <v>DOCHÁZÍ</v>
      </c>
      <c r="AD416" s="570" t="str">
        <f ca="1">IF(AP416="NE",$V$10,IF(AC416=$V$3,IF(AQ416&lt;1,$V$8,$V$2&amp;" "&amp;AQ416&amp;" "&amp;$V$1),IF(AC416="SKLADEM",$V$6,IFERROR(IF(OR(AC416-TODAY()&gt;45,VLOOKUP(C416,[1]List1!$A:$E,4,FALSE)=0),AC416,DAY(AC416)&amp;"."&amp;MONTH(AC416)&amp;"."&amp;YEAR(AC416)&amp;" "&amp;$V$4&amp;VLOOKUP(C416,[1]List1!$A:$E,4,FALSE)&amp;" "&amp;$V$1),AC416))))</f>
        <v>POSLEDNÍCH 12 VK</v>
      </c>
      <c r="AE416" s="581" t="str">
        <f t="shared" ca="1" si="1134"/>
        <v>POSLEDNÍCH 12 VK</v>
      </c>
      <c r="AF416" s="584">
        <f t="shared" si="1135"/>
        <v>0</v>
      </c>
      <c r="AG416" s="585">
        <f t="shared" si="1136"/>
        <v>0</v>
      </c>
      <c r="AH416" s="583">
        <f t="shared" si="1137"/>
        <v>0</v>
      </c>
      <c r="AI416" s="582">
        <f t="shared" si="1138"/>
        <v>0</v>
      </c>
      <c r="AJ416" s="569">
        <f t="shared" si="1139"/>
        <v>0</v>
      </c>
      <c r="AK416" s="569" t="str">
        <f t="shared" si="1140"/>
        <v/>
      </c>
      <c r="AL416" s="569">
        <f t="shared" si="1141"/>
        <v>0</v>
      </c>
      <c r="AM416" s="569" t="str">
        <f t="shared" si="1142"/>
        <v/>
      </c>
      <c r="AN416" s="581">
        <f t="shared" si="1143"/>
        <v>0</v>
      </c>
      <c r="AO416" s="623"/>
      <c r="AP416" s="625" t="str">
        <f t="shared" si="1094"/>
        <v/>
      </c>
      <c r="AQ416" s="625">
        <f>IF(AC416=$V$3,IF(VLOOKUP(C416,[1]List1!$A:$E,5,FALSE)=0,1,VLOOKUP(C416,[1]List1!$A:$E,5,FALSE)),"")</f>
        <v>12</v>
      </c>
      <c r="AR416" s="629" t="str">
        <f t="shared" si="1095"/>
        <v/>
      </c>
      <c r="AS416" s="630" t="str">
        <f t="shared" si="1096"/>
        <v/>
      </c>
      <c r="AT416" s="625" t="str">
        <f t="shared" si="1097"/>
        <v/>
      </c>
      <c r="AU416" s="625" t="e">
        <f t="shared" si="1098"/>
        <v>#N/A</v>
      </c>
      <c r="AV416" s="625" t="e">
        <f t="shared" si="1099"/>
        <v>#N/A</v>
      </c>
      <c r="AW416" s="631"/>
      <c r="AX416" s="631">
        <f>IF(AND('General price list'!$J416="F4",'General price list'!$AB416+0&gt;0),1,0)</f>
        <v>0</v>
      </c>
      <c r="AY416" s="631">
        <f t="shared" si="1100"/>
        <v>1</v>
      </c>
      <c r="AZ416" s="631">
        <f t="shared" si="1101"/>
        <v>0</v>
      </c>
    </row>
    <row r="417" spans="1:52" ht="15" customHeight="1">
      <c r="A417" s="639" t="str">
        <f>Kat.!C417</f>
        <v/>
      </c>
      <c r="B417" s="640">
        <f>IF(AND('General price list'!$J417="F4",$AI$1=FALSE),0,IF(AC417="SKLADEM",1,IF(AC417=$V$3,1,0)))</f>
        <v>0</v>
      </c>
      <c r="C417" s="641" t="s">
        <v>1000</v>
      </c>
      <c r="D417" s="642" t="s">
        <v>1001</v>
      </c>
      <c r="E417" s="643" t="s">
        <v>12675</v>
      </c>
      <c r="F417" s="791">
        <f>IFERROR(VLOOKUP(C417,[2]List1!$A:$D,3,FALSE),"NEUVEDENO!")</f>
        <v>189</v>
      </c>
      <c r="G417" s="768">
        <f t="shared" si="1130"/>
        <v>189</v>
      </c>
      <c r="H417" s="765">
        <f t="shared" si="1131"/>
        <v>8.02844362885652</v>
      </c>
      <c r="I417" s="644">
        <f>IFERROR(VLOOKUP(C417,[2]List1!$A:$D,4,FALSE),"NEUVEDENO!")</f>
        <v>12</v>
      </c>
      <c r="J417" s="733" t="s">
        <v>39</v>
      </c>
      <c r="K417" s="645" t="s">
        <v>11100</v>
      </c>
      <c r="L417" s="645" t="s">
        <v>10988</v>
      </c>
      <c r="M417" s="645" t="s">
        <v>114</v>
      </c>
      <c r="N417" s="645">
        <f>IFERROR(VLOOKUP(C417,[3]List1!$A:$D,4,FALSE),"N/A!")</f>
        <v>2.6870999999999999E-2</v>
      </c>
      <c r="O417" s="645">
        <f>IFERROR(VLOOKUP(C417,[3]List1!$A:$D,3,FALSE),"N/A!")</f>
        <v>2400</v>
      </c>
      <c r="P417" s="645">
        <f>IFERROR(VLOOKUP(C417,[3]List1!$A:$D,2,FALSE),"N/A!")</f>
        <v>13440</v>
      </c>
      <c r="Q417" s="645" t="s">
        <v>11771</v>
      </c>
      <c r="R417" s="645"/>
      <c r="S417" s="645" t="str">
        <f>IF($W$17=$AF$1,"design",IFERROR(VLOOKUP("design",Jazyky_ceník!$A:$Q,MATCH($W$17,Jazyky_ceník!$A$1:$Q$1,0),FALSE),"!!!"))</f>
        <v>design</v>
      </c>
      <c r="T417" s="645">
        <v>25</v>
      </c>
      <c r="U417" s="645">
        <v>25</v>
      </c>
      <c r="V417" s="645">
        <v>16</v>
      </c>
      <c r="W417" s="645" t="str">
        <f>IFERROR(IF(AND($AB417&gt;=0.1*$AA417,MOD($AB417,$AA417)&gt;=($AA417-(0.1*$AA417))),IF($W$17=$AF$1,"Zvažte možnost doobjednání ještě "&amp;Tabulka1[[#This Row],[VKPAL]]-MOD(AB417,AA417)&amp;" VK do plné palety.",VLOOKUP("Zvažte možnost doobjednání ještě ",Jazyky_ceník!A:Q,MATCH($W$17,Jazyky_ceník!$A$1:$Q$1,0),FALSE)&amp;Tabulka1[[#This Row],[VKPAL]]-MOD(AB417,AA417)&amp;VLOOKUP(" VK do plné palety.",Jazyky_ceník!A:Q,MATCH($W$17,Jazyky_ceník!$A$1:$Q$1,0),FALSE)),IFERROR(IF(AND(NOT(MOD($AB417,$AA417)=0),$AB417&gt;=0.9*$AA417,MOD($AB417,$AA417)&lt;=0.1*$AA417),IF($W$17=$AF$1,"Zvažte možnost optimalizace objednaného množství podle počtu VK na paletě ==&gt;",VLOOKUP("Zvažte možnost optimalizace objednaného množství podle počtu VK na paletě ==&gt;",Jazyky_ceník!A:Q,MATCH($W$17,Jazyky_ceník!$A$1:$Q$1,0),FALSE)),VLOOKUP('General price list'!$C417,Popisy!A:M,MATCH($W$17,Popisy!$A$7:$M$7,0),FALSE)),"---------------")),IFERROR(VLOOKUP('General price list'!$C417,Popisy!A:M,MATCH($W$17,Popisy!$A$7:$M$7,0),FALSE),"---------------"))</f>
        <v>brokátová koruna s fialovými konci</v>
      </c>
      <c r="X417" s="645" t="str">
        <f t="shared" si="1132"/>
        <v/>
      </c>
      <c r="Y417" s="645" t="str">
        <f t="shared" si="1133"/>
        <v/>
      </c>
      <c r="Z417" s="645" t="str">
        <f>HYPERLINK("https://www.klasekpyrotechnics.cz/c2520r")</f>
        <v>https://www.klasekpyrotechnics.cz/c2520r</v>
      </c>
      <c r="AA417" s="645">
        <f>IFERROR(IF(VLOOKUP(C417,[4]List1!$A:$D,4,FALSE)=0,"",VLOOKUP(C417,[4]List1!$A:$D,4,FALSE)),"")</f>
        <v>54</v>
      </c>
      <c r="AB417" s="646"/>
      <c r="AC417" s="647" t="str">
        <f>IFERROR(IF(VLOOKUP(C417,[1]List1!$A:$D,2,FALSE)="VYPRODÁNO",$V$9,IF(VLOOKUP(C417,[1]List1!$A:$D,2,FALSE)="DOCHÁZÍ",$V$3,VLOOKUP(C417,[1]List1!$A:$D,2,FALSE))),"OFFLINE!")</f>
        <v>06.04.2026</v>
      </c>
      <c r="AD417" s="647" t="str">
        <f ca="1">IF(AP417="NE",$V$10,IF(AC417=$V$3,IF(AQ417&lt;1,$V$8,$V$2&amp;" "&amp;AQ417&amp;" "&amp;$V$1),IF(AC417="SKLADEM",$V$6,IFERROR(IF(OR(AC417-TODAY()&gt;45,VLOOKUP(C417,[1]List1!$A:$E,4,FALSE)=0),AC417,DAY(AC417)&amp;"."&amp;MONTH(AC417)&amp;"."&amp;YEAR(AC417)&amp;" "&amp;$V$4&amp;VLOOKUP(C417,[1]List1!$A:$E,4,FALSE)&amp;" "&amp;$V$1),AC417))))</f>
        <v>6.4.2026 DORAZÍ 100+ VK</v>
      </c>
      <c r="AE417" s="645" t="str">
        <f t="shared" ca="1" si="1134"/>
        <v>6.4.2026 DORAZÍ 100+ VK</v>
      </c>
      <c r="AF417" s="648">
        <f t="shared" si="1135"/>
        <v>0</v>
      </c>
      <c r="AG417" s="649">
        <f t="shared" si="1136"/>
        <v>0</v>
      </c>
      <c r="AH417" s="650">
        <f t="shared" si="1137"/>
        <v>0</v>
      </c>
      <c r="AI417" s="645">
        <f t="shared" si="1138"/>
        <v>0</v>
      </c>
      <c r="AJ417" s="645">
        <f t="shared" si="1139"/>
        <v>0</v>
      </c>
      <c r="AK417" s="645" t="str">
        <f t="shared" si="1140"/>
        <v/>
      </c>
      <c r="AL417" s="645">
        <f t="shared" si="1141"/>
        <v>0</v>
      </c>
      <c r="AM417" s="645" t="str">
        <f t="shared" si="1142"/>
        <v/>
      </c>
      <c r="AN417" s="651">
        <f t="shared" si="1143"/>
        <v>0</v>
      </c>
      <c r="AO417" s="623"/>
      <c r="AP417" s="632" t="str">
        <f t="shared" si="1094"/>
        <v/>
      </c>
      <c r="AQ417" s="633" t="str">
        <f>IF(AC417=$V$3,IF(VLOOKUP(C417,[1]List1!$A:$E,5,FALSE)=0,1,VLOOKUP(C417,[1]List1!$A:$E,5,FALSE)),"")</f>
        <v/>
      </c>
      <c r="AR417" s="625" t="str">
        <f t="shared" si="1095"/>
        <v/>
      </c>
      <c r="AS417" s="634" t="str">
        <f t="shared" si="1096"/>
        <v/>
      </c>
      <c r="AT417" s="625" t="str">
        <f t="shared" si="1097"/>
        <v/>
      </c>
      <c r="AU417" s="638" t="e">
        <f t="shared" si="1098"/>
        <v>#N/A</v>
      </c>
      <c r="AV417" s="625" t="e">
        <f t="shared" si="1099"/>
        <v>#N/A</v>
      </c>
      <c r="AX417" s="625">
        <f>IF(AND('General price list'!$J417="F4",'General price list'!$AB417+0&gt;0),1,0)</f>
        <v>0</v>
      </c>
      <c r="AY417" s="625">
        <f t="shared" si="1100"/>
        <v>1</v>
      </c>
      <c r="AZ417" s="625">
        <f t="shared" si="1101"/>
        <v>0</v>
      </c>
    </row>
    <row r="418" spans="1:52" ht="15.75" customHeight="1">
      <c r="A418" s="621" t="str">
        <f>Kat.!C418</f>
        <v>×</v>
      </c>
      <c r="B418" s="566">
        <f>IF(AND('General price list'!$J418="F4",$AI$1=FALSE),0,IF(AC418="SKLADEM",1,IF(AC418=$V$3,1,0)))</f>
        <v>0</v>
      </c>
      <c r="C418" s="567" t="s">
        <v>1009</v>
      </c>
      <c r="D418" s="568" t="s">
        <v>1005</v>
      </c>
      <c r="E418" s="763" t="s">
        <v>12675</v>
      </c>
      <c r="F418" s="791">
        <f>IFERROR(VLOOKUP(C418,[2]List1!$A:$D,3,FALSE),"NEUVEDENO!")</f>
        <v>189</v>
      </c>
      <c r="G418" s="769">
        <f t="shared" si="1130"/>
        <v>189</v>
      </c>
      <c r="H418" s="766">
        <f t="shared" si="1131"/>
        <v>8.02844362885652</v>
      </c>
      <c r="I418" s="764">
        <f>IFERROR(VLOOKUP(C418,[2]List1!$A:$D,4,FALSE),"NEUVEDENO!")</f>
        <v>12</v>
      </c>
      <c r="J418" s="732" t="s">
        <v>39</v>
      </c>
      <c r="K418" s="569" t="s">
        <v>11100</v>
      </c>
      <c r="L418" s="569" t="s">
        <v>10988</v>
      </c>
      <c r="M418" s="569" t="s">
        <v>114</v>
      </c>
      <c r="N418" s="569">
        <f>IFERROR(VLOOKUP(C418,[3]List1!$A:$D,4,FALSE),"N/A!")</f>
        <v>2.6870999999999999E-2</v>
      </c>
      <c r="O418" s="569">
        <f>IFERROR(VLOOKUP(C418,[3]List1!$A:$D,3,FALSE),"N/A!")</f>
        <v>2400</v>
      </c>
      <c r="P418" s="569">
        <f>IFERROR(VLOOKUP(C418,[3]List1!$A:$D,2,FALSE),"N/A!")</f>
        <v>13000</v>
      </c>
      <c r="Q418" s="569" t="s">
        <v>11771</v>
      </c>
      <c r="R418" s="569"/>
      <c r="S418" s="569" t="str">
        <f>IF($W$17=$AF$1,"design",IFERROR(VLOOKUP("design",Jazyky_ceník!$A:$Q,MATCH($W$17,Jazyky_ceník!$A$1:$Q$1,0),FALSE),"!!!"))</f>
        <v>design</v>
      </c>
      <c r="T418" s="569">
        <v>25</v>
      </c>
      <c r="U418" s="569">
        <v>25</v>
      </c>
      <c r="V418" s="569">
        <v>16</v>
      </c>
      <c r="W418" s="569" t="str">
        <f>IFERROR(IF(AND($AB418&gt;=0.1*$AA418,MOD($AB418,$AA418)&gt;=($AA418-(0.1*$AA418))),IF($W$17=$AF$1,"Zvažte možnost doobjednání ještě "&amp;Tabulka1[[#This Row],[VKPAL]]-MOD(AB418,AA418)&amp;" VK do plné palety.",VLOOKUP("Zvažte možnost doobjednání ještě ",Jazyky_ceník!A:Q,MATCH($W$17,Jazyky_ceník!$A$1:$Q$1,0),FALSE)&amp;Tabulka1[[#This Row],[VKPAL]]-MOD(AB418,AA418)&amp;VLOOKUP(" VK do plné palety.",Jazyky_ceník!A:Q,MATCH($W$17,Jazyky_ceník!$A$1:$Q$1,0),FALSE)),IFERROR(IF(AND(NOT(MOD($AB418,$AA418)=0),$AB418&gt;=0.9*$AA418,MOD($AB418,$AA418)&lt;=0.1*$AA418),IF($W$17=$AF$1,"Zvažte možnost optimalizace objednaného množství podle počtu VK na paletě ==&gt;",VLOOKUP("Zvažte možnost optimalizace objednaného množství podle počtu VK na paletě ==&gt;",Jazyky_ceník!A:Q,MATCH($W$17,Jazyky_ceník!$A$1:$Q$1,0),FALSE)),VLOOKUP('General price list'!$C418,Popisy!A:M,MATCH($W$17,Popisy!$A$7:$M$7,0),FALSE)),"---------------")),IFERROR(VLOOKUP('General price list'!$C418,Popisy!A:M,MATCH($W$17,Popisy!$A$7:$M$7,0),FALSE),"---------------"))</f>
        <v>modrá palma se zlatým blikajícím středem</v>
      </c>
      <c r="X418" s="569" t="str">
        <f t="shared" si="1132"/>
        <v/>
      </c>
      <c r="Y418" s="569" t="str">
        <f t="shared" si="1133"/>
        <v/>
      </c>
      <c r="Z418" s="569" t="str">
        <f>HYPERLINK("https://www.klasekpyrotechnics.cz/c2520vi")</f>
        <v>https://www.klasekpyrotechnics.cz/c2520vi</v>
      </c>
      <c r="AA418" s="569">
        <f>IFERROR(IF(VLOOKUP(C418,[4]List1!$A:$D,4,FALSE)=0,"",VLOOKUP(C418,[4]List1!$A:$D,4,FALSE)),"")</f>
        <v>54</v>
      </c>
      <c r="AB418" s="565"/>
      <c r="AC418" s="570" t="str">
        <f>IFERROR(IF(VLOOKUP(C418,[1]List1!$A:$D,2,FALSE)="VYPRODÁNO",$V$9,IF(VLOOKUP(C418,[1]List1!$A:$D,2,FALSE)="DOCHÁZÍ",$V$3,VLOOKUP(C418,[1]List1!$A:$D,2,FALSE))),"OFFLINE!")</f>
        <v>VYPRODÁNO</v>
      </c>
      <c r="AD418" s="570" t="str">
        <f ca="1">IF(AP418="NE",$V$10,IF(AC418=$V$3,IF(AQ418&lt;1,$V$8,$V$2&amp;" "&amp;AQ418&amp;" "&amp;$V$1),IF(AC418="SKLADEM",$V$6,IFERROR(IF(OR(AC418-TODAY()&gt;45,VLOOKUP(C418,[1]List1!$A:$E,4,FALSE)=0),AC418,DAY(AC418)&amp;"."&amp;MONTH(AC418)&amp;"."&amp;YEAR(AC418)&amp;" "&amp;$V$4&amp;VLOOKUP(C418,[1]List1!$A:$E,4,FALSE)&amp;" "&amp;$V$1),AC418))))</f>
        <v>VYPRODÁNO</v>
      </c>
      <c r="AE418" s="581" t="str">
        <f t="shared" ca="1" si="1134"/>
        <v>VYPRODÁNO</v>
      </c>
      <c r="AF418" s="584">
        <f t="shared" si="1135"/>
        <v>0</v>
      </c>
      <c r="AG418" s="585">
        <f t="shared" si="1136"/>
        <v>0</v>
      </c>
      <c r="AH418" s="583">
        <f t="shared" si="1137"/>
        <v>0</v>
      </c>
      <c r="AI418" s="582">
        <f t="shared" si="1138"/>
        <v>0</v>
      </c>
      <c r="AJ418" s="569">
        <f t="shared" si="1139"/>
        <v>0</v>
      </c>
      <c r="AK418" s="569" t="str">
        <f t="shared" si="1140"/>
        <v/>
      </c>
      <c r="AL418" s="569">
        <f t="shared" si="1141"/>
        <v>0</v>
      </c>
      <c r="AM418" s="569" t="str">
        <f t="shared" si="1142"/>
        <v/>
      </c>
      <c r="AN418" s="581">
        <f t="shared" si="1143"/>
        <v>0</v>
      </c>
      <c r="AO418" s="623"/>
      <c r="AP418" s="625" t="str">
        <f t="shared" si="1094"/>
        <v/>
      </c>
      <c r="AQ418" s="625" t="str">
        <f>IF(AC418=$V$3,IF(VLOOKUP(C418,[1]List1!$A:$E,5,FALSE)=0,1,VLOOKUP(C418,[1]List1!$A:$E,5,FALSE)),"")</f>
        <v/>
      </c>
      <c r="AR418" s="629" t="str">
        <f t="shared" si="1095"/>
        <v/>
      </c>
      <c r="AS418" s="630" t="str">
        <f t="shared" si="1096"/>
        <v/>
      </c>
      <c r="AT418" s="625" t="str">
        <f t="shared" si="1097"/>
        <v/>
      </c>
      <c r="AU418" s="625" t="e">
        <f t="shared" si="1098"/>
        <v>#N/A</v>
      </c>
      <c r="AV418" s="625" t="e">
        <f t="shared" si="1099"/>
        <v>#N/A</v>
      </c>
      <c r="AW418" s="631"/>
      <c r="AX418" s="631">
        <f>IF(AND('General price list'!$J418="F4",'General price list'!$AB418+0&gt;0),1,0)</f>
        <v>0</v>
      </c>
      <c r="AY418" s="631">
        <f t="shared" si="1100"/>
        <v>1</v>
      </c>
      <c r="AZ418" s="631">
        <f t="shared" si="1101"/>
        <v>0</v>
      </c>
    </row>
    <row r="419" spans="1:52" ht="15" customHeight="1">
      <c r="A419" s="751" t="str">
        <f>Kat.!C419</f>
        <v xml:space="preserve">           Baterie 25 ran, 20 mm moždíř – 1.4G</v>
      </c>
      <c r="B419" s="751"/>
      <c r="C419" s="751"/>
      <c r="D419" s="751"/>
      <c r="E419" s="751"/>
      <c r="F419" s="751"/>
      <c r="G419" s="751"/>
      <c r="H419" s="751"/>
      <c r="I419" s="752"/>
      <c r="J419" s="752"/>
      <c r="K419" s="752" t="s">
        <v>20</v>
      </c>
      <c r="L419" s="753" t="s">
        <v>2818</v>
      </c>
      <c r="M419" s="752"/>
      <c r="N419" s="752"/>
      <c r="O419" s="752"/>
      <c r="P419" s="752"/>
      <c r="Q419" s="752"/>
      <c r="R419" s="752"/>
      <c r="S419" s="752"/>
      <c r="T419" s="752"/>
      <c r="U419" s="752"/>
      <c r="V419" s="752"/>
      <c r="W419" s="752"/>
      <c r="X419" s="752"/>
      <c r="Y419" s="752"/>
      <c r="Z419" s="752" t="s">
        <v>20</v>
      </c>
      <c r="AA419" s="752"/>
      <c r="AB419" s="752"/>
      <c r="AC419" s="754"/>
      <c r="AD419" s="752"/>
      <c r="AE419" s="752"/>
      <c r="AF419" s="752"/>
      <c r="AG419" s="752"/>
      <c r="AH419" s="752"/>
      <c r="AI419" s="752"/>
      <c r="AJ419" s="752"/>
      <c r="AK419" s="752"/>
      <c r="AL419" s="752"/>
      <c r="AM419" s="752"/>
      <c r="AN419" s="752"/>
      <c r="AO419" s="623"/>
      <c r="AP419" s="632" t="str">
        <f t="shared" si="1094"/>
        <v/>
      </c>
      <c r="AQ419" s="633" t="str">
        <f>IF(AC419=$V$3,IF(VLOOKUP(C419,[1]List1!$A:$E,5,FALSE)=0,1,VLOOKUP(C419,[1]List1!$A:$E,5,FALSE)),"")</f>
        <v/>
      </c>
      <c r="AR419" s="625" t="str">
        <f t="shared" si="1095"/>
        <v/>
      </c>
      <c r="AS419" s="634" t="str">
        <f t="shared" si="1096"/>
        <v/>
      </c>
      <c r="AT419" s="625" t="str">
        <f t="shared" si="1097"/>
        <v/>
      </c>
      <c r="AU419" s="638" t="e">
        <f t="shared" si="1098"/>
        <v>#N/A</v>
      </c>
      <c r="AV419" s="625" t="e">
        <f t="shared" si="1099"/>
        <v>#N/A</v>
      </c>
      <c r="AX419" s="625">
        <f>IF(AND('General price list'!$J419="F4",'General price list'!$AB419+0&gt;0),1,0)</f>
        <v>0</v>
      </c>
      <c r="AY419" s="625">
        <f t="shared" si="1100"/>
        <v>0</v>
      </c>
      <c r="AZ419" s="625">
        <f t="shared" si="1101"/>
        <v>0</v>
      </c>
    </row>
    <row r="420" spans="1:52" ht="15.75" customHeight="1">
      <c r="A420" s="639" t="str">
        <f>Kat.!C420</f>
        <v/>
      </c>
      <c r="B420" s="640">
        <f>IF(AND('General price list'!$J420="F4",$AI$1=FALSE),0,IF(AC420="SKLADEM",1,IF(AC420=$V$3,1,0)))</f>
        <v>1</v>
      </c>
      <c r="C420" s="641" t="s">
        <v>987</v>
      </c>
      <c r="D420" s="642" t="s">
        <v>982</v>
      </c>
      <c r="E420" s="643" t="s">
        <v>12675</v>
      </c>
      <c r="F420" s="791">
        <f>IFERROR(VLOOKUP(C420,[2]List1!$A:$D,3,FALSE),"NEUVEDENO!")</f>
        <v>189</v>
      </c>
      <c r="G420" s="768">
        <f t="shared" ref="G420:G422" si="1144">IF($W$17=$AF$8,ROUND((F420)/$F$17,2),(F420)*$B$19)</f>
        <v>189</v>
      </c>
      <c r="H420" s="765">
        <f t="shared" ref="H420:H422" si="1145">IF($W$17=$AF$8,G420*$B$19,G420/$F$17)</f>
        <v>8.02844362885652</v>
      </c>
      <c r="I420" s="644">
        <f>IFERROR(VLOOKUP(C420,[2]List1!$A:$D,4,FALSE),"NEUVEDENO!")</f>
        <v>12</v>
      </c>
      <c r="J420" s="733" t="s">
        <v>39</v>
      </c>
      <c r="K420" s="645" t="s">
        <v>11100</v>
      </c>
      <c r="L420" s="645" t="s">
        <v>10991</v>
      </c>
      <c r="M420" s="645" t="s">
        <v>21</v>
      </c>
      <c r="N420" s="645">
        <f>IFERROR(VLOOKUP(C420,[3]List1!$A:$D,4,FALSE),"N/A!")</f>
        <v>2.6870999999999999E-2</v>
      </c>
      <c r="O420" s="645">
        <f>IFERROR(VLOOKUP(C420,[3]List1!$A:$D,3,FALSE),"N/A!")</f>
        <v>2400</v>
      </c>
      <c r="P420" s="645">
        <f>IFERROR(VLOOKUP(C420,[3]List1!$A:$D,2,FALSE),"N/A!")</f>
        <v>13100</v>
      </c>
      <c r="Q420" s="645" t="s">
        <v>11771</v>
      </c>
      <c r="R420" s="645"/>
      <c r="S420" s="645" t="str">
        <f>IF($W$17=$AF$1,"design",IFERROR(VLOOKUP("design",Jazyky_ceník!$A:$Q,MATCH($W$17,Jazyky_ceník!$A$1:$Q$1,0),FALSE),"!!!"))</f>
        <v>design</v>
      </c>
      <c r="T420" s="645">
        <v>30</v>
      </c>
      <c r="U420" s="645">
        <v>25</v>
      </c>
      <c r="V420" s="645">
        <v>13</v>
      </c>
      <c r="W420" s="645" t="str">
        <f>IFERROR(IF(AND($AB420&gt;=0.1*$AA420,MOD($AB420,$AA420)&gt;=($AA420-(0.1*$AA420))),IF($W$17=$AF$1,"Zvažte možnost doobjednání ještě "&amp;Tabulka1[[#This Row],[VKPAL]]-MOD(AB420,AA420)&amp;" VK do plné palety.",VLOOKUP("Zvažte možnost doobjednání ještě ",Jazyky_ceník!A:Q,MATCH($W$17,Jazyky_ceník!$A$1:$Q$1,0),FALSE)&amp;Tabulka1[[#This Row],[VKPAL]]-MOD(AB420,AA420)&amp;VLOOKUP(" VK do plné palety.",Jazyky_ceník!A:Q,MATCH($W$17,Jazyky_ceník!$A$1:$Q$1,0),FALSE)),IFERROR(IF(AND(NOT(MOD($AB420,$AA420)=0),$AB420&gt;=0.9*$AA420,MOD($AB420,$AA420)&lt;=0.1*$AA420),IF($W$17=$AF$1,"Zvažte možnost optimalizace objednaného množství podle počtu VK na paletě ==&gt;",VLOOKUP("Zvažte možnost optimalizace objednaného množství podle počtu VK na paletě ==&gt;",Jazyky_ceník!A:Q,MATCH($W$17,Jazyky_ceník!$A$1:$Q$1,0),FALSE)),VLOOKUP('General price list'!$C420,Popisy!A:M,MATCH($W$17,Popisy!$A$7:$M$7,0),FALSE)),"---------------")),IFERROR(VLOOKUP('General price list'!$C420,Popisy!A:M,MATCH($W$17,Popisy!$A$7:$M$7,0),FALSE),"---------------"))</f>
        <v>5 různobarevných efektů</v>
      </c>
      <c r="X420" s="645" t="str">
        <f t="shared" ref="X420:X422" si="1146">IF(AB420&lt;0.0001,"",AB420)</f>
        <v/>
      </c>
      <c r="Y420" s="645" t="str">
        <f t="shared" ref="Y420:Y422" si="1147">IF($AL$3=2,IF(OR(AB420&lt;&gt;"",AB420&lt;&gt;0),AU420,""),IF(C420="","",IF(AB420&lt;0.0001,"",IF(B420=0,"",IF(AQ420&lt;AB420,"",AB420)))))</f>
        <v/>
      </c>
      <c r="Z420" s="645" t="str">
        <f>HYPERLINK("https://www.klasekpyrotechnics.cz/c2520di14")</f>
        <v>https://www.klasekpyrotechnics.cz/c2520di14</v>
      </c>
      <c r="AA420" s="645">
        <f>IFERROR(IF(VLOOKUP(C420,[4]List1!$A:$D,4,FALSE)=0,"",VLOOKUP(C420,[4]List1!$A:$D,4,FALSE)),"")</f>
        <v>54</v>
      </c>
      <c r="AB420" s="646"/>
      <c r="AC420" s="647" t="str">
        <f>IFERROR(IF(VLOOKUP(C420,[1]List1!$A:$D,2,FALSE)="VYPRODÁNO",$V$9,IF(VLOOKUP(C420,[1]List1!$A:$D,2,FALSE)="DOCHÁZÍ",$V$3,VLOOKUP(C420,[1]List1!$A:$D,2,FALSE))),"OFFLINE!")</f>
        <v>SKLADEM</v>
      </c>
      <c r="AD420" s="647" t="str">
        <f ca="1">IF(AP420="NE",$V$10,IF(AC420=$V$3,IF(AQ420&lt;1,$V$8,$V$2&amp;" "&amp;AQ420&amp;" "&amp;$V$1),IF(AC420="SKLADEM",$V$6,IFERROR(IF(OR(AC420-TODAY()&gt;45,VLOOKUP(C420,[1]List1!$A:$E,4,FALSE)=0),AC420,DAY(AC420)&amp;"."&amp;MONTH(AC420)&amp;"."&amp;YEAR(AC420)&amp;" "&amp;$V$4&amp;VLOOKUP(C420,[1]List1!$A:$E,4,FALSE)&amp;" "&amp;$V$1),AC420))))</f>
        <v>SKLADEM</v>
      </c>
      <c r="AE420" s="645" t="str">
        <f t="shared" ref="AE420:AE422" ca="1" si="1148">IFERROR(IF(AV420&lt;&gt;"",AV420,AD420),AD420)</f>
        <v>SKLADEM</v>
      </c>
      <c r="AF420" s="648">
        <f t="shared" ref="AF420:AF422" si="1149">IFERROR(IF(AB420=Y420,G420*I420*Y420,0),0)</f>
        <v>0</v>
      </c>
      <c r="AG420" s="649">
        <f t="shared" ref="AG420:AG422" si="1150">IF($W$17=$AF$8,AH420*1.23,AF420*1.21)</f>
        <v>0</v>
      </c>
      <c r="AH420" s="650">
        <f t="shared" ref="AH420:AH422" si="1151">IFERROR(IF(Y420=AB420,H420*I420*Y420,0),0)</f>
        <v>0</v>
      </c>
      <c r="AI420" s="645">
        <f t="shared" ref="AI420:AI422" si="1152">IFERROR(IF(Y420=AB420,(P420*Y420)/1000,1),0)</f>
        <v>0</v>
      </c>
      <c r="AJ420" s="645">
        <f t="shared" ref="AJ420:AJ422" si="1153">IFERROR(IF(Y420=AB420,N420*Y420,0.1),0)</f>
        <v>0</v>
      </c>
      <c r="AK420" s="645" t="str">
        <f t="shared" ref="AK420:AK422" si="1154">IFERROR(IF(Y420=AB420,IF(M420="1.1G",(O420/1000)*Y420,""),""),0)</f>
        <v/>
      </c>
      <c r="AL420" s="645" t="str">
        <f t="shared" ref="AL420:AL422" si="1155">IFERROR(IF(Y420=AB420,IF(M420="1.3G",(O420/1000)*AB420,""),""),0)</f>
        <v/>
      </c>
      <c r="AM420" s="645">
        <f t="shared" ref="AM420:AM422" si="1156">IFERROR(IF(Y420=AB420,IF(M420="1.4G",(O420/1000)*AB420,""),""),0)</f>
        <v>0</v>
      </c>
      <c r="AN420" s="651">
        <f t="shared" ref="AN420:AN422" si="1157">SUM(AK420:AM420)</f>
        <v>0</v>
      </c>
      <c r="AO420" s="623"/>
      <c r="AP420" s="625" t="str">
        <f t="shared" si="1094"/>
        <v/>
      </c>
      <c r="AQ420" s="625" t="str">
        <f>IF(AC420=$V$3,IF(VLOOKUP(C420,[1]List1!$A:$E,5,FALSE)=0,1,VLOOKUP(C420,[1]List1!$A:$E,5,FALSE)),"")</f>
        <v/>
      </c>
      <c r="AR420" s="629" t="str">
        <f t="shared" si="1095"/>
        <v/>
      </c>
      <c r="AS420" s="630" t="str">
        <f t="shared" si="1096"/>
        <v/>
      </c>
      <c r="AT420" s="625" t="str">
        <f t="shared" si="1097"/>
        <v/>
      </c>
      <c r="AU420" s="625" t="e">
        <f t="shared" si="1098"/>
        <v>#N/A</v>
      </c>
      <c r="AV420" s="625" t="e">
        <f t="shared" si="1099"/>
        <v>#N/A</v>
      </c>
      <c r="AW420" s="631"/>
      <c r="AX420" s="631">
        <f>IF(AND('General price list'!$J420="F4",'General price list'!$AB420+0&gt;0),1,0)</f>
        <v>0</v>
      </c>
      <c r="AY420" s="631">
        <f t="shared" si="1100"/>
        <v>1</v>
      </c>
      <c r="AZ420" s="631">
        <f t="shared" si="1101"/>
        <v>0</v>
      </c>
    </row>
    <row r="421" spans="1:52" ht="15" customHeight="1">
      <c r="A421" s="621" t="str">
        <f>Kat.!C421</f>
        <v/>
      </c>
      <c r="B421" s="566">
        <f>IF(AND('General price list'!$J421="F4",$AI$1=FALSE),0,IF(AC421="SKLADEM",1,IF(AC421=$V$3,1,0)))</f>
        <v>1</v>
      </c>
      <c r="C421" s="567" t="s">
        <v>988</v>
      </c>
      <c r="D421" s="568" t="s">
        <v>984</v>
      </c>
      <c r="E421" s="763" t="s">
        <v>12675</v>
      </c>
      <c r="F421" s="791">
        <f>IFERROR(VLOOKUP(C421,[2]List1!$A:$D,3,FALSE),"NEUVEDENO!")</f>
        <v>189</v>
      </c>
      <c r="G421" s="769">
        <f t="shared" si="1144"/>
        <v>189</v>
      </c>
      <c r="H421" s="766">
        <f t="shared" si="1145"/>
        <v>8.02844362885652</v>
      </c>
      <c r="I421" s="764">
        <f>IFERROR(VLOOKUP(C421,[2]List1!$A:$D,4,FALSE),"NEUVEDENO!")</f>
        <v>12</v>
      </c>
      <c r="J421" s="732" t="s">
        <v>39</v>
      </c>
      <c r="K421" s="569" t="s">
        <v>11100</v>
      </c>
      <c r="L421" s="569" t="s">
        <v>10991</v>
      </c>
      <c r="M421" s="569" t="s">
        <v>21</v>
      </c>
      <c r="N421" s="569">
        <f>IFERROR(VLOOKUP(C421,[3]List1!$A:$D,4,FALSE),"N/A!")</f>
        <v>2.6870999999999999E-2</v>
      </c>
      <c r="O421" s="569">
        <f>IFERROR(VLOOKUP(C421,[3]List1!$A:$D,3,FALSE),"N/A!")</f>
        <v>2400</v>
      </c>
      <c r="P421" s="569">
        <f>IFERROR(VLOOKUP(C421,[3]List1!$A:$D,2,FALSE),"N/A!")</f>
        <v>13800</v>
      </c>
      <c r="Q421" s="569" t="s">
        <v>11771</v>
      </c>
      <c r="R421" s="569"/>
      <c r="S421" s="569" t="str">
        <f>IF($W$17=$AF$1,"design",IFERROR(VLOOKUP("design",Jazyky_ceník!$A:$Q,MATCH($W$17,Jazyky_ceník!$A$1:$Q$1,0),FALSE),"!!!"))</f>
        <v>design</v>
      </c>
      <c r="T421" s="569">
        <v>30</v>
      </c>
      <c r="U421" s="569">
        <v>25</v>
      </c>
      <c r="V421" s="569">
        <v>13</v>
      </c>
      <c r="W421" s="569" t="str">
        <f>IFERROR(IF(AND($AB421&gt;=0.1*$AA421,MOD($AB421,$AA421)&gt;=($AA421-(0.1*$AA421))),IF($W$17=$AF$1,"Zvažte možnost doobjednání ještě "&amp;Tabulka1[[#This Row],[VKPAL]]-MOD(AB421,AA421)&amp;" VK do plné palety.",VLOOKUP("Zvažte možnost doobjednání ještě ",Jazyky_ceník!A:Q,MATCH($W$17,Jazyky_ceník!$A$1:$Q$1,0),FALSE)&amp;Tabulka1[[#This Row],[VKPAL]]-MOD(AB421,AA421)&amp;VLOOKUP(" VK do plné palety.",Jazyky_ceník!A:Q,MATCH($W$17,Jazyky_ceník!$A$1:$Q$1,0),FALSE)),IFERROR(IF(AND(NOT(MOD($AB421,$AA421)=0),$AB421&gt;=0.9*$AA421,MOD($AB421,$AA421)&lt;=0.1*$AA421),IF($W$17=$AF$1,"Zvažte možnost optimalizace objednaného množství podle počtu VK na paletě ==&gt;",VLOOKUP("Zvažte možnost optimalizace objednaného množství podle počtu VK na paletě ==&gt;",Jazyky_ceník!A:Q,MATCH($W$17,Jazyky_ceník!$A$1:$Q$1,0),FALSE)),VLOOKUP('General price list'!$C421,Popisy!A:M,MATCH($W$17,Popisy!$A$7:$M$7,0),FALSE)),"---------------")),IFERROR(VLOOKUP('General price list'!$C421,Popisy!A:M,MATCH($W$17,Popisy!$A$7:$M$7,0),FALSE),"---------------"))</f>
        <v>5 různobarevných efektů</v>
      </c>
      <c r="X421" s="569" t="str">
        <f t="shared" si="1146"/>
        <v/>
      </c>
      <c r="Y421" s="569" t="str">
        <f t="shared" si="1147"/>
        <v/>
      </c>
      <c r="Z421" s="569" t="str">
        <f>HYPERLINK("https://www.klasekpyrotechnics.cz/c2520t14")</f>
        <v>https://www.klasekpyrotechnics.cz/c2520t14</v>
      </c>
      <c r="AA421" s="569">
        <f>IFERROR(IF(VLOOKUP(C421,[4]List1!$A:$D,4,FALSE)=0,"",VLOOKUP(C421,[4]List1!$A:$D,4,FALSE)),"")</f>
        <v>54</v>
      </c>
      <c r="AB421" s="565"/>
      <c r="AC421" s="570" t="str">
        <f>IFERROR(IF(VLOOKUP(C421,[1]List1!$A:$D,2,FALSE)="VYPRODÁNO",$V$9,IF(VLOOKUP(C421,[1]List1!$A:$D,2,FALSE)="DOCHÁZÍ",$V$3,VLOOKUP(C421,[1]List1!$A:$D,2,FALSE))),"OFFLINE!")</f>
        <v>SKLADEM</v>
      </c>
      <c r="AD421" s="570" t="str">
        <f ca="1">IF(AP421="NE",$V$10,IF(AC421=$V$3,IF(AQ421&lt;1,$V$8,$V$2&amp;" "&amp;AQ421&amp;" "&amp;$V$1),IF(AC421="SKLADEM",$V$6,IFERROR(IF(OR(AC421-TODAY()&gt;45,VLOOKUP(C421,[1]List1!$A:$E,4,FALSE)=0),AC421,DAY(AC421)&amp;"."&amp;MONTH(AC421)&amp;"."&amp;YEAR(AC421)&amp;" "&amp;$V$4&amp;VLOOKUP(C421,[1]List1!$A:$E,4,FALSE)&amp;" "&amp;$V$1),AC421))))</f>
        <v>SKLADEM</v>
      </c>
      <c r="AE421" s="581" t="str">
        <f t="shared" ca="1" si="1148"/>
        <v>SKLADEM</v>
      </c>
      <c r="AF421" s="584">
        <f t="shared" si="1149"/>
        <v>0</v>
      </c>
      <c r="AG421" s="585">
        <f t="shared" si="1150"/>
        <v>0</v>
      </c>
      <c r="AH421" s="583">
        <f t="shared" si="1151"/>
        <v>0</v>
      </c>
      <c r="AI421" s="582">
        <f t="shared" si="1152"/>
        <v>0</v>
      </c>
      <c r="AJ421" s="569">
        <f t="shared" si="1153"/>
        <v>0</v>
      </c>
      <c r="AK421" s="569" t="str">
        <f t="shared" si="1154"/>
        <v/>
      </c>
      <c r="AL421" s="569" t="str">
        <f t="shared" si="1155"/>
        <v/>
      </c>
      <c r="AM421" s="569">
        <f t="shared" si="1156"/>
        <v>0</v>
      </c>
      <c r="AN421" s="581">
        <f t="shared" si="1157"/>
        <v>0</v>
      </c>
      <c r="AO421" s="623"/>
      <c r="AP421" s="632" t="str">
        <f t="shared" si="1094"/>
        <v/>
      </c>
      <c r="AQ421" s="633" t="str">
        <f>IF(AC421=$V$3,IF(VLOOKUP(C421,[1]List1!$A:$E,5,FALSE)=0,1,VLOOKUP(C421,[1]List1!$A:$E,5,FALSE)),"")</f>
        <v/>
      </c>
      <c r="AR421" s="625" t="str">
        <f t="shared" si="1095"/>
        <v/>
      </c>
      <c r="AS421" s="634" t="str">
        <f t="shared" si="1096"/>
        <v/>
      </c>
      <c r="AT421" s="625" t="str">
        <f t="shared" si="1097"/>
        <v/>
      </c>
      <c r="AU421" s="638" t="e">
        <f t="shared" si="1098"/>
        <v>#N/A</v>
      </c>
      <c r="AV421" s="625" t="e">
        <f t="shared" si="1099"/>
        <v>#N/A</v>
      </c>
      <c r="AX421" s="625">
        <f>IF(AND('General price list'!$J421="F4",'General price list'!$AB421+0&gt;0),1,0)</f>
        <v>0</v>
      </c>
      <c r="AY421" s="625">
        <f t="shared" si="1100"/>
        <v>1</v>
      </c>
      <c r="AZ421" s="625">
        <f t="shared" si="1101"/>
        <v>0</v>
      </c>
    </row>
    <row r="422" spans="1:52" ht="15.75" customHeight="1">
      <c r="A422" s="639" t="str">
        <f>Kat.!C422</f>
        <v>×</v>
      </c>
      <c r="B422" s="640">
        <f>IF(AND('General price list'!$J422="F4",$AI$1=FALSE),0,IF(AC422="SKLADEM",1,IF(AC422=$V$3,1,0)))</f>
        <v>1</v>
      </c>
      <c r="C422" s="641" t="s">
        <v>989</v>
      </c>
      <c r="D422" s="642" t="s">
        <v>986</v>
      </c>
      <c r="E422" s="643" t="s">
        <v>12675</v>
      </c>
      <c r="F422" s="791">
        <f>IFERROR(VLOOKUP(C422,[2]List1!$A:$D,3,FALSE),"NEUVEDENO!")</f>
        <v>189</v>
      </c>
      <c r="G422" s="770">
        <f t="shared" si="1144"/>
        <v>189</v>
      </c>
      <c r="H422" s="767">
        <f t="shared" si="1145"/>
        <v>8.02844362885652</v>
      </c>
      <c r="I422" s="644">
        <f>IFERROR(VLOOKUP(C422,[2]List1!$A:$D,4,FALSE),"NEUVEDENO!")</f>
        <v>12</v>
      </c>
      <c r="J422" s="733" t="s">
        <v>39</v>
      </c>
      <c r="K422" s="645" t="s">
        <v>11100</v>
      </c>
      <c r="L422" s="645" t="s">
        <v>10991</v>
      </c>
      <c r="M422" s="645" t="s">
        <v>21</v>
      </c>
      <c r="N422" s="645">
        <f>IFERROR(VLOOKUP(C422,[3]List1!$A:$D,4,FALSE),"N/A!")</f>
        <v>2.6870999999999999E-2</v>
      </c>
      <c r="O422" s="645">
        <f>IFERROR(VLOOKUP(C422,[3]List1!$A:$D,3,FALSE),"N/A!")</f>
        <v>2400</v>
      </c>
      <c r="P422" s="645">
        <f>IFERROR(VLOOKUP(C422,[3]List1!$A:$D,2,FALSE),"N/A!")</f>
        <v>11600</v>
      </c>
      <c r="Q422" s="645" t="s">
        <v>11252</v>
      </c>
      <c r="R422" s="645" t="s">
        <v>20</v>
      </c>
      <c r="S422" s="645" t="str">
        <f>IF($W$17=$AF$1,"červená fólie",IFERROR(VLOOKUP("červená fólie",Jazyky_ceník!$A:$Q,MATCH($W$17,Jazyky_ceník!$A$1:$Q$1,0),FALSE),"!!!"))</f>
        <v>červená fólie</v>
      </c>
      <c r="T422" s="645">
        <v>30</v>
      </c>
      <c r="U422" s="645">
        <v>25</v>
      </c>
      <c r="V422" s="645">
        <v>13</v>
      </c>
      <c r="W422" s="645" t="str">
        <f>IFERROR(IF(AND($AB422&gt;=0.1*$AA422,MOD($AB422,$AA422)&gt;=($AA422-(0.1*$AA422))),IF($W$17=$AF$1,"Zvažte možnost doobjednání ještě "&amp;Tabulka1[[#This Row],[VKPAL]]-MOD(AB422,AA422)&amp;" VK do plné palety.",VLOOKUP("Zvažte možnost doobjednání ještě ",Jazyky_ceník!A:Q,MATCH($W$17,Jazyky_ceník!$A$1:$Q$1,0),FALSE)&amp;Tabulka1[[#This Row],[VKPAL]]-MOD(AB422,AA422)&amp;VLOOKUP(" VK do plné palety.",Jazyky_ceník!A:Q,MATCH($W$17,Jazyky_ceník!$A$1:$Q$1,0),FALSE)),IFERROR(IF(AND(NOT(MOD($AB422,$AA422)=0),$AB422&gt;=0.9*$AA422,MOD($AB422,$AA422)&lt;=0.1*$AA422),IF($W$17=$AF$1,"Zvažte možnost optimalizace objednaného množství podle počtu VK na paletě ==&gt;",VLOOKUP("Zvažte možnost optimalizace objednaného množství podle počtu VK na paletě ==&gt;",Jazyky_ceník!A:Q,MATCH($W$17,Jazyky_ceník!$A$1:$Q$1,0),FALSE)),VLOOKUP('General price list'!$C422,Popisy!A:M,MATCH($W$17,Popisy!$A$7:$M$7,0),FALSE)),"---------------")),IFERROR(VLOOKUP('General price list'!$C422,Popisy!A:M,MATCH($W$17,Popisy!$A$7:$M$7,0),FALSE),"---------------"))</f>
        <v>5 různobarevných efektů</v>
      </c>
      <c r="X422" s="645" t="str">
        <f t="shared" si="1146"/>
        <v/>
      </c>
      <c r="Y422" s="645" t="str">
        <f t="shared" si="1147"/>
        <v/>
      </c>
      <c r="Z422" s="645" t="str">
        <f>HYPERLINK("https://www.klasekpyrotechnics.cz/c2520se14")</f>
        <v>https://www.klasekpyrotechnics.cz/c2520se14</v>
      </c>
      <c r="AA422" s="645">
        <f>IFERROR(IF(VLOOKUP(C422,[4]List1!$A:$D,4,FALSE)=0,"",VLOOKUP(C422,[4]List1!$A:$D,4,FALSE)),"")</f>
        <v>54</v>
      </c>
      <c r="AB422" s="646"/>
      <c r="AC422" s="647" t="str">
        <f>IFERROR(IF(VLOOKUP(C422,[1]List1!$A:$D,2,FALSE)="VYPRODÁNO",$V$9,IF(VLOOKUP(C422,[1]List1!$A:$D,2,FALSE)="DOCHÁZÍ",$V$3,VLOOKUP(C422,[1]List1!$A:$D,2,FALSE))),"OFFLINE!")</f>
        <v>SKLADEM</v>
      </c>
      <c r="AD422" s="647" t="str">
        <f ca="1">IF(AP422="NE",$V$10,IF(AC422=$V$3,IF(AQ422&lt;1,$V$8,$V$2&amp;" "&amp;AQ422&amp;" "&amp;$V$1),IF(AC422="SKLADEM",$V$6,IFERROR(IF(OR(AC422-TODAY()&gt;45,VLOOKUP(C422,[1]List1!$A:$E,4,FALSE)=0),AC422,DAY(AC422)&amp;"."&amp;MONTH(AC422)&amp;"."&amp;YEAR(AC422)&amp;" "&amp;$V$4&amp;VLOOKUP(C422,[1]List1!$A:$E,4,FALSE)&amp;" "&amp;$V$1),AC422))))</f>
        <v>SKLADEM</v>
      </c>
      <c r="AE422" s="645" t="str">
        <f t="shared" ca="1" si="1148"/>
        <v>SKLADEM</v>
      </c>
      <c r="AF422" s="648">
        <f t="shared" si="1149"/>
        <v>0</v>
      </c>
      <c r="AG422" s="649">
        <f t="shared" si="1150"/>
        <v>0</v>
      </c>
      <c r="AH422" s="650">
        <f t="shared" si="1151"/>
        <v>0</v>
      </c>
      <c r="AI422" s="645">
        <f t="shared" si="1152"/>
        <v>0</v>
      </c>
      <c r="AJ422" s="645">
        <f t="shared" si="1153"/>
        <v>0</v>
      </c>
      <c r="AK422" s="645" t="str">
        <f t="shared" si="1154"/>
        <v/>
      </c>
      <c r="AL422" s="645" t="str">
        <f t="shared" si="1155"/>
        <v/>
      </c>
      <c r="AM422" s="645">
        <f t="shared" si="1156"/>
        <v>0</v>
      </c>
      <c r="AN422" s="651">
        <f t="shared" si="1157"/>
        <v>0</v>
      </c>
      <c r="AO422" s="623"/>
      <c r="AP422" s="625" t="str">
        <f t="shared" si="1094"/>
        <v/>
      </c>
      <c r="AQ422" s="625" t="str">
        <f>IF(AC422=$V$3,IF(VLOOKUP(C422,[1]List1!$A:$E,5,FALSE)=0,1,VLOOKUP(C422,[1]List1!$A:$E,5,FALSE)),"")</f>
        <v/>
      </c>
      <c r="AR422" s="629" t="str">
        <f t="shared" si="1095"/>
        <v/>
      </c>
      <c r="AS422" s="630" t="str">
        <f t="shared" si="1096"/>
        <v/>
      </c>
      <c r="AT422" s="625" t="str">
        <f t="shared" si="1097"/>
        <v/>
      </c>
      <c r="AU422" s="625" t="e">
        <f t="shared" si="1098"/>
        <v>#N/A</v>
      </c>
      <c r="AV422" s="625" t="e">
        <f t="shared" si="1099"/>
        <v>#N/A</v>
      </c>
      <c r="AW422" s="631"/>
      <c r="AX422" s="631">
        <f>IF(AND('General price list'!$J422="F4",'General price list'!$AB422+0&gt;0),1,0)</f>
        <v>0</v>
      </c>
      <c r="AY422" s="631">
        <f t="shared" si="1100"/>
        <v>1</v>
      </c>
      <c r="AZ422" s="631">
        <f t="shared" si="1101"/>
        <v>0</v>
      </c>
    </row>
    <row r="423" spans="1:52" ht="15" customHeight="1">
      <c r="A423" s="751" t="str">
        <f>Kat.!C423</f>
        <v xml:space="preserve">           Baterie 36 ran, 20 mm moždíř – 1.3G</v>
      </c>
      <c r="B423" s="751"/>
      <c r="C423" s="751"/>
      <c r="D423" s="751"/>
      <c r="E423" s="751"/>
      <c r="F423" s="751"/>
      <c r="G423" s="751"/>
      <c r="H423" s="751"/>
      <c r="I423" s="752"/>
      <c r="J423" s="752"/>
      <c r="K423" s="752" t="s">
        <v>20</v>
      </c>
      <c r="L423" s="753" t="s">
        <v>20</v>
      </c>
      <c r="M423" s="752"/>
      <c r="N423" s="752"/>
      <c r="O423" s="752"/>
      <c r="P423" s="752"/>
      <c r="Q423" s="752"/>
      <c r="R423" s="752"/>
      <c r="S423" s="752"/>
      <c r="T423" s="752"/>
      <c r="U423" s="752"/>
      <c r="V423" s="752"/>
      <c r="W423" s="752"/>
      <c r="X423" s="752"/>
      <c r="Y423" s="752"/>
      <c r="Z423" s="752" t="s">
        <v>20</v>
      </c>
      <c r="AA423" s="752"/>
      <c r="AB423" s="752"/>
      <c r="AC423" s="754"/>
      <c r="AD423" s="752"/>
      <c r="AE423" s="752"/>
      <c r="AF423" s="752"/>
      <c r="AG423" s="752"/>
      <c r="AH423" s="752"/>
      <c r="AI423" s="752"/>
      <c r="AJ423" s="752"/>
      <c r="AK423" s="752"/>
      <c r="AL423" s="752"/>
      <c r="AM423" s="752"/>
      <c r="AN423" s="752"/>
      <c r="AO423" s="623"/>
      <c r="AP423" s="632" t="str">
        <f t="shared" si="1094"/>
        <v/>
      </c>
      <c r="AQ423" s="633" t="str">
        <f>IF(AC423=$V$3,IF(VLOOKUP(C423,[1]List1!$A:$E,5,FALSE)=0,1,VLOOKUP(C423,[1]List1!$A:$E,5,FALSE)),"")</f>
        <v/>
      </c>
      <c r="AR423" s="625" t="str">
        <f t="shared" si="1095"/>
        <v/>
      </c>
      <c r="AS423" s="634" t="str">
        <f t="shared" si="1096"/>
        <v/>
      </c>
      <c r="AT423" s="625" t="str">
        <f t="shared" si="1097"/>
        <v/>
      </c>
      <c r="AU423" s="638" t="e">
        <f t="shared" si="1098"/>
        <v>#N/A</v>
      </c>
      <c r="AV423" s="625" t="e">
        <f t="shared" si="1099"/>
        <v>#N/A</v>
      </c>
      <c r="AX423" s="625">
        <f>IF(AND('General price list'!$J423="F4",'General price list'!$AB423+0&gt;0),1,0)</f>
        <v>0</v>
      </c>
      <c r="AY423" s="625">
        <f t="shared" si="1100"/>
        <v>0</v>
      </c>
      <c r="AZ423" s="625">
        <f t="shared" si="1101"/>
        <v>0</v>
      </c>
    </row>
    <row r="424" spans="1:52" ht="15.75" customHeight="1">
      <c r="A424" s="639" t="str">
        <f>Kat.!C424</f>
        <v/>
      </c>
      <c r="B424" s="640">
        <f>IF(AND('General price list'!$J424="F4",$AI$1=FALSE),0,IF(AC424="SKLADEM",1,IF(AC424=$V$3,1,0)))</f>
        <v>1</v>
      </c>
      <c r="C424" s="641" t="s">
        <v>11209</v>
      </c>
      <c r="D424" s="642" t="s">
        <v>11210</v>
      </c>
      <c r="E424" s="643" t="s">
        <v>12679</v>
      </c>
      <c r="F424" s="791">
        <f>IFERROR(VLOOKUP(C424,[2]List1!$A:$D,3,FALSE),"NEUVEDENO!")</f>
        <v>274</v>
      </c>
      <c r="G424" s="770">
        <f t="shared" ref="G424" si="1158">IF($W$17=$AF$8,ROUND((F424)/$F$17,2),(F424)*$B$19)</f>
        <v>274</v>
      </c>
      <c r="H424" s="767">
        <f t="shared" ref="H424" si="1159">IF($W$17=$AF$8,G424*$B$19,G424/$F$17)</f>
        <v>11.639119334956014</v>
      </c>
      <c r="I424" s="644">
        <f>IFERROR(VLOOKUP(C424,[2]List1!$A:$D,4,FALSE),"NEUVEDENO!")</f>
        <v>10</v>
      </c>
      <c r="J424" s="733" t="s">
        <v>39</v>
      </c>
      <c r="K424" s="645" t="s">
        <v>11100</v>
      </c>
      <c r="L424" s="645"/>
      <c r="M424" s="645" t="s">
        <v>114</v>
      </c>
      <c r="N424" s="645">
        <f>IFERROR(VLOOKUP(C424,[3]List1!$A:$D,4,FALSE),"N/A!")</f>
        <v>3.3264000000000002E-2</v>
      </c>
      <c r="O424" s="645">
        <f>IFERROR(VLOOKUP(C424,[3]List1!$A:$D,3,FALSE),"N/A!")</f>
        <v>2880</v>
      </c>
      <c r="P424" s="645">
        <f>IFERROR(VLOOKUP(C424,[3]List1!$A:$D,2,FALSE),"N/A!")</f>
        <v>16000</v>
      </c>
      <c r="Q424" s="645" t="s">
        <v>11235</v>
      </c>
      <c r="R424" s="645"/>
      <c r="S424" s="645" t="str">
        <f>IF($W$17=$AF$1,"design",IFERROR(VLOOKUP("design",Jazyky_ceník!$A:$Q,MATCH($W$17,Jazyky_ceník!$A$1:$Q$1,0),FALSE),"!!!"))</f>
        <v>design</v>
      </c>
      <c r="T424" s="645">
        <v>30</v>
      </c>
      <c r="U424" s="645">
        <v>25</v>
      </c>
      <c r="V424" s="645">
        <v>16</v>
      </c>
      <c r="W424" s="645" t="str">
        <f>IFERROR(IF(AND($AB424&gt;=0.1*$AA424,MOD($AB424,$AA424)&gt;=($AA424-(0.1*$AA424))),IF($W$17=$AF$1,"Zvažte možnost doobjednání ještě "&amp;Tabulka1[[#This Row],[VKPAL]]-MOD(AB424,AA424)&amp;" VK do plné palety.",VLOOKUP("Zvažte možnost doobjednání ještě ",Jazyky_ceník!A:Q,MATCH($W$17,Jazyky_ceník!$A$1:$Q$1,0),FALSE)&amp;Tabulka1[[#This Row],[VKPAL]]-MOD(AB424,AA424)&amp;VLOOKUP(" VK do plné palety.",Jazyky_ceník!A:Q,MATCH($W$17,Jazyky_ceník!$A$1:$Q$1,0),FALSE)),IFERROR(IF(AND(NOT(MOD($AB424,$AA424)=0),$AB424&gt;=0.9*$AA424,MOD($AB424,$AA424)&lt;=0.1*$AA424),IF($W$17=$AF$1,"Zvažte možnost optimalizace objednaného množství podle počtu VK na paletě ==&gt;",VLOOKUP("Zvažte možnost optimalizace objednaného množství podle počtu VK na paletě ==&gt;",Jazyky_ceník!A:Q,MATCH($W$17,Jazyky_ceník!$A$1:$Q$1,0),FALSE)),VLOOKUP('General price list'!$C424,Popisy!A:M,MATCH($W$17,Popisy!$A$7:$M$7,0),FALSE)),"---------------")),IFERROR(VLOOKUP('General price list'!$C424,Popisy!A:M,MATCH($W$17,Popisy!$A$7:$M$7,0),FALSE),"---------------"))</f>
        <v>6 různobarevných efektu</v>
      </c>
      <c r="X424" s="645" t="str">
        <f t="shared" ref="X424" si="1160">IF(AB424&lt;0.0001,"",AB424)</f>
        <v/>
      </c>
      <c r="Y424" s="645" t="str">
        <f t="shared" ref="Y424" si="1161">IF($AL$3=2,IF(OR(AB424&lt;&gt;"",AB424&lt;&gt;0),AU424,""),IF(C424="","",IF(AB424&lt;0.0001,"",IF(B424=0,"",IF(AQ424&lt;AB424,"",AB424)))))</f>
        <v/>
      </c>
      <c r="Z424" s="645" t="str">
        <f>HYPERLINK("https://www.klasekpyrotechnics.cz/c3620v")</f>
        <v>https://www.klasekpyrotechnics.cz/c3620v</v>
      </c>
      <c r="AA424" s="645">
        <f>IFERROR(IF(VLOOKUP(C424,[4]List1!$A:$D,4,FALSE)=0,"",VLOOKUP(C424,[4]List1!$A:$D,4,FALSE)),"")</f>
        <v>36</v>
      </c>
      <c r="AB424" s="646"/>
      <c r="AC424" s="647" t="str">
        <f>IFERROR(IF(VLOOKUP(C424,[1]List1!$A:$D,2,FALSE)="VYPRODÁNO",$V$9,IF(VLOOKUP(C424,[1]List1!$A:$D,2,FALSE)="DOCHÁZÍ",$V$3,VLOOKUP(C424,[1]List1!$A:$D,2,FALSE))),"OFFLINE!")</f>
        <v>SKLADEM</v>
      </c>
      <c r="AD424" s="647" t="str">
        <f ca="1">IF(AP424="NE",$V$10,IF(AC424=$V$3,IF(AQ424&lt;1,$V$8,$V$2&amp;" "&amp;AQ424&amp;" "&amp;$V$1),IF(AC424="SKLADEM",$V$6,IFERROR(IF(OR(AC424-TODAY()&gt;45,VLOOKUP(C424,[1]List1!$A:$E,4,FALSE)=0),AC424,DAY(AC424)&amp;"."&amp;MONTH(AC424)&amp;"."&amp;YEAR(AC424)&amp;" "&amp;$V$4&amp;VLOOKUP(C424,[1]List1!$A:$E,4,FALSE)&amp;" "&amp;$V$1),AC424))))</f>
        <v>SKLADEM</v>
      </c>
      <c r="AE424" s="645" t="str">
        <f t="shared" ref="AE424" ca="1" si="1162">IFERROR(IF(AV424&lt;&gt;"",AV424,AD424),AD424)</f>
        <v>SKLADEM</v>
      </c>
      <c r="AF424" s="648">
        <f t="shared" ref="AF424" si="1163">IFERROR(IF(AB424=Y424,G424*I424*Y424,0),0)</f>
        <v>0</v>
      </c>
      <c r="AG424" s="649">
        <f t="shared" ref="AG424" si="1164">IF($W$17=$AF$8,AH424*1.23,AF424*1.21)</f>
        <v>0</v>
      </c>
      <c r="AH424" s="650">
        <f t="shared" ref="AH424" si="1165">IFERROR(IF(Y424=AB424,H424*I424*Y424,0),0)</f>
        <v>0</v>
      </c>
      <c r="AI424" s="645">
        <f t="shared" ref="AI424" si="1166">IFERROR(IF(Y424=AB424,(P424*Y424)/1000,1),0)</f>
        <v>0</v>
      </c>
      <c r="AJ424" s="645">
        <f t="shared" ref="AJ424" si="1167">IFERROR(IF(Y424=AB424,N424*Y424,0.1),0)</f>
        <v>0</v>
      </c>
      <c r="AK424" s="645" t="str">
        <f t="shared" ref="AK424" si="1168">IFERROR(IF(Y424=AB424,IF(M424="1.1G",(O424/1000)*Y424,""),""),0)</f>
        <v/>
      </c>
      <c r="AL424" s="645">
        <f t="shared" ref="AL424" si="1169">IFERROR(IF(Y424=AB424,IF(M424="1.3G",(O424/1000)*AB424,""),""),0)</f>
        <v>0</v>
      </c>
      <c r="AM424" s="645" t="str">
        <f t="shared" ref="AM424" si="1170">IFERROR(IF(Y424=AB424,IF(M424="1.4G",(O424/1000)*AB424,""),""),0)</f>
        <v/>
      </c>
      <c r="AN424" s="651">
        <f t="shared" ref="AN424" si="1171">SUM(AK424:AM424)</f>
        <v>0</v>
      </c>
      <c r="AO424" s="623"/>
      <c r="AP424" s="625" t="str">
        <f t="shared" si="1094"/>
        <v/>
      </c>
      <c r="AQ424" s="625" t="str">
        <f>IF(AC424=$V$3,IF(VLOOKUP(C424,[1]List1!$A:$E,5,FALSE)=0,1,VLOOKUP(C424,[1]List1!$A:$E,5,FALSE)),"")</f>
        <v/>
      </c>
      <c r="AR424" s="629" t="str">
        <f t="shared" si="1095"/>
        <v/>
      </c>
      <c r="AS424" s="630" t="str">
        <f t="shared" si="1096"/>
        <v/>
      </c>
      <c r="AT424" s="625" t="str">
        <f t="shared" si="1097"/>
        <v/>
      </c>
      <c r="AU424" s="625" t="e">
        <f t="shared" si="1098"/>
        <v>#N/A</v>
      </c>
      <c r="AV424" s="625" t="e">
        <f t="shared" si="1099"/>
        <v>#N/A</v>
      </c>
      <c r="AW424" s="631"/>
      <c r="AX424" s="631">
        <f>IF(AND('General price list'!$J424="F4",'General price list'!$AB424+0&gt;0),1,0)</f>
        <v>0</v>
      </c>
      <c r="AY424" s="631">
        <f t="shared" si="1100"/>
        <v>1</v>
      </c>
      <c r="AZ424" s="631">
        <f t="shared" si="1101"/>
        <v>0</v>
      </c>
    </row>
    <row r="425" spans="1:52" ht="15" customHeight="1">
      <c r="A425" s="751" t="str">
        <f>Kat.!C425</f>
        <v xml:space="preserve">           Baterie 36 ran, 20 mm moždíř – 1.4G</v>
      </c>
      <c r="B425" s="751"/>
      <c r="C425" s="751"/>
      <c r="D425" s="751"/>
      <c r="E425" s="751"/>
      <c r="F425" s="751"/>
      <c r="G425" s="751"/>
      <c r="H425" s="751"/>
      <c r="I425" s="752"/>
      <c r="J425" s="752"/>
      <c r="K425" s="752" t="s">
        <v>20</v>
      </c>
      <c r="L425" s="753" t="s">
        <v>20</v>
      </c>
      <c r="M425" s="752"/>
      <c r="N425" s="752"/>
      <c r="O425" s="752"/>
      <c r="P425" s="752"/>
      <c r="Q425" s="752"/>
      <c r="R425" s="752"/>
      <c r="S425" s="752"/>
      <c r="T425" s="752"/>
      <c r="U425" s="752"/>
      <c r="V425" s="752"/>
      <c r="W425" s="752"/>
      <c r="X425" s="752"/>
      <c r="Y425" s="752"/>
      <c r="Z425" s="752" t="s">
        <v>20</v>
      </c>
      <c r="AA425" s="752"/>
      <c r="AB425" s="752"/>
      <c r="AC425" s="754"/>
      <c r="AD425" s="752"/>
      <c r="AE425" s="752"/>
      <c r="AF425" s="752"/>
      <c r="AG425" s="752"/>
      <c r="AH425" s="752"/>
      <c r="AI425" s="752"/>
      <c r="AJ425" s="752"/>
      <c r="AK425" s="752"/>
      <c r="AL425" s="752"/>
      <c r="AM425" s="752"/>
      <c r="AN425" s="752"/>
      <c r="AO425" s="623"/>
      <c r="AP425" s="632" t="str">
        <f t="shared" si="1094"/>
        <v/>
      </c>
      <c r="AQ425" s="633" t="str">
        <f>IF(AC425=$V$3,IF(VLOOKUP(C425,[1]List1!$A:$E,5,FALSE)=0,1,VLOOKUP(C425,[1]List1!$A:$E,5,FALSE)),"")</f>
        <v/>
      </c>
      <c r="AR425" s="625" t="str">
        <f t="shared" si="1095"/>
        <v/>
      </c>
      <c r="AS425" s="634" t="str">
        <f t="shared" si="1096"/>
        <v/>
      </c>
      <c r="AT425" s="625" t="str">
        <f t="shared" si="1097"/>
        <v/>
      </c>
      <c r="AU425" s="638" t="e">
        <f t="shared" si="1098"/>
        <v>#N/A</v>
      </c>
      <c r="AV425" s="625" t="e">
        <f t="shared" si="1099"/>
        <v>#N/A</v>
      </c>
      <c r="AX425" s="625">
        <f>IF(AND('General price list'!$J425="F4",'General price list'!$AB425+0&gt;0),1,0)</f>
        <v>0</v>
      </c>
      <c r="AY425" s="625">
        <f t="shared" si="1100"/>
        <v>0</v>
      </c>
      <c r="AZ425" s="625">
        <f t="shared" si="1101"/>
        <v>0</v>
      </c>
    </row>
    <row r="426" spans="1:52" ht="15" customHeight="1">
      <c r="A426" s="639" t="str">
        <f>Kat.!C426</f>
        <v/>
      </c>
      <c r="B426" s="640">
        <f>IF(AND('General price list'!$J426="F4",$AI$1=FALSE),0,IF(AC426="SKLADEM",1,IF(AC426=$V$3,1,0)))</f>
        <v>1</v>
      </c>
      <c r="C426" s="641" t="s">
        <v>11211</v>
      </c>
      <c r="D426" s="642" t="s">
        <v>11212</v>
      </c>
      <c r="E426" s="643" t="s">
        <v>12679</v>
      </c>
      <c r="F426" s="791">
        <f>IFERROR(VLOOKUP(C426,[2]List1!$A:$D,3,FALSE),"NEUVEDENO!")</f>
        <v>274</v>
      </c>
      <c r="G426" s="768">
        <f t="shared" ref="G426:G427" si="1172">IF($W$17=$AF$8,ROUND((F426)/$F$17,2),(F426)*$B$19)</f>
        <v>274</v>
      </c>
      <c r="H426" s="765">
        <f t="shared" ref="H426:H427" si="1173">IF($W$17=$AF$8,G426*$B$19,G426/$F$17)</f>
        <v>11.639119334956014</v>
      </c>
      <c r="I426" s="644">
        <f>IFERROR(VLOOKUP(C426,[2]List1!$A:$D,4,FALSE),"NEUVEDENO!")</f>
        <v>10</v>
      </c>
      <c r="J426" s="733" t="s">
        <v>39</v>
      </c>
      <c r="K426" s="645" t="s">
        <v>11100</v>
      </c>
      <c r="L426" s="645"/>
      <c r="M426" s="645" t="s">
        <v>21</v>
      </c>
      <c r="N426" s="645">
        <f>IFERROR(VLOOKUP(C426,[3]List1!$A:$D,4,FALSE),"N/A!")</f>
        <v>3.3264000000000002E-2</v>
      </c>
      <c r="O426" s="645">
        <f>IFERROR(VLOOKUP(C426,[3]List1!$A:$D,3,FALSE),"N/A!")</f>
        <v>2880</v>
      </c>
      <c r="P426" s="645">
        <f>IFERROR(VLOOKUP(C426,[3]List1!$A:$D,2,FALSE),"N/A!")</f>
        <v>16000</v>
      </c>
      <c r="Q426" s="645" t="s">
        <v>11235</v>
      </c>
      <c r="R426" s="645"/>
      <c r="S426" s="645" t="str">
        <f>IF($W$17=$AF$1,"design",IFERROR(VLOOKUP("design",Jazyky_ceník!$A:$Q,MATCH($W$17,Jazyky_ceník!$A$1:$Q$1,0),FALSE),"!!!"))</f>
        <v>design</v>
      </c>
      <c r="T426" s="645">
        <v>30</v>
      </c>
      <c r="U426" s="645">
        <v>25</v>
      </c>
      <c r="V426" s="645">
        <v>13</v>
      </c>
      <c r="W426" s="645" t="str">
        <f>IFERROR(IF(AND($AB426&gt;=0.1*$AA426,MOD($AB426,$AA426)&gt;=($AA426-(0.1*$AA426))),IF($W$17=$AF$1,"Zvažte možnost doobjednání ještě "&amp;Tabulka1[[#This Row],[VKPAL]]-MOD(AB426,AA426)&amp;" VK do plné palety.",VLOOKUP("Zvažte možnost doobjednání ještě ",Jazyky_ceník!A:Q,MATCH($W$17,Jazyky_ceník!$A$1:$Q$1,0),FALSE)&amp;Tabulka1[[#This Row],[VKPAL]]-MOD(AB426,AA426)&amp;VLOOKUP(" VK do plné palety.",Jazyky_ceník!A:Q,MATCH($W$17,Jazyky_ceník!$A$1:$Q$1,0),FALSE)),IFERROR(IF(AND(NOT(MOD($AB426,$AA426)=0),$AB426&gt;=0.9*$AA426,MOD($AB426,$AA426)&lt;=0.1*$AA426),IF($W$17=$AF$1,"Zvažte možnost optimalizace objednaného množství podle počtu VK na paletě ==&gt;",VLOOKUP("Zvažte možnost optimalizace objednaného množství podle počtu VK na paletě ==&gt;",Jazyky_ceník!A:Q,MATCH($W$17,Jazyky_ceník!$A$1:$Q$1,0),FALSE)),VLOOKUP('General price list'!$C426,Popisy!A:M,MATCH($W$17,Popisy!$A$7:$M$7,0),FALSE)),"---------------")),IFERROR(VLOOKUP('General price list'!$C426,Popisy!A:M,MATCH($W$17,Popisy!$A$7:$M$7,0),FALSE),"---------------"))</f>
        <v>6 různobarevných efektu</v>
      </c>
      <c r="X426" s="645" t="str">
        <f t="shared" ref="X426:X427" si="1174">IF(AB426&lt;0.0001,"",AB426)</f>
        <v/>
      </c>
      <c r="Y426" s="645" t="str">
        <f t="shared" ref="Y426:Y427" si="1175">IF($AL$3=2,IF(OR(AB426&lt;&gt;"",AB426&lt;&gt;0),AU426,""),IF(C426="","",IF(AB426&lt;0.0001,"",IF(B426=0,"",IF(AQ426&lt;AB426,"",AB426)))))</f>
        <v/>
      </c>
      <c r="Z426" s="645" t="str">
        <f>HYPERLINK("https://www.klasekpyrotechnics.cz/c3620n14")</f>
        <v>https://www.klasekpyrotechnics.cz/c3620n14</v>
      </c>
      <c r="AA426" s="645">
        <f>IFERROR(IF(VLOOKUP(C426,[4]List1!$A:$D,4,FALSE)=0,"",VLOOKUP(C426,[4]List1!$A:$D,4,FALSE)),"")</f>
        <v>36</v>
      </c>
      <c r="AB426" s="646"/>
      <c r="AC426" s="647" t="str">
        <f>IFERROR(IF(VLOOKUP(C426,[1]List1!$A:$D,2,FALSE)="VYPRODÁNO",$V$9,IF(VLOOKUP(C426,[1]List1!$A:$D,2,FALSE)="DOCHÁZÍ",$V$3,VLOOKUP(C426,[1]List1!$A:$D,2,FALSE))),"OFFLINE!")</f>
        <v>SKLADEM</v>
      </c>
      <c r="AD426" s="647" t="str">
        <f ca="1">IF(AP426="NE",$V$10,IF(AC426=$V$3,IF(AQ426&lt;1,$V$8,$V$2&amp;" "&amp;AQ426&amp;" "&amp;$V$1),IF(AC426="SKLADEM",$V$6,IFERROR(IF(OR(AC426-TODAY()&gt;45,VLOOKUP(C426,[1]List1!$A:$E,4,FALSE)=0),AC426,DAY(AC426)&amp;"."&amp;MONTH(AC426)&amp;"."&amp;YEAR(AC426)&amp;" "&amp;$V$4&amp;VLOOKUP(C426,[1]List1!$A:$E,4,FALSE)&amp;" "&amp;$V$1),AC426))))</f>
        <v>SKLADEM</v>
      </c>
      <c r="AE426" s="645" t="str">
        <f t="shared" ref="AE426:AE427" ca="1" si="1176">IFERROR(IF(AV426&lt;&gt;"",AV426,AD426),AD426)</f>
        <v>SKLADEM</v>
      </c>
      <c r="AF426" s="648">
        <f t="shared" ref="AF426:AF427" si="1177">IFERROR(IF(AB426=Y426,G426*I426*Y426,0),0)</f>
        <v>0</v>
      </c>
      <c r="AG426" s="649">
        <f t="shared" ref="AG426:AG427" si="1178">IF($W$17=$AF$8,AH426*1.23,AF426*1.21)</f>
        <v>0</v>
      </c>
      <c r="AH426" s="650">
        <f t="shared" ref="AH426:AH427" si="1179">IFERROR(IF(Y426=AB426,H426*I426*Y426,0),0)</f>
        <v>0</v>
      </c>
      <c r="AI426" s="645">
        <f t="shared" ref="AI426:AI427" si="1180">IFERROR(IF(Y426=AB426,(P426*Y426)/1000,1),0)</f>
        <v>0</v>
      </c>
      <c r="AJ426" s="645">
        <f t="shared" ref="AJ426:AJ427" si="1181">IFERROR(IF(Y426=AB426,N426*Y426,0.1),0)</f>
        <v>0</v>
      </c>
      <c r="AK426" s="645" t="str">
        <f t="shared" ref="AK426:AK427" si="1182">IFERROR(IF(Y426=AB426,IF(M426="1.1G",(O426/1000)*Y426,""),""),0)</f>
        <v/>
      </c>
      <c r="AL426" s="645" t="str">
        <f t="shared" ref="AL426:AL427" si="1183">IFERROR(IF(Y426=AB426,IF(M426="1.3G",(O426/1000)*AB426,""),""),0)</f>
        <v/>
      </c>
      <c r="AM426" s="645">
        <f t="shared" ref="AM426:AM427" si="1184">IFERROR(IF(Y426=AB426,IF(M426="1.4G",(O426/1000)*AB426,""),""),0)</f>
        <v>0</v>
      </c>
      <c r="AN426" s="651">
        <f t="shared" ref="AN426:AN427" si="1185">SUM(AK426:AM426)</f>
        <v>0</v>
      </c>
      <c r="AO426" s="623"/>
      <c r="AP426" s="632" t="str">
        <f t="shared" si="1094"/>
        <v/>
      </c>
      <c r="AQ426" s="633" t="str">
        <f>IF(AC426=$V$3,IF(VLOOKUP(C426,[1]List1!$A:$E,5,FALSE)=0,1,VLOOKUP(C426,[1]List1!$A:$E,5,FALSE)),"")</f>
        <v/>
      </c>
      <c r="AR426" s="625" t="str">
        <f t="shared" si="1095"/>
        <v/>
      </c>
      <c r="AS426" s="634" t="str">
        <f t="shared" si="1096"/>
        <v/>
      </c>
      <c r="AT426" s="625" t="str">
        <f t="shared" si="1097"/>
        <v/>
      </c>
      <c r="AU426" s="638" t="e">
        <f t="shared" si="1098"/>
        <v>#N/A</v>
      </c>
      <c r="AV426" s="625" t="e">
        <f t="shared" si="1099"/>
        <v>#N/A</v>
      </c>
      <c r="AX426" s="625">
        <f>IF(AND('General price list'!$J426="F4",'General price list'!$AB426+0&gt;0),1,0)</f>
        <v>0</v>
      </c>
      <c r="AY426" s="625">
        <f t="shared" si="1100"/>
        <v>1</v>
      </c>
      <c r="AZ426" s="625">
        <f t="shared" si="1101"/>
        <v>0</v>
      </c>
    </row>
    <row r="427" spans="1:52" ht="15.75" customHeight="1">
      <c r="A427" s="621" t="str">
        <f>Kat.!C427</f>
        <v/>
      </c>
      <c r="B427" s="566">
        <f>IF(AND('General price list'!$J427="F4",$AI$1=FALSE),0,IF(AC427="SKLADEM",1,IF(AC427=$V$3,1,0)))</f>
        <v>1</v>
      </c>
      <c r="C427" s="567" t="s">
        <v>12025</v>
      </c>
      <c r="D427" s="568" t="s">
        <v>1164</v>
      </c>
      <c r="E427" s="763" t="s">
        <v>12679</v>
      </c>
      <c r="F427" s="772">
        <f>IFERROR(VLOOKUP(C427,[2]List1!$A:$D,3,FALSE),"NEUVEDENO!")</f>
        <v>325</v>
      </c>
      <c r="G427" s="769">
        <f t="shared" si="1172"/>
        <v>325</v>
      </c>
      <c r="H427" s="766">
        <f t="shared" si="1173"/>
        <v>13.805524758615709</v>
      </c>
      <c r="I427" s="764">
        <f>IFERROR(VLOOKUP(C427,[2]List1!$A:$D,4,FALSE),"NEUVEDENO!")</f>
        <v>10</v>
      </c>
      <c r="J427" s="732" t="s">
        <v>39</v>
      </c>
      <c r="K427" s="569" t="s">
        <v>20</v>
      </c>
      <c r="L427" s="569" t="s">
        <v>15088</v>
      </c>
      <c r="M427" s="569" t="s">
        <v>21</v>
      </c>
      <c r="N427" s="569">
        <f>IFERROR(VLOOKUP(C427,[3]List1!$A:$D,4,FALSE),"N/A!")</f>
        <v>3.3264000000000002E-2</v>
      </c>
      <c r="O427" s="569">
        <f>IFERROR(VLOOKUP(C427,[3]List1!$A:$D,3,FALSE),"N/A!")</f>
        <v>2880</v>
      </c>
      <c r="P427" s="569">
        <f>IFERROR(VLOOKUP(C427,[3]List1!$A:$D,2,FALSE),"N/A!")</f>
        <v>16000</v>
      </c>
      <c r="Q427" s="569" t="s">
        <v>11235</v>
      </c>
      <c r="R427" s="569"/>
      <c r="S427" s="569" t="str">
        <f>IF($W$17=$AF$1,"design",IFERROR(VLOOKUP("design",Jazyky_ceník!$A:$Q,MATCH($W$17,Jazyky_ceník!$A$1:$Q$1,0),FALSE),"!!!"))</f>
        <v>design</v>
      </c>
      <c r="T427" s="569">
        <v>25</v>
      </c>
      <c r="U427" s="569">
        <v>25</v>
      </c>
      <c r="V427" s="569"/>
      <c r="W427" s="569" t="str">
        <f>IFERROR(IF(AND($AB427&gt;=0.1*$AA427,MOD($AB427,$AA427)&gt;=($AA427-(0.1*$AA427))),IF($W$17=$AF$1,"Zvažte možnost doobjednání ještě "&amp;Tabulka1[[#This Row],[VKPAL]]-MOD(AB427,AA427)&amp;" VK do plné palety.",VLOOKUP("Zvažte možnost doobjednání ještě ",Jazyky_ceník!A:Q,MATCH($W$17,Jazyky_ceník!$A$1:$Q$1,0),FALSE)&amp;Tabulka1[[#This Row],[VKPAL]]-MOD(AB427,AA427)&amp;VLOOKUP(" VK do plné palety.",Jazyky_ceník!A:Q,MATCH($W$17,Jazyky_ceník!$A$1:$Q$1,0),FALSE)),IFERROR(IF(AND(NOT(MOD($AB427,$AA427)=0),$AB427&gt;=0.9*$AA427,MOD($AB427,$AA427)&lt;=0.1*$AA427),IF($W$17=$AF$1,"Zvažte možnost optimalizace objednaného množství podle počtu VK na paletě ==&gt;",VLOOKUP("Zvažte možnost optimalizace objednaného množství podle počtu VK na paletě ==&gt;",Jazyky_ceník!A:Q,MATCH($W$17,Jazyky_ceník!$A$1:$Q$1,0),FALSE)),VLOOKUP('General price list'!$C427,Popisy!A:M,MATCH($W$17,Popisy!$A$7:$M$7,0),FALSE)),"---------------")),IFERROR(VLOOKUP('General price list'!$C427,Popisy!A:M,MATCH($W$17,Popisy!$A$7:$M$7,0),FALSE),"---------------"))</f>
        <v>6 různobarevných efektů</v>
      </c>
      <c r="X427" s="569" t="str">
        <f t="shared" si="1174"/>
        <v/>
      </c>
      <c r="Y427" s="569" t="str">
        <f t="shared" si="1175"/>
        <v/>
      </c>
      <c r="Z427" s="569" t="str">
        <f>HYPERLINK("https://www.klasekpyrotechnics.cz/c3620no14")</f>
        <v>https://www.klasekpyrotechnics.cz/c3620no14</v>
      </c>
      <c r="AA427" s="569">
        <f>IFERROR(IF(VLOOKUP(C427,[4]List1!$A:$D,4,FALSE)=0,"",VLOOKUP(C427,[4]List1!$A:$D,4,FALSE)),"")</f>
        <v>33</v>
      </c>
      <c r="AB427" s="565"/>
      <c r="AC427" s="570" t="str">
        <f>IFERROR(IF(VLOOKUP(C427,[1]List1!$A:$D,2,FALSE)="VYPRODÁNO",$V$9,IF(VLOOKUP(C427,[1]List1!$A:$D,2,FALSE)="DOCHÁZÍ",$V$3,VLOOKUP(C427,[1]List1!$A:$D,2,FALSE))),"OFFLINE!")</f>
        <v>SKLADEM</v>
      </c>
      <c r="AD427" s="570" t="str">
        <f ca="1">IF(AP427="NE",$V$10,IF(AC427=$V$3,IF(AQ427&lt;1,$V$8,$V$2&amp;" "&amp;AQ427&amp;" "&amp;$V$1),IF(AC427="SKLADEM",$V$6,IFERROR(IF(OR(AC427-TODAY()&gt;45,VLOOKUP(C427,[1]List1!$A:$E,4,FALSE)=0),AC427,DAY(AC427)&amp;"."&amp;MONTH(AC427)&amp;"."&amp;YEAR(AC427)&amp;" "&amp;$V$4&amp;VLOOKUP(C427,[1]List1!$A:$E,4,FALSE)&amp;" "&amp;$V$1),AC427))))</f>
        <v>SKLADEM</v>
      </c>
      <c r="AE427" s="581" t="str">
        <f t="shared" ca="1" si="1176"/>
        <v>SKLADEM</v>
      </c>
      <c r="AF427" s="584">
        <f t="shared" si="1177"/>
        <v>0</v>
      </c>
      <c r="AG427" s="585">
        <f t="shared" si="1178"/>
        <v>0</v>
      </c>
      <c r="AH427" s="583">
        <f t="shared" si="1179"/>
        <v>0</v>
      </c>
      <c r="AI427" s="582">
        <f t="shared" si="1180"/>
        <v>0</v>
      </c>
      <c r="AJ427" s="569">
        <f t="shared" si="1181"/>
        <v>0</v>
      </c>
      <c r="AK427" s="569" t="str">
        <f t="shared" si="1182"/>
        <v/>
      </c>
      <c r="AL427" s="569" t="str">
        <f t="shared" si="1183"/>
        <v/>
      </c>
      <c r="AM427" s="569">
        <f t="shared" si="1184"/>
        <v>0</v>
      </c>
      <c r="AN427" s="581">
        <f t="shared" si="1185"/>
        <v>0</v>
      </c>
      <c r="AO427" s="623"/>
      <c r="AP427" s="625" t="str">
        <f t="shared" si="1094"/>
        <v/>
      </c>
      <c r="AQ427" s="625" t="str">
        <f>IF(AC427=$V$3,IF(VLOOKUP(C427,[1]List1!$A:$E,5,FALSE)=0,1,VLOOKUP(C427,[1]List1!$A:$E,5,FALSE)),"")</f>
        <v/>
      </c>
      <c r="AR427" s="629" t="str">
        <f t="shared" si="1095"/>
        <v/>
      </c>
      <c r="AS427" s="630" t="str">
        <f t="shared" si="1096"/>
        <v/>
      </c>
      <c r="AT427" s="625" t="str">
        <f t="shared" si="1097"/>
        <v/>
      </c>
      <c r="AU427" s="625" t="e">
        <f t="shared" si="1098"/>
        <v>#N/A</v>
      </c>
      <c r="AV427" s="625" t="e">
        <f t="shared" si="1099"/>
        <v>#N/A</v>
      </c>
      <c r="AW427" s="631"/>
      <c r="AX427" s="631">
        <f>IF(AND('General price list'!$J427="F4",'General price list'!$AB427+0&gt;0),1,0)</f>
        <v>0</v>
      </c>
      <c r="AY427" s="631">
        <f t="shared" si="1100"/>
        <v>1</v>
      </c>
      <c r="AZ427" s="631">
        <f t="shared" si="1101"/>
        <v>0</v>
      </c>
    </row>
    <row r="428" spans="1:52" ht="15" customHeight="1">
      <c r="A428" s="751" t="str">
        <f>Kat.!C428</f>
        <v xml:space="preserve">           Baterie 49 ran, 20 mm moždíř – 1.3G</v>
      </c>
      <c r="B428" s="751"/>
      <c r="C428" s="751"/>
      <c r="D428" s="751"/>
      <c r="E428" s="751"/>
      <c r="F428" s="751"/>
      <c r="G428" s="751"/>
      <c r="H428" s="751"/>
      <c r="I428" s="752"/>
      <c r="J428" s="752"/>
      <c r="K428" s="752" t="s">
        <v>20</v>
      </c>
      <c r="L428" s="753" t="s">
        <v>2818</v>
      </c>
      <c r="M428" s="752"/>
      <c r="N428" s="752"/>
      <c r="O428" s="752"/>
      <c r="P428" s="752"/>
      <c r="Q428" s="752"/>
      <c r="R428" s="752"/>
      <c r="S428" s="752"/>
      <c r="T428" s="752"/>
      <c r="U428" s="752"/>
      <c r="V428" s="752"/>
      <c r="W428" s="752"/>
      <c r="X428" s="752"/>
      <c r="Y428" s="752"/>
      <c r="Z428" s="752" t="s">
        <v>20</v>
      </c>
      <c r="AA428" s="752"/>
      <c r="AB428" s="752"/>
      <c r="AC428" s="754"/>
      <c r="AD428" s="752"/>
      <c r="AE428" s="752"/>
      <c r="AF428" s="752"/>
      <c r="AG428" s="752"/>
      <c r="AH428" s="752"/>
      <c r="AI428" s="752"/>
      <c r="AJ428" s="752"/>
      <c r="AK428" s="752"/>
      <c r="AL428" s="752"/>
      <c r="AM428" s="752"/>
      <c r="AN428" s="752"/>
      <c r="AO428" s="623"/>
      <c r="AP428" s="632" t="str">
        <f t="shared" si="1094"/>
        <v/>
      </c>
      <c r="AQ428" s="633" t="str">
        <f>IF(AC428=$V$3,IF(VLOOKUP(C428,[1]List1!$A:$E,5,FALSE)=0,1,VLOOKUP(C428,[1]List1!$A:$E,5,FALSE)),"")</f>
        <v/>
      </c>
      <c r="AR428" s="625" t="str">
        <f t="shared" si="1095"/>
        <v/>
      </c>
      <c r="AS428" s="634" t="str">
        <f t="shared" si="1096"/>
        <v/>
      </c>
      <c r="AT428" s="625" t="str">
        <f t="shared" si="1097"/>
        <v/>
      </c>
      <c r="AU428" s="638" t="e">
        <f t="shared" si="1098"/>
        <v>#N/A</v>
      </c>
      <c r="AV428" s="625" t="e">
        <f t="shared" si="1099"/>
        <v>#N/A</v>
      </c>
      <c r="AX428" s="625">
        <f>IF(AND('General price list'!$J428="F4",'General price list'!$AB428+0&gt;0),1,0)</f>
        <v>0</v>
      </c>
      <c r="AY428" s="625">
        <f t="shared" si="1100"/>
        <v>0</v>
      </c>
      <c r="AZ428" s="625">
        <f t="shared" si="1101"/>
        <v>0</v>
      </c>
    </row>
    <row r="429" spans="1:52" ht="15" customHeight="1">
      <c r="A429" s="639" t="str">
        <f>Kat.!C429</f>
        <v/>
      </c>
      <c r="B429" s="640">
        <f>IF(AND('General price list'!$J429="F4",$AI$1=FALSE),0,IF(AC429="SKLADEM",1,IF(AC429=$V$3,1,0)))</f>
        <v>1</v>
      </c>
      <c r="C429" s="641" t="s">
        <v>1011</v>
      </c>
      <c r="D429" s="642" t="s">
        <v>11878</v>
      </c>
      <c r="E429" s="643" t="s">
        <v>12678</v>
      </c>
      <c r="F429" s="791">
        <f>IFERROR(VLOOKUP(C429,[2]List1!$A:$D,3,FALSE),"NEUVEDENO!")</f>
        <v>351</v>
      </c>
      <c r="G429" s="768">
        <f t="shared" ref="G429:G433" si="1186">IF($W$17=$AF$8,ROUND((F429)/$F$17,2),(F429)*$B$19)</f>
        <v>351</v>
      </c>
      <c r="H429" s="765">
        <f t="shared" ref="H429:H433" si="1187">IF($W$17=$AF$8,G429*$B$19,G429/$F$17)</f>
        <v>14.909966739304966</v>
      </c>
      <c r="I429" s="644">
        <f>IFERROR(VLOOKUP(C429,[2]List1!$A:$D,4,FALSE),"NEUVEDENO!")</f>
        <v>8</v>
      </c>
      <c r="J429" s="733" t="s">
        <v>39</v>
      </c>
      <c r="K429" s="645" t="s">
        <v>11100</v>
      </c>
      <c r="L429" s="645" t="s">
        <v>20</v>
      </c>
      <c r="M429" s="645" t="s">
        <v>114</v>
      </c>
      <c r="N429" s="645">
        <f>IFERROR(VLOOKUP(C429,[3]List1!$A:$D,4,FALSE),"N/A!")</f>
        <v>3.4985249999999996E-2</v>
      </c>
      <c r="O429" s="645">
        <f>IFERROR(VLOOKUP(C429,[3]List1!$A:$D,3,FALSE),"N/A!")</f>
        <v>2744</v>
      </c>
      <c r="P429" s="645">
        <f>IFERROR(VLOOKUP(C429,[3]List1!$A:$D,2,FALSE),"N/A!")</f>
        <v>17500</v>
      </c>
      <c r="Q429" s="645" t="s">
        <v>11241</v>
      </c>
      <c r="R429" s="645"/>
      <c r="S429" s="645" t="str">
        <f>IF($W$17=$AF$1,"design",IFERROR(VLOOKUP("design",Jazyky_ceník!$A:$Q,MATCH($W$17,Jazyky_ceník!$A$1:$Q$1,0),FALSE),"!!!"))</f>
        <v>design</v>
      </c>
      <c r="T429" s="645">
        <v>40</v>
      </c>
      <c r="U429" s="645">
        <v>25</v>
      </c>
      <c r="V429" s="645">
        <v>15</v>
      </c>
      <c r="W429" s="645" t="str">
        <f>IFERROR(IF(AND($AB429&gt;=0.1*$AA429,MOD($AB429,$AA429)&gt;=($AA429-(0.1*$AA429))),IF($W$17=$AF$1,"Zvažte možnost doobjednání ještě "&amp;Tabulka1[[#This Row],[VKPAL]]-MOD(AB429,AA429)&amp;" VK do plné palety.",VLOOKUP("Zvažte možnost doobjednání ještě ",Jazyky_ceník!A:Q,MATCH($W$17,Jazyky_ceník!$A$1:$Q$1,0),FALSE)&amp;Tabulka1[[#This Row],[VKPAL]]-MOD(AB429,AA429)&amp;VLOOKUP(" VK do plné palety.",Jazyky_ceník!A:Q,MATCH($W$17,Jazyky_ceník!$A$1:$Q$1,0),FALSE)),IFERROR(IF(AND(NOT(MOD($AB429,$AA429)=0),$AB429&gt;=0.9*$AA429,MOD($AB429,$AA429)&lt;=0.1*$AA429),IF($W$17=$AF$1,"Zvažte možnost optimalizace objednaného množství podle počtu VK na paletě ==&gt;",VLOOKUP("Zvažte možnost optimalizace objednaného množství podle počtu VK na paletě ==&gt;",Jazyky_ceník!A:Q,MATCH($W$17,Jazyky_ceník!$A$1:$Q$1,0),FALSE)),VLOOKUP('General price list'!$C429,Popisy!A:M,MATCH($W$17,Popisy!$A$7:$M$7,0),FALSE)),"---------------")),IFERROR(VLOOKUP('General price list'!$C429,Popisy!A:M,MATCH($W$17,Popisy!$A$7:$M$7,0),FALSE),"---------------"))</f>
        <v>7 různobarevných efektů</v>
      </c>
      <c r="X429" s="645" t="str">
        <f t="shared" ref="X429:X433" si="1188">IF(AB429&lt;0.0001,"",AB429)</f>
        <v/>
      </c>
      <c r="Y429" s="645" t="str">
        <f t="shared" ref="Y429:Y433" si="1189">IF($AL$3=2,IF(OR(AB429&lt;&gt;"",AB429&lt;&gt;0),AU429,""),IF(C429="","",IF(AB429&lt;0.0001,"",IF(B429=0,"",IF(AQ429&lt;AB429,"",AB429)))))</f>
        <v/>
      </c>
      <c r="Z429" s="645" t="str">
        <f>HYPERLINK("https://www.klasekpyrotechnics.cz/c4920bpf")</f>
        <v>https://www.klasekpyrotechnics.cz/c4920bpf</v>
      </c>
      <c r="AA429" s="645">
        <f>IFERROR(IF(VLOOKUP(C429,[4]List1!$A:$D,4,FALSE)=0,"",VLOOKUP(C429,[4]List1!$A:$D,4,FALSE)),"")</f>
        <v>36</v>
      </c>
      <c r="AB429" s="646"/>
      <c r="AC429" s="647" t="str">
        <f>IFERROR(IF(VLOOKUP(C429,[1]List1!$A:$D,2,FALSE)="VYPRODÁNO",$V$9,IF(VLOOKUP(C429,[1]List1!$A:$D,2,FALSE)="DOCHÁZÍ",$V$3,VLOOKUP(C429,[1]List1!$A:$D,2,FALSE))),"OFFLINE!")</f>
        <v>SKLADEM</v>
      </c>
      <c r="AD429" s="647" t="str">
        <f ca="1">IF(AP429="NE",$V$10,IF(AC429=$V$3,IF(AQ429&lt;1,$V$8,$V$2&amp;" "&amp;AQ429&amp;" "&amp;$V$1),IF(AC429="SKLADEM",$V$6,IFERROR(IF(OR(AC429-TODAY()&gt;45,VLOOKUP(C429,[1]List1!$A:$E,4,FALSE)=0),AC429,DAY(AC429)&amp;"."&amp;MONTH(AC429)&amp;"."&amp;YEAR(AC429)&amp;" "&amp;$V$4&amp;VLOOKUP(C429,[1]List1!$A:$E,4,FALSE)&amp;" "&amp;$V$1),AC429))))</f>
        <v>SKLADEM</v>
      </c>
      <c r="AE429" s="645" t="str">
        <f t="shared" ref="AE429:AE433" ca="1" si="1190">IFERROR(IF(AV429&lt;&gt;"",AV429,AD429),AD429)</f>
        <v>SKLADEM</v>
      </c>
      <c r="AF429" s="648">
        <f t="shared" ref="AF429:AF433" si="1191">IFERROR(IF(AB429=Y429,G429*I429*Y429,0),0)</f>
        <v>0</v>
      </c>
      <c r="AG429" s="649">
        <f t="shared" ref="AG429:AG433" si="1192">IF($W$17=$AF$8,AH429*1.23,AF429*1.21)</f>
        <v>0</v>
      </c>
      <c r="AH429" s="650">
        <f t="shared" ref="AH429:AH433" si="1193">IFERROR(IF(Y429=AB429,H429*I429*Y429,0),0)</f>
        <v>0</v>
      </c>
      <c r="AI429" s="645">
        <f t="shared" ref="AI429:AI433" si="1194">IFERROR(IF(Y429=AB429,(P429*Y429)/1000,1),0)</f>
        <v>0</v>
      </c>
      <c r="AJ429" s="645">
        <f t="shared" ref="AJ429:AJ433" si="1195">IFERROR(IF(Y429=AB429,N429*Y429,0.1),0)</f>
        <v>0</v>
      </c>
      <c r="AK429" s="645" t="str">
        <f t="shared" ref="AK429:AK433" si="1196">IFERROR(IF(Y429=AB429,IF(M429="1.1G",(O429/1000)*Y429,""),""),0)</f>
        <v/>
      </c>
      <c r="AL429" s="645">
        <f t="shared" ref="AL429:AL433" si="1197">IFERROR(IF(Y429=AB429,IF(M429="1.3G",(O429/1000)*AB429,""),""),0)</f>
        <v>0</v>
      </c>
      <c r="AM429" s="645" t="str">
        <f t="shared" ref="AM429:AM433" si="1198">IFERROR(IF(Y429=AB429,IF(M429="1.4G",(O429/1000)*AB429,""),""),0)</f>
        <v/>
      </c>
      <c r="AN429" s="651">
        <f t="shared" ref="AN429:AN433" si="1199">SUM(AK429:AM429)</f>
        <v>0</v>
      </c>
      <c r="AO429" s="623"/>
      <c r="AP429" s="632" t="str">
        <f t="shared" si="1094"/>
        <v/>
      </c>
      <c r="AQ429" s="633" t="str">
        <f>IF(AC429=$V$3,IF(VLOOKUP(C429,[1]List1!$A:$E,5,FALSE)=0,1,VLOOKUP(C429,[1]List1!$A:$E,5,FALSE)),"")</f>
        <v/>
      </c>
      <c r="AR429" s="625" t="str">
        <f t="shared" si="1095"/>
        <v/>
      </c>
      <c r="AS429" s="634" t="str">
        <f t="shared" si="1096"/>
        <v/>
      </c>
      <c r="AT429" s="625" t="str">
        <f t="shared" si="1097"/>
        <v/>
      </c>
      <c r="AU429" s="638" t="e">
        <f t="shared" si="1098"/>
        <v>#N/A</v>
      </c>
      <c r="AV429" s="625" t="e">
        <f t="shared" si="1099"/>
        <v>#N/A</v>
      </c>
      <c r="AX429" s="625">
        <f>IF(AND('General price list'!$J429="F4",'General price list'!$AB429+0&gt;0),1,0)</f>
        <v>0</v>
      </c>
      <c r="AY429" s="625">
        <f t="shared" si="1100"/>
        <v>1</v>
      </c>
      <c r="AZ429" s="625">
        <f t="shared" si="1101"/>
        <v>0</v>
      </c>
    </row>
    <row r="430" spans="1:52" ht="15.75" customHeight="1">
      <c r="A430" s="621" t="str">
        <f>Kat.!C430</f>
        <v/>
      </c>
      <c r="B430" s="566">
        <f>IF(AND('General price list'!$J430="F4",$AI$1=FALSE),0,IF(AC430="SKLADEM",1,IF(AC430=$V$3,1,0)))</f>
        <v>1</v>
      </c>
      <c r="C430" s="567" t="s">
        <v>1014</v>
      </c>
      <c r="D430" s="568" t="s">
        <v>11732</v>
      </c>
      <c r="E430" s="763" t="s">
        <v>12678</v>
      </c>
      <c r="F430" s="772">
        <f>IFERROR(VLOOKUP(C430,[2]List1!$A:$D,3,FALSE),"NEUVEDENO!")</f>
        <v>445</v>
      </c>
      <c r="G430" s="769">
        <f t="shared" si="1186"/>
        <v>445</v>
      </c>
      <c r="H430" s="766">
        <f t="shared" si="1187"/>
        <v>18.902949284873817</v>
      </c>
      <c r="I430" s="764">
        <f>IFERROR(VLOOKUP(C430,[2]List1!$A:$D,4,FALSE),"NEUVEDENO!")</f>
        <v>8</v>
      </c>
      <c r="J430" s="732" t="s">
        <v>39</v>
      </c>
      <c r="K430" s="569" t="s">
        <v>20</v>
      </c>
      <c r="L430" s="569" t="s">
        <v>20</v>
      </c>
      <c r="M430" s="569" t="s">
        <v>114</v>
      </c>
      <c r="N430" s="569">
        <f>IFERROR(VLOOKUP(C430,[3]List1!$A:$D,4,FALSE),"N/A!")</f>
        <v>3.4985249999999996E-2</v>
      </c>
      <c r="O430" s="569">
        <f>IFERROR(VLOOKUP(C430,[3]List1!$A:$D,3,FALSE),"N/A!")</f>
        <v>3992</v>
      </c>
      <c r="P430" s="569">
        <f>IFERROR(VLOOKUP(C430,[3]List1!$A:$D,2,FALSE),"N/A!")</f>
        <v>18500</v>
      </c>
      <c r="Q430" s="569" t="s">
        <v>11241</v>
      </c>
      <c r="R430" s="569"/>
      <c r="S430" s="569" t="str">
        <f>IF($W$17=$AF$1,"design",IFERROR(VLOOKUP("design",Jazyky_ceník!$A:$Q,MATCH($W$17,Jazyky_ceník!$A$1:$Q$1,0),FALSE),"!!!"))</f>
        <v>design</v>
      </c>
      <c r="T430" s="569">
        <v>40</v>
      </c>
      <c r="U430" s="569">
        <v>27</v>
      </c>
      <c r="V430" s="569">
        <v>18</v>
      </c>
      <c r="W430" s="569" t="str">
        <f>IFERROR(IF(AND($AB430&gt;=0.1*$AA430,MOD($AB430,$AA430)&gt;=($AA430-(0.1*$AA430))),IF($W$17=$AF$1,"Zvažte možnost doobjednání ještě "&amp;Tabulka1[[#This Row],[VKPAL]]-MOD(AB430,AA430)&amp;" VK do plné palety.",VLOOKUP("Zvažte možnost doobjednání ještě ",Jazyky_ceník!A:Q,MATCH($W$17,Jazyky_ceník!$A$1:$Q$1,0),FALSE)&amp;Tabulka1[[#This Row],[VKPAL]]-MOD(AB430,AA430)&amp;VLOOKUP(" VK do plné palety.",Jazyky_ceník!A:Q,MATCH($W$17,Jazyky_ceník!$A$1:$Q$1,0),FALSE)),IFERROR(IF(AND(NOT(MOD($AB430,$AA430)=0),$AB430&gt;=0.9*$AA430,MOD($AB430,$AA430)&lt;=0.1*$AA430),IF($W$17=$AF$1,"Zvažte možnost optimalizace objednaného množství podle počtu VK na paletě ==&gt;",VLOOKUP("Zvažte možnost optimalizace objednaného množství podle počtu VK na paletě ==&gt;",Jazyky_ceník!A:Q,MATCH($W$17,Jazyky_ceník!$A$1:$Q$1,0),FALSE)),VLOOKUP('General price list'!$C430,Popisy!A:M,MATCH($W$17,Popisy!$A$7:$M$7,0),FALSE)),"---------------")),IFERROR(VLOOKUP('General price list'!$C430,Popisy!A:M,MATCH($W$17,Popisy!$A$7:$M$7,0),FALSE),"---------------"))</f>
        <v>7 různobarevných efektů</v>
      </c>
      <c r="X430" s="569" t="str">
        <f t="shared" si="1188"/>
        <v/>
      </c>
      <c r="Y430" s="569" t="str">
        <f t="shared" si="1189"/>
        <v/>
      </c>
      <c r="Z430" s="569" t="str">
        <f>HYPERLINK("https://www.klasekpyrotechnics.cz/c4920sig")</f>
        <v>https://www.klasekpyrotechnics.cz/c4920sig</v>
      </c>
      <c r="AA430" s="569">
        <f>IFERROR(IF(VLOOKUP(C430,[4]List1!$A:$D,4,FALSE)=0,"",VLOOKUP(C430,[4]List1!$A:$D,4,FALSE)),"")</f>
        <v>36</v>
      </c>
      <c r="AB430" s="565"/>
      <c r="AC430" s="570" t="str">
        <f>IFERROR(IF(VLOOKUP(C430,[1]List1!$A:$D,2,FALSE)="VYPRODÁNO",$V$9,IF(VLOOKUP(C430,[1]List1!$A:$D,2,FALSE)="DOCHÁZÍ",$V$3,VLOOKUP(C430,[1]List1!$A:$D,2,FALSE))),"OFFLINE!")</f>
        <v>SKLADEM</v>
      </c>
      <c r="AD430" s="570" t="str">
        <f ca="1">IF(AP430="NE",$V$10,IF(AC430=$V$3,IF(AQ430&lt;1,$V$8,$V$2&amp;" "&amp;AQ430&amp;" "&amp;$V$1),IF(AC430="SKLADEM",$V$6,IFERROR(IF(OR(AC430-TODAY()&gt;45,VLOOKUP(C430,[1]List1!$A:$E,4,FALSE)=0),AC430,DAY(AC430)&amp;"."&amp;MONTH(AC430)&amp;"."&amp;YEAR(AC430)&amp;" "&amp;$V$4&amp;VLOOKUP(C430,[1]List1!$A:$E,4,FALSE)&amp;" "&amp;$V$1),AC430))))</f>
        <v>SKLADEM</v>
      </c>
      <c r="AE430" s="581" t="str">
        <f t="shared" ca="1" si="1190"/>
        <v>SKLADEM</v>
      </c>
      <c r="AF430" s="584">
        <f t="shared" si="1191"/>
        <v>0</v>
      </c>
      <c r="AG430" s="585">
        <f t="shared" si="1192"/>
        <v>0</v>
      </c>
      <c r="AH430" s="583">
        <f t="shared" si="1193"/>
        <v>0</v>
      </c>
      <c r="AI430" s="582">
        <f t="shared" si="1194"/>
        <v>0</v>
      </c>
      <c r="AJ430" s="569">
        <f t="shared" si="1195"/>
        <v>0</v>
      </c>
      <c r="AK430" s="569" t="str">
        <f t="shared" si="1196"/>
        <v/>
      </c>
      <c r="AL430" s="569">
        <f t="shared" si="1197"/>
        <v>0</v>
      </c>
      <c r="AM430" s="569" t="str">
        <f t="shared" si="1198"/>
        <v/>
      </c>
      <c r="AN430" s="581">
        <f t="shared" si="1199"/>
        <v>0</v>
      </c>
      <c r="AO430" s="623"/>
      <c r="AP430" s="625" t="str">
        <f t="shared" si="1094"/>
        <v/>
      </c>
      <c r="AQ430" s="625" t="str">
        <f>IF(AC430=$V$3,IF(VLOOKUP(C430,[1]List1!$A:$E,5,FALSE)=0,1,VLOOKUP(C430,[1]List1!$A:$E,5,FALSE)),"")</f>
        <v/>
      </c>
      <c r="AR430" s="629" t="str">
        <f t="shared" si="1095"/>
        <v/>
      </c>
      <c r="AS430" s="630" t="str">
        <f t="shared" si="1096"/>
        <v/>
      </c>
      <c r="AT430" s="625" t="str">
        <f t="shared" si="1097"/>
        <v/>
      </c>
      <c r="AU430" s="625" t="e">
        <f t="shared" si="1098"/>
        <v>#N/A</v>
      </c>
      <c r="AV430" s="625" t="e">
        <f t="shared" si="1099"/>
        <v>#N/A</v>
      </c>
      <c r="AW430" s="631"/>
      <c r="AX430" s="631">
        <f>IF(AND('General price list'!$J430="F4",'General price list'!$AB430+0&gt;0),1,0)</f>
        <v>0</v>
      </c>
      <c r="AY430" s="631">
        <f t="shared" si="1100"/>
        <v>1</v>
      </c>
      <c r="AZ430" s="631">
        <f t="shared" si="1101"/>
        <v>0</v>
      </c>
    </row>
    <row r="431" spans="1:52" ht="15" customHeight="1">
      <c r="A431" s="639" t="str">
        <f>Kat.!C431</f>
        <v/>
      </c>
      <c r="B431" s="640">
        <f>IF(AND('General price list'!$J431="F4",$AI$1=FALSE),0,IF(AC431="SKLADEM",1,IF(AC431=$V$3,1,0)))</f>
        <v>1</v>
      </c>
      <c r="C431" s="641" t="s">
        <v>1015</v>
      </c>
      <c r="D431" s="642" t="s">
        <v>1016</v>
      </c>
      <c r="E431" s="643" t="s">
        <v>12678</v>
      </c>
      <c r="F431" s="791">
        <f>IFERROR(VLOOKUP(C431,[2]List1!$A:$D,3,FALSE),"NEUVEDENO!")</f>
        <v>354</v>
      </c>
      <c r="G431" s="768">
        <f t="shared" si="1186"/>
        <v>354</v>
      </c>
      <c r="H431" s="765">
        <f t="shared" si="1187"/>
        <v>15.037402352461418</v>
      </c>
      <c r="I431" s="644">
        <f>IFERROR(VLOOKUP(C431,[2]List1!$A:$D,4,FALSE),"NEUVEDENO!")</f>
        <v>8</v>
      </c>
      <c r="J431" s="733" t="s">
        <v>39</v>
      </c>
      <c r="K431" s="645" t="s">
        <v>11100</v>
      </c>
      <c r="L431" s="645" t="s">
        <v>10988</v>
      </c>
      <c r="M431" s="645" t="s">
        <v>114</v>
      </c>
      <c r="N431" s="645">
        <f>IFERROR(VLOOKUP(C431,[3]List1!$A:$D,4,FALSE),"N/A!")</f>
        <v>3.4985249999999996E-2</v>
      </c>
      <c r="O431" s="645">
        <f>IFERROR(VLOOKUP(C431,[3]List1!$A:$D,3,FALSE),"N/A!")</f>
        <v>3136</v>
      </c>
      <c r="P431" s="645">
        <f>IFERROR(VLOOKUP(C431,[3]List1!$A:$D,2,FALSE),"N/A!")</f>
        <v>18400</v>
      </c>
      <c r="Q431" s="645" t="s">
        <v>11241</v>
      </c>
      <c r="R431" s="645"/>
      <c r="S431" s="645" t="str">
        <f>IF($W$17=$AF$1,"design",IFERROR(VLOOKUP("design",Jazyky_ceník!$A:$Q,MATCH($W$17,Jazyky_ceník!$A$1:$Q$1,0),FALSE),"!!!"))</f>
        <v>design</v>
      </c>
      <c r="T431" s="645">
        <v>40</v>
      </c>
      <c r="U431" s="645">
        <v>25</v>
      </c>
      <c r="V431" s="645">
        <v>16</v>
      </c>
      <c r="W431" s="645" t="str">
        <f>IFERROR(IF(AND($AB431&gt;=0.1*$AA431,MOD($AB431,$AA431)&gt;=($AA431-(0.1*$AA431))),IF($W$17=$AF$1,"Zvažte možnost doobjednání ještě "&amp;Tabulka1[[#This Row],[VKPAL]]-MOD(AB431,AA431)&amp;" VK do plné palety.",VLOOKUP("Zvažte možnost doobjednání ještě ",Jazyky_ceník!A:Q,MATCH($W$17,Jazyky_ceník!$A$1:$Q$1,0),FALSE)&amp;Tabulka1[[#This Row],[VKPAL]]-MOD(AB431,AA431)&amp;VLOOKUP(" VK do plné palety.",Jazyky_ceník!A:Q,MATCH($W$17,Jazyky_ceník!$A$1:$Q$1,0),FALSE)),IFERROR(IF(AND(NOT(MOD($AB431,$AA431)=0),$AB431&gt;=0.9*$AA431,MOD($AB431,$AA431)&lt;=0.1*$AA431),IF($W$17=$AF$1,"Zvažte možnost optimalizace objednaného množství podle počtu VK na paletě ==&gt;",VLOOKUP("Zvažte možnost optimalizace objednaného množství podle počtu VK na paletě ==&gt;",Jazyky_ceník!A:Q,MATCH($W$17,Jazyky_ceník!$A$1:$Q$1,0),FALSE)),VLOOKUP('General price list'!$C431,Popisy!A:M,MATCH($W$17,Popisy!$A$7:$M$7,0),FALSE)),"---------------")),IFERROR(VLOOKUP('General price list'!$C431,Popisy!A:M,MATCH($W$17,Popisy!$A$7:$M$7,0),FALSE),"---------------"))</f>
        <v>7 různobarevných efektů</v>
      </c>
      <c r="X431" s="645" t="str">
        <f t="shared" si="1188"/>
        <v/>
      </c>
      <c r="Y431" s="645" t="str">
        <f t="shared" si="1189"/>
        <v/>
      </c>
      <c r="Z431" s="645" t="str">
        <f>HYPERLINK("https://www.klasekpyrotechnics.cz/c4920dr")</f>
        <v>https://www.klasekpyrotechnics.cz/c4920dr</v>
      </c>
      <c r="AA431" s="645">
        <f>IFERROR(IF(VLOOKUP(C431,[4]List1!$A:$D,4,FALSE)=0,"",VLOOKUP(C431,[4]List1!$A:$D,4,FALSE)),"")</f>
        <v>36</v>
      </c>
      <c r="AB431" s="646"/>
      <c r="AC431" s="647" t="str">
        <f>IFERROR(IF(VLOOKUP(C431,[1]List1!$A:$D,2,FALSE)="VYPRODÁNO",$V$9,IF(VLOOKUP(C431,[1]List1!$A:$D,2,FALSE)="DOCHÁZÍ",$V$3,VLOOKUP(C431,[1]List1!$A:$D,2,FALSE))),"OFFLINE!")</f>
        <v>SKLADEM</v>
      </c>
      <c r="AD431" s="647" t="str">
        <f ca="1">IF(AP431="NE",$V$10,IF(AC431=$V$3,IF(AQ431&lt;1,$V$8,$V$2&amp;" "&amp;AQ431&amp;" "&amp;$V$1),IF(AC431="SKLADEM",$V$6,IFERROR(IF(OR(AC431-TODAY()&gt;45,VLOOKUP(C431,[1]List1!$A:$E,4,FALSE)=0),AC431,DAY(AC431)&amp;"."&amp;MONTH(AC431)&amp;"."&amp;YEAR(AC431)&amp;" "&amp;$V$4&amp;VLOOKUP(C431,[1]List1!$A:$E,4,FALSE)&amp;" "&amp;$V$1),AC431))))</f>
        <v>SKLADEM</v>
      </c>
      <c r="AE431" s="645" t="str">
        <f t="shared" ca="1" si="1190"/>
        <v>SKLADEM</v>
      </c>
      <c r="AF431" s="648">
        <f t="shared" si="1191"/>
        <v>0</v>
      </c>
      <c r="AG431" s="649">
        <f t="shared" si="1192"/>
        <v>0</v>
      </c>
      <c r="AH431" s="650">
        <f t="shared" si="1193"/>
        <v>0</v>
      </c>
      <c r="AI431" s="645">
        <f t="shared" si="1194"/>
        <v>0</v>
      </c>
      <c r="AJ431" s="645">
        <f t="shared" si="1195"/>
        <v>0</v>
      </c>
      <c r="AK431" s="645" t="str">
        <f t="shared" si="1196"/>
        <v/>
      </c>
      <c r="AL431" s="645">
        <f t="shared" si="1197"/>
        <v>0</v>
      </c>
      <c r="AM431" s="645" t="str">
        <f t="shared" si="1198"/>
        <v/>
      </c>
      <c r="AN431" s="651">
        <f t="shared" si="1199"/>
        <v>0</v>
      </c>
      <c r="AO431" s="623"/>
      <c r="AP431" s="632" t="str">
        <f t="shared" si="1094"/>
        <v/>
      </c>
      <c r="AQ431" s="633" t="str">
        <f>IF(AC431=$V$3,IF(VLOOKUP(C431,[1]List1!$A:$E,5,FALSE)=0,1,VLOOKUP(C431,[1]List1!$A:$E,5,FALSE)),"")</f>
        <v/>
      </c>
      <c r="AR431" s="625" t="str">
        <f t="shared" si="1095"/>
        <v/>
      </c>
      <c r="AS431" s="634" t="str">
        <f t="shared" si="1096"/>
        <v/>
      </c>
      <c r="AT431" s="625" t="str">
        <f t="shared" si="1097"/>
        <v/>
      </c>
      <c r="AU431" s="638" t="e">
        <f t="shared" si="1098"/>
        <v>#N/A</v>
      </c>
      <c r="AV431" s="625" t="e">
        <f t="shared" si="1099"/>
        <v>#N/A</v>
      </c>
      <c r="AX431" s="625">
        <f>IF(AND('General price list'!$J431="F4",'General price list'!$AB431+0&gt;0),1,0)</f>
        <v>0</v>
      </c>
      <c r="AY431" s="625">
        <f t="shared" si="1100"/>
        <v>1</v>
      </c>
      <c r="AZ431" s="625">
        <f t="shared" si="1101"/>
        <v>0</v>
      </c>
    </row>
    <row r="432" spans="1:52" ht="15" customHeight="1">
      <c r="A432" s="621" t="str">
        <f>Kat.!C432</f>
        <v/>
      </c>
      <c r="B432" s="566">
        <f>IF(AND('General price list'!$J432="F4",$AI$1=FALSE),0,IF(AC432="SKLADEM",1,IF(AC432=$V$3,1,0)))</f>
        <v>1</v>
      </c>
      <c r="C432" s="567" t="s">
        <v>1017</v>
      </c>
      <c r="D432" s="568" t="s">
        <v>11879</v>
      </c>
      <c r="E432" s="763" t="s">
        <v>12678</v>
      </c>
      <c r="F432" s="791">
        <f>IFERROR(VLOOKUP(C432,[2]List1!$A:$D,3,FALSE),"NEUVEDENO!")</f>
        <v>354</v>
      </c>
      <c r="G432" s="769">
        <f t="shared" si="1186"/>
        <v>354</v>
      </c>
      <c r="H432" s="766">
        <f t="shared" si="1187"/>
        <v>15.037402352461418</v>
      </c>
      <c r="I432" s="764">
        <f>IFERROR(VLOOKUP(C432,[2]List1!$A:$D,4,FALSE),"NEUVEDENO!")</f>
        <v>8</v>
      </c>
      <c r="J432" s="732" t="s">
        <v>39</v>
      </c>
      <c r="K432" s="569" t="s">
        <v>11100</v>
      </c>
      <c r="L432" s="569" t="s">
        <v>10988</v>
      </c>
      <c r="M432" s="569" t="s">
        <v>114</v>
      </c>
      <c r="N432" s="569">
        <f>IFERROR(VLOOKUP(C432,[3]List1!$A:$D,4,FALSE),"N/A!")</f>
        <v>3.4985249999999996E-2</v>
      </c>
      <c r="O432" s="569">
        <f>IFERROR(VLOOKUP(C432,[3]List1!$A:$D,3,FALSE),"N/A!")</f>
        <v>3136</v>
      </c>
      <c r="P432" s="569">
        <f>IFERROR(VLOOKUP(C432,[3]List1!$A:$D,2,FALSE),"N/A!")</f>
        <v>17000</v>
      </c>
      <c r="Q432" s="569" t="s">
        <v>11241</v>
      </c>
      <c r="R432" s="569" t="s">
        <v>20</v>
      </c>
      <c r="S432" s="569" t="str">
        <f>IF($W$17=$AF$1,"design",IFERROR(VLOOKUP("design",Jazyky_ceník!$A:$Q,MATCH($W$17,Jazyky_ceník!$A$1:$Q$1,0),FALSE),"!!!"))</f>
        <v>design</v>
      </c>
      <c r="T432" s="569">
        <v>40</v>
      </c>
      <c r="U432" s="569">
        <v>25</v>
      </c>
      <c r="V432" s="569">
        <v>16</v>
      </c>
      <c r="W432" s="569" t="str">
        <f>IFERROR(IF(AND($AB432&gt;=0.1*$AA432,MOD($AB432,$AA432)&gt;=($AA432-(0.1*$AA432))),IF($W$17=$AF$1,"Zvažte možnost doobjednání ještě "&amp;Tabulka1[[#This Row],[VKPAL]]-MOD(AB432,AA432)&amp;" VK do plné palety.",VLOOKUP("Zvažte možnost doobjednání ještě ",Jazyky_ceník!A:Q,MATCH($W$17,Jazyky_ceník!$A$1:$Q$1,0),FALSE)&amp;Tabulka1[[#This Row],[VKPAL]]-MOD(AB432,AA432)&amp;VLOOKUP(" VK do plné palety.",Jazyky_ceník!A:Q,MATCH($W$17,Jazyky_ceník!$A$1:$Q$1,0),FALSE)),IFERROR(IF(AND(NOT(MOD($AB432,$AA432)=0),$AB432&gt;=0.9*$AA432,MOD($AB432,$AA432)&lt;=0.1*$AA432),IF($W$17=$AF$1,"Zvažte možnost optimalizace objednaného množství podle počtu VK na paletě ==&gt;",VLOOKUP("Zvažte možnost optimalizace objednaného množství podle počtu VK na paletě ==&gt;",Jazyky_ceník!A:Q,MATCH($W$17,Jazyky_ceník!$A$1:$Q$1,0),FALSE)),VLOOKUP('General price list'!$C432,Popisy!A:M,MATCH($W$17,Popisy!$A$7:$M$7,0),FALSE)),"---------------")),IFERROR(VLOOKUP('General price list'!$C432,Popisy!A:M,MATCH($W$17,Popisy!$A$7:$M$7,0),FALSE),"---------------"))</f>
        <v>7 různobarevných efektů</v>
      </c>
      <c r="X432" s="569" t="str">
        <f t="shared" si="1188"/>
        <v/>
      </c>
      <c r="Y432" s="569" t="str">
        <f t="shared" si="1189"/>
        <v/>
      </c>
      <c r="Z432" s="569" t="str">
        <f>HYPERLINK("https://www.klasekpyrotechnics.cz/c4920k")</f>
        <v>https://www.klasekpyrotechnics.cz/c4920k</v>
      </c>
      <c r="AA432" s="569">
        <f>IFERROR(IF(VLOOKUP(C432,[4]List1!$A:$D,4,FALSE)=0,"",VLOOKUP(C432,[4]List1!$A:$D,4,FALSE)),"")</f>
        <v>36</v>
      </c>
      <c r="AB432" s="565"/>
      <c r="AC432" s="570" t="str">
        <f>IFERROR(IF(VLOOKUP(C432,[1]List1!$A:$D,2,FALSE)="VYPRODÁNO",$V$9,IF(VLOOKUP(C432,[1]List1!$A:$D,2,FALSE)="DOCHÁZÍ",$V$3,VLOOKUP(C432,[1]List1!$A:$D,2,FALSE))),"OFFLINE!")</f>
        <v>SKLADEM</v>
      </c>
      <c r="AD432" s="570" t="str">
        <f ca="1">IF(AP432="NE",$V$10,IF(AC432=$V$3,IF(AQ432&lt;1,$V$8,$V$2&amp;" "&amp;AQ432&amp;" "&amp;$V$1),IF(AC432="SKLADEM",$V$6,IFERROR(IF(OR(AC432-TODAY()&gt;45,VLOOKUP(C432,[1]List1!$A:$E,4,FALSE)=0),AC432,DAY(AC432)&amp;"."&amp;MONTH(AC432)&amp;"."&amp;YEAR(AC432)&amp;" "&amp;$V$4&amp;VLOOKUP(C432,[1]List1!$A:$E,4,FALSE)&amp;" "&amp;$V$1),AC432))))</f>
        <v>SKLADEM</v>
      </c>
      <c r="AE432" s="581" t="str">
        <f t="shared" ca="1" si="1190"/>
        <v>SKLADEM</v>
      </c>
      <c r="AF432" s="584">
        <f t="shared" si="1191"/>
        <v>0</v>
      </c>
      <c r="AG432" s="585">
        <f t="shared" si="1192"/>
        <v>0</v>
      </c>
      <c r="AH432" s="583">
        <f t="shared" si="1193"/>
        <v>0</v>
      </c>
      <c r="AI432" s="582">
        <f t="shared" si="1194"/>
        <v>0</v>
      </c>
      <c r="AJ432" s="569">
        <f t="shared" si="1195"/>
        <v>0</v>
      </c>
      <c r="AK432" s="569" t="str">
        <f t="shared" si="1196"/>
        <v/>
      </c>
      <c r="AL432" s="569">
        <f t="shared" si="1197"/>
        <v>0</v>
      </c>
      <c r="AM432" s="569" t="str">
        <f t="shared" si="1198"/>
        <v/>
      </c>
      <c r="AN432" s="581">
        <f t="shared" si="1199"/>
        <v>0</v>
      </c>
      <c r="AO432" s="623"/>
      <c r="AP432" s="632" t="str">
        <f t="shared" si="1094"/>
        <v/>
      </c>
      <c r="AQ432" s="633" t="str">
        <f>IF(AC432=$V$3,IF(VLOOKUP(C432,[1]List1!$A:$E,5,FALSE)=0,1,VLOOKUP(C432,[1]List1!$A:$E,5,FALSE)),"")</f>
        <v/>
      </c>
      <c r="AR432" s="625" t="str">
        <f t="shared" si="1095"/>
        <v/>
      </c>
      <c r="AS432" s="634" t="str">
        <f t="shared" si="1096"/>
        <v/>
      </c>
      <c r="AT432" s="625" t="str">
        <f t="shared" si="1097"/>
        <v/>
      </c>
      <c r="AU432" s="638" t="e">
        <f t="shared" si="1098"/>
        <v>#N/A</v>
      </c>
      <c r="AV432" s="625" t="e">
        <f t="shared" si="1099"/>
        <v>#N/A</v>
      </c>
      <c r="AX432" s="625">
        <f>IF(AND('General price list'!$J432="F4",'General price list'!$AB432+0&gt;0),1,0)</f>
        <v>0</v>
      </c>
      <c r="AY432" s="625">
        <f t="shared" si="1100"/>
        <v>1</v>
      </c>
      <c r="AZ432" s="625">
        <f t="shared" si="1101"/>
        <v>0</v>
      </c>
    </row>
    <row r="433" spans="1:52" ht="15.75" customHeight="1">
      <c r="A433" s="639" t="str">
        <f>Kat.!C433</f>
        <v/>
      </c>
      <c r="B433" s="640">
        <f>IF(AND('General price list'!$J433="F4",$AI$1=FALSE),0,IF(AC433="SKLADEM",1,IF(AC433=$V$3,1,0)))</f>
        <v>1</v>
      </c>
      <c r="C433" s="641" t="s">
        <v>1018</v>
      </c>
      <c r="D433" s="642" t="s">
        <v>1019</v>
      </c>
      <c r="E433" s="643" t="s">
        <v>12678</v>
      </c>
      <c r="F433" s="791">
        <f>IFERROR(VLOOKUP(C433,[2]List1!$A:$D,3,FALSE),"NEUVEDENO!")</f>
        <v>354</v>
      </c>
      <c r="G433" s="770">
        <f t="shared" si="1186"/>
        <v>354</v>
      </c>
      <c r="H433" s="767">
        <f t="shared" si="1187"/>
        <v>15.037402352461418</v>
      </c>
      <c r="I433" s="644">
        <f>IFERROR(VLOOKUP(C433,[2]List1!$A:$D,4,FALSE),"NEUVEDENO!")</f>
        <v>8</v>
      </c>
      <c r="J433" s="733" t="s">
        <v>39</v>
      </c>
      <c r="K433" s="645" t="s">
        <v>11100</v>
      </c>
      <c r="L433" s="645" t="s">
        <v>10988</v>
      </c>
      <c r="M433" s="645" t="s">
        <v>114</v>
      </c>
      <c r="N433" s="645">
        <f>IFERROR(VLOOKUP(C433,[3]List1!$A:$D,4,FALSE),"N/A!")</f>
        <v>3.4985249999999996E-2</v>
      </c>
      <c r="O433" s="645">
        <f>IFERROR(VLOOKUP(C433,[3]List1!$A:$D,3,FALSE),"N/A!")</f>
        <v>3136</v>
      </c>
      <c r="P433" s="645">
        <f>IFERROR(VLOOKUP(C433,[3]List1!$A:$D,2,FALSE),"N/A!")</f>
        <v>17000</v>
      </c>
      <c r="Q433" s="645" t="s">
        <v>11241</v>
      </c>
      <c r="R433" s="645"/>
      <c r="S433" s="645" t="str">
        <f>IF($W$17=$AF$1,"design",IFERROR(VLOOKUP("design",Jazyky_ceník!$A:$Q,MATCH($W$17,Jazyky_ceník!$A$1:$Q$1,0),FALSE),"!!!"))</f>
        <v>design</v>
      </c>
      <c r="T433" s="645">
        <v>40</v>
      </c>
      <c r="U433" s="645">
        <v>25</v>
      </c>
      <c r="V433" s="645">
        <v>16</v>
      </c>
      <c r="W433" s="645" t="str">
        <f>IFERROR(IF(AND($AB433&gt;=0.1*$AA433,MOD($AB433,$AA433)&gt;=($AA433-(0.1*$AA433))),IF($W$17=$AF$1,"Zvažte možnost doobjednání ještě "&amp;Tabulka1[[#This Row],[VKPAL]]-MOD(AB433,AA433)&amp;" VK do plné palety.",VLOOKUP("Zvažte možnost doobjednání ještě ",Jazyky_ceník!A:Q,MATCH($W$17,Jazyky_ceník!$A$1:$Q$1,0),FALSE)&amp;Tabulka1[[#This Row],[VKPAL]]-MOD(AB433,AA433)&amp;VLOOKUP(" VK do plné palety.",Jazyky_ceník!A:Q,MATCH($W$17,Jazyky_ceník!$A$1:$Q$1,0),FALSE)),IFERROR(IF(AND(NOT(MOD($AB433,$AA433)=0),$AB433&gt;=0.9*$AA433,MOD($AB433,$AA433)&lt;=0.1*$AA433),IF($W$17=$AF$1,"Zvažte možnost optimalizace objednaného množství podle počtu VK na paletě ==&gt;",VLOOKUP("Zvažte možnost optimalizace objednaného množství podle počtu VK na paletě ==&gt;",Jazyky_ceník!A:Q,MATCH($W$17,Jazyky_ceník!$A$1:$Q$1,0),FALSE)),VLOOKUP('General price list'!$C433,Popisy!A:M,MATCH($W$17,Popisy!$A$7:$M$7,0),FALSE)),"---------------")),IFERROR(VLOOKUP('General price list'!$C433,Popisy!A:M,MATCH($W$17,Popisy!$A$7:$M$7,0),FALSE),"---------------"))</f>
        <v>7 různobarevných efektů</v>
      </c>
      <c r="X433" s="645" t="str">
        <f t="shared" si="1188"/>
        <v/>
      </c>
      <c r="Y433" s="645" t="str">
        <f t="shared" si="1189"/>
        <v/>
      </c>
      <c r="Z433" s="645" t="str">
        <f>HYPERLINK("https://www.klasekpyrotechnics.cz/c4920s")</f>
        <v>https://www.klasekpyrotechnics.cz/c4920s</v>
      </c>
      <c r="AA433" s="645">
        <f>IFERROR(IF(VLOOKUP(C433,[4]List1!$A:$D,4,FALSE)=0,"",VLOOKUP(C433,[4]List1!$A:$D,4,FALSE)),"")</f>
        <v>36</v>
      </c>
      <c r="AB433" s="646"/>
      <c r="AC433" s="647" t="str">
        <f>IFERROR(IF(VLOOKUP(C433,[1]List1!$A:$D,2,FALSE)="VYPRODÁNO",$V$9,IF(VLOOKUP(C433,[1]List1!$A:$D,2,FALSE)="DOCHÁZÍ",$V$3,VLOOKUP(C433,[1]List1!$A:$D,2,FALSE))),"OFFLINE!")</f>
        <v>SKLADEM</v>
      </c>
      <c r="AD433" s="647" t="str">
        <f ca="1">IF(AP433="NE",$V$10,IF(AC433=$V$3,IF(AQ433&lt;1,$V$8,$V$2&amp;" "&amp;AQ433&amp;" "&amp;$V$1),IF(AC433="SKLADEM",$V$6,IFERROR(IF(OR(AC433-TODAY()&gt;45,VLOOKUP(C433,[1]List1!$A:$E,4,FALSE)=0),AC433,DAY(AC433)&amp;"."&amp;MONTH(AC433)&amp;"."&amp;YEAR(AC433)&amp;" "&amp;$V$4&amp;VLOOKUP(C433,[1]List1!$A:$E,4,FALSE)&amp;" "&amp;$V$1),AC433))))</f>
        <v>SKLADEM</v>
      </c>
      <c r="AE433" s="645" t="str">
        <f t="shared" ca="1" si="1190"/>
        <v>SKLADEM</v>
      </c>
      <c r="AF433" s="648">
        <f t="shared" si="1191"/>
        <v>0</v>
      </c>
      <c r="AG433" s="649">
        <f t="shared" si="1192"/>
        <v>0</v>
      </c>
      <c r="AH433" s="650">
        <f t="shared" si="1193"/>
        <v>0</v>
      </c>
      <c r="AI433" s="645">
        <f t="shared" si="1194"/>
        <v>0</v>
      </c>
      <c r="AJ433" s="645">
        <f t="shared" si="1195"/>
        <v>0</v>
      </c>
      <c r="AK433" s="645" t="str">
        <f t="shared" si="1196"/>
        <v/>
      </c>
      <c r="AL433" s="645">
        <f t="shared" si="1197"/>
        <v>0</v>
      </c>
      <c r="AM433" s="645" t="str">
        <f t="shared" si="1198"/>
        <v/>
      </c>
      <c r="AN433" s="651">
        <f t="shared" si="1199"/>
        <v>0</v>
      </c>
      <c r="AO433" s="623"/>
      <c r="AP433" s="625" t="str">
        <f t="shared" si="1094"/>
        <v/>
      </c>
      <c r="AQ433" s="625" t="str">
        <f>IF(AC433=$V$3,IF(VLOOKUP(C433,[1]List1!$A:$E,5,FALSE)=0,1,VLOOKUP(C433,[1]List1!$A:$E,5,FALSE)),"")</f>
        <v/>
      </c>
      <c r="AR433" s="629" t="str">
        <f t="shared" si="1095"/>
        <v/>
      </c>
      <c r="AS433" s="630" t="str">
        <f t="shared" si="1096"/>
        <v/>
      </c>
      <c r="AT433" s="625" t="str">
        <f t="shared" si="1097"/>
        <v/>
      </c>
      <c r="AU433" s="625" t="e">
        <f t="shared" si="1098"/>
        <v>#N/A</v>
      </c>
      <c r="AV433" s="625" t="e">
        <f t="shared" si="1099"/>
        <v>#N/A</v>
      </c>
      <c r="AW433" s="631"/>
      <c r="AX433" s="631">
        <f>IF(AND('General price list'!$J433="F4",'General price list'!$AB433+0&gt;0),1,0)</f>
        <v>0</v>
      </c>
      <c r="AY433" s="631">
        <f t="shared" si="1100"/>
        <v>1</v>
      </c>
      <c r="AZ433" s="631">
        <f t="shared" si="1101"/>
        <v>0</v>
      </c>
    </row>
    <row r="434" spans="1:52" ht="15" customHeight="1">
      <c r="A434" s="751" t="str">
        <f>Kat.!C434</f>
        <v xml:space="preserve">           Baterie 49 ran, 20 mm moždíř – 1.4G</v>
      </c>
      <c r="B434" s="751"/>
      <c r="C434" s="751"/>
      <c r="D434" s="751"/>
      <c r="E434" s="751"/>
      <c r="F434" s="751"/>
      <c r="G434" s="751"/>
      <c r="H434" s="751"/>
      <c r="I434" s="752"/>
      <c r="J434" s="752"/>
      <c r="K434" s="752" t="s">
        <v>20</v>
      </c>
      <c r="L434" s="753" t="s">
        <v>2818</v>
      </c>
      <c r="M434" s="752"/>
      <c r="N434" s="752"/>
      <c r="O434" s="752"/>
      <c r="P434" s="752"/>
      <c r="Q434" s="752"/>
      <c r="R434" s="752"/>
      <c r="S434" s="752"/>
      <c r="T434" s="752"/>
      <c r="U434" s="752"/>
      <c r="V434" s="752"/>
      <c r="W434" s="752"/>
      <c r="X434" s="752"/>
      <c r="Y434" s="752"/>
      <c r="Z434" s="752" t="s">
        <v>20</v>
      </c>
      <c r="AA434" s="752"/>
      <c r="AB434" s="752"/>
      <c r="AC434" s="754"/>
      <c r="AD434" s="752"/>
      <c r="AE434" s="752"/>
      <c r="AF434" s="752"/>
      <c r="AG434" s="752"/>
      <c r="AH434" s="752"/>
      <c r="AI434" s="752"/>
      <c r="AJ434" s="752"/>
      <c r="AK434" s="752"/>
      <c r="AL434" s="752"/>
      <c r="AM434" s="752"/>
      <c r="AN434" s="752"/>
      <c r="AO434" s="623"/>
      <c r="AP434" s="632" t="str">
        <f t="shared" si="1094"/>
        <v/>
      </c>
      <c r="AQ434" s="633" t="str">
        <f>IF(AC434=$V$3,IF(VLOOKUP(C434,[1]List1!$A:$E,5,FALSE)=0,1,VLOOKUP(C434,[1]List1!$A:$E,5,FALSE)),"")</f>
        <v/>
      </c>
      <c r="AR434" s="625" t="str">
        <f t="shared" si="1095"/>
        <v/>
      </c>
      <c r="AS434" s="634" t="str">
        <f t="shared" si="1096"/>
        <v/>
      </c>
      <c r="AT434" s="625" t="str">
        <f t="shared" si="1097"/>
        <v/>
      </c>
      <c r="AU434" s="638" t="e">
        <f t="shared" si="1098"/>
        <v>#N/A</v>
      </c>
      <c r="AV434" s="625" t="e">
        <f t="shared" si="1099"/>
        <v>#N/A</v>
      </c>
      <c r="AX434" s="625">
        <f>IF(AND('General price list'!$J434="F4",'General price list'!$AB434+0&gt;0),1,0)</f>
        <v>0</v>
      </c>
      <c r="AY434" s="625">
        <f t="shared" si="1100"/>
        <v>0</v>
      </c>
      <c r="AZ434" s="625">
        <f t="shared" si="1101"/>
        <v>0</v>
      </c>
    </row>
    <row r="435" spans="1:52" ht="15.75" customHeight="1">
      <c r="A435" s="639" t="str">
        <f>Kat.!C435</f>
        <v/>
      </c>
      <c r="B435" s="640">
        <f>IF(AND('General price list'!$J435="F4",$AI$1=FALSE),0,IF(AC435="SKLADEM",1,IF(AC435=$V$3,1,0)))</f>
        <v>1</v>
      </c>
      <c r="C435" s="641" t="s">
        <v>1021</v>
      </c>
      <c r="D435" s="642" t="s">
        <v>1016</v>
      </c>
      <c r="E435" s="643" t="s">
        <v>12678</v>
      </c>
      <c r="F435" s="791">
        <f>IFERROR(VLOOKUP(C435,[2]List1!$A:$D,3,FALSE),"NEUVEDENO!")</f>
        <v>354</v>
      </c>
      <c r="G435" s="768">
        <f t="shared" ref="G435:G436" si="1200">IF($W$17=$AF$8,ROUND((F435)/$F$17,2),(F435)*$B$19)</f>
        <v>354</v>
      </c>
      <c r="H435" s="765">
        <f t="shared" ref="H435:H436" si="1201">IF($W$17=$AF$8,G435*$B$19,G435/$F$17)</f>
        <v>15.037402352461418</v>
      </c>
      <c r="I435" s="644">
        <f>IFERROR(VLOOKUP(C435,[2]List1!$A:$D,4,FALSE),"NEUVEDENO!")</f>
        <v>8</v>
      </c>
      <c r="J435" s="733" t="s">
        <v>39</v>
      </c>
      <c r="K435" s="645" t="s">
        <v>11100</v>
      </c>
      <c r="L435" s="645" t="s">
        <v>10973</v>
      </c>
      <c r="M435" s="645" t="s">
        <v>21</v>
      </c>
      <c r="N435" s="645">
        <f>IFERROR(VLOOKUP(C435,[3]List1!$A:$D,4,FALSE),"N/A!")</f>
        <v>3.4985249999999996E-2</v>
      </c>
      <c r="O435" s="645">
        <f>IFERROR(VLOOKUP(C435,[3]List1!$A:$D,3,FALSE),"N/A!")</f>
        <v>3136</v>
      </c>
      <c r="P435" s="645">
        <f>IFERROR(VLOOKUP(C435,[3]List1!$A:$D,2,FALSE),"N/A!")</f>
        <v>17700</v>
      </c>
      <c r="Q435" s="645" t="s">
        <v>11764</v>
      </c>
      <c r="R435" s="645" t="s">
        <v>20</v>
      </c>
      <c r="S435" s="645" t="str">
        <f>IF($W$17=$AF$1,"design",IFERROR(VLOOKUP("design",Jazyky_ceník!$A:$Q,MATCH($W$17,Jazyky_ceník!$A$1:$Q$1,0),FALSE),"!!!"))</f>
        <v>design</v>
      </c>
      <c r="T435" s="645">
        <v>45</v>
      </c>
      <c r="U435" s="645">
        <v>25</v>
      </c>
      <c r="V435" s="645">
        <v>13</v>
      </c>
      <c r="W435" s="645" t="str">
        <f>IFERROR(IF(AND($AB435&gt;=0.1*$AA435,MOD($AB435,$AA435)&gt;=($AA435-(0.1*$AA435))),IF($W$17=$AF$1,"Zvažte možnost doobjednání ještě "&amp;Tabulka1[[#This Row],[VKPAL]]-MOD(AB435,AA435)&amp;" VK do plné palety.",VLOOKUP("Zvažte možnost doobjednání ještě ",Jazyky_ceník!A:Q,MATCH($W$17,Jazyky_ceník!$A$1:$Q$1,0),FALSE)&amp;Tabulka1[[#This Row],[VKPAL]]-MOD(AB435,AA435)&amp;VLOOKUP(" VK do plné palety.",Jazyky_ceník!A:Q,MATCH($W$17,Jazyky_ceník!$A$1:$Q$1,0),FALSE)),IFERROR(IF(AND(NOT(MOD($AB435,$AA435)=0),$AB435&gt;=0.9*$AA435,MOD($AB435,$AA435)&lt;=0.1*$AA435),IF($W$17=$AF$1,"Zvažte možnost optimalizace objednaného množství podle počtu VK na paletě ==&gt;",VLOOKUP("Zvažte možnost optimalizace objednaného množství podle počtu VK na paletě ==&gt;",Jazyky_ceník!A:Q,MATCH($W$17,Jazyky_ceník!$A$1:$Q$1,0),FALSE)),VLOOKUP('General price list'!$C435,Popisy!A:M,MATCH($W$17,Popisy!$A$7:$M$7,0),FALSE)),"---------------")),IFERROR(VLOOKUP('General price list'!$C435,Popisy!A:M,MATCH($W$17,Popisy!$A$7:$M$7,0),FALSE),"---------------"))</f>
        <v>7 různobarevných efektů</v>
      </c>
      <c r="X435" s="645" t="str">
        <f t="shared" ref="X435:X436" si="1202">IF(AB435&lt;0.0001,"",AB435)</f>
        <v/>
      </c>
      <c r="Y435" s="645" t="str">
        <f t="shared" ref="Y435:Y436" si="1203">IF($AL$3=2,IF(OR(AB435&lt;&gt;"",AB435&lt;&gt;0),AU435,""),IF(C435="","",IF(AB435&lt;0.0001,"",IF(B435=0,"",IF(AQ435&lt;AB435,"",AB435)))))</f>
        <v/>
      </c>
      <c r="Z435" s="645" t="str">
        <f>HYPERLINK("https://www.klasekpyrotechnics.cz/c4920dr14")</f>
        <v>https://www.klasekpyrotechnics.cz/c4920dr14</v>
      </c>
      <c r="AA435" s="645">
        <f>IFERROR(IF(VLOOKUP(C435,[4]List1!$A:$D,4,FALSE)=0,"",VLOOKUP(C435,[4]List1!$A:$D,4,FALSE)),"")</f>
        <v>36</v>
      </c>
      <c r="AB435" s="646"/>
      <c r="AC435" s="647" t="str">
        <f>IFERROR(IF(VLOOKUP(C435,[1]List1!$A:$D,2,FALSE)="VYPRODÁNO",$V$9,IF(VLOOKUP(C435,[1]List1!$A:$D,2,FALSE)="DOCHÁZÍ",$V$3,VLOOKUP(C435,[1]List1!$A:$D,2,FALSE))),"OFFLINE!")</f>
        <v>SKLADEM</v>
      </c>
      <c r="AD435" s="647" t="str">
        <f ca="1">IF(AP435="NE",$V$10,IF(AC435=$V$3,IF(AQ435&lt;1,$V$8,$V$2&amp;" "&amp;AQ435&amp;" "&amp;$V$1),IF(AC435="SKLADEM",$V$6,IFERROR(IF(OR(AC435-TODAY()&gt;45,VLOOKUP(C435,[1]List1!$A:$E,4,FALSE)=0),AC435,DAY(AC435)&amp;"."&amp;MONTH(AC435)&amp;"."&amp;YEAR(AC435)&amp;" "&amp;$V$4&amp;VLOOKUP(C435,[1]List1!$A:$E,4,FALSE)&amp;" "&amp;$V$1),AC435))))</f>
        <v>SKLADEM</v>
      </c>
      <c r="AE435" s="645" t="str">
        <f t="shared" ref="AE435:AE436" ca="1" si="1204">IFERROR(IF(AV435&lt;&gt;"",AV435,AD435),AD435)</f>
        <v>SKLADEM</v>
      </c>
      <c r="AF435" s="648">
        <f t="shared" ref="AF435:AF436" si="1205">IFERROR(IF(AB435=Y435,G435*I435*Y435,0),0)</f>
        <v>0</v>
      </c>
      <c r="AG435" s="649">
        <f t="shared" ref="AG435:AG436" si="1206">IF($W$17=$AF$8,AH435*1.23,AF435*1.21)</f>
        <v>0</v>
      </c>
      <c r="AH435" s="650">
        <f t="shared" ref="AH435:AH436" si="1207">IFERROR(IF(Y435=AB435,H435*I435*Y435,0),0)</f>
        <v>0</v>
      </c>
      <c r="AI435" s="645">
        <f t="shared" ref="AI435:AI436" si="1208">IFERROR(IF(Y435=AB435,(P435*Y435)/1000,1),0)</f>
        <v>0</v>
      </c>
      <c r="AJ435" s="645">
        <f t="shared" ref="AJ435:AJ436" si="1209">IFERROR(IF(Y435=AB435,N435*Y435,0.1),0)</f>
        <v>0</v>
      </c>
      <c r="AK435" s="645" t="str">
        <f t="shared" ref="AK435:AK436" si="1210">IFERROR(IF(Y435=AB435,IF(M435="1.1G",(O435/1000)*Y435,""),""),0)</f>
        <v/>
      </c>
      <c r="AL435" s="645" t="str">
        <f t="shared" ref="AL435:AL436" si="1211">IFERROR(IF(Y435=AB435,IF(M435="1.3G",(O435/1000)*AB435,""),""),0)</f>
        <v/>
      </c>
      <c r="AM435" s="645">
        <f t="shared" ref="AM435:AM436" si="1212">IFERROR(IF(Y435=AB435,IF(M435="1.4G",(O435/1000)*AB435,""),""),0)</f>
        <v>0</v>
      </c>
      <c r="AN435" s="651">
        <f t="shared" ref="AN435:AN436" si="1213">SUM(AK435:AM435)</f>
        <v>0</v>
      </c>
      <c r="AO435" s="623"/>
      <c r="AP435" s="625" t="str">
        <f t="shared" si="1094"/>
        <v/>
      </c>
      <c r="AQ435" s="625" t="str">
        <f>IF(AC435=$V$3,IF(VLOOKUP(C435,[1]List1!$A:$E,5,FALSE)=0,1,VLOOKUP(C435,[1]List1!$A:$E,5,FALSE)),"")</f>
        <v/>
      </c>
      <c r="AR435" s="629" t="str">
        <f t="shared" si="1095"/>
        <v/>
      </c>
      <c r="AS435" s="630" t="str">
        <f t="shared" si="1096"/>
        <v/>
      </c>
      <c r="AT435" s="625" t="str">
        <f t="shared" si="1097"/>
        <v/>
      </c>
      <c r="AU435" s="625" t="e">
        <f t="shared" si="1098"/>
        <v>#N/A</v>
      </c>
      <c r="AV435" s="625" t="e">
        <f t="shared" si="1099"/>
        <v>#N/A</v>
      </c>
      <c r="AW435" s="631"/>
      <c r="AX435" s="631">
        <f>IF(AND('General price list'!$J435="F4",'General price list'!$AB435+0&gt;0),1,0)</f>
        <v>0</v>
      </c>
      <c r="AY435" s="631">
        <f t="shared" si="1100"/>
        <v>1</v>
      </c>
      <c r="AZ435" s="631">
        <f t="shared" si="1101"/>
        <v>0</v>
      </c>
    </row>
    <row r="436" spans="1:52" ht="15.75" customHeight="1">
      <c r="A436" s="621" t="str">
        <f>Kat.!C436</f>
        <v/>
      </c>
      <c r="B436" s="566">
        <f>IF(AND('General price list'!$J436="F4",$AI$1=FALSE),0,IF(AC436="SKLADEM",1,IF(AC436=$V$3,1,0)))</f>
        <v>1</v>
      </c>
      <c r="C436" s="567" t="s">
        <v>1023</v>
      </c>
      <c r="D436" s="568" t="s">
        <v>1019</v>
      </c>
      <c r="E436" s="763" t="s">
        <v>12678</v>
      </c>
      <c r="F436" s="791">
        <f>IFERROR(VLOOKUP(C436,[2]List1!$A:$D,3,FALSE),"NEUVEDENO!")</f>
        <v>354</v>
      </c>
      <c r="G436" s="769">
        <f t="shared" si="1200"/>
        <v>354</v>
      </c>
      <c r="H436" s="766">
        <f t="shared" si="1201"/>
        <v>15.037402352461418</v>
      </c>
      <c r="I436" s="764">
        <f>IFERROR(VLOOKUP(C436,[2]List1!$A:$D,4,FALSE),"NEUVEDENO!")</f>
        <v>8</v>
      </c>
      <c r="J436" s="732" t="s">
        <v>39</v>
      </c>
      <c r="K436" s="569" t="s">
        <v>11100</v>
      </c>
      <c r="L436" s="569" t="s">
        <v>10992</v>
      </c>
      <c r="M436" s="569" t="s">
        <v>21</v>
      </c>
      <c r="N436" s="569">
        <f>IFERROR(VLOOKUP(C436,[3]List1!$A:$D,4,FALSE),"N/A!")</f>
        <v>3.4985249999999996E-2</v>
      </c>
      <c r="O436" s="569">
        <f>IFERROR(VLOOKUP(C436,[3]List1!$A:$D,3,FALSE),"N/A!")</f>
        <v>3136</v>
      </c>
      <c r="P436" s="569">
        <f>IFERROR(VLOOKUP(C436,[3]List1!$A:$D,2,FALSE),"N/A!")</f>
        <v>16500</v>
      </c>
      <c r="Q436" s="569" t="s">
        <v>11764</v>
      </c>
      <c r="R436" s="569" t="s">
        <v>20</v>
      </c>
      <c r="S436" s="569" t="str">
        <f>IF($W$17=$AF$1,"design",IFERROR(VLOOKUP("design",Jazyky_ceník!$A:$Q,MATCH($W$17,Jazyky_ceník!$A$1:$Q$1,0),FALSE),"!!!"))</f>
        <v>design</v>
      </c>
      <c r="T436" s="569">
        <v>40</v>
      </c>
      <c r="U436" s="569">
        <v>25</v>
      </c>
      <c r="V436" s="569">
        <v>13</v>
      </c>
      <c r="W436" s="569" t="str">
        <f>IFERROR(IF(AND($AB436&gt;=0.1*$AA436,MOD($AB436,$AA436)&gt;=($AA436-(0.1*$AA436))),IF($W$17=$AF$1,"Zvažte možnost doobjednání ještě "&amp;Tabulka1[[#This Row],[VKPAL]]-MOD(AB436,AA436)&amp;" VK do plné palety.",VLOOKUP("Zvažte možnost doobjednání ještě ",Jazyky_ceník!A:Q,MATCH($W$17,Jazyky_ceník!$A$1:$Q$1,0),FALSE)&amp;Tabulka1[[#This Row],[VKPAL]]-MOD(AB436,AA436)&amp;VLOOKUP(" VK do plné palety.",Jazyky_ceník!A:Q,MATCH($W$17,Jazyky_ceník!$A$1:$Q$1,0),FALSE)),IFERROR(IF(AND(NOT(MOD($AB436,$AA436)=0),$AB436&gt;=0.9*$AA436,MOD($AB436,$AA436)&lt;=0.1*$AA436),IF($W$17=$AF$1,"Zvažte možnost optimalizace objednaného množství podle počtu VK na paletě ==&gt;",VLOOKUP("Zvažte možnost optimalizace objednaného množství podle počtu VK na paletě ==&gt;",Jazyky_ceník!A:Q,MATCH($W$17,Jazyky_ceník!$A$1:$Q$1,0),FALSE)),VLOOKUP('General price list'!$C436,Popisy!A:M,MATCH($W$17,Popisy!$A$7:$M$7,0),FALSE)),"---------------")),IFERROR(VLOOKUP('General price list'!$C436,Popisy!A:M,MATCH($W$17,Popisy!$A$7:$M$7,0),FALSE),"---------------"))</f>
        <v>7 různobarevných efektů</v>
      </c>
      <c r="X436" s="569" t="str">
        <f t="shared" si="1202"/>
        <v/>
      </c>
      <c r="Y436" s="569" t="str">
        <f t="shared" si="1203"/>
        <v/>
      </c>
      <c r="Z436" s="569" t="str">
        <f>HYPERLINK("https://www.klasekpyrotechnics.cz/c4920s14")</f>
        <v>https://www.klasekpyrotechnics.cz/c4920s14</v>
      </c>
      <c r="AA436" s="569">
        <f>IFERROR(IF(VLOOKUP(C436,[4]List1!$A:$D,4,FALSE)=0,"",VLOOKUP(C436,[4]List1!$A:$D,4,FALSE)),"")</f>
        <v>36</v>
      </c>
      <c r="AB436" s="565"/>
      <c r="AC436" s="570" t="str">
        <f>IFERROR(IF(VLOOKUP(C436,[1]List1!$A:$D,2,FALSE)="VYPRODÁNO",$V$9,IF(VLOOKUP(C436,[1]List1!$A:$D,2,FALSE)="DOCHÁZÍ",$V$3,VLOOKUP(C436,[1]List1!$A:$D,2,FALSE))),"OFFLINE!")</f>
        <v>SKLADEM</v>
      </c>
      <c r="AD436" s="570" t="str">
        <f ca="1">IF(AP436="NE",$V$10,IF(AC436=$V$3,IF(AQ436&lt;1,$V$8,$V$2&amp;" "&amp;AQ436&amp;" "&amp;$V$1),IF(AC436="SKLADEM",$V$6,IFERROR(IF(OR(AC436-TODAY()&gt;45,VLOOKUP(C436,[1]List1!$A:$E,4,FALSE)=0),AC436,DAY(AC436)&amp;"."&amp;MONTH(AC436)&amp;"."&amp;YEAR(AC436)&amp;" "&amp;$V$4&amp;VLOOKUP(C436,[1]List1!$A:$E,4,FALSE)&amp;" "&amp;$V$1),AC436))))</f>
        <v>SKLADEM</v>
      </c>
      <c r="AE436" s="581" t="str">
        <f t="shared" ca="1" si="1204"/>
        <v>SKLADEM</v>
      </c>
      <c r="AF436" s="584">
        <f t="shared" si="1205"/>
        <v>0</v>
      </c>
      <c r="AG436" s="585">
        <f t="shared" si="1206"/>
        <v>0</v>
      </c>
      <c r="AH436" s="583">
        <f t="shared" si="1207"/>
        <v>0</v>
      </c>
      <c r="AI436" s="582">
        <f t="shared" si="1208"/>
        <v>0</v>
      </c>
      <c r="AJ436" s="569">
        <f t="shared" si="1209"/>
        <v>0</v>
      </c>
      <c r="AK436" s="569" t="str">
        <f t="shared" si="1210"/>
        <v/>
      </c>
      <c r="AL436" s="569" t="str">
        <f t="shared" si="1211"/>
        <v/>
      </c>
      <c r="AM436" s="569">
        <f t="shared" si="1212"/>
        <v>0</v>
      </c>
      <c r="AN436" s="581">
        <f t="shared" si="1213"/>
        <v>0</v>
      </c>
      <c r="AO436" s="623"/>
      <c r="AP436" s="625" t="str">
        <f t="shared" si="1094"/>
        <v/>
      </c>
      <c r="AQ436" s="625" t="str">
        <f>IF(AC436=$V$3,IF(VLOOKUP(C436,[1]List1!$A:$E,5,FALSE)=0,1,VLOOKUP(C436,[1]List1!$A:$E,5,FALSE)),"")</f>
        <v/>
      </c>
      <c r="AR436" s="629" t="str">
        <f t="shared" si="1095"/>
        <v/>
      </c>
      <c r="AS436" s="630" t="str">
        <f t="shared" si="1096"/>
        <v/>
      </c>
      <c r="AT436" s="625" t="str">
        <f t="shared" si="1097"/>
        <v/>
      </c>
      <c r="AU436" s="625" t="e">
        <f t="shared" si="1098"/>
        <v>#N/A</v>
      </c>
      <c r="AV436" s="625" t="e">
        <f t="shared" si="1099"/>
        <v>#N/A</v>
      </c>
      <c r="AW436" s="631"/>
      <c r="AX436" s="631">
        <f>IF(AND('General price list'!$J436="F4",'General price list'!$AB436+0&gt;0),1,0)</f>
        <v>0</v>
      </c>
      <c r="AY436" s="631">
        <f t="shared" si="1100"/>
        <v>1</v>
      </c>
      <c r="AZ436" s="631">
        <f t="shared" si="1101"/>
        <v>0</v>
      </c>
    </row>
    <row r="437" spans="1:52" ht="15.75" customHeight="1">
      <c r="A437" s="751" t="str">
        <f>Kat.!C437</f>
        <v xml:space="preserve">           Baterie 49 ran, 20 mm šikmý moždíř – 1.3G</v>
      </c>
      <c r="B437" s="751"/>
      <c r="C437" s="751"/>
      <c r="D437" s="751"/>
      <c r="E437" s="751"/>
      <c r="F437" s="751"/>
      <c r="G437" s="751"/>
      <c r="H437" s="751"/>
      <c r="I437" s="752"/>
      <c r="J437" s="752"/>
      <c r="K437" s="752" t="s">
        <v>20</v>
      </c>
      <c r="L437" s="753" t="s">
        <v>2818</v>
      </c>
      <c r="M437" s="752"/>
      <c r="N437" s="752"/>
      <c r="O437" s="752"/>
      <c r="P437" s="752"/>
      <c r="Q437" s="752"/>
      <c r="R437" s="752"/>
      <c r="S437" s="752"/>
      <c r="T437" s="752"/>
      <c r="U437" s="752"/>
      <c r="V437" s="752"/>
      <c r="W437" s="752"/>
      <c r="X437" s="752"/>
      <c r="Y437" s="752"/>
      <c r="Z437" s="752" t="s">
        <v>20</v>
      </c>
      <c r="AA437" s="752"/>
      <c r="AB437" s="752"/>
      <c r="AC437" s="754"/>
      <c r="AD437" s="752"/>
      <c r="AE437" s="752"/>
      <c r="AF437" s="752"/>
      <c r="AG437" s="752"/>
      <c r="AH437" s="752"/>
      <c r="AI437" s="752"/>
      <c r="AJ437" s="752"/>
      <c r="AK437" s="752"/>
      <c r="AL437" s="752"/>
      <c r="AM437" s="752"/>
      <c r="AN437" s="752"/>
      <c r="AO437" s="623"/>
      <c r="AP437" s="625" t="str">
        <f t="shared" si="1094"/>
        <v/>
      </c>
      <c r="AQ437" s="625" t="str">
        <f>IF(AC437=$V$3,IF(VLOOKUP(C437,[1]List1!$A:$E,5,FALSE)=0,1,VLOOKUP(C437,[1]List1!$A:$E,5,FALSE)),"")</f>
        <v/>
      </c>
      <c r="AR437" s="629" t="str">
        <f t="shared" si="1095"/>
        <v/>
      </c>
      <c r="AS437" s="630" t="str">
        <f t="shared" si="1096"/>
        <v/>
      </c>
      <c r="AT437" s="625" t="str">
        <f t="shared" si="1097"/>
        <v/>
      </c>
      <c r="AU437" s="625" t="e">
        <f t="shared" si="1098"/>
        <v>#N/A</v>
      </c>
      <c r="AV437" s="625" t="e">
        <f t="shared" si="1099"/>
        <v>#N/A</v>
      </c>
      <c r="AW437" s="631"/>
      <c r="AX437" s="631">
        <f>IF(AND('General price list'!$J437="F4",'General price list'!$AB437+0&gt;0),1,0)</f>
        <v>0</v>
      </c>
      <c r="AY437" s="631">
        <f t="shared" si="1100"/>
        <v>0</v>
      </c>
      <c r="AZ437" s="631">
        <f t="shared" si="1101"/>
        <v>0</v>
      </c>
    </row>
    <row r="438" spans="1:52" ht="15" customHeight="1">
      <c r="A438" s="639" t="str">
        <f>Kat.!C438</f>
        <v/>
      </c>
      <c r="B438" s="640">
        <f>IF(AND('General price list'!$J438="F4",$AI$1=FALSE),0,IF(AC438="SKLADEM",1,IF(AC438=$V$3,1,0)))</f>
        <v>1</v>
      </c>
      <c r="C438" s="641" t="s">
        <v>1024</v>
      </c>
      <c r="D438" s="642" t="s">
        <v>1025</v>
      </c>
      <c r="E438" s="643" t="s">
        <v>12746</v>
      </c>
      <c r="F438" s="791">
        <f>IFERROR(VLOOKUP(C438,[2]List1!$A:$D,3,FALSE),"NEUVEDENO!")</f>
        <v>439</v>
      </c>
      <c r="G438" s="768">
        <f t="shared" ref="G438:G440" si="1214">IF($W$17=$AF$8,ROUND((F438)/$F$17,2),(F438)*$B$19)</f>
        <v>439</v>
      </c>
      <c r="H438" s="765">
        <f t="shared" ref="H438:H440" si="1215">IF($W$17=$AF$8,G438*$B$19,G438/$F$17)</f>
        <v>18.648078058560912</v>
      </c>
      <c r="I438" s="644">
        <f>IFERROR(VLOOKUP(C438,[2]List1!$A:$D,4,FALSE),"NEUVEDENO!")</f>
        <v>6</v>
      </c>
      <c r="J438" s="733" t="s">
        <v>39</v>
      </c>
      <c r="K438" s="645" t="s">
        <v>11100</v>
      </c>
      <c r="L438" s="645" t="s">
        <v>10988</v>
      </c>
      <c r="M438" s="645" t="s">
        <v>114</v>
      </c>
      <c r="N438" s="645">
        <f>IFERROR(VLOOKUP(C438,[3]List1!$A:$D,4,FALSE),"N/A!")</f>
        <v>4.2601E-2</v>
      </c>
      <c r="O438" s="645">
        <f>IFERROR(VLOOKUP(C438,[3]List1!$A:$D,3,FALSE),"N/A!")</f>
        <v>2352</v>
      </c>
      <c r="P438" s="645">
        <f>IFERROR(VLOOKUP(C438,[3]List1!$A:$D,2,FALSE),"N/A!")</f>
        <v>15500</v>
      </c>
      <c r="Q438" s="645" t="s">
        <v>11244</v>
      </c>
      <c r="R438" s="645"/>
      <c r="S438" s="645" t="str">
        <f>IF($W$17=$AF$1,"design",IFERROR(VLOOKUP("design",Jazyky_ceník!$A:$Q,MATCH($W$17,Jazyky_ceník!$A$1:$Q$1,0),FALSE),"!!!"))</f>
        <v>design</v>
      </c>
      <c r="T438" s="645">
        <v>40</v>
      </c>
      <c r="U438" s="645">
        <v>25</v>
      </c>
      <c r="V438" s="645">
        <v>16</v>
      </c>
      <c r="W438" s="645" t="str">
        <f>IFERROR(IF(AND($AB438&gt;=0.1*$AA438,MOD($AB438,$AA438)&gt;=($AA438-(0.1*$AA438))),IF($W$17=$AF$1,"Zvažte možnost doobjednání ještě "&amp;Tabulka1[[#This Row],[VKPAL]]-MOD(AB438,AA438)&amp;" VK do plné palety.",VLOOKUP("Zvažte možnost doobjednání ještě ",Jazyky_ceník!A:Q,MATCH($W$17,Jazyky_ceník!$A$1:$Q$1,0),FALSE)&amp;Tabulka1[[#This Row],[VKPAL]]-MOD(AB438,AA438)&amp;VLOOKUP(" VK do plné palety.",Jazyky_ceník!A:Q,MATCH($W$17,Jazyky_ceník!$A$1:$Q$1,0),FALSE)),IFERROR(IF(AND(NOT(MOD($AB438,$AA438)=0),$AB438&gt;=0.9*$AA438,MOD($AB438,$AA438)&lt;=0.1*$AA438),IF($W$17=$AF$1,"Zvažte možnost optimalizace objednaného množství podle počtu VK na paletě ==&gt;",VLOOKUP("Zvažte možnost optimalizace objednaného množství podle počtu VK na paletě ==&gt;",Jazyky_ceník!A:Q,MATCH($W$17,Jazyky_ceník!$A$1:$Q$1,0),FALSE)),VLOOKUP('General price list'!$C438,Popisy!A:M,MATCH($W$17,Popisy!$A$7:$M$7,0),FALSE)),"---------------")),IFERROR(VLOOKUP('General price list'!$C438,Popisy!A:M,MATCH($W$17,Popisy!$A$7:$M$7,0),FALSE),"---------------"))</f>
        <v>7 různobarevných efektů</v>
      </c>
      <c r="X438" s="645" t="str">
        <f t="shared" ref="X438:X440" si="1216">IF(AB438&lt;0.0001,"",AB438)</f>
        <v/>
      </c>
      <c r="Y438" s="645" t="str">
        <f t="shared" ref="Y438:Y440" si="1217">IF($AL$3=2,IF(OR(AB438&lt;&gt;"",AB438&lt;&gt;0),AU438,""),IF(C438="","",IF(AB438&lt;0.0001,"",IF(B438=0,"",IF(AQ438&lt;AB438,"",AB438)))))</f>
        <v/>
      </c>
      <c r="Z438" s="645" t="str">
        <f>HYPERLINK("https://www.klasekpyrotechnics.cz/cf4920g")</f>
        <v>https://www.klasekpyrotechnics.cz/cf4920g</v>
      </c>
      <c r="AA438" s="645">
        <f>IFERROR(IF(VLOOKUP(C438,[4]List1!$A:$D,4,FALSE)=0,"",VLOOKUP(C438,[4]List1!$A:$D,4,FALSE)),"")</f>
        <v>24</v>
      </c>
      <c r="AB438" s="646"/>
      <c r="AC438" s="647" t="str">
        <f>IFERROR(IF(VLOOKUP(C438,[1]List1!$A:$D,2,FALSE)="VYPRODÁNO",$V$9,IF(VLOOKUP(C438,[1]List1!$A:$D,2,FALSE)="DOCHÁZÍ",$V$3,VLOOKUP(C438,[1]List1!$A:$D,2,FALSE))),"OFFLINE!")</f>
        <v>SKLADEM</v>
      </c>
      <c r="AD438" s="647" t="str">
        <f ca="1">IF(AP438="NE",$V$10,IF(AC438=$V$3,IF(AQ438&lt;1,$V$8,$V$2&amp;" "&amp;AQ438&amp;" "&amp;$V$1),IF(AC438="SKLADEM",$V$6,IFERROR(IF(OR(AC438-TODAY()&gt;45,VLOOKUP(C438,[1]List1!$A:$E,4,FALSE)=0),AC438,DAY(AC438)&amp;"."&amp;MONTH(AC438)&amp;"."&amp;YEAR(AC438)&amp;" "&amp;$V$4&amp;VLOOKUP(C438,[1]List1!$A:$E,4,FALSE)&amp;" "&amp;$V$1),AC438))))</f>
        <v>SKLADEM</v>
      </c>
      <c r="AE438" s="645" t="str">
        <f t="shared" ref="AE438:AE440" ca="1" si="1218">IFERROR(IF(AV438&lt;&gt;"",AV438,AD438),AD438)</f>
        <v>SKLADEM</v>
      </c>
      <c r="AF438" s="648">
        <f t="shared" ref="AF438:AF440" si="1219">IFERROR(IF(AB438=Y438,G438*I438*Y438,0),0)</f>
        <v>0</v>
      </c>
      <c r="AG438" s="649">
        <f t="shared" ref="AG438:AG440" si="1220">IF($W$17=$AF$8,AH438*1.23,AF438*1.21)</f>
        <v>0</v>
      </c>
      <c r="AH438" s="650">
        <f t="shared" ref="AH438:AH440" si="1221">IFERROR(IF(Y438=AB438,H438*I438*Y438,0),0)</f>
        <v>0</v>
      </c>
      <c r="AI438" s="645">
        <f t="shared" ref="AI438:AI440" si="1222">IFERROR(IF(Y438=AB438,(P438*Y438)/1000,1),0)</f>
        <v>0</v>
      </c>
      <c r="AJ438" s="645">
        <f t="shared" ref="AJ438:AJ440" si="1223">IFERROR(IF(Y438=AB438,N438*Y438,0.1),0)</f>
        <v>0</v>
      </c>
      <c r="AK438" s="645" t="str">
        <f t="shared" ref="AK438:AK440" si="1224">IFERROR(IF(Y438=AB438,IF(M438="1.1G",(O438/1000)*Y438,""),""),0)</f>
        <v/>
      </c>
      <c r="AL438" s="645">
        <f t="shared" ref="AL438:AL440" si="1225">IFERROR(IF(Y438=AB438,IF(M438="1.3G",(O438/1000)*AB438,""),""),0)</f>
        <v>0</v>
      </c>
      <c r="AM438" s="645" t="str">
        <f t="shared" ref="AM438:AM440" si="1226">IFERROR(IF(Y438=AB438,IF(M438="1.4G",(O438/1000)*AB438,""),""),0)</f>
        <v/>
      </c>
      <c r="AN438" s="651">
        <f t="shared" ref="AN438:AN440" si="1227">SUM(AK438:AM438)</f>
        <v>0</v>
      </c>
      <c r="AO438" s="623"/>
      <c r="AP438" s="632" t="str">
        <f t="shared" si="1094"/>
        <v/>
      </c>
      <c r="AQ438" s="633" t="str">
        <f>IF(AC438=$V$3,IF(VLOOKUP(C438,[1]List1!$A:$E,5,FALSE)=0,1,VLOOKUP(C438,[1]List1!$A:$E,5,FALSE)),"")</f>
        <v/>
      </c>
      <c r="AR438" s="625" t="str">
        <f t="shared" si="1095"/>
        <v/>
      </c>
      <c r="AS438" s="634" t="str">
        <f t="shared" si="1096"/>
        <v/>
      </c>
      <c r="AT438" s="625" t="str">
        <f t="shared" si="1097"/>
        <v/>
      </c>
      <c r="AU438" s="638" t="e">
        <f t="shared" si="1098"/>
        <v>#N/A</v>
      </c>
      <c r="AV438" s="625" t="e">
        <f t="shared" si="1099"/>
        <v>#N/A</v>
      </c>
      <c r="AX438" s="625">
        <f>IF(AND('General price list'!$J438="F4",'General price list'!$AB438+0&gt;0),1,0)</f>
        <v>0</v>
      </c>
      <c r="AY438" s="625">
        <f t="shared" si="1100"/>
        <v>1</v>
      </c>
      <c r="AZ438" s="625">
        <f t="shared" si="1101"/>
        <v>0</v>
      </c>
    </row>
    <row r="439" spans="1:52" ht="15" customHeight="1">
      <c r="A439" s="621" t="str">
        <f>Kat.!C439</f>
        <v/>
      </c>
      <c r="B439" s="566">
        <f>IF(AND('General price list'!$J439="F4",$AI$1=FALSE),0,IF(AC439="SKLADEM",1,IF(AC439=$V$3,1,0)))</f>
        <v>1</v>
      </c>
      <c r="C439" s="567" t="s">
        <v>1026</v>
      </c>
      <c r="D439" s="568" t="s">
        <v>1027</v>
      </c>
      <c r="E439" s="763" t="s">
        <v>12746</v>
      </c>
      <c r="F439" s="791">
        <f>IFERROR(VLOOKUP(C439,[2]List1!$A:$D,3,FALSE),"NEUVEDENO!")</f>
        <v>439</v>
      </c>
      <c r="G439" s="769">
        <f t="shared" si="1214"/>
        <v>439</v>
      </c>
      <c r="H439" s="766">
        <f t="shared" si="1215"/>
        <v>18.648078058560912</v>
      </c>
      <c r="I439" s="764">
        <f>IFERROR(VLOOKUP(C439,[2]List1!$A:$D,4,FALSE),"NEUVEDENO!")</f>
        <v>6</v>
      </c>
      <c r="J439" s="732" t="s">
        <v>39</v>
      </c>
      <c r="K439" s="569" t="s">
        <v>11100</v>
      </c>
      <c r="L439" s="569" t="s">
        <v>10988</v>
      </c>
      <c r="M439" s="569" t="s">
        <v>114</v>
      </c>
      <c r="N439" s="569">
        <f>IFERROR(VLOOKUP(C439,[3]List1!$A:$D,4,FALSE),"N/A!")</f>
        <v>4.2601E-2</v>
      </c>
      <c r="O439" s="569">
        <f>IFERROR(VLOOKUP(C439,[3]List1!$A:$D,3,FALSE),"N/A!")</f>
        <v>2352</v>
      </c>
      <c r="P439" s="569">
        <f>IFERROR(VLOOKUP(C439,[3]List1!$A:$D,2,FALSE),"N/A!")</f>
        <v>15500</v>
      </c>
      <c r="Q439" s="569" t="s">
        <v>11244</v>
      </c>
      <c r="R439" s="569"/>
      <c r="S439" s="569" t="str">
        <f>IF($W$17=$AF$1,"design",IFERROR(VLOOKUP("design",Jazyky_ceník!$A:$Q,MATCH($W$17,Jazyky_ceník!$A$1:$Q$1,0),FALSE),"!!!"))</f>
        <v>design</v>
      </c>
      <c r="T439" s="569">
        <v>40</v>
      </c>
      <c r="U439" s="569">
        <v>25</v>
      </c>
      <c r="V439" s="569">
        <v>16</v>
      </c>
      <c r="W439" s="569" t="str">
        <f>IFERROR(IF(AND($AB439&gt;=0.1*$AA439,MOD($AB439,$AA439)&gt;=($AA439-(0.1*$AA439))),IF($W$17=$AF$1,"Zvažte možnost doobjednání ještě "&amp;Tabulka1[[#This Row],[VKPAL]]-MOD(AB439,AA439)&amp;" VK do plné palety.",VLOOKUP("Zvažte možnost doobjednání ještě ",Jazyky_ceník!A:Q,MATCH($W$17,Jazyky_ceník!$A$1:$Q$1,0),FALSE)&amp;Tabulka1[[#This Row],[VKPAL]]-MOD(AB439,AA439)&amp;VLOOKUP(" VK do plné palety.",Jazyky_ceník!A:Q,MATCH($W$17,Jazyky_ceník!$A$1:$Q$1,0),FALSE)),IFERROR(IF(AND(NOT(MOD($AB439,$AA439)=0),$AB439&gt;=0.9*$AA439,MOD($AB439,$AA439)&lt;=0.1*$AA439),IF($W$17=$AF$1,"Zvažte možnost optimalizace objednaného množství podle počtu VK na paletě ==&gt;",VLOOKUP("Zvažte možnost optimalizace objednaného množství podle počtu VK na paletě ==&gt;",Jazyky_ceník!A:Q,MATCH($W$17,Jazyky_ceník!$A$1:$Q$1,0),FALSE)),VLOOKUP('General price list'!$C439,Popisy!A:M,MATCH($W$17,Popisy!$A$7:$M$7,0),FALSE)),"---------------")),IFERROR(VLOOKUP('General price list'!$C439,Popisy!A:M,MATCH($W$17,Popisy!$A$7:$M$7,0),FALSE),"---------------"))</f>
        <v>7 různobarevných efektů</v>
      </c>
      <c r="X439" s="569" t="str">
        <f t="shared" si="1216"/>
        <v/>
      </c>
      <c r="Y439" s="569" t="str">
        <f t="shared" si="1217"/>
        <v/>
      </c>
      <c r="Z439" s="569" t="str">
        <f>HYPERLINK("https://www.klasekpyrotechnics.cz/cf4920j")</f>
        <v>https://www.klasekpyrotechnics.cz/cf4920j</v>
      </c>
      <c r="AA439" s="569">
        <f>IFERROR(IF(VLOOKUP(C439,[4]List1!$A:$D,4,FALSE)=0,"",VLOOKUP(C439,[4]List1!$A:$D,4,FALSE)),"")</f>
        <v>24</v>
      </c>
      <c r="AB439" s="565"/>
      <c r="AC439" s="570" t="str">
        <f>IFERROR(IF(VLOOKUP(C439,[1]List1!$A:$D,2,FALSE)="VYPRODÁNO",$V$9,IF(VLOOKUP(C439,[1]List1!$A:$D,2,FALSE)="DOCHÁZÍ",$V$3,VLOOKUP(C439,[1]List1!$A:$D,2,FALSE))),"OFFLINE!")</f>
        <v>SKLADEM</v>
      </c>
      <c r="AD439" s="570" t="str">
        <f ca="1">IF(AP439="NE",$V$10,IF(AC439=$V$3,IF(AQ439&lt;1,$V$8,$V$2&amp;" "&amp;AQ439&amp;" "&amp;$V$1),IF(AC439="SKLADEM",$V$6,IFERROR(IF(OR(AC439-TODAY()&gt;45,VLOOKUP(C439,[1]List1!$A:$E,4,FALSE)=0),AC439,DAY(AC439)&amp;"."&amp;MONTH(AC439)&amp;"."&amp;YEAR(AC439)&amp;" "&amp;$V$4&amp;VLOOKUP(C439,[1]List1!$A:$E,4,FALSE)&amp;" "&amp;$V$1),AC439))))</f>
        <v>SKLADEM</v>
      </c>
      <c r="AE439" s="581" t="str">
        <f t="shared" ca="1" si="1218"/>
        <v>SKLADEM</v>
      </c>
      <c r="AF439" s="584">
        <f t="shared" si="1219"/>
        <v>0</v>
      </c>
      <c r="AG439" s="585">
        <f t="shared" si="1220"/>
        <v>0</v>
      </c>
      <c r="AH439" s="583">
        <f t="shared" si="1221"/>
        <v>0</v>
      </c>
      <c r="AI439" s="582">
        <f t="shared" si="1222"/>
        <v>0</v>
      </c>
      <c r="AJ439" s="569">
        <f t="shared" si="1223"/>
        <v>0</v>
      </c>
      <c r="AK439" s="569" t="str">
        <f t="shared" si="1224"/>
        <v/>
      </c>
      <c r="AL439" s="569">
        <f t="shared" si="1225"/>
        <v>0</v>
      </c>
      <c r="AM439" s="569" t="str">
        <f t="shared" si="1226"/>
        <v/>
      </c>
      <c r="AN439" s="581">
        <f t="shared" si="1227"/>
        <v>0</v>
      </c>
      <c r="AO439" s="623"/>
      <c r="AP439" s="632" t="str">
        <f t="shared" si="1094"/>
        <v/>
      </c>
      <c r="AQ439" s="633" t="str">
        <f>IF(AC439=$V$3,IF(VLOOKUP(C439,[1]List1!$A:$E,5,FALSE)=0,1,VLOOKUP(C439,[1]List1!$A:$E,5,FALSE)),"")</f>
        <v/>
      </c>
      <c r="AR439" s="625" t="str">
        <f t="shared" si="1095"/>
        <v/>
      </c>
      <c r="AS439" s="634" t="str">
        <f t="shared" si="1096"/>
        <v/>
      </c>
      <c r="AT439" s="625" t="str">
        <f t="shared" si="1097"/>
        <v/>
      </c>
      <c r="AU439" s="638" t="e">
        <f t="shared" si="1098"/>
        <v>#N/A</v>
      </c>
      <c r="AV439" s="625" t="e">
        <f t="shared" si="1099"/>
        <v>#N/A</v>
      </c>
      <c r="AX439" s="625">
        <f>IF(AND('General price list'!$J439="F4",'General price list'!$AB439+0&gt;0),1,0)</f>
        <v>0</v>
      </c>
      <c r="AY439" s="625">
        <f t="shared" si="1100"/>
        <v>1</v>
      </c>
      <c r="AZ439" s="625">
        <f t="shared" si="1101"/>
        <v>0</v>
      </c>
    </row>
    <row r="440" spans="1:52" ht="15.75" customHeight="1">
      <c r="A440" s="639" t="str">
        <f>Kat.!C440</f>
        <v/>
      </c>
      <c r="B440" s="640">
        <f>IF(AND('General price list'!$J440="F4",$AI$1=FALSE),0,IF(AC440="SKLADEM",1,IF(AC440=$V$3,1,0)))</f>
        <v>1</v>
      </c>
      <c r="C440" s="641" t="s">
        <v>1028</v>
      </c>
      <c r="D440" s="642" t="s">
        <v>12540</v>
      </c>
      <c r="E440" s="643" t="s">
        <v>12746</v>
      </c>
      <c r="F440" s="791">
        <f>IFERROR(VLOOKUP(C440,[2]List1!$A:$D,3,FALSE),"NEUVEDENO!")</f>
        <v>439</v>
      </c>
      <c r="G440" s="770">
        <f t="shared" si="1214"/>
        <v>439</v>
      </c>
      <c r="H440" s="767">
        <f t="shared" si="1215"/>
        <v>18.648078058560912</v>
      </c>
      <c r="I440" s="644">
        <f>IFERROR(VLOOKUP(C440,[2]List1!$A:$D,4,FALSE),"NEUVEDENO!")</f>
        <v>6</v>
      </c>
      <c r="J440" s="733" t="s">
        <v>39</v>
      </c>
      <c r="K440" s="645" t="s">
        <v>11100</v>
      </c>
      <c r="L440" s="645" t="s">
        <v>10988</v>
      </c>
      <c r="M440" s="645" t="s">
        <v>114</v>
      </c>
      <c r="N440" s="645">
        <f>IFERROR(VLOOKUP(C440,[3]List1!$A:$D,4,FALSE),"N/A!")</f>
        <v>4.2601E-2</v>
      </c>
      <c r="O440" s="645">
        <f>IFERROR(VLOOKUP(C440,[3]List1!$A:$D,3,FALSE),"N/A!")</f>
        <v>2352</v>
      </c>
      <c r="P440" s="645">
        <f>IFERROR(VLOOKUP(C440,[3]List1!$A:$D,2,FALSE),"N/A!")</f>
        <v>15500</v>
      </c>
      <c r="Q440" s="645" t="s">
        <v>11244</v>
      </c>
      <c r="R440" s="645"/>
      <c r="S440" s="645" t="str">
        <f>IF($W$17=$AF$1,"design",IFERROR(VLOOKUP("design",Jazyky_ceník!$A:$Q,MATCH($W$17,Jazyky_ceník!$A$1:$Q$1,0),FALSE),"!!!"))</f>
        <v>design</v>
      </c>
      <c r="T440" s="645">
        <v>30</v>
      </c>
      <c r="U440" s="645">
        <v>25</v>
      </c>
      <c r="V440" s="645">
        <v>16</v>
      </c>
      <c r="W440" s="645" t="str">
        <f>IFERROR(IF(AND($AB440&gt;=0.1*$AA440,MOD($AB440,$AA440)&gt;=($AA440-(0.1*$AA440))),IF($W$17=$AF$1,"Zvažte možnost doobjednání ještě "&amp;Tabulka1[[#This Row],[VKPAL]]-MOD(AB440,AA440)&amp;" VK do plné palety.",VLOOKUP("Zvažte možnost doobjednání ještě ",Jazyky_ceník!A:Q,MATCH($W$17,Jazyky_ceník!$A$1:$Q$1,0),FALSE)&amp;Tabulka1[[#This Row],[VKPAL]]-MOD(AB440,AA440)&amp;VLOOKUP(" VK do plné palety.",Jazyky_ceník!A:Q,MATCH($W$17,Jazyky_ceník!$A$1:$Q$1,0),FALSE)),IFERROR(IF(AND(NOT(MOD($AB440,$AA440)=0),$AB440&gt;=0.9*$AA440,MOD($AB440,$AA440)&lt;=0.1*$AA440),IF($W$17=$AF$1,"Zvažte možnost optimalizace objednaného množství podle počtu VK na paletě ==&gt;",VLOOKUP("Zvažte možnost optimalizace objednaného množství podle počtu VK na paletě ==&gt;",Jazyky_ceník!A:Q,MATCH($W$17,Jazyky_ceník!$A$1:$Q$1,0),FALSE)),VLOOKUP('General price list'!$C440,Popisy!A:M,MATCH($W$17,Popisy!$A$7:$M$7,0),FALSE)),"---------------")),IFERROR(VLOOKUP('General price list'!$C440,Popisy!A:M,MATCH($W$17,Popisy!$A$7:$M$7,0),FALSE),"---------------"))</f>
        <v>7 různobarevných efektů</v>
      </c>
      <c r="X440" s="645" t="str">
        <f t="shared" si="1216"/>
        <v/>
      </c>
      <c r="Y440" s="645" t="str">
        <f t="shared" si="1217"/>
        <v/>
      </c>
      <c r="Z440" s="645" t="str">
        <f>HYPERLINK("https://www.klasekpyrotechnics.cz/cf4920a")</f>
        <v>https://www.klasekpyrotechnics.cz/cf4920a</v>
      </c>
      <c r="AA440" s="645">
        <f>IFERROR(IF(VLOOKUP(C440,[4]List1!$A:$D,4,FALSE)=0,"",VLOOKUP(C440,[4]List1!$A:$D,4,FALSE)),"")</f>
        <v>24</v>
      </c>
      <c r="AB440" s="646"/>
      <c r="AC440" s="647" t="str">
        <f>IFERROR(IF(VLOOKUP(C440,[1]List1!$A:$D,2,FALSE)="VYPRODÁNO",$V$9,IF(VLOOKUP(C440,[1]List1!$A:$D,2,FALSE)="DOCHÁZÍ",$V$3,VLOOKUP(C440,[1]List1!$A:$D,2,FALSE))),"OFFLINE!")</f>
        <v>SKLADEM</v>
      </c>
      <c r="AD440" s="647" t="str">
        <f ca="1">IF(AP440="NE",$V$10,IF(AC440=$V$3,IF(AQ440&lt;1,$V$8,$V$2&amp;" "&amp;AQ440&amp;" "&amp;$V$1),IF(AC440="SKLADEM",$V$6,IFERROR(IF(OR(AC440-TODAY()&gt;45,VLOOKUP(C440,[1]List1!$A:$E,4,FALSE)=0),AC440,DAY(AC440)&amp;"."&amp;MONTH(AC440)&amp;"."&amp;YEAR(AC440)&amp;" "&amp;$V$4&amp;VLOOKUP(C440,[1]List1!$A:$E,4,FALSE)&amp;" "&amp;$V$1),AC440))))</f>
        <v>SKLADEM</v>
      </c>
      <c r="AE440" s="645" t="str">
        <f t="shared" ca="1" si="1218"/>
        <v>SKLADEM</v>
      </c>
      <c r="AF440" s="648">
        <f t="shared" si="1219"/>
        <v>0</v>
      </c>
      <c r="AG440" s="649">
        <f t="shared" si="1220"/>
        <v>0</v>
      </c>
      <c r="AH440" s="650">
        <f t="shared" si="1221"/>
        <v>0</v>
      </c>
      <c r="AI440" s="645">
        <f t="shared" si="1222"/>
        <v>0</v>
      </c>
      <c r="AJ440" s="645">
        <f t="shared" si="1223"/>
        <v>0</v>
      </c>
      <c r="AK440" s="645" t="str">
        <f t="shared" si="1224"/>
        <v/>
      </c>
      <c r="AL440" s="645">
        <f t="shared" si="1225"/>
        <v>0</v>
      </c>
      <c r="AM440" s="645" t="str">
        <f t="shared" si="1226"/>
        <v/>
      </c>
      <c r="AN440" s="651">
        <f t="shared" si="1227"/>
        <v>0</v>
      </c>
      <c r="AO440" s="623"/>
      <c r="AP440" s="625" t="str">
        <f t="shared" si="1094"/>
        <v/>
      </c>
      <c r="AQ440" s="625" t="str">
        <f>IF(AC440=$V$3,IF(VLOOKUP(C440,[1]List1!$A:$E,5,FALSE)=0,1,VLOOKUP(C440,[1]List1!$A:$E,5,FALSE)),"")</f>
        <v/>
      </c>
      <c r="AR440" s="629" t="str">
        <f t="shared" si="1095"/>
        <v/>
      </c>
      <c r="AS440" s="630" t="str">
        <f t="shared" si="1096"/>
        <v/>
      </c>
      <c r="AT440" s="625" t="str">
        <f t="shared" si="1097"/>
        <v/>
      </c>
      <c r="AU440" s="625" t="e">
        <f t="shared" si="1098"/>
        <v>#N/A</v>
      </c>
      <c r="AV440" s="625" t="e">
        <f t="shared" si="1099"/>
        <v>#N/A</v>
      </c>
      <c r="AW440" s="631"/>
      <c r="AX440" s="631">
        <f>IF(AND('General price list'!$J440="F4",'General price list'!$AB440+0&gt;0),1,0)</f>
        <v>0</v>
      </c>
      <c r="AY440" s="631">
        <f t="shared" si="1100"/>
        <v>1</v>
      </c>
      <c r="AZ440" s="631">
        <f t="shared" si="1101"/>
        <v>0</v>
      </c>
    </row>
    <row r="441" spans="1:52" ht="15" customHeight="1">
      <c r="A441" s="751" t="str">
        <f>Kat.!C441</f>
        <v xml:space="preserve">           Baterie 49 ran, 20 mm šikmý moždíř – 1.4G</v>
      </c>
      <c r="B441" s="751"/>
      <c r="C441" s="751"/>
      <c r="D441" s="751"/>
      <c r="E441" s="751"/>
      <c r="F441" s="751"/>
      <c r="G441" s="751"/>
      <c r="H441" s="751"/>
      <c r="I441" s="752"/>
      <c r="J441" s="752"/>
      <c r="K441" s="752" t="s">
        <v>20</v>
      </c>
      <c r="L441" s="753" t="s">
        <v>2818</v>
      </c>
      <c r="M441" s="752"/>
      <c r="N441" s="752"/>
      <c r="O441" s="752"/>
      <c r="P441" s="752"/>
      <c r="Q441" s="752"/>
      <c r="R441" s="752"/>
      <c r="S441" s="752"/>
      <c r="T441" s="752"/>
      <c r="U441" s="752"/>
      <c r="V441" s="752"/>
      <c r="W441" s="752"/>
      <c r="X441" s="752"/>
      <c r="Y441" s="752"/>
      <c r="Z441" s="752" t="s">
        <v>20</v>
      </c>
      <c r="AA441" s="752"/>
      <c r="AB441" s="752"/>
      <c r="AC441" s="754"/>
      <c r="AD441" s="752"/>
      <c r="AE441" s="752"/>
      <c r="AF441" s="752"/>
      <c r="AG441" s="752"/>
      <c r="AH441" s="752"/>
      <c r="AI441" s="752"/>
      <c r="AJ441" s="752"/>
      <c r="AK441" s="752"/>
      <c r="AL441" s="752"/>
      <c r="AM441" s="752"/>
      <c r="AN441" s="752"/>
      <c r="AO441" s="623"/>
      <c r="AP441" s="632" t="str">
        <f t="shared" si="1094"/>
        <v/>
      </c>
      <c r="AQ441" s="633" t="str">
        <f>IF(AC441=$V$3,IF(VLOOKUP(C441,[1]List1!$A:$E,5,FALSE)=0,1,VLOOKUP(C441,[1]List1!$A:$E,5,FALSE)),"")</f>
        <v/>
      </c>
      <c r="AR441" s="625" t="str">
        <f t="shared" si="1095"/>
        <v/>
      </c>
      <c r="AS441" s="634" t="str">
        <f t="shared" si="1096"/>
        <v/>
      </c>
      <c r="AT441" s="625" t="str">
        <f t="shared" si="1097"/>
        <v/>
      </c>
      <c r="AU441" s="638" t="e">
        <f t="shared" si="1098"/>
        <v>#N/A</v>
      </c>
      <c r="AV441" s="625" t="e">
        <f t="shared" si="1099"/>
        <v>#N/A</v>
      </c>
      <c r="AX441" s="625">
        <f>IF(AND('General price list'!$J441="F4",'General price list'!$AB441+0&gt;0),1,0)</f>
        <v>0</v>
      </c>
      <c r="AY441" s="625">
        <f t="shared" si="1100"/>
        <v>0</v>
      </c>
      <c r="AZ441" s="625">
        <f t="shared" si="1101"/>
        <v>0</v>
      </c>
    </row>
    <row r="442" spans="1:52" ht="15.75" customHeight="1">
      <c r="A442" s="639" t="str">
        <f>Kat.!C442</f>
        <v/>
      </c>
      <c r="B442" s="640">
        <f>IF(AND('General price list'!$J442="F4",$AI$1=FALSE),0,IF(AC442="SKLADEM",1,IF(AC442=$V$3,1,0)))</f>
        <v>1</v>
      </c>
      <c r="C442" s="641" t="s">
        <v>1029</v>
      </c>
      <c r="D442" s="642" t="s">
        <v>1025</v>
      </c>
      <c r="E442" s="643" t="s">
        <v>12746</v>
      </c>
      <c r="F442" s="791">
        <f>IFERROR(VLOOKUP(C442,[2]List1!$A:$D,3,FALSE),"NEUVEDENO!")</f>
        <v>439</v>
      </c>
      <c r="G442" s="770">
        <f t="shared" ref="G442" si="1228">IF($W$17=$AF$8,ROUND((F442)/$F$17,2),(F442)*$B$19)</f>
        <v>439</v>
      </c>
      <c r="H442" s="767">
        <f t="shared" ref="H442" si="1229">IF($W$17=$AF$8,G442*$B$19,G442/$F$17)</f>
        <v>18.648078058560912</v>
      </c>
      <c r="I442" s="644">
        <f>IFERROR(VLOOKUP(C442,[2]List1!$A:$D,4,FALSE),"NEUVEDENO!")</f>
        <v>6</v>
      </c>
      <c r="J442" s="733" t="s">
        <v>39</v>
      </c>
      <c r="K442" s="645" t="s">
        <v>11100</v>
      </c>
      <c r="L442" s="645" t="s">
        <v>12756</v>
      </c>
      <c r="M442" s="645" t="s">
        <v>21</v>
      </c>
      <c r="N442" s="645">
        <f>IFERROR(VLOOKUP(C442,[3]List1!$A:$D,4,FALSE),"N/A!")</f>
        <v>4.2601E-2</v>
      </c>
      <c r="O442" s="645">
        <f>IFERROR(VLOOKUP(C442,[3]List1!$A:$D,3,FALSE),"N/A!")</f>
        <v>2352</v>
      </c>
      <c r="P442" s="645">
        <f>IFERROR(VLOOKUP(C442,[3]List1!$A:$D,2,FALSE),"N/A!")</f>
        <v>15500</v>
      </c>
      <c r="Q442" s="645" t="s">
        <v>11256</v>
      </c>
      <c r="R442" s="645" t="s">
        <v>20</v>
      </c>
      <c r="S442" s="645" t="str">
        <f>IF($W$17=$AF$1,"design",IFERROR(VLOOKUP("design",Jazyky_ceník!$A:$Q,MATCH($W$17,Jazyky_ceník!$A$1:$Q$1,0),FALSE),"!!!"))</f>
        <v>design</v>
      </c>
      <c r="T442" s="645">
        <v>45</v>
      </c>
      <c r="U442" s="645">
        <v>25</v>
      </c>
      <c r="V442" s="645">
        <v>13</v>
      </c>
      <c r="W442" s="645" t="str">
        <f>IFERROR(IF(AND($AB442&gt;=0.1*$AA442,MOD($AB442,$AA442)&gt;=($AA442-(0.1*$AA442))),IF($W$17=$AF$1,"Zvažte možnost doobjednání ještě "&amp;Tabulka1[[#This Row],[VKPAL]]-MOD(AB442,AA442)&amp;" VK do plné palety.",VLOOKUP("Zvažte možnost doobjednání ještě ",Jazyky_ceník!A:Q,MATCH($W$17,Jazyky_ceník!$A$1:$Q$1,0),FALSE)&amp;Tabulka1[[#This Row],[VKPAL]]-MOD(AB442,AA442)&amp;VLOOKUP(" VK do plné palety.",Jazyky_ceník!A:Q,MATCH($W$17,Jazyky_ceník!$A$1:$Q$1,0),FALSE)),IFERROR(IF(AND(NOT(MOD($AB442,$AA442)=0),$AB442&gt;=0.9*$AA442,MOD($AB442,$AA442)&lt;=0.1*$AA442),IF($W$17=$AF$1,"Zvažte možnost optimalizace objednaného množství podle počtu VK na paletě ==&gt;",VLOOKUP("Zvažte možnost optimalizace objednaného množství podle počtu VK na paletě ==&gt;",Jazyky_ceník!A:Q,MATCH($W$17,Jazyky_ceník!$A$1:$Q$1,0),FALSE)),VLOOKUP('General price list'!$C442,Popisy!A:M,MATCH($W$17,Popisy!$A$7:$M$7,0),FALSE)),"---------------")),IFERROR(VLOOKUP('General price list'!$C442,Popisy!A:M,MATCH($W$17,Popisy!$A$7:$M$7,0),FALSE),"---------------"))</f>
        <v>7 různobarevných efektů</v>
      </c>
      <c r="X442" s="645" t="str">
        <f t="shared" ref="X442" si="1230">IF(AB442&lt;0.0001,"",AB442)</f>
        <v/>
      </c>
      <c r="Y442" s="645" t="str">
        <f t="shared" ref="Y442" si="1231">IF($AL$3=2,IF(OR(AB442&lt;&gt;"",AB442&lt;&gt;0),AU442,""),IF(C442="","",IF(AB442&lt;0.0001,"",IF(B442=0,"",IF(AQ442&lt;AB442,"",AB442)))))</f>
        <v/>
      </c>
      <c r="Z442" s="645" t="str">
        <f>HYPERLINK("https://www.klasekpyrotechnics.cz/cf4920g14")</f>
        <v>https://www.klasekpyrotechnics.cz/cf4920g14</v>
      </c>
      <c r="AA442" s="645">
        <f>IFERROR(IF(VLOOKUP(C442,[4]List1!$A:$D,4,FALSE)=0,"",VLOOKUP(C442,[4]List1!$A:$D,4,FALSE)),"")</f>
        <v>24</v>
      </c>
      <c r="AB442" s="646"/>
      <c r="AC442" s="647" t="str">
        <f>IFERROR(IF(VLOOKUP(C442,[1]List1!$A:$D,2,FALSE)="VYPRODÁNO",$V$9,IF(VLOOKUP(C442,[1]List1!$A:$D,2,FALSE)="DOCHÁZÍ",$V$3,VLOOKUP(C442,[1]List1!$A:$D,2,FALSE))),"OFFLINE!")</f>
        <v>SKLADEM</v>
      </c>
      <c r="AD442" s="647" t="str">
        <f ca="1">IF(AP442="NE",$V$10,IF(AC442=$V$3,IF(AQ442&lt;1,$V$8,$V$2&amp;" "&amp;AQ442&amp;" "&amp;$V$1),IF(AC442="SKLADEM",$V$6,IFERROR(IF(OR(AC442-TODAY()&gt;45,VLOOKUP(C442,[1]List1!$A:$E,4,FALSE)=0),AC442,DAY(AC442)&amp;"."&amp;MONTH(AC442)&amp;"."&amp;YEAR(AC442)&amp;" "&amp;$V$4&amp;VLOOKUP(C442,[1]List1!$A:$E,4,FALSE)&amp;" "&amp;$V$1),AC442))))</f>
        <v>SKLADEM</v>
      </c>
      <c r="AE442" s="645" t="str">
        <f t="shared" ref="AE442" ca="1" si="1232">IFERROR(IF(AV442&lt;&gt;"",AV442,AD442),AD442)</f>
        <v>SKLADEM</v>
      </c>
      <c r="AF442" s="648">
        <f t="shared" ref="AF442" si="1233">IFERROR(IF(AB442=Y442,G442*I442*Y442,0),0)</f>
        <v>0</v>
      </c>
      <c r="AG442" s="649">
        <f t="shared" ref="AG442" si="1234">IF($W$17=$AF$8,AH442*1.23,AF442*1.21)</f>
        <v>0</v>
      </c>
      <c r="AH442" s="650">
        <f t="shared" ref="AH442" si="1235">IFERROR(IF(Y442=AB442,H442*I442*Y442,0),0)</f>
        <v>0</v>
      </c>
      <c r="AI442" s="645">
        <f t="shared" ref="AI442" si="1236">IFERROR(IF(Y442=AB442,(P442*Y442)/1000,1),0)</f>
        <v>0</v>
      </c>
      <c r="AJ442" s="645">
        <f t="shared" ref="AJ442" si="1237">IFERROR(IF(Y442=AB442,N442*Y442,0.1),0)</f>
        <v>0</v>
      </c>
      <c r="AK442" s="645" t="str">
        <f t="shared" ref="AK442" si="1238">IFERROR(IF(Y442=AB442,IF(M442="1.1G",(O442/1000)*Y442,""),""),0)</f>
        <v/>
      </c>
      <c r="AL442" s="645" t="str">
        <f t="shared" ref="AL442" si="1239">IFERROR(IF(Y442=AB442,IF(M442="1.3G",(O442/1000)*AB442,""),""),0)</f>
        <v/>
      </c>
      <c r="AM442" s="645">
        <f t="shared" ref="AM442" si="1240">IFERROR(IF(Y442=AB442,IF(M442="1.4G",(O442/1000)*AB442,""),""),0)</f>
        <v>0</v>
      </c>
      <c r="AN442" s="651">
        <f t="shared" ref="AN442" si="1241">SUM(AK442:AM442)</f>
        <v>0</v>
      </c>
      <c r="AO442" s="623"/>
      <c r="AP442" s="625" t="str">
        <f t="shared" si="1094"/>
        <v/>
      </c>
      <c r="AQ442" s="625" t="str">
        <f>IF(AC442=$V$3,IF(VLOOKUP(C442,[1]List1!$A:$E,5,FALSE)=0,1,VLOOKUP(C442,[1]List1!$A:$E,5,FALSE)),"")</f>
        <v/>
      </c>
      <c r="AR442" s="629" t="str">
        <f t="shared" si="1095"/>
        <v/>
      </c>
      <c r="AS442" s="630" t="str">
        <f t="shared" si="1096"/>
        <v/>
      </c>
      <c r="AT442" s="625" t="str">
        <f t="shared" si="1097"/>
        <v/>
      </c>
      <c r="AU442" s="625" t="e">
        <f t="shared" si="1098"/>
        <v>#N/A</v>
      </c>
      <c r="AV442" s="625" t="e">
        <f t="shared" si="1099"/>
        <v>#N/A</v>
      </c>
      <c r="AW442" s="631"/>
      <c r="AX442" s="631">
        <f>IF(AND('General price list'!$J442="F4",'General price list'!$AB442+0&gt;0),1,0)</f>
        <v>0</v>
      </c>
      <c r="AY442" s="631">
        <f t="shared" si="1100"/>
        <v>1</v>
      </c>
      <c r="AZ442" s="631">
        <f t="shared" si="1101"/>
        <v>0</v>
      </c>
    </row>
    <row r="443" spans="1:52" ht="15" customHeight="1">
      <c r="A443" s="751" t="str">
        <f>Kat.!C443</f>
        <v xml:space="preserve">           Baterie 64 ran, 20 mm moždíř – 1.3G</v>
      </c>
      <c r="B443" s="751"/>
      <c r="C443" s="751"/>
      <c r="D443" s="751"/>
      <c r="E443" s="751"/>
      <c r="F443" s="751"/>
      <c r="G443" s="751"/>
      <c r="H443" s="751"/>
      <c r="I443" s="752"/>
      <c r="J443" s="752"/>
      <c r="K443" s="752" t="s">
        <v>20</v>
      </c>
      <c r="L443" s="753" t="s">
        <v>2818</v>
      </c>
      <c r="M443" s="752"/>
      <c r="N443" s="752"/>
      <c r="O443" s="752"/>
      <c r="P443" s="752"/>
      <c r="Q443" s="752"/>
      <c r="R443" s="752"/>
      <c r="S443" s="752"/>
      <c r="T443" s="752"/>
      <c r="U443" s="752"/>
      <c r="V443" s="752"/>
      <c r="W443" s="752"/>
      <c r="X443" s="752"/>
      <c r="Y443" s="752"/>
      <c r="Z443" s="752" t="s">
        <v>20</v>
      </c>
      <c r="AA443" s="752"/>
      <c r="AB443" s="752"/>
      <c r="AC443" s="754"/>
      <c r="AD443" s="752"/>
      <c r="AE443" s="752"/>
      <c r="AF443" s="752"/>
      <c r="AG443" s="752"/>
      <c r="AH443" s="752"/>
      <c r="AI443" s="752"/>
      <c r="AJ443" s="752"/>
      <c r="AK443" s="752"/>
      <c r="AL443" s="752"/>
      <c r="AM443" s="752"/>
      <c r="AN443" s="752"/>
      <c r="AO443" s="623"/>
      <c r="AP443" s="632" t="str">
        <f t="shared" si="1094"/>
        <v/>
      </c>
      <c r="AQ443" s="633" t="str">
        <f>IF(AC443=$V$3,IF(VLOOKUP(C443,[1]List1!$A:$E,5,FALSE)=0,1,VLOOKUP(C443,[1]List1!$A:$E,5,FALSE)),"")</f>
        <v/>
      </c>
      <c r="AR443" s="625" t="str">
        <f t="shared" si="1095"/>
        <v/>
      </c>
      <c r="AS443" s="634" t="str">
        <f t="shared" si="1096"/>
        <v/>
      </c>
      <c r="AT443" s="625" t="str">
        <f t="shared" si="1097"/>
        <v/>
      </c>
      <c r="AU443" s="638" t="e">
        <f t="shared" si="1098"/>
        <v>#N/A</v>
      </c>
      <c r="AV443" s="625" t="e">
        <f t="shared" si="1099"/>
        <v>#N/A</v>
      </c>
      <c r="AX443" s="625">
        <f>IF(AND('General price list'!$J443="F4",'General price list'!$AB443+0&gt;0),1,0)</f>
        <v>0</v>
      </c>
      <c r="AY443" s="625">
        <f t="shared" si="1100"/>
        <v>0</v>
      </c>
      <c r="AZ443" s="625">
        <f t="shared" si="1101"/>
        <v>0</v>
      </c>
    </row>
    <row r="444" spans="1:52" ht="15.75" customHeight="1">
      <c r="A444" s="639" t="str">
        <f>Kat.!C444</f>
        <v/>
      </c>
      <c r="B444" s="640">
        <f>IF(AND('General price list'!$J444="F4",$AI$1=FALSE),0,IF(AC444="SKLADEM",1,IF(AC444=$V$3,1,0)))</f>
        <v>1</v>
      </c>
      <c r="C444" s="641" t="s">
        <v>2270</v>
      </c>
      <c r="D444" s="642" t="s">
        <v>11880</v>
      </c>
      <c r="E444" s="643" t="s">
        <v>12746</v>
      </c>
      <c r="F444" s="791">
        <f>IFERROR(VLOOKUP(C444,[2]List1!$A:$D,3,FALSE),"NEUVEDENO!")</f>
        <v>459</v>
      </c>
      <c r="G444" s="768">
        <f t="shared" ref="G444:G447" si="1242">IF($W$17=$AF$8,ROUND((F444)/$F$17,2),(F444)*$B$19)</f>
        <v>459</v>
      </c>
      <c r="H444" s="765">
        <f t="shared" ref="H444:H447" si="1243">IF($W$17=$AF$8,G444*$B$19,G444/$F$17)</f>
        <v>19.497648812937264</v>
      </c>
      <c r="I444" s="644">
        <f>IFERROR(VLOOKUP(C444,[2]List1!$A:$D,4,FALSE),"NEUVEDENO!")</f>
        <v>6</v>
      </c>
      <c r="J444" s="733" t="s">
        <v>39</v>
      </c>
      <c r="K444" s="645" t="s">
        <v>11100</v>
      </c>
      <c r="L444" s="645" t="s">
        <v>20</v>
      </c>
      <c r="M444" s="645" t="s">
        <v>114</v>
      </c>
      <c r="N444" s="645">
        <f>IFERROR(VLOOKUP(C444,[3]List1!$A:$D,4,FALSE),"N/A!")</f>
        <v>3.6455999999999995E-2</v>
      </c>
      <c r="O444" s="645">
        <f>IFERROR(VLOOKUP(C444,[3]List1!$A:$D,3,FALSE),"N/A!")</f>
        <v>2688</v>
      </c>
      <c r="P444" s="645">
        <f>IFERROR(VLOOKUP(C444,[3]List1!$A:$D,2,FALSE),"N/A!")</f>
        <v>16000</v>
      </c>
      <c r="Q444" s="645" t="s">
        <v>11772</v>
      </c>
      <c r="R444" s="645"/>
      <c r="S444" s="645" t="str">
        <f>IF($W$17=$AF$1,"design",IFERROR(VLOOKUP("design",Jazyky_ceník!$A:$Q,MATCH($W$17,Jazyky_ceník!$A$1:$Q$1,0),FALSE),"!!!"))</f>
        <v>design</v>
      </c>
      <c r="T444" s="645">
        <v>55</v>
      </c>
      <c r="U444" s="645">
        <v>25</v>
      </c>
      <c r="V444" s="645">
        <v>15</v>
      </c>
      <c r="W444" s="645" t="str">
        <f>IFERROR(IF(AND($AB444&gt;=0.1*$AA444,MOD($AB444,$AA444)&gt;=($AA444-(0.1*$AA444))),IF($W$17=$AF$1,"Zvažte možnost doobjednání ještě "&amp;Tabulka1[[#This Row],[VKPAL]]-MOD(AB444,AA444)&amp;" VK do plné palety.",VLOOKUP("Zvažte možnost doobjednání ještě ",Jazyky_ceník!A:Q,MATCH($W$17,Jazyky_ceník!$A$1:$Q$1,0),FALSE)&amp;Tabulka1[[#This Row],[VKPAL]]-MOD(AB444,AA444)&amp;VLOOKUP(" VK do plné palety.",Jazyky_ceník!A:Q,MATCH($W$17,Jazyky_ceník!$A$1:$Q$1,0),FALSE)),IFERROR(IF(AND(NOT(MOD($AB444,$AA444)=0),$AB444&gt;=0.9*$AA444,MOD($AB444,$AA444)&lt;=0.1*$AA444),IF($W$17=$AF$1,"Zvažte možnost optimalizace objednaného množství podle počtu VK na paletě ==&gt;",VLOOKUP("Zvažte možnost optimalizace objednaného množství podle počtu VK na paletě ==&gt;",Jazyky_ceník!A:Q,MATCH($W$17,Jazyky_ceník!$A$1:$Q$1,0),FALSE)),VLOOKUP('General price list'!$C444,Popisy!A:M,MATCH($W$17,Popisy!$A$7:$M$7,0),FALSE)),"---------------")),IFERROR(VLOOKUP('General price list'!$C444,Popisy!A:M,MATCH($W$17,Popisy!$A$7:$M$7,0),FALSE),"---------------"))</f>
        <v>8 různobarevných efektů</v>
      </c>
      <c r="X444" s="645" t="str">
        <f t="shared" ref="X444:X447" si="1244">IF(AB444&lt;0.0001,"",AB444)</f>
        <v/>
      </c>
      <c r="Y444" s="645" t="str">
        <f t="shared" ref="Y444:Y447" si="1245">IF($AL$3=2,IF(OR(AB444&lt;&gt;"",AB444&lt;&gt;0),AU444,""),IF(C444="","",IF(AB444&lt;0.0001,"",IF(B444=0,"",IF(AQ444&lt;AB444,"",AB444)))))</f>
        <v/>
      </c>
      <c r="Z444" s="645" t="str">
        <f>HYPERLINK("https://www.klasekpyrotechnics.cz/c6420bpw")</f>
        <v>https://www.klasekpyrotechnics.cz/c6420bpw</v>
      </c>
      <c r="AA444" s="645">
        <f>IFERROR(IF(VLOOKUP(C444,[4]List1!$A:$D,4,FALSE)=0,"",VLOOKUP(C444,[4]List1!$A:$D,4,FALSE)),"")</f>
        <v>32</v>
      </c>
      <c r="AB444" s="646"/>
      <c r="AC444" s="647" t="str">
        <f>IFERROR(IF(VLOOKUP(C444,[1]List1!$A:$D,2,FALSE)="VYPRODÁNO",$V$9,IF(VLOOKUP(C444,[1]List1!$A:$D,2,FALSE)="DOCHÁZÍ",$V$3,VLOOKUP(C444,[1]List1!$A:$D,2,FALSE))),"OFFLINE!")</f>
        <v>SKLADEM</v>
      </c>
      <c r="AD444" s="647" t="str">
        <f ca="1">IF(AP444="NE",$V$10,IF(AC444=$V$3,IF(AQ444&lt;1,$V$8,$V$2&amp;" "&amp;AQ444&amp;" "&amp;$V$1),IF(AC444="SKLADEM",$V$6,IFERROR(IF(OR(AC444-TODAY()&gt;45,VLOOKUP(C444,[1]List1!$A:$E,4,FALSE)=0),AC444,DAY(AC444)&amp;"."&amp;MONTH(AC444)&amp;"."&amp;YEAR(AC444)&amp;" "&amp;$V$4&amp;VLOOKUP(C444,[1]List1!$A:$E,4,FALSE)&amp;" "&amp;$V$1),AC444))))</f>
        <v>SKLADEM</v>
      </c>
      <c r="AE444" s="645" t="str">
        <f t="shared" ref="AE444:AE447" ca="1" si="1246">IFERROR(IF(AV444&lt;&gt;"",AV444,AD444),AD444)</f>
        <v>SKLADEM</v>
      </c>
      <c r="AF444" s="648">
        <f t="shared" ref="AF444:AF447" si="1247">IFERROR(IF(AB444=Y444,G444*I444*Y444,0),0)</f>
        <v>0</v>
      </c>
      <c r="AG444" s="649">
        <f t="shared" ref="AG444:AG447" si="1248">IF($W$17=$AF$8,AH444*1.23,AF444*1.21)</f>
        <v>0</v>
      </c>
      <c r="AH444" s="650">
        <f t="shared" ref="AH444:AH447" si="1249">IFERROR(IF(Y444=AB444,H444*I444*Y444,0),0)</f>
        <v>0</v>
      </c>
      <c r="AI444" s="645">
        <f t="shared" ref="AI444:AI447" si="1250">IFERROR(IF(Y444=AB444,(P444*Y444)/1000,1),0)</f>
        <v>0</v>
      </c>
      <c r="AJ444" s="645">
        <f t="shared" ref="AJ444:AJ447" si="1251">IFERROR(IF(Y444=AB444,N444*Y444,0.1),0)</f>
        <v>0</v>
      </c>
      <c r="AK444" s="645" t="str">
        <f t="shared" ref="AK444:AK447" si="1252">IFERROR(IF(Y444=AB444,IF(M444="1.1G",(O444/1000)*Y444,""),""),0)</f>
        <v/>
      </c>
      <c r="AL444" s="645">
        <f t="shared" ref="AL444:AL447" si="1253">IFERROR(IF(Y444=AB444,IF(M444="1.3G",(O444/1000)*AB444,""),""),0)</f>
        <v>0</v>
      </c>
      <c r="AM444" s="645" t="str">
        <f t="shared" ref="AM444:AM447" si="1254">IFERROR(IF(Y444=AB444,IF(M444="1.4G",(O444/1000)*AB444,""),""),0)</f>
        <v/>
      </c>
      <c r="AN444" s="651">
        <f t="shared" ref="AN444:AN447" si="1255">SUM(AK444:AM444)</f>
        <v>0</v>
      </c>
      <c r="AO444" s="623"/>
      <c r="AP444" s="625" t="str">
        <f t="shared" si="1094"/>
        <v/>
      </c>
      <c r="AQ444" s="625" t="str">
        <f>IF(AC444=$V$3,IF(VLOOKUP(C444,[1]List1!$A:$E,5,FALSE)=0,1,VLOOKUP(C444,[1]List1!$A:$E,5,FALSE)),"")</f>
        <v/>
      </c>
      <c r="AR444" s="629" t="str">
        <f t="shared" si="1095"/>
        <v/>
      </c>
      <c r="AS444" s="630" t="str">
        <f t="shared" si="1096"/>
        <v/>
      </c>
      <c r="AT444" s="625" t="str">
        <f t="shared" si="1097"/>
        <v/>
      </c>
      <c r="AU444" s="625" t="e">
        <f t="shared" si="1098"/>
        <v>#N/A</v>
      </c>
      <c r="AV444" s="625" t="e">
        <f t="shared" si="1099"/>
        <v>#N/A</v>
      </c>
      <c r="AW444" s="631"/>
      <c r="AX444" s="631">
        <f>IF(AND('General price list'!$J444="F4",'General price list'!$AB444+0&gt;0),1,0)</f>
        <v>0</v>
      </c>
      <c r="AY444" s="631">
        <f t="shared" si="1100"/>
        <v>1</v>
      </c>
      <c r="AZ444" s="631">
        <f t="shared" si="1101"/>
        <v>0</v>
      </c>
    </row>
    <row r="445" spans="1:52" ht="15" customHeight="1">
      <c r="A445" s="621" t="str">
        <f>Kat.!C445</f>
        <v/>
      </c>
      <c r="B445" s="566">
        <f>IF(AND('General price list'!$J445="F4",$AI$1=FALSE),0,IF(AC445="SKLADEM",1,IF(AC445=$V$3,1,0)))</f>
        <v>1</v>
      </c>
      <c r="C445" s="567" t="s">
        <v>1032</v>
      </c>
      <c r="D445" s="568" t="s">
        <v>1033</v>
      </c>
      <c r="E445" s="763" t="s">
        <v>12746</v>
      </c>
      <c r="F445" s="791">
        <f>IFERROR(VLOOKUP(C445,[2]List1!$A:$D,3,FALSE),"NEUVEDENO!")</f>
        <v>469</v>
      </c>
      <c r="G445" s="769">
        <f t="shared" si="1242"/>
        <v>469</v>
      </c>
      <c r="H445" s="766">
        <f t="shared" si="1243"/>
        <v>19.92243419012544</v>
      </c>
      <c r="I445" s="764">
        <f>IFERROR(VLOOKUP(C445,[2]List1!$A:$D,4,FALSE),"NEUVEDENO!")</f>
        <v>6</v>
      </c>
      <c r="J445" s="732" t="s">
        <v>39</v>
      </c>
      <c r="K445" s="569" t="s">
        <v>11100</v>
      </c>
      <c r="L445" s="569" t="s">
        <v>10988</v>
      </c>
      <c r="M445" s="569" t="s">
        <v>114</v>
      </c>
      <c r="N445" s="569">
        <f>IFERROR(VLOOKUP(C445,[3]List1!$A:$D,4,FALSE),"N/A!")</f>
        <v>3.6455999999999995E-2</v>
      </c>
      <c r="O445" s="569">
        <f>IFERROR(VLOOKUP(C445,[3]List1!$A:$D,3,FALSE),"N/A!")</f>
        <v>2988</v>
      </c>
      <c r="P445" s="569">
        <f>IFERROR(VLOOKUP(C445,[3]List1!$A:$D,2,FALSE),"N/A!")</f>
        <v>16500</v>
      </c>
      <c r="Q445" s="569" t="s">
        <v>11772</v>
      </c>
      <c r="R445" s="569"/>
      <c r="S445" s="569" t="str">
        <f>IF($W$17=$AF$1,"design",IFERROR(VLOOKUP("design",Jazyky_ceník!$A:$Q,MATCH($W$17,Jazyky_ceník!$A$1:$Q$1,0),FALSE),"!!!"))</f>
        <v>design</v>
      </c>
      <c r="T445" s="569">
        <v>55</v>
      </c>
      <c r="U445" s="569">
        <v>25</v>
      </c>
      <c r="V445" s="569">
        <v>16</v>
      </c>
      <c r="W445" s="569" t="str">
        <f>IFERROR(IF(AND($AB445&gt;=0.1*$AA445,MOD($AB445,$AA445)&gt;=($AA445-(0.1*$AA445))),IF($W$17=$AF$1,"Zvažte možnost doobjednání ještě "&amp;Tabulka1[[#This Row],[VKPAL]]-MOD(AB445,AA445)&amp;" VK do plné palety.",VLOOKUP("Zvažte možnost doobjednání ještě ",Jazyky_ceník!A:Q,MATCH($W$17,Jazyky_ceník!$A$1:$Q$1,0),FALSE)&amp;Tabulka1[[#This Row],[VKPAL]]-MOD(AB445,AA445)&amp;VLOOKUP(" VK do plné palety.",Jazyky_ceník!A:Q,MATCH($W$17,Jazyky_ceník!$A$1:$Q$1,0),FALSE)),IFERROR(IF(AND(NOT(MOD($AB445,$AA445)=0),$AB445&gt;=0.9*$AA445,MOD($AB445,$AA445)&lt;=0.1*$AA445),IF($W$17=$AF$1,"Zvažte možnost optimalizace objednaného množství podle počtu VK na paletě ==&gt;",VLOOKUP("Zvažte možnost optimalizace objednaného množství podle počtu VK na paletě ==&gt;",Jazyky_ceník!A:Q,MATCH($W$17,Jazyky_ceník!$A$1:$Q$1,0),FALSE)),VLOOKUP('General price list'!$C445,Popisy!A:M,MATCH($W$17,Popisy!$A$7:$M$7,0),FALSE)),"---------------")),IFERROR(VLOOKUP('General price list'!$C445,Popisy!A:M,MATCH($W$17,Popisy!$A$7:$M$7,0),FALSE),"---------------"))</f>
        <v>8 různobarevných efektů</v>
      </c>
      <c r="X445" s="569" t="str">
        <f t="shared" si="1244"/>
        <v/>
      </c>
      <c r="Y445" s="569" t="str">
        <f t="shared" si="1245"/>
        <v/>
      </c>
      <c r="Z445" s="569" t="str">
        <f>HYPERLINK("https://www.klasekpyrotechnics.cz/c6420b")</f>
        <v>https://www.klasekpyrotechnics.cz/c6420b</v>
      </c>
      <c r="AA445" s="569">
        <f>IFERROR(IF(VLOOKUP(C445,[4]List1!$A:$D,4,FALSE)=0,"",VLOOKUP(C445,[4]List1!$A:$D,4,FALSE)),"")</f>
        <v>32</v>
      </c>
      <c r="AB445" s="565"/>
      <c r="AC445" s="570" t="str">
        <f>IFERROR(IF(VLOOKUP(C445,[1]List1!$A:$D,2,FALSE)="VYPRODÁNO",$V$9,IF(VLOOKUP(C445,[1]List1!$A:$D,2,FALSE)="DOCHÁZÍ",$V$3,VLOOKUP(C445,[1]List1!$A:$D,2,FALSE))),"OFFLINE!")</f>
        <v>SKLADEM</v>
      </c>
      <c r="AD445" s="570" t="str">
        <f ca="1">IF(AP445="NE",$V$10,IF(AC445=$V$3,IF(AQ445&lt;1,$V$8,$V$2&amp;" "&amp;AQ445&amp;" "&amp;$V$1),IF(AC445="SKLADEM",$V$6,IFERROR(IF(OR(AC445-TODAY()&gt;45,VLOOKUP(C445,[1]List1!$A:$E,4,FALSE)=0),AC445,DAY(AC445)&amp;"."&amp;MONTH(AC445)&amp;"."&amp;YEAR(AC445)&amp;" "&amp;$V$4&amp;VLOOKUP(C445,[1]List1!$A:$E,4,FALSE)&amp;" "&amp;$V$1),AC445))))</f>
        <v>SKLADEM</v>
      </c>
      <c r="AE445" s="581" t="str">
        <f t="shared" ca="1" si="1246"/>
        <v>SKLADEM</v>
      </c>
      <c r="AF445" s="584">
        <f t="shared" si="1247"/>
        <v>0</v>
      </c>
      <c r="AG445" s="585">
        <f t="shared" si="1248"/>
        <v>0</v>
      </c>
      <c r="AH445" s="583">
        <f t="shared" si="1249"/>
        <v>0</v>
      </c>
      <c r="AI445" s="582">
        <f t="shared" si="1250"/>
        <v>0</v>
      </c>
      <c r="AJ445" s="569">
        <f t="shared" si="1251"/>
        <v>0</v>
      </c>
      <c r="AK445" s="569" t="str">
        <f t="shared" si="1252"/>
        <v/>
      </c>
      <c r="AL445" s="569">
        <f t="shared" si="1253"/>
        <v>0</v>
      </c>
      <c r="AM445" s="569" t="str">
        <f t="shared" si="1254"/>
        <v/>
      </c>
      <c r="AN445" s="581">
        <f t="shared" si="1255"/>
        <v>0</v>
      </c>
      <c r="AO445" s="623"/>
      <c r="AP445" s="632" t="str">
        <f t="shared" si="1094"/>
        <v/>
      </c>
      <c r="AQ445" s="633" t="str">
        <f>IF(AC445=$V$3,IF(VLOOKUP(C445,[1]List1!$A:$E,5,FALSE)=0,1,VLOOKUP(C445,[1]List1!$A:$E,5,FALSE)),"")</f>
        <v/>
      </c>
      <c r="AR445" s="625" t="str">
        <f t="shared" si="1095"/>
        <v/>
      </c>
      <c r="AS445" s="634" t="str">
        <f t="shared" si="1096"/>
        <v/>
      </c>
      <c r="AT445" s="625" t="str">
        <f t="shared" si="1097"/>
        <v/>
      </c>
      <c r="AU445" s="638" t="e">
        <f t="shared" si="1098"/>
        <v>#N/A</v>
      </c>
      <c r="AV445" s="625" t="e">
        <f t="shared" si="1099"/>
        <v>#N/A</v>
      </c>
      <c r="AX445" s="625">
        <f>IF(AND('General price list'!$J445="F4",'General price list'!$AB445+0&gt;0),1,0)</f>
        <v>0</v>
      </c>
      <c r="AY445" s="625">
        <f t="shared" si="1100"/>
        <v>1</v>
      </c>
      <c r="AZ445" s="625">
        <f t="shared" si="1101"/>
        <v>0</v>
      </c>
    </row>
    <row r="446" spans="1:52" ht="15" customHeight="1">
      <c r="A446" s="639" t="str">
        <f>Kat.!C446</f>
        <v/>
      </c>
      <c r="B446" s="640">
        <f>IF(AND('General price list'!$J446="F4",$AI$1=FALSE),0,IF(AC446="SKLADEM",1,IF(AC446=$V$3,1,0)))</f>
        <v>1</v>
      </c>
      <c r="C446" s="641" t="s">
        <v>1037</v>
      </c>
      <c r="D446" s="642" t="s">
        <v>1038</v>
      </c>
      <c r="E446" s="643" t="s">
        <v>12746</v>
      </c>
      <c r="F446" s="791">
        <f>IFERROR(VLOOKUP(C446,[2]List1!$A:$D,3,FALSE),"NEUVEDENO!")</f>
        <v>469</v>
      </c>
      <c r="G446" s="768">
        <f t="shared" si="1242"/>
        <v>469</v>
      </c>
      <c r="H446" s="765">
        <f t="shared" si="1243"/>
        <v>19.92243419012544</v>
      </c>
      <c r="I446" s="644">
        <f>IFERROR(VLOOKUP(C446,[2]List1!$A:$D,4,FALSE),"NEUVEDENO!")</f>
        <v>6</v>
      </c>
      <c r="J446" s="733" t="s">
        <v>39</v>
      </c>
      <c r="K446" s="645" t="s">
        <v>11100</v>
      </c>
      <c r="L446" s="645" t="s">
        <v>10988</v>
      </c>
      <c r="M446" s="645" t="s">
        <v>114</v>
      </c>
      <c r="N446" s="645">
        <f>IFERROR(VLOOKUP(C446,[3]List1!$A:$D,4,FALSE),"N/A!")</f>
        <v>3.6455999999999995E-2</v>
      </c>
      <c r="O446" s="645">
        <f>IFERROR(VLOOKUP(C446,[3]List1!$A:$D,3,FALSE),"N/A!")</f>
        <v>2988</v>
      </c>
      <c r="P446" s="645">
        <f>IFERROR(VLOOKUP(C446,[3]List1!$A:$D,2,FALSE),"N/A!")</f>
        <v>17100</v>
      </c>
      <c r="Q446" s="645" t="s">
        <v>11244</v>
      </c>
      <c r="R446" s="645" t="s">
        <v>20</v>
      </c>
      <c r="S446" s="645" t="str">
        <f>IF($W$17=$AF$1,"červená fólie",IFERROR(VLOOKUP("červená fólie",Jazyky_ceník!$A:$Q,MATCH($W$17,Jazyky_ceník!$A$1:$Q$1,0),FALSE),"!!!"))</f>
        <v>červená fólie</v>
      </c>
      <c r="T446" s="645">
        <v>55</v>
      </c>
      <c r="U446" s="645">
        <v>25</v>
      </c>
      <c r="V446" s="645">
        <v>16</v>
      </c>
      <c r="W446" s="645" t="str">
        <f>IFERROR(IF(AND($AB446&gt;=0.1*$AA446,MOD($AB446,$AA446)&gt;=($AA446-(0.1*$AA446))),IF($W$17=$AF$1,"Zvažte možnost doobjednání ještě "&amp;Tabulka1[[#This Row],[VKPAL]]-MOD(AB446,AA446)&amp;" VK do plné palety.",VLOOKUP("Zvažte možnost doobjednání ještě ",Jazyky_ceník!A:Q,MATCH($W$17,Jazyky_ceník!$A$1:$Q$1,0),FALSE)&amp;Tabulka1[[#This Row],[VKPAL]]-MOD(AB446,AA446)&amp;VLOOKUP(" VK do plné palety.",Jazyky_ceník!A:Q,MATCH($W$17,Jazyky_ceník!$A$1:$Q$1,0),FALSE)),IFERROR(IF(AND(NOT(MOD($AB446,$AA446)=0),$AB446&gt;=0.9*$AA446,MOD($AB446,$AA446)&lt;=0.1*$AA446),IF($W$17=$AF$1,"Zvažte možnost optimalizace objednaného množství podle počtu VK na paletě ==&gt;",VLOOKUP("Zvažte možnost optimalizace objednaného množství podle počtu VK na paletě ==&gt;",Jazyky_ceník!A:Q,MATCH($W$17,Jazyky_ceník!$A$1:$Q$1,0),FALSE)),VLOOKUP('General price list'!$C446,Popisy!A:M,MATCH($W$17,Popisy!$A$7:$M$7,0),FALSE)),"---------------")),IFERROR(VLOOKUP('General price list'!$C446,Popisy!A:M,MATCH($W$17,Popisy!$A$7:$M$7,0),FALSE),"---------------"))</f>
        <v>8 různobarevných efektů</v>
      </c>
      <c r="X446" s="645" t="str">
        <f t="shared" si="1244"/>
        <v/>
      </c>
      <c r="Y446" s="645" t="str">
        <f t="shared" si="1245"/>
        <v/>
      </c>
      <c r="Z446" s="645" t="str">
        <f>HYPERLINK("https://www.klasekpyrotechnics.cz/c6420g")</f>
        <v>https://www.klasekpyrotechnics.cz/c6420g</v>
      </c>
      <c r="AA446" s="645">
        <f>IFERROR(IF(VLOOKUP(C446,[4]List1!$A:$D,4,FALSE)=0,"",VLOOKUP(C446,[4]List1!$A:$D,4,FALSE)),"")</f>
        <v>32</v>
      </c>
      <c r="AB446" s="646"/>
      <c r="AC446" s="647" t="str">
        <f>IFERROR(IF(VLOOKUP(C446,[1]List1!$A:$D,2,FALSE)="VYPRODÁNO",$V$9,IF(VLOOKUP(C446,[1]List1!$A:$D,2,FALSE)="DOCHÁZÍ",$V$3,VLOOKUP(C446,[1]List1!$A:$D,2,FALSE))),"OFFLINE!")</f>
        <v>SKLADEM</v>
      </c>
      <c r="AD446" s="647" t="str">
        <f ca="1">IF(AP446="NE",$V$10,IF(AC446=$V$3,IF(AQ446&lt;1,$V$8,$V$2&amp;" "&amp;AQ446&amp;" "&amp;$V$1),IF(AC446="SKLADEM",$V$6,IFERROR(IF(OR(AC446-TODAY()&gt;45,VLOOKUP(C446,[1]List1!$A:$E,4,FALSE)=0),AC446,DAY(AC446)&amp;"."&amp;MONTH(AC446)&amp;"."&amp;YEAR(AC446)&amp;" "&amp;$V$4&amp;VLOOKUP(C446,[1]List1!$A:$E,4,FALSE)&amp;" "&amp;$V$1),AC446))))</f>
        <v>SKLADEM</v>
      </c>
      <c r="AE446" s="645" t="str">
        <f t="shared" ca="1" si="1246"/>
        <v>SKLADEM</v>
      </c>
      <c r="AF446" s="648">
        <f t="shared" si="1247"/>
        <v>0</v>
      </c>
      <c r="AG446" s="649">
        <f t="shared" si="1248"/>
        <v>0</v>
      </c>
      <c r="AH446" s="650">
        <f t="shared" si="1249"/>
        <v>0</v>
      </c>
      <c r="AI446" s="645">
        <f t="shared" si="1250"/>
        <v>0</v>
      </c>
      <c r="AJ446" s="645">
        <f t="shared" si="1251"/>
        <v>0</v>
      </c>
      <c r="AK446" s="645" t="str">
        <f t="shared" si="1252"/>
        <v/>
      </c>
      <c r="AL446" s="645">
        <f t="shared" si="1253"/>
        <v>0</v>
      </c>
      <c r="AM446" s="645" t="str">
        <f t="shared" si="1254"/>
        <v/>
      </c>
      <c r="AN446" s="651">
        <f t="shared" si="1255"/>
        <v>0</v>
      </c>
      <c r="AO446" s="623"/>
      <c r="AP446" s="632" t="str">
        <f t="shared" si="1094"/>
        <v/>
      </c>
      <c r="AQ446" s="633" t="str">
        <f>IF(AC446=$V$3,IF(VLOOKUP(C446,[1]List1!$A:$E,5,FALSE)=0,1,VLOOKUP(C446,[1]List1!$A:$E,5,FALSE)),"")</f>
        <v/>
      </c>
      <c r="AR446" s="625" t="str">
        <f t="shared" si="1095"/>
        <v/>
      </c>
      <c r="AS446" s="634" t="str">
        <f t="shared" si="1096"/>
        <v/>
      </c>
      <c r="AT446" s="625" t="str">
        <f t="shared" si="1097"/>
        <v/>
      </c>
      <c r="AU446" s="638" t="e">
        <f t="shared" si="1098"/>
        <v>#N/A</v>
      </c>
      <c r="AV446" s="625" t="e">
        <f t="shared" si="1099"/>
        <v>#N/A</v>
      </c>
      <c r="AX446" s="625">
        <f>IF(AND('General price list'!$J446="F4",'General price list'!$AB446+0&gt;0),1,0)</f>
        <v>0</v>
      </c>
      <c r="AY446" s="625">
        <f t="shared" si="1100"/>
        <v>1</v>
      </c>
      <c r="AZ446" s="625">
        <f t="shared" si="1101"/>
        <v>0</v>
      </c>
    </row>
    <row r="447" spans="1:52" ht="15.75" customHeight="1">
      <c r="A447" s="621" t="str">
        <f>Kat.!C447</f>
        <v/>
      </c>
      <c r="B447" s="566">
        <f>IF(AND('General price list'!$J447="F4",$AI$1=FALSE),0,IF(AC447="SKLADEM",1,IF(AC447=$V$3,1,0)))</f>
        <v>1</v>
      </c>
      <c r="C447" s="567" t="s">
        <v>1039</v>
      </c>
      <c r="D447" s="568" t="s">
        <v>1040</v>
      </c>
      <c r="E447" s="763" t="s">
        <v>12746</v>
      </c>
      <c r="F447" s="791">
        <f>IFERROR(VLOOKUP(C447,[2]List1!$A:$D,3,FALSE),"NEUVEDENO!")</f>
        <v>469</v>
      </c>
      <c r="G447" s="769">
        <f t="shared" si="1242"/>
        <v>469</v>
      </c>
      <c r="H447" s="766">
        <f t="shared" si="1243"/>
        <v>19.92243419012544</v>
      </c>
      <c r="I447" s="764">
        <f>IFERROR(VLOOKUP(C447,[2]List1!$A:$D,4,FALSE),"NEUVEDENO!")</f>
        <v>6</v>
      </c>
      <c r="J447" s="732" t="s">
        <v>39</v>
      </c>
      <c r="K447" s="569" t="s">
        <v>11100</v>
      </c>
      <c r="L447" s="569" t="s">
        <v>10988</v>
      </c>
      <c r="M447" s="569" t="s">
        <v>114</v>
      </c>
      <c r="N447" s="569">
        <f>IFERROR(VLOOKUP(C447,[3]List1!$A:$D,4,FALSE),"N/A!")</f>
        <v>3.6455999999999995E-2</v>
      </c>
      <c r="O447" s="569">
        <f>IFERROR(VLOOKUP(C447,[3]List1!$A:$D,3,FALSE),"N/A!")</f>
        <v>2988</v>
      </c>
      <c r="P447" s="569">
        <f>IFERROR(VLOOKUP(C447,[3]List1!$A:$D,2,FALSE),"N/A!")</f>
        <v>16968</v>
      </c>
      <c r="Q447" s="569" t="s">
        <v>11244</v>
      </c>
      <c r="R447" s="569" t="s">
        <v>20</v>
      </c>
      <c r="S447" s="569" t="str">
        <f>IF($W$17=$AF$1,"červená fólie",IFERROR(VLOOKUP("červená fólie",Jazyky_ceník!$A:$Q,MATCH($W$17,Jazyky_ceník!$A$1:$Q$1,0),FALSE),"!!!"))</f>
        <v>červená fólie</v>
      </c>
      <c r="T447" s="569">
        <v>55</v>
      </c>
      <c r="U447" s="569">
        <v>25</v>
      </c>
      <c r="V447" s="569">
        <v>16</v>
      </c>
      <c r="W447" s="569" t="str">
        <f>IFERROR(IF(AND($AB447&gt;=0.1*$AA447,MOD($AB447,$AA447)&gt;=($AA447-(0.1*$AA447))),IF($W$17=$AF$1,"Zvažte možnost doobjednání ještě "&amp;Tabulka1[[#This Row],[VKPAL]]-MOD(AB447,AA447)&amp;" VK do plné palety.",VLOOKUP("Zvažte možnost doobjednání ještě ",Jazyky_ceník!A:Q,MATCH($W$17,Jazyky_ceník!$A$1:$Q$1,0),FALSE)&amp;Tabulka1[[#This Row],[VKPAL]]-MOD(AB447,AA447)&amp;VLOOKUP(" VK do plné palety.",Jazyky_ceník!A:Q,MATCH($W$17,Jazyky_ceník!$A$1:$Q$1,0),FALSE)),IFERROR(IF(AND(NOT(MOD($AB447,$AA447)=0),$AB447&gt;=0.9*$AA447,MOD($AB447,$AA447)&lt;=0.1*$AA447),IF($W$17=$AF$1,"Zvažte možnost optimalizace objednaného množství podle počtu VK na paletě ==&gt;",VLOOKUP("Zvažte možnost optimalizace objednaného množství podle počtu VK na paletě ==&gt;",Jazyky_ceník!A:Q,MATCH($W$17,Jazyky_ceník!$A$1:$Q$1,0),FALSE)),VLOOKUP('General price list'!$C447,Popisy!A:M,MATCH($W$17,Popisy!$A$7:$M$7,0),FALSE)),"---------------")),IFERROR(VLOOKUP('General price list'!$C447,Popisy!A:M,MATCH($W$17,Popisy!$A$7:$M$7,0),FALSE),"---------------"))</f>
        <v>8 různobarevných efektů</v>
      </c>
      <c r="X447" s="569" t="str">
        <f t="shared" si="1244"/>
        <v/>
      </c>
      <c r="Y447" s="569" t="str">
        <f t="shared" si="1245"/>
        <v/>
      </c>
      <c r="Z447" s="569" t="str">
        <f>HYPERLINK("https://www.klasekpyrotechnics.cz/c6420d")</f>
        <v>https://www.klasekpyrotechnics.cz/c6420d</v>
      </c>
      <c r="AA447" s="569">
        <f>IFERROR(IF(VLOOKUP(C447,[4]List1!$A:$D,4,FALSE)=0,"",VLOOKUP(C447,[4]List1!$A:$D,4,FALSE)),"")</f>
        <v>32</v>
      </c>
      <c r="AB447" s="565"/>
      <c r="AC447" s="570" t="str">
        <f>IFERROR(IF(VLOOKUP(C447,[1]List1!$A:$D,2,FALSE)="VYPRODÁNO",$V$9,IF(VLOOKUP(C447,[1]List1!$A:$D,2,FALSE)="DOCHÁZÍ",$V$3,VLOOKUP(C447,[1]List1!$A:$D,2,FALSE))),"OFFLINE!")</f>
        <v>SKLADEM</v>
      </c>
      <c r="AD447" s="570" t="str">
        <f ca="1">IF(AP447="NE",$V$10,IF(AC447=$V$3,IF(AQ447&lt;1,$V$8,$V$2&amp;" "&amp;AQ447&amp;" "&amp;$V$1),IF(AC447="SKLADEM",$V$6,IFERROR(IF(OR(AC447-TODAY()&gt;45,VLOOKUP(C447,[1]List1!$A:$E,4,FALSE)=0),AC447,DAY(AC447)&amp;"."&amp;MONTH(AC447)&amp;"."&amp;YEAR(AC447)&amp;" "&amp;$V$4&amp;VLOOKUP(C447,[1]List1!$A:$E,4,FALSE)&amp;" "&amp;$V$1),AC447))))</f>
        <v>SKLADEM</v>
      </c>
      <c r="AE447" s="581" t="str">
        <f t="shared" ca="1" si="1246"/>
        <v>SKLADEM</v>
      </c>
      <c r="AF447" s="584">
        <f t="shared" si="1247"/>
        <v>0</v>
      </c>
      <c r="AG447" s="585">
        <f t="shared" si="1248"/>
        <v>0</v>
      </c>
      <c r="AH447" s="583">
        <f t="shared" si="1249"/>
        <v>0</v>
      </c>
      <c r="AI447" s="582">
        <f t="shared" si="1250"/>
        <v>0</v>
      </c>
      <c r="AJ447" s="569">
        <f t="shared" si="1251"/>
        <v>0</v>
      </c>
      <c r="AK447" s="569" t="str">
        <f t="shared" si="1252"/>
        <v/>
      </c>
      <c r="AL447" s="569">
        <f t="shared" si="1253"/>
        <v>0</v>
      </c>
      <c r="AM447" s="569" t="str">
        <f t="shared" si="1254"/>
        <v/>
      </c>
      <c r="AN447" s="581">
        <f t="shared" si="1255"/>
        <v>0</v>
      </c>
      <c r="AO447" s="623"/>
      <c r="AP447" s="625" t="str">
        <f t="shared" si="1094"/>
        <v/>
      </c>
      <c r="AQ447" s="625" t="str">
        <f>IF(AC447=$V$3,IF(VLOOKUP(C447,[1]List1!$A:$E,5,FALSE)=0,1,VLOOKUP(C447,[1]List1!$A:$E,5,FALSE)),"")</f>
        <v/>
      </c>
      <c r="AR447" s="629" t="str">
        <f t="shared" si="1095"/>
        <v/>
      </c>
      <c r="AS447" s="630" t="str">
        <f t="shared" si="1096"/>
        <v/>
      </c>
      <c r="AT447" s="625" t="str">
        <f t="shared" si="1097"/>
        <v/>
      </c>
      <c r="AU447" s="625" t="e">
        <f t="shared" si="1098"/>
        <v>#N/A</v>
      </c>
      <c r="AV447" s="625" t="e">
        <f t="shared" si="1099"/>
        <v>#N/A</v>
      </c>
      <c r="AW447" s="631"/>
      <c r="AX447" s="631">
        <f>IF(AND('General price list'!$J447="F4",'General price list'!$AB447+0&gt;0),1,0)</f>
        <v>0</v>
      </c>
      <c r="AY447" s="631">
        <f t="shared" si="1100"/>
        <v>1</v>
      </c>
      <c r="AZ447" s="631">
        <f t="shared" si="1101"/>
        <v>0</v>
      </c>
    </row>
    <row r="448" spans="1:52" ht="15.75" customHeight="1">
      <c r="A448" s="751" t="str">
        <f>Kat.!C448</f>
        <v xml:space="preserve">           Baterie 64 ran, 20 mm moždíř – 1.4G</v>
      </c>
      <c r="B448" s="751"/>
      <c r="C448" s="751"/>
      <c r="D448" s="751"/>
      <c r="E448" s="751"/>
      <c r="F448" s="751"/>
      <c r="G448" s="751"/>
      <c r="H448" s="751"/>
      <c r="I448" s="752"/>
      <c r="J448" s="752"/>
      <c r="K448" s="752" t="s">
        <v>20</v>
      </c>
      <c r="L448" s="753" t="s">
        <v>2818</v>
      </c>
      <c r="M448" s="752"/>
      <c r="N448" s="752"/>
      <c r="O448" s="752"/>
      <c r="P448" s="752"/>
      <c r="Q448" s="752"/>
      <c r="R448" s="752"/>
      <c r="S448" s="752"/>
      <c r="T448" s="752"/>
      <c r="U448" s="752"/>
      <c r="V448" s="752"/>
      <c r="W448" s="752"/>
      <c r="X448" s="752"/>
      <c r="Y448" s="752"/>
      <c r="Z448" s="752" t="s">
        <v>20</v>
      </c>
      <c r="AA448" s="752"/>
      <c r="AB448" s="752"/>
      <c r="AC448" s="754"/>
      <c r="AD448" s="752"/>
      <c r="AE448" s="752"/>
      <c r="AF448" s="752"/>
      <c r="AG448" s="752"/>
      <c r="AH448" s="752"/>
      <c r="AI448" s="752"/>
      <c r="AJ448" s="752"/>
      <c r="AK448" s="752"/>
      <c r="AL448" s="752"/>
      <c r="AM448" s="752"/>
      <c r="AN448" s="752"/>
      <c r="AO448" s="623"/>
      <c r="AP448" s="625" t="str">
        <f t="shared" si="1094"/>
        <v/>
      </c>
      <c r="AQ448" s="625" t="str">
        <f>IF(AC448=$V$3,IF(VLOOKUP(C448,[1]List1!$A:$E,5,FALSE)=0,1,VLOOKUP(C448,[1]List1!$A:$E,5,FALSE)),"")</f>
        <v/>
      </c>
      <c r="AR448" s="629" t="str">
        <f t="shared" si="1095"/>
        <v/>
      </c>
      <c r="AS448" s="630" t="str">
        <f t="shared" si="1096"/>
        <v/>
      </c>
      <c r="AT448" s="625" t="str">
        <f t="shared" si="1097"/>
        <v/>
      </c>
      <c r="AU448" s="625" t="e">
        <f t="shared" si="1098"/>
        <v>#N/A</v>
      </c>
      <c r="AV448" s="625" t="e">
        <f t="shared" si="1099"/>
        <v>#N/A</v>
      </c>
      <c r="AW448" s="631"/>
      <c r="AX448" s="631">
        <f>IF(AND('General price list'!$J448="F4",'General price list'!$AB448+0&gt;0),1,0)</f>
        <v>0</v>
      </c>
      <c r="AY448" s="631">
        <f t="shared" si="1100"/>
        <v>0</v>
      </c>
      <c r="AZ448" s="631">
        <f t="shared" si="1101"/>
        <v>0</v>
      </c>
    </row>
    <row r="449" spans="1:52" ht="15.75" customHeight="1">
      <c r="A449" s="639" t="str">
        <f>Kat.!C449</f>
        <v/>
      </c>
      <c r="B449" s="640">
        <f>IF(AND('General price list'!$J449="F4",$AI$1=FALSE),0,IF(AC449="SKLADEM",1,IF(AC449=$V$3,1,0)))</f>
        <v>1</v>
      </c>
      <c r="C449" s="641" t="s">
        <v>1042</v>
      </c>
      <c r="D449" s="642" t="s">
        <v>1040</v>
      </c>
      <c r="E449" s="643" t="s">
        <v>12746</v>
      </c>
      <c r="F449" s="791">
        <f>IFERROR(VLOOKUP(C449,[2]List1!$A:$D,3,FALSE),"NEUVEDENO!")</f>
        <v>469</v>
      </c>
      <c r="G449" s="770">
        <f t="shared" ref="G449" si="1256">IF($W$17=$AF$8,ROUND((F449)/$F$17,2),(F449)*$B$19)</f>
        <v>469</v>
      </c>
      <c r="H449" s="767">
        <f t="shared" ref="H449" si="1257">IF($W$17=$AF$8,G449*$B$19,G449/$F$17)</f>
        <v>19.92243419012544</v>
      </c>
      <c r="I449" s="644">
        <f>IFERROR(VLOOKUP(C449,[2]List1!$A:$D,4,FALSE),"NEUVEDENO!")</f>
        <v>6</v>
      </c>
      <c r="J449" s="733" t="s">
        <v>39</v>
      </c>
      <c r="K449" s="645" t="s">
        <v>11100</v>
      </c>
      <c r="L449" s="645" t="s">
        <v>12757</v>
      </c>
      <c r="M449" s="645" t="s">
        <v>21</v>
      </c>
      <c r="N449" s="645">
        <f>IFERROR(VLOOKUP(C449,[3]List1!$A:$D,4,FALSE),"N/A!")</f>
        <v>3.6455999999999995E-2</v>
      </c>
      <c r="O449" s="645">
        <f>IFERROR(VLOOKUP(C449,[3]List1!$A:$D,3,FALSE),"N/A!")</f>
        <v>2988</v>
      </c>
      <c r="P449" s="645">
        <f>IFERROR(VLOOKUP(C449,[3]List1!$A:$D,2,FALSE),"N/A!")</f>
        <v>18500</v>
      </c>
      <c r="Q449" s="645" t="s">
        <v>11772</v>
      </c>
      <c r="R449" s="645"/>
      <c r="S449" s="645" t="str">
        <f>IF($W$17=$AF$1,"červená fólie",IFERROR(VLOOKUP("červená fólie",Jazyky_ceník!$A:$Q,MATCH($W$17,Jazyky_ceník!$A$1:$Q$1,0),FALSE),"!!!"))</f>
        <v>červená fólie</v>
      </c>
      <c r="T449" s="645">
        <v>55</v>
      </c>
      <c r="U449" s="645">
        <v>25</v>
      </c>
      <c r="V449" s="645">
        <v>13</v>
      </c>
      <c r="W449" s="645" t="str">
        <f>IFERROR(IF(AND($AB449&gt;=0.1*$AA449,MOD($AB449,$AA449)&gt;=($AA449-(0.1*$AA449))),IF($W$17=$AF$1,"Zvažte možnost doobjednání ještě "&amp;Tabulka1[[#This Row],[VKPAL]]-MOD(AB449,AA449)&amp;" VK do plné palety.",VLOOKUP("Zvažte možnost doobjednání ještě ",Jazyky_ceník!A:Q,MATCH($W$17,Jazyky_ceník!$A$1:$Q$1,0),FALSE)&amp;Tabulka1[[#This Row],[VKPAL]]-MOD(AB449,AA449)&amp;VLOOKUP(" VK do plné palety.",Jazyky_ceník!A:Q,MATCH($W$17,Jazyky_ceník!$A$1:$Q$1,0),FALSE)),IFERROR(IF(AND(NOT(MOD($AB449,$AA449)=0),$AB449&gt;=0.9*$AA449,MOD($AB449,$AA449)&lt;=0.1*$AA449),IF($W$17=$AF$1,"Zvažte možnost optimalizace objednaného množství podle počtu VK na paletě ==&gt;",VLOOKUP("Zvažte možnost optimalizace objednaného množství podle počtu VK na paletě ==&gt;",Jazyky_ceník!A:Q,MATCH($W$17,Jazyky_ceník!$A$1:$Q$1,0),FALSE)),VLOOKUP('General price list'!$C449,Popisy!A:M,MATCH($W$17,Popisy!$A$7:$M$7,0),FALSE)),"---------------")),IFERROR(VLOOKUP('General price list'!$C449,Popisy!A:M,MATCH($W$17,Popisy!$A$7:$M$7,0),FALSE),"---------------"))</f>
        <v>8 různobarevných efektů</v>
      </c>
      <c r="X449" s="645" t="str">
        <f t="shared" ref="X449" si="1258">IF(AB449&lt;0.0001,"",AB449)</f>
        <v/>
      </c>
      <c r="Y449" s="645" t="str">
        <f t="shared" ref="Y449" si="1259">IF($AL$3=2,IF(OR(AB449&lt;&gt;"",AB449&lt;&gt;0),AU449,""),IF(C449="","",IF(AB449&lt;0.0001,"",IF(B449=0,"",IF(AQ449&lt;AB449,"",AB449)))))</f>
        <v/>
      </c>
      <c r="Z449" s="645" t="str">
        <f>HYPERLINK("https://www.klasekpyrotechnics.cz/c6420d14")</f>
        <v>https://www.klasekpyrotechnics.cz/c6420d14</v>
      </c>
      <c r="AA449" s="645">
        <f>IFERROR(IF(VLOOKUP(C449,[4]List1!$A:$D,4,FALSE)=0,"",VLOOKUP(C449,[4]List1!$A:$D,4,FALSE)),"")</f>
        <v>32</v>
      </c>
      <c r="AB449" s="646"/>
      <c r="AC449" s="647" t="str">
        <f>IFERROR(IF(VLOOKUP(C449,[1]List1!$A:$D,2,FALSE)="VYPRODÁNO",$V$9,IF(VLOOKUP(C449,[1]List1!$A:$D,2,FALSE)="DOCHÁZÍ",$V$3,VLOOKUP(C449,[1]List1!$A:$D,2,FALSE))),"OFFLINE!")</f>
        <v>SKLADEM</v>
      </c>
      <c r="AD449" s="647" t="str">
        <f ca="1">IF(AP449="NE",$V$10,IF(AC449=$V$3,IF(AQ449&lt;1,$V$8,$V$2&amp;" "&amp;AQ449&amp;" "&amp;$V$1),IF(AC449="SKLADEM",$V$6,IFERROR(IF(OR(AC449-TODAY()&gt;45,VLOOKUP(C449,[1]List1!$A:$E,4,FALSE)=0),AC449,DAY(AC449)&amp;"."&amp;MONTH(AC449)&amp;"."&amp;YEAR(AC449)&amp;" "&amp;$V$4&amp;VLOOKUP(C449,[1]List1!$A:$E,4,FALSE)&amp;" "&amp;$V$1),AC449))))</f>
        <v>SKLADEM</v>
      </c>
      <c r="AE449" s="645" t="str">
        <f t="shared" ref="AE449" ca="1" si="1260">IFERROR(IF(AV449&lt;&gt;"",AV449,AD449),AD449)</f>
        <v>SKLADEM</v>
      </c>
      <c r="AF449" s="648">
        <f t="shared" ref="AF449" si="1261">IFERROR(IF(AB449=Y449,G449*I449*Y449,0),0)</f>
        <v>0</v>
      </c>
      <c r="AG449" s="649">
        <f t="shared" ref="AG449" si="1262">IF($W$17=$AF$8,AH449*1.23,AF449*1.21)</f>
        <v>0</v>
      </c>
      <c r="AH449" s="650">
        <f t="shared" ref="AH449" si="1263">IFERROR(IF(Y449=AB449,H449*I449*Y449,0),0)</f>
        <v>0</v>
      </c>
      <c r="AI449" s="645">
        <f t="shared" ref="AI449" si="1264">IFERROR(IF(Y449=AB449,(P449*Y449)/1000,1),0)</f>
        <v>0</v>
      </c>
      <c r="AJ449" s="645">
        <f t="shared" ref="AJ449" si="1265">IFERROR(IF(Y449=AB449,N449*Y449,0.1),0)</f>
        <v>0</v>
      </c>
      <c r="AK449" s="645" t="str">
        <f t="shared" ref="AK449" si="1266">IFERROR(IF(Y449=AB449,IF(M449="1.1G",(O449/1000)*Y449,""),""),0)</f>
        <v/>
      </c>
      <c r="AL449" s="645" t="str">
        <f t="shared" ref="AL449" si="1267">IFERROR(IF(Y449=AB449,IF(M449="1.3G",(O449/1000)*AB449,""),""),0)</f>
        <v/>
      </c>
      <c r="AM449" s="645">
        <f t="shared" ref="AM449" si="1268">IFERROR(IF(Y449=AB449,IF(M449="1.4G",(O449/1000)*AB449,""),""),0)</f>
        <v>0</v>
      </c>
      <c r="AN449" s="651">
        <f t="shared" ref="AN449" si="1269">SUM(AK449:AM449)</f>
        <v>0</v>
      </c>
      <c r="AO449" s="623"/>
      <c r="AP449" s="625" t="str">
        <f t="shared" si="1094"/>
        <v/>
      </c>
      <c r="AQ449" s="625" t="str">
        <f>IF(AC449=$V$3,IF(VLOOKUP(C449,[1]List1!$A:$E,5,FALSE)=0,1,VLOOKUP(C449,[1]List1!$A:$E,5,FALSE)),"")</f>
        <v/>
      </c>
      <c r="AR449" s="629" t="str">
        <f t="shared" si="1095"/>
        <v/>
      </c>
      <c r="AS449" s="630" t="str">
        <f t="shared" si="1096"/>
        <v/>
      </c>
      <c r="AT449" s="625" t="str">
        <f t="shared" si="1097"/>
        <v/>
      </c>
      <c r="AU449" s="625" t="e">
        <f t="shared" si="1098"/>
        <v>#N/A</v>
      </c>
      <c r="AV449" s="625" t="e">
        <f t="shared" si="1099"/>
        <v>#N/A</v>
      </c>
      <c r="AW449" s="631"/>
      <c r="AX449" s="631">
        <f>IF(AND('General price list'!$J449="F4",'General price list'!$AB449+0&gt;0),1,0)</f>
        <v>0</v>
      </c>
      <c r="AY449" s="631">
        <f t="shared" si="1100"/>
        <v>1</v>
      </c>
      <c r="AZ449" s="631">
        <f t="shared" si="1101"/>
        <v>0</v>
      </c>
    </row>
    <row r="450" spans="1:52" ht="15" customHeight="1">
      <c r="A450" s="751" t="str">
        <f>Kat.!C450</f>
        <v xml:space="preserve">           Baterie 66 ran, 20 mm I + V + W + šikmý moždíř – 1.3G</v>
      </c>
      <c r="B450" s="751"/>
      <c r="C450" s="751"/>
      <c r="D450" s="751"/>
      <c r="E450" s="751"/>
      <c r="F450" s="751"/>
      <c r="G450" s="751"/>
      <c r="H450" s="751"/>
      <c r="I450" s="752"/>
      <c r="J450" s="752"/>
      <c r="K450" s="752" t="s">
        <v>20</v>
      </c>
      <c r="L450" s="753" t="s">
        <v>2818</v>
      </c>
      <c r="M450" s="752"/>
      <c r="N450" s="752"/>
      <c r="O450" s="752"/>
      <c r="P450" s="752"/>
      <c r="Q450" s="752"/>
      <c r="R450" s="752"/>
      <c r="S450" s="752"/>
      <c r="T450" s="752"/>
      <c r="U450" s="752"/>
      <c r="V450" s="752"/>
      <c r="W450" s="752"/>
      <c r="X450" s="752"/>
      <c r="Y450" s="752"/>
      <c r="Z450" s="752" t="s">
        <v>20</v>
      </c>
      <c r="AA450" s="752"/>
      <c r="AB450" s="752"/>
      <c r="AC450" s="754"/>
      <c r="AD450" s="752"/>
      <c r="AE450" s="752"/>
      <c r="AF450" s="752"/>
      <c r="AG450" s="752"/>
      <c r="AH450" s="752"/>
      <c r="AI450" s="752"/>
      <c r="AJ450" s="752"/>
      <c r="AK450" s="752"/>
      <c r="AL450" s="752"/>
      <c r="AM450" s="752"/>
      <c r="AN450" s="752"/>
      <c r="AO450" s="623"/>
      <c r="AP450" s="632" t="str">
        <f t="shared" si="1094"/>
        <v/>
      </c>
      <c r="AQ450" s="633" t="str">
        <f>IF(AC450=$V$3,IF(VLOOKUP(C450,[1]List1!$A:$E,5,FALSE)=0,1,VLOOKUP(C450,[1]List1!$A:$E,5,FALSE)),"")</f>
        <v/>
      </c>
      <c r="AR450" s="625" t="str">
        <f t="shared" si="1095"/>
        <v/>
      </c>
      <c r="AS450" s="634" t="str">
        <f t="shared" si="1096"/>
        <v/>
      </c>
      <c r="AT450" s="625" t="str">
        <f t="shared" si="1097"/>
        <v/>
      </c>
      <c r="AU450" s="638" t="e">
        <f t="shared" si="1098"/>
        <v>#N/A</v>
      </c>
      <c r="AV450" s="625" t="e">
        <f t="shared" si="1099"/>
        <v>#N/A</v>
      </c>
      <c r="AX450" s="625">
        <f>IF(AND('General price list'!$J450="F4",'General price list'!$AB450+0&gt;0),1,0)</f>
        <v>0</v>
      </c>
      <c r="AY450" s="625">
        <f t="shared" si="1100"/>
        <v>0</v>
      </c>
      <c r="AZ450" s="625">
        <f t="shared" si="1101"/>
        <v>0</v>
      </c>
    </row>
    <row r="451" spans="1:52" ht="15.75" customHeight="1">
      <c r="A451" s="639" t="str">
        <f>Kat.!C451</f>
        <v/>
      </c>
      <c r="B451" s="640">
        <f>IF(AND('General price list'!$J451="F4",$AI$1=FALSE),0,IF(AC451="SKLADEM",1,IF(AC451=$V$3,1,0)))</f>
        <v>0</v>
      </c>
      <c r="C451" s="641" t="s">
        <v>1047</v>
      </c>
      <c r="D451" s="642" t="s">
        <v>1048</v>
      </c>
      <c r="E451" s="643" t="s">
        <v>12651</v>
      </c>
      <c r="F451" s="771">
        <f>IFERROR(VLOOKUP(C451,[2]List1!$A:$D,3,FALSE),"NEUVEDENO!")</f>
        <v>702</v>
      </c>
      <c r="G451" s="768">
        <f t="shared" ref="G451:G452" si="1270">IF($W$17=$AF$8,ROUND((F451)/$F$17,2),(F451)*$B$19)</f>
        <v>702</v>
      </c>
      <c r="H451" s="765">
        <f t="shared" ref="H451:H452" si="1271">IF($W$17=$AF$8,G451*$B$19,G451/$F$17)</f>
        <v>29.819933478609933</v>
      </c>
      <c r="I451" s="644">
        <f>IFERROR(VLOOKUP(C451,[2]List1!$A:$D,4,FALSE),"NEUVEDENO!")</f>
        <v>4</v>
      </c>
      <c r="J451" s="733" t="s">
        <v>39</v>
      </c>
      <c r="K451" s="645" t="s">
        <v>20</v>
      </c>
      <c r="L451" s="645" t="s">
        <v>20</v>
      </c>
      <c r="M451" s="645" t="s">
        <v>114</v>
      </c>
      <c r="N451" s="645">
        <f>IFERROR(VLOOKUP(C451,[3]List1!$A:$D,4,FALSE),"N/A!")</f>
        <v>5.9062499999999997E-2</v>
      </c>
      <c r="O451" s="645">
        <f>IFERROR(VLOOKUP(C451,[3]List1!$A:$D,3,FALSE),"N/A!")</f>
        <v>1964</v>
      </c>
      <c r="P451" s="645">
        <f>IFERROR(VLOOKUP(C451,[3]List1!$A:$D,2,FALSE),"N/A!")</f>
        <v>13300</v>
      </c>
      <c r="Q451" s="645" t="s">
        <v>12772</v>
      </c>
      <c r="R451" s="645" t="s">
        <v>20</v>
      </c>
      <c r="S451" s="645" t="str">
        <f>IF($W$17=$AF$1,"design",IFERROR(VLOOKUP("design",Jazyky_ceník!$A:$Q,MATCH($W$17,Jazyky_ceník!$A$1:$Q$1,0),FALSE),"!!!"))</f>
        <v>design</v>
      </c>
      <c r="T451" s="645">
        <v>45</v>
      </c>
      <c r="U451" s="645">
        <v>25</v>
      </c>
      <c r="V451" s="645">
        <v>16</v>
      </c>
      <c r="W451" s="645" t="str">
        <f>IFERROR(IF(AND($AB451&gt;=0.1*$AA451,MOD($AB451,$AA451)&gt;=($AA451-(0.1*$AA451))),IF($W$17=$AF$1,"Zvažte možnost doobjednání ještě "&amp;Tabulka1[[#This Row],[VKPAL]]-MOD(AB451,AA451)&amp;" VK do plné palety.",VLOOKUP("Zvažte možnost doobjednání ještě ",Jazyky_ceník!A:Q,MATCH($W$17,Jazyky_ceník!$A$1:$Q$1,0),FALSE)&amp;Tabulka1[[#This Row],[VKPAL]]-MOD(AB451,AA451)&amp;VLOOKUP(" VK do plné palety.",Jazyky_ceník!A:Q,MATCH($W$17,Jazyky_ceník!$A$1:$Q$1,0),FALSE)),IFERROR(IF(AND(NOT(MOD($AB451,$AA451)=0),$AB451&gt;=0.9*$AA451,MOD($AB451,$AA451)&lt;=0.1*$AA451),IF($W$17=$AF$1,"Zvažte možnost optimalizace objednaného množství podle počtu VK na paletě ==&gt;",VLOOKUP("Zvažte možnost optimalizace objednaného množství podle počtu VK na paletě ==&gt;",Jazyky_ceník!A:Q,MATCH($W$17,Jazyky_ceník!$A$1:$Q$1,0),FALSE)),VLOOKUP('General price list'!$C451,Popisy!A:M,MATCH($W$17,Popisy!$A$7:$M$7,0),FALSE)),"---------------")),IFERROR(VLOOKUP('General price list'!$C451,Popisy!A:M,MATCH($W$17,Popisy!$A$7:$M$7,0),FALSE),"---------------"))</f>
        <v>9 různobarevných efektů</v>
      </c>
      <c r="X451" s="645" t="str">
        <f t="shared" ref="X451:X452" si="1272">IF(AB451&lt;0.0001,"",AB451)</f>
        <v/>
      </c>
      <c r="Y451" s="645" t="str">
        <f t="shared" ref="Y451:Y452" si="1273">IF($AL$3=2,IF(OR(AB451&lt;&gt;"",AB451&lt;&gt;0),AU451,""),IF(C451="","",IF(AB451&lt;0.0001,"",IF(B451=0,"",IF(AQ451&lt;AB451,"",AB451)))))</f>
        <v/>
      </c>
      <c r="Z451" s="645" t="str">
        <f>HYPERLINK("https://www.klasekpyrotechnics.cz/c6620p")</f>
        <v>https://www.klasekpyrotechnics.cz/c6620p</v>
      </c>
      <c r="AA451" s="645">
        <f>IFERROR(IF(VLOOKUP(C451,[4]List1!$A:$D,4,FALSE)=0,"",VLOOKUP(C451,[4]List1!$A:$D,4,FALSE)),"")</f>
        <v>18</v>
      </c>
      <c r="AB451" s="646"/>
      <c r="AC451" s="647" t="str">
        <f>IFERROR(IF(VLOOKUP(C451,[1]List1!$A:$D,2,FALSE)="VYPRODÁNO",$V$9,IF(VLOOKUP(C451,[1]List1!$A:$D,2,FALSE)="DOCHÁZÍ",$V$3,VLOOKUP(C451,[1]List1!$A:$D,2,FALSE))),"OFFLINE!")</f>
        <v>31.08.2026</v>
      </c>
      <c r="AD451" s="647" t="str">
        <f ca="1">IF(AP451="NE",$V$10,IF(AC451=$V$3,IF(AQ451&lt;1,$V$8,$V$2&amp;" "&amp;AQ451&amp;" "&amp;$V$1),IF(AC451="SKLADEM",$V$6,IFERROR(IF(OR(AC451-TODAY()&gt;45,VLOOKUP(C451,[1]List1!$A:$E,4,FALSE)=0),AC451,DAY(AC451)&amp;"."&amp;MONTH(AC451)&amp;"."&amp;YEAR(AC451)&amp;" "&amp;$V$4&amp;VLOOKUP(C451,[1]List1!$A:$E,4,FALSE)&amp;" "&amp;$V$1),AC451))))</f>
        <v>31.08.2026</v>
      </c>
      <c r="AE451" s="645" t="str">
        <f t="shared" ref="AE451:AE452" ca="1" si="1274">IFERROR(IF(AV451&lt;&gt;"",AV451,AD451),AD451)</f>
        <v>31.08.2026</v>
      </c>
      <c r="AF451" s="648">
        <f t="shared" ref="AF451:AF452" si="1275">IFERROR(IF(AB451=Y451,G451*I451*Y451,0),0)</f>
        <v>0</v>
      </c>
      <c r="AG451" s="649">
        <f t="shared" ref="AG451:AG452" si="1276">IF($W$17=$AF$8,AH451*1.23,AF451*1.21)</f>
        <v>0</v>
      </c>
      <c r="AH451" s="650">
        <f t="shared" ref="AH451:AH452" si="1277">IFERROR(IF(Y451=AB451,H451*I451*Y451,0),0)</f>
        <v>0</v>
      </c>
      <c r="AI451" s="645">
        <f t="shared" ref="AI451:AI452" si="1278">IFERROR(IF(Y451=AB451,(P451*Y451)/1000,1),0)</f>
        <v>0</v>
      </c>
      <c r="AJ451" s="645">
        <f t="shared" ref="AJ451:AJ452" si="1279">IFERROR(IF(Y451=AB451,N451*Y451,0.1),0)</f>
        <v>0</v>
      </c>
      <c r="AK451" s="645" t="str">
        <f t="shared" ref="AK451:AK452" si="1280">IFERROR(IF(Y451=AB451,IF(M451="1.1G",(O451/1000)*Y451,""),""),0)</f>
        <v/>
      </c>
      <c r="AL451" s="645">
        <f t="shared" ref="AL451:AL452" si="1281">IFERROR(IF(Y451=AB451,IF(M451="1.3G",(O451/1000)*AB451,""),""),0)</f>
        <v>0</v>
      </c>
      <c r="AM451" s="645" t="str">
        <f t="shared" ref="AM451:AM452" si="1282">IFERROR(IF(Y451=AB451,IF(M451="1.4G",(O451/1000)*AB451,""),""),0)</f>
        <v/>
      </c>
      <c r="AN451" s="651">
        <f t="shared" ref="AN451:AN452" si="1283">SUM(AK451:AM451)</f>
        <v>0</v>
      </c>
      <c r="AO451" s="623"/>
      <c r="AP451" s="625" t="str">
        <f t="shared" si="1094"/>
        <v/>
      </c>
      <c r="AQ451" s="625" t="str">
        <f>IF(AC451=$V$3,IF(VLOOKUP(C451,[1]List1!$A:$E,5,FALSE)=0,1,VLOOKUP(C451,[1]List1!$A:$E,5,FALSE)),"")</f>
        <v/>
      </c>
      <c r="AR451" s="629" t="str">
        <f t="shared" si="1095"/>
        <v/>
      </c>
      <c r="AS451" s="630" t="str">
        <f t="shared" si="1096"/>
        <v/>
      </c>
      <c r="AT451" s="625" t="str">
        <f t="shared" si="1097"/>
        <v/>
      </c>
      <c r="AU451" s="625" t="e">
        <f t="shared" si="1098"/>
        <v>#N/A</v>
      </c>
      <c r="AV451" s="625" t="e">
        <f t="shared" si="1099"/>
        <v>#N/A</v>
      </c>
      <c r="AW451" s="631"/>
      <c r="AX451" s="631">
        <f>IF(AND('General price list'!$J451="F4",'General price list'!$AB451+0&gt;0),1,0)</f>
        <v>0</v>
      </c>
      <c r="AY451" s="631">
        <f t="shared" si="1100"/>
        <v>1</v>
      </c>
      <c r="AZ451" s="631">
        <f t="shared" si="1101"/>
        <v>0</v>
      </c>
    </row>
    <row r="452" spans="1:52" ht="15.75" customHeight="1">
      <c r="A452" s="621" t="str">
        <f>Kat.!C452</f>
        <v/>
      </c>
      <c r="B452" s="566">
        <f>IF(AND('General price list'!$J452="F4",$AI$1=FALSE),0,IF(AC452="SKLADEM",1,IF(AC452=$V$3,1,0)))</f>
        <v>1</v>
      </c>
      <c r="C452" s="567" t="s">
        <v>1049</v>
      </c>
      <c r="D452" s="568" t="s">
        <v>1050</v>
      </c>
      <c r="E452" s="763" t="s">
        <v>12651</v>
      </c>
      <c r="F452" s="772">
        <f>IFERROR(VLOOKUP(C452,[2]List1!$A:$D,3,FALSE),"NEUVEDENO!")</f>
        <v>702</v>
      </c>
      <c r="G452" s="769">
        <f t="shared" si="1270"/>
        <v>702</v>
      </c>
      <c r="H452" s="766">
        <f t="shared" si="1271"/>
        <v>29.819933478609933</v>
      </c>
      <c r="I452" s="764">
        <f>IFERROR(VLOOKUP(C452,[2]List1!$A:$D,4,FALSE),"NEUVEDENO!")</f>
        <v>4</v>
      </c>
      <c r="J452" s="732" t="s">
        <v>39</v>
      </c>
      <c r="K452" s="569" t="s">
        <v>20</v>
      </c>
      <c r="L452" s="569" t="s">
        <v>20</v>
      </c>
      <c r="M452" s="569" t="s">
        <v>114</v>
      </c>
      <c r="N452" s="569">
        <f>IFERROR(VLOOKUP(C452,[3]List1!$A:$D,4,FALSE),"N/A!")</f>
        <v>5.9062499999999997E-2</v>
      </c>
      <c r="O452" s="569">
        <f>IFERROR(VLOOKUP(C452,[3]List1!$A:$D,3,FALSE),"N/A!")</f>
        <v>1964</v>
      </c>
      <c r="P452" s="569">
        <f>IFERROR(VLOOKUP(C452,[3]List1!$A:$D,2,FALSE),"N/A!")</f>
        <v>13400</v>
      </c>
      <c r="Q452" s="569" t="s">
        <v>11773</v>
      </c>
      <c r="R452" s="569"/>
      <c r="S452" s="569" t="str">
        <f>IF($W$17=$AF$1,"design",IFERROR(VLOOKUP("design",Jazyky_ceník!$A:$Q,MATCH($W$17,Jazyky_ceník!$A$1:$Q$1,0),FALSE),"!!!"))</f>
        <v>design</v>
      </c>
      <c r="T452" s="569">
        <v>45</v>
      </c>
      <c r="U452" s="569">
        <v>25</v>
      </c>
      <c r="V452" s="569">
        <v>16</v>
      </c>
      <c r="W452" s="569" t="str">
        <f>IFERROR(IF(AND($AB452&gt;=0.1*$AA452,MOD($AB452,$AA452)&gt;=($AA452-(0.1*$AA452))),IF($W$17=$AF$1,"Zvažte možnost doobjednání ještě "&amp;Tabulka1[[#This Row],[VKPAL]]-MOD(AB452,AA452)&amp;" VK do plné palety.",VLOOKUP("Zvažte možnost doobjednání ještě ",Jazyky_ceník!A:Q,MATCH($W$17,Jazyky_ceník!$A$1:$Q$1,0),FALSE)&amp;Tabulka1[[#This Row],[VKPAL]]-MOD(AB452,AA452)&amp;VLOOKUP(" VK do plné palety.",Jazyky_ceník!A:Q,MATCH($W$17,Jazyky_ceník!$A$1:$Q$1,0),FALSE)),IFERROR(IF(AND(NOT(MOD($AB452,$AA452)=0),$AB452&gt;=0.9*$AA452,MOD($AB452,$AA452)&lt;=0.1*$AA452),IF($W$17=$AF$1,"Zvažte možnost optimalizace objednaného množství podle počtu VK na paletě ==&gt;",VLOOKUP("Zvažte možnost optimalizace objednaného množství podle počtu VK na paletě ==&gt;",Jazyky_ceník!A:Q,MATCH($W$17,Jazyky_ceník!$A$1:$Q$1,0),FALSE)),VLOOKUP('General price list'!$C452,Popisy!A:M,MATCH($W$17,Popisy!$A$7:$M$7,0),FALSE)),"---------------")),IFERROR(VLOOKUP('General price list'!$C452,Popisy!A:M,MATCH($W$17,Popisy!$A$7:$M$7,0),FALSE),"---------------"))</f>
        <v>9 různobarevných efektů</v>
      </c>
      <c r="X452" s="569" t="str">
        <f t="shared" si="1272"/>
        <v/>
      </c>
      <c r="Y452" s="569" t="str">
        <f t="shared" si="1273"/>
        <v/>
      </c>
      <c r="Z452" s="569" t="str">
        <f>HYPERLINK("https://www.klasekpyrotechnics.cz/c6620l")</f>
        <v>https://www.klasekpyrotechnics.cz/c6620l</v>
      </c>
      <c r="AA452" s="569">
        <f>IFERROR(IF(VLOOKUP(C452,[4]List1!$A:$D,4,FALSE)=0,"",VLOOKUP(C452,[4]List1!$A:$D,4,FALSE)),"")</f>
        <v>18</v>
      </c>
      <c r="AB452" s="565"/>
      <c r="AC452" s="570" t="str">
        <f>IFERROR(IF(VLOOKUP(C452,[1]List1!$A:$D,2,FALSE)="VYPRODÁNO",$V$9,IF(VLOOKUP(C452,[1]List1!$A:$D,2,FALSE)="DOCHÁZÍ",$V$3,VLOOKUP(C452,[1]List1!$A:$D,2,FALSE))),"OFFLINE!")</f>
        <v>SKLADEM</v>
      </c>
      <c r="AD452" s="570" t="str">
        <f ca="1">IF(AP452="NE",$V$10,IF(AC452=$V$3,IF(AQ452&lt;1,$V$8,$V$2&amp;" "&amp;AQ452&amp;" "&amp;$V$1),IF(AC452="SKLADEM",$V$6,IFERROR(IF(OR(AC452-TODAY()&gt;45,VLOOKUP(C452,[1]List1!$A:$E,4,FALSE)=0),AC452,DAY(AC452)&amp;"."&amp;MONTH(AC452)&amp;"."&amp;YEAR(AC452)&amp;" "&amp;$V$4&amp;VLOOKUP(C452,[1]List1!$A:$E,4,FALSE)&amp;" "&amp;$V$1),AC452))))</f>
        <v>SKLADEM</v>
      </c>
      <c r="AE452" s="581" t="str">
        <f t="shared" ca="1" si="1274"/>
        <v>SKLADEM</v>
      </c>
      <c r="AF452" s="584">
        <f t="shared" si="1275"/>
        <v>0</v>
      </c>
      <c r="AG452" s="585">
        <f t="shared" si="1276"/>
        <v>0</v>
      </c>
      <c r="AH452" s="583">
        <f t="shared" si="1277"/>
        <v>0</v>
      </c>
      <c r="AI452" s="582">
        <f t="shared" si="1278"/>
        <v>0</v>
      </c>
      <c r="AJ452" s="569">
        <f t="shared" si="1279"/>
        <v>0</v>
      </c>
      <c r="AK452" s="569" t="str">
        <f t="shared" si="1280"/>
        <v/>
      </c>
      <c r="AL452" s="569">
        <f t="shared" si="1281"/>
        <v>0</v>
      </c>
      <c r="AM452" s="569" t="str">
        <f t="shared" si="1282"/>
        <v/>
      </c>
      <c r="AN452" s="581">
        <f t="shared" si="1283"/>
        <v>0</v>
      </c>
      <c r="AO452" s="623"/>
      <c r="AP452" s="625" t="str">
        <f t="shared" si="1094"/>
        <v/>
      </c>
      <c r="AQ452" s="625" t="str">
        <f>IF(AC452=$V$3,IF(VLOOKUP(C452,[1]List1!$A:$E,5,FALSE)=0,1,VLOOKUP(C452,[1]List1!$A:$E,5,FALSE)),"")</f>
        <v/>
      </c>
      <c r="AR452" s="629" t="str">
        <f t="shared" si="1095"/>
        <v/>
      </c>
      <c r="AS452" s="630" t="str">
        <f t="shared" si="1096"/>
        <v/>
      </c>
      <c r="AT452" s="625" t="str">
        <f t="shared" si="1097"/>
        <v/>
      </c>
      <c r="AU452" s="625" t="e">
        <f t="shared" si="1098"/>
        <v>#N/A</v>
      </c>
      <c r="AV452" s="625" t="e">
        <f t="shared" si="1099"/>
        <v>#N/A</v>
      </c>
      <c r="AW452" s="631"/>
      <c r="AX452" s="631">
        <f>IF(AND('General price list'!$J452="F4",'General price list'!$AB452+0&gt;0),1,0)</f>
        <v>0</v>
      </c>
      <c r="AY452" s="631">
        <f t="shared" si="1100"/>
        <v>1</v>
      </c>
      <c r="AZ452" s="631">
        <f t="shared" si="1101"/>
        <v>0</v>
      </c>
    </row>
    <row r="453" spans="1:52" ht="15" customHeight="1">
      <c r="A453" s="751" t="str">
        <f>Kat.!C453</f>
        <v xml:space="preserve">           Baterie 66 ran, 20 mm I + V + W + šikmý moždíř – 1.4G</v>
      </c>
      <c r="B453" s="751"/>
      <c r="C453" s="751"/>
      <c r="D453" s="751"/>
      <c r="E453" s="751"/>
      <c r="F453" s="751"/>
      <c r="G453" s="751"/>
      <c r="H453" s="751"/>
      <c r="I453" s="752"/>
      <c r="J453" s="752"/>
      <c r="K453" s="752" t="s">
        <v>20</v>
      </c>
      <c r="L453" s="753" t="s">
        <v>2818</v>
      </c>
      <c r="M453" s="752"/>
      <c r="N453" s="752"/>
      <c r="O453" s="752"/>
      <c r="P453" s="752"/>
      <c r="Q453" s="752"/>
      <c r="R453" s="752"/>
      <c r="S453" s="752"/>
      <c r="T453" s="752"/>
      <c r="U453" s="752"/>
      <c r="V453" s="752"/>
      <c r="W453" s="752"/>
      <c r="X453" s="752"/>
      <c r="Y453" s="752"/>
      <c r="Z453" s="752" t="s">
        <v>20</v>
      </c>
      <c r="AA453" s="752"/>
      <c r="AB453" s="752"/>
      <c r="AC453" s="754"/>
      <c r="AD453" s="752"/>
      <c r="AE453" s="752"/>
      <c r="AF453" s="752"/>
      <c r="AG453" s="752"/>
      <c r="AH453" s="752"/>
      <c r="AI453" s="752"/>
      <c r="AJ453" s="752"/>
      <c r="AK453" s="752"/>
      <c r="AL453" s="752"/>
      <c r="AM453" s="752"/>
      <c r="AN453" s="752"/>
      <c r="AO453" s="623"/>
      <c r="AP453" s="632" t="str">
        <f t="shared" si="1094"/>
        <v/>
      </c>
      <c r="AQ453" s="633" t="str">
        <f>IF(AC453=$V$3,IF(VLOOKUP(C453,[1]List1!$A:$E,5,FALSE)=0,1,VLOOKUP(C453,[1]List1!$A:$E,5,FALSE)),"")</f>
        <v/>
      </c>
      <c r="AR453" s="625" t="str">
        <f t="shared" si="1095"/>
        <v/>
      </c>
      <c r="AS453" s="634" t="str">
        <f t="shared" si="1096"/>
        <v/>
      </c>
      <c r="AT453" s="625" t="str">
        <f t="shared" si="1097"/>
        <v/>
      </c>
      <c r="AU453" s="638" t="e">
        <f t="shared" si="1098"/>
        <v>#N/A</v>
      </c>
      <c r="AV453" s="625" t="e">
        <f t="shared" si="1099"/>
        <v>#N/A</v>
      </c>
      <c r="AX453" s="625">
        <f>IF(AND('General price list'!$J453="F4",'General price list'!$AB453+0&gt;0),1,0)</f>
        <v>0</v>
      </c>
      <c r="AY453" s="625">
        <f t="shared" si="1100"/>
        <v>0</v>
      </c>
      <c r="AZ453" s="625">
        <f t="shared" si="1101"/>
        <v>0</v>
      </c>
    </row>
    <row r="454" spans="1:52" ht="15.75" customHeight="1">
      <c r="A454" s="639" t="str">
        <f>Kat.!C454</f>
        <v/>
      </c>
      <c r="B454" s="640">
        <f>IF(AND('General price list'!$J454="F4",$AI$1=FALSE),0,IF(AC454="SKLADEM",1,IF(AC454=$V$3,1,0)))</f>
        <v>1</v>
      </c>
      <c r="C454" s="641" t="s">
        <v>1052</v>
      </c>
      <c r="D454" s="642" t="s">
        <v>1048</v>
      </c>
      <c r="E454" s="643" t="s">
        <v>12651</v>
      </c>
      <c r="F454" s="773">
        <f>IFERROR(VLOOKUP(C454,[2]List1!$A:$D,3,FALSE),"NEUVEDENO!")</f>
        <v>702</v>
      </c>
      <c r="G454" s="770">
        <f t="shared" ref="G454" si="1284">IF($W$17=$AF$8,ROUND((F454)/$F$17,2),(F454)*$B$19)</f>
        <v>702</v>
      </c>
      <c r="H454" s="767">
        <f t="shared" ref="H454" si="1285">IF($W$17=$AF$8,G454*$B$19,G454/$F$17)</f>
        <v>29.819933478609933</v>
      </c>
      <c r="I454" s="644">
        <f>IFERROR(VLOOKUP(C454,[2]List1!$A:$D,4,FALSE),"NEUVEDENO!")</f>
        <v>4</v>
      </c>
      <c r="J454" s="733" t="s">
        <v>39</v>
      </c>
      <c r="K454" s="645" t="s">
        <v>20</v>
      </c>
      <c r="L454" s="645" t="s">
        <v>10970</v>
      </c>
      <c r="M454" s="645" t="s">
        <v>21</v>
      </c>
      <c r="N454" s="645">
        <f>IFERROR(VLOOKUP(C454,[3]List1!$A:$D,4,FALSE),"N/A!")</f>
        <v>5.9062499999999997E-2</v>
      </c>
      <c r="O454" s="645">
        <f>IFERROR(VLOOKUP(C454,[3]List1!$A:$D,3,FALSE),"N/A!")</f>
        <v>1964</v>
      </c>
      <c r="P454" s="645">
        <f>IFERROR(VLOOKUP(C454,[3]List1!$A:$D,2,FALSE),"N/A!")</f>
        <v>14000</v>
      </c>
      <c r="Q454" s="645" t="s">
        <v>12773</v>
      </c>
      <c r="R454" s="645"/>
      <c r="S454" s="645" t="str">
        <f>IF($W$17=$AF$1,"design",IFERROR(VLOOKUP("design",Jazyky_ceník!$A:$Q,MATCH($W$17,Jazyky_ceník!$A$1:$Q$1,0),FALSE),"!!!"))</f>
        <v>design</v>
      </c>
      <c r="T454" s="645">
        <v>45</v>
      </c>
      <c r="U454" s="645">
        <v>25</v>
      </c>
      <c r="V454" s="645">
        <v>13</v>
      </c>
      <c r="W454" s="645" t="str">
        <f>IFERROR(IF(AND($AB454&gt;=0.1*$AA454,MOD($AB454,$AA454)&gt;=($AA454-(0.1*$AA454))),IF($W$17=$AF$1,"Zvažte možnost doobjednání ještě "&amp;Tabulka1[[#This Row],[VKPAL]]-MOD(AB454,AA454)&amp;" VK do plné palety.",VLOOKUP("Zvažte možnost doobjednání ještě ",Jazyky_ceník!A:Q,MATCH($W$17,Jazyky_ceník!$A$1:$Q$1,0),FALSE)&amp;Tabulka1[[#This Row],[VKPAL]]-MOD(AB454,AA454)&amp;VLOOKUP(" VK do plné palety.",Jazyky_ceník!A:Q,MATCH($W$17,Jazyky_ceník!$A$1:$Q$1,0),FALSE)),IFERROR(IF(AND(NOT(MOD($AB454,$AA454)=0),$AB454&gt;=0.9*$AA454,MOD($AB454,$AA454)&lt;=0.1*$AA454),IF($W$17=$AF$1,"Zvažte možnost optimalizace objednaného množství podle počtu VK na paletě ==&gt;",VLOOKUP("Zvažte možnost optimalizace objednaného množství podle počtu VK na paletě ==&gt;",Jazyky_ceník!A:Q,MATCH($W$17,Jazyky_ceník!$A$1:$Q$1,0),FALSE)),VLOOKUP('General price list'!$C454,Popisy!A:M,MATCH($W$17,Popisy!$A$7:$M$7,0),FALSE)),"---------------")),IFERROR(VLOOKUP('General price list'!$C454,Popisy!A:M,MATCH($W$17,Popisy!$A$7:$M$7,0),FALSE),"---------------"))</f>
        <v>9 různobarevných efektů</v>
      </c>
      <c r="X454" s="645" t="str">
        <f t="shared" ref="X454" si="1286">IF(AB454&lt;0.0001,"",AB454)</f>
        <v/>
      </c>
      <c r="Y454" s="645" t="str">
        <f t="shared" ref="Y454" si="1287">IF($AL$3=2,IF(OR(AB454&lt;&gt;"",AB454&lt;&gt;0),AU454,""),IF(C454="","",IF(AB454&lt;0.0001,"",IF(B454=0,"",IF(AQ454&lt;AB454,"",AB454)))))</f>
        <v/>
      </c>
      <c r="Z454" s="645" t="str">
        <f>HYPERLINK("https://www.klasekpyrotechnics.cz/c6620p14")</f>
        <v>https://www.klasekpyrotechnics.cz/c6620p14</v>
      </c>
      <c r="AA454" s="645">
        <f>IFERROR(IF(VLOOKUP(C454,[4]List1!$A:$D,4,FALSE)=0,"",VLOOKUP(C454,[4]List1!$A:$D,4,FALSE)),"")</f>
        <v>18</v>
      </c>
      <c r="AB454" s="646"/>
      <c r="AC454" s="647" t="str">
        <f>IFERROR(IF(VLOOKUP(C454,[1]List1!$A:$D,2,FALSE)="VYPRODÁNO",$V$9,IF(VLOOKUP(C454,[1]List1!$A:$D,2,FALSE)="DOCHÁZÍ",$V$3,VLOOKUP(C454,[1]List1!$A:$D,2,FALSE))),"OFFLINE!")</f>
        <v>SKLADEM</v>
      </c>
      <c r="AD454" s="647" t="str">
        <f ca="1">IF(AP454="NE",$V$10,IF(AC454=$V$3,IF(AQ454&lt;1,$V$8,$V$2&amp;" "&amp;AQ454&amp;" "&amp;$V$1),IF(AC454="SKLADEM",$V$6,IFERROR(IF(OR(AC454-TODAY()&gt;45,VLOOKUP(C454,[1]List1!$A:$E,4,FALSE)=0),AC454,DAY(AC454)&amp;"."&amp;MONTH(AC454)&amp;"."&amp;YEAR(AC454)&amp;" "&amp;$V$4&amp;VLOOKUP(C454,[1]List1!$A:$E,4,FALSE)&amp;" "&amp;$V$1),AC454))))</f>
        <v>SKLADEM</v>
      </c>
      <c r="AE454" s="645" t="str">
        <f t="shared" ref="AE454" ca="1" si="1288">IFERROR(IF(AV454&lt;&gt;"",AV454,AD454),AD454)</f>
        <v>SKLADEM</v>
      </c>
      <c r="AF454" s="648">
        <f t="shared" ref="AF454" si="1289">IFERROR(IF(AB454=Y454,G454*I454*Y454,0),0)</f>
        <v>0</v>
      </c>
      <c r="AG454" s="649">
        <f t="shared" ref="AG454" si="1290">IF($W$17=$AF$8,AH454*1.23,AF454*1.21)</f>
        <v>0</v>
      </c>
      <c r="AH454" s="650">
        <f t="shared" ref="AH454" si="1291">IFERROR(IF(Y454=AB454,H454*I454*Y454,0),0)</f>
        <v>0</v>
      </c>
      <c r="AI454" s="645">
        <f t="shared" ref="AI454" si="1292">IFERROR(IF(Y454=AB454,(P454*Y454)/1000,1),0)</f>
        <v>0</v>
      </c>
      <c r="AJ454" s="645">
        <f t="shared" ref="AJ454" si="1293">IFERROR(IF(Y454=AB454,N454*Y454,0.1),0)</f>
        <v>0</v>
      </c>
      <c r="AK454" s="645" t="str">
        <f t="shared" ref="AK454" si="1294">IFERROR(IF(Y454=AB454,IF(M454="1.1G",(O454/1000)*Y454,""),""),0)</f>
        <v/>
      </c>
      <c r="AL454" s="645" t="str">
        <f t="shared" ref="AL454" si="1295">IFERROR(IF(Y454=AB454,IF(M454="1.3G",(O454/1000)*AB454,""),""),0)</f>
        <v/>
      </c>
      <c r="AM454" s="645">
        <f t="shared" ref="AM454" si="1296">IFERROR(IF(Y454=AB454,IF(M454="1.4G",(O454/1000)*AB454,""),""),0)</f>
        <v>0</v>
      </c>
      <c r="AN454" s="651">
        <f t="shared" ref="AN454" si="1297">SUM(AK454:AM454)</f>
        <v>0</v>
      </c>
      <c r="AO454" s="623"/>
      <c r="AP454" s="625" t="str">
        <f t="shared" si="1094"/>
        <v/>
      </c>
      <c r="AQ454" s="625" t="str">
        <f>IF(AC454=$V$3,IF(VLOOKUP(C454,[1]List1!$A:$E,5,FALSE)=0,1,VLOOKUP(C454,[1]List1!$A:$E,5,FALSE)),"")</f>
        <v/>
      </c>
      <c r="AR454" s="629" t="str">
        <f t="shared" si="1095"/>
        <v/>
      </c>
      <c r="AS454" s="630" t="str">
        <f t="shared" si="1096"/>
        <v/>
      </c>
      <c r="AT454" s="625" t="str">
        <f t="shared" si="1097"/>
        <v/>
      </c>
      <c r="AU454" s="625" t="e">
        <f t="shared" si="1098"/>
        <v>#N/A</v>
      </c>
      <c r="AV454" s="625" t="e">
        <f t="shared" si="1099"/>
        <v>#N/A</v>
      </c>
      <c r="AW454" s="631"/>
      <c r="AX454" s="631">
        <f>IF(AND('General price list'!$J454="F4",'General price list'!$AB454+0&gt;0),1,0)</f>
        <v>0</v>
      </c>
      <c r="AY454" s="631">
        <f t="shared" si="1100"/>
        <v>1</v>
      </c>
      <c r="AZ454" s="631">
        <f t="shared" si="1101"/>
        <v>0</v>
      </c>
    </row>
    <row r="455" spans="1:52" ht="15.75" customHeight="1">
      <c r="A455" s="751" t="str">
        <f>Kat.!C455</f>
        <v xml:space="preserve">           Baterie 90 ran, 20 mm moždíř – 1.3G</v>
      </c>
      <c r="B455" s="751"/>
      <c r="C455" s="751"/>
      <c r="D455" s="751"/>
      <c r="E455" s="751"/>
      <c r="F455" s="751"/>
      <c r="G455" s="751"/>
      <c r="H455" s="751"/>
      <c r="I455" s="752"/>
      <c r="J455" s="752"/>
      <c r="K455" s="752" t="s">
        <v>20</v>
      </c>
      <c r="L455" s="753" t="s">
        <v>2818</v>
      </c>
      <c r="M455" s="752"/>
      <c r="N455" s="752"/>
      <c r="O455" s="752"/>
      <c r="P455" s="752"/>
      <c r="Q455" s="752"/>
      <c r="R455" s="752"/>
      <c r="S455" s="752"/>
      <c r="T455" s="752"/>
      <c r="U455" s="752"/>
      <c r="V455" s="752"/>
      <c r="W455" s="752"/>
      <c r="X455" s="752"/>
      <c r="Y455" s="752"/>
      <c r="Z455" s="752" t="s">
        <v>20</v>
      </c>
      <c r="AA455" s="752"/>
      <c r="AB455" s="752"/>
      <c r="AC455" s="754"/>
      <c r="AD455" s="752"/>
      <c r="AE455" s="752"/>
      <c r="AF455" s="752"/>
      <c r="AG455" s="752"/>
      <c r="AH455" s="752"/>
      <c r="AI455" s="752"/>
      <c r="AJ455" s="752"/>
      <c r="AK455" s="752"/>
      <c r="AL455" s="752"/>
      <c r="AM455" s="752"/>
      <c r="AN455" s="752"/>
      <c r="AO455" s="623"/>
      <c r="AP455" s="625" t="str">
        <f t="shared" si="1094"/>
        <v/>
      </c>
      <c r="AQ455" s="625" t="str">
        <f>IF(AC455=$V$3,IF(VLOOKUP(C455,[1]List1!$A:$E,5,FALSE)=0,1,VLOOKUP(C455,[1]List1!$A:$E,5,FALSE)),"")</f>
        <v/>
      </c>
      <c r="AR455" s="629" t="str">
        <f t="shared" si="1095"/>
        <v/>
      </c>
      <c r="AS455" s="630" t="str">
        <f t="shared" si="1096"/>
        <v/>
      </c>
      <c r="AT455" s="625" t="str">
        <f t="shared" si="1097"/>
        <v/>
      </c>
      <c r="AU455" s="625" t="e">
        <f t="shared" si="1098"/>
        <v>#N/A</v>
      </c>
      <c r="AV455" s="625" t="e">
        <f t="shared" si="1099"/>
        <v>#N/A</v>
      </c>
      <c r="AW455" s="631"/>
      <c r="AX455" s="631">
        <f>IF(AND('General price list'!$J455="F4",'General price list'!$AB455+0&gt;0),1,0)</f>
        <v>0</v>
      </c>
      <c r="AY455" s="631">
        <f t="shared" si="1100"/>
        <v>0</v>
      </c>
      <c r="AZ455" s="631">
        <f t="shared" si="1101"/>
        <v>0</v>
      </c>
    </row>
    <row r="456" spans="1:52" ht="15" customHeight="1">
      <c r="A456" s="639" t="str">
        <f>Kat.!C456</f>
        <v/>
      </c>
      <c r="B456" s="640">
        <f>IF(AND('General price list'!$J456="F4",$AI$1=FALSE),0,IF(AC456="SKLADEM",1,IF(AC456=$V$3,1,0)))</f>
        <v>1</v>
      </c>
      <c r="C456" s="641" t="s">
        <v>1054</v>
      </c>
      <c r="D456" s="642" t="s">
        <v>11881</v>
      </c>
      <c r="E456" s="643" t="s">
        <v>12746</v>
      </c>
      <c r="F456" s="771">
        <f>IFERROR(VLOOKUP(C456,[2]List1!$A:$D,3,FALSE),"NEUVEDENO!")</f>
        <v>750</v>
      </c>
      <c r="G456" s="768">
        <f t="shared" ref="G456:G458" si="1298">IF($W$17=$AF$8,ROUND((F456)/$F$17,2),(F456)*$B$19)</f>
        <v>750</v>
      </c>
      <c r="H456" s="765">
        <f t="shared" ref="H456:H458" si="1299">IF($W$17=$AF$8,G456*$B$19,G456/$F$17)</f>
        <v>31.858903289113176</v>
      </c>
      <c r="I456" s="644">
        <f>IFERROR(VLOOKUP(C456,[2]List1!$A:$D,4,FALSE),"NEUVEDENO!")</f>
        <v>6</v>
      </c>
      <c r="J456" s="733" t="s">
        <v>113</v>
      </c>
      <c r="K456" s="645" t="s">
        <v>20</v>
      </c>
      <c r="L456" s="645" t="s">
        <v>20</v>
      </c>
      <c r="M456" s="645" t="s">
        <v>114</v>
      </c>
      <c r="N456" s="645">
        <f>IFERROR(VLOOKUP(C456,[3]List1!$A:$D,4,FALSE),"N/A!")</f>
        <v>4.5967999999999995E-2</v>
      </c>
      <c r="O456" s="645">
        <f>IFERROR(VLOOKUP(C456,[3]List1!$A:$D,3,FALSE),"N/A!")</f>
        <v>5940</v>
      </c>
      <c r="P456" s="645">
        <f>IFERROR(VLOOKUP(C456,[3]List1!$A:$D,2,FALSE),"N/A!")</f>
        <v>26700</v>
      </c>
      <c r="Q456" s="645" t="s">
        <v>11291</v>
      </c>
      <c r="R456" s="645"/>
      <c r="S456" s="645" t="str">
        <f>IF($W$17=$AF$1,"design",IFERROR(VLOOKUP("design",Jazyky_ceník!$A:$Q,MATCH($W$17,Jazyky_ceník!$A$1:$Q$1,0),FALSE),"!!!"))</f>
        <v>design</v>
      </c>
      <c r="T456" s="645">
        <v>65</v>
      </c>
      <c r="U456" s="645">
        <v>27</v>
      </c>
      <c r="V456" s="645">
        <v>18</v>
      </c>
      <c r="W456" s="645" t="str">
        <f>IFERROR(IF(AND($AB456&gt;=0.1*$AA456,MOD($AB456,$AA456)&gt;=($AA456-(0.1*$AA456))),IF($W$17=$AF$1,"Zvažte možnost doobjednání ještě "&amp;Tabulka1[[#This Row],[VKPAL]]-MOD(AB456,AA456)&amp;" VK do plné palety.",VLOOKUP("Zvažte možnost doobjednání ještě ",Jazyky_ceník!A:Q,MATCH($W$17,Jazyky_ceník!$A$1:$Q$1,0),FALSE)&amp;Tabulka1[[#This Row],[VKPAL]]-MOD(AB456,AA456)&amp;VLOOKUP(" VK do plné palety.",Jazyky_ceník!A:Q,MATCH($W$17,Jazyky_ceník!$A$1:$Q$1,0),FALSE)),IFERROR(IF(AND(NOT(MOD($AB456,$AA456)=0),$AB456&gt;=0.9*$AA456,MOD($AB456,$AA456)&lt;=0.1*$AA456),IF($W$17=$AF$1,"Zvažte možnost optimalizace objednaného množství podle počtu VK na paletě ==&gt;",VLOOKUP("Zvažte možnost optimalizace objednaného množství podle počtu VK na paletě ==&gt;",Jazyky_ceník!A:Q,MATCH($W$17,Jazyky_ceník!$A$1:$Q$1,0),FALSE)),VLOOKUP('General price list'!$C456,Popisy!A:M,MATCH($W$17,Popisy!$A$7:$M$7,0),FALSE)),"---------------")),IFERROR(VLOOKUP('General price list'!$C456,Popisy!A:M,MATCH($W$17,Popisy!$A$7:$M$7,0),FALSE),"---------------"))</f>
        <v>10 různobarevných efektů</v>
      </c>
      <c r="X456" s="645" t="str">
        <f t="shared" ref="X456:X458" si="1300">IF(AB456&lt;0.0001,"",AB456)</f>
        <v/>
      </c>
      <c r="Y456" s="645" t="str">
        <f t="shared" ref="Y456:Y458" si="1301">IF($AL$3=2,IF(OR(AB456&lt;&gt;"",AB456&lt;&gt;0),AU456,""),IF(C456="","",IF(AB456&lt;0.0001,"",IF(B456=0,"",IF(AQ456&lt;AB456,"",AB456)))))</f>
        <v/>
      </c>
      <c r="Z456" s="645" t="str">
        <f>HYPERLINK("https://www.klasekpyrotechnics.cz/c9020sig")</f>
        <v>https://www.klasekpyrotechnics.cz/c9020sig</v>
      </c>
      <c r="AA456" s="645">
        <f>IFERROR(IF(VLOOKUP(C456,[4]List1!$A:$D,4,FALSE)=0,"",VLOOKUP(C456,[4]List1!$A:$D,4,FALSE)),"")</f>
        <v>24</v>
      </c>
      <c r="AB456" s="646"/>
      <c r="AC456" s="647" t="str">
        <f>IFERROR(IF(VLOOKUP(C456,[1]List1!$A:$D,2,FALSE)="VYPRODÁNO",$V$9,IF(VLOOKUP(C456,[1]List1!$A:$D,2,FALSE)="DOCHÁZÍ",$V$3,VLOOKUP(C456,[1]List1!$A:$D,2,FALSE))),"OFFLINE!")</f>
        <v>DOCHÁZÍ</v>
      </c>
      <c r="AD456" s="647" t="str">
        <f ca="1">IF(AP456="NE",$V$10,IF(AC456=$V$3,IF(AQ456&lt;1,$V$8,$V$2&amp;" "&amp;AQ456&amp;" "&amp;$V$1),IF(AC456="SKLADEM",$V$6,IFERROR(IF(OR(AC456-TODAY()&gt;45,VLOOKUP(C456,[1]List1!$A:$E,4,FALSE)=0),AC456,DAY(AC456)&amp;"."&amp;MONTH(AC456)&amp;"."&amp;YEAR(AC456)&amp;" "&amp;$V$4&amp;VLOOKUP(C456,[1]List1!$A:$E,4,FALSE)&amp;" "&amp;$V$1),AC456))))</f>
        <v>POSLEDNÍCH 62 VK</v>
      </c>
      <c r="AE456" s="645" t="str">
        <f t="shared" ref="AE456:AE458" ca="1" si="1302">IFERROR(IF(AV456&lt;&gt;"",AV456,AD456),AD456)</f>
        <v>POSLEDNÍCH 62 VK</v>
      </c>
      <c r="AF456" s="648">
        <f t="shared" ref="AF456:AF458" si="1303">IFERROR(IF(AB456=Y456,G456*I456*Y456,0),0)</f>
        <v>0</v>
      </c>
      <c r="AG456" s="649">
        <f t="shared" ref="AG456:AG458" si="1304">IF($W$17=$AF$8,AH456*1.23,AF456*1.21)</f>
        <v>0</v>
      </c>
      <c r="AH456" s="650">
        <f t="shared" ref="AH456:AH458" si="1305">IFERROR(IF(Y456=AB456,H456*I456*Y456,0),0)</f>
        <v>0</v>
      </c>
      <c r="AI456" s="645">
        <f t="shared" ref="AI456:AI458" si="1306">IFERROR(IF(Y456=AB456,(P456*Y456)/1000,1),0)</f>
        <v>0</v>
      </c>
      <c r="AJ456" s="645">
        <f t="shared" ref="AJ456:AJ458" si="1307">IFERROR(IF(Y456=AB456,N456*Y456,0.1),0)</f>
        <v>0</v>
      </c>
      <c r="AK456" s="645" t="str">
        <f t="shared" ref="AK456:AK458" si="1308">IFERROR(IF(Y456=AB456,IF(M456="1.1G",(O456/1000)*Y456,""),""),0)</f>
        <v/>
      </c>
      <c r="AL456" s="645">
        <f t="shared" ref="AL456:AL458" si="1309">IFERROR(IF(Y456=AB456,IF(M456="1.3G",(O456/1000)*AB456,""),""),0)</f>
        <v>0</v>
      </c>
      <c r="AM456" s="645" t="str">
        <f t="shared" ref="AM456:AM458" si="1310">IFERROR(IF(Y456=AB456,IF(M456="1.4G",(O456/1000)*AB456,""),""),0)</f>
        <v/>
      </c>
      <c r="AN456" s="651">
        <f t="shared" ref="AN456:AN458" si="1311">SUM(AK456:AM456)</f>
        <v>0</v>
      </c>
      <c r="AO456" s="623"/>
      <c r="AP456" s="632" t="str">
        <f t="shared" si="1094"/>
        <v/>
      </c>
      <c r="AQ456" s="633">
        <f>IF(AC456=$V$3,IF(VLOOKUP(C456,[1]List1!$A:$E,5,FALSE)=0,1,VLOOKUP(C456,[1]List1!$A:$E,5,FALSE)),"")</f>
        <v>62</v>
      </c>
      <c r="AR456" s="625" t="str">
        <f t="shared" si="1095"/>
        <v/>
      </c>
      <c r="AS456" s="634" t="str">
        <f t="shared" si="1096"/>
        <v/>
      </c>
      <c r="AT456" s="625" t="str">
        <f t="shared" si="1097"/>
        <v/>
      </c>
      <c r="AU456" s="638" t="e">
        <f t="shared" si="1098"/>
        <v>#N/A</v>
      </c>
      <c r="AV456" s="625" t="e">
        <f t="shared" si="1099"/>
        <v>#N/A</v>
      </c>
      <c r="AX456" s="625">
        <f>IF(AND('General price list'!$J456="F4",'General price list'!$AB456+0&gt;0),1,0)</f>
        <v>0</v>
      </c>
      <c r="AY456" s="625">
        <f t="shared" si="1100"/>
        <v>1</v>
      </c>
      <c r="AZ456" s="625">
        <f t="shared" si="1101"/>
        <v>0</v>
      </c>
    </row>
    <row r="457" spans="1:52" ht="15" customHeight="1">
      <c r="A457" s="621" t="str">
        <f>Kat.!C457</f>
        <v/>
      </c>
      <c r="B457" s="566">
        <f>IF(AND('General price list'!$J457="F4",$AI$1=FALSE),0,IF(AC457="SKLADEM",1,IF(AC457=$V$3,1,0)))</f>
        <v>1</v>
      </c>
      <c r="C457" s="567" t="s">
        <v>1055</v>
      </c>
      <c r="D457" s="568" t="s">
        <v>1056</v>
      </c>
      <c r="E457" s="763" t="s">
        <v>12746</v>
      </c>
      <c r="F457" s="791">
        <f>IFERROR(VLOOKUP(C457,[2]List1!$A:$D,3,FALSE),"NEUVEDENO!")</f>
        <v>639</v>
      </c>
      <c r="G457" s="769">
        <f t="shared" si="1298"/>
        <v>639</v>
      </c>
      <c r="H457" s="766">
        <f t="shared" si="1299"/>
        <v>27.143785602324424</v>
      </c>
      <c r="I457" s="764">
        <f>IFERROR(VLOOKUP(C457,[2]List1!$A:$D,4,FALSE),"NEUVEDENO!")</f>
        <v>6</v>
      </c>
      <c r="J457" s="732" t="s">
        <v>113</v>
      </c>
      <c r="K457" s="569" t="s">
        <v>11100</v>
      </c>
      <c r="L457" s="569" t="s">
        <v>10993</v>
      </c>
      <c r="M457" s="569" t="s">
        <v>114</v>
      </c>
      <c r="N457" s="569">
        <f>IFERROR(VLOOKUP(C457,[3]List1!$A:$D,4,FALSE),"N/A!")</f>
        <v>4.5967999999999995E-2</v>
      </c>
      <c r="O457" s="569">
        <f>IFERROR(VLOOKUP(C457,[3]List1!$A:$D,3,FALSE),"N/A!")</f>
        <v>4320</v>
      </c>
      <c r="P457" s="569">
        <f>IFERROR(VLOOKUP(C457,[3]List1!$A:$D,2,FALSE),"N/A!")</f>
        <v>24000</v>
      </c>
      <c r="Q457" s="569" t="s">
        <v>11291</v>
      </c>
      <c r="R457" s="569"/>
      <c r="S457" s="569" t="str">
        <f>IF($W$17=$AF$1,"design",IFERROR(VLOOKUP("design",Jazyky_ceník!$A:$Q,MATCH($W$17,Jazyky_ceník!$A$1:$Q$1,0),FALSE),"!!!"))</f>
        <v>design</v>
      </c>
      <c r="T457" s="569">
        <v>70</v>
      </c>
      <c r="U457" s="569">
        <v>25</v>
      </c>
      <c r="V457" s="569">
        <v>16</v>
      </c>
      <c r="W457" s="569" t="str">
        <f>IFERROR(IF(AND($AB457&gt;=0.1*$AA457,MOD($AB457,$AA457)&gt;=($AA457-(0.1*$AA457))),IF($W$17=$AF$1,"Zvažte možnost doobjednání ještě "&amp;Tabulka1[[#This Row],[VKPAL]]-MOD(AB457,AA457)&amp;" VK do plné palety.",VLOOKUP("Zvažte možnost doobjednání ještě ",Jazyky_ceník!A:Q,MATCH($W$17,Jazyky_ceník!$A$1:$Q$1,0),FALSE)&amp;Tabulka1[[#This Row],[VKPAL]]-MOD(AB457,AA457)&amp;VLOOKUP(" VK do plné palety.",Jazyky_ceník!A:Q,MATCH($W$17,Jazyky_ceník!$A$1:$Q$1,0),FALSE)),IFERROR(IF(AND(NOT(MOD($AB457,$AA457)=0),$AB457&gt;=0.9*$AA457,MOD($AB457,$AA457)&lt;=0.1*$AA457),IF($W$17=$AF$1,"Zvažte možnost optimalizace objednaného množství podle počtu VK na paletě ==&gt;",VLOOKUP("Zvažte možnost optimalizace objednaného množství podle počtu VK na paletě ==&gt;",Jazyky_ceník!A:Q,MATCH($W$17,Jazyky_ceník!$A$1:$Q$1,0),FALSE)),VLOOKUP('General price list'!$C457,Popisy!A:M,MATCH($W$17,Popisy!$A$7:$M$7,0),FALSE)),"---------------")),IFERROR(VLOOKUP('General price list'!$C457,Popisy!A:M,MATCH($W$17,Popisy!$A$7:$M$7,0),FALSE),"---------------"))</f>
        <v>10 různobarevných efektů</v>
      </c>
      <c r="X457" s="569" t="str">
        <f t="shared" si="1300"/>
        <v/>
      </c>
      <c r="Y457" s="569" t="str">
        <f t="shared" si="1301"/>
        <v/>
      </c>
      <c r="Z457" s="569" t="str">
        <f>HYPERLINK("https://www.klasekpyrotechnics.cz/c9020v")</f>
        <v>https://www.klasekpyrotechnics.cz/c9020v</v>
      </c>
      <c r="AA457" s="569">
        <f>IFERROR(IF(VLOOKUP(C457,[4]List1!$A:$D,4,FALSE)=0,"",VLOOKUP(C457,[4]List1!$A:$D,4,FALSE)),"")</f>
        <v>24</v>
      </c>
      <c r="AB457" s="565"/>
      <c r="AC457" s="570" t="str">
        <f>IFERROR(IF(VLOOKUP(C457,[1]List1!$A:$D,2,FALSE)="VYPRODÁNO",$V$9,IF(VLOOKUP(C457,[1]List1!$A:$D,2,FALSE)="DOCHÁZÍ",$V$3,VLOOKUP(C457,[1]List1!$A:$D,2,FALSE))),"OFFLINE!")</f>
        <v>DOCHÁZÍ</v>
      </c>
      <c r="AD457" s="570" t="str">
        <f ca="1">IF(AP457="NE",$V$10,IF(AC457=$V$3,IF(AQ457&lt;1,$V$8,$V$2&amp;" "&amp;AQ457&amp;" "&amp;$V$1),IF(AC457="SKLADEM",$V$6,IFERROR(IF(OR(AC457-TODAY()&gt;45,VLOOKUP(C457,[1]List1!$A:$E,4,FALSE)=0),AC457,DAY(AC457)&amp;"."&amp;MONTH(AC457)&amp;"."&amp;YEAR(AC457)&amp;" "&amp;$V$4&amp;VLOOKUP(C457,[1]List1!$A:$E,4,FALSE)&amp;" "&amp;$V$1),AC457))))</f>
        <v>POSLEDNÍCH 85 VK</v>
      </c>
      <c r="AE457" s="581" t="str">
        <f t="shared" ca="1" si="1302"/>
        <v>POSLEDNÍCH 85 VK</v>
      </c>
      <c r="AF457" s="584">
        <f t="shared" si="1303"/>
        <v>0</v>
      </c>
      <c r="AG457" s="585">
        <f t="shared" si="1304"/>
        <v>0</v>
      </c>
      <c r="AH457" s="583">
        <f t="shared" si="1305"/>
        <v>0</v>
      </c>
      <c r="AI457" s="582">
        <f t="shared" si="1306"/>
        <v>0</v>
      </c>
      <c r="AJ457" s="569">
        <f t="shared" si="1307"/>
        <v>0</v>
      </c>
      <c r="AK457" s="569" t="str">
        <f t="shared" si="1308"/>
        <v/>
      </c>
      <c r="AL457" s="569">
        <f t="shared" si="1309"/>
        <v>0</v>
      </c>
      <c r="AM457" s="569" t="str">
        <f t="shared" si="1310"/>
        <v/>
      </c>
      <c r="AN457" s="581">
        <f t="shared" si="1311"/>
        <v>0</v>
      </c>
      <c r="AO457" s="623"/>
      <c r="AP457" s="632" t="str">
        <f t="shared" si="1094"/>
        <v/>
      </c>
      <c r="AQ457" s="633">
        <f>IF(AC457=$V$3,IF(VLOOKUP(C457,[1]List1!$A:$E,5,FALSE)=0,1,VLOOKUP(C457,[1]List1!$A:$E,5,FALSE)),"")</f>
        <v>85</v>
      </c>
      <c r="AR457" s="625" t="str">
        <f t="shared" si="1095"/>
        <v/>
      </c>
      <c r="AS457" s="634" t="str">
        <f t="shared" si="1096"/>
        <v/>
      </c>
      <c r="AT457" s="625" t="str">
        <f t="shared" si="1097"/>
        <v/>
      </c>
      <c r="AU457" s="638" t="e">
        <f t="shared" si="1098"/>
        <v>#N/A</v>
      </c>
      <c r="AV457" s="625" t="e">
        <f t="shared" si="1099"/>
        <v>#N/A</v>
      </c>
      <c r="AX457" s="625">
        <f>IF(AND('General price list'!$J457="F4",'General price list'!$AB457+0&gt;0),1,0)</f>
        <v>0</v>
      </c>
      <c r="AY457" s="625">
        <f t="shared" si="1100"/>
        <v>1</v>
      </c>
      <c r="AZ457" s="625">
        <f t="shared" si="1101"/>
        <v>0</v>
      </c>
    </row>
    <row r="458" spans="1:52" ht="15.75" customHeight="1">
      <c r="A458" s="639" t="str">
        <f>Kat.!C458</f>
        <v/>
      </c>
      <c r="B458" s="640">
        <f>IF(AND('General price list'!$J458="F4",$AI$1=FALSE),0,IF(AC458="SKLADEM",1,IF(AC458=$V$3,1,0)))</f>
        <v>0</v>
      </c>
      <c r="C458" s="641" t="s">
        <v>1057</v>
      </c>
      <c r="D458" s="642" t="s">
        <v>1058</v>
      </c>
      <c r="E458" s="643" t="s">
        <v>12746</v>
      </c>
      <c r="F458" s="791">
        <f>IFERROR(VLOOKUP(C458,[2]List1!$A:$D,3,FALSE),"NEUVEDENO!")</f>
        <v>639</v>
      </c>
      <c r="G458" s="770">
        <f t="shared" si="1298"/>
        <v>639</v>
      </c>
      <c r="H458" s="767">
        <f t="shared" si="1299"/>
        <v>27.143785602324424</v>
      </c>
      <c r="I458" s="644">
        <f>IFERROR(VLOOKUP(C458,[2]List1!$A:$D,4,FALSE),"NEUVEDENO!")</f>
        <v>6</v>
      </c>
      <c r="J458" s="733" t="s">
        <v>113</v>
      </c>
      <c r="K458" s="645" t="s">
        <v>11100</v>
      </c>
      <c r="L458" s="645" t="s">
        <v>10993</v>
      </c>
      <c r="M458" s="645" t="s">
        <v>114</v>
      </c>
      <c r="N458" s="645">
        <f>IFERROR(VLOOKUP(C458,[3]List1!$A:$D,4,FALSE),"N/A!")</f>
        <v>4.5967999999999995E-2</v>
      </c>
      <c r="O458" s="645">
        <f>IFERROR(VLOOKUP(C458,[3]List1!$A:$D,3,FALSE),"N/A!")</f>
        <v>4320</v>
      </c>
      <c r="P458" s="645">
        <f>IFERROR(VLOOKUP(C458,[3]List1!$A:$D,2,FALSE),"N/A!")</f>
        <v>25300</v>
      </c>
      <c r="Q458" s="645" t="s">
        <v>11291</v>
      </c>
      <c r="R458" s="645"/>
      <c r="S458" s="645" t="str">
        <f>IF($W$17=$AF$1,"design",IFERROR(VLOOKUP("design",Jazyky_ceník!$A:$Q,MATCH($W$17,Jazyky_ceník!$A$1:$Q$1,0),FALSE),"!!!"))</f>
        <v>design</v>
      </c>
      <c r="T458" s="645">
        <v>65</v>
      </c>
      <c r="U458" s="645">
        <v>25</v>
      </c>
      <c r="V458" s="645">
        <v>16</v>
      </c>
      <c r="W458" s="645" t="str">
        <f>IFERROR(IF(AND($AB458&gt;=0.1*$AA458,MOD($AB458,$AA458)&gt;=($AA458-(0.1*$AA458))),IF($W$17=$AF$1,"Zvažte možnost doobjednání ještě "&amp;Tabulka1[[#This Row],[VKPAL]]-MOD(AB458,AA458)&amp;" VK do plné palety.",VLOOKUP("Zvažte možnost doobjednání ještě ",Jazyky_ceník!A:Q,MATCH($W$17,Jazyky_ceník!$A$1:$Q$1,0),FALSE)&amp;Tabulka1[[#This Row],[VKPAL]]-MOD(AB458,AA458)&amp;VLOOKUP(" VK do plné palety.",Jazyky_ceník!A:Q,MATCH($W$17,Jazyky_ceník!$A$1:$Q$1,0),FALSE)),IFERROR(IF(AND(NOT(MOD($AB458,$AA458)=0),$AB458&gt;=0.9*$AA458,MOD($AB458,$AA458)&lt;=0.1*$AA458),IF($W$17=$AF$1,"Zvažte možnost optimalizace objednaného množství podle počtu VK na paletě ==&gt;",VLOOKUP("Zvažte možnost optimalizace objednaného množství podle počtu VK na paletě ==&gt;",Jazyky_ceník!A:Q,MATCH($W$17,Jazyky_ceník!$A$1:$Q$1,0),FALSE)),VLOOKUP('General price list'!$C458,Popisy!A:M,MATCH($W$17,Popisy!$A$7:$M$7,0),FALSE)),"---------------")),IFERROR(VLOOKUP('General price list'!$C458,Popisy!A:M,MATCH($W$17,Popisy!$A$7:$M$7,0),FALSE),"---------------"))</f>
        <v>10 různobarevných efektů</v>
      </c>
      <c r="X458" s="645" t="str">
        <f t="shared" si="1300"/>
        <v/>
      </c>
      <c r="Y458" s="645" t="str">
        <f t="shared" si="1301"/>
        <v/>
      </c>
      <c r="Z458" s="645" t="str">
        <f>HYPERLINK("https://www.klasekpyrotechnics.cz/c9020x")</f>
        <v>https://www.klasekpyrotechnics.cz/c9020x</v>
      </c>
      <c r="AA458" s="645">
        <f>IFERROR(IF(VLOOKUP(C458,[4]List1!$A:$D,4,FALSE)=0,"",VLOOKUP(C458,[4]List1!$A:$D,4,FALSE)),"")</f>
        <v>24</v>
      </c>
      <c r="AB458" s="646"/>
      <c r="AC458" s="647" t="str">
        <f>IFERROR(IF(VLOOKUP(C458,[1]List1!$A:$D,2,FALSE)="VYPRODÁNO",$V$9,IF(VLOOKUP(C458,[1]List1!$A:$D,2,FALSE)="DOCHÁZÍ",$V$3,VLOOKUP(C458,[1]List1!$A:$D,2,FALSE))),"OFFLINE!")</f>
        <v>31.07.2026</v>
      </c>
      <c r="AD458" s="647" t="str">
        <f ca="1">IF(AP458="NE",$V$10,IF(AC458=$V$3,IF(AQ458&lt;1,$V$8,$V$2&amp;" "&amp;AQ458&amp;" "&amp;$V$1),IF(AC458="SKLADEM",$V$6,IFERROR(IF(OR(AC458-TODAY()&gt;45,VLOOKUP(C458,[1]List1!$A:$E,4,FALSE)=0),AC458,DAY(AC458)&amp;"."&amp;MONTH(AC458)&amp;"."&amp;YEAR(AC458)&amp;" "&amp;$V$4&amp;VLOOKUP(C458,[1]List1!$A:$E,4,FALSE)&amp;" "&amp;$V$1),AC458))))</f>
        <v>31.07.2026</v>
      </c>
      <c r="AE458" s="645" t="str">
        <f t="shared" ca="1" si="1302"/>
        <v>31.07.2026</v>
      </c>
      <c r="AF458" s="648">
        <f t="shared" si="1303"/>
        <v>0</v>
      </c>
      <c r="AG458" s="649">
        <f t="shared" si="1304"/>
        <v>0</v>
      </c>
      <c r="AH458" s="650">
        <f t="shared" si="1305"/>
        <v>0</v>
      </c>
      <c r="AI458" s="645">
        <f t="shared" si="1306"/>
        <v>0</v>
      </c>
      <c r="AJ458" s="645">
        <f t="shared" si="1307"/>
        <v>0</v>
      </c>
      <c r="AK458" s="645" t="str">
        <f t="shared" si="1308"/>
        <v/>
      </c>
      <c r="AL458" s="645">
        <f t="shared" si="1309"/>
        <v>0</v>
      </c>
      <c r="AM458" s="645" t="str">
        <f t="shared" si="1310"/>
        <v/>
      </c>
      <c r="AN458" s="651">
        <f t="shared" si="1311"/>
        <v>0</v>
      </c>
      <c r="AO458" s="623"/>
      <c r="AP458" s="625" t="str">
        <f t="shared" si="1094"/>
        <v/>
      </c>
      <c r="AQ458" s="625" t="str">
        <f>IF(AC458=$V$3,IF(VLOOKUP(C458,[1]List1!$A:$E,5,FALSE)=0,1,VLOOKUP(C458,[1]List1!$A:$E,5,FALSE)),"")</f>
        <v/>
      </c>
      <c r="AR458" s="629" t="str">
        <f t="shared" si="1095"/>
        <v/>
      </c>
      <c r="AS458" s="630" t="str">
        <f t="shared" si="1096"/>
        <v/>
      </c>
      <c r="AT458" s="625" t="str">
        <f t="shared" si="1097"/>
        <v/>
      </c>
      <c r="AU458" s="625" t="e">
        <f t="shared" si="1098"/>
        <v>#N/A</v>
      </c>
      <c r="AV458" s="625" t="e">
        <f t="shared" si="1099"/>
        <v>#N/A</v>
      </c>
      <c r="AW458" s="631"/>
      <c r="AX458" s="631">
        <f>IF(AND('General price list'!$J458="F4",'General price list'!$AB458+0&gt;0),1,0)</f>
        <v>0</v>
      </c>
      <c r="AY458" s="631">
        <f t="shared" si="1100"/>
        <v>1</v>
      </c>
      <c r="AZ458" s="631">
        <f t="shared" si="1101"/>
        <v>0</v>
      </c>
    </row>
    <row r="459" spans="1:52" ht="15" customHeight="1">
      <c r="A459" s="751" t="str">
        <f>Kat.!C459</f>
        <v xml:space="preserve">           Baterie 100 ran, 20 mm moždíř – 1.4G</v>
      </c>
      <c r="B459" s="751"/>
      <c r="C459" s="751"/>
      <c r="D459" s="751"/>
      <c r="E459" s="751"/>
      <c r="F459" s="751"/>
      <c r="G459" s="751"/>
      <c r="H459" s="751"/>
      <c r="I459" s="752"/>
      <c r="J459" s="752"/>
      <c r="K459" s="752" t="s">
        <v>20</v>
      </c>
      <c r="L459" s="753" t="s">
        <v>2818</v>
      </c>
      <c r="M459" s="752"/>
      <c r="N459" s="752"/>
      <c r="O459" s="752"/>
      <c r="P459" s="752"/>
      <c r="Q459" s="752"/>
      <c r="R459" s="752"/>
      <c r="S459" s="752"/>
      <c r="T459" s="752"/>
      <c r="U459" s="752"/>
      <c r="V459" s="752"/>
      <c r="W459" s="752"/>
      <c r="X459" s="752"/>
      <c r="Y459" s="752"/>
      <c r="Z459" s="752" t="s">
        <v>20</v>
      </c>
      <c r="AA459" s="752"/>
      <c r="AB459" s="752"/>
      <c r="AC459" s="754"/>
      <c r="AD459" s="752"/>
      <c r="AE459" s="752"/>
      <c r="AF459" s="752"/>
      <c r="AG459" s="752"/>
      <c r="AH459" s="752"/>
      <c r="AI459" s="752"/>
      <c r="AJ459" s="752"/>
      <c r="AK459" s="752"/>
      <c r="AL459" s="752"/>
      <c r="AM459" s="752"/>
      <c r="AN459" s="752"/>
      <c r="AO459" s="623"/>
      <c r="AP459" s="632" t="str">
        <f t="shared" si="1094"/>
        <v/>
      </c>
      <c r="AQ459" s="633" t="str">
        <f>IF(AC459=$V$3,IF(VLOOKUP(C459,[1]List1!$A:$E,5,FALSE)=0,1,VLOOKUP(C459,[1]List1!$A:$E,5,FALSE)),"")</f>
        <v/>
      </c>
      <c r="AR459" s="625" t="str">
        <f t="shared" si="1095"/>
        <v/>
      </c>
      <c r="AS459" s="634" t="str">
        <f t="shared" ref="AS459:AS502" si="1312">IF(AT459&lt;&gt;"","X","")</f>
        <v/>
      </c>
      <c r="AT459" s="625" t="str">
        <f t="shared" si="1097"/>
        <v/>
      </c>
      <c r="AU459" s="638" t="e">
        <f t="shared" si="1098"/>
        <v>#N/A</v>
      </c>
      <c r="AV459" s="625" t="e">
        <f t="shared" si="1099"/>
        <v>#N/A</v>
      </c>
      <c r="AX459" s="625">
        <f>IF(AND('General price list'!$J459="F4",'General price list'!$AB459+0&gt;0),1,0)</f>
        <v>0</v>
      </c>
      <c r="AY459" s="625">
        <f t="shared" si="1100"/>
        <v>0</v>
      </c>
      <c r="AZ459" s="625">
        <f t="shared" si="1101"/>
        <v>0</v>
      </c>
    </row>
    <row r="460" spans="1:52" ht="15.75" customHeight="1">
      <c r="A460" s="639" t="str">
        <f>Kat.!C460</f>
        <v/>
      </c>
      <c r="B460" s="640">
        <f>IF(AND('General price list'!$J460="F4",$AI$1=FALSE),0,IF(AC460="SKLADEM",1,IF(AC460=$V$3,1,0)))</f>
        <v>1</v>
      </c>
      <c r="C460" s="641" t="s">
        <v>1059</v>
      </c>
      <c r="D460" s="642" t="s">
        <v>11882</v>
      </c>
      <c r="E460" s="643" t="s">
        <v>12651</v>
      </c>
      <c r="F460" s="791">
        <f>IFERROR(VLOOKUP(C460,[2]List1!$A:$D,3,FALSE),"NEUVEDENO!")</f>
        <v>649</v>
      </c>
      <c r="G460" s="768">
        <f t="shared" ref="G460:G462" si="1313">IF($W$17=$AF$8,ROUND((F460)/$F$17,2),(F460)*$B$19)</f>
        <v>649</v>
      </c>
      <c r="H460" s="765">
        <f t="shared" ref="H460:H462" si="1314">IF($W$17=$AF$8,G460*$B$19,G460/$F$17)</f>
        <v>27.5685709795126</v>
      </c>
      <c r="I460" s="644">
        <f>IFERROR(VLOOKUP(C460,[2]List1!$A:$D,4,FALSE),"NEUVEDENO!")</f>
        <v>4</v>
      </c>
      <c r="J460" s="733" t="s">
        <v>39</v>
      </c>
      <c r="K460" s="645" t="s">
        <v>11100</v>
      </c>
      <c r="L460" s="645" t="s">
        <v>12758</v>
      </c>
      <c r="M460" s="645" t="s">
        <v>21</v>
      </c>
      <c r="N460" s="645">
        <f>IFERROR(VLOOKUP(C460,[3]List1!$A:$D,4,FALSE),"N/A!")</f>
        <v>3.3799999999999997E-2</v>
      </c>
      <c r="O460" s="645">
        <f>IFERROR(VLOOKUP(C460,[3]List1!$A:$D,3,FALSE),"N/A!")</f>
        <v>2000</v>
      </c>
      <c r="P460" s="645">
        <f>IFERROR(VLOOKUP(C460,[3]List1!$A:$D,2,FALSE),"N/A!")</f>
        <v>17000</v>
      </c>
      <c r="Q460" s="645" t="s">
        <v>11774</v>
      </c>
      <c r="R460" s="645"/>
      <c r="S460" s="645" t="str">
        <f>IF($W$17=$AF$1,"červená fólie",IFERROR(VLOOKUP("červená fólie",Jazyky_ceník!$A:$Q,MATCH($W$17,Jazyky_ceník!$A$1:$Q$1,0),FALSE),"!!!"))</f>
        <v>červená fólie</v>
      </c>
      <c r="T460" s="645">
        <v>60</v>
      </c>
      <c r="U460" s="645">
        <v>25</v>
      </c>
      <c r="V460" s="645">
        <v>13</v>
      </c>
      <c r="W460" s="645" t="str">
        <f>IFERROR(IF(AND($AB460&gt;=0.1*$AA460,MOD($AB460,$AA460)&gt;=($AA460-(0.1*$AA460))),IF($W$17=$AF$1,"Zvažte možnost doobjednání ještě "&amp;Tabulka1[[#This Row],[VKPAL]]-MOD(AB460,AA460)&amp;" VK do plné palety.",VLOOKUP("Zvažte možnost doobjednání ještě ",Jazyky_ceník!A:Q,MATCH($W$17,Jazyky_ceník!$A$1:$Q$1,0),FALSE)&amp;Tabulka1[[#This Row],[VKPAL]]-MOD(AB460,AA460)&amp;VLOOKUP(" VK do plné palety.",Jazyky_ceník!A:Q,MATCH($W$17,Jazyky_ceník!$A$1:$Q$1,0),FALSE)),IFERROR(IF(AND(NOT(MOD($AB460,$AA460)=0),$AB460&gt;=0.9*$AA460,MOD($AB460,$AA460)&lt;=0.1*$AA460),IF($W$17=$AF$1,"Zvažte možnost optimalizace objednaného množství podle počtu VK na paletě ==&gt;",VLOOKUP("Zvažte možnost optimalizace objednaného množství podle počtu VK na paletě ==&gt;",Jazyky_ceník!A:Q,MATCH($W$17,Jazyky_ceník!$A$1:$Q$1,0),FALSE)),VLOOKUP('General price list'!$C460,Popisy!A:M,MATCH($W$17,Popisy!$A$7:$M$7,0),FALSE)),"---------------")),IFERROR(VLOOKUP('General price list'!$C460,Popisy!A:M,MATCH($W$17,Popisy!$A$7:$M$7,0),FALSE),"---------------"))</f>
        <v>10 různobarevných efektů</v>
      </c>
      <c r="X460" s="645" t="str">
        <f t="shared" ref="X460:X462" si="1315">IF(AB460&lt;0.0001,"",AB460)</f>
        <v/>
      </c>
      <c r="Y460" s="645" t="str">
        <f t="shared" ref="Y460:Y462" si="1316">IF($AL$3=2,IF(OR(AB460&lt;&gt;"",AB460&lt;&gt;0),AU460,""),IF(C460="","",IF(AB460&lt;0.0001,"",IF(B460=0,"",IF(AQ460&lt;AB460,"",AB460)))))</f>
        <v/>
      </c>
      <c r="Z460" s="645" t="str">
        <f>HYPERLINK("https://www.klasekpyrotechnics.cz/c10020bp14")</f>
        <v>https://www.klasekpyrotechnics.cz/c10020bp14</v>
      </c>
      <c r="AA460" s="645">
        <f>IFERROR(IF(VLOOKUP(C460,[4]List1!$A:$D,4,FALSE)=0,"",VLOOKUP(C460,[4]List1!$A:$D,4,FALSE)),"")</f>
        <v>42</v>
      </c>
      <c r="AB460" s="646"/>
      <c r="AC460" s="647" t="str">
        <f>IFERROR(IF(VLOOKUP(C460,[1]List1!$A:$D,2,FALSE)="VYPRODÁNO",$V$9,IF(VLOOKUP(C460,[1]List1!$A:$D,2,FALSE)="DOCHÁZÍ",$V$3,VLOOKUP(C460,[1]List1!$A:$D,2,FALSE))),"OFFLINE!")</f>
        <v>SKLADEM</v>
      </c>
      <c r="AD460" s="647" t="str">
        <f ca="1">IF(AP460="NE",$V$10,IF(AC460=$V$3,IF(AQ460&lt;1,$V$8,$V$2&amp;" "&amp;AQ460&amp;" "&amp;$V$1),IF(AC460="SKLADEM",$V$6,IFERROR(IF(OR(AC460-TODAY()&gt;45,VLOOKUP(C460,[1]List1!$A:$E,4,FALSE)=0),AC460,DAY(AC460)&amp;"."&amp;MONTH(AC460)&amp;"."&amp;YEAR(AC460)&amp;" "&amp;$V$4&amp;VLOOKUP(C460,[1]List1!$A:$E,4,FALSE)&amp;" "&amp;$V$1),AC460))))</f>
        <v>SKLADEM</v>
      </c>
      <c r="AE460" s="645" t="str">
        <f t="shared" ref="AE460:AE462" ca="1" si="1317">IFERROR(IF(AV460&lt;&gt;"",AV460,AD460),AD460)</f>
        <v>SKLADEM</v>
      </c>
      <c r="AF460" s="648">
        <f t="shared" ref="AF460:AF462" si="1318">IFERROR(IF(AB460=Y460,G460*I460*Y460,0),0)</f>
        <v>0</v>
      </c>
      <c r="AG460" s="649">
        <f t="shared" ref="AG460:AG462" si="1319">IF($W$17=$AF$8,AH460*1.23,AF460*1.21)</f>
        <v>0</v>
      </c>
      <c r="AH460" s="650">
        <f t="shared" ref="AH460:AH462" si="1320">IFERROR(IF(Y460=AB460,H460*I460*Y460,0),0)</f>
        <v>0</v>
      </c>
      <c r="AI460" s="645">
        <f t="shared" ref="AI460:AI462" si="1321">IFERROR(IF(Y460=AB460,(P460*Y460)/1000,1),0)</f>
        <v>0</v>
      </c>
      <c r="AJ460" s="645">
        <f t="shared" ref="AJ460:AJ462" si="1322">IFERROR(IF(Y460=AB460,N460*Y460,0.1),0)</f>
        <v>0</v>
      </c>
      <c r="AK460" s="645" t="str">
        <f t="shared" ref="AK460:AK462" si="1323">IFERROR(IF(Y460=AB460,IF(M460="1.1G",(O460/1000)*Y460,""),""),0)</f>
        <v/>
      </c>
      <c r="AL460" s="645" t="str">
        <f t="shared" ref="AL460:AL462" si="1324">IFERROR(IF(Y460=AB460,IF(M460="1.3G",(O460/1000)*AB460,""),""),0)</f>
        <v/>
      </c>
      <c r="AM460" s="645">
        <f t="shared" ref="AM460:AM462" si="1325">IFERROR(IF(Y460=AB460,IF(M460="1.4G",(O460/1000)*AB460,""),""),0)</f>
        <v>0</v>
      </c>
      <c r="AN460" s="651">
        <f t="shared" ref="AN460:AN462" si="1326">SUM(AK460:AM460)</f>
        <v>0</v>
      </c>
      <c r="AO460" s="623"/>
      <c r="AP460" s="625" t="str">
        <f t="shared" si="1094"/>
        <v/>
      </c>
      <c r="AQ460" s="625" t="str">
        <f>IF(AC460=$V$3,IF(VLOOKUP(C460,[1]List1!$A:$E,5,FALSE)=0,1,VLOOKUP(C460,[1]List1!$A:$E,5,FALSE)),"")</f>
        <v/>
      </c>
      <c r="AR460" s="629" t="str">
        <f t="shared" si="1095"/>
        <v/>
      </c>
      <c r="AS460" s="630" t="str">
        <f t="shared" si="1312"/>
        <v/>
      </c>
      <c r="AT460" s="625" t="str">
        <f t="shared" si="1097"/>
        <v/>
      </c>
      <c r="AU460" s="625" t="e">
        <f t="shared" si="1098"/>
        <v>#N/A</v>
      </c>
      <c r="AV460" s="625" t="e">
        <f t="shared" si="1099"/>
        <v>#N/A</v>
      </c>
      <c r="AW460" s="631"/>
      <c r="AX460" s="631">
        <f>IF(AND('General price list'!$J460="F4",'General price list'!$AB460+0&gt;0),1,0)</f>
        <v>0</v>
      </c>
      <c r="AY460" s="631">
        <f t="shared" si="1100"/>
        <v>1</v>
      </c>
      <c r="AZ460" s="631">
        <f t="shared" si="1101"/>
        <v>0</v>
      </c>
    </row>
    <row r="461" spans="1:52" ht="15" customHeight="1">
      <c r="A461" s="621" t="str">
        <f>Kat.!C461</f>
        <v/>
      </c>
      <c r="B461" s="566">
        <f>IF(AND('General price list'!$J461="F4",$AI$1=FALSE),0,IF(AC461="SKLADEM",1,IF(AC461=$V$3,1,0)))</f>
        <v>1</v>
      </c>
      <c r="C461" s="567" t="s">
        <v>4806</v>
      </c>
      <c r="D461" s="568" t="s">
        <v>12408</v>
      </c>
      <c r="E461" s="763" t="s">
        <v>12651</v>
      </c>
      <c r="F461" s="791">
        <f>IFERROR(VLOOKUP(C461,[2]List1!$A:$D,3,FALSE),"NEUVEDENO!")</f>
        <v>649</v>
      </c>
      <c r="G461" s="769">
        <f t="shared" si="1313"/>
        <v>649</v>
      </c>
      <c r="H461" s="766">
        <f t="shared" si="1314"/>
        <v>27.5685709795126</v>
      </c>
      <c r="I461" s="764">
        <f>IFERROR(VLOOKUP(C461,[2]List1!$A:$D,4,FALSE),"NEUVEDENO!")</f>
        <v>4</v>
      </c>
      <c r="J461" s="732" t="s">
        <v>39</v>
      </c>
      <c r="K461" s="569" t="s">
        <v>11100</v>
      </c>
      <c r="L461" s="569" t="s">
        <v>10970</v>
      </c>
      <c r="M461" s="569" t="s">
        <v>21</v>
      </c>
      <c r="N461" s="569">
        <f>IFERROR(VLOOKUP(C461,[3]List1!$A:$D,4,FALSE),"N/A!")</f>
        <v>3.3799999999999997E-2</v>
      </c>
      <c r="O461" s="569">
        <f>IFERROR(VLOOKUP(C461,[3]List1!$A:$D,3,FALSE),"N/A!")</f>
        <v>2000</v>
      </c>
      <c r="P461" s="569">
        <f>IFERROR(VLOOKUP(C461,[3]List1!$A:$D,2,FALSE),"N/A!")</f>
        <v>17000</v>
      </c>
      <c r="Q461" s="569" t="s">
        <v>11774</v>
      </c>
      <c r="R461" s="569"/>
      <c r="S461" s="569" t="str">
        <f>IF($W$17=$AF$1,"design",IFERROR(VLOOKUP("design",Jazyky_ceník!$A:$Q,MATCH($W$17,Jazyky_ceník!$A$1:$Q$1,0),FALSE),"!!!"))</f>
        <v>design</v>
      </c>
      <c r="T461" s="569">
        <v>80</v>
      </c>
      <c r="U461" s="569">
        <v>25</v>
      </c>
      <c r="V461" s="569">
        <v>13</v>
      </c>
      <c r="W461" s="569" t="str">
        <f>IFERROR(IF(AND($AB461&gt;=0.1*$AA461,MOD($AB461,$AA461)&gt;=($AA461-(0.1*$AA461))),IF($W$17=$AF$1,"Zvažte možnost doobjednání ještě "&amp;Tabulka1[[#This Row],[VKPAL]]-MOD(AB461,AA461)&amp;" VK do plné palety.",VLOOKUP("Zvažte možnost doobjednání ještě ",Jazyky_ceník!A:Q,MATCH($W$17,Jazyky_ceník!$A$1:$Q$1,0),FALSE)&amp;Tabulka1[[#This Row],[VKPAL]]-MOD(AB461,AA461)&amp;VLOOKUP(" VK do plné palety.",Jazyky_ceník!A:Q,MATCH($W$17,Jazyky_ceník!$A$1:$Q$1,0),FALSE)),IFERROR(IF(AND(NOT(MOD($AB461,$AA461)=0),$AB461&gt;=0.9*$AA461,MOD($AB461,$AA461)&lt;=0.1*$AA461),IF($W$17=$AF$1,"Zvažte možnost optimalizace objednaného množství podle počtu VK na paletě ==&gt;",VLOOKUP("Zvažte možnost optimalizace objednaného množství podle počtu VK na paletě ==&gt;",Jazyky_ceník!A:Q,MATCH($W$17,Jazyky_ceník!$A$1:$Q$1,0),FALSE)),VLOOKUP('General price list'!$C461,Popisy!A:M,MATCH($W$17,Popisy!$A$7:$M$7,0),FALSE)),"---------------")),IFERROR(VLOOKUP('General price list'!$C461,Popisy!A:M,MATCH($W$17,Popisy!$A$7:$M$7,0),FALSE),"---------------"))</f>
        <v>10 různobarevných efektů</v>
      </c>
      <c r="X461" s="569" t="str">
        <f t="shared" si="1315"/>
        <v/>
      </c>
      <c r="Y461" s="569" t="str">
        <f t="shared" si="1316"/>
        <v/>
      </c>
      <c r="Z461" s="569" t="str">
        <f>HYPERLINK("https://www.klasekpyrotechnics.cz/c10020bps14")</f>
        <v>https://www.klasekpyrotechnics.cz/c10020bps14</v>
      </c>
      <c r="AA461" s="569">
        <f>IFERROR(IF(VLOOKUP(C461,[4]List1!$A:$D,4,FALSE)=0,"",VLOOKUP(C461,[4]List1!$A:$D,4,FALSE)),"")</f>
        <v>42</v>
      </c>
      <c r="AB461" s="565"/>
      <c r="AC461" s="570" t="str">
        <f>IFERROR(IF(VLOOKUP(C461,[1]List1!$A:$D,2,FALSE)="VYPRODÁNO",$V$9,IF(VLOOKUP(C461,[1]List1!$A:$D,2,FALSE)="DOCHÁZÍ",$V$3,VLOOKUP(C461,[1]List1!$A:$D,2,FALSE))),"OFFLINE!")</f>
        <v>SKLADEM</v>
      </c>
      <c r="AD461" s="570" t="str">
        <f ca="1">IF(AP461="NE",$V$10,IF(AC461=$V$3,IF(AQ461&lt;1,$V$8,$V$2&amp;" "&amp;AQ461&amp;" "&amp;$V$1),IF(AC461="SKLADEM",$V$6,IFERROR(IF(OR(AC461-TODAY()&gt;45,VLOOKUP(C461,[1]List1!$A:$E,4,FALSE)=0),AC461,DAY(AC461)&amp;"."&amp;MONTH(AC461)&amp;"."&amp;YEAR(AC461)&amp;" "&amp;$V$4&amp;VLOOKUP(C461,[1]List1!$A:$E,4,FALSE)&amp;" "&amp;$V$1),AC461))))</f>
        <v>SKLADEM</v>
      </c>
      <c r="AE461" s="581" t="str">
        <f t="shared" ca="1" si="1317"/>
        <v>SKLADEM</v>
      </c>
      <c r="AF461" s="584">
        <f t="shared" si="1318"/>
        <v>0</v>
      </c>
      <c r="AG461" s="585">
        <f t="shared" si="1319"/>
        <v>0</v>
      </c>
      <c r="AH461" s="583">
        <f t="shared" si="1320"/>
        <v>0</v>
      </c>
      <c r="AI461" s="582">
        <f t="shared" si="1321"/>
        <v>0</v>
      </c>
      <c r="AJ461" s="569">
        <f t="shared" si="1322"/>
        <v>0</v>
      </c>
      <c r="AK461" s="569" t="str">
        <f t="shared" si="1323"/>
        <v/>
      </c>
      <c r="AL461" s="569" t="str">
        <f t="shared" si="1324"/>
        <v/>
      </c>
      <c r="AM461" s="569">
        <f t="shared" si="1325"/>
        <v>0</v>
      </c>
      <c r="AN461" s="581">
        <f t="shared" si="1326"/>
        <v>0</v>
      </c>
      <c r="AO461" s="623"/>
      <c r="AP461" s="632" t="str">
        <f t="shared" si="1094"/>
        <v/>
      </c>
      <c r="AQ461" s="633" t="str">
        <f>IF(AC461=$V$3,IF(VLOOKUP(C461,[1]List1!$A:$E,5,FALSE)=0,1,VLOOKUP(C461,[1]List1!$A:$E,5,FALSE)),"")</f>
        <v/>
      </c>
      <c r="AR461" s="625" t="str">
        <f t="shared" si="1095"/>
        <v/>
      </c>
      <c r="AS461" s="634" t="str">
        <f t="shared" si="1312"/>
        <v/>
      </c>
      <c r="AT461" s="625" t="str">
        <f t="shared" si="1097"/>
        <v/>
      </c>
      <c r="AU461" s="638" t="e">
        <f t="shared" si="1098"/>
        <v>#N/A</v>
      </c>
      <c r="AV461" s="625" t="e">
        <f t="shared" si="1099"/>
        <v>#N/A</v>
      </c>
      <c r="AX461" s="625">
        <f>IF(AND('General price list'!$J461="F4",'General price list'!$AB461+0&gt;0),1,0)</f>
        <v>0</v>
      </c>
      <c r="AY461" s="625">
        <f t="shared" si="1100"/>
        <v>1</v>
      </c>
      <c r="AZ461" s="625">
        <f t="shared" si="1101"/>
        <v>0</v>
      </c>
    </row>
    <row r="462" spans="1:52" ht="15.75" customHeight="1">
      <c r="A462" s="639" t="str">
        <f>Kat.!C462</f>
        <v/>
      </c>
      <c r="B462" s="640">
        <f>IF(AND('General price list'!$J462="F4",$AI$1=FALSE),0,IF(AC462="SKLADEM",1,IF(AC462=$V$3,1,0)))</f>
        <v>0</v>
      </c>
      <c r="C462" s="641" t="s">
        <v>1061</v>
      </c>
      <c r="D462" s="642" t="s">
        <v>11720</v>
      </c>
      <c r="E462" s="643" t="s">
        <v>12651</v>
      </c>
      <c r="F462" s="791">
        <f>IFERROR(VLOOKUP(C462,[2]List1!$A:$D,3,FALSE),"NEUVEDENO!")</f>
        <v>669</v>
      </c>
      <c r="G462" s="770">
        <f t="shared" si="1313"/>
        <v>669</v>
      </c>
      <c r="H462" s="767">
        <f t="shared" si="1314"/>
        <v>28.418141733888952</v>
      </c>
      <c r="I462" s="644">
        <f>IFERROR(VLOOKUP(C462,[2]List1!$A:$D,4,FALSE),"NEUVEDENO!")</f>
        <v>4</v>
      </c>
      <c r="J462" s="733" t="s">
        <v>39</v>
      </c>
      <c r="K462" s="645" t="s">
        <v>11100</v>
      </c>
      <c r="L462" s="645" t="s">
        <v>10970</v>
      </c>
      <c r="M462" s="645" t="s">
        <v>21</v>
      </c>
      <c r="N462" s="645">
        <f>IFERROR(VLOOKUP(C462,[3]List1!$A:$D,4,FALSE),"N/A!")</f>
        <v>3.3799999999999997E-2</v>
      </c>
      <c r="O462" s="645">
        <f>IFERROR(VLOOKUP(C462,[3]List1!$A:$D,3,FALSE),"N/A!")</f>
        <v>2000</v>
      </c>
      <c r="P462" s="645">
        <f>IFERROR(VLOOKUP(C462,[3]List1!$A:$D,2,FALSE),"N/A!")</f>
        <v>16800</v>
      </c>
      <c r="Q462" s="645" t="s">
        <v>11775</v>
      </c>
      <c r="R462" s="645"/>
      <c r="S462" s="645" t="str">
        <f>IF($W$17=$AF$1,"design",IFERROR(VLOOKUP("design",Jazyky_ceník!$A:$Q,MATCH($W$17,Jazyky_ceník!$A$1:$Q$1,0),FALSE),"!!!"))</f>
        <v>design</v>
      </c>
      <c r="T462" s="645">
        <v>60</v>
      </c>
      <c r="U462" s="645">
        <v>25</v>
      </c>
      <c r="V462" s="645">
        <v>13</v>
      </c>
      <c r="W462" s="645" t="str">
        <f>IFERROR(IF(AND($AB462&gt;=0.1*$AA462,MOD($AB462,$AA462)&gt;=($AA462-(0.1*$AA462))),IF($W$17=$AF$1,"Zvažte možnost doobjednání ještě "&amp;Tabulka1[[#This Row],[VKPAL]]-MOD(AB462,AA462)&amp;" VK do plné palety.",VLOOKUP("Zvažte možnost doobjednání ještě ",Jazyky_ceník!A:Q,MATCH($W$17,Jazyky_ceník!$A$1:$Q$1,0),FALSE)&amp;Tabulka1[[#This Row],[VKPAL]]-MOD(AB462,AA462)&amp;VLOOKUP(" VK do plné palety.",Jazyky_ceník!A:Q,MATCH($W$17,Jazyky_ceník!$A$1:$Q$1,0),FALSE)),IFERROR(IF(AND(NOT(MOD($AB462,$AA462)=0),$AB462&gt;=0.9*$AA462,MOD($AB462,$AA462)&lt;=0.1*$AA462),IF($W$17=$AF$1,"Zvažte možnost optimalizace objednaného množství podle počtu VK na paletě ==&gt;",VLOOKUP("Zvažte možnost optimalizace objednaného množství podle počtu VK na paletě ==&gt;",Jazyky_ceník!A:Q,MATCH($W$17,Jazyky_ceník!$A$1:$Q$1,0),FALSE)),VLOOKUP('General price list'!$C462,Popisy!A:M,MATCH($W$17,Popisy!$A$7:$M$7,0),FALSE)),"---------------")),IFERROR(VLOOKUP('General price list'!$C462,Popisy!A:M,MATCH($W$17,Popisy!$A$7:$M$7,0),FALSE),"---------------"))</f>
        <v>10 různobarevných efektů</v>
      </c>
      <c r="X462" s="645" t="str">
        <f t="shared" si="1315"/>
        <v/>
      </c>
      <c r="Y462" s="645" t="str">
        <f t="shared" si="1316"/>
        <v/>
      </c>
      <c r="Z462" s="645" t="str">
        <f>HYPERLINK("https://www.klasekpyrotechnics.cz/c10020nid14")</f>
        <v>https://www.klasekpyrotechnics.cz/c10020nid14</v>
      </c>
      <c r="AA462" s="645">
        <f>IFERROR(IF(VLOOKUP(C462,[4]List1!$A:$D,4,FALSE)=0,"",VLOOKUP(C462,[4]List1!$A:$D,4,FALSE)),"")</f>
        <v>42</v>
      </c>
      <c r="AB462" s="646"/>
      <c r="AC462" s="647" t="str">
        <f>IFERROR(IF(VLOOKUP(C462,[1]List1!$A:$D,2,FALSE)="VYPRODÁNO",$V$9,IF(VLOOKUP(C462,[1]List1!$A:$D,2,FALSE)="DOCHÁZÍ",$V$3,VLOOKUP(C462,[1]List1!$A:$D,2,FALSE))),"OFFLINE!")</f>
        <v>31.08.2026</v>
      </c>
      <c r="AD462" s="647" t="str">
        <f ca="1">IF(AP462="NE",$V$10,IF(AC462=$V$3,IF(AQ462&lt;1,$V$8,$V$2&amp;" "&amp;AQ462&amp;" "&amp;$V$1),IF(AC462="SKLADEM",$V$6,IFERROR(IF(OR(AC462-TODAY()&gt;45,VLOOKUP(C462,[1]List1!$A:$E,4,FALSE)=0),AC462,DAY(AC462)&amp;"."&amp;MONTH(AC462)&amp;"."&amp;YEAR(AC462)&amp;" "&amp;$V$4&amp;VLOOKUP(C462,[1]List1!$A:$E,4,FALSE)&amp;" "&amp;$V$1),AC462))))</f>
        <v>31.08.2026</v>
      </c>
      <c r="AE462" s="645" t="str">
        <f t="shared" ca="1" si="1317"/>
        <v>31.08.2026</v>
      </c>
      <c r="AF462" s="648">
        <f t="shared" si="1318"/>
        <v>0</v>
      </c>
      <c r="AG462" s="649">
        <f t="shared" si="1319"/>
        <v>0</v>
      </c>
      <c r="AH462" s="650">
        <f t="shared" si="1320"/>
        <v>0</v>
      </c>
      <c r="AI462" s="645">
        <f t="shared" si="1321"/>
        <v>0</v>
      </c>
      <c r="AJ462" s="645">
        <f t="shared" si="1322"/>
        <v>0</v>
      </c>
      <c r="AK462" s="645" t="str">
        <f t="shared" si="1323"/>
        <v/>
      </c>
      <c r="AL462" s="645" t="str">
        <f t="shared" si="1324"/>
        <v/>
      </c>
      <c r="AM462" s="645">
        <f t="shared" si="1325"/>
        <v>0</v>
      </c>
      <c r="AN462" s="651">
        <f t="shared" si="1326"/>
        <v>0</v>
      </c>
      <c r="AO462" s="623"/>
      <c r="AP462" s="625" t="str">
        <f t="shared" si="1094"/>
        <v/>
      </c>
      <c r="AQ462" s="625" t="str">
        <f>IF(AC462=$V$3,IF(VLOOKUP(C462,[1]List1!$A:$E,5,FALSE)=0,1,VLOOKUP(C462,[1]List1!$A:$E,5,FALSE)),"")</f>
        <v/>
      </c>
      <c r="AR462" s="629" t="str">
        <f t="shared" si="1095"/>
        <v/>
      </c>
      <c r="AS462" s="630" t="str">
        <f t="shared" si="1312"/>
        <v/>
      </c>
      <c r="AT462" s="625" t="str">
        <f t="shared" si="1097"/>
        <v/>
      </c>
      <c r="AU462" s="625" t="e">
        <f t="shared" si="1098"/>
        <v>#N/A</v>
      </c>
      <c r="AV462" s="625" t="e">
        <f t="shared" si="1099"/>
        <v>#N/A</v>
      </c>
      <c r="AW462" s="631"/>
      <c r="AX462" s="631">
        <f>IF(AND('General price list'!$J462="F4",'General price list'!$AB462+0&gt;0),1,0)</f>
        <v>0</v>
      </c>
      <c r="AY462" s="631">
        <f t="shared" si="1100"/>
        <v>1</v>
      </c>
      <c r="AZ462" s="631">
        <f t="shared" si="1101"/>
        <v>0</v>
      </c>
    </row>
    <row r="463" spans="1:52" ht="15" customHeight="1">
      <c r="A463" s="751" t="str">
        <f>Kat.!C463</f>
        <v xml:space="preserve">           Baterie 100 ran, 20 mm moždíř (všechny směry) – 1.4G</v>
      </c>
      <c r="B463" s="751"/>
      <c r="C463" s="751"/>
      <c r="D463" s="751"/>
      <c r="E463" s="751"/>
      <c r="F463" s="751"/>
      <c r="G463" s="751"/>
      <c r="H463" s="751"/>
      <c r="I463" s="752"/>
      <c r="J463" s="752"/>
      <c r="K463" s="752" t="s">
        <v>20</v>
      </c>
      <c r="L463" s="753" t="s">
        <v>2818</v>
      </c>
      <c r="M463" s="752"/>
      <c r="N463" s="752"/>
      <c r="O463" s="752"/>
      <c r="P463" s="752"/>
      <c r="Q463" s="752"/>
      <c r="R463" s="752"/>
      <c r="S463" s="752"/>
      <c r="T463" s="752"/>
      <c r="U463" s="752"/>
      <c r="V463" s="752"/>
      <c r="W463" s="752"/>
      <c r="X463" s="752"/>
      <c r="Y463" s="752"/>
      <c r="Z463" s="752" t="s">
        <v>20</v>
      </c>
      <c r="AA463" s="752"/>
      <c r="AB463" s="752"/>
      <c r="AC463" s="754"/>
      <c r="AD463" s="752"/>
      <c r="AE463" s="752"/>
      <c r="AF463" s="752"/>
      <c r="AG463" s="752"/>
      <c r="AH463" s="752"/>
      <c r="AI463" s="752"/>
      <c r="AJ463" s="752"/>
      <c r="AK463" s="752"/>
      <c r="AL463" s="752"/>
      <c r="AM463" s="752"/>
      <c r="AN463" s="752"/>
      <c r="AO463" s="623"/>
      <c r="AP463" s="632" t="str">
        <f t="shared" ref="AP463:AP505" si="1327">IF($AL$3=1,IF(Y463=AB463,"","NE"),IF(AR463=$V$10,"NE",""))</f>
        <v/>
      </c>
      <c r="AQ463" s="633" t="str">
        <f>IF(AC463=$V$3,IF(VLOOKUP(C463,[1]List1!$A:$E,5,FALSE)=0,1,VLOOKUP(C463,[1]List1!$A:$E,5,FALSE)),"")</f>
        <v/>
      </c>
      <c r="AR463" s="625" t="str">
        <f t="shared" ref="AR463:AR505" si="1328">IF($AL$3=1,"",IF(OR(AB463&lt;&gt;"",AB463&lt;&gt;0),IF(OR(AC463=$V$6,AC463=$V$3,AC463=$V$9),$V$10,""),""))</f>
        <v/>
      </c>
      <c r="AS463" s="634" t="str">
        <f t="shared" si="1312"/>
        <v/>
      </c>
      <c r="AT463" s="625" t="str">
        <f t="shared" ref="AT463:AT505" si="1329">IF(AND($AL$3=2,AR463="",AB463&lt;&gt;""),AD463,"")</f>
        <v/>
      </c>
      <c r="AU463" s="638" t="e">
        <f t="shared" ref="AU463:AU505" si="1330">IF(AT463=$AS$21,AB463,"")</f>
        <v>#N/A</v>
      </c>
      <c r="AV463" s="625" t="e">
        <f t="shared" ref="AV463:AV505" si="1331">IF(OR(AB463="",AND(AT463&lt;&gt;"",AU463&lt;&gt;"")),"",$V$10)</f>
        <v>#N/A</v>
      </c>
      <c r="AX463" s="625">
        <f>IF(AND('General price list'!$J463="F4",'General price list'!$AB463+0&gt;0),1,0)</f>
        <v>0</v>
      </c>
      <c r="AY463" s="625">
        <f t="shared" ref="AY463:AY505" si="1332">IFERROR(FIND(VLOOKUP($AC$7,$AD$1:$AE$12,2,FALSE),Q463,1),0)</f>
        <v>0</v>
      </c>
      <c r="AZ463" s="625">
        <f t="shared" ref="AZ463:AZ505" si="1333">IFERROR(FIND(VLOOKUP($AC$7,$AD$1:$AE$12,2,FALSE),R463,1),0)</f>
        <v>0</v>
      </c>
    </row>
    <row r="464" spans="1:52" ht="15" customHeight="1">
      <c r="A464" s="639" t="str">
        <f>Kat.!C464</f>
        <v>×</v>
      </c>
      <c r="B464" s="640">
        <f>IF(AND('General price list'!$J464="F4",$AI$1=FALSE),0,IF(AC464="SKLADEM",1,IF(AC464=$V$3,1,0)))</f>
        <v>1</v>
      </c>
      <c r="C464" s="641" t="s">
        <v>2271</v>
      </c>
      <c r="D464" s="642" t="s">
        <v>11721</v>
      </c>
      <c r="E464" s="643" t="s">
        <v>12651</v>
      </c>
      <c r="F464" s="771">
        <f>IFERROR(VLOOKUP(C464,[2]List1!$A:$D,3,FALSE),"NEUVEDENO!")</f>
        <v>939</v>
      </c>
      <c r="G464" s="768">
        <f t="shared" ref="G464:G467" si="1334">IF($W$17=$AF$8,ROUND((F464)/$F$17,2),(F464)*$B$19)</f>
        <v>939</v>
      </c>
      <c r="H464" s="765">
        <f t="shared" ref="H464:H467" si="1335">IF($W$17=$AF$8,G464*$B$19,G464/$F$17)</f>
        <v>39.887346917969694</v>
      </c>
      <c r="I464" s="644">
        <f>IFERROR(VLOOKUP(C464,[2]List1!$A:$D,4,FALSE),"NEUVEDENO!")</f>
        <v>4</v>
      </c>
      <c r="J464" s="733" t="s">
        <v>39</v>
      </c>
      <c r="K464" s="645" t="s">
        <v>20</v>
      </c>
      <c r="L464" s="645" t="s">
        <v>10994</v>
      </c>
      <c r="M464" s="645" t="s">
        <v>21</v>
      </c>
      <c r="N464" s="645">
        <f>IFERROR(VLOOKUP(C464,[3]List1!$A:$D,4,FALSE),"N/A!")</f>
        <v>4.8320999999999996E-2</v>
      </c>
      <c r="O464" s="645">
        <f>IFERROR(VLOOKUP(C464,[3]List1!$A:$D,3,FALSE),"N/A!")</f>
        <v>2000</v>
      </c>
      <c r="P464" s="645">
        <f>IFERROR(VLOOKUP(C464,[3]List1!$A:$D,2,FALSE),"N/A!")</f>
        <v>18000</v>
      </c>
      <c r="Q464" s="645" t="s">
        <v>11292</v>
      </c>
      <c r="R464" s="645" t="s">
        <v>20</v>
      </c>
      <c r="S464" s="645" t="str">
        <f>IF($W$17=$AF$1,"červená fólie",IFERROR(VLOOKUP("červená fólie",Jazyky_ceník!$A:$Q,MATCH($W$17,Jazyky_ceník!$A$1:$Q$1,0),FALSE),"!!!"))</f>
        <v>červená fólie</v>
      </c>
      <c r="T464" s="645">
        <v>60</v>
      </c>
      <c r="U464" s="645">
        <v>25</v>
      </c>
      <c r="V464" s="645">
        <v>13</v>
      </c>
      <c r="W464" s="645" t="str">
        <f>IFERROR(IF(AND($AB464&gt;=0.1*$AA464,MOD($AB464,$AA464)&gt;=($AA464-(0.1*$AA464))),IF($W$17=$AF$1,"Zvažte možnost doobjednání ještě "&amp;Tabulka1[[#This Row],[VKPAL]]-MOD(AB464,AA464)&amp;" VK do plné palety.",VLOOKUP("Zvažte možnost doobjednání ještě ",Jazyky_ceník!A:Q,MATCH($W$17,Jazyky_ceník!$A$1:$Q$1,0),FALSE)&amp;Tabulka1[[#This Row],[VKPAL]]-MOD(AB464,AA464)&amp;VLOOKUP(" VK do plné palety.",Jazyky_ceník!A:Q,MATCH($W$17,Jazyky_ceník!$A$1:$Q$1,0),FALSE)),IFERROR(IF(AND(NOT(MOD($AB464,$AA464)=0),$AB464&gt;=0.9*$AA464,MOD($AB464,$AA464)&lt;=0.1*$AA464),IF($W$17=$AF$1,"Zvažte možnost optimalizace objednaného množství podle počtu VK na paletě ==&gt;",VLOOKUP("Zvažte možnost optimalizace objednaného množství podle počtu VK na paletě ==&gt;",Jazyky_ceník!A:Q,MATCH($W$17,Jazyky_ceník!$A$1:$Q$1,0),FALSE)),VLOOKUP('General price list'!$C464,Popisy!A:M,MATCH($W$17,Popisy!$A$7:$M$7,0),FALSE)),"---------------")),IFERROR(VLOOKUP('General price list'!$C464,Popisy!A:M,MATCH($W$17,Popisy!$A$7:$M$7,0),FALSE),"---------------"))</f>
        <v>10 různobarevných efektů</v>
      </c>
      <c r="X464" s="645" t="str">
        <f t="shared" ref="X464:X467" si="1336">IF(AB464&lt;0.0001,"",AB464)</f>
        <v/>
      </c>
      <c r="Y464" s="645" t="str">
        <f t="shared" ref="Y464:Y467" si="1337">IF($AL$3=2,IF(OR(AB464&lt;&gt;"",AB464&lt;&gt;0),AU464,""),IF(C464="","",IF(AB464&lt;0.0001,"",IF(B464=0,"",IF(AQ464&lt;AB464,"",AB464)))))</f>
        <v/>
      </c>
      <c r="Z464" s="645" t="str">
        <f>HYPERLINK("https://www.klasekpyrotechnics.cz/c10020xbpw14")</f>
        <v>https://www.klasekpyrotechnics.cz/c10020xbpw14</v>
      </c>
      <c r="AA464" s="645">
        <f>IFERROR(IF(VLOOKUP(C464,[4]List1!$A:$D,4,FALSE)=0,"",VLOOKUP(C464,[4]List1!$A:$D,4,FALSE)),"")</f>
        <v>22</v>
      </c>
      <c r="AB464" s="646"/>
      <c r="AC464" s="647" t="str">
        <f>IFERROR(IF(VLOOKUP(C464,[1]List1!$A:$D,2,FALSE)="VYPRODÁNO",$V$9,IF(VLOOKUP(C464,[1]List1!$A:$D,2,FALSE)="DOCHÁZÍ",$V$3,VLOOKUP(C464,[1]List1!$A:$D,2,FALSE))),"OFFLINE!")</f>
        <v>DOCHÁZÍ</v>
      </c>
      <c r="AD464" s="647" t="str">
        <f ca="1">IF(AP464="NE",$V$10,IF(AC464=$V$3,IF(AQ464&lt;1,$V$8,$V$2&amp;" "&amp;AQ464&amp;" "&amp;$V$1),IF(AC464="SKLADEM",$V$6,IFERROR(IF(OR(AC464-TODAY()&gt;45,VLOOKUP(C464,[1]List1!$A:$E,4,FALSE)=0),AC464,DAY(AC464)&amp;"."&amp;MONTH(AC464)&amp;"."&amp;YEAR(AC464)&amp;" "&amp;$V$4&amp;VLOOKUP(C464,[1]List1!$A:$E,4,FALSE)&amp;" "&amp;$V$1),AC464))))</f>
        <v>POSLEDNÍCH 54 VK</v>
      </c>
      <c r="AE464" s="645" t="str">
        <f t="shared" ref="AE464:AE467" ca="1" si="1338">IFERROR(IF(AV464&lt;&gt;"",AV464,AD464),AD464)</f>
        <v>POSLEDNÍCH 54 VK</v>
      </c>
      <c r="AF464" s="648">
        <f t="shared" ref="AF464:AF467" si="1339">IFERROR(IF(AB464=Y464,G464*I464*Y464,0),0)</f>
        <v>0</v>
      </c>
      <c r="AG464" s="649">
        <f t="shared" ref="AG464:AG467" si="1340">IF($W$17=$AF$8,AH464*1.23,AF464*1.21)</f>
        <v>0</v>
      </c>
      <c r="AH464" s="650">
        <f t="shared" ref="AH464:AH467" si="1341">IFERROR(IF(Y464=AB464,H464*I464*Y464,0),0)</f>
        <v>0</v>
      </c>
      <c r="AI464" s="645">
        <f t="shared" ref="AI464:AI467" si="1342">IFERROR(IF(Y464=AB464,(P464*Y464)/1000,1),0)</f>
        <v>0</v>
      </c>
      <c r="AJ464" s="645">
        <f t="shared" ref="AJ464:AJ467" si="1343">IFERROR(IF(Y464=AB464,N464*Y464,0.1),0)</f>
        <v>0</v>
      </c>
      <c r="AK464" s="645" t="str">
        <f t="shared" ref="AK464:AK467" si="1344">IFERROR(IF(Y464=AB464,IF(M464="1.1G",(O464/1000)*Y464,""),""),0)</f>
        <v/>
      </c>
      <c r="AL464" s="645" t="str">
        <f t="shared" ref="AL464:AL467" si="1345">IFERROR(IF(Y464=AB464,IF(M464="1.3G",(O464/1000)*AB464,""),""),0)</f>
        <v/>
      </c>
      <c r="AM464" s="645">
        <f t="shared" ref="AM464:AM467" si="1346">IFERROR(IF(Y464=AB464,IF(M464="1.4G",(O464/1000)*AB464,""),""),0)</f>
        <v>0</v>
      </c>
      <c r="AN464" s="651">
        <f t="shared" ref="AN464:AN467" si="1347">SUM(AK464:AM464)</f>
        <v>0</v>
      </c>
      <c r="AO464" s="623"/>
      <c r="AP464" s="632" t="str">
        <f t="shared" si="1327"/>
        <v/>
      </c>
      <c r="AQ464" s="633">
        <f>IF(AC464=$V$3,IF(VLOOKUP(C464,[1]List1!$A:$E,5,FALSE)=0,1,VLOOKUP(C464,[1]List1!$A:$E,5,FALSE)),"")</f>
        <v>54</v>
      </c>
      <c r="AR464" s="625" t="str">
        <f t="shared" si="1328"/>
        <v/>
      </c>
      <c r="AS464" s="634" t="str">
        <f t="shared" si="1312"/>
        <v/>
      </c>
      <c r="AT464" s="625" t="str">
        <f t="shared" si="1329"/>
        <v/>
      </c>
      <c r="AU464" s="638" t="e">
        <f t="shared" si="1330"/>
        <v>#N/A</v>
      </c>
      <c r="AV464" s="625" t="e">
        <f t="shared" si="1331"/>
        <v>#N/A</v>
      </c>
      <c r="AX464" s="625">
        <f>IF(AND('General price list'!$J464="F4",'General price list'!$AB464+0&gt;0),1,0)</f>
        <v>0</v>
      </c>
      <c r="AY464" s="625">
        <f t="shared" si="1332"/>
        <v>1</v>
      </c>
      <c r="AZ464" s="625">
        <f t="shared" si="1333"/>
        <v>0</v>
      </c>
    </row>
    <row r="465" spans="1:52" ht="15.75" customHeight="1">
      <c r="A465" s="621" t="str">
        <f>Kat.!C465</f>
        <v>×</v>
      </c>
      <c r="B465" s="566">
        <f>IF(AND('General price list'!$J465="F4",$AI$1=FALSE),0,IF(AC465="SKLADEM",1,IF(AC465=$V$3,1,0)))</f>
        <v>1</v>
      </c>
      <c r="C465" s="567" t="s">
        <v>2272</v>
      </c>
      <c r="D465" s="568" t="s">
        <v>11722</v>
      </c>
      <c r="E465" s="763" t="s">
        <v>12651</v>
      </c>
      <c r="F465" s="772">
        <f>IFERROR(VLOOKUP(C465,[2]List1!$A:$D,3,FALSE),"NEUVEDENO!")</f>
        <v>939</v>
      </c>
      <c r="G465" s="769">
        <f t="shared" si="1334"/>
        <v>939</v>
      </c>
      <c r="H465" s="766">
        <f t="shared" si="1335"/>
        <v>39.887346917969694</v>
      </c>
      <c r="I465" s="764">
        <f>IFERROR(VLOOKUP(C465,[2]List1!$A:$D,4,FALSE),"NEUVEDENO!")</f>
        <v>4</v>
      </c>
      <c r="J465" s="732" t="s">
        <v>39</v>
      </c>
      <c r="K465" s="569" t="s">
        <v>20</v>
      </c>
      <c r="L465" s="569" t="s">
        <v>10994</v>
      </c>
      <c r="M465" s="569" t="s">
        <v>21</v>
      </c>
      <c r="N465" s="569">
        <f>IFERROR(VLOOKUP(C465,[3]List1!$A:$D,4,FALSE),"N/A!")</f>
        <v>4.8320999999999996E-2</v>
      </c>
      <c r="O465" s="569">
        <f>IFERROR(VLOOKUP(C465,[3]List1!$A:$D,3,FALSE),"N/A!")</f>
        <v>2000</v>
      </c>
      <c r="P465" s="569">
        <f>IFERROR(VLOOKUP(C465,[3]List1!$A:$D,2,FALSE),"N/A!")</f>
        <v>18000</v>
      </c>
      <c r="Q465" s="569" t="s">
        <v>11292</v>
      </c>
      <c r="R465" s="569" t="s">
        <v>20</v>
      </c>
      <c r="S465" s="569" t="str">
        <f>IF($W$17=$AF$1,"červená fólie",IFERROR(VLOOKUP("červená fólie",Jazyky_ceník!$A:$Q,MATCH($W$17,Jazyky_ceník!$A$1:$Q$1,0),FALSE),"!!!"))</f>
        <v>červená fólie</v>
      </c>
      <c r="T465" s="569">
        <v>60</v>
      </c>
      <c r="U465" s="569">
        <v>25</v>
      </c>
      <c r="V465" s="569">
        <v>13</v>
      </c>
      <c r="W465" s="569" t="str">
        <f>IFERROR(IF(AND($AB465&gt;=0.1*$AA465,MOD($AB465,$AA465)&gt;=($AA465-(0.1*$AA465))),IF($W$17=$AF$1,"Zvažte možnost doobjednání ještě "&amp;Tabulka1[[#This Row],[VKPAL]]-MOD(AB465,AA465)&amp;" VK do plné palety.",VLOOKUP("Zvažte možnost doobjednání ještě ",Jazyky_ceník!A:Q,MATCH($W$17,Jazyky_ceník!$A$1:$Q$1,0),FALSE)&amp;Tabulka1[[#This Row],[VKPAL]]-MOD(AB465,AA465)&amp;VLOOKUP(" VK do plné palety.",Jazyky_ceník!A:Q,MATCH($W$17,Jazyky_ceník!$A$1:$Q$1,0),FALSE)),IFERROR(IF(AND(NOT(MOD($AB465,$AA465)=0),$AB465&gt;=0.9*$AA465,MOD($AB465,$AA465)&lt;=0.1*$AA465),IF($W$17=$AF$1,"Zvažte možnost optimalizace objednaného množství podle počtu VK na paletě ==&gt;",VLOOKUP("Zvažte možnost optimalizace objednaného množství podle počtu VK na paletě ==&gt;",Jazyky_ceník!A:Q,MATCH($W$17,Jazyky_ceník!$A$1:$Q$1,0),FALSE)),VLOOKUP('General price list'!$C465,Popisy!A:M,MATCH($W$17,Popisy!$A$7:$M$7,0),FALSE)),"---------------")),IFERROR(VLOOKUP('General price list'!$C465,Popisy!A:M,MATCH($W$17,Popisy!$A$7:$M$7,0),FALSE),"---------------"))</f>
        <v>10 různobarevných efektů</v>
      </c>
      <c r="X465" s="569" t="str">
        <f t="shared" si="1336"/>
        <v/>
      </c>
      <c r="Y465" s="569" t="str">
        <f t="shared" si="1337"/>
        <v/>
      </c>
      <c r="Z465" s="569" t="str">
        <f>HYPERLINK("https://www.klasekpyrotechnics.cz/c10020xbp14")</f>
        <v>https://www.klasekpyrotechnics.cz/c10020xbp14</v>
      </c>
      <c r="AA465" s="569">
        <f>IFERROR(IF(VLOOKUP(C465,[4]List1!$A:$D,4,FALSE)=0,"",VLOOKUP(C465,[4]List1!$A:$D,4,FALSE)),"")</f>
        <v>22</v>
      </c>
      <c r="AB465" s="565"/>
      <c r="AC465" s="570" t="str">
        <f>IFERROR(IF(VLOOKUP(C465,[1]List1!$A:$D,2,FALSE)="VYPRODÁNO",$V$9,IF(VLOOKUP(C465,[1]List1!$A:$D,2,FALSE)="DOCHÁZÍ",$V$3,VLOOKUP(C465,[1]List1!$A:$D,2,FALSE))),"OFFLINE!")</f>
        <v>SKLADEM</v>
      </c>
      <c r="AD465" s="570" t="str">
        <f ca="1">IF(AP465="NE",$V$10,IF(AC465=$V$3,IF(AQ465&lt;1,$V$8,$V$2&amp;" "&amp;AQ465&amp;" "&amp;$V$1),IF(AC465="SKLADEM",$V$6,IFERROR(IF(OR(AC465-TODAY()&gt;45,VLOOKUP(C465,[1]List1!$A:$E,4,FALSE)=0),AC465,DAY(AC465)&amp;"."&amp;MONTH(AC465)&amp;"."&amp;YEAR(AC465)&amp;" "&amp;$V$4&amp;VLOOKUP(C465,[1]List1!$A:$E,4,FALSE)&amp;" "&amp;$V$1),AC465))))</f>
        <v>SKLADEM</v>
      </c>
      <c r="AE465" s="581" t="str">
        <f t="shared" ca="1" si="1338"/>
        <v>SKLADEM</v>
      </c>
      <c r="AF465" s="584">
        <f t="shared" si="1339"/>
        <v>0</v>
      </c>
      <c r="AG465" s="585">
        <f t="shared" si="1340"/>
        <v>0</v>
      </c>
      <c r="AH465" s="583">
        <f t="shared" si="1341"/>
        <v>0</v>
      </c>
      <c r="AI465" s="582">
        <f t="shared" si="1342"/>
        <v>0</v>
      </c>
      <c r="AJ465" s="569">
        <f t="shared" si="1343"/>
        <v>0</v>
      </c>
      <c r="AK465" s="569" t="str">
        <f t="shared" si="1344"/>
        <v/>
      </c>
      <c r="AL465" s="569" t="str">
        <f t="shared" si="1345"/>
        <v/>
      </c>
      <c r="AM465" s="569">
        <f t="shared" si="1346"/>
        <v>0</v>
      </c>
      <c r="AN465" s="581">
        <f t="shared" si="1347"/>
        <v>0</v>
      </c>
      <c r="AO465" s="623"/>
      <c r="AP465" s="625" t="str">
        <f t="shared" si="1327"/>
        <v/>
      </c>
      <c r="AQ465" s="625" t="str">
        <f>IF(AC465=$V$3,IF(VLOOKUP(C465,[1]List1!$A:$E,5,FALSE)=0,1,VLOOKUP(C465,[1]List1!$A:$E,5,FALSE)),"")</f>
        <v/>
      </c>
      <c r="AR465" s="629" t="str">
        <f t="shared" si="1328"/>
        <v/>
      </c>
      <c r="AS465" s="630" t="str">
        <f t="shared" si="1312"/>
        <v/>
      </c>
      <c r="AT465" s="625" t="str">
        <f t="shared" si="1329"/>
        <v/>
      </c>
      <c r="AU465" s="625" t="e">
        <f t="shared" si="1330"/>
        <v>#N/A</v>
      </c>
      <c r="AV465" s="625" t="e">
        <f t="shared" si="1331"/>
        <v>#N/A</v>
      </c>
      <c r="AW465" s="631"/>
      <c r="AX465" s="631">
        <f>IF(AND('General price list'!$J465="F4",'General price list'!$AB465+0&gt;0),1,0)</f>
        <v>0</v>
      </c>
      <c r="AY465" s="631">
        <f t="shared" si="1332"/>
        <v>1</v>
      </c>
      <c r="AZ465" s="631">
        <f t="shared" si="1333"/>
        <v>0</v>
      </c>
    </row>
    <row r="466" spans="1:52" ht="15" customHeight="1">
      <c r="A466" s="639" t="str">
        <f>Kat.!C466</f>
        <v>×</v>
      </c>
      <c r="B466" s="640">
        <f>IF(AND('General price list'!$J466="F4",$AI$1=FALSE),0,IF(AC466="SKLADEM",1,IF(AC466=$V$3,1,0)))</f>
        <v>1</v>
      </c>
      <c r="C466" s="641" t="s">
        <v>4808</v>
      </c>
      <c r="D466" s="642" t="s">
        <v>4809</v>
      </c>
      <c r="E466" s="643" t="s">
        <v>12651</v>
      </c>
      <c r="F466" s="771">
        <f>IFERROR(VLOOKUP(C466,[2]List1!$A:$D,3,FALSE),"NEUVEDENO!")</f>
        <v>939</v>
      </c>
      <c r="G466" s="768">
        <f t="shared" si="1334"/>
        <v>939</v>
      </c>
      <c r="H466" s="765">
        <f t="shared" si="1335"/>
        <v>39.887346917969694</v>
      </c>
      <c r="I466" s="644">
        <f>IFERROR(VLOOKUP(C466,[2]List1!$A:$D,4,FALSE),"NEUVEDENO!")</f>
        <v>4</v>
      </c>
      <c r="J466" s="733" t="s">
        <v>39</v>
      </c>
      <c r="K466" s="645" t="s">
        <v>20</v>
      </c>
      <c r="L466" s="645" t="s">
        <v>10994</v>
      </c>
      <c r="M466" s="645" t="s">
        <v>21</v>
      </c>
      <c r="N466" s="645">
        <f>IFERROR(VLOOKUP(C466,[3]List1!$A:$D,4,FALSE),"N/A!")</f>
        <v>4.8320999999999996E-2</v>
      </c>
      <c r="O466" s="645">
        <f>IFERROR(VLOOKUP(C466,[3]List1!$A:$D,3,FALSE),"N/A!")</f>
        <v>2000</v>
      </c>
      <c r="P466" s="645">
        <f>IFERROR(VLOOKUP(C466,[3]List1!$A:$D,2,FALSE),"N/A!")</f>
        <v>18000</v>
      </c>
      <c r="Q466" s="645" t="s">
        <v>11292</v>
      </c>
      <c r="R466" s="645" t="s">
        <v>20</v>
      </c>
      <c r="S466" s="645" t="str">
        <f>IF($W$17=$AF$1,"design",IFERROR(VLOOKUP("design",Jazyky_ceník!$A:$Q,MATCH($W$17,Jazyky_ceník!$A$1:$Q$1,0),FALSE),"!!!"))</f>
        <v>design</v>
      </c>
      <c r="T466" s="645">
        <v>40</v>
      </c>
      <c r="U466" s="645">
        <v>25</v>
      </c>
      <c r="V466" s="645">
        <v>13</v>
      </c>
      <c r="W466" s="645" t="str">
        <f>IFERROR(IF(AND($AB466&gt;=0.1*$AA466,MOD($AB466,$AA466)&gt;=($AA466-(0.1*$AA466))),IF($W$17=$AF$1,"Zvažte možnost doobjednání ještě "&amp;Tabulka1[[#This Row],[VKPAL]]-MOD(AB466,AA466)&amp;" VK do plné palety.",VLOOKUP("Zvažte možnost doobjednání ještě ",Jazyky_ceník!A:Q,MATCH($W$17,Jazyky_ceník!$A$1:$Q$1,0),FALSE)&amp;Tabulka1[[#This Row],[VKPAL]]-MOD(AB466,AA466)&amp;VLOOKUP(" VK do plné palety.",Jazyky_ceník!A:Q,MATCH($W$17,Jazyky_ceník!$A$1:$Q$1,0),FALSE)),IFERROR(IF(AND(NOT(MOD($AB466,$AA466)=0),$AB466&gt;=0.9*$AA466,MOD($AB466,$AA466)&lt;=0.1*$AA466),IF($W$17=$AF$1,"Zvažte možnost optimalizace objednaného množství podle počtu VK na paletě ==&gt;",VLOOKUP("Zvažte možnost optimalizace objednaného množství podle počtu VK na paletě ==&gt;",Jazyky_ceník!A:Q,MATCH($W$17,Jazyky_ceník!$A$1:$Q$1,0),FALSE)),VLOOKUP('General price list'!$C466,Popisy!A:M,MATCH($W$17,Popisy!$A$7:$M$7,0),FALSE)),"---------------")),IFERROR(VLOOKUP('General price list'!$C466,Popisy!A:M,MATCH($W$17,Popisy!$A$7:$M$7,0),FALSE),"---------------"))</f>
        <v>10 různobarevných efektů</v>
      </c>
      <c r="X466" s="645" t="str">
        <f t="shared" si="1336"/>
        <v/>
      </c>
      <c r="Y466" s="645" t="str">
        <f t="shared" si="1337"/>
        <v/>
      </c>
      <c r="Z466" s="645" t="str">
        <f>HYPERLINK("https://www.klasekpyrotechnics.cz/c10020xts14")</f>
        <v>https://www.klasekpyrotechnics.cz/c10020xts14</v>
      </c>
      <c r="AA466" s="645">
        <f>IFERROR(IF(VLOOKUP(C466,[4]List1!$A:$D,4,FALSE)=0,"",VLOOKUP(C466,[4]List1!$A:$D,4,FALSE)),"")</f>
        <v>22</v>
      </c>
      <c r="AB466" s="646"/>
      <c r="AC466" s="647" t="str">
        <f>IFERROR(IF(VLOOKUP(C466,[1]List1!$A:$D,2,FALSE)="VYPRODÁNO",$V$9,IF(VLOOKUP(C466,[1]List1!$A:$D,2,FALSE)="DOCHÁZÍ",$V$3,VLOOKUP(C466,[1]List1!$A:$D,2,FALSE))),"OFFLINE!")</f>
        <v>SKLADEM</v>
      </c>
      <c r="AD466" s="647" t="str">
        <f ca="1">IF(AP466="NE",$V$10,IF(AC466=$V$3,IF(AQ466&lt;1,$V$8,$V$2&amp;" "&amp;AQ466&amp;" "&amp;$V$1),IF(AC466="SKLADEM",$V$6,IFERROR(IF(OR(AC466-TODAY()&gt;45,VLOOKUP(C466,[1]List1!$A:$E,4,FALSE)=0),AC466,DAY(AC466)&amp;"."&amp;MONTH(AC466)&amp;"."&amp;YEAR(AC466)&amp;" "&amp;$V$4&amp;VLOOKUP(C466,[1]List1!$A:$E,4,FALSE)&amp;" "&amp;$V$1),AC466))))</f>
        <v>SKLADEM</v>
      </c>
      <c r="AE466" s="645" t="str">
        <f t="shared" ca="1" si="1338"/>
        <v>SKLADEM</v>
      </c>
      <c r="AF466" s="648">
        <f t="shared" si="1339"/>
        <v>0</v>
      </c>
      <c r="AG466" s="649">
        <f t="shared" si="1340"/>
        <v>0</v>
      </c>
      <c r="AH466" s="650">
        <f t="shared" si="1341"/>
        <v>0</v>
      </c>
      <c r="AI466" s="645">
        <f t="shared" si="1342"/>
        <v>0</v>
      </c>
      <c r="AJ466" s="645">
        <f t="shared" si="1343"/>
        <v>0</v>
      </c>
      <c r="AK466" s="645" t="str">
        <f t="shared" si="1344"/>
        <v/>
      </c>
      <c r="AL466" s="645" t="str">
        <f t="shared" si="1345"/>
        <v/>
      </c>
      <c r="AM466" s="645">
        <f t="shared" si="1346"/>
        <v>0</v>
      </c>
      <c r="AN466" s="651">
        <f t="shared" si="1347"/>
        <v>0</v>
      </c>
      <c r="AO466" s="623"/>
      <c r="AP466" s="632" t="str">
        <f t="shared" si="1327"/>
        <v/>
      </c>
      <c r="AQ466" s="633" t="str">
        <f>IF(AC466=$V$3,IF(VLOOKUP(C466,[1]List1!$A:$E,5,FALSE)=0,1,VLOOKUP(C466,[1]List1!$A:$E,5,FALSE)),"")</f>
        <v/>
      </c>
      <c r="AR466" s="625" t="str">
        <f t="shared" si="1328"/>
        <v/>
      </c>
      <c r="AS466" s="634" t="str">
        <f t="shared" si="1312"/>
        <v/>
      </c>
      <c r="AT466" s="625" t="str">
        <f t="shared" si="1329"/>
        <v/>
      </c>
      <c r="AU466" s="638" t="e">
        <f t="shared" si="1330"/>
        <v>#N/A</v>
      </c>
      <c r="AV466" s="625" t="e">
        <f t="shared" si="1331"/>
        <v>#N/A</v>
      </c>
      <c r="AX466" s="625">
        <f>IF(AND('General price list'!$J466="F4",'General price list'!$AB466+0&gt;0),1,0)</f>
        <v>0</v>
      </c>
      <c r="AY466" s="625">
        <f t="shared" si="1332"/>
        <v>1</v>
      </c>
      <c r="AZ466" s="625">
        <f t="shared" si="1333"/>
        <v>0</v>
      </c>
    </row>
    <row r="467" spans="1:52" ht="15.75" customHeight="1">
      <c r="A467" s="621" t="str">
        <f>Kat.!C467</f>
        <v/>
      </c>
      <c r="B467" s="566">
        <f>IF(AND('General price list'!$J467="F4",$AI$1=FALSE),0,IF(AC467="SKLADEM",1,IF(AC467=$V$3,1,0)))</f>
        <v>1</v>
      </c>
      <c r="C467" s="567" t="s">
        <v>2273</v>
      </c>
      <c r="D467" s="568" t="s">
        <v>11723</v>
      </c>
      <c r="E467" s="763" t="s">
        <v>12651</v>
      </c>
      <c r="F467" s="772">
        <f>IFERROR(VLOOKUP(C467,[2]List1!$A:$D,3,FALSE),"NEUVEDENO!")</f>
        <v>939</v>
      </c>
      <c r="G467" s="769">
        <f t="shared" si="1334"/>
        <v>939</v>
      </c>
      <c r="H467" s="766">
        <f t="shared" si="1335"/>
        <v>39.887346917969694</v>
      </c>
      <c r="I467" s="764">
        <f>IFERROR(VLOOKUP(C467,[2]List1!$A:$D,4,FALSE),"NEUVEDENO!")</f>
        <v>4</v>
      </c>
      <c r="J467" s="732" t="s">
        <v>39</v>
      </c>
      <c r="K467" s="569" t="s">
        <v>20</v>
      </c>
      <c r="L467" s="569" t="s">
        <v>10994</v>
      </c>
      <c r="M467" s="569" t="s">
        <v>21</v>
      </c>
      <c r="N467" s="569">
        <f>IFERROR(VLOOKUP(C467,[3]List1!$A:$D,4,FALSE),"N/A!")</f>
        <v>4.8320999999999996E-2</v>
      </c>
      <c r="O467" s="569">
        <f>IFERROR(VLOOKUP(C467,[3]List1!$A:$D,3,FALSE),"N/A!")</f>
        <v>2000</v>
      </c>
      <c r="P467" s="569">
        <f>IFERROR(VLOOKUP(C467,[3]List1!$A:$D,2,FALSE),"N/A!")</f>
        <v>18000</v>
      </c>
      <c r="Q467" s="569" t="s">
        <v>11775</v>
      </c>
      <c r="R467" s="569"/>
      <c r="S467" s="569" t="str">
        <f>IF($W$17=$AF$1,"design",IFERROR(VLOOKUP("design",Jazyky_ceník!$A:$Q,MATCH($W$17,Jazyky_ceník!$A$1:$Q$1,0),FALSE),"!!!"))</f>
        <v>design</v>
      </c>
      <c r="T467" s="569">
        <v>60</v>
      </c>
      <c r="U467" s="569">
        <v>25</v>
      </c>
      <c r="V467" s="569">
        <v>13</v>
      </c>
      <c r="W467" s="569" t="str">
        <f>IFERROR(IF(AND($AB467&gt;=0.1*$AA467,MOD($AB467,$AA467)&gt;=($AA467-(0.1*$AA467))),IF($W$17=$AF$1,"Zvažte možnost doobjednání ještě "&amp;Tabulka1[[#This Row],[VKPAL]]-MOD(AB467,AA467)&amp;" VK do plné palety.",VLOOKUP("Zvažte možnost doobjednání ještě ",Jazyky_ceník!A:Q,MATCH($W$17,Jazyky_ceník!$A$1:$Q$1,0),FALSE)&amp;Tabulka1[[#This Row],[VKPAL]]-MOD(AB467,AA467)&amp;VLOOKUP(" VK do plné palety.",Jazyky_ceník!A:Q,MATCH($W$17,Jazyky_ceník!$A$1:$Q$1,0),FALSE)),IFERROR(IF(AND(NOT(MOD($AB467,$AA467)=0),$AB467&gt;=0.9*$AA467,MOD($AB467,$AA467)&lt;=0.1*$AA467),IF($W$17=$AF$1,"Zvažte možnost optimalizace objednaného množství podle počtu VK na paletě ==&gt;",VLOOKUP("Zvažte možnost optimalizace objednaného množství podle počtu VK na paletě ==&gt;",Jazyky_ceník!A:Q,MATCH($W$17,Jazyky_ceník!$A$1:$Q$1,0),FALSE)),VLOOKUP('General price list'!$C467,Popisy!A:M,MATCH($W$17,Popisy!$A$7:$M$7,0),FALSE)),"---------------")),IFERROR(VLOOKUP('General price list'!$C467,Popisy!A:M,MATCH($W$17,Popisy!$A$7:$M$7,0),FALSE),"---------------"))</f>
        <v>10 různobarevných efektů</v>
      </c>
      <c r="X467" s="569" t="str">
        <f t="shared" si="1336"/>
        <v/>
      </c>
      <c r="Y467" s="569" t="str">
        <f t="shared" si="1337"/>
        <v/>
      </c>
      <c r="Z467" s="569" t="str">
        <f>HYPERLINK("https://www.klasekpyrotechnics.cz/c10020xpr14")</f>
        <v>https://www.klasekpyrotechnics.cz/c10020xpr14</v>
      </c>
      <c r="AA467" s="569">
        <f>IFERROR(IF(VLOOKUP(C467,[4]List1!$A:$D,4,FALSE)=0,"",VLOOKUP(C467,[4]List1!$A:$D,4,FALSE)),"")</f>
        <v>22</v>
      </c>
      <c r="AB467" s="565"/>
      <c r="AC467" s="570" t="str">
        <f>IFERROR(IF(VLOOKUP(C467,[1]List1!$A:$D,2,FALSE)="VYPRODÁNO",$V$9,IF(VLOOKUP(C467,[1]List1!$A:$D,2,FALSE)="DOCHÁZÍ",$V$3,VLOOKUP(C467,[1]List1!$A:$D,2,FALSE))),"OFFLINE!")</f>
        <v>SKLADEM</v>
      </c>
      <c r="AD467" s="570" t="str">
        <f ca="1">IF(AP467="NE",$V$10,IF(AC467=$V$3,IF(AQ467&lt;1,$V$8,$V$2&amp;" "&amp;AQ467&amp;" "&amp;$V$1),IF(AC467="SKLADEM",$V$6,IFERROR(IF(OR(AC467-TODAY()&gt;45,VLOOKUP(C467,[1]List1!$A:$E,4,FALSE)=0),AC467,DAY(AC467)&amp;"."&amp;MONTH(AC467)&amp;"."&amp;YEAR(AC467)&amp;" "&amp;$V$4&amp;VLOOKUP(C467,[1]List1!$A:$E,4,FALSE)&amp;" "&amp;$V$1),AC467))))</f>
        <v>SKLADEM</v>
      </c>
      <c r="AE467" s="581" t="str">
        <f t="shared" ca="1" si="1338"/>
        <v>SKLADEM</v>
      </c>
      <c r="AF467" s="584">
        <f t="shared" si="1339"/>
        <v>0</v>
      </c>
      <c r="AG467" s="585">
        <f t="shared" si="1340"/>
        <v>0</v>
      </c>
      <c r="AH467" s="583">
        <f t="shared" si="1341"/>
        <v>0</v>
      </c>
      <c r="AI467" s="582">
        <f t="shared" si="1342"/>
        <v>0</v>
      </c>
      <c r="AJ467" s="569">
        <f t="shared" si="1343"/>
        <v>0</v>
      </c>
      <c r="AK467" s="569" t="str">
        <f t="shared" si="1344"/>
        <v/>
      </c>
      <c r="AL467" s="569" t="str">
        <f t="shared" si="1345"/>
        <v/>
      </c>
      <c r="AM467" s="569">
        <f t="shared" si="1346"/>
        <v>0</v>
      </c>
      <c r="AN467" s="581">
        <f t="shared" si="1347"/>
        <v>0</v>
      </c>
      <c r="AO467" s="623"/>
      <c r="AP467" s="625" t="str">
        <f t="shared" si="1327"/>
        <v/>
      </c>
      <c r="AQ467" s="625" t="str">
        <f>IF(AC467=$V$3,IF(VLOOKUP(C467,[1]List1!$A:$E,5,FALSE)=0,1,VLOOKUP(C467,[1]List1!$A:$E,5,FALSE)),"")</f>
        <v/>
      </c>
      <c r="AR467" s="629" t="str">
        <f t="shared" si="1328"/>
        <v/>
      </c>
      <c r="AS467" s="630" t="str">
        <f t="shared" si="1312"/>
        <v/>
      </c>
      <c r="AT467" s="625" t="str">
        <f t="shared" si="1329"/>
        <v/>
      </c>
      <c r="AU467" s="625" t="e">
        <f t="shared" si="1330"/>
        <v>#N/A</v>
      </c>
      <c r="AV467" s="625" t="e">
        <f t="shared" si="1331"/>
        <v>#N/A</v>
      </c>
      <c r="AW467" s="631"/>
      <c r="AX467" s="631">
        <f>IF(AND('General price list'!$J467="F4",'General price list'!$AB467+0&gt;0),1,0)</f>
        <v>0</v>
      </c>
      <c r="AY467" s="631">
        <f t="shared" si="1332"/>
        <v>1</v>
      </c>
      <c r="AZ467" s="631">
        <f t="shared" si="1333"/>
        <v>0</v>
      </c>
    </row>
    <row r="468" spans="1:52" ht="15.75" customHeight="1">
      <c r="A468" s="751" t="str">
        <f>Kat.!C468</f>
        <v xml:space="preserve">           Baterie 100 ran, 20 mm šikmý moždíř – 1.3G</v>
      </c>
      <c r="B468" s="751"/>
      <c r="C468" s="751"/>
      <c r="D468" s="751"/>
      <c r="E468" s="751"/>
      <c r="F468" s="751"/>
      <c r="G468" s="751"/>
      <c r="H468" s="751"/>
      <c r="I468" s="752"/>
      <c r="J468" s="752"/>
      <c r="K468" s="752" t="s">
        <v>20</v>
      </c>
      <c r="L468" s="753" t="s">
        <v>20</v>
      </c>
      <c r="M468" s="752"/>
      <c r="N468" s="752"/>
      <c r="O468" s="752"/>
      <c r="P468" s="752"/>
      <c r="Q468" s="752"/>
      <c r="R468" s="752"/>
      <c r="S468" s="752"/>
      <c r="T468" s="752"/>
      <c r="U468" s="752"/>
      <c r="V468" s="752"/>
      <c r="W468" s="752"/>
      <c r="X468" s="752"/>
      <c r="Y468" s="752"/>
      <c r="Z468" s="752" t="s">
        <v>20</v>
      </c>
      <c r="AA468" s="752"/>
      <c r="AB468" s="752"/>
      <c r="AC468" s="754"/>
      <c r="AD468" s="752"/>
      <c r="AE468" s="752"/>
      <c r="AF468" s="752"/>
      <c r="AG468" s="752"/>
      <c r="AH468" s="752"/>
      <c r="AI468" s="752"/>
      <c r="AJ468" s="752"/>
      <c r="AK468" s="752"/>
      <c r="AL468" s="752"/>
      <c r="AM468" s="752"/>
      <c r="AN468" s="752"/>
      <c r="AO468" s="623"/>
      <c r="AP468" s="625" t="str">
        <f t="shared" si="1327"/>
        <v/>
      </c>
      <c r="AQ468" s="625" t="str">
        <f>IF(AC468=$V$3,IF(VLOOKUP(C468,[1]List1!$A:$E,5,FALSE)=0,1,VLOOKUP(C468,[1]List1!$A:$E,5,FALSE)),"")</f>
        <v/>
      </c>
      <c r="AR468" s="629" t="str">
        <f t="shared" si="1328"/>
        <v/>
      </c>
      <c r="AS468" s="630" t="str">
        <f t="shared" si="1312"/>
        <v/>
      </c>
      <c r="AT468" s="625" t="str">
        <f t="shared" si="1329"/>
        <v/>
      </c>
      <c r="AU468" s="625" t="e">
        <f t="shared" si="1330"/>
        <v>#N/A</v>
      </c>
      <c r="AV468" s="625" t="e">
        <f t="shared" si="1331"/>
        <v>#N/A</v>
      </c>
      <c r="AW468" s="631"/>
      <c r="AX468" s="631">
        <f>IF(AND('General price list'!$J468="F4",'General price list'!$AB468+0&gt;0),1,0)</f>
        <v>0</v>
      </c>
      <c r="AY468" s="631">
        <f t="shared" si="1332"/>
        <v>0</v>
      </c>
      <c r="AZ468" s="631">
        <f t="shared" si="1333"/>
        <v>0</v>
      </c>
    </row>
    <row r="469" spans="1:52" ht="15.75" customHeight="1">
      <c r="A469" s="639" t="str">
        <f>Kat.!C469</f>
        <v/>
      </c>
      <c r="B469" s="640">
        <f>IF(AND('General price list'!$J469="F4",$AI$1=FALSE),0,IF(AC469="SKLADEM",1,IF(AC469=$V$3,1,0)))</f>
        <v>0</v>
      </c>
      <c r="C469" s="641" t="s">
        <v>1062</v>
      </c>
      <c r="D469" s="642" t="s">
        <v>1063</v>
      </c>
      <c r="E469" s="643" t="s">
        <v>12747</v>
      </c>
      <c r="F469" s="791">
        <f>IFERROR(VLOOKUP(C469,[2]List1!$A:$D,3,FALSE),"NEUVEDENO!")</f>
        <v>949</v>
      </c>
      <c r="G469" s="770">
        <f t="shared" ref="G469" si="1348">IF($W$17=$AF$8,ROUND((F469)/$F$17,2),(F469)*$B$19)</f>
        <v>949</v>
      </c>
      <c r="H469" s="767">
        <f t="shared" ref="H469" si="1349">IF($W$17=$AF$8,G469*$B$19,G469/$F$17)</f>
        <v>40.312132295157873</v>
      </c>
      <c r="I469" s="644">
        <f>IFERROR(VLOOKUP(C469,[2]List1!$A:$D,4,FALSE),"NEUVEDENO!")</f>
        <v>2</v>
      </c>
      <c r="J469" s="733" t="s">
        <v>113</v>
      </c>
      <c r="K469" s="645" t="s">
        <v>11100</v>
      </c>
      <c r="L469" s="645" t="s">
        <v>20</v>
      </c>
      <c r="M469" s="645" t="s">
        <v>114</v>
      </c>
      <c r="N469" s="645">
        <f>IFERROR(VLOOKUP(C469,[3]List1!$A:$D,4,FALSE),"N/A!")</f>
        <v>2.9951999999999999E-2</v>
      </c>
      <c r="O469" s="645">
        <f>IFERROR(VLOOKUP(C469,[3]List1!$A:$D,3,FALSE),"N/A!")</f>
        <v>1600</v>
      </c>
      <c r="P469" s="645">
        <f>IFERROR(VLOOKUP(C469,[3]List1!$A:$D,2,FALSE),"N/A!")</f>
        <v>10100</v>
      </c>
      <c r="Q469" s="645" t="s">
        <v>12774</v>
      </c>
      <c r="R469" s="645" t="s">
        <v>20</v>
      </c>
      <c r="S469" s="645" t="str">
        <f>IF($W$17=$AF$1,"červená fólie",IFERROR(VLOOKUP("červená fólie",Jazyky_ceník!$A:$Q,MATCH($W$17,Jazyky_ceník!$A$1:$Q$1,0),FALSE),"!!!"))</f>
        <v>červená fólie</v>
      </c>
      <c r="T469" s="645">
        <v>40</v>
      </c>
      <c r="U469" s="645">
        <v>25</v>
      </c>
      <c r="V469" s="645">
        <v>16</v>
      </c>
      <c r="W469" s="645" t="str">
        <f>IFERROR(IF(AND($AB469&gt;=0.1*$AA469,MOD($AB469,$AA469)&gt;=($AA469-(0.1*$AA469))),IF($W$17=$AF$1,"Zvažte možnost doobjednání ještě "&amp;Tabulka1[[#This Row],[VKPAL]]-MOD(AB469,AA469)&amp;" VK do plné palety.",VLOOKUP("Zvažte možnost doobjednání ještě ",Jazyky_ceník!A:Q,MATCH($W$17,Jazyky_ceník!$A$1:$Q$1,0),FALSE)&amp;Tabulka1[[#This Row],[VKPAL]]-MOD(AB469,AA469)&amp;VLOOKUP(" VK do plné palety.",Jazyky_ceník!A:Q,MATCH($W$17,Jazyky_ceník!$A$1:$Q$1,0),FALSE)),IFERROR(IF(AND(NOT(MOD($AB469,$AA469)=0),$AB469&gt;=0.9*$AA469,MOD($AB469,$AA469)&lt;=0.1*$AA469),IF($W$17=$AF$1,"Zvažte možnost optimalizace objednaného množství podle počtu VK na paletě ==&gt;",VLOOKUP("Zvažte možnost optimalizace objednaného množství podle počtu VK na paletě ==&gt;",Jazyky_ceník!A:Q,MATCH($W$17,Jazyky_ceník!$A$1:$Q$1,0),FALSE)),VLOOKUP('General price list'!$C469,Popisy!A:M,MATCH($W$17,Popisy!$A$7:$M$7,0),FALSE)),"---------------")),IFERROR(VLOOKUP('General price list'!$C469,Popisy!A:M,MATCH($W$17,Popisy!$A$7:$M$7,0),FALSE),"---------------"))</f>
        <v>5 různobarevných efektů(salvy po 10ran)</v>
      </c>
      <c r="X469" s="645" t="str">
        <f t="shared" ref="X469" si="1350">IF(AB469&lt;0.0001,"",AB469)</f>
        <v/>
      </c>
      <c r="Y469" s="645" t="str">
        <f t="shared" ref="Y469" si="1351">IF($AL$3=2,IF(OR(AB469&lt;&gt;"",AB469&lt;&gt;0),AU469,""),IF(C469="","",IF(AB469&lt;0.0001,"",IF(B469=0,"",IF(AQ469&lt;AB469,"",AB469)))))</f>
        <v/>
      </c>
      <c r="Z469" s="645" t="str">
        <f>HYPERLINK("https://www.klasekpyrotechnics.cz/cf10020p")</f>
        <v>https://www.klasekpyrotechnics.cz/cf10020p</v>
      </c>
      <c r="AA469" s="645">
        <f>IFERROR(IF(VLOOKUP(C469,[4]List1!$A:$D,4,FALSE)=0,"",VLOOKUP(C469,[4]List1!$A:$D,4,FALSE)),"")</f>
        <v>45</v>
      </c>
      <c r="AB469" s="646"/>
      <c r="AC469" s="647" t="str">
        <f>IFERROR(IF(VLOOKUP(C469,[1]List1!$A:$D,2,FALSE)="VYPRODÁNO",$V$9,IF(VLOOKUP(C469,[1]List1!$A:$D,2,FALSE)="DOCHÁZÍ",$V$3,VLOOKUP(C469,[1]List1!$A:$D,2,FALSE))),"OFFLINE!")</f>
        <v>31.08.2026</v>
      </c>
      <c r="AD469" s="647" t="str">
        <f ca="1">IF(AP469="NE",$V$10,IF(AC469=$V$3,IF(AQ469&lt;1,$V$8,$V$2&amp;" "&amp;AQ469&amp;" "&amp;$V$1),IF(AC469="SKLADEM",$V$6,IFERROR(IF(OR(AC469-TODAY()&gt;45,VLOOKUP(C469,[1]List1!$A:$E,4,FALSE)=0),AC469,DAY(AC469)&amp;"."&amp;MONTH(AC469)&amp;"."&amp;YEAR(AC469)&amp;" "&amp;$V$4&amp;VLOOKUP(C469,[1]List1!$A:$E,4,FALSE)&amp;" "&amp;$V$1),AC469))))</f>
        <v>31.08.2026</v>
      </c>
      <c r="AE469" s="645" t="str">
        <f t="shared" ref="AE469" ca="1" si="1352">IFERROR(IF(AV469&lt;&gt;"",AV469,AD469),AD469)</f>
        <v>31.08.2026</v>
      </c>
      <c r="AF469" s="648">
        <f t="shared" ref="AF469" si="1353">IFERROR(IF(AB469=Y469,G469*I469*Y469,0),0)</f>
        <v>0</v>
      </c>
      <c r="AG469" s="649">
        <f t="shared" ref="AG469" si="1354">IF($W$17=$AF$8,AH469*1.23,AF469*1.21)</f>
        <v>0</v>
      </c>
      <c r="AH469" s="650">
        <f t="shared" ref="AH469" si="1355">IFERROR(IF(Y469=AB469,H469*I469*Y469,0),0)</f>
        <v>0</v>
      </c>
      <c r="AI469" s="645">
        <f t="shared" ref="AI469" si="1356">IFERROR(IF(Y469=AB469,(P469*Y469)/1000,1),0)</f>
        <v>0</v>
      </c>
      <c r="AJ469" s="645">
        <f t="shared" ref="AJ469" si="1357">IFERROR(IF(Y469=AB469,N469*Y469,0.1),0)</f>
        <v>0</v>
      </c>
      <c r="AK469" s="645" t="str">
        <f t="shared" ref="AK469" si="1358">IFERROR(IF(Y469=AB469,IF(M469="1.1G",(O469/1000)*Y469,""),""),0)</f>
        <v/>
      </c>
      <c r="AL469" s="645">
        <f t="shared" ref="AL469" si="1359">IFERROR(IF(Y469=AB469,IF(M469="1.3G",(O469/1000)*AB469,""),""),0)</f>
        <v>0</v>
      </c>
      <c r="AM469" s="645" t="str">
        <f t="shared" ref="AM469" si="1360">IFERROR(IF(Y469=AB469,IF(M469="1.4G",(O469/1000)*AB469,""),""),0)</f>
        <v/>
      </c>
      <c r="AN469" s="651">
        <f t="shared" ref="AN469" si="1361">SUM(AK469:AM469)</f>
        <v>0</v>
      </c>
      <c r="AO469" s="623"/>
      <c r="AP469" s="625" t="str">
        <f t="shared" si="1327"/>
        <v/>
      </c>
      <c r="AQ469" s="625" t="str">
        <f>IF(AC469=$V$3,IF(VLOOKUP(C469,[1]List1!$A:$E,5,FALSE)=0,1,VLOOKUP(C469,[1]List1!$A:$E,5,FALSE)),"")</f>
        <v/>
      </c>
      <c r="AR469" s="629" t="str">
        <f t="shared" si="1328"/>
        <v/>
      </c>
      <c r="AS469" s="630" t="str">
        <f t="shared" si="1312"/>
        <v/>
      </c>
      <c r="AT469" s="625" t="str">
        <f t="shared" si="1329"/>
        <v/>
      </c>
      <c r="AU469" s="625" t="e">
        <f t="shared" si="1330"/>
        <v>#N/A</v>
      </c>
      <c r="AV469" s="625" t="e">
        <f t="shared" si="1331"/>
        <v>#N/A</v>
      </c>
      <c r="AW469" s="631"/>
      <c r="AX469" s="631">
        <f>IF(AND('General price list'!$J469="F4",'General price list'!$AB469+0&gt;0),1,0)</f>
        <v>0</v>
      </c>
      <c r="AY469" s="631">
        <f t="shared" si="1332"/>
        <v>1</v>
      </c>
      <c r="AZ469" s="631">
        <f t="shared" si="1333"/>
        <v>0</v>
      </c>
    </row>
    <row r="470" spans="1:52" ht="15" customHeight="1">
      <c r="A470" s="751" t="str">
        <f>Kat.!C470</f>
        <v xml:space="preserve">           Baterie 130 ran, 20 mm moždíř – 1.3G</v>
      </c>
      <c r="B470" s="751"/>
      <c r="C470" s="751"/>
      <c r="D470" s="751"/>
      <c r="E470" s="751"/>
      <c r="F470" s="751"/>
      <c r="G470" s="751"/>
      <c r="H470" s="751"/>
      <c r="I470" s="752"/>
      <c r="J470" s="752"/>
      <c r="K470" s="752" t="s">
        <v>20</v>
      </c>
      <c r="L470" s="753" t="s">
        <v>2818</v>
      </c>
      <c r="M470" s="752"/>
      <c r="N470" s="752"/>
      <c r="O470" s="752"/>
      <c r="P470" s="752"/>
      <c r="Q470" s="752"/>
      <c r="R470" s="752"/>
      <c r="S470" s="752"/>
      <c r="T470" s="752"/>
      <c r="U470" s="752"/>
      <c r="V470" s="752"/>
      <c r="W470" s="752"/>
      <c r="X470" s="752"/>
      <c r="Y470" s="752"/>
      <c r="Z470" s="752" t="s">
        <v>20</v>
      </c>
      <c r="AA470" s="752"/>
      <c r="AB470" s="752"/>
      <c r="AC470" s="754"/>
      <c r="AD470" s="752"/>
      <c r="AE470" s="752"/>
      <c r="AF470" s="752"/>
      <c r="AG470" s="752"/>
      <c r="AH470" s="752"/>
      <c r="AI470" s="752"/>
      <c r="AJ470" s="752"/>
      <c r="AK470" s="752"/>
      <c r="AL470" s="752"/>
      <c r="AM470" s="752"/>
      <c r="AN470" s="752"/>
      <c r="AO470" s="623"/>
      <c r="AP470" s="632" t="str">
        <f t="shared" si="1327"/>
        <v/>
      </c>
      <c r="AQ470" s="633" t="str">
        <f>IF(AC470=$V$3,IF(VLOOKUP(C470,[1]List1!$A:$E,5,FALSE)=0,1,VLOOKUP(C470,[1]List1!$A:$E,5,FALSE)),"")</f>
        <v/>
      </c>
      <c r="AR470" s="625" t="str">
        <f t="shared" si="1328"/>
        <v/>
      </c>
      <c r="AS470" s="634" t="str">
        <f t="shared" si="1312"/>
        <v/>
      </c>
      <c r="AT470" s="625" t="str">
        <f t="shared" si="1329"/>
        <v/>
      </c>
      <c r="AU470" s="638" t="e">
        <f t="shared" si="1330"/>
        <v>#N/A</v>
      </c>
      <c r="AV470" s="625" t="e">
        <f t="shared" si="1331"/>
        <v>#N/A</v>
      </c>
      <c r="AX470" s="625">
        <f>IF(AND('General price list'!$J470="F4",'General price list'!$AB470+0&gt;0),1,0)</f>
        <v>0</v>
      </c>
      <c r="AY470" s="625">
        <f t="shared" si="1332"/>
        <v>0</v>
      </c>
      <c r="AZ470" s="625">
        <f t="shared" si="1333"/>
        <v>0</v>
      </c>
    </row>
    <row r="471" spans="1:52" ht="15" customHeight="1">
      <c r="A471" s="639" t="str">
        <f>Kat.!C471</f>
        <v/>
      </c>
      <c r="B471" s="640">
        <f>IF(AND('General price list'!$J471="F4",$AI$1=FALSE),0,IF(AC471="SKLADEM",1,IF(AC471=$V$3,1,0)))</f>
        <v>1</v>
      </c>
      <c r="C471" s="641" t="s">
        <v>2274</v>
      </c>
      <c r="D471" s="642" t="s">
        <v>11883</v>
      </c>
      <c r="E471" s="643" t="s">
        <v>12745</v>
      </c>
      <c r="F471" s="791">
        <f>IFERROR(VLOOKUP(C471,[2]List1!$A:$D,3,FALSE),"NEUVEDENO!")</f>
        <v>899</v>
      </c>
      <c r="G471" s="768">
        <f t="shared" ref="G471:G473" si="1362">IF($W$17=$AF$8,ROUND((F471)/$F$17,2),(F471)*$B$19)</f>
        <v>899</v>
      </c>
      <c r="H471" s="765">
        <f t="shared" ref="H471:H473" si="1363">IF($W$17=$AF$8,G471*$B$19,G471/$F$17)</f>
        <v>38.188205409216991</v>
      </c>
      <c r="I471" s="644">
        <f>IFERROR(VLOOKUP(C471,[2]List1!$A:$D,4,FALSE),"NEUVEDENO!")</f>
        <v>3</v>
      </c>
      <c r="J471" s="733" t="s">
        <v>113</v>
      </c>
      <c r="K471" s="645" t="s">
        <v>11100</v>
      </c>
      <c r="L471" s="645" t="s">
        <v>20</v>
      </c>
      <c r="M471" s="645" t="s">
        <v>114</v>
      </c>
      <c r="N471" s="645">
        <f>IFERROR(VLOOKUP(C471,[3]List1!$A:$D,4,FALSE),"N/A!")</f>
        <v>3.8807999999999995E-2</v>
      </c>
      <c r="O471" s="645">
        <f>IFERROR(VLOOKUP(C471,[3]List1!$A:$D,3,FALSE),"N/A!")</f>
        <v>2730</v>
      </c>
      <c r="P471" s="645">
        <f>IFERROR(VLOOKUP(C471,[3]List1!$A:$D,2,FALSE),"N/A!")</f>
        <v>17000</v>
      </c>
      <c r="Q471" s="645" t="s">
        <v>11293</v>
      </c>
      <c r="R471" s="645"/>
      <c r="S471" s="645" t="str">
        <f>IF($W$17=$AF$1,"design",IFERROR(VLOOKUP("design",Jazyky_ceník!$A:$Q,MATCH($W$17,Jazyky_ceník!$A$1:$Q$1,0),FALSE),"!!!"))</f>
        <v>design</v>
      </c>
      <c r="T471" s="645">
        <v>90</v>
      </c>
      <c r="U471" s="645">
        <v>25</v>
      </c>
      <c r="V471" s="645">
        <v>15</v>
      </c>
      <c r="W471" s="645" t="str">
        <f>IFERROR(IF(AND($AB471&gt;=0.1*$AA471,MOD($AB471,$AA471)&gt;=($AA471-(0.1*$AA471))),IF($W$17=$AF$1,"Zvažte možnost doobjednání ještě "&amp;Tabulka1[[#This Row],[VKPAL]]-MOD(AB471,AA471)&amp;" VK do plné palety.",VLOOKUP("Zvažte možnost doobjednání ještě ",Jazyky_ceník!A:Q,MATCH($W$17,Jazyky_ceník!$A$1:$Q$1,0),FALSE)&amp;Tabulka1[[#This Row],[VKPAL]]-MOD(AB471,AA471)&amp;VLOOKUP(" VK do plné palety.",Jazyky_ceník!A:Q,MATCH($W$17,Jazyky_ceník!$A$1:$Q$1,0),FALSE)),IFERROR(IF(AND(NOT(MOD($AB471,$AA471)=0),$AB471&gt;=0.9*$AA471,MOD($AB471,$AA471)&lt;=0.1*$AA471),IF($W$17=$AF$1,"Zvažte možnost optimalizace objednaného množství podle počtu VK na paletě ==&gt;",VLOOKUP("Zvažte možnost optimalizace objednaného množství podle počtu VK na paletě ==&gt;",Jazyky_ceník!A:Q,MATCH($W$17,Jazyky_ceník!$A$1:$Q$1,0),FALSE)),VLOOKUP('General price list'!$C471,Popisy!A:M,MATCH($W$17,Popisy!$A$7:$M$7,0),FALSE)),"---------------")),IFERROR(VLOOKUP('General price list'!$C471,Popisy!A:M,MATCH($W$17,Popisy!$A$7:$M$7,0),FALSE),"---------------"))</f>
        <v>13 různobarevných efektů</v>
      </c>
      <c r="X471" s="645" t="str">
        <f t="shared" ref="X471:X473" si="1364">IF(AB471&lt;0.0001,"",AB471)</f>
        <v/>
      </c>
      <c r="Y471" s="645" t="str">
        <f t="shared" ref="Y471:Y473" si="1365">IF($AL$3=2,IF(OR(AB471&lt;&gt;"",AB471&lt;&gt;0),AU471,""),IF(C471="","",IF(AB471&lt;0.0001,"",IF(B471=0,"",IF(AQ471&lt;AB471,"",AB471)))))</f>
        <v/>
      </c>
      <c r="Z471" s="645" t="str">
        <f>HYPERLINK("https://www.klasekpyrotechnics.cz/c13020bp")</f>
        <v>https://www.klasekpyrotechnics.cz/c13020bp</v>
      </c>
      <c r="AA471" s="645">
        <f>IFERROR(IF(VLOOKUP(C471,[4]List1!$A:$D,4,FALSE)=0,"",VLOOKUP(C471,[4]List1!$A:$D,4,FALSE)),"")</f>
        <v>36</v>
      </c>
      <c r="AB471" s="646"/>
      <c r="AC471" s="647" t="str">
        <f>IFERROR(IF(VLOOKUP(C471,[1]List1!$A:$D,2,FALSE)="VYPRODÁNO",$V$9,IF(VLOOKUP(C471,[1]List1!$A:$D,2,FALSE)="DOCHÁZÍ",$V$3,VLOOKUP(C471,[1]List1!$A:$D,2,FALSE))),"OFFLINE!")</f>
        <v>DOCHÁZÍ</v>
      </c>
      <c r="AD471" s="647" t="str">
        <f ca="1">IF(AP471="NE",$V$10,IF(AC471=$V$3,IF(AQ471&lt;1,$V$8,$V$2&amp;" "&amp;AQ471&amp;" "&amp;$V$1),IF(AC471="SKLADEM",$V$6,IFERROR(IF(OR(AC471-TODAY()&gt;45,VLOOKUP(C471,[1]List1!$A:$E,4,FALSE)=0),AC471,DAY(AC471)&amp;"."&amp;MONTH(AC471)&amp;"."&amp;YEAR(AC471)&amp;" "&amp;$V$4&amp;VLOOKUP(C471,[1]List1!$A:$E,4,FALSE)&amp;" "&amp;$V$1),AC471))))</f>
        <v>POSLEDNÍCH 15 VK</v>
      </c>
      <c r="AE471" s="645" t="str">
        <f t="shared" ref="AE471:AE473" ca="1" si="1366">IFERROR(IF(AV471&lt;&gt;"",AV471,AD471),AD471)</f>
        <v>POSLEDNÍCH 15 VK</v>
      </c>
      <c r="AF471" s="648">
        <f t="shared" ref="AF471:AF473" si="1367">IFERROR(IF(AB471=Y471,G471*I471*Y471,0),0)</f>
        <v>0</v>
      </c>
      <c r="AG471" s="649">
        <f t="shared" ref="AG471:AG473" si="1368">IF($W$17=$AF$8,AH471*1.23,AF471*1.21)</f>
        <v>0</v>
      </c>
      <c r="AH471" s="650">
        <f t="shared" ref="AH471:AH473" si="1369">IFERROR(IF(Y471=AB471,H471*I471*Y471,0),0)</f>
        <v>0</v>
      </c>
      <c r="AI471" s="645">
        <f t="shared" ref="AI471:AI473" si="1370">IFERROR(IF(Y471=AB471,(P471*Y471)/1000,1),0)</f>
        <v>0</v>
      </c>
      <c r="AJ471" s="645">
        <f t="shared" ref="AJ471:AJ473" si="1371">IFERROR(IF(Y471=AB471,N471*Y471,0.1),0)</f>
        <v>0</v>
      </c>
      <c r="AK471" s="645" t="str">
        <f t="shared" ref="AK471:AK473" si="1372">IFERROR(IF(Y471=AB471,IF(M471="1.1G",(O471/1000)*Y471,""),""),0)</f>
        <v/>
      </c>
      <c r="AL471" s="645">
        <f t="shared" ref="AL471:AL473" si="1373">IFERROR(IF(Y471=AB471,IF(M471="1.3G",(O471/1000)*AB471,""),""),0)</f>
        <v>0</v>
      </c>
      <c r="AM471" s="645" t="str">
        <f t="shared" ref="AM471:AM473" si="1374">IFERROR(IF(Y471=AB471,IF(M471="1.4G",(O471/1000)*AB471,""),""),0)</f>
        <v/>
      </c>
      <c r="AN471" s="651">
        <f t="shared" ref="AN471:AN473" si="1375">SUM(AK471:AM471)</f>
        <v>0</v>
      </c>
      <c r="AO471" s="623"/>
      <c r="AP471" s="632" t="str">
        <f t="shared" si="1327"/>
        <v/>
      </c>
      <c r="AQ471" s="633">
        <f>IF(AC471=$V$3,IF(VLOOKUP(C471,[1]List1!$A:$E,5,FALSE)=0,1,VLOOKUP(C471,[1]List1!$A:$E,5,FALSE)),"")</f>
        <v>15</v>
      </c>
      <c r="AR471" s="625" t="str">
        <f t="shared" si="1328"/>
        <v/>
      </c>
      <c r="AS471" s="634" t="str">
        <f t="shared" si="1312"/>
        <v/>
      </c>
      <c r="AT471" s="625" t="str">
        <f t="shared" si="1329"/>
        <v/>
      </c>
      <c r="AU471" s="638" t="e">
        <f t="shared" si="1330"/>
        <v>#N/A</v>
      </c>
      <c r="AV471" s="625" t="e">
        <f t="shared" si="1331"/>
        <v>#N/A</v>
      </c>
      <c r="AX471" s="625">
        <f>IF(AND('General price list'!$J471="F4",'General price list'!$AB471+0&gt;0),1,0)</f>
        <v>0</v>
      </c>
      <c r="AY471" s="625">
        <f t="shared" si="1332"/>
        <v>1</v>
      </c>
      <c r="AZ471" s="625">
        <f t="shared" si="1333"/>
        <v>0</v>
      </c>
    </row>
    <row r="472" spans="1:52" ht="15.75" customHeight="1">
      <c r="A472" s="621" t="str">
        <f>Kat.!C472</f>
        <v/>
      </c>
      <c r="B472" s="566">
        <f>IF(AND('General price list'!$J472="F4",$AI$1=FALSE),0,IF(AC472="SKLADEM",1,IF(AC472=$V$3,1,0)))</f>
        <v>1</v>
      </c>
      <c r="C472" s="567" t="s">
        <v>1068</v>
      </c>
      <c r="D472" s="568" t="s">
        <v>1069</v>
      </c>
      <c r="E472" s="763" t="s">
        <v>12745</v>
      </c>
      <c r="F472" s="791">
        <f>IFERROR(VLOOKUP(C472,[2]List1!$A:$D,3,FALSE),"NEUVEDENO!")</f>
        <v>939</v>
      </c>
      <c r="G472" s="769">
        <f t="shared" si="1362"/>
        <v>939</v>
      </c>
      <c r="H472" s="766">
        <f t="shared" si="1363"/>
        <v>39.887346917969694</v>
      </c>
      <c r="I472" s="764">
        <f>IFERROR(VLOOKUP(C472,[2]List1!$A:$D,4,FALSE),"NEUVEDENO!")</f>
        <v>3</v>
      </c>
      <c r="J472" s="732" t="s">
        <v>113</v>
      </c>
      <c r="K472" s="569" t="s">
        <v>11100</v>
      </c>
      <c r="L472" s="569" t="s">
        <v>10993</v>
      </c>
      <c r="M472" s="569" t="s">
        <v>114</v>
      </c>
      <c r="N472" s="569">
        <f>IFERROR(VLOOKUP(C472,[3]List1!$A:$D,4,FALSE),"N/A!")</f>
        <v>3.8807999999999995E-2</v>
      </c>
      <c r="O472" s="569">
        <f>IFERROR(VLOOKUP(C472,[3]List1!$A:$D,3,FALSE),"N/A!")</f>
        <v>2991</v>
      </c>
      <c r="P472" s="569">
        <f>IFERROR(VLOOKUP(C472,[3]List1!$A:$D,2,FALSE),"N/A!")</f>
        <v>17600</v>
      </c>
      <c r="Q472" s="569" t="s">
        <v>11293</v>
      </c>
      <c r="R472" s="569"/>
      <c r="S472" s="569" t="str">
        <f>IF($W$17=$AF$1,"design",IFERROR(VLOOKUP("design",Jazyky_ceník!$A:$Q,MATCH($W$17,Jazyky_ceník!$A$1:$Q$1,0),FALSE),"!!!"))</f>
        <v>design</v>
      </c>
      <c r="T472" s="569">
        <v>90</v>
      </c>
      <c r="U472" s="569">
        <v>25</v>
      </c>
      <c r="V472" s="569">
        <v>16</v>
      </c>
      <c r="W472" s="569" t="str">
        <f>IFERROR(IF(AND($AB472&gt;=0.1*$AA472,MOD($AB472,$AA472)&gt;=($AA472-(0.1*$AA472))),IF($W$17=$AF$1,"Zvažte možnost doobjednání ještě "&amp;Tabulka1[[#This Row],[VKPAL]]-MOD(AB472,AA472)&amp;" VK do plné palety.",VLOOKUP("Zvažte možnost doobjednání ještě ",Jazyky_ceník!A:Q,MATCH($W$17,Jazyky_ceník!$A$1:$Q$1,0),FALSE)&amp;Tabulka1[[#This Row],[VKPAL]]-MOD(AB472,AA472)&amp;VLOOKUP(" VK do plné palety.",Jazyky_ceník!A:Q,MATCH($W$17,Jazyky_ceník!$A$1:$Q$1,0),FALSE)),IFERROR(IF(AND(NOT(MOD($AB472,$AA472)=0),$AB472&gt;=0.9*$AA472,MOD($AB472,$AA472)&lt;=0.1*$AA472),IF($W$17=$AF$1,"Zvažte možnost optimalizace objednaného množství podle počtu VK na paletě ==&gt;",VLOOKUP("Zvažte možnost optimalizace objednaného množství podle počtu VK na paletě ==&gt;",Jazyky_ceník!A:Q,MATCH($W$17,Jazyky_ceník!$A$1:$Q$1,0),FALSE)),VLOOKUP('General price list'!$C472,Popisy!A:M,MATCH($W$17,Popisy!$A$7:$M$7,0),FALSE)),"---------------")),IFERROR(VLOOKUP('General price list'!$C472,Popisy!A:M,MATCH($W$17,Popisy!$A$7:$M$7,0),FALSE),"---------------"))</f>
        <v>13 různobarevných efektů</v>
      </c>
      <c r="X472" s="569" t="str">
        <f t="shared" si="1364"/>
        <v/>
      </c>
      <c r="Y472" s="569" t="str">
        <f t="shared" si="1365"/>
        <v/>
      </c>
      <c r="Z472" s="569" t="str">
        <f>HYPERLINK("https://www.klasekpyrotechnics.cz/c13020m")</f>
        <v>https://www.klasekpyrotechnics.cz/c13020m</v>
      </c>
      <c r="AA472" s="569">
        <f>IFERROR(IF(VLOOKUP(C472,[4]List1!$A:$D,4,FALSE)=0,"",VLOOKUP(C472,[4]List1!$A:$D,4,FALSE)),"")</f>
        <v>36</v>
      </c>
      <c r="AB472" s="565"/>
      <c r="AC472" s="570" t="str">
        <f>IFERROR(IF(VLOOKUP(C472,[1]List1!$A:$D,2,FALSE)="VYPRODÁNO",$V$9,IF(VLOOKUP(C472,[1]List1!$A:$D,2,FALSE)="DOCHÁZÍ",$V$3,VLOOKUP(C472,[1]List1!$A:$D,2,FALSE))),"OFFLINE!")</f>
        <v>SKLADEM</v>
      </c>
      <c r="AD472" s="570" t="str">
        <f ca="1">IF(AP472="NE",$V$10,IF(AC472=$V$3,IF(AQ472&lt;1,$V$8,$V$2&amp;" "&amp;AQ472&amp;" "&amp;$V$1),IF(AC472="SKLADEM",$V$6,IFERROR(IF(OR(AC472-TODAY()&gt;45,VLOOKUP(C472,[1]List1!$A:$E,4,FALSE)=0),AC472,DAY(AC472)&amp;"."&amp;MONTH(AC472)&amp;"."&amp;YEAR(AC472)&amp;" "&amp;$V$4&amp;VLOOKUP(C472,[1]List1!$A:$E,4,FALSE)&amp;" "&amp;$V$1),AC472))))</f>
        <v>SKLADEM</v>
      </c>
      <c r="AE472" s="581" t="str">
        <f t="shared" ca="1" si="1366"/>
        <v>SKLADEM</v>
      </c>
      <c r="AF472" s="584">
        <f t="shared" si="1367"/>
        <v>0</v>
      </c>
      <c r="AG472" s="585">
        <f t="shared" si="1368"/>
        <v>0</v>
      </c>
      <c r="AH472" s="583">
        <f t="shared" si="1369"/>
        <v>0</v>
      </c>
      <c r="AI472" s="582">
        <f t="shared" si="1370"/>
        <v>0</v>
      </c>
      <c r="AJ472" s="569">
        <f t="shared" si="1371"/>
        <v>0</v>
      </c>
      <c r="AK472" s="569" t="str">
        <f t="shared" si="1372"/>
        <v/>
      </c>
      <c r="AL472" s="569">
        <f t="shared" si="1373"/>
        <v>0</v>
      </c>
      <c r="AM472" s="569" t="str">
        <f t="shared" si="1374"/>
        <v/>
      </c>
      <c r="AN472" s="581">
        <f t="shared" si="1375"/>
        <v>0</v>
      </c>
      <c r="AO472" s="623"/>
      <c r="AP472" s="625" t="str">
        <f t="shared" si="1327"/>
        <v/>
      </c>
      <c r="AQ472" s="625" t="str">
        <f>IF(AC472=$V$3,IF(VLOOKUP(C472,[1]List1!$A:$E,5,FALSE)=0,1,VLOOKUP(C472,[1]List1!$A:$E,5,FALSE)),"")</f>
        <v/>
      </c>
      <c r="AR472" s="629" t="str">
        <f t="shared" si="1328"/>
        <v/>
      </c>
      <c r="AS472" s="630" t="str">
        <f t="shared" si="1312"/>
        <v/>
      </c>
      <c r="AT472" s="625" t="str">
        <f t="shared" si="1329"/>
        <v/>
      </c>
      <c r="AU472" s="625" t="e">
        <f t="shared" si="1330"/>
        <v>#N/A</v>
      </c>
      <c r="AV472" s="625" t="e">
        <f t="shared" si="1331"/>
        <v>#N/A</v>
      </c>
      <c r="AW472" s="631"/>
      <c r="AX472" s="631">
        <f>IF(AND('General price list'!$J472="F4",'General price list'!$AB472+0&gt;0),1,0)</f>
        <v>0</v>
      </c>
      <c r="AY472" s="631">
        <f t="shared" si="1332"/>
        <v>1</v>
      </c>
      <c r="AZ472" s="631">
        <f t="shared" si="1333"/>
        <v>0</v>
      </c>
    </row>
    <row r="473" spans="1:52" ht="15.75" customHeight="1">
      <c r="A473" s="639" t="str">
        <f>Kat.!C473</f>
        <v/>
      </c>
      <c r="B473" s="640">
        <f>IF(AND('General price list'!$J473="F4",$AI$1=FALSE),0,IF(AC473="SKLADEM",1,IF(AC473=$V$3,1,0)))</f>
        <v>0</v>
      </c>
      <c r="C473" s="641" t="s">
        <v>1073</v>
      </c>
      <c r="D473" s="642" t="s">
        <v>11724</v>
      </c>
      <c r="E473" s="643" t="s">
        <v>12745</v>
      </c>
      <c r="F473" s="791">
        <f>IFERROR(VLOOKUP(C473,[2]List1!$A:$D,3,FALSE),"NEUVEDENO!")</f>
        <v>939</v>
      </c>
      <c r="G473" s="770">
        <f t="shared" si="1362"/>
        <v>939</v>
      </c>
      <c r="H473" s="767">
        <f t="shared" si="1363"/>
        <v>39.887346917969694</v>
      </c>
      <c r="I473" s="644">
        <f>IFERROR(VLOOKUP(C473,[2]List1!$A:$D,4,FALSE),"NEUVEDENO!")</f>
        <v>3</v>
      </c>
      <c r="J473" s="733" t="s">
        <v>113</v>
      </c>
      <c r="K473" s="645" t="s">
        <v>11100</v>
      </c>
      <c r="L473" s="645" t="s">
        <v>10993</v>
      </c>
      <c r="M473" s="645" t="s">
        <v>114</v>
      </c>
      <c r="N473" s="645">
        <f>IFERROR(VLOOKUP(C473,[3]List1!$A:$D,4,FALSE),"N/A!")</f>
        <v>3.8807999999999995E-2</v>
      </c>
      <c r="O473" s="645">
        <f>IFERROR(VLOOKUP(C473,[3]List1!$A:$D,3,FALSE),"N/A!")</f>
        <v>2991</v>
      </c>
      <c r="P473" s="645">
        <f>IFERROR(VLOOKUP(C473,[3]List1!$A:$D,2,FALSE),"N/A!")</f>
        <v>17200</v>
      </c>
      <c r="Q473" s="645" t="s">
        <v>11293</v>
      </c>
      <c r="R473" s="645"/>
      <c r="S473" s="645" t="str">
        <f>IF($W$17=$AF$1,"červená fólie",IFERROR(VLOOKUP("červená fólie",Jazyky_ceník!$A:$Q,MATCH($W$17,Jazyky_ceník!$A$1:$Q$1,0),FALSE),"!!!"))</f>
        <v>červená fólie</v>
      </c>
      <c r="T473" s="645">
        <v>80</v>
      </c>
      <c r="U473" s="645">
        <v>25</v>
      </c>
      <c r="V473" s="645">
        <v>16</v>
      </c>
      <c r="W473" s="645" t="str">
        <f>IFERROR(IF(AND($AB473&gt;=0.1*$AA473,MOD($AB473,$AA473)&gt;=($AA473-(0.1*$AA473))),IF($W$17=$AF$1,"Zvažte možnost doobjednání ještě "&amp;Tabulka1[[#This Row],[VKPAL]]-MOD(AB473,AA473)&amp;" VK do plné palety.",VLOOKUP("Zvažte možnost doobjednání ještě ",Jazyky_ceník!A:Q,MATCH($W$17,Jazyky_ceník!$A$1:$Q$1,0),FALSE)&amp;Tabulka1[[#This Row],[VKPAL]]-MOD(AB473,AA473)&amp;VLOOKUP(" VK do plné palety.",Jazyky_ceník!A:Q,MATCH($W$17,Jazyky_ceník!$A$1:$Q$1,0),FALSE)),IFERROR(IF(AND(NOT(MOD($AB473,$AA473)=0),$AB473&gt;=0.9*$AA473,MOD($AB473,$AA473)&lt;=0.1*$AA473),IF($W$17=$AF$1,"Zvažte možnost optimalizace objednaného množství podle počtu VK na paletě ==&gt;",VLOOKUP("Zvažte možnost optimalizace objednaného množství podle počtu VK na paletě ==&gt;",Jazyky_ceník!A:Q,MATCH($W$17,Jazyky_ceník!$A$1:$Q$1,0),FALSE)),VLOOKUP('General price list'!$C473,Popisy!A:M,MATCH($W$17,Popisy!$A$7:$M$7,0),FALSE)),"---------------")),IFERROR(VLOOKUP('General price list'!$C473,Popisy!A:M,MATCH($W$17,Popisy!$A$7:$M$7,0),FALSE),"---------------"))</f>
        <v>13 různobarevných efektů</v>
      </c>
      <c r="X473" s="645" t="str">
        <f t="shared" si="1364"/>
        <v/>
      </c>
      <c r="Y473" s="645" t="str">
        <f t="shared" si="1365"/>
        <v/>
      </c>
      <c r="Z473" s="645" t="str">
        <f>HYPERLINK("https://www.klasekpyrotechnics.cz/c13020b")</f>
        <v>https://www.klasekpyrotechnics.cz/c13020b</v>
      </c>
      <c r="AA473" s="645">
        <f>IFERROR(IF(VLOOKUP(C473,[4]List1!$A:$D,4,FALSE)=0,"",VLOOKUP(C473,[4]List1!$A:$D,4,FALSE)),"")</f>
        <v>36</v>
      </c>
      <c r="AB473" s="646"/>
      <c r="AC473" s="647" t="str">
        <f>IFERROR(IF(VLOOKUP(C473,[1]List1!$A:$D,2,FALSE)="VYPRODÁNO",$V$9,IF(VLOOKUP(C473,[1]List1!$A:$D,2,FALSE)="DOCHÁZÍ",$V$3,VLOOKUP(C473,[1]List1!$A:$D,2,FALSE))),"OFFLINE!")</f>
        <v>31.08.2026</v>
      </c>
      <c r="AD473" s="647" t="str">
        <f ca="1">IF(AP473="NE",$V$10,IF(AC473=$V$3,IF(AQ473&lt;1,$V$8,$V$2&amp;" "&amp;AQ473&amp;" "&amp;$V$1),IF(AC473="SKLADEM",$V$6,IFERROR(IF(OR(AC473-TODAY()&gt;45,VLOOKUP(C473,[1]List1!$A:$E,4,FALSE)=0),AC473,DAY(AC473)&amp;"."&amp;MONTH(AC473)&amp;"."&amp;YEAR(AC473)&amp;" "&amp;$V$4&amp;VLOOKUP(C473,[1]List1!$A:$E,4,FALSE)&amp;" "&amp;$V$1),AC473))))</f>
        <v>31.08.2026</v>
      </c>
      <c r="AE473" s="645" t="str">
        <f t="shared" ca="1" si="1366"/>
        <v>31.08.2026</v>
      </c>
      <c r="AF473" s="648">
        <f t="shared" si="1367"/>
        <v>0</v>
      </c>
      <c r="AG473" s="649">
        <f t="shared" si="1368"/>
        <v>0</v>
      </c>
      <c r="AH473" s="650">
        <f t="shared" si="1369"/>
        <v>0</v>
      </c>
      <c r="AI473" s="645">
        <f t="shared" si="1370"/>
        <v>0</v>
      </c>
      <c r="AJ473" s="645">
        <f t="shared" si="1371"/>
        <v>0</v>
      </c>
      <c r="AK473" s="645" t="str">
        <f t="shared" si="1372"/>
        <v/>
      </c>
      <c r="AL473" s="645">
        <f t="shared" si="1373"/>
        <v>0</v>
      </c>
      <c r="AM473" s="645" t="str">
        <f t="shared" si="1374"/>
        <v/>
      </c>
      <c r="AN473" s="651">
        <f t="shared" si="1375"/>
        <v>0</v>
      </c>
      <c r="AO473" s="623"/>
      <c r="AP473" s="625" t="str">
        <f t="shared" si="1327"/>
        <v/>
      </c>
      <c r="AQ473" s="625" t="str">
        <f>IF(AC473=$V$3,IF(VLOOKUP(C473,[1]List1!$A:$E,5,FALSE)=0,1,VLOOKUP(C473,[1]List1!$A:$E,5,FALSE)),"")</f>
        <v/>
      </c>
      <c r="AR473" s="629" t="str">
        <f t="shared" si="1328"/>
        <v/>
      </c>
      <c r="AS473" s="630" t="str">
        <f t="shared" si="1312"/>
        <v/>
      </c>
      <c r="AT473" s="625" t="str">
        <f t="shared" si="1329"/>
        <v/>
      </c>
      <c r="AU473" s="625" t="e">
        <f t="shared" si="1330"/>
        <v>#N/A</v>
      </c>
      <c r="AV473" s="625" t="e">
        <f t="shared" si="1331"/>
        <v>#N/A</v>
      </c>
      <c r="AW473" s="631"/>
      <c r="AX473" s="631">
        <f>IF(AND('General price list'!$J473="F4",'General price list'!$AB473+0&gt;0),1,0)</f>
        <v>0</v>
      </c>
      <c r="AY473" s="631">
        <f t="shared" si="1332"/>
        <v>1</v>
      </c>
      <c r="AZ473" s="631">
        <f t="shared" si="1333"/>
        <v>0</v>
      </c>
    </row>
    <row r="474" spans="1:52" ht="15.75" customHeight="1">
      <c r="A474" s="751" t="str">
        <f>Kat.!C474</f>
        <v xml:space="preserve">           Baterie 134 ran, 20 mm I + V + W + šikmý moždíř – 1.3G</v>
      </c>
      <c r="B474" s="751"/>
      <c r="C474" s="751"/>
      <c r="D474" s="751"/>
      <c r="E474" s="751"/>
      <c r="F474" s="751"/>
      <c r="G474" s="751"/>
      <c r="H474" s="751"/>
      <c r="I474" s="752"/>
      <c r="J474" s="752"/>
      <c r="K474" s="752" t="s">
        <v>20</v>
      </c>
      <c r="L474" s="753" t="s">
        <v>20</v>
      </c>
      <c r="M474" s="752"/>
      <c r="N474" s="752"/>
      <c r="O474" s="752"/>
      <c r="P474" s="752"/>
      <c r="Q474" s="752"/>
      <c r="R474" s="752"/>
      <c r="S474" s="752"/>
      <c r="T474" s="752"/>
      <c r="U474" s="752"/>
      <c r="V474" s="752"/>
      <c r="W474" s="752"/>
      <c r="X474" s="752"/>
      <c r="Y474" s="752"/>
      <c r="Z474" s="752" t="s">
        <v>20</v>
      </c>
      <c r="AA474" s="752"/>
      <c r="AB474" s="752"/>
      <c r="AC474" s="754"/>
      <c r="AD474" s="752"/>
      <c r="AE474" s="752"/>
      <c r="AF474" s="752"/>
      <c r="AG474" s="752"/>
      <c r="AH474" s="752"/>
      <c r="AI474" s="752"/>
      <c r="AJ474" s="752"/>
      <c r="AK474" s="752"/>
      <c r="AL474" s="752"/>
      <c r="AM474" s="752"/>
      <c r="AN474" s="752"/>
      <c r="AO474" s="623"/>
      <c r="AP474" s="625" t="str">
        <f t="shared" si="1327"/>
        <v/>
      </c>
      <c r="AQ474" s="625" t="str">
        <f>IF(AC474=$V$3,IF(VLOOKUP(C474,[1]List1!$A:$E,5,FALSE)=0,1,VLOOKUP(C474,[1]List1!$A:$E,5,FALSE)),"")</f>
        <v/>
      </c>
      <c r="AR474" s="629" t="str">
        <f t="shared" si="1328"/>
        <v/>
      </c>
      <c r="AS474" s="630" t="str">
        <f t="shared" si="1312"/>
        <v/>
      </c>
      <c r="AT474" s="625" t="str">
        <f t="shared" si="1329"/>
        <v/>
      </c>
      <c r="AU474" s="625" t="e">
        <f t="shared" si="1330"/>
        <v>#N/A</v>
      </c>
      <c r="AV474" s="625" t="e">
        <f t="shared" si="1331"/>
        <v>#N/A</v>
      </c>
      <c r="AW474" s="631"/>
      <c r="AX474" s="631">
        <f>IF(AND('General price list'!$J474="F4",'General price list'!$AB474+0&gt;0),1,0)</f>
        <v>0</v>
      </c>
      <c r="AY474" s="631">
        <f t="shared" si="1332"/>
        <v>0</v>
      </c>
      <c r="AZ474" s="631">
        <f t="shared" si="1333"/>
        <v>0</v>
      </c>
    </row>
    <row r="475" spans="1:52" ht="15.75" customHeight="1">
      <c r="A475" s="639" t="str">
        <f>Kat.!C475</f>
        <v/>
      </c>
      <c r="B475" s="640">
        <f>IF(AND('General price list'!$J475="F4",$AI$1=FALSE),0,IF(AC475="SKLADEM",1,IF(AC475=$V$3,1,0)))</f>
        <v>1</v>
      </c>
      <c r="C475" s="641" t="s">
        <v>1078</v>
      </c>
      <c r="D475" s="642" t="s">
        <v>1079</v>
      </c>
      <c r="E475" s="643" t="s">
        <v>12747</v>
      </c>
      <c r="F475" s="773">
        <f>IFERROR(VLOOKUP(C475,[2]List1!$A:$D,3,FALSE),"NEUVEDENO!")</f>
        <v>1367</v>
      </c>
      <c r="G475" s="770">
        <f t="shared" ref="G475" si="1376">IF($W$17=$AF$8,ROUND((F475)/$F$17,2),(F475)*$B$19)</f>
        <v>1367</v>
      </c>
      <c r="H475" s="767">
        <f t="shared" ref="H475" si="1377">IF($W$17=$AF$8,G475*$B$19,G475/$F$17)</f>
        <v>58.068161061623613</v>
      </c>
      <c r="I475" s="644">
        <f>IFERROR(VLOOKUP(C475,[2]List1!$A:$D,4,FALSE),"NEUVEDENO!")</f>
        <v>2</v>
      </c>
      <c r="J475" s="733" t="s">
        <v>113</v>
      </c>
      <c r="K475" s="645" t="s">
        <v>20</v>
      </c>
      <c r="L475" s="645" t="s">
        <v>20</v>
      </c>
      <c r="M475" s="645" t="s">
        <v>114</v>
      </c>
      <c r="N475" s="645">
        <f>IFERROR(VLOOKUP(C475,[3]List1!$A:$D,4,FALSE),"N/A!")</f>
        <v>4.648E-2</v>
      </c>
      <c r="O475" s="645">
        <f>IFERROR(VLOOKUP(C475,[3]List1!$A:$D,3,FALSE),"N/A!")</f>
        <v>1998</v>
      </c>
      <c r="P475" s="645">
        <f>IFERROR(VLOOKUP(C475,[3]List1!$A:$D,2,FALSE),"N/A!")</f>
        <v>13500</v>
      </c>
      <c r="Q475" s="645" t="s">
        <v>12775</v>
      </c>
      <c r="R475" s="645"/>
      <c r="S475" s="645" t="str">
        <f>IF($W$17=$AF$1,"červená fólie",IFERROR(VLOOKUP("červená fólie",Jazyky_ceník!$A:$Q,MATCH($W$17,Jazyky_ceník!$A$1:$Q$1,0),FALSE),"!!!"))</f>
        <v>červená fólie</v>
      </c>
      <c r="T475" s="645">
        <v>70</v>
      </c>
      <c r="U475" s="645">
        <v>25</v>
      </c>
      <c r="V475" s="645">
        <v>16</v>
      </c>
      <c r="W475" s="645" t="str">
        <f>IFERROR(IF(AND($AB475&gt;=0.1*$AA475,MOD($AB475,$AA475)&gt;=($AA475-(0.1*$AA475))),IF($W$17=$AF$1,"Zvažte možnost doobjednání ještě "&amp;Tabulka1[[#This Row],[VKPAL]]-MOD(AB475,AA475)&amp;" VK do plné palety.",VLOOKUP("Zvažte možnost doobjednání ještě ",Jazyky_ceník!A:Q,MATCH($W$17,Jazyky_ceník!$A$1:$Q$1,0),FALSE)&amp;Tabulka1[[#This Row],[VKPAL]]-MOD(AB475,AA475)&amp;VLOOKUP(" VK do plné palety.",Jazyky_ceník!A:Q,MATCH($W$17,Jazyky_ceník!$A$1:$Q$1,0),FALSE)),IFERROR(IF(AND(NOT(MOD($AB475,$AA475)=0),$AB475&gt;=0.9*$AA475,MOD($AB475,$AA475)&lt;=0.1*$AA475),IF($W$17=$AF$1,"Zvažte možnost optimalizace objednaného množství podle počtu VK na paletě ==&gt;",VLOOKUP("Zvažte možnost optimalizace objednaného množství podle počtu VK na paletě ==&gt;",Jazyky_ceník!A:Q,MATCH($W$17,Jazyky_ceník!$A$1:$Q$1,0),FALSE)),VLOOKUP('General price list'!$C475,Popisy!A:M,MATCH($W$17,Popisy!$A$7:$M$7,0),FALSE)),"---------------")),IFERROR(VLOOKUP('General price list'!$C475,Popisy!A:M,MATCH($W$17,Popisy!$A$7:$M$7,0),FALSE),"---------------"))</f>
        <v>16 různobarevných efektů, 64ran(rovný moždíř), 40ran(šikmý moždíř), 18ran(W moždíř), 12ran(v moždíř)</v>
      </c>
      <c r="X475" s="645" t="str">
        <f t="shared" ref="X475" si="1378">IF(AB475&lt;0.0001,"",AB475)</f>
        <v/>
      </c>
      <c r="Y475" s="645" t="str">
        <f t="shared" ref="Y475" si="1379">IF($AL$3=2,IF(OR(AB475&lt;&gt;"",AB475&lt;&gt;0),AU475,""),IF(C475="","",IF(AB475&lt;0.0001,"",IF(B475=0,"",IF(AQ475&lt;AB475,"",AB475)))))</f>
        <v/>
      </c>
      <c r="Z475" s="645" t="str">
        <f>HYPERLINK("https://www.klasekpyrotechnics.cz/c13420h")</f>
        <v>https://www.klasekpyrotechnics.cz/c13420h</v>
      </c>
      <c r="AA475" s="645">
        <f>IFERROR(IF(VLOOKUP(C475,[4]List1!$A:$D,4,FALSE)=0,"",VLOOKUP(C475,[4]List1!$A:$D,4,FALSE)),"")</f>
        <v>20</v>
      </c>
      <c r="AB475" s="646"/>
      <c r="AC475" s="647" t="str">
        <f>IFERROR(IF(VLOOKUP(C475,[1]List1!$A:$D,2,FALSE)="VYPRODÁNO",$V$9,IF(VLOOKUP(C475,[1]List1!$A:$D,2,FALSE)="DOCHÁZÍ",$V$3,VLOOKUP(C475,[1]List1!$A:$D,2,FALSE))),"OFFLINE!")</f>
        <v>SKLADEM</v>
      </c>
      <c r="AD475" s="647" t="str">
        <f ca="1">IF(AP475="NE",$V$10,IF(AC475=$V$3,IF(AQ475&lt;1,$V$8,$V$2&amp;" "&amp;AQ475&amp;" "&amp;$V$1),IF(AC475="SKLADEM",$V$6,IFERROR(IF(OR(AC475-TODAY()&gt;45,VLOOKUP(C475,[1]List1!$A:$E,4,FALSE)=0),AC475,DAY(AC475)&amp;"."&amp;MONTH(AC475)&amp;"."&amp;YEAR(AC475)&amp;" "&amp;$V$4&amp;VLOOKUP(C475,[1]List1!$A:$E,4,FALSE)&amp;" "&amp;$V$1),AC475))))</f>
        <v>SKLADEM</v>
      </c>
      <c r="AE475" s="645" t="str">
        <f t="shared" ref="AE475" ca="1" si="1380">IFERROR(IF(AV475&lt;&gt;"",AV475,AD475),AD475)</f>
        <v>SKLADEM</v>
      </c>
      <c r="AF475" s="648">
        <f t="shared" ref="AF475" si="1381">IFERROR(IF(AB475=Y475,G475*I475*Y475,0),0)</f>
        <v>0</v>
      </c>
      <c r="AG475" s="649">
        <f t="shared" ref="AG475" si="1382">IF($W$17=$AF$8,AH475*1.23,AF475*1.21)</f>
        <v>0</v>
      </c>
      <c r="AH475" s="650">
        <f t="shared" ref="AH475" si="1383">IFERROR(IF(Y475=AB475,H475*I475*Y475,0),0)</f>
        <v>0</v>
      </c>
      <c r="AI475" s="645">
        <f t="shared" ref="AI475" si="1384">IFERROR(IF(Y475=AB475,(P475*Y475)/1000,1),0)</f>
        <v>0</v>
      </c>
      <c r="AJ475" s="645">
        <f t="shared" ref="AJ475" si="1385">IFERROR(IF(Y475=AB475,N475*Y475,0.1),0)</f>
        <v>0</v>
      </c>
      <c r="AK475" s="645" t="str">
        <f t="shared" ref="AK475" si="1386">IFERROR(IF(Y475=AB475,IF(M475="1.1G",(O475/1000)*Y475,""),""),0)</f>
        <v/>
      </c>
      <c r="AL475" s="645">
        <f t="shared" ref="AL475" si="1387">IFERROR(IF(Y475=AB475,IF(M475="1.3G",(O475/1000)*AB475,""),""),0)</f>
        <v>0</v>
      </c>
      <c r="AM475" s="645" t="str">
        <f t="shared" ref="AM475" si="1388">IFERROR(IF(Y475=AB475,IF(M475="1.4G",(O475/1000)*AB475,""),""),0)</f>
        <v/>
      </c>
      <c r="AN475" s="651">
        <f t="shared" ref="AN475" si="1389">SUM(AK475:AM475)</f>
        <v>0</v>
      </c>
      <c r="AO475" s="623"/>
      <c r="AP475" s="625" t="str">
        <f t="shared" si="1327"/>
        <v/>
      </c>
      <c r="AQ475" s="625" t="str">
        <f>IF(AC475=$V$3,IF(VLOOKUP(C475,[1]List1!$A:$E,5,FALSE)=0,1,VLOOKUP(C475,[1]List1!$A:$E,5,FALSE)),"")</f>
        <v/>
      </c>
      <c r="AR475" s="629" t="str">
        <f t="shared" si="1328"/>
        <v/>
      </c>
      <c r="AS475" s="630" t="str">
        <f t="shared" si="1312"/>
        <v/>
      </c>
      <c r="AT475" s="625" t="str">
        <f t="shared" si="1329"/>
        <v/>
      </c>
      <c r="AU475" s="625" t="e">
        <f t="shared" si="1330"/>
        <v>#N/A</v>
      </c>
      <c r="AV475" s="625" t="e">
        <f t="shared" si="1331"/>
        <v>#N/A</v>
      </c>
      <c r="AW475" s="631"/>
      <c r="AX475" s="631">
        <f>IF(AND('General price list'!$J475="F4",'General price list'!$AB475+0&gt;0),1,0)</f>
        <v>0</v>
      </c>
      <c r="AY475" s="631">
        <f t="shared" si="1332"/>
        <v>1</v>
      </c>
      <c r="AZ475" s="631">
        <f t="shared" si="1333"/>
        <v>0</v>
      </c>
    </row>
    <row r="476" spans="1:52" ht="15" customHeight="1">
      <c r="A476" s="751" t="str">
        <f>Kat.!C476</f>
        <v xml:space="preserve">           Baterie 200 ran, 20 mm moždíř – 1.3G</v>
      </c>
      <c r="B476" s="751"/>
      <c r="C476" s="751"/>
      <c r="D476" s="751"/>
      <c r="E476" s="751"/>
      <c r="F476" s="751"/>
      <c r="G476" s="751"/>
      <c r="H476" s="751"/>
      <c r="I476" s="752"/>
      <c r="J476" s="752"/>
      <c r="K476" s="752" t="s">
        <v>20</v>
      </c>
      <c r="L476" s="753" t="s">
        <v>20</v>
      </c>
      <c r="M476" s="752"/>
      <c r="N476" s="752"/>
      <c r="O476" s="752"/>
      <c r="P476" s="752"/>
      <c r="Q476" s="752"/>
      <c r="R476" s="752"/>
      <c r="S476" s="752"/>
      <c r="T476" s="752"/>
      <c r="U476" s="752"/>
      <c r="V476" s="752"/>
      <c r="W476" s="752"/>
      <c r="X476" s="752"/>
      <c r="Y476" s="752"/>
      <c r="Z476" s="752" t="s">
        <v>20</v>
      </c>
      <c r="AA476" s="752"/>
      <c r="AB476" s="752"/>
      <c r="AC476" s="754"/>
      <c r="AD476" s="752"/>
      <c r="AE476" s="752"/>
      <c r="AF476" s="752"/>
      <c r="AG476" s="752"/>
      <c r="AH476" s="752"/>
      <c r="AI476" s="752"/>
      <c r="AJ476" s="752"/>
      <c r="AK476" s="752"/>
      <c r="AL476" s="752"/>
      <c r="AM476" s="752"/>
      <c r="AN476" s="752"/>
      <c r="AO476" s="623"/>
      <c r="AP476" s="632" t="str">
        <f t="shared" si="1327"/>
        <v/>
      </c>
      <c r="AQ476" s="633" t="str">
        <f>IF(AC476=$V$3,IF(VLOOKUP(C476,[1]List1!$A:$E,5,FALSE)=0,1,VLOOKUP(C476,[1]List1!$A:$E,5,FALSE)),"")</f>
        <v/>
      </c>
      <c r="AR476" s="625" t="str">
        <f t="shared" si="1328"/>
        <v/>
      </c>
      <c r="AS476" s="634" t="str">
        <f t="shared" si="1312"/>
        <v/>
      </c>
      <c r="AT476" s="625" t="str">
        <f t="shared" si="1329"/>
        <v/>
      </c>
      <c r="AU476" s="638" t="e">
        <f t="shared" si="1330"/>
        <v>#N/A</v>
      </c>
      <c r="AV476" s="625" t="e">
        <f t="shared" si="1331"/>
        <v>#N/A</v>
      </c>
      <c r="AX476" s="625">
        <f>IF(AND('General price list'!$J476="F4",'General price list'!$AB476+0&gt;0),1,0)</f>
        <v>0</v>
      </c>
      <c r="AY476" s="625">
        <f t="shared" si="1332"/>
        <v>0</v>
      </c>
      <c r="AZ476" s="625">
        <f t="shared" si="1333"/>
        <v>0</v>
      </c>
    </row>
    <row r="477" spans="1:52" ht="15.75" customHeight="1">
      <c r="A477" s="639" t="str">
        <f>Kat.!C477</f>
        <v/>
      </c>
      <c r="B477" s="640">
        <f>IF(AND('General price list'!$J477="F4",$AI$1=FALSE),0,IF(AC477="SKLADEM",1,IF(AC477=$V$3,1,0)))</f>
        <v>1</v>
      </c>
      <c r="C477" s="641" t="s">
        <v>4829</v>
      </c>
      <c r="D477" s="642" t="s">
        <v>12409</v>
      </c>
      <c r="E477" s="643" t="s">
        <v>12747</v>
      </c>
      <c r="F477" s="791">
        <f>IFERROR(VLOOKUP(C477,[2]List1!$A:$D,3,FALSE),"NEUVEDENO!")</f>
        <v>1449</v>
      </c>
      <c r="G477" s="768">
        <f t="shared" ref="G477:G478" si="1390">IF($W$17=$AF$8,ROUND((F477)/$F$17,2),(F477)*$B$19)</f>
        <v>1449</v>
      </c>
      <c r="H477" s="765">
        <f t="shared" ref="H477:H478" si="1391">IF($W$17=$AF$8,G477*$B$19,G477/$F$17)</f>
        <v>61.551401154566655</v>
      </c>
      <c r="I477" s="644">
        <f>IFERROR(VLOOKUP(C477,[2]List1!$A:$D,4,FALSE),"NEUVEDENO!")</f>
        <v>2</v>
      </c>
      <c r="J477" s="733" t="s">
        <v>113</v>
      </c>
      <c r="K477" s="645" t="s">
        <v>11100</v>
      </c>
      <c r="L477" s="645" t="s">
        <v>20</v>
      </c>
      <c r="M477" s="645" t="s">
        <v>114</v>
      </c>
      <c r="N477" s="645">
        <f>IFERROR(VLOOKUP(C477,[3]List1!$A:$D,4,FALSE),"N/A!")</f>
        <v>3.4476E-2</v>
      </c>
      <c r="O477" s="645">
        <f>IFERROR(VLOOKUP(C477,[3]List1!$A:$D,3,FALSE),"N/A!")</f>
        <v>2000</v>
      </c>
      <c r="P477" s="645">
        <f>IFERROR(VLOOKUP(C477,[3]List1!$A:$D,2,FALSE),"N/A!")</f>
        <v>18500</v>
      </c>
      <c r="Q477" s="645" t="s">
        <v>12776</v>
      </c>
      <c r="R477" s="645"/>
      <c r="S477" s="645" t="str">
        <f>IF($W$17=$AF$1,"design",IFERROR(VLOOKUP("design",Jazyky_ceník!$A:$Q,MATCH($W$17,Jazyky_ceník!$A$1:$Q$1,0),FALSE),"!!!"))</f>
        <v>design</v>
      </c>
      <c r="T477" s="645">
        <v>160</v>
      </c>
      <c r="U477" s="645">
        <v>25</v>
      </c>
      <c r="V477" s="645">
        <v>15</v>
      </c>
      <c r="W477" s="645" t="str">
        <f>IFERROR(IF(AND($AB477&gt;=0.1*$AA477,MOD($AB477,$AA477)&gt;=($AA477-(0.1*$AA477))),IF($W$17=$AF$1,"Zvažte možnost doobjednání ještě "&amp;Tabulka1[[#This Row],[VKPAL]]-MOD(AB477,AA477)&amp;" VK do plné palety.",VLOOKUP("Zvažte možnost doobjednání ještě ",Jazyky_ceník!A:Q,MATCH($W$17,Jazyky_ceník!$A$1:$Q$1,0),FALSE)&amp;Tabulka1[[#This Row],[VKPAL]]-MOD(AB477,AA477)&amp;VLOOKUP(" VK do plné palety.",Jazyky_ceník!A:Q,MATCH($W$17,Jazyky_ceník!$A$1:$Q$1,0),FALSE)),IFERROR(IF(AND(NOT(MOD($AB477,$AA477)=0),$AB477&gt;=0.9*$AA477,MOD($AB477,$AA477)&lt;=0.1*$AA477),IF($W$17=$AF$1,"Zvažte možnost optimalizace objednaného množství podle počtu VK na paletě ==&gt;",VLOOKUP("Zvažte možnost optimalizace objednaného množství podle počtu VK na paletě ==&gt;",Jazyky_ceník!A:Q,MATCH($W$17,Jazyky_ceník!$A$1:$Q$1,0),FALSE)),VLOOKUP('General price list'!$C477,Popisy!A:M,MATCH($W$17,Popisy!$A$7:$M$7,0),FALSE)),"---------------")),IFERROR(VLOOKUP('General price list'!$C477,Popisy!A:M,MATCH($W$17,Popisy!$A$7:$M$7,0),FALSE),"---------------"))</f>
        <v>20 různobarevných efektů</v>
      </c>
      <c r="X477" s="645" t="str">
        <f t="shared" ref="X477:X478" si="1392">IF(AB477&lt;0.0001,"",AB477)</f>
        <v/>
      </c>
      <c r="Y477" s="645" t="str">
        <f t="shared" ref="Y477:Y478" si="1393">IF($AL$3=2,IF(OR(AB477&lt;&gt;"",AB477&lt;&gt;0),AU477,""),IF(C477="","",IF(AB477&lt;0.0001,"",IF(B477=0,"",IF(AQ477&lt;AB477,"",AB477)))))</f>
        <v/>
      </c>
      <c r="Z477" s="645" t="str">
        <f>HYPERLINK("https://www.klasekpyrotechnics.cz/c20020bps")</f>
        <v>https://www.klasekpyrotechnics.cz/c20020bps</v>
      </c>
      <c r="AA477" s="645">
        <f>IFERROR(IF(VLOOKUP(C477,[4]List1!$A:$D,4,FALSE)=0,"",VLOOKUP(C477,[4]List1!$A:$D,4,FALSE)),"")</f>
        <v>20</v>
      </c>
      <c r="AB477" s="646"/>
      <c r="AC477" s="647" t="str">
        <f>IFERROR(IF(VLOOKUP(C477,[1]List1!$A:$D,2,FALSE)="VYPRODÁNO",$V$9,IF(VLOOKUP(C477,[1]List1!$A:$D,2,FALSE)="DOCHÁZÍ",$V$3,VLOOKUP(C477,[1]List1!$A:$D,2,FALSE))),"OFFLINE!")</f>
        <v>SKLADEM</v>
      </c>
      <c r="AD477" s="647" t="str">
        <f ca="1">IF(AP477="NE",$V$10,IF(AC477=$V$3,IF(AQ477&lt;1,$V$8,$V$2&amp;" "&amp;AQ477&amp;" "&amp;$V$1),IF(AC477="SKLADEM",$V$6,IFERROR(IF(OR(AC477-TODAY()&gt;45,VLOOKUP(C477,[1]List1!$A:$E,4,FALSE)=0),AC477,DAY(AC477)&amp;"."&amp;MONTH(AC477)&amp;"."&amp;YEAR(AC477)&amp;" "&amp;$V$4&amp;VLOOKUP(C477,[1]List1!$A:$E,4,FALSE)&amp;" "&amp;$V$1),AC477))))</f>
        <v>SKLADEM</v>
      </c>
      <c r="AE477" s="645" t="str">
        <f t="shared" ref="AE477:AE478" ca="1" si="1394">IFERROR(IF(AV477&lt;&gt;"",AV477,AD477),AD477)</f>
        <v>SKLADEM</v>
      </c>
      <c r="AF477" s="648">
        <f t="shared" ref="AF477:AF478" si="1395">IFERROR(IF(AB477=Y477,G477*I477*Y477,0),0)</f>
        <v>0</v>
      </c>
      <c r="AG477" s="649">
        <f t="shared" ref="AG477:AG478" si="1396">IF($W$17=$AF$8,AH477*1.23,AF477*1.21)</f>
        <v>0</v>
      </c>
      <c r="AH477" s="650">
        <f t="shared" ref="AH477:AH478" si="1397">IFERROR(IF(Y477=AB477,H477*I477*Y477,0),0)</f>
        <v>0</v>
      </c>
      <c r="AI477" s="645">
        <f t="shared" ref="AI477:AI478" si="1398">IFERROR(IF(Y477=AB477,(P477*Y477)/1000,1),0)</f>
        <v>0</v>
      </c>
      <c r="AJ477" s="645">
        <f t="shared" ref="AJ477:AJ478" si="1399">IFERROR(IF(Y477=AB477,N477*Y477,0.1),0)</f>
        <v>0</v>
      </c>
      <c r="AK477" s="645" t="str">
        <f t="shared" ref="AK477:AK478" si="1400">IFERROR(IF(Y477=AB477,IF(M477="1.1G",(O477/1000)*Y477,""),""),0)</f>
        <v/>
      </c>
      <c r="AL477" s="645">
        <f t="shared" ref="AL477:AL478" si="1401">IFERROR(IF(Y477=AB477,IF(M477="1.3G",(O477/1000)*AB477,""),""),0)</f>
        <v>0</v>
      </c>
      <c r="AM477" s="645" t="str">
        <f t="shared" ref="AM477:AM478" si="1402">IFERROR(IF(Y477=AB477,IF(M477="1.4G",(O477/1000)*AB477,""),""),0)</f>
        <v/>
      </c>
      <c r="AN477" s="651">
        <f t="shared" ref="AN477:AN478" si="1403">SUM(AK477:AM477)</f>
        <v>0</v>
      </c>
      <c r="AO477" s="623"/>
      <c r="AP477" s="625" t="str">
        <f t="shared" si="1327"/>
        <v/>
      </c>
      <c r="AQ477" s="625" t="str">
        <f>IF(AC477=$V$3,IF(VLOOKUP(C477,[1]List1!$A:$E,5,FALSE)=0,1,VLOOKUP(C477,[1]List1!$A:$E,5,FALSE)),"")</f>
        <v/>
      </c>
      <c r="AR477" s="629" t="str">
        <f t="shared" si="1328"/>
        <v/>
      </c>
      <c r="AS477" s="630" t="str">
        <f t="shared" si="1312"/>
        <v/>
      </c>
      <c r="AT477" s="625" t="str">
        <f t="shared" si="1329"/>
        <v/>
      </c>
      <c r="AU477" s="625" t="e">
        <f t="shared" si="1330"/>
        <v>#N/A</v>
      </c>
      <c r="AV477" s="625" t="e">
        <f t="shared" si="1331"/>
        <v>#N/A</v>
      </c>
      <c r="AW477" s="631"/>
      <c r="AX477" s="631">
        <f>IF(AND('General price list'!$J477="F4",'General price list'!$AB477+0&gt;0),1,0)</f>
        <v>0</v>
      </c>
      <c r="AY477" s="631">
        <f t="shared" si="1332"/>
        <v>1</v>
      </c>
      <c r="AZ477" s="631">
        <f t="shared" si="1333"/>
        <v>0</v>
      </c>
    </row>
    <row r="478" spans="1:52" ht="15.75" customHeight="1">
      <c r="A478" s="621" t="str">
        <f>Kat.!C478</f>
        <v/>
      </c>
      <c r="B478" s="566">
        <f>IF(AND('General price list'!$J478="F4",$AI$1=FALSE),0,IF(AC478="SKLADEM",1,IF(AC478=$V$3,1,0)))</f>
        <v>1</v>
      </c>
      <c r="C478" s="567" t="s">
        <v>2275</v>
      </c>
      <c r="D478" s="568" t="s">
        <v>11725</v>
      </c>
      <c r="E478" s="763" t="s">
        <v>12747</v>
      </c>
      <c r="F478" s="791">
        <f>IFERROR(VLOOKUP(C478,[2]List1!$A:$D,3,FALSE),"NEUVEDENO!")</f>
        <v>1499</v>
      </c>
      <c r="G478" s="769">
        <f t="shared" si="1390"/>
        <v>1499</v>
      </c>
      <c r="H478" s="766">
        <f t="shared" si="1391"/>
        <v>63.675328040507537</v>
      </c>
      <c r="I478" s="764">
        <f>IFERROR(VLOOKUP(C478,[2]List1!$A:$D,4,FALSE),"NEUVEDENO!")</f>
        <v>2</v>
      </c>
      <c r="J478" s="732" t="s">
        <v>113</v>
      </c>
      <c r="K478" s="569" t="s">
        <v>11100</v>
      </c>
      <c r="L478" s="569" t="s">
        <v>20</v>
      </c>
      <c r="M478" s="569" t="s">
        <v>114</v>
      </c>
      <c r="N478" s="569">
        <f>IFERROR(VLOOKUP(C478,[3]List1!$A:$D,4,FALSE),"N/A!")</f>
        <v>3.4476E-2</v>
      </c>
      <c r="O478" s="569">
        <f>IFERROR(VLOOKUP(C478,[3]List1!$A:$D,3,FALSE),"N/A!")</f>
        <v>2000</v>
      </c>
      <c r="P478" s="569">
        <f>IFERROR(VLOOKUP(C478,[3]List1!$A:$D,2,FALSE),"N/A!")</f>
        <v>18500</v>
      </c>
      <c r="Q478" s="569" t="s">
        <v>11776</v>
      </c>
      <c r="R478" s="569"/>
      <c r="S478" s="569" t="str">
        <f>IF($W$17=$AF$1,"design",IFERROR(VLOOKUP("design",Jazyky_ceník!$A:$Q,MATCH($W$17,Jazyky_ceník!$A$1:$Q$1,0),FALSE),"!!!"))</f>
        <v>design</v>
      </c>
      <c r="T478" s="569">
        <v>120</v>
      </c>
      <c r="U478" s="569">
        <v>25</v>
      </c>
      <c r="V478" s="569">
        <v>16</v>
      </c>
      <c r="W478" s="569" t="str">
        <f>IFERROR(IF(AND($AB478&gt;=0.1*$AA478,MOD($AB478,$AA478)&gt;=($AA478-(0.1*$AA478))),IF($W$17=$AF$1,"Zvažte možnost doobjednání ještě "&amp;Tabulka1[[#This Row],[VKPAL]]-MOD(AB478,AA478)&amp;" VK do plné palety.",VLOOKUP("Zvažte možnost doobjednání ještě ",Jazyky_ceník!A:Q,MATCH($W$17,Jazyky_ceník!$A$1:$Q$1,0),FALSE)&amp;Tabulka1[[#This Row],[VKPAL]]-MOD(AB478,AA478)&amp;VLOOKUP(" VK do plné palety.",Jazyky_ceník!A:Q,MATCH($W$17,Jazyky_ceník!$A$1:$Q$1,0),FALSE)),IFERROR(IF(AND(NOT(MOD($AB478,$AA478)=0),$AB478&gt;=0.9*$AA478,MOD($AB478,$AA478)&lt;=0.1*$AA478),IF($W$17=$AF$1,"Zvažte možnost optimalizace objednaného množství podle počtu VK na paletě ==&gt;",VLOOKUP("Zvažte možnost optimalizace objednaného množství podle počtu VK na paletě ==&gt;",Jazyky_ceník!A:Q,MATCH($W$17,Jazyky_ceník!$A$1:$Q$1,0),FALSE)),VLOOKUP('General price list'!$C478,Popisy!A:M,MATCH($W$17,Popisy!$A$7:$M$7,0),FALSE)),"---------------")),IFERROR(VLOOKUP('General price list'!$C478,Popisy!A:M,MATCH($W$17,Popisy!$A$7:$M$7,0),FALSE),"---------------"))</f>
        <v>20 různobarevných efektů</v>
      </c>
      <c r="X478" s="569" t="str">
        <f t="shared" si="1392"/>
        <v/>
      </c>
      <c r="Y478" s="569" t="str">
        <f t="shared" si="1393"/>
        <v/>
      </c>
      <c r="Z478" s="569" t="str">
        <f>HYPERLINK("https://www.klasekpyrotechnics.cz/c20020pr")</f>
        <v>https://www.klasekpyrotechnics.cz/c20020pr</v>
      </c>
      <c r="AA478" s="569">
        <f>IFERROR(IF(VLOOKUP(C478,[4]List1!$A:$D,4,FALSE)=0,"",VLOOKUP(C478,[4]List1!$A:$D,4,FALSE)),"")</f>
        <v>20</v>
      </c>
      <c r="AB478" s="565"/>
      <c r="AC478" s="570" t="str">
        <f>IFERROR(IF(VLOOKUP(C478,[1]List1!$A:$D,2,FALSE)="VYPRODÁNO",$V$9,IF(VLOOKUP(C478,[1]List1!$A:$D,2,FALSE)="DOCHÁZÍ",$V$3,VLOOKUP(C478,[1]List1!$A:$D,2,FALSE))),"OFFLINE!")</f>
        <v>SKLADEM</v>
      </c>
      <c r="AD478" s="570" t="str">
        <f ca="1">IF(AP478="NE",$V$10,IF(AC478=$V$3,IF(AQ478&lt;1,$V$8,$V$2&amp;" "&amp;AQ478&amp;" "&amp;$V$1),IF(AC478="SKLADEM",$V$6,IFERROR(IF(OR(AC478-TODAY()&gt;45,VLOOKUP(C478,[1]List1!$A:$E,4,FALSE)=0),AC478,DAY(AC478)&amp;"."&amp;MONTH(AC478)&amp;"."&amp;YEAR(AC478)&amp;" "&amp;$V$4&amp;VLOOKUP(C478,[1]List1!$A:$E,4,FALSE)&amp;" "&amp;$V$1),AC478))))</f>
        <v>SKLADEM</v>
      </c>
      <c r="AE478" s="581" t="str">
        <f t="shared" ca="1" si="1394"/>
        <v>SKLADEM</v>
      </c>
      <c r="AF478" s="584">
        <f t="shared" si="1395"/>
        <v>0</v>
      </c>
      <c r="AG478" s="585">
        <f t="shared" si="1396"/>
        <v>0</v>
      </c>
      <c r="AH478" s="583">
        <f t="shared" si="1397"/>
        <v>0</v>
      </c>
      <c r="AI478" s="582">
        <f t="shared" si="1398"/>
        <v>0</v>
      </c>
      <c r="AJ478" s="569">
        <f t="shared" si="1399"/>
        <v>0</v>
      </c>
      <c r="AK478" s="569" t="str">
        <f t="shared" si="1400"/>
        <v/>
      </c>
      <c r="AL478" s="569">
        <f t="shared" si="1401"/>
        <v>0</v>
      </c>
      <c r="AM478" s="569" t="str">
        <f t="shared" si="1402"/>
        <v/>
      </c>
      <c r="AN478" s="581">
        <f t="shared" si="1403"/>
        <v>0</v>
      </c>
      <c r="AO478" s="623"/>
      <c r="AP478" s="625" t="str">
        <f t="shared" si="1327"/>
        <v/>
      </c>
      <c r="AQ478" s="625" t="str">
        <f>IF(AC478=$V$3,IF(VLOOKUP(C478,[1]List1!$A:$E,5,FALSE)=0,1,VLOOKUP(C478,[1]List1!$A:$E,5,FALSE)),"")</f>
        <v/>
      </c>
      <c r="AR478" s="629" t="str">
        <f t="shared" si="1328"/>
        <v/>
      </c>
      <c r="AS478" s="630" t="str">
        <f t="shared" si="1312"/>
        <v/>
      </c>
      <c r="AT478" s="625" t="str">
        <f t="shared" si="1329"/>
        <v/>
      </c>
      <c r="AU478" s="625" t="e">
        <f t="shared" si="1330"/>
        <v>#N/A</v>
      </c>
      <c r="AV478" s="625" t="e">
        <f t="shared" si="1331"/>
        <v>#N/A</v>
      </c>
      <c r="AW478" s="631"/>
      <c r="AX478" s="631">
        <f>IF(AND('General price list'!$J478="F4",'General price list'!$AB478+0&gt;0),1,0)</f>
        <v>0</v>
      </c>
      <c r="AY478" s="631">
        <f t="shared" si="1332"/>
        <v>1</v>
      </c>
      <c r="AZ478" s="631">
        <f t="shared" si="1333"/>
        <v>0</v>
      </c>
    </row>
    <row r="479" spans="1:52" ht="15" customHeight="1">
      <c r="A479" s="751" t="str">
        <f>Kat.!C479</f>
        <v xml:space="preserve">           Baterie 200 ran, 20 mm moždíř (všechny směry) – 1.3G</v>
      </c>
      <c r="B479" s="751"/>
      <c r="C479" s="751"/>
      <c r="D479" s="751"/>
      <c r="E479" s="751"/>
      <c r="F479" s="751"/>
      <c r="G479" s="751"/>
      <c r="H479" s="751"/>
      <c r="I479" s="752"/>
      <c r="J479" s="752"/>
      <c r="K479" s="752" t="s">
        <v>20</v>
      </c>
      <c r="L479" s="753" t="s">
        <v>20</v>
      </c>
      <c r="M479" s="752"/>
      <c r="N479" s="752"/>
      <c r="O479" s="752"/>
      <c r="P479" s="752"/>
      <c r="Q479" s="752"/>
      <c r="R479" s="752"/>
      <c r="S479" s="752"/>
      <c r="T479" s="752"/>
      <c r="U479" s="752"/>
      <c r="V479" s="752"/>
      <c r="W479" s="752"/>
      <c r="X479" s="752"/>
      <c r="Y479" s="752"/>
      <c r="Z479" s="752" t="s">
        <v>20</v>
      </c>
      <c r="AA479" s="752"/>
      <c r="AB479" s="752"/>
      <c r="AC479" s="754"/>
      <c r="AD479" s="752"/>
      <c r="AE479" s="752"/>
      <c r="AF479" s="752"/>
      <c r="AG479" s="752"/>
      <c r="AH479" s="752"/>
      <c r="AI479" s="752"/>
      <c r="AJ479" s="752"/>
      <c r="AK479" s="752"/>
      <c r="AL479" s="752"/>
      <c r="AM479" s="752"/>
      <c r="AN479" s="752"/>
      <c r="AO479" s="623"/>
      <c r="AP479" s="632" t="str">
        <f t="shared" si="1327"/>
        <v/>
      </c>
      <c r="AQ479" s="633" t="str">
        <f>IF(AC479=$V$3,IF(VLOOKUP(C479,[1]List1!$A:$E,5,FALSE)=0,1,VLOOKUP(C479,[1]List1!$A:$E,5,FALSE)),"")</f>
        <v/>
      </c>
      <c r="AR479" s="625" t="str">
        <f t="shared" si="1328"/>
        <v/>
      </c>
      <c r="AS479" s="634" t="str">
        <f t="shared" si="1312"/>
        <v/>
      </c>
      <c r="AT479" s="625" t="str">
        <f t="shared" si="1329"/>
        <v/>
      </c>
      <c r="AU479" s="638" t="e">
        <f t="shared" si="1330"/>
        <v>#N/A</v>
      </c>
      <c r="AV479" s="625" t="e">
        <f t="shared" si="1331"/>
        <v>#N/A</v>
      </c>
      <c r="AX479" s="625">
        <f>IF(AND('General price list'!$J479="F4",'General price list'!$AB479+0&gt;0),1,0)</f>
        <v>0</v>
      </c>
      <c r="AY479" s="625">
        <f t="shared" si="1332"/>
        <v>0</v>
      </c>
      <c r="AZ479" s="625">
        <f t="shared" si="1333"/>
        <v>0</v>
      </c>
    </row>
    <row r="480" spans="1:52" ht="15" customHeight="1">
      <c r="A480" s="639" t="str">
        <f>Kat.!C480</f>
        <v>×</v>
      </c>
      <c r="B480" s="640">
        <f>IF(AND('General price list'!$J480="F4",$AI$1=FALSE),0,IF(AC480="SKLADEM",1,IF(AC480=$V$3,1,0)))</f>
        <v>1</v>
      </c>
      <c r="C480" s="641" t="s">
        <v>2276</v>
      </c>
      <c r="D480" s="642" t="s">
        <v>11726</v>
      </c>
      <c r="E480" s="643" t="s">
        <v>12747</v>
      </c>
      <c r="F480" s="771">
        <f>IFERROR(VLOOKUP(C480,[2]List1!$A:$D,3,FALSE),"NEUVEDENO!")</f>
        <v>1899</v>
      </c>
      <c r="G480" s="768">
        <f t="shared" ref="G480:G481" si="1404">IF($W$17=$AF$8,ROUND((F480)/$F$17,2),(F480)*$B$19)</f>
        <v>1899</v>
      </c>
      <c r="H480" s="765">
        <f t="shared" ref="H480:H481" si="1405">IF($W$17=$AF$8,G480*$B$19,G480/$F$17)</f>
        <v>80.666743128034568</v>
      </c>
      <c r="I480" s="644">
        <f>IFERROR(VLOOKUP(C480,[2]List1!$A:$D,4,FALSE),"NEUVEDENO!")</f>
        <v>2</v>
      </c>
      <c r="J480" s="733" t="s">
        <v>113</v>
      </c>
      <c r="K480" s="645" t="s">
        <v>20</v>
      </c>
      <c r="L480" s="645" t="s">
        <v>20</v>
      </c>
      <c r="M480" s="645" t="s">
        <v>114</v>
      </c>
      <c r="N480" s="645">
        <f>IFERROR(VLOOKUP(C480,[3]List1!$A:$D,4,FALSE),"N/A!")</f>
        <v>4.6003999999999996E-2</v>
      </c>
      <c r="O480" s="645">
        <f>IFERROR(VLOOKUP(C480,[3]List1!$A:$D,3,FALSE),"N/A!")</f>
        <v>2000</v>
      </c>
      <c r="P480" s="645">
        <f>IFERROR(VLOOKUP(C480,[3]List1!$A:$D,2,FALSE),"N/A!")</f>
        <v>19600</v>
      </c>
      <c r="Q480" s="645" t="s">
        <v>12777</v>
      </c>
      <c r="R480" s="645" t="s">
        <v>20</v>
      </c>
      <c r="S480" s="645" t="str">
        <f>IF($W$17=$AF$1,"červená fólie",IFERROR(VLOOKUP("červená fólie",Jazyky_ceník!$A:$Q,MATCH($W$17,Jazyky_ceník!$A$1:$Q$1,0),FALSE),"!!!"))</f>
        <v>červená fólie</v>
      </c>
      <c r="T480" s="645">
        <v>120</v>
      </c>
      <c r="U480" s="645">
        <v>25</v>
      </c>
      <c r="V480" s="645">
        <v>15</v>
      </c>
      <c r="W480" s="645" t="str">
        <f>IFERROR(IF(AND($AB480&gt;=0.1*$AA480,MOD($AB480,$AA480)&gt;=($AA480-(0.1*$AA480))),IF($W$17=$AF$1,"Zvažte možnost doobjednání ještě "&amp;Tabulka1[[#This Row],[VKPAL]]-MOD(AB480,AA480)&amp;" VK do plné palety.",VLOOKUP("Zvažte možnost doobjednání ještě ",Jazyky_ceník!A:Q,MATCH($W$17,Jazyky_ceník!$A$1:$Q$1,0),FALSE)&amp;Tabulka1[[#This Row],[VKPAL]]-MOD(AB480,AA480)&amp;VLOOKUP(" VK do plné palety.",Jazyky_ceník!A:Q,MATCH($W$17,Jazyky_ceník!$A$1:$Q$1,0),FALSE)),IFERROR(IF(AND(NOT(MOD($AB480,$AA480)=0),$AB480&gt;=0.9*$AA480,MOD($AB480,$AA480)&lt;=0.1*$AA480),IF($W$17=$AF$1,"Zvažte možnost optimalizace objednaného množství podle počtu VK na paletě ==&gt;",VLOOKUP("Zvažte možnost optimalizace objednaného množství podle počtu VK na paletě ==&gt;",Jazyky_ceník!A:Q,MATCH($W$17,Jazyky_ceník!$A$1:$Q$1,0),FALSE)),VLOOKUP('General price list'!$C480,Popisy!A:M,MATCH($W$17,Popisy!$A$7:$M$7,0),FALSE)),"---------------")),IFERROR(VLOOKUP('General price list'!$C480,Popisy!A:M,MATCH($W$17,Popisy!$A$7:$M$7,0),FALSE),"---------------"))</f>
        <v>20 různobarevných efektů</v>
      </c>
      <c r="X480" s="645" t="str">
        <f t="shared" ref="X480:X481" si="1406">IF(AB480&lt;0.0001,"",AB480)</f>
        <v/>
      </c>
      <c r="Y480" s="645" t="str">
        <f t="shared" ref="Y480:Y481" si="1407">IF($AL$3=2,IF(OR(AB480&lt;&gt;"",AB480&lt;&gt;0),AU480,""),IF(C480="","",IF(AB480&lt;0.0001,"",IF(B480=0,"",IF(AQ480&lt;AB480,"",AB480)))))</f>
        <v/>
      </c>
      <c r="Z480" s="645" t="str">
        <f>HYPERLINK("https://www.klasekpyrotechnics.cz/c20020xbp")</f>
        <v>https://www.klasekpyrotechnics.cz/c20020xbp</v>
      </c>
      <c r="AA480" s="645">
        <f>IFERROR(IF(VLOOKUP(C480,[4]List1!$A:$D,4,FALSE)=0,"",VLOOKUP(C480,[4]List1!$A:$D,4,FALSE)),"")</f>
        <v>22</v>
      </c>
      <c r="AB480" s="646"/>
      <c r="AC480" s="647" t="str">
        <f>IFERROR(IF(VLOOKUP(C480,[1]List1!$A:$D,2,FALSE)="VYPRODÁNO",$V$9,IF(VLOOKUP(C480,[1]List1!$A:$D,2,FALSE)="DOCHÁZÍ",$V$3,VLOOKUP(C480,[1]List1!$A:$D,2,FALSE))),"OFFLINE!")</f>
        <v>SKLADEM</v>
      </c>
      <c r="AD480" s="647" t="str">
        <f ca="1">IF(AP480="NE",$V$10,IF(AC480=$V$3,IF(AQ480&lt;1,$V$8,$V$2&amp;" "&amp;AQ480&amp;" "&amp;$V$1),IF(AC480="SKLADEM",$V$6,IFERROR(IF(OR(AC480-TODAY()&gt;45,VLOOKUP(C480,[1]List1!$A:$E,4,FALSE)=0),AC480,DAY(AC480)&amp;"."&amp;MONTH(AC480)&amp;"."&amp;YEAR(AC480)&amp;" "&amp;$V$4&amp;VLOOKUP(C480,[1]List1!$A:$E,4,FALSE)&amp;" "&amp;$V$1),AC480))))</f>
        <v>SKLADEM</v>
      </c>
      <c r="AE480" s="645" t="str">
        <f t="shared" ref="AE480:AE481" ca="1" si="1408">IFERROR(IF(AV480&lt;&gt;"",AV480,AD480),AD480)</f>
        <v>SKLADEM</v>
      </c>
      <c r="AF480" s="648">
        <f t="shared" ref="AF480:AF481" si="1409">IFERROR(IF(AB480=Y480,G480*I480*Y480,0),0)</f>
        <v>0</v>
      </c>
      <c r="AG480" s="649">
        <f t="shared" ref="AG480:AG481" si="1410">IF($W$17=$AF$8,AH480*1.23,AF480*1.21)</f>
        <v>0</v>
      </c>
      <c r="AH480" s="650">
        <f t="shared" ref="AH480:AH481" si="1411">IFERROR(IF(Y480=AB480,H480*I480*Y480,0),0)</f>
        <v>0</v>
      </c>
      <c r="AI480" s="645">
        <f t="shared" ref="AI480:AI481" si="1412">IFERROR(IF(Y480=AB480,(P480*Y480)/1000,1),0)</f>
        <v>0</v>
      </c>
      <c r="AJ480" s="645">
        <f t="shared" ref="AJ480:AJ481" si="1413">IFERROR(IF(Y480=AB480,N480*Y480,0.1),0)</f>
        <v>0</v>
      </c>
      <c r="AK480" s="645" t="str">
        <f t="shared" ref="AK480:AK481" si="1414">IFERROR(IF(Y480=AB480,IF(M480="1.1G",(O480/1000)*Y480,""),""),0)</f>
        <v/>
      </c>
      <c r="AL480" s="645">
        <f t="shared" ref="AL480:AL481" si="1415">IFERROR(IF(Y480=AB480,IF(M480="1.3G",(O480/1000)*AB480,""),""),0)</f>
        <v>0</v>
      </c>
      <c r="AM480" s="645" t="str">
        <f t="shared" ref="AM480:AM481" si="1416">IFERROR(IF(Y480=AB480,IF(M480="1.4G",(O480/1000)*AB480,""),""),0)</f>
        <v/>
      </c>
      <c r="AN480" s="651">
        <f t="shared" ref="AN480:AN481" si="1417">SUM(AK480:AM480)</f>
        <v>0</v>
      </c>
      <c r="AO480" s="623"/>
      <c r="AP480" s="632" t="str">
        <f t="shared" si="1327"/>
        <v/>
      </c>
      <c r="AQ480" s="625" t="str">
        <f>IF(AC480=$V$3,IF(VLOOKUP(C480,[1]List1!$A:$E,5,FALSE)=0,1,VLOOKUP(C480,[1]List1!$A:$E,5,FALSE)),"")</f>
        <v/>
      </c>
      <c r="AR480" s="625" t="str">
        <f t="shared" si="1328"/>
        <v/>
      </c>
      <c r="AS480" s="634" t="str">
        <f t="shared" si="1312"/>
        <v/>
      </c>
      <c r="AT480" s="625" t="str">
        <f t="shared" si="1329"/>
        <v/>
      </c>
      <c r="AU480" s="638" t="e">
        <f t="shared" si="1330"/>
        <v>#N/A</v>
      </c>
      <c r="AV480" s="625" t="e">
        <f t="shared" si="1331"/>
        <v>#N/A</v>
      </c>
      <c r="AX480" s="625">
        <f>IF(AND('General price list'!$J480="F4",'General price list'!$AB480+0&gt;0),1,0)</f>
        <v>0</v>
      </c>
      <c r="AY480" s="625">
        <f t="shared" si="1332"/>
        <v>1</v>
      </c>
      <c r="AZ480" s="625">
        <f t="shared" si="1333"/>
        <v>0</v>
      </c>
    </row>
    <row r="481" spans="1:52" ht="15.75" customHeight="1">
      <c r="A481" s="621" t="str">
        <f>Kat.!C481</f>
        <v/>
      </c>
      <c r="B481" s="566">
        <f>IF(AND('General price list'!$J481="F4",$AI$1=FALSE),0,IF(AC481="SKLADEM",1,IF(AC481=$V$3,1,0)))</f>
        <v>1</v>
      </c>
      <c r="C481" s="567" t="s">
        <v>2278</v>
      </c>
      <c r="D481" s="568" t="s">
        <v>11727</v>
      </c>
      <c r="E481" s="763" t="s">
        <v>12747</v>
      </c>
      <c r="F481" s="772">
        <f>IFERROR(VLOOKUP(C481,[2]List1!$A:$D,3,FALSE),"NEUVEDENO!")</f>
        <v>1959</v>
      </c>
      <c r="G481" s="769">
        <f t="shared" si="1404"/>
        <v>1959</v>
      </c>
      <c r="H481" s="766">
        <f t="shared" si="1405"/>
        <v>83.215455391163616</v>
      </c>
      <c r="I481" s="764">
        <f>IFERROR(VLOOKUP(C481,[2]List1!$A:$D,4,FALSE),"NEUVEDENO!")</f>
        <v>2</v>
      </c>
      <c r="J481" s="732" t="s">
        <v>113</v>
      </c>
      <c r="K481" s="569" t="s">
        <v>20</v>
      </c>
      <c r="L481" s="569" t="s">
        <v>20</v>
      </c>
      <c r="M481" s="569" t="s">
        <v>114</v>
      </c>
      <c r="N481" s="569">
        <f>IFERROR(VLOOKUP(C481,[3]List1!$A:$D,4,FALSE),"N/A!")</f>
        <v>4.6003999999999996E-2</v>
      </c>
      <c r="O481" s="569">
        <f>IFERROR(VLOOKUP(C481,[3]List1!$A:$D,3,FALSE),"N/A!")</f>
        <v>2000</v>
      </c>
      <c r="P481" s="569">
        <f>IFERROR(VLOOKUP(C481,[3]List1!$A:$D,2,FALSE),"N/A!")</f>
        <v>19600</v>
      </c>
      <c r="Q481" s="569" t="s">
        <v>11294</v>
      </c>
      <c r="R481" s="569" t="s">
        <v>20</v>
      </c>
      <c r="S481" s="569" t="str">
        <f>IF($W$17=$AF$1,"design",IFERROR(VLOOKUP("design",Jazyky_ceník!$A:$Q,MATCH($W$17,Jazyky_ceník!$A$1:$Q$1,0),FALSE),"!!!"))</f>
        <v>design</v>
      </c>
      <c r="T481" s="569">
        <v>120</v>
      </c>
      <c r="U481" s="569">
        <v>25</v>
      </c>
      <c r="V481" s="569">
        <v>16</v>
      </c>
      <c r="W481" s="569" t="str">
        <f>IFERROR(IF(AND($AB481&gt;=0.1*$AA481,MOD($AB481,$AA481)&gt;=($AA481-(0.1*$AA481))),IF($W$17=$AF$1,"Zvažte možnost doobjednání ještě "&amp;Tabulka1[[#This Row],[VKPAL]]-MOD(AB481,AA481)&amp;" VK do plné palety.",VLOOKUP("Zvažte možnost doobjednání ještě ",Jazyky_ceník!A:Q,MATCH($W$17,Jazyky_ceník!$A$1:$Q$1,0),FALSE)&amp;Tabulka1[[#This Row],[VKPAL]]-MOD(AB481,AA481)&amp;VLOOKUP(" VK do plné palety.",Jazyky_ceník!A:Q,MATCH($W$17,Jazyky_ceník!$A$1:$Q$1,0),FALSE)),IFERROR(IF(AND(NOT(MOD($AB481,$AA481)=0),$AB481&gt;=0.9*$AA481,MOD($AB481,$AA481)&lt;=0.1*$AA481),IF($W$17=$AF$1,"Zvažte možnost optimalizace objednaného množství podle počtu VK na paletě ==&gt;",VLOOKUP("Zvažte možnost optimalizace objednaného množství podle počtu VK na paletě ==&gt;",Jazyky_ceník!A:Q,MATCH($W$17,Jazyky_ceník!$A$1:$Q$1,0),FALSE)),VLOOKUP('General price list'!$C481,Popisy!A:M,MATCH($W$17,Popisy!$A$7:$M$7,0),FALSE)),"---------------")),IFERROR(VLOOKUP('General price list'!$C481,Popisy!A:M,MATCH($W$17,Popisy!$A$7:$M$7,0),FALSE),"---------------"))</f>
        <v>20 různobarevných efektů</v>
      </c>
      <c r="X481" s="569" t="str">
        <f t="shared" si="1406"/>
        <v/>
      </c>
      <c r="Y481" s="569" t="str">
        <f t="shared" si="1407"/>
        <v/>
      </c>
      <c r="Z481" s="569" t="str">
        <f>HYPERLINK("https://www.klasekpyrotechnics.cz/c20020xpr")</f>
        <v>https://www.klasekpyrotechnics.cz/c20020xpr</v>
      </c>
      <c r="AA481" s="569">
        <f>IFERROR(IF(VLOOKUP(C481,[4]List1!$A:$D,4,FALSE)=0,"",VLOOKUP(C481,[4]List1!$A:$D,4,FALSE)),"")</f>
        <v>20</v>
      </c>
      <c r="AB481" s="565"/>
      <c r="AC481" s="570" t="str">
        <f>IFERROR(IF(VLOOKUP(C481,[1]List1!$A:$D,2,FALSE)="VYPRODÁNO",$V$9,IF(VLOOKUP(C481,[1]List1!$A:$D,2,FALSE)="DOCHÁZÍ",$V$3,VLOOKUP(C481,[1]List1!$A:$D,2,FALSE))),"OFFLINE!")</f>
        <v>SKLADEM</v>
      </c>
      <c r="AD481" s="570" t="str">
        <f ca="1">IF(AP481="NE",$V$10,IF(AC481=$V$3,IF(AQ481&lt;1,$V$8,$V$2&amp;" "&amp;AQ481&amp;" "&amp;$V$1),IF(AC481="SKLADEM",$V$6,IFERROR(IF(OR(AC481-TODAY()&gt;45,VLOOKUP(C481,[1]List1!$A:$E,4,FALSE)=0),AC481,DAY(AC481)&amp;"."&amp;MONTH(AC481)&amp;"."&amp;YEAR(AC481)&amp;" "&amp;$V$4&amp;VLOOKUP(C481,[1]List1!$A:$E,4,FALSE)&amp;" "&amp;$V$1),AC481))))</f>
        <v>SKLADEM</v>
      </c>
      <c r="AE481" s="581" t="str">
        <f t="shared" ca="1" si="1408"/>
        <v>SKLADEM</v>
      </c>
      <c r="AF481" s="584">
        <f t="shared" si="1409"/>
        <v>0</v>
      </c>
      <c r="AG481" s="585">
        <f t="shared" si="1410"/>
        <v>0</v>
      </c>
      <c r="AH481" s="583">
        <f t="shared" si="1411"/>
        <v>0</v>
      </c>
      <c r="AI481" s="582">
        <f t="shared" si="1412"/>
        <v>0</v>
      </c>
      <c r="AJ481" s="569">
        <f t="shared" si="1413"/>
        <v>0</v>
      </c>
      <c r="AK481" s="569" t="str">
        <f t="shared" si="1414"/>
        <v/>
      </c>
      <c r="AL481" s="569">
        <f t="shared" si="1415"/>
        <v>0</v>
      </c>
      <c r="AM481" s="569" t="str">
        <f t="shared" si="1416"/>
        <v/>
      </c>
      <c r="AN481" s="581">
        <f t="shared" si="1417"/>
        <v>0</v>
      </c>
      <c r="AO481" s="623"/>
      <c r="AP481" s="625" t="str">
        <f t="shared" si="1327"/>
        <v/>
      </c>
      <c r="AQ481" s="625" t="str">
        <f>IF(AC481=$V$3,IF(VLOOKUP(C481,[1]List1!$A:$E,5,FALSE)=0,1,VLOOKUP(C481,[1]List1!$A:$E,5,FALSE)),"")</f>
        <v/>
      </c>
      <c r="AR481" s="629" t="str">
        <f t="shared" si="1328"/>
        <v/>
      </c>
      <c r="AS481" s="630" t="str">
        <f t="shared" si="1312"/>
        <v/>
      </c>
      <c r="AT481" s="625" t="str">
        <f t="shared" si="1329"/>
        <v/>
      </c>
      <c r="AU481" s="625" t="e">
        <f t="shared" si="1330"/>
        <v>#N/A</v>
      </c>
      <c r="AV481" s="625" t="e">
        <f t="shared" si="1331"/>
        <v>#N/A</v>
      </c>
      <c r="AW481" s="631"/>
      <c r="AX481" s="631">
        <f>IF(AND('General price list'!$J481="F4",'General price list'!$AB481+0&gt;0),1,0)</f>
        <v>0</v>
      </c>
      <c r="AY481" s="631">
        <f t="shared" si="1332"/>
        <v>1</v>
      </c>
      <c r="AZ481" s="631">
        <f t="shared" si="1333"/>
        <v>0</v>
      </c>
    </row>
    <row r="482" spans="1:52" ht="15" customHeight="1">
      <c r="A482" s="751" t="str">
        <f>Kat.!C482</f>
        <v xml:space="preserve">           Složený ohňostroj 20 mm – F2 – 1.4G – maximum 1000 g NEC</v>
      </c>
      <c r="B482" s="751"/>
      <c r="C482" s="751"/>
      <c r="D482" s="751"/>
      <c r="E482" s="751"/>
      <c r="F482" s="751"/>
      <c r="G482" s="751"/>
      <c r="H482" s="751"/>
      <c r="I482" s="752"/>
      <c r="J482" s="752"/>
      <c r="K482" s="752" t="s">
        <v>20</v>
      </c>
      <c r="L482" s="753" t="s">
        <v>2818</v>
      </c>
      <c r="M482" s="752"/>
      <c r="N482" s="752"/>
      <c r="O482" s="752"/>
      <c r="P482" s="752"/>
      <c r="Q482" s="752"/>
      <c r="R482" s="752"/>
      <c r="S482" s="752"/>
      <c r="T482" s="752"/>
      <c r="U482" s="752"/>
      <c r="V482" s="752"/>
      <c r="W482" s="752"/>
      <c r="X482" s="752"/>
      <c r="Y482" s="752"/>
      <c r="Z482" s="752" t="s">
        <v>20</v>
      </c>
      <c r="AA482" s="752"/>
      <c r="AB482" s="752"/>
      <c r="AC482" s="754"/>
      <c r="AD482" s="752"/>
      <c r="AE482" s="752"/>
      <c r="AF482" s="752"/>
      <c r="AG482" s="752"/>
      <c r="AH482" s="752"/>
      <c r="AI482" s="752"/>
      <c r="AJ482" s="752"/>
      <c r="AK482" s="752"/>
      <c r="AL482" s="752"/>
      <c r="AM482" s="752"/>
      <c r="AN482" s="752"/>
      <c r="AO482" s="623"/>
      <c r="AP482" s="632" t="str">
        <f t="shared" si="1327"/>
        <v/>
      </c>
      <c r="AQ482" s="633" t="str">
        <f>IF(AC482=$V$3,IF(VLOOKUP(C482,[1]List1!$A:$E,5,FALSE)=0,1,VLOOKUP(C482,[1]List1!$A:$E,5,FALSE)),"")</f>
        <v/>
      </c>
      <c r="AR482" s="625" t="str">
        <f t="shared" si="1328"/>
        <v/>
      </c>
      <c r="AS482" s="634" t="str">
        <f t="shared" si="1312"/>
        <v/>
      </c>
      <c r="AT482" s="625" t="str">
        <f t="shared" si="1329"/>
        <v/>
      </c>
      <c r="AU482" s="638" t="e">
        <f t="shared" si="1330"/>
        <v>#N/A</v>
      </c>
      <c r="AV482" s="625" t="e">
        <f t="shared" si="1331"/>
        <v>#N/A</v>
      </c>
      <c r="AX482" s="625">
        <f>IF(AND('General price list'!$J482="F4",'General price list'!$AB482+0&gt;0),1,0)</f>
        <v>0</v>
      </c>
      <c r="AY482" s="625">
        <f t="shared" si="1332"/>
        <v>0</v>
      </c>
      <c r="AZ482" s="625">
        <f t="shared" si="1333"/>
        <v>0</v>
      </c>
    </row>
    <row r="483" spans="1:52" ht="15" customHeight="1">
      <c r="A483" s="639" t="str">
        <f>Kat.!C483</f>
        <v/>
      </c>
      <c r="B483" s="640">
        <f>IF(AND('General price list'!$J483="F4",$AI$1=FALSE),0,IF(AC483="SKLADEM",1,IF(AC483=$V$3,1,0)))</f>
        <v>1</v>
      </c>
      <c r="C483" s="641" t="s">
        <v>1087</v>
      </c>
      <c r="D483" s="642" t="s">
        <v>11728</v>
      </c>
      <c r="E483" s="643" t="s">
        <v>12663</v>
      </c>
      <c r="F483" s="771">
        <f>IFERROR(VLOOKUP(C483,[2]List1!$A:$D,3,FALSE),"NEUVEDENO!")</f>
        <v>1139</v>
      </c>
      <c r="G483" s="768">
        <f t="shared" ref="G483:G490" si="1418">IF($W$17=$AF$8,ROUND((F483)/$F$17,2),(F483)*$B$19)</f>
        <v>1139</v>
      </c>
      <c r="H483" s="765">
        <f t="shared" ref="H483:H490" si="1419">IF($W$17=$AF$8,G483*$B$19,G483/$F$17)</f>
        <v>48.383054461733209</v>
      </c>
      <c r="I483" s="644">
        <f>IFERROR(VLOOKUP(C483,[2]List1!$A:$D,4,FALSE),"NEUVEDENO!")</f>
        <v>1</v>
      </c>
      <c r="J483" s="733" t="s">
        <v>39</v>
      </c>
      <c r="K483" s="645" t="s">
        <v>20</v>
      </c>
      <c r="L483" s="645" t="s">
        <v>10973</v>
      </c>
      <c r="M483" s="645" t="s">
        <v>21</v>
      </c>
      <c r="N483" s="645">
        <f>IFERROR(VLOOKUP(C483,[3]List1!$A:$D,4,FALSE),"N/A!")</f>
        <v>1.2937624999999999E-2</v>
      </c>
      <c r="O483" s="645">
        <f>IFERROR(VLOOKUP(C483,[3]List1!$A:$D,3,FALSE),"N/A!")</f>
        <v>996</v>
      </c>
      <c r="P483" s="645">
        <f>IFERROR(VLOOKUP(C483,[3]List1!$A:$D,2,FALSE),"N/A!")</f>
        <v>6350</v>
      </c>
      <c r="Q483" s="645" t="s">
        <v>11262</v>
      </c>
      <c r="R483" s="645" t="s">
        <v>20</v>
      </c>
      <c r="S483" s="645" t="str">
        <f>IF($W$17=$AF$1,"červená fólie",IFERROR(VLOOKUP("červená fólie",Jazyky_ceník!$A:$Q,MATCH($W$17,Jazyky_ceník!$A$1:$Q$1,0),FALSE),"!!!"))</f>
        <v>červená fólie</v>
      </c>
      <c r="T483" s="645">
        <v>100</v>
      </c>
      <c r="U483" s="645">
        <v>25</v>
      </c>
      <c r="V483" s="645">
        <v>13</v>
      </c>
      <c r="W483" s="645" t="str">
        <f>IFERROR(IF(AND($AB483&gt;=0.1*$AA483,MOD($AB483,$AA483)&gt;=($AA483-(0.1*$AA483))),IF($W$17=$AF$1,"Zvažte možnost doobjednání ještě "&amp;Tabulka1[[#This Row],[VKPAL]]-MOD(AB483,AA483)&amp;" VK do plné palety.",VLOOKUP("Zvažte možnost doobjednání ještě ",Jazyky_ceník!A:Q,MATCH($W$17,Jazyky_ceník!$A$1:$Q$1,0),FALSE)&amp;Tabulka1[[#This Row],[VKPAL]]-MOD(AB483,AA483)&amp;VLOOKUP(" VK do plné palety.",Jazyky_ceník!A:Q,MATCH($W$17,Jazyky_ceník!$A$1:$Q$1,0),FALSE)),IFERROR(IF(AND(NOT(MOD($AB483,$AA483)=0),$AB483&gt;=0.9*$AA483,MOD($AB483,$AA483)&lt;=0.1*$AA483),IF($W$17=$AF$1,"Zvažte možnost optimalizace objednaného množství podle počtu VK na paletě ==&gt;",VLOOKUP("Zvažte možnost optimalizace objednaného množství podle počtu VK na paletě ==&gt;",Jazyky_ceník!A:Q,MATCH($W$17,Jazyky_ceník!$A$1:$Q$1,0),FALSE)),VLOOKUP('General price list'!$C483,Popisy!A:M,MATCH($W$17,Popisy!$A$7:$M$7,0),FALSE)),"---------------")),IFERROR(VLOOKUP('General price list'!$C483,Popisy!A:M,MATCH($W$17,Popisy!$A$7:$M$7,0),FALSE),"---------------"))</f>
        <v>16 různobarevných efektů</v>
      </c>
      <c r="X483" s="645" t="str">
        <f t="shared" ref="X483:X490" si="1420">IF(AB483&lt;0.0001,"",AB483)</f>
        <v/>
      </c>
      <c r="Y483" s="645" t="str">
        <f t="shared" ref="Y483:Y490" si="1421">IF($AL$3=2,IF(OR(AB483&lt;&gt;"",AB483&lt;&gt;0),AU483,""),IF(C483="","",IF(AB483&lt;0.0001,"",IF(B483=0,"",IF(AQ483&lt;AB483,"",AB483)))))</f>
        <v/>
      </c>
      <c r="Z483" s="645" t="str">
        <f>HYPERLINK("https://www.klasekpyrotechnics.cz/c12820f-c14")</f>
        <v>https://www.klasekpyrotechnics.cz/c12820f-c14</v>
      </c>
      <c r="AA483" s="645">
        <f>IFERROR(IF(VLOOKUP(C483,[4]List1!$A:$D,4,FALSE)=0,"",VLOOKUP(C483,[4]List1!$A:$D,4,FALSE)),"")</f>
        <v>77</v>
      </c>
      <c r="AB483" s="646"/>
      <c r="AC483" s="647" t="str">
        <f>IFERROR(IF(VLOOKUP(C483,[1]List1!$A:$D,2,FALSE)="VYPRODÁNO",$V$9,IF(VLOOKUP(C483,[1]List1!$A:$D,2,FALSE)="DOCHÁZÍ",$V$3,VLOOKUP(C483,[1]List1!$A:$D,2,FALSE))),"OFFLINE!")</f>
        <v>SKLADEM</v>
      </c>
      <c r="AD483" s="647" t="str">
        <f ca="1">IF(AP483="NE",$V$10,IF(AC483=$V$3,IF(AQ483&lt;1,$V$8,$V$2&amp;" "&amp;AQ483&amp;" "&amp;$V$1),IF(AC483="SKLADEM",$V$6,IFERROR(IF(OR(AC483-TODAY()&gt;45,VLOOKUP(C483,[1]List1!$A:$E,4,FALSE)=0),AC483,DAY(AC483)&amp;"."&amp;MONTH(AC483)&amp;"."&amp;YEAR(AC483)&amp;" "&amp;$V$4&amp;VLOOKUP(C483,[1]List1!$A:$E,4,FALSE)&amp;" "&amp;$V$1),AC483))))</f>
        <v>SKLADEM</v>
      </c>
      <c r="AE483" s="645" t="str">
        <f t="shared" ref="AE483:AE490" ca="1" si="1422">IFERROR(IF(AV483&lt;&gt;"",AV483,AD483),AD483)</f>
        <v>SKLADEM</v>
      </c>
      <c r="AF483" s="648">
        <f t="shared" ref="AF483:AF490" si="1423">IFERROR(IF(AB483=Y483,G483*I483*Y483,0),0)</f>
        <v>0</v>
      </c>
      <c r="AG483" s="649">
        <f t="shared" ref="AG483:AG490" si="1424">IF($W$17=$AF$8,AH483*1.23,AF483*1.21)</f>
        <v>0</v>
      </c>
      <c r="AH483" s="650">
        <f t="shared" ref="AH483:AH490" si="1425">IFERROR(IF(Y483=AB483,H483*I483*Y483,0),0)</f>
        <v>0</v>
      </c>
      <c r="AI483" s="645">
        <f t="shared" ref="AI483:AI490" si="1426">IFERROR(IF(Y483=AB483,(P483*Y483)/1000,1),0)</f>
        <v>0</v>
      </c>
      <c r="AJ483" s="645">
        <f t="shared" ref="AJ483:AJ490" si="1427">IFERROR(IF(Y483=AB483,N483*Y483,0.1),0)</f>
        <v>0</v>
      </c>
      <c r="AK483" s="645" t="str">
        <f t="shared" ref="AK483:AK490" si="1428">IFERROR(IF(Y483=AB483,IF(M483="1.1G",(O483/1000)*Y483,""),""),0)</f>
        <v/>
      </c>
      <c r="AL483" s="645" t="str">
        <f t="shared" ref="AL483:AL490" si="1429">IFERROR(IF(Y483=AB483,IF(M483="1.3G",(O483/1000)*AB483,""),""),0)</f>
        <v/>
      </c>
      <c r="AM483" s="645">
        <f t="shared" ref="AM483:AM490" si="1430">IFERROR(IF(Y483=AB483,IF(M483="1.4G",(O483/1000)*AB483,""),""),0)</f>
        <v>0</v>
      </c>
      <c r="AN483" s="651">
        <f t="shared" ref="AN483:AN490" si="1431">SUM(AK483:AM483)</f>
        <v>0</v>
      </c>
      <c r="AO483" s="623"/>
      <c r="AP483" s="632" t="str">
        <f t="shared" si="1327"/>
        <v/>
      </c>
      <c r="AQ483" s="633" t="str">
        <f>IF(AC483=$V$3,IF(VLOOKUP(C483,[1]List1!$A:$E,5,FALSE)=0,1,VLOOKUP(C483,[1]List1!$A:$E,5,FALSE)),"")</f>
        <v/>
      </c>
      <c r="AR483" s="625" t="str">
        <f t="shared" si="1328"/>
        <v/>
      </c>
      <c r="AS483" s="634" t="str">
        <f t="shared" si="1312"/>
        <v/>
      </c>
      <c r="AT483" s="625" t="str">
        <f t="shared" si="1329"/>
        <v/>
      </c>
      <c r="AU483" s="638" t="e">
        <f t="shared" si="1330"/>
        <v>#N/A</v>
      </c>
      <c r="AV483" s="625" t="e">
        <f t="shared" si="1331"/>
        <v>#N/A</v>
      </c>
      <c r="AX483" s="625">
        <f>IF(AND('General price list'!$J483="F4",'General price list'!$AB483+0&gt;0),1,0)</f>
        <v>0</v>
      </c>
      <c r="AY483" s="625">
        <f t="shared" si="1332"/>
        <v>1</v>
      </c>
      <c r="AZ483" s="625">
        <f t="shared" si="1333"/>
        <v>0</v>
      </c>
    </row>
    <row r="484" spans="1:52" ht="15" customHeight="1">
      <c r="A484" s="621" t="str">
        <f>Kat.!C484</f>
        <v/>
      </c>
      <c r="B484" s="566">
        <f>IF(AND('General price list'!$J484="F4",$AI$1=FALSE),0,IF(AC484="SKLADEM",1,IF(AC484=$V$3,1,0)))</f>
        <v>1</v>
      </c>
      <c r="C484" s="567" t="s">
        <v>1091</v>
      </c>
      <c r="D484" s="568" t="s">
        <v>1092</v>
      </c>
      <c r="E484" s="763" t="s">
        <v>12663</v>
      </c>
      <c r="F484" s="772">
        <f>IFERROR(VLOOKUP(C484,[2]List1!$A:$D,3,FALSE),"NEUVEDENO!")</f>
        <v>1682</v>
      </c>
      <c r="G484" s="769">
        <f t="shared" si="1418"/>
        <v>1682</v>
      </c>
      <c r="H484" s="766">
        <f t="shared" si="1419"/>
        <v>71.448900443051144</v>
      </c>
      <c r="I484" s="764">
        <f>IFERROR(VLOOKUP(C484,[2]List1!$A:$D,4,FALSE),"NEUVEDENO!")</f>
        <v>1</v>
      </c>
      <c r="J484" s="732" t="s">
        <v>39</v>
      </c>
      <c r="K484" s="569" t="s">
        <v>20</v>
      </c>
      <c r="L484" s="569" t="s">
        <v>10994</v>
      </c>
      <c r="M484" s="569" t="s">
        <v>21</v>
      </c>
      <c r="N484" s="569">
        <f>IFERROR(VLOOKUP(C484,[3]List1!$A:$D,4,FALSE),"N/A!")</f>
        <v>2.8262499999999999E-2</v>
      </c>
      <c r="O484" s="569">
        <f>IFERROR(VLOOKUP(C484,[3]List1!$A:$D,3,FALSE),"N/A!")</f>
        <v>980</v>
      </c>
      <c r="P484" s="569">
        <f>IFERROR(VLOOKUP(C484,[3]List1!$A:$D,2,FALSE),"N/A!")</f>
        <v>8000</v>
      </c>
      <c r="Q484" s="569" t="s">
        <v>11257</v>
      </c>
      <c r="R484" s="569"/>
      <c r="S484" s="569" t="str">
        <f>IF($W$17=$AF$1,"červená fólie",IFERROR(VLOOKUP("červená fólie",Jazyky_ceník!$A:$Q,MATCH($W$17,Jazyky_ceník!$A$1:$Q$1,0),FALSE),"!!!"))</f>
        <v>červená fólie</v>
      </c>
      <c r="T484" s="569">
        <v>100</v>
      </c>
      <c r="U484" s="569">
        <v>25</v>
      </c>
      <c r="V484" s="569">
        <v>13</v>
      </c>
      <c r="W484" s="569" t="str">
        <f>IFERROR(IF(AND($AB484&gt;=0.1*$AA484,MOD($AB484,$AA484)&gt;=($AA484-(0.1*$AA484))),IF($W$17=$AF$1,"Zvažte možnost doobjednání ještě "&amp;Tabulka1[[#This Row],[VKPAL]]-MOD(AB484,AA484)&amp;" VK do plné palety.",VLOOKUP("Zvažte možnost doobjednání ještě ",Jazyky_ceník!A:Q,MATCH($W$17,Jazyky_ceník!$A$1:$Q$1,0),FALSE)&amp;Tabulka1[[#This Row],[VKPAL]]-MOD(AB484,AA484)&amp;VLOOKUP(" VK do plné palety.",Jazyky_ceník!A:Q,MATCH($W$17,Jazyky_ceník!$A$1:$Q$1,0),FALSE)),IFERROR(IF(AND(NOT(MOD($AB484,$AA484)=0),$AB484&gt;=0.9*$AA484,MOD($AB484,$AA484)&lt;=0.1*$AA484),IF($W$17=$AF$1,"Zvažte možnost optimalizace objednaného množství podle počtu VK na paletě ==&gt;",VLOOKUP("Zvažte možnost optimalizace objednaného množství podle počtu VK na paletě ==&gt;",Jazyky_ceník!A:Q,MATCH($W$17,Jazyky_ceník!$A$1:$Q$1,0),FALSE)),VLOOKUP('General price list'!$C484,Popisy!A:M,MATCH($W$17,Popisy!$A$7:$M$7,0),FALSE)),"---------------")),IFERROR(VLOOKUP('General price list'!$C484,Popisy!A:M,MATCH($W$17,Popisy!$A$7:$M$7,0),FALSE),"---------------"))</f>
        <v>18 různobarevných efektů</v>
      </c>
      <c r="X484" s="569" t="str">
        <f t="shared" si="1420"/>
        <v/>
      </c>
      <c r="Y484" s="569" t="str">
        <f t="shared" si="1421"/>
        <v/>
      </c>
      <c r="Z484" s="569" t="str">
        <f>HYPERLINK("https://www.klasekpyrotechnics.cz/c13220b-c14")</f>
        <v>https://www.klasekpyrotechnics.cz/c13220b-c14</v>
      </c>
      <c r="AA484" s="569">
        <f>IFERROR(IF(VLOOKUP(C484,[4]List1!$A:$D,4,FALSE)=0,"",VLOOKUP(C484,[4]List1!$A:$D,4,FALSE)),"")</f>
        <v>40</v>
      </c>
      <c r="AB484" s="565"/>
      <c r="AC484" s="570" t="str">
        <f>IFERROR(IF(VLOOKUP(C484,[1]List1!$A:$D,2,FALSE)="VYPRODÁNO",$V$9,IF(VLOOKUP(C484,[1]List1!$A:$D,2,FALSE)="DOCHÁZÍ",$V$3,VLOOKUP(C484,[1]List1!$A:$D,2,FALSE))),"OFFLINE!")</f>
        <v>SKLADEM</v>
      </c>
      <c r="AD484" s="570" t="str">
        <f ca="1">IF(AP484="NE",$V$10,IF(AC484=$V$3,IF(AQ484&lt;1,$V$8,$V$2&amp;" "&amp;AQ484&amp;" "&amp;$V$1),IF(AC484="SKLADEM",$V$6,IFERROR(IF(OR(AC484-TODAY()&gt;45,VLOOKUP(C484,[1]List1!$A:$E,4,FALSE)=0),AC484,DAY(AC484)&amp;"."&amp;MONTH(AC484)&amp;"."&amp;YEAR(AC484)&amp;" "&amp;$V$4&amp;VLOOKUP(C484,[1]List1!$A:$E,4,FALSE)&amp;" "&amp;$V$1),AC484))))</f>
        <v>SKLADEM</v>
      </c>
      <c r="AE484" s="581" t="str">
        <f t="shared" ca="1" si="1422"/>
        <v>SKLADEM</v>
      </c>
      <c r="AF484" s="584">
        <f t="shared" si="1423"/>
        <v>0</v>
      </c>
      <c r="AG484" s="585">
        <f t="shared" si="1424"/>
        <v>0</v>
      </c>
      <c r="AH484" s="583">
        <f t="shared" si="1425"/>
        <v>0</v>
      </c>
      <c r="AI484" s="582">
        <f t="shared" si="1426"/>
        <v>0</v>
      </c>
      <c r="AJ484" s="569">
        <f t="shared" si="1427"/>
        <v>0</v>
      </c>
      <c r="AK484" s="569" t="str">
        <f t="shared" si="1428"/>
        <v/>
      </c>
      <c r="AL484" s="569" t="str">
        <f t="shared" si="1429"/>
        <v/>
      </c>
      <c r="AM484" s="569">
        <f t="shared" si="1430"/>
        <v>0</v>
      </c>
      <c r="AN484" s="581">
        <f t="shared" si="1431"/>
        <v>0</v>
      </c>
      <c r="AO484" s="623"/>
      <c r="AP484" s="632" t="str">
        <f t="shared" si="1327"/>
        <v/>
      </c>
      <c r="AQ484" s="633" t="str">
        <f>IF(AC484=$V$3,IF(VLOOKUP(C484,[1]List1!$A:$E,5,FALSE)=0,1,VLOOKUP(C484,[1]List1!$A:$E,5,FALSE)),"")</f>
        <v/>
      </c>
      <c r="AR484" s="625" t="str">
        <f t="shared" si="1328"/>
        <v/>
      </c>
      <c r="AS484" s="634" t="str">
        <f t="shared" si="1312"/>
        <v/>
      </c>
      <c r="AT484" s="625" t="str">
        <f t="shared" si="1329"/>
        <v/>
      </c>
      <c r="AU484" s="638" t="e">
        <f t="shared" si="1330"/>
        <v>#N/A</v>
      </c>
      <c r="AV484" s="625" t="e">
        <f t="shared" si="1331"/>
        <v>#N/A</v>
      </c>
      <c r="AX484" s="625">
        <f>IF(AND('General price list'!$J484="F4",'General price list'!$AB484+0&gt;0),1,0)</f>
        <v>0</v>
      </c>
      <c r="AY484" s="625">
        <f t="shared" si="1332"/>
        <v>1</v>
      </c>
      <c r="AZ484" s="625">
        <f t="shared" si="1333"/>
        <v>0</v>
      </c>
    </row>
    <row r="485" spans="1:52" ht="15" customHeight="1">
      <c r="A485" s="639" t="str">
        <f>Kat.!C485</f>
        <v>×</v>
      </c>
      <c r="B485" s="640">
        <f>IF(AND('General price list'!$J485="F4",$AI$1=FALSE),0,IF(AC485="SKLADEM",1,IF(AC485=$V$3,1,0)))</f>
        <v>1</v>
      </c>
      <c r="C485" s="641" t="s">
        <v>4838</v>
      </c>
      <c r="D485" s="642" t="s">
        <v>4839</v>
      </c>
      <c r="E485" s="643" t="s">
        <v>12663</v>
      </c>
      <c r="F485" s="771">
        <f>IFERROR(VLOOKUP(C485,[2]List1!$A:$D,3,FALSE),"NEUVEDENO!")</f>
        <v>1682</v>
      </c>
      <c r="G485" s="768">
        <f t="shared" si="1418"/>
        <v>1682</v>
      </c>
      <c r="H485" s="765">
        <f t="shared" si="1419"/>
        <v>71.448900443051144</v>
      </c>
      <c r="I485" s="644">
        <f>IFERROR(VLOOKUP(C485,[2]List1!$A:$D,4,FALSE),"NEUVEDENO!")</f>
        <v>1</v>
      </c>
      <c r="J485" s="733" t="s">
        <v>39</v>
      </c>
      <c r="K485" s="645" t="s">
        <v>20</v>
      </c>
      <c r="L485" s="645"/>
      <c r="M485" s="645" t="s">
        <v>21</v>
      </c>
      <c r="N485" s="645">
        <f>IFERROR(VLOOKUP(C485,[3]List1!$A:$D,4,FALSE),"N/A!")</f>
        <v>2.8262499999999999E-2</v>
      </c>
      <c r="O485" s="645">
        <f>IFERROR(VLOOKUP(C485,[3]List1!$A:$D,3,FALSE),"N/A!")</f>
        <v>980</v>
      </c>
      <c r="P485" s="645">
        <f>IFERROR(VLOOKUP(C485,[3]List1!$A:$D,2,FALSE),"N/A!")</f>
        <v>8000</v>
      </c>
      <c r="Q485" s="645" t="s">
        <v>11295</v>
      </c>
      <c r="R485" s="645" t="s">
        <v>20</v>
      </c>
      <c r="S485" s="645" t="str">
        <f>IF($W$17=$AF$1,"červená fólie",IFERROR(VLOOKUP("červená fólie",Jazyky_ceník!$A:$Q,MATCH($W$17,Jazyky_ceník!$A$1:$Q$1,0),FALSE),"!!!"))</f>
        <v>červená fólie</v>
      </c>
      <c r="T485" s="645">
        <v>60</v>
      </c>
      <c r="U485" s="645">
        <v>25</v>
      </c>
      <c r="V485" s="645">
        <v>13</v>
      </c>
      <c r="W485" s="645" t="str">
        <f>IFERROR(IF(AND($AB485&gt;=0.1*$AA485,MOD($AB485,$AA485)&gt;=($AA485-(0.1*$AA485))),IF($W$17=$AF$1,"Zvažte možnost doobjednání ještě "&amp;Tabulka1[[#This Row],[VKPAL]]-MOD(AB485,AA485)&amp;" VK do plné palety.",VLOOKUP("Zvažte možnost doobjednání ještě ",Jazyky_ceník!A:Q,MATCH($W$17,Jazyky_ceník!$A$1:$Q$1,0),FALSE)&amp;Tabulka1[[#This Row],[VKPAL]]-MOD(AB485,AA485)&amp;VLOOKUP(" VK do plné palety.",Jazyky_ceník!A:Q,MATCH($W$17,Jazyky_ceník!$A$1:$Q$1,0),FALSE)),IFERROR(IF(AND(NOT(MOD($AB485,$AA485)=0),$AB485&gt;=0.9*$AA485,MOD($AB485,$AA485)&lt;=0.1*$AA485),IF($W$17=$AF$1,"Zvažte možnost optimalizace objednaného množství podle počtu VK na paletě ==&gt;",VLOOKUP("Zvažte možnost optimalizace objednaného množství podle počtu VK na paletě ==&gt;",Jazyky_ceník!A:Q,MATCH($W$17,Jazyky_ceník!$A$1:$Q$1,0),FALSE)),VLOOKUP('General price list'!$C485,Popisy!A:M,MATCH($W$17,Popisy!$A$7:$M$7,0),FALSE)),"---------------")),IFERROR(VLOOKUP('General price list'!$C485,Popisy!A:M,MATCH($W$17,Popisy!$A$7:$M$7,0),FALSE),"---------------"))</f>
        <v>18 různobarevných efektů</v>
      </c>
      <c r="X485" s="645" t="str">
        <f t="shared" si="1420"/>
        <v/>
      </c>
      <c r="Y485" s="645" t="str">
        <f t="shared" si="1421"/>
        <v/>
      </c>
      <c r="Z485" s="645" t="str">
        <f>HYPERLINK("https://www.klasekpyrotechnics.cz/c13220ts-c14")</f>
        <v>https://www.klasekpyrotechnics.cz/c13220ts-c14</v>
      </c>
      <c r="AA485" s="645">
        <f>IFERROR(IF(VLOOKUP(C485,[4]List1!$A:$D,4,FALSE)=0,"",VLOOKUP(C485,[4]List1!$A:$D,4,FALSE)),"")</f>
        <v>40</v>
      </c>
      <c r="AB485" s="646"/>
      <c r="AC485" s="647" t="str">
        <f>IFERROR(IF(VLOOKUP(C485,[1]List1!$A:$D,2,FALSE)="VYPRODÁNO",$V$9,IF(VLOOKUP(C485,[1]List1!$A:$D,2,FALSE)="DOCHÁZÍ",$V$3,VLOOKUP(C485,[1]List1!$A:$D,2,FALSE))),"OFFLINE!")</f>
        <v>SKLADEM</v>
      </c>
      <c r="AD485" s="647" t="str">
        <f ca="1">IF(AP485="NE",$V$10,IF(AC485=$V$3,IF(AQ485&lt;1,$V$8,$V$2&amp;" "&amp;AQ485&amp;" "&amp;$V$1),IF(AC485="SKLADEM",$V$6,IFERROR(IF(OR(AC485-TODAY()&gt;45,VLOOKUP(C485,[1]List1!$A:$E,4,FALSE)=0),AC485,DAY(AC485)&amp;"."&amp;MONTH(AC485)&amp;"."&amp;YEAR(AC485)&amp;" "&amp;$V$4&amp;VLOOKUP(C485,[1]List1!$A:$E,4,FALSE)&amp;" "&amp;$V$1),AC485))))</f>
        <v>SKLADEM</v>
      </c>
      <c r="AE485" s="645" t="str">
        <f t="shared" ca="1" si="1422"/>
        <v>SKLADEM</v>
      </c>
      <c r="AF485" s="648">
        <f t="shared" si="1423"/>
        <v>0</v>
      </c>
      <c r="AG485" s="649">
        <f t="shared" si="1424"/>
        <v>0</v>
      </c>
      <c r="AH485" s="650">
        <f t="shared" si="1425"/>
        <v>0</v>
      </c>
      <c r="AI485" s="645">
        <f t="shared" si="1426"/>
        <v>0</v>
      </c>
      <c r="AJ485" s="645">
        <f t="shared" si="1427"/>
        <v>0</v>
      </c>
      <c r="AK485" s="645" t="str">
        <f t="shared" si="1428"/>
        <v/>
      </c>
      <c r="AL485" s="645" t="str">
        <f t="shared" si="1429"/>
        <v/>
      </c>
      <c r="AM485" s="645">
        <f t="shared" si="1430"/>
        <v>0</v>
      </c>
      <c r="AN485" s="651">
        <f t="shared" si="1431"/>
        <v>0</v>
      </c>
      <c r="AO485" s="623"/>
      <c r="AP485" s="632" t="str">
        <f t="shared" si="1327"/>
        <v/>
      </c>
      <c r="AQ485" s="633" t="str">
        <f>IF(AC485=$V$3,IF(VLOOKUP(C485,[1]List1!$A:$E,5,FALSE)=0,1,VLOOKUP(C485,[1]List1!$A:$E,5,FALSE)),"")</f>
        <v/>
      </c>
      <c r="AR485" s="625" t="str">
        <f t="shared" si="1328"/>
        <v/>
      </c>
      <c r="AS485" s="634" t="str">
        <f t="shared" si="1312"/>
        <v/>
      </c>
      <c r="AT485" s="625" t="str">
        <f t="shared" si="1329"/>
        <v/>
      </c>
      <c r="AU485" s="638" t="e">
        <f t="shared" si="1330"/>
        <v>#N/A</v>
      </c>
      <c r="AV485" s="625" t="e">
        <f t="shared" si="1331"/>
        <v>#N/A</v>
      </c>
      <c r="AX485" s="625">
        <f>IF(AND('General price list'!$J485="F4",'General price list'!$AB485+0&gt;0),1,0)</f>
        <v>0</v>
      </c>
      <c r="AY485" s="625">
        <f t="shared" si="1332"/>
        <v>1</v>
      </c>
      <c r="AZ485" s="625">
        <f t="shared" si="1333"/>
        <v>0</v>
      </c>
    </row>
    <row r="486" spans="1:52" ht="15" customHeight="1">
      <c r="A486" s="621" t="str">
        <f>Kat.!C486</f>
        <v/>
      </c>
      <c r="B486" s="566">
        <f>IF(AND('General price list'!$J486="F4",$AI$1=FALSE),0,IF(AC486="SKLADEM",1,IF(AC486=$V$3,1,0)))</f>
        <v>1</v>
      </c>
      <c r="C486" s="567" t="s">
        <v>12026</v>
      </c>
      <c r="D486" s="568" t="s">
        <v>12027</v>
      </c>
      <c r="E486" s="763" t="s">
        <v>12663</v>
      </c>
      <c r="F486" s="772">
        <f>IFERROR(VLOOKUP(C486,[2]List1!$A:$D,3,FALSE),"NEUVEDENO!")</f>
        <v>1992</v>
      </c>
      <c r="G486" s="769">
        <f t="shared" si="1418"/>
        <v>1992</v>
      </c>
      <c r="H486" s="766">
        <f t="shared" si="1419"/>
        <v>84.617247135884597</v>
      </c>
      <c r="I486" s="764">
        <f>IFERROR(VLOOKUP(C486,[2]List1!$A:$D,4,FALSE),"NEUVEDENO!")</f>
        <v>1</v>
      </c>
      <c r="J486" s="732" t="s">
        <v>39</v>
      </c>
      <c r="K486" s="569" t="s">
        <v>20</v>
      </c>
      <c r="L486" s="569"/>
      <c r="M486" s="569" t="s">
        <v>21</v>
      </c>
      <c r="N486" s="569">
        <f>IFERROR(VLOOKUP(C486,[3]List1!$A:$D,4,FALSE),"N/A!")</f>
        <v>2.2848E-2</v>
      </c>
      <c r="O486" s="569">
        <f>IFERROR(VLOOKUP(C486,[3]List1!$A:$D,3,FALSE),"N/A!")</f>
        <v>995</v>
      </c>
      <c r="P486" s="569">
        <f>IFERROR(VLOOKUP(C486,[3]List1!$A:$D,2,FALSE),"N/A!")</f>
        <v>11000</v>
      </c>
      <c r="Q486" s="569" t="s">
        <v>11249</v>
      </c>
      <c r="R486" s="569"/>
      <c r="S486" s="569" t="str">
        <f>IF($W$17=$AF$1,"červená fólie",IFERROR(VLOOKUP("červená fólie",Jazyky_ceník!$A:$Q,MATCH($W$17,Jazyky_ceník!$A$1:$Q$1,0),FALSE),"!!!"))</f>
        <v>červená fólie</v>
      </c>
      <c r="T486" s="569">
        <v>100</v>
      </c>
      <c r="U486" s="569">
        <v>25</v>
      </c>
      <c r="V486" s="569">
        <v>13</v>
      </c>
      <c r="W486" s="569" t="str">
        <f>IFERROR(IF(AND($AB486&gt;=0.1*$AA486,MOD($AB486,$AA486)&gt;=($AA486-(0.1*$AA486))),IF($W$17=$AF$1,"Zvažte možnost doobjednání ještě "&amp;Tabulka1[[#This Row],[VKPAL]]-MOD(AB486,AA486)&amp;" VK do plné palety.",VLOOKUP("Zvažte možnost doobjednání ještě ",Jazyky_ceník!A:Q,MATCH($W$17,Jazyky_ceník!$A$1:$Q$1,0),FALSE)&amp;Tabulka1[[#This Row],[VKPAL]]-MOD(AB486,AA486)&amp;VLOOKUP(" VK do plné palety.",Jazyky_ceník!A:Q,MATCH($W$17,Jazyky_ceník!$A$1:$Q$1,0),FALSE)),IFERROR(IF(AND(NOT(MOD($AB486,$AA486)=0),$AB486&gt;=0.9*$AA486,MOD($AB486,$AA486)&lt;=0.1*$AA486),IF($W$17=$AF$1,"Zvažte možnost optimalizace objednaného množství podle počtu VK na paletě ==&gt;",VLOOKUP("Zvažte možnost optimalizace objednaného množství podle počtu VK na paletě ==&gt;",Jazyky_ceník!A:Q,MATCH($W$17,Jazyky_ceník!$A$1:$Q$1,0),FALSE)),VLOOKUP('General price list'!$C486,Popisy!A:M,MATCH($W$17,Popisy!$A$7:$M$7,0),FALSE)),"---------------")),IFERROR(VLOOKUP('General price list'!$C486,Popisy!A:M,MATCH($W$17,Popisy!$A$7:$M$7,0),FALSE),"---------------"))</f>
        <v>18 různobarevných efektů</v>
      </c>
      <c r="X486" s="569" t="str">
        <f t="shared" si="1420"/>
        <v/>
      </c>
      <c r="Y486" s="569" t="str">
        <f t="shared" si="1421"/>
        <v/>
      </c>
      <c r="Z486" s="569" t="str">
        <f>HYPERLINK("https://www.klasekpyrotechnics.cz/c18820xr-c14")</f>
        <v>https://www.klasekpyrotechnics.cz/c18820xr-c14</v>
      </c>
      <c r="AA486" s="569">
        <f>IFERROR(IF(VLOOKUP(C486,[4]List1!$A:$D,4,FALSE)=0,"",VLOOKUP(C486,[4]List1!$A:$D,4,FALSE)),"")</f>
        <v>48</v>
      </c>
      <c r="AB486" s="565"/>
      <c r="AC486" s="570" t="str">
        <f>IFERROR(IF(VLOOKUP(C486,[1]List1!$A:$D,2,FALSE)="VYPRODÁNO",$V$9,IF(VLOOKUP(C486,[1]List1!$A:$D,2,FALSE)="DOCHÁZÍ",$V$3,VLOOKUP(C486,[1]List1!$A:$D,2,FALSE))),"OFFLINE!")</f>
        <v>SKLADEM</v>
      </c>
      <c r="AD486" s="570" t="str">
        <f ca="1">IF(AP486="NE",$V$10,IF(AC486=$V$3,IF(AQ486&lt;1,$V$8,$V$2&amp;" "&amp;AQ486&amp;" "&amp;$V$1),IF(AC486="SKLADEM",$V$6,IFERROR(IF(OR(AC486-TODAY()&gt;45,VLOOKUP(C486,[1]List1!$A:$E,4,FALSE)=0),AC486,DAY(AC486)&amp;"."&amp;MONTH(AC486)&amp;"."&amp;YEAR(AC486)&amp;" "&amp;$V$4&amp;VLOOKUP(C486,[1]List1!$A:$E,4,FALSE)&amp;" "&amp;$V$1),AC486))))</f>
        <v>SKLADEM</v>
      </c>
      <c r="AE486" s="581" t="str">
        <f t="shared" ca="1" si="1422"/>
        <v>SKLADEM</v>
      </c>
      <c r="AF486" s="584">
        <f t="shared" si="1423"/>
        <v>0</v>
      </c>
      <c r="AG486" s="585">
        <f t="shared" si="1424"/>
        <v>0</v>
      </c>
      <c r="AH486" s="583">
        <f t="shared" si="1425"/>
        <v>0</v>
      </c>
      <c r="AI486" s="582">
        <f t="shared" si="1426"/>
        <v>0</v>
      </c>
      <c r="AJ486" s="569">
        <f t="shared" si="1427"/>
        <v>0</v>
      </c>
      <c r="AK486" s="569" t="str">
        <f t="shared" si="1428"/>
        <v/>
      </c>
      <c r="AL486" s="569" t="str">
        <f t="shared" si="1429"/>
        <v/>
      </c>
      <c r="AM486" s="569">
        <f t="shared" si="1430"/>
        <v>0</v>
      </c>
      <c r="AN486" s="581">
        <f t="shared" si="1431"/>
        <v>0</v>
      </c>
      <c r="AO486" s="623"/>
      <c r="AP486" s="632" t="str">
        <f t="shared" si="1327"/>
        <v/>
      </c>
      <c r="AQ486" s="633" t="str">
        <f>IF(AC486=$V$3,IF(VLOOKUP(C486,[1]List1!$A:$E,5,FALSE)=0,1,VLOOKUP(C486,[1]List1!$A:$E,5,FALSE)),"")</f>
        <v/>
      </c>
      <c r="AR486" s="625" t="str">
        <f t="shared" si="1328"/>
        <v/>
      </c>
      <c r="AS486" s="634" t="str">
        <f t="shared" si="1312"/>
        <v/>
      </c>
      <c r="AT486" s="625" t="str">
        <f t="shared" si="1329"/>
        <v/>
      </c>
      <c r="AU486" s="638" t="e">
        <f t="shared" si="1330"/>
        <v>#N/A</v>
      </c>
      <c r="AV486" s="625" t="e">
        <f t="shared" si="1331"/>
        <v>#N/A</v>
      </c>
      <c r="AX486" s="625">
        <f>IF(AND('General price list'!$J486="F4",'General price list'!$AB486+0&gt;0),1,0)</f>
        <v>0</v>
      </c>
      <c r="AY486" s="625">
        <f t="shared" si="1332"/>
        <v>1</v>
      </c>
      <c r="AZ486" s="625">
        <f t="shared" si="1333"/>
        <v>0</v>
      </c>
    </row>
    <row r="487" spans="1:52" ht="15" customHeight="1">
      <c r="A487" s="639" t="str">
        <f>Kat.!C487</f>
        <v/>
      </c>
      <c r="B487" s="640">
        <f>IF(AND('General price list'!$J487="F4",$AI$1=FALSE),0,IF(AC487="SKLADEM",1,IF(AC487=$V$3,1,0)))</f>
        <v>0</v>
      </c>
      <c r="C487" s="641" t="s">
        <v>12456</v>
      </c>
      <c r="D487" s="642" t="s">
        <v>12541</v>
      </c>
      <c r="E487" s="643" t="s">
        <v>12663</v>
      </c>
      <c r="F487" s="791">
        <f>IFERROR(VLOOKUP(C487,[2]List1!$A:$D,3,FALSE),"NEUVEDENO!")</f>
        <v>1379</v>
      </c>
      <c r="G487" s="768">
        <f t="shared" si="1418"/>
        <v>1379</v>
      </c>
      <c r="H487" s="765">
        <f t="shared" si="1419"/>
        <v>58.577903514249428</v>
      </c>
      <c r="I487" s="644">
        <f>IFERROR(VLOOKUP(C487,[2]List1!$A:$D,4,FALSE),"NEUVEDENO!")</f>
        <v>1</v>
      </c>
      <c r="J487" s="733" t="s">
        <v>39</v>
      </c>
      <c r="K487" s="645" t="s">
        <v>13032</v>
      </c>
      <c r="L487" s="645"/>
      <c r="M487" s="645" t="s">
        <v>21</v>
      </c>
      <c r="N487" s="645">
        <f>IFERROR(VLOOKUP(C487,[3]List1!$A:$D,4,FALSE),"N/A!")</f>
        <v>1.95E-2</v>
      </c>
      <c r="O487" s="645">
        <f>IFERROR(VLOOKUP(C487,[3]List1!$A:$D,3,FALSE),"N/A!")</f>
        <v>1000</v>
      </c>
      <c r="P487" s="645">
        <f>IFERROR(VLOOKUP(C487,[3]List1!$A:$D,2,FALSE),"N/A!")</f>
        <v>9000</v>
      </c>
      <c r="Q487" s="645" t="s">
        <v>11780</v>
      </c>
      <c r="R487" s="645"/>
      <c r="S487" s="645" t="str">
        <f>IF($W$17=$AF$1,"červená fólie",IFERROR(VLOOKUP("červená fólie",Jazyky_ceník!$A:$Q,MATCH($W$17,Jazyky_ceník!$A$1:$Q$1,0),FALSE),"!!!"))</f>
        <v>červená fólie</v>
      </c>
      <c r="T487" s="645">
        <v>100</v>
      </c>
      <c r="U487" s="645">
        <v>25</v>
      </c>
      <c r="V487" s="645">
        <v>13</v>
      </c>
      <c r="W487" s="645" t="str">
        <f>IFERROR(IF(AND($AB487&gt;=0.1*$AA487,MOD($AB487,$AA487)&gt;=($AA487-(0.1*$AA487))),IF($W$17=$AF$1,"Zvažte možnost doobjednání ještě "&amp;Tabulka1[[#This Row],[VKPAL]]-MOD(AB487,AA487)&amp;" VK do plné palety.",VLOOKUP("Zvažte možnost doobjednání ještě ",Jazyky_ceník!A:Q,MATCH($W$17,Jazyky_ceník!$A$1:$Q$1,0),FALSE)&amp;Tabulka1[[#This Row],[VKPAL]]-MOD(AB487,AA487)&amp;VLOOKUP(" VK do plné palety.",Jazyky_ceník!A:Q,MATCH($W$17,Jazyky_ceník!$A$1:$Q$1,0),FALSE)),IFERROR(IF(AND(NOT(MOD($AB487,$AA487)=0),$AB487&gt;=0.9*$AA487,MOD($AB487,$AA487)&lt;=0.1*$AA487),IF($W$17=$AF$1,"Zvažte možnost optimalizace objednaného množství podle počtu VK na paletě ==&gt;",VLOOKUP("Zvažte možnost optimalizace objednaného množství podle počtu VK na paletě ==&gt;",Jazyky_ceník!A:Q,MATCH($W$17,Jazyky_ceník!$A$1:$Q$1,0),FALSE)),VLOOKUP('General price list'!$C487,Popisy!A:M,MATCH($W$17,Popisy!$A$7:$M$7,0),FALSE)),"---------------")),IFERROR(VLOOKUP('General price list'!$C487,Popisy!A:M,MATCH($W$17,Popisy!$A$7:$M$7,0),FALSE),"---------------"))</f>
        <v>20 různobarevných efektů</v>
      </c>
      <c r="X487" s="645" t="str">
        <f t="shared" si="1420"/>
        <v/>
      </c>
      <c r="Y487" s="645" t="str">
        <f t="shared" si="1421"/>
        <v/>
      </c>
      <c r="Z487" s="645" t="str">
        <f>HYPERLINK("https://www.klasekpyrotechnics.cz/c20020n-c14")</f>
        <v>https://www.klasekpyrotechnics.cz/c20020n-c14</v>
      </c>
      <c r="AA487" s="645" t="str">
        <f>IFERROR(IF(VLOOKUP(C487,[4]List1!$A:$D,4,FALSE)=0,"",VLOOKUP(C487,[4]List1!$A:$D,4,FALSE)),"")</f>
        <v/>
      </c>
      <c r="AB487" s="646"/>
      <c r="AC487" s="647" t="str">
        <f>IFERROR(IF(VLOOKUP(C487,[1]List1!$A:$D,2,FALSE)="VYPRODÁNO",$V$9,IF(VLOOKUP(C487,[1]List1!$A:$D,2,FALSE)="DOCHÁZÍ",$V$3,VLOOKUP(C487,[1]List1!$A:$D,2,FALSE))),"OFFLINE!")</f>
        <v>31.08.2026</v>
      </c>
      <c r="AD487" s="647" t="str">
        <f ca="1">IF(AP487="NE",$V$10,IF(AC487=$V$3,IF(AQ487&lt;1,$V$8,$V$2&amp;" "&amp;AQ487&amp;" "&amp;$V$1),IF(AC487="SKLADEM",$V$6,IFERROR(IF(OR(AC487-TODAY()&gt;45,VLOOKUP(C487,[1]List1!$A:$E,4,FALSE)=0),AC487,DAY(AC487)&amp;"."&amp;MONTH(AC487)&amp;"."&amp;YEAR(AC487)&amp;" "&amp;$V$4&amp;VLOOKUP(C487,[1]List1!$A:$E,4,FALSE)&amp;" "&amp;$V$1),AC487))))</f>
        <v>31.08.2026</v>
      </c>
      <c r="AE487" s="645" t="str">
        <f t="shared" ca="1" si="1422"/>
        <v>31.08.2026</v>
      </c>
      <c r="AF487" s="648">
        <f t="shared" si="1423"/>
        <v>0</v>
      </c>
      <c r="AG487" s="649">
        <f t="shared" si="1424"/>
        <v>0</v>
      </c>
      <c r="AH487" s="650">
        <f t="shared" si="1425"/>
        <v>0</v>
      </c>
      <c r="AI487" s="645">
        <f t="shared" si="1426"/>
        <v>0</v>
      </c>
      <c r="AJ487" s="645">
        <f t="shared" si="1427"/>
        <v>0</v>
      </c>
      <c r="AK487" s="645" t="str">
        <f t="shared" si="1428"/>
        <v/>
      </c>
      <c r="AL487" s="645" t="str">
        <f t="shared" si="1429"/>
        <v/>
      </c>
      <c r="AM487" s="645">
        <f t="shared" si="1430"/>
        <v>0</v>
      </c>
      <c r="AN487" s="651">
        <f t="shared" si="1431"/>
        <v>0</v>
      </c>
      <c r="AO487" s="623"/>
      <c r="AP487" s="632" t="str">
        <f t="shared" si="1327"/>
        <v/>
      </c>
      <c r="AQ487" s="633" t="str">
        <f>IF(AC487=$V$3,IF(VLOOKUP(C487,[1]List1!$A:$E,5,FALSE)=0,1,VLOOKUP(C487,[1]List1!$A:$E,5,FALSE)),"")</f>
        <v/>
      </c>
      <c r="AR487" s="625" t="str">
        <f t="shared" si="1328"/>
        <v/>
      </c>
      <c r="AS487" s="634" t="str">
        <f t="shared" si="1312"/>
        <v/>
      </c>
      <c r="AT487" s="625" t="str">
        <f t="shared" si="1329"/>
        <v/>
      </c>
      <c r="AU487" s="638" t="e">
        <f t="shared" si="1330"/>
        <v>#N/A</v>
      </c>
      <c r="AV487" s="625" t="e">
        <f t="shared" si="1331"/>
        <v>#N/A</v>
      </c>
      <c r="AX487" s="625">
        <f>IF(AND('General price list'!$J487="F4",'General price list'!$AB487+0&gt;0),1,0)</f>
        <v>0</v>
      </c>
      <c r="AY487" s="625">
        <f t="shared" si="1332"/>
        <v>1</v>
      </c>
      <c r="AZ487" s="625">
        <f t="shared" si="1333"/>
        <v>0</v>
      </c>
    </row>
    <row r="488" spans="1:52" ht="15" customHeight="1">
      <c r="A488" s="621" t="str">
        <f>Kat.!C488</f>
        <v/>
      </c>
      <c r="B488" s="566">
        <f>IF(AND('General price list'!$J488="F4",$AI$1=FALSE),0,IF(AC488="SKLADEM",1,IF(AC488=$V$3,1,0)))</f>
        <v>1</v>
      </c>
      <c r="C488" s="567" t="s">
        <v>2279</v>
      </c>
      <c r="D488" s="568" t="s">
        <v>11727</v>
      </c>
      <c r="E488" s="763" t="s">
        <v>12663</v>
      </c>
      <c r="F488" s="772">
        <f>IFERROR(VLOOKUP(C488,[2]List1!$A:$D,3,FALSE),"NEUVEDENO!")</f>
        <v>2096</v>
      </c>
      <c r="G488" s="769">
        <f t="shared" si="1418"/>
        <v>2096</v>
      </c>
      <c r="H488" s="766">
        <f t="shared" si="1419"/>
        <v>89.035015058641619</v>
      </c>
      <c r="I488" s="764">
        <f>IFERROR(VLOOKUP(C488,[2]List1!$A:$D,4,FALSE),"NEUVEDENO!")</f>
        <v>1</v>
      </c>
      <c r="J488" s="732" t="s">
        <v>39</v>
      </c>
      <c r="K488" s="569" t="s">
        <v>20</v>
      </c>
      <c r="L488" s="569" t="s">
        <v>10994</v>
      </c>
      <c r="M488" s="569" t="s">
        <v>21</v>
      </c>
      <c r="N488" s="569">
        <f>IFERROR(VLOOKUP(C488,[3]List1!$A:$D,4,FALSE),"N/A!")</f>
        <v>2.5042499999999999E-2</v>
      </c>
      <c r="O488" s="569">
        <f>IFERROR(VLOOKUP(C488,[3]List1!$A:$D,3,FALSE),"N/A!")</f>
        <v>1000</v>
      </c>
      <c r="P488" s="569">
        <f>IFERROR(VLOOKUP(C488,[3]List1!$A:$D,2,FALSE),"N/A!")</f>
        <v>10000</v>
      </c>
      <c r="Q488" s="569" t="s">
        <v>11296</v>
      </c>
      <c r="R488" s="569" t="s">
        <v>20</v>
      </c>
      <c r="S488" s="569" t="str">
        <f>IF($W$17=$AF$1,"červená fólie",IFERROR(VLOOKUP("červená fólie",Jazyky_ceník!$A:$Q,MATCH($W$17,Jazyky_ceník!$A$1:$Q$1,0),FALSE),"!!!"))</f>
        <v>červená fólie</v>
      </c>
      <c r="T488" s="569">
        <v>100</v>
      </c>
      <c r="U488" s="569">
        <v>25</v>
      </c>
      <c r="V488" s="569">
        <v>13</v>
      </c>
      <c r="W488" s="569" t="str">
        <f>IFERROR(IF(AND($AB488&gt;=0.1*$AA488,MOD($AB488,$AA488)&gt;=($AA488-(0.1*$AA488))),IF($W$17=$AF$1,"Zvažte možnost doobjednání ještě "&amp;Tabulka1[[#This Row],[VKPAL]]-MOD(AB488,AA488)&amp;" VK do plné palety.",VLOOKUP("Zvažte možnost doobjednání ještě ",Jazyky_ceník!A:Q,MATCH($W$17,Jazyky_ceník!$A$1:$Q$1,0),FALSE)&amp;Tabulka1[[#This Row],[VKPAL]]-MOD(AB488,AA488)&amp;VLOOKUP(" VK do plné palety.",Jazyky_ceník!A:Q,MATCH($W$17,Jazyky_ceník!$A$1:$Q$1,0),FALSE)),IFERROR(IF(AND(NOT(MOD($AB488,$AA488)=0),$AB488&gt;=0.9*$AA488,MOD($AB488,$AA488)&lt;=0.1*$AA488),IF($W$17=$AF$1,"Zvažte možnost optimalizace objednaného množství podle počtu VK na paletě ==&gt;",VLOOKUP("Zvažte možnost optimalizace objednaného množství podle počtu VK na paletě ==&gt;",Jazyky_ceník!A:Q,MATCH($W$17,Jazyky_ceník!$A$1:$Q$1,0),FALSE)),VLOOKUP('General price list'!$C488,Popisy!A:M,MATCH($W$17,Popisy!$A$7:$M$7,0),FALSE)),"---------------")),IFERROR(VLOOKUP('General price list'!$C488,Popisy!A:M,MATCH($W$17,Popisy!$A$7:$M$7,0),FALSE),"---------------"))</f>
        <v>20 různobarevných efektů</v>
      </c>
      <c r="X488" s="569" t="str">
        <f t="shared" si="1420"/>
        <v/>
      </c>
      <c r="Y488" s="569" t="str">
        <f t="shared" si="1421"/>
        <v/>
      </c>
      <c r="Z488" s="569" t="str">
        <f>HYPERLINK("https://www.klasekpyrotechnics.cz/c20020xpr-c14")</f>
        <v>https://www.klasekpyrotechnics.cz/c20020xpr-c14</v>
      </c>
      <c r="AA488" s="569" t="str">
        <f>IFERROR(IF(VLOOKUP(C488,[4]List1!$A:$D,4,FALSE)=0,"",VLOOKUP(C488,[4]List1!$A:$D,4,FALSE)),"")</f>
        <v>40</v>
      </c>
      <c r="AB488" s="565"/>
      <c r="AC488" s="570" t="str">
        <f>IFERROR(IF(VLOOKUP(C488,[1]List1!$A:$D,2,FALSE)="VYPRODÁNO",$V$9,IF(VLOOKUP(C488,[1]List1!$A:$D,2,FALSE)="DOCHÁZÍ",$V$3,VLOOKUP(C488,[1]List1!$A:$D,2,FALSE))),"OFFLINE!")</f>
        <v>SKLADEM</v>
      </c>
      <c r="AD488" s="570" t="str">
        <f ca="1">IF(AP488="NE",$V$10,IF(AC488=$V$3,IF(AQ488&lt;1,$V$8,$V$2&amp;" "&amp;AQ488&amp;" "&amp;$V$1),IF(AC488="SKLADEM",$V$6,IFERROR(IF(OR(AC488-TODAY()&gt;45,VLOOKUP(C488,[1]List1!$A:$E,4,FALSE)=0),AC488,DAY(AC488)&amp;"."&amp;MONTH(AC488)&amp;"."&amp;YEAR(AC488)&amp;" "&amp;$V$4&amp;VLOOKUP(C488,[1]List1!$A:$E,4,FALSE)&amp;" "&amp;$V$1),AC488))))</f>
        <v>SKLADEM</v>
      </c>
      <c r="AE488" s="581" t="str">
        <f t="shared" ca="1" si="1422"/>
        <v>SKLADEM</v>
      </c>
      <c r="AF488" s="584">
        <f t="shared" si="1423"/>
        <v>0</v>
      </c>
      <c r="AG488" s="585">
        <f t="shared" si="1424"/>
        <v>0</v>
      </c>
      <c r="AH488" s="583">
        <f t="shared" si="1425"/>
        <v>0</v>
      </c>
      <c r="AI488" s="582">
        <f t="shared" si="1426"/>
        <v>0</v>
      </c>
      <c r="AJ488" s="569">
        <f t="shared" si="1427"/>
        <v>0</v>
      </c>
      <c r="AK488" s="569" t="str">
        <f t="shared" si="1428"/>
        <v/>
      </c>
      <c r="AL488" s="569" t="str">
        <f t="shared" si="1429"/>
        <v/>
      </c>
      <c r="AM488" s="569">
        <f t="shared" si="1430"/>
        <v>0</v>
      </c>
      <c r="AN488" s="581">
        <f t="shared" si="1431"/>
        <v>0</v>
      </c>
      <c r="AO488" s="623"/>
      <c r="AP488" s="632" t="str">
        <f t="shared" si="1327"/>
        <v/>
      </c>
      <c r="AQ488" s="633" t="str">
        <f>IF(AC488=$V$3,IF(VLOOKUP(C488,[1]List1!$A:$E,5,FALSE)=0,1,VLOOKUP(C488,[1]List1!$A:$E,5,FALSE)),"")</f>
        <v/>
      </c>
      <c r="AR488" s="625" t="str">
        <f t="shared" si="1328"/>
        <v/>
      </c>
      <c r="AS488" s="634" t="str">
        <f t="shared" si="1312"/>
        <v/>
      </c>
      <c r="AT488" s="625" t="str">
        <f t="shared" si="1329"/>
        <v/>
      </c>
      <c r="AU488" s="638" t="e">
        <f t="shared" si="1330"/>
        <v>#N/A</v>
      </c>
      <c r="AV488" s="625" t="e">
        <f t="shared" si="1331"/>
        <v>#N/A</v>
      </c>
      <c r="AX488" s="625">
        <f>IF(AND('General price list'!$J488="F4",'General price list'!$AB488+0&gt;0),1,0)</f>
        <v>0</v>
      </c>
      <c r="AY488" s="625">
        <f t="shared" si="1332"/>
        <v>1</v>
      </c>
      <c r="AZ488" s="625">
        <f t="shared" si="1333"/>
        <v>0</v>
      </c>
    </row>
    <row r="489" spans="1:52" ht="15.75" customHeight="1">
      <c r="A489" s="639" t="str">
        <f>Kat.!C489</f>
        <v/>
      </c>
      <c r="B489" s="640">
        <f>IF(AND('General price list'!$J489="F4",$AI$1=FALSE),0,IF(AC489="SKLADEM",1,IF(AC489=$V$3,1,0)))</f>
        <v>1</v>
      </c>
      <c r="C489" s="641" t="s">
        <v>4840</v>
      </c>
      <c r="D489" s="642" t="s">
        <v>4841</v>
      </c>
      <c r="E489" s="643" t="s">
        <v>12663</v>
      </c>
      <c r="F489" s="771">
        <f>IFERROR(VLOOKUP(C489,[2]List1!$A:$D,3,FALSE),"NEUVEDENO!")</f>
        <v>2096</v>
      </c>
      <c r="G489" s="768">
        <f t="shared" si="1418"/>
        <v>2096</v>
      </c>
      <c r="H489" s="765">
        <f t="shared" si="1419"/>
        <v>89.035015058641619</v>
      </c>
      <c r="I489" s="644">
        <f>IFERROR(VLOOKUP(C489,[2]List1!$A:$D,4,FALSE),"NEUVEDENO!")</f>
        <v>1</v>
      </c>
      <c r="J489" s="733" t="s">
        <v>39</v>
      </c>
      <c r="K489" s="645" t="s">
        <v>20</v>
      </c>
      <c r="L489" s="645" t="s">
        <v>10994</v>
      </c>
      <c r="M489" s="645" t="s">
        <v>21</v>
      </c>
      <c r="N489" s="645">
        <f>IFERROR(VLOOKUP(C489,[3]List1!$A:$D,4,FALSE),"N/A!")</f>
        <v>2.5042499999999999E-2</v>
      </c>
      <c r="O489" s="645">
        <f>IFERROR(VLOOKUP(C489,[3]List1!$A:$D,3,FALSE),"N/A!")</f>
        <v>1000</v>
      </c>
      <c r="P489" s="645">
        <f>IFERROR(VLOOKUP(C489,[3]List1!$A:$D,2,FALSE),"N/A!")</f>
        <v>10000</v>
      </c>
      <c r="Q489" s="645" t="s">
        <v>11296</v>
      </c>
      <c r="R489" s="645"/>
      <c r="S489" s="645" t="str">
        <f>IF($W$17=$AF$1,"červená fólie",IFERROR(VLOOKUP("červená fólie",Jazyky_ceník!$A:$Q,MATCH($W$17,Jazyky_ceník!$A$1:$Q$1,0),FALSE),"!!!"))</f>
        <v>červená fólie</v>
      </c>
      <c r="T489" s="645">
        <v>80</v>
      </c>
      <c r="U489" s="645">
        <v>25</v>
      </c>
      <c r="V489" s="645">
        <v>13</v>
      </c>
      <c r="W489" s="645" t="str">
        <f>IFERROR(IF(AND($AB489&gt;=0.1*$AA489,MOD($AB489,$AA489)&gt;=($AA489-(0.1*$AA489))),IF($W$17=$AF$1,"Zvažte možnost doobjednání ještě "&amp;Tabulka1[[#This Row],[VKPAL]]-MOD(AB489,AA489)&amp;" VK do plné palety.",VLOOKUP("Zvažte možnost doobjednání ještě ",Jazyky_ceník!A:Q,MATCH($W$17,Jazyky_ceník!$A$1:$Q$1,0),FALSE)&amp;Tabulka1[[#This Row],[VKPAL]]-MOD(AB489,AA489)&amp;VLOOKUP(" VK do plné palety.",Jazyky_ceník!A:Q,MATCH($W$17,Jazyky_ceník!$A$1:$Q$1,0),FALSE)),IFERROR(IF(AND(NOT(MOD($AB489,$AA489)=0),$AB489&gt;=0.9*$AA489,MOD($AB489,$AA489)&lt;=0.1*$AA489),IF($W$17=$AF$1,"Zvažte možnost optimalizace objednaného množství podle počtu VK na paletě ==&gt;",VLOOKUP("Zvažte možnost optimalizace objednaného množství podle počtu VK na paletě ==&gt;",Jazyky_ceník!A:Q,MATCH($W$17,Jazyky_ceník!$A$1:$Q$1,0),FALSE)),VLOOKUP('General price list'!$C489,Popisy!A:M,MATCH($W$17,Popisy!$A$7:$M$7,0),FALSE)),"---------------")),IFERROR(VLOOKUP('General price list'!$C489,Popisy!A:M,MATCH($W$17,Popisy!$A$7:$M$7,0),FALSE),"---------------"))</f>
        <v>20 různobarevných efektů</v>
      </c>
      <c r="X489" s="645" t="str">
        <f t="shared" si="1420"/>
        <v/>
      </c>
      <c r="Y489" s="645" t="str">
        <f t="shared" si="1421"/>
        <v/>
      </c>
      <c r="Z489" s="645" t="str">
        <f>HYPERLINK("https://www.klasekpyrotechnics.cz/c20020xts-c14")</f>
        <v>https://www.klasekpyrotechnics.cz/c20020xts-c14</v>
      </c>
      <c r="AA489" s="645" t="str">
        <f>IFERROR(IF(VLOOKUP(C489,[4]List1!$A:$D,4,FALSE)=0,"",VLOOKUP(C489,[4]List1!$A:$D,4,FALSE)),"")</f>
        <v>40</v>
      </c>
      <c r="AB489" s="646"/>
      <c r="AC489" s="647" t="str">
        <f>IFERROR(IF(VLOOKUP(C489,[1]List1!$A:$D,2,FALSE)="VYPRODÁNO",$V$9,IF(VLOOKUP(C489,[1]List1!$A:$D,2,FALSE)="DOCHÁZÍ",$V$3,VLOOKUP(C489,[1]List1!$A:$D,2,FALSE))),"OFFLINE!")</f>
        <v>SKLADEM</v>
      </c>
      <c r="AD489" s="647" t="str">
        <f ca="1">IF(AP489="NE",$V$10,IF(AC489=$V$3,IF(AQ489&lt;1,$V$8,$V$2&amp;" "&amp;AQ489&amp;" "&amp;$V$1),IF(AC489="SKLADEM",$V$6,IFERROR(IF(OR(AC489-TODAY()&gt;45,VLOOKUP(C489,[1]List1!$A:$E,4,FALSE)=0),AC489,DAY(AC489)&amp;"."&amp;MONTH(AC489)&amp;"."&amp;YEAR(AC489)&amp;" "&amp;$V$4&amp;VLOOKUP(C489,[1]List1!$A:$E,4,FALSE)&amp;" "&amp;$V$1),AC489))))</f>
        <v>SKLADEM</v>
      </c>
      <c r="AE489" s="645" t="str">
        <f t="shared" ca="1" si="1422"/>
        <v>SKLADEM</v>
      </c>
      <c r="AF489" s="648">
        <f t="shared" si="1423"/>
        <v>0</v>
      </c>
      <c r="AG489" s="649">
        <f t="shared" si="1424"/>
        <v>0</v>
      </c>
      <c r="AH489" s="650">
        <f t="shared" si="1425"/>
        <v>0</v>
      </c>
      <c r="AI489" s="645">
        <f t="shared" si="1426"/>
        <v>0</v>
      </c>
      <c r="AJ489" s="645">
        <f t="shared" si="1427"/>
        <v>0</v>
      </c>
      <c r="AK489" s="645" t="str">
        <f t="shared" si="1428"/>
        <v/>
      </c>
      <c r="AL489" s="645" t="str">
        <f t="shared" si="1429"/>
        <v/>
      </c>
      <c r="AM489" s="645">
        <f t="shared" si="1430"/>
        <v>0</v>
      </c>
      <c r="AN489" s="651">
        <f t="shared" si="1431"/>
        <v>0</v>
      </c>
      <c r="AO489" s="623"/>
      <c r="AP489" s="625" t="str">
        <f t="shared" si="1327"/>
        <v/>
      </c>
      <c r="AQ489" s="625" t="str">
        <f>IF(AC489=$V$3,IF(VLOOKUP(C489,[1]List1!$A:$E,5,FALSE)=0,1,VLOOKUP(C489,[1]List1!$A:$E,5,FALSE)),"")</f>
        <v/>
      </c>
      <c r="AR489" s="629" t="str">
        <f t="shared" si="1328"/>
        <v/>
      </c>
      <c r="AS489" s="630" t="str">
        <f t="shared" si="1312"/>
        <v/>
      </c>
      <c r="AT489" s="625" t="str">
        <f t="shared" si="1329"/>
        <v/>
      </c>
      <c r="AU489" s="625" t="e">
        <f t="shared" si="1330"/>
        <v>#N/A</v>
      </c>
      <c r="AV489" s="625" t="e">
        <f t="shared" si="1331"/>
        <v>#N/A</v>
      </c>
      <c r="AW489" s="631"/>
      <c r="AX489" s="631">
        <f>IF(AND('General price list'!$J489="F4",'General price list'!$AB489+0&gt;0),1,0)</f>
        <v>0</v>
      </c>
      <c r="AY489" s="631">
        <f t="shared" si="1332"/>
        <v>1</v>
      </c>
      <c r="AZ489" s="631">
        <f t="shared" si="1333"/>
        <v>0</v>
      </c>
    </row>
    <row r="490" spans="1:52" ht="15" customHeight="1">
      <c r="A490" s="621" t="str">
        <f>Kat.!C490</f>
        <v/>
      </c>
      <c r="B490" s="566">
        <f>IF(AND('General price list'!$J490="F4",$AI$1=FALSE),0,IF(AC490="SKLADEM",1,IF(AC490=$V$3,1,0)))</f>
        <v>1</v>
      </c>
      <c r="C490" s="567" t="s">
        <v>12028</v>
      </c>
      <c r="D490" s="568" t="s">
        <v>12029</v>
      </c>
      <c r="E490" s="763" t="s">
        <v>12663</v>
      </c>
      <c r="F490" s="772">
        <f>IFERROR(VLOOKUP(C490,[2]List1!$A:$D,3,FALSE),"NEUVEDENO!")</f>
        <v>2523</v>
      </c>
      <c r="G490" s="769">
        <f t="shared" si="1418"/>
        <v>2523</v>
      </c>
      <c r="H490" s="766">
        <f t="shared" si="1419"/>
        <v>107.17335066457673</v>
      </c>
      <c r="I490" s="764">
        <f>IFERROR(VLOOKUP(C490,[2]List1!$A:$D,4,FALSE),"NEUVEDENO!")</f>
        <v>1</v>
      </c>
      <c r="J490" s="732" t="s">
        <v>39</v>
      </c>
      <c r="K490" s="569" t="s">
        <v>20</v>
      </c>
      <c r="L490" s="569" t="s">
        <v>15088</v>
      </c>
      <c r="M490" s="569" t="s">
        <v>21</v>
      </c>
      <c r="N490" s="569">
        <f>IFERROR(VLOOKUP(C490,[3]List1!$A:$D,4,FALSE),"N/A!")</f>
        <v>2.6672249999999998E-2</v>
      </c>
      <c r="O490" s="569">
        <f>IFERROR(VLOOKUP(C490,[3]List1!$A:$D,3,FALSE),"N/A!")</f>
        <v>997</v>
      </c>
      <c r="P490" s="569">
        <f>IFERROR(VLOOKUP(C490,[3]List1!$A:$D,2,FALSE),"N/A!")</f>
        <v>9500</v>
      </c>
      <c r="Q490" s="569" t="s">
        <v>11296</v>
      </c>
      <c r="R490" s="569"/>
      <c r="S490" s="569" t="str">
        <f>IF($W$17=$AF$1,"červená fólie",IFERROR(VLOOKUP("červená fólie",Jazyky_ceník!$A:$Q,MATCH($W$17,Jazyky_ceník!$A$1:$Q$1,0),FALSE),"!!!"))</f>
        <v>červená fólie</v>
      </c>
      <c r="T490" s="569">
        <v>100</v>
      </c>
      <c r="U490" s="569">
        <v>25</v>
      </c>
      <c r="V490" s="569">
        <v>13</v>
      </c>
      <c r="W490" s="569" t="str">
        <f>IFERROR(IF(AND($AB490&gt;=0.1*$AA490,MOD($AB490,$AA490)&gt;=($AA490-(0.1*$AA490))),IF($W$17=$AF$1,"Zvažte možnost doobjednání ještě "&amp;Tabulka1[[#This Row],[VKPAL]]-MOD(AB490,AA490)&amp;" VK do plné palety.",VLOOKUP("Zvažte možnost doobjednání ještě ",Jazyky_ceník!A:Q,MATCH($W$17,Jazyky_ceník!$A$1:$Q$1,0),FALSE)&amp;Tabulka1[[#This Row],[VKPAL]]-MOD(AB490,AA490)&amp;VLOOKUP(" VK do plné palety.",Jazyky_ceník!A:Q,MATCH($W$17,Jazyky_ceník!$A$1:$Q$1,0),FALSE)),IFERROR(IF(AND(NOT(MOD($AB490,$AA490)=0),$AB490&gt;=0.9*$AA490,MOD($AB490,$AA490)&lt;=0.1*$AA490),IF($W$17=$AF$1,"Zvažte možnost optimalizace objednaného množství podle počtu VK na paletě ==&gt;",VLOOKUP("Zvažte možnost optimalizace objednaného množství podle počtu VK na paletě ==&gt;",Jazyky_ceník!A:Q,MATCH($W$17,Jazyky_ceník!$A$1:$Q$1,0),FALSE)),VLOOKUP('General price list'!$C490,Popisy!A:M,MATCH($W$17,Popisy!$A$7:$M$7,0),FALSE)),"---------------")),IFERROR(VLOOKUP('General price list'!$C490,Popisy!A:M,MATCH($W$17,Popisy!$A$7:$M$7,0),FALSE),"---------------"))</f>
        <v>15 různobarevných efektů</v>
      </c>
      <c r="X490" s="569" t="str">
        <f t="shared" si="1420"/>
        <v/>
      </c>
      <c r="Y490" s="569" t="str">
        <f t="shared" si="1421"/>
        <v/>
      </c>
      <c r="Z490" s="569" t="str">
        <f>HYPERLINK("https://www.klasekpyrotechnics.cz/c19320xr-c14")</f>
        <v>https://www.klasekpyrotechnics.cz/c19320xr-c14</v>
      </c>
      <c r="AA490" s="569" t="str">
        <f>IFERROR(IF(VLOOKUP(C490,[4]List1!$A:$D,4,FALSE)=0,"",VLOOKUP(C490,[4]List1!$A:$D,4,FALSE)),"")</f>
        <v>40</v>
      </c>
      <c r="AB490" s="565"/>
      <c r="AC490" s="570" t="str">
        <f>IFERROR(IF(VLOOKUP(C490,[1]List1!$A:$D,2,FALSE)="VYPRODÁNO",$V$9,IF(VLOOKUP(C490,[1]List1!$A:$D,2,FALSE)="DOCHÁZÍ",$V$3,VLOOKUP(C490,[1]List1!$A:$D,2,FALSE))),"OFFLINE!")</f>
        <v>SKLADEM</v>
      </c>
      <c r="AD490" s="570" t="str">
        <f ca="1">IF(AP490="NE",$V$10,IF(AC490=$V$3,IF(AQ490&lt;1,$V$8,$V$2&amp;" "&amp;AQ490&amp;" "&amp;$V$1),IF(AC490="SKLADEM",$V$6,IFERROR(IF(OR(AC490-TODAY()&gt;45,VLOOKUP(C490,[1]List1!$A:$E,4,FALSE)=0),AC490,DAY(AC490)&amp;"."&amp;MONTH(AC490)&amp;"."&amp;YEAR(AC490)&amp;" "&amp;$V$4&amp;VLOOKUP(C490,[1]List1!$A:$E,4,FALSE)&amp;" "&amp;$V$1),AC490))))</f>
        <v>SKLADEM</v>
      </c>
      <c r="AE490" s="581" t="str">
        <f t="shared" ca="1" si="1422"/>
        <v>SKLADEM</v>
      </c>
      <c r="AF490" s="584">
        <f t="shared" si="1423"/>
        <v>0</v>
      </c>
      <c r="AG490" s="585">
        <f t="shared" si="1424"/>
        <v>0</v>
      </c>
      <c r="AH490" s="583">
        <f t="shared" si="1425"/>
        <v>0</v>
      </c>
      <c r="AI490" s="582">
        <f t="shared" si="1426"/>
        <v>0</v>
      </c>
      <c r="AJ490" s="569">
        <f t="shared" si="1427"/>
        <v>0</v>
      </c>
      <c r="AK490" s="569" t="str">
        <f t="shared" si="1428"/>
        <v/>
      </c>
      <c r="AL490" s="569" t="str">
        <f t="shared" si="1429"/>
        <v/>
      </c>
      <c r="AM490" s="569">
        <f t="shared" si="1430"/>
        <v>0</v>
      </c>
      <c r="AN490" s="581">
        <f t="shared" si="1431"/>
        <v>0</v>
      </c>
      <c r="AO490" s="623"/>
      <c r="AP490" s="632" t="str">
        <f t="shared" si="1327"/>
        <v/>
      </c>
      <c r="AQ490" s="633" t="str">
        <f>IF(AC490=$V$3,IF(VLOOKUP(C490,[1]List1!$A:$E,5,FALSE)=0,1,VLOOKUP(C490,[1]List1!$A:$E,5,FALSE)),"")</f>
        <v/>
      </c>
      <c r="AR490" s="625" t="str">
        <f t="shared" si="1328"/>
        <v/>
      </c>
      <c r="AS490" s="634" t="str">
        <f t="shared" si="1312"/>
        <v/>
      </c>
      <c r="AT490" s="625" t="str">
        <f t="shared" si="1329"/>
        <v/>
      </c>
      <c r="AU490" s="638" t="e">
        <f t="shared" si="1330"/>
        <v>#N/A</v>
      </c>
      <c r="AV490" s="625" t="e">
        <f t="shared" si="1331"/>
        <v>#N/A</v>
      </c>
      <c r="AX490" s="625">
        <f>IF(AND('General price list'!$J490="F4",'General price list'!$AB490+0&gt;0),1,0)</f>
        <v>0</v>
      </c>
      <c r="AY490" s="625">
        <f t="shared" si="1332"/>
        <v>1</v>
      </c>
      <c r="AZ490" s="625">
        <f t="shared" si="1333"/>
        <v>0</v>
      </c>
    </row>
    <row r="491" spans="1:52" ht="15.75" customHeight="1">
      <c r="A491" s="751" t="str">
        <f>Kat.!C491</f>
        <v xml:space="preserve">           Složený ohňostroj 20 mm – F2 – 1.4G – maximum 2000 g NEC</v>
      </c>
      <c r="B491" s="751"/>
      <c r="C491" s="751"/>
      <c r="D491" s="751"/>
      <c r="E491" s="751"/>
      <c r="F491" s="751"/>
      <c r="G491" s="751"/>
      <c r="H491" s="751"/>
      <c r="I491" s="752"/>
      <c r="J491" s="752"/>
      <c r="K491" s="752" t="s">
        <v>20</v>
      </c>
      <c r="L491" s="753" t="s">
        <v>2818</v>
      </c>
      <c r="M491" s="752"/>
      <c r="N491" s="752"/>
      <c r="O491" s="752"/>
      <c r="P491" s="752"/>
      <c r="Q491" s="752"/>
      <c r="R491" s="752"/>
      <c r="S491" s="752"/>
      <c r="T491" s="752"/>
      <c r="U491" s="752"/>
      <c r="V491" s="752"/>
      <c r="W491" s="752"/>
      <c r="X491" s="752"/>
      <c r="Y491" s="752"/>
      <c r="Z491" s="752" t="s">
        <v>20</v>
      </c>
      <c r="AA491" s="752"/>
      <c r="AB491" s="752"/>
      <c r="AC491" s="754"/>
      <c r="AD491" s="752"/>
      <c r="AE491" s="752"/>
      <c r="AF491" s="752"/>
      <c r="AG491" s="752"/>
      <c r="AH491" s="752"/>
      <c r="AI491" s="752"/>
      <c r="AJ491" s="752"/>
      <c r="AK491" s="752"/>
      <c r="AL491" s="752"/>
      <c r="AM491" s="752"/>
      <c r="AN491" s="752"/>
      <c r="AO491" s="623"/>
      <c r="AP491" s="625" t="str">
        <f t="shared" si="1327"/>
        <v/>
      </c>
      <c r="AQ491" s="625" t="str">
        <f>IF(AC491=$V$3,IF(VLOOKUP(C491,[1]List1!$A:$E,5,FALSE)=0,1,VLOOKUP(C491,[1]List1!$A:$E,5,FALSE)),"")</f>
        <v/>
      </c>
      <c r="AR491" s="629" t="str">
        <f t="shared" si="1328"/>
        <v/>
      </c>
      <c r="AS491" s="630" t="str">
        <f t="shared" si="1312"/>
        <v/>
      </c>
      <c r="AT491" s="625" t="str">
        <f t="shared" si="1329"/>
        <v/>
      </c>
      <c r="AU491" s="625" t="e">
        <f t="shared" si="1330"/>
        <v>#N/A</v>
      </c>
      <c r="AV491" s="625" t="e">
        <f t="shared" si="1331"/>
        <v>#N/A</v>
      </c>
      <c r="AW491" s="631"/>
      <c r="AX491" s="631">
        <f>IF(AND('General price list'!$J491="F4",'General price list'!$AB491+0&gt;0),1,0)</f>
        <v>0</v>
      </c>
      <c r="AY491" s="631">
        <f t="shared" si="1332"/>
        <v>0</v>
      </c>
      <c r="AZ491" s="631">
        <f t="shared" si="1333"/>
        <v>0</v>
      </c>
    </row>
    <row r="492" spans="1:52" ht="15" customHeight="1">
      <c r="A492" s="639" t="str">
        <f>Kat.!C492</f>
        <v/>
      </c>
      <c r="B492" s="640">
        <f>IF(AND('General price list'!$J492="F4",$AI$1=FALSE),0,IF(AC492="SKLADEM",1,IF(AC492=$V$3,1,0)))</f>
        <v>1</v>
      </c>
      <c r="C492" s="641" t="s">
        <v>1094</v>
      </c>
      <c r="D492" s="642" t="s">
        <v>11729</v>
      </c>
      <c r="E492" s="643" t="s">
        <v>12663</v>
      </c>
      <c r="F492" s="771">
        <f>IFERROR(VLOOKUP(C492,[2]List1!$A:$D,3,FALSE),"NEUVEDENO!")</f>
        <v>1734</v>
      </c>
      <c r="G492" s="768">
        <f t="shared" ref="G492:G501" si="1432">IF($W$17=$AF$8,ROUND((F492)/$F$17,2),(F492)*$B$19)</f>
        <v>1734</v>
      </c>
      <c r="H492" s="765">
        <f t="shared" ref="H492:H501" si="1433">IF($W$17=$AF$8,G492*$B$19,G492/$F$17)</f>
        <v>73.657784404429663</v>
      </c>
      <c r="I492" s="644">
        <f>IFERROR(VLOOKUP(C492,[2]List1!$A:$D,4,FALSE),"NEUVEDENO!")</f>
        <v>1</v>
      </c>
      <c r="J492" s="733" t="s">
        <v>39</v>
      </c>
      <c r="K492" s="645" t="s">
        <v>20</v>
      </c>
      <c r="L492" s="645" t="s">
        <v>10973</v>
      </c>
      <c r="M492" s="645" t="s">
        <v>21</v>
      </c>
      <c r="N492" s="645">
        <f>IFERROR(VLOOKUP(C492,[3]List1!$A:$D,4,FALSE),"N/A!")</f>
        <v>1.8269999999999998E-2</v>
      </c>
      <c r="O492" s="645">
        <f>IFERROR(VLOOKUP(C492,[3]List1!$A:$D,3,FALSE),"N/A!")</f>
        <v>1494</v>
      </c>
      <c r="P492" s="645">
        <f>IFERROR(VLOOKUP(C492,[3]List1!$A:$D,2,FALSE),"N/A!")</f>
        <v>9580</v>
      </c>
      <c r="Q492" s="645" t="s">
        <v>11276</v>
      </c>
      <c r="R492" s="645" t="s">
        <v>20</v>
      </c>
      <c r="S492" s="645" t="str">
        <f>IF($W$17=$AF$1,"červená fólie",IFERROR(VLOOKUP("červená fólie",Jazyky_ceník!$A:$Q,MATCH($W$17,Jazyky_ceník!$A$1:$Q$1,0),FALSE),"!!!"))</f>
        <v>červená fólie</v>
      </c>
      <c r="T492" s="645">
        <v>150</v>
      </c>
      <c r="U492" s="645">
        <v>25</v>
      </c>
      <c r="V492" s="645">
        <v>13</v>
      </c>
      <c r="W492" s="645" t="str">
        <f>IFERROR(IF(AND($AB492&gt;=0.1*$AA492,MOD($AB492,$AA492)&gt;=($AA492-(0.1*$AA492))),IF($W$17=$AF$1,"Zvažte možnost doobjednání ještě "&amp;Tabulka1[[#This Row],[VKPAL]]-MOD(AB492,AA492)&amp;" VK do plné palety.",VLOOKUP("Zvažte možnost doobjednání ještě ",Jazyky_ceník!A:Q,MATCH($W$17,Jazyky_ceník!$A$1:$Q$1,0),FALSE)&amp;Tabulka1[[#This Row],[VKPAL]]-MOD(AB492,AA492)&amp;VLOOKUP(" VK do plné palety.",Jazyky_ceník!A:Q,MATCH($W$17,Jazyky_ceník!$A$1:$Q$1,0),FALSE)),IFERROR(IF(AND(NOT(MOD($AB492,$AA492)=0),$AB492&gt;=0.9*$AA492,MOD($AB492,$AA492)&lt;=0.1*$AA492),IF($W$17=$AF$1,"Zvažte možnost optimalizace objednaného množství podle počtu VK na paletě ==&gt;",VLOOKUP("Zvažte možnost optimalizace objednaného množství podle počtu VK na paletě ==&gt;",Jazyky_ceník!A:Q,MATCH($W$17,Jazyky_ceník!$A$1:$Q$1,0),FALSE)),VLOOKUP('General price list'!$C492,Popisy!A:M,MATCH($W$17,Popisy!$A$7:$M$7,0),FALSE)),"---------------")),IFERROR(VLOOKUP('General price list'!$C492,Popisy!A:M,MATCH($W$17,Popisy!$A$7:$M$7,0),FALSE),"---------------"))</f>
        <v>24 různobarevných efektů</v>
      </c>
      <c r="X492" s="645" t="str">
        <f t="shared" ref="X492:X501" si="1434">IF(AB492&lt;0.0001,"",AB492)</f>
        <v/>
      </c>
      <c r="Y492" s="645" t="str">
        <f t="shared" ref="Y492:Y501" si="1435">IF($AL$3=2,IF(OR(AB492&lt;&gt;"",AB492&lt;&gt;0),AU492,""),IF(C492="","",IF(AB492&lt;0.0001,"",IF(B492=0,"",IF(AQ492&lt;AB492,"",AB492)))))</f>
        <v/>
      </c>
      <c r="Z492" s="645" t="str">
        <f>HYPERLINK("https://www.klasekpyrotechnics.cz/c19220f-c14")</f>
        <v>https://www.klasekpyrotechnics.cz/c19220f-c14</v>
      </c>
      <c r="AA492" s="645">
        <f>IFERROR(IF(VLOOKUP(C492,[4]List1!$A:$D,4,FALSE)=0,"",VLOOKUP(C492,[4]List1!$A:$D,4,FALSE)),"")</f>
        <v>66</v>
      </c>
      <c r="AB492" s="646"/>
      <c r="AC492" s="647" t="str">
        <f>IFERROR(IF(VLOOKUP(C492,[1]List1!$A:$D,2,FALSE)="VYPRODÁNO",$V$9,IF(VLOOKUP(C492,[1]List1!$A:$D,2,FALSE)="DOCHÁZÍ",$V$3,VLOOKUP(C492,[1]List1!$A:$D,2,FALSE))),"OFFLINE!")</f>
        <v>SKLADEM</v>
      </c>
      <c r="AD492" s="647" t="str">
        <f ca="1">IF(AP492="NE",$V$10,IF(AC492=$V$3,IF(AQ492&lt;1,$V$8,$V$2&amp;" "&amp;AQ492&amp;" "&amp;$V$1),IF(AC492="SKLADEM",$V$6,IFERROR(IF(OR(AC492-TODAY()&gt;45,VLOOKUP(C492,[1]List1!$A:$E,4,FALSE)=0),AC492,DAY(AC492)&amp;"."&amp;MONTH(AC492)&amp;"."&amp;YEAR(AC492)&amp;" "&amp;$V$4&amp;VLOOKUP(C492,[1]List1!$A:$E,4,FALSE)&amp;" "&amp;$V$1),AC492))))</f>
        <v>SKLADEM</v>
      </c>
      <c r="AE492" s="645" t="str">
        <f t="shared" ref="AE492:AE501" ca="1" si="1436">IFERROR(IF(AV492&lt;&gt;"",AV492,AD492),AD492)</f>
        <v>SKLADEM</v>
      </c>
      <c r="AF492" s="648">
        <f t="shared" ref="AF492:AF501" si="1437">IFERROR(IF(AB492=Y492,G492*I492*Y492,0),0)</f>
        <v>0</v>
      </c>
      <c r="AG492" s="649">
        <f t="shared" ref="AG492:AG501" si="1438">IF($W$17=$AF$8,AH492*1.23,AF492*1.21)</f>
        <v>0</v>
      </c>
      <c r="AH492" s="650">
        <f t="shared" ref="AH492:AH501" si="1439">IFERROR(IF(Y492=AB492,H492*I492*Y492,0),0)</f>
        <v>0</v>
      </c>
      <c r="AI492" s="645">
        <f t="shared" ref="AI492:AI501" si="1440">IFERROR(IF(Y492=AB492,(P492*Y492)/1000,1),0)</f>
        <v>0</v>
      </c>
      <c r="AJ492" s="645">
        <f t="shared" ref="AJ492:AJ501" si="1441">IFERROR(IF(Y492=AB492,N492*Y492,0.1),0)</f>
        <v>0</v>
      </c>
      <c r="AK492" s="645" t="str">
        <f t="shared" ref="AK492:AK501" si="1442">IFERROR(IF(Y492=AB492,IF(M492="1.1G",(O492/1000)*Y492,""),""),0)</f>
        <v/>
      </c>
      <c r="AL492" s="645" t="str">
        <f t="shared" ref="AL492:AL501" si="1443">IFERROR(IF(Y492=AB492,IF(M492="1.3G",(O492/1000)*AB492,""),""),0)</f>
        <v/>
      </c>
      <c r="AM492" s="645">
        <f t="shared" ref="AM492:AM501" si="1444">IFERROR(IF(Y492=AB492,IF(M492="1.4G",(O492/1000)*AB492,""),""),0)</f>
        <v>0</v>
      </c>
      <c r="AN492" s="651">
        <f t="shared" ref="AN492:AN501" si="1445">SUM(AK492:AM492)</f>
        <v>0</v>
      </c>
      <c r="AO492" s="623"/>
      <c r="AP492" s="632" t="str">
        <f t="shared" si="1327"/>
        <v/>
      </c>
      <c r="AQ492" s="633" t="str">
        <f>IF(AC492=$V$3,IF(VLOOKUP(C492,[1]List1!$A:$E,5,FALSE)=0,1,VLOOKUP(C492,[1]List1!$A:$E,5,FALSE)),"")</f>
        <v/>
      </c>
      <c r="AR492" s="625" t="str">
        <f t="shared" si="1328"/>
        <v/>
      </c>
      <c r="AS492" s="634" t="str">
        <f t="shared" si="1312"/>
        <v/>
      </c>
      <c r="AT492" s="625" t="str">
        <f t="shared" si="1329"/>
        <v/>
      </c>
      <c r="AU492" s="638" t="e">
        <f t="shared" si="1330"/>
        <v>#N/A</v>
      </c>
      <c r="AV492" s="625" t="e">
        <f t="shared" si="1331"/>
        <v>#N/A</v>
      </c>
      <c r="AX492" s="625">
        <f>IF(AND('General price list'!$J492="F4",'General price list'!$AB492+0&gt;0),1,0)</f>
        <v>0</v>
      </c>
      <c r="AY492" s="625">
        <f t="shared" si="1332"/>
        <v>1</v>
      </c>
      <c r="AZ492" s="625">
        <f t="shared" si="1333"/>
        <v>0</v>
      </c>
    </row>
    <row r="493" spans="1:52" ht="15" customHeight="1">
      <c r="A493" s="621" t="str">
        <f>Kat.!C493</f>
        <v/>
      </c>
      <c r="B493" s="566">
        <f>IF(AND('General price list'!$J493="F4",$AI$1=FALSE),0,IF(AC493="SKLADEM",1,IF(AC493=$V$3,1,0)))</f>
        <v>1</v>
      </c>
      <c r="C493" s="567" t="s">
        <v>2280</v>
      </c>
      <c r="D493" s="568" t="s">
        <v>9489</v>
      </c>
      <c r="E493" s="763" t="s">
        <v>12663</v>
      </c>
      <c r="F493" s="772">
        <f>IFERROR(VLOOKUP(C493,[2]List1!$A:$D,3,FALSE),"NEUVEDENO!")</f>
        <v>2950</v>
      </c>
      <c r="G493" s="769">
        <f t="shared" si="1432"/>
        <v>2950</v>
      </c>
      <c r="H493" s="766">
        <f t="shared" si="1433"/>
        <v>125.31168627051183</v>
      </c>
      <c r="I493" s="764">
        <f>IFERROR(VLOOKUP(C493,[2]List1!$A:$D,4,FALSE),"NEUVEDENO!")</f>
        <v>1</v>
      </c>
      <c r="J493" s="732" t="s">
        <v>39</v>
      </c>
      <c r="K493" s="569" t="s">
        <v>20</v>
      </c>
      <c r="L493" s="569" t="s">
        <v>10994</v>
      </c>
      <c r="M493" s="569" t="s">
        <v>21</v>
      </c>
      <c r="N493" s="569">
        <f>IFERROR(VLOOKUP(C493,[3]List1!$A:$D,4,FALSE),"N/A!")</f>
        <v>3.3736499999999996E-2</v>
      </c>
      <c r="O493" s="569">
        <f>IFERROR(VLOOKUP(C493,[3]List1!$A:$D,3,FALSE),"N/A!")</f>
        <v>1994</v>
      </c>
      <c r="P493" s="569">
        <f>IFERROR(VLOOKUP(C493,[3]List1!$A:$D,2,FALSE),"N/A!")</f>
        <v>12700</v>
      </c>
      <c r="Q493" s="569" t="s">
        <v>12091</v>
      </c>
      <c r="R493" s="569"/>
      <c r="S493" s="569" t="str">
        <f>IF($W$17=$AF$1,"červená fólie",IFERROR(VLOOKUP("červená fólie",Jazyky_ceník!$A:$Q,MATCH($W$17,Jazyky_ceník!$A$1:$Q$1,0),FALSE),"!!!"))</f>
        <v>červená fólie</v>
      </c>
      <c r="T493" s="569">
        <v>120</v>
      </c>
      <c r="U493" s="569">
        <v>25</v>
      </c>
      <c r="V493" s="569">
        <v>13</v>
      </c>
      <c r="W493" s="569" t="str">
        <f>IFERROR(IF(AND($AB493&gt;=0.1*$AA493,MOD($AB493,$AA493)&gt;=($AA493-(0.1*$AA493))),IF($W$17=$AF$1,"Zvažte možnost doobjednání ještě "&amp;Tabulka1[[#This Row],[VKPAL]]-MOD(AB493,AA493)&amp;" VK do plné palety.",VLOOKUP("Zvažte možnost doobjednání ještě ",Jazyky_ceník!A:Q,MATCH($W$17,Jazyky_ceník!$A$1:$Q$1,0),FALSE)&amp;Tabulka1[[#This Row],[VKPAL]]-MOD(AB493,AA493)&amp;VLOOKUP(" VK do plné palety.",Jazyky_ceník!A:Q,MATCH($W$17,Jazyky_ceník!$A$1:$Q$1,0),FALSE)),IFERROR(IF(AND(NOT(MOD($AB493,$AA493)=0),$AB493&gt;=0.9*$AA493,MOD($AB493,$AA493)&lt;=0.1*$AA493),IF($W$17=$AF$1,"Zvažte možnost optimalizace objednaného množství podle počtu VK na paletě ==&gt;",VLOOKUP("Zvažte možnost optimalizace objednaného množství podle počtu VK na paletě ==&gt;",Jazyky_ceník!A:Q,MATCH($W$17,Jazyky_ceník!$A$1:$Q$1,0),FALSE)),VLOOKUP('General price list'!$C493,Popisy!A:M,MATCH($W$17,Popisy!$A$7:$M$7,0),FALSE)),"---------------")),IFERROR(VLOOKUP('General price list'!$C493,Popisy!A:M,MATCH($W$17,Popisy!$A$7:$M$7,0),FALSE),"---------------"))</f>
        <v>24 různobarevných efektů</v>
      </c>
      <c r="X493" s="569" t="str">
        <f t="shared" si="1434"/>
        <v/>
      </c>
      <c r="Y493" s="569" t="str">
        <f t="shared" si="1435"/>
        <v/>
      </c>
      <c r="Z493" s="569" t="str">
        <f>HYPERLINK("https://www.klasekpyrotechnics.cz/c25220xfs-c14")</f>
        <v>https://www.klasekpyrotechnics.cz/c25220xfs-c14</v>
      </c>
      <c r="AA493" s="569" t="str">
        <f>IFERROR(IF(VLOOKUP(C493,[4]List1!$A:$D,4,FALSE)=0,"",VLOOKUP(C493,[4]List1!$A:$D,4,FALSE)),"")</f>
        <v>40</v>
      </c>
      <c r="AB493" s="565"/>
      <c r="AC493" s="570" t="str">
        <f>IFERROR(IF(VLOOKUP(C493,[1]List1!$A:$D,2,FALSE)="VYPRODÁNO",$V$9,IF(VLOOKUP(C493,[1]List1!$A:$D,2,FALSE)="DOCHÁZÍ",$V$3,VLOOKUP(C493,[1]List1!$A:$D,2,FALSE))),"OFFLINE!")</f>
        <v>SKLADEM</v>
      </c>
      <c r="AD493" s="570" t="str">
        <f ca="1">IF(AP493="NE",$V$10,IF(AC493=$V$3,IF(AQ493&lt;1,$V$8,$V$2&amp;" "&amp;AQ493&amp;" "&amp;$V$1),IF(AC493="SKLADEM",$V$6,IFERROR(IF(OR(AC493-TODAY()&gt;45,VLOOKUP(C493,[1]List1!$A:$E,4,FALSE)=0),AC493,DAY(AC493)&amp;"."&amp;MONTH(AC493)&amp;"."&amp;YEAR(AC493)&amp;" "&amp;$V$4&amp;VLOOKUP(C493,[1]List1!$A:$E,4,FALSE)&amp;" "&amp;$V$1),AC493))))</f>
        <v>SKLADEM</v>
      </c>
      <c r="AE493" s="581" t="str">
        <f t="shared" ca="1" si="1436"/>
        <v>SKLADEM</v>
      </c>
      <c r="AF493" s="584">
        <f t="shared" si="1437"/>
        <v>0</v>
      </c>
      <c r="AG493" s="585">
        <f t="shared" si="1438"/>
        <v>0</v>
      </c>
      <c r="AH493" s="583">
        <f t="shared" si="1439"/>
        <v>0</v>
      </c>
      <c r="AI493" s="582">
        <f t="shared" si="1440"/>
        <v>0</v>
      </c>
      <c r="AJ493" s="569">
        <f t="shared" si="1441"/>
        <v>0</v>
      </c>
      <c r="AK493" s="569" t="str">
        <f t="shared" si="1442"/>
        <v/>
      </c>
      <c r="AL493" s="569" t="str">
        <f t="shared" si="1443"/>
        <v/>
      </c>
      <c r="AM493" s="569">
        <f t="shared" si="1444"/>
        <v>0</v>
      </c>
      <c r="AN493" s="581">
        <f t="shared" si="1445"/>
        <v>0</v>
      </c>
      <c r="AO493" s="623"/>
      <c r="AP493" s="632" t="str">
        <f t="shared" si="1327"/>
        <v/>
      </c>
      <c r="AQ493" s="633" t="str">
        <f>IF(AC493=$V$3,IF(VLOOKUP(C493,[1]List1!$A:$E,5,FALSE)=0,1,VLOOKUP(C493,[1]List1!$A:$E,5,FALSE)),"")</f>
        <v/>
      </c>
      <c r="AR493" s="625" t="str">
        <f t="shared" si="1328"/>
        <v/>
      </c>
      <c r="AS493" s="634" t="str">
        <f t="shared" si="1312"/>
        <v/>
      </c>
      <c r="AT493" s="625" t="str">
        <f t="shared" si="1329"/>
        <v/>
      </c>
      <c r="AU493" s="638" t="e">
        <f t="shared" si="1330"/>
        <v>#N/A</v>
      </c>
      <c r="AV493" s="625" t="e">
        <f t="shared" si="1331"/>
        <v>#N/A</v>
      </c>
      <c r="AX493" s="625">
        <f>IF(AND('General price list'!$J493="F4",'General price list'!$AB493+0&gt;0),1,0)</f>
        <v>0</v>
      </c>
      <c r="AY493" s="625">
        <f t="shared" si="1332"/>
        <v>1</v>
      </c>
      <c r="AZ493" s="625">
        <f t="shared" si="1333"/>
        <v>0</v>
      </c>
    </row>
    <row r="494" spans="1:52" ht="15.75" customHeight="1">
      <c r="A494" s="639" t="str">
        <f>Kat.!C494</f>
        <v/>
      </c>
      <c r="B494" s="640">
        <f>IF(AND('General price list'!$J494="F4",$AI$1=FALSE),0,IF(AC494="SKLADEM",1,IF(AC494=$V$3,1,0)))</f>
        <v>1</v>
      </c>
      <c r="C494" s="641" t="s">
        <v>1098</v>
      </c>
      <c r="D494" s="642" t="s">
        <v>1099</v>
      </c>
      <c r="E494" s="643" t="s">
        <v>12663</v>
      </c>
      <c r="F494" s="771">
        <f>IFERROR(VLOOKUP(C494,[2]List1!$A:$D,3,FALSE),"NEUVEDENO!")</f>
        <v>2626</v>
      </c>
      <c r="G494" s="768">
        <f t="shared" si="1432"/>
        <v>2626</v>
      </c>
      <c r="H494" s="765">
        <f t="shared" si="1433"/>
        <v>111.54864004961493</v>
      </c>
      <c r="I494" s="644">
        <f>IFERROR(VLOOKUP(C494,[2]List1!$A:$D,4,FALSE),"NEUVEDENO!")</f>
        <v>1</v>
      </c>
      <c r="J494" s="733" t="s">
        <v>39</v>
      </c>
      <c r="K494" s="645" t="s">
        <v>20</v>
      </c>
      <c r="L494" s="645" t="s">
        <v>10973</v>
      </c>
      <c r="M494" s="645" t="s">
        <v>21</v>
      </c>
      <c r="N494" s="645">
        <f>IFERROR(VLOOKUP(C494,[3]List1!$A:$D,4,FALSE),"N/A!")</f>
        <v>2.4695999999999999E-2</v>
      </c>
      <c r="O494" s="645">
        <f>IFERROR(VLOOKUP(C494,[3]List1!$A:$D,3,FALSE),"N/A!")</f>
        <v>1992</v>
      </c>
      <c r="P494" s="645">
        <f>IFERROR(VLOOKUP(C494,[3]List1!$A:$D,2,FALSE),"N/A!")</f>
        <v>12000</v>
      </c>
      <c r="Q494" s="645" t="s">
        <v>11262</v>
      </c>
      <c r="R494" s="645"/>
      <c r="S494" s="645" t="str">
        <f>IF($W$17=$AF$1,"červená fólie",IFERROR(VLOOKUP("červená fólie",Jazyky_ceník!$A:$Q,MATCH($W$17,Jazyky_ceník!$A$1:$Q$1,0),FALSE),"!!!"))</f>
        <v>červená fólie</v>
      </c>
      <c r="T494" s="645">
        <v>180</v>
      </c>
      <c r="U494" s="645">
        <v>25</v>
      </c>
      <c r="V494" s="645">
        <v>13</v>
      </c>
      <c r="W494" s="645" t="str">
        <f>IFERROR(IF(AND($AB494&gt;=0.1*$AA494,MOD($AB494,$AA494)&gt;=($AA494-(0.1*$AA494))),IF($W$17=$AF$1,"Zvažte možnost doobjednání ještě "&amp;Tabulka1[[#This Row],[VKPAL]]-MOD(AB494,AA494)&amp;" VK do plné palety.",VLOOKUP("Zvažte možnost doobjednání ještě ",Jazyky_ceník!A:Q,MATCH($W$17,Jazyky_ceník!$A$1:$Q$1,0),FALSE)&amp;Tabulka1[[#This Row],[VKPAL]]-MOD(AB494,AA494)&amp;VLOOKUP(" VK do plné palety.",Jazyky_ceník!A:Q,MATCH($W$17,Jazyky_ceník!$A$1:$Q$1,0),FALSE)),IFERROR(IF(AND(NOT(MOD($AB494,$AA494)=0),$AB494&gt;=0.9*$AA494,MOD($AB494,$AA494)&lt;=0.1*$AA494),IF($W$17=$AF$1,"Zvažte možnost optimalizace objednaného množství podle počtu VK na paletě ==&gt;",VLOOKUP("Zvažte možnost optimalizace objednaného množství podle počtu VK na paletě ==&gt;",Jazyky_ceník!A:Q,MATCH($W$17,Jazyky_ceník!$A$1:$Q$1,0),FALSE)),VLOOKUP('General price list'!$C494,Popisy!A:M,MATCH($W$17,Popisy!$A$7:$M$7,0),FALSE)),"---------------")),IFERROR(VLOOKUP('General price list'!$C494,Popisy!A:M,MATCH($W$17,Popisy!$A$7:$M$7,0),FALSE),"---------------"))</f>
        <v>32 různobarevných efektů</v>
      </c>
      <c r="X494" s="645" t="str">
        <f t="shared" si="1434"/>
        <v/>
      </c>
      <c r="Y494" s="645" t="str">
        <f t="shared" si="1435"/>
        <v/>
      </c>
      <c r="Z494" s="645" t="str">
        <f>HYPERLINK("https://www.klasekpyrotechnics.cz/c25620f-c14")</f>
        <v>https://www.klasekpyrotechnics.cz/c25620f-c14</v>
      </c>
      <c r="AA494" s="645">
        <f>IFERROR(IF(VLOOKUP(C494,[4]List1!$A:$D,4,FALSE)=0,"",VLOOKUP(C494,[4]List1!$A:$D,4,FALSE)),"")</f>
        <v>66</v>
      </c>
      <c r="AB494" s="646"/>
      <c r="AC494" s="647" t="str">
        <f>IFERROR(IF(VLOOKUP(C494,[1]List1!$A:$D,2,FALSE)="VYPRODÁNO",$V$9,IF(VLOOKUP(C494,[1]List1!$A:$D,2,FALSE)="DOCHÁZÍ",$V$3,VLOOKUP(C494,[1]List1!$A:$D,2,FALSE))),"OFFLINE!")</f>
        <v>SKLADEM</v>
      </c>
      <c r="AD494" s="647" t="str">
        <f ca="1">IF(AP494="NE",$V$10,IF(AC494=$V$3,IF(AQ494&lt;1,$V$8,$V$2&amp;" "&amp;AQ494&amp;" "&amp;$V$1),IF(AC494="SKLADEM",$V$6,IFERROR(IF(OR(AC494-TODAY()&gt;45,VLOOKUP(C494,[1]List1!$A:$E,4,FALSE)=0),AC494,DAY(AC494)&amp;"."&amp;MONTH(AC494)&amp;"."&amp;YEAR(AC494)&amp;" "&amp;$V$4&amp;VLOOKUP(C494,[1]List1!$A:$E,4,FALSE)&amp;" "&amp;$V$1),AC494))))</f>
        <v>SKLADEM</v>
      </c>
      <c r="AE494" s="645" t="str">
        <f t="shared" ca="1" si="1436"/>
        <v>SKLADEM</v>
      </c>
      <c r="AF494" s="648">
        <f t="shared" si="1437"/>
        <v>0</v>
      </c>
      <c r="AG494" s="649">
        <f t="shared" si="1438"/>
        <v>0</v>
      </c>
      <c r="AH494" s="650">
        <f t="shared" si="1439"/>
        <v>0</v>
      </c>
      <c r="AI494" s="645">
        <f t="shared" si="1440"/>
        <v>0</v>
      </c>
      <c r="AJ494" s="645">
        <f t="shared" si="1441"/>
        <v>0</v>
      </c>
      <c r="AK494" s="645" t="str">
        <f t="shared" si="1442"/>
        <v/>
      </c>
      <c r="AL494" s="645" t="str">
        <f t="shared" si="1443"/>
        <v/>
      </c>
      <c r="AM494" s="645">
        <f t="shared" si="1444"/>
        <v>0</v>
      </c>
      <c r="AN494" s="651">
        <f t="shared" si="1445"/>
        <v>0</v>
      </c>
      <c r="AO494" s="623"/>
      <c r="AP494" s="625" t="str">
        <f t="shared" si="1327"/>
        <v/>
      </c>
      <c r="AQ494" s="625" t="str">
        <f>IF(AC494=$V$3,IF(VLOOKUP(C494,[1]List1!$A:$E,5,FALSE)=0,1,VLOOKUP(C494,[1]List1!$A:$E,5,FALSE)),"")</f>
        <v/>
      </c>
      <c r="AR494" s="629" t="str">
        <f t="shared" si="1328"/>
        <v/>
      </c>
      <c r="AS494" s="630" t="str">
        <f t="shared" si="1312"/>
        <v/>
      </c>
      <c r="AT494" s="625" t="str">
        <f t="shared" si="1329"/>
        <v/>
      </c>
      <c r="AU494" s="625" t="e">
        <f t="shared" si="1330"/>
        <v>#N/A</v>
      </c>
      <c r="AV494" s="625" t="e">
        <f t="shared" si="1331"/>
        <v>#N/A</v>
      </c>
      <c r="AW494" s="631"/>
      <c r="AX494" s="631">
        <f>IF(AND('General price list'!$J494="F4",'General price list'!$AB494+0&gt;0),1,0)</f>
        <v>0</v>
      </c>
      <c r="AY494" s="631">
        <f t="shared" si="1332"/>
        <v>1</v>
      </c>
      <c r="AZ494" s="631">
        <f t="shared" si="1333"/>
        <v>0</v>
      </c>
    </row>
    <row r="495" spans="1:52" ht="15" customHeight="1">
      <c r="A495" s="621" t="str">
        <f>Kat.!C495</f>
        <v/>
      </c>
      <c r="B495" s="566">
        <f>IF(AND('General price list'!$J495="F4",$AI$1=FALSE),0,IF(AC495="SKLADEM",1,IF(AC495=$V$3,1,0)))</f>
        <v>1</v>
      </c>
      <c r="C495" s="567" t="s">
        <v>1103</v>
      </c>
      <c r="D495" s="568" t="s">
        <v>1104</v>
      </c>
      <c r="E495" s="763" t="s">
        <v>12663</v>
      </c>
      <c r="F495" s="772">
        <f>IFERROR(VLOOKUP(C495,[2]List1!$A:$D,3,FALSE),"NEUVEDENO!")</f>
        <v>3338</v>
      </c>
      <c r="G495" s="769">
        <f t="shared" si="1432"/>
        <v>3338</v>
      </c>
      <c r="H495" s="766">
        <f t="shared" si="1433"/>
        <v>141.79335890541304</v>
      </c>
      <c r="I495" s="764">
        <f>IFERROR(VLOOKUP(C495,[2]List1!$A:$D,4,FALSE),"NEUVEDENO!")</f>
        <v>1</v>
      </c>
      <c r="J495" s="732" t="s">
        <v>39</v>
      </c>
      <c r="K495" s="569" t="s">
        <v>20</v>
      </c>
      <c r="L495" s="569" t="s">
        <v>10994</v>
      </c>
      <c r="M495" s="569" t="s">
        <v>21</v>
      </c>
      <c r="N495" s="569">
        <f>IFERROR(VLOOKUP(C495,[3]List1!$A:$D,4,FALSE),"N/A!")</f>
        <v>5.686625E-2</v>
      </c>
      <c r="O495" s="569">
        <f>IFERROR(VLOOKUP(C495,[3]List1!$A:$D,3,FALSE),"N/A!")</f>
        <v>1960</v>
      </c>
      <c r="P495" s="569">
        <f>IFERROR(VLOOKUP(C495,[3]List1!$A:$D,2,FALSE),"N/A!")</f>
        <v>15000</v>
      </c>
      <c r="Q495" s="569" t="s">
        <v>12092</v>
      </c>
      <c r="R495" s="569"/>
      <c r="S495" s="569" t="str">
        <f>IF($W$17=$AF$1,"červená fólie",IFERROR(VLOOKUP("červená fólie",Jazyky_ceník!$A:$Q,MATCH($W$17,Jazyky_ceník!$A$1:$Q$1,0),FALSE),"!!!"))</f>
        <v>červená fólie</v>
      </c>
      <c r="T495" s="569">
        <v>180</v>
      </c>
      <c r="U495" s="569">
        <v>25</v>
      </c>
      <c r="V495" s="569">
        <v>13</v>
      </c>
      <c r="W495" s="569" t="str">
        <f>IFERROR(IF(AND($AB495&gt;=0.1*$AA495,MOD($AB495,$AA495)&gt;=($AA495-(0.1*$AA495))),IF($W$17=$AF$1,"Zvažte možnost doobjednání ještě "&amp;Tabulka1[[#This Row],[VKPAL]]-MOD(AB495,AA495)&amp;" VK do plné palety.",VLOOKUP("Zvažte možnost doobjednání ještě ",Jazyky_ceník!A:Q,MATCH($W$17,Jazyky_ceník!$A$1:$Q$1,0),FALSE)&amp;Tabulka1[[#This Row],[VKPAL]]-MOD(AB495,AA495)&amp;VLOOKUP(" VK do plné palety.",Jazyky_ceník!A:Q,MATCH($W$17,Jazyky_ceník!$A$1:$Q$1,0),FALSE)),IFERROR(IF(AND(NOT(MOD($AB495,$AA495)=0),$AB495&gt;=0.9*$AA495,MOD($AB495,$AA495)&lt;=0.1*$AA495),IF($W$17=$AF$1,"Zvažte možnost optimalizace objednaného množství podle počtu VK na paletě ==&gt;",VLOOKUP("Zvažte možnost optimalizace objednaného množství podle počtu VK na paletě ==&gt;",Jazyky_ceník!A:Q,MATCH($W$17,Jazyky_ceník!$A$1:$Q$1,0),FALSE)),VLOOKUP('General price list'!$C495,Popisy!A:M,MATCH($W$17,Popisy!$A$7:$M$7,0),FALSE)),"---------------")),IFERROR(VLOOKUP('General price list'!$C495,Popisy!A:M,MATCH($W$17,Popisy!$A$7:$M$7,0),FALSE),"---------------"))</f>
        <v>18 různobarevných efektů</v>
      </c>
      <c r="X495" s="569" t="str">
        <f t="shared" si="1434"/>
        <v/>
      </c>
      <c r="Y495" s="569" t="str">
        <f t="shared" si="1435"/>
        <v/>
      </c>
      <c r="Z495" s="569" t="str">
        <f>HYPERLINK("https://www.klasekpyrotechnics.cz/c26420n-c14")</f>
        <v>https://www.klasekpyrotechnics.cz/c26420n-c14</v>
      </c>
      <c r="AA495" s="569">
        <f>IFERROR(IF(VLOOKUP(C495,[4]List1!$A:$D,4,FALSE)=0,"",VLOOKUP(C495,[4]List1!$A:$D,4,FALSE)),"")</f>
        <v>18</v>
      </c>
      <c r="AB495" s="565"/>
      <c r="AC495" s="570" t="str">
        <f>IFERROR(IF(VLOOKUP(C495,[1]List1!$A:$D,2,FALSE)="VYPRODÁNO",$V$9,IF(VLOOKUP(C495,[1]List1!$A:$D,2,FALSE)="DOCHÁZÍ",$V$3,VLOOKUP(C495,[1]List1!$A:$D,2,FALSE))),"OFFLINE!")</f>
        <v>SKLADEM</v>
      </c>
      <c r="AD495" s="570" t="str">
        <f ca="1">IF(AP495="NE",$V$10,IF(AC495=$V$3,IF(AQ495&lt;1,$V$8,$V$2&amp;" "&amp;AQ495&amp;" "&amp;$V$1),IF(AC495="SKLADEM",$V$6,IFERROR(IF(OR(AC495-TODAY()&gt;45,VLOOKUP(C495,[1]List1!$A:$E,4,FALSE)=0),AC495,DAY(AC495)&amp;"."&amp;MONTH(AC495)&amp;"."&amp;YEAR(AC495)&amp;" "&amp;$V$4&amp;VLOOKUP(C495,[1]List1!$A:$E,4,FALSE)&amp;" "&amp;$V$1),AC495))))</f>
        <v>SKLADEM</v>
      </c>
      <c r="AE495" s="581" t="str">
        <f t="shared" ca="1" si="1436"/>
        <v>SKLADEM</v>
      </c>
      <c r="AF495" s="584">
        <f t="shared" si="1437"/>
        <v>0</v>
      </c>
      <c r="AG495" s="585">
        <f t="shared" si="1438"/>
        <v>0</v>
      </c>
      <c r="AH495" s="583">
        <f t="shared" si="1439"/>
        <v>0</v>
      </c>
      <c r="AI495" s="582">
        <f t="shared" si="1440"/>
        <v>0</v>
      </c>
      <c r="AJ495" s="569">
        <f t="shared" si="1441"/>
        <v>0</v>
      </c>
      <c r="AK495" s="569" t="str">
        <f t="shared" si="1442"/>
        <v/>
      </c>
      <c r="AL495" s="569" t="str">
        <f t="shared" si="1443"/>
        <v/>
      </c>
      <c r="AM495" s="569">
        <f t="shared" si="1444"/>
        <v>0</v>
      </c>
      <c r="AN495" s="581">
        <f t="shared" si="1445"/>
        <v>0</v>
      </c>
      <c r="AO495" s="623"/>
      <c r="AP495" s="632" t="str">
        <f t="shared" si="1327"/>
        <v/>
      </c>
      <c r="AQ495" s="633" t="str">
        <f>IF(AC495=$V$3,IF(VLOOKUP(C495,[1]List1!$A:$E,5,FALSE)=0,1,VLOOKUP(C495,[1]List1!$A:$E,5,FALSE)),"")</f>
        <v/>
      </c>
      <c r="AR495" s="625" t="str">
        <f t="shared" si="1328"/>
        <v/>
      </c>
      <c r="AS495" s="634" t="str">
        <f t="shared" si="1312"/>
        <v/>
      </c>
      <c r="AT495" s="625" t="str">
        <f t="shared" si="1329"/>
        <v/>
      </c>
      <c r="AU495" s="638" t="e">
        <f t="shared" si="1330"/>
        <v>#N/A</v>
      </c>
      <c r="AV495" s="625" t="e">
        <f t="shared" si="1331"/>
        <v>#N/A</v>
      </c>
      <c r="AX495" s="625">
        <f>IF(AND('General price list'!$J495="F4",'General price list'!$AB495+0&gt;0),1,0)</f>
        <v>0</v>
      </c>
      <c r="AY495" s="625">
        <f t="shared" si="1332"/>
        <v>1</v>
      </c>
      <c r="AZ495" s="625">
        <f t="shared" si="1333"/>
        <v>0</v>
      </c>
    </row>
    <row r="496" spans="1:52" ht="15" customHeight="1">
      <c r="A496" s="639" t="str">
        <f>Kat.!C496</f>
        <v/>
      </c>
      <c r="B496" s="640">
        <f>IF(AND('General price list'!$J496="F4",$AI$1=FALSE),0,IF(AC496="SKLADEM",1,IF(AC496=$V$3,1,0)))</f>
        <v>0</v>
      </c>
      <c r="C496" s="641" t="s">
        <v>12457</v>
      </c>
      <c r="D496" s="642" t="s">
        <v>12542</v>
      </c>
      <c r="E496" s="643" t="s">
        <v>12663</v>
      </c>
      <c r="F496" s="791">
        <f>IFERROR(VLOOKUP(C496,[2]List1!$A:$D,3,FALSE),"NEUVEDENO!")</f>
        <v>2099</v>
      </c>
      <c r="G496" s="768">
        <f t="shared" si="1432"/>
        <v>2099</v>
      </c>
      <c r="H496" s="765">
        <f t="shared" si="1433"/>
        <v>89.162450671798069</v>
      </c>
      <c r="I496" s="644">
        <f>IFERROR(VLOOKUP(C496,[2]List1!$A:$D,4,FALSE),"NEUVEDENO!")</f>
        <v>1</v>
      </c>
      <c r="J496" s="733" t="s">
        <v>39</v>
      </c>
      <c r="K496" s="645" t="s">
        <v>13032</v>
      </c>
      <c r="L496" s="645"/>
      <c r="M496" s="645" t="s">
        <v>21</v>
      </c>
      <c r="N496" s="645">
        <f>IFERROR(VLOOKUP(C496,[3]List1!$A:$D,4,FALSE),"N/A!")</f>
        <v>2.886E-2</v>
      </c>
      <c r="O496" s="645">
        <f>IFERROR(VLOOKUP(C496,[3]List1!$A:$D,3,FALSE),"N/A!")</f>
        <v>1500</v>
      </c>
      <c r="P496" s="645">
        <f>IFERROR(VLOOKUP(C496,[3]List1!$A:$D,2,FALSE),"N/A!")</f>
        <v>14000</v>
      </c>
      <c r="Q496" s="645" t="s">
        <v>11780</v>
      </c>
      <c r="R496" s="645"/>
      <c r="S496" s="645" t="str">
        <f>IF($W$17=$AF$1,"červená fólie",IFERROR(VLOOKUP("červená fólie",Jazyky_ceník!$A:$Q,MATCH($W$17,Jazyky_ceník!$A$1:$Q$1,0),FALSE),"!!!"))</f>
        <v>červená fólie</v>
      </c>
      <c r="T496" s="645">
        <v>150</v>
      </c>
      <c r="U496" s="645">
        <v>25</v>
      </c>
      <c r="V496" s="645">
        <v>13</v>
      </c>
      <c r="W496" s="645" t="str">
        <f>IFERROR(IF(AND($AB496&gt;=0.1*$AA496,MOD($AB496,$AA496)&gt;=($AA496-(0.1*$AA496))),IF($W$17=$AF$1,"Zvažte možnost doobjednání ještě "&amp;Tabulka1[[#This Row],[VKPAL]]-MOD(AB496,AA496)&amp;" VK do plné palety.",VLOOKUP("Zvažte možnost doobjednání ještě ",Jazyky_ceník!A:Q,MATCH($W$17,Jazyky_ceník!$A$1:$Q$1,0),FALSE)&amp;Tabulka1[[#This Row],[VKPAL]]-MOD(AB496,AA496)&amp;VLOOKUP(" VK do plné palety.",Jazyky_ceník!A:Q,MATCH($W$17,Jazyky_ceník!$A$1:$Q$1,0),FALSE)),IFERROR(IF(AND(NOT(MOD($AB496,$AA496)=0),$AB496&gt;=0.9*$AA496,MOD($AB496,$AA496)&lt;=0.1*$AA496),IF($W$17=$AF$1,"Zvažte možnost optimalizace objednaného množství podle počtu VK na paletě ==&gt;",VLOOKUP("Zvažte možnost optimalizace objednaného množství podle počtu VK na paletě ==&gt;",Jazyky_ceník!A:Q,MATCH($W$17,Jazyky_ceník!$A$1:$Q$1,0),FALSE)),VLOOKUP('General price list'!$C496,Popisy!A:M,MATCH($W$17,Popisy!$A$7:$M$7,0),FALSE)),"---------------")),IFERROR(VLOOKUP('General price list'!$C496,Popisy!A:M,MATCH($W$17,Popisy!$A$7:$M$7,0),FALSE),"---------------"))</f>
        <v>30 různobarevných efektů</v>
      </c>
      <c r="X496" s="645" t="str">
        <f t="shared" si="1434"/>
        <v/>
      </c>
      <c r="Y496" s="645" t="str">
        <f t="shared" si="1435"/>
        <v/>
      </c>
      <c r="Z496" s="645" t="str">
        <f>HYPERLINK("https://www.klasekpyrotechnics.cz/c30020r-c14")</f>
        <v>https://www.klasekpyrotechnics.cz/c30020r-c14</v>
      </c>
      <c r="AA496" s="645" t="str">
        <f>IFERROR(IF(VLOOKUP(C496,[4]List1!$A:$D,4,FALSE)=0,"",VLOOKUP(C496,[4]List1!$A:$D,4,FALSE)),"")</f>
        <v/>
      </c>
      <c r="AB496" s="646"/>
      <c r="AC496" s="647" t="str">
        <f>IFERROR(IF(VLOOKUP(C496,[1]List1!$A:$D,2,FALSE)="VYPRODÁNO",$V$9,IF(VLOOKUP(C496,[1]List1!$A:$D,2,FALSE)="DOCHÁZÍ",$V$3,VLOOKUP(C496,[1]List1!$A:$D,2,FALSE))),"OFFLINE!")</f>
        <v>31.08.2026</v>
      </c>
      <c r="AD496" s="647" t="str">
        <f ca="1">IF(AP496="NE",$V$10,IF(AC496=$V$3,IF(AQ496&lt;1,$V$8,$V$2&amp;" "&amp;AQ496&amp;" "&amp;$V$1),IF(AC496="SKLADEM",$V$6,IFERROR(IF(OR(AC496-TODAY()&gt;45,VLOOKUP(C496,[1]List1!$A:$E,4,FALSE)=0),AC496,DAY(AC496)&amp;"."&amp;MONTH(AC496)&amp;"."&amp;YEAR(AC496)&amp;" "&amp;$V$4&amp;VLOOKUP(C496,[1]List1!$A:$E,4,FALSE)&amp;" "&amp;$V$1),AC496))))</f>
        <v>31.08.2026</v>
      </c>
      <c r="AE496" s="645" t="str">
        <f t="shared" ca="1" si="1436"/>
        <v>31.08.2026</v>
      </c>
      <c r="AF496" s="648">
        <f t="shared" si="1437"/>
        <v>0</v>
      </c>
      <c r="AG496" s="649">
        <f t="shared" si="1438"/>
        <v>0</v>
      </c>
      <c r="AH496" s="650">
        <f t="shared" si="1439"/>
        <v>0</v>
      </c>
      <c r="AI496" s="645">
        <f t="shared" si="1440"/>
        <v>0</v>
      </c>
      <c r="AJ496" s="645">
        <f t="shared" si="1441"/>
        <v>0</v>
      </c>
      <c r="AK496" s="645" t="str">
        <f t="shared" si="1442"/>
        <v/>
      </c>
      <c r="AL496" s="645" t="str">
        <f t="shared" si="1443"/>
        <v/>
      </c>
      <c r="AM496" s="645">
        <f t="shared" si="1444"/>
        <v>0</v>
      </c>
      <c r="AN496" s="651">
        <f t="shared" si="1445"/>
        <v>0</v>
      </c>
      <c r="AO496" s="623"/>
      <c r="AP496" s="632" t="str">
        <f t="shared" si="1327"/>
        <v/>
      </c>
      <c r="AQ496" s="633" t="str">
        <f>IF(AC496=$V$3,IF(VLOOKUP(C496,[1]List1!$A:$E,5,FALSE)=0,1,VLOOKUP(C496,[1]List1!$A:$E,5,FALSE)),"")</f>
        <v/>
      </c>
      <c r="AR496" s="625" t="str">
        <f t="shared" si="1328"/>
        <v/>
      </c>
      <c r="AS496" s="634" t="str">
        <f t="shared" si="1312"/>
        <v/>
      </c>
      <c r="AT496" s="625" t="str">
        <f t="shared" si="1329"/>
        <v/>
      </c>
      <c r="AU496" s="638" t="e">
        <f t="shared" si="1330"/>
        <v>#N/A</v>
      </c>
      <c r="AV496" s="625" t="e">
        <f t="shared" si="1331"/>
        <v>#N/A</v>
      </c>
      <c r="AX496" s="625">
        <f>IF(AND('General price list'!$J496="F4",'General price list'!$AB496+0&gt;0),1,0)</f>
        <v>0</v>
      </c>
      <c r="AY496" s="625">
        <f t="shared" si="1332"/>
        <v>1</v>
      </c>
      <c r="AZ496" s="625">
        <f t="shared" si="1333"/>
        <v>0</v>
      </c>
    </row>
    <row r="497" spans="1:52" ht="15" customHeight="1">
      <c r="A497" s="621" t="str">
        <f>Kat.!C497</f>
        <v/>
      </c>
      <c r="B497" s="566">
        <f>IF(AND('General price list'!$J497="F4",$AI$1=FALSE),0,IF(AC497="SKLADEM",1,IF(AC497=$V$3,1,0)))</f>
        <v>0</v>
      </c>
      <c r="C497" s="641" t="s">
        <v>12458</v>
      </c>
      <c r="D497" s="568" t="s">
        <v>12543</v>
      </c>
      <c r="E497" s="763" t="s">
        <v>12663</v>
      </c>
      <c r="F497" s="791">
        <f>IFERROR(VLOOKUP(C497,[2]List1!$A:$D,3,FALSE),"NEUVEDENO!")</f>
        <v>2799</v>
      </c>
      <c r="G497" s="769">
        <f t="shared" si="1432"/>
        <v>2799</v>
      </c>
      <c r="H497" s="766">
        <f t="shared" si="1433"/>
        <v>118.89742707497037</v>
      </c>
      <c r="I497" s="764">
        <f>IFERROR(VLOOKUP(C497,[2]List1!$A:$D,4,FALSE),"NEUVEDENO!")</f>
        <v>1</v>
      </c>
      <c r="J497" s="732" t="s">
        <v>39</v>
      </c>
      <c r="K497" s="569" t="s">
        <v>13032</v>
      </c>
      <c r="L497" s="569"/>
      <c r="M497" s="569" t="s">
        <v>21</v>
      </c>
      <c r="N497" s="569">
        <f>IFERROR(VLOOKUP(C497,[3]List1!$A:$D,4,FALSE),"N/A!")</f>
        <v>3.7499999999999999E-2</v>
      </c>
      <c r="O497" s="569">
        <f>IFERROR(VLOOKUP(C497,[3]List1!$A:$D,3,FALSE),"N/A!")</f>
        <v>2000</v>
      </c>
      <c r="P497" s="569">
        <f>IFERROR(VLOOKUP(C497,[3]List1!$A:$D,2,FALSE),"N/A!")</f>
        <v>18500</v>
      </c>
      <c r="Q497" s="569" t="s">
        <v>11780</v>
      </c>
      <c r="R497" s="569"/>
      <c r="S497" s="569" t="str">
        <f>IF($W$17=$AF$1,"červená fólie",IFERROR(VLOOKUP("červená fólie",Jazyky_ceník!$A:$Q,MATCH($W$17,Jazyky_ceník!$A$1:$Q$1,0),FALSE),"!!!"))</f>
        <v>červená fólie</v>
      </c>
      <c r="T497" s="569">
        <v>200</v>
      </c>
      <c r="U497" s="569">
        <v>25</v>
      </c>
      <c r="V497" s="569">
        <v>13</v>
      </c>
      <c r="W497" s="569" t="str">
        <f>IFERROR(IF(AND($AB497&gt;=0.1*$AA497,MOD($AB497,$AA497)&gt;=($AA497-(0.1*$AA497))),IF($W$17=$AF$1,"Zvažte možnost doobjednání ještě "&amp;Tabulka1[[#This Row],[VKPAL]]-MOD(AB497,AA497)&amp;" VK do plné palety.",VLOOKUP("Zvažte možnost doobjednání ještě ",Jazyky_ceník!A:Q,MATCH($W$17,Jazyky_ceník!$A$1:$Q$1,0),FALSE)&amp;Tabulka1[[#This Row],[VKPAL]]-MOD(AB497,AA497)&amp;VLOOKUP(" VK do plné palety.",Jazyky_ceník!A:Q,MATCH($W$17,Jazyky_ceník!$A$1:$Q$1,0),FALSE)),IFERROR(IF(AND(NOT(MOD($AB497,$AA497)=0),$AB497&gt;=0.9*$AA497,MOD($AB497,$AA497)&lt;=0.1*$AA497),IF($W$17=$AF$1,"Zvažte možnost optimalizace objednaného množství podle počtu VK na paletě ==&gt;",VLOOKUP("Zvažte možnost optimalizace objednaného množství podle počtu VK na paletě ==&gt;",Jazyky_ceník!A:Q,MATCH($W$17,Jazyky_ceník!$A$1:$Q$1,0),FALSE)),VLOOKUP('General price list'!$C497,Popisy!A:M,MATCH($W$17,Popisy!$A$7:$M$7,0),FALSE)),"---------------")),IFERROR(VLOOKUP('General price list'!$C497,Popisy!A:M,MATCH($W$17,Popisy!$A$7:$M$7,0),FALSE),"---------------"))</f>
        <v>40 různobarevných efektů</v>
      </c>
      <c r="X497" s="569" t="str">
        <f t="shared" si="1434"/>
        <v/>
      </c>
      <c r="Y497" s="569" t="str">
        <f t="shared" si="1435"/>
        <v/>
      </c>
      <c r="Z497" s="569" t="str">
        <f>HYPERLINK("https://www.klasekpyrotechnics.cz/c40020b-c14")</f>
        <v>https://www.klasekpyrotechnics.cz/c40020b-c14</v>
      </c>
      <c r="AA497" s="569" t="str">
        <f>IFERROR(IF(VLOOKUP(C497,[4]List1!$A:$D,4,FALSE)=0,"",VLOOKUP(C497,[4]List1!$A:$D,4,FALSE)),"")</f>
        <v/>
      </c>
      <c r="AB497" s="565"/>
      <c r="AC497" s="570" t="str">
        <f>IFERROR(IF(VLOOKUP(C497,[1]List1!$A:$D,2,FALSE)="VYPRODÁNO",$V$9,IF(VLOOKUP(C497,[1]List1!$A:$D,2,FALSE)="DOCHÁZÍ",$V$3,VLOOKUP(C497,[1]List1!$A:$D,2,FALSE))),"OFFLINE!")</f>
        <v>31.08.2026</v>
      </c>
      <c r="AD497" s="570" t="str">
        <f ca="1">IF(AP497="NE",$V$10,IF(AC497=$V$3,IF(AQ497&lt;1,$V$8,$V$2&amp;" "&amp;AQ497&amp;" "&amp;$V$1),IF(AC497="SKLADEM",$V$6,IFERROR(IF(OR(AC497-TODAY()&gt;45,VLOOKUP(C497,[1]List1!$A:$E,4,FALSE)=0),AC497,DAY(AC497)&amp;"."&amp;MONTH(AC497)&amp;"."&amp;YEAR(AC497)&amp;" "&amp;$V$4&amp;VLOOKUP(C497,[1]List1!$A:$E,4,FALSE)&amp;" "&amp;$V$1),AC497))))</f>
        <v>31.08.2026</v>
      </c>
      <c r="AE497" s="581" t="str">
        <f t="shared" ca="1" si="1436"/>
        <v>31.08.2026</v>
      </c>
      <c r="AF497" s="584">
        <f t="shared" si="1437"/>
        <v>0</v>
      </c>
      <c r="AG497" s="585">
        <f t="shared" si="1438"/>
        <v>0</v>
      </c>
      <c r="AH497" s="583">
        <f t="shared" si="1439"/>
        <v>0</v>
      </c>
      <c r="AI497" s="582">
        <f t="shared" si="1440"/>
        <v>0</v>
      </c>
      <c r="AJ497" s="569">
        <f t="shared" si="1441"/>
        <v>0</v>
      </c>
      <c r="AK497" s="569" t="str">
        <f t="shared" si="1442"/>
        <v/>
      </c>
      <c r="AL497" s="569" t="str">
        <f t="shared" si="1443"/>
        <v/>
      </c>
      <c r="AM497" s="569">
        <f t="shared" si="1444"/>
        <v>0</v>
      </c>
      <c r="AN497" s="581">
        <f t="shared" si="1445"/>
        <v>0</v>
      </c>
      <c r="AO497" s="623"/>
      <c r="AP497" s="632" t="str">
        <f t="shared" si="1327"/>
        <v/>
      </c>
      <c r="AQ497" s="633" t="str">
        <f>IF(AC497=$V$3,IF(VLOOKUP(C497,[1]List1!$A:$E,5,FALSE)=0,1,VLOOKUP(C497,[1]List1!$A:$E,5,FALSE)),"")</f>
        <v/>
      </c>
      <c r="AR497" s="625" t="str">
        <f t="shared" si="1328"/>
        <v/>
      </c>
      <c r="AS497" s="634" t="str">
        <f t="shared" si="1312"/>
        <v/>
      </c>
      <c r="AT497" s="625" t="str">
        <f t="shared" si="1329"/>
        <v/>
      </c>
      <c r="AU497" s="638" t="e">
        <f t="shared" si="1330"/>
        <v>#N/A</v>
      </c>
      <c r="AV497" s="625" t="e">
        <f t="shared" si="1331"/>
        <v>#N/A</v>
      </c>
      <c r="AX497" s="625">
        <f>IF(AND('General price list'!$J497="F4",'General price list'!$AB497+0&gt;0),1,0)</f>
        <v>0</v>
      </c>
      <c r="AY497" s="625">
        <f t="shared" si="1332"/>
        <v>1</v>
      </c>
      <c r="AZ497" s="625">
        <f t="shared" si="1333"/>
        <v>0</v>
      </c>
    </row>
    <row r="498" spans="1:52" ht="15" customHeight="1">
      <c r="A498" s="639" t="str">
        <f>Kat.!C498</f>
        <v/>
      </c>
      <c r="B498" s="640">
        <f>IF(AND('General price list'!$J498="F4",$AI$1=FALSE),0,IF(AC498="SKLADEM",1,IF(AC498=$V$3,1,0)))</f>
        <v>1</v>
      </c>
      <c r="C498" s="641" t="s">
        <v>2281</v>
      </c>
      <c r="D498" s="642" t="s">
        <v>11730</v>
      </c>
      <c r="E498" s="643" t="s">
        <v>12663</v>
      </c>
      <c r="F498" s="771">
        <f>IFERROR(VLOOKUP(C498,[2]List1!$A:$D,3,FALSE),"NEUVEDENO!")</f>
        <v>4269</v>
      </c>
      <c r="G498" s="768">
        <f t="shared" si="1432"/>
        <v>4269</v>
      </c>
      <c r="H498" s="765">
        <f t="shared" si="1433"/>
        <v>181.34087752163219</v>
      </c>
      <c r="I498" s="644">
        <f>IFERROR(VLOOKUP(C498,[2]List1!$A:$D,4,FALSE),"NEUVEDENO!")</f>
        <v>1</v>
      </c>
      <c r="J498" s="733" t="s">
        <v>39</v>
      </c>
      <c r="K498" s="645" t="s">
        <v>20</v>
      </c>
      <c r="L498" s="645" t="s">
        <v>10994</v>
      </c>
      <c r="M498" s="645" t="s">
        <v>21</v>
      </c>
      <c r="N498" s="645">
        <f>IFERROR(VLOOKUP(C498,[3]List1!$A:$D,4,FALSE),"N/A!")</f>
        <v>5.0675999999999999E-2</v>
      </c>
      <c r="O498" s="645">
        <f>IFERROR(VLOOKUP(C498,[3]List1!$A:$D,3,FALSE),"N/A!")</f>
        <v>2000</v>
      </c>
      <c r="P498" s="645">
        <f>IFERROR(VLOOKUP(C498,[3]List1!$A:$D,2,FALSE),"N/A!")</f>
        <v>18000</v>
      </c>
      <c r="Q498" s="645" t="s">
        <v>11297</v>
      </c>
      <c r="R498" s="645" t="s">
        <v>20</v>
      </c>
      <c r="S498" s="645" t="str">
        <f>IF($W$17=$AF$1,"červená fólie",IFERROR(VLOOKUP("červená fólie",Jazyky_ceník!$A:$Q,MATCH($W$17,Jazyky_ceník!$A$1:$Q$1,0),FALSE),"!!!"))</f>
        <v>červená fólie</v>
      </c>
      <c r="T498" s="645">
        <v>200</v>
      </c>
      <c r="U498" s="645">
        <v>25</v>
      </c>
      <c r="V498" s="645">
        <v>13</v>
      </c>
      <c r="W498" s="645" t="str">
        <f>IFERROR(IF(AND($AB498&gt;=0.1*$AA498,MOD($AB498,$AA498)&gt;=($AA498-(0.1*$AA498))),IF($W$17=$AF$1,"Zvažte možnost doobjednání ještě "&amp;Tabulka1[[#This Row],[VKPAL]]-MOD(AB498,AA498)&amp;" VK do plné palety.",VLOOKUP("Zvažte možnost doobjednání ještě ",Jazyky_ceník!A:Q,MATCH($W$17,Jazyky_ceník!$A$1:$Q$1,0),FALSE)&amp;Tabulka1[[#This Row],[VKPAL]]-MOD(AB498,AA498)&amp;VLOOKUP(" VK do plné palety.",Jazyky_ceník!A:Q,MATCH($W$17,Jazyky_ceník!$A$1:$Q$1,0),FALSE)),IFERROR(IF(AND(NOT(MOD($AB498,$AA498)=0),$AB498&gt;=0.9*$AA498,MOD($AB498,$AA498)&lt;=0.1*$AA498),IF($W$17=$AF$1,"Zvažte možnost optimalizace objednaného množství podle počtu VK na paletě ==&gt;",VLOOKUP("Zvažte možnost optimalizace objednaného množství podle počtu VK na paletě ==&gt;",Jazyky_ceník!A:Q,MATCH($W$17,Jazyky_ceník!$A$1:$Q$1,0),FALSE)),VLOOKUP('General price list'!$C498,Popisy!A:M,MATCH($W$17,Popisy!$A$7:$M$7,0),FALSE)),"---------------")),IFERROR(VLOOKUP('General price list'!$C498,Popisy!A:M,MATCH($W$17,Popisy!$A$7:$M$7,0),FALSE),"---------------"))</f>
        <v>40 různobarevných efektů</v>
      </c>
      <c r="X498" s="645" t="str">
        <f t="shared" si="1434"/>
        <v/>
      </c>
      <c r="Y498" s="645" t="str">
        <f t="shared" si="1435"/>
        <v/>
      </c>
      <c r="Z498" s="645" t="str">
        <f>HYPERLINK("https://www.klasekpyrotechnics.cz/c40020xpr-c14")</f>
        <v>https://www.klasekpyrotechnics.cz/c40020xpr-c14</v>
      </c>
      <c r="AA498" s="645" t="str">
        <f>IFERROR(IF(VLOOKUP(C498,[4]List1!$A:$D,4,FALSE)=0,"",VLOOKUP(C498,[4]List1!$A:$D,4,FALSE)),"")</f>
        <v>20</v>
      </c>
      <c r="AB498" s="646"/>
      <c r="AC498" s="647" t="str">
        <f>IFERROR(IF(VLOOKUP(C498,[1]List1!$A:$D,2,FALSE)="VYPRODÁNO",$V$9,IF(VLOOKUP(C498,[1]List1!$A:$D,2,FALSE)="DOCHÁZÍ",$V$3,VLOOKUP(C498,[1]List1!$A:$D,2,FALSE))),"OFFLINE!")</f>
        <v>SKLADEM</v>
      </c>
      <c r="AD498" s="647" t="str">
        <f ca="1">IF(AP498="NE",$V$10,IF(AC498=$V$3,IF(AQ498&lt;1,$V$8,$V$2&amp;" "&amp;AQ498&amp;" "&amp;$V$1),IF(AC498="SKLADEM",$V$6,IFERROR(IF(OR(AC498-TODAY()&gt;45,VLOOKUP(C498,[1]List1!$A:$E,4,FALSE)=0),AC498,DAY(AC498)&amp;"."&amp;MONTH(AC498)&amp;"."&amp;YEAR(AC498)&amp;" "&amp;$V$4&amp;VLOOKUP(C498,[1]List1!$A:$E,4,FALSE)&amp;" "&amp;$V$1),AC498))))</f>
        <v>SKLADEM</v>
      </c>
      <c r="AE498" s="645" t="str">
        <f t="shared" ca="1" si="1436"/>
        <v>SKLADEM</v>
      </c>
      <c r="AF498" s="648">
        <f t="shared" si="1437"/>
        <v>0</v>
      </c>
      <c r="AG498" s="649">
        <f t="shared" si="1438"/>
        <v>0</v>
      </c>
      <c r="AH498" s="650">
        <f t="shared" si="1439"/>
        <v>0</v>
      </c>
      <c r="AI498" s="645">
        <f t="shared" si="1440"/>
        <v>0</v>
      </c>
      <c r="AJ498" s="645">
        <f t="shared" si="1441"/>
        <v>0</v>
      </c>
      <c r="AK498" s="645" t="str">
        <f t="shared" si="1442"/>
        <v/>
      </c>
      <c r="AL498" s="645" t="str">
        <f t="shared" si="1443"/>
        <v/>
      </c>
      <c r="AM498" s="645">
        <f t="shared" si="1444"/>
        <v>0</v>
      </c>
      <c r="AN498" s="651">
        <f t="shared" si="1445"/>
        <v>0</v>
      </c>
      <c r="AO498" s="623"/>
      <c r="AP498" s="632" t="str">
        <f t="shared" si="1327"/>
        <v/>
      </c>
      <c r="AQ498" s="633" t="str">
        <f>IF(AC498=$V$3,IF(VLOOKUP(C498,[1]List1!$A:$E,5,FALSE)=0,1,VLOOKUP(C498,[1]List1!$A:$E,5,FALSE)),"")</f>
        <v/>
      </c>
      <c r="AR498" s="625" t="str">
        <f t="shared" si="1328"/>
        <v/>
      </c>
      <c r="AS498" s="634" t="str">
        <f t="shared" si="1312"/>
        <v/>
      </c>
      <c r="AT498" s="625" t="str">
        <f t="shared" si="1329"/>
        <v/>
      </c>
      <c r="AU498" s="638" t="e">
        <f t="shared" si="1330"/>
        <v>#N/A</v>
      </c>
      <c r="AV498" s="625" t="e">
        <f t="shared" si="1331"/>
        <v>#N/A</v>
      </c>
      <c r="AX498" s="625">
        <f>IF(AND('General price list'!$J498="F4",'General price list'!$AB498+0&gt;0),1,0)</f>
        <v>0</v>
      </c>
      <c r="AY498" s="625">
        <f t="shared" si="1332"/>
        <v>1</v>
      </c>
      <c r="AZ498" s="625">
        <f t="shared" si="1333"/>
        <v>0</v>
      </c>
    </row>
    <row r="499" spans="1:52" ht="15" customHeight="1">
      <c r="A499" s="621" t="str">
        <f>Kat.!C499</f>
        <v/>
      </c>
      <c r="B499" s="566">
        <f>IF(AND('General price list'!$J499="F4",$AI$1=FALSE),0,IF(AC499="SKLADEM",1,IF(AC499=$V$3,1,0)))</f>
        <v>0</v>
      </c>
      <c r="C499" s="641" t="s">
        <v>12877</v>
      </c>
      <c r="D499" s="568" t="s">
        <v>12544</v>
      </c>
      <c r="E499" s="763" t="s">
        <v>12663</v>
      </c>
      <c r="F499" s="772">
        <f>IFERROR(VLOOKUP(C499,[2]List1!$A:$D,3,FALSE),"NEUVEDENO!")</f>
        <v>4243</v>
      </c>
      <c r="G499" s="769">
        <f t="shared" si="1432"/>
        <v>4243</v>
      </c>
      <c r="H499" s="766">
        <f t="shared" si="1433"/>
        <v>180.23643554094295</v>
      </c>
      <c r="I499" s="764">
        <f>IFERROR(VLOOKUP(C499,[2]List1!$A:$D,4,FALSE),"NEUVEDENO!")</f>
        <v>1</v>
      </c>
      <c r="J499" s="732" t="s">
        <v>39</v>
      </c>
      <c r="K499" s="569">
        <v>4</v>
      </c>
      <c r="L499" s="569"/>
      <c r="M499" s="569" t="s">
        <v>21</v>
      </c>
      <c r="N499" s="569">
        <f>IFERROR(VLOOKUP(C499,[3]List1!$A:$D,4,FALSE),"N/A!")</f>
        <v>4.9391999999999998E-2</v>
      </c>
      <c r="O499" s="569">
        <f>IFERROR(VLOOKUP(C499,[3]List1!$A:$D,3,FALSE),"N/A!")</f>
        <v>3894</v>
      </c>
      <c r="P499" s="569">
        <f>IFERROR(VLOOKUP(C499,[3]List1!$A:$D,2,FALSE),"N/A!")</f>
        <v>24000</v>
      </c>
      <c r="Q499" s="569" t="s">
        <v>11238</v>
      </c>
      <c r="R499" s="569"/>
      <c r="S499" s="569" t="str">
        <f>IF($W$17=$AF$1,"červená fólie",IFERROR(VLOOKUP("červená fólie",Jazyky_ceník!$A:$Q,MATCH($W$17,Jazyky_ceník!$A$1:$Q$1,0),FALSE),"!!!"))</f>
        <v>červená fólie</v>
      </c>
      <c r="T499" s="569">
        <v>240</v>
      </c>
      <c r="U499" s="569">
        <v>25</v>
      </c>
      <c r="V499" s="569">
        <v>13</v>
      </c>
      <c r="W499" s="569" t="str">
        <f>IFERROR(IF(AND($AB499&gt;=0.1*$AA499,MOD($AB499,$AA499)&gt;=($AA499-(0.1*$AA499))),IF($W$17=$AF$1,"Zvažte možnost doobjednání ještě "&amp;Tabulka1[[#This Row],[VKPAL]]-MOD(AB499,AA499)&amp;" VK do plné palety.",VLOOKUP("Zvažte možnost doobjednání ještě ",Jazyky_ceník!A:Q,MATCH($W$17,Jazyky_ceník!$A$1:$Q$1,0),FALSE)&amp;Tabulka1[[#This Row],[VKPAL]]-MOD(AB499,AA499)&amp;VLOOKUP(" VK do plné palety.",Jazyky_ceník!A:Q,MATCH($W$17,Jazyky_ceník!$A$1:$Q$1,0),FALSE)),IFERROR(IF(AND(NOT(MOD($AB499,$AA499)=0),$AB499&gt;=0.9*$AA499,MOD($AB499,$AA499)&lt;=0.1*$AA499),IF($W$17=$AF$1,"Zvažte možnost optimalizace objednaného množství podle počtu VK na paletě ==&gt;",VLOOKUP("Zvažte možnost optimalizace objednaného množství podle počtu VK na paletě ==&gt;",Jazyky_ceník!A:Q,MATCH($W$17,Jazyky_ceník!$A$1:$Q$1,0),FALSE)),VLOOKUP('General price list'!$C499,Popisy!A:M,MATCH($W$17,Popisy!$A$7:$M$7,0),FALSE)),"---------------")),IFERROR(VLOOKUP('General price list'!$C499,Popisy!A:M,MATCH($W$17,Popisy!$A$7:$M$7,0),FALSE),"---------------"))</f>
        <v>64 různobarevných efektů</v>
      </c>
      <c r="X499" s="569" t="str">
        <f t="shared" si="1434"/>
        <v/>
      </c>
      <c r="Y499" s="569" t="str">
        <f t="shared" si="1435"/>
        <v/>
      </c>
      <c r="Z499" s="569" t="str">
        <f>HYPERLINK("https://www.klasekpyrotechnics.cz/c1-c2_c51220i-c14")</f>
        <v>https://www.klasekpyrotechnics.cz/c1-c2_c51220i-c14</v>
      </c>
      <c r="AA499" s="569" t="str">
        <f>IFERROR(IF(VLOOKUP(C499,[4]List1!$A:$D,4,FALSE)=0,"",VLOOKUP(C499,[4]List1!$A:$D,4,FALSE)),"")</f>
        <v/>
      </c>
      <c r="AB499" s="565"/>
      <c r="AC499" s="570" t="str">
        <f>IFERROR(IF(VLOOKUP(C499,[1]List1!$A:$D,2,FALSE)="VYPRODÁNO",$V$9,IF(VLOOKUP(C499,[1]List1!$A:$D,2,FALSE)="DOCHÁZÍ",$V$3,VLOOKUP(C499,[1]List1!$A:$D,2,FALSE))),"OFFLINE!")</f>
        <v>31.08.2026</v>
      </c>
      <c r="AD499" s="570" t="str">
        <f ca="1">IF(AP499="NE",$V$10,IF(AC499=$V$3,IF(AQ499&lt;1,$V$8,$V$2&amp;" "&amp;AQ499&amp;" "&amp;$V$1),IF(AC499="SKLADEM",$V$6,IFERROR(IF(OR(AC499-TODAY()&gt;45,VLOOKUP(C499,[1]List1!$A:$E,4,FALSE)=0),AC499,DAY(AC499)&amp;"."&amp;MONTH(AC499)&amp;"."&amp;YEAR(AC499)&amp;" "&amp;$V$4&amp;VLOOKUP(C499,[1]List1!$A:$E,4,FALSE)&amp;" "&amp;$V$1),AC499))))</f>
        <v>31.08.2026</v>
      </c>
      <c r="AE499" s="581" t="str">
        <f t="shared" ca="1" si="1436"/>
        <v>31.08.2026</v>
      </c>
      <c r="AF499" s="584">
        <f t="shared" si="1437"/>
        <v>0</v>
      </c>
      <c r="AG499" s="585">
        <f t="shared" si="1438"/>
        <v>0</v>
      </c>
      <c r="AH499" s="583">
        <f t="shared" si="1439"/>
        <v>0</v>
      </c>
      <c r="AI499" s="582">
        <f t="shared" si="1440"/>
        <v>0</v>
      </c>
      <c r="AJ499" s="569">
        <f t="shared" si="1441"/>
        <v>0</v>
      </c>
      <c r="AK499" s="569" t="str">
        <f t="shared" si="1442"/>
        <v/>
      </c>
      <c r="AL499" s="569" t="str">
        <f t="shared" si="1443"/>
        <v/>
      </c>
      <c r="AM499" s="569">
        <f t="shared" si="1444"/>
        <v>0</v>
      </c>
      <c r="AN499" s="581">
        <f t="shared" si="1445"/>
        <v>0</v>
      </c>
      <c r="AO499" s="623"/>
      <c r="AP499" s="632" t="str">
        <f t="shared" si="1327"/>
        <v/>
      </c>
      <c r="AQ499" s="633" t="str">
        <f>IF(AC499=$V$3,IF(VLOOKUP(C499,[1]List1!$A:$E,5,FALSE)=0,1,VLOOKUP(C499,[1]List1!$A:$E,5,FALSE)),"")</f>
        <v/>
      </c>
      <c r="AR499" s="625" t="str">
        <f t="shared" si="1328"/>
        <v/>
      </c>
      <c r="AS499" s="634" t="str">
        <f t="shared" si="1312"/>
        <v/>
      </c>
      <c r="AT499" s="625" t="str">
        <f t="shared" si="1329"/>
        <v/>
      </c>
      <c r="AU499" s="638" t="e">
        <f t="shared" si="1330"/>
        <v>#N/A</v>
      </c>
      <c r="AV499" s="625" t="e">
        <f t="shared" si="1331"/>
        <v>#N/A</v>
      </c>
      <c r="AX499" s="625">
        <f>IF(AND('General price list'!$J499="F4",'General price list'!$AB499+0&gt;0),1,0)</f>
        <v>0</v>
      </c>
      <c r="AY499" s="625">
        <f t="shared" si="1332"/>
        <v>1</v>
      </c>
      <c r="AZ499" s="625">
        <f t="shared" si="1333"/>
        <v>0</v>
      </c>
    </row>
    <row r="500" spans="1:52" ht="15.75" customHeight="1">
      <c r="A500" s="639" t="str">
        <f>Kat.!C500</f>
        <v/>
      </c>
      <c r="B500" s="640">
        <f>IF(AND('General price list'!$J500="F4",$AI$1=FALSE),0,IF(AC500="SKLADEM",1,IF(AC500=$V$3,1,0)))</f>
        <v>0</v>
      </c>
      <c r="C500" s="641" t="s">
        <v>12878</v>
      </c>
      <c r="D500" s="642" t="s">
        <v>12545</v>
      </c>
      <c r="E500" s="643" t="s">
        <v>12663</v>
      </c>
      <c r="F500" s="771">
        <f>IFERROR(VLOOKUP(C500,[2]List1!$A:$D,3,FALSE),"NEUVEDENO!")</f>
        <v>7478</v>
      </c>
      <c r="G500" s="768">
        <f t="shared" si="1432"/>
        <v>7478</v>
      </c>
      <c r="H500" s="765">
        <f t="shared" si="1433"/>
        <v>317.65450506131776</v>
      </c>
      <c r="I500" s="644">
        <f>IFERROR(VLOOKUP(C500,[2]List1!$A:$D,4,FALSE),"NEUVEDENO!")</f>
        <v>1</v>
      </c>
      <c r="J500" s="733" t="s">
        <v>39</v>
      </c>
      <c r="K500" s="645">
        <v>4</v>
      </c>
      <c r="L500" s="645"/>
      <c r="M500" s="645" t="s">
        <v>21</v>
      </c>
      <c r="N500" s="645">
        <f>IFERROR(VLOOKUP(C500,[3]List1!$A:$D,4,FALSE),"N/A!")</f>
        <v>9.4936499999999993E-2</v>
      </c>
      <c r="O500" s="645">
        <f>IFERROR(VLOOKUP(C500,[3]List1!$A:$D,3,FALSE),"N/A!")</f>
        <v>3894</v>
      </c>
      <c r="P500" s="645">
        <f>IFERROR(VLOOKUP(C500,[3]List1!$A:$D,2,FALSE),"N/A!")</f>
        <v>36000</v>
      </c>
      <c r="Q500" s="645" t="s">
        <v>11794</v>
      </c>
      <c r="R500" s="645"/>
      <c r="S500" s="645" t="str">
        <f>IF($W$17=$AF$1,"červená fólie",IFERROR(VLOOKUP("červená fólie",Jazyky_ceník!$A:$Q,MATCH($W$17,Jazyky_ceník!$A$1:$Q$1,0),FALSE),"!!!"))</f>
        <v>červená fólie</v>
      </c>
      <c r="T500" s="645">
        <v>300</v>
      </c>
      <c r="U500" s="645">
        <v>25</v>
      </c>
      <c r="V500" s="645">
        <v>13</v>
      </c>
      <c r="W500" s="645" t="str">
        <f>IFERROR(IF(AND($AB500&gt;=0.1*$AA500,MOD($AB500,$AA500)&gt;=($AA500-(0.1*$AA500))),IF($W$17=$AF$1,"Zvažte možnost doobjednání ještě "&amp;Tabulka1[[#This Row],[VKPAL]]-MOD(AB500,AA500)&amp;" VK do plné palety.",VLOOKUP("Zvažte možnost doobjednání ještě ",Jazyky_ceník!A:Q,MATCH($W$17,Jazyky_ceník!$A$1:$Q$1,0),FALSE)&amp;Tabulka1[[#This Row],[VKPAL]]-MOD(AB500,AA500)&amp;VLOOKUP(" VK do plné palety.",Jazyky_ceník!A:Q,MATCH($W$17,Jazyky_ceník!$A$1:$Q$1,0),FALSE)),IFERROR(IF(AND(NOT(MOD($AB500,$AA500)=0),$AB500&gt;=0.9*$AA500,MOD($AB500,$AA500)&lt;=0.1*$AA500),IF($W$17=$AF$1,"Zvažte možnost optimalizace objednaného množství podle počtu VK na paletě ==&gt;",VLOOKUP("Zvažte možnost optimalizace objednaného množství podle počtu VK na paletě ==&gt;",Jazyky_ceník!A:Q,MATCH($W$17,Jazyky_ceník!$A$1:$Q$1,0),FALSE)),VLOOKUP('General price list'!$C500,Popisy!A:M,MATCH($W$17,Popisy!$A$7:$M$7,0),FALSE)),"---------------")),IFERROR(VLOOKUP('General price list'!$C500,Popisy!A:M,MATCH($W$17,Popisy!$A$7:$M$7,0),FALSE),"---------------"))</f>
        <v>40 různobarevných efektů</v>
      </c>
      <c r="X500" s="645" t="str">
        <f t="shared" si="1434"/>
        <v/>
      </c>
      <c r="Y500" s="645" t="str">
        <f t="shared" si="1435"/>
        <v/>
      </c>
      <c r="Z500" s="645" t="str">
        <f>HYPERLINK("https://www.klasekpyrotechnics.cz/c1-c2_c65620xh-c14")</f>
        <v>https://www.klasekpyrotechnics.cz/c1-c2_c65620xh-c14</v>
      </c>
      <c r="AA500" s="645" t="str">
        <f>IFERROR(IF(VLOOKUP(C500,[4]List1!$A:$D,4,FALSE)=0,"",VLOOKUP(C500,[4]List1!$A:$D,4,FALSE)),"")</f>
        <v/>
      </c>
      <c r="AB500" s="646"/>
      <c r="AC500" s="647" t="str">
        <f>IFERROR(IF(VLOOKUP(C500,[1]List1!$A:$D,2,FALSE)="VYPRODÁNO",$V$9,IF(VLOOKUP(C500,[1]List1!$A:$D,2,FALSE)="DOCHÁZÍ",$V$3,VLOOKUP(C500,[1]List1!$A:$D,2,FALSE))),"OFFLINE!")</f>
        <v>31.08.2026</v>
      </c>
      <c r="AD500" s="647" t="str">
        <f ca="1">IF(AP500="NE",$V$10,IF(AC500=$V$3,IF(AQ500&lt;1,$V$8,$V$2&amp;" "&amp;AQ500&amp;" "&amp;$V$1),IF(AC500="SKLADEM",$V$6,IFERROR(IF(OR(AC500-TODAY()&gt;45,VLOOKUP(C500,[1]List1!$A:$E,4,FALSE)=0),AC500,DAY(AC500)&amp;"."&amp;MONTH(AC500)&amp;"."&amp;YEAR(AC500)&amp;" "&amp;$V$4&amp;VLOOKUP(C500,[1]List1!$A:$E,4,FALSE)&amp;" "&amp;$V$1),AC500))))</f>
        <v>31.08.2026</v>
      </c>
      <c r="AE500" s="645" t="str">
        <f t="shared" ca="1" si="1436"/>
        <v>31.08.2026</v>
      </c>
      <c r="AF500" s="648">
        <f t="shared" si="1437"/>
        <v>0</v>
      </c>
      <c r="AG500" s="649">
        <f t="shared" si="1438"/>
        <v>0</v>
      </c>
      <c r="AH500" s="650">
        <f t="shared" si="1439"/>
        <v>0</v>
      </c>
      <c r="AI500" s="645">
        <f t="shared" si="1440"/>
        <v>0</v>
      </c>
      <c r="AJ500" s="645">
        <f t="shared" si="1441"/>
        <v>0</v>
      </c>
      <c r="AK500" s="645" t="str">
        <f t="shared" si="1442"/>
        <v/>
      </c>
      <c r="AL500" s="645" t="str">
        <f t="shared" si="1443"/>
        <v/>
      </c>
      <c r="AM500" s="645">
        <f t="shared" si="1444"/>
        <v>0</v>
      </c>
      <c r="AN500" s="651">
        <f t="shared" si="1445"/>
        <v>0</v>
      </c>
      <c r="AO500" s="623"/>
      <c r="AP500" s="625" t="str">
        <f t="shared" si="1327"/>
        <v/>
      </c>
      <c r="AQ500" s="625" t="str">
        <f>IF(AC500=$V$3,IF(VLOOKUP(C500,[1]List1!$A:$E,5,FALSE)=0,1,VLOOKUP(C500,[1]List1!$A:$E,5,FALSE)),"")</f>
        <v/>
      </c>
      <c r="AR500" s="629" t="str">
        <f t="shared" si="1328"/>
        <v/>
      </c>
      <c r="AS500" s="630" t="str">
        <f t="shared" si="1312"/>
        <v/>
      </c>
      <c r="AT500" s="625" t="str">
        <f t="shared" si="1329"/>
        <v/>
      </c>
      <c r="AU500" s="625" t="e">
        <f t="shared" si="1330"/>
        <v>#N/A</v>
      </c>
      <c r="AV500" s="625" t="e">
        <f t="shared" si="1331"/>
        <v>#N/A</v>
      </c>
      <c r="AW500" s="631"/>
      <c r="AX500" s="631">
        <f>IF(AND('General price list'!$J500="F4",'General price list'!$AB500+0&gt;0),1,0)</f>
        <v>0</v>
      </c>
      <c r="AY500" s="631">
        <f t="shared" si="1332"/>
        <v>1</v>
      </c>
      <c r="AZ500" s="631">
        <f t="shared" si="1333"/>
        <v>0</v>
      </c>
    </row>
    <row r="501" spans="1:52" ht="15" customHeight="1">
      <c r="A501" s="621" t="str">
        <f>Kat.!C501</f>
        <v/>
      </c>
      <c r="B501" s="566">
        <f>IF(AND('General price list'!$J501="F4",$AI$1=FALSE),0,IF(AC501="SKLADEM",1,IF(AC501=$V$3,1,0)))</f>
        <v>0</v>
      </c>
      <c r="C501" s="641" t="s">
        <v>12879</v>
      </c>
      <c r="D501" s="568" t="s">
        <v>12546</v>
      </c>
      <c r="E501" s="763" t="s">
        <v>12663</v>
      </c>
      <c r="F501" s="791">
        <f>IFERROR(VLOOKUP(C501,[2]List1!$A:$D,3,FALSE),"NEUVEDENO!")</f>
        <v>6259</v>
      </c>
      <c r="G501" s="769">
        <f t="shared" si="1432"/>
        <v>6259</v>
      </c>
      <c r="H501" s="766">
        <f t="shared" si="1433"/>
        <v>265.87316758207913</v>
      </c>
      <c r="I501" s="764">
        <f>IFERROR(VLOOKUP(C501,[2]List1!$A:$D,4,FALSE),"NEUVEDENO!")</f>
        <v>1</v>
      </c>
      <c r="J501" s="732" t="s">
        <v>39</v>
      </c>
      <c r="K501" s="569" t="s">
        <v>13032</v>
      </c>
      <c r="L501" s="569"/>
      <c r="M501" s="569" t="s">
        <v>21</v>
      </c>
      <c r="N501" s="569">
        <f>IFERROR(VLOOKUP(C501,[3]List1!$A:$D,4,FALSE),"N/A!")</f>
        <v>7.3499999999999996E-2</v>
      </c>
      <c r="O501" s="569">
        <f>IFERROR(VLOOKUP(C501,[3]List1!$A:$D,3,FALSE),"N/A!")</f>
        <v>4000</v>
      </c>
      <c r="P501" s="569">
        <f>IFERROR(VLOOKUP(C501,[3]List1!$A:$D,2,FALSE),"N/A!")</f>
        <v>36000</v>
      </c>
      <c r="Q501" s="569" t="s">
        <v>11780</v>
      </c>
      <c r="R501" s="569"/>
      <c r="S501" s="569" t="str">
        <f>IF($W$17=$AF$1,"červená fólie",IFERROR(VLOOKUP("červená fólie",Jazyky_ceník!$A:$Q,MATCH($W$17,Jazyky_ceník!$A$1:$Q$1,0),FALSE),"!!!"))</f>
        <v>červená fólie</v>
      </c>
      <c r="T501" s="569">
        <v>360</v>
      </c>
      <c r="U501" s="569">
        <v>25</v>
      </c>
      <c r="V501" s="569">
        <v>13</v>
      </c>
      <c r="W501" s="569" t="str">
        <f>IFERROR(IF(AND($AB501&gt;=0.1*$AA501,MOD($AB501,$AA501)&gt;=($AA501-(0.1*$AA501))),IF($W$17=$AF$1,"Zvažte možnost doobjednání ještě "&amp;Tabulka1[[#This Row],[VKPAL]]-MOD(AB501,AA501)&amp;" VK do plné palety.",VLOOKUP("Zvažte možnost doobjednání ještě ",Jazyky_ceník!A:Q,MATCH($W$17,Jazyky_ceník!$A$1:$Q$1,0),FALSE)&amp;Tabulka1[[#This Row],[VKPAL]]-MOD(AB501,AA501)&amp;VLOOKUP(" VK do plné palety.",Jazyky_ceník!A:Q,MATCH($W$17,Jazyky_ceník!$A$1:$Q$1,0),FALSE)),IFERROR(IF(AND(NOT(MOD($AB501,$AA501)=0),$AB501&gt;=0.9*$AA501,MOD($AB501,$AA501)&lt;=0.1*$AA501),IF($W$17=$AF$1,"Zvažte možnost optimalizace objednaného množství podle počtu VK na paletě ==&gt;",VLOOKUP("Zvažte možnost optimalizace objednaného množství podle počtu VK na paletě ==&gt;",Jazyky_ceník!A:Q,MATCH($W$17,Jazyky_ceník!$A$1:$Q$1,0),FALSE)),VLOOKUP('General price list'!$C501,Popisy!A:M,MATCH($W$17,Popisy!$A$7:$M$7,0),FALSE)),"---------------")),IFERROR(VLOOKUP('General price list'!$C501,Popisy!A:M,MATCH($W$17,Popisy!$A$7:$M$7,0),FALSE),"---------------"))</f>
        <v>40 různobarevných efektů</v>
      </c>
      <c r="X501" s="569" t="str">
        <f t="shared" si="1434"/>
        <v/>
      </c>
      <c r="Y501" s="569" t="str">
        <f t="shared" si="1435"/>
        <v/>
      </c>
      <c r="Z501" s="569" t="str">
        <f>HYPERLINK("https://www.klasekpyrotechnics.cz/c1-c2_c80020s-c14")</f>
        <v>https://www.klasekpyrotechnics.cz/c1-c2_c80020s-c14</v>
      </c>
      <c r="AA501" s="569" t="str">
        <f>IFERROR(IF(VLOOKUP(C501,[4]List1!$A:$D,4,FALSE)=0,"",VLOOKUP(C501,[4]List1!$A:$D,4,FALSE)),"")</f>
        <v/>
      </c>
      <c r="AB501" s="565"/>
      <c r="AC501" s="570" t="str">
        <f>IFERROR(IF(VLOOKUP(C501,[1]List1!$A:$D,2,FALSE)="VYPRODÁNO",$V$9,IF(VLOOKUP(C501,[1]List1!$A:$D,2,FALSE)="DOCHÁZÍ",$V$3,VLOOKUP(C501,[1]List1!$A:$D,2,FALSE))),"OFFLINE!")</f>
        <v>31.08.2026</v>
      </c>
      <c r="AD501" s="570" t="str">
        <f ca="1">IF(AP501="NE",$V$10,IF(AC501=$V$3,IF(AQ501&lt;1,$V$8,$V$2&amp;" "&amp;AQ501&amp;" "&amp;$V$1),IF(AC501="SKLADEM",$V$6,IFERROR(IF(OR(AC501-TODAY()&gt;45,VLOOKUP(C501,[1]List1!$A:$E,4,FALSE)=0),AC501,DAY(AC501)&amp;"."&amp;MONTH(AC501)&amp;"."&amp;YEAR(AC501)&amp;" "&amp;$V$4&amp;VLOOKUP(C501,[1]List1!$A:$E,4,FALSE)&amp;" "&amp;$V$1),AC501))))</f>
        <v>31.08.2026</v>
      </c>
      <c r="AE501" s="581" t="str">
        <f t="shared" ca="1" si="1436"/>
        <v>31.08.2026</v>
      </c>
      <c r="AF501" s="584">
        <f t="shared" si="1437"/>
        <v>0</v>
      </c>
      <c r="AG501" s="585">
        <f t="shared" si="1438"/>
        <v>0</v>
      </c>
      <c r="AH501" s="583">
        <f t="shared" si="1439"/>
        <v>0</v>
      </c>
      <c r="AI501" s="582">
        <f t="shared" si="1440"/>
        <v>0</v>
      </c>
      <c r="AJ501" s="569">
        <f t="shared" si="1441"/>
        <v>0</v>
      </c>
      <c r="AK501" s="569" t="str">
        <f t="shared" si="1442"/>
        <v/>
      </c>
      <c r="AL501" s="569" t="str">
        <f t="shared" si="1443"/>
        <v/>
      </c>
      <c r="AM501" s="569">
        <f t="shared" si="1444"/>
        <v>0</v>
      </c>
      <c r="AN501" s="581">
        <f t="shared" si="1445"/>
        <v>0</v>
      </c>
      <c r="AO501" s="623"/>
      <c r="AP501" s="632" t="str">
        <f t="shared" si="1327"/>
        <v/>
      </c>
      <c r="AQ501" s="633" t="str">
        <f>IF(AC501=$V$3,IF(VLOOKUP(C501,[1]List1!$A:$E,5,FALSE)=0,1,VLOOKUP(C501,[1]List1!$A:$E,5,FALSE)),"")</f>
        <v/>
      </c>
      <c r="AR501" s="625" t="str">
        <f t="shared" si="1328"/>
        <v/>
      </c>
      <c r="AS501" s="634" t="str">
        <f t="shared" si="1312"/>
        <v/>
      </c>
      <c r="AT501" s="625" t="str">
        <f t="shared" si="1329"/>
        <v/>
      </c>
      <c r="AU501" s="638" t="e">
        <f t="shared" si="1330"/>
        <v>#N/A</v>
      </c>
      <c r="AV501" s="625" t="e">
        <f t="shared" si="1331"/>
        <v>#N/A</v>
      </c>
      <c r="AX501" s="625">
        <f>IF(AND('General price list'!$J501="F4",'General price list'!$AB501+0&gt;0),1,0)</f>
        <v>0</v>
      </c>
      <c r="AY501" s="625">
        <f t="shared" si="1332"/>
        <v>1</v>
      </c>
      <c r="AZ501" s="625">
        <f t="shared" si="1333"/>
        <v>0</v>
      </c>
    </row>
    <row r="502" spans="1:52" ht="15" customHeight="1">
      <c r="A502" s="751" t="str">
        <f>Kat.!C502</f>
        <v xml:space="preserve">           Složený ohňostroj 20 mm – F2 – 1.3G</v>
      </c>
      <c r="B502" s="751"/>
      <c r="C502" s="751"/>
      <c r="D502" s="751"/>
      <c r="E502" s="751"/>
      <c r="F502" s="751"/>
      <c r="G502" s="751"/>
      <c r="H502" s="751"/>
      <c r="I502" s="752"/>
      <c r="J502" s="752"/>
      <c r="K502" s="752" t="s">
        <v>20</v>
      </c>
      <c r="L502" s="753" t="s">
        <v>2818</v>
      </c>
      <c r="M502" s="752"/>
      <c r="N502" s="752"/>
      <c r="O502" s="752"/>
      <c r="P502" s="752"/>
      <c r="Q502" s="752"/>
      <c r="R502" s="752"/>
      <c r="S502" s="752"/>
      <c r="T502" s="752"/>
      <c r="U502" s="752"/>
      <c r="V502" s="752"/>
      <c r="W502" s="752"/>
      <c r="X502" s="752"/>
      <c r="Y502" s="752"/>
      <c r="Z502" s="752" t="s">
        <v>20</v>
      </c>
      <c r="AA502" s="752"/>
      <c r="AB502" s="752"/>
      <c r="AC502" s="754"/>
      <c r="AD502" s="752"/>
      <c r="AE502" s="752"/>
      <c r="AF502" s="752"/>
      <c r="AG502" s="752"/>
      <c r="AH502" s="752"/>
      <c r="AI502" s="752"/>
      <c r="AJ502" s="752"/>
      <c r="AK502" s="752"/>
      <c r="AL502" s="752"/>
      <c r="AM502" s="752"/>
      <c r="AN502" s="752"/>
      <c r="AO502" s="623"/>
      <c r="AP502" s="632" t="str">
        <f t="shared" si="1327"/>
        <v/>
      </c>
      <c r="AQ502" s="633" t="str">
        <f>IF(AC502=$V$3,IF(VLOOKUP(C502,[1]List1!$A:$E,5,FALSE)=0,1,VLOOKUP(C502,[1]List1!$A:$E,5,FALSE)),"")</f>
        <v/>
      </c>
      <c r="AR502" s="625" t="str">
        <f t="shared" si="1328"/>
        <v/>
      </c>
      <c r="AS502" s="634" t="str">
        <f t="shared" si="1312"/>
        <v/>
      </c>
      <c r="AT502" s="625" t="str">
        <f t="shared" si="1329"/>
        <v/>
      </c>
      <c r="AU502" s="638" t="e">
        <f t="shared" si="1330"/>
        <v>#N/A</v>
      </c>
      <c r="AV502" s="625" t="e">
        <f t="shared" si="1331"/>
        <v>#N/A</v>
      </c>
      <c r="AX502" s="625">
        <f>IF(AND('General price list'!$J502="F4",'General price list'!$AB502+0&gt;0),1,0)</f>
        <v>0</v>
      </c>
      <c r="AY502" s="625">
        <f t="shared" si="1332"/>
        <v>0</v>
      </c>
      <c r="AZ502" s="625">
        <f t="shared" si="1333"/>
        <v>0</v>
      </c>
    </row>
    <row r="503" spans="1:52" ht="15" customHeight="1">
      <c r="A503" s="639" t="str">
        <f>Kat.!C503</f>
        <v/>
      </c>
      <c r="B503" s="640">
        <f>IF(AND('General price list'!$J503="F4",$AI$1=FALSE),0,IF(AC503="SKLADEM",1,IF(AC503=$V$3,1,0)))</f>
        <v>1</v>
      </c>
      <c r="C503" s="641" t="s">
        <v>1105</v>
      </c>
      <c r="D503" s="642" t="s">
        <v>11731</v>
      </c>
      <c r="E503" s="643" t="s">
        <v>12746</v>
      </c>
      <c r="F503" s="771">
        <f>IFERROR(VLOOKUP(C503,[2]List1!$A:$D,3,FALSE),"NEUVEDENO!")</f>
        <v>690</v>
      </c>
      <c r="G503" s="768">
        <f t="shared" ref="G503:G511" si="1446">IF($W$17=$AF$8,ROUND((F503)/$F$17,2),(F503)*$B$19)</f>
        <v>690</v>
      </c>
      <c r="H503" s="765">
        <f t="shared" ref="H503:H511" si="1447">IF($W$17=$AF$8,G503*$B$19,G503/$F$17)</f>
        <v>29.310191025984121</v>
      </c>
      <c r="I503" s="644">
        <f>IFERROR(VLOOKUP(C503,[2]List1!$A:$D,4,FALSE),"NEUVEDENO!")</f>
        <v>6</v>
      </c>
      <c r="J503" s="733" t="s">
        <v>39</v>
      </c>
      <c r="K503" s="645" t="s">
        <v>20</v>
      </c>
      <c r="L503" s="645" t="s">
        <v>20</v>
      </c>
      <c r="M503" s="645" t="s">
        <v>114</v>
      </c>
      <c r="N503" s="645">
        <f>IFERROR(VLOOKUP(C503,[3]List1!$A:$D,4,FALSE),"N/A!")</f>
        <v>4.2900000000000001E-2</v>
      </c>
      <c r="O503" s="645">
        <f>IFERROR(VLOOKUP(C503,[3]List1!$A:$D,3,FALSE),"N/A!")</f>
        <v>2976</v>
      </c>
      <c r="P503" s="645">
        <f>IFERROR(VLOOKUP(C503,[3]List1!$A:$D,2,FALSE),"N/A!")</f>
        <v>20200</v>
      </c>
      <c r="Q503" s="645" t="s">
        <v>11777</v>
      </c>
      <c r="R503" s="645"/>
      <c r="S503" s="645" t="str">
        <f>IF($W$17=$AF$1,"červená fólie",IFERROR(VLOOKUP("červená fólie",Jazyky_ceník!$A:$Q,MATCH($W$17,Jazyky_ceník!$A$1:$Q$1,0),FALSE),"!!!"))</f>
        <v>červená fólie</v>
      </c>
      <c r="T503" s="645">
        <v>45</v>
      </c>
      <c r="U503" s="645"/>
      <c r="V503" s="645"/>
      <c r="W503" s="645" t="str">
        <f>IFERROR(IF(AND($AB503&gt;=0.1*$AA503,MOD($AB503,$AA503)&gt;=($AA503-(0.1*$AA503))),IF($W$17=$AF$1,"Zvažte možnost doobjednání ještě "&amp;Tabulka1[[#This Row],[VKPAL]]-MOD(AB503,AA503)&amp;" VK do plné palety.",VLOOKUP("Zvažte možnost doobjednání ještě ",Jazyky_ceník!A:Q,MATCH($W$17,Jazyky_ceník!$A$1:$Q$1,0),FALSE)&amp;Tabulka1[[#This Row],[VKPAL]]-MOD(AB503,AA503)&amp;VLOOKUP(" VK do plné palety.",Jazyky_ceník!A:Q,MATCH($W$17,Jazyky_ceník!$A$1:$Q$1,0),FALSE)),IFERROR(IF(AND(NOT(MOD($AB503,$AA503)=0),$AB503&gt;=0.9*$AA503,MOD($AB503,$AA503)&lt;=0.1*$AA503),IF($W$17=$AF$1,"Zvažte možnost optimalizace objednaného množství podle počtu VK na paletě ==&gt;",VLOOKUP("Zvažte možnost optimalizace objednaného množství podle počtu VK na paletě ==&gt;",Jazyky_ceník!A:Q,MATCH($W$17,Jazyky_ceník!$A$1:$Q$1,0),FALSE)),VLOOKUP('General price list'!$C503,Popisy!A:M,MATCH($W$17,Popisy!$A$7:$M$7,0),FALSE)),"---------------")),IFERROR(VLOOKUP('General price list'!$C503,Popisy!A:M,MATCH($W$17,Popisy!$A$7:$M$7,0),FALSE),"---------------"))</f>
        <v>stříbrná mina s červenou stopou a titanovou detonací</v>
      </c>
      <c r="X503" s="645" t="str">
        <f t="shared" ref="X503:X511" si="1448">IF(AB503&lt;0.0001,"",AB503)</f>
        <v/>
      </c>
      <c r="Y503" s="645" t="str">
        <f t="shared" ref="Y503:Y511" si="1449">IF($AL$3=2,IF(OR(AB503&lt;&gt;"",AB503&lt;&gt;0),AU503,""),IF(C503="","",IF(AB503&lt;0.0001,"",IF(B503=0,"",IF(AQ503&lt;AB503,"",AB503)))))</f>
        <v/>
      </c>
      <c r="Z503" s="645" t="str">
        <f>HYPERLINK("https://www.klasekpyrotechnics.cz/c6420du-c")</f>
        <v>https://www.klasekpyrotechnics.cz/c6420du-c</v>
      </c>
      <c r="AA503" s="645">
        <f>IFERROR(IF(VLOOKUP(C503,[4]List1!$A:$D,4,FALSE)=0,"",VLOOKUP(C503,[4]List1!$A:$D,4,FALSE)),"")</f>
        <v>22</v>
      </c>
      <c r="AB503" s="646"/>
      <c r="AC503" s="647" t="str">
        <f>IFERROR(IF(VLOOKUP(C503,[1]List1!$A:$D,2,FALSE)="VYPRODÁNO",$V$9,IF(VLOOKUP(C503,[1]List1!$A:$D,2,FALSE)="DOCHÁZÍ",$V$3,VLOOKUP(C503,[1]List1!$A:$D,2,FALSE))),"OFFLINE!")</f>
        <v>SKLADEM</v>
      </c>
      <c r="AD503" s="647" t="str">
        <f ca="1">IF(AP503="NE",$V$10,IF(AC503=$V$3,IF(AQ503&lt;1,$V$8,$V$2&amp;" "&amp;AQ503&amp;" "&amp;$V$1),IF(AC503="SKLADEM",$V$6,IFERROR(IF(OR(AC503-TODAY()&gt;45,VLOOKUP(C503,[1]List1!$A:$E,4,FALSE)=0),AC503,DAY(AC503)&amp;"."&amp;MONTH(AC503)&amp;"."&amp;YEAR(AC503)&amp;" "&amp;$V$4&amp;VLOOKUP(C503,[1]List1!$A:$E,4,FALSE)&amp;" "&amp;$V$1),AC503))))</f>
        <v>SKLADEM</v>
      </c>
      <c r="AE503" s="645" t="str">
        <f t="shared" ref="AE503:AE511" ca="1" si="1450">IFERROR(IF(AV503&lt;&gt;"",AV503,AD503),AD503)</f>
        <v>SKLADEM</v>
      </c>
      <c r="AF503" s="648">
        <f t="shared" ref="AF503:AF511" si="1451">IFERROR(IF(AB503=Y503,G503*I503*Y503,0),0)</f>
        <v>0</v>
      </c>
      <c r="AG503" s="649">
        <f t="shared" ref="AG503:AG511" si="1452">IF($W$17=$AF$8,AH503*1.23,AF503*1.21)</f>
        <v>0</v>
      </c>
      <c r="AH503" s="650">
        <f t="shared" ref="AH503:AH511" si="1453">IFERROR(IF(Y503=AB503,H503*I503*Y503,0),0)</f>
        <v>0</v>
      </c>
      <c r="AI503" s="645">
        <f t="shared" ref="AI503:AI511" si="1454">IFERROR(IF(Y503=AB503,(P503*Y503)/1000,1),0)</f>
        <v>0</v>
      </c>
      <c r="AJ503" s="645">
        <f t="shared" ref="AJ503:AJ511" si="1455">IFERROR(IF(Y503=AB503,N503*Y503,0.1),0)</f>
        <v>0</v>
      </c>
      <c r="AK503" s="645" t="str">
        <f t="shared" ref="AK503:AK511" si="1456">IFERROR(IF(Y503=AB503,IF(M503="1.1G",(O503/1000)*Y503,""),""),0)</f>
        <v/>
      </c>
      <c r="AL503" s="645">
        <f t="shared" ref="AL503:AL511" si="1457">IFERROR(IF(Y503=AB503,IF(M503="1.3G",(O503/1000)*AB503,""),""),0)</f>
        <v>0</v>
      </c>
      <c r="AM503" s="645" t="str">
        <f t="shared" ref="AM503:AM511" si="1458">IFERROR(IF(Y503=AB503,IF(M503="1.4G",(O503/1000)*AB503,""),""),0)</f>
        <v/>
      </c>
      <c r="AN503" s="651">
        <f t="shared" ref="AN503:AN511" si="1459">SUM(AK503:AM503)</f>
        <v>0</v>
      </c>
      <c r="AO503" s="623"/>
      <c r="AP503" s="632" t="str">
        <f t="shared" si="1327"/>
        <v/>
      </c>
      <c r="AQ503" s="633" t="str">
        <f>IF(AC503=$V$3,IF(VLOOKUP(C503,[1]List1!$A:$E,5,FALSE)=0,1,VLOOKUP(C503,[1]List1!$A:$E,5,FALSE)),"")</f>
        <v/>
      </c>
      <c r="AR503" s="625" t="str">
        <f t="shared" si="1328"/>
        <v/>
      </c>
      <c r="AS503" s="634" t="str">
        <f t="shared" ref="AS503:AS511" si="1460">IF(AT503&lt;&gt;"","X","")</f>
        <v/>
      </c>
      <c r="AT503" s="625" t="str">
        <f t="shared" si="1329"/>
        <v/>
      </c>
      <c r="AU503" s="638" t="e">
        <f t="shared" si="1330"/>
        <v>#N/A</v>
      </c>
      <c r="AV503" s="625" t="e">
        <f t="shared" si="1331"/>
        <v>#N/A</v>
      </c>
      <c r="AX503" s="625">
        <f>IF(AND('General price list'!$J503="F4",'General price list'!$AB503+0&gt;0),1,0)</f>
        <v>0</v>
      </c>
      <c r="AY503" s="625">
        <f t="shared" si="1332"/>
        <v>1</v>
      </c>
      <c r="AZ503" s="625">
        <f t="shared" si="1333"/>
        <v>0</v>
      </c>
    </row>
    <row r="504" spans="1:52" ht="15" customHeight="1">
      <c r="A504" s="621" t="str">
        <f>Kat.!C504</f>
        <v/>
      </c>
      <c r="B504" s="566">
        <f>IF(AND('General price list'!$J504="F4",$AI$1=FALSE),0,IF(AC504="SKLADEM",1,IF(AC504=$V$3,1,0)))</f>
        <v>0</v>
      </c>
      <c r="C504" s="567" t="s">
        <v>1106</v>
      </c>
      <c r="D504" s="568" t="s">
        <v>11728</v>
      </c>
      <c r="E504" s="763" t="s">
        <v>12663</v>
      </c>
      <c r="F504" s="772">
        <f>IFERROR(VLOOKUP(C504,[2]List1!$A:$D,3,FALSE),"NEUVEDENO!")</f>
        <v>1139</v>
      </c>
      <c r="G504" s="769">
        <f t="shared" si="1446"/>
        <v>1139</v>
      </c>
      <c r="H504" s="766">
        <f t="shared" si="1447"/>
        <v>48.383054461733209</v>
      </c>
      <c r="I504" s="764">
        <f>IFERROR(VLOOKUP(C504,[2]List1!$A:$D,4,FALSE),"NEUVEDENO!")</f>
        <v>1</v>
      </c>
      <c r="J504" s="732" t="s">
        <v>39</v>
      </c>
      <c r="K504" s="569" t="s">
        <v>20</v>
      </c>
      <c r="L504" s="569" t="s">
        <v>20</v>
      </c>
      <c r="M504" s="569" t="s">
        <v>114</v>
      </c>
      <c r="N504" s="569">
        <f>IFERROR(VLOOKUP(C504,[3]List1!$A:$D,4,FALSE),"N/A!")</f>
        <v>1.3829875E-2</v>
      </c>
      <c r="O504" s="569">
        <f>IFERROR(VLOOKUP(C504,[3]List1!$A:$D,3,FALSE),"N/A!")</f>
        <v>996</v>
      </c>
      <c r="P504" s="569">
        <f>IFERROR(VLOOKUP(C504,[3]List1!$A:$D,2,FALSE),"N/A!")</f>
        <v>6350</v>
      </c>
      <c r="Q504" s="569" t="s">
        <v>11238</v>
      </c>
      <c r="R504" s="569"/>
      <c r="S504" s="569" t="str">
        <f>IF($W$17=$AF$1,"červená fólie",IFERROR(VLOOKUP("červená fólie",Jazyky_ceník!$A:$Q,MATCH($W$17,Jazyky_ceník!$A$1:$Q$1,0),FALSE),"!!!"))</f>
        <v>červená fólie</v>
      </c>
      <c r="T504" s="569">
        <v>100</v>
      </c>
      <c r="U504" s="569">
        <v>25</v>
      </c>
      <c r="V504" s="569">
        <v>16</v>
      </c>
      <c r="W504" s="569" t="str">
        <f>IFERROR(IF(AND($AB504&gt;=0.1*$AA504,MOD($AB504,$AA504)&gt;=($AA504-(0.1*$AA504))),IF($W$17=$AF$1,"Zvažte možnost doobjednání ještě "&amp;Tabulka1[[#This Row],[VKPAL]]-MOD(AB504,AA504)&amp;" VK do plné palety.",VLOOKUP("Zvažte možnost doobjednání ještě ",Jazyky_ceník!A:Q,MATCH($W$17,Jazyky_ceník!$A$1:$Q$1,0),FALSE)&amp;Tabulka1[[#This Row],[VKPAL]]-MOD(AB504,AA504)&amp;VLOOKUP(" VK do plné palety.",Jazyky_ceník!A:Q,MATCH($W$17,Jazyky_ceník!$A$1:$Q$1,0),FALSE)),IFERROR(IF(AND(NOT(MOD($AB504,$AA504)=0),$AB504&gt;=0.9*$AA504,MOD($AB504,$AA504)&lt;=0.1*$AA504),IF($W$17=$AF$1,"Zvažte možnost optimalizace objednaného množství podle počtu VK na paletě ==&gt;",VLOOKUP("Zvažte možnost optimalizace objednaného množství podle počtu VK na paletě ==&gt;",Jazyky_ceník!A:Q,MATCH($W$17,Jazyky_ceník!$A$1:$Q$1,0),FALSE)),VLOOKUP('General price list'!$C504,Popisy!A:M,MATCH($W$17,Popisy!$A$7:$M$7,0),FALSE)),"---------------")),IFERROR(VLOOKUP('General price list'!$C504,Popisy!A:M,MATCH($W$17,Popisy!$A$7:$M$7,0),FALSE),"---------------"))</f>
        <v>16 různobarevných efektů</v>
      </c>
      <c r="X504" s="569" t="str">
        <f t="shared" si="1448"/>
        <v/>
      </c>
      <c r="Y504" s="569" t="str">
        <f t="shared" si="1449"/>
        <v/>
      </c>
      <c r="Z504" s="569" t="str">
        <f>HYPERLINK("https://www.klasekpyrotechnics.cz/c12820f-c")</f>
        <v>https://www.klasekpyrotechnics.cz/c12820f-c</v>
      </c>
      <c r="AA504" s="569">
        <f>IFERROR(IF(VLOOKUP(C504,[4]List1!$A:$D,4,FALSE)=0,"",VLOOKUP(C504,[4]List1!$A:$D,4,FALSE)),"")</f>
        <v>77</v>
      </c>
      <c r="AB504" s="565"/>
      <c r="AC504" s="570" t="str">
        <f>IFERROR(IF(VLOOKUP(C504,[1]List1!$A:$D,2,FALSE)="VYPRODÁNO",$V$9,IF(VLOOKUP(C504,[1]List1!$A:$D,2,FALSE)="DOCHÁZÍ",$V$3,VLOOKUP(C504,[1]List1!$A:$D,2,FALSE))),"OFFLINE!")</f>
        <v>14.04.2026</v>
      </c>
      <c r="AD504" s="570" t="str">
        <f ca="1">IF(AP504="NE",$V$10,IF(AC504=$V$3,IF(AQ504&lt;1,$V$8,$V$2&amp;" "&amp;AQ504&amp;" "&amp;$V$1),IF(AC504="SKLADEM",$V$6,IFERROR(IF(OR(AC504-TODAY()&gt;45,VLOOKUP(C504,[1]List1!$A:$E,4,FALSE)=0),AC504,DAY(AC504)&amp;"."&amp;MONTH(AC504)&amp;"."&amp;YEAR(AC504)&amp;" "&amp;$V$4&amp;VLOOKUP(C504,[1]List1!$A:$E,4,FALSE)&amp;" "&amp;$V$1),AC504))))</f>
        <v>14.4.2026 DORAZÍ 100+ VK</v>
      </c>
      <c r="AE504" s="581" t="str">
        <f t="shared" ca="1" si="1450"/>
        <v>14.4.2026 DORAZÍ 100+ VK</v>
      </c>
      <c r="AF504" s="584">
        <f t="shared" si="1451"/>
        <v>0</v>
      </c>
      <c r="AG504" s="585">
        <f t="shared" si="1452"/>
        <v>0</v>
      </c>
      <c r="AH504" s="583">
        <f t="shared" si="1453"/>
        <v>0</v>
      </c>
      <c r="AI504" s="582">
        <f t="shared" si="1454"/>
        <v>0</v>
      </c>
      <c r="AJ504" s="569">
        <f t="shared" si="1455"/>
        <v>0</v>
      </c>
      <c r="AK504" s="569" t="str">
        <f t="shared" si="1456"/>
        <v/>
      </c>
      <c r="AL504" s="569">
        <f t="shared" si="1457"/>
        <v>0</v>
      </c>
      <c r="AM504" s="569" t="str">
        <f t="shared" si="1458"/>
        <v/>
      </c>
      <c r="AN504" s="581">
        <f t="shared" si="1459"/>
        <v>0</v>
      </c>
      <c r="AO504" s="623"/>
      <c r="AP504" s="632" t="str">
        <f t="shared" si="1327"/>
        <v/>
      </c>
      <c r="AQ504" s="633" t="str">
        <f>IF(AC504=$V$3,IF(VLOOKUP(C504,[1]List1!$A:$E,5,FALSE)=0,1,VLOOKUP(C504,[1]List1!$A:$E,5,FALSE)),"")</f>
        <v/>
      </c>
      <c r="AR504" s="625" t="str">
        <f t="shared" si="1328"/>
        <v/>
      </c>
      <c r="AS504" s="634" t="str">
        <f t="shared" si="1460"/>
        <v/>
      </c>
      <c r="AT504" s="625" t="str">
        <f t="shared" si="1329"/>
        <v/>
      </c>
      <c r="AU504" s="638" t="e">
        <f t="shared" si="1330"/>
        <v>#N/A</v>
      </c>
      <c r="AV504" s="625" t="e">
        <f t="shared" si="1331"/>
        <v>#N/A</v>
      </c>
      <c r="AX504" s="625">
        <f>IF(AND('General price list'!$J504="F4",'General price list'!$AB504+0&gt;0),1,0)</f>
        <v>0</v>
      </c>
      <c r="AY504" s="625">
        <f t="shared" si="1332"/>
        <v>1</v>
      </c>
      <c r="AZ504" s="625">
        <f t="shared" si="1333"/>
        <v>0</v>
      </c>
    </row>
    <row r="505" spans="1:52" ht="15.75" customHeight="1">
      <c r="A505" s="639" t="str">
        <f>Kat.!C505</f>
        <v/>
      </c>
      <c r="B505" s="640">
        <f>IF(AND('General price list'!$J505="F4",$AI$1=FALSE),0,IF(AC505="SKLADEM",1,IF(AC505=$V$3,1,0)))</f>
        <v>1</v>
      </c>
      <c r="C505" s="641" t="s">
        <v>1108</v>
      </c>
      <c r="D505" s="642" t="s">
        <v>1092</v>
      </c>
      <c r="E505" s="643" t="s">
        <v>12663</v>
      </c>
      <c r="F505" s="771">
        <f>IFERROR(VLOOKUP(C505,[2]List1!$A:$D,3,FALSE),"NEUVEDENO!")</f>
        <v>1682</v>
      </c>
      <c r="G505" s="768">
        <f t="shared" si="1446"/>
        <v>1682</v>
      </c>
      <c r="H505" s="765">
        <f t="shared" si="1447"/>
        <v>71.448900443051144</v>
      </c>
      <c r="I505" s="644">
        <f>IFERROR(VLOOKUP(C505,[2]List1!$A:$D,4,FALSE),"NEUVEDENO!")</f>
        <v>1</v>
      </c>
      <c r="J505" s="733" t="s">
        <v>39</v>
      </c>
      <c r="K505" s="645" t="s">
        <v>20</v>
      </c>
      <c r="L505" s="645" t="s">
        <v>20</v>
      </c>
      <c r="M505" s="645" t="s">
        <v>114</v>
      </c>
      <c r="N505" s="645">
        <f>IFERROR(VLOOKUP(C505,[3]List1!$A:$D,4,FALSE),"N/A!")</f>
        <v>2.8262499999999999E-2</v>
      </c>
      <c r="O505" s="645">
        <f>IFERROR(VLOOKUP(C505,[3]List1!$A:$D,3,FALSE),"N/A!")</f>
        <v>980</v>
      </c>
      <c r="P505" s="645">
        <f>IFERROR(VLOOKUP(C505,[3]List1!$A:$D,2,FALSE),"N/A!")</f>
        <v>7300</v>
      </c>
      <c r="Q505" s="645" t="s">
        <v>11238</v>
      </c>
      <c r="R505" s="645"/>
      <c r="S505" s="645" t="str">
        <f>IF($W$17=$AF$1,"červená fólie",IFERROR(VLOOKUP("červená fólie",Jazyky_ceník!$A:$Q,MATCH($W$17,Jazyky_ceník!$A$1:$Q$1,0),FALSE),"!!!"))</f>
        <v>červená fólie</v>
      </c>
      <c r="T505" s="645">
        <v>100</v>
      </c>
      <c r="U505" s="645">
        <v>25</v>
      </c>
      <c r="V505" s="645">
        <v>16</v>
      </c>
      <c r="W505" s="645" t="str">
        <f>IFERROR(IF(AND($AB505&gt;=0.1*$AA505,MOD($AB505,$AA505)&gt;=($AA505-(0.1*$AA505))),IF($W$17=$AF$1,"Zvažte možnost doobjednání ještě "&amp;Tabulka1[[#This Row],[VKPAL]]-MOD(AB505,AA505)&amp;" VK do plné palety.",VLOOKUP("Zvažte možnost doobjednání ještě ",Jazyky_ceník!A:Q,MATCH($W$17,Jazyky_ceník!$A$1:$Q$1,0),FALSE)&amp;Tabulka1[[#This Row],[VKPAL]]-MOD(AB505,AA505)&amp;VLOOKUP(" VK do plné palety.",Jazyky_ceník!A:Q,MATCH($W$17,Jazyky_ceník!$A$1:$Q$1,0),FALSE)),IFERROR(IF(AND(NOT(MOD($AB505,$AA505)=0),$AB505&gt;=0.9*$AA505,MOD($AB505,$AA505)&lt;=0.1*$AA505),IF($W$17=$AF$1,"Zvažte možnost optimalizace objednaného množství podle počtu VK na paletě ==&gt;",VLOOKUP("Zvažte možnost optimalizace objednaného množství podle počtu VK na paletě ==&gt;",Jazyky_ceník!A:Q,MATCH($W$17,Jazyky_ceník!$A$1:$Q$1,0),FALSE)),VLOOKUP('General price list'!$C505,Popisy!A:M,MATCH($W$17,Popisy!$A$7:$M$7,0),FALSE)),"---------------")),IFERROR(VLOOKUP('General price list'!$C505,Popisy!A:M,MATCH($W$17,Popisy!$A$7:$M$7,0),FALSE),"---------------"))</f>
        <v>18 různobarevných efektů</v>
      </c>
      <c r="X505" s="645" t="str">
        <f t="shared" si="1448"/>
        <v/>
      </c>
      <c r="Y505" s="645" t="str">
        <f t="shared" si="1449"/>
        <v/>
      </c>
      <c r="Z505" s="645" t="str">
        <f>HYPERLINK("https://www.klasekpyrotechnics.cz/c13220b-c")</f>
        <v>https://www.klasekpyrotechnics.cz/c13220b-c</v>
      </c>
      <c r="AA505" s="645" t="str">
        <f>IFERROR(IF(VLOOKUP(C505,[4]List1!$A:$D,4,FALSE)=0,"",VLOOKUP(C505,[4]List1!$A:$D,4,FALSE)),"")</f>
        <v>36</v>
      </c>
      <c r="AB505" s="646"/>
      <c r="AC505" s="647" t="str">
        <f>IFERROR(IF(VLOOKUP(C505,[1]List1!$A:$D,2,FALSE)="VYPRODÁNO",$V$9,IF(VLOOKUP(C505,[1]List1!$A:$D,2,FALSE)="DOCHÁZÍ",$V$3,VLOOKUP(C505,[1]List1!$A:$D,2,FALSE))),"OFFLINE!")</f>
        <v>SKLADEM</v>
      </c>
      <c r="AD505" s="647" t="str">
        <f ca="1">IF(AP505="NE",$V$10,IF(AC505=$V$3,IF(AQ505&lt;1,$V$8,$V$2&amp;" "&amp;AQ505&amp;" "&amp;$V$1),IF(AC505="SKLADEM",$V$6,IFERROR(IF(OR(AC505-TODAY()&gt;45,VLOOKUP(C505,[1]List1!$A:$E,4,FALSE)=0),AC505,DAY(AC505)&amp;"."&amp;MONTH(AC505)&amp;"."&amp;YEAR(AC505)&amp;" "&amp;$V$4&amp;VLOOKUP(C505,[1]List1!$A:$E,4,FALSE)&amp;" "&amp;$V$1),AC505))))</f>
        <v>SKLADEM</v>
      </c>
      <c r="AE505" s="645" t="str">
        <f t="shared" ca="1" si="1450"/>
        <v>SKLADEM</v>
      </c>
      <c r="AF505" s="648">
        <f t="shared" si="1451"/>
        <v>0</v>
      </c>
      <c r="AG505" s="649">
        <f t="shared" si="1452"/>
        <v>0</v>
      </c>
      <c r="AH505" s="650">
        <f t="shared" si="1453"/>
        <v>0</v>
      </c>
      <c r="AI505" s="645">
        <f t="shared" si="1454"/>
        <v>0</v>
      </c>
      <c r="AJ505" s="645">
        <f t="shared" si="1455"/>
        <v>0</v>
      </c>
      <c r="AK505" s="645" t="str">
        <f t="shared" si="1456"/>
        <v/>
      </c>
      <c r="AL505" s="645">
        <f t="shared" si="1457"/>
        <v>0</v>
      </c>
      <c r="AM505" s="645" t="str">
        <f t="shared" si="1458"/>
        <v/>
      </c>
      <c r="AN505" s="651">
        <f t="shared" si="1459"/>
        <v>0</v>
      </c>
      <c r="AO505" s="623"/>
      <c r="AP505" s="625" t="str">
        <f t="shared" si="1327"/>
        <v/>
      </c>
      <c r="AQ505" s="625" t="str">
        <f>IF(AC505=$V$3,IF(VLOOKUP(C505,[1]List1!$A:$E,5,FALSE)=0,1,VLOOKUP(C505,[1]List1!$A:$E,5,FALSE)),"")</f>
        <v/>
      </c>
      <c r="AR505" s="629" t="str">
        <f t="shared" si="1328"/>
        <v/>
      </c>
      <c r="AS505" s="630" t="str">
        <f t="shared" si="1460"/>
        <v/>
      </c>
      <c r="AT505" s="625" t="str">
        <f t="shared" si="1329"/>
        <v/>
      </c>
      <c r="AU505" s="625" t="e">
        <f t="shared" si="1330"/>
        <v>#N/A</v>
      </c>
      <c r="AV505" s="625" t="e">
        <f t="shared" si="1331"/>
        <v>#N/A</v>
      </c>
      <c r="AW505" s="631"/>
      <c r="AX505" s="631">
        <f>IF(AND('General price list'!$J505="F4",'General price list'!$AB505+0&gt;0),1,0)</f>
        <v>0</v>
      </c>
      <c r="AY505" s="631">
        <f t="shared" si="1332"/>
        <v>1</v>
      </c>
      <c r="AZ505" s="631">
        <f t="shared" si="1333"/>
        <v>0</v>
      </c>
    </row>
    <row r="506" spans="1:52" ht="15" customHeight="1">
      <c r="A506" s="621" t="str">
        <f>Kat.!C506</f>
        <v/>
      </c>
      <c r="B506" s="566">
        <f>IF(AND('General price list'!$J506="F4",$AI$1=FALSE),0,IF(AC506="SKLADEM",1,IF(AC506=$V$3,1,0)))</f>
        <v>1</v>
      </c>
      <c r="C506" s="567" t="s">
        <v>1109</v>
      </c>
      <c r="D506" s="568" t="s">
        <v>11729</v>
      </c>
      <c r="E506" s="763" t="s">
        <v>12663</v>
      </c>
      <c r="F506" s="772">
        <f>IFERROR(VLOOKUP(C506,[2]List1!$A:$D,3,FALSE),"NEUVEDENO!")</f>
        <v>1682</v>
      </c>
      <c r="G506" s="769">
        <f t="shared" si="1446"/>
        <v>1682</v>
      </c>
      <c r="H506" s="766">
        <f t="shared" si="1447"/>
        <v>71.448900443051144</v>
      </c>
      <c r="I506" s="764">
        <f>IFERROR(VLOOKUP(C506,[2]List1!$A:$D,4,FALSE),"NEUVEDENO!")</f>
        <v>1</v>
      </c>
      <c r="J506" s="732" t="s">
        <v>39</v>
      </c>
      <c r="K506" s="569" t="s">
        <v>20</v>
      </c>
      <c r="L506" s="569" t="s">
        <v>20</v>
      </c>
      <c r="M506" s="569" t="s">
        <v>114</v>
      </c>
      <c r="N506" s="569">
        <f>IFERROR(VLOOKUP(C506,[3]List1!$A:$D,4,FALSE),"N/A!")</f>
        <v>1.9529999999999999E-2</v>
      </c>
      <c r="O506" s="569">
        <f>IFERROR(VLOOKUP(C506,[3]List1!$A:$D,3,FALSE),"N/A!")</f>
        <v>1494</v>
      </c>
      <c r="P506" s="569">
        <f>IFERROR(VLOOKUP(C506,[3]List1!$A:$D,2,FALSE),"N/A!")</f>
        <v>9580</v>
      </c>
      <c r="Q506" s="569" t="s">
        <v>11276</v>
      </c>
      <c r="R506" s="569"/>
      <c r="S506" s="569" t="str">
        <f>IF($W$17=$AF$1,"červená fólie",IFERROR(VLOOKUP("červená fólie",Jazyky_ceník!$A:$Q,MATCH($W$17,Jazyky_ceník!$A$1:$Q$1,0),FALSE),"!!!"))</f>
        <v>červená fólie</v>
      </c>
      <c r="T506" s="569">
        <v>120</v>
      </c>
      <c r="U506" s="569">
        <v>25</v>
      </c>
      <c r="V506" s="569">
        <v>16</v>
      </c>
      <c r="W506" s="569" t="str">
        <f>IFERROR(IF(AND($AB506&gt;=0.1*$AA506,MOD($AB506,$AA506)&gt;=($AA506-(0.1*$AA506))),IF($W$17=$AF$1,"Zvažte možnost doobjednání ještě "&amp;Tabulka1[[#This Row],[VKPAL]]-MOD(AB506,AA506)&amp;" VK do plné palety.",VLOOKUP("Zvažte možnost doobjednání ještě ",Jazyky_ceník!A:Q,MATCH($W$17,Jazyky_ceník!$A$1:$Q$1,0),FALSE)&amp;Tabulka1[[#This Row],[VKPAL]]-MOD(AB506,AA506)&amp;VLOOKUP(" VK do plné palety.",Jazyky_ceník!A:Q,MATCH($W$17,Jazyky_ceník!$A$1:$Q$1,0),FALSE)),IFERROR(IF(AND(NOT(MOD($AB506,$AA506)=0),$AB506&gt;=0.9*$AA506,MOD($AB506,$AA506)&lt;=0.1*$AA506),IF($W$17=$AF$1,"Zvažte možnost optimalizace objednaného množství podle počtu VK na paletě ==&gt;",VLOOKUP("Zvažte možnost optimalizace objednaného množství podle počtu VK na paletě ==&gt;",Jazyky_ceník!A:Q,MATCH($W$17,Jazyky_ceník!$A$1:$Q$1,0),FALSE)),VLOOKUP('General price list'!$C506,Popisy!A:M,MATCH($W$17,Popisy!$A$7:$M$7,0),FALSE)),"---------------")),IFERROR(VLOOKUP('General price list'!$C506,Popisy!A:M,MATCH($W$17,Popisy!$A$7:$M$7,0),FALSE),"---------------"))</f>
        <v>24 různobarevných efektů</v>
      </c>
      <c r="X506" s="569" t="str">
        <f t="shared" si="1448"/>
        <v/>
      </c>
      <c r="Y506" s="569" t="str">
        <f t="shared" si="1449"/>
        <v/>
      </c>
      <c r="Z506" s="569" t="str">
        <f>HYPERLINK("https://www.klasekpyrotechnics.cz/c19220f-c")</f>
        <v>https://www.klasekpyrotechnics.cz/c19220f-c</v>
      </c>
      <c r="AA506" s="569">
        <f>IFERROR(IF(VLOOKUP(C506,[4]List1!$A:$D,4,FALSE)=0,"",VLOOKUP(C506,[4]List1!$A:$D,4,FALSE)),"")</f>
        <v>66</v>
      </c>
      <c r="AB506" s="565"/>
      <c r="AC506" s="570" t="str">
        <f>IFERROR(IF(VLOOKUP(C506,[1]List1!$A:$D,2,FALSE)="VYPRODÁNO",$V$9,IF(VLOOKUP(C506,[1]List1!$A:$D,2,FALSE)="DOCHÁZÍ",$V$3,VLOOKUP(C506,[1]List1!$A:$D,2,FALSE))),"OFFLINE!")</f>
        <v>SKLADEM</v>
      </c>
      <c r="AD506" s="570" t="str">
        <f ca="1">IF(AP506="NE",$V$10,IF(AC506=$V$3,IF(AQ506&lt;1,$V$8,$V$2&amp;" "&amp;AQ506&amp;" "&amp;$V$1),IF(AC506="SKLADEM",$V$6,IFERROR(IF(OR(AC506-TODAY()&gt;45,VLOOKUP(C506,[1]List1!$A:$E,4,FALSE)=0),AC506,DAY(AC506)&amp;"."&amp;MONTH(AC506)&amp;"."&amp;YEAR(AC506)&amp;" "&amp;$V$4&amp;VLOOKUP(C506,[1]List1!$A:$E,4,FALSE)&amp;" "&amp;$V$1),AC506))))</f>
        <v>SKLADEM</v>
      </c>
      <c r="AE506" s="581" t="str">
        <f t="shared" ca="1" si="1450"/>
        <v>SKLADEM</v>
      </c>
      <c r="AF506" s="584">
        <f t="shared" si="1451"/>
        <v>0</v>
      </c>
      <c r="AG506" s="585">
        <f t="shared" si="1452"/>
        <v>0</v>
      </c>
      <c r="AH506" s="583">
        <f t="shared" si="1453"/>
        <v>0</v>
      </c>
      <c r="AI506" s="582">
        <f t="shared" si="1454"/>
        <v>0</v>
      </c>
      <c r="AJ506" s="569">
        <f t="shared" si="1455"/>
        <v>0</v>
      </c>
      <c r="AK506" s="569" t="str">
        <f t="shared" si="1456"/>
        <v/>
      </c>
      <c r="AL506" s="569">
        <f t="shared" si="1457"/>
        <v>0</v>
      </c>
      <c r="AM506" s="569" t="str">
        <f t="shared" si="1458"/>
        <v/>
      </c>
      <c r="AN506" s="581">
        <f t="shared" si="1459"/>
        <v>0</v>
      </c>
      <c r="AO506" s="623"/>
      <c r="AP506" s="632" t="str">
        <f t="shared" ref="AP506:AP511" si="1461">IF($AL$3=1,IF(Y506=AB506,"","NE"),IF(AR506=$V$10,"NE",""))</f>
        <v/>
      </c>
      <c r="AQ506" s="633" t="str">
        <f>IF(AC506=$V$3,IF(VLOOKUP(C506,[1]List1!$A:$E,5,FALSE)=0,1,VLOOKUP(C506,[1]List1!$A:$E,5,FALSE)),"")</f>
        <v/>
      </c>
      <c r="AR506" s="625" t="str">
        <f t="shared" ref="AR506:AR511" si="1462">IF($AL$3=1,"",IF(OR(AB506&lt;&gt;"",AB506&lt;&gt;0),IF(OR(AC506=$V$6,AC506=$V$3,AC506=$V$9),$V$10,""),""))</f>
        <v/>
      </c>
      <c r="AS506" s="634" t="str">
        <f t="shared" si="1460"/>
        <v/>
      </c>
      <c r="AT506" s="625" t="str">
        <f t="shared" ref="AT506:AT511" si="1463">IF(AND($AL$3=2,AR506="",AB506&lt;&gt;""),AD506,"")</f>
        <v/>
      </c>
      <c r="AU506" s="638" t="e">
        <f t="shared" ref="AU506:AU511" si="1464">IF(AT506=$AS$21,AB506,"")</f>
        <v>#N/A</v>
      </c>
      <c r="AV506" s="625" t="e">
        <f t="shared" ref="AV506:AV511" si="1465">IF(OR(AB506="",AND(AT506&lt;&gt;"",AU506&lt;&gt;"")),"",$V$10)</f>
        <v>#N/A</v>
      </c>
      <c r="AX506" s="625">
        <f>IF(AND('General price list'!$J506="F4",'General price list'!$AB506+0&gt;0),1,0)</f>
        <v>0</v>
      </c>
      <c r="AY506" s="625">
        <f t="shared" ref="AY506:AY511" si="1466">IFERROR(FIND(VLOOKUP($AC$7,$AD$1:$AE$12,2,FALSE),Q506,1),0)</f>
        <v>1</v>
      </c>
      <c r="AZ506" s="625">
        <f t="shared" ref="AZ506:AZ511" si="1467">IFERROR(FIND(VLOOKUP($AC$7,$AD$1:$AE$12,2,FALSE),R506,1),0)</f>
        <v>0</v>
      </c>
    </row>
    <row r="507" spans="1:52" ht="15" customHeight="1">
      <c r="A507" s="639" t="str">
        <f>Kat.!C507</f>
        <v/>
      </c>
      <c r="B507" s="640">
        <f>IF(AND('General price list'!$J507="F4",$AI$1=FALSE),0,IF(AC507="SKLADEM",1,IF(AC507=$V$3,1,0)))</f>
        <v>1</v>
      </c>
      <c r="C507" s="641" t="s">
        <v>2282</v>
      </c>
      <c r="D507" s="642" t="s">
        <v>9489</v>
      </c>
      <c r="E507" s="643" t="s">
        <v>12663</v>
      </c>
      <c r="F507" s="771">
        <f>IFERROR(VLOOKUP(C507,[2]List1!$A:$D,3,FALSE),"NEUVEDENO!")</f>
        <v>2561</v>
      </c>
      <c r="G507" s="768">
        <f t="shared" si="1446"/>
        <v>2561</v>
      </c>
      <c r="H507" s="765">
        <f t="shared" si="1447"/>
        <v>108.78753509789179</v>
      </c>
      <c r="I507" s="644">
        <f>IFERROR(VLOOKUP(C507,[2]List1!$A:$D,4,FALSE),"NEUVEDENO!")</f>
        <v>1</v>
      </c>
      <c r="J507" s="733" t="s">
        <v>39</v>
      </c>
      <c r="K507" s="645" t="s">
        <v>20</v>
      </c>
      <c r="L507" s="645" t="s">
        <v>20</v>
      </c>
      <c r="M507" s="645" t="s">
        <v>114</v>
      </c>
      <c r="N507" s="645">
        <f>IFERROR(VLOOKUP(C507,[3]List1!$A:$D,4,FALSE),"N/A!")</f>
        <v>3.3736499999999996E-2</v>
      </c>
      <c r="O507" s="645">
        <f>IFERROR(VLOOKUP(C507,[3]List1!$A:$D,3,FALSE),"N/A!")</f>
        <v>1994</v>
      </c>
      <c r="P507" s="645">
        <f>IFERROR(VLOOKUP(C507,[3]List1!$A:$D,2,FALSE),"N/A!")</f>
        <v>12700</v>
      </c>
      <c r="Q507" s="645" t="s">
        <v>11298</v>
      </c>
      <c r="R507" s="645" t="s">
        <v>20</v>
      </c>
      <c r="S507" s="645" t="str">
        <f>IF($W$17=$AF$1,"červená fólie",IFERROR(VLOOKUP("červená fólie",Jazyky_ceník!$A:$Q,MATCH($W$17,Jazyky_ceník!$A$1:$Q$1,0),FALSE),"!!!"))</f>
        <v>červená fólie</v>
      </c>
      <c r="T507" s="645">
        <v>120</v>
      </c>
      <c r="U507" s="645">
        <v>25</v>
      </c>
      <c r="V507" s="645">
        <v>16</v>
      </c>
      <c r="W507" s="645" t="str">
        <f>IFERROR(IF(AND($AB507&gt;=0.1*$AA507,MOD($AB507,$AA507)&gt;=($AA507-(0.1*$AA507))),IF($W$17=$AF$1,"Zvažte možnost doobjednání ještě "&amp;Tabulka1[[#This Row],[VKPAL]]-MOD(AB507,AA507)&amp;" VK do plné palety.",VLOOKUP("Zvažte možnost doobjednání ještě ",Jazyky_ceník!A:Q,MATCH($W$17,Jazyky_ceník!$A$1:$Q$1,0),FALSE)&amp;Tabulka1[[#This Row],[VKPAL]]-MOD(AB507,AA507)&amp;VLOOKUP(" VK do plné palety.",Jazyky_ceník!A:Q,MATCH($W$17,Jazyky_ceník!$A$1:$Q$1,0),FALSE)),IFERROR(IF(AND(NOT(MOD($AB507,$AA507)=0),$AB507&gt;=0.9*$AA507,MOD($AB507,$AA507)&lt;=0.1*$AA507),IF($W$17=$AF$1,"Zvažte možnost optimalizace objednaného množství podle počtu VK na paletě ==&gt;",VLOOKUP("Zvažte možnost optimalizace objednaného množství podle počtu VK na paletě ==&gt;",Jazyky_ceník!A:Q,MATCH($W$17,Jazyky_ceník!$A$1:$Q$1,0),FALSE)),VLOOKUP('General price list'!$C507,Popisy!A:M,MATCH($W$17,Popisy!$A$7:$M$7,0),FALSE)),"---------------")),IFERROR(VLOOKUP('General price list'!$C507,Popisy!A:M,MATCH($W$17,Popisy!$A$7:$M$7,0),FALSE),"---------------"))</f>
        <v>24 různobarevných efektů</v>
      </c>
      <c r="X507" s="645" t="str">
        <f t="shared" si="1448"/>
        <v/>
      </c>
      <c r="Y507" s="645" t="str">
        <f t="shared" si="1449"/>
        <v/>
      </c>
      <c r="Z507" s="645" t="str">
        <f>HYPERLINK("https://www.klasekpyrotechnics.cz/c25220xfs-c")</f>
        <v>https://www.klasekpyrotechnics.cz/c25220xfs-c</v>
      </c>
      <c r="AA507" s="645" t="str">
        <f>IFERROR(IF(VLOOKUP(C507,[4]List1!$A:$D,4,FALSE)=0,"",VLOOKUP(C507,[4]List1!$A:$D,4,FALSE)),"")</f>
        <v>40</v>
      </c>
      <c r="AB507" s="646"/>
      <c r="AC507" s="647" t="str">
        <f>IFERROR(IF(VLOOKUP(C507,[1]List1!$A:$D,2,FALSE)="VYPRODÁNO",$V$9,IF(VLOOKUP(C507,[1]List1!$A:$D,2,FALSE)="DOCHÁZÍ",$V$3,VLOOKUP(C507,[1]List1!$A:$D,2,FALSE))),"OFFLINE!")</f>
        <v>SKLADEM</v>
      </c>
      <c r="AD507" s="647" t="str">
        <f ca="1">IF(AP507="NE",$V$10,IF(AC507=$V$3,IF(AQ507&lt;1,$V$8,$V$2&amp;" "&amp;AQ507&amp;" "&amp;$V$1),IF(AC507="SKLADEM",$V$6,IFERROR(IF(OR(AC507-TODAY()&gt;45,VLOOKUP(C507,[1]List1!$A:$E,4,FALSE)=0),AC507,DAY(AC507)&amp;"."&amp;MONTH(AC507)&amp;"."&amp;YEAR(AC507)&amp;" "&amp;$V$4&amp;VLOOKUP(C507,[1]List1!$A:$E,4,FALSE)&amp;" "&amp;$V$1),AC507))))</f>
        <v>SKLADEM</v>
      </c>
      <c r="AE507" s="645" t="str">
        <f t="shared" ca="1" si="1450"/>
        <v>SKLADEM</v>
      </c>
      <c r="AF507" s="648">
        <f t="shared" si="1451"/>
        <v>0</v>
      </c>
      <c r="AG507" s="649">
        <f t="shared" si="1452"/>
        <v>0</v>
      </c>
      <c r="AH507" s="650">
        <f t="shared" si="1453"/>
        <v>0</v>
      </c>
      <c r="AI507" s="645">
        <f t="shared" si="1454"/>
        <v>0</v>
      </c>
      <c r="AJ507" s="645">
        <f t="shared" si="1455"/>
        <v>0</v>
      </c>
      <c r="AK507" s="645" t="str">
        <f t="shared" si="1456"/>
        <v/>
      </c>
      <c r="AL507" s="645">
        <f t="shared" si="1457"/>
        <v>0</v>
      </c>
      <c r="AM507" s="645" t="str">
        <f t="shared" si="1458"/>
        <v/>
      </c>
      <c r="AN507" s="651">
        <f t="shared" si="1459"/>
        <v>0</v>
      </c>
      <c r="AO507" s="623"/>
      <c r="AP507" s="632" t="str">
        <f t="shared" si="1461"/>
        <v/>
      </c>
      <c r="AQ507" s="633" t="str">
        <f>IF(AC507=$V$3,IF(VLOOKUP(C507,[1]List1!$A:$E,5,FALSE)=0,1,VLOOKUP(C507,[1]List1!$A:$E,5,FALSE)),"")</f>
        <v/>
      </c>
      <c r="AR507" s="625" t="str">
        <f t="shared" si="1462"/>
        <v/>
      </c>
      <c r="AS507" s="634" t="str">
        <f t="shared" si="1460"/>
        <v/>
      </c>
      <c r="AT507" s="625" t="str">
        <f t="shared" si="1463"/>
        <v/>
      </c>
      <c r="AU507" s="638" t="e">
        <f t="shared" si="1464"/>
        <v>#N/A</v>
      </c>
      <c r="AV507" s="625" t="e">
        <f t="shared" si="1465"/>
        <v>#N/A</v>
      </c>
      <c r="AX507" s="625">
        <f>IF(AND('General price list'!$J507="F4",'General price list'!$AB507+0&gt;0),1,0)</f>
        <v>0</v>
      </c>
      <c r="AY507" s="625">
        <f t="shared" si="1466"/>
        <v>1</v>
      </c>
      <c r="AZ507" s="625">
        <f t="shared" si="1467"/>
        <v>0</v>
      </c>
    </row>
    <row r="508" spans="1:52" ht="15" customHeight="1">
      <c r="A508" s="621" t="str">
        <f>Kat.!C508</f>
        <v/>
      </c>
      <c r="B508" s="566">
        <f>IF(AND('General price list'!$J508="F4",$AI$1=FALSE),0,IF(AC508="SKLADEM",1,IF(AC508=$V$3,1,0)))</f>
        <v>1</v>
      </c>
      <c r="C508" s="567" t="s">
        <v>12030</v>
      </c>
      <c r="D508" s="568" t="s">
        <v>12547</v>
      </c>
      <c r="E508" s="763" t="s">
        <v>12663</v>
      </c>
      <c r="F508" s="772">
        <f>IFERROR(VLOOKUP(C508,[2]List1!$A:$D,3,FALSE),"NEUVEDENO!")</f>
        <v>2186</v>
      </c>
      <c r="G508" s="769">
        <f t="shared" si="1446"/>
        <v>2186</v>
      </c>
      <c r="H508" s="766">
        <f t="shared" si="1447"/>
        <v>92.858083453335198</v>
      </c>
      <c r="I508" s="764">
        <f>IFERROR(VLOOKUP(C508,[2]List1!$A:$D,4,FALSE),"NEUVEDENO!")</f>
        <v>1</v>
      </c>
      <c r="J508" s="732" t="s">
        <v>39</v>
      </c>
      <c r="K508" s="569" t="s">
        <v>20</v>
      </c>
      <c r="L508" s="569"/>
      <c r="M508" s="569" t="s">
        <v>114</v>
      </c>
      <c r="N508" s="569">
        <f>IFERROR(VLOOKUP(C508,[3]List1!$A:$D,4,FALSE),"N/A!")</f>
        <v>2.6690999999999999E-2</v>
      </c>
      <c r="O508" s="569">
        <f>IFERROR(VLOOKUP(C508,[3]List1!$A:$D,3,FALSE),"N/A!")</f>
        <v>1992</v>
      </c>
      <c r="P508" s="569">
        <f>IFERROR(VLOOKUP(C508,[3]List1!$A:$D,2,FALSE),"N/A!")</f>
        <v>13500</v>
      </c>
      <c r="Q508" s="569" t="s">
        <v>11241</v>
      </c>
      <c r="R508" s="569"/>
      <c r="S508" s="569" t="str">
        <f>IF($W$17=$AF$1,"červená fólie",IFERROR(VLOOKUP("červená fólie",Jazyky_ceník!$A:$Q,MATCH($W$17,Jazyky_ceník!$A$1:$Q$1,0),FALSE),"!!!"))</f>
        <v>červená fólie</v>
      </c>
      <c r="T508" s="569">
        <v>180</v>
      </c>
      <c r="U508" s="569">
        <v>25</v>
      </c>
      <c r="V508" s="569">
        <v>16</v>
      </c>
      <c r="W508" s="569" t="str">
        <f>IFERROR(IF(AND($AB508&gt;=0.1*$AA508,MOD($AB508,$AA508)&gt;=($AA508-(0.1*$AA508))),IF($W$17=$AF$1,"Zvažte možnost doobjednání ještě "&amp;Tabulka1[[#This Row],[VKPAL]]-MOD(AB508,AA508)&amp;" VK do plné palety.",VLOOKUP("Zvažte možnost doobjednání ještě ",Jazyky_ceník!A:Q,MATCH($W$17,Jazyky_ceník!$A$1:$Q$1,0),FALSE)&amp;Tabulka1[[#This Row],[VKPAL]]-MOD(AB508,AA508)&amp;VLOOKUP(" VK do plné palety.",Jazyky_ceník!A:Q,MATCH($W$17,Jazyky_ceník!$A$1:$Q$1,0),FALSE)),IFERROR(IF(AND(NOT(MOD($AB508,$AA508)=0),$AB508&gt;=0.9*$AA508,MOD($AB508,$AA508)&lt;=0.1*$AA508),IF($W$17=$AF$1,"Zvažte možnost optimalizace objednaného množství podle počtu VK na paletě ==&gt;",VLOOKUP("Zvažte možnost optimalizace objednaného množství podle počtu VK na paletě ==&gt;",Jazyky_ceník!A:Q,MATCH($W$17,Jazyky_ceník!$A$1:$Q$1,0),FALSE)),VLOOKUP('General price list'!$C508,Popisy!A:M,MATCH($W$17,Popisy!$A$7:$M$7,0),FALSE)),"---------------")),IFERROR(VLOOKUP('General price list'!$C508,Popisy!A:M,MATCH($W$17,Popisy!$A$7:$M$7,0),FALSE),"---------------"))</f>
        <v>32 různobarevných efektů</v>
      </c>
      <c r="X508" s="569" t="str">
        <f t="shared" si="1448"/>
        <v/>
      </c>
      <c r="Y508" s="569" t="str">
        <f t="shared" si="1449"/>
        <v/>
      </c>
      <c r="Z508" s="569" t="str">
        <f>HYPERLINK("https://www.klasekpyrotechnics.cz/c25620nid-c")</f>
        <v>https://www.klasekpyrotechnics.cz/c25620nid-c</v>
      </c>
      <c r="AA508" s="569">
        <f>IFERROR(IF(VLOOKUP(C508,[4]List1!$A:$D,4,FALSE)=0,"",VLOOKUP(C508,[4]List1!$A:$D,4,FALSE)),"")</f>
        <v>60</v>
      </c>
      <c r="AB508" s="565"/>
      <c r="AC508" s="570" t="str">
        <f>IFERROR(IF(VLOOKUP(C508,[1]List1!$A:$D,2,FALSE)="VYPRODÁNO",$V$9,IF(VLOOKUP(C508,[1]List1!$A:$D,2,FALSE)="DOCHÁZÍ",$V$3,VLOOKUP(C508,[1]List1!$A:$D,2,FALSE))),"OFFLINE!")</f>
        <v>SKLADEM</v>
      </c>
      <c r="AD508" s="570" t="str">
        <f ca="1">IF(AP508="NE",$V$10,IF(AC508=$V$3,IF(AQ508&lt;1,$V$8,$V$2&amp;" "&amp;AQ508&amp;" "&amp;$V$1),IF(AC508="SKLADEM",$V$6,IFERROR(IF(OR(AC508-TODAY()&gt;45,VLOOKUP(C508,[1]List1!$A:$E,4,FALSE)=0),AC508,DAY(AC508)&amp;"."&amp;MONTH(AC508)&amp;"."&amp;YEAR(AC508)&amp;" "&amp;$V$4&amp;VLOOKUP(C508,[1]List1!$A:$E,4,FALSE)&amp;" "&amp;$V$1),AC508))))</f>
        <v>SKLADEM</v>
      </c>
      <c r="AE508" s="581" t="str">
        <f t="shared" ca="1" si="1450"/>
        <v>SKLADEM</v>
      </c>
      <c r="AF508" s="584">
        <f t="shared" si="1451"/>
        <v>0</v>
      </c>
      <c r="AG508" s="585">
        <f t="shared" si="1452"/>
        <v>0</v>
      </c>
      <c r="AH508" s="583">
        <f t="shared" si="1453"/>
        <v>0</v>
      </c>
      <c r="AI508" s="582">
        <f t="shared" si="1454"/>
        <v>0</v>
      </c>
      <c r="AJ508" s="569">
        <f t="shared" si="1455"/>
        <v>0</v>
      </c>
      <c r="AK508" s="569" t="str">
        <f t="shared" si="1456"/>
        <v/>
      </c>
      <c r="AL508" s="569">
        <f t="shared" si="1457"/>
        <v>0</v>
      </c>
      <c r="AM508" s="569" t="str">
        <f t="shared" si="1458"/>
        <v/>
      </c>
      <c r="AN508" s="581">
        <f t="shared" si="1459"/>
        <v>0</v>
      </c>
      <c r="AO508" s="623"/>
      <c r="AP508" s="632" t="str">
        <f t="shared" si="1461"/>
        <v/>
      </c>
      <c r="AQ508" s="633" t="str">
        <f>IF(AC508=$V$3,IF(VLOOKUP(C508,[1]List1!$A:$E,5,FALSE)=0,1,VLOOKUP(C508,[1]List1!$A:$E,5,FALSE)),"")</f>
        <v/>
      </c>
      <c r="AR508" s="625" t="str">
        <f t="shared" si="1462"/>
        <v/>
      </c>
      <c r="AS508" s="634" t="str">
        <f t="shared" si="1460"/>
        <v/>
      </c>
      <c r="AT508" s="625" t="str">
        <f t="shared" si="1463"/>
        <v/>
      </c>
      <c r="AU508" s="638" t="e">
        <f t="shared" si="1464"/>
        <v>#N/A</v>
      </c>
      <c r="AV508" s="625" t="e">
        <f t="shared" si="1465"/>
        <v>#N/A</v>
      </c>
      <c r="AX508" s="625">
        <f>IF(AND('General price list'!$J508="F4",'General price list'!$AB508+0&gt;0),1,0)</f>
        <v>0</v>
      </c>
      <c r="AY508" s="625">
        <f t="shared" si="1466"/>
        <v>1</v>
      </c>
      <c r="AZ508" s="625">
        <f t="shared" si="1467"/>
        <v>0</v>
      </c>
    </row>
    <row r="509" spans="1:52" ht="15.75" customHeight="1">
      <c r="A509" s="639" t="str">
        <f>Kat.!C509</f>
        <v/>
      </c>
      <c r="B509" s="640">
        <f>IF(AND('General price list'!$J509="F4",$AI$1=FALSE),0,IF(AC509="SKLADEM",1,IF(AC509=$V$3,1,0)))</f>
        <v>1</v>
      </c>
      <c r="C509" s="641" t="s">
        <v>1111</v>
      </c>
      <c r="D509" s="642" t="s">
        <v>1099</v>
      </c>
      <c r="E509" s="643" t="s">
        <v>12663</v>
      </c>
      <c r="F509" s="771">
        <f>IFERROR(VLOOKUP(C509,[2]List1!$A:$D,3,FALSE),"NEUVEDENO!")</f>
        <v>2186</v>
      </c>
      <c r="G509" s="768">
        <f t="shared" si="1446"/>
        <v>2186</v>
      </c>
      <c r="H509" s="765">
        <f t="shared" si="1447"/>
        <v>92.858083453335198</v>
      </c>
      <c r="I509" s="644">
        <f>IFERROR(VLOOKUP(C509,[2]List1!$A:$D,4,FALSE),"NEUVEDENO!")</f>
        <v>1</v>
      </c>
      <c r="J509" s="733" t="s">
        <v>39</v>
      </c>
      <c r="K509" s="645" t="s">
        <v>20</v>
      </c>
      <c r="L509" s="645" t="s">
        <v>20</v>
      </c>
      <c r="M509" s="645" t="s">
        <v>114</v>
      </c>
      <c r="N509" s="645">
        <f>IFERROR(VLOOKUP(C509,[3]List1!$A:$D,4,FALSE),"N/A!")</f>
        <v>2.6690999999999999E-2</v>
      </c>
      <c r="O509" s="645">
        <f>IFERROR(VLOOKUP(C509,[3]List1!$A:$D,3,FALSE),"N/A!")</f>
        <v>1992</v>
      </c>
      <c r="P509" s="645">
        <f>IFERROR(VLOOKUP(C509,[3]List1!$A:$D,2,FALSE),"N/A!")</f>
        <v>13500</v>
      </c>
      <c r="Q509" s="645" t="s">
        <v>11262</v>
      </c>
      <c r="R509" s="645"/>
      <c r="S509" s="645" t="str">
        <f>IF($W$17=$AF$1,"červená fólie",IFERROR(VLOOKUP("červená fólie",Jazyky_ceník!$A:$Q,MATCH($W$17,Jazyky_ceník!$A$1:$Q$1,0),FALSE),"!!!"))</f>
        <v>červená fólie</v>
      </c>
      <c r="T509" s="645">
        <v>180</v>
      </c>
      <c r="U509" s="645">
        <v>25</v>
      </c>
      <c r="V509" s="645">
        <v>16</v>
      </c>
      <c r="W509" s="645" t="str">
        <f>IFERROR(IF(AND($AB509&gt;=0.1*$AA509,MOD($AB509,$AA509)&gt;=($AA509-(0.1*$AA509))),IF($W$17=$AF$1,"Zvažte možnost doobjednání ještě "&amp;Tabulka1[[#This Row],[VKPAL]]-MOD(AB509,AA509)&amp;" VK do plné palety.",VLOOKUP("Zvažte možnost doobjednání ještě ",Jazyky_ceník!A:Q,MATCH($W$17,Jazyky_ceník!$A$1:$Q$1,0),FALSE)&amp;Tabulka1[[#This Row],[VKPAL]]-MOD(AB509,AA509)&amp;VLOOKUP(" VK do plné palety.",Jazyky_ceník!A:Q,MATCH($W$17,Jazyky_ceník!$A$1:$Q$1,0),FALSE)),IFERROR(IF(AND(NOT(MOD($AB509,$AA509)=0),$AB509&gt;=0.9*$AA509,MOD($AB509,$AA509)&lt;=0.1*$AA509),IF($W$17=$AF$1,"Zvažte možnost optimalizace objednaného množství podle počtu VK na paletě ==&gt;",VLOOKUP("Zvažte možnost optimalizace objednaného množství podle počtu VK na paletě ==&gt;",Jazyky_ceník!A:Q,MATCH($W$17,Jazyky_ceník!$A$1:$Q$1,0),FALSE)),VLOOKUP('General price list'!$C509,Popisy!A:M,MATCH($W$17,Popisy!$A$7:$M$7,0),FALSE)),"---------------")),IFERROR(VLOOKUP('General price list'!$C509,Popisy!A:M,MATCH($W$17,Popisy!$A$7:$M$7,0),FALSE),"---------------"))</f>
        <v>32 různobarevných efektů</v>
      </c>
      <c r="X509" s="645" t="str">
        <f t="shared" si="1448"/>
        <v/>
      </c>
      <c r="Y509" s="645" t="str">
        <f t="shared" si="1449"/>
        <v/>
      </c>
      <c r="Z509" s="645" t="str">
        <f>HYPERLINK("https://www.klasekpyrotechnics.cz/c25620f-c")</f>
        <v>https://www.klasekpyrotechnics.cz/c25620f-c</v>
      </c>
      <c r="AA509" s="645">
        <f>IFERROR(IF(VLOOKUP(C509,[4]List1!$A:$D,4,FALSE)=0,"",VLOOKUP(C509,[4]List1!$A:$D,4,FALSE)),"")</f>
        <v>66</v>
      </c>
      <c r="AB509" s="646"/>
      <c r="AC509" s="647" t="str">
        <f>IFERROR(IF(VLOOKUP(C509,[1]List1!$A:$D,2,FALSE)="VYPRODÁNO",$V$9,IF(VLOOKUP(C509,[1]List1!$A:$D,2,FALSE)="DOCHÁZÍ",$V$3,VLOOKUP(C509,[1]List1!$A:$D,2,FALSE))),"OFFLINE!")</f>
        <v>SKLADEM</v>
      </c>
      <c r="AD509" s="647" t="str">
        <f ca="1">IF(AP509="NE",$V$10,IF(AC509=$V$3,IF(AQ509&lt;1,$V$8,$V$2&amp;" "&amp;AQ509&amp;" "&amp;$V$1),IF(AC509="SKLADEM",$V$6,IFERROR(IF(OR(AC509-TODAY()&gt;45,VLOOKUP(C509,[1]List1!$A:$E,4,FALSE)=0),AC509,DAY(AC509)&amp;"."&amp;MONTH(AC509)&amp;"."&amp;YEAR(AC509)&amp;" "&amp;$V$4&amp;VLOOKUP(C509,[1]List1!$A:$E,4,FALSE)&amp;" "&amp;$V$1),AC509))))</f>
        <v>SKLADEM</v>
      </c>
      <c r="AE509" s="645" t="str">
        <f t="shared" ca="1" si="1450"/>
        <v>SKLADEM</v>
      </c>
      <c r="AF509" s="648">
        <f t="shared" si="1451"/>
        <v>0</v>
      </c>
      <c r="AG509" s="649">
        <f t="shared" si="1452"/>
        <v>0</v>
      </c>
      <c r="AH509" s="650">
        <f t="shared" si="1453"/>
        <v>0</v>
      </c>
      <c r="AI509" s="645">
        <f t="shared" si="1454"/>
        <v>0</v>
      </c>
      <c r="AJ509" s="645">
        <f t="shared" si="1455"/>
        <v>0</v>
      </c>
      <c r="AK509" s="645" t="str">
        <f t="shared" si="1456"/>
        <v/>
      </c>
      <c r="AL509" s="645">
        <f t="shared" si="1457"/>
        <v>0</v>
      </c>
      <c r="AM509" s="645" t="str">
        <f t="shared" si="1458"/>
        <v/>
      </c>
      <c r="AN509" s="651">
        <f t="shared" si="1459"/>
        <v>0</v>
      </c>
      <c r="AO509" s="623"/>
      <c r="AP509" s="625" t="str">
        <f t="shared" si="1461"/>
        <v/>
      </c>
      <c r="AQ509" s="625" t="str">
        <f>IF(AC509=$V$3,IF(VLOOKUP(C509,[1]List1!$A:$E,5,FALSE)=0,1,VLOOKUP(C509,[1]List1!$A:$E,5,FALSE)),"")</f>
        <v/>
      </c>
      <c r="AR509" s="629" t="str">
        <f t="shared" si="1462"/>
        <v/>
      </c>
      <c r="AS509" s="630" t="str">
        <f t="shared" si="1460"/>
        <v/>
      </c>
      <c r="AT509" s="625" t="str">
        <f t="shared" si="1463"/>
        <v/>
      </c>
      <c r="AU509" s="625" t="e">
        <f t="shared" si="1464"/>
        <v>#N/A</v>
      </c>
      <c r="AV509" s="625" t="e">
        <f t="shared" si="1465"/>
        <v>#N/A</v>
      </c>
      <c r="AW509" s="631"/>
      <c r="AX509" s="631">
        <f>IF(AND('General price list'!$J509="F4",'General price list'!$AB509+0&gt;0),1,0)</f>
        <v>0</v>
      </c>
      <c r="AY509" s="631">
        <f t="shared" si="1466"/>
        <v>1</v>
      </c>
      <c r="AZ509" s="631">
        <f t="shared" si="1467"/>
        <v>0</v>
      </c>
    </row>
    <row r="510" spans="1:52" ht="15" customHeight="1">
      <c r="A510" s="621" t="str">
        <f>Kat.!C510</f>
        <v/>
      </c>
      <c r="B510" s="566">
        <f>IF(AND('General price list'!$J510="F4",$AI$1=FALSE),0,IF(AC510="SKLADEM",1,IF(AC510=$V$3,1,0)))</f>
        <v>1</v>
      </c>
      <c r="C510" s="567" t="s">
        <v>1112</v>
      </c>
      <c r="D510" s="568" t="s">
        <v>1104</v>
      </c>
      <c r="E510" s="763" t="s">
        <v>12663</v>
      </c>
      <c r="F510" s="772">
        <f>IFERROR(VLOOKUP(C510,[2]List1!$A:$D,3,FALSE),"NEUVEDENO!")</f>
        <v>3208</v>
      </c>
      <c r="G510" s="769">
        <f t="shared" si="1446"/>
        <v>3208</v>
      </c>
      <c r="H510" s="766">
        <f t="shared" si="1447"/>
        <v>136.27114900196676</v>
      </c>
      <c r="I510" s="764">
        <f>IFERROR(VLOOKUP(C510,[2]List1!$A:$D,4,FALSE),"NEUVEDENO!")</f>
        <v>1</v>
      </c>
      <c r="J510" s="732" t="s">
        <v>39</v>
      </c>
      <c r="K510" s="569" t="s">
        <v>20</v>
      </c>
      <c r="L510" s="569" t="s">
        <v>20</v>
      </c>
      <c r="M510" s="569" t="s">
        <v>114</v>
      </c>
      <c r="N510" s="569">
        <f>IFERROR(VLOOKUP(C510,[3]List1!$A:$D,4,FALSE),"N/A!")</f>
        <v>5.0367249999999995E-2</v>
      </c>
      <c r="O510" s="569">
        <f>IFERROR(VLOOKUP(C510,[3]List1!$A:$D,3,FALSE),"N/A!")</f>
        <v>1960</v>
      </c>
      <c r="P510" s="569">
        <f>IFERROR(VLOOKUP(C510,[3]List1!$A:$D,2,FALSE),"N/A!")</f>
        <v>15100</v>
      </c>
      <c r="Q510" s="569" t="s">
        <v>12092</v>
      </c>
      <c r="R510" s="569"/>
      <c r="S510" s="569" t="str">
        <f>IF($W$17=$AF$1,"červená fólie",IFERROR(VLOOKUP("červená fólie",Jazyky_ceník!$A:$Q,MATCH($W$17,Jazyky_ceník!$A$1:$Q$1,0),FALSE),"!!!"))</f>
        <v>červená fólie</v>
      </c>
      <c r="T510" s="569">
        <v>180</v>
      </c>
      <c r="U510" s="569">
        <v>25</v>
      </c>
      <c r="V510" s="569">
        <v>16</v>
      </c>
      <c r="W510" s="569" t="str">
        <f>IFERROR(IF(AND($AB510&gt;=0.1*$AA510,MOD($AB510,$AA510)&gt;=($AA510-(0.1*$AA510))),IF($W$17=$AF$1,"Zvažte možnost doobjednání ještě "&amp;Tabulka1[[#This Row],[VKPAL]]-MOD(AB510,AA510)&amp;" VK do plné palety.",VLOOKUP("Zvažte možnost doobjednání ještě ",Jazyky_ceník!A:Q,MATCH($W$17,Jazyky_ceník!$A$1:$Q$1,0),FALSE)&amp;Tabulka1[[#This Row],[VKPAL]]-MOD(AB510,AA510)&amp;VLOOKUP(" VK do plné palety.",Jazyky_ceník!A:Q,MATCH($W$17,Jazyky_ceník!$A$1:$Q$1,0),FALSE)),IFERROR(IF(AND(NOT(MOD($AB510,$AA510)=0),$AB510&gt;=0.9*$AA510,MOD($AB510,$AA510)&lt;=0.1*$AA510),IF($W$17=$AF$1,"Zvažte možnost optimalizace objednaného množství podle počtu VK na paletě ==&gt;",VLOOKUP("Zvažte možnost optimalizace objednaného množství podle počtu VK na paletě ==&gt;",Jazyky_ceník!A:Q,MATCH($W$17,Jazyky_ceník!$A$1:$Q$1,0),FALSE)),VLOOKUP('General price list'!$C510,Popisy!A:M,MATCH($W$17,Popisy!$A$7:$M$7,0),FALSE)),"---------------")),IFERROR(VLOOKUP('General price list'!$C510,Popisy!A:M,MATCH($W$17,Popisy!$A$7:$M$7,0),FALSE),"---------------"))</f>
        <v>18 různobarevných efektů</v>
      </c>
      <c r="X510" s="569" t="str">
        <f t="shared" si="1448"/>
        <v/>
      </c>
      <c r="Y510" s="569" t="str">
        <f t="shared" si="1449"/>
        <v/>
      </c>
      <c r="Z510" s="569" t="str">
        <f>HYPERLINK("https://www.klasekpyrotechnics.cz/c26420n-c")</f>
        <v>https://www.klasekpyrotechnics.cz/c26420n-c</v>
      </c>
      <c r="AA510" s="569">
        <f>IFERROR(IF(VLOOKUP(C510,[4]List1!$A:$D,4,FALSE)=0,"",VLOOKUP(C510,[4]List1!$A:$D,4,FALSE)),"")</f>
        <v>18</v>
      </c>
      <c r="AB510" s="565"/>
      <c r="AC510" s="570" t="str">
        <f>IFERROR(IF(VLOOKUP(C510,[1]List1!$A:$D,2,FALSE)="VYPRODÁNO",$V$9,IF(VLOOKUP(C510,[1]List1!$A:$D,2,FALSE)="DOCHÁZÍ",$V$3,VLOOKUP(C510,[1]List1!$A:$D,2,FALSE))),"OFFLINE!")</f>
        <v>SKLADEM</v>
      </c>
      <c r="AD510" s="570" t="str">
        <f ca="1">IF(AP510="NE",$V$10,IF(AC510=$V$3,IF(AQ510&lt;1,$V$8,$V$2&amp;" "&amp;AQ510&amp;" "&amp;$V$1),IF(AC510="SKLADEM",$V$6,IFERROR(IF(OR(AC510-TODAY()&gt;45,VLOOKUP(C510,[1]List1!$A:$E,4,FALSE)=0),AC510,DAY(AC510)&amp;"."&amp;MONTH(AC510)&amp;"."&amp;YEAR(AC510)&amp;" "&amp;$V$4&amp;VLOOKUP(C510,[1]List1!$A:$E,4,FALSE)&amp;" "&amp;$V$1),AC510))))</f>
        <v>SKLADEM</v>
      </c>
      <c r="AE510" s="581" t="str">
        <f t="shared" ca="1" si="1450"/>
        <v>SKLADEM</v>
      </c>
      <c r="AF510" s="584">
        <f t="shared" si="1451"/>
        <v>0</v>
      </c>
      <c r="AG510" s="585">
        <f t="shared" si="1452"/>
        <v>0</v>
      </c>
      <c r="AH510" s="583">
        <f t="shared" si="1453"/>
        <v>0</v>
      </c>
      <c r="AI510" s="582">
        <f t="shared" si="1454"/>
        <v>0</v>
      </c>
      <c r="AJ510" s="569">
        <f t="shared" si="1455"/>
        <v>0</v>
      </c>
      <c r="AK510" s="569" t="str">
        <f t="shared" si="1456"/>
        <v/>
      </c>
      <c r="AL510" s="569">
        <f t="shared" si="1457"/>
        <v>0</v>
      </c>
      <c r="AM510" s="569" t="str">
        <f t="shared" si="1458"/>
        <v/>
      </c>
      <c r="AN510" s="581">
        <f t="shared" si="1459"/>
        <v>0</v>
      </c>
      <c r="AO510" s="623"/>
      <c r="AP510" s="632" t="str">
        <f t="shared" si="1461"/>
        <v/>
      </c>
      <c r="AQ510" s="633" t="str">
        <f>IF(AC510=$V$3,IF(VLOOKUP(C510,[1]List1!$A:$E,5,FALSE)=0,1,VLOOKUP(C510,[1]List1!$A:$E,5,FALSE)),"")</f>
        <v/>
      </c>
      <c r="AR510" s="625" t="str">
        <f t="shared" si="1462"/>
        <v/>
      </c>
      <c r="AS510" s="634" t="str">
        <f t="shared" si="1460"/>
        <v/>
      </c>
      <c r="AT510" s="625" t="str">
        <f t="shared" si="1463"/>
        <v/>
      </c>
      <c r="AU510" s="638" t="e">
        <f t="shared" si="1464"/>
        <v>#N/A</v>
      </c>
      <c r="AV510" s="625" t="e">
        <f t="shared" si="1465"/>
        <v>#N/A</v>
      </c>
      <c r="AX510" s="625">
        <f>IF(AND('General price list'!$J510="F4",'General price list'!$AB510+0&gt;0),1,0)</f>
        <v>0</v>
      </c>
      <c r="AY510" s="625">
        <f t="shared" si="1466"/>
        <v>1</v>
      </c>
      <c r="AZ510" s="625">
        <f t="shared" si="1467"/>
        <v>0</v>
      </c>
    </row>
    <row r="511" spans="1:52" ht="15" customHeight="1">
      <c r="A511" s="639" t="str">
        <f>Kat.!C511</f>
        <v/>
      </c>
      <c r="B511" s="640">
        <f>IF(AND('General price list'!$J511="F4",$AI$1=FALSE),0,IF(AC511="SKLADEM",1,IF(AC511=$V$3,1,0)))</f>
        <v>1</v>
      </c>
      <c r="C511" s="641" t="s">
        <v>12031</v>
      </c>
      <c r="D511" s="642" t="s">
        <v>12032</v>
      </c>
      <c r="E511" s="643" t="s">
        <v>12663</v>
      </c>
      <c r="F511" s="773">
        <f>IFERROR(VLOOKUP(C511,[2]List1!$A:$D,3,FALSE),"NEUVEDENO!")</f>
        <v>3726</v>
      </c>
      <c r="G511" s="770">
        <f t="shared" si="1446"/>
        <v>3726</v>
      </c>
      <c r="H511" s="767">
        <f t="shared" si="1447"/>
        <v>158.27503154031425</v>
      </c>
      <c r="I511" s="644">
        <f>IFERROR(VLOOKUP(C511,[2]List1!$A:$D,4,FALSE),"NEUVEDENO!")</f>
        <v>1</v>
      </c>
      <c r="J511" s="733" t="s">
        <v>39</v>
      </c>
      <c r="K511" s="645" t="s">
        <v>20</v>
      </c>
      <c r="L511" s="645"/>
      <c r="M511" s="645" t="s">
        <v>114</v>
      </c>
      <c r="N511" s="645">
        <f>IFERROR(VLOOKUP(C511,[3]List1!$A:$D,4,FALSE),"N/A!")</f>
        <v>4.7468249999999997E-2</v>
      </c>
      <c r="O511" s="645">
        <f>IFERROR(VLOOKUP(C511,[3]List1!$A:$D,3,FALSE),"N/A!")</f>
        <v>1947</v>
      </c>
      <c r="P511" s="645">
        <f>IFERROR(VLOOKUP(C511,[3]List1!$A:$D,2,FALSE),"N/A!")</f>
        <v>18000</v>
      </c>
      <c r="Q511" s="645" t="s">
        <v>11238</v>
      </c>
      <c r="R511" s="645"/>
      <c r="S511" s="645" t="str">
        <f>IF($W$17=$AF$1,"červená fólie",IFERROR(VLOOKUP("červená fólie",Jazyky_ceník!$A:$Q,MATCH($W$17,Jazyky_ceník!$A$1:$Q$1,0),FALSE),"!!!"))</f>
        <v>červená fólie</v>
      </c>
      <c r="T511" s="645">
        <v>150</v>
      </c>
      <c r="U511" s="645">
        <v>25</v>
      </c>
      <c r="V511" s="645">
        <v>16</v>
      </c>
      <c r="W511" s="645" t="str">
        <f>IFERROR(IF(AND($AB511&gt;=0.1*$AA511,MOD($AB511,$AA511)&gt;=($AA511-(0.1*$AA511))),IF($W$17=$AF$1,"Zvažte možnost doobjednání ještě "&amp;Tabulka1[[#This Row],[VKPAL]]-MOD(AB511,AA511)&amp;" VK do plné palety.",VLOOKUP("Zvažte možnost doobjednání ještě ",Jazyky_ceník!A:Q,MATCH($W$17,Jazyky_ceník!$A$1:$Q$1,0),FALSE)&amp;Tabulka1[[#This Row],[VKPAL]]-MOD(AB511,AA511)&amp;VLOOKUP(" VK do plné palety.",Jazyky_ceník!A:Q,MATCH($W$17,Jazyky_ceník!$A$1:$Q$1,0),FALSE)),IFERROR(IF(AND(NOT(MOD($AB511,$AA511)=0),$AB511&gt;=0.9*$AA511,MOD($AB511,$AA511)&lt;=0.1*$AA511),IF($W$17=$AF$1,"Zvažte možnost optimalizace objednaného množství podle počtu VK na paletě ==&gt;",VLOOKUP("Zvažte možnost optimalizace objednaného množství podle počtu VK na paletě ==&gt;",Jazyky_ceník!A:Q,MATCH($W$17,Jazyky_ceník!$A$1:$Q$1,0),FALSE)),VLOOKUP('General price list'!$C511,Popisy!A:M,MATCH($W$17,Popisy!$A$7:$M$7,0),FALSE)),"---------------")),IFERROR(VLOOKUP('General price list'!$C511,Popisy!A:M,MATCH($W$17,Popisy!$A$7:$M$7,0),FALSE),"---------------"))</f>
        <v>20 různobarevných efektů</v>
      </c>
      <c r="X511" s="645" t="str">
        <f t="shared" si="1448"/>
        <v/>
      </c>
      <c r="Y511" s="645" t="str">
        <f t="shared" si="1449"/>
        <v/>
      </c>
      <c r="Z511" s="645" t="str">
        <f>HYPERLINK("https://www.klasekpyrotechnics.cz/c32820xm-c")</f>
        <v>https://www.klasekpyrotechnics.cz/c32820xm-c</v>
      </c>
      <c r="AA511" s="645">
        <f>IFERROR(IF(VLOOKUP(C511,[4]List1!$A:$D,4,FALSE)=0,"",VLOOKUP(C511,[4]List1!$A:$D,4,FALSE)),"")</f>
        <v>27</v>
      </c>
      <c r="AB511" s="646"/>
      <c r="AC511" s="647" t="str">
        <f>IFERROR(IF(VLOOKUP(C511,[1]List1!$A:$D,2,FALSE)="VYPRODÁNO",$V$9,IF(VLOOKUP(C511,[1]List1!$A:$D,2,FALSE)="DOCHÁZÍ",$V$3,VLOOKUP(C511,[1]List1!$A:$D,2,FALSE))),"OFFLINE!")</f>
        <v>SKLADEM</v>
      </c>
      <c r="AD511" s="647" t="str">
        <f ca="1">IF(AP511="NE",$V$10,IF(AC511=$V$3,IF(AQ511&lt;1,$V$8,$V$2&amp;" "&amp;AQ511&amp;" "&amp;$V$1),IF(AC511="SKLADEM",$V$6,IFERROR(IF(OR(AC511-TODAY()&gt;45,VLOOKUP(C511,[1]List1!$A:$E,4,FALSE)=0),AC511,DAY(AC511)&amp;"."&amp;MONTH(AC511)&amp;"."&amp;YEAR(AC511)&amp;" "&amp;$V$4&amp;VLOOKUP(C511,[1]List1!$A:$E,4,FALSE)&amp;" "&amp;$V$1),AC511))))</f>
        <v>SKLADEM</v>
      </c>
      <c r="AE511" s="645" t="str">
        <f t="shared" ca="1" si="1450"/>
        <v>SKLADEM</v>
      </c>
      <c r="AF511" s="648">
        <f t="shared" si="1451"/>
        <v>0</v>
      </c>
      <c r="AG511" s="649">
        <f t="shared" si="1452"/>
        <v>0</v>
      </c>
      <c r="AH511" s="650">
        <f t="shared" si="1453"/>
        <v>0</v>
      </c>
      <c r="AI511" s="645">
        <f t="shared" si="1454"/>
        <v>0</v>
      </c>
      <c r="AJ511" s="645">
        <f t="shared" si="1455"/>
        <v>0</v>
      </c>
      <c r="AK511" s="645" t="str">
        <f t="shared" si="1456"/>
        <v/>
      </c>
      <c r="AL511" s="645">
        <f t="shared" si="1457"/>
        <v>0</v>
      </c>
      <c r="AM511" s="645" t="str">
        <f t="shared" si="1458"/>
        <v/>
      </c>
      <c r="AN511" s="651">
        <f t="shared" si="1459"/>
        <v>0</v>
      </c>
      <c r="AO511" s="623"/>
      <c r="AP511" s="632" t="str">
        <f t="shared" si="1461"/>
        <v/>
      </c>
      <c r="AQ511" s="633" t="str">
        <f>IF(AC511=$V$3,IF(VLOOKUP(C511,[1]List1!$A:$E,5,FALSE)=0,1,VLOOKUP(C511,[1]List1!$A:$E,5,FALSE)),"")</f>
        <v/>
      </c>
      <c r="AR511" s="625" t="str">
        <f t="shared" si="1462"/>
        <v/>
      </c>
      <c r="AS511" s="634" t="str">
        <f t="shared" si="1460"/>
        <v/>
      </c>
      <c r="AT511" s="625" t="str">
        <f t="shared" si="1463"/>
        <v/>
      </c>
      <c r="AU511" s="638" t="e">
        <f t="shared" si="1464"/>
        <v>#N/A</v>
      </c>
      <c r="AV511" s="625" t="e">
        <f t="shared" si="1465"/>
        <v>#N/A</v>
      </c>
      <c r="AX511" s="625">
        <f>IF(AND('General price list'!$J511="F4",'General price list'!$AB511+0&gt;0),1,0)</f>
        <v>0</v>
      </c>
      <c r="AY511" s="625">
        <f t="shared" si="1466"/>
        <v>1</v>
      </c>
      <c r="AZ511" s="625">
        <f t="shared" si="1467"/>
        <v>0</v>
      </c>
    </row>
    <row r="512" spans="1:52" ht="15" customHeight="1">
      <c r="A512" s="751" t="str">
        <f>Kat.!C512</f>
        <v xml:space="preserve">           Složený ohňostroj F3 – 1.3G</v>
      </c>
      <c r="B512" s="751"/>
      <c r="C512" s="751"/>
      <c r="D512" s="751"/>
      <c r="E512" s="751"/>
      <c r="F512" s="751"/>
      <c r="G512" s="751"/>
      <c r="H512" s="751"/>
      <c r="I512" s="752"/>
      <c r="J512" s="752"/>
      <c r="K512" s="752" t="s">
        <v>20</v>
      </c>
      <c r="L512" s="753" t="s">
        <v>2818</v>
      </c>
      <c r="M512" s="752"/>
      <c r="N512" s="752"/>
      <c r="O512" s="752"/>
      <c r="P512" s="752"/>
      <c r="Q512" s="752"/>
      <c r="R512" s="752"/>
      <c r="S512" s="752"/>
      <c r="T512" s="752"/>
      <c r="U512" s="752"/>
      <c r="V512" s="752"/>
      <c r="W512" s="752"/>
      <c r="X512" s="752"/>
      <c r="Y512" s="752"/>
      <c r="Z512" s="752" t="s">
        <v>20</v>
      </c>
      <c r="AA512" s="752"/>
      <c r="AB512" s="752"/>
      <c r="AC512" s="754"/>
      <c r="AD512" s="752"/>
      <c r="AE512" s="752"/>
      <c r="AF512" s="752"/>
      <c r="AG512" s="752"/>
      <c r="AH512" s="752"/>
      <c r="AI512" s="752"/>
      <c r="AJ512" s="752"/>
      <c r="AK512" s="752"/>
      <c r="AL512" s="752"/>
      <c r="AM512" s="752"/>
      <c r="AN512" s="752"/>
      <c r="AO512" s="623"/>
      <c r="AP512" s="632" t="str">
        <f t="shared" ref="AP512:AP555" si="1468">IF($AL$3=1,IF(Y512=AB512,"","NE"),IF(AR512=$V$10,"NE",""))</f>
        <v/>
      </c>
      <c r="AQ512" s="633" t="str">
        <f>IF(AC512=$V$3,IF(VLOOKUP(C512,[1]List1!$A:$E,5,FALSE)=0,1,VLOOKUP(C512,[1]List1!$A:$E,5,FALSE)),"")</f>
        <v/>
      </c>
      <c r="AR512" s="625" t="str">
        <f t="shared" ref="AR512:AR555" si="1469">IF($AL$3=1,"",IF(OR(AB512&lt;&gt;"",AB512&lt;&gt;0),IF(OR(AC512=$V$6,AC512=$V$3,AC512=$V$9),$V$10,""),""))</f>
        <v/>
      </c>
      <c r="AS512" s="634" t="str">
        <f t="shared" ref="AS512:AS556" si="1470">IF(AT512&lt;&gt;"","X","")</f>
        <v/>
      </c>
      <c r="AT512" s="625" t="str">
        <f t="shared" ref="AT512:AT555" si="1471">IF(AND($AL$3=2,AR512="",AB512&lt;&gt;""),AD512,"")</f>
        <v/>
      </c>
      <c r="AU512" s="638" t="e">
        <f t="shared" ref="AU512:AU555" si="1472">IF(AT512=$AS$21,AB512,"")</f>
        <v>#N/A</v>
      </c>
      <c r="AV512" s="625" t="e">
        <f t="shared" ref="AV512:AV555" si="1473">IF(OR(AB512="",AND(AT512&lt;&gt;"",AU512&lt;&gt;"")),"",$V$10)</f>
        <v>#N/A</v>
      </c>
      <c r="AX512" s="625">
        <f>IF(AND('General price list'!$J512="F4",'General price list'!$AB512+0&gt;0),1,0)</f>
        <v>0</v>
      </c>
      <c r="AY512" s="625">
        <f t="shared" ref="AY512:AY555" si="1474">IFERROR(FIND(VLOOKUP($AC$7,$AD$1:$AE$12,2,FALSE),Q512,1),0)</f>
        <v>0</v>
      </c>
      <c r="AZ512" s="625">
        <f t="shared" ref="AZ512:AZ555" si="1475">IFERROR(FIND(VLOOKUP($AC$7,$AD$1:$AE$12,2,FALSE),R512,1),0)</f>
        <v>0</v>
      </c>
    </row>
    <row r="513" spans="1:52" ht="15" customHeight="1">
      <c r="A513" s="639" t="str">
        <f>Kat.!C513</f>
        <v/>
      </c>
      <c r="B513" s="640">
        <f>IF(AND('General price list'!$J513="F4",$AI$1=FALSE),0,IF(AC513="SKLADEM",1,IF(AC513=$V$3,1,0)))</f>
        <v>1</v>
      </c>
      <c r="C513" s="641" t="s">
        <v>1124</v>
      </c>
      <c r="D513" s="642" t="s">
        <v>11884</v>
      </c>
      <c r="E513" s="643" t="s">
        <v>12663</v>
      </c>
      <c r="F513" s="771">
        <f>IFERROR(VLOOKUP(C513,[2]List1!$A:$D,3,FALSE),"NEUVEDENO!")</f>
        <v>2135</v>
      </c>
      <c r="G513" s="768">
        <f t="shared" ref="G513:G519" si="1476">IF($W$17=$AF$8,ROUND((F513)/$F$17,2),(F513)*$B$19)</f>
        <v>2135</v>
      </c>
      <c r="H513" s="765">
        <f t="shared" ref="H513:H519" si="1477">IF($W$17=$AF$8,G513*$B$19,G513/$F$17)</f>
        <v>90.691678029675501</v>
      </c>
      <c r="I513" s="644">
        <f>IFERROR(VLOOKUP(C513,[2]List1!$A:$D,4,FALSE),"NEUVEDENO!")</f>
        <v>1</v>
      </c>
      <c r="J513" s="733" t="s">
        <v>113</v>
      </c>
      <c r="K513" s="645" t="s">
        <v>20</v>
      </c>
      <c r="L513" s="645" t="s">
        <v>20</v>
      </c>
      <c r="M513" s="645" t="s">
        <v>114</v>
      </c>
      <c r="N513" s="645">
        <f>IFERROR(VLOOKUP(C513,[3]List1!$A:$D,4,FALSE),"N/A!")</f>
        <v>1.82125E-2</v>
      </c>
      <c r="O513" s="645">
        <f>IFERROR(VLOOKUP(C513,[3]List1!$A:$D,3,FALSE),"N/A!")</f>
        <v>1980</v>
      </c>
      <c r="P513" s="645">
        <f>IFERROR(VLOOKUP(C513,[3]List1!$A:$D,2,FALSE),"N/A!")</f>
        <v>9000</v>
      </c>
      <c r="Q513" s="645" t="s">
        <v>11244</v>
      </c>
      <c r="R513" s="645"/>
      <c r="S513" s="645" t="str">
        <f>IF($W$17=$AF$1,"červená fólie",IFERROR(VLOOKUP("červená fólie",Jazyky_ceník!$A:$Q,MATCH($W$17,Jazyky_ceník!$A$1:$Q$1,0),FALSE),"!!!"))</f>
        <v>červená fólie</v>
      </c>
      <c r="T513" s="645">
        <v>140</v>
      </c>
      <c r="U513" s="645">
        <v>27</v>
      </c>
      <c r="V513" s="645">
        <v>18</v>
      </c>
      <c r="W513" s="645" t="str">
        <f>IFERROR(IF(AND($AB513&gt;=0.1*$AA513,MOD($AB513,$AA513)&gt;=($AA513-(0.1*$AA513))),IF($W$17=$AF$1,"Zvažte možnost doobjednání ještě "&amp;Tabulka1[[#This Row],[VKPAL]]-MOD(AB513,AA513)&amp;" VK do plné palety.",VLOOKUP("Zvažte možnost doobjednání ještě ",Jazyky_ceník!A:Q,MATCH($W$17,Jazyky_ceník!$A$1:$Q$1,0),FALSE)&amp;Tabulka1[[#This Row],[VKPAL]]-MOD(AB513,AA513)&amp;VLOOKUP(" VK do plné palety.",Jazyky_ceník!A:Q,MATCH($W$17,Jazyky_ceník!$A$1:$Q$1,0),FALSE)),IFERROR(IF(AND(NOT(MOD($AB513,$AA513)=0),$AB513&gt;=0.9*$AA513,MOD($AB513,$AA513)&lt;=0.1*$AA513),IF($W$17=$AF$1,"Zvažte možnost optimalizace objednaného množství podle počtu VK na paletě ==&gt;",VLOOKUP("Zvažte možnost optimalizace objednaného množství podle počtu VK na paletě ==&gt;",Jazyky_ceník!A:Q,MATCH($W$17,Jazyky_ceník!$A$1:$Q$1,0),FALSE)),VLOOKUP('General price list'!$C513,Popisy!A:M,MATCH($W$17,Popisy!$A$7:$M$7,0),FALSE)),"---------------")),IFERROR(VLOOKUP('General price list'!$C513,Popisy!A:M,MATCH($W$17,Popisy!$A$7:$M$7,0),FALSE),"---------------"))</f>
        <v>10 různobarevných efektů</v>
      </c>
      <c r="X513" s="645" t="str">
        <f t="shared" ref="X513:X519" si="1478">IF(AB513&lt;0.0001,"",AB513)</f>
        <v/>
      </c>
      <c r="Y513" s="645" t="str">
        <f t="shared" ref="Y513:Y519" si="1479">IF($AL$3=2,IF(OR(AB513&lt;&gt;"",AB513&lt;&gt;0),AU513,""),IF(C513="","",IF(AB513&lt;0.0001,"",IF(B513=0,"",IF(AQ513&lt;AB513,"",AB513)))))</f>
        <v/>
      </c>
      <c r="Z513" s="645" t="str">
        <f>HYPERLINK("https://www.klasekpyrotechnics.cz/c18020sig-c")</f>
        <v>https://www.klasekpyrotechnics.cz/c18020sig-c</v>
      </c>
      <c r="AA513" s="645">
        <f>IFERROR(IF(VLOOKUP(C513,[4]List1!$A:$D,4,FALSE)=0,"",VLOOKUP(C513,[4]List1!$A:$D,4,FALSE)),"")</f>
        <v>66</v>
      </c>
      <c r="AB513" s="646"/>
      <c r="AC513" s="647" t="str">
        <f>IFERROR(IF(VLOOKUP(C513,[1]List1!$A:$D,2,FALSE)="VYPRODÁNO",$V$9,IF(VLOOKUP(C513,[1]List1!$A:$D,2,FALSE)="DOCHÁZÍ",$V$3,VLOOKUP(C513,[1]List1!$A:$D,2,FALSE))),"OFFLINE!")</f>
        <v>SKLADEM</v>
      </c>
      <c r="AD513" s="647" t="str">
        <f ca="1">IF(AP513="NE",$V$10,IF(AC513=$V$3,IF(AQ513&lt;1,$V$8,$V$2&amp;" "&amp;AQ513&amp;" "&amp;$V$1),IF(AC513="SKLADEM",$V$6,IFERROR(IF(OR(AC513-TODAY()&gt;45,VLOOKUP(C513,[1]List1!$A:$E,4,FALSE)=0),AC513,DAY(AC513)&amp;"."&amp;MONTH(AC513)&amp;"."&amp;YEAR(AC513)&amp;" "&amp;$V$4&amp;VLOOKUP(C513,[1]List1!$A:$E,4,FALSE)&amp;" "&amp;$V$1),AC513))))</f>
        <v>SKLADEM</v>
      </c>
      <c r="AE513" s="645" t="str">
        <f t="shared" ref="AE513:AE519" ca="1" si="1480">IFERROR(IF(AV513&lt;&gt;"",AV513,AD513),AD513)</f>
        <v>SKLADEM</v>
      </c>
      <c r="AF513" s="648">
        <f t="shared" ref="AF513:AF519" si="1481">IFERROR(IF(AB513=Y513,G513*I513*Y513,0),0)</f>
        <v>0</v>
      </c>
      <c r="AG513" s="649">
        <f t="shared" ref="AG513:AG519" si="1482">IF($W$17=$AF$8,AH513*1.23,AF513*1.21)</f>
        <v>0</v>
      </c>
      <c r="AH513" s="650">
        <f t="shared" ref="AH513:AH519" si="1483">IFERROR(IF(Y513=AB513,H513*I513*Y513,0),0)</f>
        <v>0</v>
      </c>
      <c r="AI513" s="645">
        <f t="shared" ref="AI513:AI519" si="1484">IFERROR(IF(Y513=AB513,(P513*Y513)/1000,1),0)</f>
        <v>0</v>
      </c>
      <c r="AJ513" s="645">
        <f t="shared" ref="AJ513:AJ519" si="1485">IFERROR(IF(Y513=AB513,N513*Y513,0.1),0)</f>
        <v>0</v>
      </c>
      <c r="AK513" s="645" t="str">
        <f t="shared" ref="AK513:AK519" si="1486">IFERROR(IF(Y513=AB513,IF(M513="1.1G",(O513/1000)*Y513,""),""),0)</f>
        <v/>
      </c>
      <c r="AL513" s="645">
        <f t="shared" ref="AL513:AL519" si="1487">IFERROR(IF(Y513=AB513,IF(M513="1.3G",(O513/1000)*AB513,""),""),0)</f>
        <v>0</v>
      </c>
      <c r="AM513" s="645" t="str">
        <f t="shared" ref="AM513:AM519" si="1488">IFERROR(IF(Y513=AB513,IF(M513="1.4G",(O513/1000)*AB513,""),""),0)</f>
        <v/>
      </c>
      <c r="AN513" s="651">
        <f t="shared" ref="AN513:AN519" si="1489">SUM(AK513:AM513)</f>
        <v>0</v>
      </c>
      <c r="AO513" s="623"/>
      <c r="AP513" s="632" t="str">
        <f t="shared" si="1468"/>
        <v/>
      </c>
      <c r="AQ513" s="633" t="str">
        <f>IF(AC513=$V$3,IF(VLOOKUP(C513,[1]List1!$A:$E,5,FALSE)=0,1,VLOOKUP(C513,[1]List1!$A:$E,5,FALSE)),"")</f>
        <v/>
      </c>
      <c r="AR513" s="625" t="str">
        <f t="shared" si="1469"/>
        <v/>
      </c>
      <c r="AS513" s="634" t="str">
        <f t="shared" si="1470"/>
        <v/>
      </c>
      <c r="AT513" s="625" t="str">
        <f t="shared" si="1471"/>
        <v/>
      </c>
      <c r="AU513" s="638" t="e">
        <f t="shared" si="1472"/>
        <v>#N/A</v>
      </c>
      <c r="AV513" s="625" t="e">
        <f t="shared" si="1473"/>
        <v>#N/A</v>
      </c>
      <c r="AX513" s="625">
        <f>IF(AND('General price list'!$J513="F4",'General price list'!$AB513+0&gt;0),1,0)</f>
        <v>0</v>
      </c>
      <c r="AY513" s="625">
        <f t="shared" si="1474"/>
        <v>1</v>
      </c>
      <c r="AZ513" s="625">
        <f t="shared" si="1475"/>
        <v>0</v>
      </c>
    </row>
    <row r="514" spans="1:52" ht="15" customHeight="1">
      <c r="A514" s="621" t="str">
        <f>Kat.!C514</f>
        <v/>
      </c>
      <c r="B514" s="566">
        <f>IF(AND('General price list'!$J514="F4",$AI$1=FALSE),0,IF(AC514="SKLADEM",1,IF(AC514=$V$3,1,0)))</f>
        <v>1</v>
      </c>
      <c r="C514" s="567" t="s">
        <v>1125</v>
      </c>
      <c r="D514" s="568" t="s">
        <v>1113</v>
      </c>
      <c r="E514" s="763" t="s">
        <v>12663</v>
      </c>
      <c r="F514" s="772">
        <f>IFERROR(VLOOKUP(C514,[2]List1!$A:$D,3,FALSE),"NEUVEDENO!")</f>
        <v>2199</v>
      </c>
      <c r="G514" s="769">
        <f t="shared" si="1476"/>
        <v>2199</v>
      </c>
      <c r="H514" s="766">
        <f t="shared" si="1477"/>
        <v>93.410304443679834</v>
      </c>
      <c r="I514" s="764">
        <f>IFERROR(VLOOKUP(C514,[2]List1!$A:$D,4,FALSE),"NEUVEDENO!")</f>
        <v>1</v>
      </c>
      <c r="J514" s="732" t="s">
        <v>113</v>
      </c>
      <c r="K514" s="569" t="s">
        <v>20</v>
      </c>
      <c r="L514" s="569" t="s">
        <v>20</v>
      </c>
      <c r="M514" s="569" t="s">
        <v>114</v>
      </c>
      <c r="N514" s="569">
        <f>IFERROR(VLOOKUP(C514,[3]List1!$A:$D,4,FALSE),"N/A!")</f>
        <v>2.8209999999999999E-2</v>
      </c>
      <c r="O514" s="569">
        <f>IFERROR(VLOOKUP(C514,[3]List1!$A:$D,3,FALSE),"N/A!")</f>
        <v>1994</v>
      </c>
      <c r="P514" s="569">
        <f>IFERROR(VLOOKUP(C514,[3]List1!$A:$D,2,FALSE),"N/A!")</f>
        <v>12000</v>
      </c>
      <c r="Q514" s="569" t="s">
        <v>11261</v>
      </c>
      <c r="R514" s="569"/>
      <c r="S514" s="569" t="str">
        <f>IF($W$17=$AF$1,"červená fólie",IFERROR(VLOOKUP("červená fólie",Jazyky_ceník!$A:$Q,MATCH($W$17,Jazyky_ceník!$A$1:$Q$1,0),FALSE),"!!!"))</f>
        <v>červená fólie</v>
      </c>
      <c r="T514" s="569">
        <v>180</v>
      </c>
      <c r="U514" s="569">
        <v>25</v>
      </c>
      <c r="V514" s="569">
        <v>16</v>
      </c>
      <c r="W514" s="569" t="str">
        <f>IFERROR(IF(AND($AB514&gt;=0.1*$AA514,MOD($AB514,$AA514)&gt;=($AA514-(0.1*$AA514))),IF($W$17=$AF$1,"Zvažte možnost doobjednání ještě "&amp;Tabulka1[[#This Row],[VKPAL]]-MOD(AB514,AA514)&amp;" VK do plné palety.",VLOOKUP("Zvažte možnost doobjednání ještě ",Jazyky_ceník!A:Q,MATCH($W$17,Jazyky_ceník!$A$1:$Q$1,0),FALSE)&amp;Tabulka1[[#This Row],[VKPAL]]-MOD(AB514,AA514)&amp;VLOOKUP(" VK do plné palety.",Jazyky_ceník!A:Q,MATCH($W$17,Jazyky_ceník!$A$1:$Q$1,0),FALSE)),IFERROR(IF(AND(NOT(MOD($AB514,$AA514)=0),$AB514&gt;=0.9*$AA514,MOD($AB514,$AA514)&lt;=0.1*$AA514),IF($W$17=$AF$1,"Zvažte možnost optimalizace objednaného množství podle počtu VK na paletě ==&gt;",VLOOKUP("Zvažte možnost optimalizace objednaného množství podle počtu VK na paletě ==&gt;",Jazyky_ceník!A:Q,MATCH($W$17,Jazyky_ceník!$A$1:$Q$1,0),FALSE)),VLOOKUP('General price list'!$C514,Popisy!A:M,MATCH($W$17,Popisy!$A$7:$M$7,0),FALSE)),"---------------")),IFERROR(VLOOKUP('General price list'!$C514,Popisy!A:M,MATCH($W$17,Popisy!$A$7:$M$7,0),FALSE),"---------------"))</f>
        <v>26 různobarevných efektů</v>
      </c>
      <c r="X514" s="569" t="str">
        <f t="shared" si="1478"/>
        <v/>
      </c>
      <c r="Y514" s="569" t="str">
        <f t="shared" si="1479"/>
        <v/>
      </c>
      <c r="Z514" s="569" t="str">
        <f>HYPERLINK("https://www.klasekpyrotechnics.cz/c26020f-c")</f>
        <v>https://www.klasekpyrotechnics.cz/c26020f-c</v>
      </c>
      <c r="AA514" s="569" t="str">
        <f>IFERROR(IF(VLOOKUP(C514,[4]List1!$A:$D,4,FALSE)=0,"",VLOOKUP(C514,[4]List1!$A:$D,4,FALSE)),"")</f>
        <v>44</v>
      </c>
      <c r="AB514" s="565"/>
      <c r="AC514" s="570" t="str">
        <f>IFERROR(IF(VLOOKUP(C514,[1]List1!$A:$D,2,FALSE)="VYPRODÁNO",$V$9,IF(VLOOKUP(C514,[1]List1!$A:$D,2,FALSE)="DOCHÁZÍ",$V$3,VLOOKUP(C514,[1]List1!$A:$D,2,FALSE))),"OFFLINE!")</f>
        <v>DOCHÁZÍ</v>
      </c>
      <c r="AD514" s="570" t="str">
        <f ca="1">IF(AP514="NE",$V$10,IF(AC514=$V$3,IF(AQ514&lt;1,$V$8,$V$2&amp;" "&amp;AQ514&amp;" "&amp;$V$1),IF(AC514="SKLADEM",$V$6,IFERROR(IF(OR(AC514-TODAY()&gt;45,VLOOKUP(C514,[1]List1!$A:$E,4,FALSE)=0),AC514,DAY(AC514)&amp;"."&amp;MONTH(AC514)&amp;"."&amp;YEAR(AC514)&amp;" "&amp;$V$4&amp;VLOOKUP(C514,[1]List1!$A:$E,4,FALSE)&amp;" "&amp;$V$1),AC514))))</f>
        <v>POSLEDNÍCH 24 VK</v>
      </c>
      <c r="AE514" s="581" t="str">
        <f t="shared" ca="1" si="1480"/>
        <v>POSLEDNÍCH 24 VK</v>
      </c>
      <c r="AF514" s="584">
        <f t="shared" si="1481"/>
        <v>0</v>
      </c>
      <c r="AG514" s="585">
        <f t="shared" si="1482"/>
        <v>0</v>
      </c>
      <c r="AH514" s="583">
        <f t="shared" si="1483"/>
        <v>0</v>
      </c>
      <c r="AI514" s="582">
        <f t="shared" si="1484"/>
        <v>0</v>
      </c>
      <c r="AJ514" s="569">
        <f t="shared" si="1485"/>
        <v>0</v>
      </c>
      <c r="AK514" s="569" t="str">
        <f t="shared" si="1486"/>
        <v/>
      </c>
      <c r="AL514" s="569">
        <f t="shared" si="1487"/>
        <v>0</v>
      </c>
      <c r="AM514" s="569" t="str">
        <f t="shared" si="1488"/>
        <v/>
      </c>
      <c r="AN514" s="581">
        <f t="shared" si="1489"/>
        <v>0</v>
      </c>
      <c r="AO514" s="623"/>
      <c r="AP514" s="632" t="str">
        <f t="shared" si="1468"/>
        <v/>
      </c>
      <c r="AQ514" s="633">
        <f>IF(AC514=$V$3,IF(VLOOKUP(C514,[1]List1!$A:$E,5,FALSE)=0,1,VLOOKUP(C514,[1]List1!$A:$E,5,FALSE)),"")</f>
        <v>24</v>
      </c>
      <c r="AR514" s="625" t="str">
        <f t="shared" si="1469"/>
        <v/>
      </c>
      <c r="AS514" s="634" t="str">
        <f t="shared" si="1470"/>
        <v/>
      </c>
      <c r="AT514" s="625" t="str">
        <f t="shared" si="1471"/>
        <v/>
      </c>
      <c r="AU514" s="638" t="e">
        <f t="shared" si="1472"/>
        <v>#N/A</v>
      </c>
      <c r="AV514" s="625" t="e">
        <f t="shared" si="1473"/>
        <v>#N/A</v>
      </c>
      <c r="AX514" s="625">
        <f>IF(AND('General price list'!$J514="F4",'General price list'!$AB514+0&gt;0),1,0)</f>
        <v>0</v>
      </c>
      <c r="AY514" s="625">
        <f t="shared" si="1474"/>
        <v>1</v>
      </c>
      <c r="AZ514" s="625">
        <f t="shared" si="1475"/>
        <v>0</v>
      </c>
    </row>
    <row r="515" spans="1:52" ht="15.75" customHeight="1">
      <c r="A515" s="639" t="str">
        <f>Kat.!C515</f>
        <v/>
      </c>
      <c r="B515" s="640">
        <f>IF(AND('General price list'!$J515="F4",$AI$1=FALSE),0,IF(AC515="SKLADEM",1,IF(AC515=$V$3,1,0)))</f>
        <v>1</v>
      </c>
      <c r="C515" s="641" t="s">
        <v>1127</v>
      </c>
      <c r="D515" s="642" t="s">
        <v>4876</v>
      </c>
      <c r="E515" s="643" t="s">
        <v>12663</v>
      </c>
      <c r="F515" s="771">
        <f>IFERROR(VLOOKUP(C515,[2]List1!$A:$D,3,FALSE),"NEUVEDENO!")</f>
        <v>3170</v>
      </c>
      <c r="G515" s="768">
        <f t="shared" si="1476"/>
        <v>3170</v>
      </c>
      <c r="H515" s="765">
        <f t="shared" si="1477"/>
        <v>134.65696456865169</v>
      </c>
      <c r="I515" s="644">
        <f>IFERROR(VLOOKUP(C515,[2]List1!$A:$D,4,FALSE),"NEUVEDENO!")</f>
        <v>1</v>
      </c>
      <c r="J515" s="733" t="s">
        <v>113</v>
      </c>
      <c r="K515" s="645" t="s">
        <v>20</v>
      </c>
      <c r="L515" s="645" t="s">
        <v>20</v>
      </c>
      <c r="M515" s="645" t="s">
        <v>114</v>
      </c>
      <c r="N515" s="645">
        <f>IFERROR(VLOOKUP(C515,[3]List1!$A:$D,4,FALSE),"N/A!")</f>
        <v>4.6304999999999999E-2</v>
      </c>
      <c r="O515" s="645">
        <f>IFERROR(VLOOKUP(C515,[3]List1!$A:$D,3,FALSE),"N/A!")</f>
        <v>1998</v>
      </c>
      <c r="P515" s="645">
        <f>IFERROR(VLOOKUP(C515,[3]List1!$A:$D,2,FALSE),"N/A!")</f>
        <v>14500</v>
      </c>
      <c r="Q515" s="645" t="s">
        <v>11778</v>
      </c>
      <c r="R515" s="645"/>
      <c r="S515" s="645" t="str">
        <f>IF($W$17=$AF$1,"červená fólie",IFERROR(VLOOKUP("červená fólie",Jazyky_ceník!$A:$Q,MATCH($W$17,Jazyky_ceník!$A$1:$Q$1,0),FALSE),"!!!"))</f>
        <v>červená fólie</v>
      </c>
      <c r="T515" s="645">
        <v>140</v>
      </c>
      <c r="U515" s="645">
        <v>25</v>
      </c>
      <c r="V515" s="645">
        <v>16</v>
      </c>
      <c r="W515" s="645" t="str">
        <f>IFERROR(IF(AND($AB515&gt;=0.1*$AA515,MOD($AB515,$AA515)&gt;=($AA515-(0.1*$AA515))),IF($W$17=$AF$1,"Zvažte možnost doobjednání ještě "&amp;Tabulka1[[#This Row],[VKPAL]]-MOD(AB515,AA515)&amp;" VK do plné palety.",VLOOKUP("Zvažte možnost doobjednání ještě ",Jazyky_ceník!A:Q,MATCH($W$17,Jazyky_ceník!$A$1:$Q$1,0),FALSE)&amp;Tabulka1[[#This Row],[VKPAL]]-MOD(AB515,AA515)&amp;VLOOKUP(" VK do plné palety.",Jazyky_ceník!A:Q,MATCH($W$17,Jazyky_ceník!$A$1:$Q$1,0),FALSE)),IFERROR(IF(AND(NOT(MOD($AB515,$AA515)=0),$AB515&gt;=0.9*$AA515,MOD($AB515,$AA515)&lt;=0.1*$AA515),IF($W$17=$AF$1,"Zvažte možnost optimalizace objednaného množství podle počtu VK na paletě ==&gt;",VLOOKUP("Zvažte možnost optimalizace objednaného množství podle počtu VK na paletě ==&gt;",Jazyky_ceník!A:Q,MATCH($W$17,Jazyky_ceník!$A$1:$Q$1,0),FALSE)),VLOOKUP('General price list'!$C515,Popisy!A:M,MATCH($W$17,Popisy!$A$7:$M$7,0),FALSE)),"---------------")),IFERROR(VLOOKUP('General price list'!$C515,Popisy!A:M,MATCH($W$17,Popisy!$A$7:$M$7,0),FALSE),"---------------"))</f>
        <v>32 různobarevných efektů</v>
      </c>
      <c r="X515" s="645" t="str">
        <f t="shared" si="1478"/>
        <v/>
      </c>
      <c r="Y515" s="645" t="str">
        <f t="shared" si="1479"/>
        <v/>
      </c>
      <c r="Z515" s="645" t="str">
        <f>HYPERLINK("https://www.klasekpyrotechnics.cz/c26820f-c")</f>
        <v>https://www.klasekpyrotechnics.cz/c26820f-c</v>
      </c>
      <c r="AA515" s="645" t="str">
        <f>IFERROR(IF(VLOOKUP(C515,[4]List1!$A:$D,4,FALSE)=0,"",VLOOKUP(C515,[4]List1!$A:$D,4,FALSE)),"")</f>
        <v>27</v>
      </c>
      <c r="AB515" s="646"/>
      <c r="AC515" s="647" t="str">
        <f>IFERROR(IF(VLOOKUP(C515,[1]List1!$A:$D,2,FALSE)="VYPRODÁNO",$V$9,IF(VLOOKUP(C515,[1]List1!$A:$D,2,FALSE)="DOCHÁZÍ",$V$3,VLOOKUP(C515,[1]List1!$A:$D,2,FALSE))),"OFFLINE!")</f>
        <v>SKLADEM</v>
      </c>
      <c r="AD515" s="647" t="str">
        <f ca="1">IF(AP515="NE",$V$10,IF(AC515=$V$3,IF(AQ515&lt;1,$V$8,$V$2&amp;" "&amp;AQ515&amp;" "&amp;$V$1),IF(AC515="SKLADEM",$V$6,IFERROR(IF(OR(AC515-TODAY()&gt;45,VLOOKUP(C515,[1]List1!$A:$E,4,FALSE)=0),AC515,DAY(AC515)&amp;"."&amp;MONTH(AC515)&amp;"."&amp;YEAR(AC515)&amp;" "&amp;$V$4&amp;VLOOKUP(C515,[1]List1!$A:$E,4,FALSE)&amp;" "&amp;$V$1),AC515))))</f>
        <v>SKLADEM</v>
      </c>
      <c r="AE515" s="645" t="str">
        <f t="shared" ca="1" si="1480"/>
        <v>SKLADEM</v>
      </c>
      <c r="AF515" s="648">
        <f t="shared" si="1481"/>
        <v>0</v>
      </c>
      <c r="AG515" s="649">
        <f t="shared" si="1482"/>
        <v>0</v>
      </c>
      <c r="AH515" s="650">
        <f t="shared" si="1483"/>
        <v>0</v>
      </c>
      <c r="AI515" s="645">
        <f t="shared" si="1484"/>
        <v>0</v>
      </c>
      <c r="AJ515" s="645">
        <f t="shared" si="1485"/>
        <v>0</v>
      </c>
      <c r="AK515" s="645" t="str">
        <f t="shared" si="1486"/>
        <v/>
      </c>
      <c r="AL515" s="645">
        <f t="shared" si="1487"/>
        <v>0</v>
      </c>
      <c r="AM515" s="645" t="str">
        <f t="shared" si="1488"/>
        <v/>
      </c>
      <c r="AN515" s="651">
        <f t="shared" si="1489"/>
        <v>0</v>
      </c>
      <c r="AO515" s="623"/>
      <c r="AP515" s="625" t="str">
        <f t="shared" si="1468"/>
        <v/>
      </c>
      <c r="AQ515" s="625" t="str">
        <f>IF(AC515=$V$3,IF(VLOOKUP(C515,[1]List1!$A:$E,5,FALSE)=0,1,VLOOKUP(C515,[1]List1!$A:$E,5,FALSE)),"")</f>
        <v/>
      </c>
      <c r="AR515" s="629" t="str">
        <f t="shared" si="1469"/>
        <v/>
      </c>
      <c r="AS515" s="630" t="str">
        <f t="shared" si="1470"/>
        <v/>
      </c>
      <c r="AT515" s="625" t="str">
        <f t="shared" si="1471"/>
        <v/>
      </c>
      <c r="AU515" s="625" t="e">
        <f t="shared" si="1472"/>
        <v>#N/A</v>
      </c>
      <c r="AV515" s="625" t="e">
        <f t="shared" si="1473"/>
        <v>#N/A</v>
      </c>
      <c r="AW515" s="631"/>
      <c r="AX515" s="631">
        <f>IF(AND('General price list'!$J515="F4",'General price list'!$AB515+0&gt;0),1,0)</f>
        <v>0</v>
      </c>
      <c r="AY515" s="631">
        <f t="shared" si="1474"/>
        <v>1</v>
      </c>
      <c r="AZ515" s="631">
        <f t="shared" si="1475"/>
        <v>0</v>
      </c>
    </row>
    <row r="516" spans="1:52" ht="15" customHeight="1">
      <c r="A516" s="621" t="str">
        <f>Kat.!C516</f>
        <v/>
      </c>
      <c r="B516" s="566">
        <f>IF(AND('General price list'!$J516="F4",$AI$1=FALSE),0,IF(AC516="SKLADEM",1,IF(AC516=$V$3,1,0)))</f>
        <v>1</v>
      </c>
      <c r="C516" s="567" t="s">
        <v>1128</v>
      </c>
      <c r="D516" s="568" t="s">
        <v>1117</v>
      </c>
      <c r="E516" s="763" t="s">
        <v>12663</v>
      </c>
      <c r="F516" s="772">
        <f>IFERROR(VLOOKUP(C516,[2]List1!$A:$D,3,FALSE),"NEUVEDENO!")</f>
        <v>3493</v>
      </c>
      <c r="G516" s="769">
        <f t="shared" si="1476"/>
        <v>3493</v>
      </c>
      <c r="H516" s="766">
        <f t="shared" si="1477"/>
        <v>148.37753225182976</v>
      </c>
      <c r="I516" s="764">
        <f>IFERROR(VLOOKUP(C516,[2]List1!$A:$D,4,FALSE),"NEUVEDENO!")</f>
        <v>1</v>
      </c>
      <c r="J516" s="732" t="s">
        <v>113</v>
      </c>
      <c r="K516" s="569" t="s">
        <v>20</v>
      </c>
      <c r="L516" s="569" t="s">
        <v>20</v>
      </c>
      <c r="M516" s="569" t="s">
        <v>114</v>
      </c>
      <c r="N516" s="569">
        <f>IFERROR(VLOOKUP(C516,[3]List1!$A:$D,4,FALSE),"N/A!")</f>
        <v>4.0578999999999997E-2</v>
      </c>
      <c r="O516" s="569">
        <f>IFERROR(VLOOKUP(C516,[3]List1!$A:$D,3,FALSE),"N/A!")</f>
        <v>2985</v>
      </c>
      <c r="P516" s="569">
        <f>IFERROR(VLOOKUP(C516,[3]List1!$A:$D,2,FALSE),"N/A!")</f>
        <v>17000</v>
      </c>
      <c r="Q516" s="569" t="s">
        <v>11300</v>
      </c>
      <c r="R516" s="569"/>
      <c r="S516" s="569" t="str">
        <f>IF($W$17=$AF$1,"červená fólie",IFERROR(VLOOKUP("červená fólie",Jazyky_ceník!$A:$Q,MATCH($W$17,Jazyky_ceník!$A$1:$Q$1,0),FALSE),"!!!"))</f>
        <v>červená fólie</v>
      </c>
      <c r="T516" s="569">
        <v>240</v>
      </c>
      <c r="U516" s="569">
        <v>25</v>
      </c>
      <c r="V516" s="569">
        <v>16</v>
      </c>
      <c r="W516" s="569" t="str">
        <f>IFERROR(IF(AND($AB516&gt;=0.1*$AA516,MOD($AB516,$AA516)&gt;=($AA516-(0.1*$AA516))),IF($W$17=$AF$1,"Zvažte možnost doobjednání ještě "&amp;Tabulka1[[#This Row],[VKPAL]]-MOD(AB516,AA516)&amp;" VK do plné palety.",VLOOKUP("Zvažte možnost doobjednání ještě ",Jazyky_ceník!A:Q,MATCH($W$17,Jazyky_ceník!$A$1:$Q$1,0),FALSE)&amp;Tabulka1[[#This Row],[VKPAL]]-MOD(AB516,AA516)&amp;VLOOKUP(" VK do plné palety.",Jazyky_ceník!A:Q,MATCH($W$17,Jazyky_ceník!$A$1:$Q$1,0),FALSE)),IFERROR(IF(AND(NOT(MOD($AB516,$AA516)=0),$AB516&gt;=0.9*$AA516,MOD($AB516,$AA516)&lt;=0.1*$AA516),IF($W$17=$AF$1,"Zvažte možnost optimalizace objednaného množství podle počtu VK na paletě ==&gt;",VLOOKUP("Zvažte možnost optimalizace objednaného množství podle počtu VK na paletě ==&gt;",Jazyky_ceník!A:Q,MATCH($W$17,Jazyky_ceník!$A$1:$Q$1,0),FALSE)),VLOOKUP('General price list'!$C516,Popisy!A:M,MATCH($W$17,Popisy!$A$7:$M$7,0),FALSE)),"---------------")),IFERROR(VLOOKUP('General price list'!$C516,Popisy!A:M,MATCH($W$17,Popisy!$A$7:$M$7,0),FALSE),"---------------"))</f>
        <v>39 různobarevných efektů</v>
      </c>
      <c r="X516" s="569" t="str">
        <f t="shared" si="1478"/>
        <v/>
      </c>
      <c r="Y516" s="569" t="str">
        <f t="shared" si="1479"/>
        <v/>
      </c>
      <c r="Z516" s="569" t="str">
        <f>HYPERLINK("https://www.klasekpyrotechnics.cz/c39020f-c")</f>
        <v>https://www.klasekpyrotechnics.cz/c39020f-c</v>
      </c>
      <c r="AA516" s="569">
        <f>IFERROR(IF(VLOOKUP(C516,[4]List1!$A:$D,4,FALSE)=0,"",VLOOKUP(C516,[4]List1!$A:$D,4,FALSE)),"")</f>
        <v>33</v>
      </c>
      <c r="AB516" s="565"/>
      <c r="AC516" s="570" t="str">
        <f>IFERROR(IF(VLOOKUP(C516,[1]List1!$A:$D,2,FALSE)="VYPRODÁNO",$V$9,IF(VLOOKUP(C516,[1]List1!$A:$D,2,FALSE)="DOCHÁZÍ",$V$3,VLOOKUP(C516,[1]List1!$A:$D,2,FALSE))),"OFFLINE!")</f>
        <v>SKLADEM</v>
      </c>
      <c r="AD516" s="570" t="str">
        <f ca="1">IF(AP516="NE",$V$10,IF(AC516=$V$3,IF(AQ516&lt;1,$V$8,$V$2&amp;" "&amp;AQ516&amp;" "&amp;$V$1),IF(AC516="SKLADEM",$V$6,IFERROR(IF(OR(AC516-TODAY()&gt;45,VLOOKUP(C516,[1]List1!$A:$E,4,FALSE)=0),AC516,DAY(AC516)&amp;"."&amp;MONTH(AC516)&amp;"."&amp;YEAR(AC516)&amp;" "&amp;$V$4&amp;VLOOKUP(C516,[1]List1!$A:$E,4,FALSE)&amp;" "&amp;$V$1),AC516))))</f>
        <v>SKLADEM</v>
      </c>
      <c r="AE516" s="581" t="str">
        <f t="shared" ca="1" si="1480"/>
        <v>SKLADEM</v>
      </c>
      <c r="AF516" s="584">
        <f t="shared" si="1481"/>
        <v>0</v>
      </c>
      <c r="AG516" s="585">
        <f t="shared" si="1482"/>
        <v>0</v>
      </c>
      <c r="AH516" s="583">
        <f t="shared" si="1483"/>
        <v>0</v>
      </c>
      <c r="AI516" s="582">
        <f t="shared" si="1484"/>
        <v>0</v>
      </c>
      <c r="AJ516" s="569">
        <f t="shared" si="1485"/>
        <v>0</v>
      </c>
      <c r="AK516" s="569" t="str">
        <f t="shared" si="1486"/>
        <v/>
      </c>
      <c r="AL516" s="569">
        <f t="shared" si="1487"/>
        <v>0</v>
      </c>
      <c r="AM516" s="569" t="str">
        <f t="shared" si="1488"/>
        <v/>
      </c>
      <c r="AN516" s="581">
        <f t="shared" si="1489"/>
        <v>0</v>
      </c>
      <c r="AO516" s="623"/>
      <c r="AP516" s="632" t="str">
        <f t="shared" si="1468"/>
        <v/>
      </c>
      <c r="AQ516" s="633" t="str">
        <f>IF(AC516=$V$3,IF(VLOOKUP(C516,[1]List1!$A:$E,5,FALSE)=0,1,VLOOKUP(C516,[1]List1!$A:$E,5,FALSE)),"")</f>
        <v/>
      </c>
      <c r="AR516" s="625" t="str">
        <f t="shared" si="1469"/>
        <v/>
      </c>
      <c r="AS516" s="634" t="str">
        <f t="shared" si="1470"/>
        <v/>
      </c>
      <c r="AT516" s="625" t="str">
        <f t="shared" si="1471"/>
        <v/>
      </c>
      <c r="AU516" s="638" t="e">
        <f t="shared" si="1472"/>
        <v>#N/A</v>
      </c>
      <c r="AV516" s="625" t="e">
        <f t="shared" si="1473"/>
        <v>#N/A</v>
      </c>
      <c r="AX516" s="625">
        <f>IF(AND('General price list'!$J516="F4",'General price list'!$AB516+0&gt;0),1,0)</f>
        <v>0</v>
      </c>
      <c r="AY516" s="625">
        <f t="shared" si="1474"/>
        <v>1</v>
      </c>
      <c r="AZ516" s="625">
        <f t="shared" si="1475"/>
        <v>0</v>
      </c>
    </row>
    <row r="517" spans="1:52" ht="15" customHeight="1">
      <c r="A517" s="639" t="str">
        <f>Kat.!C517</f>
        <v/>
      </c>
      <c r="B517" s="640">
        <f>IF(AND('General price list'!$J517="F4",$AI$1=FALSE),0,IF(AC517="SKLADEM",1,IF(AC517=$V$3,1,0)))</f>
        <v>1</v>
      </c>
      <c r="C517" s="641" t="s">
        <v>1129</v>
      </c>
      <c r="D517" s="642" t="s">
        <v>1121</v>
      </c>
      <c r="E517" s="643" t="s">
        <v>12663</v>
      </c>
      <c r="F517" s="771">
        <f>IFERROR(VLOOKUP(C517,[2]List1!$A:$D,3,FALSE),"NEUVEDENO!")</f>
        <v>4528</v>
      </c>
      <c r="G517" s="768">
        <f t="shared" si="1476"/>
        <v>4528</v>
      </c>
      <c r="H517" s="765">
        <f t="shared" si="1477"/>
        <v>192.34281879080595</v>
      </c>
      <c r="I517" s="644">
        <f>IFERROR(VLOOKUP(C517,[2]List1!$A:$D,4,FALSE),"NEUVEDENO!")</f>
        <v>1</v>
      </c>
      <c r="J517" s="733" t="s">
        <v>113</v>
      </c>
      <c r="K517" s="645" t="s">
        <v>20</v>
      </c>
      <c r="L517" s="645" t="s">
        <v>20</v>
      </c>
      <c r="M517" s="645" t="s">
        <v>114</v>
      </c>
      <c r="N517" s="645">
        <f>IFERROR(VLOOKUP(C517,[3]List1!$A:$D,4,FALSE),"N/A!")</f>
        <v>5.3881874999999996E-2</v>
      </c>
      <c r="O517" s="645">
        <f>IFERROR(VLOOKUP(C517,[3]List1!$A:$D,3,FALSE),"N/A!")</f>
        <v>3988</v>
      </c>
      <c r="P517" s="645">
        <f>IFERROR(VLOOKUP(C517,[3]List1!$A:$D,2,FALSE),"N/A!")</f>
        <v>24500</v>
      </c>
      <c r="Q517" s="645" t="s">
        <v>11252</v>
      </c>
      <c r="R517" s="645"/>
      <c r="S517" s="645" t="str">
        <f>IF($W$17=$AF$1,"červená fólie",IFERROR(VLOOKUP("červená fólie",Jazyky_ceník!$A:$Q,MATCH($W$17,Jazyky_ceník!$A$1:$Q$1,0),FALSE),"!!!"))</f>
        <v>červená fólie</v>
      </c>
      <c r="T517" s="645">
        <v>200</v>
      </c>
      <c r="U517" s="645">
        <v>25</v>
      </c>
      <c r="V517" s="645">
        <v>16</v>
      </c>
      <c r="W517" s="645" t="str">
        <f>IFERROR(IF(AND($AB517&gt;=0.1*$AA517,MOD($AB517,$AA517)&gt;=($AA517-(0.1*$AA517))),IF($W$17=$AF$1,"Zvažte možnost doobjednání ještě "&amp;Tabulka1[[#This Row],[VKPAL]]-MOD(AB517,AA517)&amp;" VK do plné palety.",VLOOKUP("Zvažte možnost doobjednání ještě ",Jazyky_ceník!A:Q,MATCH($W$17,Jazyky_ceník!$A$1:$Q$1,0),FALSE)&amp;Tabulka1[[#This Row],[VKPAL]]-MOD(AB517,AA517)&amp;VLOOKUP(" VK do plné palety.",Jazyky_ceník!A:Q,MATCH($W$17,Jazyky_ceník!$A$1:$Q$1,0),FALSE)),IFERROR(IF(AND(NOT(MOD($AB517,$AA517)=0),$AB517&gt;=0.9*$AA517,MOD($AB517,$AA517)&lt;=0.1*$AA517),IF($W$17=$AF$1,"Zvažte možnost optimalizace objednaného množství podle počtu VK na paletě ==&gt;",VLOOKUP("Zvažte možnost optimalizace objednaného množství podle počtu VK na paletě ==&gt;",Jazyky_ceník!A:Q,MATCH($W$17,Jazyky_ceník!$A$1:$Q$1,0),FALSE)),VLOOKUP('General price list'!$C517,Popisy!A:M,MATCH($W$17,Popisy!$A$7:$M$7,0),FALSE)),"---------------")),IFERROR(VLOOKUP('General price list'!$C517,Popisy!A:M,MATCH($W$17,Popisy!$A$7:$M$7,0),FALSE),"---------------"))</f>
        <v>52 různobarevných efektů</v>
      </c>
      <c r="X517" s="645" t="str">
        <f t="shared" si="1478"/>
        <v/>
      </c>
      <c r="Y517" s="645" t="str">
        <f t="shared" si="1479"/>
        <v/>
      </c>
      <c r="Z517" s="645" t="str">
        <f>HYPERLINK("https://www.klasekpyrotechnics.cz/c52020f-c")</f>
        <v>https://www.klasekpyrotechnics.cz/c52020f-c</v>
      </c>
      <c r="AA517" s="645">
        <f>IFERROR(IF(VLOOKUP(C517,[4]List1!$A:$D,4,FALSE)=0,"",VLOOKUP(C517,[4]List1!$A:$D,4,FALSE)),"")</f>
        <v>24</v>
      </c>
      <c r="AB517" s="646"/>
      <c r="AC517" s="647" t="str">
        <f>IFERROR(IF(VLOOKUP(C517,[1]List1!$A:$D,2,FALSE)="VYPRODÁNO",$V$9,IF(VLOOKUP(C517,[1]List1!$A:$D,2,FALSE)="DOCHÁZÍ",$V$3,VLOOKUP(C517,[1]List1!$A:$D,2,FALSE))),"OFFLINE!")</f>
        <v>DOCHÁZÍ</v>
      </c>
      <c r="AD517" s="647" t="str">
        <f ca="1">IF(AP517="NE",$V$10,IF(AC517=$V$3,IF(AQ517&lt;1,$V$8,$V$2&amp;" "&amp;AQ517&amp;" "&amp;$V$1),IF(AC517="SKLADEM",$V$6,IFERROR(IF(OR(AC517-TODAY()&gt;45,VLOOKUP(C517,[1]List1!$A:$E,4,FALSE)=0),AC517,DAY(AC517)&amp;"."&amp;MONTH(AC517)&amp;"."&amp;YEAR(AC517)&amp;" "&amp;$V$4&amp;VLOOKUP(C517,[1]List1!$A:$E,4,FALSE)&amp;" "&amp;$V$1),AC517))))</f>
        <v>POSLEDNÍCH 59 VK</v>
      </c>
      <c r="AE517" s="645" t="str">
        <f t="shared" ca="1" si="1480"/>
        <v>POSLEDNÍCH 59 VK</v>
      </c>
      <c r="AF517" s="648">
        <f t="shared" si="1481"/>
        <v>0</v>
      </c>
      <c r="AG517" s="649">
        <f t="shared" si="1482"/>
        <v>0</v>
      </c>
      <c r="AH517" s="650">
        <f t="shared" si="1483"/>
        <v>0</v>
      </c>
      <c r="AI517" s="645">
        <f t="shared" si="1484"/>
        <v>0</v>
      </c>
      <c r="AJ517" s="645">
        <f t="shared" si="1485"/>
        <v>0</v>
      </c>
      <c r="AK517" s="645" t="str">
        <f t="shared" si="1486"/>
        <v/>
      </c>
      <c r="AL517" s="645">
        <f t="shared" si="1487"/>
        <v>0</v>
      </c>
      <c r="AM517" s="645" t="str">
        <f t="shared" si="1488"/>
        <v/>
      </c>
      <c r="AN517" s="651">
        <f t="shared" si="1489"/>
        <v>0</v>
      </c>
      <c r="AO517" s="623"/>
      <c r="AP517" s="632" t="str">
        <f t="shared" si="1468"/>
        <v/>
      </c>
      <c r="AQ517" s="633">
        <f>IF(AC517=$V$3,IF(VLOOKUP(C517,[1]List1!$A:$E,5,FALSE)=0,1,VLOOKUP(C517,[1]List1!$A:$E,5,FALSE)),"")</f>
        <v>59</v>
      </c>
      <c r="AR517" s="625" t="str">
        <f t="shared" si="1469"/>
        <v/>
      </c>
      <c r="AS517" s="634" t="str">
        <f t="shared" si="1470"/>
        <v/>
      </c>
      <c r="AT517" s="625" t="str">
        <f t="shared" si="1471"/>
        <v/>
      </c>
      <c r="AU517" s="638" t="e">
        <f t="shared" si="1472"/>
        <v>#N/A</v>
      </c>
      <c r="AV517" s="625" t="e">
        <f t="shared" si="1473"/>
        <v>#N/A</v>
      </c>
      <c r="AX517" s="625">
        <f>IF(AND('General price list'!$J517="F4",'General price list'!$AB517+0&gt;0),1,0)</f>
        <v>0</v>
      </c>
      <c r="AY517" s="625">
        <f t="shared" si="1474"/>
        <v>1</v>
      </c>
      <c r="AZ517" s="625">
        <f t="shared" si="1475"/>
        <v>0</v>
      </c>
    </row>
    <row r="518" spans="1:52" ht="15.75" customHeight="1">
      <c r="A518" s="621" t="str">
        <f>Kat.!C518</f>
        <v/>
      </c>
      <c r="B518" s="566">
        <f>IF(AND('General price list'!$J518="F4",$AI$1=FALSE),0,IF(AC518="SKLADEM",1,IF(AC518=$V$3,1,0)))</f>
        <v>1</v>
      </c>
      <c r="C518" s="567" t="s">
        <v>1130</v>
      </c>
      <c r="D518" s="568" t="s">
        <v>11213</v>
      </c>
      <c r="E518" s="763" t="s">
        <v>12663</v>
      </c>
      <c r="F518" s="772">
        <f>IFERROR(VLOOKUP(C518,[2]List1!$A:$D,3,FALSE),"NEUVEDENO!")</f>
        <v>6184</v>
      </c>
      <c r="G518" s="769">
        <f t="shared" si="1476"/>
        <v>6184</v>
      </c>
      <c r="H518" s="766">
        <f t="shared" si="1477"/>
        <v>262.68727725316785</v>
      </c>
      <c r="I518" s="764">
        <f>IFERROR(VLOOKUP(C518,[2]List1!$A:$D,4,FALSE),"NEUVEDENO!")</f>
        <v>1</v>
      </c>
      <c r="J518" s="732" t="s">
        <v>113</v>
      </c>
      <c r="K518" s="569" t="s">
        <v>20</v>
      </c>
      <c r="L518" s="569" t="s">
        <v>20</v>
      </c>
      <c r="M518" s="569" t="s">
        <v>114</v>
      </c>
      <c r="N518" s="569">
        <f>IFERROR(VLOOKUP(C518,[3]List1!$A:$D,4,FALSE),"N/A!")</f>
        <v>9.2960000000000001E-2</v>
      </c>
      <c r="O518" s="569">
        <f>IFERROR(VLOOKUP(C518,[3]List1!$A:$D,3,FALSE),"N/A!")</f>
        <v>3996</v>
      </c>
      <c r="P518" s="569">
        <f>IFERROR(VLOOKUP(C518,[3]List1!$A:$D,2,FALSE),"N/A!")</f>
        <v>28900</v>
      </c>
      <c r="Q518" s="569" t="s">
        <v>11301</v>
      </c>
      <c r="R518" s="569"/>
      <c r="S518" s="569" t="str">
        <f>IF($W$17=$AF$1,"červená fólie",IFERROR(VLOOKUP("červená fólie",Jazyky_ceník!$A:$Q,MATCH($W$17,Jazyky_ceník!$A$1:$Q$1,0),FALSE),"!!!"))</f>
        <v>červená fólie</v>
      </c>
      <c r="T518" s="569">
        <v>240</v>
      </c>
      <c r="U518" s="569">
        <v>25</v>
      </c>
      <c r="V518" s="569">
        <v>16</v>
      </c>
      <c r="W518" s="569" t="str">
        <f>IFERROR(IF(AND($AB518&gt;=0.1*$AA518,MOD($AB518,$AA518)&gt;=($AA518-(0.1*$AA518))),IF($W$17=$AF$1,"Zvažte možnost doobjednání ještě "&amp;Tabulka1[[#This Row],[VKPAL]]-MOD(AB518,AA518)&amp;" VK do plné palety.",VLOOKUP("Zvažte možnost doobjednání ještě ",Jazyky_ceník!A:Q,MATCH($W$17,Jazyky_ceník!$A$1:$Q$1,0),FALSE)&amp;Tabulka1[[#This Row],[VKPAL]]-MOD(AB518,AA518)&amp;VLOOKUP(" VK do plné palety.",Jazyky_ceník!A:Q,MATCH($W$17,Jazyky_ceník!$A$1:$Q$1,0),FALSE)),IFERROR(IF(AND(NOT(MOD($AB518,$AA518)=0),$AB518&gt;=0.9*$AA518,MOD($AB518,$AA518)&lt;=0.1*$AA518),IF($W$17=$AF$1,"Zvažte možnost optimalizace objednaného množství podle počtu VK na paletě ==&gt;",VLOOKUP("Zvažte možnost optimalizace objednaného množství podle počtu VK na paletě ==&gt;",Jazyky_ceník!A:Q,MATCH($W$17,Jazyky_ceník!$A$1:$Q$1,0),FALSE)),VLOOKUP('General price list'!$C518,Popisy!A:M,MATCH($W$17,Popisy!$A$7:$M$7,0),FALSE)),"---------------")),IFERROR(VLOOKUP('General price list'!$C518,Popisy!A:M,MATCH($W$17,Popisy!$A$7:$M$7,0),FALSE),"---------------"))</f>
        <v>32 různobarevných efektů</v>
      </c>
      <c r="X518" s="569" t="str">
        <f t="shared" si="1478"/>
        <v/>
      </c>
      <c r="Y518" s="569" t="str">
        <f t="shared" si="1479"/>
        <v/>
      </c>
      <c r="Z518" s="569" t="str">
        <f>HYPERLINK("https://www.klasekpyrotechnics.cz/c53620f-c")</f>
        <v>https://www.klasekpyrotechnics.cz/c53620f-c</v>
      </c>
      <c r="AA518" s="569" t="str">
        <f>IFERROR(IF(VLOOKUP(C518,[4]List1!$A:$D,4,FALSE)=0,"",VLOOKUP(C518,[4]List1!$A:$D,4,FALSE)),"")</f>
        <v>20</v>
      </c>
      <c r="AB518" s="565"/>
      <c r="AC518" s="570" t="str">
        <f>IFERROR(IF(VLOOKUP(C518,[1]List1!$A:$D,2,FALSE)="VYPRODÁNO",$V$9,IF(VLOOKUP(C518,[1]List1!$A:$D,2,FALSE)="DOCHÁZÍ",$V$3,VLOOKUP(C518,[1]List1!$A:$D,2,FALSE))),"OFFLINE!")</f>
        <v>SKLADEM</v>
      </c>
      <c r="AD518" s="570" t="str">
        <f ca="1">IF(AP518="NE",$V$10,IF(AC518=$V$3,IF(AQ518&lt;1,$V$8,$V$2&amp;" "&amp;AQ518&amp;" "&amp;$V$1),IF(AC518="SKLADEM",$V$6,IFERROR(IF(OR(AC518-TODAY()&gt;45,VLOOKUP(C518,[1]List1!$A:$E,4,FALSE)=0),AC518,DAY(AC518)&amp;"."&amp;MONTH(AC518)&amp;"."&amp;YEAR(AC518)&amp;" "&amp;$V$4&amp;VLOOKUP(C518,[1]List1!$A:$E,4,FALSE)&amp;" "&amp;$V$1),AC518))))</f>
        <v>SKLADEM</v>
      </c>
      <c r="AE518" s="581" t="str">
        <f t="shared" ca="1" si="1480"/>
        <v>SKLADEM</v>
      </c>
      <c r="AF518" s="584">
        <f t="shared" si="1481"/>
        <v>0</v>
      </c>
      <c r="AG518" s="585">
        <f t="shared" si="1482"/>
        <v>0</v>
      </c>
      <c r="AH518" s="583">
        <f t="shared" si="1483"/>
        <v>0</v>
      </c>
      <c r="AI518" s="582">
        <f t="shared" si="1484"/>
        <v>0</v>
      </c>
      <c r="AJ518" s="569">
        <f t="shared" si="1485"/>
        <v>0</v>
      </c>
      <c r="AK518" s="569" t="str">
        <f t="shared" si="1486"/>
        <v/>
      </c>
      <c r="AL518" s="569">
        <f t="shared" si="1487"/>
        <v>0</v>
      </c>
      <c r="AM518" s="569" t="str">
        <f t="shared" si="1488"/>
        <v/>
      </c>
      <c r="AN518" s="581">
        <f t="shared" si="1489"/>
        <v>0</v>
      </c>
      <c r="AO518" s="623"/>
      <c r="AP518" s="625" t="str">
        <f t="shared" si="1468"/>
        <v/>
      </c>
      <c r="AQ518" s="625" t="str">
        <f>IF(AC518=$V$3,IF(VLOOKUP(C518,[1]List1!$A:$E,5,FALSE)=0,1,VLOOKUP(C518,[1]List1!$A:$E,5,FALSE)),"")</f>
        <v/>
      </c>
      <c r="AR518" s="629" t="str">
        <f t="shared" si="1469"/>
        <v/>
      </c>
      <c r="AS518" s="630" t="str">
        <f t="shared" si="1470"/>
        <v/>
      </c>
      <c r="AT518" s="625" t="str">
        <f t="shared" si="1471"/>
        <v/>
      </c>
      <c r="AU518" s="625" t="e">
        <f t="shared" si="1472"/>
        <v>#N/A</v>
      </c>
      <c r="AV518" s="625" t="e">
        <f t="shared" si="1473"/>
        <v>#N/A</v>
      </c>
      <c r="AW518" s="631"/>
      <c r="AX518" s="631">
        <f>IF(AND('General price list'!$J518="F4",'General price list'!$AB518+0&gt;0),1,0)</f>
        <v>0</v>
      </c>
      <c r="AY518" s="631">
        <f t="shared" si="1474"/>
        <v>1</v>
      </c>
      <c r="AZ518" s="631">
        <f t="shared" si="1475"/>
        <v>0</v>
      </c>
    </row>
    <row r="519" spans="1:52" ht="15" customHeight="1">
      <c r="A519" s="639" t="str">
        <f>Kat.!C519</f>
        <v/>
      </c>
      <c r="B519" s="640">
        <f>IF(AND('General price list'!$J519="F4",$AI$1=FALSE),0,IF(AC519="SKLADEM",1,IF(AC519=$V$3,1,0)))</f>
        <v>1</v>
      </c>
      <c r="C519" s="641" t="s">
        <v>10493</v>
      </c>
      <c r="D519" s="642" t="s">
        <v>10494</v>
      </c>
      <c r="E519" s="643" t="s">
        <v>12663</v>
      </c>
      <c r="F519" s="773">
        <f>IFERROR(VLOOKUP(C519,[2]List1!$A:$D,3,FALSE),"NEUVEDENO!")</f>
        <v>6339</v>
      </c>
      <c r="G519" s="770">
        <f t="shared" si="1476"/>
        <v>6339</v>
      </c>
      <c r="H519" s="767">
        <f t="shared" si="1477"/>
        <v>269.27145059958457</v>
      </c>
      <c r="I519" s="644">
        <f>IFERROR(VLOOKUP(C519,[2]List1!$A:$D,4,FALSE),"NEUVEDENO!")</f>
        <v>1</v>
      </c>
      <c r="J519" s="733" t="s">
        <v>113</v>
      </c>
      <c r="K519" s="645" t="s">
        <v>20</v>
      </c>
      <c r="L519" s="645" t="s">
        <v>20</v>
      </c>
      <c r="M519" s="645" t="s">
        <v>114</v>
      </c>
      <c r="N519" s="645">
        <f>IFERROR(VLOOKUP(C519,[3]List1!$A:$D,4,FALSE),"N/A!")</f>
        <v>6.8773500000000001E-2</v>
      </c>
      <c r="O519" s="645">
        <f>IFERROR(VLOOKUP(C519,[3]List1!$A:$D,3,FALSE),"N/A!")</f>
        <v>3000</v>
      </c>
      <c r="P519" s="645">
        <f>IFERROR(VLOOKUP(C519,[3]List1!$A:$D,2,FALSE),"N/A!")</f>
        <v>30000</v>
      </c>
      <c r="Q519" s="645" t="s">
        <v>12093</v>
      </c>
      <c r="R519" s="645"/>
      <c r="S519" s="645" t="str">
        <f>IF($W$17=$AF$1,"červená fólie",IFERROR(VLOOKUP("červená fólie",Jazyky_ceník!$A:$Q,MATCH($W$17,Jazyky_ceník!$A$1:$Q$1,0),FALSE),"!!!"))</f>
        <v>červená fólie</v>
      </c>
      <c r="T519" s="645">
        <v>180</v>
      </c>
      <c r="U519" s="645">
        <v>25</v>
      </c>
      <c r="V519" s="645">
        <v>16</v>
      </c>
      <c r="W519" s="645" t="str">
        <f>IFERROR(IF(AND($AB519&gt;=0.1*$AA519,MOD($AB519,$AA519)&gt;=($AA519-(0.1*$AA519))),IF($W$17=$AF$1,"Zvažte možnost doobjednání ještě "&amp;Tabulka1[[#This Row],[VKPAL]]-MOD(AB519,AA519)&amp;" VK do plné palety.",VLOOKUP("Zvažte možnost doobjednání ještě ",Jazyky_ceník!A:Q,MATCH($W$17,Jazyky_ceník!$A$1:$Q$1,0),FALSE)&amp;Tabulka1[[#This Row],[VKPAL]]-MOD(AB519,AA519)&amp;VLOOKUP(" VK do plné palety.",Jazyky_ceník!A:Q,MATCH($W$17,Jazyky_ceník!$A$1:$Q$1,0),FALSE)),IFERROR(IF(AND(NOT(MOD($AB519,$AA519)=0),$AB519&gt;=0.9*$AA519,MOD($AB519,$AA519)&lt;=0.1*$AA519),IF($W$17=$AF$1,"Zvažte možnost optimalizace objednaného množství podle počtu VK na paletě ==&gt;",VLOOKUP("Zvažte možnost optimalizace objednaného množství podle počtu VK na paletě ==&gt;",Jazyky_ceník!A:Q,MATCH($W$17,Jazyky_ceník!$A$1:$Q$1,0),FALSE)),VLOOKUP('General price list'!$C519,Popisy!A:M,MATCH($W$17,Popisy!$A$7:$M$7,0),FALSE)),"---------------")),IFERROR(VLOOKUP('General price list'!$C519,Popisy!A:M,MATCH($W$17,Popisy!$A$7:$M$7,0),FALSE),"---------------"))</f>
        <v>60 různobarevných efektů</v>
      </c>
      <c r="X519" s="645" t="str">
        <f t="shared" si="1478"/>
        <v/>
      </c>
      <c r="Y519" s="645" t="str">
        <f t="shared" si="1479"/>
        <v/>
      </c>
      <c r="Z519" s="645" t="str">
        <f>HYPERLINK("https://www.klasekpyrotechnics.cz/c60020xpr-c")</f>
        <v>https://www.klasekpyrotechnics.cz/c60020xpr-c</v>
      </c>
      <c r="AA519" s="645">
        <f>IFERROR(IF(VLOOKUP(C519,[4]List1!$A:$D,4,FALSE)=0,"",VLOOKUP(C519,[4]List1!$A:$D,4,FALSE)),"")</f>
        <v>14</v>
      </c>
      <c r="AB519" s="646"/>
      <c r="AC519" s="647" t="str">
        <f>IFERROR(IF(VLOOKUP(C519,[1]List1!$A:$D,2,FALSE)="VYPRODÁNO",$V$9,IF(VLOOKUP(C519,[1]List1!$A:$D,2,FALSE)="DOCHÁZÍ",$V$3,VLOOKUP(C519,[1]List1!$A:$D,2,FALSE))),"OFFLINE!")</f>
        <v>SKLADEM</v>
      </c>
      <c r="AD519" s="647" t="str">
        <f ca="1">IF(AP519="NE",$V$10,IF(AC519=$V$3,IF(AQ519&lt;1,$V$8,$V$2&amp;" "&amp;AQ519&amp;" "&amp;$V$1),IF(AC519="SKLADEM",$V$6,IFERROR(IF(OR(AC519-TODAY()&gt;45,VLOOKUP(C519,[1]List1!$A:$E,4,FALSE)=0),AC519,DAY(AC519)&amp;"."&amp;MONTH(AC519)&amp;"."&amp;YEAR(AC519)&amp;" "&amp;$V$4&amp;VLOOKUP(C519,[1]List1!$A:$E,4,FALSE)&amp;" "&amp;$V$1),AC519))))</f>
        <v>SKLADEM</v>
      </c>
      <c r="AE519" s="645" t="str">
        <f t="shared" ca="1" si="1480"/>
        <v>SKLADEM</v>
      </c>
      <c r="AF519" s="648">
        <f t="shared" si="1481"/>
        <v>0</v>
      </c>
      <c r="AG519" s="649">
        <f t="shared" si="1482"/>
        <v>0</v>
      </c>
      <c r="AH519" s="650">
        <f t="shared" si="1483"/>
        <v>0</v>
      </c>
      <c r="AI519" s="645">
        <f t="shared" si="1484"/>
        <v>0</v>
      </c>
      <c r="AJ519" s="645">
        <f t="shared" si="1485"/>
        <v>0</v>
      </c>
      <c r="AK519" s="645" t="str">
        <f t="shared" si="1486"/>
        <v/>
      </c>
      <c r="AL519" s="645">
        <f t="shared" si="1487"/>
        <v>0</v>
      </c>
      <c r="AM519" s="645" t="str">
        <f t="shared" si="1488"/>
        <v/>
      </c>
      <c r="AN519" s="651">
        <f t="shared" si="1489"/>
        <v>0</v>
      </c>
      <c r="AO519" s="623"/>
      <c r="AP519" s="632" t="str">
        <f t="shared" si="1468"/>
        <v/>
      </c>
      <c r="AQ519" s="633" t="str">
        <f>IF(AC519=$V$3,IF(VLOOKUP(C519,[1]List1!$A:$E,5,FALSE)=0,1,VLOOKUP(C519,[1]List1!$A:$E,5,FALSE)),"")</f>
        <v/>
      </c>
      <c r="AR519" s="625" t="str">
        <f t="shared" si="1469"/>
        <v/>
      </c>
      <c r="AS519" s="634" t="str">
        <f t="shared" si="1470"/>
        <v/>
      </c>
      <c r="AT519" s="625" t="str">
        <f t="shared" si="1471"/>
        <v/>
      </c>
      <c r="AU519" s="638" t="e">
        <f t="shared" si="1472"/>
        <v>#N/A</v>
      </c>
      <c r="AV519" s="625" t="e">
        <f t="shared" si="1473"/>
        <v>#N/A</v>
      </c>
      <c r="AX519" s="625">
        <f>IF(AND('General price list'!$J519="F4",'General price list'!$AB519+0&gt;0),1,0)</f>
        <v>0</v>
      </c>
      <c r="AY519" s="625">
        <f t="shared" si="1474"/>
        <v>1</v>
      </c>
      <c r="AZ519" s="625">
        <f t="shared" si="1475"/>
        <v>0</v>
      </c>
    </row>
    <row r="520" spans="1:52" ht="15" customHeight="1">
      <c r="A520" s="751" t="str">
        <f>Kat.!C520</f>
        <v xml:space="preserve">           Baterie 16 ran, 25 mm moždíř – 1.3G</v>
      </c>
      <c r="B520" s="751"/>
      <c r="C520" s="751"/>
      <c r="D520" s="751"/>
      <c r="E520" s="751"/>
      <c r="F520" s="751"/>
      <c r="G520" s="751"/>
      <c r="H520" s="751"/>
      <c r="I520" s="752"/>
      <c r="J520" s="752"/>
      <c r="K520" s="752" t="s">
        <v>20</v>
      </c>
      <c r="L520" s="753" t="s">
        <v>2818</v>
      </c>
      <c r="M520" s="752"/>
      <c r="N520" s="752"/>
      <c r="O520" s="752"/>
      <c r="P520" s="752"/>
      <c r="Q520" s="752"/>
      <c r="R520" s="752"/>
      <c r="S520" s="752"/>
      <c r="T520" s="752"/>
      <c r="U520" s="752"/>
      <c r="V520" s="752"/>
      <c r="W520" s="752"/>
      <c r="X520" s="752"/>
      <c r="Y520" s="752"/>
      <c r="Z520" s="752" t="s">
        <v>20</v>
      </c>
      <c r="AA520" s="752"/>
      <c r="AB520" s="752"/>
      <c r="AC520" s="754"/>
      <c r="AD520" s="752"/>
      <c r="AE520" s="752"/>
      <c r="AF520" s="752"/>
      <c r="AG520" s="752"/>
      <c r="AH520" s="752"/>
      <c r="AI520" s="752"/>
      <c r="AJ520" s="752"/>
      <c r="AK520" s="752"/>
      <c r="AL520" s="752"/>
      <c r="AM520" s="752"/>
      <c r="AN520" s="752"/>
      <c r="AO520" s="623"/>
      <c r="AP520" s="632" t="str">
        <f t="shared" si="1468"/>
        <v/>
      </c>
      <c r="AQ520" s="633" t="str">
        <f>IF(AC520=$V$3,IF(VLOOKUP(C520,[1]List1!$A:$E,5,FALSE)=0,1,VLOOKUP(C520,[1]List1!$A:$E,5,FALSE)),"")</f>
        <v/>
      </c>
      <c r="AR520" s="625" t="str">
        <f t="shared" si="1469"/>
        <v/>
      </c>
      <c r="AS520" s="634" t="str">
        <f t="shared" si="1470"/>
        <v/>
      </c>
      <c r="AT520" s="625" t="str">
        <f t="shared" si="1471"/>
        <v/>
      </c>
      <c r="AU520" s="638" t="e">
        <f t="shared" si="1472"/>
        <v>#N/A</v>
      </c>
      <c r="AV520" s="625" t="e">
        <f t="shared" si="1473"/>
        <v>#N/A</v>
      </c>
      <c r="AX520" s="625">
        <f>IF(AND('General price list'!$J520="F4",'General price list'!$AB520+0&gt;0),1,0)</f>
        <v>0</v>
      </c>
      <c r="AY520" s="625">
        <f t="shared" si="1474"/>
        <v>0</v>
      </c>
      <c r="AZ520" s="625">
        <f t="shared" si="1475"/>
        <v>0</v>
      </c>
    </row>
    <row r="521" spans="1:52" ht="15" customHeight="1">
      <c r="A521" s="639" t="str">
        <f>Kat.!C521</f>
        <v/>
      </c>
      <c r="B521" s="640">
        <f>IF(AND('General price list'!$J521="F4",$AI$1=FALSE),0,IF(AC521="SKLADEM",1,IF(AC521=$V$3,1,0)))</f>
        <v>1</v>
      </c>
      <c r="C521" s="641" t="s">
        <v>1132</v>
      </c>
      <c r="D521" s="642" t="s">
        <v>1133</v>
      </c>
      <c r="E521" s="643" t="s">
        <v>12675</v>
      </c>
      <c r="F521" s="791">
        <f>IFERROR(VLOOKUP(C521,[2]List1!$A:$D,3,FALSE),"NEUVEDENO!")</f>
        <v>208</v>
      </c>
      <c r="G521" s="768">
        <f t="shared" ref="G521:G524" si="1490">IF($W$17=$AF$8,ROUND((F521)/$F$17,2),(F521)*$B$19)</f>
        <v>208</v>
      </c>
      <c r="H521" s="765">
        <f t="shared" ref="H521:H524" si="1491">IF($W$17=$AF$8,G521*$B$19,G521/$F$17)</f>
        <v>8.8355358455140536</v>
      </c>
      <c r="I521" s="644">
        <f>IFERROR(VLOOKUP(C521,[2]List1!$A:$D,4,FALSE),"NEUVEDENO!")</f>
        <v>12</v>
      </c>
      <c r="J521" s="733" t="s">
        <v>39</v>
      </c>
      <c r="K521" s="645" t="s">
        <v>11100</v>
      </c>
      <c r="L521" s="645" t="s">
        <v>10988</v>
      </c>
      <c r="M521" s="645" t="s">
        <v>114</v>
      </c>
      <c r="N521" s="645">
        <f>IFERROR(VLOOKUP(C521,[3]List1!$A:$D,4,FALSE),"N/A!")</f>
        <v>3.2863999999999997E-2</v>
      </c>
      <c r="O521" s="645">
        <f>IFERROR(VLOOKUP(C521,[3]List1!$A:$D,3,FALSE),"N/A!")</f>
        <v>2496</v>
      </c>
      <c r="P521" s="645">
        <f>IFERROR(VLOOKUP(C521,[3]List1!$A:$D,2,FALSE),"N/A!")</f>
        <v>15000</v>
      </c>
      <c r="Q521" s="645" t="s">
        <v>11238</v>
      </c>
      <c r="R521" s="645"/>
      <c r="S521" s="645" t="str">
        <f>IF($W$17=$AF$1,"design",IFERROR(VLOOKUP("design",Jazyky_ceník!$A:$Q,MATCH($W$17,Jazyky_ceník!$A$1:$Q$1,0),FALSE),"!!!"))</f>
        <v>design</v>
      </c>
      <c r="T521" s="645">
        <v>25</v>
      </c>
      <c r="U521" s="645">
        <v>30</v>
      </c>
      <c r="V521" s="645">
        <v>22</v>
      </c>
      <c r="W521" s="645" t="str">
        <f>IFERROR(IF(AND($AB521&gt;=0.1*$AA521,MOD($AB521,$AA521)&gt;=($AA521-(0.1*$AA521))),IF($W$17=$AF$1,"Zvažte možnost doobjednání ještě "&amp;Tabulka1[[#This Row],[VKPAL]]-MOD(AB521,AA521)&amp;" VK do plné palety.",VLOOKUP("Zvažte možnost doobjednání ještě ",Jazyky_ceník!A:Q,MATCH($W$17,Jazyky_ceník!$A$1:$Q$1,0),FALSE)&amp;Tabulka1[[#This Row],[VKPAL]]-MOD(AB521,AA521)&amp;VLOOKUP(" VK do plné palety.",Jazyky_ceník!A:Q,MATCH($W$17,Jazyky_ceník!$A$1:$Q$1,0),FALSE)),IFERROR(IF(AND(NOT(MOD($AB521,$AA521)=0),$AB521&gt;=0.9*$AA521,MOD($AB521,$AA521)&lt;=0.1*$AA521),IF($W$17=$AF$1,"Zvažte možnost optimalizace objednaného množství podle počtu VK na paletě ==&gt;",VLOOKUP("Zvažte možnost optimalizace objednaného množství podle počtu VK na paletě ==&gt;",Jazyky_ceník!A:Q,MATCH($W$17,Jazyky_ceník!$A$1:$Q$1,0),FALSE)),VLOOKUP('General price list'!$C521,Popisy!A:M,MATCH($W$17,Popisy!$A$7:$M$7,0),FALSE)),"---------------")),IFERROR(VLOOKUP('General price list'!$C521,Popisy!A:M,MATCH($W$17,Popisy!$A$7:$M$7,0),FALSE),"---------------"))</f>
        <v>4 různobarevné efekty</v>
      </c>
      <c r="X521" s="645" t="str">
        <f t="shared" ref="X521:X524" si="1492">IF(AB521&lt;0.0001,"",AB521)</f>
        <v/>
      </c>
      <c r="Y521" s="645" t="str">
        <f t="shared" ref="Y521:Y524" si="1493">IF($AL$3=2,IF(OR(AB521&lt;&gt;"",AB521&lt;&gt;0),AU521,""),IF(C521="","",IF(AB521&lt;0.0001,"",IF(B521=0,"",IF(AQ521&lt;AB521,"",AB521)))))</f>
        <v/>
      </c>
      <c r="Z521" s="645" t="str">
        <f>HYPERLINK("https://www.klasekpyrotechnics.cz/c1625b")</f>
        <v>https://www.klasekpyrotechnics.cz/c1625b</v>
      </c>
      <c r="AA521" s="645">
        <f>IFERROR(IF(VLOOKUP(C521,[4]List1!$A:$D,4,FALSE)=0,"",VLOOKUP(C521,[4]List1!$A:$D,4,FALSE)),"")</f>
        <v>45</v>
      </c>
      <c r="AB521" s="646"/>
      <c r="AC521" s="647" t="str">
        <f>IFERROR(IF(VLOOKUP(C521,[1]List1!$A:$D,2,FALSE)="VYPRODÁNO",$V$9,IF(VLOOKUP(C521,[1]List1!$A:$D,2,FALSE)="DOCHÁZÍ",$V$3,VLOOKUP(C521,[1]List1!$A:$D,2,FALSE))),"OFFLINE!")</f>
        <v>SKLADEM</v>
      </c>
      <c r="AD521" s="647" t="str">
        <f ca="1">IF(AP521="NE",$V$10,IF(AC521=$V$3,IF(AQ521&lt;1,$V$8,$V$2&amp;" "&amp;AQ521&amp;" "&amp;$V$1),IF(AC521="SKLADEM",$V$6,IFERROR(IF(OR(AC521-TODAY()&gt;45,VLOOKUP(C521,[1]List1!$A:$E,4,FALSE)=0),AC521,DAY(AC521)&amp;"."&amp;MONTH(AC521)&amp;"."&amp;YEAR(AC521)&amp;" "&amp;$V$4&amp;VLOOKUP(C521,[1]List1!$A:$E,4,FALSE)&amp;" "&amp;$V$1),AC521))))</f>
        <v>SKLADEM</v>
      </c>
      <c r="AE521" s="645" t="str">
        <f t="shared" ref="AE521:AE524" ca="1" si="1494">IFERROR(IF(AV521&lt;&gt;"",AV521,AD521),AD521)</f>
        <v>SKLADEM</v>
      </c>
      <c r="AF521" s="648">
        <f t="shared" ref="AF521:AF524" si="1495">IFERROR(IF(AB521=Y521,G521*I521*Y521,0),0)</f>
        <v>0</v>
      </c>
      <c r="AG521" s="649">
        <f t="shared" ref="AG521:AG524" si="1496">IF($W$17=$AF$8,AH521*1.23,AF521*1.21)</f>
        <v>0</v>
      </c>
      <c r="AH521" s="650">
        <f t="shared" ref="AH521:AH524" si="1497">IFERROR(IF(Y521=AB521,H521*I521*Y521,0),0)</f>
        <v>0</v>
      </c>
      <c r="AI521" s="645">
        <f t="shared" ref="AI521:AI524" si="1498">IFERROR(IF(Y521=AB521,(P521*Y521)/1000,1),0)</f>
        <v>0</v>
      </c>
      <c r="AJ521" s="645">
        <f t="shared" ref="AJ521:AJ524" si="1499">IFERROR(IF(Y521=AB521,N521*Y521,0.1),0)</f>
        <v>0</v>
      </c>
      <c r="AK521" s="645" t="str">
        <f t="shared" ref="AK521:AK524" si="1500">IFERROR(IF(Y521=AB521,IF(M521="1.1G",(O521/1000)*Y521,""),""),0)</f>
        <v/>
      </c>
      <c r="AL521" s="645">
        <f t="shared" ref="AL521:AL524" si="1501">IFERROR(IF(Y521=AB521,IF(M521="1.3G",(O521/1000)*AB521,""),""),0)</f>
        <v>0</v>
      </c>
      <c r="AM521" s="645" t="str">
        <f t="shared" ref="AM521:AM524" si="1502">IFERROR(IF(Y521=AB521,IF(M521="1.4G",(O521/1000)*AB521,""),""),0)</f>
        <v/>
      </c>
      <c r="AN521" s="651">
        <f t="shared" ref="AN521:AN524" si="1503">SUM(AK521:AM521)</f>
        <v>0</v>
      </c>
      <c r="AO521" s="623"/>
      <c r="AP521" s="632" t="str">
        <f t="shared" si="1468"/>
        <v/>
      </c>
      <c r="AQ521" s="633" t="str">
        <f>IF(AC521=$V$3,IF(VLOOKUP(C521,[1]List1!$A:$E,5,FALSE)=0,1,VLOOKUP(C521,[1]List1!$A:$E,5,FALSE)),"")</f>
        <v/>
      </c>
      <c r="AR521" s="625" t="str">
        <f t="shared" si="1469"/>
        <v/>
      </c>
      <c r="AS521" s="634" t="str">
        <f t="shared" si="1470"/>
        <v/>
      </c>
      <c r="AT521" s="625" t="str">
        <f t="shared" si="1471"/>
        <v/>
      </c>
      <c r="AU521" s="638" t="e">
        <f t="shared" si="1472"/>
        <v>#N/A</v>
      </c>
      <c r="AV521" s="625" t="e">
        <f t="shared" si="1473"/>
        <v>#N/A</v>
      </c>
      <c r="AX521" s="625">
        <f>IF(AND('General price list'!$J521="F4",'General price list'!$AB521+0&gt;0),1,0)</f>
        <v>0</v>
      </c>
      <c r="AY521" s="625">
        <f t="shared" si="1474"/>
        <v>1</v>
      </c>
      <c r="AZ521" s="625">
        <f t="shared" si="1475"/>
        <v>0</v>
      </c>
    </row>
    <row r="522" spans="1:52" ht="15" customHeight="1">
      <c r="A522" s="621" t="str">
        <f>Kat.!C522</f>
        <v/>
      </c>
      <c r="B522" s="566">
        <f>IF(AND('General price list'!$J522="F4",$AI$1=FALSE),0,IF(AC522="SKLADEM",1,IF(AC522=$V$3,1,0)))</f>
        <v>1</v>
      </c>
      <c r="C522" s="567" t="s">
        <v>1134</v>
      </c>
      <c r="D522" s="568" t="s">
        <v>1135</v>
      </c>
      <c r="E522" s="763" t="s">
        <v>12675</v>
      </c>
      <c r="F522" s="791">
        <f>IFERROR(VLOOKUP(C522,[2]List1!$A:$D,3,FALSE),"NEUVEDENO!")</f>
        <v>208</v>
      </c>
      <c r="G522" s="769">
        <f t="shared" si="1490"/>
        <v>208</v>
      </c>
      <c r="H522" s="766">
        <f t="shared" si="1491"/>
        <v>8.8355358455140536</v>
      </c>
      <c r="I522" s="764">
        <f>IFERROR(VLOOKUP(C522,[2]List1!$A:$D,4,FALSE),"NEUVEDENO!")</f>
        <v>12</v>
      </c>
      <c r="J522" s="732" t="s">
        <v>39</v>
      </c>
      <c r="K522" s="569" t="s">
        <v>11100</v>
      </c>
      <c r="L522" s="569" t="s">
        <v>10988</v>
      </c>
      <c r="M522" s="569" t="s">
        <v>114</v>
      </c>
      <c r="N522" s="569">
        <f>IFERROR(VLOOKUP(C522,[3]List1!$A:$D,4,FALSE),"N/A!")</f>
        <v>3.2863999999999997E-2</v>
      </c>
      <c r="O522" s="569">
        <f>IFERROR(VLOOKUP(C522,[3]List1!$A:$D,3,FALSE),"N/A!")</f>
        <v>2496</v>
      </c>
      <c r="P522" s="569">
        <f>IFERROR(VLOOKUP(C522,[3]List1!$A:$D,2,FALSE),"N/A!")</f>
        <v>14500</v>
      </c>
      <c r="Q522" s="569" t="s">
        <v>11238</v>
      </c>
      <c r="R522" s="569"/>
      <c r="S522" s="569" t="str">
        <f>IF($W$17=$AF$1,"červená fólie",IFERROR(VLOOKUP("červená fólie",Jazyky_ceník!$A:$Q,MATCH($W$17,Jazyky_ceník!$A$1:$Q$1,0),FALSE),"!!!"))</f>
        <v>červená fólie</v>
      </c>
      <c r="T522" s="569">
        <v>25</v>
      </c>
      <c r="U522" s="569">
        <v>30</v>
      </c>
      <c r="V522" s="569">
        <v>22</v>
      </c>
      <c r="W522" s="569" t="str">
        <f>IFERROR(IF(AND($AB522&gt;=0.1*$AA522,MOD($AB522,$AA522)&gt;=($AA522-(0.1*$AA522))),IF($W$17=$AF$1,"Zvažte možnost doobjednání ještě "&amp;Tabulka1[[#This Row],[VKPAL]]-MOD(AB522,AA522)&amp;" VK do plné palety.",VLOOKUP("Zvažte možnost doobjednání ještě ",Jazyky_ceník!A:Q,MATCH($W$17,Jazyky_ceník!$A$1:$Q$1,0),FALSE)&amp;Tabulka1[[#This Row],[VKPAL]]-MOD(AB522,AA522)&amp;VLOOKUP(" VK do plné palety.",Jazyky_ceník!A:Q,MATCH($W$17,Jazyky_ceník!$A$1:$Q$1,0),FALSE)),IFERROR(IF(AND(NOT(MOD($AB522,$AA522)=0),$AB522&gt;=0.9*$AA522,MOD($AB522,$AA522)&lt;=0.1*$AA522),IF($W$17=$AF$1,"Zvažte možnost optimalizace objednaného množství podle počtu VK na paletě ==&gt;",VLOOKUP("Zvažte možnost optimalizace objednaného množství podle počtu VK na paletě ==&gt;",Jazyky_ceník!A:Q,MATCH($W$17,Jazyky_ceník!$A$1:$Q$1,0),FALSE)),VLOOKUP('General price list'!$C522,Popisy!A:M,MATCH($W$17,Popisy!$A$7:$M$7,0),FALSE)),"---------------")),IFERROR(VLOOKUP('General price list'!$C522,Popisy!A:M,MATCH($W$17,Popisy!$A$7:$M$7,0),FALSE),"---------------"))</f>
        <v>4 různobarevné efekty</v>
      </c>
      <c r="X522" s="569" t="str">
        <f t="shared" si="1492"/>
        <v/>
      </c>
      <c r="Y522" s="569" t="str">
        <f t="shared" si="1493"/>
        <v/>
      </c>
      <c r="Z522" s="569" t="str">
        <f>HYPERLINK("https://www.klasekpyrotechnics.cz/c1625d")</f>
        <v>https://www.klasekpyrotechnics.cz/c1625d</v>
      </c>
      <c r="AA522" s="569">
        <f>IFERROR(IF(VLOOKUP(C522,[4]List1!$A:$D,4,FALSE)=0,"",VLOOKUP(C522,[4]List1!$A:$D,4,FALSE)),"")</f>
        <v>45</v>
      </c>
      <c r="AB522" s="565"/>
      <c r="AC522" s="570" t="str">
        <f>IFERROR(IF(VLOOKUP(C522,[1]List1!$A:$D,2,FALSE)="VYPRODÁNO",$V$9,IF(VLOOKUP(C522,[1]List1!$A:$D,2,FALSE)="DOCHÁZÍ",$V$3,VLOOKUP(C522,[1]List1!$A:$D,2,FALSE))),"OFFLINE!")</f>
        <v>SKLADEM</v>
      </c>
      <c r="AD522" s="570" t="str">
        <f ca="1">IF(AP522="NE",$V$10,IF(AC522=$V$3,IF(AQ522&lt;1,$V$8,$V$2&amp;" "&amp;AQ522&amp;" "&amp;$V$1),IF(AC522="SKLADEM",$V$6,IFERROR(IF(OR(AC522-TODAY()&gt;45,VLOOKUP(C522,[1]List1!$A:$E,4,FALSE)=0),AC522,DAY(AC522)&amp;"."&amp;MONTH(AC522)&amp;"."&amp;YEAR(AC522)&amp;" "&amp;$V$4&amp;VLOOKUP(C522,[1]List1!$A:$E,4,FALSE)&amp;" "&amp;$V$1),AC522))))</f>
        <v>SKLADEM</v>
      </c>
      <c r="AE522" s="581" t="str">
        <f t="shared" ca="1" si="1494"/>
        <v>SKLADEM</v>
      </c>
      <c r="AF522" s="584">
        <f t="shared" si="1495"/>
        <v>0</v>
      </c>
      <c r="AG522" s="585">
        <f t="shared" si="1496"/>
        <v>0</v>
      </c>
      <c r="AH522" s="583">
        <f t="shared" si="1497"/>
        <v>0</v>
      </c>
      <c r="AI522" s="582">
        <f t="shared" si="1498"/>
        <v>0</v>
      </c>
      <c r="AJ522" s="569">
        <f t="shared" si="1499"/>
        <v>0</v>
      </c>
      <c r="AK522" s="569" t="str">
        <f t="shared" si="1500"/>
        <v/>
      </c>
      <c r="AL522" s="569">
        <f t="shared" si="1501"/>
        <v>0</v>
      </c>
      <c r="AM522" s="569" t="str">
        <f t="shared" si="1502"/>
        <v/>
      </c>
      <c r="AN522" s="581">
        <f t="shared" si="1503"/>
        <v>0</v>
      </c>
      <c r="AO522" s="623"/>
      <c r="AP522" s="632" t="str">
        <f t="shared" si="1468"/>
        <v/>
      </c>
      <c r="AQ522" s="633" t="str">
        <f>IF(AC522=$V$3,IF(VLOOKUP(C522,[1]List1!$A:$E,5,FALSE)=0,1,VLOOKUP(C522,[1]List1!$A:$E,5,FALSE)),"")</f>
        <v/>
      </c>
      <c r="AR522" s="625" t="str">
        <f t="shared" si="1469"/>
        <v/>
      </c>
      <c r="AS522" s="634" t="str">
        <f t="shared" si="1470"/>
        <v/>
      </c>
      <c r="AT522" s="625" t="str">
        <f t="shared" si="1471"/>
        <v/>
      </c>
      <c r="AU522" s="638" t="e">
        <f t="shared" si="1472"/>
        <v>#N/A</v>
      </c>
      <c r="AV522" s="625" t="e">
        <f t="shared" si="1473"/>
        <v>#N/A</v>
      </c>
      <c r="AX522" s="625">
        <f>IF(AND('General price list'!$J522="F4",'General price list'!$AB522+0&gt;0),1,0)</f>
        <v>0</v>
      </c>
      <c r="AY522" s="625">
        <f t="shared" si="1474"/>
        <v>1</v>
      </c>
      <c r="AZ522" s="625">
        <f t="shared" si="1475"/>
        <v>0</v>
      </c>
    </row>
    <row r="523" spans="1:52" ht="15.75" customHeight="1">
      <c r="A523" s="639" t="str">
        <f>Kat.!C523</f>
        <v/>
      </c>
      <c r="B523" s="640">
        <f>IF(AND('General price list'!$J523="F4",$AI$1=FALSE),0,IF(AC523="SKLADEM",1,IF(AC523=$V$3,1,0)))</f>
        <v>1</v>
      </c>
      <c r="C523" s="641" t="s">
        <v>1136</v>
      </c>
      <c r="D523" s="642" t="s">
        <v>1137</v>
      </c>
      <c r="E523" s="643" t="s">
        <v>12675</v>
      </c>
      <c r="F523" s="791">
        <f>IFERROR(VLOOKUP(C523,[2]List1!$A:$D,3,FALSE),"NEUVEDENO!")</f>
        <v>208</v>
      </c>
      <c r="G523" s="768">
        <f t="shared" si="1490"/>
        <v>208</v>
      </c>
      <c r="H523" s="765">
        <f t="shared" si="1491"/>
        <v>8.8355358455140536</v>
      </c>
      <c r="I523" s="644">
        <f>IFERROR(VLOOKUP(C523,[2]List1!$A:$D,4,FALSE),"NEUVEDENO!")</f>
        <v>12</v>
      </c>
      <c r="J523" s="733" t="s">
        <v>39</v>
      </c>
      <c r="K523" s="645" t="s">
        <v>11100</v>
      </c>
      <c r="L523" s="645" t="s">
        <v>10988</v>
      </c>
      <c r="M523" s="645" t="s">
        <v>114</v>
      </c>
      <c r="N523" s="645">
        <f>IFERROR(VLOOKUP(C523,[3]List1!$A:$D,4,FALSE),"N/A!")</f>
        <v>3.2863999999999997E-2</v>
      </c>
      <c r="O523" s="645">
        <f>IFERROR(VLOOKUP(C523,[3]List1!$A:$D,3,FALSE),"N/A!")</f>
        <v>2496</v>
      </c>
      <c r="P523" s="645">
        <f>IFERROR(VLOOKUP(C523,[3]List1!$A:$D,2,FALSE),"N/A!")</f>
        <v>15400</v>
      </c>
      <c r="Q523" s="645" t="s">
        <v>11238</v>
      </c>
      <c r="R523" s="645"/>
      <c r="S523" s="645" t="str">
        <f>IF($W$17=$AF$1,"design",IFERROR(VLOOKUP("design",Jazyky_ceník!$A:$Q,MATCH($W$17,Jazyky_ceník!$A$1:$Q$1,0),FALSE),"!!!"))</f>
        <v>design</v>
      </c>
      <c r="T523" s="645">
        <v>25</v>
      </c>
      <c r="U523" s="645">
        <v>30</v>
      </c>
      <c r="V523" s="645">
        <v>22</v>
      </c>
      <c r="W523" s="645" t="str">
        <f>IFERROR(IF(AND($AB523&gt;=0.1*$AA523,MOD($AB523,$AA523)&gt;=($AA523-(0.1*$AA523))),IF($W$17=$AF$1,"Zvažte možnost doobjednání ještě "&amp;Tabulka1[[#This Row],[VKPAL]]-MOD(AB523,AA523)&amp;" VK do plné palety.",VLOOKUP("Zvažte možnost doobjednání ještě ",Jazyky_ceník!A:Q,MATCH($W$17,Jazyky_ceník!$A$1:$Q$1,0),FALSE)&amp;Tabulka1[[#This Row],[VKPAL]]-MOD(AB523,AA523)&amp;VLOOKUP(" VK do plné palety.",Jazyky_ceník!A:Q,MATCH($W$17,Jazyky_ceník!$A$1:$Q$1,0),FALSE)),IFERROR(IF(AND(NOT(MOD($AB523,$AA523)=0),$AB523&gt;=0.9*$AA523,MOD($AB523,$AA523)&lt;=0.1*$AA523),IF($W$17=$AF$1,"Zvažte možnost optimalizace objednaného množství podle počtu VK na paletě ==&gt;",VLOOKUP("Zvažte možnost optimalizace objednaného množství podle počtu VK na paletě ==&gt;",Jazyky_ceník!A:Q,MATCH($W$17,Jazyky_ceník!$A$1:$Q$1,0),FALSE)),VLOOKUP('General price list'!$C523,Popisy!A:M,MATCH($W$17,Popisy!$A$7:$M$7,0),FALSE)),"---------------")),IFERROR(VLOOKUP('General price list'!$C523,Popisy!A:M,MATCH($W$17,Popisy!$A$7:$M$7,0),FALSE),"---------------"))</f>
        <v>4 různobarevné efekty</v>
      </c>
      <c r="X523" s="645" t="str">
        <f t="shared" si="1492"/>
        <v/>
      </c>
      <c r="Y523" s="645" t="str">
        <f t="shared" si="1493"/>
        <v/>
      </c>
      <c r="Z523" s="645" t="str">
        <f>HYPERLINK("https://www.klasekpyrotechnics.cz/c1625f")</f>
        <v>https://www.klasekpyrotechnics.cz/c1625f</v>
      </c>
      <c r="AA523" s="645">
        <f>IFERROR(IF(VLOOKUP(C523,[4]List1!$A:$D,4,FALSE)=0,"",VLOOKUP(C523,[4]List1!$A:$D,4,FALSE)),"")</f>
        <v>45</v>
      </c>
      <c r="AB523" s="646"/>
      <c r="AC523" s="647" t="str">
        <f>IFERROR(IF(VLOOKUP(C523,[1]List1!$A:$D,2,FALSE)="VYPRODÁNO",$V$9,IF(VLOOKUP(C523,[1]List1!$A:$D,2,FALSE)="DOCHÁZÍ",$V$3,VLOOKUP(C523,[1]List1!$A:$D,2,FALSE))),"OFFLINE!")</f>
        <v>SKLADEM</v>
      </c>
      <c r="AD523" s="647" t="str">
        <f ca="1">IF(AP523="NE",$V$10,IF(AC523=$V$3,IF(AQ523&lt;1,$V$8,$V$2&amp;" "&amp;AQ523&amp;" "&amp;$V$1),IF(AC523="SKLADEM",$V$6,IFERROR(IF(OR(AC523-TODAY()&gt;45,VLOOKUP(C523,[1]List1!$A:$E,4,FALSE)=0),AC523,DAY(AC523)&amp;"."&amp;MONTH(AC523)&amp;"."&amp;YEAR(AC523)&amp;" "&amp;$V$4&amp;VLOOKUP(C523,[1]List1!$A:$E,4,FALSE)&amp;" "&amp;$V$1),AC523))))</f>
        <v>SKLADEM</v>
      </c>
      <c r="AE523" s="645" t="str">
        <f t="shared" ca="1" si="1494"/>
        <v>SKLADEM</v>
      </c>
      <c r="AF523" s="648">
        <f t="shared" si="1495"/>
        <v>0</v>
      </c>
      <c r="AG523" s="649">
        <f t="shared" si="1496"/>
        <v>0</v>
      </c>
      <c r="AH523" s="650">
        <f t="shared" si="1497"/>
        <v>0</v>
      </c>
      <c r="AI523" s="645">
        <f t="shared" si="1498"/>
        <v>0</v>
      </c>
      <c r="AJ523" s="645">
        <f t="shared" si="1499"/>
        <v>0</v>
      </c>
      <c r="AK523" s="645" t="str">
        <f t="shared" si="1500"/>
        <v/>
      </c>
      <c r="AL523" s="645">
        <f t="shared" si="1501"/>
        <v>0</v>
      </c>
      <c r="AM523" s="645" t="str">
        <f t="shared" si="1502"/>
        <v/>
      </c>
      <c r="AN523" s="651">
        <f t="shared" si="1503"/>
        <v>0</v>
      </c>
      <c r="AO523" s="623"/>
      <c r="AP523" s="625" t="str">
        <f t="shared" si="1468"/>
        <v/>
      </c>
      <c r="AQ523" s="625" t="str">
        <f>IF(AC523=$V$3,IF(VLOOKUP(C523,[1]List1!$A:$E,5,FALSE)=0,1,VLOOKUP(C523,[1]List1!$A:$E,5,FALSE)),"")</f>
        <v/>
      </c>
      <c r="AR523" s="629" t="str">
        <f t="shared" si="1469"/>
        <v/>
      </c>
      <c r="AS523" s="630" t="str">
        <f t="shared" si="1470"/>
        <v/>
      </c>
      <c r="AT523" s="625" t="str">
        <f t="shared" si="1471"/>
        <v/>
      </c>
      <c r="AU523" s="625" t="e">
        <f t="shared" si="1472"/>
        <v>#N/A</v>
      </c>
      <c r="AV523" s="625" t="e">
        <f t="shared" si="1473"/>
        <v>#N/A</v>
      </c>
      <c r="AW523" s="631"/>
      <c r="AX523" s="631">
        <f>IF(AND('General price list'!$J523="F4",'General price list'!$AB523+0&gt;0),1,0)</f>
        <v>0</v>
      </c>
      <c r="AY523" s="631">
        <f t="shared" si="1474"/>
        <v>1</v>
      </c>
      <c r="AZ523" s="631">
        <f t="shared" si="1475"/>
        <v>0</v>
      </c>
    </row>
    <row r="524" spans="1:52" ht="15" customHeight="1">
      <c r="A524" s="621" t="str">
        <f>Kat.!C524</f>
        <v/>
      </c>
      <c r="B524" s="566">
        <f>IF(AND('General price list'!$J524="F4",$AI$1=FALSE),0,IF(AC524="SKLADEM",1,IF(AC524=$V$3,1,0)))</f>
        <v>1</v>
      </c>
      <c r="C524" s="567" t="s">
        <v>1138</v>
      </c>
      <c r="D524" s="568" t="s">
        <v>11885</v>
      </c>
      <c r="E524" s="763" t="s">
        <v>12675</v>
      </c>
      <c r="F524" s="791">
        <f>IFERROR(VLOOKUP(C524,[2]List1!$A:$D,3,FALSE),"NEUVEDENO!")</f>
        <v>208</v>
      </c>
      <c r="G524" s="769">
        <f t="shared" si="1490"/>
        <v>208</v>
      </c>
      <c r="H524" s="766">
        <f t="shared" si="1491"/>
        <v>8.8355358455140536</v>
      </c>
      <c r="I524" s="764">
        <f>IFERROR(VLOOKUP(C524,[2]List1!$A:$D,4,FALSE),"NEUVEDENO!")</f>
        <v>12</v>
      </c>
      <c r="J524" s="732" t="s">
        <v>39</v>
      </c>
      <c r="K524" s="569" t="s">
        <v>11100</v>
      </c>
      <c r="L524" s="569" t="s">
        <v>10988</v>
      </c>
      <c r="M524" s="569" t="s">
        <v>114</v>
      </c>
      <c r="N524" s="569">
        <f>IFERROR(VLOOKUP(C524,[3]List1!$A:$D,4,FALSE),"N/A!")</f>
        <v>3.2863999999999997E-2</v>
      </c>
      <c r="O524" s="569">
        <f>IFERROR(VLOOKUP(C524,[3]List1!$A:$D,3,FALSE),"N/A!")</f>
        <v>2496</v>
      </c>
      <c r="P524" s="569">
        <f>IFERROR(VLOOKUP(C524,[3]List1!$A:$D,2,FALSE),"N/A!")</f>
        <v>16000</v>
      </c>
      <c r="Q524" s="569" t="s">
        <v>11238</v>
      </c>
      <c r="R524" s="569"/>
      <c r="S524" s="569" t="str">
        <f>IF($W$17=$AF$1,"design",IFERROR(VLOOKUP("design",Jazyky_ceník!$A:$Q,MATCH($W$17,Jazyky_ceník!$A$1:$Q$1,0),FALSE),"!!!"))</f>
        <v>design</v>
      </c>
      <c r="T524" s="569">
        <v>25</v>
      </c>
      <c r="U524" s="569">
        <v>30</v>
      </c>
      <c r="V524" s="569">
        <v>22</v>
      </c>
      <c r="W524" s="569" t="str">
        <f>IFERROR(IF(AND($AB524&gt;=0.1*$AA524,MOD($AB524,$AA524)&gt;=($AA524-(0.1*$AA524))),IF($W$17=$AF$1,"Zvažte možnost doobjednání ještě "&amp;Tabulka1[[#This Row],[VKPAL]]-MOD(AB524,AA524)&amp;" VK do plné palety.",VLOOKUP("Zvažte možnost doobjednání ještě ",Jazyky_ceník!A:Q,MATCH($W$17,Jazyky_ceník!$A$1:$Q$1,0),FALSE)&amp;Tabulka1[[#This Row],[VKPAL]]-MOD(AB524,AA524)&amp;VLOOKUP(" VK do plné palety.",Jazyky_ceník!A:Q,MATCH($W$17,Jazyky_ceník!$A$1:$Q$1,0),FALSE)),IFERROR(IF(AND(NOT(MOD($AB524,$AA524)=0),$AB524&gt;=0.9*$AA524,MOD($AB524,$AA524)&lt;=0.1*$AA524),IF($W$17=$AF$1,"Zvažte možnost optimalizace objednaného množství podle počtu VK na paletě ==&gt;",VLOOKUP("Zvažte možnost optimalizace objednaného množství podle počtu VK na paletě ==&gt;",Jazyky_ceník!A:Q,MATCH($W$17,Jazyky_ceník!$A$1:$Q$1,0),FALSE)),VLOOKUP('General price list'!$C524,Popisy!A:M,MATCH($W$17,Popisy!$A$7:$M$7,0),FALSE)),"---------------")),IFERROR(VLOOKUP('General price list'!$C524,Popisy!A:M,MATCH($W$17,Popisy!$A$7:$M$7,0),FALSE),"---------------"))</f>
        <v>4 různobarevné efekty</v>
      </c>
      <c r="X524" s="569" t="str">
        <f t="shared" si="1492"/>
        <v/>
      </c>
      <c r="Y524" s="569" t="str">
        <f t="shared" si="1493"/>
        <v/>
      </c>
      <c r="Z524" s="569" t="str">
        <f>HYPERLINK("https://www.klasekpyrotechnics.cz/c1625g")</f>
        <v>https://www.klasekpyrotechnics.cz/c1625g</v>
      </c>
      <c r="AA524" s="569">
        <f>IFERROR(IF(VLOOKUP(C524,[4]List1!$A:$D,4,FALSE)=0,"",VLOOKUP(C524,[4]List1!$A:$D,4,FALSE)),"")</f>
        <v>45</v>
      </c>
      <c r="AB524" s="565"/>
      <c r="AC524" s="570" t="str">
        <f>IFERROR(IF(VLOOKUP(C524,[1]List1!$A:$D,2,FALSE)="VYPRODÁNO",$V$9,IF(VLOOKUP(C524,[1]List1!$A:$D,2,FALSE)="DOCHÁZÍ",$V$3,VLOOKUP(C524,[1]List1!$A:$D,2,FALSE))),"OFFLINE!")</f>
        <v>SKLADEM</v>
      </c>
      <c r="AD524" s="570" t="str">
        <f ca="1">IF(AP524="NE",$V$10,IF(AC524=$V$3,IF(AQ524&lt;1,$V$8,$V$2&amp;" "&amp;AQ524&amp;" "&amp;$V$1),IF(AC524="SKLADEM",$V$6,IFERROR(IF(OR(AC524-TODAY()&gt;45,VLOOKUP(C524,[1]List1!$A:$E,4,FALSE)=0),AC524,DAY(AC524)&amp;"."&amp;MONTH(AC524)&amp;"."&amp;YEAR(AC524)&amp;" "&amp;$V$4&amp;VLOOKUP(C524,[1]List1!$A:$E,4,FALSE)&amp;" "&amp;$V$1),AC524))))</f>
        <v>SKLADEM</v>
      </c>
      <c r="AE524" s="581" t="str">
        <f t="shared" ca="1" si="1494"/>
        <v>SKLADEM</v>
      </c>
      <c r="AF524" s="584">
        <f t="shared" si="1495"/>
        <v>0</v>
      </c>
      <c r="AG524" s="585">
        <f t="shared" si="1496"/>
        <v>0</v>
      </c>
      <c r="AH524" s="583">
        <f t="shared" si="1497"/>
        <v>0</v>
      </c>
      <c r="AI524" s="582">
        <f t="shared" si="1498"/>
        <v>0</v>
      </c>
      <c r="AJ524" s="569">
        <f t="shared" si="1499"/>
        <v>0</v>
      </c>
      <c r="AK524" s="569" t="str">
        <f t="shared" si="1500"/>
        <v/>
      </c>
      <c r="AL524" s="569">
        <f t="shared" si="1501"/>
        <v>0</v>
      </c>
      <c r="AM524" s="569" t="str">
        <f t="shared" si="1502"/>
        <v/>
      </c>
      <c r="AN524" s="581">
        <f t="shared" si="1503"/>
        <v>0</v>
      </c>
      <c r="AO524" s="623"/>
      <c r="AP524" s="632" t="str">
        <f t="shared" si="1468"/>
        <v/>
      </c>
      <c r="AQ524" s="633" t="str">
        <f>IF(AC524=$V$3,IF(VLOOKUP(C524,[1]List1!$A:$E,5,FALSE)=0,1,VLOOKUP(C524,[1]List1!$A:$E,5,FALSE)),"")</f>
        <v/>
      </c>
      <c r="AR524" s="625" t="str">
        <f t="shared" si="1469"/>
        <v/>
      </c>
      <c r="AS524" s="634" t="str">
        <f t="shared" si="1470"/>
        <v/>
      </c>
      <c r="AT524" s="625" t="str">
        <f t="shared" si="1471"/>
        <v/>
      </c>
      <c r="AU524" s="638" t="e">
        <f t="shared" si="1472"/>
        <v>#N/A</v>
      </c>
      <c r="AV524" s="625" t="e">
        <f t="shared" si="1473"/>
        <v>#N/A</v>
      </c>
      <c r="AX524" s="625">
        <f>IF(AND('General price list'!$J524="F4",'General price list'!$AB524+0&gt;0),1,0)</f>
        <v>0</v>
      </c>
      <c r="AY524" s="625">
        <f t="shared" si="1474"/>
        <v>1</v>
      </c>
      <c r="AZ524" s="625">
        <f t="shared" si="1475"/>
        <v>0</v>
      </c>
    </row>
    <row r="525" spans="1:52" ht="15.75" customHeight="1">
      <c r="A525" s="751" t="str">
        <f>Kat.!C525</f>
        <v xml:space="preserve">           Baterie 16 ran, 25 mm moždíř – 1.4G</v>
      </c>
      <c r="B525" s="751"/>
      <c r="C525" s="751"/>
      <c r="D525" s="751"/>
      <c r="E525" s="751"/>
      <c r="F525" s="751"/>
      <c r="G525" s="751"/>
      <c r="H525" s="751"/>
      <c r="I525" s="752"/>
      <c r="J525" s="752"/>
      <c r="K525" s="752" t="s">
        <v>20</v>
      </c>
      <c r="L525" s="753" t="s">
        <v>2818</v>
      </c>
      <c r="M525" s="752"/>
      <c r="N525" s="752"/>
      <c r="O525" s="752"/>
      <c r="P525" s="752"/>
      <c r="Q525" s="752"/>
      <c r="R525" s="752"/>
      <c r="S525" s="752"/>
      <c r="T525" s="752"/>
      <c r="U525" s="752"/>
      <c r="V525" s="752"/>
      <c r="W525" s="752"/>
      <c r="X525" s="752"/>
      <c r="Y525" s="752"/>
      <c r="Z525" s="752" t="s">
        <v>20</v>
      </c>
      <c r="AA525" s="752"/>
      <c r="AB525" s="752"/>
      <c r="AC525" s="754"/>
      <c r="AD525" s="752"/>
      <c r="AE525" s="752"/>
      <c r="AF525" s="752"/>
      <c r="AG525" s="752"/>
      <c r="AH525" s="752"/>
      <c r="AI525" s="752"/>
      <c r="AJ525" s="752"/>
      <c r="AK525" s="752"/>
      <c r="AL525" s="752"/>
      <c r="AM525" s="752"/>
      <c r="AN525" s="752"/>
      <c r="AO525" s="623"/>
      <c r="AP525" s="625" t="str">
        <f t="shared" si="1468"/>
        <v/>
      </c>
      <c r="AQ525" s="625" t="str">
        <f>IF(AC525=$V$3,IF(VLOOKUP(C525,[1]List1!$A:$E,5,FALSE)=0,1,VLOOKUP(C525,[1]List1!$A:$E,5,FALSE)),"")</f>
        <v/>
      </c>
      <c r="AR525" s="629" t="str">
        <f t="shared" si="1469"/>
        <v/>
      </c>
      <c r="AS525" s="630" t="str">
        <f t="shared" si="1470"/>
        <v/>
      </c>
      <c r="AT525" s="625" t="str">
        <f t="shared" si="1471"/>
        <v/>
      </c>
      <c r="AU525" s="625" t="e">
        <f t="shared" si="1472"/>
        <v>#N/A</v>
      </c>
      <c r="AV525" s="625" t="e">
        <f t="shared" si="1473"/>
        <v>#N/A</v>
      </c>
      <c r="AW525" s="631"/>
      <c r="AX525" s="631">
        <f>IF(AND('General price list'!$J525="F4",'General price list'!$AB525+0&gt;0),1,0)</f>
        <v>0</v>
      </c>
      <c r="AY525" s="631">
        <f t="shared" si="1474"/>
        <v>0</v>
      </c>
      <c r="AZ525" s="631">
        <f t="shared" si="1475"/>
        <v>0</v>
      </c>
    </row>
    <row r="526" spans="1:52" ht="15" customHeight="1">
      <c r="A526" s="639" t="str">
        <f>Kat.!C526</f>
        <v/>
      </c>
      <c r="B526" s="640">
        <f>IF(AND('General price list'!$J526="F4",$AI$1=FALSE),0,IF(AC526="SKLADEM",1,IF(AC526=$V$3,1,0)))</f>
        <v>1</v>
      </c>
      <c r="C526" s="641" t="s">
        <v>12274</v>
      </c>
      <c r="D526" s="642" t="s">
        <v>12275</v>
      </c>
      <c r="E526" s="643" t="s">
        <v>12675</v>
      </c>
      <c r="F526" s="771">
        <f>IFERROR(VLOOKUP(C526,[2]List1!$A:$D,3,FALSE),"NEUVEDENO!")</f>
        <v>220</v>
      </c>
      <c r="G526" s="768">
        <f t="shared" ref="G526:G528" si="1504">IF($W$17=$AF$8,ROUND((F526)/$F$17,2),(F526)*$B$19)</f>
        <v>220</v>
      </c>
      <c r="H526" s="765">
        <f t="shared" ref="H526:H528" si="1505">IF($W$17=$AF$8,G526*$B$19,G526/$F$17)</f>
        <v>9.3452782981398652</v>
      </c>
      <c r="I526" s="644">
        <f>IFERROR(VLOOKUP(C526,[2]List1!$A:$D,4,FALSE),"NEUVEDENO!")</f>
        <v>12</v>
      </c>
      <c r="J526" s="733" t="s">
        <v>39</v>
      </c>
      <c r="K526" s="645">
        <v>4</v>
      </c>
      <c r="L526" s="645"/>
      <c r="M526" s="645" t="s">
        <v>21</v>
      </c>
      <c r="N526" s="645">
        <f>IFERROR(VLOOKUP(C526,[3]List1!$A:$D,4,FALSE),"N/A!")</f>
        <v>3.2863999999999997E-2</v>
      </c>
      <c r="O526" s="645">
        <f>IFERROR(VLOOKUP(C526,[3]List1!$A:$D,3,FALSE),"N/A!")</f>
        <v>3072</v>
      </c>
      <c r="P526" s="645">
        <f>IFERROR(VLOOKUP(C526,[3]List1!$A:$D,2,FALSE),"N/A!")</f>
        <v>16000</v>
      </c>
      <c r="Q526" s="645" t="s">
        <v>11238</v>
      </c>
      <c r="R526" s="645"/>
      <c r="S526" s="645" t="str">
        <f>IF($W$17=$AF$1,"design",IFERROR(VLOOKUP("design",Jazyky_ceník!$A:$Q,MATCH($W$17,Jazyky_ceník!$A$1:$Q$1,0),FALSE),"!!!"))</f>
        <v>design</v>
      </c>
      <c r="T526" s="645">
        <v>25</v>
      </c>
      <c r="U526" s="645"/>
      <c r="V526" s="645"/>
      <c r="W526" s="645" t="str">
        <f>IFERROR(IF(AND($AB526&gt;=0.1*$AA526,MOD($AB526,$AA526)&gt;=($AA526-(0.1*$AA526))),IF($W$17=$AF$1,"Zvažte možnost doobjednání ještě "&amp;Tabulka1[[#This Row],[VKPAL]]-MOD(AB526,AA526)&amp;" VK do plné palety.",VLOOKUP("Zvažte možnost doobjednání ještě ",Jazyky_ceník!A:Q,MATCH($W$17,Jazyky_ceník!$A$1:$Q$1,0),FALSE)&amp;Tabulka1[[#This Row],[VKPAL]]-MOD(AB526,AA526)&amp;VLOOKUP(" VK do plné palety.",Jazyky_ceník!A:Q,MATCH($W$17,Jazyky_ceník!$A$1:$Q$1,0),FALSE)),IFERROR(IF(AND(NOT(MOD($AB526,$AA526)=0),$AB526&gt;=0.9*$AA526,MOD($AB526,$AA526)&lt;=0.1*$AA526),IF($W$17=$AF$1,"Zvažte možnost optimalizace objednaného množství podle počtu VK na paletě ==&gt;",VLOOKUP("Zvažte možnost optimalizace objednaného množství podle počtu VK na paletě ==&gt;",Jazyky_ceník!A:Q,MATCH($W$17,Jazyky_ceník!$A$1:$Q$1,0),FALSE)),VLOOKUP('General price list'!$C526,Popisy!A:M,MATCH($W$17,Popisy!$A$7:$M$7,0),FALSE)),"---------------")),IFERROR(VLOOKUP('General price list'!$C526,Popisy!A:M,MATCH($W$17,Popisy!$A$7:$M$7,0),FALSE),"---------------"))</f>
        <v>stříbrná mina s červenou stopou a titanovou detonací</v>
      </c>
      <c r="X526" s="645" t="str">
        <f t="shared" ref="X526:X528" si="1506">IF(AB526&lt;0.0001,"",AB526)</f>
        <v/>
      </c>
      <c r="Y526" s="645" t="str">
        <f t="shared" ref="Y526:Y528" si="1507">IF($AL$3=2,IF(OR(AB526&lt;&gt;"",AB526&lt;&gt;0),AU526,""),IF(C526="","",IF(AB526&lt;0.0001,"",IF(B526=0,"",IF(AQ526&lt;AB526,"",AB526)))))</f>
        <v/>
      </c>
      <c r="Z526" s="645" t="str">
        <f>HYPERLINK("https://www.klasekpyrotechnics.cz/c1625du")</f>
        <v>https://www.klasekpyrotechnics.cz/c1625du</v>
      </c>
      <c r="AA526" s="645">
        <f>IFERROR(IF(VLOOKUP(C526,[4]List1!$A:$D,4,FALSE)=0,"",VLOOKUP(C526,[4]List1!$A:$D,4,FALSE)),"")</f>
        <v>45</v>
      </c>
      <c r="AB526" s="646"/>
      <c r="AC526" s="647" t="str">
        <f>IFERROR(IF(VLOOKUP(C526,[1]List1!$A:$D,2,FALSE)="VYPRODÁNO",$V$9,IF(VLOOKUP(C526,[1]List1!$A:$D,2,FALSE)="DOCHÁZÍ",$V$3,VLOOKUP(C526,[1]List1!$A:$D,2,FALSE))),"OFFLINE!")</f>
        <v>SKLADEM</v>
      </c>
      <c r="AD526" s="647" t="str">
        <f ca="1">IF(AP526="NE",$V$10,IF(AC526=$V$3,IF(AQ526&lt;1,$V$8,$V$2&amp;" "&amp;AQ526&amp;" "&amp;$V$1),IF(AC526="SKLADEM",$V$6,IFERROR(IF(OR(AC526-TODAY()&gt;45,VLOOKUP(C526,[1]List1!$A:$E,4,FALSE)=0),AC526,DAY(AC526)&amp;"."&amp;MONTH(AC526)&amp;"."&amp;YEAR(AC526)&amp;" "&amp;$V$4&amp;VLOOKUP(C526,[1]List1!$A:$E,4,FALSE)&amp;" "&amp;$V$1),AC526))))</f>
        <v>SKLADEM</v>
      </c>
      <c r="AE526" s="645" t="str">
        <f t="shared" ref="AE526:AE528" ca="1" si="1508">IFERROR(IF(AV526&lt;&gt;"",AV526,AD526),AD526)</f>
        <v>SKLADEM</v>
      </c>
      <c r="AF526" s="648">
        <f t="shared" ref="AF526:AF528" si="1509">IFERROR(IF(AB526=Y526,G526*I526*Y526,0),0)</f>
        <v>0</v>
      </c>
      <c r="AG526" s="649">
        <f t="shared" ref="AG526:AG528" si="1510">IF($W$17=$AF$8,AH526*1.23,AF526*1.21)</f>
        <v>0</v>
      </c>
      <c r="AH526" s="650">
        <f t="shared" ref="AH526:AH528" si="1511">IFERROR(IF(Y526=AB526,H526*I526*Y526,0),0)</f>
        <v>0</v>
      </c>
      <c r="AI526" s="645">
        <f t="shared" ref="AI526:AI528" si="1512">IFERROR(IF(Y526=AB526,(P526*Y526)/1000,1),0)</f>
        <v>0</v>
      </c>
      <c r="AJ526" s="645">
        <f t="shared" ref="AJ526:AJ528" si="1513">IFERROR(IF(Y526=AB526,N526*Y526,0.1),0)</f>
        <v>0</v>
      </c>
      <c r="AK526" s="645" t="str">
        <f t="shared" ref="AK526:AK528" si="1514">IFERROR(IF(Y526=AB526,IF(M526="1.1G",(O526/1000)*Y526,""),""),0)</f>
        <v/>
      </c>
      <c r="AL526" s="645" t="str">
        <f t="shared" ref="AL526:AL528" si="1515">IFERROR(IF(Y526=AB526,IF(M526="1.3G",(O526/1000)*AB526,""),""),0)</f>
        <v/>
      </c>
      <c r="AM526" s="645">
        <f t="shared" ref="AM526:AM528" si="1516">IFERROR(IF(Y526=AB526,IF(M526="1.4G",(O526/1000)*AB526,""),""),0)</f>
        <v>0</v>
      </c>
      <c r="AN526" s="651">
        <f t="shared" ref="AN526:AN528" si="1517">SUM(AK526:AM526)</f>
        <v>0</v>
      </c>
      <c r="AO526" s="623"/>
      <c r="AP526" s="632" t="str">
        <f t="shared" si="1468"/>
        <v/>
      </c>
      <c r="AQ526" s="633" t="str">
        <f>IF(AC526=$V$3,IF(VLOOKUP(C526,[1]List1!$A:$E,5,FALSE)=0,1,VLOOKUP(C526,[1]List1!$A:$E,5,FALSE)),"")</f>
        <v/>
      </c>
      <c r="AR526" s="625" t="str">
        <f t="shared" si="1469"/>
        <v/>
      </c>
      <c r="AS526" s="634" t="str">
        <f t="shared" si="1470"/>
        <v/>
      </c>
      <c r="AT526" s="625" t="str">
        <f t="shared" si="1471"/>
        <v/>
      </c>
      <c r="AU526" s="638" t="e">
        <f t="shared" si="1472"/>
        <v>#N/A</v>
      </c>
      <c r="AV526" s="625" t="e">
        <f t="shared" si="1473"/>
        <v>#N/A</v>
      </c>
      <c r="AX526" s="625">
        <f>IF(AND('General price list'!$J526="F4",'General price list'!$AB526+0&gt;0),1,0)</f>
        <v>0</v>
      </c>
      <c r="AY526" s="625">
        <f t="shared" si="1474"/>
        <v>1</v>
      </c>
      <c r="AZ526" s="625">
        <f t="shared" si="1475"/>
        <v>0</v>
      </c>
    </row>
    <row r="527" spans="1:52" ht="15.75" customHeight="1">
      <c r="A527" s="621" t="str">
        <f>Kat.!C527</f>
        <v/>
      </c>
      <c r="B527" s="566">
        <f>IF(AND('General price list'!$J527="F4",$AI$1=FALSE),0,IF(AC527="SKLADEM",1,IF(AC527=$V$3,1,0)))</f>
        <v>1</v>
      </c>
      <c r="C527" s="567" t="s">
        <v>1140</v>
      </c>
      <c r="D527" s="568" t="s">
        <v>1135</v>
      </c>
      <c r="E527" s="763" t="s">
        <v>12675</v>
      </c>
      <c r="F527" s="791">
        <f>IFERROR(VLOOKUP(C527,[2]List1!$A:$D,3,FALSE),"NEUVEDENO!")</f>
        <v>208</v>
      </c>
      <c r="G527" s="769">
        <f t="shared" si="1504"/>
        <v>208</v>
      </c>
      <c r="H527" s="766">
        <f t="shared" si="1505"/>
        <v>8.8355358455140536</v>
      </c>
      <c r="I527" s="764">
        <f>IFERROR(VLOOKUP(C527,[2]List1!$A:$D,4,FALSE),"NEUVEDENO!")</f>
        <v>12</v>
      </c>
      <c r="J527" s="732" t="s">
        <v>39</v>
      </c>
      <c r="K527" s="569" t="s">
        <v>11100</v>
      </c>
      <c r="L527" s="569" t="s">
        <v>10995</v>
      </c>
      <c r="M527" s="569" t="s">
        <v>21</v>
      </c>
      <c r="N527" s="569">
        <f>IFERROR(VLOOKUP(C527,[3]List1!$A:$D,4,FALSE),"N/A!")</f>
        <v>3.2863999999999997E-2</v>
      </c>
      <c r="O527" s="569">
        <f>IFERROR(VLOOKUP(C527,[3]List1!$A:$D,3,FALSE),"N/A!")</f>
        <v>2496</v>
      </c>
      <c r="P527" s="569">
        <f>IFERROR(VLOOKUP(C527,[3]List1!$A:$D,2,FALSE),"N/A!")</f>
        <v>15000</v>
      </c>
      <c r="Q527" s="569" t="s">
        <v>11238</v>
      </c>
      <c r="R527" s="569"/>
      <c r="S527" s="569" t="str">
        <f>IF($W$17=$AF$1,"design",IFERROR(VLOOKUP("design",Jazyky_ceník!$A:$Q,MATCH($W$17,Jazyky_ceník!$A$1:$Q$1,0),FALSE),"!!!"))</f>
        <v>design</v>
      </c>
      <c r="T527" s="569">
        <v>25</v>
      </c>
      <c r="U527" s="569">
        <v>30</v>
      </c>
      <c r="V527" s="569">
        <v>18</v>
      </c>
      <c r="W527" s="569" t="str">
        <f>IFERROR(IF(AND($AB527&gt;=0.1*$AA527,MOD($AB527,$AA527)&gt;=($AA527-(0.1*$AA527))),IF($W$17=$AF$1,"Zvažte možnost doobjednání ještě "&amp;Tabulka1[[#This Row],[VKPAL]]-MOD(AB527,AA527)&amp;" VK do plné palety.",VLOOKUP("Zvažte možnost doobjednání ještě ",Jazyky_ceník!A:Q,MATCH($W$17,Jazyky_ceník!$A$1:$Q$1,0),FALSE)&amp;Tabulka1[[#This Row],[VKPAL]]-MOD(AB527,AA527)&amp;VLOOKUP(" VK do plné palety.",Jazyky_ceník!A:Q,MATCH($W$17,Jazyky_ceník!$A$1:$Q$1,0),FALSE)),IFERROR(IF(AND(NOT(MOD($AB527,$AA527)=0),$AB527&gt;=0.9*$AA527,MOD($AB527,$AA527)&lt;=0.1*$AA527),IF($W$17=$AF$1,"Zvažte možnost optimalizace objednaného množství podle počtu VK na paletě ==&gt;",VLOOKUP("Zvažte možnost optimalizace objednaného množství podle počtu VK na paletě ==&gt;",Jazyky_ceník!A:Q,MATCH($W$17,Jazyky_ceník!$A$1:$Q$1,0),FALSE)),VLOOKUP('General price list'!$C527,Popisy!A:M,MATCH($W$17,Popisy!$A$7:$M$7,0),FALSE)),"---------------")),IFERROR(VLOOKUP('General price list'!$C527,Popisy!A:M,MATCH($W$17,Popisy!$A$7:$M$7,0),FALSE),"---------------"))</f>
        <v>4 různobarevné efekty</v>
      </c>
      <c r="X527" s="569" t="str">
        <f t="shared" si="1506"/>
        <v/>
      </c>
      <c r="Y527" s="569" t="str">
        <f t="shared" si="1507"/>
        <v/>
      </c>
      <c r="Z527" s="569" t="str">
        <f>HYPERLINK("https://www.klasekpyrotechnics.cz/c1625d14")</f>
        <v>https://www.klasekpyrotechnics.cz/c1625d14</v>
      </c>
      <c r="AA527" s="569">
        <f>IFERROR(IF(VLOOKUP(C527,[4]List1!$A:$D,4,FALSE)=0,"",VLOOKUP(C527,[4]List1!$A:$D,4,FALSE)),"")</f>
        <v>45</v>
      </c>
      <c r="AB527" s="565"/>
      <c r="AC527" s="570" t="str">
        <f>IFERROR(IF(VLOOKUP(C527,[1]List1!$A:$D,2,FALSE)="VYPRODÁNO",$V$9,IF(VLOOKUP(C527,[1]List1!$A:$D,2,FALSE)="DOCHÁZÍ",$V$3,VLOOKUP(C527,[1]List1!$A:$D,2,FALSE))),"OFFLINE!")</f>
        <v>SKLADEM</v>
      </c>
      <c r="AD527" s="570" t="str">
        <f ca="1">IF(AP527="NE",$V$10,IF(AC527=$V$3,IF(AQ527&lt;1,$V$8,$V$2&amp;" "&amp;AQ527&amp;" "&amp;$V$1),IF(AC527="SKLADEM",$V$6,IFERROR(IF(OR(AC527-TODAY()&gt;45,VLOOKUP(C527,[1]List1!$A:$E,4,FALSE)=0),AC527,DAY(AC527)&amp;"."&amp;MONTH(AC527)&amp;"."&amp;YEAR(AC527)&amp;" "&amp;$V$4&amp;VLOOKUP(C527,[1]List1!$A:$E,4,FALSE)&amp;" "&amp;$V$1),AC527))))</f>
        <v>SKLADEM</v>
      </c>
      <c r="AE527" s="581" t="str">
        <f t="shared" ca="1" si="1508"/>
        <v>SKLADEM</v>
      </c>
      <c r="AF527" s="584">
        <f t="shared" si="1509"/>
        <v>0</v>
      </c>
      <c r="AG527" s="585">
        <f t="shared" si="1510"/>
        <v>0</v>
      </c>
      <c r="AH527" s="583">
        <f t="shared" si="1511"/>
        <v>0</v>
      </c>
      <c r="AI527" s="582">
        <f t="shared" si="1512"/>
        <v>0</v>
      </c>
      <c r="AJ527" s="569">
        <f t="shared" si="1513"/>
        <v>0</v>
      </c>
      <c r="AK527" s="569" t="str">
        <f t="shared" si="1514"/>
        <v/>
      </c>
      <c r="AL527" s="569" t="str">
        <f t="shared" si="1515"/>
        <v/>
      </c>
      <c r="AM527" s="569">
        <f t="shared" si="1516"/>
        <v>0</v>
      </c>
      <c r="AN527" s="581">
        <f t="shared" si="1517"/>
        <v>0</v>
      </c>
      <c r="AO527" s="623"/>
      <c r="AP527" s="625" t="str">
        <f t="shared" si="1468"/>
        <v/>
      </c>
      <c r="AQ527" s="625" t="str">
        <f>IF(AC527=$V$3,IF(VLOOKUP(C527,[1]List1!$A:$E,5,FALSE)=0,1,VLOOKUP(C527,[1]List1!$A:$E,5,FALSE)),"")</f>
        <v/>
      </c>
      <c r="AR527" s="629" t="str">
        <f t="shared" si="1469"/>
        <v/>
      </c>
      <c r="AS527" s="630" t="str">
        <f t="shared" si="1470"/>
        <v/>
      </c>
      <c r="AT527" s="625" t="str">
        <f t="shared" si="1471"/>
        <v/>
      </c>
      <c r="AU527" s="625" t="e">
        <f t="shared" si="1472"/>
        <v>#N/A</v>
      </c>
      <c r="AV527" s="625" t="e">
        <f t="shared" si="1473"/>
        <v>#N/A</v>
      </c>
      <c r="AW527" s="631"/>
      <c r="AX527" s="631">
        <f>IF(AND('General price list'!$J527="F4",'General price list'!$AB527+0&gt;0),1,0)</f>
        <v>0</v>
      </c>
      <c r="AY527" s="631">
        <f t="shared" si="1474"/>
        <v>1</v>
      </c>
      <c r="AZ527" s="631">
        <f t="shared" si="1475"/>
        <v>0</v>
      </c>
    </row>
    <row r="528" spans="1:52" ht="15" customHeight="1">
      <c r="A528" s="639" t="str">
        <f>Kat.!C528</f>
        <v/>
      </c>
      <c r="B528" s="640">
        <f>IF(AND('General price list'!$J528="F4",$AI$1=FALSE),0,IF(AC528="SKLADEM",1,IF(AC528=$V$3,1,0)))</f>
        <v>1</v>
      </c>
      <c r="C528" s="641" t="s">
        <v>1141</v>
      </c>
      <c r="D528" s="642" t="s">
        <v>1137</v>
      </c>
      <c r="E528" s="643" t="s">
        <v>12675</v>
      </c>
      <c r="F528" s="791">
        <f>IFERROR(VLOOKUP(C528,[2]List1!$A:$D,3,FALSE),"NEUVEDENO!")</f>
        <v>208</v>
      </c>
      <c r="G528" s="770">
        <f t="shared" si="1504"/>
        <v>208</v>
      </c>
      <c r="H528" s="767">
        <f t="shared" si="1505"/>
        <v>8.8355358455140536</v>
      </c>
      <c r="I528" s="644">
        <f>IFERROR(VLOOKUP(C528,[2]List1!$A:$D,4,FALSE),"NEUVEDENO!")</f>
        <v>12</v>
      </c>
      <c r="J528" s="733" t="s">
        <v>39</v>
      </c>
      <c r="K528" s="645" t="s">
        <v>11100</v>
      </c>
      <c r="L528" s="645" t="s">
        <v>10995</v>
      </c>
      <c r="M528" s="645" t="s">
        <v>21</v>
      </c>
      <c r="N528" s="645">
        <f>IFERROR(VLOOKUP(C528,[3]List1!$A:$D,4,FALSE),"N/A!")</f>
        <v>3.2863999999999997E-2</v>
      </c>
      <c r="O528" s="645">
        <f>IFERROR(VLOOKUP(C528,[3]List1!$A:$D,3,FALSE),"N/A!")</f>
        <v>2496</v>
      </c>
      <c r="P528" s="645">
        <f>IFERROR(VLOOKUP(C528,[3]List1!$A:$D,2,FALSE),"N/A!")</f>
        <v>15060</v>
      </c>
      <c r="Q528" s="645" t="s">
        <v>11238</v>
      </c>
      <c r="R528" s="645"/>
      <c r="S528" s="645" t="str">
        <f>IF($W$17=$AF$1,"design",IFERROR(VLOOKUP("design",Jazyky_ceník!$A:$Q,MATCH($W$17,Jazyky_ceník!$A$1:$Q$1,0),FALSE),"!!!"))</f>
        <v>design</v>
      </c>
      <c r="T528" s="645">
        <v>25</v>
      </c>
      <c r="U528" s="645">
        <v>30</v>
      </c>
      <c r="V528" s="645">
        <v>18</v>
      </c>
      <c r="W528" s="645" t="str">
        <f>IFERROR(IF(AND($AB528&gt;=0.1*$AA528,MOD($AB528,$AA528)&gt;=($AA528-(0.1*$AA528))),IF($W$17=$AF$1,"Zvažte možnost doobjednání ještě "&amp;Tabulka1[[#This Row],[VKPAL]]-MOD(AB528,AA528)&amp;" VK do plné palety.",VLOOKUP("Zvažte možnost doobjednání ještě ",Jazyky_ceník!A:Q,MATCH($W$17,Jazyky_ceník!$A$1:$Q$1,0),FALSE)&amp;Tabulka1[[#This Row],[VKPAL]]-MOD(AB528,AA528)&amp;VLOOKUP(" VK do plné palety.",Jazyky_ceník!A:Q,MATCH($W$17,Jazyky_ceník!$A$1:$Q$1,0),FALSE)),IFERROR(IF(AND(NOT(MOD($AB528,$AA528)=0),$AB528&gt;=0.9*$AA528,MOD($AB528,$AA528)&lt;=0.1*$AA528),IF($W$17=$AF$1,"Zvažte možnost optimalizace objednaného množství podle počtu VK na paletě ==&gt;",VLOOKUP("Zvažte možnost optimalizace objednaného množství podle počtu VK na paletě ==&gt;",Jazyky_ceník!A:Q,MATCH($W$17,Jazyky_ceník!$A$1:$Q$1,0),FALSE)),VLOOKUP('General price list'!$C528,Popisy!A:M,MATCH($W$17,Popisy!$A$7:$M$7,0),FALSE)),"---------------")),IFERROR(VLOOKUP('General price list'!$C528,Popisy!A:M,MATCH($W$17,Popisy!$A$7:$M$7,0),FALSE),"---------------"))</f>
        <v>4 různobarevné efekty</v>
      </c>
      <c r="X528" s="645" t="str">
        <f t="shared" si="1506"/>
        <v/>
      </c>
      <c r="Y528" s="645" t="str">
        <f t="shared" si="1507"/>
        <v/>
      </c>
      <c r="Z528" s="645" t="str">
        <f>HYPERLINK("https://www.klasekpyrotechnics.cz/c1625f14")</f>
        <v>https://www.klasekpyrotechnics.cz/c1625f14</v>
      </c>
      <c r="AA528" s="645">
        <f>IFERROR(IF(VLOOKUP(C528,[4]List1!$A:$D,4,FALSE)=0,"",VLOOKUP(C528,[4]List1!$A:$D,4,FALSE)),"")</f>
        <v>45</v>
      </c>
      <c r="AB528" s="646"/>
      <c r="AC528" s="647" t="str">
        <f>IFERROR(IF(VLOOKUP(C528,[1]List1!$A:$D,2,FALSE)="VYPRODÁNO",$V$9,IF(VLOOKUP(C528,[1]List1!$A:$D,2,FALSE)="DOCHÁZÍ",$V$3,VLOOKUP(C528,[1]List1!$A:$D,2,FALSE))),"OFFLINE!")</f>
        <v>SKLADEM</v>
      </c>
      <c r="AD528" s="647" t="str">
        <f ca="1">IF(AP528="NE",$V$10,IF(AC528=$V$3,IF(AQ528&lt;1,$V$8,$V$2&amp;" "&amp;AQ528&amp;" "&amp;$V$1),IF(AC528="SKLADEM",$V$6,IFERROR(IF(OR(AC528-TODAY()&gt;45,VLOOKUP(C528,[1]List1!$A:$E,4,FALSE)=0),AC528,DAY(AC528)&amp;"."&amp;MONTH(AC528)&amp;"."&amp;YEAR(AC528)&amp;" "&amp;$V$4&amp;VLOOKUP(C528,[1]List1!$A:$E,4,FALSE)&amp;" "&amp;$V$1),AC528))))</f>
        <v>SKLADEM</v>
      </c>
      <c r="AE528" s="645" t="str">
        <f t="shared" ca="1" si="1508"/>
        <v>SKLADEM</v>
      </c>
      <c r="AF528" s="648">
        <f t="shared" si="1509"/>
        <v>0</v>
      </c>
      <c r="AG528" s="649">
        <f t="shared" si="1510"/>
        <v>0</v>
      </c>
      <c r="AH528" s="650">
        <f t="shared" si="1511"/>
        <v>0</v>
      </c>
      <c r="AI528" s="645">
        <f t="shared" si="1512"/>
        <v>0</v>
      </c>
      <c r="AJ528" s="645">
        <f t="shared" si="1513"/>
        <v>0</v>
      </c>
      <c r="AK528" s="645" t="str">
        <f t="shared" si="1514"/>
        <v/>
      </c>
      <c r="AL528" s="645" t="str">
        <f t="shared" si="1515"/>
        <v/>
      </c>
      <c r="AM528" s="645">
        <f t="shared" si="1516"/>
        <v>0</v>
      </c>
      <c r="AN528" s="651">
        <f t="shared" si="1517"/>
        <v>0</v>
      </c>
      <c r="AO528" s="623"/>
      <c r="AP528" s="632" t="str">
        <f t="shared" si="1468"/>
        <v/>
      </c>
      <c r="AQ528" s="633" t="str">
        <f>IF(AC528=$V$3,IF(VLOOKUP(C528,[1]List1!$A:$E,5,FALSE)=0,1,VLOOKUP(C528,[1]List1!$A:$E,5,FALSE)),"")</f>
        <v/>
      </c>
      <c r="AR528" s="625" t="str">
        <f t="shared" si="1469"/>
        <v/>
      </c>
      <c r="AS528" s="634" t="str">
        <f t="shared" si="1470"/>
        <v/>
      </c>
      <c r="AT528" s="625" t="str">
        <f t="shared" si="1471"/>
        <v/>
      </c>
      <c r="AU528" s="638" t="e">
        <f t="shared" si="1472"/>
        <v>#N/A</v>
      </c>
      <c r="AV528" s="625" t="e">
        <f t="shared" si="1473"/>
        <v>#N/A</v>
      </c>
      <c r="AX528" s="625">
        <f>IF(AND('General price list'!$J528="F4",'General price list'!$AB528+0&gt;0),1,0)</f>
        <v>0</v>
      </c>
      <c r="AY528" s="625">
        <f t="shared" si="1474"/>
        <v>1</v>
      </c>
      <c r="AZ528" s="625">
        <f t="shared" si="1475"/>
        <v>0</v>
      </c>
    </row>
    <row r="529" spans="1:52" ht="15.75" customHeight="1">
      <c r="A529" s="751" t="str">
        <f>Kat.!C529</f>
        <v xml:space="preserve">           Baterie 25 ran, 25 mm moždíř – 1.3G</v>
      </c>
      <c r="B529" s="751"/>
      <c r="C529" s="751"/>
      <c r="D529" s="751"/>
      <c r="E529" s="751"/>
      <c r="F529" s="751"/>
      <c r="G529" s="751"/>
      <c r="H529" s="751"/>
      <c r="I529" s="752"/>
      <c r="J529" s="752"/>
      <c r="K529" s="752" t="s">
        <v>20</v>
      </c>
      <c r="L529" s="753" t="s">
        <v>2818</v>
      </c>
      <c r="M529" s="752"/>
      <c r="N529" s="752"/>
      <c r="O529" s="752"/>
      <c r="P529" s="752"/>
      <c r="Q529" s="752"/>
      <c r="R529" s="752"/>
      <c r="S529" s="752"/>
      <c r="T529" s="752"/>
      <c r="U529" s="752"/>
      <c r="V529" s="752"/>
      <c r="W529" s="752"/>
      <c r="X529" s="752"/>
      <c r="Y529" s="752"/>
      <c r="Z529" s="752" t="s">
        <v>20</v>
      </c>
      <c r="AA529" s="752"/>
      <c r="AB529" s="752"/>
      <c r="AC529" s="754"/>
      <c r="AD529" s="752"/>
      <c r="AE529" s="752"/>
      <c r="AF529" s="752"/>
      <c r="AG529" s="752"/>
      <c r="AH529" s="752"/>
      <c r="AI529" s="752"/>
      <c r="AJ529" s="752"/>
      <c r="AK529" s="752"/>
      <c r="AL529" s="752"/>
      <c r="AM529" s="752"/>
      <c r="AN529" s="752"/>
      <c r="AO529" s="623"/>
      <c r="AP529" s="625" t="str">
        <f t="shared" si="1468"/>
        <v/>
      </c>
      <c r="AQ529" s="625" t="str">
        <f>IF(AC529=$V$3,IF(VLOOKUP(C529,[1]List1!$A:$E,5,FALSE)=0,1,VLOOKUP(C529,[1]List1!$A:$E,5,FALSE)),"")</f>
        <v/>
      </c>
      <c r="AR529" s="629" t="str">
        <f t="shared" si="1469"/>
        <v/>
      </c>
      <c r="AS529" s="630" t="str">
        <f t="shared" si="1470"/>
        <v/>
      </c>
      <c r="AT529" s="625" t="str">
        <f t="shared" si="1471"/>
        <v/>
      </c>
      <c r="AU529" s="625" t="e">
        <f t="shared" si="1472"/>
        <v>#N/A</v>
      </c>
      <c r="AV529" s="625" t="e">
        <f t="shared" si="1473"/>
        <v>#N/A</v>
      </c>
      <c r="AW529" s="631"/>
      <c r="AX529" s="631">
        <f>IF(AND('General price list'!$J529="F4",'General price list'!$AB529+0&gt;0),1,0)</f>
        <v>0</v>
      </c>
      <c r="AY529" s="631">
        <f t="shared" si="1474"/>
        <v>0</v>
      </c>
      <c r="AZ529" s="631">
        <f t="shared" si="1475"/>
        <v>0</v>
      </c>
    </row>
    <row r="530" spans="1:52" ht="15" customHeight="1">
      <c r="A530" s="639" t="str">
        <f>Kat.!C530</f>
        <v/>
      </c>
      <c r="B530" s="640">
        <f>IF(AND('General price list'!$J530="F4",$AI$1=FALSE),0,IF(AC530="SKLADEM",1,IF(AC530=$V$3,1,0)))</f>
        <v>1</v>
      </c>
      <c r="C530" s="641" t="s">
        <v>2284</v>
      </c>
      <c r="D530" s="642" t="s">
        <v>11867</v>
      </c>
      <c r="E530" s="643" t="s">
        <v>12675</v>
      </c>
      <c r="F530" s="791">
        <f>IFERROR(VLOOKUP(C530,[2]List1!$A:$D,3,FALSE),"NEUVEDENO!")</f>
        <v>309</v>
      </c>
      <c r="G530" s="768">
        <f t="shared" ref="G530:G534" si="1518">IF($W$17=$AF$8,ROUND((F530)/$F$17,2),(F530)*$B$19)</f>
        <v>309</v>
      </c>
      <c r="H530" s="765">
        <f t="shared" ref="H530:H534" si="1519">IF($W$17=$AF$8,G530*$B$19,G530/$F$17)</f>
        <v>13.125868155114629</v>
      </c>
      <c r="I530" s="644">
        <f>IFERROR(VLOOKUP(C530,[2]List1!$A:$D,4,FALSE),"NEUVEDENO!")</f>
        <v>12</v>
      </c>
      <c r="J530" s="733" t="s">
        <v>39</v>
      </c>
      <c r="K530" s="645" t="s">
        <v>11100</v>
      </c>
      <c r="L530" s="645" t="s">
        <v>20</v>
      </c>
      <c r="M530" s="645" t="s">
        <v>114</v>
      </c>
      <c r="N530" s="645">
        <f>IFERROR(VLOOKUP(C530,[3]List1!$A:$D,4,FALSE),"N/A!")</f>
        <v>4.7185874999999995E-2</v>
      </c>
      <c r="O530" s="645">
        <f>IFERROR(VLOOKUP(C530,[3]List1!$A:$D,3,FALSE),"N/A!")</f>
        <v>3600</v>
      </c>
      <c r="P530" s="645">
        <f>IFERROR(VLOOKUP(C530,[3]List1!$A:$D,2,FALSE),"N/A!")</f>
        <v>21000</v>
      </c>
      <c r="Q530" s="645" t="s">
        <v>11303</v>
      </c>
      <c r="R530" s="645"/>
      <c r="S530" s="645" t="str">
        <f>IF($W$17=$AF$1,"design",IFERROR(VLOOKUP("design",Jazyky_ceník!$A:$Q,MATCH($W$17,Jazyky_ceník!$A$1:$Q$1,0),FALSE),"!!!"))</f>
        <v>design</v>
      </c>
      <c r="T530" s="645">
        <v>30</v>
      </c>
      <c r="U530" s="645">
        <v>30</v>
      </c>
      <c r="V530" s="645">
        <v>20</v>
      </c>
      <c r="W530" s="645" t="str">
        <f>IFERROR(IF(AND($AB530&gt;=0.1*$AA530,MOD($AB530,$AA530)&gt;=($AA530-(0.1*$AA530))),IF($W$17=$AF$1,"Zvažte možnost doobjednání ještě "&amp;Tabulka1[[#This Row],[VKPAL]]-MOD(AB530,AA530)&amp;" VK do plné palety.",VLOOKUP("Zvažte možnost doobjednání ještě ",Jazyky_ceník!A:Q,MATCH($W$17,Jazyky_ceník!$A$1:$Q$1,0),FALSE)&amp;Tabulka1[[#This Row],[VKPAL]]-MOD(AB530,AA530)&amp;VLOOKUP(" VK do plné palety.",Jazyky_ceník!A:Q,MATCH($W$17,Jazyky_ceník!$A$1:$Q$1,0),FALSE)),IFERROR(IF(AND(NOT(MOD($AB530,$AA530)=0),$AB530&gt;=0.9*$AA530,MOD($AB530,$AA530)&lt;=0.1*$AA530),IF($W$17=$AF$1,"Zvažte možnost optimalizace objednaného množství podle počtu VK na paletě ==&gt;",VLOOKUP("Zvažte možnost optimalizace objednaného množství podle počtu VK na paletě ==&gt;",Jazyky_ceník!A:Q,MATCH($W$17,Jazyky_ceník!$A$1:$Q$1,0),FALSE)),VLOOKUP('General price list'!$C530,Popisy!A:M,MATCH($W$17,Popisy!$A$7:$M$7,0),FALSE)),"---------------")),IFERROR(VLOOKUP('General price list'!$C530,Popisy!A:M,MATCH($W$17,Popisy!$A$7:$M$7,0),FALSE),"---------------"))</f>
        <v>5 různobarevných efektů</v>
      </c>
      <c r="X530" s="645" t="str">
        <f t="shared" ref="X530:X534" si="1520">IF(AB530&lt;0.0001,"",AB530)</f>
        <v/>
      </c>
      <c r="Y530" s="645" t="str">
        <f t="shared" ref="Y530:Y534" si="1521">IF($AL$3=2,IF(OR(AB530&lt;&gt;"",AB530&lt;&gt;0),AU530,""),IF(C530="","",IF(AB530&lt;0.0001,"",IF(B530=0,"",IF(AQ530&lt;AB530,"",AB530)))))</f>
        <v/>
      </c>
      <c r="Z530" s="645" t="str">
        <f>HYPERLINK("https://www.klasekpyrotechnics.cz/c2525bpw")</f>
        <v>https://www.klasekpyrotechnics.cz/c2525bpw</v>
      </c>
      <c r="AA530" s="645">
        <f>IFERROR(IF(VLOOKUP(C530,[4]List1!$A:$D,4,FALSE)=0,"",VLOOKUP(C530,[4]List1!$A:$D,4,FALSE)),"")</f>
        <v>20</v>
      </c>
      <c r="AB530" s="646"/>
      <c r="AC530" s="647" t="str">
        <f>IFERROR(IF(VLOOKUP(C530,[1]List1!$A:$D,2,FALSE)="VYPRODÁNO",$V$9,IF(VLOOKUP(C530,[1]List1!$A:$D,2,FALSE)="DOCHÁZÍ",$V$3,VLOOKUP(C530,[1]List1!$A:$D,2,FALSE))),"OFFLINE!")</f>
        <v>SKLADEM</v>
      </c>
      <c r="AD530" s="647" t="str">
        <f ca="1">IF(AP530="NE",$V$10,IF(AC530=$V$3,IF(AQ530&lt;1,$V$8,$V$2&amp;" "&amp;AQ530&amp;" "&amp;$V$1),IF(AC530="SKLADEM",$V$6,IFERROR(IF(OR(AC530-TODAY()&gt;45,VLOOKUP(C530,[1]List1!$A:$E,4,FALSE)=0),AC530,DAY(AC530)&amp;"."&amp;MONTH(AC530)&amp;"."&amp;YEAR(AC530)&amp;" "&amp;$V$4&amp;VLOOKUP(C530,[1]List1!$A:$E,4,FALSE)&amp;" "&amp;$V$1),AC530))))</f>
        <v>SKLADEM</v>
      </c>
      <c r="AE530" s="645" t="str">
        <f t="shared" ref="AE530:AE534" ca="1" si="1522">IFERROR(IF(AV530&lt;&gt;"",AV530,AD530),AD530)</f>
        <v>SKLADEM</v>
      </c>
      <c r="AF530" s="648">
        <f t="shared" ref="AF530:AF534" si="1523">IFERROR(IF(AB530=Y530,G530*I530*Y530,0),0)</f>
        <v>0</v>
      </c>
      <c r="AG530" s="649">
        <f t="shared" ref="AG530:AG534" si="1524">IF($W$17=$AF$8,AH530*1.23,AF530*1.21)</f>
        <v>0</v>
      </c>
      <c r="AH530" s="650">
        <f t="shared" ref="AH530:AH534" si="1525">IFERROR(IF(Y530=AB530,H530*I530*Y530,0),0)</f>
        <v>0</v>
      </c>
      <c r="AI530" s="645">
        <f t="shared" ref="AI530:AI534" si="1526">IFERROR(IF(Y530=AB530,(P530*Y530)/1000,1),0)</f>
        <v>0</v>
      </c>
      <c r="AJ530" s="645">
        <f t="shared" ref="AJ530:AJ534" si="1527">IFERROR(IF(Y530=AB530,N530*Y530,0.1),0)</f>
        <v>0</v>
      </c>
      <c r="AK530" s="645" t="str">
        <f t="shared" ref="AK530:AK534" si="1528">IFERROR(IF(Y530=AB530,IF(M530="1.1G",(O530/1000)*Y530,""),""),0)</f>
        <v/>
      </c>
      <c r="AL530" s="645">
        <f t="shared" ref="AL530:AL534" si="1529">IFERROR(IF(Y530=AB530,IF(M530="1.3G",(O530/1000)*AB530,""),""),0)</f>
        <v>0</v>
      </c>
      <c r="AM530" s="645" t="str">
        <f t="shared" ref="AM530:AM534" si="1530">IFERROR(IF(Y530=AB530,IF(M530="1.4G",(O530/1000)*AB530,""),""),0)</f>
        <v/>
      </c>
      <c r="AN530" s="651">
        <f t="shared" ref="AN530:AN534" si="1531">SUM(AK530:AM530)</f>
        <v>0</v>
      </c>
      <c r="AO530" s="623"/>
      <c r="AP530" s="632" t="str">
        <f t="shared" si="1468"/>
        <v/>
      </c>
      <c r="AQ530" s="633" t="str">
        <f>IF(AC530=$V$3,IF(VLOOKUP(C530,[1]List1!$A:$E,5,FALSE)=0,1,VLOOKUP(C530,[1]List1!$A:$E,5,FALSE)),"")</f>
        <v/>
      </c>
      <c r="AR530" s="625" t="str">
        <f t="shared" si="1469"/>
        <v/>
      </c>
      <c r="AS530" s="634" t="str">
        <f t="shared" si="1470"/>
        <v/>
      </c>
      <c r="AT530" s="625" t="str">
        <f t="shared" si="1471"/>
        <v/>
      </c>
      <c r="AU530" s="638" t="e">
        <f t="shared" si="1472"/>
        <v>#N/A</v>
      </c>
      <c r="AV530" s="625" t="e">
        <f t="shared" si="1473"/>
        <v>#N/A</v>
      </c>
      <c r="AX530" s="625">
        <f>IF(AND('General price list'!$J530="F4",'General price list'!$AB530+0&gt;0),1,0)</f>
        <v>0</v>
      </c>
      <c r="AY530" s="625">
        <f t="shared" si="1474"/>
        <v>1</v>
      </c>
      <c r="AZ530" s="625">
        <f t="shared" si="1475"/>
        <v>0</v>
      </c>
    </row>
    <row r="531" spans="1:52" ht="15.75" customHeight="1">
      <c r="A531" s="621" t="str">
        <f>Kat.!C531</f>
        <v/>
      </c>
      <c r="B531" s="566">
        <f>IF(AND('General price list'!$J531="F4",$AI$1=FALSE),0,IF(AC531="SKLADEM",1,IF(AC531=$V$3,1,0)))</f>
        <v>1</v>
      </c>
      <c r="C531" s="567" t="s">
        <v>1142</v>
      </c>
      <c r="D531" s="568" t="s">
        <v>11718</v>
      </c>
      <c r="E531" s="763" t="s">
        <v>12675</v>
      </c>
      <c r="F531" s="772">
        <f>IFERROR(VLOOKUP(C531,[2]List1!$A:$D,3,FALSE),"NEUVEDENO!")</f>
        <v>354</v>
      </c>
      <c r="G531" s="769">
        <f t="shared" si="1518"/>
        <v>354</v>
      </c>
      <c r="H531" s="766">
        <f t="shared" si="1519"/>
        <v>15.037402352461418</v>
      </c>
      <c r="I531" s="764">
        <f>IFERROR(VLOOKUP(C531,[2]List1!$A:$D,4,FALSE),"NEUVEDENO!")</f>
        <v>12</v>
      </c>
      <c r="J531" s="732" t="s">
        <v>39</v>
      </c>
      <c r="K531" s="569" t="s">
        <v>20</v>
      </c>
      <c r="L531" s="569" t="s">
        <v>20</v>
      </c>
      <c r="M531" s="569" t="s">
        <v>114</v>
      </c>
      <c r="N531" s="569">
        <f>IFERROR(VLOOKUP(C531,[3]List1!$A:$D,4,FALSE),"N/A!")</f>
        <v>4.7185874999999995E-2</v>
      </c>
      <c r="O531" s="569">
        <f>IFERROR(VLOOKUP(C531,[3]List1!$A:$D,3,FALSE),"N/A!")</f>
        <v>5988</v>
      </c>
      <c r="P531" s="569">
        <f>IFERROR(VLOOKUP(C531,[3]List1!$A:$D,2,FALSE),"N/A!")</f>
        <v>22000</v>
      </c>
      <c r="Q531" s="569" t="s">
        <v>11303</v>
      </c>
      <c r="R531" s="569"/>
      <c r="S531" s="569" t="str">
        <f>IF($W$17=$AF$1,"design",IFERROR(VLOOKUP("design",Jazyky_ceník!$A:$Q,MATCH($W$17,Jazyky_ceník!$A$1:$Q$1,0),FALSE),"!!!"))</f>
        <v>design</v>
      </c>
      <c r="T531" s="569">
        <v>30</v>
      </c>
      <c r="U531" s="569">
        <v>33</v>
      </c>
      <c r="V531" s="569">
        <v>25</v>
      </c>
      <c r="W531" s="569" t="str">
        <f>IFERROR(IF(AND($AB531&gt;=0.1*$AA531,MOD($AB531,$AA531)&gt;=($AA531-(0.1*$AA531))),IF($W$17=$AF$1,"Zvažte možnost doobjednání ještě "&amp;Tabulka1[[#This Row],[VKPAL]]-MOD(AB531,AA531)&amp;" VK do plné palety.",VLOOKUP("Zvažte možnost doobjednání ještě ",Jazyky_ceník!A:Q,MATCH($W$17,Jazyky_ceník!$A$1:$Q$1,0),FALSE)&amp;Tabulka1[[#This Row],[VKPAL]]-MOD(AB531,AA531)&amp;VLOOKUP(" VK do plné palety.",Jazyky_ceník!A:Q,MATCH($W$17,Jazyky_ceník!$A$1:$Q$1,0),FALSE)),IFERROR(IF(AND(NOT(MOD($AB531,$AA531)=0),$AB531&gt;=0.9*$AA531,MOD($AB531,$AA531)&lt;=0.1*$AA531),IF($W$17=$AF$1,"Zvažte možnost optimalizace objednaného množství podle počtu VK na paletě ==&gt;",VLOOKUP("Zvažte možnost optimalizace objednaného množství podle počtu VK na paletě ==&gt;",Jazyky_ceník!A:Q,MATCH($W$17,Jazyky_ceník!$A$1:$Q$1,0),FALSE)),VLOOKUP('General price list'!$C531,Popisy!A:M,MATCH($W$17,Popisy!$A$7:$M$7,0),FALSE)),"---------------")),IFERROR(VLOOKUP('General price list'!$C531,Popisy!A:M,MATCH($W$17,Popisy!$A$7:$M$7,0),FALSE),"---------------"))</f>
        <v>5 různobarevných efektu</v>
      </c>
      <c r="X531" s="569" t="str">
        <f t="shared" si="1520"/>
        <v/>
      </c>
      <c r="Y531" s="569" t="str">
        <f t="shared" si="1521"/>
        <v/>
      </c>
      <c r="Z531" s="569" t="str">
        <f>HYPERLINK("https://www.klasekpyrotechnics.cz/c2525sig")</f>
        <v>https://www.klasekpyrotechnics.cz/c2525sig</v>
      </c>
      <c r="AA531" s="569">
        <f>IFERROR(IF(VLOOKUP(C531,[4]List1!$A:$D,4,FALSE)=0,"",VLOOKUP(C531,[4]List1!$A:$D,4,FALSE)),"")</f>
        <v>20</v>
      </c>
      <c r="AB531" s="565"/>
      <c r="AC531" s="570" t="str">
        <f>IFERROR(IF(VLOOKUP(C531,[1]List1!$A:$D,2,FALSE)="VYPRODÁNO",$V$9,IF(VLOOKUP(C531,[1]List1!$A:$D,2,FALSE)="DOCHÁZÍ",$V$3,VLOOKUP(C531,[1]List1!$A:$D,2,FALSE))),"OFFLINE!")</f>
        <v>SKLADEM</v>
      </c>
      <c r="AD531" s="570" t="str">
        <f ca="1">IF(AP531="NE",$V$10,IF(AC531=$V$3,IF(AQ531&lt;1,$V$8,$V$2&amp;" "&amp;AQ531&amp;" "&amp;$V$1),IF(AC531="SKLADEM",$V$6,IFERROR(IF(OR(AC531-TODAY()&gt;45,VLOOKUP(C531,[1]List1!$A:$E,4,FALSE)=0),AC531,DAY(AC531)&amp;"."&amp;MONTH(AC531)&amp;"."&amp;YEAR(AC531)&amp;" "&amp;$V$4&amp;VLOOKUP(C531,[1]List1!$A:$E,4,FALSE)&amp;" "&amp;$V$1),AC531))))</f>
        <v>SKLADEM</v>
      </c>
      <c r="AE531" s="581" t="str">
        <f t="shared" ca="1" si="1522"/>
        <v>SKLADEM</v>
      </c>
      <c r="AF531" s="584">
        <f t="shared" si="1523"/>
        <v>0</v>
      </c>
      <c r="AG531" s="585">
        <f t="shared" si="1524"/>
        <v>0</v>
      </c>
      <c r="AH531" s="583">
        <f t="shared" si="1525"/>
        <v>0</v>
      </c>
      <c r="AI531" s="582">
        <f t="shared" si="1526"/>
        <v>0</v>
      </c>
      <c r="AJ531" s="569">
        <f t="shared" si="1527"/>
        <v>0</v>
      </c>
      <c r="AK531" s="569" t="str">
        <f t="shared" si="1528"/>
        <v/>
      </c>
      <c r="AL531" s="569">
        <f t="shared" si="1529"/>
        <v>0</v>
      </c>
      <c r="AM531" s="569" t="str">
        <f t="shared" si="1530"/>
        <v/>
      </c>
      <c r="AN531" s="581">
        <f t="shared" si="1531"/>
        <v>0</v>
      </c>
      <c r="AO531" s="623"/>
      <c r="AP531" s="625" t="str">
        <f t="shared" si="1468"/>
        <v/>
      </c>
      <c r="AQ531" s="625" t="str">
        <f>IF(AC531=$V$3,IF(VLOOKUP(C531,[1]List1!$A:$E,5,FALSE)=0,1,VLOOKUP(C531,[1]List1!$A:$E,5,FALSE)),"")</f>
        <v/>
      </c>
      <c r="AR531" s="629" t="str">
        <f t="shared" si="1469"/>
        <v/>
      </c>
      <c r="AS531" s="630" t="str">
        <f t="shared" si="1470"/>
        <v/>
      </c>
      <c r="AT531" s="625" t="str">
        <f t="shared" si="1471"/>
        <v/>
      </c>
      <c r="AU531" s="625" t="e">
        <f t="shared" si="1472"/>
        <v>#N/A</v>
      </c>
      <c r="AV531" s="625" t="e">
        <f t="shared" si="1473"/>
        <v>#N/A</v>
      </c>
      <c r="AW531" s="631"/>
      <c r="AX531" s="631">
        <f>IF(AND('General price list'!$J531="F4",'General price list'!$AB531+0&gt;0),1,0)</f>
        <v>0</v>
      </c>
      <c r="AY531" s="631">
        <f t="shared" si="1474"/>
        <v>1</v>
      </c>
      <c r="AZ531" s="631">
        <f t="shared" si="1475"/>
        <v>0</v>
      </c>
    </row>
    <row r="532" spans="1:52" ht="15" customHeight="1">
      <c r="A532" s="639" t="str">
        <f>Kat.!C532</f>
        <v/>
      </c>
      <c r="B532" s="640">
        <f>IF(AND('General price list'!$J532="F4",$AI$1=FALSE),0,IF(AC532="SKLADEM",1,IF(AC532=$V$3,1,0)))</f>
        <v>1</v>
      </c>
      <c r="C532" s="641" t="s">
        <v>1143</v>
      </c>
      <c r="D532" s="642" t="s">
        <v>1144</v>
      </c>
      <c r="E532" s="643" t="s">
        <v>12675</v>
      </c>
      <c r="F532" s="771">
        <f>IFERROR(VLOOKUP(C532,[2]List1!$A:$D,3,FALSE),"NEUVEDENO!")</f>
        <v>334</v>
      </c>
      <c r="G532" s="768">
        <f t="shared" si="1518"/>
        <v>334</v>
      </c>
      <c r="H532" s="765">
        <f t="shared" si="1519"/>
        <v>14.187831598085067</v>
      </c>
      <c r="I532" s="644">
        <f>IFERROR(VLOOKUP(C532,[2]List1!$A:$D,4,FALSE),"NEUVEDENO!")</f>
        <v>12</v>
      </c>
      <c r="J532" s="733" t="s">
        <v>113</v>
      </c>
      <c r="K532" s="645" t="s">
        <v>20</v>
      </c>
      <c r="L532" s="645" t="s">
        <v>20</v>
      </c>
      <c r="M532" s="645" t="s">
        <v>114</v>
      </c>
      <c r="N532" s="645">
        <f>IFERROR(VLOOKUP(C532,[3]List1!$A:$D,4,FALSE),"N/A!")</f>
        <v>4.7185874999999995E-2</v>
      </c>
      <c r="O532" s="645">
        <f>IFERROR(VLOOKUP(C532,[3]List1!$A:$D,3,FALSE),"N/A!")</f>
        <v>3600</v>
      </c>
      <c r="P532" s="645">
        <f>IFERROR(VLOOKUP(C532,[3]List1!$A:$D,2,FALSE),"N/A!")</f>
        <v>21000</v>
      </c>
      <c r="Q532" s="645" t="s">
        <v>11304</v>
      </c>
      <c r="R532" s="645"/>
      <c r="S532" s="645" t="str">
        <f>IF($W$17=$AF$1,"design",IFERROR(VLOOKUP("design",Jazyky_ceník!$A:$Q,MATCH($W$17,Jazyky_ceník!$A$1:$Q$1,0),FALSE),"!!!"))</f>
        <v>design</v>
      </c>
      <c r="T532" s="645">
        <v>20</v>
      </c>
      <c r="U532" s="645">
        <v>30</v>
      </c>
      <c r="V532" s="645"/>
      <c r="W532" s="645" t="str">
        <f>IFERROR(IF(AND($AB532&gt;=0.1*$AA532,MOD($AB532,$AA532)&gt;=($AA532-(0.1*$AA532))),IF($W$17=$AF$1,"Zvažte možnost doobjednání ještě "&amp;Tabulka1[[#This Row],[VKPAL]]-MOD(AB532,AA532)&amp;" VK do plné palety.",VLOOKUP("Zvažte možnost doobjednání ještě ",Jazyky_ceník!A:Q,MATCH($W$17,Jazyky_ceník!$A$1:$Q$1,0),FALSE)&amp;Tabulka1[[#This Row],[VKPAL]]-MOD(AB532,AA532)&amp;VLOOKUP(" VK do plné palety.",Jazyky_ceník!A:Q,MATCH($W$17,Jazyky_ceník!$A$1:$Q$1,0),FALSE)),IFERROR(IF(AND(NOT(MOD($AB532,$AA532)=0),$AB532&gt;=0.9*$AA532,MOD($AB532,$AA532)&lt;=0.1*$AA532),IF($W$17=$AF$1,"Zvažte možnost optimalizace objednaného množství podle počtu VK na paletě ==&gt;",VLOOKUP("Zvažte možnost optimalizace objednaného množství podle počtu VK na paletě ==&gt;",Jazyky_ceník!A:Q,MATCH($W$17,Jazyky_ceník!$A$1:$Q$1,0),FALSE)),VLOOKUP('General price list'!$C532,Popisy!A:M,MATCH($W$17,Popisy!$A$7:$M$7,0),FALSE)),"---------------")),IFERROR(VLOOKUP('General price list'!$C532,Popisy!A:M,MATCH($W$17,Popisy!$A$7:$M$7,0),FALSE),"---------------"))</f>
        <v>stříbrná mina s červenou stopou a titanovou detonací</v>
      </c>
      <c r="X532" s="645" t="str">
        <f t="shared" si="1520"/>
        <v/>
      </c>
      <c r="Y532" s="645" t="str">
        <f t="shared" si="1521"/>
        <v/>
      </c>
      <c r="Z532" s="645" t="str">
        <f>HYPERLINK("https://www.klasekpyrotechnics.cz/c2525du")</f>
        <v>https://www.klasekpyrotechnics.cz/c2525du</v>
      </c>
      <c r="AA532" s="645">
        <f>IFERROR(IF(VLOOKUP(C532,[4]List1!$A:$D,4,FALSE)=0,"",VLOOKUP(C532,[4]List1!$A:$D,4,FALSE)),"")</f>
        <v>20</v>
      </c>
      <c r="AB532" s="646"/>
      <c r="AC532" s="647" t="str">
        <f>IFERROR(IF(VLOOKUP(C532,[1]List1!$A:$D,2,FALSE)="VYPRODÁNO",$V$9,IF(VLOOKUP(C532,[1]List1!$A:$D,2,FALSE)="DOCHÁZÍ",$V$3,VLOOKUP(C532,[1]List1!$A:$D,2,FALSE))),"OFFLINE!")</f>
        <v>SKLADEM</v>
      </c>
      <c r="AD532" s="647" t="str">
        <f ca="1">IF(AP532="NE",$V$10,IF(AC532=$V$3,IF(AQ532&lt;1,$V$8,$V$2&amp;" "&amp;AQ532&amp;" "&amp;$V$1),IF(AC532="SKLADEM",$V$6,IFERROR(IF(OR(AC532-TODAY()&gt;45,VLOOKUP(C532,[1]List1!$A:$E,4,FALSE)=0),AC532,DAY(AC532)&amp;"."&amp;MONTH(AC532)&amp;"."&amp;YEAR(AC532)&amp;" "&amp;$V$4&amp;VLOOKUP(C532,[1]List1!$A:$E,4,FALSE)&amp;" "&amp;$V$1),AC532))))</f>
        <v>SKLADEM</v>
      </c>
      <c r="AE532" s="645" t="str">
        <f t="shared" ca="1" si="1522"/>
        <v>SKLADEM</v>
      </c>
      <c r="AF532" s="648">
        <f t="shared" si="1523"/>
        <v>0</v>
      </c>
      <c r="AG532" s="649">
        <f t="shared" si="1524"/>
        <v>0</v>
      </c>
      <c r="AH532" s="650">
        <f t="shared" si="1525"/>
        <v>0</v>
      </c>
      <c r="AI532" s="645">
        <f t="shared" si="1526"/>
        <v>0</v>
      </c>
      <c r="AJ532" s="645">
        <f t="shared" si="1527"/>
        <v>0</v>
      </c>
      <c r="AK532" s="645" t="str">
        <f t="shared" si="1528"/>
        <v/>
      </c>
      <c r="AL532" s="645">
        <f t="shared" si="1529"/>
        <v>0</v>
      </c>
      <c r="AM532" s="645" t="str">
        <f t="shared" si="1530"/>
        <v/>
      </c>
      <c r="AN532" s="651">
        <f t="shared" si="1531"/>
        <v>0</v>
      </c>
      <c r="AO532" s="623"/>
      <c r="AP532" s="632" t="str">
        <f t="shared" si="1468"/>
        <v/>
      </c>
      <c r="AQ532" s="633" t="str">
        <f>IF(AC532=$V$3,IF(VLOOKUP(C532,[1]List1!$A:$E,5,FALSE)=0,1,VLOOKUP(C532,[1]List1!$A:$E,5,FALSE)),"")</f>
        <v/>
      </c>
      <c r="AR532" s="625" t="str">
        <f t="shared" si="1469"/>
        <v/>
      </c>
      <c r="AS532" s="634" t="str">
        <f t="shared" si="1470"/>
        <v/>
      </c>
      <c r="AT532" s="625" t="str">
        <f t="shared" si="1471"/>
        <v/>
      </c>
      <c r="AU532" s="638" t="e">
        <f t="shared" si="1472"/>
        <v>#N/A</v>
      </c>
      <c r="AV532" s="625" t="e">
        <f t="shared" si="1473"/>
        <v>#N/A</v>
      </c>
      <c r="AX532" s="625">
        <f>IF(AND('General price list'!$J532="F4",'General price list'!$AB532+0&gt;0),1,0)</f>
        <v>0</v>
      </c>
      <c r="AY532" s="625">
        <f t="shared" si="1474"/>
        <v>1</v>
      </c>
      <c r="AZ532" s="625">
        <f t="shared" si="1475"/>
        <v>0</v>
      </c>
    </row>
    <row r="533" spans="1:52" ht="15.75" customHeight="1">
      <c r="A533" s="621" t="str">
        <f>Kat.!C533</f>
        <v/>
      </c>
      <c r="B533" s="566">
        <f>IF(AND('General price list'!$J533="F4",$AI$1=FALSE),0,IF(AC533="SKLADEM",1,IF(AC533=$V$3,1,0)))</f>
        <v>1</v>
      </c>
      <c r="C533" s="567" t="s">
        <v>1145</v>
      </c>
      <c r="D533" s="568" t="s">
        <v>1146</v>
      </c>
      <c r="E533" s="763" t="s">
        <v>12675</v>
      </c>
      <c r="F533" s="791">
        <f>IFERROR(VLOOKUP(C533,[2]List1!$A:$D,3,FALSE),"NEUVEDENO!")</f>
        <v>319</v>
      </c>
      <c r="G533" s="769">
        <f t="shared" si="1518"/>
        <v>319</v>
      </c>
      <c r="H533" s="766">
        <f t="shared" si="1519"/>
        <v>13.550653532302805</v>
      </c>
      <c r="I533" s="764">
        <f>IFERROR(VLOOKUP(C533,[2]List1!$A:$D,4,FALSE),"NEUVEDENO!")</f>
        <v>12</v>
      </c>
      <c r="J533" s="732" t="s">
        <v>39</v>
      </c>
      <c r="K533" s="569" t="s">
        <v>11100</v>
      </c>
      <c r="L533" s="569" t="s">
        <v>10988</v>
      </c>
      <c r="M533" s="569" t="s">
        <v>114</v>
      </c>
      <c r="N533" s="569">
        <f>IFERROR(VLOOKUP(C533,[3]List1!$A:$D,4,FALSE),"N/A!")</f>
        <v>4.7185874999999995E-2</v>
      </c>
      <c r="O533" s="569">
        <f>IFERROR(VLOOKUP(C533,[3]List1!$A:$D,3,FALSE),"N/A!")</f>
        <v>3900</v>
      </c>
      <c r="P533" s="569">
        <f>IFERROR(VLOOKUP(C533,[3]List1!$A:$D,2,FALSE),"N/A!")</f>
        <v>21000</v>
      </c>
      <c r="Q533" s="569" t="s">
        <v>11303</v>
      </c>
      <c r="R533" s="569"/>
      <c r="S533" s="569" t="str">
        <f>IF($W$17=$AF$1,"design",IFERROR(VLOOKUP("design",Jazyky_ceník!$A:$Q,MATCH($W$17,Jazyky_ceník!$A$1:$Q$1,0),FALSE),"!!!"))</f>
        <v>design</v>
      </c>
      <c r="T533" s="569">
        <v>30</v>
      </c>
      <c r="U533" s="569">
        <v>30</v>
      </c>
      <c r="V533" s="569">
        <v>22</v>
      </c>
      <c r="W533" s="569" t="str">
        <f>IFERROR(IF(AND($AB533&gt;=0.1*$AA533,MOD($AB533,$AA533)&gt;=($AA533-(0.1*$AA533))),IF($W$17=$AF$1,"Zvažte možnost doobjednání ještě "&amp;Tabulka1[[#This Row],[VKPAL]]-MOD(AB533,AA533)&amp;" VK do plné palety.",VLOOKUP("Zvažte možnost doobjednání ještě ",Jazyky_ceník!A:Q,MATCH($W$17,Jazyky_ceník!$A$1:$Q$1,0),FALSE)&amp;Tabulka1[[#This Row],[VKPAL]]-MOD(AB533,AA533)&amp;VLOOKUP(" VK do plné palety.",Jazyky_ceník!A:Q,MATCH($W$17,Jazyky_ceník!$A$1:$Q$1,0),FALSE)),IFERROR(IF(AND(NOT(MOD($AB533,$AA533)=0),$AB533&gt;=0.9*$AA533,MOD($AB533,$AA533)&lt;=0.1*$AA533),IF($W$17=$AF$1,"Zvažte možnost optimalizace objednaného množství podle počtu VK na paletě ==&gt;",VLOOKUP("Zvažte možnost optimalizace objednaného množství podle počtu VK na paletě ==&gt;",Jazyky_ceník!A:Q,MATCH($W$17,Jazyky_ceník!$A$1:$Q$1,0),FALSE)),VLOOKUP('General price list'!$C533,Popisy!A:M,MATCH($W$17,Popisy!$A$7:$M$7,0),FALSE)),"---------------")),IFERROR(VLOOKUP('General price list'!$C533,Popisy!A:M,MATCH($W$17,Popisy!$A$7:$M$7,0),FALSE),"---------------"))</f>
        <v>5 různobarevných efektů</v>
      </c>
      <c r="X533" s="569" t="str">
        <f t="shared" si="1520"/>
        <v/>
      </c>
      <c r="Y533" s="569" t="str">
        <f t="shared" si="1521"/>
        <v/>
      </c>
      <c r="Z533" s="569" t="str">
        <f>HYPERLINK("https://www.klasekpyrotechnics.cz/c2525c")</f>
        <v>https://www.klasekpyrotechnics.cz/c2525c</v>
      </c>
      <c r="AA533" s="569">
        <f>IFERROR(IF(VLOOKUP(C533,[4]List1!$A:$D,4,FALSE)=0,"",VLOOKUP(C533,[4]List1!$A:$D,4,FALSE)),"")</f>
        <v>20</v>
      </c>
      <c r="AB533" s="565"/>
      <c r="AC533" s="570" t="str">
        <f>IFERROR(IF(VLOOKUP(C533,[1]List1!$A:$D,2,FALSE)="VYPRODÁNO",$V$9,IF(VLOOKUP(C533,[1]List1!$A:$D,2,FALSE)="DOCHÁZÍ",$V$3,VLOOKUP(C533,[1]List1!$A:$D,2,FALSE))),"OFFLINE!")</f>
        <v>SKLADEM</v>
      </c>
      <c r="AD533" s="570" t="str">
        <f ca="1">IF(AP533="NE",$V$10,IF(AC533=$V$3,IF(AQ533&lt;1,$V$8,$V$2&amp;" "&amp;AQ533&amp;" "&amp;$V$1),IF(AC533="SKLADEM",$V$6,IFERROR(IF(OR(AC533-TODAY()&gt;45,VLOOKUP(C533,[1]List1!$A:$E,4,FALSE)=0),AC533,DAY(AC533)&amp;"."&amp;MONTH(AC533)&amp;"."&amp;YEAR(AC533)&amp;" "&amp;$V$4&amp;VLOOKUP(C533,[1]List1!$A:$E,4,FALSE)&amp;" "&amp;$V$1),AC533))))</f>
        <v>SKLADEM</v>
      </c>
      <c r="AE533" s="581" t="str">
        <f t="shared" ca="1" si="1522"/>
        <v>SKLADEM</v>
      </c>
      <c r="AF533" s="584">
        <f t="shared" si="1523"/>
        <v>0</v>
      </c>
      <c r="AG533" s="585">
        <f t="shared" si="1524"/>
        <v>0</v>
      </c>
      <c r="AH533" s="583">
        <f t="shared" si="1525"/>
        <v>0</v>
      </c>
      <c r="AI533" s="582">
        <f t="shared" si="1526"/>
        <v>0</v>
      </c>
      <c r="AJ533" s="569">
        <f t="shared" si="1527"/>
        <v>0</v>
      </c>
      <c r="AK533" s="569" t="str">
        <f t="shared" si="1528"/>
        <v/>
      </c>
      <c r="AL533" s="569">
        <f t="shared" si="1529"/>
        <v>0</v>
      </c>
      <c r="AM533" s="569" t="str">
        <f t="shared" si="1530"/>
        <v/>
      </c>
      <c r="AN533" s="581">
        <f t="shared" si="1531"/>
        <v>0</v>
      </c>
      <c r="AO533" s="623"/>
      <c r="AP533" s="625" t="str">
        <f t="shared" si="1468"/>
        <v/>
      </c>
      <c r="AQ533" s="625" t="str">
        <f>IF(AC533=$V$3,IF(VLOOKUP(C533,[1]List1!$A:$E,5,FALSE)=0,1,VLOOKUP(C533,[1]List1!$A:$E,5,FALSE)),"")</f>
        <v/>
      </c>
      <c r="AR533" s="629" t="str">
        <f t="shared" si="1469"/>
        <v/>
      </c>
      <c r="AS533" s="630" t="str">
        <f t="shared" si="1470"/>
        <v/>
      </c>
      <c r="AT533" s="625" t="str">
        <f t="shared" si="1471"/>
        <v/>
      </c>
      <c r="AU533" s="625" t="e">
        <f t="shared" si="1472"/>
        <v>#N/A</v>
      </c>
      <c r="AV533" s="625" t="e">
        <f t="shared" si="1473"/>
        <v>#N/A</v>
      </c>
      <c r="AW533" s="631"/>
      <c r="AX533" s="631">
        <f>IF(AND('General price list'!$J533="F4",'General price list'!$AB533+0&gt;0),1,0)</f>
        <v>0</v>
      </c>
      <c r="AY533" s="631">
        <f t="shared" si="1474"/>
        <v>1</v>
      </c>
      <c r="AZ533" s="631">
        <f t="shared" si="1475"/>
        <v>0</v>
      </c>
    </row>
    <row r="534" spans="1:52" ht="15" customHeight="1">
      <c r="A534" s="639" t="str">
        <f>Kat.!C534</f>
        <v/>
      </c>
      <c r="B534" s="640">
        <f>IF(AND('General price list'!$J534="F4",$AI$1=FALSE),0,IF(AC534="SKLADEM",1,IF(AC534=$V$3,1,0)))</f>
        <v>1</v>
      </c>
      <c r="C534" s="641" t="s">
        <v>1147</v>
      </c>
      <c r="D534" s="642" t="s">
        <v>1148</v>
      </c>
      <c r="E534" s="643" t="s">
        <v>12675</v>
      </c>
      <c r="F534" s="791">
        <f>IFERROR(VLOOKUP(C534,[2]List1!$A:$D,3,FALSE),"NEUVEDENO!")</f>
        <v>319</v>
      </c>
      <c r="G534" s="770">
        <f t="shared" si="1518"/>
        <v>319</v>
      </c>
      <c r="H534" s="767">
        <f t="shared" si="1519"/>
        <v>13.550653532302805</v>
      </c>
      <c r="I534" s="644">
        <f>IFERROR(VLOOKUP(C534,[2]List1!$A:$D,4,FALSE),"NEUVEDENO!")</f>
        <v>12</v>
      </c>
      <c r="J534" s="733" t="s">
        <v>39</v>
      </c>
      <c r="K534" s="645" t="s">
        <v>11100</v>
      </c>
      <c r="L534" s="645" t="s">
        <v>10988</v>
      </c>
      <c r="M534" s="645" t="s">
        <v>114</v>
      </c>
      <c r="N534" s="645">
        <f>IFERROR(VLOOKUP(C534,[3]List1!$A:$D,4,FALSE),"N/A!")</f>
        <v>4.7185874999999995E-2</v>
      </c>
      <c r="O534" s="645">
        <f>IFERROR(VLOOKUP(C534,[3]List1!$A:$D,3,FALSE),"N/A!")</f>
        <v>3900</v>
      </c>
      <c r="P534" s="645">
        <f>IFERROR(VLOOKUP(C534,[3]List1!$A:$D,2,FALSE),"N/A!")</f>
        <v>21000</v>
      </c>
      <c r="Q534" s="645" t="s">
        <v>11303</v>
      </c>
      <c r="R534" s="645"/>
      <c r="S534" s="645" t="str">
        <f>IF($W$17=$AF$1,"design",IFERROR(VLOOKUP("design",Jazyky_ceník!$A:$Q,MATCH($W$17,Jazyky_ceník!$A$1:$Q$1,0),FALSE),"!!!"))</f>
        <v>design</v>
      </c>
      <c r="T534" s="645">
        <v>30</v>
      </c>
      <c r="U534" s="645">
        <v>30</v>
      </c>
      <c r="V534" s="645">
        <v>22</v>
      </c>
      <c r="W534" s="645" t="str">
        <f>IFERROR(IF(AND($AB534&gt;=0.1*$AA534,MOD($AB534,$AA534)&gt;=($AA534-(0.1*$AA534))),IF($W$17=$AF$1,"Zvažte možnost doobjednání ještě "&amp;Tabulka1[[#This Row],[VKPAL]]-MOD(AB534,AA534)&amp;" VK do plné palety.",VLOOKUP("Zvažte možnost doobjednání ještě ",Jazyky_ceník!A:Q,MATCH($W$17,Jazyky_ceník!$A$1:$Q$1,0),FALSE)&amp;Tabulka1[[#This Row],[VKPAL]]-MOD(AB534,AA534)&amp;VLOOKUP(" VK do plné palety.",Jazyky_ceník!A:Q,MATCH($W$17,Jazyky_ceník!$A$1:$Q$1,0),FALSE)),IFERROR(IF(AND(NOT(MOD($AB534,$AA534)=0),$AB534&gt;=0.9*$AA534,MOD($AB534,$AA534)&lt;=0.1*$AA534),IF($W$17=$AF$1,"Zvažte možnost optimalizace objednaného množství podle počtu VK na paletě ==&gt;",VLOOKUP("Zvažte možnost optimalizace objednaného množství podle počtu VK na paletě ==&gt;",Jazyky_ceník!A:Q,MATCH($W$17,Jazyky_ceník!$A$1:$Q$1,0),FALSE)),VLOOKUP('General price list'!$C534,Popisy!A:M,MATCH($W$17,Popisy!$A$7:$M$7,0),FALSE)),"---------------")),IFERROR(VLOOKUP('General price list'!$C534,Popisy!A:M,MATCH($W$17,Popisy!$A$7:$M$7,0),FALSE),"---------------"))</f>
        <v>5 různobarevných efektů</v>
      </c>
      <c r="X534" s="645" t="str">
        <f t="shared" si="1520"/>
        <v/>
      </c>
      <c r="Y534" s="645" t="str">
        <f t="shared" si="1521"/>
        <v/>
      </c>
      <c r="Z534" s="645" t="str">
        <f>HYPERLINK("https://www.klasekpyrotechnics.cz/c2525l")</f>
        <v>https://www.klasekpyrotechnics.cz/c2525l</v>
      </c>
      <c r="AA534" s="645">
        <f>IFERROR(IF(VLOOKUP(C534,[4]List1!$A:$D,4,FALSE)=0,"",VLOOKUP(C534,[4]List1!$A:$D,4,FALSE)),"")</f>
        <v>20</v>
      </c>
      <c r="AB534" s="646"/>
      <c r="AC534" s="647" t="str">
        <f>IFERROR(IF(VLOOKUP(C534,[1]List1!$A:$D,2,FALSE)="VYPRODÁNO",$V$9,IF(VLOOKUP(C534,[1]List1!$A:$D,2,FALSE)="DOCHÁZÍ",$V$3,VLOOKUP(C534,[1]List1!$A:$D,2,FALSE))),"OFFLINE!")</f>
        <v>SKLADEM</v>
      </c>
      <c r="AD534" s="647" t="str">
        <f ca="1">IF(AP534="NE",$V$10,IF(AC534=$V$3,IF(AQ534&lt;1,$V$8,$V$2&amp;" "&amp;AQ534&amp;" "&amp;$V$1),IF(AC534="SKLADEM",$V$6,IFERROR(IF(OR(AC534-TODAY()&gt;45,VLOOKUP(C534,[1]List1!$A:$E,4,FALSE)=0),AC534,DAY(AC534)&amp;"."&amp;MONTH(AC534)&amp;"."&amp;YEAR(AC534)&amp;" "&amp;$V$4&amp;VLOOKUP(C534,[1]List1!$A:$E,4,FALSE)&amp;" "&amp;$V$1),AC534))))</f>
        <v>SKLADEM</v>
      </c>
      <c r="AE534" s="645" t="str">
        <f t="shared" ca="1" si="1522"/>
        <v>SKLADEM</v>
      </c>
      <c r="AF534" s="648">
        <f t="shared" si="1523"/>
        <v>0</v>
      </c>
      <c r="AG534" s="649">
        <f t="shared" si="1524"/>
        <v>0</v>
      </c>
      <c r="AH534" s="650">
        <f t="shared" si="1525"/>
        <v>0</v>
      </c>
      <c r="AI534" s="645">
        <f t="shared" si="1526"/>
        <v>0</v>
      </c>
      <c r="AJ534" s="645">
        <f t="shared" si="1527"/>
        <v>0</v>
      </c>
      <c r="AK534" s="645" t="str">
        <f t="shared" si="1528"/>
        <v/>
      </c>
      <c r="AL534" s="645">
        <f t="shared" si="1529"/>
        <v>0</v>
      </c>
      <c r="AM534" s="645" t="str">
        <f t="shared" si="1530"/>
        <v/>
      </c>
      <c r="AN534" s="651">
        <f t="shared" si="1531"/>
        <v>0</v>
      </c>
      <c r="AO534" s="623"/>
      <c r="AP534" s="632" t="str">
        <f t="shared" si="1468"/>
        <v/>
      </c>
      <c r="AQ534" s="633" t="str">
        <f>IF(AC534=$V$3,IF(VLOOKUP(C534,[1]List1!$A:$E,5,FALSE)=0,1,VLOOKUP(C534,[1]List1!$A:$E,5,FALSE)),"")</f>
        <v/>
      </c>
      <c r="AR534" s="625" t="str">
        <f t="shared" si="1469"/>
        <v/>
      </c>
      <c r="AS534" s="634" t="str">
        <f t="shared" si="1470"/>
        <v/>
      </c>
      <c r="AT534" s="625" t="str">
        <f t="shared" si="1471"/>
        <v/>
      </c>
      <c r="AU534" s="638" t="e">
        <f t="shared" si="1472"/>
        <v>#N/A</v>
      </c>
      <c r="AV534" s="625" t="e">
        <f t="shared" si="1473"/>
        <v>#N/A</v>
      </c>
      <c r="AX534" s="625">
        <f>IF(AND('General price list'!$J534="F4",'General price list'!$AB534+0&gt;0),1,0)</f>
        <v>0</v>
      </c>
      <c r="AY534" s="625">
        <f t="shared" si="1474"/>
        <v>1</v>
      </c>
      <c r="AZ534" s="625">
        <f t="shared" si="1475"/>
        <v>0</v>
      </c>
    </row>
    <row r="535" spans="1:52" ht="15.75" customHeight="1">
      <c r="A535" s="751" t="str">
        <f>Kat.!C535</f>
        <v xml:space="preserve">           Baterie 25 ran, 25 mm moždíř – 1.4G</v>
      </c>
      <c r="B535" s="751"/>
      <c r="C535" s="751"/>
      <c r="D535" s="751"/>
      <c r="E535" s="751"/>
      <c r="F535" s="751"/>
      <c r="G535" s="751"/>
      <c r="H535" s="751"/>
      <c r="I535" s="752"/>
      <c r="J535" s="752"/>
      <c r="K535" s="752" t="s">
        <v>20</v>
      </c>
      <c r="L535" s="753" t="s">
        <v>2818</v>
      </c>
      <c r="M535" s="752"/>
      <c r="N535" s="752"/>
      <c r="O535" s="752"/>
      <c r="P535" s="752"/>
      <c r="Q535" s="752"/>
      <c r="R535" s="752"/>
      <c r="S535" s="752"/>
      <c r="T535" s="752"/>
      <c r="U535" s="752"/>
      <c r="V535" s="752"/>
      <c r="W535" s="752"/>
      <c r="X535" s="752"/>
      <c r="Y535" s="752"/>
      <c r="Z535" s="752" t="s">
        <v>20</v>
      </c>
      <c r="AA535" s="752"/>
      <c r="AB535" s="752"/>
      <c r="AC535" s="754"/>
      <c r="AD535" s="752"/>
      <c r="AE535" s="752"/>
      <c r="AF535" s="752"/>
      <c r="AG535" s="752"/>
      <c r="AH535" s="752"/>
      <c r="AI535" s="752"/>
      <c r="AJ535" s="752"/>
      <c r="AK535" s="752"/>
      <c r="AL535" s="752"/>
      <c r="AM535" s="752"/>
      <c r="AN535" s="752"/>
      <c r="AO535" s="623"/>
      <c r="AP535" s="625" t="str">
        <f t="shared" si="1468"/>
        <v/>
      </c>
      <c r="AQ535" s="625" t="str">
        <f>IF(AC535=$V$3,IF(VLOOKUP(C535,[1]List1!$A:$E,5,FALSE)=0,1,VLOOKUP(C535,[1]List1!$A:$E,5,FALSE)),"")</f>
        <v/>
      </c>
      <c r="AR535" s="629" t="str">
        <f t="shared" si="1469"/>
        <v/>
      </c>
      <c r="AS535" s="630" t="str">
        <f t="shared" si="1470"/>
        <v/>
      </c>
      <c r="AT535" s="625" t="str">
        <f t="shared" si="1471"/>
        <v/>
      </c>
      <c r="AU535" s="625" t="e">
        <f t="shared" si="1472"/>
        <v>#N/A</v>
      </c>
      <c r="AV535" s="625" t="e">
        <f t="shared" si="1473"/>
        <v>#N/A</v>
      </c>
      <c r="AW535" s="631"/>
      <c r="AX535" s="631">
        <f>IF(AND('General price list'!$J535="F4",'General price list'!$AB535+0&gt;0),1,0)</f>
        <v>0</v>
      </c>
      <c r="AY535" s="631">
        <f t="shared" si="1474"/>
        <v>0</v>
      </c>
      <c r="AZ535" s="631">
        <f t="shared" si="1475"/>
        <v>0</v>
      </c>
    </row>
    <row r="536" spans="1:52" ht="15" customHeight="1">
      <c r="A536" s="639" t="str">
        <f>Kat.!C536</f>
        <v/>
      </c>
      <c r="B536" s="640">
        <f>IF(AND('General price list'!$J536="F4",$AI$1=FALSE),0,IF(AC536="SKLADEM",1,IF(AC536=$V$3,1,0)))</f>
        <v>1</v>
      </c>
      <c r="C536" s="641" t="s">
        <v>2285</v>
      </c>
      <c r="D536" s="642" t="s">
        <v>11886</v>
      </c>
      <c r="E536" s="643" t="s">
        <v>12678</v>
      </c>
      <c r="F536" s="773">
        <f>IFERROR(VLOOKUP(C536,[2]List1!$A:$D,3,FALSE),"NEUVEDENO!")</f>
        <v>404</v>
      </c>
      <c r="G536" s="770">
        <f t="shared" ref="G536" si="1532">IF($W$17=$AF$8,ROUND((F536)/$F$17,2),(F536)*$B$19)</f>
        <v>404</v>
      </c>
      <c r="H536" s="767">
        <f t="shared" ref="H536" si="1533">IF($W$17=$AF$8,G536*$B$19,G536/$F$17)</f>
        <v>17.161329238402299</v>
      </c>
      <c r="I536" s="644">
        <f>IFERROR(VLOOKUP(C536,[2]List1!$A:$D,4,FALSE),"NEUVEDENO!")</f>
        <v>8</v>
      </c>
      <c r="J536" s="733" t="s">
        <v>39</v>
      </c>
      <c r="K536" s="645" t="s">
        <v>20</v>
      </c>
      <c r="L536" s="645" t="s">
        <v>12435</v>
      </c>
      <c r="M536" s="645" t="s">
        <v>21</v>
      </c>
      <c r="N536" s="645">
        <f>IFERROR(VLOOKUP(C536,[3]List1!$A:$D,4,FALSE),"N/A!")</f>
        <v>3.2767999999999999E-2</v>
      </c>
      <c r="O536" s="645">
        <f>IFERROR(VLOOKUP(C536,[3]List1!$A:$D,3,FALSE),"N/A!")</f>
        <v>2000</v>
      </c>
      <c r="P536" s="645">
        <f>IFERROR(VLOOKUP(C536,[3]List1!$A:$D,2,FALSE),"N/A!")</f>
        <v>12000</v>
      </c>
      <c r="Q536" s="645" t="s">
        <v>11305</v>
      </c>
      <c r="R536" s="645" t="s">
        <v>20</v>
      </c>
      <c r="S536" s="645" t="str">
        <f>IF($W$17=$AF$1,"design",IFERROR(VLOOKUP("design",Jazyky_ceník!$A:$Q,MATCH($W$17,Jazyky_ceník!$A$1:$Q$1,0),FALSE),"!!!"))</f>
        <v>design</v>
      </c>
      <c r="T536" s="645">
        <v>35</v>
      </c>
      <c r="U536" s="645"/>
      <c r="V536" s="645"/>
      <c r="W536" s="645" t="str">
        <f>IFERROR(IF(AND($AB536&gt;=0.1*$AA536,MOD($AB536,$AA536)&gt;=($AA536-(0.1*$AA536))),IF($W$17=$AF$1,"Zvažte možnost doobjednání ještě "&amp;Tabulka1[[#This Row],[VKPAL]]-MOD(AB536,AA536)&amp;" VK do plné palety.",VLOOKUP("Zvažte možnost doobjednání ještě ",Jazyky_ceník!A:Q,MATCH($W$17,Jazyky_ceník!$A$1:$Q$1,0),FALSE)&amp;Tabulka1[[#This Row],[VKPAL]]-MOD(AB536,AA536)&amp;VLOOKUP(" VK do plné palety.",Jazyky_ceník!A:Q,MATCH($W$17,Jazyky_ceník!$A$1:$Q$1,0),FALSE)),IFERROR(IF(AND(NOT(MOD($AB536,$AA536)=0),$AB536&gt;=0.9*$AA536,MOD($AB536,$AA536)&lt;=0.1*$AA536),IF($W$17=$AF$1,"Zvažte možnost optimalizace objednaného množství podle počtu VK na paletě ==&gt;",VLOOKUP("Zvažte možnost optimalizace objednaného množství podle počtu VK na paletě ==&gt;",Jazyky_ceník!A:Q,MATCH($W$17,Jazyky_ceník!$A$1:$Q$1,0),FALSE)),VLOOKUP('General price list'!$C536,Popisy!A:M,MATCH($W$17,Popisy!$A$7:$M$7,0),FALSE)),"---------------")),IFERROR(VLOOKUP('General price list'!$C536,Popisy!A:M,MATCH($W$17,Popisy!$A$7:$M$7,0),FALSE),"---------------"))</f>
        <v xml:space="preserve">pískající kometa  </v>
      </c>
      <c r="X536" s="645" t="str">
        <f t="shared" ref="X536" si="1534">IF(AB536&lt;0.0001,"",AB536)</f>
        <v/>
      </c>
      <c r="Y536" s="645" t="str">
        <f t="shared" ref="Y536" si="1535">IF($AL$3=2,IF(OR(AB536&lt;&gt;"",AB536&lt;&gt;0),AU536,""),IF(C536="","",IF(AB536&lt;0.0001,"",IF(B536=0,"",IF(AQ536&lt;AB536,"",AB536)))))</f>
        <v/>
      </c>
      <c r="Z536" s="645" t="str">
        <f>HYPERLINK("https://www.klasekpyrotechnics.cz/c2525sc14")</f>
        <v>https://www.klasekpyrotechnics.cz/c2525sc14</v>
      </c>
      <c r="AA536" s="645">
        <f>IFERROR(IF(VLOOKUP(C536,[4]List1!$A:$D,4,FALSE)=0,"",VLOOKUP(C536,[4]List1!$A:$D,4,FALSE)),"")</f>
        <v>16</v>
      </c>
      <c r="AB536" s="646"/>
      <c r="AC536" s="647" t="str">
        <f>IFERROR(IF(VLOOKUP(C536,[1]List1!$A:$D,2,FALSE)="VYPRODÁNO",$V$9,IF(VLOOKUP(C536,[1]List1!$A:$D,2,FALSE)="DOCHÁZÍ",$V$3,VLOOKUP(C536,[1]List1!$A:$D,2,FALSE))),"OFFLINE!")</f>
        <v>SKLADEM</v>
      </c>
      <c r="AD536" s="647" t="str">
        <f ca="1">IF(AP536="NE",$V$10,IF(AC536=$V$3,IF(AQ536&lt;1,$V$8,$V$2&amp;" "&amp;AQ536&amp;" "&amp;$V$1),IF(AC536="SKLADEM",$V$6,IFERROR(IF(OR(AC536-TODAY()&gt;45,VLOOKUP(C536,[1]List1!$A:$E,4,FALSE)=0),AC536,DAY(AC536)&amp;"."&amp;MONTH(AC536)&amp;"."&amp;YEAR(AC536)&amp;" "&amp;$V$4&amp;VLOOKUP(C536,[1]List1!$A:$E,4,FALSE)&amp;" "&amp;$V$1),AC536))))</f>
        <v>SKLADEM</v>
      </c>
      <c r="AE536" s="645" t="str">
        <f t="shared" ref="AE536" ca="1" si="1536">IFERROR(IF(AV536&lt;&gt;"",AV536,AD536),AD536)</f>
        <v>SKLADEM</v>
      </c>
      <c r="AF536" s="648">
        <f t="shared" ref="AF536" si="1537">IFERROR(IF(AB536=Y536,G536*I536*Y536,0),0)</f>
        <v>0</v>
      </c>
      <c r="AG536" s="649">
        <f t="shared" ref="AG536" si="1538">IF($W$17=$AF$8,AH536*1.23,AF536*1.21)</f>
        <v>0</v>
      </c>
      <c r="AH536" s="650">
        <f t="shared" ref="AH536" si="1539">IFERROR(IF(Y536=AB536,H536*I536*Y536,0),0)</f>
        <v>0</v>
      </c>
      <c r="AI536" s="645">
        <f t="shared" ref="AI536" si="1540">IFERROR(IF(Y536=AB536,(P536*Y536)/1000,1),0)</f>
        <v>0</v>
      </c>
      <c r="AJ536" s="645">
        <f t="shared" ref="AJ536" si="1541">IFERROR(IF(Y536=AB536,N536*Y536,0.1),0)</f>
        <v>0</v>
      </c>
      <c r="AK536" s="645" t="str">
        <f t="shared" ref="AK536" si="1542">IFERROR(IF(Y536=AB536,IF(M536="1.1G",(O536/1000)*Y536,""),""),0)</f>
        <v/>
      </c>
      <c r="AL536" s="645" t="str">
        <f t="shared" ref="AL536" si="1543">IFERROR(IF(Y536=AB536,IF(M536="1.3G",(O536/1000)*AB536,""),""),0)</f>
        <v/>
      </c>
      <c r="AM536" s="645">
        <f t="shared" ref="AM536" si="1544">IFERROR(IF(Y536=AB536,IF(M536="1.4G",(O536/1000)*AB536,""),""),0)</f>
        <v>0</v>
      </c>
      <c r="AN536" s="651">
        <f t="shared" ref="AN536" si="1545">SUM(AK536:AM536)</f>
        <v>0</v>
      </c>
      <c r="AO536" s="623"/>
      <c r="AP536" s="632" t="str">
        <f t="shared" si="1468"/>
        <v/>
      </c>
      <c r="AQ536" s="633" t="str">
        <f>IF(AC536=$V$3,IF(VLOOKUP(C536,[1]List1!$A:$E,5,FALSE)=0,1,VLOOKUP(C536,[1]List1!$A:$E,5,FALSE)),"")</f>
        <v/>
      </c>
      <c r="AR536" s="625" t="str">
        <f t="shared" si="1469"/>
        <v/>
      </c>
      <c r="AS536" s="634" t="str">
        <f t="shared" si="1470"/>
        <v/>
      </c>
      <c r="AT536" s="625" t="str">
        <f t="shared" si="1471"/>
        <v/>
      </c>
      <c r="AU536" s="638" t="e">
        <f t="shared" si="1472"/>
        <v>#N/A</v>
      </c>
      <c r="AV536" s="625" t="e">
        <f t="shared" si="1473"/>
        <v>#N/A</v>
      </c>
      <c r="AX536" s="625">
        <f>IF(AND('General price list'!$J536="F4",'General price list'!$AB536+0&gt;0),1,0)</f>
        <v>0</v>
      </c>
      <c r="AY536" s="625">
        <f t="shared" si="1474"/>
        <v>1</v>
      </c>
      <c r="AZ536" s="625">
        <f t="shared" si="1475"/>
        <v>0</v>
      </c>
    </row>
    <row r="537" spans="1:52" ht="15.75" customHeight="1">
      <c r="A537" s="751" t="str">
        <f>Kat.!C537</f>
        <v xml:space="preserve">           Baterie 25 ran, 25 mm šikmý moždíř – 1.3G</v>
      </c>
      <c r="B537" s="751"/>
      <c r="C537" s="751"/>
      <c r="D537" s="751"/>
      <c r="E537" s="751"/>
      <c r="F537" s="751"/>
      <c r="G537" s="751"/>
      <c r="H537" s="751"/>
      <c r="I537" s="752"/>
      <c r="J537" s="752"/>
      <c r="K537" s="752" t="s">
        <v>20</v>
      </c>
      <c r="L537" s="753" t="s">
        <v>2818</v>
      </c>
      <c r="M537" s="752"/>
      <c r="N537" s="752"/>
      <c r="O537" s="752"/>
      <c r="P537" s="752"/>
      <c r="Q537" s="752"/>
      <c r="R537" s="752"/>
      <c r="S537" s="752"/>
      <c r="T537" s="752"/>
      <c r="U537" s="752"/>
      <c r="V537" s="752"/>
      <c r="W537" s="752"/>
      <c r="X537" s="752"/>
      <c r="Y537" s="752"/>
      <c r="Z537" s="752" t="s">
        <v>20</v>
      </c>
      <c r="AA537" s="752"/>
      <c r="AB537" s="752"/>
      <c r="AC537" s="754"/>
      <c r="AD537" s="752"/>
      <c r="AE537" s="752"/>
      <c r="AF537" s="752"/>
      <c r="AG537" s="752"/>
      <c r="AH537" s="752"/>
      <c r="AI537" s="752"/>
      <c r="AJ537" s="752"/>
      <c r="AK537" s="752"/>
      <c r="AL537" s="752"/>
      <c r="AM537" s="752"/>
      <c r="AN537" s="752"/>
      <c r="AO537" s="623"/>
      <c r="AP537" s="625" t="str">
        <f t="shared" si="1468"/>
        <v/>
      </c>
      <c r="AQ537" s="625" t="str">
        <f>IF(AC537=$V$3,IF(VLOOKUP(C537,[1]List1!$A:$E,5,FALSE)=0,1,VLOOKUP(C537,[1]List1!$A:$E,5,FALSE)),"")</f>
        <v/>
      </c>
      <c r="AR537" s="629" t="str">
        <f t="shared" si="1469"/>
        <v/>
      </c>
      <c r="AS537" s="630" t="str">
        <f t="shared" si="1470"/>
        <v/>
      </c>
      <c r="AT537" s="625" t="str">
        <f t="shared" si="1471"/>
        <v/>
      </c>
      <c r="AU537" s="625" t="e">
        <f t="shared" si="1472"/>
        <v>#N/A</v>
      </c>
      <c r="AV537" s="625" t="e">
        <f t="shared" si="1473"/>
        <v>#N/A</v>
      </c>
      <c r="AW537" s="631"/>
      <c r="AX537" s="631">
        <f>IF(AND('General price list'!$J537="F4",'General price list'!$AB537+0&gt;0),1,0)</f>
        <v>0</v>
      </c>
      <c r="AY537" s="631">
        <f t="shared" si="1474"/>
        <v>0</v>
      </c>
      <c r="AZ537" s="631">
        <f t="shared" si="1475"/>
        <v>0</v>
      </c>
    </row>
    <row r="538" spans="1:52" ht="15" customHeight="1">
      <c r="A538" s="639" t="str">
        <f>Kat.!C538</f>
        <v>×</v>
      </c>
      <c r="B538" s="640">
        <f>IF(AND('General price list'!$J538="F4",$AI$1=FALSE),0,IF(AC538="SKLADEM",1,IF(AC538=$V$3,1,0)))</f>
        <v>1</v>
      </c>
      <c r="C538" s="641" t="s">
        <v>1149</v>
      </c>
      <c r="D538" s="642" t="s">
        <v>1150</v>
      </c>
      <c r="E538" s="643" t="s">
        <v>12679</v>
      </c>
      <c r="F538" s="791">
        <f>IFERROR(VLOOKUP(C538,[2]List1!$A:$D,3,FALSE),"NEUVEDENO!")</f>
        <v>385</v>
      </c>
      <c r="G538" s="768">
        <f t="shared" ref="G538:G540" si="1546">IF($W$17=$AF$8,ROUND((F538)/$F$17,2),(F538)*$B$19)</f>
        <v>385</v>
      </c>
      <c r="H538" s="765">
        <f t="shared" ref="H538:H540" si="1547">IF($W$17=$AF$8,G538*$B$19,G538/$F$17)</f>
        <v>16.354237021744765</v>
      </c>
      <c r="I538" s="644">
        <f>IFERROR(VLOOKUP(C538,[2]List1!$A:$D,4,FALSE),"NEUVEDENO!")</f>
        <v>10</v>
      </c>
      <c r="J538" s="733" t="s">
        <v>39</v>
      </c>
      <c r="K538" s="645" t="s">
        <v>11100</v>
      </c>
      <c r="L538" s="645" t="s">
        <v>10988</v>
      </c>
      <c r="M538" s="645" t="s">
        <v>114</v>
      </c>
      <c r="N538" s="645">
        <f>IFERROR(VLOOKUP(C538,[3]List1!$A:$D,4,FALSE),"N/A!")</f>
        <v>7.3631249999999995E-2</v>
      </c>
      <c r="O538" s="645">
        <f>IFERROR(VLOOKUP(C538,[3]List1!$A:$D,3,FALSE),"N/A!")</f>
        <v>3250</v>
      </c>
      <c r="P538" s="645">
        <f>IFERROR(VLOOKUP(C538,[3]List1!$A:$D,2,FALSE),"N/A!")</f>
        <v>19500</v>
      </c>
      <c r="Q538" s="645" t="s">
        <v>11303</v>
      </c>
      <c r="R538" s="645"/>
      <c r="S538" s="645" t="str">
        <f>IF($W$17=$AF$1,"design",IFERROR(VLOOKUP("design",Jazyky_ceník!$A:$Q,MATCH($W$17,Jazyky_ceník!$A$1:$Q$1,0),FALSE),"!!!"))</f>
        <v>design</v>
      </c>
      <c r="T538" s="645">
        <v>30</v>
      </c>
      <c r="U538" s="645">
        <v>30</v>
      </c>
      <c r="V538" s="645">
        <v>22</v>
      </c>
      <c r="W538" s="645" t="str">
        <f>IFERROR(IF(AND($AB538&gt;=0.1*$AA538,MOD($AB538,$AA538)&gt;=($AA538-(0.1*$AA538))),IF($W$17=$AF$1,"Zvažte možnost doobjednání ještě "&amp;Tabulka1[[#This Row],[VKPAL]]-MOD(AB538,AA538)&amp;" VK do plné palety.",VLOOKUP("Zvažte možnost doobjednání ještě ",Jazyky_ceník!A:Q,MATCH($W$17,Jazyky_ceník!$A$1:$Q$1,0),FALSE)&amp;Tabulka1[[#This Row],[VKPAL]]-MOD(AB538,AA538)&amp;VLOOKUP(" VK do plné palety.",Jazyky_ceník!A:Q,MATCH($W$17,Jazyky_ceník!$A$1:$Q$1,0),FALSE)),IFERROR(IF(AND(NOT(MOD($AB538,$AA538)=0),$AB538&gt;=0.9*$AA538,MOD($AB538,$AA538)&lt;=0.1*$AA538),IF($W$17=$AF$1,"Zvažte možnost optimalizace objednaného množství podle počtu VK na paletě ==&gt;",VLOOKUP("Zvažte možnost optimalizace objednaného množství podle počtu VK na paletě ==&gt;",Jazyky_ceník!A:Q,MATCH($W$17,Jazyky_ceník!$A$1:$Q$1,0),FALSE)),VLOOKUP('General price list'!$C538,Popisy!A:M,MATCH($W$17,Popisy!$A$7:$M$7,0),FALSE)),"---------------")),IFERROR(VLOOKUP('General price list'!$C538,Popisy!A:M,MATCH($W$17,Popisy!$A$7:$M$7,0),FALSE),"---------------"))</f>
        <v>5 různobarevných efektů</v>
      </c>
      <c r="X538" s="645" t="str">
        <f t="shared" ref="X538:X540" si="1548">IF(AB538&lt;0.0001,"",AB538)</f>
        <v/>
      </c>
      <c r="Y538" s="645" t="str">
        <f t="shared" ref="Y538:Y540" si="1549">IF($AL$3=2,IF(OR(AB538&lt;&gt;"",AB538&lt;&gt;0),AU538,""),IF(C538="","",IF(AB538&lt;0.0001,"",IF(B538=0,"",IF(AQ538&lt;AB538,"",AB538)))))</f>
        <v/>
      </c>
      <c r="Z538" s="645" t="str">
        <f>HYPERLINK("https://www.klasekpyrotechnics.cz/cf2525d")</f>
        <v>https://www.klasekpyrotechnics.cz/cf2525d</v>
      </c>
      <c r="AA538" s="645" t="str">
        <f>IFERROR(IF(VLOOKUP(C538,[4]List1!$A:$D,4,FALSE)=0,"",VLOOKUP(C538,[4]List1!$A:$D,4,FALSE)),"")</f>
        <v>20</v>
      </c>
      <c r="AB538" s="646"/>
      <c r="AC538" s="647" t="str">
        <f>IFERROR(IF(VLOOKUP(C538,[1]List1!$A:$D,2,FALSE)="VYPRODÁNO",$V$9,IF(VLOOKUP(C538,[1]List1!$A:$D,2,FALSE)="DOCHÁZÍ",$V$3,VLOOKUP(C538,[1]List1!$A:$D,2,FALSE))),"OFFLINE!")</f>
        <v>SKLADEM</v>
      </c>
      <c r="AD538" s="647" t="str">
        <f ca="1">IF(AP538="NE",$V$10,IF(AC538=$V$3,IF(AQ538&lt;1,$V$8,$V$2&amp;" "&amp;AQ538&amp;" "&amp;$V$1),IF(AC538="SKLADEM",$V$6,IFERROR(IF(OR(AC538-TODAY()&gt;45,VLOOKUP(C538,[1]List1!$A:$E,4,FALSE)=0),AC538,DAY(AC538)&amp;"."&amp;MONTH(AC538)&amp;"."&amp;YEAR(AC538)&amp;" "&amp;$V$4&amp;VLOOKUP(C538,[1]List1!$A:$E,4,FALSE)&amp;" "&amp;$V$1),AC538))))</f>
        <v>SKLADEM</v>
      </c>
      <c r="AE538" s="645" t="str">
        <f t="shared" ref="AE538:AE540" ca="1" si="1550">IFERROR(IF(AV538&lt;&gt;"",AV538,AD538),AD538)</f>
        <v>SKLADEM</v>
      </c>
      <c r="AF538" s="648">
        <f t="shared" ref="AF538:AF540" si="1551">IFERROR(IF(AB538=Y538,G538*I538*Y538,0),0)</f>
        <v>0</v>
      </c>
      <c r="AG538" s="649">
        <f t="shared" ref="AG538:AG540" si="1552">IF($W$17=$AF$8,AH538*1.23,AF538*1.21)</f>
        <v>0</v>
      </c>
      <c r="AH538" s="650">
        <f t="shared" ref="AH538:AH540" si="1553">IFERROR(IF(Y538=AB538,H538*I538*Y538,0),0)</f>
        <v>0</v>
      </c>
      <c r="AI538" s="645">
        <f t="shared" ref="AI538:AI540" si="1554">IFERROR(IF(Y538=AB538,(P538*Y538)/1000,1),0)</f>
        <v>0</v>
      </c>
      <c r="AJ538" s="645">
        <f t="shared" ref="AJ538:AJ540" si="1555">IFERROR(IF(Y538=AB538,N538*Y538,0.1),0)</f>
        <v>0</v>
      </c>
      <c r="AK538" s="645" t="str">
        <f t="shared" ref="AK538:AK540" si="1556">IFERROR(IF(Y538=AB538,IF(M538="1.1G",(O538/1000)*Y538,""),""),0)</f>
        <v/>
      </c>
      <c r="AL538" s="645">
        <f t="shared" ref="AL538:AL540" si="1557">IFERROR(IF(Y538=AB538,IF(M538="1.3G",(O538/1000)*AB538,""),""),0)</f>
        <v>0</v>
      </c>
      <c r="AM538" s="645" t="str">
        <f t="shared" ref="AM538:AM540" si="1558">IFERROR(IF(Y538=AB538,IF(M538="1.4G",(O538/1000)*AB538,""),""),0)</f>
        <v/>
      </c>
      <c r="AN538" s="651">
        <f t="shared" ref="AN538:AN540" si="1559">SUM(AK538:AM538)</f>
        <v>0</v>
      </c>
      <c r="AO538" s="623"/>
      <c r="AP538" s="632" t="str">
        <f t="shared" si="1468"/>
        <v/>
      </c>
      <c r="AQ538" s="633" t="str">
        <f>IF(AC538=$V$3,IF(VLOOKUP(C538,[1]List1!$A:$E,5,FALSE)=0,1,VLOOKUP(C538,[1]List1!$A:$E,5,FALSE)),"")</f>
        <v/>
      </c>
      <c r="AR538" s="625" t="str">
        <f t="shared" si="1469"/>
        <v/>
      </c>
      <c r="AS538" s="634" t="str">
        <f t="shared" si="1470"/>
        <v/>
      </c>
      <c r="AT538" s="625" t="str">
        <f t="shared" si="1471"/>
        <v/>
      </c>
      <c r="AU538" s="638" t="e">
        <f t="shared" si="1472"/>
        <v>#N/A</v>
      </c>
      <c r="AV538" s="625" t="e">
        <f t="shared" si="1473"/>
        <v>#N/A</v>
      </c>
      <c r="AX538" s="625">
        <f>IF(AND('General price list'!$J538="F4",'General price list'!$AB538+0&gt;0),1,0)</f>
        <v>0</v>
      </c>
      <c r="AY538" s="625">
        <f t="shared" si="1474"/>
        <v>1</v>
      </c>
      <c r="AZ538" s="625">
        <f t="shared" si="1475"/>
        <v>0</v>
      </c>
    </row>
    <row r="539" spans="1:52" ht="15.75" customHeight="1">
      <c r="A539" s="621" t="str">
        <f>Kat.!C539</f>
        <v/>
      </c>
      <c r="B539" s="566">
        <f>IF(AND('General price list'!$J539="F4",$AI$1=FALSE),0,IF(AC539="SKLADEM",1,IF(AC539=$V$3,1,0)))</f>
        <v>0</v>
      </c>
      <c r="C539" s="567" t="s">
        <v>1151</v>
      </c>
      <c r="D539" s="568" t="s">
        <v>1152</v>
      </c>
      <c r="E539" s="763" t="s">
        <v>12679</v>
      </c>
      <c r="F539" s="791">
        <f>IFERROR(VLOOKUP(C539,[2]List1!$A:$D,3,FALSE),"NEUVEDENO!")</f>
        <v>385</v>
      </c>
      <c r="G539" s="769">
        <f t="shared" si="1546"/>
        <v>385</v>
      </c>
      <c r="H539" s="766">
        <f t="shared" si="1547"/>
        <v>16.354237021744765</v>
      </c>
      <c r="I539" s="764">
        <f>IFERROR(VLOOKUP(C539,[2]List1!$A:$D,4,FALSE),"NEUVEDENO!")</f>
        <v>10</v>
      </c>
      <c r="J539" s="732" t="s">
        <v>39</v>
      </c>
      <c r="K539" s="569" t="s">
        <v>11100</v>
      </c>
      <c r="L539" s="569" t="s">
        <v>10988</v>
      </c>
      <c r="M539" s="569" t="s">
        <v>114</v>
      </c>
      <c r="N539" s="569">
        <f>IFERROR(VLOOKUP(C539,[3]List1!$A:$D,4,FALSE),"N/A!")</f>
        <v>7.3631249999999995E-2</v>
      </c>
      <c r="O539" s="569">
        <f>IFERROR(VLOOKUP(C539,[3]List1!$A:$D,3,FALSE),"N/A!")</f>
        <v>3250</v>
      </c>
      <c r="P539" s="569">
        <f>IFERROR(VLOOKUP(C539,[3]List1!$A:$D,2,FALSE),"N/A!")</f>
        <v>19500</v>
      </c>
      <c r="Q539" s="569" t="s">
        <v>11303</v>
      </c>
      <c r="R539" s="569" t="s">
        <v>20</v>
      </c>
      <c r="S539" s="569" t="str">
        <f>IF($W$17=$AF$1,"design",IFERROR(VLOOKUP("design",Jazyky_ceník!$A:$Q,MATCH($W$17,Jazyky_ceník!$A$1:$Q$1,0),FALSE),"!!!"))</f>
        <v>design</v>
      </c>
      <c r="T539" s="569">
        <v>30</v>
      </c>
      <c r="U539" s="569">
        <v>30</v>
      </c>
      <c r="V539" s="569">
        <v>22</v>
      </c>
      <c r="W539" s="569" t="str">
        <f>IFERROR(IF(AND($AB539&gt;=0.1*$AA539,MOD($AB539,$AA539)&gt;=($AA539-(0.1*$AA539))),IF($W$17=$AF$1,"Zvažte možnost doobjednání ještě "&amp;Tabulka1[[#This Row],[VKPAL]]-MOD(AB539,AA539)&amp;" VK do plné palety.",VLOOKUP("Zvažte možnost doobjednání ještě ",Jazyky_ceník!A:Q,MATCH($W$17,Jazyky_ceník!$A$1:$Q$1,0),FALSE)&amp;Tabulka1[[#This Row],[VKPAL]]-MOD(AB539,AA539)&amp;VLOOKUP(" VK do plné palety.",Jazyky_ceník!A:Q,MATCH($W$17,Jazyky_ceník!$A$1:$Q$1,0),FALSE)),IFERROR(IF(AND(NOT(MOD($AB539,$AA539)=0),$AB539&gt;=0.9*$AA539,MOD($AB539,$AA539)&lt;=0.1*$AA539),IF($W$17=$AF$1,"Zvažte možnost optimalizace objednaného množství podle počtu VK na paletě ==&gt;",VLOOKUP("Zvažte možnost optimalizace objednaného množství podle počtu VK na paletě ==&gt;",Jazyky_ceník!A:Q,MATCH($W$17,Jazyky_ceník!$A$1:$Q$1,0),FALSE)),VLOOKUP('General price list'!$C539,Popisy!A:M,MATCH($W$17,Popisy!$A$7:$M$7,0),FALSE)),"---------------")),IFERROR(VLOOKUP('General price list'!$C539,Popisy!A:M,MATCH($W$17,Popisy!$A$7:$M$7,0),FALSE),"---------------"))</f>
        <v>5 různobarevných efektů</v>
      </c>
      <c r="X539" s="569" t="str">
        <f t="shared" si="1548"/>
        <v/>
      </c>
      <c r="Y539" s="569" t="str">
        <f t="shared" si="1549"/>
        <v/>
      </c>
      <c r="Z539" s="569" t="str">
        <f>HYPERLINK("https://www.klasekpyrotechnics.cz/cf2525o")</f>
        <v>https://www.klasekpyrotechnics.cz/cf2525o</v>
      </c>
      <c r="AA539" s="569" t="str">
        <f>IFERROR(IF(VLOOKUP(C539,[4]List1!$A:$D,4,FALSE)=0,"",VLOOKUP(C539,[4]List1!$A:$D,4,FALSE)),"")</f>
        <v>20</v>
      </c>
      <c r="AB539" s="565"/>
      <c r="AC539" s="570" t="str">
        <f>IFERROR(IF(VLOOKUP(C539,[1]List1!$A:$D,2,FALSE)="VYPRODÁNO",$V$9,IF(VLOOKUP(C539,[1]List1!$A:$D,2,FALSE)="DOCHÁZÍ",$V$3,VLOOKUP(C539,[1]List1!$A:$D,2,FALSE))),"OFFLINE!")</f>
        <v>31.08.2026</v>
      </c>
      <c r="AD539" s="570" t="str">
        <f ca="1">IF(AP539="NE",$V$10,IF(AC539=$V$3,IF(AQ539&lt;1,$V$8,$V$2&amp;" "&amp;AQ539&amp;" "&amp;$V$1),IF(AC539="SKLADEM",$V$6,IFERROR(IF(OR(AC539-TODAY()&gt;45,VLOOKUP(C539,[1]List1!$A:$E,4,FALSE)=0),AC539,DAY(AC539)&amp;"."&amp;MONTH(AC539)&amp;"."&amp;YEAR(AC539)&amp;" "&amp;$V$4&amp;VLOOKUP(C539,[1]List1!$A:$E,4,FALSE)&amp;" "&amp;$V$1),AC539))))</f>
        <v>31.08.2026</v>
      </c>
      <c r="AE539" s="581" t="str">
        <f t="shared" ca="1" si="1550"/>
        <v>31.08.2026</v>
      </c>
      <c r="AF539" s="584">
        <f t="shared" si="1551"/>
        <v>0</v>
      </c>
      <c r="AG539" s="585">
        <f t="shared" si="1552"/>
        <v>0</v>
      </c>
      <c r="AH539" s="583">
        <f t="shared" si="1553"/>
        <v>0</v>
      </c>
      <c r="AI539" s="582">
        <f t="shared" si="1554"/>
        <v>0</v>
      </c>
      <c r="AJ539" s="569">
        <f t="shared" si="1555"/>
        <v>0</v>
      </c>
      <c r="AK539" s="569" t="str">
        <f t="shared" si="1556"/>
        <v/>
      </c>
      <c r="AL539" s="569">
        <f t="shared" si="1557"/>
        <v>0</v>
      </c>
      <c r="AM539" s="569" t="str">
        <f t="shared" si="1558"/>
        <v/>
      </c>
      <c r="AN539" s="581">
        <f t="shared" si="1559"/>
        <v>0</v>
      </c>
      <c r="AO539" s="623"/>
      <c r="AP539" s="625" t="str">
        <f t="shared" si="1468"/>
        <v/>
      </c>
      <c r="AQ539" s="625" t="str">
        <f>IF(AC539=$V$3,IF(VLOOKUP(C539,[1]List1!$A:$E,5,FALSE)=0,1,VLOOKUP(C539,[1]List1!$A:$E,5,FALSE)),"")</f>
        <v/>
      </c>
      <c r="AR539" s="629" t="str">
        <f t="shared" si="1469"/>
        <v/>
      </c>
      <c r="AS539" s="630" t="str">
        <f t="shared" si="1470"/>
        <v/>
      </c>
      <c r="AT539" s="625" t="str">
        <f t="shared" si="1471"/>
        <v/>
      </c>
      <c r="AU539" s="625" t="e">
        <f t="shared" si="1472"/>
        <v>#N/A</v>
      </c>
      <c r="AV539" s="625" t="e">
        <f t="shared" si="1473"/>
        <v>#N/A</v>
      </c>
      <c r="AW539" s="631"/>
      <c r="AX539" s="631">
        <f>IF(AND('General price list'!$J539="F4",'General price list'!$AB539+0&gt;0),1,0)</f>
        <v>0</v>
      </c>
      <c r="AY539" s="631">
        <f t="shared" si="1474"/>
        <v>1</v>
      </c>
      <c r="AZ539" s="631">
        <f t="shared" si="1475"/>
        <v>0</v>
      </c>
    </row>
    <row r="540" spans="1:52" ht="15" customHeight="1">
      <c r="A540" s="639" t="str">
        <f>Kat.!C540</f>
        <v/>
      </c>
      <c r="B540" s="640">
        <f>IF(AND('General price list'!$J540="F4",$AI$1=FALSE),0,IF(AC540="SKLADEM",1,IF(AC540=$V$3,1,0)))</f>
        <v>1</v>
      </c>
      <c r="C540" s="641" t="s">
        <v>1153</v>
      </c>
      <c r="D540" s="642" t="s">
        <v>1154</v>
      </c>
      <c r="E540" s="643" t="s">
        <v>12679</v>
      </c>
      <c r="F540" s="791">
        <f>IFERROR(VLOOKUP(C540,[2]List1!$A:$D,3,FALSE),"NEUVEDENO!")</f>
        <v>385</v>
      </c>
      <c r="G540" s="770">
        <f t="shared" si="1546"/>
        <v>385</v>
      </c>
      <c r="H540" s="767">
        <f t="shared" si="1547"/>
        <v>16.354237021744765</v>
      </c>
      <c r="I540" s="644">
        <f>IFERROR(VLOOKUP(C540,[2]List1!$A:$D,4,FALSE),"NEUVEDENO!")</f>
        <v>10</v>
      </c>
      <c r="J540" s="733" t="s">
        <v>39</v>
      </c>
      <c r="K540" s="645" t="s">
        <v>11100</v>
      </c>
      <c r="L540" s="645" t="s">
        <v>10988</v>
      </c>
      <c r="M540" s="645" t="s">
        <v>114</v>
      </c>
      <c r="N540" s="645">
        <f>IFERROR(VLOOKUP(C540,[3]List1!$A:$D,4,FALSE),"N/A!")</f>
        <v>7.3631249999999995E-2</v>
      </c>
      <c r="O540" s="645">
        <f>IFERROR(VLOOKUP(C540,[3]List1!$A:$D,3,FALSE),"N/A!")</f>
        <v>3250</v>
      </c>
      <c r="P540" s="645">
        <f>IFERROR(VLOOKUP(C540,[3]List1!$A:$D,2,FALSE),"N/A!")</f>
        <v>19500</v>
      </c>
      <c r="Q540" s="645" t="s">
        <v>11303</v>
      </c>
      <c r="R540" s="645"/>
      <c r="S540" s="645" t="str">
        <f>IF($W$17=$AF$1,"design",IFERROR(VLOOKUP("design",Jazyky_ceník!$A:$Q,MATCH($W$17,Jazyky_ceník!$A$1:$Q$1,0),FALSE),"!!!"))</f>
        <v>design</v>
      </c>
      <c r="T540" s="645">
        <v>30</v>
      </c>
      <c r="U540" s="645">
        <v>30</v>
      </c>
      <c r="V540" s="645">
        <v>22</v>
      </c>
      <c r="W540" s="645" t="str">
        <f>IFERROR(IF(AND($AB540&gt;=0.1*$AA540,MOD($AB540,$AA540)&gt;=($AA540-(0.1*$AA540))),IF($W$17=$AF$1,"Zvažte možnost doobjednání ještě "&amp;Tabulka1[[#This Row],[VKPAL]]-MOD(AB540,AA540)&amp;" VK do plné palety.",VLOOKUP("Zvažte možnost doobjednání ještě ",Jazyky_ceník!A:Q,MATCH($W$17,Jazyky_ceník!$A$1:$Q$1,0),FALSE)&amp;Tabulka1[[#This Row],[VKPAL]]-MOD(AB540,AA540)&amp;VLOOKUP(" VK do plné palety.",Jazyky_ceník!A:Q,MATCH($W$17,Jazyky_ceník!$A$1:$Q$1,0),FALSE)),IFERROR(IF(AND(NOT(MOD($AB540,$AA540)=0),$AB540&gt;=0.9*$AA540,MOD($AB540,$AA540)&lt;=0.1*$AA540),IF($W$17=$AF$1,"Zvažte možnost optimalizace objednaného množství podle počtu VK na paletě ==&gt;",VLOOKUP("Zvažte možnost optimalizace objednaného množství podle počtu VK na paletě ==&gt;",Jazyky_ceník!A:Q,MATCH($W$17,Jazyky_ceník!$A$1:$Q$1,0),FALSE)),VLOOKUP('General price list'!$C540,Popisy!A:M,MATCH($W$17,Popisy!$A$7:$M$7,0),FALSE)),"---------------")),IFERROR(VLOOKUP('General price list'!$C540,Popisy!A:M,MATCH($W$17,Popisy!$A$7:$M$7,0),FALSE),"---------------"))</f>
        <v>5 různobarevných efektů</v>
      </c>
      <c r="X540" s="645" t="str">
        <f t="shared" si="1548"/>
        <v/>
      </c>
      <c r="Y540" s="645" t="str">
        <f t="shared" si="1549"/>
        <v/>
      </c>
      <c r="Z540" s="645" t="str">
        <f>HYPERLINK("https://www.klasekpyrotechnics.cz/cf2525s")</f>
        <v>https://www.klasekpyrotechnics.cz/cf2525s</v>
      </c>
      <c r="AA540" s="645" t="str">
        <f>IFERROR(IF(VLOOKUP(C540,[4]List1!$A:$D,4,FALSE)=0,"",VLOOKUP(C540,[4]List1!$A:$D,4,FALSE)),"")</f>
        <v>20</v>
      </c>
      <c r="AB540" s="646"/>
      <c r="AC540" s="647" t="str">
        <f>IFERROR(IF(VLOOKUP(C540,[1]List1!$A:$D,2,FALSE)="VYPRODÁNO",$V$9,IF(VLOOKUP(C540,[1]List1!$A:$D,2,FALSE)="DOCHÁZÍ",$V$3,VLOOKUP(C540,[1]List1!$A:$D,2,FALSE))),"OFFLINE!")</f>
        <v>SKLADEM</v>
      </c>
      <c r="AD540" s="647" t="str">
        <f ca="1">IF(AP540="NE",$V$10,IF(AC540=$V$3,IF(AQ540&lt;1,$V$8,$V$2&amp;" "&amp;AQ540&amp;" "&amp;$V$1),IF(AC540="SKLADEM",$V$6,IFERROR(IF(OR(AC540-TODAY()&gt;45,VLOOKUP(C540,[1]List1!$A:$E,4,FALSE)=0),AC540,DAY(AC540)&amp;"."&amp;MONTH(AC540)&amp;"."&amp;YEAR(AC540)&amp;" "&amp;$V$4&amp;VLOOKUP(C540,[1]List1!$A:$E,4,FALSE)&amp;" "&amp;$V$1),AC540))))</f>
        <v>SKLADEM</v>
      </c>
      <c r="AE540" s="645" t="str">
        <f t="shared" ca="1" si="1550"/>
        <v>SKLADEM</v>
      </c>
      <c r="AF540" s="648">
        <f t="shared" si="1551"/>
        <v>0</v>
      </c>
      <c r="AG540" s="649">
        <f t="shared" si="1552"/>
        <v>0</v>
      </c>
      <c r="AH540" s="650">
        <f t="shared" si="1553"/>
        <v>0</v>
      </c>
      <c r="AI540" s="645">
        <f t="shared" si="1554"/>
        <v>0</v>
      </c>
      <c r="AJ540" s="645">
        <f t="shared" si="1555"/>
        <v>0</v>
      </c>
      <c r="AK540" s="645" t="str">
        <f t="shared" si="1556"/>
        <v/>
      </c>
      <c r="AL540" s="645">
        <f t="shared" si="1557"/>
        <v>0</v>
      </c>
      <c r="AM540" s="645" t="str">
        <f t="shared" si="1558"/>
        <v/>
      </c>
      <c r="AN540" s="651">
        <f t="shared" si="1559"/>
        <v>0</v>
      </c>
      <c r="AO540" s="623"/>
      <c r="AP540" s="632" t="str">
        <f t="shared" si="1468"/>
        <v/>
      </c>
      <c r="AQ540" s="633" t="str">
        <f>IF(AC540=$V$3,IF(VLOOKUP(C540,[1]List1!$A:$E,5,FALSE)=0,1,VLOOKUP(C540,[1]List1!$A:$E,5,FALSE)),"")</f>
        <v/>
      </c>
      <c r="AR540" s="625" t="str">
        <f t="shared" si="1469"/>
        <v/>
      </c>
      <c r="AS540" s="634" t="str">
        <f t="shared" si="1470"/>
        <v/>
      </c>
      <c r="AT540" s="625" t="str">
        <f t="shared" si="1471"/>
        <v/>
      </c>
      <c r="AU540" s="638" t="e">
        <f t="shared" si="1472"/>
        <v>#N/A</v>
      </c>
      <c r="AV540" s="625" t="e">
        <f t="shared" si="1473"/>
        <v>#N/A</v>
      </c>
      <c r="AX540" s="625">
        <f>IF(AND('General price list'!$J540="F4",'General price list'!$AB540+0&gt;0),1,0)</f>
        <v>0</v>
      </c>
      <c r="AY540" s="625">
        <f t="shared" si="1474"/>
        <v>1</v>
      </c>
      <c r="AZ540" s="625">
        <f t="shared" si="1475"/>
        <v>0</v>
      </c>
    </row>
    <row r="541" spans="1:52" ht="15.75" customHeight="1">
      <c r="A541" s="751" t="str">
        <f>Kat.!C541</f>
        <v xml:space="preserve">           Baterie 36 ran, 25 mm moždíř – F2 – 1.3G</v>
      </c>
      <c r="B541" s="751"/>
      <c r="C541" s="751"/>
      <c r="D541" s="751"/>
      <c r="E541" s="751"/>
      <c r="F541" s="751"/>
      <c r="G541" s="751"/>
      <c r="H541" s="751"/>
      <c r="I541" s="752"/>
      <c r="J541" s="752"/>
      <c r="K541" s="752" t="s">
        <v>20</v>
      </c>
      <c r="L541" s="753" t="s">
        <v>20</v>
      </c>
      <c r="M541" s="752"/>
      <c r="N541" s="752"/>
      <c r="O541" s="752"/>
      <c r="P541" s="752"/>
      <c r="Q541" s="752"/>
      <c r="R541" s="752"/>
      <c r="S541" s="752"/>
      <c r="T541" s="752"/>
      <c r="U541" s="752"/>
      <c r="V541" s="752"/>
      <c r="W541" s="752"/>
      <c r="X541" s="752"/>
      <c r="Y541" s="752"/>
      <c r="Z541" s="752" t="s">
        <v>20</v>
      </c>
      <c r="AA541" s="752"/>
      <c r="AB541" s="752"/>
      <c r="AC541" s="754"/>
      <c r="AD541" s="752"/>
      <c r="AE541" s="752"/>
      <c r="AF541" s="752"/>
      <c r="AG541" s="752"/>
      <c r="AH541" s="752"/>
      <c r="AI541" s="752"/>
      <c r="AJ541" s="752"/>
      <c r="AK541" s="752"/>
      <c r="AL541" s="752"/>
      <c r="AM541" s="752"/>
      <c r="AN541" s="752"/>
      <c r="AO541" s="623"/>
      <c r="AP541" s="625" t="str">
        <f t="shared" si="1468"/>
        <v/>
      </c>
      <c r="AQ541" s="625" t="str">
        <f>IF(AC541=$V$3,IF(VLOOKUP(C541,[1]List1!$A:$E,5,FALSE)=0,1,VLOOKUP(C541,[1]List1!$A:$E,5,FALSE)),"")</f>
        <v/>
      </c>
      <c r="AR541" s="629" t="str">
        <f t="shared" si="1469"/>
        <v/>
      </c>
      <c r="AS541" s="630" t="str">
        <f t="shared" si="1470"/>
        <v/>
      </c>
      <c r="AT541" s="625" t="str">
        <f t="shared" si="1471"/>
        <v/>
      </c>
      <c r="AU541" s="625" t="e">
        <f t="shared" si="1472"/>
        <v>#N/A</v>
      </c>
      <c r="AV541" s="625" t="e">
        <f t="shared" si="1473"/>
        <v>#N/A</v>
      </c>
      <c r="AW541" s="631"/>
      <c r="AX541" s="631">
        <f>IF(AND('General price list'!$J541="F4",'General price list'!$AB541+0&gt;0),1,0)</f>
        <v>0</v>
      </c>
      <c r="AY541" s="631">
        <f t="shared" si="1474"/>
        <v>0</v>
      </c>
      <c r="AZ541" s="631">
        <f t="shared" si="1475"/>
        <v>0</v>
      </c>
    </row>
    <row r="542" spans="1:52" ht="15" customHeight="1">
      <c r="A542" s="639" t="str">
        <f>Kat.!C542</f>
        <v/>
      </c>
      <c r="B542" s="640">
        <f>IF(AND('General price list'!$J542="F4",$AI$1=FALSE),0,IF(AC542="SKLADEM",1,IF(AC542=$V$3,1,0)))</f>
        <v>1</v>
      </c>
      <c r="C542" s="641" t="s">
        <v>11214</v>
      </c>
      <c r="D542" s="642" t="s">
        <v>11215</v>
      </c>
      <c r="E542" s="643" t="s">
        <v>12678</v>
      </c>
      <c r="F542" s="791">
        <f>IFERROR(VLOOKUP(C542,[2]List1!$A:$D,3,FALSE),"NEUVEDENO!")</f>
        <v>459</v>
      </c>
      <c r="G542" s="770">
        <f t="shared" ref="G542" si="1560">IF($W$17=$AF$8,ROUND((F542)/$F$17,2),(F542)*$B$19)</f>
        <v>459</v>
      </c>
      <c r="H542" s="767">
        <f t="shared" ref="H542" si="1561">IF($W$17=$AF$8,G542*$B$19,G542/$F$17)</f>
        <v>19.497648812937264</v>
      </c>
      <c r="I542" s="644">
        <f>IFERROR(VLOOKUP(C542,[2]List1!$A:$D,4,FALSE),"NEUVEDENO!")</f>
        <v>8</v>
      </c>
      <c r="J542" s="733" t="s">
        <v>39</v>
      </c>
      <c r="K542" s="645" t="s">
        <v>11100</v>
      </c>
      <c r="L542" s="645"/>
      <c r="M542" s="645" t="s">
        <v>114</v>
      </c>
      <c r="N542" s="645">
        <f>IFERROR(VLOOKUP(C542,[3]List1!$A:$D,4,FALSE),"N/A!")</f>
        <v>4.7803999999999999E-2</v>
      </c>
      <c r="O542" s="645">
        <f>IFERROR(VLOOKUP(C542,[3]List1!$A:$D,3,FALSE),"N/A!")</f>
        <v>3744</v>
      </c>
      <c r="P542" s="645">
        <f>IFERROR(VLOOKUP(C542,[3]List1!$A:$D,2,FALSE),"N/A!")</f>
        <v>19500</v>
      </c>
      <c r="Q542" s="645" t="s">
        <v>11779</v>
      </c>
      <c r="R542" s="645"/>
      <c r="S542" s="645" t="str">
        <f>IF($W$17=$AF$1,"design",IFERROR(VLOOKUP("design",Jazyky_ceník!$A:$Q,MATCH($W$17,Jazyky_ceník!$A$1:$Q$1,0),FALSE),"!!!"))</f>
        <v>design</v>
      </c>
      <c r="T542" s="645">
        <v>30</v>
      </c>
      <c r="U542" s="645">
        <v>30</v>
      </c>
      <c r="V542" s="645">
        <v>22</v>
      </c>
      <c r="W542" s="645" t="str">
        <f>IFERROR(IF(AND($AB542&gt;=0.1*$AA542,MOD($AB542,$AA542)&gt;=($AA542-(0.1*$AA542))),IF($W$17=$AF$1,"Zvažte možnost doobjednání ještě "&amp;Tabulka1[[#This Row],[VKPAL]]-MOD(AB542,AA542)&amp;" VK do plné palety.",VLOOKUP("Zvažte možnost doobjednání ještě ",Jazyky_ceník!A:Q,MATCH($W$17,Jazyky_ceník!$A$1:$Q$1,0),FALSE)&amp;Tabulka1[[#This Row],[VKPAL]]-MOD(AB542,AA542)&amp;VLOOKUP(" VK do plné palety.",Jazyky_ceník!A:Q,MATCH($W$17,Jazyky_ceník!$A$1:$Q$1,0),FALSE)),IFERROR(IF(AND(NOT(MOD($AB542,$AA542)=0),$AB542&gt;=0.9*$AA542,MOD($AB542,$AA542)&lt;=0.1*$AA542),IF($W$17=$AF$1,"Zvažte možnost optimalizace objednaného množství podle počtu VK na paletě ==&gt;",VLOOKUP("Zvažte možnost optimalizace objednaného množství podle počtu VK na paletě ==&gt;",Jazyky_ceník!A:Q,MATCH($W$17,Jazyky_ceník!$A$1:$Q$1,0),FALSE)),VLOOKUP('General price list'!$C542,Popisy!A:M,MATCH($W$17,Popisy!$A$7:$M$7,0),FALSE)),"---------------")),IFERROR(VLOOKUP('General price list'!$C542,Popisy!A:M,MATCH($W$17,Popisy!$A$7:$M$7,0),FALSE),"---------------"))</f>
        <v>6 různobarevných efektu</v>
      </c>
      <c r="X542" s="645" t="str">
        <f t="shared" ref="X542" si="1562">IF(AB542&lt;0.0001,"",AB542)</f>
        <v/>
      </c>
      <c r="Y542" s="645" t="str">
        <f t="shared" ref="Y542" si="1563">IF($AL$3=2,IF(OR(AB542&lt;&gt;"",AB542&lt;&gt;0),AU542,""),IF(C542="","",IF(AB542&lt;0.0001,"",IF(B542=0,"",IF(AQ542&lt;AB542,"",AB542)))))</f>
        <v/>
      </c>
      <c r="Z542" s="645" t="str">
        <f>HYPERLINK("https://www.klasekpyrotechnics.cz/c3625p")</f>
        <v>https://www.klasekpyrotechnics.cz/c3625p</v>
      </c>
      <c r="AA542" s="645">
        <f>IFERROR(IF(VLOOKUP(C542,[4]List1!$A:$D,4,FALSE)=0,"",VLOOKUP(C542,[4]List1!$A:$D,4,FALSE)),"")</f>
        <v>30</v>
      </c>
      <c r="AB542" s="646"/>
      <c r="AC542" s="647" t="str">
        <f>IFERROR(IF(VLOOKUP(C542,[1]List1!$A:$D,2,FALSE)="VYPRODÁNO",$V$9,IF(VLOOKUP(C542,[1]List1!$A:$D,2,FALSE)="DOCHÁZÍ",$V$3,VLOOKUP(C542,[1]List1!$A:$D,2,FALSE))),"OFFLINE!")</f>
        <v>SKLADEM</v>
      </c>
      <c r="AD542" s="647" t="str">
        <f ca="1">IF(AP542="NE",$V$10,IF(AC542=$V$3,IF(AQ542&lt;1,$V$8,$V$2&amp;" "&amp;AQ542&amp;" "&amp;$V$1),IF(AC542="SKLADEM",$V$6,IFERROR(IF(OR(AC542-TODAY()&gt;45,VLOOKUP(C542,[1]List1!$A:$E,4,FALSE)=0),AC542,DAY(AC542)&amp;"."&amp;MONTH(AC542)&amp;"."&amp;YEAR(AC542)&amp;" "&amp;$V$4&amp;VLOOKUP(C542,[1]List1!$A:$E,4,FALSE)&amp;" "&amp;$V$1),AC542))))</f>
        <v>SKLADEM</v>
      </c>
      <c r="AE542" s="645" t="str">
        <f t="shared" ref="AE542" ca="1" si="1564">IFERROR(IF(AV542&lt;&gt;"",AV542,AD542),AD542)</f>
        <v>SKLADEM</v>
      </c>
      <c r="AF542" s="648">
        <f t="shared" ref="AF542" si="1565">IFERROR(IF(AB542=Y542,G542*I542*Y542,0),0)</f>
        <v>0</v>
      </c>
      <c r="AG542" s="649">
        <f t="shared" ref="AG542" si="1566">IF($W$17=$AF$8,AH542*1.23,AF542*1.21)</f>
        <v>0</v>
      </c>
      <c r="AH542" s="650">
        <f t="shared" ref="AH542" si="1567">IFERROR(IF(Y542=AB542,H542*I542*Y542,0),0)</f>
        <v>0</v>
      </c>
      <c r="AI542" s="645">
        <f t="shared" ref="AI542" si="1568">IFERROR(IF(Y542=AB542,(P542*Y542)/1000,1),0)</f>
        <v>0</v>
      </c>
      <c r="AJ542" s="645">
        <f t="shared" ref="AJ542" si="1569">IFERROR(IF(Y542=AB542,N542*Y542,0.1),0)</f>
        <v>0</v>
      </c>
      <c r="AK542" s="645" t="str">
        <f t="shared" ref="AK542" si="1570">IFERROR(IF(Y542=AB542,IF(M542="1.1G",(O542/1000)*Y542,""),""),0)</f>
        <v/>
      </c>
      <c r="AL542" s="645">
        <f t="shared" ref="AL542" si="1571">IFERROR(IF(Y542=AB542,IF(M542="1.3G",(O542/1000)*AB542,""),""),0)</f>
        <v>0</v>
      </c>
      <c r="AM542" s="645" t="str">
        <f t="shared" ref="AM542" si="1572">IFERROR(IF(Y542=AB542,IF(M542="1.4G",(O542/1000)*AB542,""),""),0)</f>
        <v/>
      </c>
      <c r="AN542" s="651">
        <f t="shared" ref="AN542" si="1573">SUM(AK542:AM542)</f>
        <v>0</v>
      </c>
      <c r="AO542" s="623"/>
      <c r="AP542" s="632" t="str">
        <f t="shared" si="1468"/>
        <v/>
      </c>
      <c r="AQ542" s="633" t="str">
        <f>IF(AC542=$V$3,IF(VLOOKUP(C542,[1]List1!$A:$E,5,FALSE)=0,1,VLOOKUP(C542,[1]List1!$A:$E,5,FALSE)),"")</f>
        <v/>
      </c>
      <c r="AR542" s="625" t="str">
        <f t="shared" si="1469"/>
        <v/>
      </c>
      <c r="AS542" s="634" t="str">
        <f t="shared" si="1470"/>
        <v/>
      </c>
      <c r="AT542" s="625" t="str">
        <f t="shared" si="1471"/>
        <v/>
      </c>
      <c r="AU542" s="638" t="e">
        <f t="shared" si="1472"/>
        <v>#N/A</v>
      </c>
      <c r="AV542" s="625" t="e">
        <f t="shared" si="1473"/>
        <v>#N/A</v>
      </c>
      <c r="AX542" s="625">
        <f>IF(AND('General price list'!$J542="F4",'General price list'!$AB542+0&gt;0),1,0)</f>
        <v>0</v>
      </c>
      <c r="AY542" s="625">
        <f t="shared" si="1474"/>
        <v>1</v>
      </c>
      <c r="AZ542" s="625">
        <f t="shared" si="1475"/>
        <v>0</v>
      </c>
    </row>
    <row r="543" spans="1:52" ht="15.75" customHeight="1">
      <c r="A543" s="751" t="str">
        <f>Kat.!C543</f>
        <v xml:space="preserve">           Baterie 36 ran, 25 mm moždíř – F2 – 1.4G</v>
      </c>
      <c r="B543" s="751"/>
      <c r="C543" s="751"/>
      <c r="D543" s="751"/>
      <c r="E543" s="751"/>
      <c r="F543" s="751"/>
      <c r="G543" s="751"/>
      <c r="H543" s="751"/>
      <c r="I543" s="752"/>
      <c r="J543" s="752"/>
      <c r="K543" s="752" t="s">
        <v>20</v>
      </c>
      <c r="L543" s="753" t="s">
        <v>20</v>
      </c>
      <c r="M543" s="752"/>
      <c r="N543" s="752"/>
      <c r="O543" s="752"/>
      <c r="P543" s="752"/>
      <c r="Q543" s="752"/>
      <c r="R543" s="752"/>
      <c r="S543" s="752"/>
      <c r="T543" s="752"/>
      <c r="U543" s="752"/>
      <c r="V543" s="752"/>
      <c r="W543" s="752"/>
      <c r="X543" s="752"/>
      <c r="Y543" s="752"/>
      <c r="Z543" s="752" t="s">
        <v>20</v>
      </c>
      <c r="AA543" s="752"/>
      <c r="AB543" s="752"/>
      <c r="AC543" s="754"/>
      <c r="AD543" s="752"/>
      <c r="AE543" s="752"/>
      <c r="AF543" s="752"/>
      <c r="AG543" s="752"/>
      <c r="AH543" s="752"/>
      <c r="AI543" s="752"/>
      <c r="AJ543" s="752"/>
      <c r="AK543" s="752"/>
      <c r="AL543" s="752"/>
      <c r="AM543" s="752"/>
      <c r="AN543" s="752"/>
      <c r="AO543" s="623"/>
      <c r="AP543" s="625" t="str">
        <f t="shared" si="1468"/>
        <v/>
      </c>
      <c r="AQ543" s="625" t="str">
        <f>IF(AC543=$V$3,IF(VLOOKUP(C543,[1]List1!$A:$E,5,FALSE)=0,1,VLOOKUP(C543,[1]List1!$A:$E,5,FALSE)),"")</f>
        <v/>
      </c>
      <c r="AR543" s="629" t="str">
        <f t="shared" si="1469"/>
        <v/>
      </c>
      <c r="AS543" s="630" t="str">
        <f t="shared" si="1470"/>
        <v/>
      </c>
      <c r="AT543" s="625" t="str">
        <f t="shared" si="1471"/>
        <v/>
      </c>
      <c r="AU543" s="625" t="e">
        <f t="shared" si="1472"/>
        <v>#N/A</v>
      </c>
      <c r="AV543" s="625" t="e">
        <f t="shared" si="1473"/>
        <v>#N/A</v>
      </c>
      <c r="AW543" s="631"/>
      <c r="AX543" s="631">
        <f>IF(AND('General price list'!$J543="F4",'General price list'!$AB543+0&gt;0),1,0)</f>
        <v>0</v>
      </c>
      <c r="AY543" s="631">
        <f t="shared" si="1474"/>
        <v>0</v>
      </c>
      <c r="AZ543" s="631">
        <f t="shared" si="1475"/>
        <v>0</v>
      </c>
    </row>
    <row r="544" spans="1:52" ht="15" customHeight="1">
      <c r="A544" s="639" t="str">
        <f>Kat.!C544</f>
        <v/>
      </c>
      <c r="B544" s="640">
        <f>IF(AND('General price list'!$J544="F4",$AI$1=FALSE),0,IF(AC544="SKLADEM",1,IF(AC544=$V$3,1,0)))</f>
        <v>1</v>
      </c>
      <c r="C544" s="641" t="s">
        <v>11216</v>
      </c>
      <c r="D544" s="642" t="s">
        <v>11217</v>
      </c>
      <c r="E544" s="643" t="s">
        <v>12678</v>
      </c>
      <c r="F544" s="791">
        <f>IFERROR(VLOOKUP(C544,[2]List1!$A:$D,3,FALSE),"NEUVEDENO!")</f>
        <v>459</v>
      </c>
      <c r="G544" s="770">
        <f t="shared" ref="G544" si="1574">IF($W$17=$AF$8,ROUND((F544)/$F$17,2),(F544)*$B$19)</f>
        <v>459</v>
      </c>
      <c r="H544" s="767">
        <f t="shared" ref="H544" si="1575">IF($W$17=$AF$8,G544*$B$19,G544/$F$17)</f>
        <v>19.497648812937264</v>
      </c>
      <c r="I544" s="644">
        <f>IFERROR(VLOOKUP(C544,[2]List1!$A:$D,4,FALSE),"NEUVEDENO!")</f>
        <v>8</v>
      </c>
      <c r="J544" s="733" t="s">
        <v>39</v>
      </c>
      <c r="K544" s="645" t="s">
        <v>11100</v>
      </c>
      <c r="L544" s="645"/>
      <c r="M544" s="645" t="s">
        <v>21</v>
      </c>
      <c r="N544" s="645">
        <f>IFERROR(VLOOKUP(C544,[3]List1!$A:$D,4,FALSE),"N/A!")</f>
        <v>4.7803999999999999E-2</v>
      </c>
      <c r="O544" s="645">
        <f>IFERROR(VLOOKUP(C544,[3]List1!$A:$D,3,FALSE),"N/A!")</f>
        <v>3744</v>
      </c>
      <c r="P544" s="645">
        <f>IFERROR(VLOOKUP(C544,[3]List1!$A:$D,2,FALSE),"N/A!")</f>
        <v>19500</v>
      </c>
      <c r="Q544" s="645" t="s">
        <v>11306</v>
      </c>
      <c r="R544" s="645"/>
      <c r="S544" s="645" t="str">
        <f>IF($W$17=$AF$1,"design",IFERROR(VLOOKUP("design",Jazyky_ceník!$A:$Q,MATCH($W$17,Jazyky_ceník!$A$1:$Q$1,0),FALSE),"!!!"))</f>
        <v>design</v>
      </c>
      <c r="T544" s="645">
        <v>30</v>
      </c>
      <c r="U544" s="645">
        <v>30</v>
      </c>
      <c r="V544" s="645">
        <v>18</v>
      </c>
      <c r="W544" s="645" t="str">
        <f>IFERROR(IF(AND($AB544&gt;=0.1*$AA544,MOD($AB544,$AA544)&gt;=($AA544-(0.1*$AA544))),IF($W$17=$AF$1,"Zvažte možnost doobjednání ještě "&amp;Tabulka1[[#This Row],[VKPAL]]-MOD(AB544,AA544)&amp;" VK do plné palety.",VLOOKUP("Zvažte možnost doobjednání ještě ",Jazyky_ceník!A:Q,MATCH($W$17,Jazyky_ceník!$A$1:$Q$1,0),FALSE)&amp;Tabulka1[[#This Row],[VKPAL]]-MOD(AB544,AA544)&amp;VLOOKUP(" VK do plné palety.",Jazyky_ceník!A:Q,MATCH($W$17,Jazyky_ceník!$A$1:$Q$1,0),FALSE)),IFERROR(IF(AND(NOT(MOD($AB544,$AA544)=0),$AB544&gt;=0.9*$AA544,MOD($AB544,$AA544)&lt;=0.1*$AA544),IF($W$17=$AF$1,"Zvažte možnost optimalizace objednaného množství podle počtu VK na paletě ==&gt;",VLOOKUP("Zvažte možnost optimalizace objednaného množství podle počtu VK na paletě ==&gt;",Jazyky_ceník!A:Q,MATCH($W$17,Jazyky_ceník!$A$1:$Q$1,0),FALSE)),VLOOKUP('General price list'!$C544,Popisy!A:M,MATCH($W$17,Popisy!$A$7:$M$7,0),FALSE)),"---------------")),IFERROR(VLOOKUP('General price list'!$C544,Popisy!A:M,MATCH($W$17,Popisy!$A$7:$M$7,0),FALSE),"---------------"))</f>
        <v>6 různobarevných efektu</v>
      </c>
      <c r="X544" s="645" t="str">
        <f t="shared" ref="X544" si="1576">IF(AB544&lt;0.0001,"",AB544)</f>
        <v/>
      </c>
      <c r="Y544" s="645" t="str">
        <f t="shared" ref="Y544" si="1577">IF($AL$3=2,IF(OR(AB544&lt;&gt;"",AB544&lt;&gt;0),AU544,""),IF(C544="","",IF(AB544&lt;0.0001,"",IF(B544=0,"",IF(AQ544&lt;AB544,"",AB544)))))</f>
        <v/>
      </c>
      <c r="Z544" s="645" t="str">
        <f>HYPERLINK("https://www.klasekpyrotechnics.cz/c3625p14")</f>
        <v>https://www.klasekpyrotechnics.cz/c3625p14</v>
      </c>
      <c r="AA544" s="645">
        <f>IFERROR(IF(VLOOKUP(C544,[4]List1!$A:$D,4,FALSE)=0,"",VLOOKUP(C544,[4]List1!$A:$D,4,FALSE)),"")</f>
        <v>30</v>
      </c>
      <c r="AB544" s="646"/>
      <c r="AC544" s="647" t="str">
        <f>IFERROR(IF(VLOOKUP(C544,[1]List1!$A:$D,2,FALSE)="VYPRODÁNO",$V$9,IF(VLOOKUP(C544,[1]List1!$A:$D,2,FALSE)="DOCHÁZÍ",$V$3,VLOOKUP(C544,[1]List1!$A:$D,2,FALSE))),"OFFLINE!")</f>
        <v>SKLADEM</v>
      </c>
      <c r="AD544" s="647" t="str">
        <f ca="1">IF(AP544="NE",$V$10,IF(AC544=$V$3,IF(AQ544&lt;1,$V$8,$V$2&amp;" "&amp;AQ544&amp;" "&amp;$V$1),IF(AC544="SKLADEM",$V$6,IFERROR(IF(OR(AC544-TODAY()&gt;45,VLOOKUP(C544,[1]List1!$A:$E,4,FALSE)=0),AC544,DAY(AC544)&amp;"."&amp;MONTH(AC544)&amp;"."&amp;YEAR(AC544)&amp;" "&amp;$V$4&amp;VLOOKUP(C544,[1]List1!$A:$E,4,FALSE)&amp;" "&amp;$V$1),AC544))))</f>
        <v>SKLADEM</v>
      </c>
      <c r="AE544" s="645" t="str">
        <f t="shared" ref="AE544" ca="1" si="1578">IFERROR(IF(AV544&lt;&gt;"",AV544,AD544),AD544)</f>
        <v>SKLADEM</v>
      </c>
      <c r="AF544" s="648">
        <f t="shared" ref="AF544" si="1579">IFERROR(IF(AB544=Y544,G544*I544*Y544,0),0)</f>
        <v>0</v>
      </c>
      <c r="AG544" s="649">
        <f t="shared" ref="AG544" si="1580">IF($W$17=$AF$8,AH544*1.23,AF544*1.21)</f>
        <v>0</v>
      </c>
      <c r="AH544" s="650">
        <f t="shared" ref="AH544" si="1581">IFERROR(IF(Y544=AB544,H544*I544*Y544,0),0)</f>
        <v>0</v>
      </c>
      <c r="AI544" s="645">
        <f t="shared" ref="AI544" si="1582">IFERROR(IF(Y544=AB544,(P544*Y544)/1000,1),0)</f>
        <v>0</v>
      </c>
      <c r="AJ544" s="645">
        <f t="shared" ref="AJ544" si="1583">IFERROR(IF(Y544=AB544,N544*Y544,0.1),0)</f>
        <v>0</v>
      </c>
      <c r="AK544" s="645" t="str">
        <f t="shared" ref="AK544" si="1584">IFERROR(IF(Y544=AB544,IF(M544="1.1G",(O544/1000)*Y544,""),""),0)</f>
        <v/>
      </c>
      <c r="AL544" s="645" t="str">
        <f t="shared" ref="AL544" si="1585">IFERROR(IF(Y544=AB544,IF(M544="1.3G",(O544/1000)*AB544,""),""),0)</f>
        <v/>
      </c>
      <c r="AM544" s="645">
        <f t="shared" ref="AM544" si="1586">IFERROR(IF(Y544=AB544,IF(M544="1.4G",(O544/1000)*AB544,""),""),0)</f>
        <v>0</v>
      </c>
      <c r="AN544" s="651">
        <f t="shared" ref="AN544" si="1587">SUM(AK544:AM544)</f>
        <v>0</v>
      </c>
      <c r="AO544" s="623"/>
      <c r="AP544" s="632" t="str">
        <f t="shared" si="1468"/>
        <v/>
      </c>
      <c r="AQ544" s="633" t="str">
        <f>IF(AC544=$V$3,IF(VLOOKUP(C544,[1]List1!$A:$E,5,FALSE)=0,1,VLOOKUP(C544,[1]List1!$A:$E,5,FALSE)),"")</f>
        <v/>
      </c>
      <c r="AR544" s="625" t="str">
        <f t="shared" si="1469"/>
        <v/>
      </c>
      <c r="AS544" s="634" t="str">
        <f t="shared" si="1470"/>
        <v/>
      </c>
      <c r="AT544" s="625" t="str">
        <f t="shared" si="1471"/>
        <v/>
      </c>
      <c r="AU544" s="638" t="e">
        <f t="shared" si="1472"/>
        <v>#N/A</v>
      </c>
      <c r="AV544" s="625" t="e">
        <f t="shared" si="1473"/>
        <v>#N/A</v>
      </c>
      <c r="AX544" s="625">
        <f>IF(AND('General price list'!$J544="F4",'General price list'!$AB544+0&gt;0),1,0)</f>
        <v>0</v>
      </c>
      <c r="AY544" s="625">
        <f t="shared" si="1474"/>
        <v>1</v>
      </c>
      <c r="AZ544" s="625">
        <f t="shared" si="1475"/>
        <v>0</v>
      </c>
    </row>
    <row r="545" spans="1:52" ht="15.75" customHeight="1">
      <c r="A545" s="751" t="str">
        <f>Kat.!C545</f>
        <v xml:space="preserve">           Baterie 48 ran, 25 mm rovný + šikmý moždíř – 1.3G</v>
      </c>
      <c r="B545" s="751"/>
      <c r="C545" s="751"/>
      <c r="D545" s="751"/>
      <c r="E545" s="751"/>
      <c r="F545" s="751"/>
      <c r="G545" s="751"/>
      <c r="H545" s="751"/>
      <c r="I545" s="752"/>
      <c r="J545" s="752"/>
      <c r="K545" s="752" t="s">
        <v>20</v>
      </c>
      <c r="L545" s="753" t="s">
        <v>2818</v>
      </c>
      <c r="M545" s="752"/>
      <c r="N545" s="752"/>
      <c r="O545" s="752"/>
      <c r="P545" s="752"/>
      <c r="Q545" s="752"/>
      <c r="R545" s="752"/>
      <c r="S545" s="752"/>
      <c r="T545" s="752"/>
      <c r="U545" s="752"/>
      <c r="V545" s="752"/>
      <c r="W545" s="752"/>
      <c r="X545" s="752"/>
      <c r="Y545" s="752"/>
      <c r="Z545" s="752" t="s">
        <v>20</v>
      </c>
      <c r="AA545" s="752"/>
      <c r="AB545" s="752"/>
      <c r="AC545" s="754"/>
      <c r="AD545" s="752"/>
      <c r="AE545" s="752"/>
      <c r="AF545" s="752"/>
      <c r="AG545" s="752"/>
      <c r="AH545" s="752"/>
      <c r="AI545" s="752"/>
      <c r="AJ545" s="752"/>
      <c r="AK545" s="752"/>
      <c r="AL545" s="752"/>
      <c r="AM545" s="752"/>
      <c r="AN545" s="752"/>
      <c r="AO545" s="623"/>
      <c r="AP545" s="625" t="str">
        <f t="shared" si="1468"/>
        <v/>
      </c>
      <c r="AQ545" s="625" t="str">
        <f>IF(AC545=$V$3,IF(VLOOKUP(C545,[1]List1!$A:$E,5,FALSE)=0,1,VLOOKUP(C545,[1]List1!$A:$E,5,FALSE)),"")</f>
        <v/>
      </c>
      <c r="AR545" s="629" t="str">
        <f t="shared" si="1469"/>
        <v/>
      </c>
      <c r="AS545" s="630" t="str">
        <f t="shared" si="1470"/>
        <v/>
      </c>
      <c r="AT545" s="625" t="str">
        <f t="shared" si="1471"/>
        <v/>
      </c>
      <c r="AU545" s="625" t="e">
        <f t="shared" si="1472"/>
        <v>#N/A</v>
      </c>
      <c r="AV545" s="625" t="e">
        <f t="shared" si="1473"/>
        <v>#N/A</v>
      </c>
      <c r="AW545" s="631"/>
      <c r="AX545" s="631">
        <f>IF(AND('General price list'!$J545="F4",'General price list'!$AB545+0&gt;0),1,0)</f>
        <v>0</v>
      </c>
      <c r="AY545" s="631">
        <f t="shared" si="1474"/>
        <v>0</v>
      </c>
      <c r="AZ545" s="631">
        <f t="shared" si="1475"/>
        <v>0</v>
      </c>
    </row>
    <row r="546" spans="1:52" ht="15" customHeight="1">
      <c r="A546" s="639" t="str">
        <f>Kat.!C546</f>
        <v/>
      </c>
      <c r="B546" s="640">
        <f>IF(AND('General price list'!$J546="F4",$AI$1=FALSE),0,IF(AC546="SKLADEM",1,IF(AC546=$V$3,1,0)))</f>
        <v>0</v>
      </c>
      <c r="C546" s="567" t="s">
        <v>1155</v>
      </c>
      <c r="D546" s="642" t="s">
        <v>1156</v>
      </c>
      <c r="E546" s="643" t="s">
        <v>12746</v>
      </c>
      <c r="F546" s="773">
        <f>IFERROR(VLOOKUP(C546,[2]List1!$A:$D,3,FALSE),"NEUVEDENO!")</f>
        <v>664</v>
      </c>
      <c r="G546" s="770">
        <f t="shared" ref="G546" si="1588">IF($W$17=$AF$8,ROUND((F546)/$F$17,2),(F546)*$B$19)</f>
        <v>664</v>
      </c>
      <c r="H546" s="767">
        <f t="shared" ref="H546" si="1589">IF($W$17=$AF$8,G546*$B$19,G546/$F$17)</f>
        <v>28.205749045294866</v>
      </c>
      <c r="I546" s="644">
        <f>IFERROR(VLOOKUP(C546,[2]List1!$A:$D,4,FALSE),"NEUVEDENO!")</f>
        <v>6</v>
      </c>
      <c r="J546" s="733" t="s">
        <v>39</v>
      </c>
      <c r="K546" s="645">
        <v>5</v>
      </c>
      <c r="L546" s="645" t="s">
        <v>10988</v>
      </c>
      <c r="M546" s="645" t="s">
        <v>114</v>
      </c>
      <c r="N546" s="645">
        <f>IFERROR(VLOOKUP(C546,[3]List1!$A:$D,4,FALSE),"N/A!")</f>
        <v>6.2899999999999998E-2</v>
      </c>
      <c r="O546" s="645">
        <f>IFERROR(VLOOKUP(C546,[3]List1!$A:$D,3,FALSE),"N/A!")</f>
        <v>2976</v>
      </c>
      <c r="P546" s="645">
        <f>IFERROR(VLOOKUP(C546,[3]List1!$A:$D,2,FALSE),"N/A!")</f>
        <v>23500</v>
      </c>
      <c r="Q546" s="645" t="s">
        <v>11307</v>
      </c>
      <c r="R546" s="645" t="s">
        <v>20</v>
      </c>
      <c r="S546" s="645" t="str">
        <f>IF($W$17=$AF$1,"červená fólie",IFERROR(VLOOKUP("červená fólie",Jazyky_ceník!$A:$Q,MATCH($W$17,Jazyky_ceník!$A$1:$Q$1,0),FALSE),"!!!"))</f>
        <v>červená fólie</v>
      </c>
      <c r="T546" s="645">
        <v>35</v>
      </c>
      <c r="U546" s="645">
        <v>30</v>
      </c>
      <c r="V546" s="645">
        <v>22</v>
      </c>
      <c r="W546" s="645" t="str">
        <f>IFERROR(IF(AND($AB546&gt;=0.1*$AA546,MOD($AB546,$AA546)&gt;=($AA546-(0.1*$AA546))),IF($W$17=$AF$1,"Zvažte možnost doobjednání ještě "&amp;Tabulka1[[#This Row],[VKPAL]]-MOD(AB546,AA546)&amp;" VK do plné palety.",VLOOKUP("Zvažte možnost doobjednání ještě ",Jazyky_ceník!A:Q,MATCH($W$17,Jazyky_ceník!$A$1:$Q$1,0),FALSE)&amp;Tabulka1[[#This Row],[VKPAL]]-MOD(AB546,AA546)&amp;VLOOKUP(" VK do plné palety.",Jazyky_ceník!A:Q,MATCH($W$17,Jazyky_ceník!$A$1:$Q$1,0),FALSE)),IFERROR(IF(AND(NOT(MOD($AB546,$AA546)=0),$AB546&gt;=0.9*$AA546,MOD($AB546,$AA546)&lt;=0.1*$AA546),IF($W$17=$AF$1,"Zvažte možnost optimalizace objednaného množství podle počtu VK na paletě ==&gt;",VLOOKUP("Zvažte možnost optimalizace objednaného množství podle počtu VK na paletě ==&gt;",Jazyky_ceník!A:Q,MATCH($W$17,Jazyky_ceník!$A$1:$Q$1,0),FALSE)),VLOOKUP('General price list'!$C546,Popisy!A:M,MATCH($W$17,Popisy!$A$7:$M$7,0),FALSE)),"---------------")),IFERROR(VLOOKUP('General price list'!$C546,Popisy!A:M,MATCH($W$17,Popisy!$A$7:$M$7,0),FALSE),"---------------"))</f>
        <v>8 různobarevných efektů</v>
      </c>
      <c r="X546" s="645" t="str">
        <f t="shared" ref="X546" si="1590">IF(AB546&lt;0.0001,"",AB546)</f>
        <v/>
      </c>
      <c r="Y546" s="645" t="str">
        <f t="shared" ref="Y546" si="1591">IF($AL$3=2,IF(OR(AB546&lt;&gt;"",AB546&lt;&gt;0),AU546,""),IF(C546="","",IF(AB546&lt;0.0001,"",IF(B546=0,"",IF(AQ546&lt;AB546,"",AB546)))))</f>
        <v/>
      </c>
      <c r="Z546" s="645" t="str">
        <f>HYPERLINK("https://www.klasekpyrotechnics.cz/c4825mp")</f>
        <v>https://www.klasekpyrotechnics.cz/c4825mp</v>
      </c>
      <c r="AA546" s="645">
        <f>IFERROR(IF(VLOOKUP(C546,[4]List1!$A:$D,4,FALSE)=0,"",VLOOKUP(C546,[4]List1!$A:$D,4,FALSE)),"")</f>
        <v>18</v>
      </c>
      <c r="AB546" s="646"/>
      <c r="AC546" s="647" t="str">
        <f>IFERROR(IF(VLOOKUP(C546,[1]List1!$A:$D,2,FALSE)="VYPRODÁNO",$V$9,IF(VLOOKUP(C546,[1]List1!$A:$D,2,FALSE)="DOCHÁZÍ",$V$3,VLOOKUP(C546,[1]List1!$A:$D,2,FALSE))),"OFFLINE!")</f>
        <v>31.08.2026</v>
      </c>
      <c r="AD546" s="647" t="str">
        <f ca="1">IF(AP546="NE",$V$10,IF(AC546=$V$3,IF(AQ546&lt;1,$V$8,$V$2&amp;" "&amp;AQ546&amp;" "&amp;$V$1),IF(AC546="SKLADEM",$V$6,IFERROR(IF(OR(AC546-TODAY()&gt;45,VLOOKUP(C546,[1]List1!$A:$E,4,FALSE)=0),AC546,DAY(AC546)&amp;"."&amp;MONTH(AC546)&amp;"."&amp;YEAR(AC546)&amp;" "&amp;$V$4&amp;VLOOKUP(C546,[1]List1!$A:$E,4,FALSE)&amp;" "&amp;$V$1),AC546))))</f>
        <v>31.08.2026</v>
      </c>
      <c r="AE546" s="645" t="str">
        <f t="shared" ref="AE546" ca="1" si="1592">IFERROR(IF(AV546&lt;&gt;"",AV546,AD546),AD546)</f>
        <v>31.08.2026</v>
      </c>
      <c r="AF546" s="648">
        <f t="shared" ref="AF546" si="1593">IFERROR(IF(AB546=Y546,G546*I546*Y546,0),0)</f>
        <v>0</v>
      </c>
      <c r="AG546" s="649">
        <f t="shared" ref="AG546" si="1594">IF($W$17=$AF$8,AH546*1.23,AF546*1.21)</f>
        <v>0</v>
      </c>
      <c r="AH546" s="650">
        <f t="shared" ref="AH546" si="1595">IFERROR(IF(Y546=AB546,H546*I546*Y546,0),0)</f>
        <v>0</v>
      </c>
      <c r="AI546" s="645">
        <f t="shared" ref="AI546" si="1596">IFERROR(IF(Y546=AB546,(P546*Y546)/1000,1),0)</f>
        <v>0</v>
      </c>
      <c r="AJ546" s="645">
        <f t="shared" ref="AJ546" si="1597">IFERROR(IF(Y546=AB546,N546*Y546,0.1),0)</f>
        <v>0</v>
      </c>
      <c r="AK546" s="645" t="str">
        <f t="shared" ref="AK546" si="1598">IFERROR(IF(Y546=AB546,IF(M546="1.1G",(O546/1000)*Y546,""),""),0)</f>
        <v/>
      </c>
      <c r="AL546" s="645">
        <f t="shared" ref="AL546" si="1599">IFERROR(IF(Y546=AB546,IF(M546="1.3G",(O546/1000)*AB546,""),""),0)</f>
        <v>0</v>
      </c>
      <c r="AM546" s="645" t="str">
        <f t="shared" ref="AM546" si="1600">IFERROR(IF(Y546=AB546,IF(M546="1.4G",(O546/1000)*AB546,""),""),0)</f>
        <v/>
      </c>
      <c r="AN546" s="651">
        <f t="shared" ref="AN546" si="1601">SUM(AK546:AM546)</f>
        <v>0</v>
      </c>
      <c r="AO546" s="623"/>
      <c r="AP546" s="632" t="str">
        <f t="shared" si="1468"/>
        <v/>
      </c>
      <c r="AQ546" s="633" t="str">
        <f>IF(AC546=$V$3,IF(VLOOKUP(C546,[1]List1!$A:$E,5,FALSE)=0,1,VLOOKUP(C546,[1]List1!$A:$E,5,FALSE)),"")</f>
        <v/>
      </c>
      <c r="AR546" s="625" t="str">
        <f t="shared" si="1469"/>
        <v/>
      </c>
      <c r="AS546" s="634" t="str">
        <f t="shared" si="1470"/>
        <v/>
      </c>
      <c r="AT546" s="625" t="str">
        <f t="shared" si="1471"/>
        <v/>
      </c>
      <c r="AU546" s="638" t="e">
        <f t="shared" si="1472"/>
        <v>#N/A</v>
      </c>
      <c r="AV546" s="625" t="e">
        <f t="shared" si="1473"/>
        <v>#N/A</v>
      </c>
      <c r="AX546" s="625">
        <f>IF(AND('General price list'!$J546="F4",'General price list'!$AB546+0&gt;0),1,0)</f>
        <v>0</v>
      </c>
      <c r="AY546" s="625">
        <f t="shared" si="1474"/>
        <v>1</v>
      </c>
      <c r="AZ546" s="625">
        <f t="shared" si="1475"/>
        <v>0</v>
      </c>
    </row>
    <row r="547" spans="1:52" ht="15.75" customHeight="1">
      <c r="A547" s="751" t="str">
        <f>Kat.!C547</f>
        <v xml:space="preserve">           Baterie 49 ran, 25 mm moždíř – F2 – 1.3G</v>
      </c>
      <c r="B547" s="751"/>
      <c r="C547" s="751"/>
      <c r="D547" s="751"/>
      <c r="E547" s="751"/>
      <c r="F547" s="751"/>
      <c r="G547" s="751"/>
      <c r="H547" s="751"/>
      <c r="I547" s="752"/>
      <c r="J547" s="752"/>
      <c r="K547" s="752" t="s">
        <v>20</v>
      </c>
      <c r="L547" s="753" t="s">
        <v>2818</v>
      </c>
      <c r="M547" s="752"/>
      <c r="N547" s="752"/>
      <c r="O547" s="752"/>
      <c r="P547" s="752"/>
      <c r="Q547" s="752"/>
      <c r="R547" s="752"/>
      <c r="S547" s="752"/>
      <c r="T547" s="752"/>
      <c r="U547" s="752"/>
      <c r="V547" s="752"/>
      <c r="W547" s="752"/>
      <c r="X547" s="752"/>
      <c r="Y547" s="752"/>
      <c r="Z547" s="752" t="s">
        <v>20</v>
      </c>
      <c r="AA547" s="752"/>
      <c r="AB547" s="752"/>
      <c r="AC547" s="754"/>
      <c r="AD547" s="752"/>
      <c r="AE547" s="752"/>
      <c r="AF547" s="752"/>
      <c r="AG547" s="752"/>
      <c r="AH547" s="752"/>
      <c r="AI547" s="752"/>
      <c r="AJ547" s="752"/>
      <c r="AK547" s="752"/>
      <c r="AL547" s="752"/>
      <c r="AM547" s="752"/>
      <c r="AN547" s="752"/>
      <c r="AO547" s="623"/>
      <c r="AP547" s="625" t="str">
        <f t="shared" si="1468"/>
        <v/>
      </c>
      <c r="AQ547" s="625" t="str">
        <f>IF(AC547=$V$3,IF(VLOOKUP(C547,[1]List1!$A:$E,5,FALSE)=0,1,VLOOKUP(C547,[1]List1!$A:$E,5,FALSE)),"")</f>
        <v/>
      </c>
      <c r="AR547" s="629" t="str">
        <f t="shared" si="1469"/>
        <v/>
      </c>
      <c r="AS547" s="630" t="str">
        <f t="shared" si="1470"/>
        <v/>
      </c>
      <c r="AT547" s="625" t="str">
        <f t="shared" si="1471"/>
        <v/>
      </c>
      <c r="AU547" s="625" t="e">
        <f t="shared" si="1472"/>
        <v>#N/A</v>
      </c>
      <c r="AV547" s="625" t="e">
        <f t="shared" si="1473"/>
        <v>#N/A</v>
      </c>
      <c r="AW547" s="631"/>
      <c r="AX547" s="631">
        <f>IF(AND('General price list'!$J547="F4",'General price list'!$AB547+0&gt;0),1,0)</f>
        <v>0</v>
      </c>
      <c r="AY547" s="631">
        <f t="shared" si="1474"/>
        <v>0</v>
      </c>
      <c r="AZ547" s="631">
        <f t="shared" si="1475"/>
        <v>0</v>
      </c>
    </row>
    <row r="548" spans="1:52" ht="15" customHeight="1">
      <c r="A548" s="639" t="str">
        <f>Kat.!C548</f>
        <v/>
      </c>
      <c r="B548" s="640">
        <f>IF(AND('General price list'!$J548="F4",$AI$1=FALSE),0,IF(AC548="SKLADEM",1,IF(AC548=$V$3,1,0)))</f>
        <v>1</v>
      </c>
      <c r="C548" s="641" t="s">
        <v>1157</v>
      </c>
      <c r="D548" s="642" t="s">
        <v>1158</v>
      </c>
      <c r="E548" s="643" t="s">
        <v>12746</v>
      </c>
      <c r="F548" s="791">
        <f>IFERROR(VLOOKUP(C548,[2]List1!$A:$D,3,FALSE),"NEUVEDENO!")</f>
        <v>625</v>
      </c>
      <c r="G548" s="768">
        <f t="shared" ref="G548:G550" si="1602">IF($W$17=$AF$8,ROUND((F548)/$F$17,2),(F548)*$B$19)</f>
        <v>625</v>
      </c>
      <c r="H548" s="765">
        <f t="shared" ref="H548:H550" si="1603">IF($W$17=$AF$8,G548*$B$19,G548/$F$17)</f>
        <v>26.54908607426098</v>
      </c>
      <c r="I548" s="644">
        <f>IFERROR(VLOOKUP(C548,[2]List1!$A:$D,4,FALSE),"NEUVEDENO!")</f>
        <v>6</v>
      </c>
      <c r="J548" s="733" t="s">
        <v>39</v>
      </c>
      <c r="K548" s="645" t="s">
        <v>11100</v>
      </c>
      <c r="L548" s="645" t="s">
        <v>10988</v>
      </c>
      <c r="M548" s="645" t="s">
        <v>114</v>
      </c>
      <c r="N548" s="645">
        <f>IFERROR(VLOOKUP(C548,[3]List1!$A:$D,4,FALSE),"N/A!")</f>
        <v>4.8943999999999994E-2</v>
      </c>
      <c r="O548" s="645">
        <f>IFERROR(VLOOKUP(C548,[3]List1!$A:$D,3,FALSE),"N/A!")</f>
        <v>2988</v>
      </c>
      <c r="P548" s="645">
        <f>IFERROR(VLOOKUP(C548,[3]List1!$A:$D,2,FALSE),"N/A!")</f>
        <v>20000</v>
      </c>
      <c r="Q548" s="645" t="s">
        <v>11780</v>
      </c>
      <c r="R548" s="645"/>
      <c r="S548" s="645" t="str">
        <f>IF($W$17=$AF$1,"design",IFERROR(VLOOKUP("design",Jazyky_ceník!$A:$Q,MATCH($W$17,Jazyky_ceník!$A$1:$Q$1,0),FALSE),"!!!"))</f>
        <v>design</v>
      </c>
      <c r="T548" s="645">
        <v>43</v>
      </c>
      <c r="U548" s="645">
        <v>30</v>
      </c>
      <c r="V548" s="645">
        <v>22</v>
      </c>
      <c r="W548" s="645" t="str">
        <f>IFERROR(IF(AND($AB548&gt;=0.1*$AA548,MOD($AB548,$AA548)&gt;=($AA548-(0.1*$AA548))),IF($W$17=$AF$1,"Zvažte možnost doobjednání ještě "&amp;Tabulka1[[#This Row],[VKPAL]]-MOD(AB548,AA548)&amp;" VK do plné palety.",VLOOKUP("Zvažte možnost doobjednání ještě ",Jazyky_ceník!A:Q,MATCH($W$17,Jazyky_ceník!$A$1:$Q$1,0),FALSE)&amp;Tabulka1[[#This Row],[VKPAL]]-MOD(AB548,AA548)&amp;VLOOKUP(" VK do plné palety.",Jazyky_ceník!A:Q,MATCH($W$17,Jazyky_ceník!$A$1:$Q$1,0),FALSE)),IFERROR(IF(AND(NOT(MOD($AB548,$AA548)=0),$AB548&gt;=0.9*$AA548,MOD($AB548,$AA548)&lt;=0.1*$AA548),IF($W$17=$AF$1,"Zvažte možnost optimalizace objednaného množství podle počtu VK na paletě ==&gt;",VLOOKUP("Zvažte možnost optimalizace objednaného množství podle počtu VK na paletě ==&gt;",Jazyky_ceník!A:Q,MATCH($W$17,Jazyky_ceník!$A$1:$Q$1,0),FALSE)),VLOOKUP('General price list'!$C548,Popisy!A:M,MATCH($W$17,Popisy!$A$7:$M$7,0),FALSE)),"---------------")),IFERROR(VLOOKUP('General price list'!$C548,Popisy!A:M,MATCH($W$17,Popisy!$A$7:$M$7,0),FALSE),"---------------"))</f>
        <v>7 různobarevných efektů</v>
      </c>
      <c r="X548" s="645" t="str">
        <f t="shared" ref="X548:X550" si="1604">IF(AB548&lt;0.0001,"",AB548)</f>
        <v/>
      </c>
      <c r="Y548" s="645" t="str">
        <f t="shared" ref="Y548:Y550" si="1605">IF($AL$3=2,IF(OR(AB548&lt;&gt;"",AB548&lt;&gt;0),AU548,""),IF(C548="","",IF(AB548&lt;0.0001,"",IF(B548=0,"",IF(AQ548&lt;AB548,"",AB548)))))</f>
        <v/>
      </c>
      <c r="Z548" s="645" t="str">
        <f>HYPERLINK("https://www.klasekpyrotechnics.cz/c4925g")</f>
        <v>https://www.klasekpyrotechnics.cz/c4925g</v>
      </c>
      <c r="AA548" s="645">
        <f>IFERROR(IF(VLOOKUP(C548,[4]List1!$A:$D,4,FALSE)=0,"",VLOOKUP(C548,[4]List1!$A:$D,4,FALSE)),"")</f>
        <v>25</v>
      </c>
      <c r="AB548" s="646"/>
      <c r="AC548" s="647" t="str">
        <f>IFERROR(IF(VLOOKUP(C548,[1]List1!$A:$D,2,FALSE)="VYPRODÁNO",$V$9,IF(VLOOKUP(C548,[1]List1!$A:$D,2,FALSE)="DOCHÁZÍ",$V$3,VLOOKUP(C548,[1]List1!$A:$D,2,FALSE))),"OFFLINE!")</f>
        <v>SKLADEM</v>
      </c>
      <c r="AD548" s="647" t="str">
        <f ca="1">IF(AP548="NE",$V$10,IF(AC548=$V$3,IF(AQ548&lt;1,$V$8,$V$2&amp;" "&amp;AQ548&amp;" "&amp;$V$1),IF(AC548="SKLADEM",$V$6,IFERROR(IF(OR(AC548-TODAY()&gt;45,VLOOKUP(C548,[1]List1!$A:$E,4,FALSE)=0),AC548,DAY(AC548)&amp;"."&amp;MONTH(AC548)&amp;"."&amp;YEAR(AC548)&amp;" "&amp;$V$4&amp;VLOOKUP(C548,[1]List1!$A:$E,4,FALSE)&amp;" "&amp;$V$1),AC548))))</f>
        <v>SKLADEM</v>
      </c>
      <c r="AE548" s="645" t="str">
        <f t="shared" ref="AE548:AE550" ca="1" si="1606">IFERROR(IF(AV548&lt;&gt;"",AV548,AD548),AD548)</f>
        <v>SKLADEM</v>
      </c>
      <c r="AF548" s="648">
        <f t="shared" ref="AF548:AF550" si="1607">IFERROR(IF(AB548=Y548,G548*I548*Y548,0),0)</f>
        <v>0</v>
      </c>
      <c r="AG548" s="649">
        <f t="shared" ref="AG548:AG550" si="1608">IF($W$17=$AF$8,AH548*1.23,AF548*1.21)</f>
        <v>0</v>
      </c>
      <c r="AH548" s="650">
        <f t="shared" ref="AH548:AH550" si="1609">IFERROR(IF(Y548=AB548,H548*I548*Y548,0),0)</f>
        <v>0</v>
      </c>
      <c r="AI548" s="645">
        <f t="shared" ref="AI548:AI550" si="1610">IFERROR(IF(Y548=AB548,(P548*Y548)/1000,1),0)</f>
        <v>0</v>
      </c>
      <c r="AJ548" s="645">
        <f t="shared" ref="AJ548:AJ550" si="1611">IFERROR(IF(Y548=AB548,N548*Y548,0.1),0)</f>
        <v>0</v>
      </c>
      <c r="AK548" s="645" t="str">
        <f t="shared" ref="AK548:AK550" si="1612">IFERROR(IF(Y548=AB548,IF(M548="1.1G",(O548/1000)*Y548,""),""),0)</f>
        <v/>
      </c>
      <c r="AL548" s="645">
        <f t="shared" ref="AL548:AL550" si="1613">IFERROR(IF(Y548=AB548,IF(M548="1.3G",(O548/1000)*AB548,""),""),0)</f>
        <v>0</v>
      </c>
      <c r="AM548" s="645" t="str">
        <f t="shared" ref="AM548:AM550" si="1614">IFERROR(IF(Y548=AB548,IF(M548="1.4G",(O548/1000)*AB548,""),""),0)</f>
        <v/>
      </c>
      <c r="AN548" s="651">
        <f t="shared" ref="AN548:AN550" si="1615">SUM(AK548:AM548)</f>
        <v>0</v>
      </c>
      <c r="AO548" s="623"/>
      <c r="AP548" s="632" t="str">
        <f t="shared" si="1468"/>
        <v/>
      </c>
      <c r="AQ548" s="633" t="str">
        <f>IF(AC548=$V$3,IF(VLOOKUP(C548,[1]List1!$A:$E,5,FALSE)=0,1,VLOOKUP(C548,[1]List1!$A:$E,5,FALSE)),"")</f>
        <v/>
      </c>
      <c r="AR548" s="625" t="str">
        <f t="shared" si="1469"/>
        <v/>
      </c>
      <c r="AS548" s="634" t="str">
        <f t="shared" si="1470"/>
        <v/>
      </c>
      <c r="AT548" s="625" t="str">
        <f t="shared" si="1471"/>
        <v/>
      </c>
      <c r="AU548" s="638" t="e">
        <f t="shared" si="1472"/>
        <v>#N/A</v>
      </c>
      <c r="AV548" s="625" t="e">
        <f t="shared" si="1473"/>
        <v>#N/A</v>
      </c>
      <c r="AX548" s="625">
        <f>IF(AND('General price list'!$J548="F4",'General price list'!$AB548+0&gt;0),1,0)</f>
        <v>0</v>
      </c>
      <c r="AY548" s="625">
        <f t="shared" si="1474"/>
        <v>1</v>
      </c>
      <c r="AZ548" s="625">
        <f t="shared" si="1475"/>
        <v>0</v>
      </c>
    </row>
    <row r="549" spans="1:52" ht="15.75" customHeight="1">
      <c r="A549" s="621" t="str">
        <f>Kat.!C549</f>
        <v/>
      </c>
      <c r="B549" s="566">
        <f>IF(AND('General price list'!$J549="F4",$AI$1=FALSE),0,IF(AC549="SKLADEM",1,IF(AC549=$V$3,1,0)))</f>
        <v>1</v>
      </c>
      <c r="C549" s="567" t="s">
        <v>1159</v>
      </c>
      <c r="D549" s="568" t="s">
        <v>12548</v>
      </c>
      <c r="E549" s="763" t="s">
        <v>12746</v>
      </c>
      <c r="F549" s="791">
        <f>IFERROR(VLOOKUP(C549,[2]List1!$A:$D,3,FALSE),"NEUVEDENO!")</f>
        <v>625</v>
      </c>
      <c r="G549" s="769">
        <f t="shared" si="1602"/>
        <v>625</v>
      </c>
      <c r="H549" s="766">
        <f t="shared" si="1603"/>
        <v>26.54908607426098</v>
      </c>
      <c r="I549" s="764">
        <f>IFERROR(VLOOKUP(C549,[2]List1!$A:$D,4,FALSE),"NEUVEDENO!")</f>
        <v>6</v>
      </c>
      <c r="J549" s="732" t="s">
        <v>39</v>
      </c>
      <c r="K549" s="569" t="s">
        <v>11100</v>
      </c>
      <c r="L549" s="569" t="s">
        <v>10988</v>
      </c>
      <c r="M549" s="569" t="s">
        <v>114</v>
      </c>
      <c r="N549" s="569">
        <f>IFERROR(VLOOKUP(C549,[3]List1!$A:$D,4,FALSE),"N/A!")</f>
        <v>4.8943999999999994E-2</v>
      </c>
      <c r="O549" s="569">
        <f>IFERROR(VLOOKUP(C549,[3]List1!$A:$D,3,FALSE),"N/A!")</f>
        <v>2988</v>
      </c>
      <c r="P549" s="569">
        <f>IFERROR(VLOOKUP(C549,[3]List1!$A:$D,2,FALSE),"N/A!")</f>
        <v>20000</v>
      </c>
      <c r="Q549" s="569" t="s">
        <v>11252</v>
      </c>
      <c r="R549" s="569"/>
      <c r="S549" s="569" t="str">
        <f>IF($W$17=$AF$1,"design",IFERROR(VLOOKUP("design",Jazyky_ceník!$A:$Q,MATCH($W$17,Jazyky_ceník!$A$1:$Q$1,0),FALSE),"!!!"))</f>
        <v>design</v>
      </c>
      <c r="T549" s="569">
        <v>43</v>
      </c>
      <c r="U549" s="569">
        <v>30</v>
      </c>
      <c r="V549" s="569">
        <v>22</v>
      </c>
      <c r="W549" s="569" t="str">
        <f>IFERROR(IF(AND($AB549&gt;=0.1*$AA549,MOD($AB549,$AA549)&gt;=($AA549-(0.1*$AA549))),IF($W$17=$AF$1,"Zvažte možnost doobjednání ještě "&amp;Tabulka1[[#This Row],[VKPAL]]-MOD(AB549,AA549)&amp;" VK do plné palety.",VLOOKUP("Zvažte možnost doobjednání ještě ",Jazyky_ceník!A:Q,MATCH($W$17,Jazyky_ceník!$A$1:$Q$1,0),FALSE)&amp;Tabulka1[[#This Row],[VKPAL]]-MOD(AB549,AA549)&amp;VLOOKUP(" VK do plné palety.",Jazyky_ceník!A:Q,MATCH($W$17,Jazyky_ceník!$A$1:$Q$1,0),FALSE)),IFERROR(IF(AND(NOT(MOD($AB549,$AA549)=0),$AB549&gt;=0.9*$AA549,MOD($AB549,$AA549)&lt;=0.1*$AA549),IF($W$17=$AF$1,"Zvažte možnost optimalizace objednaného množství podle počtu VK na paletě ==&gt;",VLOOKUP("Zvažte možnost optimalizace objednaného množství podle počtu VK na paletě ==&gt;",Jazyky_ceník!A:Q,MATCH($W$17,Jazyky_ceník!$A$1:$Q$1,0),FALSE)),VLOOKUP('General price list'!$C549,Popisy!A:M,MATCH($W$17,Popisy!$A$7:$M$7,0),FALSE)),"---------------")),IFERROR(VLOOKUP('General price list'!$C549,Popisy!A:M,MATCH($W$17,Popisy!$A$7:$M$7,0),FALSE),"---------------"))</f>
        <v>7 různobarevných efektů</v>
      </c>
      <c r="X549" s="569" t="str">
        <f t="shared" si="1604"/>
        <v/>
      </c>
      <c r="Y549" s="569" t="str">
        <f t="shared" si="1605"/>
        <v/>
      </c>
      <c r="Z549" s="569" t="str">
        <f>HYPERLINK("https://www.klasekpyrotechnics.cz/c4925p")</f>
        <v>https://www.klasekpyrotechnics.cz/c4925p</v>
      </c>
      <c r="AA549" s="569">
        <f>IFERROR(IF(VLOOKUP(C549,[4]List1!$A:$D,4,FALSE)=0,"",VLOOKUP(C549,[4]List1!$A:$D,4,FALSE)),"")</f>
        <v>25</v>
      </c>
      <c r="AB549" s="565"/>
      <c r="AC549" s="570" t="str">
        <f>IFERROR(IF(VLOOKUP(C549,[1]List1!$A:$D,2,FALSE)="VYPRODÁNO",$V$9,IF(VLOOKUP(C549,[1]List1!$A:$D,2,FALSE)="DOCHÁZÍ",$V$3,VLOOKUP(C549,[1]List1!$A:$D,2,FALSE))),"OFFLINE!")</f>
        <v>SKLADEM</v>
      </c>
      <c r="AD549" s="570" t="str">
        <f ca="1">IF(AP549="NE",$V$10,IF(AC549=$V$3,IF(AQ549&lt;1,$V$8,$V$2&amp;" "&amp;AQ549&amp;" "&amp;$V$1),IF(AC549="SKLADEM",$V$6,IFERROR(IF(OR(AC549-TODAY()&gt;45,VLOOKUP(C549,[1]List1!$A:$E,4,FALSE)=0),AC549,DAY(AC549)&amp;"."&amp;MONTH(AC549)&amp;"."&amp;YEAR(AC549)&amp;" "&amp;$V$4&amp;VLOOKUP(C549,[1]List1!$A:$E,4,FALSE)&amp;" "&amp;$V$1),AC549))))</f>
        <v>SKLADEM</v>
      </c>
      <c r="AE549" s="581" t="str">
        <f t="shared" ca="1" si="1606"/>
        <v>SKLADEM</v>
      </c>
      <c r="AF549" s="584">
        <f t="shared" si="1607"/>
        <v>0</v>
      </c>
      <c r="AG549" s="585">
        <f t="shared" si="1608"/>
        <v>0</v>
      </c>
      <c r="AH549" s="583">
        <f t="shared" si="1609"/>
        <v>0</v>
      </c>
      <c r="AI549" s="582">
        <f t="shared" si="1610"/>
        <v>0</v>
      </c>
      <c r="AJ549" s="569">
        <f t="shared" si="1611"/>
        <v>0</v>
      </c>
      <c r="AK549" s="569" t="str">
        <f t="shared" si="1612"/>
        <v/>
      </c>
      <c r="AL549" s="569">
        <f t="shared" si="1613"/>
        <v>0</v>
      </c>
      <c r="AM549" s="569" t="str">
        <f t="shared" si="1614"/>
        <v/>
      </c>
      <c r="AN549" s="581">
        <f t="shared" si="1615"/>
        <v>0</v>
      </c>
      <c r="AO549" s="623"/>
      <c r="AP549" s="625" t="str">
        <f t="shared" si="1468"/>
        <v/>
      </c>
      <c r="AQ549" s="625" t="str">
        <f>IF(AC549=$V$3,IF(VLOOKUP(C549,[1]List1!$A:$E,5,FALSE)=0,1,VLOOKUP(C549,[1]List1!$A:$E,5,FALSE)),"")</f>
        <v/>
      </c>
      <c r="AR549" s="629" t="str">
        <f t="shared" si="1469"/>
        <v/>
      </c>
      <c r="AS549" s="630" t="str">
        <f t="shared" si="1470"/>
        <v/>
      </c>
      <c r="AT549" s="625" t="str">
        <f t="shared" si="1471"/>
        <v/>
      </c>
      <c r="AU549" s="625" t="e">
        <f t="shared" si="1472"/>
        <v>#N/A</v>
      </c>
      <c r="AV549" s="625" t="e">
        <f t="shared" si="1473"/>
        <v>#N/A</v>
      </c>
      <c r="AW549" s="631"/>
      <c r="AX549" s="631">
        <f>IF(AND('General price list'!$J549="F4",'General price list'!$AB549+0&gt;0),1,0)</f>
        <v>0</v>
      </c>
      <c r="AY549" s="631">
        <f t="shared" si="1474"/>
        <v>1</v>
      </c>
      <c r="AZ549" s="631">
        <f t="shared" si="1475"/>
        <v>0</v>
      </c>
    </row>
    <row r="550" spans="1:52" ht="15" customHeight="1">
      <c r="A550" s="639" t="str">
        <f>Kat.!C550</f>
        <v/>
      </c>
      <c r="B550" s="640">
        <f>IF(AND('General price list'!$J550="F4",$AI$1=FALSE),0,IF(AC550="SKLADEM",1,IF(AC550=$V$3,1,0)))</f>
        <v>1</v>
      </c>
      <c r="C550" s="641" t="s">
        <v>1160</v>
      </c>
      <c r="D550" s="642" t="s">
        <v>1161</v>
      </c>
      <c r="E550" s="643" t="s">
        <v>12746</v>
      </c>
      <c r="F550" s="791">
        <f>IFERROR(VLOOKUP(C550,[2]List1!$A:$D,3,FALSE),"NEUVEDENO!")</f>
        <v>625</v>
      </c>
      <c r="G550" s="770">
        <f t="shared" si="1602"/>
        <v>625</v>
      </c>
      <c r="H550" s="767">
        <f t="shared" si="1603"/>
        <v>26.54908607426098</v>
      </c>
      <c r="I550" s="644">
        <f>IFERROR(VLOOKUP(C550,[2]List1!$A:$D,4,FALSE),"NEUVEDENO!")</f>
        <v>6</v>
      </c>
      <c r="J550" s="733" t="s">
        <v>39</v>
      </c>
      <c r="K550" s="645" t="s">
        <v>11100</v>
      </c>
      <c r="L550" s="645" t="s">
        <v>10988</v>
      </c>
      <c r="M550" s="645" t="s">
        <v>114</v>
      </c>
      <c r="N550" s="645">
        <f>IFERROR(VLOOKUP(C550,[3]List1!$A:$D,4,FALSE),"N/A!")</f>
        <v>4.8943999999999994E-2</v>
      </c>
      <c r="O550" s="645">
        <f>IFERROR(VLOOKUP(C550,[3]List1!$A:$D,3,FALSE),"N/A!")</f>
        <v>2988</v>
      </c>
      <c r="P550" s="645">
        <f>IFERROR(VLOOKUP(C550,[3]List1!$A:$D,2,FALSE),"N/A!")</f>
        <v>20000</v>
      </c>
      <c r="Q550" s="645" t="s">
        <v>11308</v>
      </c>
      <c r="R550" s="645"/>
      <c r="S550" s="645" t="str">
        <f>IF($W$17=$AF$1,"design",IFERROR(VLOOKUP("design",Jazyky_ceník!$A:$Q,MATCH($W$17,Jazyky_ceník!$A$1:$Q$1,0),FALSE),"!!!"))</f>
        <v>design</v>
      </c>
      <c r="T550" s="645">
        <v>43</v>
      </c>
      <c r="U550" s="645">
        <v>30</v>
      </c>
      <c r="V550" s="645">
        <v>22</v>
      </c>
      <c r="W550" s="645" t="str">
        <f>IFERROR(IF(AND($AB550&gt;=0.1*$AA550,MOD($AB550,$AA550)&gt;=($AA550-(0.1*$AA550))),IF($W$17=$AF$1,"Zvažte možnost doobjednání ještě "&amp;Tabulka1[[#This Row],[VKPAL]]-MOD(AB550,AA550)&amp;" VK do plné palety.",VLOOKUP("Zvažte možnost doobjednání ještě ",Jazyky_ceník!A:Q,MATCH($W$17,Jazyky_ceník!$A$1:$Q$1,0),FALSE)&amp;Tabulka1[[#This Row],[VKPAL]]-MOD(AB550,AA550)&amp;VLOOKUP(" VK do plné palety.",Jazyky_ceník!A:Q,MATCH($W$17,Jazyky_ceník!$A$1:$Q$1,0),FALSE)),IFERROR(IF(AND(NOT(MOD($AB550,$AA550)=0),$AB550&gt;=0.9*$AA550,MOD($AB550,$AA550)&lt;=0.1*$AA550),IF($W$17=$AF$1,"Zvažte možnost optimalizace objednaného množství podle počtu VK na paletě ==&gt;",VLOOKUP("Zvažte možnost optimalizace objednaného množství podle počtu VK na paletě ==&gt;",Jazyky_ceník!A:Q,MATCH($W$17,Jazyky_ceník!$A$1:$Q$1,0),FALSE)),VLOOKUP('General price list'!$C550,Popisy!A:M,MATCH($W$17,Popisy!$A$7:$M$7,0),FALSE)),"---------------")),IFERROR(VLOOKUP('General price list'!$C550,Popisy!A:M,MATCH($W$17,Popisy!$A$7:$M$7,0),FALSE),"---------------"))</f>
        <v>7 různobarevných efektů</v>
      </c>
      <c r="X550" s="645" t="str">
        <f t="shared" si="1604"/>
        <v/>
      </c>
      <c r="Y550" s="645" t="str">
        <f t="shared" si="1605"/>
        <v/>
      </c>
      <c r="Z550" s="645" t="str">
        <f>HYPERLINK("https://www.klasekpyrotechnics.cz/c4925v")</f>
        <v>https://www.klasekpyrotechnics.cz/c4925v</v>
      </c>
      <c r="AA550" s="645">
        <f>IFERROR(IF(VLOOKUP(C550,[4]List1!$A:$D,4,FALSE)=0,"",VLOOKUP(C550,[4]List1!$A:$D,4,FALSE)),"")</f>
        <v>25</v>
      </c>
      <c r="AB550" s="646"/>
      <c r="AC550" s="647" t="str">
        <f>IFERROR(IF(VLOOKUP(C550,[1]List1!$A:$D,2,FALSE)="VYPRODÁNO",$V$9,IF(VLOOKUP(C550,[1]List1!$A:$D,2,FALSE)="DOCHÁZÍ",$V$3,VLOOKUP(C550,[1]List1!$A:$D,2,FALSE))),"OFFLINE!")</f>
        <v>SKLADEM</v>
      </c>
      <c r="AD550" s="647" t="str">
        <f ca="1">IF(AP550="NE",$V$10,IF(AC550=$V$3,IF(AQ550&lt;1,$V$8,$V$2&amp;" "&amp;AQ550&amp;" "&amp;$V$1),IF(AC550="SKLADEM",$V$6,IFERROR(IF(OR(AC550-TODAY()&gt;45,VLOOKUP(C550,[1]List1!$A:$E,4,FALSE)=0),AC550,DAY(AC550)&amp;"."&amp;MONTH(AC550)&amp;"."&amp;YEAR(AC550)&amp;" "&amp;$V$4&amp;VLOOKUP(C550,[1]List1!$A:$E,4,FALSE)&amp;" "&amp;$V$1),AC550))))</f>
        <v>SKLADEM</v>
      </c>
      <c r="AE550" s="645" t="str">
        <f t="shared" ca="1" si="1606"/>
        <v>SKLADEM</v>
      </c>
      <c r="AF550" s="648">
        <f t="shared" si="1607"/>
        <v>0</v>
      </c>
      <c r="AG550" s="649">
        <f t="shared" si="1608"/>
        <v>0</v>
      </c>
      <c r="AH550" s="650">
        <f t="shared" si="1609"/>
        <v>0</v>
      </c>
      <c r="AI550" s="645">
        <f t="shared" si="1610"/>
        <v>0</v>
      </c>
      <c r="AJ550" s="645">
        <f t="shared" si="1611"/>
        <v>0</v>
      </c>
      <c r="AK550" s="645" t="str">
        <f t="shared" si="1612"/>
        <v/>
      </c>
      <c r="AL550" s="645">
        <f t="shared" si="1613"/>
        <v>0</v>
      </c>
      <c r="AM550" s="645" t="str">
        <f t="shared" si="1614"/>
        <v/>
      </c>
      <c r="AN550" s="651">
        <f t="shared" si="1615"/>
        <v>0</v>
      </c>
      <c r="AO550" s="623"/>
      <c r="AP550" s="632" t="str">
        <f t="shared" si="1468"/>
        <v/>
      </c>
      <c r="AQ550" s="633" t="str">
        <f>IF(AC550=$V$3,IF(VLOOKUP(C550,[1]List1!$A:$E,5,FALSE)=0,1,VLOOKUP(C550,[1]List1!$A:$E,5,FALSE)),"")</f>
        <v/>
      </c>
      <c r="AR550" s="625" t="str">
        <f t="shared" si="1469"/>
        <v/>
      </c>
      <c r="AS550" s="634" t="str">
        <f t="shared" si="1470"/>
        <v/>
      </c>
      <c r="AT550" s="625" t="str">
        <f t="shared" si="1471"/>
        <v/>
      </c>
      <c r="AU550" s="638" t="e">
        <f t="shared" si="1472"/>
        <v>#N/A</v>
      </c>
      <c r="AV550" s="625" t="e">
        <f t="shared" si="1473"/>
        <v>#N/A</v>
      </c>
      <c r="AX550" s="625">
        <f>IF(AND('General price list'!$J550="F4",'General price list'!$AB550+0&gt;0),1,0)</f>
        <v>0</v>
      </c>
      <c r="AY550" s="625">
        <f t="shared" si="1474"/>
        <v>1</v>
      </c>
      <c r="AZ550" s="625">
        <f t="shared" si="1475"/>
        <v>0</v>
      </c>
    </row>
    <row r="551" spans="1:52" ht="15.75" customHeight="1">
      <c r="A551" s="751" t="str">
        <f>Kat.!C551</f>
        <v xml:space="preserve">           Baterie 49 ran, 25 mm moždíř – F2 – 1.4G</v>
      </c>
      <c r="B551" s="751"/>
      <c r="C551" s="751"/>
      <c r="D551" s="751"/>
      <c r="E551" s="751"/>
      <c r="F551" s="751"/>
      <c r="G551" s="751"/>
      <c r="H551" s="751"/>
      <c r="I551" s="752"/>
      <c r="J551" s="752"/>
      <c r="K551" s="752" t="s">
        <v>20</v>
      </c>
      <c r="L551" s="753" t="s">
        <v>2818</v>
      </c>
      <c r="M551" s="752"/>
      <c r="N551" s="752"/>
      <c r="O551" s="752"/>
      <c r="P551" s="752"/>
      <c r="Q551" s="752"/>
      <c r="R551" s="752"/>
      <c r="S551" s="752"/>
      <c r="T551" s="752"/>
      <c r="U551" s="752"/>
      <c r="V551" s="752"/>
      <c r="W551" s="752"/>
      <c r="X551" s="752"/>
      <c r="Y551" s="752"/>
      <c r="Z551" s="752" t="s">
        <v>20</v>
      </c>
      <c r="AA551" s="752"/>
      <c r="AB551" s="752"/>
      <c r="AC551" s="754"/>
      <c r="AD551" s="752"/>
      <c r="AE551" s="752"/>
      <c r="AF551" s="752"/>
      <c r="AG551" s="752"/>
      <c r="AH551" s="752"/>
      <c r="AI551" s="752"/>
      <c r="AJ551" s="752"/>
      <c r="AK551" s="752"/>
      <c r="AL551" s="752"/>
      <c r="AM551" s="752"/>
      <c r="AN551" s="752"/>
      <c r="AO551" s="623"/>
      <c r="AP551" s="625" t="str">
        <f t="shared" si="1468"/>
        <v/>
      </c>
      <c r="AQ551" s="625" t="str">
        <f>IF(AC551=$V$3,IF(VLOOKUP(C551,[1]List1!$A:$E,5,FALSE)=0,1,VLOOKUP(C551,[1]List1!$A:$E,5,FALSE)),"")</f>
        <v/>
      </c>
      <c r="AR551" s="629" t="str">
        <f t="shared" si="1469"/>
        <v/>
      </c>
      <c r="AS551" s="630" t="str">
        <f t="shared" si="1470"/>
        <v/>
      </c>
      <c r="AT551" s="625" t="str">
        <f t="shared" si="1471"/>
        <v/>
      </c>
      <c r="AU551" s="625" t="e">
        <f t="shared" si="1472"/>
        <v>#N/A</v>
      </c>
      <c r="AV551" s="625" t="e">
        <f t="shared" si="1473"/>
        <v>#N/A</v>
      </c>
      <c r="AW551" s="631"/>
      <c r="AX551" s="631">
        <f>IF(AND('General price list'!$J551="F4",'General price list'!$AB551+0&gt;0),1,0)</f>
        <v>0</v>
      </c>
      <c r="AY551" s="631">
        <f t="shared" si="1474"/>
        <v>0</v>
      </c>
      <c r="AZ551" s="631">
        <f t="shared" si="1475"/>
        <v>0</v>
      </c>
    </row>
    <row r="552" spans="1:52" ht="15" customHeight="1">
      <c r="A552" s="639" t="str">
        <f>Kat.!C552</f>
        <v/>
      </c>
      <c r="B552" s="640">
        <f>IF(AND('General price list'!$J552="F4",$AI$1=FALSE),0,IF(AC552="SKLADEM",1,IF(AC552=$V$3,1,0)))</f>
        <v>1</v>
      </c>
      <c r="C552" s="641" t="s">
        <v>1162</v>
      </c>
      <c r="D552" s="642" t="s">
        <v>11887</v>
      </c>
      <c r="E552" s="643" t="s">
        <v>12746</v>
      </c>
      <c r="F552" s="791">
        <f>IFERROR(VLOOKUP(C552,[2]List1!$A:$D,3,FALSE),"NEUVEDENO!")</f>
        <v>619</v>
      </c>
      <c r="G552" s="768">
        <f t="shared" ref="G552:G555" si="1616">IF($W$17=$AF$8,ROUND((F552)/$F$17,2),(F552)*$B$19)</f>
        <v>619</v>
      </c>
      <c r="H552" s="765">
        <f t="shared" ref="H552:H555" si="1617">IF($W$17=$AF$8,G552*$B$19,G552/$F$17)</f>
        <v>26.294214847948073</v>
      </c>
      <c r="I552" s="644">
        <f>IFERROR(VLOOKUP(C552,[2]List1!$A:$D,4,FALSE),"NEUVEDENO!")</f>
        <v>6</v>
      </c>
      <c r="J552" s="733" t="s">
        <v>39</v>
      </c>
      <c r="K552" s="645" t="s">
        <v>11100</v>
      </c>
      <c r="L552" s="645" t="s">
        <v>10994</v>
      </c>
      <c r="M552" s="645" t="s">
        <v>21</v>
      </c>
      <c r="N552" s="645">
        <f>IFERROR(VLOOKUP(C552,[3]List1!$A:$D,4,FALSE),"N/A!")</f>
        <v>4.8943999999999994E-2</v>
      </c>
      <c r="O552" s="645">
        <f>IFERROR(VLOOKUP(C552,[3]List1!$A:$D,3,FALSE),"N/A!")</f>
        <v>3000</v>
      </c>
      <c r="P552" s="645">
        <f>IFERROR(VLOOKUP(C552,[3]List1!$A:$D,2,FALSE),"N/A!")</f>
        <v>20000</v>
      </c>
      <c r="Q552" s="645" t="s">
        <v>11308</v>
      </c>
      <c r="R552" s="645"/>
      <c r="S552" s="645" t="str">
        <f>IF($W$17=$AF$1,"červená fólie",IFERROR(VLOOKUP("červená fólie",Jazyky_ceník!$A:$Q,MATCH($W$17,Jazyky_ceník!$A$1:$Q$1,0),FALSE),"!!!"))</f>
        <v>červená fólie</v>
      </c>
      <c r="T552" s="645">
        <v>40</v>
      </c>
      <c r="U552" s="645">
        <v>30</v>
      </c>
      <c r="V552" s="645">
        <v>18</v>
      </c>
      <c r="W552" s="645" t="str">
        <f>IFERROR(IF(AND($AB552&gt;=0.1*$AA552,MOD($AB552,$AA552)&gt;=($AA552-(0.1*$AA552))),IF($W$17=$AF$1,"Zvažte možnost doobjednání ještě "&amp;Tabulka1[[#This Row],[VKPAL]]-MOD(AB552,AA552)&amp;" VK do plné palety.",VLOOKUP("Zvažte možnost doobjednání ještě ",Jazyky_ceník!A:Q,MATCH($W$17,Jazyky_ceník!$A$1:$Q$1,0),FALSE)&amp;Tabulka1[[#This Row],[VKPAL]]-MOD(AB552,AA552)&amp;VLOOKUP(" VK do plné palety.",Jazyky_ceník!A:Q,MATCH($W$17,Jazyky_ceník!$A$1:$Q$1,0),FALSE)),IFERROR(IF(AND(NOT(MOD($AB552,$AA552)=0),$AB552&gt;=0.9*$AA552,MOD($AB552,$AA552)&lt;=0.1*$AA552),IF($W$17=$AF$1,"Zvažte možnost optimalizace objednaného množství podle počtu VK na paletě ==&gt;",VLOOKUP("Zvažte možnost optimalizace objednaného množství podle počtu VK na paletě ==&gt;",Jazyky_ceník!A:Q,MATCH($W$17,Jazyky_ceník!$A$1:$Q$1,0),FALSE)),VLOOKUP('General price list'!$C552,Popisy!A:M,MATCH($W$17,Popisy!$A$7:$M$7,0),FALSE)),"---------------")),IFERROR(VLOOKUP('General price list'!$C552,Popisy!A:M,MATCH($W$17,Popisy!$A$7:$M$7,0),FALSE),"---------------"))</f>
        <v>7 různobarevných efektů</v>
      </c>
      <c r="X552" s="645" t="str">
        <f t="shared" ref="X552:X555" si="1618">IF(AB552&lt;0.0001,"",AB552)</f>
        <v/>
      </c>
      <c r="Y552" s="645" t="str">
        <f t="shared" ref="Y552:Y555" si="1619">IF($AL$3=2,IF(OR(AB552&lt;&gt;"",AB552&lt;&gt;0),AU552,""),IF(C552="","",IF(AB552&lt;0.0001,"",IF(B552=0,"",IF(AQ552&lt;AB552,"",AB552)))))</f>
        <v/>
      </c>
      <c r="Z552" s="645" t="str">
        <f>HYPERLINK("https://www.klasekpyrotechnics.cz/c4925bp14")</f>
        <v>https://www.klasekpyrotechnics.cz/c4925bp14</v>
      </c>
      <c r="AA552" s="645">
        <f>IFERROR(IF(VLOOKUP(C552,[4]List1!$A:$D,4,FALSE)=0,"",VLOOKUP(C552,[4]List1!$A:$D,4,FALSE)),"")</f>
        <v>25</v>
      </c>
      <c r="AB552" s="646"/>
      <c r="AC552" s="647" t="str">
        <f>IFERROR(IF(VLOOKUP(C552,[1]List1!$A:$D,2,FALSE)="VYPRODÁNO",$V$9,IF(VLOOKUP(C552,[1]List1!$A:$D,2,FALSE)="DOCHÁZÍ",$V$3,VLOOKUP(C552,[1]List1!$A:$D,2,FALSE))),"OFFLINE!")</f>
        <v>SKLADEM</v>
      </c>
      <c r="AD552" s="647" t="str">
        <f ca="1">IF(AP552="NE",$V$10,IF(AC552=$V$3,IF(AQ552&lt;1,$V$8,$V$2&amp;" "&amp;AQ552&amp;" "&amp;$V$1),IF(AC552="SKLADEM",$V$6,IFERROR(IF(OR(AC552-TODAY()&gt;45,VLOOKUP(C552,[1]List1!$A:$E,4,FALSE)=0),AC552,DAY(AC552)&amp;"."&amp;MONTH(AC552)&amp;"."&amp;YEAR(AC552)&amp;" "&amp;$V$4&amp;VLOOKUP(C552,[1]List1!$A:$E,4,FALSE)&amp;" "&amp;$V$1),AC552))))</f>
        <v>SKLADEM</v>
      </c>
      <c r="AE552" s="645" t="str">
        <f t="shared" ref="AE552:AE555" ca="1" si="1620">IFERROR(IF(AV552&lt;&gt;"",AV552,AD552),AD552)</f>
        <v>SKLADEM</v>
      </c>
      <c r="AF552" s="648">
        <f t="shared" ref="AF552:AF555" si="1621">IFERROR(IF(AB552=Y552,G552*I552*Y552,0),0)</f>
        <v>0</v>
      </c>
      <c r="AG552" s="649">
        <f t="shared" ref="AG552:AG555" si="1622">IF($W$17=$AF$8,AH552*1.23,AF552*1.21)</f>
        <v>0</v>
      </c>
      <c r="AH552" s="650">
        <f t="shared" ref="AH552:AH555" si="1623">IFERROR(IF(Y552=AB552,H552*I552*Y552,0),0)</f>
        <v>0</v>
      </c>
      <c r="AI552" s="645">
        <f t="shared" ref="AI552:AI555" si="1624">IFERROR(IF(Y552=AB552,(P552*Y552)/1000,1),0)</f>
        <v>0</v>
      </c>
      <c r="AJ552" s="645">
        <f t="shared" ref="AJ552:AJ555" si="1625">IFERROR(IF(Y552=AB552,N552*Y552,0.1),0)</f>
        <v>0</v>
      </c>
      <c r="AK552" s="645" t="str">
        <f t="shared" ref="AK552:AK555" si="1626">IFERROR(IF(Y552=AB552,IF(M552="1.1G",(O552/1000)*Y552,""),""),0)</f>
        <v/>
      </c>
      <c r="AL552" s="645" t="str">
        <f t="shared" ref="AL552:AL555" si="1627">IFERROR(IF(Y552=AB552,IF(M552="1.3G",(O552/1000)*AB552,""),""),0)</f>
        <v/>
      </c>
      <c r="AM552" s="645">
        <f t="shared" ref="AM552:AM555" si="1628">IFERROR(IF(Y552=AB552,IF(M552="1.4G",(O552/1000)*AB552,""),""),0)</f>
        <v>0</v>
      </c>
      <c r="AN552" s="651">
        <f t="shared" ref="AN552:AN555" si="1629">SUM(AK552:AM552)</f>
        <v>0</v>
      </c>
      <c r="AO552" s="623"/>
      <c r="AP552" s="632" t="str">
        <f t="shared" si="1468"/>
        <v/>
      </c>
      <c r="AQ552" s="633" t="str">
        <f>IF(AC552=$V$3,IF(VLOOKUP(C552,[1]List1!$A:$E,5,FALSE)=0,1,VLOOKUP(C552,[1]List1!$A:$E,5,FALSE)),"")</f>
        <v/>
      </c>
      <c r="AR552" s="625" t="str">
        <f t="shared" si="1469"/>
        <v/>
      </c>
      <c r="AS552" s="634" t="str">
        <f t="shared" si="1470"/>
        <v/>
      </c>
      <c r="AT552" s="625" t="str">
        <f t="shared" si="1471"/>
        <v/>
      </c>
      <c r="AU552" s="638" t="e">
        <f t="shared" si="1472"/>
        <v>#N/A</v>
      </c>
      <c r="AV552" s="625" t="e">
        <f t="shared" si="1473"/>
        <v>#N/A</v>
      </c>
      <c r="AX552" s="625">
        <f>IF(AND('General price list'!$J552="F4",'General price list'!$AB552+0&gt;0),1,0)</f>
        <v>0</v>
      </c>
      <c r="AY552" s="625">
        <f t="shared" si="1474"/>
        <v>1</v>
      </c>
      <c r="AZ552" s="625">
        <f t="shared" si="1475"/>
        <v>0</v>
      </c>
    </row>
    <row r="553" spans="1:52" ht="15.75" customHeight="1">
      <c r="A553" s="621" t="str">
        <f>Kat.!C553</f>
        <v/>
      </c>
      <c r="B553" s="566">
        <f>IF(AND('General price list'!$J553="F4",$AI$1=FALSE),0,IF(AC553="SKLADEM",1,IF(AC553=$V$3,1,0)))</f>
        <v>1</v>
      </c>
      <c r="C553" s="567" t="s">
        <v>1163</v>
      </c>
      <c r="D553" s="568" t="s">
        <v>1164</v>
      </c>
      <c r="E553" s="763" t="s">
        <v>12746</v>
      </c>
      <c r="F553" s="772">
        <f>IFERROR(VLOOKUP(C553,[2]List1!$A:$D,3,FALSE),"NEUVEDENO!")</f>
        <v>660</v>
      </c>
      <c r="G553" s="769">
        <f t="shared" si="1616"/>
        <v>660</v>
      </c>
      <c r="H553" s="766">
        <f t="shared" si="1617"/>
        <v>28.035834894419594</v>
      </c>
      <c r="I553" s="764">
        <f>IFERROR(VLOOKUP(C553,[2]List1!$A:$D,4,FALSE),"NEUVEDENO!")</f>
        <v>6</v>
      </c>
      <c r="J553" s="732" t="s">
        <v>39</v>
      </c>
      <c r="K553" s="569" t="s">
        <v>20</v>
      </c>
      <c r="L553" s="569" t="s">
        <v>10994</v>
      </c>
      <c r="M553" s="569" t="s">
        <v>21</v>
      </c>
      <c r="N553" s="569">
        <f>IFERROR(VLOOKUP(C553,[3]List1!$A:$D,4,FALSE),"N/A!")</f>
        <v>4.8943999999999994E-2</v>
      </c>
      <c r="O553" s="569">
        <f>IFERROR(VLOOKUP(C553,[3]List1!$A:$D,3,FALSE),"N/A!")</f>
        <v>2970</v>
      </c>
      <c r="P553" s="569">
        <f>IFERROR(VLOOKUP(C553,[3]List1!$A:$D,2,FALSE),"N/A!")</f>
        <v>20000</v>
      </c>
      <c r="Q553" s="569" t="s">
        <v>11252</v>
      </c>
      <c r="R553" s="569"/>
      <c r="S553" s="569" t="str">
        <f>IF($W$17=$AF$1,"design",IFERROR(VLOOKUP("design",Jazyky_ceník!$A:$Q,MATCH($W$17,Jazyky_ceník!$A$1:$Q$1,0),FALSE),"!!!"))</f>
        <v>design</v>
      </c>
      <c r="T553" s="569">
        <v>40</v>
      </c>
      <c r="U553" s="569">
        <v>30</v>
      </c>
      <c r="V553" s="569"/>
      <c r="W553" s="569" t="str">
        <f>IFERROR(IF(AND($AB553&gt;=0.1*$AA553,MOD($AB553,$AA553)&gt;=($AA553-(0.1*$AA553))),IF($W$17=$AF$1,"Zvažte možnost doobjednání ještě "&amp;Tabulka1[[#This Row],[VKPAL]]-MOD(AB553,AA553)&amp;" VK do plné palety.",VLOOKUP("Zvažte možnost doobjednání ještě ",Jazyky_ceník!A:Q,MATCH($W$17,Jazyky_ceník!$A$1:$Q$1,0),FALSE)&amp;Tabulka1[[#This Row],[VKPAL]]-MOD(AB553,AA553)&amp;VLOOKUP(" VK do plné palety.",Jazyky_ceník!A:Q,MATCH($W$17,Jazyky_ceník!$A$1:$Q$1,0),FALSE)),IFERROR(IF(AND(NOT(MOD($AB553,$AA553)=0),$AB553&gt;=0.9*$AA553,MOD($AB553,$AA553)&lt;=0.1*$AA553),IF($W$17=$AF$1,"Zvažte možnost optimalizace objednaného množství podle počtu VK na paletě ==&gt;",VLOOKUP("Zvažte možnost optimalizace objednaného množství podle počtu VK na paletě ==&gt;",Jazyky_ceník!A:Q,MATCH($W$17,Jazyky_ceník!$A$1:$Q$1,0),FALSE)),VLOOKUP('General price list'!$C553,Popisy!A:M,MATCH($W$17,Popisy!$A$7:$M$7,0),FALSE)),"---------------")),IFERROR(VLOOKUP('General price list'!$C553,Popisy!A:M,MATCH($W$17,Popisy!$A$7:$M$7,0),FALSE),"---------------"))</f>
        <v>7 různobarevných efektů - bez hluku</v>
      </c>
      <c r="X553" s="569" t="str">
        <f t="shared" si="1618"/>
        <v/>
      </c>
      <c r="Y553" s="569" t="str">
        <f t="shared" si="1619"/>
        <v/>
      </c>
      <c r="Z553" s="569" t="str">
        <f>HYPERLINK("https://www.klasekpyrotechnics.cz/c4925no14")</f>
        <v>https://www.klasekpyrotechnics.cz/c4925no14</v>
      </c>
      <c r="AA553" s="569">
        <f>IFERROR(IF(VLOOKUP(C553,[4]List1!$A:$D,4,FALSE)=0,"",VLOOKUP(C553,[4]List1!$A:$D,4,FALSE)),"")</f>
        <v>25</v>
      </c>
      <c r="AB553" s="565"/>
      <c r="AC553" s="570" t="str">
        <f>IFERROR(IF(VLOOKUP(C553,[1]List1!$A:$D,2,FALSE)="VYPRODÁNO",$V$9,IF(VLOOKUP(C553,[1]List1!$A:$D,2,FALSE)="DOCHÁZÍ",$V$3,VLOOKUP(C553,[1]List1!$A:$D,2,FALSE))),"OFFLINE!")</f>
        <v>SKLADEM</v>
      </c>
      <c r="AD553" s="570" t="str">
        <f ca="1">IF(AP553="NE",$V$10,IF(AC553=$V$3,IF(AQ553&lt;1,$V$8,$V$2&amp;" "&amp;AQ553&amp;" "&amp;$V$1),IF(AC553="SKLADEM",$V$6,IFERROR(IF(OR(AC553-TODAY()&gt;45,VLOOKUP(C553,[1]List1!$A:$E,4,FALSE)=0),AC553,DAY(AC553)&amp;"."&amp;MONTH(AC553)&amp;"."&amp;YEAR(AC553)&amp;" "&amp;$V$4&amp;VLOOKUP(C553,[1]List1!$A:$E,4,FALSE)&amp;" "&amp;$V$1),AC553))))</f>
        <v>SKLADEM</v>
      </c>
      <c r="AE553" s="581" t="str">
        <f t="shared" ca="1" si="1620"/>
        <v>SKLADEM</v>
      </c>
      <c r="AF553" s="584">
        <f t="shared" si="1621"/>
        <v>0</v>
      </c>
      <c r="AG553" s="585">
        <f t="shared" si="1622"/>
        <v>0</v>
      </c>
      <c r="AH553" s="583">
        <f t="shared" si="1623"/>
        <v>0</v>
      </c>
      <c r="AI553" s="582">
        <f t="shared" si="1624"/>
        <v>0</v>
      </c>
      <c r="AJ553" s="569">
        <f t="shared" si="1625"/>
        <v>0</v>
      </c>
      <c r="AK553" s="569" t="str">
        <f t="shared" si="1626"/>
        <v/>
      </c>
      <c r="AL553" s="569" t="str">
        <f t="shared" si="1627"/>
        <v/>
      </c>
      <c r="AM553" s="569">
        <f t="shared" si="1628"/>
        <v>0</v>
      </c>
      <c r="AN553" s="581">
        <f t="shared" si="1629"/>
        <v>0</v>
      </c>
      <c r="AO553" s="623"/>
      <c r="AP553" s="625" t="str">
        <f t="shared" si="1468"/>
        <v/>
      </c>
      <c r="AQ553" s="625" t="str">
        <f>IF(AC553=$V$3,IF(VLOOKUP(C553,[1]List1!$A:$E,5,FALSE)=0,1,VLOOKUP(C553,[1]List1!$A:$E,5,FALSE)),"")</f>
        <v/>
      </c>
      <c r="AR553" s="629" t="str">
        <f t="shared" si="1469"/>
        <v/>
      </c>
      <c r="AS553" s="630" t="str">
        <f t="shared" si="1470"/>
        <v/>
      </c>
      <c r="AT553" s="625" t="str">
        <f t="shared" si="1471"/>
        <v/>
      </c>
      <c r="AU553" s="625" t="e">
        <f t="shared" si="1472"/>
        <v>#N/A</v>
      </c>
      <c r="AV553" s="625" t="e">
        <f t="shared" si="1473"/>
        <v>#N/A</v>
      </c>
      <c r="AW553" s="631"/>
      <c r="AX553" s="631">
        <f>IF(AND('General price list'!$J553="F4",'General price list'!$AB553+0&gt;0),1,0)</f>
        <v>0</v>
      </c>
      <c r="AY553" s="631">
        <f t="shared" si="1474"/>
        <v>1</v>
      </c>
      <c r="AZ553" s="631">
        <f t="shared" si="1475"/>
        <v>0</v>
      </c>
    </row>
    <row r="554" spans="1:52" ht="15" customHeight="1">
      <c r="A554" s="639" t="str">
        <f>Kat.!C554</f>
        <v/>
      </c>
      <c r="B554" s="640">
        <f>IF(AND('General price list'!$J554="F4",$AI$1=FALSE),0,IF(AC554="SKLADEM",1,IF(AC554=$V$3,1,0)))</f>
        <v>1</v>
      </c>
      <c r="C554" s="641" t="s">
        <v>1167</v>
      </c>
      <c r="D554" s="642" t="s">
        <v>1161</v>
      </c>
      <c r="E554" s="643" t="s">
        <v>12746</v>
      </c>
      <c r="F554" s="791">
        <f>IFERROR(VLOOKUP(C554,[2]List1!$A:$D,3,FALSE),"NEUVEDENO!")</f>
        <v>625</v>
      </c>
      <c r="G554" s="768">
        <f t="shared" si="1616"/>
        <v>625</v>
      </c>
      <c r="H554" s="765">
        <f t="shared" si="1617"/>
        <v>26.54908607426098</v>
      </c>
      <c r="I554" s="644">
        <f>IFERROR(VLOOKUP(C554,[2]List1!$A:$D,4,FALSE),"NEUVEDENO!")</f>
        <v>6</v>
      </c>
      <c r="J554" s="733" t="s">
        <v>39</v>
      </c>
      <c r="K554" s="645" t="s">
        <v>11100</v>
      </c>
      <c r="L554" s="645" t="s">
        <v>10986</v>
      </c>
      <c r="M554" s="645" t="s">
        <v>21</v>
      </c>
      <c r="N554" s="645">
        <f>IFERROR(VLOOKUP(C554,[3]List1!$A:$D,4,FALSE),"N/A!")</f>
        <v>4.8943999999999994E-2</v>
      </c>
      <c r="O554" s="645">
        <f>IFERROR(VLOOKUP(C554,[3]List1!$A:$D,3,FALSE),"N/A!")</f>
        <v>2988</v>
      </c>
      <c r="P554" s="645">
        <f>IFERROR(VLOOKUP(C554,[3]List1!$A:$D,2,FALSE),"N/A!")</f>
        <v>20000</v>
      </c>
      <c r="Q554" s="645" t="s">
        <v>11252</v>
      </c>
      <c r="R554" s="645"/>
      <c r="S554" s="645" t="str">
        <f>IF($W$17=$AF$1,"design",IFERROR(VLOOKUP("design",Jazyky_ceník!$A:$Q,MATCH($W$17,Jazyky_ceník!$A$1:$Q$1,0),FALSE),"!!!"))</f>
        <v>design</v>
      </c>
      <c r="T554" s="645">
        <v>40</v>
      </c>
      <c r="U554" s="645">
        <v>30</v>
      </c>
      <c r="V554" s="645">
        <v>18</v>
      </c>
      <c r="W554" s="645" t="str">
        <f>IFERROR(IF(AND($AB554&gt;=0.1*$AA554,MOD($AB554,$AA554)&gt;=($AA554-(0.1*$AA554))),IF($W$17=$AF$1,"Zvažte možnost doobjednání ještě "&amp;Tabulka1[[#This Row],[VKPAL]]-MOD(AB554,AA554)&amp;" VK do plné palety.",VLOOKUP("Zvažte možnost doobjednání ještě ",Jazyky_ceník!A:Q,MATCH($W$17,Jazyky_ceník!$A$1:$Q$1,0),FALSE)&amp;Tabulka1[[#This Row],[VKPAL]]-MOD(AB554,AA554)&amp;VLOOKUP(" VK do plné palety.",Jazyky_ceník!A:Q,MATCH($W$17,Jazyky_ceník!$A$1:$Q$1,0),FALSE)),IFERROR(IF(AND(NOT(MOD($AB554,$AA554)=0),$AB554&gt;=0.9*$AA554,MOD($AB554,$AA554)&lt;=0.1*$AA554),IF($W$17=$AF$1,"Zvažte možnost optimalizace objednaného množství podle počtu VK na paletě ==&gt;",VLOOKUP("Zvažte možnost optimalizace objednaného množství podle počtu VK na paletě ==&gt;",Jazyky_ceník!A:Q,MATCH($W$17,Jazyky_ceník!$A$1:$Q$1,0),FALSE)),VLOOKUP('General price list'!$C554,Popisy!A:M,MATCH($W$17,Popisy!$A$7:$M$7,0),FALSE)),"---------------")),IFERROR(VLOOKUP('General price list'!$C554,Popisy!A:M,MATCH($W$17,Popisy!$A$7:$M$7,0),FALSE),"---------------"))</f>
        <v>7 různobarevných efektů</v>
      </c>
      <c r="X554" s="645" t="str">
        <f t="shared" si="1618"/>
        <v/>
      </c>
      <c r="Y554" s="645" t="str">
        <f t="shared" si="1619"/>
        <v/>
      </c>
      <c r="Z554" s="645" t="str">
        <f>HYPERLINK("https://www.klasekpyrotechnics.cz/c4925v14")</f>
        <v>https://www.klasekpyrotechnics.cz/c4925v14</v>
      </c>
      <c r="AA554" s="645">
        <f>IFERROR(IF(VLOOKUP(C554,[4]List1!$A:$D,4,FALSE)=0,"",VLOOKUP(C554,[4]List1!$A:$D,4,FALSE)),"")</f>
        <v>25</v>
      </c>
      <c r="AB554" s="646"/>
      <c r="AC554" s="647" t="str">
        <f>IFERROR(IF(VLOOKUP(C554,[1]List1!$A:$D,2,FALSE)="VYPRODÁNO",$V$9,IF(VLOOKUP(C554,[1]List1!$A:$D,2,FALSE)="DOCHÁZÍ",$V$3,VLOOKUP(C554,[1]List1!$A:$D,2,FALSE))),"OFFLINE!")</f>
        <v>SKLADEM</v>
      </c>
      <c r="AD554" s="647" t="str">
        <f ca="1">IF(AP554="NE",$V$10,IF(AC554=$V$3,IF(AQ554&lt;1,$V$8,$V$2&amp;" "&amp;AQ554&amp;" "&amp;$V$1),IF(AC554="SKLADEM",$V$6,IFERROR(IF(OR(AC554-TODAY()&gt;45,VLOOKUP(C554,[1]List1!$A:$E,4,FALSE)=0),AC554,DAY(AC554)&amp;"."&amp;MONTH(AC554)&amp;"."&amp;YEAR(AC554)&amp;" "&amp;$V$4&amp;VLOOKUP(C554,[1]List1!$A:$E,4,FALSE)&amp;" "&amp;$V$1),AC554))))</f>
        <v>SKLADEM</v>
      </c>
      <c r="AE554" s="645" t="str">
        <f t="shared" ca="1" si="1620"/>
        <v>SKLADEM</v>
      </c>
      <c r="AF554" s="648">
        <f t="shared" si="1621"/>
        <v>0</v>
      </c>
      <c r="AG554" s="649">
        <f t="shared" si="1622"/>
        <v>0</v>
      </c>
      <c r="AH554" s="650">
        <f t="shared" si="1623"/>
        <v>0</v>
      </c>
      <c r="AI554" s="645">
        <f t="shared" si="1624"/>
        <v>0</v>
      </c>
      <c r="AJ554" s="645">
        <f t="shared" si="1625"/>
        <v>0</v>
      </c>
      <c r="AK554" s="645" t="str">
        <f t="shared" si="1626"/>
        <v/>
      </c>
      <c r="AL554" s="645" t="str">
        <f t="shared" si="1627"/>
        <v/>
      </c>
      <c r="AM554" s="645">
        <f t="shared" si="1628"/>
        <v>0</v>
      </c>
      <c r="AN554" s="651">
        <f t="shared" si="1629"/>
        <v>0</v>
      </c>
      <c r="AO554" s="623"/>
      <c r="AP554" s="632" t="str">
        <f t="shared" si="1468"/>
        <v/>
      </c>
      <c r="AQ554" s="633" t="str">
        <f>IF(AC554=$V$3,IF(VLOOKUP(C554,[1]List1!$A:$E,5,FALSE)=0,1,VLOOKUP(C554,[1]List1!$A:$E,5,FALSE)),"")</f>
        <v/>
      </c>
      <c r="AR554" s="625" t="str">
        <f t="shared" si="1469"/>
        <v/>
      </c>
      <c r="AS554" s="634" t="str">
        <f t="shared" si="1470"/>
        <v/>
      </c>
      <c r="AT554" s="625" t="str">
        <f t="shared" si="1471"/>
        <v/>
      </c>
      <c r="AU554" s="638" t="e">
        <f t="shared" si="1472"/>
        <v>#N/A</v>
      </c>
      <c r="AV554" s="625" t="e">
        <f t="shared" si="1473"/>
        <v>#N/A</v>
      </c>
      <c r="AX554" s="625">
        <f>IF(AND('General price list'!$J554="F4",'General price list'!$AB554+0&gt;0),1,0)</f>
        <v>0</v>
      </c>
      <c r="AY554" s="625">
        <f t="shared" si="1474"/>
        <v>1</v>
      </c>
      <c r="AZ554" s="625">
        <f t="shared" si="1475"/>
        <v>0</v>
      </c>
    </row>
    <row r="555" spans="1:52" ht="15.75" customHeight="1">
      <c r="A555" s="621" t="str">
        <f>Kat.!C555</f>
        <v/>
      </c>
      <c r="B555" s="566">
        <f>IF(AND('General price list'!$J555="F4",$AI$1=FALSE),0,IF(AC555="SKLADEM",1,IF(AC555=$V$3,1,0)))</f>
        <v>0</v>
      </c>
      <c r="C555" s="641" t="s">
        <v>12459</v>
      </c>
      <c r="D555" s="568" t="s">
        <v>1171</v>
      </c>
      <c r="E555" s="763" t="s">
        <v>12746</v>
      </c>
      <c r="F555" s="772">
        <f>IFERROR(VLOOKUP(C555,[2]List1!$A:$D,3,FALSE),"NEUVEDENO!")</f>
        <v>645</v>
      </c>
      <c r="G555" s="769">
        <f t="shared" si="1616"/>
        <v>645</v>
      </c>
      <c r="H555" s="766">
        <f t="shared" si="1617"/>
        <v>27.398656828637332</v>
      </c>
      <c r="I555" s="764">
        <f>IFERROR(VLOOKUP(C555,[2]List1!$A:$D,4,FALSE),"NEUVEDENO!")</f>
        <v>6</v>
      </c>
      <c r="J555" s="732" t="s">
        <v>39</v>
      </c>
      <c r="K555" s="569">
        <v>4</v>
      </c>
      <c r="L555" s="569"/>
      <c r="M555" s="569" t="s">
        <v>21</v>
      </c>
      <c r="N555" s="569">
        <f>IFERROR(VLOOKUP(C555,[3]List1!$A:$D,4,FALSE),"N/A!")</f>
        <v>4.8943999999999994E-2</v>
      </c>
      <c r="O555" s="569">
        <f>IFERROR(VLOOKUP(C555,[3]List1!$A:$D,3,FALSE),"N/A!")</f>
        <v>2988</v>
      </c>
      <c r="P555" s="569">
        <f>IFERROR(VLOOKUP(C555,[3]List1!$A:$D,2,FALSE),"N/A!")</f>
        <v>20000</v>
      </c>
      <c r="Q555" s="569" t="s">
        <v>11780</v>
      </c>
      <c r="R555" s="569"/>
      <c r="S555" s="569" t="str">
        <f>IF($W$17=$AF$1,"design",IFERROR(VLOOKUP("design",Jazyky_ceník!$A:$Q,MATCH($W$17,Jazyky_ceník!$A$1:$Q$1,0),FALSE),"!!!"))</f>
        <v>design</v>
      </c>
      <c r="T555" s="569">
        <v>40</v>
      </c>
      <c r="U555" s="569">
        <v>30</v>
      </c>
      <c r="V555" s="569">
        <v>18</v>
      </c>
      <c r="W555" s="569" t="str">
        <f>IFERROR(IF(AND($AB555&gt;=0.1*$AA555,MOD($AB555,$AA555)&gt;=($AA555-(0.1*$AA555))),IF($W$17=$AF$1,"Zvažte možnost doobjednání ještě "&amp;Tabulka1[[#This Row],[VKPAL]]-MOD(AB555,AA555)&amp;" VK do plné palety.",VLOOKUP("Zvažte možnost doobjednání ještě ",Jazyky_ceník!A:Q,MATCH($W$17,Jazyky_ceník!$A$1:$Q$1,0),FALSE)&amp;Tabulka1[[#This Row],[VKPAL]]-MOD(AB555,AA555)&amp;VLOOKUP(" VK do plné palety.",Jazyky_ceník!A:Q,MATCH($W$17,Jazyky_ceník!$A$1:$Q$1,0),FALSE)),IFERROR(IF(AND(NOT(MOD($AB555,$AA555)=0),$AB555&gt;=0.9*$AA555,MOD($AB555,$AA555)&lt;=0.1*$AA555),IF($W$17=$AF$1,"Zvažte možnost optimalizace objednaného množství podle počtu VK na paletě ==&gt;",VLOOKUP("Zvažte možnost optimalizace objednaného množství podle počtu VK na paletě ==&gt;",Jazyky_ceník!A:Q,MATCH($W$17,Jazyky_ceník!$A$1:$Q$1,0),FALSE)),VLOOKUP('General price list'!$C555,Popisy!A:M,MATCH($W$17,Popisy!$A$7:$M$7,0),FALSE)),"---------------")),IFERROR(VLOOKUP('General price list'!$C555,Popisy!A:M,MATCH($W$17,Popisy!$A$7:$M$7,0),FALSE),"---------------"))</f>
        <v>7 různobarevných efektu, karton obsahuje nálepky s různým věkem</v>
      </c>
      <c r="X555" s="569" t="str">
        <f t="shared" si="1618"/>
        <v/>
      </c>
      <c r="Y555" s="569" t="str">
        <f t="shared" si="1619"/>
        <v/>
      </c>
      <c r="Z555" s="569" t="str">
        <f>HYPERLINK("https://www.klasekpyrotechnics.cz/c4925vs14")</f>
        <v>https://www.klasekpyrotechnics.cz/c4925vs14</v>
      </c>
      <c r="AA555" s="569">
        <f>IFERROR(IF(VLOOKUP(C555,[4]List1!$A:$D,4,FALSE)=0,"",VLOOKUP(C555,[4]List1!$A:$D,4,FALSE)),"")</f>
        <v>25</v>
      </c>
      <c r="AB555" s="565"/>
      <c r="AC555" s="570" t="str">
        <f>IFERROR(IF(VLOOKUP(C555,[1]List1!$A:$D,2,FALSE)="VYPRODÁNO",$V$9,IF(VLOOKUP(C555,[1]List1!$A:$D,2,FALSE)="DOCHÁZÍ",$V$3,VLOOKUP(C555,[1]List1!$A:$D,2,FALSE))),"OFFLINE!")</f>
        <v>31.07.2026</v>
      </c>
      <c r="AD555" s="570" t="str">
        <f ca="1">IF(AP555="NE",$V$10,IF(AC555=$V$3,IF(AQ555&lt;1,$V$8,$V$2&amp;" "&amp;AQ555&amp;" "&amp;$V$1),IF(AC555="SKLADEM",$V$6,IFERROR(IF(OR(AC555-TODAY()&gt;45,VLOOKUP(C555,[1]List1!$A:$E,4,FALSE)=0),AC555,DAY(AC555)&amp;"."&amp;MONTH(AC555)&amp;"."&amp;YEAR(AC555)&amp;" "&amp;$V$4&amp;VLOOKUP(C555,[1]List1!$A:$E,4,FALSE)&amp;" "&amp;$V$1),AC555))))</f>
        <v>31.07.2026</v>
      </c>
      <c r="AE555" s="581" t="str">
        <f t="shared" ca="1" si="1620"/>
        <v>31.07.2026</v>
      </c>
      <c r="AF555" s="584">
        <f t="shared" si="1621"/>
        <v>0</v>
      </c>
      <c r="AG555" s="585">
        <f t="shared" si="1622"/>
        <v>0</v>
      </c>
      <c r="AH555" s="583">
        <f t="shared" si="1623"/>
        <v>0</v>
      </c>
      <c r="AI555" s="582">
        <f t="shared" si="1624"/>
        <v>0</v>
      </c>
      <c r="AJ555" s="569">
        <f t="shared" si="1625"/>
        <v>0</v>
      </c>
      <c r="AK555" s="569" t="str">
        <f t="shared" si="1626"/>
        <v/>
      </c>
      <c r="AL555" s="569" t="str">
        <f t="shared" si="1627"/>
        <v/>
      </c>
      <c r="AM555" s="569">
        <f t="shared" si="1628"/>
        <v>0</v>
      </c>
      <c r="AN555" s="581">
        <f t="shared" si="1629"/>
        <v>0</v>
      </c>
      <c r="AO555" s="623"/>
      <c r="AP555" s="625" t="str">
        <f t="shared" si="1468"/>
        <v/>
      </c>
      <c r="AQ555" s="625" t="str">
        <f>IF(AC555=$V$3,IF(VLOOKUP(C555,[1]List1!$A:$E,5,FALSE)=0,1,VLOOKUP(C555,[1]List1!$A:$E,5,FALSE)),"")</f>
        <v/>
      </c>
      <c r="AR555" s="629" t="str">
        <f t="shared" si="1469"/>
        <v/>
      </c>
      <c r="AS555" s="630" t="str">
        <f t="shared" si="1470"/>
        <v/>
      </c>
      <c r="AT555" s="625" t="str">
        <f t="shared" si="1471"/>
        <v/>
      </c>
      <c r="AU555" s="625" t="e">
        <f t="shared" si="1472"/>
        <v>#N/A</v>
      </c>
      <c r="AV555" s="625" t="e">
        <f t="shared" si="1473"/>
        <v>#N/A</v>
      </c>
      <c r="AW555" s="631"/>
      <c r="AX555" s="631">
        <f>IF(AND('General price list'!$J555="F4",'General price list'!$AB555+0&gt;0),1,0)</f>
        <v>0</v>
      </c>
      <c r="AY555" s="631">
        <f t="shared" si="1474"/>
        <v>1</v>
      </c>
      <c r="AZ555" s="631">
        <f t="shared" si="1475"/>
        <v>0</v>
      </c>
    </row>
    <row r="556" spans="1:52" ht="15" customHeight="1">
      <c r="A556" s="751" t="str">
        <f>Kat.!C556</f>
        <v xml:space="preserve">           Baterie 49 ran, 25 mm moždíř – F3 – 1.3G</v>
      </c>
      <c r="B556" s="751"/>
      <c r="C556" s="751"/>
      <c r="D556" s="751"/>
      <c r="E556" s="751"/>
      <c r="F556" s="751"/>
      <c r="G556" s="751"/>
      <c r="H556" s="751"/>
      <c r="I556" s="752"/>
      <c r="J556" s="752"/>
      <c r="K556" s="752" t="s">
        <v>20</v>
      </c>
      <c r="L556" s="753" t="s">
        <v>20</v>
      </c>
      <c r="M556" s="752"/>
      <c r="N556" s="752"/>
      <c r="O556" s="752"/>
      <c r="P556" s="752"/>
      <c r="Q556" s="752"/>
      <c r="R556" s="752"/>
      <c r="S556" s="752"/>
      <c r="T556" s="752"/>
      <c r="U556" s="752"/>
      <c r="V556" s="752"/>
      <c r="W556" s="752"/>
      <c r="X556" s="752"/>
      <c r="Y556" s="752"/>
      <c r="Z556" s="752" t="s">
        <v>20</v>
      </c>
      <c r="AA556" s="752"/>
      <c r="AB556" s="752"/>
      <c r="AC556" s="754"/>
      <c r="AD556" s="752"/>
      <c r="AE556" s="752"/>
      <c r="AF556" s="752"/>
      <c r="AG556" s="752"/>
      <c r="AH556" s="752"/>
      <c r="AI556" s="752"/>
      <c r="AJ556" s="752"/>
      <c r="AK556" s="752"/>
      <c r="AL556" s="752"/>
      <c r="AM556" s="752"/>
      <c r="AN556" s="752"/>
      <c r="AO556" s="623"/>
      <c r="AP556" s="632" t="str">
        <f t="shared" ref="AP556:AP558" si="1630">IF($AL$3=1,IF(Y556=AB556,"","NE"),IF(AR556=$V$10,"NE",""))</f>
        <v/>
      </c>
      <c r="AQ556" s="633" t="str">
        <f>IF(AC556=$V$3,IF(VLOOKUP(C556,[1]List1!$A:$E,5,FALSE)=0,1,VLOOKUP(C556,[1]List1!$A:$E,5,FALSE)),"")</f>
        <v/>
      </c>
      <c r="AR556" s="625" t="str">
        <f t="shared" ref="AR556:AR558" si="1631">IF($AL$3=1,"",IF(OR(AB556&lt;&gt;"",AB556&lt;&gt;0),IF(OR(AC556=$V$6,AC556=$V$3,AC556=$V$9),$V$10,""),""))</f>
        <v/>
      </c>
      <c r="AS556" s="634" t="str">
        <f t="shared" si="1470"/>
        <v/>
      </c>
      <c r="AT556" s="625" t="str">
        <f t="shared" ref="AT556:AT558" si="1632">IF(AND($AL$3=2,AR556="",AB556&lt;&gt;""),AD556,"")</f>
        <v/>
      </c>
      <c r="AU556" s="638" t="e">
        <f t="shared" ref="AU556:AU558" si="1633">IF(AT556=$AS$21,AB556,"")</f>
        <v>#N/A</v>
      </c>
      <c r="AV556" s="625" t="e">
        <f t="shared" ref="AV556:AV558" si="1634">IF(OR(AB556="",AND(AT556&lt;&gt;"",AU556&lt;&gt;"")),"",$V$10)</f>
        <v>#N/A</v>
      </c>
      <c r="AX556" s="625">
        <f>IF(AND('General price list'!$J556="F4",'General price list'!$AB556+0&gt;0),1,0)</f>
        <v>0</v>
      </c>
      <c r="AY556" s="625">
        <f t="shared" ref="AY556:AY558" si="1635">IFERROR(FIND(VLOOKUP($AC$7,$AD$1:$AE$12,2,FALSE),Q556,1),0)</f>
        <v>0</v>
      </c>
      <c r="AZ556" s="625">
        <f t="shared" ref="AZ556:AZ558" si="1636">IFERROR(FIND(VLOOKUP($AC$7,$AD$1:$AE$12,2,FALSE),R556,1),0)</f>
        <v>0</v>
      </c>
    </row>
    <row r="557" spans="1:52" ht="15.75" customHeight="1">
      <c r="A557" s="639" t="str">
        <f>Kat.!C557</f>
        <v/>
      </c>
      <c r="B557" s="640">
        <f>IF(AND('General price list'!$J557="F4",$AI$1=FALSE),0,IF(AC557="SKLADEM",1,IF(AC557=$V$3,1,0)))</f>
        <v>1</v>
      </c>
      <c r="C557" s="641" t="s">
        <v>1168</v>
      </c>
      <c r="D557" s="642" t="s">
        <v>11732</v>
      </c>
      <c r="E557" s="643" t="s">
        <v>12746</v>
      </c>
      <c r="F557" s="771">
        <f>IFERROR(VLOOKUP(C557,[2]List1!$A:$D,3,FALSE),"NEUVEDENO!")</f>
        <v>785</v>
      </c>
      <c r="G557" s="768">
        <f t="shared" ref="G557:G558" si="1637">IF($W$17=$AF$8,ROUND((F557)/$F$17,2),(F557)*$B$19)</f>
        <v>785</v>
      </c>
      <c r="H557" s="765">
        <f t="shared" ref="H557:H558" si="1638">IF($W$17=$AF$8,G557*$B$19,G557/$F$17)</f>
        <v>33.345652109271789</v>
      </c>
      <c r="I557" s="644">
        <f>IFERROR(VLOOKUP(C557,[2]List1!$A:$D,4,FALSE),"NEUVEDENO!")</f>
        <v>6</v>
      </c>
      <c r="J557" s="733" t="s">
        <v>113</v>
      </c>
      <c r="K557" s="645" t="s">
        <v>20</v>
      </c>
      <c r="L557" s="645" t="s">
        <v>20</v>
      </c>
      <c r="M557" s="645" t="s">
        <v>114</v>
      </c>
      <c r="N557" s="645">
        <f>IFERROR(VLOOKUP(C557,[3]List1!$A:$D,4,FALSE),"N/A!")</f>
        <v>4.8943999999999994E-2</v>
      </c>
      <c r="O557" s="645">
        <f>IFERROR(VLOOKUP(C557,[3]List1!$A:$D,3,FALSE),"N/A!")</f>
        <v>5880</v>
      </c>
      <c r="P557" s="645">
        <f>IFERROR(VLOOKUP(C557,[3]List1!$A:$D,2,FALSE),"N/A!")</f>
        <v>20000</v>
      </c>
      <c r="Q557" s="645" t="s">
        <v>11778</v>
      </c>
      <c r="R557" s="645"/>
      <c r="S557" s="645" t="str">
        <f>IF($W$17=$AF$1,"design",IFERROR(VLOOKUP("design",Jazyky_ceník!$A:$Q,MATCH($W$17,Jazyky_ceník!$A$1:$Q$1,0),FALSE),"!!!"))</f>
        <v>design</v>
      </c>
      <c r="T557" s="645">
        <v>40</v>
      </c>
      <c r="U557" s="645">
        <v>33</v>
      </c>
      <c r="V557" s="645">
        <v>25</v>
      </c>
      <c r="W557" s="645" t="str">
        <f>IFERROR(IF(AND($AB557&gt;=0.1*$AA557,MOD($AB557,$AA557)&gt;=($AA557-(0.1*$AA557))),IF($W$17=$AF$1,"Zvažte možnost doobjednání ještě "&amp;Tabulka1[[#This Row],[VKPAL]]-MOD(AB557,AA557)&amp;" VK do plné palety.",VLOOKUP("Zvažte možnost doobjednání ještě ",Jazyky_ceník!A:Q,MATCH($W$17,Jazyky_ceník!$A$1:$Q$1,0),FALSE)&amp;Tabulka1[[#This Row],[VKPAL]]-MOD(AB557,AA557)&amp;VLOOKUP(" VK do plné palety.",Jazyky_ceník!A:Q,MATCH($W$17,Jazyky_ceník!$A$1:$Q$1,0),FALSE)),IFERROR(IF(AND(NOT(MOD($AB557,$AA557)=0),$AB557&gt;=0.9*$AA557,MOD($AB557,$AA557)&lt;=0.1*$AA557),IF($W$17=$AF$1,"Zvažte možnost optimalizace objednaného množství podle počtu VK na paletě ==&gt;",VLOOKUP("Zvažte možnost optimalizace objednaného množství podle počtu VK na paletě ==&gt;",Jazyky_ceník!A:Q,MATCH($W$17,Jazyky_ceník!$A$1:$Q$1,0),FALSE)),VLOOKUP('General price list'!$C557,Popisy!A:M,MATCH($W$17,Popisy!$A$7:$M$7,0),FALSE)),"---------------")),IFERROR(VLOOKUP('General price list'!$C557,Popisy!A:M,MATCH($W$17,Popisy!$A$7:$M$7,0),FALSE),"---------------"))</f>
        <v>7 různobarevných efektů</v>
      </c>
      <c r="X557" s="645" t="str">
        <f t="shared" ref="X557:X558" si="1639">IF(AB557&lt;0.0001,"",AB557)</f>
        <v/>
      </c>
      <c r="Y557" s="645" t="str">
        <f t="shared" ref="Y557:Y558" si="1640">IF($AL$3=2,IF(OR(AB557&lt;&gt;"",AB557&lt;&gt;0),AU557,""),IF(C557="","",IF(AB557&lt;0.0001,"",IF(B557=0,"",IF(AQ557&lt;AB557,"",AB557)))))</f>
        <v/>
      </c>
      <c r="Z557" s="645" t="str">
        <f>HYPERLINK("https://www.klasekpyrotechnics.cz/c4925sig")</f>
        <v>https://www.klasekpyrotechnics.cz/c4925sig</v>
      </c>
      <c r="AA557" s="645">
        <f>IFERROR(IF(VLOOKUP(C557,[4]List1!$A:$D,4,FALSE)=0,"",VLOOKUP(C557,[4]List1!$A:$D,4,FALSE)),"")</f>
        <v>25</v>
      </c>
      <c r="AB557" s="646"/>
      <c r="AC557" s="647" t="str">
        <f>IFERROR(IF(VLOOKUP(C557,[1]List1!$A:$D,2,FALSE)="VYPRODÁNO",$V$9,IF(VLOOKUP(C557,[1]List1!$A:$D,2,FALSE)="DOCHÁZÍ",$V$3,VLOOKUP(C557,[1]List1!$A:$D,2,FALSE))),"OFFLINE!")</f>
        <v>SKLADEM</v>
      </c>
      <c r="AD557" s="647" t="str">
        <f ca="1">IF(AP557="NE",$V$10,IF(AC557=$V$3,IF(AQ557&lt;1,$V$8,$V$2&amp;" "&amp;AQ557&amp;" "&amp;$V$1),IF(AC557="SKLADEM",$V$6,IFERROR(IF(OR(AC557-TODAY()&gt;45,VLOOKUP(C557,[1]List1!$A:$E,4,FALSE)=0),AC557,DAY(AC557)&amp;"."&amp;MONTH(AC557)&amp;"."&amp;YEAR(AC557)&amp;" "&amp;$V$4&amp;VLOOKUP(C557,[1]List1!$A:$E,4,FALSE)&amp;" "&amp;$V$1),AC557))))</f>
        <v>SKLADEM</v>
      </c>
      <c r="AE557" s="645" t="str">
        <f t="shared" ref="AE557:AE558" ca="1" si="1641">IFERROR(IF(AV557&lt;&gt;"",AV557,AD557),AD557)</f>
        <v>SKLADEM</v>
      </c>
      <c r="AF557" s="648">
        <f t="shared" ref="AF557:AF558" si="1642">IFERROR(IF(AB557=Y557,G557*I557*Y557,0),0)</f>
        <v>0</v>
      </c>
      <c r="AG557" s="649">
        <f t="shared" ref="AG557:AG558" si="1643">IF($W$17=$AF$8,AH557*1.23,AF557*1.21)</f>
        <v>0</v>
      </c>
      <c r="AH557" s="650">
        <f t="shared" ref="AH557:AH558" si="1644">IFERROR(IF(Y557=AB557,H557*I557*Y557,0),0)</f>
        <v>0</v>
      </c>
      <c r="AI557" s="645">
        <f t="shared" ref="AI557:AI558" si="1645">IFERROR(IF(Y557=AB557,(P557*Y557)/1000,1),0)</f>
        <v>0</v>
      </c>
      <c r="AJ557" s="645">
        <f t="shared" ref="AJ557:AJ558" si="1646">IFERROR(IF(Y557=AB557,N557*Y557,0.1),0)</f>
        <v>0</v>
      </c>
      <c r="AK557" s="645" t="str">
        <f t="shared" ref="AK557:AK558" si="1647">IFERROR(IF(Y557=AB557,IF(M557="1.1G",(O557/1000)*Y557,""),""),0)</f>
        <v/>
      </c>
      <c r="AL557" s="645">
        <f t="shared" ref="AL557:AL558" si="1648">IFERROR(IF(Y557=AB557,IF(M557="1.3G",(O557/1000)*AB557,""),""),0)</f>
        <v>0</v>
      </c>
      <c r="AM557" s="645" t="str">
        <f t="shared" ref="AM557:AM558" si="1649">IFERROR(IF(Y557=AB557,IF(M557="1.4G",(O557/1000)*AB557,""),""),0)</f>
        <v/>
      </c>
      <c r="AN557" s="651">
        <f t="shared" ref="AN557:AN558" si="1650">SUM(AK557:AM557)</f>
        <v>0</v>
      </c>
      <c r="AO557" s="623"/>
      <c r="AP557" s="625" t="str">
        <f t="shared" si="1630"/>
        <v/>
      </c>
      <c r="AQ557" s="625" t="str">
        <f>IF(AC557=$V$3,IF(VLOOKUP(C557,[1]List1!$A:$E,5,FALSE)=0,1,VLOOKUP(C557,[1]List1!$A:$E,5,FALSE)),"")</f>
        <v/>
      </c>
      <c r="AR557" s="629" t="str">
        <f t="shared" si="1631"/>
        <v/>
      </c>
      <c r="AS557" s="630" t="str">
        <f t="shared" ref="AS557:AS558" si="1651">IF(AT557&lt;&gt;"","X","")</f>
        <v/>
      </c>
      <c r="AT557" s="625" t="str">
        <f t="shared" si="1632"/>
        <v/>
      </c>
      <c r="AU557" s="625" t="e">
        <f t="shared" si="1633"/>
        <v>#N/A</v>
      </c>
      <c r="AV557" s="625" t="e">
        <f t="shared" si="1634"/>
        <v>#N/A</v>
      </c>
      <c r="AW557" s="631"/>
      <c r="AX557" s="631">
        <f>IF(AND('General price list'!$J557="F4",'General price list'!$AB557+0&gt;0),1,0)</f>
        <v>0</v>
      </c>
      <c r="AY557" s="631">
        <f t="shared" si="1635"/>
        <v>1</v>
      </c>
      <c r="AZ557" s="631">
        <f t="shared" si="1636"/>
        <v>0</v>
      </c>
    </row>
    <row r="558" spans="1:52" ht="15" customHeight="1">
      <c r="A558" s="621" t="str">
        <f>Kat.!C558</f>
        <v/>
      </c>
      <c r="B558" s="566">
        <f>IF(AND('General price list'!$J558="F4",$AI$1=FALSE),0,IF(AC558="SKLADEM",1,IF(AC558=$V$3,1,0)))</f>
        <v>1</v>
      </c>
      <c r="C558" s="567" t="s">
        <v>1169</v>
      </c>
      <c r="D558" s="568" t="s">
        <v>11736</v>
      </c>
      <c r="E558" s="763" t="s">
        <v>12746</v>
      </c>
      <c r="F558" s="772">
        <f>IFERROR(VLOOKUP(C558,[2]List1!$A:$D,3,FALSE),"NEUVEDENO!")</f>
        <v>660</v>
      </c>
      <c r="G558" s="769">
        <f t="shared" si="1637"/>
        <v>660</v>
      </c>
      <c r="H558" s="766">
        <f t="shared" si="1638"/>
        <v>28.035834894419594</v>
      </c>
      <c r="I558" s="764">
        <f>IFERROR(VLOOKUP(C558,[2]List1!$A:$D,4,FALSE),"NEUVEDENO!")</f>
        <v>6</v>
      </c>
      <c r="J558" s="732" t="s">
        <v>113</v>
      </c>
      <c r="K558" s="569" t="s">
        <v>20</v>
      </c>
      <c r="L558" s="569" t="s">
        <v>20</v>
      </c>
      <c r="M558" s="569" t="s">
        <v>114</v>
      </c>
      <c r="N558" s="569">
        <f>IFERROR(VLOOKUP(C558,[3]List1!$A:$D,4,FALSE),"N/A!")</f>
        <v>4.8943999999999994E-2</v>
      </c>
      <c r="O558" s="569">
        <f>IFERROR(VLOOKUP(C558,[3]List1!$A:$D,3,FALSE),"N/A!")</f>
        <v>3528</v>
      </c>
      <c r="P558" s="569">
        <f>IFERROR(VLOOKUP(C558,[3]List1!$A:$D,2,FALSE),"N/A!")</f>
        <v>20000</v>
      </c>
      <c r="Q558" s="569" t="s">
        <v>11778</v>
      </c>
      <c r="R558" s="569"/>
      <c r="S558" s="569" t="str">
        <f>IF($W$17=$AF$1,"design",IFERROR(VLOOKUP("design",Jazyky_ceník!$A:$Q,MATCH($W$17,Jazyky_ceník!$A$1:$Q$1,0),FALSE),"!!!"))</f>
        <v>design</v>
      </c>
      <c r="T558" s="569">
        <v>35</v>
      </c>
      <c r="U558" s="569">
        <v>30</v>
      </c>
      <c r="V558" s="569"/>
      <c r="W558" s="569" t="str">
        <f>IFERROR(IF(AND($AB558&gt;=0.1*$AA558,MOD($AB558,$AA558)&gt;=($AA558-(0.1*$AA558))),IF($W$17=$AF$1,"Zvažte možnost doobjednání ještě "&amp;Tabulka1[[#This Row],[VKPAL]]-MOD(AB558,AA558)&amp;" VK do plné palety.",VLOOKUP("Zvažte možnost doobjednání ještě ",Jazyky_ceník!A:Q,MATCH($W$17,Jazyky_ceník!$A$1:$Q$1,0),FALSE)&amp;Tabulka1[[#This Row],[VKPAL]]-MOD(AB558,AA558)&amp;VLOOKUP(" VK do plné palety.",Jazyky_ceník!A:Q,MATCH($W$17,Jazyky_ceník!$A$1:$Q$1,0),FALSE)),IFERROR(IF(AND(NOT(MOD($AB558,$AA558)=0),$AB558&gt;=0.9*$AA558,MOD($AB558,$AA558)&lt;=0.1*$AA558),IF($W$17=$AF$1,"Zvažte možnost optimalizace objednaného množství podle počtu VK na paletě ==&gt;",VLOOKUP("Zvažte možnost optimalizace objednaného množství podle počtu VK na paletě ==&gt;",Jazyky_ceník!A:Q,MATCH($W$17,Jazyky_ceník!$A$1:$Q$1,0),FALSE)),VLOOKUP('General price list'!$C558,Popisy!A:M,MATCH($W$17,Popisy!$A$7:$M$7,0),FALSE)),"---------------")),IFERROR(VLOOKUP('General price list'!$C558,Popisy!A:M,MATCH($W$17,Popisy!$A$7:$M$7,0),FALSE),"---------------"))</f>
        <v>stříbrná mina s červenou stopou a titanovou detonací</v>
      </c>
      <c r="X558" s="569" t="str">
        <f t="shared" si="1639"/>
        <v/>
      </c>
      <c r="Y558" s="569" t="str">
        <f t="shared" si="1640"/>
        <v/>
      </c>
      <c r="Z558" s="569" t="str">
        <f>HYPERLINK("https://www.klasekpyrotechnics.cz/c4925d")</f>
        <v>https://www.klasekpyrotechnics.cz/c4925d</v>
      </c>
      <c r="AA558" s="569">
        <f>IFERROR(IF(VLOOKUP(C558,[4]List1!$A:$D,4,FALSE)=0,"",VLOOKUP(C558,[4]List1!$A:$D,4,FALSE)),"")</f>
        <v>25</v>
      </c>
      <c r="AB558" s="565"/>
      <c r="AC558" s="570" t="str">
        <f>IFERROR(IF(VLOOKUP(C558,[1]List1!$A:$D,2,FALSE)="VYPRODÁNO",$V$9,IF(VLOOKUP(C558,[1]List1!$A:$D,2,FALSE)="DOCHÁZÍ",$V$3,VLOOKUP(C558,[1]List1!$A:$D,2,FALSE))),"OFFLINE!")</f>
        <v>SKLADEM</v>
      </c>
      <c r="AD558" s="570" t="str">
        <f ca="1">IF(AP558="NE",$V$10,IF(AC558=$V$3,IF(AQ558&lt;1,$V$8,$V$2&amp;" "&amp;AQ558&amp;" "&amp;$V$1),IF(AC558="SKLADEM",$V$6,IFERROR(IF(OR(AC558-TODAY()&gt;45,VLOOKUP(C558,[1]List1!$A:$E,4,FALSE)=0),AC558,DAY(AC558)&amp;"."&amp;MONTH(AC558)&amp;"."&amp;YEAR(AC558)&amp;" "&amp;$V$4&amp;VLOOKUP(C558,[1]List1!$A:$E,4,FALSE)&amp;" "&amp;$V$1),AC558))))</f>
        <v>SKLADEM</v>
      </c>
      <c r="AE558" s="581" t="str">
        <f t="shared" ca="1" si="1641"/>
        <v>SKLADEM</v>
      </c>
      <c r="AF558" s="584">
        <f t="shared" si="1642"/>
        <v>0</v>
      </c>
      <c r="AG558" s="585">
        <f t="shared" si="1643"/>
        <v>0</v>
      </c>
      <c r="AH558" s="583">
        <f t="shared" si="1644"/>
        <v>0</v>
      </c>
      <c r="AI558" s="582">
        <f t="shared" si="1645"/>
        <v>0</v>
      </c>
      <c r="AJ558" s="569">
        <f t="shared" si="1646"/>
        <v>0</v>
      </c>
      <c r="AK558" s="569" t="str">
        <f t="shared" si="1647"/>
        <v/>
      </c>
      <c r="AL558" s="569">
        <f t="shared" si="1648"/>
        <v>0</v>
      </c>
      <c r="AM558" s="569" t="str">
        <f t="shared" si="1649"/>
        <v/>
      </c>
      <c r="AN558" s="581">
        <f t="shared" si="1650"/>
        <v>0</v>
      </c>
      <c r="AO558" s="623"/>
      <c r="AP558" s="632" t="str">
        <f t="shared" si="1630"/>
        <v/>
      </c>
      <c r="AQ558" s="633" t="str">
        <f>IF(AC558=$V$3,IF(VLOOKUP(C558,[1]List1!$A:$E,5,FALSE)=0,1,VLOOKUP(C558,[1]List1!$A:$E,5,FALSE)),"")</f>
        <v/>
      </c>
      <c r="AR558" s="625" t="str">
        <f t="shared" si="1631"/>
        <v/>
      </c>
      <c r="AS558" s="634" t="str">
        <f t="shared" si="1651"/>
        <v/>
      </c>
      <c r="AT558" s="625" t="str">
        <f t="shared" si="1632"/>
        <v/>
      </c>
      <c r="AU558" s="638" t="e">
        <f t="shared" si="1633"/>
        <v>#N/A</v>
      </c>
      <c r="AV558" s="625" t="e">
        <f t="shared" si="1634"/>
        <v>#N/A</v>
      </c>
      <c r="AX558" s="625">
        <f>IF(AND('General price list'!$J558="F4",'General price list'!$AB558+0&gt;0),1,0)</f>
        <v>0</v>
      </c>
      <c r="AY558" s="625">
        <f t="shared" si="1635"/>
        <v>1</v>
      </c>
      <c r="AZ558" s="625">
        <f t="shared" si="1636"/>
        <v>0</v>
      </c>
    </row>
    <row r="559" spans="1:52" ht="15.75" customHeight="1">
      <c r="A559" s="751" t="str">
        <f>Kat.!C559</f>
        <v xml:space="preserve">           Baterie 49 ran, 25 mm šikmý moždíř – 1.4G</v>
      </c>
      <c r="B559" s="751"/>
      <c r="C559" s="751"/>
      <c r="D559" s="751"/>
      <c r="E559" s="751"/>
      <c r="F559" s="751"/>
      <c r="G559" s="751"/>
      <c r="H559" s="751"/>
      <c r="I559" s="752"/>
      <c r="J559" s="752"/>
      <c r="K559" s="752" t="s">
        <v>20</v>
      </c>
      <c r="L559" s="753" t="s">
        <v>20</v>
      </c>
      <c r="M559" s="752"/>
      <c r="N559" s="752"/>
      <c r="O559" s="752"/>
      <c r="P559" s="752"/>
      <c r="Q559" s="752"/>
      <c r="R559" s="752"/>
      <c r="S559" s="752"/>
      <c r="T559" s="752"/>
      <c r="U559" s="752"/>
      <c r="V559" s="752"/>
      <c r="W559" s="752"/>
      <c r="X559" s="752"/>
      <c r="Y559" s="752"/>
      <c r="Z559" s="752" t="s">
        <v>20</v>
      </c>
      <c r="AA559" s="752"/>
      <c r="AB559" s="752"/>
      <c r="AC559" s="754"/>
      <c r="AD559" s="752"/>
      <c r="AE559" s="752"/>
      <c r="AF559" s="752"/>
      <c r="AG559" s="752"/>
      <c r="AH559" s="752"/>
      <c r="AI559" s="752"/>
      <c r="AJ559" s="752"/>
      <c r="AK559" s="752"/>
      <c r="AL559" s="752"/>
      <c r="AM559" s="752"/>
      <c r="AN559" s="752"/>
      <c r="AO559" s="623"/>
      <c r="AP559" s="625" t="str">
        <f t="shared" ref="AP559:AP601" si="1652">IF($AL$3=1,IF(Y559=AB559,"","NE"),IF(AR559=$V$10,"NE",""))</f>
        <v/>
      </c>
      <c r="AQ559" s="625" t="str">
        <f>IF(AC559=$V$3,IF(VLOOKUP(C559,[1]List1!$A:$E,5,FALSE)=0,1,VLOOKUP(C559,[1]List1!$A:$E,5,FALSE)),"")</f>
        <v/>
      </c>
      <c r="AR559" s="629" t="str">
        <f t="shared" ref="AR559:AR601" si="1653">IF($AL$3=1,"",IF(OR(AB559&lt;&gt;"",AB559&lt;&gt;0),IF(OR(AC559=$V$6,AC559=$V$3,AC559=$V$9),$V$10,""),""))</f>
        <v/>
      </c>
      <c r="AS559" s="630" t="str">
        <f t="shared" ref="AS559:AS601" si="1654">IF(AT559&lt;&gt;"","X","")</f>
        <v/>
      </c>
      <c r="AT559" s="625" t="str">
        <f t="shared" ref="AT559:AT601" si="1655">IF(AND($AL$3=2,AR559="",AB559&lt;&gt;""),AD559,"")</f>
        <v/>
      </c>
      <c r="AU559" s="625" t="e">
        <f t="shared" ref="AU559:AU601" si="1656">IF(AT559=$AS$21,AB559,"")</f>
        <v>#N/A</v>
      </c>
      <c r="AV559" s="625" t="e">
        <f t="shared" ref="AV559:AV601" si="1657">IF(OR(AB559="",AND(AT559&lt;&gt;"",AU559&lt;&gt;"")),"",$V$10)</f>
        <v>#N/A</v>
      </c>
      <c r="AW559" s="631"/>
      <c r="AX559" s="631">
        <f>IF(AND('General price list'!$J559="F4",'General price list'!$AB559+0&gt;0),1,0)</f>
        <v>0</v>
      </c>
      <c r="AY559" s="631">
        <f t="shared" ref="AY559:AY601" si="1658">IFERROR(FIND(VLOOKUP($AC$7,$AD$1:$AE$12,2,FALSE),Q559,1),0)</f>
        <v>0</v>
      </c>
      <c r="AZ559" s="631">
        <f t="shared" ref="AZ559:AZ601" si="1659">IFERROR(FIND(VLOOKUP($AC$7,$AD$1:$AE$12,2,FALSE),R559,1),0)</f>
        <v>0</v>
      </c>
    </row>
    <row r="560" spans="1:52" ht="15.75" customHeight="1">
      <c r="A560" s="639" t="str">
        <f>Kat.!C560</f>
        <v/>
      </c>
      <c r="B560" s="640">
        <f>IF(AND('General price list'!$J560="F4",$AI$1=FALSE),0,IF(AC560="SKLADEM",1,IF(AC560=$V$3,1,0)))</f>
        <v>0</v>
      </c>
      <c r="C560" s="641" t="s">
        <v>12460</v>
      </c>
      <c r="D560" s="642" t="s">
        <v>2287</v>
      </c>
      <c r="E560" s="643" t="s">
        <v>12651</v>
      </c>
      <c r="F560" s="791">
        <f>IFERROR(VLOOKUP(C560,[2]List1!$A:$D,3,FALSE),"NEUVEDENO!")</f>
        <v>769</v>
      </c>
      <c r="G560" s="768">
        <f t="shared" ref="G560:G561" si="1660">IF($W$17=$AF$8,ROUND((F560)/$F$17,2),(F560)*$B$19)</f>
        <v>769</v>
      </c>
      <c r="H560" s="765">
        <f t="shared" ref="H560:H561" si="1661">IF($W$17=$AF$8,G560*$B$19,G560/$F$17)</f>
        <v>32.665995505770709</v>
      </c>
      <c r="I560" s="644">
        <f>IFERROR(VLOOKUP(C560,[2]List1!$A:$D,4,FALSE),"NEUVEDENO!")</f>
        <v>4</v>
      </c>
      <c r="J560" s="733" t="s">
        <v>39</v>
      </c>
      <c r="K560" s="645" t="s">
        <v>13032</v>
      </c>
      <c r="L560" s="645"/>
      <c r="M560" s="645" t="s">
        <v>21</v>
      </c>
      <c r="N560" s="645">
        <f>IFERROR(VLOOKUP(C560,[3]List1!$A:$D,4,FALSE),"N/A!")</f>
        <v>5.7854999999999997E-2</v>
      </c>
      <c r="O560" s="645">
        <f>IFERROR(VLOOKUP(C560,[3]List1!$A:$D,3,FALSE),"N/A!")</f>
        <v>1992</v>
      </c>
      <c r="P560" s="645">
        <f>IFERROR(VLOOKUP(C560,[3]List1!$A:$D,2,FALSE),"N/A!")</f>
        <v>18500</v>
      </c>
      <c r="Q560" s="645" t="s">
        <v>11781</v>
      </c>
      <c r="R560" s="645"/>
      <c r="S560" s="645" t="str">
        <f>IF($W$17=$AF$1,"design",IFERROR(VLOOKUP("design",Jazyky_ceník!$A:$Q,MATCH($W$17,Jazyky_ceník!$A$1:$Q$1,0),FALSE),"!!!"))</f>
        <v>design</v>
      </c>
      <c r="T560" s="645">
        <v>30</v>
      </c>
      <c r="U560" s="645">
        <v>30</v>
      </c>
      <c r="V560" s="645">
        <v>18</v>
      </c>
      <c r="W560" s="645" t="str">
        <f>IFERROR(IF(AND($AB560&gt;=0.1*$AA560,MOD($AB560,$AA560)&gt;=($AA560-(0.1*$AA560))),IF($W$17=$AF$1,"Zvažte možnost doobjednání ještě "&amp;Tabulka1[[#This Row],[VKPAL]]-MOD(AB560,AA560)&amp;" VK do plné palety.",VLOOKUP("Zvažte možnost doobjednání ještě ",Jazyky_ceník!A:Q,MATCH($W$17,Jazyky_ceník!$A$1:$Q$1,0),FALSE)&amp;Tabulka1[[#This Row],[VKPAL]]-MOD(AB560,AA560)&amp;VLOOKUP(" VK do plné palety.",Jazyky_ceník!A:Q,MATCH($W$17,Jazyky_ceník!$A$1:$Q$1,0),FALSE)),IFERROR(IF(AND(NOT(MOD($AB560,$AA560)=0),$AB560&gt;=0.9*$AA560,MOD($AB560,$AA560)&lt;=0.1*$AA560),IF($W$17=$AF$1,"Zvažte možnost optimalizace objednaného množství podle počtu VK na paletě ==&gt;",VLOOKUP("Zvažte možnost optimalizace objednaného množství podle počtu VK na paletě ==&gt;",Jazyky_ceník!A:Q,MATCH($W$17,Jazyky_ceník!$A$1:$Q$1,0),FALSE)),VLOOKUP('General price list'!$C560,Popisy!A:M,MATCH($W$17,Popisy!$A$7:$M$7,0),FALSE)),"---------------")),IFERROR(VLOOKUP('General price list'!$C560,Popisy!A:M,MATCH($W$17,Popisy!$A$7:$M$7,0),FALSE),"---------------"))</f>
        <v>7 různobarevných efektů</v>
      </c>
      <c r="X560" s="645" t="str">
        <f t="shared" ref="X560:X561" si="1662">IF(AB560&lt;0.0001,"",AB560)</f>
        <v/>
      </c>
      <c r="Y560" s="645" t="str">
        <f t="shared" ref="Y560:Y561" si="1663">IF($AL$3=2,IF(OR(AB560&lt;&gt;"",AB560&lt;&gt;0),AU560,""),IF(C560="","",IF(AB560&lt;0.0001,"",IF(B560=0,"",IF(AQ560&lt;AB560,"",AB560)))))</f>
        <v/>
      </c>
      <c r="Z560" s="645" t="str">
        <f>HYPERLINK("https://www.klasekpyrotechnics.cz/cf4925s14")</f>
        <v>https://www.klasekpyrotechnics.cz/cf4925s14</v>
      </c>
      <c r="AA560" s="645">
        <f>IFERROR(IF(VLOOKUP(C560,[4]List1!$A:$D,4,FALSE)=0,"",VLOOKUP(C560,[4]List1!$A:$D,4,FALSE)),"")</f>
        <v>16</v>
      </c>
      <c r="AB560" s="646"/>
      <c r="AC560" s="647" t="str">
        <f>IFERROR(IF(VLOOKUP(C560,[1]List1!$A:$D,2,FALSE)="VYPRODÁNO",$V$9,IF(VLOOKUP(C560,[1]List1!$A:$D,2,FALSE)="DOCHÁZÍ",$V$3,VLOOKUP(C560,[1]List1!$A:$D,2,FALSE))),"OFFLINE!")</f>
        <v>31.08.2026</v>
      </c>
      <c r="AD560" s="647" t="str">
        <f ca="1">IF(AP560="NE",$V$10,IF(AC560=$V$3,IF(AQ560&lt;1,$V$8,$V$2&amp;" "&amp;AQ560&amp;" "&amp;$V$1),IF(AC560="SKLADEM",$V$6,IFERROR(IF(OR(AC560-TODAY()&gt;45,VLOOKUP(C560,[1]List1!$A:$E,4,FALSE)=0),AC560,DAY(AC560)&amp;"."&amp;MONTH(AC560)&amp;"."&amp;YEAR(AC560)&amp;" "&amp;$V$4&amp;VLOOKUP(C560,[1]List1!$A:$E,4,FALSE)&amp;" "&amp;$V$1),AC560))))</f>
        <v>31.08.2026</v>
      </c>
      <c r="AE560" s="645" t="str">
        <f t="shared" ref="AE560:AE561" ca="1" si="1664">IFERROR(IF(AV560&lt;&gt;"",AV560,AD560),AD560)</f>
        <v>31.08.2026</v>
      </c>
      <c r="AF560" s="648">
        <f t="shared" ref="AF560:AF561" si="1665">IFERROR(IF(AB560=Y560,G560*I560*Y560,0),0)</f>
        <v>0</v>
      </c>
      <c r="AG560" s="649">
        <f t="shared" ref="AG560:AG561" si="1666">IF($W$17=$AF$8,AH560*1.23,AF560*1.21)</f>
        <v>0</v>
      </c>
      <c r="AH560" s="650">
        <f t="shared" ref="AH560:AH561" si="1667">IFERROR(IF(Y560=AB560,H560*I560*Y560,0),0)</f>
        <v>0</v>
      </c>
      <c r="AI560" s="645">
        <f t="shared" ref="AI560:AI561" si="1668">IFERROR(IF(Y560=AB560,(P560*Y560)/1000,1),0)</f>
        <v>0</v>
      </c>
      <c r="AJ560" s="645">
        <f t="shared" ref="AJ560:AJ561" si="1669">IFERROR(IF(Y560=AB560,N560*Y560,0.1),0)</f>
        <v>0</v>
      </c>
      <c r="AK560" s="645" t="str">
        <f t="shared" ref="AK560:AK561" si="1670">IFERROR(IF(Y560=AB560,IF(M560="1.1G",(O560/1000)*Y560,""),""),0)</f>
        <v/>
      </c>
      <c r="AL560" s="645" t="str">
        <f t="shared" ref="AL560:AL561" si="1671">IFERROR(IF(Y560=AB560,IF(M560="1.3G",(O560/1000)*AB560,""),""),0)</f>
        <v/>
      </c>
      <c r="AM560" s="645">
        <f t="shared" ref="AM560:AM561" si="1672">IFERROR(IF(Y560=AB560,IF(M560="1.4G",(O560/1000)*AB560,""),""),0)</f>
        <v>0</v>
      </c>
      <c r="AN560" s="651">
        <f t="shared" ref="AN560:AN561" si="1673">SUM(AK560:AM560)</f>
        <v>0</v>
      </c>
      <c r="AO560" s="623"/>
      <c r="AP560" s="625" t="str">
        <f t="shared" si="1652"/>
        <v/>
      </c>
      <c r="AQ560" s="625" t="str">
        <f>IF(AC560=$V$3,IF(VLOOKUP(C560,[1]List1!$A:$E,5,FALSE)=0,1,VLOOKUP(C560,[1]List1!$A:$E,5,FALSE)),"")</f>
        <v/>
      </c>
      <c r="AR560" s="629" t="str">
        <f t="shared" si="1653"/>
        <v/>
      </c>
      <c r="AS560" s="630" t="str">
        <f t="shared" si="1654"/>
        <v/>
      </c>
      <c r="AT560" s="625" t="str">
        <f t="shared" si="1655"/>
        <v/>
      </c>
      <c r="AU560" s="625" t="e">
        <f t="shared" si="1656"/>
        <v>#N/A</v>
      </c>
      <c r="AV560" s="625" t="e">
        <f t="shared" si="1657"/>
        <v>#N/A</v>
      </c>
      <c r="AW560" s="631"/>
      <c r="AX560" s="631">
        <f>IF(AND('General price list'!$J560="F4",'General price list'!$AB560+0&gt;0),1,0)</f>
        <v>0</v>
      </c>
      <c r="AY560" s="631">
        <f t="shared" si="1658"/>
        <v>1</v>
      </c>
      <c r="AZ560" s="631">
        <f t="shared" si="1659"/>
        <v>0</v>
      </c>
    </row>
    <row r="561" spans="1:52" ht="15.75" customHeight="1">
      <c r="A561" s="621" t="str">
        <f>Kat.!C561</f>
        <v/>
      </c>
      <c r="B561" s="566">
        <f>IF(AND('General price list'!$J561="F4",$AI$1=FALSE),0,IF(AC561="SKLADEM",1,IF(AC561=$V$3,1,0)))</f>
        <v>0</v>
      </c>
      <c r="C561" s="641" t="s">
        <v>12461</v>
      </c>
      <c r="D561" s="568" t="s">
        <v>11734</v>
      </c>
      <c r="E561" s="763" t="s">
        <v>12651</v>
      </c>
      <c r="F561" s="791">
        <f>IFERROR(VLOOKUP(C561,[2]List1!$A:$D,3,FALSE),"NEUVEDENO!")</f>
        <v>769</v>
      </c>
      <c r="G561" s="769">
        <f t="shared" si="1660"/>
        <v>769</v>
      </c>
      <c r="H561" s="766">
        <f t="shared" si="1661"/>
        <v>32.665995505770709</v>
      </c>
      <c r="I561" s="764">
        <f>IFERROR(VLOOKUP(C561,[2]List1!$A:$D,4,FALSE),"NEUVEDENO!")</f>
        <v>4</v>
      </c>
      <c r="J561" s="732" t="s">
        <v>39</v>
      </c>
      <c r="K561" s="569" t="s">
        <v>13032</v>
      </c>
      <c r="L561" s="569"/>
      <c r="M561" s="569" t="s">
        <v>21</v>
      </c>
      <c r="N561" s="569">
        <f>IFERROR(VLOOKUP(C561,[3]List1!$A:$D,4,FALSE),"N/A!")</f>
        <v>5.7854999999999997E-2</v>
      </c>
      <c r="O561" s="569">
        <f>IFERROR(VLOOKUP(C561,[3]List1!$A:$D,3,FALSE),"N/A!")</f>
        <v>1992</v>
      </c>
      <c r="P561" s="569">
        <f>IFERROR(VLOOKUP(C561,[3]List1!$A:$D,2,FALSE),"N/A!")</f>
        <v>18500</v>
      </c>
      <c r="Q561" s="569" t="s">
        <v>11781</v>
      </c>
      <c r="R561" s="569"/>
      <c r="S561" s="569" t="str">
        <f>IF($W$17=$AF$1,"design",IFERROR(VLOOKUP("design",Jazyky_ceník!$A:$Q,MATCH($W$17,Jazyky_ceník!$A$1:$Q$1,0),FALSE),"!!!"))</f>
        <v>design</v>
      </c>
      <c r="T561" s="569">
        <v>30</v>
      </c>
      <c r="U561" s="569">
        <v>30</v>
      </c>
      <c r="V561" s="569">
        <v>18</v>
      </c>
      <c r="W561" s="569" t="str">
        <f>IFERROR(IF(AND($AB561&gt;=0.1*$AA561,MOD($AB561,$AA561)&gt;=($AA561-(0.1*$AA561))),IF($W$17=$AF$1,"Zvažte možnost doobjednání ještě "&amp;Tabulka1[[#This Row],[VKPAL]]-MOD(AB561,AA561)&amp;" VK do plné palety.",VLOOKUP("Zvažte možnost doobjednání ještě ",Jazyky_ceník!A:Q,MATCH($W$17,Jazyky_ceník!$A$1:$Q$1,0),FALSE)&amp;Tabulka1[[#This Row],[VKPAL]]-MOD(AB561,AA561)&amp;VLOOKUP(" VK do plné palety.",Jazyky_ceník!A:Q,MATCH($W$17,Jazyky_ceník!$A$1:$Q$1,0),FALSE)),IFERROR(IF(AND(NOT(MOD($AB561,$AA561)=0),$AB561&gt;=0.9*$AA561,MOD($AB561,$AA561)&lt;=0.1*$AA561),IF($W$17=$AF$1,"Zvažte možnost optimalizace objednaného množství podle počtu VK na paletě ==&gt;",VLOOKUP("Zvažte možnost optimalizace objednaného množství podle počtu VK na paletě ==&gt;",Jazyky_ceník!A:Q,MATCH($W$17,Jazyky_ceník!$A$1:$Q$1,0),FALSE)),VLOOKUP('General price list'!$C561,Popisy!A:M,MATCH($W$17,Popisy!$A$7:$M$7,0),FALSE)),"---------------")),IFERROR(VLOOKUP('General price list'!$C561,Popisy!A:M,MATCH($W$17,Popisy!$A$7:$M$7,0),FALSE),"---------------"))</f>
        <v>28ran zlatá brokátová koruna s červenými/modrými konci, 21ran stříbrná mina s červenovu stopou+titanová exploze</v>
      </c>
      <c r="X561" s="569" t="str">
        <f t="shared" si="1662"/>
        <v/>
      </c>
      <c r="Y561" s="569" t="str">
        <f t="shared" si="1663"/>
        <v/>
      </c>
      <c r="Z561" s="569" t="str">
        <f>HYPERLINK("https://www.klasekpyrotechnics.cz/cf4925b14")</f>
        <v>https://www.klasekpyrotechnics.cz/cf4925b14</v>
      </c>
      <c r="AA561" s="569">
        <f>IFERROR(IF(VLOOKUP(C561,[4]List1!$A:$D,4,FALSE)=0,"",VLOOKUP(C561,[4]List1!$A:$D,4,FALSE)),"")</f>
        <v>16</v>
      </c>
      <c r="AB561" s="565"/>
      <c r="AC561" s="570" t="str">
        <f>IFERROR(IF(VLOOKUP(C561,[1]List1!$A:$D,2,FALSE)="VYPRODÁNO",$V$9,IF(VLOOKUP(C561,[1]List1!$A:$D,2,FALSE)="DOCHÁZÍ",$V$3,VLOOKUP(C561,[1]List1!$A:$D,2,FALSE))),"OFFLINE!")</f>
        <v>31.08.2026</v>
      </c>
      <c r="AD561" s="570" t="str">
        <f ca="1">IF(AP561="NE",$V$10,IF(AC561=$V$3,IF(AQ561&lt;1,$V$8,$V$2&amp;" "&amp;AQ561&amp;" "&amp;$V$1),IF(AC561="SKLADEM",$V$6,IFERROR(IF(OR(AC561-TODAY()&gt;45,VLOOKUP(C561,[1]List1!$A:$E,4,FALSE)=0),AC561,DAY(AC561)&amp;"."&amp;MONTH(AC561)&amp;"."&amp;YEAR(AC561)&amp;" "&amp;$V$4&amp;VLOOKUP(C561,[1]List1!$A:$E,4,FALSE)&amp;" "&amp;$V$1),AC561))))</f>
        <v>31.08.2026</v>
      </c>
      <c r="AE561" s="581" t="str">
        <f t="shared" ca="1" si="1664"/>
        <v>31.08.2026</v>
      </c>
      <c r="AF561" s="584">
        <f t="shared" si="1665"/>
        <v>0</v>
      </c>
      <c r="AG561" s="585">
        <f t="shared" si="1666"/>
        <v>0</v>
      </c>
      <c r="AH561" s="583">
        <f t="shared" si="1667"/>
        <v>0</v>
      </c>
      <c r="AI561" s="582">
        <f t="shared" si="1668"/>
        <v>0</v>
      </c>
      <c r="AJ561" s="569">
        <f t="shared" si="1669"/>
        <v>0</v>
      </c>
      <c r="AK561" s="569" t="str">
        <f t="shared" si="1670"/>
        <v/>
      </c>
      <c r="AL561" s="569" t="str">
        <f t="shared" si="1671"/>
        <v/>
      </c>
      <c r="AM561" s="569">
        <f t="shared" si="1672"/>
        <v>0</v>
      </c>
      <c r="AN561" s="581">
        <f t="shared" si="1673"/>
        <v>0</v>
      </c>
      <c r="AO561" s="623"/>
      <c r="AP561" s="625" t="str">
        <f t="shared" si="1652"/>
        <v/>
      </c>
      <c r="AQ561" s="625" t="str">
        <f>IF(AC561=$V$3,IF(VLOOKUP(C561,[1]List1!$A:$E,5,FALSE)=0,1,VLOOKUP(C561,[1]List1!$A:$E,5,FALSE)),"")</f>
        <v/>
      </c>
      <c r="AR561" s="629" t="str">
        <f t="shared" si="1653"/>
        <v/>
      </c>
      <c r="AS561" s="630" t="str">
        <f t="shared" si="1654"/>
        <v/>
      </c>
      <c r="AT561" s="625" t="str">
        <f t="shared" si="1655"/>
        <v/>
      </c>
      <c r="AU561" s="625" t="e">
        <f t="shared" si="1656"/>
        <v>#N/A</v>
      </c>
      <c r="AV561" s="625" t="e">
        <f t="shared" si="1657"/>
        <v>#N/A</v>
      </c>
      <c r="AW561" s="631"/>
      <c r="AX561" s="631">
        <f>IF(AND('General price list'!$J561="F4",'General price list'!$AB561+0&gt;0),1,0)</f>
        <v>0</v>
      </c>
      <c r="AY561" s="631">
        <f t="shared" si="1658"/>
        <v>1</v>
      </c>
      <c r="AZ561" s="631">
        <f t="shared" si="1659"/>
        <v>0</v>
      </c>
    </row>
    <row r="562" spans="1:52" ht="15" customHeight="1">
      <c r="A562" s="751" t="str">
        <f>Kat.!C562</f>
        <v xml:space="preserve">           Baterie 49 ran, 25 mm šikmý moždíř – 1.3G</v>
      </c>
      <c r="B562" s="751"/>
      <c r="C562" s="751"/>
      <c r="D562" s="751"/>
      <c r="E562" s="751"/>
      <c r="F562" s="751"/>
      <c r="G562" s="751"/>
      <c r="H562" s="751"/>
      <c r="I562" s="752"/>
      <c r="J562" s="752"/>
      <c r="K562" s="752" t="s">
        <v>20</v>
      </c>
      <c r="L562" s="753" t="s">
        <v>20</v>
      </c>
      <c r="M562" s="752"/>
      <c r="N562" s="752"/>
      <c r="O562" s="752"/>
      <c r="P562" s="752"/>
      <c r="Q562" s="752"/>
      <c r="R562" s="752"/>
      <c r="S562" s="752"/>
      <c r="T562" s="752"/>
      <c r="U562" s="752"/>
      <c r="V562" s="752"/>
      <c r="W562" s="752"/>
      <c r="X562" s="752"/>
      <c r="Y562" s="752"/>
      <c r="Z562" s="752" t="s">
        <v>20</v>
      </c>
      <c r="AA562" s="752"/>
      <c r="AB562" s="752"/>
      <c r="AC562" s="754"/>
      <c r="AD562" s="752"/>
      <c r="AE562" s="752"/>
      <c r="AF562" s="752"/>
      <c r="AG562" s="752"/>
      <c r="AH562" s="752"/>
      <c r="AI562" s="752"/>
      <c r="AJ562" s="752"/>
      <c r="AK562" s="752"/>
      <c r="AL562" s="752"/>
      <c r="AM562" s="752"/>
      <c r="AN562" s="752"/>
      <c r="AO562" s="623"/>
      <c r="AP562" s="632" t="str">
        <f t="shared" si="1652"/>
        <v/>
      </c>
      <c r="AQ562" s="633" t="str">
        <f>IF(AC562=$V$3,IF(VLOOKUP(C562,[1]List1!$A:$E,5,FALSE)=0,1,VLOOKUP(C562,[1]List1!$A:$E,5,FALSE)),"")</f>
        <v/>
      </c>
      <c r="AR562" s="625" t="str">
        <f t="shared" si="1653"/>
        <v/>
      </c>
      <c r="AS562" s="634" t="str">
        <f t="shared" si="1654"/>
        <v/>
      </c>
      <c r="AT562" s="625" t="str">
        <f t="shared" si="1655"/>
        <v/>
      </c>
      <c r="AU562" s="638" t="e">
        <f t="shared" si="1656"/>
        <v>#N/A</v>
      </c>
      <c r="AV562" s="625" t="e">
        <f t="shared" si="1657"/>
        <v>#N/A</v>
      </c>
      <c r="AX562" s="625">
        <f>IF(AND('General price list'!$J562="F4",'General price list'!$AB562+0&gt;0),1,0)</f>
        <v>0</v>
      </c>
      <c r="AY562" s="625">
        <f t="shared" si="1658"/>
        <v>0</v>
      </c>
      <c r="AZ562" s="625">
        <f t="shared" si="1659"/>
        <v>0</v>
      </c>
    </row>
    <row r="563" spans="1:52" ht="15" customHeight="1">
      <c r="A563" s="639" t="str">
        <f>Kat.!C563</f>
        <v>×</v>
      </c>
      <c r="B563" s="640">
        <f>IF(AND('General price list'!$J563="F4",$AI$1=FALSE),0,IF(AC563="SKLADEM",1,IF(AC563=$V$3,1,0)))</f>
        <v>1</v>
      </c>
      <c r="C563" s="641" t="s">
        <v>2286</v>
      </c>
      <c r="D563" s="642" t="s">
        <v>2287</v>
      </c>
      <c r="E563" s="643" t="s">
        <v>12651</v>
      </c>
      <c r="F563" s="791">
        <f>IFERROR(VLOOKUP(C563,[2]List1!$A:$D,3,FALSE),"NEUVEDENO!")</f>
        <v>769</v>
      </c>
      <c r="G563" s="768">
        <f t="shared" ref="G563:G565" si="1674">IF($W$17=$AF$8,ROUND((F563)/$F$17,2),(F563)*$B$19)</f>
        <v>769</v>
      </c>
      <c r="H563" s="765">
        <f t="shared" ref="H563:H565" si="1675">IF($W$17=$AF$8,G563*$B$19,G563/$F$17)</f>
        <v>32.665995505770709</v>
      </c>
      <c r="I563" s="644">
        <f>IFERROR(VLOOKUP(C563,[2]List1!$A:$D,4,FALSE),"NEUVEDENO!")</f>
        <v>4</v>
      </c>
      <c r="J563" s="733" t="s">
        <v>113</v>
      </c>
      <c r="K563" s="645" t="s">
        <v>11100</v>
      </c>
      <c r="L563" s="645" t="s">
        <v>20</v>
      </c>
      <c r="M563" s="645" t="s">
        <v>114</v>
      </c>
      <c r="N563" s="645">
        <f>IFERROR(VLOOKUP(C563,[3]List1!$A:$D,4,FALSE),"N/A!")</f>
        <v>5.7854999999999997E-2</v>
      </c>
      <c r="O563" s="645">
        <f>IFERROR(VLOOKUP(C563,[3]List1!$A:$D,3,FALSE),"N/A!")</f>
        <v>2600</v>
      </c>
      <c r="P563" s="645">
        <f>IFERROR(VLOOKUP(C563,[3]List1!$A:$D,2,FALSE),"N/A!")</f>
        <v>18500</v>
      </c>
      <c r="Q563" s="645" t="s">
        <v>11781</v>
      </c>
      <c r="R563" s="645"/>
      <c r="S563" s="645" t="str">
        <f>IF($W$17=$AF$1,"design",IFERROR(VLOOKUP("design",Jazyky_ceník!$A:$Q,MATCH($W$17,Jazyky_ceník!$A$1:$Q$1,0),FALSE),"!!!"))</f>
        <v>design</v>
      </c>
      <c r="T563" s="645">
        <v>30</v>
      </c>
      <c r="U563" s="645">
        <v>30</v>
      </c>
      <c r="V563" s="645">
        <v>22</v>
      </c>
      <c r="W563" s="645" t="str">
        <f>IFERROR(IF(AND($AB563&gt;=0.1*$AA563,MOD($AB563,$AA563)&gt;=($AA563-(0.1*$AA563))),IF($W$17=$AF$1,"Zvažte možnost doobjednání ještě "&amp;Tabulka1[[#This Row],[VKPAL]]-MOD(AB563,AA563)&amp;" VK do plné palety.",VLOOKUP("Zvažte možnost doobjednání ještě ",Jazyky_ceník!A:Q,MATCH($W$17,Jazyky_ceník!$A$1:$Q$1,0),FALSE)&amp;Tabulka1[[#This Row],[VKPAL]]-MOD(AB563,AA563)&amp;VLOOKUP(" VK do plné palety.",Jazyky_ceník!A:Q,MATCH($W$17,Jazyky_ceník!$A$1:$Q$1,0),FALSE)),IFERROR(IF(AND(NOT(MOD($AB563,$AA563)=0),$AB563&gt;=0.9*$AA563,MOD($AB563,$AA563)&lt;=0.1*$AA563),IF($W$17=$AF$1,"Zvažte možnost optimalizace objednaného množství podle počtu VK na paletě ==&gt;",VLOOKUP("Zvažte možnost optimalizace objednaného množství podle počtu VK na paletě ==&gt;",Jazyky_ceník!A:Q,MATCH($W$17,Jazyky_ceník!$A$1:$Q$1,0),FALSE)),VLOOKUP('General price list'!$C563,Popisy!A:M,MATCH($W$17,Popisy!$A$7:$M$7,0),FALSE)),"---------------")),IFERROR(VLOOKUP('General price list'!$C563,Popisy!A:M,MATCH($W$17,Popisy!$A$7:$M$7,0),FALSE),"---------------"))</f>
        <v>7 různobarevných efektů</v>
      </c>
      <c r="X563" s="645" t="str">
        <f t="shared" ref="X563:X565" si="1676">IF(AB563&lt;0.0001,"",AB563)</f>
        <v/>
      </c>
      <c r="Y563" s="645" t="str">
        <f t="shared" ref="Y563:Y565" si="1677">IF($AL$3=2,IF(OR(AB563&lt;&gt;"",AB563&lt;&gt;0),AU563,""),IF(C563="","",IF(AB563&lt;0.0001,"",IF(B563=0,"",IF(AQ563&lt;AB563,"",AB563)))))</f>
        <v/>
      </c>
      <c r="Z563" s="645" t="str">
        <f>HYPERLINK("https://www.klasekpyrotechnics.cz/cf4925s")</f>
        <v>https://www.klasekpyrotechnics.cz/cf4925s</v>
      </c>
      <c r="AA563" s="645">
        <f>IFERROR(IF(VLOOKUP(C563,[4]List1!$A:$D,4,FALSE)=0,"",VLOOKUP(C563,[4]List1!$A:$D,4,FALSE)),"")</f>
        <v>16</v>
      </c>
      <c r="AB563" s="646"/>
      <c r="AC563" s="647" t="str">
        <f>IFERROR(IF(VLOOKUP(C563,[1]List1!$A:$D,2,FALSE)="VYPRODÁNO",$V$9,IF(VLOOKUP(C563,[1]List1!$A:$D,2,FALSE)="DOCHÁZÍ",$V$3,VLOOKUP(C563,[1]List1!$A:$D,2,FALSE))),"OFFLINE!")</f>
        <v>SKLADEM</v>
      </c>
      <c r="AD563" s="647" t="str">
        <f ca="1">IF(AP563="NE",$V$10,IF(AC563=$V$3,IF(AQ563&lt;1,$V$8,$V$2&amp;" "&amp;AQ563&amp;" "&amp;$V$1),IF(AC563="SKLADEM",$V$6,IFERROR(IF(OR(AC563-TODAY()&gt;45,VLOOKUP(C563,[1]List1!$A:$E,4,FALSE)=0),AC563,DAY(AC563)&amp;"."&amp;MONTH(AC563)&amp;"."&amp;YEAR(AC563)&amp;" "&amp;$V$4&amp;VLOOKUP(C563,[1]List1!$A:$E,4,FALSE)&amp;" "&amp;$V$1),AC563))))</f>
        <v>SKLADEM</v>
      </c>
      <c r="AE563" s="645" t="str">
        <f t="shared" ref="AE563:AE565" ca="1" si="1678">IFERROR(IF(AV563&lt;&gt;"",AV563,AD563),AD563)</f>
        <v>SKLADEM</v>
      </c>
      <c r="AF563" s="648">
        <f t="shared" ref="AF563:AF565" si="1679">IFERROR(IF(AB563=Y563,G563*I563*Y563,0),0)</f>
        <v>0</v>
      </c>
      <c r="AG563" s="649">
        <f t="shared" ref="AG563:AG565" si="1680">IF($W$17=$AF$8,AH563*1.23,AF563*1.21)</f>
        <v>0</v>
      </c>
      <c r="AH563" s="650">
        <f t="shared" ref="AH563:AH565" si="1681">IFERROR(IF(Y563=AB563,H563*I563*Y563,0),0)</f>
        <v>0</v>
      </c>
      <c r="AI563" s="645">
        <f t="shared" ref="AI563:AI565" si="1682">IFERROR(IF(Y563=AB563,(P563*Y563)/1000,1),0)</f>
        <v>0</v>
      </c>
      <c r="AJ563" s="645">
        <f t="shared" ref="AJ563:AJ565" si="1683">IFERROR(IF(Y563=AB563,N563*Y563,0.1),0)</f>
        <v>0</v>
      </c>
      <c r="AK563" s="645" t="str">
        <f t="shared" ref="AK563:AK565" si="1684">IFERROR(IF(Y563=AB563,IF(M563="1.1G",(O563/1000)*Y563,""),""),0)</f>
        <v/>
      </c>
      <c r="AL563" s="645">
        <f t="shared" ref="AL563:AL565" si="1685">IFERROR(IF(Y563=AB563,IF(M563="1.3G",(O563/1000)*AB563,""),""),0)</f>
        <v>0</v>
      </c>
      <c r="AM563" s="645" t="str">
        <f t="shared" ref="AM563:AM565" si="1686">IFERROR(IF(Y563=AB563,IF(M563="1.4G",(O563/1000)*AB563,""),""),0)</f>
        <v/>
      </c>
      <c r="AN563" s="651">
        <f t="shared" ref="AN563:AN565" si="1687">SUM(AK563:AM563)</f>
        <v>0</v>
      </c>
      <c r="AO563" s="623"/>
      <c r="AP563" s="632" t="str">
        <f t="shared" si="1652"/>
        <v/>
      </c>
      <c r="AQ563" s="633" t="str">
        <f>IF(AC563=$V$3,IF(VLOOKUP(C563,[1]List1!$A:$E,5,FALSE)=0,1,VLOOKUP(C563,[1]List1!$A:$E,5,FALSE)),"")</f>
        <v/>
      </c>
      <c r="AR563" s="625" t="str">
        <f t="shared" si="1653"/>
        <v/>
      </c>
      <c r="AS563" s="634" t="str">
        <f t="shared" si="1654"/>
        <v/>
      </c>
      <c r="AT563" s="625" t="str">
        <f t="shared" si="1655"/>
        <v/>
      </c>
      <c r="AU563" s="638" t="e">
        <f t="shared" si="1656"/>
        <v>#N/A</v>
      </c>
      <c r="AV563" s="625" t="e">
        <f t="shared" si="1657"/>
        <v>#N/A</v>
      </c>
      <c r="AX563" s="625">
        <f>IF(AND('General price list'!$J563="F4",'General price list'!$AB563+0&gt;0),1,0)</f>
        <v>0</v>
      </c>
      <c r="AY563" s="625">
        <f t="shared" si="1658"/>
        <v>1</v>
      </c>
      <c r="AZ563" s="625">
        <f t="shared" si="1659"/>
        <v>0</v>
      </c>
    </row>
    <row r="564" spans="1:52" ht="15" customHeight="1">
      <c r="A564" s="621" t="str">
        <f>Kat.!C564</f>
        <v/>
      </c>
      <c r="B564" s="566">
        <f>IF(AND('General price list'!$J564="F4",$AI$1=FALSE),0,IF(AC564="SKLADEM",1,IF(AC564=$V$3,1,0)))</f>
        <v>1</v>
      </c>
      <c r="C564" s="567" t="s">
        <v>1175</v>
      </c>
      <c r="D564" s="568" t="s">
        <v>11733</v>
      </c>
      <c r="E564" s="763" t="s">
        <v>12651</v>
      </c>
      <c r="F564" s="772">
        <f>IFERROR(VLOOKUP(C564,[2]List1!$A:$D,3,FALSE),"NEUVEDENO!")</f>
        <v>818</v>
      </c>
      <c r="G564" s="769">
        <f t="shared" si="1674"/>
        <v>818</v>
      </c>
      <c r="H564" s="766">
        <f t="shared" si="1675"/>
        <v>34.74744385399277</v>
      </c>
      <c r="I564" s="764">
        <f>IFERROR(VLOOKUP(C564,[2]List1!$A:$D,4,FALSE),"NEUVEDENO!")</f>
        <v>4</v>
      </c>
      <c r="J564" s="732" t="s">
        <v>113</v>
      </c>
      <c r="K564" s="569" t="s">
        <v>20</v>
      </c>
      <c r="L564" s="569" t="s">
        <v>20</v>
      </c>
      <c r="M564" s="569" t="s">
        <v>114</v>
      </c>
      <c r="N564" s="569">
        <f>IFERROR(VLOOKUP(C564,[3]List1!$A:$D,4,FALSE),"N/A!")</f>
        <v>5.7854999999999997E-2</v>
      </c>
      <c r="O564" s="569">
        <f>IFERROR(VLOOKUP(C564,[3]List1!$A:$D,3,FALSE),"N/A!")</f>
        <v>2352</v>
      </c>
      <c r="P564" s="569">
        <f>IFERROR(VLOOKUP(C564,[3]List1!$A:$D,2,FALSE),"N/A!")</f>
        <v>18000</v>
      </c>
      <c r="Q564" s="569" t="s">
        <v>11781</v>
      </c>
      <c r="R564" s="569"/>
      <c r="S564" s="569" t="str">
        <f>IF($W$17=$AF$1,"design",IFERROR(VLOOKUP("design",Jazyky_ceník!$A:$Q,MATCH($W$17,Jazyky_ceník!$A$1:$Q$1,0),FALSE),"!!!"))</f>
        <v>design</v>
      </c>
      <c r="T564" s="569">
        <v>18</v>
      </c>
      <c r="U564" s="569">
        <v>30</v>
      </c>
      <c r="V564" s="569"/>
      <c r="W564" s="569" t="str">
        <f>IFERROR(IF(AND($AB564&gt;=0.1*$AA564,MOD($AB564,$AA564)&gt;=($AA564-(0.1*$AA564))),IF($W$17=$AF$1,"Zvažte možnost doobjednání ještě "&amp;Tabulka1[[#This Row],[VKPAL]]-MOD(AB564,AA564)&amp;" VK do plné palety.",VLOOKUP("Zvažte možnost doobjednání ještě ",Jazyky_ceník!A:Q,MATCH($W$17,Jazyky_ceník!$A$1:$Q$1,0),FALSE)&amp;Tabulka1[[#This Row],[VKPAL]]-MOD(AB564,AA564)&amp;VLOOKUP(" VK do plné palety.",Jazyky_ceník!A:Q,MATCH($W$17,Jazyky_ceník!$A$1:$Q$1,0),FALSE)),IFERROR(IF(AND(NOT(MOD($AB564,$AA564)=0),$AB564&gt;=0.9*$AA564,MOD($AB564,$AA564)&lt;=0.1*$AA564),IF($W$17=$AF$1,"Zvažte možnost optimalizace objednaného množství podle počtu VK na paletě ==&gt;",VLOOKUP("Zvažte možnost optimalizace objednaného množství podle počtu VK na paletě ==&gt;",Jazyky_ceník!A:Q,MATCH($W$17,Jazyky_ceník!$A$1:$Q$1,0),FALSE)),VLOOKUP('General price list'!$C564,Popisy!A:M,MATCH($W$17,Popisy!$A$7:$M$7,0),FALSE)),"---------------")),IFERROR(VLOOKUP('General price list'!$C564,Popisy!A:M,MATCH($W$17,Popisy!$A$7:$M$7,0),FALSE),"---------------"))</f>
        <v>stříbrná mina s červenou stopou a titanovou detonací</v>
      </c>
      <c r="X564" s="569" t="str">
        <f t="shared" si="1676"/>
        <v/>
      </c>
      <c r="Y564" s="569" t="str">
        <f t="shared" si="1677"/>
        <v/>
      </c>
      <c r="Z564" s="569" t="str">
        <f>HYPERLINK("https://www.klasekpyrotechnics.cz/cf4925d")</f>
        <v>https://www.klasekpyrotechnics.cz/cf4925d</v>
      </c>
      <c r="AA564" s="569">
        <f>IFERROR(IF(VLOOKUP(C564,[4]List1!$A:$D,4,FALSE)=0,"",VLOOKUP(C564,[4]List1!$A:$D,4,FALSE)),"")</f>
        <v>16</v>
      </c>
      <c r="AB564" s="565"/>
      <c r="AC564" s="570" t="str">
        <f>IFERROR(IF(VLOOKUP(C564,[1]List1!$A:$D,2,FALSE)="VYPRODÁNO",$V$9,IF(VLOOKUP(C564,[1]List1!$A:$D,2,FALSE)="DOCHÁZÍ",$V$3,VLOOKUP(C564,[1]List1!$A:$D,2,FALSE))),"OFFLINE!")</f>
        <v>SKLADEM</v>
      </c>
      <c r="AD564" s="570" t="str">
        <f ca="1">IF(AP564="NE",$V$10,IF(AC564=$V$3,IF(AQ564&lt;1,$V$8,$V$2&amp;" "&amp;AQ564&amp;" "&amp;$V$1),IF(AC564="SKLADEM",$V$6,IFERROR(IF(OR(AC564-TODAY()&gt;45,VLOOKUP(C564,[1]List1!$A:$E,4,FALSE)=0),AC564,DAY(AC564)&amp;"."&amp;MONTH(AC564)&amp;"."&amp;YEAR(AC564)&amp;" "&amp;$V$4&amp;VLOOKUP(C564,[1]List1!$A:$E,4,FALSE)&amp;" "&amp;$V$1),AC564))))</f>
        <v>SKLADEM</v>
      </c>
      <c r="AE564" s="581" t="str">
        <f t="shared" ca="1" si="1678"/>
        <v>SKLADEM</v>
      </c>
      <c r="AF564" s="584">
        <f t="shared" si="1679"/>
        <v>0</v>
      </c>
      <c r="AG564" s="585">
        <f t="shared" si="1680"/>
        <v>0</v>
      </c>
      <c r="AH564" s="583">
        <f t="shared" si="1681"/>
        <v>0</v>
      </c>
      <c r="AI564" s="582">
        <f t="shared" si="1682"/>
        <v>0</v>
      </c>
      <c r="AJ564" s="569">
        <f t="shared" si="1683"/>
        <v>0</v>
      </c>
      <c r="AK564" s="569" t="str">
        <f t="shared" si="1684"/>
        <v/>
      </c>
      <c r="AL564" s="569">
        <f t="shared" si="1685"/>
        <v>0</v>
      </c>
      <c r="AM564" s="569" t="str">
        <f t="shared" si="1686"/>
        <v/>
      </c>
      <c r="AN564" s="581">
        <f t="shared" si="1687"/>
        <v>0</v>
      </c>
      <c r="AO564" s="623"/>
      <c r="AP564" s="632" t="str">
        <f t="shared" si="1652"/>
        <v/>
      </c>
      <c r="AQ564" s="633" t="str">
        <f>IF(AC564=$V$3,IF(VLOOKUP(C564,[1]List1!$A:$E,5,FALSE)=0,1,VLOOKUP(C564,[1]List1!$A:$E,5,FALSE)),"")</f>
        <v/>
      </c>
      <c r="AR564" s="625" t="str">
        <f t="shared" si="1653"/>
        <v/>
      </c>
      <c r="AS564" s="634" t="str">
        <f t="shared" si="1654"/>
        <v/>
      </c>
      <c r="AT564" s="625" t="str">
        <f t="shared" si="1655"/>
        <v/>
      </c>
      <c r="AU564" s="638" t="e">
        <f t="shared" si="1656"/>
        <v>#N/A</v>
      </c>
      <c r="AV564" s="625" t="e">
        <f t="shared" si="1657"/>
        <v>#N/A</v>
      </c>
      <c r="AX564" s="625">
        <f>IF(AND('General price list'!$J564="F4",'General price list'!$AB564+0&gt;0),1,0)</f>
        <v>0</v>
      </c>
      <c r="AY564" s="625">
        <f t="shared" si="1658"/>
        <v>1</v>
      </c>
      <c r="AZ564" s="625">
        <f t="shared" si="1659"/>
        <v>0</v>
      </c>
    </row>
    <row r="565" spans="1:52" ht="15.75" customHeight="1">
      <c r="A565" s="639" t="str">
        <f>Kat.!C565</f>
        <v>×</v>
      </c>
      <c r="B565" s="640">
        <f>IF(AND('General price list'!$J565="F4",$AI$1=FALSE),0,IF(AC565="SKLADEM",1,IF(AC565=$V$3,1,0)))</f>
        <v>1</v>
      </c>
      <c r="C565" s="641" t="s">
        <v>1176</v>
      </c>
      <c r="D565" s="642" t="s">
        <v>11734</v>
      </c>
      <c r="E565" s="643" t="s">
        <v>12651</v>
      </c>
      <c r="F565" s="791">
        <f>IFERROR(VLOOKUP(C565,[2]List1!$A:$D,3,FALSE),"NEUVEDENO!")</f>
        <v>769</v>
      </c>
      <c r="G565" s="770">
        <f t="shared" si="1674"/>
        <v>769</v>
      </c>
      <c r="H565" s="767">
        <f t="shared" si="1675"/>
        <v>32.665995505770709</v>
      </c>
      <c r="I565" s="644">
        <f>IFERROR(VLOOKUP(C565,[2]List1!$A:$D,4,FALSE),"NEUVEDENO!")</f>
        <v>4</v>
      </c>
      <c r="J565" s="733" t="s">
        <v>113</v>
      </c>
      <c r="K565" s="645" t="s">
        <v>11100</v>
      </c>
      <c r="L565" s="645" t="s">
        <v>20</v>
      </c>
      <c r="M565" s="645" t="s">
        <v>114</v>
      </c>
      <c r="N565" s="645">
        <f>IFERROR(VLOOKUP(C565,[3]List1!$A:$D,4,FALSE),"N/A!")</f>
        <v>5.7854999999999997E-2</v>
      </c>
      <c r="O565" s="645">
        <f>IFERROR(VLOOKUP(C565,[3]List1!$A:$D,3,FALSE),"N/A!")</f>
        <v>2800</v>
      </c>
      <c r="P565" s="645">
        <f>IFERROR(VLOOKUP(C565,[3]List1!$A:$D,2,FALSE),"N/A!")</f>
        <v>18500</v>
      </c>
      <c r="Q565" s="645" t="s">
        <v>11781</v>
      </c>
      <c r="R565" s="645"/>
      <c r="S565" s="645" t="str">
        <f>IF($W$17=$AF$1,"design",IFERROR(VLOOKUP("design",Jazyky_ceník!$A:$Q,MATCH($W$17,Jazyky_ceník!$A$1:$Q$1,0),FALSE),"!!!"))</f>
        <v>design</v>
      </c>
      <c r="T565" s="645">
        <v>30</v>
      </c>
      <c r="U565" s="645">
        <v>30</v>
      </c>
      <c r="V565" s="645">
        <v>22</v>
      </c>
      <c r="W565" s="645" t="str">
        <f>IFERROR(IF(AND($AB565&gt;=0.1*$AA565,MOD($AB565,$AA565)&gt;=($AA565-(0.1*$AA565))),IF($W$17=$AF$1,"Zvažte možnost doobjednání ještě "&amp;Tabulka1[[#This Row],[VKPAL]]-MOD(AB565,AA565)&amp;" VK do plné palety.",VLOOKUP("Zvažte možnost doobjednání ještě ",Jazyky_ceník!A:Q,MATCH($W$17,Jazyky_ceník!$A$1:$Q$1,0),FALSE)&amp;Tabulka1[[#This Row],[VKPAL]]-MOD(AB565,AA565)&amp;VLOOKUP(" VK do plné palety.",Jazyky_ceník!A:Q,MATCH($W$17,Jazyky_ceník!$A$1:$Q$1,0),FALSE)),IFERROR(IF(AND(NOT(MOD($AB565,$AA565)=0),$AB565&gt;=0.9*$AA565,MOD($AB565,$AA565)&lt;=0.1*$AA565),IF($W$17=$AF$1,"Zvažte možnost optimalizace objednaného množství podle počtu VK na paletě ==&gt;",VLOOKUP("Zvažte možnost optimalizace objednaného množství podle počtu VK na paletě ==&gt;",Jazyky_ceník!A:Q,MATCH($W$17,Jazyky_ceník!$A$1:$Q$1,0),FALSE)),VLOOKUP('General price list'!$C565,Popisy!A:M,MATCH($W$17,Popisy!$A$7:$M$7,0),FALSE)),"---------------")),IFERROR(VLOOKUP('General price list'!$C565,Popisy!A:M,MATCH($W$17,Popisy!$A$7:$M$7,0),FALSE),"---------------"))</f>
        <v>28ran zlatá brokátová koruna s červenými/modrými konci, 21ran stříbrná mina s červenovu stopou+titanová exploze</v>
      </c>
      <c r="X565" s="645" t="str">
        <f t="shared" si="1676"/>
        <v/>
      </c>
      <c r="Y565" s="645" t="str">
        <f t="shared" si="1677"/>
        <v/>
      </c>
      <c r="Z565" s="645" t="str">
        <f>HYPERLINK("https://www.klasekpyrotechnics.cz/cf4925b")</f>
        <v>https://www.klasekpyrotechnics.cz/cf4925b</v>
      </c>
      <c r="AA565" s="645">
        <f>IFERROR(IF(VLOOKUP(C565,[4]List1!$A:$D,4,FALSE)=0,"",VLOOKUP(C565,[4]List1!$A:$D,4,FALSE)),"")</f>
        <v>16</v>
      </c>
      <c r="AB565" s="646"/>
      <c r="AC565" s="647" t="str">
        <f>IFERROR(IF(VLOOKUP(C565,[1]List1!$A:$D,2,FALSE)="VYPRODÁNO",$V$9,IF(VLOOKUP(C565,[1]List1!$A:$D,2,FALSE)="DOCHÁZÍ",$V$3,VLOOKUP(C565,[1]List1!$A:$D,2,FALSE))),"OFFLINE!")</f>
        <v>SKLADEM</v>
      </c>
      <c r="AD565" s="647" t="str">
        <f ca="1">IF(AP565="NE",$V$10,IF(AC565=$V$3,IF(AQ565&lt;1,$V$8,$V$2&amp;" "&amp;AQ565&amp;" "&amp;$V$1),IF(AC565="SKLADEM",$V$6,IFERROR(IF(OR(AC565-TODAY()&gt;45,VLOOKUP(C565,[1]List1!$A:$E,4,FALSE)=0),AC565,DAY(AC565)&amp;"."&amp;MONTH(AC565)&amp;"."&amp;YEAR(AC565)&amp;" "&amp;$V$4&amp;VLOOKUP(C565,[1]List1!$A:$E,4,FALSE)&amp;" "&amp;$V$1),AC565))))</f>
        <v>SKLADEM</v>
      </c>
      <c r="AE565" s="645" t="str">
        <f t="shared" ca="1" si="1678"/>
        <v>SKLADEM</v>
      </c>
      <c r="AF565" s="648">
        <f t="shared" si="1679"/>
        <v>0</v>
      </c>
      <c r="AG565" s="649">
        <f t="shared" si="1680"/>
        <v>0</v>
      </c>
      <c r="AH565" s="650">
        <f t="shared" si="1681"/>
        <v>0</v>
      </c>
      <c r="AI565" s="645">
        <f t="shared" si="1682"/>
        <v>0</v>
      </c>
      <c r="AJ565" s="645">
        <f t="shared" si="1683"/>
        <v>0</v>
      </c>
      <c r="AK565" s="645" t="str">
        <f t="shared" si="1684"/>
        <v/>
      </c>
      <c r="AL565" s="645">
        <f t="shared" si="1685"/>
        <v>0</v>
      </c>
      <c r="AM565" s="645" t="str">
        <f t="shared" si="1686"/>
        <v/>
      </c>
      <c r="AN565" s="651">
        <f t="shared" si="1687"/>
        <v>0</v>
      </c>
      <c r="AO565" s="623"/>
      <c r="AP565" s="625" t="str">
        <f t="shared" si="1652"/>
        <v/>
      </c>
      <c r="AQ565" s="625" t="str">
        <f>IF(AC565=$V$3,IF(VLOOKUP(C565,[1]List1!$A:$E,5,FALSE)=0,1,VLOOKUP(C565,[1]List1!$A:$E,5,FALSE)),"")</f>
        <v/>
      </c>
      <c r="AR565" s="629" t="str">
        <f t="shared" si="1653"/>
        <v/>
      </c>
      <c r="AS565" s="630" t="str">
        <f t="shared" si="1654"/>
        <v/>
      </c>
      <c r="AT565" s="625" t="str">
        <f t="shared" si="1655"/>
        <v/>
      </c>
      <c r="AU565" s="625" t="e">
        <f t="shared" si="1656"/>
        <v>#N/A</v>
      </c>
      <c r="AV565" s="625" t="e">
        <f t="shared" si="1657"/>
        <v>#N/A</v>
      </c>
      <c r="AW565" s="631"/>
      <c r="AX565" s="631">
        <f>IF(AND('General price list'!$J565="F4",'General price list'!$AB565+0&gt;0),1,0)</f>
        <v>0</v>
      </c>
      <c r="AY565" s="631">
        <f t="shared" si="1658"/>
        <v>1</v>
      </c>
      <c r="AZ565" s="631">
        <f t="shared" si="1659"/>
        <v>0</v>
      </c>
    </row>
    <row r="566" spans="1:52" ht="15.75" customHeight="1">
      <c r="A566" s="751" t="str">
        <f>Kat.!C566</f>
        <v xml:space="preserve">           Baterie 64 ran, 25 mm moždíř (všechny směry) – 1.3G</v>
      </c>
      <c r="B566" s="751"/>
      <c r="C566" s="751"/>
      <c r="D566" s="751"/>
      <c r="E566" s="751"/>
      <c r="F566" s="751"/>
      <c r="G566" s="751"/>
      <c r="H566" s="751"/>
      <c r="I566" s="752"/>
      <c r="J566" s="752"/>
      <c r="K566" s="752" t="s">
        <v>20</v>
      </c>
      <c r="L566" s="753" t="s">
        <v>20</v>
      </c>
      <c r="M566" s="752"/>
      <c r="N566" s="752"/>
      <c r="O566" s="752"/>
      <c r="P566" s="752"/>
      <c r="Q566" s="752"/>
      <c r="R566" s="752"/>
      <c r="S566" s="752"/>
      <c r="T566" s="752"/>
      <c r="U566" s="752"/>
      <c r="V566" s="752"/>
      <c r="W566" s="752"/>
      <c r="X566" s="752"/>
      <c r="Y566" s="752"/>
      <c r="Z566" s="752" t="s">
        <v>20</v>
      </c>
      <c r="AA566" s="752"/>
      <c r="AB566" s="752"/>
      <c r="AC566" s="754"/>
      <c r="AD566" s="752"/>
      <c r="AE566" s="752"/>
      <c r="AF566" s="752"/>
      <c r="AG566" s="752"/>
      <c r="AH566" s="752"/>
      <c r="AI566" s="752"/>
      <c r="AJ566" s="752"/>
      <c r="AK566" s="752"/>
      <c r="AL566" s="752"/>
      <c r="AM566" s="752"/>
      <c r="AN566" s="752"/>
      <c r="AO566" s="623"/>
      <c r="AP566" s="625" t="str">
        <f t="shared" si="1652"/>
        <v/>
      </c>
      <c r="AQ566" s="625" t="str">
        <f>IF(AC566=$V$3,IF(VLOOKUP(C566,[1]List1!$A:$E,5,FALSE)=0,1,VLOOKUP(C566,[1]List1!$A:$E,5,FALSE)),"")</f>
        <v/>
      </c>
      <c r="AR566" s="629" t="str">
        <f t="shared" si="1653"/>
        <v/>
      </c>
      <c r="AS566" s="630" t="str">
        <f t="shared" si="1654"/>
        <v/>
      </c>
      <c r="AT566" s="625" t="str">
        <f t="shared" si="1655"/>
        <v/>
      </c>
      <c r="AU566" s="625" t="e">
        <f t="shared" si="1656"/>
        <v>#N/A</v>
      </c>
      <c r="AV566" s="625" t="e">
        <f t="shared" si="1657"/>
        <v>#N/A</v>
      </c>
      <c r="AW566" s="631"/>
      <c r="AX566" s="631">
        <f>IF(AND('General price list'!$J566="F4",'General price list'!$AB566+0&gt;0),1,0)</f>
        <v>0</v>
      </c>
      <c r="AY566" s="631">
        <f t="shared" si="1658"/>
        <v>0</v>
      </c>
      <c r="AZ566" s="631">
        <f t="shared" si="1659"/>
        <v>0</v>
      </c>
    </row>
    <row r="567" spans="1:52" ht="15" customHeight="1">
      <c r="A567" s="639" t="str">
        <f>Kat.!C567</f>
        <v/>
      </c>
      <c r="B567" s="640">
        <f>IF(AND('General price list'!$J567="F4",$AI$1=FALSE),0,IF(AC567="SKLADEM",1,IF(AC567=$V$3,1,0)))</f>
        <v>1</v>
      </c>
      <c r="C567" s="641" t="s">
        <v>2288</v>
      </c>
      <c r="D567" s="642" t="s">
        <v>11888</v>
      </c>
      <c r="E567" s="643" t="s">
        <v>12745</v>
      </c>
      <c r="F567" s="773">
        <f>IFERROR(VLOOKUP(C567,[2]List1!$A:$D,3,FALSE),"NEUVEDENO!")</f>
        <v>1061</v>
      </c>
      <c r="G567" s="770">
        <f t="shared" ref="G567" si="1688">IF($W$17=$AF$8,ROUND((F567)/$F$17,2),(F567)*$B$19)</f>
        <v>1061</v>
      </c>
      <c r="H567" s="767">
        <f t="shared" ref="H567" si="1689">IF($W$17=$AF$8,G567*$B$19,G567/$F$17)</f>
        <v>45.069728519665439</v>
      </c>
      <c r="I567" s="644">
        <f>IFERROR(VLOOKUP(C567,[2]List1!$A:$D,4,FALSE),"NEUVEDENO!")</f>
        <v>3</v>
      </c>
      <c r="J567" s="733" t="s">
        <v>113</v>
      </c>
      <c r="K567" s="645" t="s">
        <v>20</v>
      </c>
      <c r="L567" s="645" t="s">
        <v>20</v>
      </c>
      <c r="M567" s="645" t="s">
        <v>114</v>
      </c>
      <c r="N567" s="645">
        <f>IFERROR(VLOOKUP(C567,[3]List1!$A:$D,4,FALSE),"N/A!")</f>
        <v>5.6998500000000001E-2</v>
      </c>
      <c r="O567" s="645">
        <f>IFERROR(VLOOKUP(C567,[3]List1!$A:$D,3,FALSE),"N/A!")</f>
        <v>2880</v>
      </c>
      <c r="P567" s="645">
        <f>IFERROR(VLOOKUP(C567,[3]List1!$A:$D,2,FALSE),"N/A!")</f>
        <v>18500</v>
      </c>
      <c r="Q567" s="645" t="s">
        <v>11309</v>
      </c>
      <c r="R567" s="645"/>
      <c r="S567" s="645" t="str">
        <f>IF($W$17=$AF$1,"červená fólie",IFERROR(VLOOKUP("červená fólie",Jazyky_ceník!$A:$Q,MATCH($W$17,Jazyky_ceník!$A$1:$Q$1,0),FALSE),"!!!"))</f>
        <v>červená fólie</v>
      </c>
      <c r="T567" s="645">
        <v>40</v>
      </c>
      <c r="U567" s="645">
        <v>33</v>
      </c>
      <c r="V567" s="645">
        <v>24</v>
      </c>
      <c r="W567" s="645" t="str">
        <f>IFERROR(IF(AND($AB567&gt;=0.1*$AA567,MOD($AB567,$AA567)&gt;=($AA567-(0.1*$AA567))),IF($W$17=$AF$1,"Zvažte možnost doobjednání ještě "&amp;Tabulka1[[#This Row],[VKPAL]]-MOD(AB567,AA567)&amp;" VK do plné palety.",VLOOKUP("Zvažte možnost doobjednání ještě ",Jazyky_ceník!A:Q,MATCH($W$17,Jazyky_ceník!$A$1:$Q$1,0),FALSE)&amp;Tabulka1[[#This Row],[VKPAL]]-MOD(AB567,AA567)&amp;VLOOKUP(" VK do plné palety.",Jazyky_ceník!A:Q,MATCH($W$17,Jazyky_ceník!$A$1:$Q$1,0),FALSE)),IFERROR(IF(AND(NOT(MOD($AB567,$AA567)=0),$AB567&gt;=0.9*$AA567,MOD($AB567,$AA567)&lt;=0.1*$AA567),IF($W$17=$AF$1,"Zvažte možnost optimalizace objednaného množství podle počtu VK na paletě ==&gt;",VLOOKUP("Zvažte možnost optimalizace objednaného množství podle počtu VK na paletě ==&gt;",Jazyky_ceník!A:Q,MATCH($W$17,Jazyky_ceník!$A$1:$Q$1,0),FALSE)),VLOOKUP('General price list'!$C567,Popisy!A:M,MATCH($W$17,Popisy!$A$7:$M$7,0),FALSE)),"---------------")),IFERROR(VLOOKUP('General price list'!$C567,Popisy!A:M,MATCH($W$17,Popisy!$A$7:$M$7,0),FALSE),"---------------"))</f>
        <v>14 různobarevných efektů</v>
      </c>
      <c r="X567" s="645" t="str">
        <f t="shared" ref="X567" si="1690">IF(AB567&lt;0.0001,"",AB567)</f>
        <v/>
      </c>
      <c r="Y567" s="645" t="str">
        <f t="shared" ref="Y567" si="1691">IF($AL$3=2,IF(OR(AB567&lt;&gt;"",AB567&lt;&gt;0),AU567,""),IF(C567="","",IF(AB567&lt;0.0001,"",IF(B567=0,"",IF(AQ567&lt;AB567,"",AB567)))))</f>
        <v/>
      </c>
      <c r="Z567" s="645" t="str">
        <f>HYPERLINK("https://www.klasekpyrotechnics.cz/c6425xpt")</f>
        <v>https://www.klasekpyrotechnics.cz/c6425xpt</v>
      </c>
      <c r="AA567" s="645">
        <f>IFERROR(IF(VLOOKUP(C567,[4]List1!$A:$D,4,FALSE)=0,"",VLOOKUP(C567,[4]List1!$A:$D,4,FALSE)),"")</f>
        <v>24</v>
      </c>
      <c r="AB567" s="646"/>
      <c r="AC567" s="647" t="str">
        <f>IFERROR(IF(VLOOKUP(C567,[1]List1!$A:$D,2,FALSE)="VYPRODÁNO",$V$9,IF(VLOOKUP(C567,[1]List1!$A:$D,2,FALSE)="DOCHÁZÍ",$V$3,VLOOKUP(C567,[1]List1!$A:$D,2,FALSE))),"OFFLINE!")</f>
        <v>SKLADEM</v>
      </c>
      <c r="AD567" s="647" t="str">
        <f ca="1">IF(AP567="NE",$V$10,IF(AC567=$V$3,IF(AQ567&lt;1,$V$8,$V$2&amp;" "&amp;AQ567&amp;" "&amp;$V$1),IF(AC567="SKLADEM",$V$6,IFERROR(IF(OR(AC567-TODAY()&gt;45,VLOOKUP(C567,[1]List1!$A:$E,4,FALSE)=0),AC567,DAY(AC567)&amp;"."&amp;MONTH(AC567)&amp;"."&amp;YEAR(AC567)&amp;" "&amp;$V$4&amp;VLOOKUP(C567,[1]List1!$A:$E,4,FALSE)&amp;" "&amp;$V$1),AC567))))</f>
        <v>SKLADEM</v>
      </c>
      <c r="AE567" s="645" t="str">
        <f t="shared" ref="AE567" ca="1" si="1692">IFERROR(IF(AV567&lt;&gt;"",AV567,AD567),AD567)</f>
        <v>SKLADEM</v>
      </c>
      <c r="AF567" s="648">
        <f t="shared" ref="AF567" si="1693">IFERROR(IF(AB567=Y567,G567*I567*Y567,0),0)</f>
        <v>0</v>
      </c>
      <c r="AG567" s="649">
        <f t="shared" ref="AG567" si="1694">IF($W$17=$AF$8,AH567*1.23,AF567*1.21)</f>
        <v>0</v>
      </c>
      <c r="AH567" s="650">
        <f t="shared" ref="AH567" si="1695">IFERROR(IF(Y567=AB567,H567*I567*Y567,0),0)</f>
        <v>0</v>
      </c>
      <c r="AI567" s="645">
        <f t="shared" ref="AI567" si="1696">IFERROR(IF(Y567=AB567,(P567*Y567)/1000,1),0)</f>
        <v>0</v>
      </c>
      <c r="AJ567" s="645">
        <f t="shared" ref="AJ567" si="1697">IFERROR(IF(Y567=AB567,N567*Y567,0.1),0)</f>
        <v>0</v>
      </c>
      <c r="AK567" s="645" t="str">
        <f t="shared" ref="AK567" si="1698">IFERROR(IF(Y567=AB567,IF(M567="1.1G",(O567/1000)*Y567,""),""),0)</f>
        <v/>
      </c>
      <c r="AL567" s="645">
        <f t="shared" ref="AL567" si="1699">IFERROR(IF(Y567=AB567,IF(M567="1.3G",(O567/1000)*AB567,""),""),0)</f>
        <v>0</v>
      </c>
      <c r="AM567" s="645" t="str">
        <f t="shared" ref="AM567" si="1700">IFERROR(IF(Y567=AB567,IF(M567="1.4G",(O567/1000)*AB567,""),""),0)</f>
        <v/>
      </c>
      <c r="AN567" s="651">
        <f t="shared" ref="AN567" si="1701">SUM(AK567:AM567)</f>
        <v>0</v>
      </c>
      <c r="AO567" s="623"/>
      <c r="AP567" s="632" t="str">
        <f t="shared" si="1652"/>
        <v/>
      </c>
      <c r="AQ567" s="633" t="str">
        <f>IF(AC567=$V$3,IF(VLOOKUP(C567,[1]List1!$A:$E,5,FALSE)=0,1,VLOOKUP(C567,[1]List1!$A:$E,5,FALSE)),"")</f>
        <v/>
      </c>
      <c r="AR567" s="625" t="str">
        <f t="shared" si="1653"/>
        <v/>
      </c>
      <c r="AS567" s="634" t="str">
        <f t="shared" si="1654"/>
        <v/>
      </c>
      <c r="AT567" s="625" t="str">
        <f t="shared" si="1655"/>
        <v/>
      </c>
      <c r="AU567" s="638" t="e">
        <f t="shared" si="1656"/>
        <v>#N/A</v>
      </c>
      <c r="AV567" s="625" t="e">
        <f t="shared" si="1657"/>
        <v>#N/A</v>
      </c>
      <c r="AX567" s="625">
        <f>IF(AND('General price list'!$J567="F4",'General price list'!$AB567+0&gt;0),1,0)</f>
        <v>0</v>
      </c>
      <c r="AY567" s="625">
        <f t="shared" si="1658"/>
        <v>1</v>
      </c>
      <c r="AZ567" s="625">
        <f t="shared" si="1659"/>
        <v>0</v>
      </c>
    </row>
    <row r="568" spans="1:52" ht="15" customHeight="1">
      <c r="A568" s="751" t="str">
        <f>Kat.!C568</f>
        <v xml:space="preserve">           Baterie 88 ran, 25 mm moždíř – 1.3G</v>
      </c>
      <c r="B568" s="751"/>
      <c r="C568" s="751"/>
      <c r="D568" s="751"/>
      <c r="E568" s="751"/>
      <c r="F568" s="751"/>
      <c r="G568" s="751"/>
      <c r="H568" s="751"/>
      <c r="I568" s="752"/>
      <c r="J568" s="752"/>
      <c r="K568" s="752" t="s">
        <v>20</v>
      </c>
      <c r="L568" s="753" t="s">
        <v>2818</v>
      </c>
      <c r="M568" s="752"/>
      <c r="N568" s="752"/>
      <c r="O568" s="752"/>
      <c r="P568" s="752"/>
      <c r="Q568" s="752"/>
      <c r="R568" s="752"/>
      <c r="S568" s="752"/>
      <c r="T568" s="752"/>
      <c r="U568" s="752"/>
      <c r="V568" s="752"/>
      <c r="W568" s="752"/>
      <c r="X568" s="752"/>
      <c r="Y568" s="752"/>
      <c r="Z568" s="752" t="s">
        <v>20</v>
      </c>
      <c r="AA568" s="752"/>
      <c r="AB568" s="752"/>
      <c r="AC568" s="754"/>
      <c r="AD568" s="752"/>
      <c r="AE568" s="752"/>
      <c r="AF568" s="752"/>
      <c r="AG568" s="752"/>
      <c r="AH568" s="752"/>
      <c r="AI568" s="752"/>
      <c r="AJ568" s="752"/>
      <c r="AK568" s="752"/>
      <c r="AL568" s="752"/>
      <c r="AM568" s="752"/>
      <c r="AN568" s="752"/>
      <c r="AO568" s="623"/>
      <c r="AP568" s="632" t="str">
        <f t="shared" si="1652"/>
        <v/>
      </c>
      <c r="AQ568" s="633" t="str">
        <f>IF(AC568=$V$3,IF(VLOOKUP(C568,[1]List1!$A:$E,5,FALSE)=0,1,VLOOKUP(C568,[1]List1!$A:$E,5,FALSE)),"")</f>
        <v/>
      </c>
      <c r="AR568" s="625" t="str">
        <f t="shared" si="1653"/>
        <v/>
      </c>
      <c r="AS568" s="634" t="str">
        <f t="shared" si="1654"/>
        <v/>
      </c>
      <c r="AT568" s="625" t="str">
        <f t="shared" si="1655"/>
        <v/>
      </c>
      <c r="AU568" s="638" t="e">
        <f t="shared" si="1656"/>
        <v>#N/A</v>
      </c>
      <c r="AV568" s="625" t="e">
        <f t="shared" si="1657"/>
        <v>#N/A</v>
      </c>
      <c r="AX568" s="625">
        <f>IF(AND('General price list'!$J568="F4",'General price list'!$AB568+0&gt;0),1,0)</f>
        <v>0</v>
      </c>
      <c r="AY568" s="625">
        <f t="shared" si="1658"/>
        <v>0</v>
      </c>
      <c r="AZ568" s="625">
        <f t="shared" si="1659"/>
        <v>0</v>
      </c>
    </row>
    <row r="569" spans="1:52" ht="15" customHeight="1">
      <c r="A569" s="639" t="str">
        <f>Kat.!C569</f>
        <v/>
      </c>
      <c r="B569" s="640">
        <f>IF(AND('General price list'!$J569="F4",$AI$1=FALSE),0,IF(AC569="SKLADEM",1,IF(AC569=$V$3,1,0)))</f>
        <v>0</v>
      </c>
      <c r="C569" s="641" t="s">
        <v>1182</v>
      </c>
      <c r="D569" s="642" t="s">
        <v>1183</v>
      </c>
      <c r="E569" s="643" t="s">
        <v>12747</v>
      </c>
      <c r="F569" s="791">
        <f>IFERROR(VLOOKUP(C569,[2]List1!$A:$D,3,FALSE),"NEUVEDENO!")</f>
        <v>1146</v>
      </c>
      <c r="G569" s="768">
        <f t="shared" ref="G569:G571" si="1702">IF($W$17=$AF$8,ROUND((F569)/$F$17,2),(F569)*$B$19)</f>
        <v>1146</v>
      </c>
      <c r="H569" s="765">
        <f t="shared" ref="H569:H571" si="1703">IF($W$17=$AF$8,G569*$B$19,G569/$F$17)</f>
        <v>48.680404225764931</v>
      </c>
      <c r="I569" s="644">
        <f>IFERROR(VLOOKUP(C569,[2]List1!$A:$D,4,FALSE),"NEUVEDENO!")</f>
        <v>2</v>
      </c>
      <c r="J569" s="733" t="s">
        <v>113</v>
      </c>
      <c r="K569" s="645" t="s">
        <v>11100</v>
      </c>
      <c r="L569" s="645" t="s">
        <v>10993</v>
      </c>
      <c r="M569" s="645" t="s">
        <v>114</v>
      </c>
      <c r="N569" s="645">
        <f>IFERROR(VLOOKUP(C569,[3]List1!$A:$D,4,FALSE),"N/A!")</f>
        <v>3.07785E-2</v>
      </c>
      <c r="O569" s="645">
        <f>IFERROR(VLOOKUP(C569,[3]List1!$A:$D,3,FALSE),"N/A!")</f>
        <v>1996</v>
      </c>
      <c r="P569" s="645">
        <f>IFERROR(VLOOKUP(C569,[3]List1!$A:$D,2,FALSE),"N/A!")</f>
        <v>12500</v>
      </c>
      <c r="Q569" s="645" t="s">
        <v>11782</v>
      </c>
      <c r="R569" s="645"/>
      <c r="S569" s="645" t="str">
        <f>IF($W$17=$AF$1,"design",IFERROR(VLOOKUP("design",Jazyky_ceník!$A:$Q,MATCH($W$17,Jazyky_ceník!$A$1:$Q$1,0),FALSE),"!!!"))</f>
        <v>design</v>
      </c>
      <c r="T569" s="645">
        <v>65</v>
      </c>
      <c r="U569" s="645">
        <v>30</v>
      </c>
      <c r="V569" s="645">
        <v>22</v>
      </c>
      <c r="W569" s="645" t="str">
        <f>IFERROR(IF(AND($AB569&gt;=0.1*$AA569,MOD($AB569,$AA569)&gt;=($AA569-(0.1*$AA569))),IF($W$17=$AF$1,"Zvažte možnost doobjednání ještě "&amp;Tabulka1[[#This Row],[VKPAL]]-MOD(AB569,AA569)&amp;" VK do plné palety.",VLOOKUP("Zvažte možnost doobjednání ještě ",Jazyky_ceník!A:Q,MATCH($W$17,Jazyky_ceník!$A$1:$Q$1,0),FALSE)&amp;Tabulka1[[#This Row],[VKPAL]]-MOD(AB569,AA569)&amp;VLOOKUP(" VK do plné palety.",Jazyky_ceník!A:Q,MATCH($W$17,Jazyky_ceník!$A$1:$Q$1,0),FALSE)),IFERROR(IF(AND(NOT(MOD($AB569,$AA569)=0),$AB569&gt;=0.9*$AA569,MOD($AB569,$AA569)&lt;=0.1*$AA569),IF($W$17=$AF$1,"Zvažte možnost optimalizace objednaného množství podle počtu VK na paletě ==&gt;",VLOOKUP("Zvažte možnost optimalizace objednaného množství podle počtu VK na paletě ==&gt;",Jazyky_ceník!A:Q,MATCH($W$17,Jazyky_ceník!$A$1:$Q$1,0),FALSE)),VLOOKUP('General price list'!$C569,Popisy!A:M,MATCH($W$17,Popisy!$A$7:$M$7,0),FALSE)),"---------------")),IFERROR(VLOOKUP('General price list'!$C569,Popisy!A:M,MATCH($W$17,Popisy!$A$7:$M$7,0),FALSE),"---------------"))</f>
        <v>11 různobarevných efektů měnících se po každé ráně</v>
      </c>
      <c r="X569" s="645" t="str">
        <f t="shared" ref="X569:X571" si="1704">IF(AB569&lt;0.0001,"",AB569)</f>
        <v/>
      </c>
      <c r="Y569" s="645" t="str">
        <f t="shared" ref="Y569:Y571" si="1705">IF($AL$3=2,IF(OR(AB569&lt;&gt;"",AB569&lt;&gt;0),AU569,""),IF(C569="","",IF(AB569&lt;0.0001,"",IF(B569=0,"",IF(AQ569&lt;AB569,"",AB569)))))</f>
        <v/>
      </c>
      <c r="Z569" s="645" t="str">
        <f>HYPERLINK("https://www.klasekpyrotechnics.cz/c8825g")</f>
        <v>https://www.klasekpyrotechnics.cz/c8825g</v>
      </c>
      <c r="AA569" s="645">
        <f>IFERROR(IF(VLOOKUP(C569,[4]List1!$A:$D,4,FALSE)=0,"",VLOOKUP(C569,[4]List1!$A:$D,4,FALSE)),"")</f>
        <v>40</v>
      </c>
      <c r="AB569" s="646"/>
      <c r="AC569" s="647" t="str">
        <f>IFERROR(IF(VLOOKUP(C569,[1]List1!$A:$D,2,FALSE)="VYPRODÁNO",$V$9,IF(VLOOKUP(C569,[1]List1!$A:$D,2,FALSE)="DOCHÁZÍ",$V$3,VLOOKUP(C569,[1]List1!$A:$D,2,FALSE))),"OFFLINE!")</f>
        <v>11.05.2026</v>
      </c>
      <c r="AD569" s="647" t="str">
        <f ca="1">IF(AP569="NE",$V$10,IF(AC569=$V$3,IF(AQ569&lt;1,$V$8,$V$2&amp;" "&amp;AQ569&amp;" "&amp;$V$1),IF(AC569="SKLADEM",$V$6,IFERROR(IF(OR(AC569-TODAY()&gt;45,VLOOKUP(C569,[1]List1!$A:$E,4,FALSE)=0),AC569,DAY(AC569)&amp;"."&amp;MONTH(AC569)&amp;"."&amp;YEAR(AC569)&amp;" "&amp;$V$4&amp;VLOOKUP(C569,[1]List1!$A:$E,4,FALSE)&amp;" "&amp;$V$1),AC569))))</f>
        <v>11.05.2026</v>
      </c>
      <c r="AE569" s="645" t="str">
        <f t="shared" ref="AE569:AE571" ca="1" si="1706">IFERROR(IF(AV569&lt;&gt;"",AV569,AD569),AD569)</f>
        <v>11.05.2026</v>
      </c>
      <c r="AF569" s="648">
        <f t="shared" ref="AF569:AF571" si="1707">IFERROR(IF(AB569=Y569,G569*I569*Y569,0),0)</f>
        <v>0</v>
      </c>
      <c r="AG569" s="649">
        <f t="shared" ref="AG569:AG571" si="1708">IF($W$17=$AF$8,AH569*1.23,AF569*1.21)</f>
        <v>0</v>
      </c>
      <c r="AH569" s="650">
        <f t="shared" ref="AH569:AH571" si="1709">IFERROR(IF(Y569=AB569,H569*I569*Y569,0),0)</f>
        <v>0</v>
      </c>
      <c r="AI569" s="645">
        <f t="shared" ref="AI569:AI571" si="1710">IFERROR(IF(Y569=AB569,(P569*Y569)/1000,1),0)</f>
        <v>0</v>
      </c>
      <c r="AJ569" s="645">
        <f t="shared" ref="AJ569:AJ571" si="1711">IFERROR(IF(Y569=AB569,N569*Y569,0.1),0)</f>
        <v>0</v>
      </c>
      <c r="AK569" s="645" t="str">
        <f t="shared" ref="AK569:AK571" si="1712">IFERROR(IF(Y569=AB569,IF(M569="1.1G",(O569/1000)*Y569,""),""),0)</f>
        <v/>
      </c>
      <c r="AL569" s="645">
        <f t="shared" ref="AL569:AL571" si="1713">IFERROR(IF(Y569=AB569,IF(M569="1.3G",(O569/1000)*AB569,""),""),0)</f>
        <v>0</v>
      </c>
      <c r="AM569" s="645" t="str">
        <f t="shared" ref="AM569:AM571" si="1714">IFERROR(IF(Y569=AB569,IF(M569="1.4G",(O569/1000)*AB569,""),""),0)</f>
        <v/>
      </c>
      <c r="AN569" s="651">
        <f t="shared" ref="AN569:AN571" si="1715">SUM(AK569:AM569)</f>
        <v>0</v>
      </c>
      <c r="AO569" s="623"/>
      <c r="AP569" s="632" t="str">
        <f t="shared" si="1652"/>
        <v/>
      </c>
      <c r="AQ569" s="633" t="str">
        <f>IF(AC569=$V$3,IF(VLOOKUP(C569,[1]List1!$A:$E,5,FALSE)=0,1,VLOOKUP(C569,[1]List1!$A:$E,5,FALSE)),"")</f>
        <v/>
      </c>
      <c r="AR569" s="625" t="str">
        <f t="shared" si="1653"/>
        <v/>
      </c>
      <c r="AS569" s="634" t="str">
        <f t="shared" si="1654"/>
        <v/>
      </c>
      <c r="AT569" s="625" t="str">
        <f t="shared" si="1655"/>
        <v/>
      </c>
      <c r="AU569" s="638" t="e">
        <f t="shared" si="1656"/>
        <v>#N/A</v>
      </c>
      <c r="AV569" s="625" t="e">
        <f t="shared" si="1657"/>
        <v>#N/A</v>
      </c>
      <c r="AX569" s="625">
        <f>IF(AND('General price list'!$J569="F4",'General price list'!$AB569+0&gt;0),1,0)</f>
        <v>0</v>
      </c>
      <c r="AY569" s="625">
        <f t="shared" si="1658"/>
        <v>1</v>
      </c>
      <c r="AZ569" s="625">
        <f t="shared" si="1659"/>
        <v>0</v>
      </c>
    </row>
    <row r="570" spans="1:52" ht="15" customHeight="1">
      <c r="A570" s="621" t="str">
        <f>Kat.!C570</f>
        <v/>
      </c>
      <c r="B570" s="566">
        <f>IF(AND('General price list'!$J570="F4",$AI$1=FALSE),0,IF(AC570="SKLADEM",1,IF(AC570=$V$3,1,0)))</f>
        <v>1</v>
      </c>
      <c r="C570" s="567" t="s">
        <v>1187</v>
      </c>
      <c r="D570" s="568" t="s">
        <v>1188</v>
      </c>
      <c r="E570" s="763" t="s">
        <v>12747</v>
      </c>
      <c r="F570" s="791">
        <f>IFERROR(VLOOKUP(C570,[2]List1!$A:$D,3,FALSE),"NEUVEDENO!")</f>
        <v>1146</v>
      </c>
      <c r="G570" s="769">
        <f t="shared" si="1702"/>
        <v>1146</v>
      </c>
      <c r="H570" s="766">
        <f t="shared" si="1703"/>
        <v>48.680404225764931</v>
      </c>
      <c r="I570" s="764">
        <f>IFERROR(VLOOKUP(C570,[2]List1!$A:$D,4,FALSE),"NEUVEDENO!")</f>
        <v>2</v>
      </c>
      <c r="J570" s="732" t="s">
        <v>113</v>
      </c>
      <c r="K570" s="569" t="s">
        <v>11100</v>
      </c>
      <c r="L570" s="569" t="s">
        <v>20</v>
      </c>
      <c r="M570" s="569" t="s">
        <v>114</v>
      </c>
      <c r="N570" s="569">
        <f>IFERROR(VLOOKUP(C570,[3]List1!$A:$D,4,FALSE),"N/A!")</f>
        <v>3.07785E-2</v>
      </c>
      <c r="O570" s="569">
        <f>IFERROR(VLOOKUP(C570,[3]List1!$A:$D,3,FALSE),"N/A!")</f>
        <v>1996</v>
      </c>
      <c r="P570" s="569">
        <f>IFERROR(VLOOKUP(C570,[3]List1!$A:$D,2,FALSE),"N/A!")</f>
        <v>12500</v>
      </c>
      <c r="Q570" s="569" t="s">
        <v>11782</v>
      </c>
      <c r="R570" s="569"/>
      <c r="S570" s="569" t="str">
        <f>IF($W$17=$AF$1,"design",IFERROR(VLOOKUP("design",Jazyky_ceník!$A:$Q,MATCH($W$17,Jazyky_ceník!$A$1:$Q$1,0),FALSE),"!!!"))</f>
        <v>design</v>
      </c>
      <c r="T570" s="569">
        <v>65</v>
      </c>
      <c r="U570" s="569">
        <v>30</v>
      </c>
      <c r="V570" s="569">
        <v>22</v>
      </c>
      <c r="W570" s="569" t="str">
        <f>IFERROR(IF(AND($AB570&gt;=0.1*$AA570,MOD($AB570,$AA570)&gt;=($AA570-(0.1*$AA570))),IF($W$17=$AF$1,"Zvažte možnost doobjednání ještě "&amp;Tabulka1[[#This Row],[VKPAL]]-MOD(AB570,AA570)&amp;" VK do plné palety.",VLOOKUP("Zvažte možnost doobjednání ještě ",Jazyky_ceník!A:Q,MATCH($W$17,Jazyky_ceník!$A$1:$Q$1,0),FALSE)&amp;Tabulka1[[#This Row],[VKPAL]]-MOD(AB570,AA570)&amp;VLOOKUP(" VK do plné palety.",Jazyky_ceník!A:Q,MATCH($W$17,Jazyky_ceník!$A$1:$Q$1,0),FALSE)),IFERROR(IF(AND(NOT(MOD($AB570,$AA570)=0),$AB570&gt;=0.9*$AA570,MOD($AB570,$AA570)&lt;=0.1*$AA570),IF($W$17=$AF$1,"Zvažte možnost optimalizace objednaného množství podle počtu VK na paletě ==&gt;",VLOOKUP("Zvažte možnost optimalizace objednaného množství podle počtu VK na paletě ==&gt;",Jazyky_ceník!A:Q,MATCH($W$17,Jazyky_ceník!$A$1:$Q$1,0),FALSE)),VLOOKUP('General price list'!$C570,Popisy!A:M,MATCH($W$17,Popisy!$A$7:$M$7,0),FALSE)),"---------------")),IFERROR(VLOOKUP('General price list'!$C570,Popisy!A:M,MATCH($W$17,Popisy!$A$7:$M$7,0),FALSE),"---------------"))</f>
        <v>11 různobarevných efektů</v>
      </c>
      <c r="X570" s="569" t="str">
        <f t="shared" si="1704"/>
        <v/>
      </c>
      <c r="Y570" s="569" t="str">
        <f t="shared" si="1705"/>
        <v/>
      </c>
      <c r="Z570" s="569" t="str">
        <f>HYPERLINK("https://www.klasekpyrotechnics.cz/c8825pa")</f>
        <v>https://www.klasekpyrotechnics.cz/c8825pa</v>
      </c>
      <c r="AA570" s="569">
        <f>IFERROR(IF(VLOOKUP(C570,[4]List1!$A:$D,4,FALSE)=0,"",VLOOKUP(C570,[4]List1!$A:$D,4,FALSE)),"")</f>
        <v>40</v>
      </c>
      <c r="AB570" s="565"/>
      <c r="AC570" s="570" t="str">
        <f>IFERROR(IF(VLOOKUP(C570,[1]List1!$A:$D,2,FALSE)="VYPRODÁNO",$V$9,IF(VLOOKUP(C570,[1]List1!$A:$D,2,FALSE)="DOCHÁZÍ",$V$3,VLOOKUP(C570,[1]List1!$A:$D,2,FALSE))),"OFFLINE!")</f>
        <v>SKLADEM</v>
      </c>
      <c r="AD570" s="570" t="str">
        <f ca="1">IF(AP570="NE",$V$10,IF(AC570=$V$3,IF(AQ570&lt;1,$V$8,$V$2&amp;" "&amp;AQ570&amp;" "&amp;$V$1),IF(AC570="SKLADEM",$V$6,IFERROR(IF(OR(AC570-TODAY()&gt;45,VLOOKUP(C570,[1]List1!$A:$E,4,FALSE)=0),AC570,DAY(AC570)&amp;"."&amp;MONTH(AC570)&amp;"."&amp;YEAR(AC570)&amp;" "&amp;$V$4&amp;VLOOKUP(C570,[1]List1!$A:$E,4,FALSE)&amp;" "&amp;$V$1),AC570))))</f>
        <v>SKLADEM</v>
      </c>
      <c r="AE570" s="581" t="str">
        <f t="shared" ca="1" si="1706"/>
        <v>SKLADEM</v>
      </c>
      <c r="AF570" s="584">
        <f t="shared" si="1707"/>
        <v>0</v>
      </c>
      <c r="AG570" s="585">
        <f t="shared" si="1708"/>
        <v>0</v>
      </c>
      <c r="AH570" s="583">
        <f t="shared" si="1709"/>
        <v>0</v>
      </c>
      <c r="AI570" s="582">
        <f t="shared" si="1710"/>
        <v>0</v>
      </c>
      <c r="AJ570" s="569">
        <f t="shared" si="1711"/>
        <v>0</v>
      </c>
      <c r="AK570" s="569" t="str">
        <f t="shared" si="1712"/>
        <v/>
      </c>
      <c r="AL570" s="569">
        <f t="shared" si="1713"/>
        <v>0</v>
      </c>
      <c r="AM570" s="569" t="str">
        <f t="shared" si="1714"/>
        <v/>
      </c>
      <c r="AN570" s="581">
        <f t="shared" si="1715"/>
        <v>0</v>
      </c>
      <c r="AO570" s="623"/>
      <c r="AP570" s="632" t="str">
        <f t="shared" si="1652"/>
        <v/>
      </c>
      <c r="AQ570" s="633" t="str">
        <f>IF(AC570=$V$3,IF(VLOOKUP(C570,[1]List1!$A:$E,5,FALSE)=0,1,VLOOKUP(C570,[1]List1!$A:$E,5,FALSE)),"")</f>
        <v/>
      </c>
      <c r="AR570" s="625" t="str">
        <f t="shared" si="1653"/>
        <v/>
      </c>
      <c r="AS570" s="634" t="str">
        <f t="shared" si="1654"/>
        <v/>
      </c>
      <c r="AT570" s="625" t="str">
        <f t="shared" si="1655"/>
        <v/>
      </c>
      <c r="AU570" s="638" t="e">
        <f t="shared" si="1656"/>
        <v>#N/A</v>
      </c>
      <c r="AV570" s="625" t="e">
        <f t="shared" si="1657"/>
        <v>#N/A</v>
      </c>
      <c r="AX570" s="625">
        <f>IF(AND('General price list'!$J570="F4",'General price list'!$AB570+0&gt;0),1,0)</f>
        <v>0</v>
      </c>
      <c r="AY570" s="625">
        <f t="shared" si="1658"/>
        <v>1</v>
      </c>
      <c r="AZ570" s="625">
        <f t="shared" si="1659"/>
        <v>0</v>
      </c>
    </row>
    <row r="571" spans="1:52" ht="15" customHeight="1">
      <c r="A571" s="639" t="str">
        <f>Kat.!C571</f>
        <v/>
      </c>
      <c r="B571" s="640">
        <f>IF(AND('General price list'!$J571="F4",$AI$1=FALSE),0,IF(AC571="SKLADEM",1,IF(AC571=$V$3,1,0)))</f>
        <v>0</v>
      </c>
      <c r="C571" s="641" t="s">
        <v>1189</v>
      </c>
      <c r="D571" s="642" t="s">
        <v>1190</v>
      </c>
      <c r="E571" s="643" t="s">
        <v>12747</v>
      </c>
      <c r="F571" s="791">
        <f>IFERROR(VLOOKUP(C571,[2]List1!$A:$D,3,FALSE),"NEUVEDENO!")</f>
        <v>1146</v>
      </c>
      <c r="G571" s="770">
        <f t="shared" si="1702"/>
        <v>1146</v>
      </c>
      <c r="H571" s="767">
        <f t="shared" si="1703"/>
        <v>48.680404225764931</v>
      </c>
      <c r="I571" s="644">
        <f>IFERROR(VLOOKUP(C571,[2]List1!$A:$D,4,FALSE),"NEUVEDENO!")</f>
        <v>2</v>
      </c>
      <c r="J571" s="733" t="s">
        <v>113</v>
      </c>
      <c r="K571" s="645" t="s">
        <v>11100</v>
      </c>
      <c r="L571" s="645" t="s">
        <v>20</v>
      </c>
      <c r="M571" s="645" t="s">
        <v>114</v>
      </c>
      <c r="N571" s="645">
        <f>IFERROR(VLOOKUP(C571,[3]List1!$A:$D,4,FALSE),"N/A!")</f>
        <v>3.2576250000000001E-2</v>
      </c>
      <c r="O571" s="645">
        <f>IFERROR(VLOOKUP(C571,[3]List1!$A:$D,3,FALSE),"N/A!")</f>
        <v>1996</v>
      </c>
      <c r="P571" s="645">
        <f>IFERROR(VLOOKUP(C571,[3]List1!$A:$D,2,FALSE),"N/A!")</f>
        <v>12500</v>
      </c>
      <c r="Q571" s="645" t="s">
        <v>12094</v>
      </c>
      <c r="R571" s="645" t="s">
        <v>20</v>
      </c>
      <c r="S571" s="645" t="str">
        <f>IF($W$17=$AF$1,"design",IFERROR(VLOOKUP("design",Jazyky_ceník!$A:$Q,MATCH($W$17,Jazyky_ceník!$A$1:$Q$1,0),FALSE),"!!!"))</f>
        <v>design</v>
      </c>
      <c r="T571" s="645">
        <v>65</v>
      </c>
      <c r="U571" s="645">
        <v>30</v>
      </c>
      <c r="V571" s="645">
        <v>22</v>
      </c>
      <c r="W571" s="645" t="str">
        <f>IFERROR(IF(AND($AB571&gt;=0.1*$AA571,MOD($AB571,$AA571)&gt;=($AA571-(0.1*$AA571))),IF($W$17=$AF$1,"Zvažte možnost doobjednání ještě "&amp;Tabulka1[[#This Row],[VKPAL]]-MOD(AB571,AA571)&amp;" VK do plné palety.",VLOOKUP("Zvažte možnost doobjednání ještě ",Jazyky_ceník!A:Q,MATCH($W$17,Jazyky_ceník!$A$1:$Q$1,0),FALSE)&amp;Tabulka1[[#This Row],[VKPAL]]-MOD(AB571,AA571)&amp;VLOOKUP(" VK do plné palety.",Jazyky_ceník!A:Q,MATCH($W$17,Jazyky_ceník!$A$1:$Q$1,0),FALSE)),IFERROR(IF(AND(NOT(MOD($AB571,$AA571)=0),$AB571&gt;=0.9*$AA571,MOD($AB571,$AA571)&lt;=0.1*$AA571),IF($W$17=$AF$1,"Zvažte možnost optimalizace objednaného množství podle počtu VK na paletě ==&gt;",VLOOKUP("Zvažte možnost optimalizace objednaného množství podle počtu VK na paletě ==&gt;",Jazyky_ceník!A:Q,MATCH($W$17,Jazyky_ceník!$A$1:$Q$1,0),FALSE)),VLOOKUP('General price list'!$C571,Popisy!A:M,MATCH($W$17,Popisy!$A$7:$M$7,0),FALSE)),"---------------")),IFERROR(VLOOKUP('General price list'!$C571,Popisy!A:M,MATCH($W$17,Popisy!$A$7:$M$7,0),FALSE),"---------------"))</f>
        <v>40ran zlatá brokátová koruna s červenými/modrými konci, 48ran stříbrná mina s červenovu stopou+titanová exploze</v>
      </c>
      <c r="X571" s="645" t="str">
        <f t="shared" si="1704"/>
        <v/>
      </c>
      <c r="Y571" s="645" t="str">
        <f t="shared" si="1705"/>
        <v/>
      </c>
      <c r="Z571" s="645" t="str">
        <f>HYPERLINK("https://www.klasekpyrotechnics.cz/c8825br")</f>
        <v>https://www.klasekpyrotechnics.cz/c8825br</v>
      </c>
      <c r="AA571" s="645">
        <f>IFERROR(IF(VLOOKUP(C571,[4]List1!$A:$D,4,FALSE)=0,"",VLOOKUP(C571,[4]List1!$A:$D,4,FALSE)),"")</f>
        <v>40</v>
      </c>
      <c r="AB571" s="646"/>
      <c r="AC571" s="647" t="str">
        <f>IFERROR(IF(VLOOKUP(C571,[1]List1!$A:$D,2,FALSE)="VYPRODÁNO",$V$9,IF(VLOOKUP(C571,[1]List1!$A:$D,2,FALSE)="DOCHÁZÍ",$V$3,VLOOKUP(C571,[1]List1!$A:$D,2,FALSE))),"OFFLINE!")</f>
        <v>VYPRODÁNO</v>
      </c>
      <c r="AD571" s="647" t="str">
        <f ca="1">IF(AP571="NE",$V$10,IF(AC571=$V$3,IF(AQ571&lt;1,$V$8,$V$2&amp;" "&amp;AQ571&amp;" "&amp;$V$1),IF(AC571="SKLADEM",$V$6,IFERROR(IF(OR(AC571-TODAY()&gt;45,VLOOKUP(C571,[1]List1!$A:$E,4,FALSE)=0),AC571,DAY(AC571)&amp;"."&amp;MONTH(AC571)&amp;"."&amp;YEAR(AC571)&amp;" "&amp;$V$4&amp;VLOOKUP(C571,[1]List1!$A:$E,4,FALSE)&amp;" "&amp;$V$1),AC571))))</f>
        <v>VYPRODÁNO</v>
      </c>
      <c r="AE571" s="645" t="str">
        <f t="shared" ca="1" si="1706"/>
        <v>VYPRODÁNO</v>
      </c>
      <c r="AF571" s="648">
        <f t="shared" si="1707"/>
        <v>0</v>
      </c>
      <c r="AG571" s="649">
        <f t="shared" si="1708"/>
        <v>0</v>
      </c>
      <c r="AH571" s="650">
        <f t="shared" si="1709"/>
        <v>0</v>
      </c>
      <c r="AI571" s="645">
        <f t="shared" si="1710"/>
        <v>0</v>
      </c>
      <c r="AJ571" s="645">
        <f t="shared" si="1711"/>
        <v>0</v>
      </c>
      <c r="AK571" s="645" t="str">
        <f t="shared" si="1712"/>
        <v/>
      </c>
      <c r="AL571" s="645">
        <f t="shared" si="1713"/>
        <v>0</v>
      </c>
      <c r="AM571" s="645" t="str">
        <f t="shared" si="1714"/>
        <v/>
      </c>
      <c r="AN571" s="651">
        <f t="shared" si="1715"/>
        <v>0</v>
      </c>
      <c r="AO571" s="623"/>
      <c r="AP571" s="632" t="str">
        <f t="shared" si="1652"/>
        <v/>
      </c>
      <c r="AQ571" s="633" t="str">
        <f>IF(AC571=$V$3,IF(VLOOKUP(C571,[1]List1!$A:$E,5,FALSE)=0,1,VLOOKUP(C571,[1]List1!$A:$E,5,FALSE)),"")</f>
        <v/>
      </c>
      <c r="AR571" s="625" t="str">
        <f t="shared" si="1653"/>
        <v/>
      </c>
      <c r="AS571" s="634" t="str">
        <f t="shared" si="1654"/>
        <v/>
      </c>
      <c r="AT571" s="625" t="str">
        <f t="shared" si="1655"/>
        <v/>
      </c>
      <c r="AU571" s="638" t="e">
        <f t="shared" si="1656"/>
        <v>#N/A</v>
      </c>
      <c r="AV571" s="625" t="e">
        <f t="shared" si="1657"/>
        <v>#N/A</v>
      </c>
      <c r="AX571" s="625">
        <f>IF(AND('General price list'!$J571="F4",'General price list'!$AB571+0&gt;0),1,0)</f>
        <v>0</v>
      </c>
      <c r="AY571" s="625">
        <f t="shared" si="1658"/>
        <v>1</v>
      </c>
      <c r="AZ571" s="625">
        <f t="shared" si="1659"/>
        <v>0</v>
      </c>
    </row>
    <row r="572" spans="1:52" ht="15" customHeight="1">
      <c r="A572" s="751" t="str">
        <f>Kat.!C572</f>
        <v xml:space="preserve">           Baterie 100 ran, 25 mm moždíř – 1.3G</v>
      </c>
      <c r="B572" s="751"/>
      <c r="C572" s="751"/>
      <c r="D572" s="751"/>
      <c r="E572" s="751"/>
      <c r="F572" s="751"/>
      <c r="G572" s="751"/>
      <c r="H572" s="751"/>
      <c r="I572" s="752"/>
      <c r="J572" s="752"/>
      <c r="K572" s="752" t="s">
        <v>20</v>
      </c>
      <c r="L572" s="753" t="s">
        <v>20</v>
      </c>
      <c r="M572" s="752"/>
      <c r="N572" s="752"/>
      <c r="O572" s="752"/>
      <c r="P572" s="752"/>
      <c r="Q572" s="752"/>
      <c r="R572" s="752"/>
      <c r="S572" s="752"/>
      <c r="T572" s="752"/>
      <c r="U572" s="752"/>
      <c r="V572" s="752"/>
      <c r="W572" s="752"/>
      <c r="X572" s="752"/>
      <c r="Y572" s="752"/>
      <c r="Z572" s="752" t="s">
        <v>20</v>
      </c>
      <c r="AA572" s="752"/>
      <c r="AB572" s="752"/>
      <c r="AC572" s="754"/>
      <c r="AD572" s="752"/>
      <c r="AE572" s="752"/>
      <c r="AF572" s="752"/>
      <c r="AG572" s="752"/>
      <c r="AH572" s="752"/>
      <c r="AI572" s="752"/>
      <c r="AJ572" s="752"/>
      <c r="AK572" s="752"/>
      <c r="AL572" s="752"/>
      <c r="AM572" s="752"/>
      <c r="AN572" s="752"/>
      <c r="AO572" s="623"/>
      <c r="AP572" s="632" t="str">
        <f t="shared" si="1652"/>
        <v/>
      </c>
      <c r="AQ572" s="633" t="str">
        <f>IF(AC572=$V$3,IF(VLOOKUP(C572,[1]List1!$A:$E,5,FALSE)=0,1,VLOOKUP(C572,[1]List1!$A:$E,5,FALSE)),"")</f>
        <v/>
      </c>
      <c r="AR572" s="625" t="str">
        <f t="shared" si="1653"/>
        <v/>
      </c>
      <c r="AS572" s="634" t="str">
        <f t="shared" si="1654"/>
        <v/>
      </c>
      <c r="AT572" s="625" t="str">
        <f t="shared" si="1655"/>
        <v/>
      </c>
      <c r="AU572" s="638" t="e">
        <f t="shared" si="1656"/>
        <v>#N/A</v>
      </c>
      <c r="AV572" s="625" t="e">
        <f t="shared" si="1657"/>
        <v>#N/A</v>
      </c>
      <c r="AX572" s="625">
        <f>IF(AND('General price list'!$J572="F4",'General price list'!$AB572+0&gt;0),1,0)</f>
        <v>0</v>
      </c>
      <c r="AY572" s="625">
        <f t="shared" si="1658"/>
        <v>0</v>
      </c>
      <c r="AZ572" s="625">
        <f t="shared" si="1659"/>
        <v>0</v>
      </c>
    </row>
    <row r="573" spans="1:52" ht="15.75" customHeight="1">
      <c r="A573" s="639" t="str">
        <f>Kat.!C573</f>
        <v/>
      </c>
      <c r="B573" s="640">
        <f>IF(AND('General price list'!$J573="F4",$AI$1=FALSE),0,IF(AC573="SKLADEM",1,IF(AC573=$V$3,1,0)))</f>
        <v>1</v>
      </c>
      <c r="C573" s="641" t="s">
        <v>4946</v>
      </c>
      <c r="D573" s="642" t="s">
        <v>11719</v>
      </c>
      <c r="E573" s="643" t="s">
        <v>12747</v>
      </c>
      <c r="F573" s="791">
        <f>IFERROR(VLOOKUP(C573,[2]List1!$A:$D,3,FALSE),"NEUVEDENO!")</f>
        <v>1259</v>
      </c>
      <c r="G573" s="768">
        <f t="shared" ref="G573:G575" si="1716">IF($W$17=$AF$8,ROUND((F573)/$F$17,2),(F573)*$B$19)</f>
        <v>1259</v>
      </c>
      <c r="H573" s="765">
        <f t="shared" ref="H573:H575" si="1717">IF($W$17=$AF$8,G573*$B$19,G573/$F$17)</f>
        <v>53.480478987991319</v>
      </c>
      <c r="I573" s="644">
        <f>IFERROR(VLOOKUP(C573,[2]List1!$A:$D,4,FALSE),"NEUVEDENO!")</f>
        <v>2</v>
      </c>
      <c r="J573" s="733" t="s">
        <v>113</v>
      </c>
      <c r="K573" s="645" t="s">
        <v>11100</v>
      </c>
      <c r="L573" s="645" t="s">
        <v>20</v>
      </c>
      <c r="M573" s="645" t="s">
        <v>114</v>
      </c>
      <c r="N573" s="645">
        <f>IFERROR(VLOOKUP(C573,[3]List1!$A:$D,4,FALSE),"N/A!")</f>
        <v>3.3728000000000001E-2</v>
      </c>
      <c r="O573" s="645">
        <f>IFERROR(VLOOKUP(C573,[3]List1!$A:$D,3,FALSE),"N/A!")</f>
        <v>2000</v>
      </c>
      <c r="P573" s="645">
        <f>IFERROR(VLOOKUP(C573,[3]List1!$A:$D,2,FALSE),"N/A!")</f>
        <v>14000</v>
      </c>
      <c r="Q573" s="645" t="s">
        <v>11783</v>
      </c>
      <c r="R573" s="645"/>
      <c r="S573" s="645" t="str">
        <f>IF($W$17=$AF$1,"červená fólie",IFERROR(VLOOKUP("červená fólie",Jazyky_ceník!$A:$Q,MATCH($W$17,Jazyky_ceník!$A$1:$Q$1,0),FALSE),"!!!"))</f>
        <v>červená fólie</v>
      </c>
      <c r="T573" s="645">
        <v>100</v>
      </c>
      <c r="U573" s="645">
        <v>30</v>
      </c>
      <c r="V573" s="645">
        <v>21</v>
      </c>
      <c r="W573" s="645" t="str">
        <f>IFERROR(IF(AND($AB573&gt;=0.1*$AA573,MOD($AB573,$AA573)&gt;=($AA573-(0.1*$AA573))),IF($W$17=$AF$1,"Zvažte možnost doobjednání ještě "&amp;Tabulka1[[#This Row],[VKPAL]]-MOD(AB573,AA573)&amp;" VK do plné palety.",VLOOKUP("Zvažte možnost doobjednání ještě ",Jazyky_ceník!A:Q,MATCH($W$17,Jazyky_ceník!$A$1:$Q$1,0),FALSE)&amp;Tabulka1[[#This Row],[VKPAL]]-MOD(AB573,AA573)&amp;VLOOKUP(" VK do plné palety.",Jazyky_ceník!A:Q,MATCH($W$17,Jazyky_ceník!$A$1:$Q$1,0),FALSE)),IFERROR(IF(AND(NOT(MOD($AB573,$AA573)=0),$AB573&gt;=0.9*$AA573,MOD($AB573,$AA573)&lt;=0.1*$AA573),IF($W$17=$AF$1,"Zvažte možnost optimalizace objednaného množství podle počtu VK na paletě ==&gt;",VLOOKUP("Zvažte možnost optimalizace objednaného množství podle počtu VK na paletě ==&gt;",Jazyky_ceník!A:Q,MATCH($W$17,Jazyky_ceník!$A$1:$Q$1,0),FALSE)),VLOOKUP('General price list'!$C573,Popisy!A:M,MATCH($W$17,Popisy!$A$7:$M$7,0),FALSE)),"---------------")),IFERROR(VLOOKUP('General price list'!$C573,Popisy!A:M,MATCH($W$17,Popisy!$A$7:$M$7,0),FALSE),"---------------"))</f>
        <v>10 různobarevných efektů</v>
      </c>
      <c r="X573" s="645" t="str">
        <f t="shared" ref="X573:X575" si="1718">IF(AB573&lt;0.0001,"",AB573)</f>
        <v/>
      </c>
      <c r="Y573" s="645" t="str">
        <f t="shared" ref="Y573:Y575" si="1719">IF($AL$3=2,IF(OR(AB573&lt;&gt;"",AB573&lt;&gt;0),AU573,""),IF(C573="","",IF(AB573&lt;0.0001,"",IF(B573=0,"",IF(AQ573&lt;AB573,"",AB573)))))</f>
        <v/>
      </c>
      <c r="Z573" s="645" t="str">
        <f>HYPERLINK("https://www.klasekpyrotechnics.cz/c10025bps")</f>
        <v>https://www.klasekpyrotechnics.cz/c10025bps</v>
      </c>
      <c r="AA573" s="645">
        <f>IFERROR(IF(VLOOKUP(C573,[4]List1!$A:$D,4,FALSE)=0,"",VLOOKUP(C573,[4]List1!$A:$D,4,FALSE)),"")</f>
        <v>30</v>
      </c>
      <c r="AB573" s="646"/>
      <c r="AC573" s="647" t="str">
        <f>IFERROR(IF(VLOOKUP(C573,[1]List1!$A:$D,2,FALSE)="VYPRODÁNO",$V$9,IF(VLOOKUP(C573,[1]List1!$A:$D,2,FALSE)="DOCHÁZÍ",$V$3,VLOOKUP(C573,[1]List1!$A:$D,2,FALSE))),"OFFLINE!")</f>
        <v>SKLADEM</v>
      </c>
      <c r="AD573" s="647" t="str">
        <f ca="1">IF(AP573="NE",$V$10,IF(AC573=$V$3,IF(AQ573&lt;1,$V$8,$V$2&amp;" "&amp;AQ573&amp;" "&amp;$V$1),IF(AC573="SKLADEM",$V$6,IFERROR(IF(OR(AC573-TODAY()&gt;45,VLOOKUP(C573,[1]List1!$A:$E,4,FALSE)=0),AC573,DAY(AC573)&amp;"."&amp;MONTH(AC573)&amp;"."&amp;YEAR(AC573)&amp;" "&amp;$V$4&amp;VLOOKUP(C573,[1]List1!$A:$E,4,FALSE)&amp;" "&amp;$V$1),AC573))))</f>
        <v>SKLADEM</v>
      </c>
      <c r="AE573" s="645" t="str">
        <f t="shared" ref="AE573:AE575" ca="1" si="1720">IFERROR(IF(AV573&lt;&gt;"",AV573,AD573),AD573)</f>
        <v>SKLADEM</v>
      </c>
      <c r="AF573" s="648">
        <f t="shared" ref="AF573:AF575" si="1721">IFERROR(IF(AB573=Y573,G573*I573*Y573,0),0)</f>
        <v>0</v>
      </c>
      <c r="AG573" s="649">
        <f t="shared" ref="AG573:AG575" si="1722">IF($W$17=$AF$8,AH573*1.23,AF573*1.21)</f>
        <v>0</v>
      </c>
      <c r="AH573" s="650">
        <f t="shared" ref="AH573:AH575" si="1723">IFERROR(IF(Y573=AB573,H573*I573*Y573,0),0)</f>
        <v>0</v>
      </c>
      <c r="AI573" s="645">
        <f t="shared" ref="AI573:AI575" si="1724">IFERROR(IF(Y573=AB573,(P573*Y573)/1000,1),0)</f>
        <v>0</v>
      </c>
      <c r="AJ573" s="645">
        <f t="shared" ref="AJ573:AJ575" si="1725">IFERROR(IF(Y573=AB573,N573*Y573,0.1),0)</f>
        <v>0</v>
      </c>
      <c r="AK573" s="645" t="str">
        <f t="shared" ref="AK573:AK575" si="1726">IFERROR(IF(Y573=AB573,IF(M573="1.1G",(O573/1000)*Y573,""),""),0)</f>
        <v/>
      </c>
      <c r="AL573" s="645">
        <f t="shared" ref="AL573:AL575" si="1727">IFERROR(IF(Y573=AB573,IF(M573="1.3G",(O573/1000)*AB573,""),""),0)</f>
        <v>0</v>
      </c>
      <c r="AM573" s="645" t="str">
        <f t="shared" ref="AM573:AM575" si="1728">IFERROR(IF(Y573=AB573,IF(M573="1.4G",(O573/1000)*AB573,""),""),0)</f>
        <v/>
      </c>
      <c r="AN573" s="651">
        <f t="shared" ref="AN573:AN575" si="1729">SUM(AK573:AM573)</f>
        <v>0</v>
      </c>
      <c r="AO573" s="623"/>
      <c r="AP573" s="625" t="str">
        <f t="shared" si="1652"/>
        <v/>
      </c>
      <c r="AQ573" s="625" t="str">
        <f>IF(AC573=$V$3,IF(VLOOKUP(C573,[1]List1!$A:$E,5,FALSE)=0,1,VLOOKUP(C573,[1]List1!$A:$E,5,FALSE)),"")</f>
        <v/>
      </c>
      <c r="AR573" s="629" t="str">
        <f t="shared" si="1653"/>
        <v/>
      </c>
      <c r="AS573" s="630" t="str">
        <f t="shared" si="1654"/>
        <v/>
      </c>
      <c r="AT573" s="625" t="str">
        <f t="shared" si="1655"/>
        <v/>
      </c>
      <c r="AU573" s="625" t="e">
        <f t="shared" si="1656"/>
        <v>#N/A</v>
      </c>
      <c r="AV573" s="625" t="e">
        <f t="shared" si="1657"/>
        <v>#N/A</v>
      </c>
      <c r="AW573" s="631"/>
      <c r="AX573" s="631">
        <f>IF(AND('General price list'!$J573="F4",'General price list'!$AB573+0&gt;0),1,0)</f>
        <v>0</v>
      </c>
      <c r="AY573" s="631">
        <f t="shared" si="1658"/>
        <v>1</v>
      </c>
      <c r="AZ573" s="631">
        <f t="shared" si="1659"/>
        <v>0</v>
      </c>
    </row>
    <row r="574" spans="1:52" ht="15.75" customHeight="1">
      <c r="A574" s="621" t="str">
        <f>Kat.!C574</f>
        <v/>
      </c>
      <c r="B574" s="566">
        <f>IF(AND('General price list'!$J574="F4",$AI$1=FALSE),0,IF(AC574="SKLADEM",1,IF(AC574=$V$3,1,0)))</f>
        <v>1</v>
      </c>
      <c r="C574" s="567" t="s">
        <v>2289</v>
      </c>
      <c r="D574" s="568" t="s">
        <v>2290</v>
      </c>
      <c r="E574" s="763" t="s">
        <v>12747</v>
      </c>
      <c r="F574" s="791">
        <f>IFERROR(VLOOKUP(C574,[2]List1!$A:$D,3,FALSE),"NEUVEDENO!")</f>
        <v>1319</v>
      </c>
      <c r="G574" s="769">
        <f t="shared" si="1716"/>
        <v>1319</v>
      </c>
      <c r="H574" s="766">
        <f t="shared" si="1717"/>
        <v>56.029191251120373</v>
      </c>
      <c r="I574" s="764">
        <f>IFERROR(VLOOKUP(C574,[2]List1!$A:$D,4,FALSE),"NEUVEDENO!")</f>
        <v>2</v>
      </c>
      <c r="J574" s="732" t="s">
        <v>113</v>
      </c>
      <c r="K574" s="569" t="s">
        <v>11100</v>
      </c>
      <c r="L574" s="569" t="s">
        <v>20</v>
      </c>
      <c r="M574" s="569" t="s">
        <v>114</v>
      </c>
      <c r="N574" s="569">
        <f>IFERROR(VLOOKUP(C574,[3]List1!$A:$D,4,FALSE),"N/A!")</f>
        <v>3.7696E-2</v>
      </c>
      <c r="O574" s="569">
        <f>IFERROR(VLOOKUP(C574,[3]List1!$A:$D,3,FALSE),"N/A!")</f>
        <v>2000</v>
      </c>
      <c r="P574" s="569">
        <f>IFERROR(VLOOKUP(C574,[3]List1!$A:$D,2,FALSE),"N/A!")</f>
        <v>14000</v>
      </c>
      <c r="Q574" s="569" t="s">
        <v>12095</v>
      </c>
      <c r="R574" s="569"/>
      <c r="S574" s="569" t="str">
        <f>IF($W$17=$AF$1,"design",IFERROR(VLOOKUP("design",Jazyky_ceník!$A:$Q,MATCH($W$17,Jazyky_ceník!$A$1:$Q$1,0),FALSE),"!!!"))</f>
        <v>design</v>
      </c>
      <c r="T574" s="569">
        <v>75</v>
      </c>
      <c r="U574" s="569">
        <v>30</v>
      </c>
      <c r="V574" s="569">
        <v>22</v>
      </c>
      <c r="W574" s="569" t="str">
        <f>IFERROR(IF(AND($AB574&gt;=0.1*$AA574,MOD($AB574,$AA574)&gt;=($AA574-(0.1*$AA574))),IF($W$17=$AF$1,"Zvažte možnost doobjednání ještě "&amp;Tabulka1[[#This Row],[VKPAL]]-MOD(AB574,AA574)&amp;" VK do plné palety.",VLOOKUP("Zvažte možnost doobjednání ještě ",Jazyky_ceník!A:Q,MATCH($W$17,Jazyky_ceník!$A$1:$Q$1,0),FALSE)&amp;Tabulka1[[#This Row],[VKPAL]]-MOD(AB574,AA574)&amp;VLOOKUP(" VK do plné palety.",Jazyky_ceník!A:Q,MATCH($W$17,Jazyky_ceník!$A$1:$Q$1,0),FALSE)),IFERROR(IF(AND(NOT(MOD($AB574,$AA574)=0),$AB574&gt;=0.9*$AA574,MOD($AB574,$AA574)&lt;=0.1*$AA574),IF($W$17=$AF$1,"Zvažte možnost optimalizace objednaného množství podle počtu VK na paletě ==&gt;",VLOOKUP("Zvažte možnost optimalizace objednaného množství podle počtu VK na paletě ==&gt;",Jazyky_ceník!A:Q,MATCH($W$17,Jazyky_ceník!$A$1:$Q$1,0),FALSE)),VLOOKUP('General price list'!$C574,Popisy!A:M,MATCH($W$17,Popisy!$A$7:$M$7,0),FALSE)),"---------------")),IFERROR(VLOOKUP('General price list'!$C574,Popisy!A:M,MATCH($W$17,Popisy!$A$7:$M$7,0),FALSE),"---------------"))</f>
        <v>10 různobarevných efektů</v>
      </c>
      <c r="X574" s="569" t="str">
        <f t="shared" si="1718"/>
        <v/>
      </c>
      <c r="Y574" s="569" t="str">
        <f t="shared" si="1719"/>
        <v/>
      </c>
      <c r="Z574" s="569" t="str">
        <f>HYPERLINK("https://www.klasekpyrotechnics.cz/c10025pr1")</f>
        <v>https://www.klasekpyrotechnics.cz/c10025pr1</v>
      </c>
      <c r="AA574" s="569">
        <f>IFERROR(IF(VLOOKUP(C574,[4]List1!$A:$D,4,FALSE)=0,"",VLOOKUP(C574,[4]List1!$A:$D,4,FALSE)),"")</f>
        <v>30</v>
      </c>
      <c r="AB574" s="565"/>
      <c r="AC574" s="570" t="str">
        <f>IFERROR(IF(VLOOKUP(C574,[1]List1!$A:$D,2,FALSE)="VYPRODÁNO",$V$9,IF(VLOOKUP(C574,[1]List1!$A:$D,2,FALSE)="DOCHÁZÍ",$V$3,VLOOKUP(C574,[1]List1!$A:$D,2,FALSE))),"OFFLINE!")</f>
        <v>SKLADEM</v>
      </c>
      <c r="AD574" s="570" t="str">
        <f ca="1">IF(AP574="NE",$V$10,IF(AC574=$V$3,IF(AQ574&lt;1,$V$8,$V$2&amp;" "&amp;AQ574&amp;" "&amp;$V$1),IF(AC574="SKLADEM",$V$6,IFERROR(IF(OR(AC574-TODAY()&gt;45,VLOOKUP(C574,[1]List1!$A:$E,4,FALSE)=0),AC574,DAY(AC574)&amp;"."&amp;MONTH(AC574)&amp;"."&amp;YEAR(AC574)&amp;" "&amp;$V$4&amp;VLOOKUP(C574,[1]List1!$A:$E,4,FALSE)&amp;" "&amp;$V$1),AC574))))</f>
        <v>SKLADEM</v>
      </c>
      <c r="AE574" s="581" t="str">
        <f t="shared" ca="1" si="1720"/>
        <v>SKLADEM</v>
      </c>
      <c r="AF574" s="584">
        <f t="shared" si="1721"/>
        <v>0</v>
      </c>
      <c r="AG574" s="585">
        <f t="shared" si="1722"/>
        <v>0</v>
      </c>
      <c r="AH574" s="583">
        <f t="shared" si="1723"/>
        <v>0</v>
      </c>
      <c r="AI574" s="582">
        <f t="shared" si="1724"/>
        <v>0</v>
      </c>
      <c r="AJ574" s="569">
        <f t="shared" si="1725"/>
        <v>0</v>
      </c>
      <c r="AK574" s="569" t="str">
        <f t="shared" si="1726"/>
        <v/>
      </c>
      <c r="AL574" s="569">
        <f t="shared" si="1727"/>
        <v>0</v>
      </c>
      <c r="AM574" s="569" t="str">
        <f t="shared" si="1728"/>
        <v/>
      </c>
      <c r="AN574" s="581">
        <f t="shared" si="1729"/>
        <v>0</v>
      </c>
      <c r="AO574" s="623"/>
      <c r="AP574" s="625" t="str">
        <f t="shared" si="1652"/>
        <v/>
      </c>
      <c r="AQ574" s="625" t="str">
        <f>IF(AC574=$V$3,IF(VLOOKUP(C574,[1]List1!$A:$E,5,FALSE)=0,1,VLOOKUP(C574,[1]List1!$A:$E,5,FALSE)),"")</f>
        <v/>
      </c>
      <c r="AR574" s="629" t="str">
        <f t="shared" si="1653"/>
        <v/>
      </c>
      <c r="AS574" s="630" t="str">
        <f t="shared" si="1654"/>
        <v/>
      </c>
      <c r="AT574" s="625" t="str">
        <f t="shared" si="1655"/>
        <v/>
      </c>
      <c r="AU574" s="625" t="e">
        <f t="shared" si="1656"/>
        <v>#N/A</v>
      </c>
      <c r="AV574" s="625" t="e">
        <f t="shared" si="1657"/>
        <v>#N/A</v>
      </c>
      <c r="AW574" s="631"/>
      <c r="AX574" s="631">
        <f>IF(AND('General price list'!$J574="F4",'General price list'!$AB574+0&gt;0),1,0)</f>
        <v>0</v>
      </c>
      <c r="AY574" s="631">
        <f t="shared" si="1658"/>
        <v>1</v>
      </c>
      <c r="AZ574" s="631">
        <f t="shared" si="1659"/>
        <v>0</v>
      </c>
    </row>
    <row r="575" spans="1:52" ht="15" customHeight="1">
      <c r="A575" s="639" t="str">
        <f>Kat.!C575</f>
        <v/>
      </c>
      <c r="B575" s="640">
        <f>IF(AND('General price list'!$J575="F4",$AI$1=FALSE),0,IF(AC575="SKLADEM",1,IF(AC575=$V$3,1,0)))</f>
        <v>1</v>
      </c>
      <c r="C575" s="641" t="s">
        <v>1201</v>
      </c>
      <c r="D575" s="642" t="s">
        <v>1202</v>
      </c>
      <c r="E575" s="643" t="s">
        <v>12747</v>
      </c>
      <c r="F575" s="791">
        <f>IFERROR(VLOOKUP(C575,[2]List1!$A:$D,3,FALSE),"NEUVEDENO!")</f>
        <v>1319</v>
      </c>
      <c r="G575" s="770">
        <f t="shared" si="1716"/>
        <v>1319</v>
      </c>
      <c r="H575" s="767">
        <f t="shared" si="1717"/>
        <v>56.029191251120373</v>
      </c>
      <c r="I575" s="644">
        <f>IFERROR(VLOOKUP(C575,[2]List1!$A:$D,4,FALSE),"NEUVEDENO!")</f>
        <v>2</v>
      </c>
      <c r="J575" s="733" t="s">
        <v>113</v>
      </c>
      <c r="K575" s="645" t="s">
        <v>11100</v>
      </c>
      <c r="L575" s="645" t="s">
        <v>20</v>
      </c>
      <c r="M575" s="645" t="s">
        <v>114</v>
      </c>
      <c r="N575" s="645">
        <f>IFERROR(VLOOKUP(C575,[3]List1!$A:$D,4,FALSE),"N/A!")</f>
        <v>3.7696E-2</v>
      </c>
      <c r="O575" s="645">
        <f>IFERROR(VLOOKUP(C575,[3]List1!$A:$D,3,FALSE),"N/A!")</f>
        <v>1990</v>
      </c>
      <c r="P575" s="645">
        <f>IFERROR(VLOOKUP(C575,[3]List1!$A:$D,2,FALSE),"N/A!")</f>
        <v>14500</v>
      </c>
      <c r="Q575" s="645" t="s">
        <v>11783</v>
      </c>
      <c r="R575" s="645"/>
      <c r="S575" s="645" t="str">
        <f>IF($W$17=$AF$1,"design",IFERROR(VLOOKUP("design",Jazyky_ceník!$A:$Q,MATCH($W$17,Jazyky_ceník!$A$1:$Q$1,0),FALSE),"!!!"))</f>
        <v>design</v>
      </c>
      <c r="T575" s="645">
        <v>75</v>
      </c>
      <c r="U575" s="645">
        <v>30</v>
      </c>
      <c r="V575" s="645">
        <v>22</v>
      </c>
      <c r="W575" s="645" t="str">
        <f>IFERROR(IF(AND($AB575&gt;=0.1*$AA575,MOD($AB575,$AA575)&gt;=($AA575-(0.1*$AA575))),IF($W$17=$AF$1,"Zvažte možnost doobjednání ještě "&amp;Tabulka1[[#This Row],[VKPAL]]-MOD(AB575,AA575)&amp;" VK do plné palety.",VLOOKUP("Zvažte možnost doobjednání ještě ",Jazyky_ceník!A:Q,MATCH($W$17,Jazyky_ceník!$A$1:$Q$1,0),FALSE)&amp;Tabulka1[[#This Row],[VKPAL]]-MOD(AB575,AA575)&amp;VLOOKUP(" VK do plné palety.",Jazyky_ceník!A:Q,MATCH($W$17,Jazyky_ceník!$A$1:$Q$1,0),FALSE)),IFERROR(IF(AND(NOT(MOD($AB575,$AA575)=0),$AB575&gt;=0.9*$AA575,MOD($AB575,$AA575)&lt;=0.1*$AA575),IF($W$17=$AF$1,"Zvažte možnost optimalizace objednaného množství podle počtu VK na paletě ==&gt;",VLOOKUP("Zvažte možnost optimalizace objednaného množství podle počtu VK na paletě ==&gt;",Jazyky_ceník!A:Q,MATCH($W$17,Jazyky_ceník!$A$1:$Q$1,0),FALSE)),VLOOKUP('General price list'!$C575,Popisy!A:M,MATCH($W$17,Popisy!$A$7:$M$7,0),FALSE)),"---------------")),IFERROR(VLOOKUP('General price list'!$C575,Popisy!A:M,MATCH($W$17,Popisy!$A$7:$M$7,0),FALSE),"---------------"))</f>
        <v>10 různobarevných efektů</v>
      </c>
      <c r="X575" s="645" t="str">
        <f t="shared" si="1718"/>
        <v/>
      </c>
      <c r="Y575" s="645" t="str">
        <f t="shared" si="1719"/>
        <v/>
      </c>
      <c r="Z575" s="645" t="str">
        <f>HYPERLINK("https://www.klasekpyrotechnics.cz/c10025i")</f>
        <v>https://www.klasekpyrotechnics.cz/c10025i</v>
      </c>
      <c r="AA575" s="645">
        <f>IFERROR(IF(VLOOKUP(C575,[4]List1!$A:$D,4,FALSE)=0,"",VLOOKUP(C575,[4]List1!$A:$D,4,FALSE)),"")</f>
        <v>30</v>
      </c>
      <c r="AB575" s="646"/>
      <c r="AC575" s="647" t="str">
        <f>IFERROR(IF(VLOOKUP(C575,[1]List1!$A:$D,2,FALSE)="VYPRODÁNO",$V$9,IF(VLOOKUP(C575,[1]List1!$A:$D,2,FALSE)="DOCHÁZÍ",$V$3,VLOOKUP(C575,[1]List1!$A:$D,2,FALSE))),"OFFLINE!")</f>
        <v>SKLADEM</v>
      </c>
      <c r="AD575" s="647" t="str">
        <f ca="1">IF(AP575="NE",$V$10,IF(AC575=$V$3,IF(AQ575&lt;1,$V$8,$V$2&amp;" "&amp;AQ575&amp;" "&amp;$V$1),IF(AC575="SKLADEM",$V$6,IFERROR(IF(OR(AC575-TODAY()&gt;45,VLOOKUP(C575,[1]List1!$A:$E,4,FALSE)=0),AC575,DAY(AC575)&amp;"."&amp;MONTH(AC575)&amp;"."&amp;YEAR(AC575)&amp;" "&amp;$V$4&amp;VLOOKUP(C575,[1]List1!$A:$E,4,FALSE)&amp;" "&amp;$V$1),AC575))))</f>
        <v>SKLADEM</v>
      </c>
      <c r="AE575" s="645" t="str">
        <f t="shared" ca="1" si="1720"/>
        <v>SKLADEM</v>
      </c>
      <c r="AF575" s="648">
        <f t="shared" si="1721"/>
        <v>0</v>
      </c>
      <c r="AG575" s="649">
        <f t="shared" si="1722"/>
        <v>0</v>
      </c>
      <c r="AH575" s="650">
        <f t="shared" si="1723"/>
        <v>0</v>
      </c>
      <c r="AI575" s="645">
        <f t="shared" si="1724"/>
        <v>0</v>
      </c>
      <c r="AJ575" s="645">
        <f t="shared" si="1725"/>
        <v>0</v>
      </c>
      <c r="AK575" s="645" t="str">
        <f t="shared" si="1726"/>
        <v/>
      </c>
      <c r="AL575" s="645">
        <f t="shared" si="1727"/>
        <v>0</v>
      </c>
      <c r="AM575" s="645" t="str">
        <f t="shared" si="1728"/>
        <v/>
      </c>
      <c r="AN575" s="651">
        <f t="shared" si="1729"/>
        <v>0</v>
      </c>
      <c r="AO575" s="623"/>
      <c r="AP575" s="632" t="str">
        <f t="shared" si="1652"/>
        <v/>
      </c>
      <c r="AQ575" s="633" t="str">
        <f>IF(AC575=$V$3,IF(VLOOKUP(C575,[1]List1!$A:$E,5,FALSE)=0,1,VLOOKUP(C575,[1]List1!$A:$E,5,FALSE)),"")</f>
        <v/>
      </c>
      <c r="AR575" s="625" t="str">
        <f t="shared" si="1653"/>
        <v/>
      </c>
      <c r="AS575" s="634" t="str">
        <f t="shared" si="1654"/>
        <v/>
      </c>
      <c r="AT575" s="625" t="str">
        <f t="shared" si="1655"/>
        <v/>
      </c>
      <c r="AU575" s="638" t="e">
        <f t="shared" si="1656"/>
        <v>#N/A</v>
      </c>
      <c r="AV575" s="625" t="e">
        <f t="shared" si="1657"/>
        <v>#N/A</v>
      </c>
      <c r="AX575" s="625">
        <f>IF(AND('General price list'!$J575="F4",'General price list'!$AB575+0&gt;0),1,0)</f>
        <v>0</v>
      </c>
      <c r="AY575" s="625">
        <f t="shared" si="1658"/>
        <v>1</v>
      </c>
      <c r="AZ575" s="625">
        <f t="shared" si="1659"/>
        <v>0</v>
      </c>
    </row>
    <row r="576" spans="1:52" ht="15" customHeight="1">
      <c r="A576" s="751" t="str">
        <f>Kat.!C576</f>
        <v xml:space="preserve">           Složený ohňostroj 25 mm – F2 – 1.4G</v>
      </c>
      <c r="B576" s="751"/>
      <c r="C576" s="751"/>
      <c r="D576" s="751"/>
      <c r="E576" s="751"/>
      <c r="F576" s="751"/>
      <c r="G576" s="751"/>
      <c r="H576" s="751"/>
      <c r="I576" s="752"/>
      <c r="J576" s="752"/>
      <c r="K576" s="752" t="s">
        <v>20</v>
      </c>
      <c r="L576" s="753" t="s">
        <v>2818</v>
      </c>
      <c r="M576" s="752"/>
      <c r="N576" s="752"/>
      <c r="O576" s="752"/>
      <c r="P576" s="752"/>
      <c r="Q576" s="752"/>
      <c r="R576" s="752"/>
      <c r="S576" s="752"/>
      <c r="T576" s="752"/>
      <c r="U576" s="752"/>
      <c r="V576" s="752"/>
      <c r="W576" s="752"/>
      <c r="X576" s="752"/>
      <c r="Y576" s="752"/>
      <c r="Z576" s="752" t="s">
        <v>20</v>
      </c>
      <c r="AA576" s="752"/>
      <c r="AB576" s="752"/>
      <c r="AC576" s="754"/>
      <c r="AD576" s="752"/>
      <c r="AE576" s="752"/>
      <c r="AF576" s="752"/>
      <c r="AG576" s="752"/>
      <c r="AH576" s="752"/>
      <c r="AI576" s="752"/>
      <c r="AJ576" s="752"/>
      <c r="AK576" s="752"/>
      <c r="AL576" s="752"/>
      <c r="AM576" s="752"/>
      <c r="AN576" s="752"/>
      <c r="AO576" s="623"/>
      <c r="AP576" s="632" t="str">
        <f t="shared" si="1652"/>
        <v/>
      </c>
      <c r="AQ576" s="633" t="str">
        <f>IF(AC576=$V$3,IF(VLOOKUP(C576,[1]List1!$A:$E,5,FALSE)=0,1,VLOOKUP(C576,[1]List1!$A:$E,5,FALSE)),"")</f>
        <v/>
      </c>
      <c r="AR576" s="625" t="str">
        <f t="shared" si="1653"/>
        <v/>
      </c>
      <c r="AS576" s="634" t="str">
        <f t="shared" si="1654"/>
        <v/>
      </c>
      <c r="AT576" s="625" t="str">
        <f t="shared" si="1655"/>
        <v/>
      </c>
      <c r="AU576" s="638" t="e">
        <f t="shared" si="1656"/>
        <v>#N/A</v>
      </c>
      <c r="AV576" s="625" t="e">
        <f t="shared" si="1657"/>
        <v>#N/A</v>
      </c>
      <c r="AX576" s="625">
        <f>IF(AND('General price list'!$J576="F4",'General price list'!$AB576+0&gt;0),1,0)</f>
        <v>0</v>
      </c>
      <c r="AY576" s="625">
        <f t="shared" si="1658"/>
        <v>0</v>
      </c>
      <c r="AZ576" s="625">
        <f t="shared" si="1659"/>
        <v>0</v>
      </c>
    </row>
    <row r="577" spans="1:52" ht="15" customHeight="1">
      <c r="A577" s="639" t="str">
        <f>Kat.!C577</f>
        <v/>
      </c>
      <c r="B577" s="640">
        <f>IF(AND('General price list'!$J577="F4",$AI$1=FALSE),0,IF(AC577="SKLADEM",1,IF(AC577=$V$3,1,0)))</f>
        <v>0</v>
      </c>
      <c r="C577" s="641" t="s">
        <v>12462</v>
      </c>
      <c r="D577" s="642" t="s">
        <v>12549</v>
      </c>
      <c r="E577" s="643" t="s">
        <v>12663</v>
      </c>
      <c r="F577" s="771">
        <f>IFERROR(VLOOKUP(C577,[2]List1!$A:$D,3,FALSE),"NEUVEDENO!")</f>
        <v>957</v>
      </c>
      <c r="G577" s="768">
        <f t="shared" ref="G577:G585" si="1730">IF($W$17=$AF$8,ROUND((F577)/$F$17,2),(F577)*$B$19)</f>
        <v>957</v>
      </c>
      <c r="H577" s="765">
        <f t="shared" ref="H577:H585" si="1731">IF($W$17=$AF$8,G577*$B$19,G577/$F$17)</f>
        <v>40.65196059690841</v>
      </c>
      <c r="I577" s="644">
        <f>IFERROR(VLOOKUP(C577,[2]List1!$A:$D,4,FALSE),"NEUVEDENO!")</f>
        <v>1</v>
      </c>
      <c r="J577" s="733" t="s">
        <v>39</v>
      </c>
      <c r="K577" s="645">
        <v>4</v>
      </c>
      <c r="L577" s="645"/>
      <c r="M577" s="645" t="s">
        <v>21</v>
      </c>
      <c r="N577" s="645">
        <f>IFERROR(VLOOKUP(C577,[3]List1!$A:$D,4,FALSE),"N/A!")</f>
        <v>1.3122E-2</v>
      </c>
      <c r="O577" s="645">
        <f>IFERROR(VLOOKUP(C577,[3]List1!$A:$D,3,FALSE),"N/A!")</f>
        <v>1000</v>
      </c>
      <c r="P577" s="645">
        <f>IFERROR(VLOOKUP(C577,[3]List1!$A:$D,2,FALSE),"N/A!")</f>
        <v>5500</v>
      </c>
      <c r="Q577" s="645" t="s">
        <v>15072</v>
      </c>
      <c r="R577" s="645"/>
      <c r="S577" s="645" t="str">
        <f>IF($W$17=$AF$1,"červená fólie",IFERROR(VLOOKUP("červená fólie",Jazyky_ceník!$A:$Q,MATCH($W$17,Jazyky_ceník!$A$1:$Q$1,0),FALSE),"!!!"))</f>
        <v>červená fólie</v>
      </c>
      <c r="T577" s="645">
        <v>60</v>
      </c>
      <c r="U577" s="645"/>
      <c r="V577" s="645"/>
      <c r="W577" s="645" t="str">
        <f>IFERROR(IF(AND($AB577&gt;=0.1*$AA577,MOD($AB577,$AA577)&gt;=($AA577-(0.1*$AA577))),IF($W$17=$AF$1,"Zvažte možnost doobjednání ještě "&amp;Tabulka1[[#This Row],[VKPAL]]-MOD(AB577,AA577)&amp;" VK do plné palety.",VLOOKUP("Zvažte možnost doobjednání ještě ",Jazyky_ceník!A:Q,MATCH($W$17,Jazyky_ceník!$A$1:$Q$1,0),FALSE)&amp;Tabulka1[[#This Row],[VKPAL]]-MOD(AB577,AA577)&amp;VLOOKUP(" VK do plné palety.",Jazyky_ceník!A:Q,MATCH($W$17,Jazyky_ceník!$A$1:$Q$1,0),FALSE)),IFERROR(IF(AND(NOT(MOD($AB577,$AA577)=0),$AB577&gt;=0.9*$AA577,MOD($AB577,$AA577)&lt;=0.1*$AA577),IF($W$17=$AF$1,"Zvažte možnost optimalizace objednaného množství podle počtu VK na paletě ==&gt;",VLOOKUP("Zvažte možnost optimalizace objednaného množství podle počtu VK na paletě ==&gt;",Jazyky_ceník!A:Q,MATCH($W$17,Jazyky_ceník!$A$1:$Q$1,0),FALSE)),VLOOKUP('General price list'!$C577,Popisy!A:M,MATCH($W$17,Popisy!$A$7:$M$7,0),FALSE)),"---------------")),IFERROR(VLOOKUP('General price list'!$C577,Popisy!A:M,MATCH($W$17,Popisy!$A$7:$M$7,0),FALSE),"---------------"))</f>
        <v>stříbrná mina s červenou stopou a titanovou detonací</v>
      </c>
      <c r="X577" s="645" t="str">
        <f t="shared" ref="X577:X585" si="1732">IF(AB577&lt;0.0001,"",AB577)</f>
        <v/>
      </c>
      <c r="Y577" s="645" t="str">
        <f t="shared" ref="Y577:Y585" si="1733">IF($AL$3=2,IF(OR(AB577&lt;&gt;"",AB577&lt;&gt;0),AU577,""),IF(C577="","",IF(AB577&lt;0.0001,"",IF(B577=0,"",IF(AQ577&lt;AB577,"",AB577)))))</f>
        <v/>
      </c>
      <c r="Z577" s="645" t="str">
        <f>HYPERLINK("https://www.klasekpyrotechnics.cz/c6425du-c14")</f>
        <v>https://www.klasekpyrotechnics.cz/c6425du-c14</v>
      </c>
      <c r="AA577" s="645" t="str">
        <f>IFERROR(IF(VLOOKUP(C577,[4]List1!$A:$D,4,FALSE)=0,"",VLOOKUP(C577,[4]List1!$A:$D,4,FALSE)),"")</f>
        <v/>
      </c>
      <c r="AB577" s="646"/>
      <c r="AC577" s="647" t="str">
        <f>IFERROR(IF(VLOOKUP(C577,[1]List1!$A:$D,2,FALSE)="VYPRODÁNO",$V$9,IF(VLOOKUP(C577,[1]List1!$A:$D,2,FALSE)="DOCHÁZÍ",$V$3,VLOOKUP(C577,[1]List1!$A:$D,2,FALSE))),"OFFLINE!")</f>
        <v>31.08.2026</v>
      </c>
      <c r="AD577" s="647" t="str">
        <f ca="1">IF(AP577="NE",$V$10,IF(AC577=$V$3,IF(AQ577&lt;1,$V$8,$V$2&amp;" "&amp;AQ577&amp;" "&amp;$V$1),IF(AC577="SKLADEM",$V$6,IFERROR(IF(OR(AC577-TODAY()&gt;45,VLOOKUP(C577,[1]List1!$A:$E,4,FALSE)=0),AC577,DAY(AC577)&amp;"."&amp;MONTH(AC577)&amp;"."&amp;YEAR(AC577)&amp;" "&amp;$V$4&amp;VLOOKUP(C577,[1]List1!$A:$E,4,FALSE)&amp;" "&amp;$V$1),AC577))))</f>
        <v>31.08.2026</v>
      </c>
      <c r="AE577" s="645" t="str">
        <f t="shared" ref="AE577:AE585" ca="1" si="1734">IFERROR(IF(AV577&lt;&gt;"",AV577,AD577),AD577)</f>
        <v>31.08.2026</v>
      </c>
      <c r="AF577" s="648">
        <f t="shared" ref="AF577:AF585" si="1735">IFERROR(IF(AB577=Y577,G577*I577*Y577,0),0)</f>
        <v>0</v>
      </c>
      <c r="AG577" s="649">
        <f t="shared" ref="AG577:AG585" si="1736">IF($W$17=$AF$8,AH577*1.23,AF577*1.21)</f>
        <v>0</v>
      </c>
      <c r="AH577" s="650">
        <f t="shared" ref="AH577:AH585" si="1737">IFERROR(IF(Y577=AB577,H577*I577*Y577,0),0)</f>
        <v>0</v>
      </c>
      <c r="AI577" s="645">
        <f t="shared" ref="AI577:AI585" si="1738">IFERROR(IF(Y577=AB577,(P577*Y577)/1000,1),0)</f>
        <v>0</v>
      </c>
      <c r="AJ577" s="645">
        <f t="shared" ref="AJ577:AJ585" si="1739">IFERROR(IF(Y577=AB577,N577*Y577,0.1),0)</f>
        <v>0</v>
      </c>
      <c r="AK577" s="645" t="str">
        <f t="shared" ref="AK577:AK585" si="1740">IFERROR(IF(Y577=AB577,IF(M577="1.1G",(O577/1000)*Y577,""),""),0)</f>
        <v/>
      </c>
      <c r="AL577" s="645" t="str">
        <f t="shared" ref="AL577:AL585" si="1741">IFERROR(IF(Y577=AB577,IF(M577="1.3G",(O577/1000)*AB577,""),""),0)</f>
        <v/>
      </c>
      <c r="AM577" s="645">
        <f t="shared" ref="AM577:AM585" si="1742">IFERROR(IF(Y577=AB577,IF(M577="1.4G",(O577/1000)*AB577,""),""),0)</f>
        <v>0</v>
      </c>
      <c r="AN577" s="651">
        <f t="shared" ref="AN577:AN585" si="1743">SUM(AK577:AM577)</f>
        <v>0</v>
      </c>
      <c r="AO577" s="623"/>
      <c r="AP577" s="632" t="str">
        <f t="shared" si="1652"/>
        <v/>
      </c>
      <c r="AQ577" s="633" t="str">
        <f>IF(AC577=$V$3,IF(VLOOKUP(C577,[1]List1!$A:$E,5,FALSE)=0,1,VLOOKUP(C577,[1]List1!$A:$E,5,FALSE)),"")</f>
        <v/>
      </c>
      <c r="AR577" s="625" t="str">
        <f t="shared" si="1653"/>
        <v/>
      </c>
      <c r="AS577" s="634" t="str">
        <f t="shared" si="1654"/>
        <v/>
      </c>
      <c r="AT577" s="625" t="str">
        <f t="shared" si="1655"/>
        <v/>
      </c>
      <c r="AU577" s="638" t="e">
        <f t="shared" si="1656"/>
        <v>#N/A</v>
      </c>
      <c r="AV577" s="625" t="e">
        <f t="shared" si="1657"/>
        <v>#N/A</v>
      </c>
      <c r="AX577" s="625">
        <f>IF(AND('General price list'!$J577="F4",'General price list'!$AB577+0&gt;0),1,0)</f>
        <v>0</v>
      </c>
      <c r="AY577" s="625">
        <f t="shared" si="1658"/>
        <v>1</v>
      </c>
      <c r="AZ577" s="625">
        <f t="shared" si="1659"/>
        <v>0</v>
      </c>
    </row>
    <row r="578" spans="1:52" ht="15" customHeight="1">
      <c r="A578" s="621" t="str">
        <f>Kat.!C578</f>
        <v/>
      </c>
      <c r="B578" s="566">
        <f>IF(AND('General price list'!$J578="F4",$AI$1=FALSE),0,IF(AC578="SKLADEM",1,IF(AC578=$V$3,1,0)))</f>
        <v>0</v>
      </c>
      <c r="C578" s="567" t="s">
        <v>1203</v>
      </c>
      <c r="D578" s="568" t="s">
        <v>9803</v>
      </c>
      <c r="E578" s="763" t="s">
        <v>12663</v>
      </c>
      <c r="F578" s="772">
        <f>IFERROR(VLOOKUP(C578,[2]List1!$A:$D,3,FALSE),"NEUVEDENO!")</f>
        <v>1708</v>
      </c>
      <c r="G578" s="769">
        <f t="shared" si="1730"/>
        <v>1708</v>
      </c>
      <c r="H578" s="766">
        <f t="shared" si="1731"/>
        <v>72.553342423740403</v>
      </c>
      <c r="I578" s="764">
        <f>IFERROR(VLOOKUP(C578,[2]List1!$A:$D,4,FALSE),"NEUVEDENO!")</f>
        <v>1</v>
      </c>
      <c r="J578" s="732" t="s">
        <v>39</v>
      </c>
      <c r="K578" s="569" t="s">
        <v>20</v>
      </c>
      <c r="L578" s="569" t="s">
        <v>10986</v>
      </c>
      <c r="M578" s="569" t="s">
        <v>21</v>
      </c>
      <c r="N578" s="569">
        <f>IFERROR(VLOOKUP(C578,[3]List1!$A:$D,4,FALSE),"N/A!")</f>
        <v>2.5271999999999999E-2</v>
      </c>
      <c r="O578" s="569">
        <f>IFERROR(VLOOKUP(C578,[3]List1!$A:$D,3,FALSE),"N/A!")</f>
        <v>992</v>
      </c>
      <c r="P578" s="569">
        <f>IFERROR(VLOOKUP(C578,[3]List1!$A:$D,2,FALSE),"N/A!")</f>
        <v>9000</v>
      </c>
      <c r="Q578" s="569" t="s">
        <v>11310</v>
      </c>
      <c r="R578" s="569" t="s">
        <v>20</v>
      </c>
      <c r="S578" s="569" t="str">
        <f>IF($W$17=$AF$1,"červená fólie",IFERROR(VLOOKUP("červená fólie",Jazyky_ceník!$A:$Q,MATCH($W$17,Jazyky_ceník!$A$1:$Q$1,0),FALSE),"!!!"))</f>
        <v>červená fólie</v>
      </c>
      <c r="T578" s="569">
        <v>80</v>
      </c>
      <c r="U578" s="569">
        <v>30</v>
      </c>
      <c r="V578" s="569">
        <v>18</v>
      </c>
      <c r="W578" s="569" t="str">
        <f>IFERROR(IF(AND($AB578&gt;=0.1*$AA578,MOD($AB578,$AA578)&gt;=($AA578-(0.1*$AA578))),IF($W$17=$AF$1,"Zvažte možnost doobjednání ještě "&amp;Tabulka1[[#This Row],[VKPAL]]-MOD(AB578,AA578)&amp;" VK do plné palety.",VLOOKUP("Zvažte možnost doobjednání ještě ",Jazyky_ceník!A:Q,MATCH($W$17,Jazyky_ceník!$A$1:$Q$1,0),FALSE)&amp;Tabulka1[[#This Row],[VKPAL]]-MOD(AB578,AA578)&amp;VLOOKUP(" VK do plné palety.",Jazyky_ceník!A:Q,MATCH($W$17,Jazyky_ceník!$A$1:$Q$1,0),FALSE)),IFERROR(IF(AND(NOT(MOD($AB578,$AA578)=0),$AB578&gt;=0.9*$AA578,MOD($AB578,$AA578)&lt;=0.1*$AA578),IF($W$17=$AF$1,"Zvažte možnost optimalizace objednaného množství podle počtu VK na paletě ==&gt;",VLOOKUP("Zvažte možnost optimalizace objednaného množství podle počtu VK na paletě ==&gt;",Jazyky_ceník!A:Q,MATCH($W$17,Jazyky_ceník!$A$1:$Q$1,0),FALSE)),VLOOKUP('General price list'!$C578,Popisy!A:M,MATCH($W$17,Popisy!$A$7:$M$7,0),FALSE)),"---------------")),IFERROR(VLOOKUP('General price list'!$C578,Popisy!A:M,MATCH($W$17,Popisy!$A$7:$M$7,0),FALSE),"---------------"))</f>
        <v>16 různobarevných efektů</v>
      </c>
      <c r="X578" s="569" t="str">
        <f t="shared" si="1732"/>
        <v/>
      </c>
      <c r="Y578" s="569" t="str">
        <f t="shared" si="1733"/>
        <v/>
      </c>
      <c r="Z578" s="569" t="str">
        <f>HYPERLINK("https://www.klasekpyrotechnics.cz/c9625mf-c14")</f>
        <v>https://www.klasekpyrotechnics.cz/c9625mf-c14</v>
      </c>
      <c r="AA578" s="569">
        <f>IFERROR(IF(VLOOKUP(C578,[4]List1!$A:$D,4,FALSE)=0,"",VLOOKUP(C578,[4]List1!$A:$D,4,FALSE)),"")</f>
        <v>63</v>
      </c>
      <c r="AB578" s="565"/>
      <c r="AC578" s="570" t="str">
        <f>IFERROR(IF(VLOOKUP(C578,[1]List1!$A:$D,2,FALSE)="VYPRODÁNO",$V$9,IF(VLOOKUP(C578,[1]List1!$A:$D,2,FALSE)="DOCHÁZÍ",$V$3,VLOOKUP(C578,[1]List1!$A:$D,2,FALSE))),"OFFLINE!")</f>
        <v>31.08.2026</v>
      </c>
      <c r="AD578" s="570" t="str">
        <f ca="1">IF(AP578="NE",$V$10,IF(AC578=$V$3,IF(AQ578&lt;1,$V$8,$V$2&amp;" "&amp;AQ578&amp;" "&amp;$V$1),IF(AC578="SKLADEM",$V$6,IFERROR(IF(OR(AC578-TODAY()&gt;45,VLOOKUP(C578,[1]List1!$A:$E,4,FALSE)=0),AC578,DAY(AC578)&amp;"."&amp;MONTH(AC578)&amp;"."&amp;YEAR(AC578)&amp;" "&amp;$V$4&amp;VLOOKUP(C578,[1]List1!$A:$E,4,FALSE)&amp;" "&amp;$V$1),AC578))))</f>
        <v>31.08.2026</v>
      </c>
      <c r="AE578" s="581" t="str">
        <f t="shared" ca="1" si="1734"/>
        <v>31.08.2026</v>
      </c>
      <c r="AF578" s="584">
        <f t="shared" si="1735"/>
        <v>0</v>
      </c>
      <c r="AG578" s="585">
        <f t="shared" si="1736"/>
        <v>0</v>
      </c>
      <c r="AH578" s="583">
        <f t="shared" si="1737"/>
        <v>0</v>
      </c>
      <c r="AI578" s="582">
        <f t="shared" si="1738"/>
        <v>0</v>
      </c>
      <c r="AJ578" s="569">
        <f t="shared" si="1739"/>
        <v>0</v>
      </c>
      <c r="AK578" s="569" t="str">
        <f t="shared" si="1740"/>
        <v/>
      </c>
      <c r="AL578" s="569" t="str">
        <f t="shared" si="1741"/>
        <v/>
      </c>
      <c r="AM578" s="569">
        <f t="shared" si="1742"/>
        <v>0</v>
      </c>
      <c r="AN578" s="581">
        <f t="shared" si="1743"/>
        <v>0</v>
      </c>
      <c r="AO578" s="623"/>
      <c r="AP578" s="632" t="str">
        <f t="shared" si="1652"/>
        <v/>
      </c>
      <c r="AQ578" s="633" t="str">
        <f>IF(AC578=$V$3,IF(VLOOKUP(C578,[1]List1!$A:$E,5,FALSE)=0,1,VLOOKUP(C578,[1]List1!$A:$E,5,FALSE)),"")</f>
        <v/>
      </c>
      <c r="AR578" s="625" t="str">
        <f t="shared" si="1653"/>
        <v/>
      </c>
      <c r="AS578" s="634" t="str">
        <f t="shared" si="1654"/>
        <v/>
      </c>
      <c r="AT578" s="625" t="str">
        <f t="shared" si="1655"/>
        <v/>
      </c>
      <c r="AU578" s="638" t="e">
        <f t="shared" si="1656"/>
        <v>#N/A</v>
      </c>
      <c r="AV578" s="625" t="e">
        <f t="shared" si="1657"/>
        <v>#N/A</v>
      </c>
      <c r="AX578" s="625">
        <f>IF(AND('General price list'!$J578="F4",'General price list'!$AB578+0&gt;0),1,0)</f>
        <v>0</v>
      </c>
      <c r="AY578" s="625">
        <f t="shared" si="1658"/>
        <v>1</v>
      </c>
      <c r="AZ578" s="625">
        <f t="shared" si="1659"/>
        <v>0</v>
      </c>
    </row>
    <row r="579" spans="1:52" ht="15" customHeight="1">
      <c r="A579" s="639" t="str">
        <f>Kat.!C579</f>
        <v/>
      </c>
      <c r="B579" s="640">
        <f>IF(AND('General price list'!$J579="F4",$AI$1=FALSE),0,IF(AC579="SKLADEM",1,IF(AC579=$V$3,1,0)))</f>
        <v>1</v>
      </c>
      <c r="C579" s="641" t="s">
        <v>1204</v>
      </c>
      <c r="D579" s="642" t="s">
        <v>1205</v>
      </c>
      <c r="E579" s="643" t="s">
        <v>12663</v>
      </c>
      <c r="F579" s="771">
        <f>IFERROR(VLOOKUP(C579,[2]List1!$A:$D,3,FALSE),"NEUVEDENO!")</f>
        <v>1568</v>
      </c>
      <c r="G579" s="768">
        <f t="shared" si="1730"/>
        <v>1568</v>
      </c>
      <c r="H579" s="765">
        <f t="shared" si="1731"/>
        <v>66.60634714310595</v>
      </c>
      <c r="I579" s="644">
        <f>IFERROR(VLOOKUP(C579,[2]List1!$A:$D,4,FALSE),"NEUVEDENO!")</f>
        <v>1</v>
      </c>
      <c r="J579" s="733" t="s">
        <v>39</v>
      </c>
      <c r="K579" s="645" t="s">
        <v>20</v>
      </c>
      <c r="L579" s="645" t="s">
        <v>10994</v>
      </c>
      <c r="M579" s="645" t="s">
        <v>21</v>
      </c>
      <c r="N579" s="645">
        <f>IFERROR(VLOOKUP(C579,[3]List1!$A:$D,4,FALSE),"N/A!")</f>
        <v>1.8216E-2</v>
      </c>
      <c r="O579" s="645">
        <f>IFERROR(VLOOKUP(C579,[3]List1!$A:$D,3,FALSE),"N/A!")</f>
        <v>996</v>
      </c>
      <c r="P579" s="645">
        <f>IFERROR(VLOOKUP(C579,[3]List1!$A:$D,2,FALSE),"N/A!")</f>
        <v>8000</v>
      </c>
      <c r="Q579" s="645" t="s">
        <v>11311</v>
      </c>
      <c r="R579" s="645" t="s">
        <v>20</v>
      </c>
      <c r="S579" s="645" t="str">
        <f>IF($W$17=$AF$1,"červená fólie",IFERROR(VLOOKUP("červená fólie",Jazyky_ceník!$A:$Q,MATCH($W$17,Jazyky_ceník!$A$1:$Q$1,0),FALSE),"!!!"))</f>
        <v>červená fólie</v>
      </c>
      <c r="T579" s="645">
        <v>85</v>
      </c>
      <c r="U579" s="645">
        <v>30</v>
      </c>
      <c r="V579" s="645">
        <v>18</v>
      </c>
      <c r="W579" s="645" t="str">
        <f>IFERROR(IF(AND($AB579&gt;=0.1*$AA579,MOD($AB579,$AA579)&gt;=($AA579-(0.1*$AA579))),IF($W$17=$AF$1,"Zvažte možnost doobjednání ještě "&amp;Tabulka1[[#This Row],[VKPAL]]-MOD(AB579,AA579)&amp;" VK do plné palety.",VLOOKUP("Zvažte možnost doobjednání ještě ",Jazyky_ceník!A:Q,MATCH($W$17,Jazyky_ceník!$A$1:$Q$1,0),FALSE)&amp;Tabulka1[[#This Row],[VKPAL]]-MOD(AB579,AA579)&amp;VLOOKUP(" VK do plné palety.",Jazyky_ceník!A:Q,MATCH($W$17,Jazyky_ceník!$A$1:$Q$1,0),FALSE)),IFERROR(IF(AND(NOT(MOD($AB579,$AA579)=0),$AB579&gt;=0.9*$AA579,MOD($AB579,$AA579)&lt;=0.1*$AA579),IF($W$17=$AF$1,"Zvažte možnost optimalizace objednaného množství podle počtu VK na paletě ==&gt;",VLOOKUP("Zvažte možnost optimalizace objednaného množství podle počtu VK na paletě ==&gt;",Jazyky_ceník!A:Q,MATCH($W$17,Jazyky_ceník!$A$1:$Q$1,0),FALSE)),VLOOKUP('General price list'!$C579,Popisy!A:M,MATCH($W$17,Popisy!$A$7:$M$7,0),FALSE)),"---------------")),IFERROR(VLOOKUP('General price list'!$C579,Popisy!A:M,MATCH($W$17,Popisy!$A$7:$M$7,0),FALSE),"---------------"))</f>
        <v>14 různobarevných efektů</v>
      </c>
      <c r="X579" s="645" t="str">
        <f t="shared" si="1732"/>
        <v/>
      </c>
      <c r="Y579" s="645" t="str">
        <f t="shared" si="1733"/>
        <v/>
      </c>
      <c r="Z579" s="645" t="str">
        <f>HYPERLINK("https://www.klasekpyrotechnics.cz/c9825c-c14")</f>
        <v>https://www.klasekpyrotechnics.cz/c9825c-c14</v>
      </c>
      <c r="AA579" s="645">
        <f>IFERROR(IF(VLOOKUP(C579,[4]List1!$A:$D,4,FALSE)=0,"",VLOOKUP(C579,[4]List1!$A:$D,4,FALSE)),"")</f>
        <v>63</v>
      </c>
      <c r="AB579" s="646"/>
      <c r="AC579" s="647" t="str">
        <f>IFERROR(IF(VLOOKUP(C579,[1]List1!$A:$D,2,FALSE)="VYPRODÁNO",$V$9,IF(VLOOKUP(C579,[1]List1!$A:$D,2,FALSE)="DOCHÁZÍ",$V$3,VLOOKUP(C579,[1]List1!$A:$D,2,FALSE))),"OFFLINE!")</f>
        <v>SKLADEM</v>
      </c>
      <c r="AD579" s="647" t="str">
        <f ca="1">IF(AP579="NE",$V$10,IF(AC579=$V$3,IF(AQ579&lt;1,$V$8,$V$2&amp;" "&amp;AQ579&amp;" "&amp;$V$1),IF(AC579="SKLADEM",$V$6,IFERROR(IF(OR(AC579-TODAY()&gt;45,VLOOKUP(C579,[1]List1!$A:$E,4,FALSE)=0),AC579,DAY(AC579)&amp;"."&amp;MONTH(AC579)&amp;"."&amp;YEAR(AC579)&amp;" "&amp;$V$4&amp;VLOOKUP(C579,[1]List1!$A:$E,4,FALSE)&amp;" "&amp;$V$1),AC579))))</f>
        <v>SKLADEM</v>
      </c>
      <c r="AE579" s="645" t="str">
        <f t="shared" ca="1" si="1734"/>
        <v>SKLADEM</v>
      </c>
      <c r="AF579" s="648">
        <f t="shared" si="1735"/>
        <v>0</v>
      </c>
      <c r="AG579" s="649">
        <f t="shared" si="1736"/>
        <v>0</v>
      </c>
      <c r="AH579" s="650">
        <f t="shared" si="1737"/>
        <v>0</v>
      </c>
      <c r="AI579" s="645">
        <f t="shared" si="1738"/>
        <v>0</v>
      </c>
      <c r="AJ579" s="645">
        <f t="shared" si="1739"/>
        <v>0</v>
      </c>
      <c r="AK579" s="645" t="str">
        <f t="shared" si="1740"/>
        <v/>
      </c>
      <c r="AL579" s="645" t="str">
        <f t="shared" si="1741"/>
        <v/>
      </c>
      <c r="AM579" s="645">
        <f t="shared" si="1742"/>
        <v>0</v>
      </c>
      <c r="AN579" s="651">
        <f t="shared" si="1743"/>
        <v>0</v>
      </c>
      <c r="AO579" s="623"/>
      <c r="AP579" s="632" t="str">
        <f t="shared" si="1652"/>
        <v/>
      </c>
      <c r="AQ579" s="633" t="str">
        <f>IF(AC579=$V$3,IF(VLOOKUP(C579,[1]List1!$A:$E,5,FALSE)=0,1,VLOOKUP(C579,[1]List1!$A:$E,5,FALSE)),"")</f>
        <v/>
      </c>
      <c r="AR579" s="625" t="str">
        <f t="shared" si="1653"/>
        <v/>
      </c>
      <c r="AS579" s="634" t="str">
        <f t="shared" si="1654"/>
        <v/>
      </c>
      <c r="AT579" s="625" t="str">
        <f t="shared" si="1655"/>
        <v/>
      </c>
      <c r="AU579" s="638" t="e">
        <f t="shared" si="1656"/>
        <v>#N/A</v>
      </c>
      <c r="AV579" s="625" t="e">
        <f t="shared" si="1657"/>
        <v>#N/A</v>
      </c>
      <c r="AX579" s="625">
        <f>IF(AND('General price list'!$J579="F4",'General price list'!$AB579+0&gt;0),1,0)</f>
        <v>0</v>
      </c>
      <c r="AY579" s="625">
        <f t="shared" si="1658"/>
        <v>1</v>
      </c>
      <c r="AZ579" s="625">
        <f t="shared" si="1659"/>
        <v>0</v>
      </c>
    </row>
    <row r="580" spans="1:52" ht="15" customHeight="1">
      <c r="A580" s="621" t="str">
        <f>Kat.!C580</f>
        <v/>
      </c>
      <c r="B580" s="566">
        <f>IF(AND('General price list'!$J580="F4",$AI$1=FALSE),0,IF(AC580="SKLADEM",1,IF(AC580=$V$3,1,0)))</f>
        <v>1</v>
      </c>
      <c r="C580" s="567" t="s">
        <v>4947</v>
      </c>
      <c r="D580" s="568" t="s">
        <v>11889</v>
      </c>
      <c r="E580" s="763" t="s">
        <v>12663</v>
      </c>
      <c r="F580" s="772">
        <f>IFERROR(VLOOKUP(C580,[2]List1!$A:$D,3,FALSE),"NEUVEDENO!")</f>
        <v>1709</v>
      </c>
      <c r="G580" s="769">
        <f t="shared" si="1730"/>
        <v>1709</v>
      </c>
      <c r="H580" s="766">
        <f t="shared" si="1731"/>
        <v>72.595820961459225</v>
      </c>
      <c r="I580" s="764">
        <f>IFERROR(VLOOKUP(C580,[2]List1!$A:$D,4,FALSE),"NEUVEDENO!")</f>
        <v>1</v>
      </c>
      <c r="J580" s="732" t="s">
        <v>39</v>
      </c>
      <c r="K580" s="569" t="s">
        <v>20</v>
      </c>
      <c r="L580" s="569" t="s">
        <v>10994</v>
      </c>
      <c r="M580" s="569" t="s">
        <v>21</v>
      </c>
      <c r="N580" s="569">
        <f>IFERROR(VLOOKUP(C580,[3]List1!$A:$D,4,FALSE),"N/A!")</f>
        <v>1.8216E-2</v>
      </c>
      <c r="O580" s="569">
        <f>IFERROR(VLOOKUP(C580,[3]List1!$A:$D,3,FALSE),"N/A!")</f>
        <v>1000</v>
      </c>
      <c r="P580" s="569">
        <f>IFERROR(VLOOKUP(C580,[3]List1!$A:$D,2,FALSE),"N/A!")</f>
        <v>8300</v>
      </c>
      <c r="Q580" s="569" t="s">
        <v>11311</v>
      </c>
      <c r="R580" s="569"/>
      <c r="S580" s="569" t="str">
        <f>IF($W$17=$AF$1,"červená fólie",IFERROR(VLOOKUP("červená fólie",Jazyky_ceník!$A:$Q,MATCH($W$17,Jazyky_ceník!$A$1:$Q$1,0),FALSE),"!!!"))</f>
        <v>červená fólie</v>
      </c>
      <c r="T580" s="569">
        <v>70</v>
      </c>
      <c r="U580" s="569">
        <v>33</v>
      </c>
      <c r="V580" s="569">
        <v>20</v>
      </c>
      <c r="W580" s="569" t="str">
        <f>IFERROR(IF(AND($AB580&gt;=0.1*$AA580,MOD($AB580,$AA580)&gt;=($AA580-(0.1*$AA580))),IF($W$17=$AF$1,"Zvažte možnost doobjednání ještě "&amp;Tabulka1[[#This Row],[VKPAL]]-MOD(AB580,AA580)&amp;" VK do plné palety.",VLOOKUP("Zvažte možnost doobjednání ještě ",Jazyky_ceník!A:Q,MATCH($W$17,Jazyky_ceník!$A$1:$Q$1,0),FALSE)&amp;Tabulka1[[#This Row],[VKPAL]]-MOD(AB580,AA580)&amp;VLOOKUP(" VK do plné palety.",Jazyky_ceník!A:Q,MATCH($W$17,Jazyky_ceník!$A$1:$Q$1,0),FALSE)),IFERROR(IF(AND(NOT(MOD($AB580,$AA580)=0),$AB580&gt;=0.9*$AA580,MOD($AB580,$AA580)&lt;=0.1*$AA580),IF($W$17=$AF$1,"Zvažte možnost optimalizace objednaného množství podle počtu VK na paletě ==&gt;",VLOOKUP("Zvažte možnost optimalizace objednaného množství podle počtu VK na paletě ==&gt;",Jazyky_ceník!A:Q,MATCH($W$17,Jazyky_ceník!$A$1:$Q$1,0),FALSE)),VLOOKUP('General price list'!$C580,Popisy!A:M,MATCH($W$17,Popisy!$A$7:$M$7,0),FALSE)),"---------------")),IFERROR(VLOOKUP('General price list'!$C580,Popisy!A:M,MATCH($W$17,Popisy!$A$7:$M$7,0),FALSE),"---------------"))</f>
        <v>7 různobarevných efektů</v>
      </c>
      <c r="X580" s="569" t="str">
        <f t="shared" si="1732"/>
        <v/>
      </c>
      <c r="Y580" s="569" t="str">
        <f t="shared" si="1733"/>
        <v/>
      </c>
      <c r="Z580" s="569" t="str">
        <f>HYPERLINK("https://www.klasekpyrotechnics.cz/c9825sig-c14")</f>
        <v>https://www.klasekpyrotechnics.cz/c9825sig-c14</v>
      </c>
      <c r="AA580" s="569">
        <f>IFERROR(IF(VLOOKUP(C580,[4]List1!$A:$D,4,FALSE)=0,"",VLOOKUP(C580,[4]List1!$A:$D,4,FALSE)),"")</f>
        <v>63</v>
      </c>
      <c r="AB580" s="565"/>
      <c r="AC580" s="570" t="str">
        <f>IFERROR(IF(VLOOKUP(C580,[1]List1!$A:$D,2,FALSE)="VYPRODÁNO",$V$9,IF(VLOOKUP(C580,[1]List1!$A:$D,2,FALSE)="DOCHÁZÍ",$V$3,VLOOKUP(C580,[1]List1!$A:$D,2,FALSE))),"OFFLINE!")</f>
        <v>SKLADEM</v>
      </c>
      <c r="AD580" s="570" t="str">
        <f ca="1">IF(AP580="NE",$V$10,IF(AC580=$V$3,IF(AQ580&lt;1,$V$8,$V$2&amp;" "&amp;AQ580&amp;" "&amp;$V$1),IF(AC580="SKLADEM",$V$6,IFERROR(IF(OR(AC580-TODAY()&gt;45,VLOOKUP(C580,[1]List1!$A:$E,4,FALSE)=0),AC580,DAY(AC580)&amp;"."&amp;MONTH(AC580)&amp;"."&amp;YEAR(AC580)&amp;" "&amp;$V$4&amp;VLOOKUP(C580,[1]List1!$A:$E,4,FALSE)&amp;" "&amp;$V$1),AC580))))</f>
        <v>SKLADEM</v>
      </c>
      <c r="AE580" s="581" t="str">
        <f t="shared" ca="1" si="1734"/>
        <v>SKLADEM</v>
      </c>
      <c r="AF580" s="584">
        <f t="shared" si="1735"/>
        <v>0</v>
      </c>
      <c r="AG580" s="585">
        <f t="shared" si="1736"/>
        <v>0</v>
      </c>
      <c r="AH580" s="583">
        <f t="shared" si="1737"/>
        <v>0</v>
      </c>
      <c r="AI580" s="582">
        <f t="shared" si="1738"/>
        <v>0</v>
      </c>
      <c r="AJ580" s="569">
        <f t="shared" si="1739"/>
        <v>0</v>
      </c>
      <c r="AK580" s="569" t="str">
        <f t="shared" si="1740"/>
        <v/>
      </c>
      <c r="AL580" s="569" t="str">
        <f t="shared" si="1741"/>
        <v/>
      </c>
      <c r="AM580" s="569">
        <f t="shared" si="1742"/>
        <v>0</v>
      </c>
      <c r="AN580" s="581">
        <f t="shared" si="1743"/>
        <v>0</v>
      </c>
      <c r="AO580" s="623"/>
      <c r="AP580" s="632" t="str">
        <f t="shared" si="1652"/>
        <v/>
      </c>
      <c r="AQ580" s="633" t="str">
        <f>IF(AC580=$V$3,IF(VLOOKUP(C580,[1]List1!$A:$E,5,FALSE)=0,1,VLOOKUP(C580,[1]List1!$A:$E,5,FALSE)),"")</f>
        <v/>
      </c>
      <c r="AR580" s="625" t="str">
        <f t="shared" si="1653"/>
        <v/>
      </c>
      <c r="AS580" s="634" t="str">
        <f t="shared" si="1654"/>
        <v/>
      </c>
      <c r="AT580" s="625" t="str">
        <f t="shared" si="1655"/>
        <v/>
      </c>
      <c r="AU580" s="638" t="e">
        <f t="shared" si="1656"/>
        <v>#N/A</v>
      </c>
      <c r="AV580" s="625" t="e">
        <f t="shared" si="1657"/>
        <v>#N/A</v>
      </c>
      <c r="AX580" s="625">
        <f>IF(AND('General price list'!$J580="F4",'General price list'!$AB580+0&gt;0),1,0)</f>
        <v>0</v>
      </c>
      <c r="AY580" s="625">
        <f t="shared" si="1658"/>
        <v>1</v>
      </c>
      <c r="AZ580" s="625">
        <f t="shared" si="1659"/>
        <v>0</v>
      </c>
    </row>
    <row r="581" spans="1:52" ht="15.75" customHeight="1">
      <c r="A581" s="639" t="str">
        <f>Kat.!C581</f>
        <v/>
      </c>
      <c r="B581" s="640">
        <f>IF(AND('General price list'!$J581="F4",$AI$1=FALSE),0,IF(AC581="SKLADEM",1,IF(AC581=$V$3,1,0)))</f>
        <v>1</v>
      </c>
      <c r="C581" s="567" t="s">
        <v>2292</v>
      </c>
      <c r="D581" s="642" t="s">
        <v>12550</v>
      </c>
      <c r="E581" s="643" t="s">
        <v>12663</v>
      </c>
      <c r="F581" s="791">
        <f>IFERROR(VLOOKUP(C581,[2]List1!$A:$D,3,FALSE),"NEUVEDENO!")</f>
        <v>1559</v>
      </c>
      <c r="G581" s="768">
        <f t="shared" si="1730"/>
        <v>1559</v>
      </c>
      <c r="H581" s="765">
        <f t="shared" si="1731"/>
        <v>66.224040303636585</v>
      </c>
      <c r="I581" s="644">
        <f>IFERROR(VLOOKUP(C581,[2]List1!$A:$D,4,FALSE),"NEUVEDENO!")</f>
        <v>1</v>
      </c>
      <c r="J581" s="733" t="s">
        <v>39</v>
      </c>
      <c r="K581" s="645" t="s">
        <v>11171</v>
      </c>
      <c r="L581" s="645" t="s">
        <v>10994</v>
      </c>
      <c r="M581" s="645" t="s">
        <v>21</v>
      </c>
      <c r="N581" s="645">
        <f>IFERROR(VLOOKUP(C581,[3]List1!$A:$D,4,FALSE),"N/A!")</f>
        <v>1.7860499999999998E-2</v>
      </c>
      <c r="O581" s="645">
        <f>IFERROR(VLOOKUP(C581,[3]List1!$A:$D,3,FALSE),"N/A!")</f>
        <v>1000</v>
      </c>
      <c r="P581" s="645">
        <f>IFERROR(VLOOKUP(C581,[3]List1!$A:$D,2,FALSE),"N/A!")</f>
        <v>9000</v>
      </c>
      <c r="Q581" s="645" t="s">
        <v>11764</v>
      </c>
      <c r="R581" s="645" t="s">
        <v>20</v>
      </c>
      <c r="S581" s="645" t="str">
        <f>IF($W$17=$AF$1,"červená fólie",IFERROR(VLOOKUP("červená fólie",Jazyky_ceník!$A:$Q,MATCH($W$17,Jazyky_ceník!$A$1:$Q$1,0),FALSE),"!!!"))</f>
        <v>červená fólie</v>
      </c>
      <c r="T581" s="645">
        <v>70</v>
      </c>
      <c r="U581" s="645">
        <v>30</v>
      </c>
      <c r="V581" s="645">
        <v>18</v>
      </c>
      <c r="W581" s="645" t="str">
        <f>IFERROR(IF(AND($AB581&gt;=0.1*$AA581,MOD($AB581,$AA581)&gt;=($AA581-(0.1*$AA581))),IF($W$17=$AF$1,"Zvažte možnost doobjednání ještě "&amp;Tabulka1[[#This Row],[VKPAL]]-MOD(AB581,AA581)&amp;" VK do plné palety.",VLOOKUP("Zvažte možnost doobjednání ještě ",Jazyky_ceník!A:Q,MATCH($W$17,Jazyky_ceník!$A$1:$Q$1,0),FALSE)&amp;Tabulka1[[#This Row],[VKPAL]]-MOD(AB581,AA581)&amp;VLOOKUP(" VK do plné palety.",Jazyky_ceník!A:Q,MATCH($W$17,Jazyky_ceník!$A$1:$Q$1,0),FALSE)),IFERROR(IF(AND(NOT(MOD($AB581,$AA581)=0),$AB581&gt;=0.9*$AA581,MOD($AB581,$AA581)&lt;=0.1*$AA581),IF($W$17=$AF$1,"Zvažte možnost optimalizace objednaného množství podle počtu VK na paletě ==&gt;",VLOOKUP("Zvažte možnost optimalizace objednaného množství podle počtu VK na paletě ==&gt;",Jazyky_ceník!A:Q,MATCH($W$17,Jazyky_ceník!$A$1:$Q$1,0),FALSE)),VLOOKUP('General price list'!$C581,Popisy!A:M,MATCH($W$17,Popisy!$A$7:$M$7,0),FALSE)),"---------------")),IFERROR(VLOOKUP('General price list'!$C581,Popisy!A:M,MATCH($W$17,Popisy!$A$7:$M$7,0),FALSE),"---------------"))</f>
        <v>20 různobarevných efektů</v>
      </c>
      <c r="X581" s="645" t="str">
        <f t="shared" si="1732"/>
        <v/>
      </c>
      <c r="Y581" s="645" t="str">
        <f t="shared" si="1733"/>
        <v/>
      </c>
      <c r="Z581" s="645" t="str">
        <f>HYPERLINK("https://www.klasekpyrotechnics.cz/c10025bpw-c14")</f>
        <v>https://www.klasekpyrotechnics.cz/c10025bpw-c14</v>
      </c>
      <c r="AA581" s="645">
        <f>IFERROR(IF(VLOOKUP(C581,[4]List1!$A:$D,4,FALSE)=0,"",VLOOKUP(C581,[4]List1!$A:$D,4,FALSE)),"")</f>
        <v>54</v>
      </c>
      <c r="AB581" s="646"/>
      <c r="AC581" s="647" t="str">
        <f>IFERROR(IF(VLOOKUP(C581,[1]List1!$A:$D,2,FALSE)="VYPRODÁNO",$V$9,IF(VLOOKUP(C581,[1]List1!$A:$D,2,FALSE)="DOCHÁZÍ",$V$3,VLOOKUP(C581,[1]List1!$A:$D,2,FALSE))),"OFFLINE!")</f>
        <v>SKLADEM</v>
      </c>
      <c r="AD581" s="647" t="str">
        <f ca="1">IF(AP581="NE",$V$10,IF(AC581=$V$3,IF(AQ581&lt;1,$V$8,$V$2&amp;" "&amp;AQ581&amp;" "&amp;$V$1),IF(AC581="SKLADEM",$V$6,IFERROR(IF(OR(AC581-TODAY()&gt;45,VLOOKUP(C581,[1]List1!$A:$E,4,FALSE)=0),AC581,DAY(AC581)&amp;"."&amp;MONTH(AC581)&amp;"."&amp;YEAR(AC581)&amp;" "&amp;$V$4&amp;VLOOKUP(C581,[1]List1!$A:$E,4,FALSE)&amp;" "&amp;$V$1),AC581))))</f>
        <v>SKLADEM</v>
      </c>
      <c r="AE581" s="645" t="str">
        <f t="shared" ca="1" si="1734"/>
        <v>SKLADEM</v>
      </c>
      <c r="AF581" s="648">
        <f t="shared" si="1735"/>
        <v>0</v>
      </c>
      <c r="AG581" s="649">
        <f t="shared" si="1736"/>
        <v>0</v>
      </c>
      <c r="AH581" s="650">
        <f t="shared" si="1737"/>
        <v>0</v>
      </c>
      <c r="AI581" s="645">
        <f t="shared" si="1738"/>
        <v>0</v>
      </c>
      <c r="AJ581" s="645">
        <f t="shared" si="1739"/>
        <v>0</v>
      </c>
      <c r="AK581" s="645" t="str">
        <f t="shared" si="1740"/>
        <v/>
      </c>
      <c r="AL581" s="645" t="str">
        <f t="shared" si="1741"/>
        <v/>
      </c>
      <c r="AM581" s="645">
        <f t="shared" si="1742"/>
        <v>0</v>
      </c>
      <c r="AN581" s="651">
        <f t="shared" si="1743"/>
        <v>0</v>
      </c>
      <c r="AO581" s="623"/>
      <c r="AP581" s="625" t="str">
        <f t="shared" si="1652"/>
        <v/>
      </c>
      <c r="AQ581" s="625" t="str">
        <f>IF(AC581=$V$3,IF(VLOOKUP(C581,[1]List1!$A:$E,5,FALSE)=0,1,VLOOKUP(C581,[1]List1!$A:$E,5,FALSE)),"")</f>
        <v/>
      </c>
      <c r="AR581" s="629" t="str">
        <f t="shared" si="1653"/>
        <v/>
      </c>
      <c r="AS581" s="630" t="str">
        <f t="shared" si="1654"/>
        <v/>
      </c>
      <c r="AT581" s="625" t="str">
        <f t="shared" si="1655"/>
        <v/>
      </c>
      <c r="AU581" s="625" t="e">
        <f t="shared" si="1656"/>
        <v>#N/A</v>
      </c>
      <c r="AV581" s="625" t="e">
        <f t="shared" si="1657"/>
        <v>#N/A</v>
      </c>
      <c r="AW581" s="631"/>
      <c r="AX581" s="631">
        <f>IF(AND('General price list'!$J581="F4",'General price list'!$AB581+0&gt;0),1,0)</f>
        <v>0</v>
      </c>
      <c r="AY581" s="631">
        <f t="shared" si="1658"/>
        <v>1</v>
      </c>
      <c r="AZ581" s="631">
        <f t="shared" si="1659"/>
        <v>0</v>
      </c>
    </row>
    <row r="582" spans="1:52" ht="15" customHeight="1">
      <c r="A582" s="621" t="str">
        <f>Kat.!C582</f>
        <v/>
      </c>
      <c r="B582" s="566">
        <f>IF(AND('General price list'!$J582="F4",$AI$1=FALSE),0,IF(AC582="SKLADEM",1,IF(AC582=$V$3,1,0)))</f>
        <v>1</v>
      </c>
      <c r="C582" s="567" t="s">
        <v>2293</v>
      </c>
      <c r="D582" s="568" t="s">
        <v>9804</v>
      </c>
      <c r="E582" s="763" t="s">
        <v>12663</v>
      </c>
      <c r="F582" s="772">
        <f>IFERROR(VLOOKUP(C582,[2]List1!$A:$D,3,FALSE),"NEUVEDENO!")</f>
        <v>2685</v>
      </c>
      <c r="G582" s="769">
        <f t="shared" si="1730"/>
        <v>2685</v>
      </c>
      <c r="H582" s="766">
        <f t="shared" si="1731"/>
        <v>114.05487377502517</v>
      </c>
      <c r="I582" s="764">
        <f>IFERROR(VLOOKUP(C582,[2]List1!$A:$D,4,FALSE),"NEUVEDENO!")</f>
        <v>1</v>
      </c>
      <c r="J582" s="732" t="s">
        <v>39</v>
      </c>
      <c r="K582" s="569" t="s">
        <v>20</v>
      </c>
      <c r="L582" s="569" t="s">
        <v>10994</v>
      </c>
      <c r="M582" s="569" t="s">
        <v>21</v>
      </c>
      <c r="N582" s="569">
        <f>IFERROR(VLOOKUP(C582,[3]List1!$A:$D,4,FALSE),"N/A!")</f>
        <v>3.7949999999999998E-2</v>
      </c>
      <c r="O582" s="569">
        <f>IFERROR(VLOOKUP(C582,[3]List1!$A:$D,3,FALSE),"N/A!")</f>
        <v>1820</v>
      </c>
      <c r="P582" s="569">
        <f>IFERROR(VLOOKUP(C582,[3]List1!$A:$D,2,FALSE),"N/A!")</f>
        <v>12800</v>
      </c>
      <c r="Q582" s="569" t="s">
        <v>11238</v>
      </c>
      <c r="R582" s="569" t="s">
        <v>20</v>
      </c>
      <c r="S582" s="569" t="str">
        <f>IF($W$17=$AF$1,"červená fólie",IFERROR(VLOOKUP("červená fólie",Jazyky_ceník!$A:$Q,MATCH($W$17,Jazyky_ceník!$A$1:$Q$1,0),FALSE),"!!!"))</f>
        <v>červená fólie</v>
      </c>
      <c r="T582" s="569">
        <v>90</v>
      </c>
      <c r="U582" s="569">
        <v>30</v>
      </c>
      <c r="V582" s="569">
        <v>18</v>
      </c>
      <c r="W582" s="569" t="str">
        <f>IFERROR(IF(AND($AB582&gt;=0.1*$AA582,MOD($AB582,$AA582)&gt;=($AA582-(0.1*$AA582))),IF($W$17=$AF$1,"Zvažte možnost doobjednání ještě "&amp;Tabulka1[[#This Row],[VKPAL]]-MOD(AB582,AA582)&amp;" VK do plné palety.",VLOOKUP("Zvažte možnost doobjednání ještě ",Jazyky_ceník!A:Q,MATCH($W$17,Jazyky_ceník!$A$1:$Q$1,0),FALSE)&amp;Tabulka1[[#This Row],[VKPAL]]-MOD(AB582,AA582)&amp;VLOOKUP(" VK do plné palety.",Jazyky_ceník!A:Q,MATCH($W$17,Jazyky_ceník!$A$1:$Q$1,0),FALSE)),IFERROR(IF(AND(NOT(MOD($AB582,$AA582)=0),$AB582&gt;=0.9*$AA582,MOD($AB582,$AA582)&lt;=0.1*$AA582),IF($W$17=$AF$1,"Zvažte možnost optimalizace objednaného množství podle počtu VK na paletě ==&gt;",VLOOKUP("Zvažte možnost optimalizace objednaného množství podle počtu VK na paletě ==&gt;",Jazyky_ceník!A:Q,MATCH($W$17,Jazyky_ceník!$A$1:$Q$1,0),FALSE)),VLOOKUP('General price list'!$C582,Popisy!A:M,MATCH($W$17,Popisy!$A$7:$M$7,0),FALSE)),"---------------")),IFERROR(VLOOKUP('General price list'!$C582,Popisy!A:M,MATCH($W$17,Popisy!$A$7:$M$7,0),FALSE),"---------------"))</f>
        <v>20 různobarevných efektů</v>
      </c>
      <c r="X582" s="569" t="str">
        <f t="shared" si="1732"/>
        <v/>
      </c>
      <c r="Y582" s="569" t="str">
        <f t="shared" si="1733"/>
        <v/>
      </c>
      <c r="Z582" s="569" t="str">
        <f>HYPERLINK("https://www.klasekpyrotechnics.cz/c14025xfs-c14")</f>
        <v>https://www.klasekpyrotechnics.cz/c14025xfs-c14</v>
      </c>
      <c r="AA582" s="569" t="str">
        <f>IFERROR(IF(VLOOKUP(C582,[4]List1!$A:$D,4,FALSE)=0,"",VLOOKUP(C582,[4]List1!$A:$D,4,FALSE)),"")</f>
        <v>32</v>
      </c>
      <c r="AB582" s="565"/>
      <c r="AC582" s="570" t="str">
        <f>IFERROR(IF(VLOOKUP(C582,[1]List1!$A:$D,2,FALSE)="VYPRODÁNO",$V$9,IF(VLOOKUP(C582,[1]List1!$A:$D,2,FALSE)="DOCHÁZÍ",$V$3,VLOOKUP(C582,[1]List1!$A:$D,2,FALSE))),"OFFLINE!")</f>
        <v>SKLADEM</v>
      </c>
      <c r="AD582" s="570" t="str">
        <f ca="1">IF(AP582="NE",$V$10,IF(AC582=$V$3,IF(AQ582&lt;1,$V$8,$V$2&amp;" "&amp;AQ582&amp;" "&amp;$V$1),IF(AC582="SKLADEM",$V$6,IFERROR(IF(OR(AC582-TODAY()&gt;45,VLOOKUP(C582,[1]List1!$A:$E,4,FALSE)=0),AC582,DAY(AC582)&amp;"."&amp;MONTH(AC582)&amp;"."&amp;YEAR(AC582)&amp;" "&amp;$V$4&amp;VLOOKUP(C582,[1]List1!$A:$E,4,FALSE)&amp;" "&amp;$V$1),AC582))))</f>
        <v>SKLADEM</v>
      </c>
      <c r="AE582" s="581" t="str">
        <f t="shared" ca="1" si="1734"/>
        <v>SKLADEM</v>
      </c>
      <c r="AF582" s="584">
        <f t="shared" si="1735"/>
        <v>0</v>
      </c>
      <c r="AG582" s="585">
        <f t="shared" si="1736"/>
        <v>0</v>
      </c>
      <c r="AH582" s="583">
        <f t="shared" si="1737"/>
        <v>0</v>
      </c>
      <c r="AI582" s="582">
        <f t="shared" si="1738"/>
        <v>0</v>
      </c>
      <c r="AJ582" s="569">
        <f t="shared" si="1739"/>
        <v>0</v>
      </c>
      <c r="AK582" s="569" t="str">
        <f t="shared" si="1740"/>
        <v/>
      </c>
      <c r="AL582" s="569" t="str">
        <f t="shared" si="1741"/>
        <v/>
      </c>
      <c r="AM582" s="569">
        <f t="shared" si="1742"/>
        <v>0</v>
      </c>
      <c r="AN582" s="581">
        <f t="shared" si="1743"/>
        <v>0</v>
      </c>
      <c r="AO582" s="623"/>
      <c r="AP582" s="632" t="str">
        <f t="shared" si="1652"/>
        <v/>
      </c>
      <c r="AQ582" s="633" t="str">
        <f>IF(AC582=$V$3,IF(VLOOKUP(C582,[1]List1!$A:$E,5,FALSE)=0,1,VLOOKUP(C582,[1]List1!$A:$E,5,FALSE)),"")</f>
        <v/>
      </c>
      <c r="AR582" s="625" t="str">
        <f t="shared" si="1653"/>
        <v/>
      </c>
      <c r="AS582" s="634" t="str">
        <f t="shared" si="1654"/>
        <v/>
      </c>
      <c r="AT582" s="625" t="str">
        <f t="shared" si="1655"/>
        <v/>
      </c>
      <c r="AU582" s="638" t="e">
        <f t="shared" si="1656"/>
        <v>#N/A</v>
      </c>
      <c r="AV582" s="625" t="e">
        <f t="shared" si="1657"/>
        <v>#N/A</v>
      </c>
      <c r="AX582" s="625">
        <f>IF(AND('General price list'!$J582="F4",'General price list'!$AB582+0&gt;0),1,0)</f>
        <v>0</v>
      </c>
      <c r="AY582" s="625">
        <f t="shared" si="1658"/>
        <v>1</v>
      </c>
      <c r="AZ582" s="625">
        <f t="shared" si="1659"/>
        <v>0</v>
      </c>
    </row>
    <row r="583" spans="1:52" ht="15" customHeight="1">
      <c r="A583" s="639" t="str">
        <f>Kat.!C583</f>
        <v/>
      </c>
      <c r="B583" s="640">
        <f>IF(AND('General price list'!$J583="F4",$AI$1=FALSE),0,IF(AC583="SKLADEM",1,IF(AC583=$V$3,1,0)))</f>
        <v>1</v>
      </c>
      <c r="C583" s="641" t="s">
        <v>1209</v>
      </c>
      <c r="D583" s="642" t="s">
        <v>9490</v>
      </c>
      <c r="E583" s="643" t="s">
        <v>12663</v>
      </c>
      <c r="F583" s="771">
        <f>IFERROR(VLOOKUP(C583,[2]List1!$A:$D,3,FALSE),"NEUVEDENO!")</f>
        <v>3454</v>
      </c>
      <c r="G583" s="768">
        <f t="shared" si="1730"/>
        <v>3454</v>
      </c>
      <c r="H583" s="765">
        <f t="shared" si="1731"/>
        <v>146.72086928079588</v>
      </c>
      <c r="I583" s="644">
        <f>IFERROR(VLOOKUP(C583,[2]List1!$A:$D,4,FALSE),"NEUVEDENO!")</f>
        <v>1</v>
      </c>
      <c r="J583" s="733" t="s">
        <v>39</v>
      </c>
      <c r="K583" s="645" t="s">
        <v>20</v>
      </c>
      <c r="L583" s="645" t="s">
        <v>10986</v>
      </c>
      <c r="M583" s="645" t="s">
        <v>21</v>
      </c>
      <c r="N583" s="645">
        <f>IFERROR(VLOOKUP(C583,[3]List1!$A:$D,4,FALSE),"N/A!")</f>
        <v>4.9612499999999997E-2</v>
      </c>
      <c r="O583" s="645">
        <f>IFERROR(VLOOKUP(C583,[3]List1!$A:$D,3,FALSE),"N/A!")</f>
        <v>1984</v>
      </c>
      <c r="P583" s="645">
        <f>IFERROR(VLOOKUP(C583,[3]List1!$A:$D,2,FALSE),"N/A!")</f>
        <v>18000</v>
      </c>
      <c r="Q583" s="645" t="s">
        <v>11252</v>
      </c>
      <c r="R583" s="645"/>
      <c r="S583" s="645" t="str">
        <f>IF($W$17=$AF$1,"červená fólie",IFERROR(VLOOKUP("červená fólie",Jazyky_ceník!$A:$Q,MATCH($W$17,Jazyky_ceník!$A$1:$Q$1,0),FALSE),"!!!"))</f>
        <v>červená fólie</v>
      </c>
      <c r="T583" s="645">
        <v>160</v>
      </c>
      <c r="U583" s="645">
        <v>30</v>
      </c>
      <c r="V583" s="645">
        <v>18</v>
      </c>
      <c r="W583" s="645" t="str">
        <f>IFERROR(IF(AND($AB583&gt;=0.1*$AA583,MOD($AB583,$AA583)&gt;=($AA583-(0.1*$AA583))),IF($W$17=$AF$1,"Zvažte možnost doobjednání ještě "&amp;Tabulka1[[#This Row],[VKPAL]]-MOD(AB583,AA583)&amp;" VK do plné palety.",VLOOKUP("Zvažte možnost doobjednání ještě ",Jazyky_ceník!A:Q,MATCH($W$17,Jazyky_ceník!$A$1:$Q$1,0),FALSE)&amp;Tabulka1[[#This Row],[VKPAL]]-MOD(AB583,AA583)&amp;VLOOKUP(" VK do plné palety.",Jazyky_ceník!A:Q,MATCH($W$17,Jazyky_ceník!$A$1:$Q$1,0),FALSE)),IFERROR(IF(AND(NOT(MOD($AB583,$AA583)=0),$AB583&gt;=0.9*$AA583,MOD($AB583,$AA583)&lt;=0.1*$AA583),IF($W$17=$AF$1,"Zvažte možnost optimalizace objednaného množství podle počtu VK na paletě ==&gt;",VLOOKUP("Zvažte možnost optimalizace objednaného množství podle počtu VK na paletě ==&gt;",Jazyky_ceník!A:Q,MATCH($W$17,Jazyky_ceník!$A$1:$Q$1,0),FALSE)),VLOOKUP('General price list'!$C583,Popisy!A:M,MATCH($W$17,Popisy!$A$7:$M$7,0),FALSE)),"---------------")),IFERROR(VLOOKUP('General price list'!$C583,Popisy!A:M,MATCH($W$17,Popisy!$A$7:$M$7,0),FALSE),"---------------"))</f>
        <v>32 různobarevných efektů</v>
      </c>
      <c r="X583" s="645" t="str">
        <f t="shared" si="1732"/>
        <v/>
      </c>
      <c r="Y583" s="645" t="str">
        <f t="shared" si="1733"/>
        <v/>
      </c>
      <c r="Z583" s="645" t="str">
        <f>HYPERLINK("https://www.klasekpyrotechnics.cz/c19225mf-c14")</f>
        <v>https://www.klasekpyrotechnics.cz/c19225mf-c14</v>
      </c>
      <c r="AA583" s="645">
        <f>IFERROR(IF(VLOOKUP(C583,[4]List1!$A:$D,4,FALSE)=0,"",VLOOKUP(C583,[4]List1!$A:$D,4,FALSE)),"")</f>
        <v>20</v>
      </c>
      <c r="AB583" s="646"/>
      <c r="AC583" s="647" t="str">
        <f>IFERROR(IF(VLOOKUP(C583,[1]List1!$A:$D,2,FALSE)="VYPRODÁNO",$V$9,IF(VLOOKUP(C583,[1]List1!$A:$D,2,FALSE)="DOCHÁZÍ",$V$3,VLOOKUP(C583,[1]List1!$A:$D,2,FALSE))),"OFFLINE!")</f>
        <v>SKLADEM</v>
      </c>
      <c r="AD583" s="647" t="str">
        <f ca="1">IF(AP583="NE",$V$10,IF(AC583=$V$3,IF(AQ583&lt;1,$V$8,$V$2&amp;" "&amp;AQ583&amp;" "&amp;$V$1),IF(AC583="SKLADEM",$V$6,IFERROR(IF(OR(AC583-TODAY()&gt;45,VLOOKUP(C583,[1]List1!$A:$E,4,FALSE)=0),AC583,DAY(AC583)&amp;"."&amp;MONTH(AC583)&amp;"."&amp;YEAR(AC583)&amp;" "&amp;$V$4&amp;VLOOKUP(C583,[1]List1!$A:$E,4,FALSE)&amp;" "&amp;$V$1),AC583))))</f>
        <v>SKLADEM</v>
      </c>
      <c r="AE583" s="645" t="str">
        <f t="shared" ca="1" si="1734"/>
        <v>SKLADEM</v>
      </c>
      <c r="AF583" s="648">
        <f t="shared" si="1735"/>
        <v>0</v>
      </c>
      <c r="AG583" s="649">
        <f t="shared" si="1736"/>
        <v>0</v>
      </c>
      <c r="AH583" s="650">
        <f t="shared" si="1737"/>
        <v>0</v>
      </c>
      <c r="AI583" s="645">
        <f t="shared" si="1738"/>
        <v>0</v>
      </c>
      <c r="AJ583" s="645">
        <f t="shared" si="1739"/>
        <v>0</v>
      </c>
      <c r="AK583" s="645" t="str">
        <f t="shared" si="1740"/>
        <v/>
      </c>
      <c r="AL583" s="645" t="str">
        <f t="shared" si="1741"/>
        <v/>
      </c>
      <c r="AM583" s="645">
        <f t="shared" si="1742"/>
        <v>0</v>
      </c>
      <c r="AN583" s="651">
        <f t="shared" si="1743"/>
        <v>0</v>
      </c>
      <c r="AO583" s="623"/>
      <c r="AP583" s="632" t="str">
        <f t="shared" si="1652"/>
        <v/>
      </c>
      <c r="AQ583" s="633" t="str">
        <f>IF(AC583=$V$3,IF(VLOOKUP(C583,[1]List1!$A:$E,5,FALSE)=0,1,VLOOKUP(C583,[1]List1!$A:$E,5,FALSE)),"")</f>
        <v/>
      </c>
      <c r="AR583" s="625" t="str">
        <f t="shared" si="1653"/>
        <v/>
      </c>
      <c r="AS583" s="634" t="str">
        <f t="shared" si="1654"/>
        <v/>
      </c>
      <c r="AT583" s="625" t="str">
        <f t="shared" si="1655"/>
        <v/>
      </c>
      <c r="AU583" s="638" t="e">
        <f t="shared" si="1656"/>
        <v>#N/A</v>
      </c>
      <c r="AV583" s="625" t="e">
        <f t="shared" si="1657"/>
        <v>#N/A</v>
      </c>
      <c r="AX583" s="625">
        <f>IF(AND('General price list'!$J583="F4",'General price list'!$AB583+0&gt;0),1,0)</f>
        <v>0</v>
      </c>
      <c r="AY583" s="625">
        <f t="shared" si="1658"/>
        <v>1</v>
      </c>
      <c r="AZ583" s="625">
        <f t="shared" si="1659"/>
        <v>0</v>
      </c>
    </row>
    <row r="584" spans="1:52" ht="15.75" customHeight="1">
      <c r="A584" s="621" t="str">
        <f>Kat.!C584</f>
        <v/>
      </c>
      <c r="B584" s="566">
        <f>IF(AND('General price list'!$J584="F4",$AI$1=FALSE),0,IF(AC584="SKLADEM",1,IF(AC584=$V$3,1,0)))</f>
        <v>1</v>
      </c>
      <c r="C584" s="567" t="s">
        <v>1210</v>
      </c>
      <c r="D584" s="568" t="s">
        <v>1211</v>
      </c>
      <c r="E584" s="763" t="s">
        <v>12663</v>
      </c>
      <c r="F584" s="772">
        <f>IFERROR(VLOOKUP(C584,[2]List1!$A:$D,3,FALSE),"NEUVEDENO!")</f>
        <v>2862</v>
      </c>
      <c r="G584" s="769">
        <f t="shared" si="1730"/>
        <v>2862</v>
      </c>
      <c r="H584" s="766">
        <f t="shared" si="1731"/>
        <v>121.57357495125588</v>
      </c>
      <c r="I584" s="764">
        <f>IFERROR(VLOOKUP(C584,[2]List1!$A:$D,4,FALSE),"NEUVEDENO!")</f>
        <v>1</v>
      </c>
      <c r="J584" s="732" t="s">
        <v>39</v>
      </c>
      <c r="K584" s="569" t="s">
        <v>20</v>
      </c>
      <c r="L584" s="569" t="s">
        <v>10986</v>
      </c>
      <c r="M584" s="569" t="s">
        <v>21</v>
      </c>
      <c r="N584" s="569">
        <f>IFERROR(VLOOKUP(C584,[3]List1!$A:$D,4,FALSE),"N/A!")</f>
        <v>3.4847999999999997E-2</v>
      </c>
      <c r="O584" s="569">
        <f>IFERROR(VLOOKUP(C584,[3]List1!$A:$D,3,FALSE),"N/A!")</f>
        <v>1992</v>
      </c>
      <c r="P584" s="569">
        <f>IFERROR(VLOOKUP(C584,[3]List1!$A:$D,2,FALSE),"N/A!")</f>
        <v>17500</v>
      </c>
      <c r="Q584" s="569" t="s">
        <v>11312</v>
      </c>
      <c r="R584" s="569" t="s">
        <v>20</v>
      </c>
      <c r="S584" s="569" t="str">
        <f>IF($W$17=$AF$1,"červená fólie",IFERROR(VLOOKUP("červená fólie",Jazyky_ceník!$A:$Q,MATCH($W$17,Jazyky_ceník!$A$1:$Q$1,0),FALSE),"!!!"))</f>
        <v>červená fólie</v>
      </c>
      <c r="T584" s="569">
        <v>140</v>
      </c>
      <c r="U584" s="569">
        <v>30</v>
      </c>
      <c r="V584" s="569">
        <v>18</v>
      </c>
      <c r="W584" s="569" t="str">
        <f>IFERROR(IF(AND($AB584&gt;=0.1*$AA584,MOD($AB584,$AA584)&gt;=($AA584-(0.1*$AA584))),IF($W$17=$AF$1,"Zvažte možnost doobjednání ještě "&amp;Tabulka1[[#This Row],[VKPAL]]-MOD(AB584,AA584)&amp;" VK do plné palety.",VLOOKUP("Zvažte možnost doobjednání ještě ",Jazyky_ceník!A:Q,MATCH($W$17,Jazyky_ceník!$A$1:$Q$1,0),FALSE)&amp;Tabulka1[[#This Row],[VKPAL]]-MOD(AB584,AA584)&amp;VLOOKUP(" VK do plné palety.",Jazyky_ceník!A:Q,MATCH($W$17,Jazyky_ceník!$A$1:$Q$1,0),FALSE)),IFERROR(IF(AND(NOT(MOD($AB584,$AA584)=0),$AB584&gt;=0.9*$AA584,MOD($AB584,$AA584)&lt;=0.1*$AA584),IF($W$17=$AF$1,"Zvažte možnost optimalizace objednaného množství podle počtu VK na paletě ==&gt;",VLOOKUP("Zvažte možnost optimalizace objednaného množství podle počtu VK na paletě ==&gt;",Jazyky_ceník!A:Q,MATCH($W$17,Jazyky_ceník!$A$1:$Q$1,0),FALSE)),VLOOKUP('General price list'!$C584,Popisy!A:M,MATCH($W$17,Popisy!$A$7:$M$7,0),FALSE)),"---------------")),IFERROR(VLOOKUP('General price list'!$C584,Popisy!A:M,MATCH($W$17,Popisy!$A$7:$M$7,0),FALSE),"---------------"))</f>
        <v>28 různobarevných efektů</v>
      </c>
      <c r="X584" s="569" t="str">
        <f t="shared" si="1732"/>
        <v/>
      </c>
      <c r="Y584" s="569" t="str">
        <f t="shared" si="1733"/>
        <v/>
      </c>
      <c r="Z584" s="569" t="str">
        <f>HYPERLINK("https://www.klasekpyrotechnics.cz/c19625-c14")</f>
        <v>https://www.klasekpyrotechnics.cz/c19625-c14</v>
      </c>
      <c r="AA584" s="569" t="str">
        <f>IFERROR(IF(VLOOKUP(C584,[4]List1!$A:$D,4,FALSE)=0,"",VLOOKUP(C584,[4]List1!$A:$D,4,FALSE)),"")</f>
        <v>18</v>
      </c>
      <c r="AB584" s="565"/>
      <c r="AC584" s="570" t="str">
        <f>IFERROR(IF(VLOOKUP(C584,[1]List1!$A:$D,2,FALSE)="VYPRODÁNO",$V$9,IF(VLOOKUP(C584,[1]List1!$A:$D,2,FALSE)="DOCHÁZÍ",$V$3,VLOOKUP(C584,[1]List1!$A:$D,2,FALSE))),"OFFLINE!")</f>
        <v>DOCHÁZÍ</v>
      </c>
      <c r="AD584" s="570" t="str">
        <f ca="1">IF(AP584="NE",$V$10,IF(AC584=$V$3,IF(AQ584&lt;1,$V$8,$V$2&amp;" "&amp;AQ584&amp;" "&amp;$V$1),IF(AC584="SKLADEM",$V$6,IFERROR(IF(OR(AC584-TODAY()&gt;45,VLOOKUP(C584,[1]List1!$A:$E,4,FALSE)=0),AC584,DAY(AC584)&amp;"."&amp;MONTH(AC584)&amp;"."&amp;YEAR(AC584)&amp;" "&amp;$V$4&amp;VLOOKUP(C584,[1]List1!$A:$E,4,FALSE)&amp;" "&amp;$V$1),AC584))))</f>
        <v>POSLEDNÍCH 30 VK</v>
      </c>
      <c r="AE584" s="581" t="str">
        <f t="shared" ca="1" si="1734"/>
        <v>POSLEDNÍCH 30 VK</v>
      </c>
      <c r="AF584" s="584">
        <f t="shared" si="1735"/>
        <v>0</v>
      </c>
      <c r="AG584" s="585">
        <f t="shared" si="1736"/>
        <v>0</v>
      </c>
      <c r="AH584" s="583">
        <f t="shared" si="1737"/>
        <v>0</v>
      </c>
      <c r="AI584" s="582">
        <f t="shared" si="1738"/>
        <v>0</v>
      </c>
      <c r="AJ584" s="569">
        <f t="shared" si="1739"/>
        <v>0</v>
      </c>
      <c r="AK584" s="569" t="str">
        <f t="shared" si="1740"/>
        <v/>
      </c>
      <c r="AL584" s="569" t="str">
        <f t="shared" si="1741"/>
        <v/>
      </c>
      <c r="AM584" s="569">
        <f t="shared" si="1742"/>
        <v>0</v>
      </c>
      <c r="AN584" s="581">
        <f t="shared" si="1743"/>
        <v>0</v>
      </c>
      <c r="AO584" s="623"/>
      <c r="AP584" s="625" t="str">
        <f t="shared" si="1652"/>
        <v/>
      </c>
      <c r="AQ584" s="625">
        <f>IF(AC584=$V$3,IF(VLOOKUP(C584,[1]List1!$A:$E,5,FALSE)=0,1,VLOOKUP(C584,[1]List1!$A:$E,5,FALSE)),"")</f>
        <v>30</v>
      </c>
      <c r="AR584" s="629" t="str">
        <f t="shared" si="1653"/>
        <v/>
      </c>
      <c r="AS584" s="630" t="str">
        <f t="shared" si="1654"/>
        <v/>
      </c>
      <c r="AT584" s="625" t="str">
        <f t="shared" si="1655"/>
        <v/>
      </c>
      <c r="AU584" s="625" t="e">
        <f t="shared" si="1656"/>
        <v>#N/A</v>
      </c>
      <c r="AV584" s="625" t="e">
        <f t="shared" si="1657"/>
        <v>#N/A</v>
      </c>
      <c r="AW584" s="631"/>
      <c r="AX584" s="631">
        <f>IF(AND('General price list'!$J584="F4",'General price list'!$AB584+0&gt;0),1,0)</f>
        <v>0</v>
      </c>
      <c r="AY584" s="631">
        <f t="shared" si="1658"/>
        <v>1</v>
      </c>
      <c r="AZ584" s="631">
        <f t="shared" si="1659"/>
        <v>0</v>
      </c>
    </row>
    <row r="585" spans="1:52" ht="15" customHeight="1">
      <c r="A585" s="639" t="str">
        <f>Kat.!C585</f>
        <v/>
      </c>
      <c r="B585" s="640">
        <f>IF(AND('General price list'!$J585="F4",$AI$1=FALSE),0,IF(AC585="SKLADEM",1,IF(AC585=$V$3,1,0)))</f>
        <v>0</v>
      </c>
      <c r="C585" s="641" t="s">
        <v>12880</v>
      </c>
      <c r="D585" s="642" t="s">
        <v>12551</v>
      </c>
      <c r="E585" s="643" t="s">
        <v>12663</v>
      </c>
      <c r="F585" s="773">
        <f>IFERROR(VLOOKUP(C585,[2]List1!$A:$D,3,FALSE),"NEUVEDENO!")</f>
        <v>5408</v>
      </c>
      <c r="G585" s="770">
        <f t="shared" si="1730"/>
        <v>5408</v>
      </c>
      <c r="H585" s="767">
        <f t="shared" si="1731"/>
        <v>229.72393198336542</v>
      </c>
      <c r="I585" s="644">
        <f>IFERROR(VLOOKUP(C585,[2]List1!$A:$D,4,FALSE),"NEUVEDENO!")</f>
        <v>1</v>
      </c>
      <c r="J585" s="733" t="s">
        <v>39</v>
      </c>
      <c r="K585" s="645">
        <v>4</v>
      </c>
      <c r="L585" s="645"/>
      <c r="M585" s="645" t="s">
        <v>21</v>
      </c>
      <c r="N585" s="645">
        <f>IFERROR(VLOOKUP(C585,[3]List1!$A:$D,4,FALSE),"N/A!")</f>
        <v>7.4295E-2</v>
      </c>
      <c r="O585" s="645">
        <f>IFERROR(VLOOKUP(C585,[3]List1!$A:$D,3,FALSE),"N/A!")</f>
        <v>3980</v>
      </c>
      <c r="P585" s="645">
        <f>IFERROR(VLOOKUP(C585,[3]List1!$A:$D,2,FALSE),"N/A!")</f>
        <v>36000</v>
      </c>
      <c r="Q585" s="645" t="s">
        <v>11769</v>
      </c>
      <c r="R585" s="645"/>
      <c r="S585" s="645" t="str">
        <f>IF($W$17=$AF$1,"červená fólie",IFERROR(VLOOKUP("červená fólie",Jazyky_ceník!$A:$Q,MATCH($W$17,Jazyky_ceník!$A$1:$Q$1,0),FALSE),"!!!"))</f>
        <v>červená fólie</v>
      </c>
      <c r="T585" s="645">
        <v>360</v>
      </c>
      <c r="U585" s="645">
        <v>30</v>
      </c>
      <c r="V585" s="645">
        <v>18</v>
      </c>
      <c r="W585" s="645" t="str">
        <f>IFERROR(IF(AND($AB585&gt;=0.1*$AA585,MOD($AB585,$AA585)&gt;=($AA585-(0.1*$AA585))),IF($W$17=$AF$1,"Zvažte možnost doobjednání ještě "&amp;Tabulka1[[#This Row],[VKPAL]]-MOD(AB585,AA585)&amp;" VK do plné palety.",VLOOKUP("Zvažte možnost doobjednání ještě ",Jazyky_ceník!A:Q,MATCH($W$17,Jazyky_ceník!$A$1:$Q$1,0),FALSE)&amp;Tabulka1[[#This Row],[VKPAL]]-MOD(AB585,AA585)&amp;VLOOKUP(" VK do plné palety.",Jazyky_ceník!A:Q,MATCH($W$17,Jazyky_ceník!$A$1:$Q$1,0),FALSE)),IFERROR(IF(AND(NOT(MOD($AB585,$AA585)=0),$AB585&gt;=0.9*$AA585,MOD($AB585,$AA585)&lt;=0.1*$AA585),IF($W$17=$AF$1,"Zvažte možnost optimalizace objednaného množství podle počtu VK na paletě ==&gt;",VLOOKUP("Zvažte možnost optimalizace objednaného množství podle počtu VK na paletě ==&gt;",Jazyky_ceník!A:Q,MATCH($W$17,Jazyky_ceník!$A$1:$Q$1,0),FALSE)),VLOOKUP('General price list'!$C585,Popisy!A:M,MATCH($W$17,Popisy!$A$7:$M$7,0),FALSE)),"---------------")),IFERROR(VLOOKUP('General price list'!$C585,Popisy!A:M,MATCH($W$17,Popisy!$A$7:$M$7,0),FALSE),"---------------"))</f>
        <v>40 různobarevných efektů</v>
      </c>
      <c r="X585" s="645" t="str">
        <f t="shared" si="1732"/>
        <v/>
      </c>
      <c r="Y585" s="645" t="str">
        <f t="shared" si="1733"/>
        <v/>
      </c>
      <c r="Z585" s="645" t="str">
        <f>HYPERLINK("https://www.klasekpyrotechnics.cz/c1-c2_c40025f-c14")</f>
        <v>https://www.klasekpyrotechnics.cz/c1-c2_c40025f-c14</v>
      </c>
      <c r="AA585" s="645">
        <f>IFERROR(IF(VLOOKUP(C585,[4]List1!$A:$D,4,FALSE)=0,"",VLOOKUP(C585,[4]List1!$A:$D,4,FALSE)),"")</f>
        <v>18</v>
      </c>
      <c r="AB585" s="646"/>
      <c r="AC585" s="647" t="str">
        <f>IFERROR(IF(VLOOKUP(C585,[1]List1!$A:$D,2,FALSE)="VYPRODÁNO",$V$9,IF(VLOOKUP(C585,[1]List1!$A:$D,2,FALSE)="DOCHÁZÍ",$V$3,VLOOKUP(C585,[1]List1!$A:$D,2,FALSE))),"OFFLINE!")</f>
        <v>31.08.2026</v>
      </c>
      <c r="AD585" s="647" t="str">
        <f ca="1">IF(AP585="NE",$V$10,IF(AC585=$V$3,IF(AQ585&lt;1,$V$8,$V$2&amp;" "&amp;AQ585&amp;" "&amp;$V$1),IF(AC585="SKLADEM",$V$6,IFERROR(IF(OR(AC585-TODAY()&gt;45,VLOOKUP(C585,[1]List1!$A:$E,4,FALSE)=0),AC585,DAY(AC585)&amp;"."&amp;MONTH(AC585)&amp;"."&amp;YEAR(AC585)&amp;" "&amp;$V$4&amp;VLOOKUP(C585,[1]List1!$A:$E,4,FALSE)&amp;" "&amp;$V$1),AC585))))</f>
        <v>31.08.2026</v>
      </c>
      <c r="AE585" s="645" t="str">
        <f t="shared" ca="1" si="1734"/>
        <v>31.08.2026</v>
      </c>
      <c r="AF585" s="648">
        <f t="shared" si="1735"/>
        <v>0</v>
      </c>
      <c r="AG585" s="649">
        <f t="shared" si="1736"/>
        <v>0</v>
      </c>
      <c r="AH585" s="650">
        <f t="shared" si="1737"/>
        <v>0</v>
      </c>
      <c r="AI585" s="645">
        <f t="shared" si="1738"/>
        <v>0</v>
      </c>
      <c r="AJ585" s="645">
        <f t="shared" si="1739"/>
        <v>0</v>
      </c>
      <c r="AK585" s="645" t="str">
        <f t="shared" si="1740"/>
        <v/>
      </c>
      <c r="AL585" s="645" t="str">
        <f t="shared" si="1741"/>
        <v/>
      </c>
      <c r="AM585" s="645">
        <f t="shared" si="1742"/>
        <v>0</v>
      </c>
      <c r="AN585" s="651">
        <f t="shared" si="1743"/>
        <v>0</v>
      </c>
      <c r="AO585" s="623"/>
      <c r="AP585" s="632" t="str">
        <f t="shared" si="1652"/>
        <v/>
      </c>
      <c r="AQ585" s="633" t="str">
        <f>IF(AC585=$V$3,IF(VLOOKUP(C585,[1]List1!$A:$E,5,FALSE)=0,1,VLOOKUP(C585,[1]List1!$A:$E,5,FALSE)),"")</f>
        <v/>
      </c>
      <c r="AR585" s="625" t="str">
        <f t="shared" si="1653"/>
        <v/>
      </c>
      <c r="AS585" s="634" t="str">
        <f t="shared" si="1654"/>
        <v/>
      </c>
      <c r="AT585" s="625" t="str">
        <f t="shared" si="1655"/>
        <v/>
      </c>
      <c r="AU585" s="638" t="e">
        <f t="shared" si="1656"/>
        <v>#N/A</v>
      </c>
      <c r="AV585" s="625" t="e">
        <f t="shared" si="1657"/>
        <v>#N/A</v>
      </c>
      <c r="AX585" s="625">
        <f>IF(AND('General price list'!$J585="F4",'General price list'!$AB585+0&gt;0),1,0)</f>
        <v>0</v>
      </c>
      <c r="AY585" s="625">
        <f t="shared" si="1658"/>
        <v>1</v>
      </c>
      <c r="AZ585" s="625">
        <f t="shared" si="1659"/>
        <v>0</v>
      </c>
    </row>
    <row r="586" spans="1:52" ht="15" customHeight="1">
      <c r="A586" s="751" t="str">
        <f>Kat.!C586</f>
        <v xml:space="preserve">           Složený ohňostroj 25 mm – F2 – 1.3G</v>
      </c>
      <c r="B586" s="751"/>
      <c r="C586" s="751"/>
      <c r="D586" s="751"/>
      <c r="E586" s="751"/>
      <c r="F586" s="751"/>
      <c r="G586" s="751"/>
      <c r="H586" s="751"/>
      <c r="I586" s="752"/>
      <c r="J586" s="752"/>
      <c r="K586" s="752" t="s">
        <v>20</v>
      </c>
      <c r="L586" s="753" t="s">
        <v>20</v>
      </c>
      <c r="M586" s="752"/>
      <c r="N586" s="752"/>
      <c r="O586" s="752"/>
      <c r="P586" s="752"/>
      <c r="Q586" s="752"/>
      <c r="R586" s="752"/>
      <c r="S586" s="752"/>
      <c r="T586" s="752"/>
      <c r="U586" s="752"/>
      <c r="V586" s="752"/>
      <c r="W586" s="752"/>
      <c r="X586" s="752"/>
      <c r="Y586" s="752"/>
      <c r="Z586" s="752" t="s">
        <v>20</v>
      </c>
      <c r="AA586" s="752"/>
      <c r="AB586" s="752"/>
      <c r="AC586" s="754"/>
      <c r="AD586" s="752"/>
      <c r="AE586" s="752"/>
      <c r="AF586" s="752"/>
      <c r="AG586" s="752"/>
      <c r="AH586" s="752"/>
      <c r="AI586" s="752"/>
      <c r="AJ586" s="752"/>
      <c r="AK586" s="752"/>
      <c r="AL586" s="752"/>
      <c r="AM586" s="752"/>
      <c r="AN586" s="752"/>
      <c r="AO586" s="623"/>
      <c r="AP586" s="632" t="str">
        <f t="shared" si="1652"/>
        <v/>
      </c>
      <c r="AQ586" s="633" t="str">
        <f>IF(AC586=$V$3,IF(VLOOKUP(C586,[1]List1!$A:$E,5,FALSE)=0,1,VLOOKUP(C586,[1]List1!$A:$E,5,FALSE)),"")</f>
        <v/>
      </c>
      <c r="AR586" s="625" t="str">
        <f t="shared" si="1653"/>
        <v/>
      </c>
      <c r="AS586" s="634" t="str">
        <f t="shared" si="1654"/>
        <v/>
      </c>
      <c r="AT586" s="625" t="str">
        <f t="shared" si="1655"/>
        <v/>
      </c>
      <c r="AU586" s="638" t="e">
        <f t="shared" si="1656"/>
        <v>#N/A</v>
      </c>
      <c r="AV586" s="625" t="e">
        <f t="shared" si="1657"/>
        <v>#N/A</v>
      </c>
      <c r="AX586" s="625">
        <f>IF(AND('General price list'!$J586="F4",'General price list'!$AB586+0&gt;0),1,0)</f>
        <v>0</v>
      </c>
      <c r="AY586" s="625">
        <f t="shared" si="1658"/>
        <v>0</v>
      </c>
      <c r="AZ586" s="625">
        <f t="shared" si="1659"/>
        <v>0</v>
      </c>
    </row>
    <row r="587" spans="1:52" ht="15.75" customHeight="1">
      <c r="A587" s="639" t="str">
        <f>Kat.!C587</f>
        <v>×</v>
      </c>
      <c r="B587" s="640">
        <f>IF(AND('General price list'!$J587="F4",$AI$1=FALSE),0,IF(AC587="SKLADEM",1,IF(AC587=$V$3,1,0)))</f>
        <v>1</v>
      </c>
      <c r="C587" s="641" t="s">
        <v>1215</v>
      </c>
      <c r="D587" s="642" t="s">
        <v>1205</v>
      </c>
      <c r="E587" s="643" t="s">
        <v>12663</v>
      </c>
      <c r="F587" s="771">
        <f>IFERROR(VLOOKUP(C587,[2]List1!$A:$D,3,FALSE),"NEUVEDENO!")</f>
        <v>1568</v>
      </c>
      <c r="G587" s="768">
        <f t="shared" ref="G587:G591" si="1744">IF($W$17=$AF$8,ROUND((F587)/$F$17,2),(F587)*$B$19)</f>
        <v>1568</v>
      </c>
      <c r="H587" s="765">
        <f t="shared" ref="H587:H591" si="1745">IF($W$17=$AF$8,G587*$B$19,G587/$F$17)</f>
        <v>66.60634714310595</v>
      </c>
      <c r="I587" s="644">
        <f>IFERROR(VLOOKUP(C587,[2]List1!$A:$D,4,FALSE),"NEUVEDENO!")</f>
        <v>1</v>
      </c>
      <c r="J587" s="733" t="s">
        <v>39</v>
      </c>
      <c r="K587" s="645" t="s">
        <v>20</v>
      </c>
      <c r="L587" s="645" t="s">
        <v>20</v>
      </c>
      <c r="M587" s="645" t="s">
        <v>114</v>
      </c>
      <c r="N587" s="645">
        <f>IFERROR(VLOOKUP(C587,[3]List1!$A:$D,4,FALSE),"N/A!")</f>
        <v>1.8216E-2</v>
      </c>
      <c r="O587" s="645">
        <f>IFERROR(VLOOKUP(C587,[3]List1!$A:$D,3,FALSE),"N/A!")</f>
        <v>996</v>
      </c>
      <c r="P587" s="645">
        <f>IFERROR(VLOOKUP(C587,[3]List1!$A:$D,2,FALSE),"N/A!")</f>
        <v>8800</v>
      </c>
      <c r="Q587" s="645" t="s">
        <v>11311</v>
      </c>
      <c r="R587" s="645" t="s">
        <v>20</v>
      </c>
      <c r="S587" s="645" t="str">
        <f>IF($W$17=$AF$1,"červená fólie",IFERROR(VLOOKUP("červená fólie",Jazyky_ceník!$A:$Q,MATCH($W$17,Jazyky_ceník!$A$1:$Q$1,0),FALSE),"!!!"))</f>
        <v>červená fólie</v>
      </c>
      <c r="T587" s="645">
        <v>85</v>
      </c>
      <c r="U587" s="645">
        <v>30</v>
      </c>
      <c r="V587" s="645">
        <v>22</v>
      </c>
      <c r="W587" s="645" t="str">
        <f>IFERROR(IF(AND($AB587&gt;=0.1*$AA587,MOD($AB587,$AA587)&gt;=($AA587-(0.1*$AA587))),IF($W$17=$AF$1,"Zvažte možnost doobjednání ještě "&amp;Tabulka1[[#This Row],[VKPAL]]-MOD(AB587,AA587)&amp;" VK do plné palety.",VLOOKUP("Zvažte možnost doobjednání ještě ",Jazyky_ceník!A:Q,MATCH($W$17,Jazyky_ceník!$A$1:$Q$1,0),FALSE)&amp;Tabulka1[[#This Row],[VKPAL]]-MOD(AB587,AA587)&amp;VLOOKUP(" VK do plné palety.",Jazyky_ceník!A:Q,MATCH($W$17,Jazyky_ceník!$A$1:$Q$1,0),FALSE)),IFERROR(IF(AND(NOT(MOD($AB587,$AA587)=0),$AB587&gt;=0.9*$AA587,MOD($AB587,$AA587)&lt;=0.1*$AA587),IF($W$17=$AF$1,"Zvažte možnost optimalizace objednaného množství podle počtu VK na paletě ==&gt;",VLOOKUP("Zvažte možnost optimalizace objednaného množství podle počtu VK na paletě ==&gt;",Jazyky_ceník!A:Q,MATCH($W$17,Jazyky_ceník!$A$1:$Q$1,0),FALSE)),VLOOKUP('General price list'!$C587,Popisy!A:M,MATCH($W$17,Popisy!$A$7:$M$7,0),FALSE)),"---------------")),IFERROR(VLOOKUP('General price list'!$C587,Popisy!A:M,MATCH($W$17,Popisy!$A$7:$M$7,0),FALSE),"---------------"))</f>
        <v>14 různobarevných efektů</v>
      </c>
      <c r="X587" s="645" t="str">
        <f t="shared" ref="X587:X591" si="1746">IF(AB587&lt;0.0001,"",AB587)</f>
        <v/>
      </c>
      <c r="Y587" s="645" t="str">
        <f t="shared" ref="Y587:Y591" si="1747">IF($AL$3=2,IF(OR(AB587&lt;&gt;"",AB587&lt;&gt;0),AU587,""),IF(C587="","",IF(AB587&lt;0.0001,"",IF(B587=0,"",IF(AQ587&lt;AB587,"",AB587)))))</f>
        <v/>
      </c>
      <c r="Z587" s="645" t="str">
        <f>HYPERLINK("https://www.klasekpyrotechnics.cz/c9825c-c")</f>
        <v>https://www.klasekpyrotechnics.cz/c9825c-c</v>
      </c>
      <c r="AA587" s="645">
        <f>IFERROR(IF(VLOOKUP(C587,[4]List1!$A:$D,4,FALSE)=0,"",VLOOKUP(C587,[4]List1!$A:$D,4,FALSE)),"")</f>
        <v>63</v>
      </c>
      <c r="AB587" s="646"/>
      <c r="AC587" s="647" t="str">
        <f>IFERROR(IF(VLOOKUP(C587,[1]List1!$A:$D,2,FALSE)="VYPRODÁNO",$V$9,IF(VLOOKUP(C587,[1]List1!$A:$D,2,FALSE)="DOCHÁZÍ",$V$3,VLOOKUP(C587,[1]List1!$A:$D,2,FALSE))),"OFFLINE!")</f>
        <v>SKLADEM</v>
      </c>
      <c r="AD587" s="647" t="str">
        <f ca="1">IF(AP587="NE",$V$10,IF(AC587=$V$3,IF(AQ587&lt;1,$V$8,$V$2&amp;" "&amp;AQ587&amp;" "&amp;$V$1),IF(AC587="SKLADEM",$V$6,IFERROR(IF(OR(AC587-TODAY()&gt;45,VLOOKUP(C587,[1]List1!$A:$E,4,FALSE)=0),AC587,DAY(AC587)&amp;"."&amp;MONTH(AC587)&amp;"."&amp;YEAR(AC587)&amp;" "&amp;$V$4&amp;VLOOKUP(C587,[1]List1!$A:$E,4,FALSE)&amp;" "&amp;$V$1),AC587))))</f>
        <v>SKLADEM</v>
      </c>
      <c r="AE587" s="645" t="str">
        <f t="shared" ref="AE587:AE591" ca="1" si="1748">IFERROR(IF(AV587&lt;&gt;"",AV587,AD587),AD587)</f>
        <v>SKLADEM</v>
      </c>
      <c r="AF587" s="648">
        <f t="shared" ref="AF587:AF591" si="1749">IFERROR(IF(AB587=Y587,G587*I587*Y587,0),0)</f>
        <v>0</v>
      </c>
      <c r="AG587" s="649">
        <f t="shared" ref="AG587:AG591" si="1750">IF($W$17=$AF$8,AH587*1.23,AF587*1.21)</f>
        <v>0</v>
      </c>
      <c r="AH587" s="650">
        <f t="shared" ref="AH587:AH591" si="1751">IFERROR(IF(Y587=AB587,H587*I587*Y587,0),0)</f>
        <v>0</v>
      </c>
      <c r="AI587" s="645">
        <f t="shared" ref="AI587:AI591" si="1752">IFERROR(IF(Y587=AB587,(P587*Y587)/1000,1),0)</f>
        <v>0</v>
      </c>
      <c r="AJ587" s="645">
        <f t="shared" ref="AJ587:AJ591" si="1753">IFERROR(IF(Y587=AB587,N587*Y587,0.1),0)</f>
        <v>0</v>
      </c>
      <c r="AK587" s="645" t="str">
        <f t="shared" ref="AK587:AK591" si="1754">IFERROR(IF(Y587=AB587,IF(M587="1.1G",(O587/1000)*Y587,""),""),0)</f>
        <v/>
      </c>
      <c r="AL587" s="645">
        <f t="shared" ref="AL587:AL591" si="1755">IFERROR(IF(Y587=AB587,IF(M587="1.3G",(O587/1000)*AB587,""),""),0)</f>
        <v>0</v>
      </c>
      <c r="AM587" s="645" t="str">
        <f t="shared" ref="AM587:AM591" si="1756">IFERROR(IF(Y587=AB587,IF(M587="1.4G",(O587/1000)*AB587,""),""),0)</f>
        <v/>
      </c>
      <c r="AN587" s="651">
        <f t="shared" ref="AN587:AN591" si="1757">SUM(AK587:AM587)</f>
        <v>0</v>
      </c>
      <c r="AO587" s="623"/>
      <c r="AP587" s="625" t="str">
        <f t="shared" si="1652"/>
        <v/>
      </c>
      <c r="AQ587" s="625" t="str">
        <f>IF(AC587=$V$3,IF(VLOOKUP(C587,[1]List1!$A:$E,5,FALSE)=0,1,VLOOKUP(C587,[1]List1!$A:$E,5,FALSE)),"")</f>
        <v/>
      </c>
      <c r="AR587" s="629" t="str">
        <f t="shared" si="1653"/>
        <v/>
      </c>
      <c r="AS587" s="630" t="str">
        <f t="shared" si="1654"/>
        <v/>
      </c>
      <c r="AT587" s="625" t="str">
        <f t="shared" si="1655"/>
        <v/>
      </c>
      <c r="AU587" s="625" t="e">
        <f t="shared" si="1656"/>
        <v>#N/A</v>
      </c>
      <c r="AV587" s="625" t="e">
        <f t="shared" si="1657"/>
        <v>#N/A</v>
      </c>
      <c r="AW587" s="631"/>
      <c r="AX587" s="631">
        <f>IF(AND('General price list'!$J587="F4",'General price list'!$AB587+0&gt;0),1,0)</f>
        <v>0</v>
      </c>
      <c r="AY587" s="631">
        <f t="shared" si="1658"/>
        <v>1</v>
      </c>
      <c r="AZ587" s="631">
        <f t="shared" si="1659"/>
        <v>0</v>
      </c>
    </row>
    <row r="588" spans="1:52" ht="15.75" customHeight="1">
      <c r="A588" s="621" t="str">
        <f>Kat.!C588</f>
        <v/>
      </c>
      <c r="B588" s="566">
        <f>IF(AND('General price list'!$J588="F4",$AI$1=FALSE),0,IF(AC588="SKLADEM",1,IF(AC588=$V$3,1,0)))</f>
        <v>1</v>
      </c>
      <c r="C588" s="567" t="s">
        <v>12033</v>
      </c>
      <c r="D588" s="568" t="s">
        <v>11898</v>
      </c>
      <c r="E588" s="763" t="s">
        <v>12663</v>
      </c>
      <c r="F588" s="772">
        <f>IFERROR(VLOOKUP(C588,[2]List1!$A:$D,3,FALSE),"NEUVEDENO!")</f>
        <v>1552</v>
      </c>
      <c r="G588" s="769">
        <f t="shared" si="1744"/>
        <v>1552</v>
      </c>
      <c r="H588" s="766">
        <f t="shared" si="1745"/>
        <v>65.926690539604863</v>
      </c>
      <c r="I588" s="764">
        <f>IFERROR(VLOOKUP(C588,[2]List1!$A:$D,4,FALSE),"NEUVEDENO!")</f>
        <v>1</v>
      </c>
      <c r="J588" s="732" t="s">
        <v>39</v>
      </c>
      <c r="K588" s="569" t="s">
        <v>20</v>
      </c>
      <c r="L588" s="569"/>
      <c r="M588" s="569" t="s">
        <v>114</v>
      </c>
      <c r="N588" s="569">
        <f>IFERROR(VLOOKUP(C588,[3]List1!$A:$D,4,FALSE),"N/A!")</f>
        <v>1.7135999999999998E-2</v>
      </c>
      <c r="O588" s="569">
        <f>IFERROR(VLOOKUP(C588,[3]List1!$A:$D,3,FALSE),"N/A!")</f>
        <v>1999</v>
      </c>
      <c r="P588" s="569">
        <f>IFERROR(VLOOKUP(C588,[3]List1!$A:$D,2,FALSE),"N/A!")</f>
        <v>9500</v>
      </c>
      <c r="Q588" s="569" t="s">
        <v>11764</v>
      </c>
      <c r="R588" s="569" t="s">
        <v>20</v>
      </c>
      <c r="S588" s="569" t="str">
        <f>IF($W$17=$AF$1,"červená fólie",IFERROR(VLOOKUP("červená fólie",Jazyky_ceník!$A:$Q,MATCH($W$17,Jazyky_ceník!$A$1:$Q$1,0),FALSE),"!!!"))</f>
        <v>červená fólie</v>
      </c>
      <c r="T588" s="569">
        <v>50</v>
      </c>
      <c r="U588" s="569">
        <v>33</v>
      </c>
      <c r="V588" s="569">
        <v>25</v>
      </c>
      <c r="W588" s="569" t="str">
        <f>IFERROR(IF(AND($AB588&gt;=0.1*$AA588,MOD($AB588,$AA588)&gt;=($AA588-(0.1*$AA588))),IF($W$17=$AF$1,"Zvažte možnost doobjednání ještě "&amp;Tabulka1[[#This Row],[VKPAL]]-MOD(AB588,AA588)&amp;" VK do plné palety.",VLOOKUP("Zvažte možnost doobjednání ještě ",Jazyky_ceník!A:Q,MATCH($W$17,Jazyky_ceník!$A$1:$Q$1,0),FALSE)&amp;Tabulka1[[#This Row],[VKPAL]]-MOD(AB588,AA588)&amp;VLOOKUP(" VK do plné palety.",Jazyky_ceník!A:Q,MATCH($W$17,Jazyky_ceník!$A$1:$Q$1,0),FALSE)),IFERROR(IF(AND(NOT(MOD($AB588,$AA588)=0),$AB588&gt;=0.9*$AA588,MOD($AB588,$AA588)&lt;=0.1*$AA588),IF($W$17=$AF$1,"Zvažte možnost optimalizace objednaného množství podle počtu VK na paletě ==&gt;",VLOOKUP("Zvažte možnost optimalizace objednaného množství podle počtu VK na paletě ==&gt;",Jazyky_ceník!A:Q,MATCH($W$17,Jazyky_ceník!$A$1:$Q$1,0),FALSE)),VLOOKUP('General price list'!$C588,Popisy!A:M,MATCH($W$17,Popisy!$A$7:$M$7,0),FALSE)),"---------------")),IFERROR(VLOOKUP('General price list'!$C588,Popisy!A:M,MATCH($W$17,Popisy!$A$7:$M$7,0),FALSE),"---------------"))</f>
        <v>20 různobarevných efektů</v>
      </c>
      <c r="X588" s="569" t="str">
        <f t="shared" si="1746"/>
        <v/>
      </c>
      <c r="Y588" s="569" t="str">
        <f t="shared" si="1747"/>
        <v/>
      </c>
      <c r="Z588" s="569" t="str">
        <f>HYPERLINK("https://www.klasekpyrotechnics.cz/c10025sig-c")</f>
        <v>https://www.klasekpyrotechnics.cz/c10025sig-c</v>
      </c>
      <c r="AA588" s="569" t="str">
        <f>IFERROR(IF(VLOOKUP(C588,[4]List1!$A:$D,4,FALSE)=0,"",VLOOKUP(C588,[4]List1!$A:$D,4,FALSE)),"")</f>
        <v>54</v>
      </c>
      <c r="AB588" s="565"/>
      <c r="AC588" s="570" t="str">
        <f>IFERROR(IF(VLOOKUP(C588,[1]List1!$A:$D,2,FALSE)="VYPRODÁNO",$V$9,IF(VLOOKUP(C588,[1]List1!$A:$D,2,FALSE)="DOCHÁZÍ",$V$3,VLOOKUP(C588,[1]List1!$A:$D,2,FALSE))),"OFFLINE!")</f>
        <v>SKLADEM</v>
      </c>
      <c r="AD588" s="570" t="str">
        <f ca="1">IF(AP588="NE",$V$10,IF(AC588=$V$3,IF(AQ588&lt;1,$V$8,$V$2&amp;" "&amp;AQ588&amp;" "&amp;$V$1),IF(AC588="SKLADEM",$V$6,IFERROR(IF(OR(AC588-TODAY()&gt;45,VLOOKUP(C588,[1]List1!$A:$E,4,FALSE)=0),AC588,DAY(AC588)&amp;"."&amp;MONTH(AC588)&amp;"."&amp;YEAR(AC588)&amp;" "&amp;$V$4&amp;VLOOKUP(C588,[1]List1!$A:$E,4,FALSE)&amp;" "&amp;$V$1),AC588))))</f>
        <v>SKLADEM</v>
      </c>
      <c r="AE588" s="581" t="str">
        <f t="shared" ca="1" si="1748"/>
        <v>SKLADEM</v>
      </c>
      <c r="AF588" s="584">
        <f t="shared" si="1749"/>
        <v>0</v>
      </c>
      <c r="AG588" s="585">
        <f t="shared" si="1750"/>
        <v>0</v>
      </c>
      <c r="AH588" s="583">
        <f t="shared" si="1751"/>
        <v>0</v>
      </c>
      <c r="AI588" s="582">
        <f t="shared" si="1752"/>
        <v>0</v>
      </c>
      <c r="AJ588" s="569">
        <f t="shared" si="1753"/>
        <v>0</v>
      </c>
      <c r="AK588" s="569" t="str">
        <f t="shared" si="1754"/>
        <v/>
      </c>
      <c r="AL588" s="569">
        <f t="shared" si="1755"/>
        <v>0</v>
      </c>
      <c r="AM588" s="569" t="str">
        <f t="shared" si="1756"/>
        <v/>
      </c>
      <c r="AN588" s="581">
        <f t="shared" si="1757"/>
        <v>0</v>
      </c>
      <c r="AO588" s="623"/>
      <c r="AP588" s="625" t="str">
        <f t="shared" si="1652"/>
        <v/>
      </c>
      <c r="AQ588" s="625" t="str">
        <f>IF(AC588=$V$3,IF(VLOOKUP(C588,[1]List1!$A:$E,5,FALSE)=0,1,VLOOKUP(C588,[1]List1!$A:$E,5,FALSE)),"")</f>
        <v/>
      </c>
      <c r="AR588" s="629" t="str">
        <f t="shared" si="1653"/>
        <v/>
      </c>
      <c r="AS588" s="630" t="str">
        <f t="shared" si="1654"/>
        <v/>
      </c>
      <c r="AT588" s="625" t="str">
        <f t="shared" si="1655"/>
        <v/>
      </c>
      <c r="AU588" s="625" t="e">
        <f t="shared" si="1656"/>
        <v>#N/A</v>
      </c>
      <c r="AV588" s="625" t="e">
        <f t="shared" si="1657"/>
        <v>#N/A</v>
      </c>
      <c r="AW588" s="631"/>
      <c r="AX588" s="631">
        <f>IF(AND('General price list'!$J588="F4",'General price list'!$AB588+0&gt;0),1,0)</f>
        <v>0</v>
      </c>
      <c r="AY588" s="631">
        <f t="shared" si="1658"/>
        <v>1</v>
      </c>
      <c r="AZ588" s="631">
        <f t="shared" si="1659"/>
        <v>0</v>
      </c>
    </row>
    <row r="589" spans="1:52" ht="15" customHeight="1">
      <c r="A589" s="639" t="str">
        <f>Kat.!C589</f>
        <v>×</v>
      </c>
      <c r="B589" s="640">
        <f>IF(AND('General price list'!$J589="F4",$AI$1=FALSE),0,IF(AC589="SKLADEM",1,IF(AC589=$V$3,1,0)))</f>
        <v>1</v>
      </c>
      <c r="C589" s="641" t="s">
        <v>2294</v>
      </c>
      <c r="D589" s="642" t="s">
        <v>9804</v>
      </c>
      <c r="E589" s="643" t="s">
        <v>12663</v>
      </c>
      <c r="F589" s="771">
        <f>IFERROR(VLOOKUP(C589,[2]List1!$A:$D,3,FALSE),"NEUVEDENO!")</f>
        <v>2685</v>
      </c>
      <c r="G589" s="768">
        <f t="shared" si="1744"/>
        <v>2685</v>
      </c>
      <c r="H589" s="765">
        <f t="shared" si="1745"/>
        <v>114.05487377502517</v>
      </c>
      <c r="I589" s="644">
        <f>IFERROR(VLOOKUP(C589,[2]List1!$A:$D,4,FALSE),"NEUVEDENO!")</f>
        <v>1</v>
      </c>
      <c r="J589" s="733" t="s">
        <v>39</v>
      </c>
      <c r="K589" s="645" t="s">
        <v>20</v>
      </c>
      <c r="L589" s="645" t="s">
        <v>20</v>
      </c>
      <c r="M589" s="645" t="s">
        <v>114</v>
      </c>
      <c r="N589" s="645">
        <f>IFERROR(VLOOKUP(C589,[3]List1!$A:$D,4,FALSE),"N/A!")</f>
        <v>3.7949999999999998E-2</v>
      </c>
      <c r="O589" s="645">
        <f>IFERROR(VLOOKUP(C589,[3]List1!$A:$D,3,FALSE),"N/A!")</f>
        <v>1820</v>
      </c>
      <c r="P589" s="645">
        <f>IFERROR(VLOOKUP(C589,[3]List1!$A:$D,2,FALSE),"N/A!")</f>
        <v>12800</v>
      </c>
      <c r="Q589" s="645" t="s">
        <v>11261</v>
      </c>
      <c r="R589" s="645"/>
      <c r="S589" s="645" t="str">
        <f>IF($W$17=$AF$1,"červená fólie",IFERROR(VLOOKUP("červená fólie",Jazyky_ceník!$A:$Q,MATCH($W$17,Jazyky_ceník!$A$1:$Q$1,0),FALSE),"!!!"))</f>
        <v>červená fólie</v>
      </c>
      <c r="T589" s="645">
        <v>90</v>
      </c>
      <c r="U589" s="645">
        <v>30</v>
      </c>
      <c r="V589" s="645">
        <v>22</v>
      </c>
      <c r="W589" s="645" t="str">
        <f>IFERROR(IF(AND($AB589&gt;=0.1*$AA589,MOD($AB589,$AA589)&gt;=($AA589-(0.1*$AA589))),IF($W$17=$AF$1,"Zvažte možnost doobjednání ještě "&amp;Tabulka1[[#This Row],[VKPAL]]-MOD(AB589,AA589)&amp;" VK do plné palety.",VLOOKUP("Zvažte možnost doobjednání ještě ",Jazyky_ceník!A:Q,MATCH($W$17,Jazyky_ceník!$A$1:$Q$1,0),FALSE)&amp;Tabulka1[[#This Row],[VKPAL]]-MOD(AB589,AA589)&amp;VLOOKUP(" VK do plné palety.",Jazyky_ceník!A:Q,MATCH($W$17,Jazyky_ceník!$A$1:$Q$1,0),FALSE)),IFERROR(IF(AND(NOT(MOD($AB589,$AA589)=0),$AB589&gt;=0.9*$AA589,MOD($AB589,$AA589)&lt;=0.1*$AA589),IF($W$17=$AF$1,"Zvažte možnost optimalizace objednaného množství podle počtu VK na paletě ==&gt;",VLOOKUP("Zvažte možnost optimalizace objednaného množství podle počtu VK na paletě ==&gt;",Jazyky_ceník!A:Q,MATCH($W$17,Jazyky_ceník!$A$1:$Q$1,0),FALSE)),VLOOKUP('General price list'!$C589,Popisy!A:M,MATCH($W$17,Popisy!$A$7:$M$7,0),FALSE)),"---------------")),IFERROR(VLOOKUP('General price list'!$C589,Popisy!A:M,MATCH($W$17,Popisy!$A$7:$M$7,0),FALSE),"---------------"))</f>
        <v>20 různobarevných efektů</v>
      </c>
      <c r="X589" s="645" t="str">
        <f t="shared" si="1746"/>
        <v/>
      </c>
      <c r="Y589" s="645" t="str">
        <f t="shared" si="1747"/>
        <v/>
      </c>
      <c r="Z589" s="645" t="str">
        <f>HYPERLINK("https://www.klasekpyrotechnics.cz/c14025xfs-c")</f>
        <v>https://www.klasekpyrotechnics.cz/c14025xfs-c</v>
      </c>
      <c r="AA589" s="645" t="str">
        <f>IFERROR(IF(VLOOKUP(C589,[4]List1!$A:$D,4,FALSE)=0,"",VLOOKUP(C589,[4]List1!$A:$D,4,FALSE)),"")</f>
        <v>32</v>
      </c>
      <c r="AB589" s="646"/>
      <c r="AC589" s="647" t="str">
        <f>IFERROR(IF(VLOOKUP(C589,[1]List1!$A:$D,2,FALSE)="VYPRODÁNO",$V$9,IF(VLOOKUP(C589,[1]List1!$A:$D,2,FALSE)="DOCHÁZÍ",$V$3,VLOOKUP(C589,[1]List1!$A:$D,2,FALSE))),"OFFLINE!")</f>
        <v>SKLADEM</v>
      </c>
      <c r="AD589" s="647" t="str">
        <f ca="1">IF(AP589="NE",$V$10,IF(AC589=$V$3,IF(AQ589&lt;1,$V$8,$V$2&amp;" "&amp;AQ589&amp;" "&amp;$V$1),IF(AC589="SKLADEM",$V$6,IFERROR(IF(OR(AC589-TODAY()&gt;45,VLOOKUP(C589,[1]List1!$A:$E,4,FALSE)=0),AC589,DAY(AC589)&amp;"."&amp;MONTH(AC589)&amp;"."&amp;YEAR(AC589)&amp;" "&amp;$V$4&amp;VLOOKUP(C589,[1]List1!$A:$E,4,FALSE)&amp;" "&amp;$V$1),AC589))))</f>
        <v>SKLADEM</v>
      </c>
      <c r="AE589" s="645" t="str">
        <f t="shared" ca="1" si="1748"/>
        <v>SKLADEM</v>
      </c>
      <c r="AF589" s="648">
        <f t="shared" si="1749"/>
        <v>0</v>
      </c>
      <c r="AG589" s="649">
        <f t="shared" si="1750"/>
        <v>0</v>
      </c>
      <c r="AH589" s="650">
        <f t="shared" si="1751"/>
        <v>0</v>
      </c>
      <c r="AI589" s="645">
        <f t="shared" si="1752"/>
        <v>0</v>
      </c>
      <c r="AJ589" s="645">
        <f t="shared" si="1753"/>
        <v>0</v>
      </c>
      <c r="AK589" s="645" t="str">
        <f t="shared" si="1754"/>
        <v/>
      </c>
      <c r="AL589" s="645">
        <f t="shared" si="1755"/>
        <v>0</v>
      </c>
      <c r="AM589" s="645" t="str">
        <f t="shared" si="1756"/>
        <v/>
      </c>
      <c r="AN589" s="651">
        <f t="shared" si="1757"/>
        <v>0</v>
      </c>
      <c r="AO589" s="623"/>
      <c r="AP589" s="632" t="str">
        <f t="shared" si="1652"/>
        <v/>
      </c>
      <c r="AQ589" s="633" t="str">
        <f>IF(AC589=$V$3,IF(VLOOKUP(C589,[1]List1!$A:$E,5,FALSE)=0,1,VLOOKUP(C589,[1]List1!$A:$E,5,FALSE)),"")</f>
        <v/>
      </c>
      <c r="AR589" s="625" t="str">
        <f t="shared" si="1653"/>
        <v/>
      </c>
      <c r="AS589" s="634" t="str">
        <f t="shared" si="1654"/>
        <v/>
      </c>
      <c r="AT589" s="625" t="str">
        <f t="shared" si="1655"/>
        <v/>
      </c>
      <c r="AU589" s="638" t="e">
        <f t="shared" si="1656"/>
        <v>#N/A</v>
      </c>
      <c r="AV589" s="625" t="e">
        <f t="shared" si="1657"/>
        <v>#N/A</v>
      </c>
      <c r="AX589" s="625">
        <f>IF(AND('General price list'!$J589="F4",'General price list'!$AB589+0&gt;0),1,0)</f>
        <v>0</v>
      </c>
      <c r="AY589" s="625">
        <f t="shared" si="1658"/>
        <v>1</v>
      </c>
      <c r="AZ589" s="625">
        <f t="shared" si="1659"/>
        <v>0</v>
      </c>
    </row>
    <row r="590" spans="1:52" ht="15" customHeight="1">
      <c r="A590" s="621" t="str">
        <f>Kat.!C590</f>
        <v>×</v>
      </c>
      <c r="B590" s="566">
        <f>IF(AND('General price list'!$J590="F4",$AI$1=FALSE),0,IF(AC590="SKLADEM",1,IF(AC590=$V$3,1,0)))</f>
        <v>1</v>
      </c>
      <c r="C590" s="567" t="s">
        <v>1216</v>
      </c>
      <c r="D590" s="568" t="s">
        <v>1211</v>
      </c>
      <c r="E590" s="763" t="s">
        <v>12663</v>
      </c>
      <c r="F590" s="772">
        <f>IFERROR(VLOOKUP(C590,[2]List1!$A:$D,3,FALSE),"NEUVEDENO!")</f>
        <v>2862</v>
      </c>
      <c r="G590" s="769">
        <f t="shared" si="1744"/>
        <v>2862</v>
      </c>
      <c r="H590" s="766">
        <f t="shared" si="1745"/>
        <v>121.57357495125588</v>
      </c>
      <c r="I590" s="764">
        <f>IFERROR(VLOOKUP(C590,[2]List1!$A:$D,4,FALSE),"NEUVEDENO!")</f>
        <v>1</v>
      </c>
      <c r="J590" s="732" t="s">
        <v>39</v>
      </c>
      <c r="K590" s="569" t="s">
        <v>20</v>
      </c>
      <c r="L590" s="569" t="s">
        <v>20</v>
      </c>
      <c r="M590" s="569" t="s">
        <v>114</v>
      </c>
      <c r="N590" s="569">
        <f>IFERROR(VLOOKUP(C590,[3]List1!$A:$D,4,FALSE),"N/A!")</f>
        <v>3.4847999999999997E-2</v>
      </c>
      <c r="O590" s="569">
        <f>IFERROR(VLOOKUP(C590,[3]List1!$A:$D,3,FALSE),"N/A!")</f>
        <v>1992</v>
      </c>
      <c r="P590" s="569">
        <f>IFERROR(VLOOKUP(C590,[3]List1!$A:$D,2,FALSE),"N/A!")</f>
        <v>17500</v>
      </c>
      <c r="Q590" s="569" t="s">
        <v>12096</v>
      </c>
      <c r="R590" s="569" t="s">
        <v>20</v>
      </c>
      <c r="S590" s="569" t="str">
        <f>IF($W$17=$AF$1,"červená fólie",IFERROR(VLOOKUP("červená fólie",Jazyky_ceník!$A:$Q,MATCH($W$17,Jazyky_ceník!$A$1:$Q$1,0),FALSE),"!!!"))</f>
        <v>červená fólie</v>
      </c>
      <c r="T590" s="569">
        <v>140</v>
      </c>
      <c r="U590" s="569">
        <v>30</v>
      </c>
      <c r="V590" s="569">
        <v>22</v>
      </c>
      <c r="W590" s="569" t="str">
        <f>IFERROR(IF(AND($AB590&gt;=0.1*$AA590,MOD($AB590,$AA590)&gt;=($AA590-(0.1*$AA590))),IF($W$17=$AF$1,"Zvažte možnost doobjednání ještě "&amp;Tabulka1[[#This Row],[VKPAL]]-MOD(AB590,AA590)&amp;" VK do plné palety.",VLOOKUP("Zvažte možnost doobjednání ještě ",Jazyky_ceník!A:Q,MATCH($W$17,Jazyky_ceník!$A$1:$Q$1,0),FALSE)&amp;Tabulka1[[#This Row],[VKPAL]]-MOD(AB590,AA590)&amp;VLOOKUP(" VK do plné palety.",Jazyky_ceník!A:Q,MATCH($W$17,Jazyky_ceník!$A$1:$Q$1,0),FALSE)),IFERROR(IF(AND(NOT(MOD($AB590,$AA590)=0),$AB590&gt;=0.9*$AA590,MOD($AB590,$AA590)&lt;=0.1*$AA590),IF($W$17=$AF$1,"Zvažte možnost optimalizace objednaného množství podle počtu VK na paletě ==&gt;",VLOOKUP("Zvažte možnost optimalizace objednaného množství podle počtu VK na paletě ==&gt;",Jazyky_ceník!A:Q,MATCH($W$17,Jazyky_ceník!$A$1:$Q$1,0),FALSE)),VLOOKUP('General price list'!$C590,Popisy!A:M,MATCH($W$17,Popisy!$A$7:$M$7,0),FALSE)),"---------------")),IFERROR(VLOOKUP('General price list'!$C590,Popisy!A:M,MATCH($W$17,Popisy!$A$7:$M$7,0),FALSE),"---------------"))</f>
        <v>28 různobarevných efektů</v>
      </c>
      <c r="X590" s="569" t="str">
        <f t="shared" si="1746"/>
        <v/>
      </c>
      <c r="Y590" s="569" t="str">
        <f t="shared" si="1747"/>
        <v/>
      </c>
      <c r="Z590" s="569" t="str">
        <f>HYPERLINK("https://www.klasekpyrotechnics.cz/c19625f-c")</f>
        <v>https://www.klasekpyrotechnics.cz/c19625f-c</v>
      </c>
      <c r="AA590" s="569" t="str">
        <f>IFERROR(IF(VLOOKUP(C590,[4]List1!$A:$D,4,FALSE)=0,"",VLOOKUP(C590,[4]List1!$A:$D,4,FALSE)),"")</f>
        <v>18</v>
      </c>
      <c r="AB590" s="565"/>
      <c r="AC590" s="570" t="str">
        <f>IFERROR(IF(VLOOKUP(C590,[1]List1!$A:$D,2,FALSE)="VYPRODÁNO",$V$9,IF(VLOOKUP(C590,[1]List1!$A:$D,2,FALSE)="DOCHÁZÍ",$V$3,VLOOKUP(C590,[1]List1!$A:$D,2,FALSE))),"OFFLINE!")</f>
        <v>SKLADEM</v>
      </c>
      <c r="AD590" s="570" t="str">
        <f ca="1">IF(AP590="NE",$V$10,IF(AC590=$V$3,IF(AQ590&lt;1,$V$8,$V$2&amp;" "&amp;AQ590&amp;" "&amp;$V$1),IF(AC590="SKLADEM",$V$6,IFERROR(IF(OR(AC590-TODAY()&gt;45,VLOOKUP(C590,[1]List1!$A:$E,4,FALSE)=0),AC590,DAY(AC590)&amp;"."&amp;MONTH(AC590)&amp;"."&amp;YEAR(AC590)&amp;" "&amp;$V$4&amp;VLOOKUP(C590,[1]List1!$A:$E,4,FALSE)&amp;" "&amp;$V$1),AC590))))</f>
        <v>SKLADEM</v>
      </c>
      <c r="AE590" s="581" t="str">
        <f t="shared" ca="1" si="1748"/>
        <v>SKLADEM</v>
      </c>
      <c r="AF590" s="584">
        <f t="shared" si="1749"/>
        <v>0</v>
      </c>
      <c r="AG590" s="585">
        <f t="shared" si="1750"/>
        <v>0</v>
      </c>
      <c r="AH590" s="583">
        <f t="shared" si="1751"/>
        <v>0</v>
      </c>
      <c r="AI590" s="582">
        <f t="shared" si="1752"/>
        <v>0</v>
      </c>
      <c r="AJ590" s="569">
        <f t="shared" si="1753"/>
        <v>0</v>
      </c>
      <c r="AK590" s="569" t="str">
        <f t="shared" si="1754"/>
        <v/>
      </c>
      <c r="AL590" s="569">
        <f t="shared" si="1755"/>
        <v>0</v>
      </c>
      <c r="AM590" s="569" t="str">
        <f t="shared" si="1756"/>
        <v/>
      </c>
      <c r="AN590" s="581">
        <f t="shared" si="1757"/>
        <v>0</v>
      </c>
      <c r="AO590" s="623"/>
      <c r="AP590" s="632" t="str">
        <f t="shared" si="1652"/>
        <v/>
      </c>
      <c r="AQ590" s="633" t="str">
        <f>IF(AC590=$V$3,IF(VLOOKUP(C590,[1]List1!$A:$E,5,FALSE)=0,1,VLOOKUP(C590,[1]List1!$A:$E,5,FALSE)),"")</f>
        <v/>
      </c>
      <c r="AR590" s="625" t="str">
        <f t="shared" si="1653"/>
        <v/>
      </c>
      <c r="AS590" s="634" t="str">
        <f t="shared" si="1654"/>
        <v/>
      </c>
      <c r="AT590" s="625" t="str">
        <f t="shared" si="1655"/>
        <v/>
      </c>
      <c r="AU590" s="638" t="e">
        <f t="shared" si="1656"/>
        <v>#N/A</v>
      </c>
      <c r="AV590" s="625" t="e">
        <f t="shared" si="1657"/>
        <v>#N/A</v>
      </c>
      <c r="AX590" s="625">
        <f>IF(AND('General price list'!$J590="F4",'General price list'!$AB590+0&gt;0),1,0)</f>
        <v>0</v>
      </c>
      <c r="AY590" s="625">
        <f t="shared" si="1658"/>
        <v>1</v>
      </c>
      <c r="AZ590" s="625">
        <f t="shared" si="1659"/>
        <v>0</v>
      </c>
    </row>
    <row r="591" spans="1:52" ht="15" customHeight="1">
      <c r="A591" s="639" t="str">
        <f>Kat.!C591</f>
        <v/>
      </c>
      <c r="B591" s="640">
        <f>IF(AND('General price list'!$J591="F4",$AI$1=FALSE),0,IF(AC591="SKLADEM",1,IF(AC591=$V$3,1,0)))</f>
        <v>1</v>
      </c>
      <c r="C591" s="641" t="s">
        <v>12034</v>
      </c>
      <c r="D591" s="642" t="s">
        <v>12035</v>
      </c>
      <c r="E591" s="643" t="s">
        <v>12663</v>
      </c>
      <c r="F591" s="791">
        <f>IFERROR(VLOOKUP(C591,[2]List1!$A:$D,3,FALSE),"NEUVEDENO!")</f>
        <v>2749</v>
      </c>
      <c r="G591" s="770">
        <f t="shared" si="1744"/>
        <v>2749</v>
      </c>
      <c r="H591" s="767">
        <f t="shared" si="1745"/>
        <v>116.77350018902949</v>
      </c>
      <c r="I591" s="644">
        <f>IFERROR(VLOOKUP(C591,[2]List1!$A:$D,4,FALSE),"NEUVEDENO!")</f>
        <v>1</v>
      </c>
      <c r="J591" s="733" t="s">
        <v>39</v>
      </c>
      <c r="K591" s="645" t="s">
        <v>11100</v>
      </c>
      <c r="L591" s="645"/>
      <c r="M591" s="645" t="s">
        <v>114</v>
      </c>
      <c r="N591" s="645">
        <f>IFERROR(VLOOKUP(C591,[3]List1!$A:$D,4,FALSE),"N/A!")</f>
        <v>3.71475E-2</v>
      </c>
      <c r="O591" s="645">
        <f>IFERROR(VLOOKUP(C591,[3]List1!$A:$D,3,FALSE),"N/A!")</f>
        <v>1990</v>
      </c>
      <c r="P591" s="645">
        <f>IFERROR(VLOOKUP(C591,[3]List1!$A:$D,2,FALSE),"N/A!")</f>
        <v>18200</v>
      </c>
      <c r="Q591" s="645" t="s">
        <v>12091</v>
      </c>
      <c r="R591" s="645"/>
      <c r="S591" s="645" t="str">
        <f>IF($W$17=$AF$1,"červená fólie",IFERROR(VLOOKUP("červená fólie",Jazyky_ceník!$A:$Q,MATCH($W$17,Jazyky_ceník!$A$1:$Q$1,0),FALSE),"!!!"))</f>
        <v>červená fólie</v>
      </c>
      <c r="T591" s="645">
        <v>180</v>
      </c>
      <c r="U591" s="645">
        <v>30</v>
      </c>
      <c r="V591" s="645">
        <v>22</v>
      </c>
      <c r="W591" s="645" t="str">
        <f>IFERROR(IF(AND($AB591&gt;=0.1*$AA591,MOD($AB591,$AA591)&gt;=($AA591-(0.1*$AA591))),IF($W$17=$AF$1,"Zvažte možnost doobjednání ještě "&amp;Tabulka1[[#This Row],[VKPAL]]-MOD(AB591,AA591)&amp;" VK do plné palety.",VLOOKUP("Zvažte možnost doobjednání ještě ",Jazyky_ceník!A:Q,MATCH($W$17,Jazyky_ceník!$A$1:$Q$1,0),FALSE)&amp;Tabulka1[[#This Row],[VKPAL]]-MOD(AB591,AA591)&amp;VLOOKUP(" VK do plné palety.",Jazyky_ceník!A:Q,MATCH($W$17,Jazyky_ceník!$A$1:$Q$1,0),FALSE)),IFERROR(IF(AND(NOT(MOD($AB591,$AA591)=0),$AB591&gt;=0.9*$AA591,MOD($AB591,$AA591)&lt;=0.1*$AA591),IF($W$17=$AF$1,"Zvažte možnost optimalizace objednaného množství podle počtu VK na paletě ==&gt;",VLOOKUP("Zvažte možnost optimalizace objednaného množství podle počtu VK na paletě ==&gt;",Jazyky_ceník!A:Q,MATCH($W$17,Jazyky_ceník!$A$1:$Q$1,0),FALSE)),VLOOKUP('General price list'!$C591,Popisy!A:M,MATCH($W$17,Popisy!$A$7:$M$7,0),FALSE)),"---------------")),IFERROR(VLOOKUP('General price list'!$C591,Popisy!A:M,MATCH($W$17,Popisy!$A$7:$M$7,0),FALSE),"---------------"))</f>
        <v>20 různobarevných efektů</v>
      </c>
      <c r="X591" s="645" t="str">
        <f t="shared" si="1746"/>
        <v/>
      </c>
      <c r="Y591" s="645" t="str">
        <f t="shared" si="1747"/>
        <v/>
      </c>
      <c r="Z591" s="645" t="str">
        <f>HYPERLINK("https://www.klasekpyrotechnics.cz/c20025i-c")</f>
        <v>https://www.klasekpyrotechnics.cz/c20025i-c</v>
      </c>
      <c r="AA591" s="645">
        <f>IFERROR(IF(VLOOKUP(C591,[4]List1!$A:$D,4,FALSE)=0,"",VLOOKUP(C591,[4]List1!$A:$D,4,FALSE)),"")</f>
        <v>36</v>
      </c>
      <c r="AB591" s="646"/>
      <c r="AC591" s="647" t="str">
        <f>IFERROR(IF(VLOOKUP(C591,[1]List1!$A:$D,2,FALSE)="VYPRODÁNO",$V$9,IF(VLOOKUP(C591,[1]List1!$A:$D,2,FALSE)="DOCHÁZÍ",$V$3,VLOOKUP(C591,[1]List1!$A:$D,2,FALSE))),"OFFLINE!")</f>
        <v>SKLADEM</v>
      </c>
      <c r="AD591" s="647" t="str">
        <f ca="1">IF(AP591="NE",$V$10,IF(AC591=$V$3,IF(AQ591&lt;1,$V$8,$V$2&amp;" "&amp;AQ591&amp;" "&amp;$V$1),IF(AC591="SKLADEM",$V$6,IFERROR(IF(OR(AC591-TODAY()&gt;45,VLOOKUP(C591,[1]List1!$A:$E,4,FALSE)=0),AC591,DAY(AC591)&amp;"."&amp;MONTH(AC591)&amp;"."&amp;YEAR(AC591)&amp;" "&amp;$V$4&amp;VLOOKUP(C591,[1]List1!$A:$E,4,FALSE)&amp;" "&amp;$V$1),AC591))))</f>
        <v>SKLADEM</v>
      </c>
      <c r="AE591" s="645" t="str">
        <f t="shared" ca="1" si="1748"/>
        <v>SKLADEM</v>
      </c>
      <c r="AF591" s="648">
        <f t="shared" si="1749"/>
        <v>0</v>
      </c>
      <c r="AG591" s="649">
        <f t="shared" si="1750"/>
        <v>0</v>
      </c>
      <c r="AH591" s="650">
        <f t="shared" si="1751"/>
        <v>0</v>
      </c>
      <c r="AI591" s="645">
        <f t="shared" si="1752"/>
        <v>0</v>
      </c>
      <c r="AJ591" s="645">
        <f t="shared" si="1753"/>
        <v>0</v>
      </c>
      <c r="AK591" s="645" t="str">
        <f t="shared" si="1754"/>
        <v/>
      </c>
      <c r="AL591" s="645">
        <f t="shared" si="1755"/>
        <v>0</v>
      </c>
      <c r="AM591" s="645" t="str">
        <f t="shared" si="1756"/>
        <v/>
      </c>
      <c r="AN591" s="651">
        <f t="shared" si="1757"/>
        <v>0</v>
      </c>
      <c r="AO591" s="623"/>
      <c r="AP591" s="632" t="str">
        <f t="shared" si="1652"/>
        <v/>
      </c>
      <c r="AQ591" s="633" t="str">
        <f>IF(AC591=$V$3,IF(VLOOKUP(C591,[1]List1!$A:$E,5,FALSE)=0,1,VLOOKUP(C591,[1]List1!$A:$E,5,FALSE)),"")</f>
        <v/>
      </c>
      <c r="AR591" s="625" t="str">
        <f t="shared" si="1653"/>
        <v/>
      </c>
      <c r="AS591" s="634" t="str">
        <f t="shared" si="1654"/>
        <v/>
      </c>
      <c r="AT591" s="625" t="str">
        <f t="shared" si="1655"/>
        <v/>
      </c>
      <c r="AU591" s="638" t="e">
        <f t="shared" si="1656"/>
        <v>#N/A</v>
      </c>
      <c r="AV591" s="625" t="e">
        <f t="shared" si="1657"/>
        <v>#N/A</v>
      </c>
      <c r="AX591" s="625">
        <f>IF(AND('General price list'!$J591="F4",'General price list'!$AB591+0&gt;0),1,0)</f>
        <v>0</v>
      </c>
      <c r="AY591" s="625">
        <f t="shared" si="1658"/>
        <v>1</v>
      </c>
      <c r="AZ591" s="625">
        <f t="shared" si="1659"/>
        <v>0</v>
      </c>
    </row>
    <row r="592" spans="1:52" ht="15" customHeight="1">
      <c r="A592" s="751" t="str">
        <f>Kat.!C592</f>
        <v xml:space="preserve">           Složený ohňostroj 25 mm – F3 – 1.3G</v>
      </c>
      <c r="B592" s="751"/>
      <c r="C592" s="751"/>
      <c r="D592" s="751"/>
      <c r="E592" s="751"/>
      <c r="F592" s="751"/>
      <c r="G592" s="751"/>
      <c r="H592" s="751"/>
      <c r="I592" s="752"/>
      <c r="J592" s="752"/>
      <c r="K592" s="752" t="s">
        <v>20</v>
      </c>
      <c r="L592" s="753" t="s">
        <v>20</v>
      </c>
      <c r="M592" s="752"/>
      <c r="N592" s="752"/>
      <c r="O592" s="752"/>
      <c r="P592" s="752"/>
      <c r="Q592" s="752"/>
      <c r="R592" s="752"/>
      <c r="S592" s="752"/>
      <c r="T592" s="752"/>
      <c r="U592" s="752"/>
      <c r="V592" s="752"/>
      <c r="W592" s="752"/>
      <c r="X592" s="752"/>
      <c r="Y592" s="752"/>
      <c r="Z592" s="752" t="s">
        <v>20</v>
      </c>
      <c r="AA592" s="752"/>
      <c r="AB592" s="752"/>
      <c r="AC592" s="754"/>
      <c r="AD592" s="752"/>
      <c r="AE592" s="752"/>
      <c r="AF592" s="752"/>
      <c r="AG592" s="752"/>
      <c r="AH592" s="752"/>
      <c r="AI592" s="752"/>
      <c r="AJ592" s="752"/>
      <c r="AK592" s="752"/>
      <c r="AL592" s="752"/>
      <c r="AM592" s="752"/>
      <c r="AN592" s="752"/>
      <c r="AO592" s="623"/>
      <c r="AP592" s="632" t="str">
        <f t="shared" si="1652"/>
        <v/>
      </c>
      <c r="AQ592" s="633" t="str">
        <f>IF(AC592=$V$3,IF(VLOOKUP(C592,[1]List1!$A:$E,5,FALSE)=0,1,VLOOKUP(C592,[1]List1!$A:$E,5,FALSE)),"")</f>
        <v/>
      </c>
      <c r="AR592" s="625" t="str">
        <f t="shared" si="1653"/>
        <v/>
      </c>
      <c r="AS592" s="634" t="str">
        <f t="shared" si="1654"/>
        <v/>
      </c>
      <c r="AT592" s="625" t="str">
        <f t="shared" si="1655"/>
        <v/>
      </c>
      <c r="AU592" s="638" t="e">
        <f t="shared" si="1656"/>
        <v>#N/A</v>
      </c>
      <c r="AV592" s="625" t="e">
        <f t="shared" si="1657"/>
        <v>#N/A</v>
      </c>
      <c r="AX592" s="625">
        <f>IF(AND('General price list'!$J592="F4",'General price list'!$AB592+0&gt;0),1,0)</f>
        <v>0</v>
      </c>
      <c r="AY592" s="625">
        <f t="shared" si="1658"/>
        <v>0</v>
      </c>
      <c r="AZ592" s="625">
        <f t="shared" si="1659"/>
        <v>0</v>
      </c>
    </row>
    <row r="593" spans="1:52" ht="15" customHeight="1">
      <c r="A593" s="639" t="str">
        <f>Kat.!C593</f>
        <v>×</v>
      </c>
      <c r="B593" s="640">
        <f>IF(AND('General price list'!$J593="F4",$AI$1=FALSE),0,IF(AC593="SKLADEM",1,IF(AC593=$V$3,1,0)))</f>
        <v>1</v>
      </c>
      <c r="C593" s="641" t="s">
        <v>1227</v>
      </c>
      <c r="D593" s="642" t="s">
        <v>1217</v>
      </c>
      <c r="E593" s="643" t="s">
        <v>12663</v>
      </c>
      <c r="F593" s="771">
        <f>IFERROR(VLOOKUP(C593,[2]List1!$A:$D,3,FALSE),"NEUVEDENO!")</f>
        <v>3558</v>
      </c>
      <c r="G593" s="768">
        <f t="shared" ref="G593:G596" si="1758">IF($W$17=$AF$8,ROUND((F593)/$F$17,2),(F593)*$B$19)</f>
        <v>3558</v>
      </c>
      <c r="H593" s="765">
        <f t="shared" ref="H593:H596" si="1759">IF($W$17=$AF$8,G593*$B$19,G593/$F$17)</f>
        <v>151.13863720355292</v>
      </c>
      <c r="I593" s="644">
        <f>IFERROR(VLOOKUP(C593,[2]List1!$A:$D,4,FALSE),"NEUVEDENO!")</f>
        <v>1</v>
      </c>
      <c r="J593" s="733" t="s">
        <v>113</v>
      </c>
      <c r="K593" s="645" t="s">
        <v>20</v>
      </c>
      <c r="L593" s="645" t="s">
        <v>20</v>
      </c>
      <c r="M593" s="645" t="s">
        <v>114</v>
      </c>
      <c r="N593" s="645">
        <f>IFERROR(VLOOKUP(C593,[3]List1!$A:$D,4,FALSE),"N/A!")</f>
        <v>5.1275624999999998E-2</v>
      </c>
      <c r="O593" s="645">
        <f>IFERROR(VLOOKUP(C593,[3]List1!$A:$D,3,FALSE),"N/A!")</f>
        <v>1990</v>
      </c>
      <c r="P593" s="645">
        <f>IFERROR(VLOOKUP(C593,[3]List1!$A:$D,2,FALSE),"N/A!")</f>
        <v>17300</v>
      </c>
      <c r="Q593" s="645" t="s">
        <v>12097</v>
      </c>
      <c r="R593" s="645" t="s">
        <v>20</v>
      </c>
      <c r="S593" s="645" t="str">
        <f>IF($W$17=$AF$1,"červená fólie",IFERROR(VLOOKUP("červená fólie",Jazyky_ceník!$A:$Q,MATCH($W$17,Jazyky_ceník!$A$1:$Q$1,0),FALSE),"!!!"))</f>
        <v>červená fólie</v>
      </c>
      <c r="T593" s="645">
        <v>120</v>
      </c>
      <c r="U593" s="645">
        <v>30</v>
      </c>
      <c r="V593" s="645">
        <v>22</v>
      </c>
      <c r="W593" s="645" t="str">
        <f>IFERROR(IF(AND($AB593&gt;=0.1*$AA593,MOD($AB593,$AA593)&gt;=($AA593-(0.1*$AA593))),IF($W$17=$AF$1,"Zvažte možnost doobjednání ještě "&amp;Tabulka1[[#This Row],[VKPAL]]-MOD(AB593,AA593)&amp;" VK do plné palety.",VLOOKUP("Zvažte možnost doobjednání ještě ",Jazyky_ceník!A:Q,MATCH($W$17,Jazyky_ceník!$A$1:$Q$1,0),FALSE)&amp;Tabulka1[[#This Row],[VKPAL]]-MOD(AB593,AA593)&amp;VLOOKUP(" VK do plné palety.",Jazyky_ceník!A:Q,MATCH($W$17,Jazyky_ceník!$A$1:$Q$1,0),FALSE)),IFERROR(IF(AND(NOT(MOD($AB593,$AA593)=0),$AB593&gt;=0.9*$AA593,MOD($AB593,$AA593)&lt;=0.1*$AA593),IF($W$17=$AF$1,"Zvažte možnost optimalizace objednaného množství podle počtu VK na paletě ==&gt;",VLOOKUP("Zvažte možnost optimalizace objednaného množství podle počtu VK na paletě ==&gt;",Jazyky_ceník!A:Q,MATCH($W$17,Jazyky_ceník!$A$1:$Q$1,0),FALSE)),VLOOKUP('General price list'!$C593,Popisy!A:M,MATCH($W$17,Popisy!$A$7:$M$7,0),FALSE)),"---------------")),IFERROR(VLOOKUP('General price list'!$C593,Popisy!A:M,MATCH($W$17,Popisy!$A$7:$M$7,0),FALSE),"---------------"))</f>
        <v>18 různobarevných efektů</v>
      </c>
      <c r="X593" s="645" t="str">
        <f t="shared" ref="X593:X596" si="1760">IF(AB593&lt;0.0001,"",AB593)</f>
        <v/>
      </c>
      <c r="Y593" s="645" t="str">
        <f t="shared" ref="Y593:Y596" si="1761">IF($AL$3=2,IF(OR(AB593&lt;&gt;"",AB593&lt;&gt;0),AU593,""),IF(C593="","",IF(AB593&lt;0.0001,"",IF(B593=0,"",IF(AQ593&lt;AB593,"",AB593)))))</f>
        <v/>
      </c>
      <c r="Z593" s="645" t="str">
        <f>HYPERLINK("https://www.klasekpyrotechnics.cz/c17825w-c")</f>
        <v>https://www.klasekpyrotechnics.cz/c17825w-c</v>
      </c>
      <c r="AA593" s="645" t="str">
        <f>IFERROR(IF(VLOOKUP(C593,[4]List1!$A:$D,4,FALSE)=0,"",VLOOKUP(C593,[4]List1!$A:$D,4,FALSE)),"")</f>
        <v>18</v>
      </c>
      <c r="AB593" s="646"/>
      <c r="AC593" s="647" t="str">
        <f>IFERROR(IF(VLOOKUP(C593,[1]List1!$A:$D,2,FALSE)="VYPRODÁNO",$V$9,IF(VLOOKUP(C593,[1]List1!$A:$D,2,FALSE)="DOCHÁZÍ",$V$3,VLOOKUP(C593,[1]List1!$A:$D,2,FALSE))),"OFFLINE!")</f>
        <v>SKLADEM</v>
      </c>
      <c r="AD593" s="647" t="str">
        <f ca="1">IF(AP593="NE",$V$10,IF(AC593=$V$3,IF(AQ593&lt;1,$V$8,$V$2&amp;" "&amp;AQ593&amp;" "&amp;$V$1),IF(AC593="SKLADEM",$V$6,IFERROR(IF(OR(AC593-TODAY()&gt;45,VLOOKUP(C593,[1]List1!$A:$E,4,FALSE)=0),AC593,DAY(AC593)&amp;"."&amp;MONTH(AC593)&amp;"."&amp;YEAR(AC593)&amp;" "&amp;$V$4&amp;VLOOKUP(C593,[1]List1!$A:$E,4,FALSE)&amp;" "&amp;$V$1),AC593))))</f>
        <v>SKLADEM</v>
      </c>
      <c r="AE593" s="645" t="str">
        <f t="shared" ref="AE593:AE596" ca="1" si="1762">IFERROR(IF(AV593&lt;&gt;"",AV593,AD593),AD593)</f>
        <v>SKLADEM</v>
      </c>
      <c r="AF593" s="648">
        <f t="shared" ref="AF593:AF596" si="1763">IFERROR(IF(AB593=Y593,G593*I593*Y593,0),0)</f>
        <v>0</v>
      </c>
      <c r="AG593" s="649">
        <f t="shared" ref="AG593:AG596" si="1764">IF($W$17=$AF$8,AH593*1.23,AF593*1.21)</f>
        <v>0</v>
      </c>
      <c r="AH593" s="650">
        <f t="shared" ref="AH593:AH596" si="1765">IFERROR(IF(Y593=AB593,H593*I593*Y593,0),0)</f>
        <v>0</v>
      </c>
      <c r="AI593" s="645">
        <f t="shared" ref="AI593:AI596" si="1766">IFERROR(IF(Y593=AB593,(P593*Y593)/1000,1),0)</f>
        <v>0</v>
      </c>
      <c r="AJ593" s="645">
        <f t="shared" ref="AJ593:AJ596" si="1767">IFERROR(IF(Y593=AB593,N593*Y593,0.1),0)</f>
        <v>0</v>
      </c>
      <c r="AK593" s="645" t="str">
        <f t="shared" ref="AK593:AK596" si="1768">IFERROR(IF(Y593=AB593,IF(M593="1.1G",(O593/1000)*Y593,""),""),0)</f>
        <v/>
      </c>
      <c r="AL593" s="645">
        <f t="shared" ref="AL593:AL596" si="1769">IFERROR(IF(Y593=AB593,IF(M593="1.3G",(O593/1000)*AB593,""),""),0)</f>
        <v>0</v>
      </c>
      <c r="AM593" s="645" t="str">
        <f t="shared" ref="AM593:AM596" si="1770">IFERROR(IF(Y593=AB593,IF(M593="1.4G",(O593/1000)*AB593,""),""),0)</f>
        <v/>
      </c>
      <c r="AN593" s="651">
        <f t="shared" ref="AN593:AN596" si="1771">SUM(AK593:AM593)</f>
        <v>0</v>
      </c>
      <c r="AO593" s="623"/>
      <c r="AP593" s="632" t="str">
        <f t="shared" si="1652"/>
        <v/>
      </c>
      <c r="AQ593" s="633" t="str">
        <f>IF(AC593=$V$3,IF(VLOOKUP(C593,[1]List1!$A:$E,5,FALSE)=0,1,VLOOKUP(C593,[1]List1!$A:$E,5,FALSE)),"")</f>
        <v/>
      </c>
      <c r="AR593" s="625" t="str">
        <f t="shared" si="1653"/>
        <v/>
      </c>
      <c r="AS593" s="634" t="str">
        <f t="shared" si="1654"/>
        <v/>
      </c>
      <c r="AT593" s="625" t="str">
        <f t="shared" si="1655"/>
        <v/>
      </c>
      <c r="AU593" s="638" t="e">
        <f t="shared" si="1656"/>
        <v>#N/A</v>
      </c>
      <c r="AV593" s="625" t="e">
        <f t="shared" si="1657"/>
        <v>#N/A</v>
      </c>
      <c r="AX593" s="625">
        <f>IF(AND('General price list'!$J593="F4",'General price list'!$AB593+0&gt;0),1,0)</f>
        <v>0</v>
      </c>
      <c r="AY593" s="625">
        <f t="shared" si="1658"/>
        <v>1</v>
      </c>
      <c r="AZ593" s="625">
        <f t="shared" si="1659"/>
        <v>0</v>
      </c>
    </row>
    <row r="594" spans="1:52" ht="15" customHeight="1">
      <c r="A594" s="621" t="str">
        <f>Kat.!C594</f>
        <v>×</v>
      </c>
      <c r="B594" s="566">
        <f>IF(AND('General price list'!$J594="F4",$AI$1=FALSE),0,IF(AC594="SKLADEM",1,IF(AC594=$V$3,1,0)))</f>
        <v>1</v>
      </c>
      <c r="C594" s="567" t="s">
        <v>1228</v>
      </c>
      <c r="D594" s="568" t="s">
        <v>1399</v>
      </c>
      <c r="E594" s="763" t="s">
        <v>12663</v>
      </c>
      <c r="F594" s="791">
        <f>IFERROR(VLOOKUP(C594,[2]List1!$A:$D,3,FALSE),"NEUVEDENO!")</f>
        <v>2999</v>
      </c>
      <c r="G594" s="769">
        <f t="shared" si="1758"/>
        <v>2999</v>
      </c>
      <c r="H594" s="766">
        <f t="shared" si="1759"/>
        <v>127.39313461873388</v>
      </c>
      <c r="I594" s="764">
        <f>IFERROR(VLOOKUP(C594,[2]List1!$A:$D,4,FALSE),"NEUVEDENO!")</f>
        <v>1</v>
      </c>
      <c r="J594" s="732" t="s">
        <v>113</v>
      </c>
      <c r="K594" s="569" t="s">
        <v>11100</v>
      </c>
      <c r="L594" s="569" t="s">
        <v>20</v>
      </c>
      <c r="M594" s="569" t="s">
        <v>114</v>
      </c>
      <c r="N594" s="569">
        <f>IFERROR(VLOOKUP(C594,[3]List1!$A:$D,4,FALSE),"N/A!")</f>
        <v>3.71475E-2</v>
      </c>
      <c r="O594" s="569">
        <f>IFERROR(VLOOKUP(C594,[3]List1!$A:$D,3,FALSE),"N/A!")</f>
        <v>1990</v>
      </c>
      <c r="P594" s="569">
        <f>IFERROR(VLOOKUP(C594,[3]List1!$A:$D,2,FALSE),"N/A!")</f>
        <v>18200</v>
      </c>
      <c r="Q594" s="569" t="s">
        <v>11233</v>
      </c>
      <c r="R594" s="569"/>
      <c r="S594" s="569" t="str">
        <f>IF($W$17=$AF$1,"červená fólie",IFERROR(VLOOKUP("červená fólie",Jazyky_ceník!$A:$Q,MATCH($W$17,Jazyky_ceník!$A$1:$Q$1,0),FALSE),"!!!"))</f>
        <v>červená fólie</v>
      </c>
      <c r="T594" s="569">
        <v>160</v>
      </c>
      <c r="U594" s="569">
        <v>30</v>
      </c>
      <c r="V594" s="569">
        <v>22</v>
      </c>
      <c r="W594" s="569" t="str">
        <f>IFERROR(IF(AND($AB594&gt;=0.1*$AA594,MOD($AB594,$AA594)&gt;=($AA594-(0.1*$AA594))),IF($W$17=$AF$1,"Zvažte možnost doobjednání ještě "&amp;Tabulka1[[#This Row],[VKPAL]]-MOD(AB594,AA594)&amp;" VK do plné palety.",VLOOKUP("Zvažte možnost doobjednání ještě ",Jazyky_ceník!A:Q,MATCH($W$17,Jazyky_ceník!$A$1:$Q$1,0),FALSE)&amp;Tabulka1[[#This Row],[VKPAL]]-MOD(AB594,AA594)&amp;VLOOKUP(" VK do plné palety.",Jazyky_ceník!A:Q,MATCH($W$17,Jazyky_ceník!$A$1:$Q$1,0),FALSE)),IFERROR(IF(AND(NOT(MOD($AB594,$AA594)=0),$AB594&gt;=0.9*$AA594,MOD($AB594,$AA594)&lt;=0.1*$AA594),IF($W$17=$AF$1,"Zvažte možnost optimalizace objednaného množství podle počtu VK na paletě ==&gt;",VLOOKUP("Zvažte možnost optimalizace objednaného množství podle počtu VK na paletě ==&gt;",Jazyky_ceník!A:Q,MATCH($W$17,Jazyky_ceník!$A$1:$Q$1,0),FALSE)),VLOOKUP('General price list'!$C594,Popisy!A:M,MATCH($W$17,Popisy!$A$7:$M$7,0),FALSE)),"---------------")),IFERROR(VLOOKUP('General price list'!$C594,Popisy!A:M,MATCH($W$17,Popisy!$A$7:$M$7,0),FALSE),"---------------"))</f>
        <v>20 různobarevných efektů</v>
      </c>
      <c r="X594" s="569" t="str">
        <f t="shared" si="1760"/>
        <v/>
      </c>
      <c r="Y594" s="569" t="str">
        <f t="shared" si="1761"/>
        <v/>
      </c>
      <c r="Z594" s="569" t="str">
        <f>HYPERLINK("https://www.klasekpyrotechnics.cz/c20025f-c")</f>
        <v>https://www.klasekpyrotechnics.cz/c20025f-c</v>
      </c>
      <c r="AA594" s="569">
        <f>IFERROR(IF(VLOOKUP(C594,[4]List1!$A:$D,4,FALSE)=0,"",VLOOKUP(C594,[4]List1!$A:$D,4,FALSE)),"")</f>
        <v>36</v>
      </c>
      <c r="AB594" s="565"/>
      <c r="AC594" s="570" t="str">
        <f>IFERROR(IF(VLOOKUP(C594,[1]List1!$A:$D,2,FALSE)="VYPRODÁNO",$V$9,IF(VLOOKUP(C594,[1]List1!$A:$D,2,FALSE)="DOCHÁZÍ",$V$3,VLOOKUP(C594,[1]List1!$A:$D,2,FALSE))),"OFFLINE!")</f>
        <v>SKLADEM</v>
      </c>
      <c r="AD594" s="570" t="str">
        <f ca="1">IF(AP594="NE",$V$10,IF(AC594=$V$3,IF(AQ594&lt;1,$V$8,$V$2&amp;" "&amp;AQ594&amp;" "&amp;$V$1),IF(AC594="SKLADEM",$V$6,IFERROR(IF(OR(AC594-TODAY()&gt;45,VLOOKUP(C594,[1]List1!$A:$E,4,FALSE)=0),AC594,DAY(AC594)&amp;"."&amp;MONTH(AC594)&amp;"."&amp;YEAR(AC594)&amp;" "&amp;$V$4&amp;VLOOKUP(C594,[1]List1!$A:$E,4,FALSE)&amp;" "&amp;$V$1),AC594))))</f>
        <v>SKLADEM</v>
      </c>
      <c r="AE594" s="581" t="str">
        <f t="shared" ca="1" si="1762"/>
        <v>SKLADEM</v>
      </c>
      <c r="AF594" s="584">
        <f t="shared" si="1763"/>
        <v>0</v>
      </c>
      <c r="AG594" s="585">
        <f t="shared" si="1764"/>
        <v>0</v>
      </c>
      <c r="AH594" s="583">
        <f t="shared" si="1765"/>
        <v>0</v>
      </c>
      <c r="AI594" s="582">
        <f t="shared" si="1766"/>
        <v>0</v>
      </c>
      <c r="AJ594" s="569">
        <f t="shared" si="1767"/>
        <v>0</v>
      </c>
      <c r="AK594" s="569" t="str">
        <f t="shared" si="1768"/>
        <v/>
      </c>
      <c r="AL594" s="569">
        <f t="shared" si="1769"/>
        <v>0</v>
      </c>
      <c r="AM594" s="569" t="str">
        <f t="shared" si="1770"/>
        <v/>
      </c>
      <c r="AN594" s="581">
        <f t="shared" si="1771"/>
        <v>0</v>
      </c>
      <c r="AO594" s="623"/>
      <c r="AP594" s="632" t="str">
        <f t="shared" si="1652"/>
        <v/>
      </c>
      <c r="AQ594" s="633" t="str">
        <f>IF(AC594=$V$3,IF(VLOOKUP(C594,[1]List1!$A:$E,5,FALSE)=0,1,VLOOKUP(C594,[1]List1!$A:$E,5,FALSE)),"")</f>
        <v/>
      </c>
      <c r="AR594" s="625" t="str">
        <f t="shared" si="1653"/>
        <v/>
      </c>
      <c r="AS594" s="634" t="str">
        <f t="shared" si="1654"/>
        <v/>
      </c>
      <c r="AT594" s="625" t="str">
        <f t="shared" si="1655"/>
        <v/>
      </c>
      <c r="AU594" s="638" t="e">
        <f t="shared" si="1656"/>
        <v>#N/A</v>
      </c>
      <c r="AV594" s="625" t="e">
        <f t="shared" si="1657"/>
        <v>#N/A</v>
      </c>
      <c r="AX594" s="625">
        <f>IF(AND('General price list'!$J594="F4",'General price list'!$AB594+0&gt;0),1,0)</f>
        <v>0</v>
      </c>
      <c r="AY594" s="625">
        <f t="shared" si="1658"/>
        <v>1</v>
      </c>
      <c r="AZ594" s="625">
        <f t="shared" si="1659"/>
        <v>0</v>
      </c>
    </row>
    <row r="595" spans="1:52" ht="15.75" customHeight="1">
      <c r="A595" s="639" t="str">
        <f>Kat.!C595</f>
        <v/>
      </c>
      <c r="B595" s="640">
        <f>IF(AND('General price list'!$J595="F4",$AI$1=FALSE),0,IF(AC595="SKLADEM",1,IF(AC595=$V$3,1,0)))</f>
        <v>1</v>
      </c>
      <c r="C595" s="641" t="s">
        <v>1229</v>
      </c>
      <c r="D595" s="642" t="s">
        <v>1218</v>
      </c>
      <c r="E595" s="643" t="s">
        <v>12663</v>
      </c>
      <c r="F595" s="791">
        <f>IFERROR(VLOOKUP(C595,[2]List1!$A:$D,3,FALSE),"NEUVEDENO!")</f>
        <v>4339</v>
      </c>
      <c r="G595" s="768">
        <f t="shared" si="1758"/>
        <v>4339</v>
      </c>
      <c r="H595" s="765">
        <f t="shared" si="1759"/>
        <v>184.31437516194941</v>
      </c>
      <c r="I595" s="644">
        <f>IFERROR(VLOOKUP(C595,[2]List1!$A:$D,4,FALSE),"NEUVEDENO!")</f>
        <v>1</v>
      </c>
      <c r="J595" s="733" t="s">
        <v>113</v>
      </c>
      <c r="K595" s="645" t="s">
        <v>11100</v>
      </c>
      <c r="L595" s="645" t="s">
        <v>20</v>
      </c>
      <c r="M595" s="645" t="s">
        <v>114</v>
      </c>
      <c r="N595" s="645">
        <f>IFERROR(VLOOKUP(C595,[3]List1!$A:$D,4,FALSE),"N/A!")</f>
        <v>5.4404999999999995E-2</v>
      </c>
      <c r="O595" s="645">
        <f>IFERROR(VLOOKUP(C595,[3]List1!$A:$D,3,FALSE),"N/A!")</f>
        <v>2985</v>
      </c>
      <c r="P595" s="645">
        <f>IFERROR(VLOOKUP(C595,[3]List1!$A:$D,2,FALSE),"N/A!")</f>
        <v>26800</v>
      </c>
      <c r="Q595" s="645" t="s">
        <v>11260</v>
      </c>
      <c r="R595" s="645"/>
      <c r="S595" s="645" t="str">
        <f>IF($W$17=$AF$1,"červená fólie",IFERROR(VLOOKUP("červená fólie",Jazyky_ceník!$A:$Q,MATCH($W$17,Jazyky_ceník!$A$1:$Q$1,0),FALSE),"!!!"))</f>
        <v>červená fólie</v>
      </c>
      <c r="T595" s="645">
        <v>240</v>
      </c>
      <c r="U595" s="645">
        <v>30</v>
      </c>
      <c r="V595" s="645">
        <v>22</v>
      </c>
      <c r="W595" s="645" t="str">
        <f>IFERROR(IF(AND($AB595&gt;=0.1*$AA595,MOD($AB595,$AA595)&gt;=($AA595-(0.1*$AA595))),IF($W$17=$AF$1,"Zvažte možnost doobjednání ještě "&amp;Tabulka1[[#This Row],[VKPAL]]-MOD(AB595,AA595)&amp;" VK do plné palety.",VLOOKUP("Zvažte možnost doobjednání ještě ",Jazyky_ceník!A:Q,MATCH($W$17,Jazyky_ceník!$A$1:$Q$1,0),FALSE)&amp;Tabulka1[[#This Row],[VKPAL]]-MOD(AB595,AA595)&amp;VLOOKUP(" VK do plné palety.",Jazyky_ceník!A:Q,MATCH($W$17,Jazyky_ceník!$A$1:$Q$1,0),FALSE)),IFERROR(IF(AND(NOT(MOD($AB595,$AA595)=0),$AB595&gt;=0.9*$AA595,MOD($AB595,$AA595)&lt;=0.1*$AA595),IF($W$17=$AF$1,"Zvažte možnost optimalizace objednaného množství podle počtu VK na paletě ==&gt;",VLOOKUP("Zvažte možnost optimalizace objednaného množství podle počtu VK na paletě ==&gt;",Jazyky_ceník!A:Q,MATCH($W$17,Jazyky_ceník!$A$1:$Q$1,0),FALSE)),VLOOKUP('General price list'!$C595,Popisy!A:M,MATCH($W$17,Popisy!$A$7:$M$7,0),FALSE)),"---------------")),IFERROR(VLOOKUP('General price list'!$C595,Popisy!A:M,MATCH($W$17,Popisy!$A$7:$M$7,0),FALSE),"---------------"))</f>
        <v>30 různobarevných efektů</v>
      </c>
      <c r="X595" s="645" t="str">
        <f t="shared" si="1760"/>
        <v/>
      </c>
      <c r="Y595" s="645" t="str">
        <f t="shared" si="1761"/>
        <v/>
      </c>
      <c r="Z595" s="645" t="str">
        <f>HYPERLINK("https://www.klasekpyrotechnics.cz/c30025f-c")</f>
        <v>https://www.klasekpyrotechnics.cz/c30025f-c</v>
      </c>
      <c r="AA595" s="645">
        <f>IFERROR(IF(VLOOKUP(C595,[4]List1!$A:$D,4,FALSE)=0,"",VLOOKUP(C595,[4]List1!$A:$D,4,FALSE)),"")</f>
        <v>18</v>
      </c>
      <c r="AB595" s="646"/>
      <c r="AC595" s="647" t="str">
        <f>IFERROR(IF(VLOOKUP(C595,[1]List1!$A:$D,2,FALSE)="VYPRODÁNO",$V$9,IF(VLOOKUP(C595,[1]List1!$A:$D,2,FALSE)="DOCHÁZÍ",$V$3,VLOOKUP(C595,[1]List1!$A:$D,2,FALSE))),"OFFLINE!")</f>
        <v>SKLADEM</v>
      </c>
      <c r="AD595" s="647" t="str">
        <f ca="1">IF(AP595="NE",$V$10,IF(AC595=$V$3,IF(AQ595&lt;1,$V$8,$V$2&amp;" "&amp;AQ595&amp;" "&amp;$V$1),IF(AC595="SKLADEM",$V$6,IFERROR(IF(OR(AC595-TODAY()&gt;45,VLOOKUP(C595,[1]List1!$A:$E,4,FALSE)=0),AC595,DAY(AC595)&amp;"."&amp;MONTH(AC595)&amp;"."&amp;YEAR(AC595)&amp;" "&amp;$V$4&amp;VLOOKUP(C595,[1]List1!$A:$E,4,FALSE)&amp;" "&amp;$V$1),AC595))))</f>
        <v>SKLADEM</v>
      </c>
      <c r="AE595" s="645" t="str">
        <f t="shared" ca="1" si="1762"/>
        <v>SKLADEM</v>
      </c>
      <c r="AF595" s="648">
        <f t="shared" si="1763"/>
        <v>0</v>
      </c>
      <c r="AG595" s="649">
        <f t="shared" si="1764"/>
        <v>0</v>
      </c>
      <c r="AH595" s="650">
        <f t="shared" si="1765"/>
        <v>0</v>
      </c>
      <c r="AI595" s="645">
        <f t="shared" si="1766"/>
        <v>0</v>
      </c>
      <c r="AJ595" s="645">
        <f t="shared" si="1767"/>
        <v>0</v>
      </c>
      <c r="AK595" s="645" t="str">
        <f t="shared" si="1768"/>
        <v/>
      </c>
      <c r="AL595" s="645">
        <f t="shared" si="1769"/>
        <v>0</v>
      </c>
      <c r="AM595" s="645" t="str">
        <f t="shared" si="1770"/>
        <v/>
      </c>
      <c r="AN595" s="651">
        <f t="shared" si="1771"/>
        <v>0</v>
      </c>
      <c r="AO595" s="623"/>
      <c r="AP595" s="625" t="str">
        <f t="shared" si="1652"/>
        <v/>
      </c>
      <c r="AQ595" s="625" t="str">
        <f>IF(AC595=$V$3,IF(VLOOKUP(C595,[1]List1!$A:$E,5,FALSE)=0,1,VLOOKUP(C595,[1]List1!$A:$E,5,FALSE)),"")</f>
        <v/>
      </c>
      <c r="AR595" s="629" t="str">
        <f t="shared" si="1653"/>
        <v/>
      </c>
      <c r="AS595" s="630" t="str">
        <f t="shared" si="1654"/>
        <v/>
      </c>
      <c r="AT595" s="625" t="str">
        <f t="shared" si="1655"/>
        <v/>
      </c>
      <c r="AU595" s="625" t="e">
        <f t="shared" si="1656"/>
        <v>#N/A</v>
      </c>
      <c r="AV595" s="625" t="e">
        <f t="shared" si="1657"/>
        <v>#N/A</v>
      </c>
      <c r="AW595" s="631"/>
      <c r="AX595" s="631">
        <f>IF(AND('General price list'!$J595="F4",'General price list'!$AB595+0&gt;0),1,0)</f>
        <v>0</v>
      </c>
      <c r="AY595" s="631">
        <f t="shared" si="1658"/>
        <v>1</v>
      </c>
      <c r="AZ595" s="631">
        <f t="shared" si="1659"/>
        <v>0</v>
      </c>
    </row>
    <row r="596" spans="1:52" ht="15.75" customHeight="1">
      <c r="A596" s="621" t="str">
        <f>Kat.!C596</f>
        <v>×</v>
      </c>
      <c r="B596" s="566">
        <f>IF(AND('General price list'!$J596="F4",$AI$1=FALSE),0,IF(AC596="SKLADEM",1,IF(AC596=$V$3,1,0)))</f>
        <v>1</v>
      </c>
      <c r="C596" s="567" t="s">
        <v>1230</v>
      </c>
      <c r="D596" s="568" t="s">
        <v>1222</v>
      </c>
      <c r="E596" s="763" t="s">
        <v>12663</v>
      </c>
      <c r="F596" s="772">
        <f>IFERROR(VLOOKUP(C596,[2]List1!$A:$D,3,FALSE),"NEUVEDENO!")</f>
        <v>5822</v>
      </c>
      <c r="G596" s="769">
        <f t="shared" si="1758"/>
        <v>5822</v>
      </c>
      <c r="H596" s="766">
        <f t="shared" si="1759"/>
        <v>247.31004659895589</v>
      </c>
      <c r="I596" s="764">
        <f>IFERROR(VLOOKUP(C596,[2]List1!$A:$D,4,FALSE),"NEUVEDENO!")</f>
        <v>1</v>
      </c>
      <c r="J596" s="732" t="s">
        <v>113</v>
      </c>
      <c r="K596" s="569" t="s">
        <v>20</v>
      </c>
      <c r="L596" s="569" t="s">
        <v>20</v>
      </c>
      <c r="M596" s="569" t="s">
        <v>114</v>
      </c>
      <c r="N596" s="569">
        <f>IFERROR(VLOOKUP(C596,[3]List1!$A:$D,4,FALSE),"N/A!")</f>
        <v>6.9192000000000004E-2</v>
      </c>
      <c r="O596" s="569">
        <f>IFERROR(VLOOKUP(C596,[3]List1!$A:$D,3,FALSE),"N/A!")</f>
        <v>3980</v>
      </c>
      <c r="P596" s="569">
        <f>IFERROR(VLOOKUP(C596,[3]List1!$A:$D,2,FALSE),"N/A!")</f>
        <v>33500</v>
      </c>
      <c r="Q596" s="569" t="s">
        <v>11301</v>
      </c>
      <c r="R596" s="569"/>
      <c r="S596" s="569" t="str">
        <f>IF($W$17=$AF$1,"červená fólie",IFERROR(VLOOKUP("červená fólie",Jazyky_ceník!$A:$Q,MATCH($W$17,Jazyky_ceník!$A$1:$Q$1,0),FALSE),"!!!"))</f>
        <v>červená fólie</v>
      </c>
      <c r="T596" s="569">
        <v>300</v>
      </c>
      <c r="U596" s="569">
        <v>30</v>
      </c>
      <c r="V596" s="569">
        <v>22</v>
      </c>
      <c r="W596" s="569" t="str">
        <f>IFERROR(IF(AND($AB596&gt;=0.1*$AA596,MOD($AB596,$AA596)&gt;=($AA596-(0.1*$AA596))),IF($W$17=$AF$1,"Zvažte možnost doobjednání ještě "&amp;Tabulka1[[#This Row],[VKPAL]]-MOD(AB596,AA596)&amp;" VK do plné palety.",VLOOKUP("Zvažte možnost doobjednání ještě ",Jazyky_ceník!A:Q,MATCH($W$17,Jazyky_ceník!$A$1:$Q$1,0),FALSE)&amp;Tabulka1[[#This Row],[VKPAL]]-MOD(AB596,AA596)&amp;VLOOKUP(" VK do plné palety.",Jazyky_ceník!A:Q,MATCH($W$17,Jazyky_ceník!$A$1:$Q$1,0),FALSE)),IFERROR(IF(AND(NOT(MOD($AB596,$AA596)=0),$AB596&gt;=0.9*$AA596,MOD($AB596,$AA596)&lt;=0.1*$AA596),IF($W$17=$AF$1,"Zvažte možnost optimalizace objednaného množství podle počtu VK na paletě ==&gt;",VLOOKUP("Zvažte možnost optimalizace objednaného množství podle počtu VK na paletě ==&gt;",Jazyky_ceník!A:Q,MATCH($W$17,Jazyky_ceník!$A$1:$Q$1,0),FALSE)),VLOOKUP('General price list'!$C596,Popisy!A:M,MATCH($W$17,Popisy!$A$7:$M$7,0),FALSE)),"---------------")),IFERROR(VLOOKUP('General price list'!$C596,Popisy!A:M,MATCH($W$17,Popisy!$A$7:$M$7,0),FALSE),"---------------"))</f>
        <v>40 různobarevných efektů</v>
      </c>
      <c r="X596" s="569" t="str">
        <f t="shared" si="1760"/>
        <v/>
      </c>
      <c r="Y596" s="569" t="str">
        <f t="shared" si="1761"/>
        <v/>
      </c>
      <c r="Z596" s="569" t="str">
        <f>HYPERLINK("https://www.klasekpyrotechnics.cz/c40025f-c")</f>
        <v>https://www.klasekpyrotechnics.cz/c40025f-c</v>
      </c>
      <c r="AA596" s="569">
        <f>IFERROR(IF(VLOOKUP(C596,[4]List1!$A:$D,4,FALSE)=0,"",VLOOKUP(C596,[4]List1!$A:$D,4,FALSE)),"")</f>
        <v>18</v>
      </c>
      <c r="AB596" s="565"/>
      <c r="AC596" s="570" t="str">
        <f>IFERROR(IF(VLOOKUP(C596,[1]List1!$A:$D,2,FALSE)="VYPRODÁNO",$V$9,IF(VLOOKUP(C596,[1]List1!$A:$D,2,FALSE)="DOCHÁZÍ",$V$3,VLOOKUP(C596,[1]List1!$A:$D,2,FALSE))),"OFFLINE!")</f>
        <v>SKLADEM</v>
      </c>
      <c r="AD596" s="570" t="str">
        <f ca="1">IF(AP596="NE",$V$10,IF(AC596=$V$3,IF(AQ596&lt;1,$V$8,$V$2&amp;" "&amp;AQ596&amp;" "&amp;$V$1),IF(AC596="SKLADEM",$V$6,IFERROR(IF(OR(AC596-TODAY()&gt;45,VLOOKUP(C596,[1]List1!$A:$E,4,FALSE)=0),AC596,DAY(AC596)&amp;"."&amp;MONTH(AC596)&amp;"."&amp;YEAR(AC596)&amp;" "&amp;$V$4&amp;VLOOKUP(C596,[1]List1!$A:$E,4,FALSE)&amp;" "&amp;$V$1),AC596))))</f>
        <v>SKLADEM</v>
      </c>
      <c r="AE596" s="581" t="str">
        <f t="shared" ca="1" si="1762"/>
        <v>SKLADEM</v>
      </c>
      <c r="AF596" s="584">
        <f t="shared" si="1763"/>
        <v>0</v>
      </c>
      <c r="AG596" s="585">
        <f t="shared" si="1764"/>
        <v>0</v>
      </c>
      <c r="AH596" s="583">
        <f t="shared" si="1765"/>
        <v>0</v>
      </c>
      <c r="AI596" s="582">
        <f t="shared" si="1766"/>
        <v>0</v>
      </c>
      <c r="AJ596" s="569">
        <f t="shared" si="1767"/>
        <v>0</v>
      </c>
      <c r="AK596" s="569" t="str">
        <f t="shared" si="1768"/>
        <v/>
      </c>
      <c r="AL596" s="569">
        <f t="shared" si="1769"/>
        <v>0</v>
      </c>
      <c r="AM596" s="569" t="str">
        <f t="shared" si="1770"/>
        <v/>
      </c>
      <c r="AN596" s="581">
        <f t="shared" si="1771"/>
        <v>0</v>
      </c>
      <c r="AO596" s="623"/>
      <c r="AP596" s="625" t="str">
        <f t="shared" si="1652"/>
        <v/>
      </c>
      <c r="AQ596" s="625" t="str">
        <f>IF(AC596=$V$3,IF(VLOOKUP(C596,[1]List1!$A:$E,5,FALSE)=0,1,VLOOKUP(C596,[1]List1!$A:$E,5,FALSE)),"")</f>
        <v/>
      </c>
      <c r="AR596" s="629" t="str">
        <f t="shared" si="1653"/>
        <v/>
      </c>
      <c r="AS596" s="630" t="str">
        <f t="shared" si="1654"/>
        <v/>
      </c>
      <c r="AT596" s="625" t="str">
        <f t="shared" si="1655"/>
        <v/>
      </c>
      <c r="AU596" s="625" t="e">
        <f t="shared" si="1656"/>
        <v>#N/A</v>
      </c>
      <c r="AV596" s="625" t="e">
        <f t="shared" si="1657"/>
        <v>#N/A</v>
      </c>
      <c r="AW596" s="631"/>
      <c r="AX596" s="631">
        <f>IF(AND('General price list'!$J596="F4",'General price list'!$AB596+0&gt;0),1,0)</f>
        <v>0</v>
      </c>
      <c r="AY596" s="631">
        <f t="shared" si="1658"/>
        <v>1</v>
      </c>
      <c r="AZ596" s="631">
        <f t="shared" si="1659"/>
        <v>0</v>
      </c>
    </row>
    <row r="597" spans="1:52" ht="15" customHeight="1">
      <c r="A597" s="751" t="str">
        <f>Kat.!C597</f>
        <v xml:space="preserve">           Baterie 16 ran, 30 mm moždíř – 1.3G</v>
      </c>
      <c r="B597" s="751"/>
      <c r="C597" s="751"/>
      <c r="D597" s="751"/>
      <c r="E597" s="751"/>
      <c r="F597" s="751"/>
      <c r="G597" s="751"/>
      <c r="H597" s="751"/>
      <c r="I597" s="752"/>
      <c r="J597" s="752"/>
      <c r="K597" s="752" t="s">
        <v>20</v>
      </c>
      <c r="L597" s="753" t="s">
        <v>2818</v>
      </c>
      <c r="M597" s="752"/>
      <c r="N597" s="752"/>
      <c r="O597" s="752"/>
      <c r="P597" s="752"/>
      <c r="Q597" s="752"/>
      <c r="R597" s="752"/>
      <c r="S597" s="752"/>
      <c r="T597" s="752"/>
      <c r="U597" s="752"/>
      <c r="V597" s="752"/>
      <c r="W597" s="752"/>
      <c r="X597" s="752"/>
      <c r="Y597" s="752"/>
      <c r="Z597" s="752" t="s">
        <v>20</v>
      </c>
      <c r="AA597" s="752"/>
      <c r="AB597" s="752"/>
      <c r="AC597" s="754"/>
      <c r="AD597" s="752"/>
      <c r="AE597" s="752"/>
      <c r="AF597" s="752"/>
      <c r="AG597" s="752"/>
      <c r="AH597" s="752"/>
      <c r="AI597" s="752"/>
      <c r="AJ597" s="752"/>
      <c r="AK597" s="752"/>
      <c r="AL597" s="752"/>
      <c r="AM597" s="752"/>
      <c r="AN597" s="752"/>
      <c r="AO597" s="623"/>
      <c r="AP597" s="632" t="str">
        <f t="shared" si="1652"/>
        <v/>
      </c>
      <c r="AQ597" s="633" t="str">
        <f>IF(AC597=$V$3,IF(VLOOKUP(C597,[1]List1!$A:$E,5,FALSE)=0,1,VLOOKUP(C597,[1]List1!$A:$E,5,FALSE)),"")</f>
        <v/>
      </c>
      <c r="AR597" s="625" t="str">
        <f t="shared" si="1653"/>
        <v/>
      </c>
      <c r="AS597" s="634" t="str">
        <f t="shared" si="1654"/>
        <v/>
      </c>
      <c r="AT597" s="625" t="str">
        <f t="shared" si="1655"/>
        <v/>
      </c>
      <c r="AU597" s="638" t="e">
        <f t="shared" si="1656"/>
        <v>#N/A</v>
      </c>
      <c r="AV597" s="625" t="e">
        <f t="shared" si="1657"/>
        <v>#N/A</v>
      </c>
      <c r="AX597" s="625">
        <f>IF(AND('General price list'!$J597="F4",'General price list'!$AB597+0&gt;0),1,0)</f>
        <v>0</v>
      </c>
      <c r="AY597" s="625">
        <f t="shared" si="1658"/>
        <v>0</v>
      </c>
      <c r="AZ597" s="625">
        <f t="shared" si="1659"/>
        <v>0</v>
      </c>
    </row>
    <row r="598" spans="1:52" ht="15.75" customHeight="1">
      <c r="A598" s="639" t="str">
        <f>Kat.!C598</f>
        <v/>
      </c>
      <c r="B598" s="640">
        <f>IF(AND('General price list'!$J598="F4",$AI$1=FALSE),0,IF(AC598="SKLADEM",1,IF(AC598=$V$3,1,0)))</f>
        <v>1</v>
      </c>
      <c r="C598" s="641" t="s">
        <v>1234</v>
      </c>
      <c r="D598" s="642" t="s">
        <v>12552</v>
      </c>
      <c r="E598" s="643" t="s">
        <v>12679</v>
      </c>
      <c r="F598" s="791">
        <f>IFERROR(VLOOKUP(C598,[2]List1!$A:$D,3,FALSE),"NEUVEDENO!")</f>
        <v>299</v>
      </c>
      <c r="G598" s="768">
        <f t="shared" ref="G598:G604" si="1772">IF($W$17=$AF$8,ROUND((F598)/$F$17,2),(F598)*$B$19)</f>
        <v>299</v>
      </c>
      <c r="H598" s="765">
        <f t="shared" ref="H598:H604" si="1773">IF($W$17=$AF$8,G598*$B$19,G598/$F$17)</f>
        <v>12.701082777926453</v>
      </c>
      <c r="I598" s="644">
        <f>IFERROR(VLOOKUP(C598,[2]List1!$A:$D,4,FALSE),"NEUVEDENO!")</f>
        <v>10</v>
      </c>
      <c r="J598" s="733" t="s">
        <v>39</v>
      </c>
      <c r="K598" s="645" t="s">
        <v>11100</v>
      </c>
      <c r="L598" s="645" t="s">
        <v>10983</v>
      </c>
      <c r="M598" s="645" t="s">
        <v>114</v>
      </c>
      <c r="N598" s="645">
        <f>IFERROR(VLOOKUP(C598,[3]List1!$A:$D,4,FALSE),"N/A!")</f>
        <v>4.7297249999999999E-2</v>
      </c>
      <c r="O598" s="645">
        <f>IFERROR(VLOOKUP(C598,[3]List1!$A:$D,3,FALSE),"N/A!")</f>
        <v>2800</v>
      </c>
      <c r="P598" s="645">
        <f>IFERROR(VLOOKUP(C598,[3]List1!$A:$D,2,FALSE),"N/A!")</f>
        <v>18500</v>
      </c>
      <c r="Q598" s="645" t="s">
        <v>11780</v>
      </c>
      <c r="R598" s="645"/>
      <c r="S598" s="645" t="str">
        <f>IF($W$17=$AF$1,"design",IFERROR(VLOOKUP("design",Jazyky_ceník!$A:$Q,MATCH($W$17,Jazyky_ceník!$A$1:$Q$1,0),FALSE),"!!!"))</f>
        <v>design</v>
      </c>
      <c r="T598" s="645">
        <v>23</v>
      </c>
      <c r="U598" s="645">
        <v>40</v>
      </c>
      <c r="V598" s="645">
        <v>29</v>
      </c>
      <c r="W598" s="645" t="str">
        <f>IFERROR(IF(AND($AB598&gt;=0.1*$AA598,MOD($AB598,$AA598)&gt;=($AA598-(0.1*$AA598))),IF($W$17=$AF$1,"Zvažte možnost doobjednání ještě "&amp;Tabulka1[[#This Row],[VKPAL]]-MOD(AB598,AA598)&amp;" VK do plné palety.",VLOOKUP("Zvažte možnost doobjednání ještě ",Jazyky_ceník!A:Q,MATCH($W$17,Jazyky_ceník!$A$1:$Q$1,0),FALSE)&amp;Tabulka1[[#This Row],[VKPAL]]-MOD(AB598,AA598)&amp;VLOOKUP(" VK do plné palety.",Jazyky_ceník!A:Q,MATCH($W$17,Jazyky_ceník!$A$1:$Q$1,0),FALSE)),IFERROR(IF(AND(NOT(MOD($AB598,$AA598)=0),$AB598&gt;=0.9*$AA598,MOD($AB598,$AA598)&lt;=0.1*$AA598),IF($W$17=$AF$1,"Zvažte možnost optimalizace objednaného množství podle počtu VK na paletě ==&gt;",VLOOKUP("Zvažte možnost optimalizace objednaného množství podle počtu VK na paletě ==&gt;",Jazyky_ceník!A:Q,MATCH($W$17,Jazyky_ceník!$A$1:$Q$1,0),FALSE)),VLOOKUP('General price list'!$C598,Popisy!A:M,MATCH($W$17,Popisy!$A$7:$M$7,0),FALSE)),"---------------")),IFERROR(VLOOKUP('General price list'!$C598,Popisy!A:M,MATCH($W$17,Popisy!$A$7:$M$7,0),FALSE),"---------------"))</f>
        <v>4 různobarevné efekty</v>
      </c>
      <c r="X598" s="645" t="str">
        <f t="shared" ref="X598:X604" si="1774">IF(AB598&lt;0.0001,"",AB598)</f>
        <v/>
      </c>
      <c r="Y598" s="645" t="str">
        <f t="shared" ref="Y598:Y604" si="1775">IF($AL$3=2,IF(OR(AB598&lt;&gt;"",AB598&lt;&gt;0),AU598,""),IF(C598="","",IF(AB598&lt;0.0001,"",IF(B598=0,"",IF(AQ598&lt;AB598,"",AB598)))))</f>
        <v/>
      </c>
      <c r="Z598" s="645" t="str">
        <f>HYPERLINK("https://www.klasekpyrotechnics.cz/c163bp")</f>
        <v>https://www.klasekpyrotechnics.cz/c163bp</v>
      </c>
      <c r="AA598" s="645">
        <f>IFERROR(IF(VLOOKUP(C598,[4]List1!$A:$D,4,FALSE)=0,"",VLOOKUP(C598,[4]List1!$A:$D,4,FALSE)),"")</f>
        <v>27</v>
      </c>
      <c r="AB598" s="646"/>
      <c r="AC598" s="647" t="str">
        <f>IFERROR(IF(VLOOKUP(C598,[1]List1!$A:$D,2,FALSE)="VYPRODÁNO",$V$9,IF(VLOOKUP(C598,[1]List1!$A:$D,2,FALSE)="DOCHÁZÍ",$V$3,VLOOKUP(C598,[1]List1!$A:$D,2,FALSE))),"OFFLINE!")</f>
        <v>SKLADEM</v>
      </c>
      <c r="AD598" s="647" t="str">
        <f ca="1">IF(AP598="NE",$V$10,IF(AC598=$V$3,IF(AQ598&lt;1,$V$8,$V$2&amp;" "&amp;AQ598&amp;" "&amp;$V$1),IF(AC598="SKLADEM",$V$6,IFERROR(IF(OR(AC598-TODAY()&gt;45,VLOOKUP(C598,[1]List1!$A:$E,4,FALSE)=0),AC598,DAY(AC598)&amp;"."&amp;MONTH(AC598)&amp;"."&amp;YEAR(AC598)&amp;" "&amp;$V$4&amp;VLOOKUP(C598,[1]List1!$A:$E,4,FALSE)&amp;" "&amp;$V$1),AC598))))</f>
        <v>SKLADEM</v>
      </c>
      <c r="AE598" s="645" t="str">
        <f t="shared" ref="AE598:AE604" ca="1" si="1776">IFERROR(IF(AV598&lt;&gt;"",AV598,AD598),AD598)</f>
        <v>SKLADEM</v>
      </c>
      <c r="AF598" s="648">
        <f t="shared" ref="AF598:AF604" si="1777">IFERROR(IF(AB598=Y598,G598*I598*Y598,0),0)</f>
        <v>0</v>
      </c>
      <c r="AG598" s="649">
        <f t="shared" ref="AG598:AG604" si="1778">IF($W$17=$AF$8,AH598*1.23,AF598*1.21)</f>
        <v>0</v>
      </c>
      <c r="AH598" s="650">
        <f t="shared" ref="AH598:AH604" si="1779">IFERROR(IF(Y598=AB598,H598*I598*Y598,0),0)</f>
        <v>0</v>
      </c>
      <c r="AI598" s="645">
        <f t="shared" ref="AI598:AI604" si="1780">IFERROR(IF(Y598=AB598,(P598*Y598)/1000,1),0)</f>
        <v>0</v>
      </c>
      <c r="AJ598" s="645">
        <f t="shared" ref="AJ598:AJ604" si="1781">IFERROR(IF(Y598=AB598,N598*Y598,0.1),0)</f>
        <v>0</v>
      </c>
      <c r="AK598" s="645" t="str">
        <f t="shared" ref="AK598:AK604" si="1782">IFERROR(IF(Y598=AB598,IF(M598="1.1G",(O598/1000)*Y598,""),""),0)</f>
        <v/>
      </c>
      <c r="AL598" s="645">
        <f t="shared" ref="AL598:AL604" si="1783">IFERROR(IF(Y598=AB598,IF(M598="1.3G",(O598/1000)*AB598,""),""),0)</f>
        <v>0</v>
      </c>
      <c r="AM598" s="645" t="str">
        <f t="shared" ref="AM598:AM604" si="1784">IFERROR(IF(Y598=AB598,IF(M598="1.4G",(O598/1000)*AB598,""),""),0)</f>
        <v/>
      </c>
      <c r="AN598" s="651">
        <f t="shared" ref="AN598:AN604" si="1785">SUM(AK598:AM598)</f>
        <v>0</v>
      </c>
      <c r="AO598" s="623"/>
      <c r="AP598" s="625" t="str">
        <f t="shared" si="1652"/>
        <v/>
      </c>
      <c r="AQ598" s="625" t="str">
        <f>IF(AC598=$V$3,IF(VLOOKUP(C598,[1]List1!$A:$E,5,FALSE)=0,1,VLOOKUP(C598,[1]List1!$A:$E,5,FALSE)),"")</f>
        <v/>
      </c>
      <c r="AR598" s="629" t="str">
        <f t="shared" si="1653"/>
        <v/>
      </c>
      <c r="AS598" s="630" t="str">
        <f t="shared" si="1654"/>
        <v/>
      </c>
      <c r="AT598" s="625" t="str">
        <f t="shared" si="1655"/>
        <v/>
      </c>
      <c r="AU598" s="625" t="e">
        <f t="shared" si="1656"/>
        <v>#N/A</v>
      </c>
      <c r="AV598" s="625" t="e">
        <f t="shared" si="1657"/>
        <v>#N/A</v>
      </c>
      <c r="AW598" s="631"/>
      <c r="AX598" s="631">
        <f>IF(AND('General price list'!$J598="F4",'General price list'!$AB598+0&gt;0),1,0)</f>
        <v>0</v>
      </c>
      <c r="AY598" s="631">
        <f t="shared" si="1658"/>
        <v>1</v>
      </c>
      <c r="AZ598" s="631">
        <f t="shared" si="1659"/>
        <v>0</v>
      </c>
    </row>
    <row r="599" spans="1:52" ht="15" customHeight="1">
      <c r="A599" s="621" t="str">
        <f>Kat.!C599</f>
        <v/>
      </c>
      <c r="B599" s="566">
        <f>IF(AND('General price list'!$J599="F4",$AI$1=FALSE),0,IF(AC599="SKLADEM",1,IF(AC599=$V$3,1,0)))</f>
        <v>1</v>
      </c>
      <c r="C599" s="567" t="s">
        <v>1235</v>
      </c>
      <c r="D599" s="568" t="s">
        <v>11890</v>
      </c>
      <c r="E599" s="763" t="s">
        <v>12679</v>
      </c>
      <c r="F599" s="772">
        <f>IFERROR(VLOOKUP(C599,[2]List1!$A:$D,3,FALSE),"NEUVEDENO!")</f>
        <v>348</v>
      </c>
      <c r="G599" s="769">
        <f t="shared" si="1772"/>
        <v>348</v>
      </c>
      <c r="H599" s="766">
        <f t="shared" si="1773"/>
        <v>14.782531126148514</v>
      </c>
      <c r="I599" s="764">
        <f>IFERROR(VLOOKUP(C599,[2]List1!$A:$D,4,FALSE),"NEUVEDENO!")</f>
        <v>10</v>
      </c>
      <c r="J599" s="732" t="s">
        <v>39</v>
      </c>
      <c r="K599" s="569" t="s">
        <v>20</v>
      </c>
      <c r="L599" s="569" t="s">
        <v>10983</v>
      </c>
      <c r="M599" s="569" t="s">
        <v>114</v>
      </c>
      <c r="N599" s="569">
        <f>IFERROR(VLOOKUP(C599,[3]List1!$A:$D,4,FALSE),"N/A!")</f>
        <v>4.7297249999999999E-2</v>
      </c>
      <c r="O599" s="569">
        <f>IFERROR(VLOOKUP(C599,[3]List1!$A:$D,3,FALSE),"N/A!")</f>
        <v>4000</v>
      </c>
      <c r="P599" s="569">
        <f>IFERROR(VLOOKUP(C599,[3]List1!$A:$D,2,FALSE),"N/A!")</f>
        <v>18500</v>
      </c>
      <c r="Q599" s="569" t="s">
        <v>11780</v>
      </c>
      <c r="R599" s="569"/>
      <c r="S599" s="569" t="str">
        <f>IF($W$17=$AF$1,"design",IFERROR(VLOOKUP("design",Jazyky_ceník!$A:$Q,MATCH($W$17,Jazyky_ceník!$A$1:$Q$1,0),FALSE),"!!!"))</f>
        <v>design</v>
      </c>
      <c r="T599" s="569">
        <v>23</v>
      </c>
      <c r="U599" s="569">
        <v>44</v>
      </c>
      <c r="V599" s="569">
        <v>33</v>
      </c>
      <c r="W599" s="569" t="str">
        <f>IFERROR(IF(AND($AB599&gt;=0.1*$AA599,MOD($AB599,$AA599)&gt;=($AA599-(0.1*$AA599))),IF($W$17=$AF$1,"Zvažte možnost doobjednání ještě "&amp;Tabulka1[[#This Row],[VKPAL]]-MOD(AB599,AA599)&amp;" VK do plné palety.",VLOOKUP("Zvažte možnost doobjednání ještě ",Jazyky_ceník!A:Q,MATCH($W$17,Jazyky_ceník!$A$1:$Q$1,0),FALSE)&amp;Tabulka1[[#This Row],[VKPAL]]-MOD(AB599,AA599)&amp;VLOOKUP(" VK do plné palety.",Jazyky_ceník!A:Q,MATCH($W$17,Jazyky_ceník!$A$1:$Q$1,0),FALSE)),IFERROR(IF(AND(NOT(MOD($AB599,$AA599)=0),$AB599&gt;=0.9*$AA599,MOD($AB599,$AA599)&lt;=0.1*$AA599),IF($W$17=$AF$1,"Zvažte možnost optimalizace objednaného množství podle počtu VK na paletě ==&gt;",VLOOKUP("Zvažte možnost optimalizace objednaného množství podle počtu VK na paletě ==&gt;",Jazyky_ceník!A:Q,MATCH($W$17,Jazyky_ceník!$A$1:$Q$1,0),FALSE)),VLOOKUP('General price list'!$C599,Popisy!A:M,MATCH($W$17,Popisy!$A$7:$M$7,0),FALSE)),"---------------")),IFERROR(VLOOKUP('General price list'!$C599,Popisy!A:M,MATCH($W$17,Popisy!$A$7:$M$7,0),FALSE),"---------------"))</f>
        <v>4 různobarevné efekty</v>
      </c>
      <c r="X599" s="569" t="str">
        <f t="shared" si="1774"/>
        <v/>
      </c>
      <c r="Y599" s="569" t="str">
        <f t="shared" si="1775"/>
        <v/>
      </c>
      <c r="Z599" s="569" t="str">
        <f>HYPERLINK("https://www.klasekpyrotechnics.cz/c163sig")</f>
        <v>https://www.klasekpyrotechnics.cz/c163sig</v>
      </c>
      <c r="AA599" s="569">
        <f>IFERROR(IF(VLOOKUP(C599,[4]List1!$A:$D,4,FALSE)=0,"",VLOOKUP(C599,[4]List1!$A:$D,4,FALSE)),"")</f>
        <v>27</v>
      </c>
      <c r="AB599" s="565"/>
      <c r="AC599" s="570" t="str">
        <f>IFERROR(IF(VLOOKUP(C599,[1]List1!$A:$D,2,FALSE)="VYPRODÁNO",$V$9,IF(VLOOKUP(C599,[1]List1!$A:$D,2,FALSE)="DOCHÁZÍ",$V$3,VLOOKUP(C599,[1]List1!$A:$D,2,FALSE))),"OFFLINE!")</f>
        <v>SKLADEM</v>
      </c>
      <c r="AD599" s="570" t="str">
        <f ca="1">IF(AP599="NE",$V$10,IF(AC599=$V$3,IF(AQ599&lt;1,$V$8,$V$2&amp;" "&amp;AQ599&amp;" "&amp;$V$1),IF(AC599="SKLADEM",$V$6,IFERROR(IF(OR(AC599-TODAY()&gt;45,VLOOKUP(C599,[1]List1!$A:$E,4,FALSE)=0),AC599,DAY(AC599)&amp;"."&amp;MONTH(AC599)&amp;"."&amp;YEAR(AC599)&amp;" "&amp;$V$4&amp;VLOOKUP(C599,[1]List1!$A:$E,4,FALSE)&amp;" "&amp;$V$1),AC599))))</f>
        <v>SKLADEM</v>
      </c>
      <c r="AE599" s="581" t="str">
        <f t="shared" ca="1" si="1776"/>
        <v>SKLADEM</v>
      </c>
      <c r="AF599" s="584">
        <f t="shared" si="1777"/>
        <v>0</v>
      </c>
      <c r="AG599" s="585">
        <f t="shared" si="1778"/>
        <v>0</v>
      </c>
      <c r="AH599" s="583">
        <f t="shared" si="1779"/>
        <v>0</v>
      </c>
      <c r="AI599" s="582">
        <f t="shared" si="1780"/>
        <v>0</v>
      </c>
      <c r="AJ599" s="569">
        <f t="shared" si="1781"/>
        <v>0</v>
      </c>
      <c r="AK599" s="569" t="str">
        <f t="shared" si="1782"/>
        <v/>
      </c>
      <c r="AL599" s="569">
        <f t="shared" si="1783"/>
        <v>0</v>
      </c>
      <c r="AM599" s="569" t="str">
        <f t="shared" si="1784"/>
        <v/>
      </c>
      <c r="AN599" s="581">
        <f t="shared" si="1785"/>
        <v>0</v>
      </c>
      <c r="AO599" s="623"/>
      <c r="AP599" s="632" t="str">
        <f t="shared" si="1652"/>
        <v/>
      </c>
      <c r="AQ599" s="633" t="str">
        <f>IF(AC599=$V$3,IF(VLOOKUP(C599,[1]List1!$A:$E,5,FALSE)=0,1,VLOOKUP(C599,[1]List1!$A:$E,5,FALSE)),"")</f>
        <v/>
      </c>
      <c r="AR599" s="625" t="str">
        <f t="shared" si="1653"/>
        <v/>
      </c>
      <c r="AS599" s="634" t="str">
        <f t="shared" si="1654"/>
        <v/>
      </c>
      <c r="AT599" s="625" t="str">
        <f t="shared" si="1655"/>
        <v/>
      </c>
      <c r="AU599" s="638" t="e">
        <f t="shared" si="1656"/>
        <v>#N/A</v>
      </c>
      <c r="AV599" s="625" t="e">
        <f t="shared" si="1657"/>
        <v>#N/A</v>
      </c>
      <c r="AX599" s="625">
        <f>IF(AND('General price list'!$J599="F4",'General price list'!$AB599+0&gt;0),1,0)</f>
        <v>0</v>
      </c>
      <c r="AY599" s="625">
        <f t="shared" si="1658"/>
        <v>1</v>
      </c>
      <c r="AZ599" s="625">
        <f t="shared" si="1659"/>
        <v>0</v>
      </c>
    </row>
    <row r="600" spans="1:52" ht="15.75" customHeight="1">
      <c r="A600" s="639" t="str">
        <f>Kat.!C600</f>
        <v>×</v>
      </c>
      <c r="B600" s="640">
        <f>IF(AND('General price list'!$J600="F4",$AI$1=FALSE),0,IF(AC600="SKLADEM",1,IF(AC600=$V$3,1,0)))</f>
        <v>1</v>
      </c>
      <c r="C600" s="641" t="s">
        <v>1236</v>
      </c>
      <c r="D600" s="642" t="s">
        <v>1237</v>
      </c>
      <c r="E600" s="643" t="s">
        <v>12679</v>
      </c>
      <c r="F600" s="791">
        <f>IFERROR(VLOOKUP(C600,[2]List1!$A:$D,3,FALSE),"NEUVEDENO!")</f>
        <v>321</v>
      </c>
      <c r="G600" s="768">
        <f t="shared" si="1772"/>
        <v>321</v>
      </c>
      <c r="H600" s="765">
        <f t="shared" si="1773"/>
        <v>13.635610607740439</v>
      </c>
      <c r="I600" s="644">
        <f>IFERROR(VLOOKUP(C600,[2]List1!$A:$D,4,FALSE),"NEUVEDENO!")</f>
        <v>10</v>
      </c>
      <c r="J600" s="733" t="s">
        <v>39</v>
      </c>
      <c r="K600" s="645" t="s">
        <v>11100</v>
      </c>
      <c r="L600" s="645" t="s">
        <v>10988</v>
      </c>
      <c r="M600" s="645" t="s">
        <v>114</v>
      </c>
      <c r="N600" s="645">
        <f>IFERROR(VLOOKUP(C600,[3]List1!$A:$D,4,FALSE),"N/A!")</f>
        <v>4.7297249999999999E-2</v>
      </c>
      <c r="O600" s="645">
        <f>IFERROR(VLOOKUP(C600,[3]List1!$A:$D,3,FALSE),"N/A!")</f>
        <v>3040</v>
      </c>
      <c r="P600" s="645">
        <f>IFERROR(VLOOKUP(C600,[3]List1!$A:$D,2,FALSE),"N/A!")</f>
        <v>18500</v>
      </c>
      <c r="Q600" s="645" t="s">
        <v>11780</v>
      </c>
      <c r="R600" s="645"/>
      <c r="S600" s="645" t="str">
        <f>IF($W$17=$AF$1,"design",IFERROR(VLOOKUP("design",Jazyky_ceník!$A:$Q,MATCH($W$17,Jazyky_ceník!$A$1:$Q$1,0),FALSE),"!!!"))</f>
        <v>design</v>
      </c>
      <c r="T600" s="645">
        <v>30</v>
      </c>
      <c r="U600" s="645">
        <v>40</v>
      </c>
      <c r="V600" s="645">
        <v>30</v>
      </c>
      <c r="W600" s="645" t="str">
        <f>IFERROR(IF(AND($AB600&gt;=0.1*$AA600,MOD($AB600,$AA600)&gt;=($AA600-(0.1*$AA600))),IF($W$17=$AF$1,"Zvažte možnost doobjednání ještě "&amp;Tabulka1[[#This Row],[VKPAL]]-MOD(AB600,AA600)&amp;" VK do plné palety.",VLOOKUP("Zvažte možnost doobjednání ještě ",Jazyky_ceník!A:Q,MATCH($W$17,Jazyky_ceník!$A$1:$Q$1,0),FALSE)&amp;Tabulka1[[#This Row],[VKPAL]]-MOD(AB600,AA600)&amp;VLOOKUP(" VK do plné palety.",Jazyky_ceník!A:Q,MATCH($W$17,Jazyky_ceník!$A$1:$Q$1,0),FALSE)),IFERROR(IF(AND(NOT(MOD($AB600,$AA600)=0),$AB600&gt;=0.9*$AA600,MOD($AB600,$AA600)&lt;=0.1*$AA600),IF($W$17=$AF$1,"Zvažte možnost optimalizace objednaného množství podle počtu VK na paletě ==&gt;",VLOOKUP("Zvažte možnost optimalizace objednaného množství podle počtu VK na paletě ==&gt;",Jazyky_ceník!A:Q,MATCH($W$17,Jazyky_ceník!$A$1:$Q$1,0),FALSE)),VLOOKUP('General price list'!$C600,Popisy!A:M,MATCH($W$17,Popisy!$A$7:$M$7,0),FALSE)),"---------------")),IFERROR(VLOOKUP('General price list'!$C600,Popisy!A:M,MATCH($W$17,Popisy!$A$7:$M$7,0),FALSE),"---------------"))</f>
        <v>4 různobarevné efekty</v>
      </c>
      <c r="X600" s="645" t="str">
        <f t="shared" si="1774"/>
        <v/>
      </c>
      <c r="Y600" s="645" t="str">
        <f t="shared" si="1775"/>
        <v/>
      </c>
      <c r="Z600" s="645" t="str">
        <f>HYPERLINK("https://www.klasekpyrotechnics.cz/c163a")</f>
        <v>https://www.klasekpyrotechnics.cz/c163a</v>
      </c>
      <c r="AA600" s="645">
        <f>IFERROR(IF(VLOOKUP(C600,[4]List1!$A:$D,4,FALSE)=0,"",VLOOKUP(C600,[4]List1!$A:$D,4,FALSE)),"")</f>
        <v>27</v>
      </c>
      <c r="AB600" s="646"/>
      <c r="AC600" s="647" t="str">
        <f>IFERROR(IF(VLOOKUP(C600,[1]List1!$A:$D,2,FALSE)="VYPRODÁNO",$V$9,IF(VLOOKUP(C600,[1]List1!$A:$D,2,FALSE)="DOCHÁZÍ",$V$3,VLOOKUP(C600,[1]List1!$A:$D,2,FALSE))),"OFFLINE!")</f>
        <v>SKLADEM</v>
      </c>
      <c r="AD600" s="647" t="str">
        <f ca="1">IF(AP600="NE",$V$10,IF(AC600=$V$3,IF(AQ600&lt;1,$V$8,$V$2&amp;" "&amp;AQ600&amp;" "&amp;$V$1),IF(AC600="SKLADEM",$V$6,IFERROR(IF(OR(AC600-TODAY()&gt;45,VLOOKUP(C600,[1]List1!$A:$E,4,FALSE)=0),AC600,DAY(AC600)&amp;"."&amp;MONTH(AC600)&amp;"."&amp;YEAR(AC600)&amp;" "&amp;$V$4&amp;VLOOKUP(C600,[1]List1!$A:$E,4,FALSE)&amp;" "&amp;$V$1),AC600))))</f>
        <v>SKLADEM</v>
      </c>
      <c r="AE600" s="645" t="str">
        <f t="shared" ca="1" si="1776"/>
        <v>SKLADEM</v>
      </c>
      <c r="AF600" s="648">
        <f t="shared" si="1777"/>
        <v>0</v>
      </c>
      <c r="AG600" s="649">
        <f t="shared" si="1778"/>
        <v>0</v>
      </c>
      <c r="AH600" s="650">
        <f t="shared" si="1779"/>
        <v>0</v>
      </c>
      <c r="AI600" s="645">
        <f t="shared" si="1780"/>
        <v>0</v>
      </c>
      <c r="AJ600" s="645">
        <f t="shared" si="1781"/>
        <v>0</v>
      </c>
      <c r="AK600" s="645" t="str">
        <f t="shared" si="1782"/>
        <v/>
      </c>
      <c r="AL600" s="645">
        <f t="shared" si="1783"/>
        <v>0</v>
      </c>
      <c r="AM600" s="645" t="str">
        <f t="shared" si="1784"/>
        <v/>
      </c>
      <c r="AN600" s="651">
        <f t="shared" si="1785"/>
        <v>0</v>
      </c>
      <c r="AO600" s="623"/>
      <c r="AP600" s="625" t="str">
        <f t="shared" si="1652"/>
        <v/>
      </c>
      <c r="AQ600" s="625" t="str">
        <f>IF(AC600=$V$3,IF(VLOOKUP(C600,[1]List1!$A:$E,5,FALSE)=0,1,VLOOKUP(C600,[1]List1!$A:$E,5,FALSE)),"")</f>
        <v/>
      </c>
      <c r="AR600" s="629" t="str">
        <f t="shared" si="1653"/>
        <v/>
      </c>
      <c r="AS600" s="630" t="str">
        <f t="shared" si="1654"/>
        <v/>
      </c>
      <c r="AT600" s="625" t="str">
        <f t="shared" si="1655"/>
        <v/>
      </c>
      <c r="AU600" s="625" t="e">
        <f t="shared" si="1656"/>
        <v>#N/A</v>
      </c>
      <c r="AV600" s="625" t="e">
        <f t="shared" si="1657"/>
        <v>#N/A</v>
      </c>
      <c r="AW600" s="631"/>
      <c r="AX600" s="631">
        <f>IF(AND('General price list'!$J600="F4",'General price list'!$AB600+0&gt;0),1,0)</f>
        <v>0</v>
      </c>
      <c r="AY600" s="631">
        <f t="shared" si="1658"/>
        <v>1</v>
      </c>
      <c r="AZ600" s="631">
        <f t="shared" si="1659"/>
        <v>0</v>
      </c>
    </row>
    <row r="601" spans="1:52" ht="15" customHeight="1">
      <c r="A601" s="621" t="str">
        <f>Kat.!C601</f>
        <v/>
      </c>
      <c r="B601" s="566">
        <f>IF(AND('General price list'!$J601="F4",$AI$1=FALSE),0,IF(AC601="SKLADEM",1,IF(AC601=$V$3,1,0)))</f>
        <v>1</v>
      </c>
      <c r="C601" s="567" t="s">
        <v>1238</v>
      </c>
      <c r="D601" s="568" t="s">
        <v>1239</v>
      </c>
      <c r="E601" s="763" t="s">
        <v>12679</v>
      </c>
      <c r="F601" s="791">
        <f>IFERROR(VLOOKUP(C601,[2]List1!$A:$D,3,FALSE),"NEUVEDENO!")</f>
        <v>321</v>
      </c>
      <c r="G601" s="769">
        <f t="shared" si="1772"/>
        <v>321</v>
      </c>
      <c r="H601" s="766">
        <f t="shared" si="1773"/>
        <v>13.635610607740439</v>
      </c>
      <c r="I601" s="764">
        <f>IFERROR(VLOOKUP(C601,[2]List1!$A:$D,4,FALSE),"NEUVEDENO!")</f>
        <v>10</v>
      </c>
      <c r="J601" s="732" t="s">
        <v>39</v>
      </c>
      <c r="K601" s="569" t="s">
        <v>11100</v>
      </c>
      <c r="L601" s="569" t="s">
        <v>10988</v>
      </c>
      <c r="M601" s="569" t="s">
        <v>114</v>
      </c>
      <c r="N601" s="569">
        <f>IFERROR(VLOOKUP(C601,[3]List1!$A:$D,4,FALSE),"N/A!")</f>
        <v>4.7297249999999999E-2</v>
      </c>
      <c r="O601" s="569">
        <f>IFERROR(VLOOKUP(C601,[3]List1!$A:$D,3,FALSE),"N/A!")</f>
        <v>3040</v>
      </c>
      <c r="P601" s="569">
        <f>IFERROR(VLOOKUP(C601,[3]List1!$A:$D,2,FALSE),"N/A!")</f>
        <v>18500</v>
      </c>
      <c r="Q601" s="569" t="s">
        <v>11780</v>
      </c>
      <c r="R601" s="569"/>
      <c r="S601" s="569" t="str">
        <f>IF($W$17=$AF$1,"červená fólie",IFERROR(VLOOKUP("červená fólie",Jazyky_ceník!$A:$Q,MATCH($W$17,Jazyky_ceník!$A$1:$Q$1,0),FALSE),"!!!"))</f>
        <v>červená fólie</v>
      </c>
      <c r="T601" s="569">
        <v>30</v>
      </c>
      <c r="U601" s="569">
        <v>40</v>
      </c>
      <c r="V601" s="569">
        <v>30</v>
      </c>
      <c r="W601" s="569" t="str">
        <f>IFERROR(IF(AND($AB601&gt;=0.1*$AA601,MOD($AB601,$AA601)&gt;=($AA601-(0.1*$AA601))),IF($W$17=$AF$1,"Zvažte možnost doobjednání ještě "&amp;Tabulka1[[#This Row],[VKPAL]]-MOD(AB601,AA601)&amp;" VK do plné palety.",VLOOKUP("Zvažte možnost doobjednání ještě ",Jazyky_ceník!A:Q,MATCH($W$17,Jazyky_ceník!$A$1:$Q$1,0),FALSE)&amp;Tabulka1[[#This Row],[VKPAL]]-MOD(AB601,AA601)&amp;VLOOKUP(" VK do plné palety.",Jazyky_ceník!A:Q,MATCH($W$17,Jazyky_ceník!$A$1:$Q$1,0),FALSE)),IFERROR(IF(AND(NOT(MOD($AB601,$AA601)=0),$AB601&gt;=0.9*$AA601,MOD($AB601,$AA601)&lt;=0.1*$AA601),IF($W$17=$AF$1,"Zvažte možnost optimalizace objednaného množství podle počtu VK na paletě ==&gt;",VLOOKUP("Zvažte možnost optimalizace objednaného množství podle počtu VK na paletě ==&gt;",Jazyky_ceník!A:Q,MATCH($W$17,Jazyky_ceník!$A$1:$Q$1,0),FALSE)),VLOOKUP('General price list'!$C601,Popisy!A:M,MATCH($W$17,Popisy!$A$7:$M$7,0),FALSE)),"---------------")),IFERROR(VLOOKUP('General price list'!$C601,Popisy!A:M,MATCH($W$17,Popisy!$A$7:$M$7,0),FALSE),"---------------"))</f>
        <v>4 různobarevné efekty</v>
      </c>
      <c r="X601" s="569" t="str">
        <f t="shared" si="1774"/>
        <v/>
      </c>
      <c r="Y601" s="569" t="str">
        <f t="shared" si="1775"/>
        <v/>
      </c>
      <c r="Z601" s="569" t="str">
        <f>HYPERLINK("https://www.klasekpyrotechnics.cz/c163b")</f>
        <v>https://www.klasekpyrotechnics.cz/c163b</v>
      </c>
      <c r="AA601" s="569">
        <f>IFERROR(IF(VLOOKUP(C601,[4]List1!$A:$D,4,FALSE)=0,"",VLOOKUP(C601,[4]List1!$A:$D,4,FALSE)),"")</f>
        <v>27</v>
      </c>
      <c r="AB601" s="565"/>
      <c r="AC601" s="570" t="str">
        <f>IFERROR(IF(VLOOKUP(C601,[1]List1!$A:$D,2,FALSE)="VYPRODÁNO",$V$9,IF(VLOOKUP(C601,[1]List1!$A:$D,2,FALSE)="DOCHÁZÍ",$V$3,VLOOKUP(C601,[1]List1!$A:$D,2,FALSE))),"OFFLINE!")</f>
        <v>SKLADEM</v>
      </c>
      <c r="AD601" s="570" t="str">
        <f ca="1">IF(AP601="NE",$V$10,IF(AC601=$V$3,IF(AQ601&lt;1,$V$8,$V$2&amp;" "&amp;AQ601&amp;" "&amp;$V$1),IF(AC601="SKLADEM",$V$6,IFERROR(IF(OR(AC601-TODAY()&gt;45,VLOOKUP(C601,[1]List1!$A:$E,4,FALSE)=0),AC601,DAY(AC601)&amp;"."&amp;MONTH(AC601)&amp;"."&amp;YEAR(AC601)&amp;" "&amp;$V$4&amp;VLOOKUP(C601,[1]List1!$A:$E,4,FALSE)&amp;" "&amp;$V$1),AC601))))</f>
        <v>SKLADEM</v>
      </c>
      <c r="AE601" s="581" t="str">
        <f t="shared" ca="1" si="1776"/>
        <v>SKLADEM</v>
      </c>
      <c r="AF601" s="584">
        <f t="shared" si="1777"/>
        <v>0</v>
      </c>
      <c r="AG601" s="585">
        <f t="shared" si="1778"/>
        <v>0</v>
      </c>
      <c r="AH601" s="583">
        <f t="shared" si="1779"/>
        <v>0</v>
      </c>
      <c r="AI601" s="582">
        <f t="shared" si="1780"/>
        <v>0</v>
      </c>
      <c r="AJ601" s="569">
        <f t="shared" si="1781"/>
        <v>0</v>
      </c>
      <c r="AK601" s="569" t="str">
        <f t="shared" si="1782"/>
        <v/>
      </c>
      <c r="AL601" s="569">
        <f t="shared" si="1783"/>
        <v>0</v>
      </c>
      <c r="AM601" s="569" t="str">
        <f t="shared" si="1784"/>
        <v/>
      </c>
      <c r="AN601" s="581">
        <f t="shared" si="1785"/>
        <v>0</v>
      </c>
      <c r="AO601" s="623"/>
      <c r="AP601" s="632" t="str">
        <f t="shared" si="1652"/>
        <v/>
      </c>
      <c r="AQ601" s="633" t="str">
        <f>IF(AC601=$V$3,IF(VLOOKUP(C601,[1]List1!$A:$E,5,FALSE)=0,1,VLOOKUP(C601,[1]List1!$A:$E,5,FALSE)),"")</f>
        <v/>
      </c>
      <c r="AR601" s="625" t="str">
        <f t="shared" si="1653"/>
        <v/>
      </c>
      <c r="AS601" s="634" t="str">
        <f t="shared" si="1654"/>
        <v/>
      </c>
      <c r="AT601" s="625" t="str">
        <f t="shared" si="1655"/>
        <v/>
      </c>
      <c r="AU601" s="638" t="e">
        <f t="shared" si="1656"/>
        <v>#N/A</v>
      </c>
      <c r="AV601" s="625" t="e">
        <f t="shared" si="1657"/>
        <v>#N/A</v>
      </c>
      <c r="AX601" s="625">
        <f>IF(AND('General price list'!$J601="F4",'General price list'!$AB601+0&gt;0),1,0)</f>
        <v>0</v>
      </c>
      <c r="AY601" s="625">
        <f t="shared" si="1658"/>
        <v>1</v>
      </c>
      <c r="AZ601" s="625">
        <f t="shared" si="1659"/>
        <v>0</v>
      </c>
    </row>
    <row r="602" spans="1:52" ht="15" customHeight="1">
      <c r="A602" s="639" t="str">
        <f>Kat.!C602</f>
        <v/>
      </c>
      <c r="B602" s="640">
        <f>IF(AND('General price list'!$J602="F4",$AI$1=FALSE),0,IF(AC602="SKLADEM",1,IF(AC602=$V$3,1,0)))</f>
        <v>1</v>
      </c>
      <c r="C602" s="641" t="s">
        <v>1241</v>
      </c>
      <c r="D602" s="642" t="s">
        <v>1242</v>
      </c>
      <c r="E602" s="643" t="s">
        <v>12679</v>
      </c>
      <c r="F602" s="791">
        <f>IFERROR(VLOOKUP(C602,[2]List1!$A:$D,3,FALSE),"NEUVEDENO!")</f>
        <v>321</v>
      </c>
      <c r="G602" s="768">
        <f t="shared" si="1772"/>
        <v>321</v>
      </c>
      <c r="H602" s="765">
        <f t="shared" si="1773"/>
        <v>13.635610607740439</v>
      </c>
      <c r="I602" s="644">
        <f>IFERROR(VLOOKUP(C602,[2]List1!$A:$D,4,FALSE),"NEUVEDENO!")</f>
        <v>10</v>
      </c>
      <c r="J602" s="733" t="s">
        <v>39</v>
      </c>
      <c r="K602" s="645" t="s">
        <v>11100</v>
      </c>
      <c r="L602" s="645" t="s">
        <v>10988</v>
      </c>
      <c r="M602" s="645" t="s">
        <v>114</v>
      </c>
      <c r="N602" s="645">
        <f>IFERROR(VLOOKUP(C602,[3]List1!$A:$D,4,FALSE),"N/A!")</f>
        <v>4.7297249999999999E-2</v>
      </c>
      <c r="O602" s="645">
        <f>IFERROR(VLOOKUP(C602,[3]List1!$A:$D,3,FALSE),"N/A!")</f>
        <v>3040</v>
      </c>
      <c r="P602" s="645">
        <f>IFERROR(VLOOKUP(C602,[3]List1!$A:$D,2,FALSE),"N/A!")</f>
        <v>18500</v>
      </c>
      <c r="Q602" s="645" t="s">
        <v>11780</v>
      </c>
      <c r="R602" s="645"/>
      <c r="S602" s="645" t="str">
        <f>IF($W$17=$AF$1,"design",IFERROR(VLOOKUP("design",Jazyky_ceník!$A:$Q,MATCH($W$17,Jazyky_ceník!$A$1:$Q$1,0),FALSE),"!!!"))</f>
        <v>design</v>
      </c>
      <c r="T602" s="645">
        <v>30</v>
      </c>
      <c r="U602" s="645">
        <v>40</v>
      </c>
      <c r="V602" s="645">
        <v>30</v>
      </c>
      <c r="W602" s="645" t="str">
        <f>IFERROR(IF(AND($AB602&gt;=0.1*$AA602,MOD($AB602,$AA602)&gt;=($AA602-(0.1*$AA602))),IF($W$17=$AF$1,"Zvažte možnost doobjednání ještě "&amp;Tabulka1[[#This Row],[VKPAL]]-MOD(AB602,AA602)&amp;" VK do plné palety.",VLOOKUP("Zvažte možnost doobjednání ještě ",Jazyky_ceník!A:Q,MATCH($W$17,Jazyky_ceník!$A$1:$Q$1,0),FALSE)&amp;Tabulka1[[#This Row],[VKPAL]]-MOD(AB602,AA602)&amp;VLOOKUP(" VK do plné palety.",Jazyky_ceník!A:Q,MATCH($W$17,Jazyky_ceník!$A$1:$Q$1,0),FALSE)),IFERROR(IF(AND(NOT(MOD($AB602,$AA602)=0),$AB602&gt;=0.9*$AA602,MOD($AB602,$AA602)&lt;=0.1*$AA602),IF($W$17=$AF$1,"Zvažte možnost optimalizace objednaného množství podle počtu VK na paletě ==&gt;",VLOOKUP("Zvažte možnost optimalizace objednaného množství podle počtu VK na paletě ==&gt;",Jazyky_ceník!A:Q,MATCH($W$17,Jazyky_ceník!$A$1:$Q$1,0),FALSE)),VLOOKUP('General price list'!$C602,Popisy!A:M,MATCH($W$17,Popisy!$A$7:$M$7,0),FALSE)),"---------------")),IFERROR(VLOOKUP('General price list'!$C602,Popisy!A:M,MATCH($W$17,Popisy!$A$7:$M$7,0),FALSE),"---------------"))</f>
        <v>4 různobarevné efekty měnící se po každé ráně</v>
      </c>
      <c r="X602" s="645" t="str">
        <f t="shared" si="1774"/>
        <v/>
      </c>
      <c r="Y602" s="645" t="str">
        <f t="shared" si="1775"/>
        <v/>
      </c>
      <c r="Z602" s="645" t="str">
        <f>HYPERLINK("https://www.klasekpyrotechnics.cz/c163l")</f>
        <v>https://www.klasekpyrotechnics.cz/c163l</v>
      </c>
      <c r="AA602" s="645">
        <f>IFERROR(IF(VLOOKUP(C602,[4]List1!$A:$D,4,FALSE)=0,"",VLOOKUP(C602,[4]List1!$A:$D,4,FALSE)),"")</f>
        <v>27</v>
      </c>
      <c r="AB602" s="646"/>
      <c r="AC602" s="647" t="str">
        <f>IFERROR(IF(VLOOKUP(C602,[1]List1!$A:$D,2,FALSE)="VYPRODÁNO",$V$9,IF(VLOOKUP(C602,[1]List1!$A:$D,2,FALSE)="DOCHÁZÍ",$V$3,VLOOKUP(C602,[1]List1!$A:$D,2,FALSE))),"OFFLINE!")</f>
        <v>SKLADEM</v>
      </c>
      <c r="AD602" s="647" t="str">
        <f ca="1">IF(AP602="NE",$V$10,IF(AC602=$V$3,IF(AQ602&lt;1,$V$8,$V$2&amp;" "&amp;AQ602&amp;" "&amp;$V$1),IF(AC602="SKLADEM",$V$6,IFERROR(IF(OR(AC602-TODAY()&gt;45,VLOOKUP(C602,[1]List1!$A:$E,4,FALSE)=0),AC602,DAY(AC602)&amp;"."&amp;MONTH(AC602)&amp;"."&amp;YEAR(AC602)&amp;" "&amp;$V$4&amp;VLOOKUP(C602,[1]List1!$A:$E,4,FALSE)&amp;" "&amp;$V$1),AC602))))</f>
        <v>SKLADEM</v>
      </c>
      <c r="AE602" s="645" t="str">
        <f t="shared" ca="1" si="1776"/>
        <v>SKLADEM</v>
      </c>
      <c r="AF602" s="648">
        <f t="shared" si="1777"/>
        <v>0</v>
      </c>
      <c r="AG602" s="649">
        <f t="shared" si="1778"/>
        <v>0</v>
      </c>
      <c r="AH602" s="650">
        <f t="shared" si="1779"/>
        <v>0</v>
      </c>
      <c r="AI602" s="645">
        <f t="shared" si="1780"/>
        <v>0</v>
      </c>
      <c r="AJ602" s="645">
        <f t="shared" si="1781"/>
        <v>0</v>
      </c>
      <c r="AK602" s="645" t="str">
        <f t="shared" si="1782"/>
        <v/>
      </c>
      <c r="AL602" s="645">
        <f t="shared" si="1783"/>
        <v>0</v>
      </c>
      <c r="AM602" s="645" t="str">
        <f t="shared" si="1784"/>
        <v/>
      </c>
      <c r="AN602" s="651">
        <f t="shared" si="1785"/>
        <v>0</v>
      </c>
      <c r="AO602" s="623"/>
      <c r="AP602" s="632" t="str">
        <f t="shared" ref="AP602:AP604" si="1786">IF($AL$3=1,IF(Y602=AB602,"","NE"),IF(AR602=$V$10,"NE",""))</f>
        <v/>
      </c>
      <c r="AQ602" s="633" t="str">
        <f>IF(AC602=$V$3,IF(VLOOKUP(C602,[1]List1!$A:$E,5,FALSE)=0,1,VLOOKUP(C602,[1]List1!$A:$E,5,FALSE)),"")</f>
        <v/>
      </c>
      <c r="AR602" s="625" t="str">
        <f t="shared" ref="AR602:AR604" si="1787">IF($AL$3=1,"",IF(OR(AB602&lt;&gt;"",AB602&lt;&gt;0),IF(OR(AC602=$V$6,AC602=$V$3,AC602=$V$9),$V$10,""),""))</f>
        <v/>
      </c>
      <c r="AS602" s="634" t="str">
        <f t="shared" ref="AS602:AS604" si="1788">IF(AT602&lt;&gt;"","X","")</f>
        <v/>
      </c>
      <c r="AT602" s="625" t="str">
        <f t="shared" ref="AT602:AT604" si="1789">IF(AND($AL$3=2,AR602="",AB602&lt;&gt;""),AD602,"")</f>
        <v/>
      </c>
      <c r="AU602" s="638" t="e">
        <f t="shared" ref="AU602:AU604" si="1790">IF(AT602=$AS$21,AB602,"")</f>
        <v>#N/A</v>
      </c>
      <c r="AV602" s="625" t="e">
        <f t="shared" ref="AV602:AV604" si="1791">IF(OR(AB602="",AND(AT602&lt;&gt;"",AU602&lt;&gt;"")),"",$V$10)</f>
        <v>#N/A</v>
      </c>
      <c r="AX602" s="625">
        <f>IF(AND('General price list'!$J602="F4",'General price list'!$AB602+0&gt;0),1,0)</f>
        <v>0</v>
      </c>
      <c r="AY602" s="625">
        <f t="shared" ref="AY602:AY604" si="1792">IFERROR(FIND(VLOOKUP($AC$7,$AD$1:$AE$12,2,FALSE),Q602,1),0)</f>
        <v>1</v>
      </c>
      <c r="AZ602" s="625">
        <f t="shared" ref="AZ602:AZ604" si="1793">IFERROR(FIND(VLOOKUP($AC$7,$AD$1:$AE$12,2,FALSE),R602,1),0)</f>
        <v>0</v>
      </c>
    </row>
    <row r="603" spans="1:52" ht="15" customHeight="1">
      <c r="A603" s="621" t="str">
        <f>Kat.!C603</f>
        <v/>
      </c>
      <c r="B603" s="566">
        <f>IF(AND('General price list'!$J603="F4",$AI$1=FALSE),0,IF(AC603="SKLADEM",1,IF(AC603=$V$3,1,0)))</f>
        <v>1</v>
      </c>
      <c r="C603" s="567" t="s">
        <v>1248</v>
      </c>
      <c r="D603" s="568" t="s">
        <v>1474</v>
      </c>
      <c r="E603" s="763" t="s">
        <v>12679</v>
      </c>
      <c r="F603" s="791">
        <f>IFERROR(VLOOKUP(C603,[2]List1!$A:$D,3,FALSE),"NEUVEDENO!")</f>
        <v>321</v>
      </c>
      <c r="G603" s="769">
        <f t="shared" si="1772"/>
        <v>321</v>
      </c>
      <c r="H603" s="766">
        <f t="shared" si="1773"/>
        <v>13.635610607740439</v>
      </c>
      <c r="I603" s="764">
        <f>IFERROR(VLOOKUP(C603,[2]List1!$A:$D,4,FALSE),"NEUVEDENO!")</f>
        <v>10</v>
      </c>
      <c r="J603" s="732" t="s">
        <v>39</v>
      </c>
      <c r="K603" s="569" t="s">
        <v>11100</v>
      </c>
      <c r="L603" s="569" t="s">
        <v>10988</v>
      </c>
      <c r="M603" s="569" t="s">
        <v>114</v>
      </c>
      <c r="N603" s="569">
        <f>IFERROR(VLOOKUP(C603,[3]List1!$A:$D,4,FALSE),"N/A!")</f>
        <v>4.7297249999999999E-2</v>
      </c>
      <c r="O603" s="569">
        <f>IFERROR(VLOOKUP(C603,[3]List1!$A:$D,3,FALSE),"N/A!")</f>
        <v>3040</v>
      </c>
      <c r="P603" s="569">
        <f>IFERROR(VLOOKUP(C603,[3]List1!$A:$D,2,FALSE),"N/A!")</f>
        <v>18500</v>
      </c>
      <c r="Q603" s="569" t="s">
        <v>11780</v>
      </c>
      <c r="R603" s="569"/>
      <c r="S603" s="569" t="str">
        <f>IF($W$17=$AF$1,"design",IFERROR(VLOOKUP("design",Jazyky_ceník!$A:$Q,MATCH($W$17,Jazyky_ceník!$A$1:$Q$1,0),FALSE),"!!!"))</f>
        <v>design</v>
      </c>
      <c r="T603" s="569">
        <v>25</v>
      </c>
      <c r="U603" s="569">
        <v>40</v>
      </c>
      <c r="V603" s="569">
        <v>30</v>
      </c>
      <c r="W603" s="569" t="str">
        <f>IFERROR(IF(AND($AB603&gt;=0.1*$AA603,MOD($AB603,$AA603)&gt;=($AA603-(0.1*$AA603))),IF($W$17=$AF$1,"Zvažte možnost doobjednání ještě "&amp;Tabulka1[[#This Row],[VKPAL]]-MOD(AB603,AA603)&amp;" VK do plné palety.",VLOOKUP("Zvažte možnost doobjednání ještě ",Jazyky_ceník!A:Q,MATCH($W$17,Jazyky_ceník!$A$1:$Q$1,0),FALSE)&amp;Tabulka1[[#This Row],[VKPAL]]-MOD(AB603,AA603)&amp;VLOOKUP(" VK do plné palety.",Jazyky_ceník!A:Q,MATCH($W$17,Jazyky_ceník!$A$1:$Q$1,0),FALSE)),IFERROR(IF(AND(NOT(MOD($AB603,$AA603)=0),$AB603&gt;=0.9*$AA603,MOD($AB603,$AA603)&lt;=0.1*$AA603),IF($W$17=$AF$1,"Zvažte možnost optimalizace objednaného množství podle počtu VK na paletě ==&gt;",VLOOKUP("Zvažte možnost optimalizace objednaného množství podle počtu VK na paletě ==&gt;",Jazyky_ceník!A:Q,MATCH($W$17,Jazyky_ceník!$A$1:$Q$1,0),FALSE)),VLOOKUP('General price list'!$C603,Popisy!A:M,MATCH($W$17,Popisy!$A$7:$M$7,0),FALSE)),"---------------")),IFERROR(VLOOKUP('General price list'!$C603,Popisy!A:M,MATCH($W$17,Popisy!$A$7:$M$7,0),FALSE),"---------------"))</f>
        <v>brokátová stopa+brokátová koruna s práskajícími hvězdami</v>
      </c>
      <c r="X603" s="569" t="str">
        <f t="shared" si="1774"/>
        <v/>
      </c>
      <c r="Y603" s="569" t="str">
        <f t="shared" si="1775"/>
        <v/>
      </c>
      <c r="Z603" s="569" t="str">
        <f>HYPERLINK("https://www.klasekpyrotechnics.cz/c163e")</f>
        <v>https://www.klasekpyrotechnics.cz/c163e</v>
      </c>
      <c r="AA603" s="569">
        <f>IFERROR(IF(VLOOKUP(C603,[4]List1!$A:$D,4,FALSE)=0,"",VLOOKUP(C603,[4]List1!$A:$D,4,FALSE)),"")</f>
        <v>27</v>
      </c>
      <c r="AB603" s="565"/>
      <c r="AC603" s="570" t="str">
        <f>IFERROR(IF(VLOOKUP(C603,[1]List1!$A:$D,2,FALSE)="VYPRODÁNO",$V$9,IF(VLOOKUP(C603,[1]List1!$A:$D,2,FALSE)="DOCHÁZÍ",$V$3,VLOOKUP(C603,[1]List1!$A:$D,2,FALSE))),"OFFLINE!")</f>
        <v>SKLADEM</v>
      </c>
      <c r="AD603" s="570" t="str">
        <f ca="1">IF(AP603="NE",$V$10,IF(AC603=$V$3,IF(AQ603&lt;1,$V$8,$V$2&amp;" "&amp;AQ603&amp;" "&amp;$V$1),IF(AC603="SKLADEM",$V$6,IFERROR(IF(OR(AC603-TODAY()&gt;45,VLOOKUP(C603,[1]List1!$A:$E,4,FALSE)=0),AC603,DAY(AC603)&amp;"."&amp;MONTH(AC603)&amp;"."&amp;YEAR(AC603)&amp;" "&amp;$V$4&amp;VLOOKUP(C603,[1]List1!$A:$E,4,FALSE)&amp;" "&amp;$V$1),AC603))))</f>
        <v>SKLADEM</v>
      </c>
      <c r="AE603" s="581" t="str">
        <f t="shared" ca="1" si="1776"/>
        <v>SKLADEM</v>
      </c>
      <c r="AF603" s="584">
        <f t="shared" si="1777"/>
        <v>0</v>
      </c>
      <c r="AG603" s="585">
        <f t="shared" si="1778"/>
        <v>0</v>
      </c>
      <c r="AH603" s="583">
        <f t="shared" si="1779"/>
        <v>0</v>
      </c>
      <c r="AI603" s="582">
        <f t="shared" si="1780"/>
        <v>0</v>
      </c>
      <c r="AJ603" s="569">
        <f t="shared" si="1781"/>
        <v>0</v>
      </c>
      <c r="AK603" s="569" t="str">
        <f t="shared" si="1782"/>
        <v/>
      </c>
      <c r="AL603" s="569">
        <f t="shared" si="1783"/>
        <v>0</v>
      </c>
      <c r="AM603" s="569" t="str">
        <f t="shared" si="1784"/>
        <v/>
      </c>
      <c r="AN603" s="581">
        <f t="shared" si="1785"/>
        <v>0</v>
      </c>
      <c r="AO603" s="623"/>
      <c r="AP603" s="632" t="str">
        <f t="shared" si="1786"/>
        <v/>
      </c>
      <c r="AQ603" s="633" t="str">
        <f>IF(AC603=$V$3,IF(VLOOKUP(C603,[1]List1!$A:$E,5,FALSE)=0,1,VLOOKUP(C603,[1]List1!$A:$E,5,FALSE)),"")</f>
        <v/>
      </c>
      <c r="AR603" s="625" t="str">
        <f t="shared" si="1787"/>
        <v/>
      </c>
      <c r="AS603" s="634" t="str">
        <f t="shared" si="1788"/>
        <v/>
      </c>
      <c r="AT603" s="625" t="str">
        <f t="shared" si="1789"/>
        <v/>
      </c>
      <c r="AU603" s="638" t="e">
        <f t="shared" si="1790"/>
        <v>#N/A</v>
      </c>
      <c r="AV603" s="625" t="e">
        <f t="shared" si="1791"/>
        <v>#N/A</v>
      </c>
      <c r="AX603" s="625">
        <f>IF(AND('General price list'!$J603="F4",'General price list'!$AB603+0&gt;0),1,0)</f>
        <v>0</v>
      </c>
      <c r="AY603" s="625">
        <f t="shared" si="1792"/>
        <v>1</v>
      </c>
      <c r="AZ603" s="625">
        <f t="shared" si="1793"/>
        <v>0</v>
      </c>
    </row>
    <row r="604" spans="1:52" ht="15.75" customHeight="1">
      <c r="A604" s="639" t="str">
        <f>Kat.!C604</f>
        <v/>
      </c>
      <c r="B604" s="640">
        <f>IF(AND('General price list'!$J604="F4",$AI$1=FALSE),0,IF(AC604="SKLADEM",1,IF(AC604=$V$3,1,0)))</f>
        <v>1</v>
      </c>
      <c r="C604" s="641" t="s">
        <v>1252</v>
      </c>
      <c r="D604" s="642" t="s">
        <v>1253</v>
      </c>
      <c r="E604" s="643" t="s">
        <v>12679</v>
      </c>
      <c r="F604" s="791">
        <f>IFERROR(VLOOKUP(C604,[2]List1!$A:$D,3,FALSE),"NEUVEDENO!")</f>
        <v>321</v>
      </c>
      <c r="G604" s="770">
        <f t="shared" si="1772"/>
        <v>321</v>
      </c>
      <c r="H604" s="767">
        <f t="shared" si="1773"/>
        <v>13.635610607740439</v>
      </c>
      <c r="I604" s="644">
        <f>IFERROR(VLOOKUP(C604,[2]List1!$A:$D,4,FALSE),"NEUVEDENO!")</f>
        <v>10</v>
      </c>
      <c r="J604" s="733" t="s">
        <v>39</v>
      </c>
      <c r="K604" s="645" t="s">
        <v>11100</v>
      </c>
      <c r="L604" s="645" t="s">
        <v>10988</v>
      </c>
      <c r="M604" s="645" t="s">
        <v>114</v>
      </c>
      <c r="N604" s="645">
        <f>IFERROR(VLOOKUP(C604,[3]List1!$A:$D,4,FALSE),"N/A!")</f>
        <v>4.7297249999999999E-2</v>
      </c>
      <c r="O604" s="645">
        <f>IFERROR(VLOOKUP(C604,[3]List1!$A:$D,3,FALSE),"N/A!")</f>
        <v>3040</v>
      </c>
      <c r="P604" s="645">
        <f>IFERROR(VLOOKUP(C604,[3]List1!$A:$D,2,FALSE),"N/A!")</f>
        <v>18500</v>
      </c>
      <c r="Q604" s="645" t="s">
        <v>11780</v>
      </c>
      <c r="R604" s="645"/>
      <c r="S604" s="645" t="str">
        <f>IF($W$17=$AF$1,"design",IFERROR(VLOOKUP("design",Jazyky_ceník!$A:$Q,MATCH($W$17,Jazyky_ceník!$A$1:$Q$1,0),FALSE),"!!!"))</f>
        <v>design</v>
      </c>
      <c r="T604" s="645">
        <v>25</v>
      </c>
      <c r="U604" s="645">
        <v>40</v>
      </c>
      <c r="V604" s="645">
        <v>30</v>
      </c>
      <c r="W604" s="645" t="str">
        <f>IFERROR(IF(AND($AB604&gt;=0.1*$AA604,MOD($AB604,$AA604)&gt;=($AA604-(0.1*$AA604))),IF($W$17=$AF$1,"Zvažte možnost doobjednání ještě "&amp;Tabulka1[[#This Row],[VKPAL]]-MOD(AB604,AA604)&amp;" VK do plné palety.",VLOOKUP("Zvažte možnost doobjednání ještě ",Jazyky_ceník!A:Q,MATCH($W$17,Jazyky_ceník!$A$1:$Q$1,0),FALSE)&amp;Tabulka1[[#This Row],[VKPAL]]-MOD(AB604,AA604)&amp;VLOOKUP(" VK do plné palety.",Jazyky_ceník!A:Q,MATCH($W$17,Jazyky_ceník!$A$1:$Q$1,0),FALSE)),IFERROR(IF(AND(NOT(MOD($AB604,$AA604)=0),$AB604&gt;=0.9*$AA604,MOD($AB604,$AA604)&lt;=0.1*$AA604),IF($W$17=$AF$1,"Zvažte možnost optimalizace objednaného množství podle počtu VK na paletě ==&gt;",VLOOKUP("Zvažte možnost optimalizace objednaného množství podle počtu VK na paletě ==&gt;",Jazyky_ceník!A:Q,MATCH($W$17,Jazyky_ceník!$A$1:$Q$1,0),FALSE)),VLOOKUP('General price list'!$C604,Popisy!A:M,MATCH($W$17,Popisy!$A$7:$M$7,0),FALSE)),"---------------")),IFERROR(VLOOKUP('General price list'!$C604,Popisy!A:M,MATCH($W$17,Popisy!$A$7:$M$7,0),FALSE),"---------------"))</f>
        <v>stříbrná mina s červenou stopou+stříbrná chryzantéma</v>
      </c>
      <c r="X604" s="645" t="str">
        <f t="shared" si="1774"/>
        <v/>
      </c>
      <c r="Y604" s="645" t="str">
        <f t="shared" si="1775"/>
        <v/>
      </c>
      <c r="Z604" s="645" t="str">
        <f>HYPERLINK("https://www.klasekpyrotechnics.cz/c163k")</f>
        <v>https://www.klasekpyrotechnics.cz/c163k</v>
      </c>
      <c r="AA604" s="645">
        <f>IFERROR(IF(VLOOKUP(C604,[4]List1!$A:$D,4,FALSE)=0,"",VLOOKUP(C604,[4]List1!$A:$D,4,FALSE)),"")</f>
        <v>27</v>
      </c>
      <c r="AB604" s="646"/>
      <c r="AC604" s="647" t="str">
        <f>IFERROR(IF(VLOOKUP(C604,[1]List1!$A:$D,2,FALSE)="VYPRODÁNO",$V$9,IF(VLOOKUP(C604,[1]List1!$A:$D,2,FALSE)="DOCHÁZÍ",$V$3,VLOOKUP(C604,[1]List1!$A:$D,2,FALSE))),"OFFLINE!")</f>
        <v>SKLADEM</v>
      </c>
      <c r="AD604" s="647" t="str">
        <f ca="1">IF(AP604="NE",$V$10,IF(AC604=$V$3,IF(AQ604&lt;1,$V$8,$V$2&amp;" "&amp;AQ604&amp;" "&amp;$V$1),IF(AC604="SKLADEM",$V$6,IFERROR(IF(OR(AC604-TODAY()&gt;45,VLOOKUP(C604,[1]List1!$A:$E,4,FALSE)=0),AC604,DAY(AC604)&amp;"."&amp;MONTH(AC604)&amp;"."&amp;YEAR(AC604)&amp;" "&amp;$V$4&amp;VLOOKUP(C604,[1]List1!$A:$E,4,FALSE)&amp;" "&amp;$V$1),AC604))))</f>
        <v>SKLADEM</v>
      </c>
      <c r="AE604" s="645" t="str">
        <f t="shared" ca="1" si="1776"/>
        <v>SKLADEM</v>
      </c>
      <c r="AF604" s="648">
        <f t="shared" si="1777"/>
        <v>0</v>
      </c>
      <c r="AG604" s="649">
        <f t="shared" si="1778"/>
        <v>0</v>
      </c>
      <c r="AH604" s="650">
        <f t="shared" si="1779"/>
        <v>0</v>
      </c>
      <c r="AI604" s="645">
        <f t="shared" si="1780"/>
        <v>0</v>
      </c>
      <c r="AJ604" s="645">
        <f t="shared" si="1781"/>
        <v>0</v>
      </c>
      <c r="AK604" s="645" t="str">
        <f t="shared" si="1782"/>
        <v/>
      </c>
      <c r="AL604" s="645">
        <f t="shared" si="1783"/>
        <v>0</v>
      </c>
      <c r="AM604" s="645" t="str">
        <f t="shared" si="1784"/>
        <v/>
      </c>
      <c r="AN604" s="651">
        <f t="shared" si="1785"/>
        <v>0</v>
      </c>
      <c r="AO604" s="623"/>
      <c r="AP604" s="625" t="str">
        <f t="shared" si="1786"/>
        <v/>
      </c>
      <c r="AQ604" s="625" t="str">
        <f>IF(AC604=$V$3,IF(VLOOKUP(C604,[1]List1!$A:$E,5,FALSE)=0,1,VLOOKUP(C604,[1]List1!$A:$E,5,FALSE)),"")</f>
        <v/>
      </c>
      <c r="AR604" s="629" t="str">
        <f t="shared" si="1787"/>
        <v/>
      </c>
      <c r="AS604" s="630" t="str">
        <f t="shared" si="1788"/>
        <v/>
      </c>
      <c r="AT604" s="625" t="str">
        <f t="shared" si="1789"/>
        <v/>
      </c>
      <c r="AU604" s="625" t="e">
        <f t="shared" si="1790"/>
        <v>#N/A</v>
      </c>
      <c r="AV604" s="625" t="e">
        <f t="shared" si="1791"/>
        <v>#N/A</v>
      </c>
      <c r="AW604" s="631"/>
      <c r="AX604" s="631">
        <f>IF(AND('General price list'!$J604="F4",'General price list'!$AB604+0&gt;0),1,0)</f>
        <v>0</v>
      </c>
      <c r="AY604" s="631">
        <f t="shared" si="1792"/>
        <v>1</v>
      </c>
      <c r="AZ604" s="631">
        <f t="shared" si="1793"/>
        <v>0</v>
      </c>
    </row>
    <row r="605" spans="1:52" ht="15" customHeight="1">
      <c r="A605" s="751" t="str">
        <f>Kat.!C605</f>
        <v xml:space="preserve">           Baterie 16 ran, 30 mm moždíř – 1.4G</v>
      </c>
      <c r="B605" s="751"/>
      <c r="C605" s="751"/>
      <c r="D605" s="751"/>
      <c r="E605" s="751"/>
      <c r="F605" s="751"/>
      <c r="G605" s="751"/>
      <c r="H605" s="751"/>
      <c r="I605" s="752"/>
      <c r="J605" s="752"/>
      <c r="K605" s="752" t="s">
        <v>20</v>
      </c>
      <c r="L605" s="753" t="s">
        <v>2818</v>
      </c>
      <c r="M605" s="752"/>
      <c r="N605" s="752"/>
      <c r="O605" s="752"/>
      <c r="P605" s="752"/>
      <c r="Q605" s="752"/>
      <c r="R605" s="752"/>
      <c r="S605" s="752"/>
      <c r="T605" s="752"/>
      <c r="U605" s="752"/>
      <c r="V605" s="752"/>
      <c r="W605" s="752"/>
      <c r="X605" s="752"/>
      <c r="Y605" s="752"/>
      <c r="Z605" s="752" t="s">
        <v>20</v>
      </c>
      <c r="AA605" s="752"/>
      <c r="AB605" s="752"/>
      <c r="AC605" s="754"/>
      <c r="AD605" s="752"/>
      <c r="AE605" s="752"/>
      <c r="AF605" s="752"/>
      <c r="AG605" s="752"/>
      <c r="AH605" s="752"/>
      <c r="AI605" s="752"/>
      <c r="AJ605" s="752"/>
      <c r="AK605" s="752"/>
      <c r="AL605" s="752"/>
      <c r="AM605" s="752"/>
      <c r="AN605" s="752"/>
      <c r="AO605" s="623"/>
      <c r="AP605" s="632" t="str">
        <f t="shared" ref="AP605:AP660" si="1794">IF($AL$3=1,IF(Y605=AB605,"","NE"),IF(AR605=$V$10,"NE",""))</f>
        <v/>
      </c>
      <c r="AQ605" s="633" t="str">
        <f>IF(AC605=$V$3,IF(VLOOKUP(C605,[1]List1!$A:$E,5,FALSE)=0,1,VLOOKUP(C605,[1]List1!$A:$E,5,FALSE)),"")</f>
        <v/>
      </c>
      <c r="AR605" s="625" t="str">
        <f t="shared" ref="AR605:AR660" si="1795">IF($AL$3=1,"",IF(OR(AB605&lt;&gt;"",AB605&lt;&gt;0),IF(OR(AC605=$V$6,AC605=$V$3,AC605=$V$9),$V$10,""),""))</f>
        <v/>
      </c>
      <c r="AS605" s="634" t="str">
        <f t="shared" ref="AS605:AS660" si="1796">IF(AT605&lt;&gt;"","X","")</f>
        <v/>
      </c>
      <c r="AT605" s="625" t="str">
        <f t="shared" ref="AT605:AT660" si="1797">IF(AND($AL$3=2,AR605="",AB605&lt;&gt;""),AD605,"")</f>
        <v/>
      </c>
      <c r="AU605" s="638" t="e">
        <f t="shared" ref="AU605:AU660" si="1798">IF(AT605=$AS$21,AB605,"")</f>
        <v>#N/A</v>
      </c>
      <c r="AV605" s="625" t="e">
        <f t="shared" ref="AV605:AV660" si="1799">IF(OR(AB605="",AND(AT605&lt;&gt;"",AU605&lt;&gt;"")),"",$V$10)</f>
        <v>#N/A</v>
      </c>
      <c r="AX605" s="625">
        <f>IF(AND('General price list'!$J605="F4",'General price list'!$AB605+0&gt;0),1,0)</f>
        <v>0</v>
      </c>
      <c r="AY605" s="625">
        <f t="shared" ref="AY605:AY660" si="1800">IFERROR(FIND(VLOOKUP($AC$7,$AD$1:$AE$12,2,FALSE),Q605,1),0)</f>
        <v>0</v>
      </c>
      <c r="AZ605" s="625">
        <f t="shared" ref="AZ605:AZ660" si="1801">IFERROR(FIND(VLOOKUP($AC$7,$AD$1:$AE$12,2,FALSE),R605,1),0)</f>
        <v>0</v>
      </c>
    </row>
    <row r="606" spans="1:52" ht="15.75" customHeight="1">
      <c r="A606" s="639" t="str">
        <f>Kat.!C606</f>
        <v/>
      </c>
      <c r="B606" s="640">
        <f>IF(AND('General price list'!$J606="F4",$AI$1=FALSE),0,IF(AC606="SKLADEM",1,IF(AC606=$V$3,1,0)))</f>
        <v>1</v>
      </c>
      <c r="C606" s="641" t="s">
        <v>1246</v>
      </c>
      <c r="D606" s="642" t="s">
        <v>1237</v>
      </c>
      <c r="E606" s="643" t="s">
        <v>12679</v>
      </c>
      <c r="F606" s="791">
        <f>IFERROR(VLOOKUP(C606,[2]List1!$A:$D,3,FALSE),"NEUVEDENO!")</f>
        <v>321</v>
      </c>
      <c r="G606" s="770">
        <f t="shared" ref="G606" si="1802">IF($W$17=$AF$8,ROUND((F606)/$F$17,2),(F606)*$B$19)</f>
        <v>321</v>
      </c>
      <c r="H606" s="767">
        <f t="shared" ref="H606" si="1803">IF($W$17=$AF$8,G606*$B$19,G606/$F$17)</f>
        <v>13.635610607740439</v>
      </c>
      <c r="I606" s="644">
        <f>IFERROR(VLOOKUP(C606,[2]List1!$A:$D,4,FALSE),"NEUVEDENO!")</f>
        <v>10</v>
      </c>
      <c r="J606" s="733" t="s">
        <v>39</v>
      </c>
      <c r="K606" s="645" t="s">
        <v>11100</v>
      </c>
      <c r="L606" s="645" t="s">
        <v>10996</v>
      </c>
      <c r="M606" s="645" t="s">
        <v>21</v>
      </c>
      <c r="N606" s="645">
        <f>IFERROR(VLOOKUP(C606,[3]List1!$A:$D,4,FALSE),"N/A!")</f>
        <v>4.7297249999999999E-2</v>
      </c>
      <c r="O606" s="645">
        <f>IFERROR(VLOOKUP(C606,[3]List1!$A:$D,3,FALSE),"N/A!")</f>
        <v>3040</v>
      </c>
      <c r="P606" s="645">
        <f>IFERROR(VLOOKUP(C606,[3]List1!$A:$D,2,FALSE),"N/A!")</f>
        <v>18500</v>
      </c>
      <c r="Q606" s="645" t="s">
        <v>11780</v>
      </c>
      <c r="R606" s="645"/>
      <c r="S606" s="645" t="str">
        <f>IF($W$17=$AF$1,"design",IFERROR(VLOOKUP("design",Jazyky_ceník!$A:$Q,MATCH($W$17,Jazyky_ceník!$A$1:$Q$1,0),FALSE),"!!!"))</f>
        <v>design</v>
      </c>
      <c r="T606" s="645">
        <v>30</v>
      </c>
      <c r="U606" s="645">
        <v>40</v>
      </c>
      <c r="V606" s="645">
        <v>24</v>
      </c>
      <c r="W606" s="645" t="str">
        <f>IFERROR(IF(AND($AB606&gt;=0.1*$AA606,MOD($AB606,$AA606)&gt;=($AA606-(0.1*$AA606))),IF($W$17=$AF$1,"Zvažte možnost doobjednání ještě "&amp;Tabulka1[[#This Row],[VKPAL]]-MOD(AB606,AA606)&amp;" VK do plné palety.",VLOOKUP("Zvažte možnost doobjednání ještě ",Jazyky_ceník!A:Q,MATCH($W$17,Jazyky_ceník!$A$1:$Q$1,0),FALSE)&amp;Tabulka1[[#This Row],[VKPAL]]-MOD(AB606,AA606)&amp;VLOOKUP(" VK do plné palety.",Jazyky_ceník!A:Q,MATCH($W$17,Jazyky_ceník!$A$1:$Q$1,0),FALSE)),IFERROR(IF(AND(NOT(MOD($AB606,$AA606)=0),$AB606&gt;=0.9*$AA606,MOD($AB606,$AA606)&lt;=0.1*$AA606),IF($W$17=$AF$1,"Zvažte možnost optimalizace objednaného množství podle počtu VK na paletě ==&gt;",VLOOKUP("Zvažte možnost optimalizace objednaného množství podle počtu VK na paletě ==&gt;",Jazyky_ceník!A:Q,MATCH($W$17,Jazyky_ceník!$A$1:$Q$1,0),FALSE)),VLOOKUP('General price list'!$C606,Popisy!A:M,MATCH($W$17,Popisy!$A$7:$M$7,0),FALSE)),"---------------")),IFERROR(VLOOKUP('General price list'!$C606,Popisy!A:M,MATCH($W$17,Popisy!$A$7:$M$7,0),FALSE),"---------------"))</f>
        <v>4 různobarevné efekty</v>
      </c>
      <c r="X606" s="645" t="str">
        <f t="shared" ref="X606" si="1804">IF(AB606&lt;0.0001,"",AB606)</f>
        <v/>
      </c>
      <c r="Y606" s="645" t="str">
        <f t="shared" ref="Y606" si="1805">IF($AL$3=2,IF(OR(AB606&lt;&gt;"",AB606&lt;&gt;0),AU606,""),IF(C606="","",IF(AB606&lt;0.0001,"",IF(B606=0,"",IF(AQ606&lt;AB606,"",AB606)))))</f>
        <v/>
      </c>
      <c r="Z606" s="645" t="str">
        <f>HYPERLINK("https://www.klasekpyrotechnics.cz/c163a14")</f>
        <v>https://www.klasekpyrotechnics.cz/c163a14</v>
      </c>
      <c r="AA606" s="645">
        <f>IFERROR(IF(VLOOKUP(C606,[4]List1!$A:$D,4,FALSE)=0,"",VLOOKUP(C606,[4]List1!$A:$D,4,FALSE)),"")</f>
        <v>27</v>
      </c>
      <c r="AB606" s="646"/>
      <c r="AC606" s="647" t="str">
        <f>IFERROR(IF(VLOOKUP(C606,[1]List1!$A:$D,2,FALSE)="VYPRODÁNO",$V$9,IF(VLOOKUP(C606,[1]List1!$A:$D,2,FALSE)="DOCHÁZÍ",$V$3,VLOOKUP(C606,[1]List1!$A:$D,2,FALSE))),"OFFLINE!")</f>
        <v>SKLADEM</v>
      </c>
      <c r="AD606" s="647" t="str">
        <f ca="1">IF(AP606="NE",$V$10,IF(AC606=$V$3,IF(AQ606&lt;1,$V$8,$V$2&amp;" "&amp;AQ606&amp;" "&amp;$V$1),IF(AC606="SKLADEM",$V$6,IFERROR(IF(OR(AC606-TODAY()&gt;45,VLOOKUP(C606,[1]List1!$A:$E,4,FALSE)=0),AC606,DAY(AC606)&amp;"."&amp;MONTH(AC606)&amp;"."&amp;YEAR(AC606)&amp;" "&amp;$V$4&amp;VLOOKUP(C606,[1]List1!$A:$E,4,FALSE)&amp;" "&amp;$V$1),AC606))))</f>
        <v>SKLADEM</v>
      </c>
      <c r="AE606" s="645" t="str">
        <f t="shared" ref="AE606" ca="1" si="1806">IFERROR(IF(AV606&lt;&gt;"",AV606,AD606),AD606)</f>
        <v>SKLADEM</v>
      </c>
      <c r="AF606" s="648">
        <f t="shared" ref="AF606" si="1807">IFERROR(IF(AB606=Y606,G606*I606*Y606,0),0)</f>
        <v>0</v>
      </c>
      <c r="AG606" s="649">
        <f t="shared" ref="AG606" si="1808">IF($W$17=$AF$8,AH606*1.23,AF606*1.21)</f>
        <v>0</v>
      </c>
      <c r="AH606" s="650">
        <f t="shared" ref="AH606" si="1809">IFERROR(IF(Y606=AB606,H606*I606*Y606,0),0)</f>
        <v>0</v>
      </c>
      <c r="AI606" s="645">
        <f t="shared" ref="AI606" si="1810">IFERROR(IF(Y606=AB606,(P606*Y606)/1000,1),0)</f>
        <v>0</v>
      </c>
      <c r="AJ606" s="645">
        <f t="shared" ref="AJ606" si="1811">IFERROR(IF(Y606=AB606,N606*Y606,0.1),0)</f>
        <v>0</v>
      </c>
      <c r="AK606" s="645" t="str">
        <f t="shared" ref="AK606" si="1812">IFERROR(IF(Y606=AB606,IF(M606="1.1G",(O606/1000)*Y606,""),""),0)</f>
        <v/>
      </c>
      <c r="AL606" s="645" t="str">
        <f t="shared" ref="AL606" si="1813">IFERROR(IF(Y606=AB606,IF(M606="1.3G",(O606/1000)*AB606,""),""),0)</f>
        <v/>
      </c>
      <c r="AM606" s="645">
        <f t="shared" ref="AM606" si="1814">IFERROR(IF(Y606=AB606,IF(M606="1.4G",(O606/1000)*AB606,""),""),0)</f>
        <v>0</v>
      </c>
      <c r="AN606" s="651">
        <f t="shared" ref="AN606" si="1815">SUM(AK606:AM606)</f>
        <v>0</v>
      </c>
      <c r="AO606" s="623"/>
      <c r="AP606" s="625" t="str">
        <f t="shared" si="1794"/>
        <v/>
      </c>
      <c r="AQ606" s="625" t="str">
        <f>IF(AC606=$V$3,IF(VLOOKUP(C606,[1]List1!$A:$E,5,FALSE)=0,1,VLOOKUP(C606,[1]List1!$A:$E,5,FALSE)),"")</f>
        <v/>
      </c>
      <c r="AR606" s="629" t="str">
        <f t="shared" si="1795"/>
        <v/>
      </c>
      <c r="AS606" s="630" t="str">
        <f t="shared" si="1796"/>
        <v/>
      </c>
      <c r="AT606" s="625" t="str">
        <f t="shared" si="1797"/>
        <v/>
      </c>
      <c r="AU606" s="625" t="e">
        <f t="shared" si="1798"/>
        <v>#N/A</v>
      </c>
      <c r="AV606" s="625" t="e">
        <f t="shared" si="1799"/>
        <v>#N/A</v>
      </c>
      <c r="AW606" s="631"/>
      <c r="AX606" s="631">
        <f>IF(AND('General price list'!$J606="F4",'General price list'!$AB606+0&gt;0),1,0)</f>
        <v>0</v>
      </c>
      <c r="AY606" s="631">
        <f t="shared" si="1800"/>
        <v>1</v>
      </c>
      <c r="AZ606" s="631">
        <f t="shared" si="1801"/>
        <v>0</v>
      </c>
    </row>
    <row r="607" spans="1:52" ht="15" customHeight="1">
      <c r="A607" s="751" t="str">
        <f>Kat.!C607</f>
        <v xml:space="preserve">           Baterie 19 ran, 30 mm moždíř – 1.3G</v>
      </c>
      <c r="B607" s="751"/>
      <c r="C607" s="751"/>
      <c r="D607" s="751"/>
      <c r="E607" s="751"/>
      <c r="F607" s="751"/>
      <c r="G607" s="751"/>
      <c r="H607" s="751"/>
      <c r="I607" s="752"/>
      <c r="J607" s="752"/>
      <c r="K607" s="752" t="s">
        <v>20</v>
      </c>
      <c r="L607" s="753" t="s">
        <v>2818</v>
      </c>
      <c r="M607" s="752"/>
      <c r="N607" s="752"/>
      <c r="O607" s="752"/>
      <c r="P607" s="752"/>
      <c r="Q607" s="752"/>
      <c r="R607" s="752"/>
      <c r="S607" s="752"/>
      <c r="T607" s="752"/>
      <c r="U607" s="752"/>
      <c r="V607" s="752"/>
      <c r="W607" s="752"/>
      <c r="X607" s="752"/>
      <c r="Y607" s="752"/>
      <c r="Z607" s="752" t="s">
        <v>20</v>
      </c>
      <c r="AA607" s="752"/>
      <c r="AB607" s="752"/>
      <c r="AC607" s="754"/>
      <c r="AD607" s="752"/>
      <c r="AE607" s="752"/>
      <c r="AF607" s="752"/>
      <c r="AG607" s="752"/>
      <c r="AH607" s="752"/>
      <c r="AI607" s="752"/>
      <c r="AJ607" s="752"/>
      <c r="AK607" s="752"/>
      <c r="AL607" s="752"/>
      <c r="AM607" s="752"/>
      <c r="AN607" s="752"/>
      <c r="AO607" s="623"/>
      <c r="AP607" s="632" t="str">
        <f t="shared" si="1794"/>
        <v/>
      </c>
      <c r="AQ607" s="633" t="str">
        <f>IF(AC607=$V$3,IF(VLOOKUP(C607,[1]List1!$A:$E,5,FALSE)=0,1,VLOOKUP(C607,[1]List1!$A:$E,5,FALSE)),"")</f>
        <v/>
      </c>
      <c r="AR607" s="625" t="str">
        <f t="shared" si="1795"/>
        <v/>
      </c>
      <c r="AS607" s="634" t="str">
        <f t="shared" si="1796"/>
        <v/>
      </c>
      <c r="AT607" s="625" t="str">
        <f t="shared" si="1797"/>
        <v/>
      </c>
      <c r="AU607" s="638" t="e">
        <f t="shared" si="1798"/>
        <v>#N/A</v>
      </c>
      <c r="AV607" s="625" t="e">
        <f t="shared" si="1799"/>
        <v>#N/A</v>
      </c>
      <c r="AX607" s="625">
        <f>IF(AND('General price list'!$J607="F4",'General price list'!$AB607+0&gt;0),1,0)</f>
        <v>0</v>
      </c>
      <c r="AY607" s="625">
        <f t="shared" si="1800"/>
        <v>0</v>
      </c>
      <c r="AZ607" s="625">
        <f t="shared" si="1801"/>
        <v>0</v>
      </c>
    </row>
    <row r="608" spans="1:52" ht="15.75" customHeight="1">
      <c r="A608" s="639" t="str">
        <f>Kat.!C608</f>
        <v/>
      </c>
      <c r="B608" s="640">
        <f>IF(AND('General price list'!$J608="F4",$AI$1=FALSE),0,IF(AC608="SKLADEM",1,IF(AC608=$V$3,1,0)))</f>
        <v>1</v>
      </c>
      <c r="C608" s="567" t="s">
        <v>1258</v>
      </c>
      <c r="D608" s="642" t="s">
        <v>12553</v>
      </c>
      <c r="E608" s="643" t="s">
        <v>12678</v>
      </c>
      <c r="F608" s="771">
        <f>IFERROR(VLOOKUP(C608,[2]List1!$A:$D,3,FALSE),"NEUVEDENO!")</f>
        <v>359</v>
      </c>
      <c r="G608" s="768">
        <f t="shared" ref="G608:G612" si="1816">IF($W$17=$AF$8,ROUND((F608)/$F$17,2),(F608)*$B$19)</f>
        <v>359</v>
      </c>
      <c r="H608" s="765">
        <f t="shared" ref="H608:H612" si="1817">IF($W$17=$AF$8,G608*$B$19,G608/$F$17)</f>
        <v>15.249795041055506</v>
      </c>
      <c r="I608" s="644">
        <f>IFERROR(VLOOKUP(C608,[2]List1!$A:$D,4,FALSE),"NEUVEDENO!")</f>
        <v>8</v>
      </c>
      <c r="J608" s="733" t="s">
        <v>39</v>
      </c>
      <c r="K608" s="645" t="s">
        <v>13033</v>
      </c>
      <c r="L608" s="645" t="s">
        <v>10983</v>
      </c>
      <c r="M608" s="645" t="s">
        <v>114</v>
      </c>
      <c r="N608" s="645">
        <f>IFERROR(VLOOKUP(C608,[3]List1!$A:$D,4,FALSE),"N/A!")</f>
        <v>5.4169499999999995E-2</v>
      </c>
      <c r="O608" s="645">
        <f>IFERROR(VLOOKUP(C608,[3]List1!$A:$D,3,FALSE),"N/A!")</f>
        <v>2584</v>
      </c>
      <c r="P608" s="645">
        <f>IFERROR(VLOOKUP(C608,[3]List1!$A:$D,2,FALSE),"N/A!")</f>
        <v>17600</v>
      </c>
      <c r="Q608" s="645" t="s">
        <v>12098</v>
      </c>
      <c r="R608" s="645"/>
      <c r="S608" s="645" t="str">
        <f>IF($W$17=$AF$1,"červená fólie",IFERROR(VLOOKUP("červená fólie",Jazyky_ceník!$A:$Q,MATCH($W$17,Jazyky_ceník!$A$1:$Q$1,0),FALSE),"!!!"))</f>
        <v>červená fólie</v>
      </c>
      <c r="T608" s="645">
        <v>28</v>
      </c>
      <c r="U608" s="645">
        <v>40</v>
      </c>
      <c r="V608" s="645">
        <v>29</v>
      </c>
      <c r="W608" s="645" t="str">
        <f>IFERROR(IF(AND($AB608&gt;=0.1*$AA608,MOD($AB608,$AA608)&gt;=($AA608-(0.1*$AA608))),IF($W$17=$AF$1,"Zvažte možnost doobjednání ještě "&amp;Tabulka1[[#This Row],[VKPAL]]-MOD(AB608,AA608)&amp;" VK do plné palety.",VLOOKUP("Zvažte možnost doobjednání ještě ",Jazyky_ceník!A:Q,MATCH($W$17,Jazyky_ceník!$A$1:$Q$1,0),FALSE)&amp;Tabulka1[[#This Row],[VKPAL]]-MOD(AB608,AA608)&amp;VLOOKUP(" VK do plné palety.",Jazyky_ceník!A:Q,MATCH($W$17,Jazyky_ceník!$A$1:$Q$1,0),FALSE)),IFERROR(IF(AND(NOT(MOD($AB608,$AA608)=0),$AB608&gt;=0.9*$AA608,MOD($AB608,$AA608)&lt;=0.1*$AA608),IF($W$17=$AF$1,"Zvažte možnost optimalizace objednaného množství podle počtu VK na paletě ==&gt;",VLOOKUP("Zvažte možnost optimalizace objednaného množství podle počtu VK na paletě ==&gt;",Jazyky_ceník!A:Q,MATCH($W$17,Jazyky_ceník!$A$1:$Q$1,0),FALSE)),VLOOKUP('General price list'!$C608,Popisy!A:M,MATCH($W$17,Popisy!$A$7:$M$7,0),FALSE)),"---------------")),IFERROR(VLOOKUP('General price list'!$C608,Popisy!A:M,MATCH($W$17,Popisy!$A$7:$M$7,0),FALSE),"---------------"))</f>
        <v>4 různobarevné efekty</v>
      </c>
      <c r="X608" s="645" t="str">
        <f t="shared" ref="X608:X612" si="1818">IF(AB608&lt;0.0001,"",AB608)</f>
        <v/>
      </c>
      <c r="Y608" s="645" t="str">
        <f t="shared" ref="Y608:Y612" si="1819">IF($AL$3=2,IF(OR(AB608&lt;&gt;"",AB608&lt;&gt;0),AU608,""),IF(C608="","",IF(AB608&lt;0.0001,"",IF(B608=0,"",IF(AQ608&lt;AB608,"",AB608)))))</f>
        <v/>
      </c>
      <c r="Z608" s="645" t="str">
        <f>HYPERLINK("https://www.klasekpyrotechnics.cz/c193bp")</f>
        <v>https://www.klasekpyrotechnics.cz/c193bp</v>
      </c>
      <c r="AA608" s="645">
        <f>IFERROR(IF(VLOOKUP(C608,[4]List1!$A:$D,4,FALSE)=0,"",VLOOKUP(C608,[4]List1!$A:$D,4,FALSE)),"")</f>
        <v>24</v>
      </c>
      <c r="AB608" s="646"/>
      <c r="AC608" s="647" t="str">
        <f>IFERROR(IF(VLOOKUP(C608,[1]List1!$A:$D,2,FALSE)="VYPRODÁNO",$V$9,IF(VLOOKUP(C608,[1]List1!$A:$D,2,FALSE)="DOCHÁZÍ",$V$3,VLOOKUP(C608,[1]List1!$A:$D,2,FALSE))),"OFFLINE!")</f>
        <v>SKLADEM</v>
      </c>
      <c r="AD608" s="647" t="str">
        <f ca="1">IF(AP608="NE",$V$10,IF(AC608=$V$3,IF(AQ608&lt;1,$V$8,$V$2&amp;" "&amp;AQ608&amp;" "&amp;$V$1),IF(AC608="SKLADEM",$V$6,IFERROR(IF(OR(AC608-TODAY()&gt;45,VLOOKUP(C608,[1]List1!$A:$E,4,FALSE)=0),AC608,DAY(AC608)&amp;"."&amp;MONTH(AC608)&amp;"."&amp;YEAR(AC608)&amp;" "&amp;$V$4&amp;VLOOKUP(C608,[1]List1!$A:$E,4,FALSE)&amp;" "&amp;$V$1),AC608))))</f>
        <v>SKLADEM</v>
      </c>
      <c r="AE608" s="645" t="str">
        <f t="shared" ref="AE608:AE612" ca="1" si="1820">IFERROR(IF(AV608&lt;&gt;"",AV608,AD608),AD608)</f>
        <v>SKLADEM</v>
      </c>
      <c r="AF608" s="648">
        <f t="shared" ref="AF608:AF612" si="1821">IFERROR(IF(AB608=Y608,G608*I608*Y608,0),0)</f>
        <v>0</v>
      </c>
      <c r="AG608" s="649">
        <f t="shared" ref="AG608:AG612" si="1822">IF($W$17=$AF$8,AH608*1.23,AF608*1.21)</f>
        <v>0</v>
      </c>
      <c r="AH608" s="650">
        <f t="shared" ref="AH608:AH612" si="1823">IFERROR(IF(Y608=AB608,H608*I608*Y608,0),0)</f>
        <v>0</v>
      </c>
      <c r="AI608" s="645">
        <f t="shared" ref="AI608:AI612" si="1824">IFERROR(IF(Y608=AB608,(P608*Y608)/1000,1),0)</f>
        <v>0</v>
      </c>
      <c r="AJ608" s="645">
        <f t="shared" ref="AJ608:AJ612" si="1825">IFERROR(IF(Y608=AB608,N608*Y608,0.1),0)</f>
        <v>0</v>
      </c>
      <c r="AK608" s="645" t="str">
        <f t="shared" ref="AK608:AK612" si="1826">IFERROR(IF(Y608=AB608,IF(M608="1.1G",(O608/1000)*Y608,""),""),0)</f>
        <v/>
      </c>
      <c r="AL608" s="645">
        <f t="shared" ref="AL608:AL612" si="1827">IFERROR(IF(Y608=AB608,IF(M608="1.3G",(O608/1000)*AB608,""),""),0)</f>
        <v>0</v>
      </c>
      <c r="AM608" s="645" t="str">
        <f t="shared" ref="AM608:AM612" si="1828">IFERROR(IF(Y608=AB608,IF(M608="1.4G",(O608/1000)*AB608,""),""),0)</f>
        <v/>
      </c>
      <c r="AN608" s="651">
        <f t="shared" ref="AN608:AN612" si="1829">SUM(AK608:AM608)</f>
        <v>0</v>
      </c>
      <c r="AO608" s="623"/>
      <c r="AP608" s="625" t="str">
        <f t="shared" si="1794"/>
        <v/>
      </c>
      <c r="AQ608" s="625" t="str">
        <f>IF(AC608=$V$3,IF(VLOOKUP(C608,[1]List1!$A:$E,5,FALSE)=0,1,VLOOKUP(C608,[1]List1!$A:$E,5,FALSE)),"")</f>
        <v/>
      </c>
      <c r="AR608" s="629" t="str">
        <f t="shared" si="1795"/>
        <v/>
      </c>
      <c r="AS608" s="630" t="str">
        <f t="shared" si="1796"/>
        <v/>
      </c>
      <c r="AT608" s="625" t="str">
        <f t="shared" si="1797"/>
        <v/>
      </c>
      <c r="AU608" s="625" t="e">
        <f t="shared" si="1798"/>
        <v>#N/A</v>
      </c>
      <c r="AV608" s="625" t="e">
        <f t="shared" si="1799"/>
        <v>#N/A</v>
      </c>
      <c r="AW608" s="631"/>
      <c r="AX608" s="631">
        <f>IF(AND('General price list'!$J608="F4",'General price list'!$AB608+0&gt;0),1,0)</f>
        <v>0</v>
      </c>
      <c r="AY608" s="631">
        <f t="shared" si="1800"/>
        <v>1</v>
      </c>
      <c r="AZ608" s="631">
        <f t="shared" si="1801"/>
        <v>0</v>
      </c>
    </row>
    <row r="609" spans="1:52" ht="15" customHeight="1">
      <c r="A609" s="621" t="str">
        <f>Kat.!C609</f>
        <v/>
      </c>
      <c r="B609" s="566">
        <f>IF(AND('General price list'!$J609="F4",$AI$1=FALSE),0,IF(AC609="SKLADEM",1,IF(AC609=$V$3,1,0)))</f>
        <v>1</v>
      </c>
      <c r="C609" s="567" t="s">
        <v>1259</v>
      </c>
      <c r="D609" s="568" t="s">
        <v>1260</v>
      </c>
      <c r="E609" s="763" t="s">
        <v>12678</v>
      </c>
      <c r="F609" s="791">
        <f>IFERROR(VLOOKUP(C609,[2]List1!$A:$D,3,FALSE),"NEUVEDENO!")</f>
        <v>369</v>
      </c>
      <c r="G609" s="769">
        <f t="shared" si="1816"/>
        <v>369</v>
      </c>
      <c r="H609" s="766">
        <f t="shared" si="1817"/>
        <v>15.674580418243682</v>
      </c>
      <c r="I609" s="764">
        <f>IFERROR(VLOOKUP(C609,[2]List1!$A:$D,4,FALSE),"NEUVEDENO!")</f>
        <v>8</v>
      </c>
      <c r="J609" s="732" t="s">
        <v>39</v>
      </c>
      <c r="K609" s="569" t="s">
        <v>11100</v>
      </c>
      <c r="L609" s="569" t="s">
        <v>10988</v>
      </c>
      <c r="M609" s="569" t="s">
        <v>114</v>
      </c>
      <c r="N609" s="569">
        <f>IFERROR(VLOOKUP(C609,[3]List1!$A:$D,4,FALSE),"N/A!")</f>
        <v>5.4169499999999995E-2</v>
      </c>
      <c r="O609" s="569">
        <f>IFERROR(VLOOKUP(C609,[3]List1!$A:$D,3,FALSE),"N/A!")</f>
        <v>2888</v>
      </c>
      <c r="P609" s="569">
        <f>IFERROR(VLOOKUP(C609,[3]List1!$A:$D,2,FALSE),"N/A!")</f>
        <v>17600</v>
      </c>
      <c r="Q609" s="569" t="s">
        <v>11784</v>
      </c>
      <c r="R609" s="569"/>
      <c r="S609" s="569" t="str">
        <f>IF($W$17=$AF$1,"design",IFERROR(VLOOKUP("design",Jazyky_ceník!$A:$Q,MATCH($W$17,Jazyky_ceník!$A$1:$Q$1,0),FALSE),"!!!"))</f>
        <v>design</v>
      </c>
      <c r="T609" s="569">
        <v>35</v>
      </c>
      <c r="U609" s="569">
        <v>40</v>
      </c>
      <c r="V609" s="569">
        <v>30</v>
      </c>
      <c r="W609" s="569" t="str">
        <f>IFERROR(IF(AND($AB609&gt;=0.1*$AA609,MOD($AB609,$AA609)&gt;=($AA609-(0.1*$AA609))),IF($W$17=$AF$1,"Zvažte možnost doobjednání ještě "&amp;Tabulka1[[#This Row],[VKPAL]]-MOD(AB609,AA609)&amp;" VK do plné palety.",VLOOKUP("Zvažte možnost doobjednání ještě ",Jazyky_ceník!A:Q,MATCH($W$17,Jazyky_ceník!$A$1:$Q$1,0),FALSE)&amp;Tabulka1[[#This Row],[VKPAL]]-MOD(AB609,AA609)&amp;VLOOKUP(" VK do plné palety.",Jazyky_ceník!A:Q,MATCH($W$17,Jazyky_ceník!$A$1:$Q$1,0),FALSE)),IFERROR(IF(AND(NOT(MOD($AB609,$AA609)=0),$AB609&gt;=0.9*$AA609,MOD($AB609,$AA609)&lt;=0.1*$AA609),IF($W$17=$AF$1,"Zvažte možnost optimalizace objednaného množství podle počtu VK na paletě ==&gt;",VLOOKUP("Zvažte možnost optimalizace objednaného množství podle počtu VK na paletě ==&gt;",Jazyky_ceník!A:Q,MATCH($W$17,Jazyky_ceník!$A$1:$Q$1,0),FALSE)),VLOOKUP('General price list'!$C609,Popisy!A:M,MATCH($W$17,Popisy!$A$7:$M$7,0),FALSE)),"---------------")),IFERROR(VLOOKUP('General price list'!$C609,Popisy!A:M,MATCH($W$17,Popisy!$A$7:$M$7,0),FALSE),"---------------"))</f>
        <v>4 různobarevné efekty</v>
      </c>
      <c r="X609" s="569" t="str">
        <f t="shared" si="1818"/>
        <v/>
      </c>
      <c r="Y609" s="569" t="str">
        <f t="shared" si="1819"/>
        <v/>
      </c>
      <c r="Z609" s="569" t="str">
        <f>HYPERLINK("https://www.klasekpyrotechnics.cz/c193c")</f>
        <v>https://www.klasekpyrotechnics.cz/c193c</v>
      </c>
      <c r="AA609" s="569">
        <f>IFERROR(IF(VLOOKUP(C609,[4]List1!$A:$D,4,FALSE)=0,"",VLOOKUP(C609,[4]List1!$A:$D,4,FALSE)),"")</f>
        <v>24</v>
      </c>
      <c r="AB609" s="565"/>
      <c r="AC609" s="570" t="str">
        <f>IFERROR(IF(VLOOKUP(C609,[1]List1!$A:$D,2,FALSE)="VYPRODÁNO",$V$9,IF(VLOOKUP(C609,[1]List1!$A:$D,2,FALSE)="DOCHÁZÍ",$V$3,VLOOKUP(C609,[1]List1!$A:$D,2,FALSE))),"OFFLINE!")</f>
        <v>SKLADEM</v>
      </c>
      <c r="AD609" s="570" t="str">
        <f ca="1">IF(AP609="NE",$V$10,IF(AC609=$V$3,IF(AQ609&lt;1,$V$8,$V$2&amp;" "&amp;AQ609&amp;" "&amp;$V$1),IF(AC609="SKLADEM",$V$6,IFERROR(IF(OR(AC609-TODAY()&gt;45,VLOOKUP(C609,[1]List1!$A:$E,4,FALSE)=0),AC609,DAY(AC609)&amp;"."&amp;MONTH(AC609)&amp;"."&amp;YEAR(AC609)&amp;" "&amp;$V$4&amp;VLOOKUP(C609,[1]List1!$A:$E,4,FALSE)&amp;" "&amp;$V$1),AC609))))</f>
        <v>SKLADEM</v>
      </c>
      <c r="AE609" s="581" t="str">
        <f t="shared" ca="1" si="1820"/>
        <v>SKLADEM</v>
      </c>
      <c r="AF609" s="584">
        <f t="shared" si="1821"/>
        <v>0</v>
      </c>
      <c r="AG609" s="585">
        <f t="shared" si="1822"/>
        <v>0</v>
      </c>
      <c r="AH609" s="583">
        <f t="shared" si="1823"/>
        <v>0</v>
      </c>
      <c r="AI609" s="582">
        <f t="shared" si="1824"/>
        <v>0</v>
      </c>
      <c r="AJ609" s="569">
        <f t="shared" si="1825"/>
        <v>0</v>
      </c>
      <c r="AK609" s="569" t="str">
        <f t="shared" si="1826"/>
        <v/>
      </c>
      <c r="AL609" s="569">
        <f t="shared" si="1827"/>
        <v>0</v>
      </c>
      <c r="AM609" s="569" t="str">
        <f t="shared" si="1828"/>
        <v/>
      </c>
      <c r="AN609" s="581">
        <f t="shared" si="1829"/>
        <v>0</v>
      </c>
      <c r="AO609" s="623"/>
      <c r="AP609" s="632" t="str">
        <f t="shared" si="1794"/>
        <v/>
      </c>
      <c r="AQ609" s="633" t="str">
        <f>IF(AC609=$V$3,IF(VLOOKUP(C609,[1]List1!$A:$E,5,FALSE)=0,1,VLOOKUP(C609,[1]List1!$A:$E,5,FALSE)),"")</f>
        <v/>
      </c>
      <c r="AR609" s="625" t="str">
        <f t="shared" si="1795"/>
        <v/>
      </c>
      <c r="AS609" s="634" t="str">
        <f t="shared" si="1796"/>
        <v/>
      </c>
      <c r="AT609" s="625" t="str">
        <f t="shared" si="1797"/>
        <v/>
      </c>
      <c r="AU609" s="638" t="e">
        <f t="shared" si="1798"/>
        <v>#N/A</v>
      </c>
      <c r="AV609" s="625" t="e">
        <f t="shared" si="1799"/>
        <v>#N/A</v>
      </c>
      <c r="AX609" s="625">
        <f>IF(AND('General price list'!$J609="F4",'General price list'!$AB609+0&gt;0),1,0)</f>
        <v>0</v>
      </c>
      <c r="AY609" s="625">
        <f t="shared" si="1800"/>
        <v>1</v>
      </c>
      <c r="AZ609" s="625">
        <f t="shared" si="1801"/>
        <v>0</v>
      </c>
    </row>
    <row r="610" spans="1:52" ht="15.75" customHeight="1">
      <c r="A610" s="639" t="str">
        <f>Kat.!C610</f>
        <v/>
      </c>
      <c r="B610" s="640">
        <f>IF(AND('General price list'!$J610="F4",$AI$1=FALSE),0,IF(AC610="SKLADEM",1,IF(AC610=$V$3,1,0)))</f>
        <v>1</v>
      </c>
      <c r="C610" s="641" t="s">
        <v>1261</v>
      </c>
      <c r="D610" s="642" t="s">
        <v>1262</v>
      </c>
      <c r="E610" s="643" t="s">
        <v>12678</v>
      </c>
      <c r="F610" s="791">
        <f>IFERROR(VLOOKUP(C610,[2]List1!$A:$D,3,FALSE),"NEUVEDENO!")</f>
        <v>369</v>
      </c>
      <c r="G610" s="768">
        <f t="shared" si="1816"/>
        <v>369</v>
      </c>
      <c r="H610" s="765">
        <f t="shared" si="1817"/>
        <v>15.674580418243682</v>
      </c>
      <c r="I610" s="644">
        <f>IFERROR(VLOOKUP(C610,[2]List1!$A:$D,4,FALSE),"NEUVEDENO!")</f>
        <v>8</v>
      </c>
      <c r="J610" s="733" t="s">
        <v>39</v>
      </c>
      <c r="K610" s="645" t="s">
        <v>11100</v>
      </c>
      <c r="L610" s="645" t="s">
        <v>10988</v>
      </c>
      <c r="M610" s="645" t="s">
        <v>114</v>
      </c>
      <c r="N610" s="645">
        <f>IFERROR(VLOOKUP(C610,[3]List1!$A:$D,4,FALSE),"N/A!")</f>
        <v>5.4169499999999995E-2</v>
      </c>
      <c r="O610" s="645">
        <f>IFERROR(VLOOKUP(C610,[3]List1!$A:$D,3,FALSE),"N/A!")</f>
        <v>2888</v>
      </c>
      <c r="P610" s="645">
        <f>IFERROR(VLOOKUP(C610,[3]List1!$A:$D,2,FALSE),"N/A!")</f>
        <v>17600</v>
      </c>
      <c r="Q610" s="645" t="s">
        <v>11785</v>
      </c>
      <c r="R610" s="645"/>
      <c r="S610" s="645" t="str">
        <f>IF($W$17=$AF$1,"design",IFERROR(VLOOKUP("design",Jazyky_ceník!$A:$Q,MATCH($W$17,Jazyky_ceník!$A$1:$Q$1,0),FALSE),"!!!"))</f>
        <v>design</v>
      </c>
      <c r="T610" s="645">
        <v>35</v>
      </c>
      <c r="U610" s="645">
        <v>40</v>
      </c>
      <c r="V610" s="645">
        <v>30</v>
      </c>
      <c r="W610" s="645" t="str">
        <f>IFERROR(IF(AND($AB610&gt;=0.1*$AA610,MOD($AB610,$AA610)&gt;=($AA610-(0.1*$AA610))),IF($W$17=$AF$1,"Zvažte možnost doobjednání ještě "&amp;Tabulka1[[#This Row],[VKPAL]]-MOD(AB610,AA610)&amp;" VK do plné palety.",VLOOKUP("Zvažte možnost doobjednání ještě ",Jazyky_ceník!A:Q,MATCH($W$17,Jazyky_ceník!$A$1:$Q$1,0),FALSE)&amp;Tabulka1[[#This Row],[VKPAL]]-MOD(AB610,AA610)&amp;VLOOKUP(" VK do plné palety.",Jazyky_ceník!A:Q,MATCH($W$17,Jazyky_ceník!$A$1:$Q$1,0),FALSE)),IFERROR(IF(AND(NOT(MOD($AB610,$AA610)=0),$AB610&gt;=0.9*$AA610,MOD($AB610,$AA610)&lt;=0.1*$AA610),IF($W$17=$AF$1,"Zvažte možnost optimalizace objednaného množství podle počtu VK na paletě ==&gt;",VLOOKUP("Zvažte možnost optimalizace objednaného množství podle počtu VK na paletě ==&gt;",Jazyky_ceník!A:Q,MATCH($W$17,Jazyky_ceník!$A$1:$Q$1,0),FALSE)),VLOOKUP('General price list'!$C610,Popisy!A:M,MATCH($W$17,Popisy!$A$7:$M$7,0),FALSE)),"---------------")),IFERROR(VLOOKUP('General price list'!$C610,Popisy!A:M,MATCH($W$17,Popisy!$A$7:$M$7,0),FALSE),"---------------"))</f>
        <v>4 různobarevné efekty</v>
      </c>
      <c r="X610" s="645" t="str">
        <f t="shared" si="1818"/>
        <v/>
      </c>
      <c r="Y610" s="645" t="str">
        <f t="shared" si="1819"/>
        <v/>
      </c>
      <c r="Z610" s="645" t="str">
        <f>HYPERLINK("https://www.klasekpyrotechnics.cz/c193d")</f>
        <v>https://www.klasekpyrotechnics.cz/c193d</v>
      </c>
      <c r="AA610" s="645">
        <f>IFERROR(IF(VLOOKUP(C610,[4]List1!$A:$D,4,FALSE)=0,"",VLOOKUP(C610,[4]List1!$A:$D,4,FALSE)),"")</f>
        <v>24</v>
      </c>
      <c r="AB610" s="646"/>
      <c r="AC610" s="647" t="str">
        <f>IFERROR(IF(VLOOKUP(C610,[1]List1!$A:$D,2,FALSE)="VYPRODÁNO",$V$9,IF(VLOOKUP(C610,[1]List1!$A:$D,2,FALSE)="DOCHÁZÍ",$V$3,VLOOKUP(C610,[1]List1!$A:$D,2,FALSE))),"OFFLINE!")</f>
        <v>SKLADEM</v>
      </c>
      <c r="AD610" s="647" t="str">
        <f ca="1">IF(AP610="NE",$V$10,IF(AC610=$V$3,IF(AQ610&lt;1,$V$8,$V$2&amp;" "&amp;AQ610&amp;" "&amp;$V$1),IF(AC610="SKLADEM",$V$6,IFERROR(IF(OR(AC610-TODAY()&gt;45,VLOOKUP(C610,[1]List1!$A:$E,4,FALSE)=0),AC610,DAY(AC610)&amp;"."&amp;MONTH(AC610)&amp;"."&amp;YEAR(AC610)&amp;" "&amp;$V$4&amp;VLOOKUP(C610,[1]List1!$A:$E,4,FALSE)&amp;" "&amp;$V$1),AC610))))</f>
        <v>SKLADEM</v>
      </c>
      <c r="AE610" s="645" t="str">
        <f t="shared" ca="1" si="1820"/>
        <v>SKLADEM</v>
      </c>
      <c r="AF610" s="648">
        <f t="shared" si="1821"/>
        <v>0</v>
      </c>
      <c r="AG610" s="649">
        <f t="shared" si="1822"/>
        <v>0</v>
      </c>
      <c r="AH610" s="650">
        <f t="shared" si="1823"/>
        <v>0</v>
      </c>
      <c r="AI610" s="645">
        <f t="shared" si="1824"/>
        <v>0</v>
      </c>
      <c r="AJ610" s="645">
        <f t="shared" si="1825"/>
        <v>0</v>
      </c>
      <c r="AK610" s="645" t="str">
        <f t="shared" si="1826"/>
        <v/>
      </c>
      <c r="AL610" s="645">
        <f t="shared" si="1827"/>
        <v>0</v>
      </c>
      <c r="AM610" s="645" t="str">
        <f t="shared" si="1828"/>
        <v/>
      </c>
      <c r="AN610" s="651">
        <f t="shared" si="1829"/>
        <v>0</v>
      </c>
      <c r="AO610" s="623"/>
      <c r="AP610" s="625" t="str">
        <f t="shared" si="1794"/>
        <v/>
      </c>
      <c r="AQ610" s="625" t="str">
        <f>IF(AC610=$V$3,IF(VLOOKUP(C610,[1]List1!$A:$E,5,FALSE)=0,1,VLOOKUP(C610,[1]List1!$A:$E,5,FALSE)),"")</f>
        <v/>
      </c>
      <c r="AR610" s="629" t="str">
        <f t="shared" si="1795"/>
        <v/>
      </c>
      <c r="AS610" s="630" t="str">
        <f t="shared" si="1796"/>
        <v/>
      </c>
      <c r="AT610" s="625" t="str">
        <f t="shared" si="1797"/>
        <v/>
      </c>
      <c r="AU610" s="625" t="e">
        <f t="shared" si="1798"/>
        <v>#N/A</v>
      </c>
      <c r="AV610" s="625" t="e">
        <f t="shared" si="1799"/>
        <v>#N/A</v>
      </c>
      <c r="AW610" s="631"/>
      <c r="AX610" s="631">
        <f>IF(AND('General price list'!$J610="F4",'General price list'!$AB610+0&gt;0),1,0)</f>
        <v>0</v>
      </c>
      <c r="AY610" s="631">
        <f t="shared" si="1800"/>
        <v>1</v>
      </c>
      <c r="AZ610" s="631">
        <f t="shared" si="1801"/>
        <v>0</v>
      </c>
    </row>
    <row r="611" spans="1:52" ht="15" customHeight="1">
      <c r="A611" s="621" t="str">
        <f>Kat.!C611</f>
        <v/>
      </c>
      <c r="B611" s="566">
        <f>IF(AND('General price list'!$J611="F4",$AI$1=FALSE),0,IF(AC611="SKLADEM",1,IF(AC611=$V$3,1,0)))</f>
        <v>1</v>
      </c>
      <c r="C611" s="567" t="s">
        <v>1263</v>
      </c>
      <c r="D611" s="568" t="s">
        <v>1264</v>
      </c>
      <c r="E611" s="763" t="s">
        <v>12678</v>
      </c>
      <c r="F611" s="791">
        <f>IFERROR(VLOOKUP(C611,[2]List1!$A:$D,3,FALSE),"NEUVEDENO!")</f>
        <v>369</v>
      </c>
      <c r="G611" s="769">
        <f t="shared" si="1816"/>
        <v>369</v>
      </c>
      <c r="H611" s="766">
        <f t="shared" si="1817"/>
        <v>15.674580418243682</v>
      </c>
      <c r="I611" s="764">
        <f>IFERROR(VLOOKUP(C611,[2]List1!$A:$D,4,FALSE),"NEUVEDENO!")</f>
        <v>8</v>
      </c>
      <c r="J611" s="732" t="s">
        <v>39</v>
      </c>
      <c r="K611" s="569" t="s">
        <v>11100</v>
      </c>
      <c r="L611" s="569" t="s">
        <v>10988</v>
      </c>
      <c r="M611" s="569" t="s">
        <v>114</v>
      </c>
      <c r="N611" s="569">
        <f>IFERROR(VLOOKUP(C611,[3]List1!$A:$D,4,FALSE),"N/A!")</f>
        <v>5.4169499999999995E-2</v>
      </c>
      <c r="O611" s="569">
        <f>IFERROR(VLOOKUP(C611,[3]List1!$A:$D,3,FALSE),"N/A!")</f>
        <v>2888</v>
      </c>
      <c r="P611" s="569">
        <f>IFERROR(VLOOKUP(C611,[3]List1!$A:$D,2,FALSE),"N/A!")</f>
        <v>17600</v>
      </c>
      <c r="Q611" s="569" t="s">
        <v>11233</v>
      </c>
      <c r="R611" s="569" t="s">
        <v>20</v>
      </c>
      <c r="S611" s="569" t="str">
        <f>IF($W$17=$AF$1,"červená fólie",IFERROR(VLOOKUP("červená fólie",Jazyky_ceník!$A:$Q,MATCH($W$17,Jazyky_ceník!$A$1:$Q$1,0),FALSE),"!!!"))</f>
        <v>červená fólie</v>
      </c>
      <c r="T611" s="569">
        <v>35</v>
      </c>
      <c r="U611" s="569">
        <v>40</v>
      </c>
      <c r="V611" s="569">
        <v>30</v>
      </c>
      <c r="W611" s="569" t="str">
        <f>IFERROR(IF(AND($AB611&gt;=0.1*$AA611,MOD($AB611,$AA611)&gt;=($AA611-(0.1*$AA611))),IF($W$17=$AF$1,"Zvažte možnost doobjednání ještě "&amp;Tabulka1[[#This Row],[VKPAL]]-MOD(AB611,AA611)&amp;" VK do plné palety.",VLOOKUP("Zvažte možnost doobjednání ještě ",Jazyky_ceník!A:Q,MATCH($W$17,Jazyky_ceník!$A$1:$Q$1,0),FALSE)&amp;Tabulka1[[#This Row],[VKPAL]]-MOD(AB611,AA611)&amp;VLOOKUP(" VK do plné palety.",Jazyky_ceník!A:Q,MATCH($W$17,Jazyky_ceník!$A$1:$Q$1,0),FALSE)),IFERROR(IF(AND(NOT(MOD($AB611,$AA611)=0),$AB611&gt;=0.9*$AA611,MOD($AB611,$AA611)&lt;=0.1*$AA611),IF($W$17=$AF$1,"Zvažte možnost optimalizace objednaného množství podle počtu VK na paletě ==&gt;",VLOOKUP("Zvažte možnost optimalizace objednaného množství podle počtu VK na paletě ==&gt;",Jazyky_ceník!A:Q,MATCH($W$17,Jazyky_ceník!$A$1:$Q$1,0),FALSE)),VLOOKUP('General price list'!$C611,Popisy!A:M,MATCH($W$17,Popisy!$A$7:$M$7,0),FALSE)),"---------------")),IFERROR(VLOOKUP('General price list'!$C611,Popisy!A:M,MATCH($W$17,Popisy!$A$7:$M$7,0),FALSE),"---------------"))</f>
        <v>4 různobarevné efekty měnící se po každé ráně</v>
      </c>
      <c r="X611" s="569" t="str">
        <f t="shared" si="1818"/>
        <v/>
      </c>
      <c r="Y611" s="569" t="str">
        <f t="shared" si="1819"/>
        <v/>
      </c>
      <c r="Z611" s="569" t="str">
        <f>HYPERLINK("https://www.klasekpyrotechnics.cz/c193j")</f>
        <v>https://www.klasekpyrotechnics.cz/c193j</v>
      </c>
      <c r="AA611" s="569">
        <f>IFERROR(IF(VLOOKUP(C611,[4]List1!$A:$D,4,FALSE)=0,"",VLOOKUP(C611,[4]List1!$A:$D,4,FALSE)),"")</f>
        <v>24</v>
      </c>
      <c r="AB611" s="565"/>
      <c r="AC611" s="570" t="str">
        <f>IFERROR(IF(VLOOKUP(C611,[1]List1!$A:$D,2,FALSE)="VYPRODÁNO",$V$9,IF(VLOOKUP(C611,[1]List1!$A:$D,2,FALSE)="DOCHÁZÍ",$V$3,VLOOKUP(C611,[1]List1!$A:$D,2,FALSE))),"OFFLINE!")</f>
        <v>SKLADEM</v>
      </c>
      <c r="AD611" s="570" t="str">
        <f ca="1">IF(AP611="NE",$V$10,IF(AC611=$V$3,IF(AQ611&lt;1,$V$8,$V$2&amp;" "&amp;AQ611&amp;" "&amp;$V$1),IF(AC611="SKLADEM",$V$6,IFERROR(IF(OR(AC611-TODAY()&gt;45,VLOOKUP(C611,[1]List1!$A:$E,4,FALSE)=0),AC611,DAY(AC611)&amp;"."&amp;MONTH(AC611)&amp;"."&amp;YEAR(AC611)&amp;" "&amp;$V$4&amp;VLOOKUP(C611,[1]List1!$A:$E,4,FALSE)&amp;" "&amp;$V$1),AC611))))</f>
        <v>SKLADEM</v>
      </c>
      <c r="AE611" s="581" t="str">
        <f t="shared" ca="1" si="1820"/>
        <v>SKLADEM</v>
      </c>
      <c r="AF611" s="584">
        <f t="shared" si="1821"/>
        <v>0</v>
      </c>
      <c r="AG611" s="585">
        <f t="shared" si="1822"/>
        <v>0</v>
      </c>
      <c r="AH611" s="583">
        <f t="shared" si="1823"/>
        <v>0</v>
      </c>
      <c r="AI611" s="582">
        <f t="shared" si="1824"/>
        <v>0</v>
      </c>
      <c r="AJ611" s="569">
        <f t="shared" si="1825"/>
        <v>0</v>
      </c>
      <c r="AK611" s="569" t="str">
        <f t="shared" si="1826"/>
        <v/>
      </c>
      <c r="AL611" s="569">
        <f t="shared" si="1827"/>
        <v>0</v>
      </c>
      <c r="AM611" s="569" t="str">
        <f t="shared" si="1828"/>
        <v/>
      </c>
      <c r="AN611" s="581">
        <f t="shared" si="1829"/>
        <v>0</v>
      </c>
      <c r="AO611" s="623"/>
      <c r="AP611" s="632" t="str">
        <f t="shared" si="1794"/>
        <v/>
      </c>
      <c r="AQ611" s="633" t="str">
        <f>IF(AC611=$V$3,IF(VLOOKUP(C611,[1]List1!$A:$E,5,FALSE)=0,1,VLOOKUP(C611,[1]List1!$A:$E,5,FALSE)),"")</f>
        <v/>
      </c>
      <c r="AR611" s="625" t="str">
        <f t="shared" si="1795"/>
        <v/>
      </c>
      <c r="AS611" s="634" t="str">
        <f t="shared" si="1796"/>
        <v/>
      </c>
      <c r="AT611" s="625" t="str">
        <f t="shared" si="1797"/>
        <v/>
      </c>
      <c r="AU611" s="638" t="e">
        <f t="shared" si="1798"/>
        <v>#N/A</v>
      </c>
      <c r="AV611" s="625" t="e">
        <f t="shared" si="1799"/>
        <v>#N/A</v>
      </c>
      <c r="AX611" s="625">
        <f>IF(AND('General price list'!$J611="F4",'General price list'!$AB611+0&gt;0),1,0)</f>
        <v>0</v>
      </c>
      <c r="AY611" s="625">
        <f t="shared" si="1800"/>
        <v>1</v>
      </c>
      <c r="AZ611" s="625">
        <f t="shared" si="1801"/>
        <v>0</v>
      </c>
    </row>
    <row r="612" spans="1:52" ht="15.75" customHeight="1">
      <c r="A612" s="639" t="str">
        <f>Kat.!C612</f>
        <v/>
      </c>
      <c r="B612" s="640">
        <f>IF(AND('General price list'!$J612="F4",$AI$1=FALSE),0,IF(AC612="SKLADEM",1,IF(AC612=$V$3,1,0)))</f>
        <v>1</v>
      </c>
      <c r="C612" s="641" t="s">
        <v>1269</v>
      </c>
      <c r="D612" s="642" t="s">
        <v>1270</v>
      </c>
      <c r="E612" s="643" t="s">
        <v>12678</v>
      </c>
      <c r="F612" s="791">
        <f>IFERROR(VLOOKUP(C612,[2]List1!$A:$D,3,FALSE),"NEUVEDENO!")</f>
        <v>369</v>
      </c>
      <c r="G612" s="770">
        <f t="shared" si="1816"/>
        <v>369</v>
      </c>
      <c r="H612" s="767">
        <f t="shared" si="1817"/>
        <v>15.674580418243682</v>
      </c>
      <c r="I612" s="644">
        <f>IFERROR(VLOOKUP(C612,[2]List1!$A:$D,4,FALSE),"NEUVEDENO!")</f>
        <v>8</v>
      </c>
      <c r="J612" s="733" t="s">
        <v>39</v>
      </c>
      <c r="K612" s="645" t="s">
        <v>11100</v>
      </c>
      <c r="L612" s="645" t="s">
        <v>10988</v>
      </c>
      <c r="M612" s="645" t="s">
        <v>114</v>
      </c>
      <c r="N612" s="645">
        <f>IFERROR(VLOOKUP(C612,[3]List1!$A:$D,4,FALSE),"N/A!")</f>
        <v>5.4169499999999995E-2</v>
      </c>
      <c r="O612" s="645">
        <f>IFERROR(VLOOKUP(C612,[3]List1!$A:$D,3,FALSE),"N/A!")</f>
        <v>2888</v>
      </c>
      <c r="P612" s="645">
        <f>IFERROR(VLOOKUP(C612,[3]List1!$A:$D,2,FALSE),"N/A!")</f>
        <v>17600</v>
      </c>
      <c r="Q612" s="645" t="s">
        <v>12098</v>
      </c>
      <c r="R612" s="645"/>
      <c r="S612" s="645" t="str">
        <f>IF($W$17=$AF$1,"červená fólie",IFERROR(VLOOKUP("červená fólie",Jazyky_ceník!$A:$Q,MATCH($W$17,Jazyky_ceník!$A$1:$Q$1,0),FALSE),"!!!"))</f>
        <v>červená fólie</v>
      </c>
      <c r="T612" s="645">
        <v>25</v>
      </c>
      <c r="U612" s="645">
        <v>40</v>
      </c>
      <c r="V612" s="645">
        <v>30</v>
      </c>
      <c r="W612" s="645" t="str">
        <f>IFERROR(IF(AND($AB612&gt;=0.1*$AA612,MOD($AB612,$AA612)&gt;=($AA612-(0.1*$AA612))),IF($W$17=$AF$1,"Zvažte možnost doobjednání ještě "&amp;Tabulka1[[#This Row],[VKPAL]]-MOD(AB612,AA612)&amp;" VK do plné palety.",VLOOKUP("Zvažte možnost doobjednání ještě ",Jazyky_ceník!A:Q,MATCH($W$17,Jazyky_ceník!$A$1:$Q$1,0),FALSE)&amp;Tabulka1[[#This Row],[VKPAL]]-MOD(AB612,AA612)&amp;VLOOKUP(" VK do plné palety.",Jazyky_ceník!A:Q,MATCH($W$17,Jazyky_ceník!$A$1:$Q$1,0),FALSE)),IFERROR(IF(AND(NOT(MOD($AB612,$AA612)=0),$AB612&gt;=0.9*$AA612,MOD($AB612,$AA612)&lt;=0.1*$AA612),IF($W$17=$AF$1,"Zvažte možnost optimalizace objednaného množství podle počtu VK na paletě ==&gt;",VLOOKUP("Zvažte možnost optimalizace objednaného množství podle počtu VK na paletě ==&gt;",Jazyky_ceník!A:Q,MATCH($W$17,Jazyky_ceník!$A$1:$Q$1,0),FALSE)),VLOOKUP('General price list'!$C612,Popisy!A:M,MATCH($W$17,Popisy!$A$7:$M$7,0),FALSE)),"---------------")),IFERROR(VLOOKUP('General price list'!$C612,Popisy!A:M,MATCH($W$17,Popisy!$A$7:$M$7,0),FALSE),"---------------"))</f>
        <v>plnobarevná kytice s práskajícími hvězdami</v>
      </c>
      <c r="X612" s="645" t="str">
        <f t="shared" si="1818"/>
        <v/>
      </c>
      <c r="Y612" s="645" t="str">
        <f t="shared" si="1819"/>
        <v/>
      </c>
      <c r="Z612" s="645" t="str">
        <f>HYPERLINK("https://www.klasekpyrotechnics.cz/c193i")</f>
        <v>https://www.klasekpyrotechnics.cz/c193i</v>
      </c>
      <c r="AA612" s="645">
        <f>IFERROR(IF(VLOOKUP(C612,[4]List1!$A:$D,4,FALSE)=0,"",VLOOKUP(C612,[4]List1!$A:$D,4,FALSE)),"")</f>
        <v>24</v>
      </c>
      <c r="AB612" s="646"/>
      <c r="AC612" s="647" t="str">
        <f>IFERROR(IF(VLOOKUP(C612,[1]List1!$A:$D,2,FALSE)="VYPRODÁNO",$V$9,IF(VLOOKUP(C612,[1]List1!$A:$D,2,FALSE)="DOCHÁZÍ",$V$3,VLOOKUP(C612,[1]List1!$A:$D,2,FALSE))),"OFFLINE!")</f>
        <v>SKLADEM</v>
      </c>
      <c r="AD612" s="647" t="str">
        <f ca="1">IF(AP612="NE",$V$10,IF(AC612=$V$3,IF(AQ612&lt;1,$V$8,$V$2&amp;" "&amp;AQ612&amp;" "&amp;$V$1),IF(AC612="SKLADEM",$V$6,IFERROR(IF(OR(AC612-TODAY()&gt;45,VLOOKUP(C612,[1]List1!$A:$E,4,FALSE)=0),AC612,DAY(AC612)&amp;"."&amp;MONTH(AC612)&amp;"."&amp;YEAR(AC612)&amp;" "&amp;$V$4&amp;VLOOKUP(C612,[1]List1!$A:$E,4,FALSE)&amp;" "&amp;$V$1),AC612))))</f>
        <v>SKLADEM</v>
      </c>
      <c r="AE612" s="645" t="str">
        <f t="shared" ca="1" si="1820"/>
        <v>SKLADEM</v>
      </c>
      <c r="AF612" s="648">
        <f t="shared" si="1821"/>
        <v>0</v>
      </c>
      <c r="AG612" s="649">
        <f t="shared" si="1822"/>
        <v>0</v>
      </c>
      <c r="AH612" s="650">
        <f t="shared" si="1823"/>
        <v>0</v>
      </c>
      <c r="AI612" s="645">
        <f t="shared" si="1824"/>
        <v>0</v>
      </c>
      <c r="AJ612" s="645">
        <f t="shared" si="1825"/>
        <v>0</v>
      </c>
      <c r="AK612" s="645" t="str">
        <f t="shared" si="1826"/>
        <v/>
      </c>
      <c r="AL612" s="645">
        <f t="shared" si="1827"/>
        <v>0</v>
      </c>
      <c r="AM612" s="645" t="str">
        <f t="shared" si="1828"/>
        <v/>
      </c>
      <c r="AN612" s="651">
        <f t="shared" si="1829"/>
        <v>0</v>
      </c>
      <c r="AO612" s="623"/>
      <c r="AP612" s="625" t="str">
        <f t="shared" si="1794"/>
        <v/>
      </c>
      <c r="AQ612" s="625" t="str">
        <f>IF(AC612=$V$3,IF(VLOOKUP(C612,[1]List1!$A:$E,5,FALSE)=0,1,VLOOKUP(C612,[1]List1!$A:$E,5,FALSE)),"")</f>
        <v/>
      </c>
      <c r="AR612" s="629" t="str">
        <f t="shared" si="1795"/>
        <v/>
      </c>
      <c r="AS612" s="630" t="str">
        <f t="shared" si="1796"/>
        <v/>
      </c>
      <c r="AT612" s="625" t="str">
        <f t="shared" si="1797"/>
        <v/>
      </c>
      <c r="AU612" s="625" t="e">
        <f t="shared" si="1798"/>
        <v>#N/A</v>
      </c>
      <c r="AV612" s="625" t="e">
        <f t="shared" si="1799"/>
        <v>#N/A</v>
      </c>
      <c r="AW612" s="631"/>
      <c r="AX612" s="631">
        <f>IF(AND('General price list'!$J612="F4",'General price list'!$AB612+0&gt;0),1,0)</f>
        <v>0</v>
      </c>
      <c r="AY612" s="631">
        <f t="shared" si="1800"/>
        <v>1</v>
      </c>
      <c r="AZ612" s="631">
        <f t="shared" si="1801"/>
        <v>0</v>
      </c>
    </row>
    <row r="613" spans="1:52" ht="15" customHeight="1">
      <c r="A613" s="751" t="str">
        <f>Kat.!C613</f>
        <v xml:space="preserve">           Baterie 25 ran, 30 mm moždíř F3 – 1.3G</v>
      </c>
      <c r="B613" s="751"/>
      <c r="C613" s="751"/>
      <c r="D613" s="751"/>
      <c r="E613" s="751"/>
      <c r="F613" s="751"/>
      <c r="G613" s="751"/>
      <c r="H613" s="751"/>
      <c r="I613" s="752"/>
      <c r="J613" s="752"/>
      <c r="K613" s="752" t="s">
        <v>20</v>
      </c>
      <c r="L613" s="753" t="s">
        <v>2818</v>
      </c>
      <c r="M613" s="752"/>
      <c r="N613" s="752"/>
      <c r="O613" s="752"/>
      <c r="P613" s="752"/>
      <c r="Q613" s="752"/>
      <c r="R613" s="752"/>
      <c r="S613" s="752"/>
      <c r="T613" s="752"/>
      <c r="U613" s="752"/>
      <c r="V613" s="752"/>
      <c r="W613" s="752"/>
      <c r="X613" s="752"/>
      <c r="Y613" s="752"/>
      <c r="Z613" s="752" t="s">
        <v>20</v>
      </c>
      <c r="AA613" s="752"/>
      <c r="AB613" s="752"/>
      <c r="AC613" s="754"/>
      <c r="AD613" s="752"/>
      <c r="AE613" s="752"/>
      <c r="AF613" s="752"/>
      <c r="AG613" s="752"/>
      <c r="AH613" s="752"/>
      <c r="AI613" s="752"/>
      <c r="AJ613" s="752"/>
      <c r="AK613" s="752"/>
      <c r="AL613" s="752"/>
      <c r="AM613" s="752"/>
      <c r="AN613" s="752"/>
      <c r="AO613" s="623"/>
      <c r="AP613" s="632" t="str">
        <f t="shared" si="1794"/>
        <v/>
      </c>
      <c r="AQ613" s="633" t="str">
        <f>IF(AC613=$V$3,IF(VLOOKUP(C613,[1]List1!$A:$E,5,FALSE)=0,1,VLOOKUP(C613,[1]List1!$A:$E,5,FALSE)),"")</f>
        <v/>
      </c>
      <c r="AR613" s="625" t="str">
        <f t="shared" si="1795"/>
        <v/>
      </c>
      <c r="AS613" s="634" t="str">
        <f t="shared" si="1796"/>
        <v/>
      </c>
      <c r="AT613" s="625" t="str">
        <f t="shared" si="1797"/>
        <v/>
      </c>
      <c r="AU613" s="638" t="e">
        <f t="shared" si="1798"/>
        <v>#N/A</v>
      </c>
      <c r="AV613" s="625" t="e">
        <f t="shared" si="1799"/>
        <v>#N/A</v>
      </c>
      <c r="AX613" s="625">
        <f>IF(AND('General price list'!$J613="F4",'General price list'!$AB613+0&gt;0),1,0)</f>
        <v>0</v>
      </c>
      <c r="AY613" s="625">
        <f t="shared" si="1800"/>
        <v>0</v>
      </c>
      <c r="AZ613" s="625">
        <f t="shared" si="1801"/>
        <v>0</v>
      </c>
    </row>
    <row r="614" spans="1:52" ht="15.75" customHeight="1">
      <c r="A614" s="639" t="str">
        <f>Kat.!C614</f>
        <v/>
      </c>
      <c r="B614" s="640">
        <f>IF(AND('General price list'!$J614="F4",$AI$1=FALSE),0,IF(AC614="SKLADEM",1,IF(AC614=$V$3,1,0)))</f>
        <v>0</v>
      </c>
      <c r="C614" s="641" t="s">
        <v>1276</v>
      </c>
      <c r="D614" s="642" t="s">
        <v>11718</v>
      </c>
      <c r="E614" s="643" t="s">
        <v>12746</v>
      </c>
      <c r="F614" s="771">
        <f>IFERROR(VLOOKUP(C614,[2]List1!$A:$D,3,FALSE),"NEUVEDENO!")</f>
        <v>582</v>
      </c>
      <c r="G614" s="768">
        <f t="shared" ref="G614:G618" si="1830">IF($W$17=$AF$8,ROUND((F614)/$F$17,2),(F614)*$B$19)</f>
        <v>582</v>
      </c>
      <c r="H614" s="765">
        <f t="shared" ref="H614:H618" si="1831">IF($W$17=$AF$8,G614*$B$19,G614/$F$17)</f>
        <v>24.722508952351824</v>
      </c>
      <c r="I614" s="644">
        <f>IFERROR(VLOOKUP(C614,[2]List1!$A:$D,4,FALSE),"NEUVEDENO!")</f>
        <v>6</v>
      </c>
      <c r="J614" s="733" t="s">
        <v>113</v>
      </c>
      <c r="K614" s="645" t="s">
        <v>20</v>
      </c>
      <c r="L614" s="645" t="s">
        <v>10993</v>
      </c>
      <c r="M614" s="645" t="s">
        <v>114</v>
      </c>
      <c r="N614" s="645">
        <f>IFERROR(VLOOKUP(C614,[3]List1!$A:$D,4,FALSE),"N/A!")</f>
        <v>5.3351999999999997E-2</v>
      </c>
      <c r="O614" s="645">
        <f>IFERROR(VLOOKUP(C614,[3]List1!$A:$D,3,FALSE),"N/A!")</f>
        <v>4350</v>
      </c>
      <c r="P614" s="645">
        <f>IFERROR(VLOOKUP(C614,[3]List1!$A:$D,2,FALSE),"N/A!")</f>
        <v>21500</v>
      </c>
      <c r="Q614" s="645" t="s">
        <v>11313</v>
      </c>
      <c r="R614" s="645" t="s">
        <v>20</v>
      </c>
      <c r="S614" s="645" t="str">
        <f>IF($W$17=$AF$1,"design",IFERROR(VLOOKUP("design",Jazyky_ceník!$A:$Q,MATCH($W$17,Jazyky_ceník!$A$1:$Q$1,0),FALSE),"!!!"))</f>
        <v>design</v>
      </c>
      <c r="T614" s="645">
        <v>30</v>
      </c>
      <c r="U614" s="645">
        <v>43</v>
      </c>
      <c r="V614" s="645">
        <v>33</v>
      </c>
      <c r="W614" s="645" t="str">
        <f>IFERROR(IF(AND($AB614&gt;=0.1*$AA614,MOD($AB614,$AA614)&gt;=($AA614-(0.1*$AA614))),IF($W$17=$AF$1,"Zvažte možnost doobjednání ještě "&amp;Tabulka1[[#This Row],[VKPAL]]-MOD(AB614,AA614)&amp;" VK do plné palety.",VLOOKUP("Zvažte možnost doobjednání ještě ",Jazyky_ceník!A:Q,MATCH($W$17,Jazyky_ceník!$A$1:$Q$1,0),FALSE)&amp;Tabulka1[[#This Row],[VKPAL]]-MOD(AB614,AA614)&amp;VLOOKUP(" VK do plné palety.",Jazyky_ceník!A:Q,MATCH($W$17,Jazyky_ceník!$A$1:$Q$1,0),FALSE)),IFERROR(IF(AND(NOT(MOD($AB614,$AA614)=0),$AB614&gt;=0.9*$AA614,MOD($AB614,$AA614)&lt;=0.1*$AA614),IF($W$17=$AF$1,"Zvažte možnost optimalizace objednaného množství podle počtu VK na paletě ==&gt;",VLOOKUP("Zvažte možnost optimalizace objednaného množství podle počtu VK na paletě ==&gt;",Jazyky_ceník!A:Q,MATCH($W$17,Jazyky_ceník!$A$1:$Q$1,0),FALSE)),VLOOKUP('General price list'!$C614,Popisy!A:M,MATCH($W$17,Popisy!$A$7:$M$7,0),FALSE)),"---------------")),IFERROR(VLOOKUP('General price list'!$C614,Popisy!A:M,MATCH($W$17,Popisy!$A$7:$M$7,0),FALSE),"---------------"))</f>
        <v>5 různobarevných efektu</v>
      </c>
      <c r="X614" s="645" t="str">
        <f t="shared" ref="X614:X618" si="1832">IF(AB614&lt;0.0001,"",AB614)</f>
        <v/>
      </c>
      <c r="Y614" s="645" t="str">
        <f t="shared" ref="Y614:Y618" si="1833">IF($AL$3=2,IF(OR(AB614&lt;&gt;"",AB614&lt;&gt;0),AU614,""),IF(C614="","",IF(AB614&lt;0.0001,"",IF(B614=0,"",IF(AQ614&lt;AB614,"",AB614)))))</f>
        <v/>
      </c>
      <c r="Z614" s="645" t="str">
        <f>HYPERLINK("https://www.klasekpyrotechnics.cz/c253sig")</f>
        <v>https://www.klasekpyrotechnics.cz/c253sig</v>
      </c>
      <c r="AA614" s="645">
        <f>IFERROR(IF(VLOOKUP(C614,[4]List1!$A:$D,4,FALSE)=0,"",VLOOKUP(C614,[4]List1!$A:$D,4,FALSE)),"")</f>
        <v>28</v>
      </c>
      <c r="AB614" s="646"/>
      <c r="AC614" s="647" t="str">
        <f>IFERROR(IF(VLOOKUP(C614,[1]List1!$A:$D,2,FALSE)="VYPRODÁNO",$V$9,IF(VLOOKUP(C614,[1]List1!$A:$D,2,FALSE)="DOCHÁZÍ",$V$3,VLOOKUP(C614,[1]List1!$A:$D,2,FALSE))),"OFFLINE!")</f>
        <v>31.08.2026</v>
      </c>
      <c r="AD614" s="647" t="str">
        <f ca="1">IF(AP614="NE",$V$10,IF(AC614=$V$3,IF(AQ614&lt;1,$V$8,$V$2&amp;" "&amp;AQ614&amp;" "&amp;$V$1),IF(AC614="SKLADEM",$V$6,IFERROR(IF(OR(AC614-TODAY()&gt;45,VLOOKUP(C614,[1]List1!$A:$E,4,FALSE)=0),AC614,DAY(AC614)&amp;"."&amp;MONTH(AC614)&amp;"."&amp;YEAR(AC614)&amp;" "&amp;$V$4&amp;VLOOKUP(C614,[1]List1!$A:$E,4,FALSE)&amp;" "&amp;$V$1),AC614))))</f>
        <v>31.08.2026</v>
      </c>
      <c r="AE614" s="645" t="str">
        <f t="shared" ref="AE614:AE618" ca="1" si="1834">IFERROR(IF(AV614&lt;&gt;"",AV614,AD614),AD614)</f>
        <v>31.08.2026</v>
      </c>
      <c r="AF614" s="648">
        <f t="shared" ref="AF614:AF618" si="1835">IFERROR(IF(AB614=Y614,G614*I614*Y614,0),0)</f>
        <v>0</v>
      </c>
      <c r="AG614" s="649">
        <f t="shared" ref="AG614:AG618" si="1836">IF($W$17=$AF$8,AH614*1.23,AF614*1.21)</f>
        <v>0</v>
      </c>
      <c r="AH614" s="650">
        <f t="shared" ref="AH614:AH618" si="1837">IFERROR(IF(Y614=AB614,H614*I614*Y614,0),0)</f>
        <v>0</v>
      </c>
      <c r="AI614" s="645">
        <f t="shared" ref="AI614:AI618" si="1838">IFERROR(IF(Y614=AB614,(P614*Y614)/1000,1),0)</f>
        <v>0</v>
      </c>
      <c r="AJ614" s="645">
        <f t="shared" ref="AJ614:AJ618" si="1839">IFERROR(IF(Y614=AB614,N614*Y614,0.1),0)</f>
        <v>0</v>
      </c>
      <c r="AK614" s="645" t="str">
        <f t="shared" ref="AK614:AK618" si="1840">IFERROR(IF(Y614=AB614,IF(M614="1.1G",(O614/1000)*Y614,""),""),0)</f>
        <v/>
      </c>
      <c r="AL614" s="645">
        <f t="shared" ref="AL614:AL618" si="1841">IFERROR(IF(Y614=AB614,IF(M614="1.3G",(O614/1000)*AB614,""),""),0)</f>
        <v>0</v>
      </c>
      <c r="AM614" s="645" t="str">
        <f t="shared" ref="AM614:AM618" si="1842">IFERROR(IF(Y614=AB614,IF(M614="1.4G",(O614/1000)*AB614,""),""),0)</f>
        <v/>
      </c>
      <c r="AN614" s="651">
        <f t="shared" ref="AN614:AN618" si="1843">SUM(AK614:AM614)</f>
        <v>0</v>
      </c>
      <c r="AO614" s="623"/>
      <c r="AP614" s="625" t="str">
        <f t="shared" si="1794"/>
        <v/>
      </c>
      <c r="AQ614" s="625" t="str">
        <f>IF(AC614=$V$3,IF(VLOOKUP(C614,[1]List1!$A:$E,5,FALSE)=0,1,VLOOKUP(C614,[1]List1!$A:$E,5,FALSE)),"")</f>
        <v/>
      </c>
      <c r="AR614" s="629" t="str">
        <f t="shared" si="1795"/>
        <v/>
      </c>
      <c r="AS614" s="630" t="str">
        <f t="shared" si="1796"/>
        <v/>
      </c>
      <c r="AT614" s="625" t="str">
        <f t="shared" si="1797"/>
        <v/>
      </c>
      <c r="AU614" s="625" t="e">
        <f t="shared" si="1798"/>
        <v>#N/A</v>
      </c>
      <c r="AV614" s="625" t="e">
        <f t="shared" si="1799"/>
        <v>#N/A</v>
      </c>
      <c r="AW614" s="631"/>
      <c r="AX614" s="631">
        <f>IF(AND('General price list'!$J614="F4",'General price list'!$AB614+0&gt;0),1,0)</f>
        <v>0</v>
      </c>
      <c r="AY614" s="631">
        <f t="shared" si="1800"/>
        <v>1</v>
      </c>
      <c r="AZ614" s="631">
        <f t="shared" si="1801"/>
        <v>0</v>
      </c>
    </row>
    <row r="615" spans="1:52" ht="15" customHeight="1">
      <c r="A615" s="621" t="str">
        <f>Kat.!C615</f>
        <v/>
      </c>
      <c r="B615" s="566">
        <f>IF(AND('General price list'!$J615="F4",$AI$1=FALSE),0,IF(AC615="SKLADEM",1,IF(AC615=$V$3,1,0)))</f>
        <v>1</v>
      </c>
      <c r="C615" s="567" t="s">
        <v>9805</v>
      </c>
      <c r="D615" s="568" t="s">
        <v>11718</v>
      </c>
      <c r="E615" s="763" t="s">
        <v>12746</v>
      </c>
      <c r="F615" s="772">
        <f>IFERROR(VLOOKUP(C615,[2]List1!$A:$D,3,FALSE),"NEUVEDENO!")</f>
        <v>582</v>
      </c>
      <c r="G615" s="769">
        <f t="shared" si="1830"/>
        <v>582</v>
      </c>
      <c r="H615" s="766">
        <f t="shared" si="1831"/>
        <v>24.722508952351824</v>
      </c>
      <c r="I615" s="764">
        <f>IFERROR(VLOOKUP(C615,[2]List1!$A:$D,4,FALSE),"NEUVEDENO!")</f>
        <v>6</v>
      </c>
      <c r="J615" s="732" t="s">
        <v>113</v>
      </c>
      <c r="K615" s="569" t="s">
        <v>20</v>
      </c>
      <c r="L615" s="569" t="s">
        <v>10993</v>
      </c>
      <c r="M615" s="569" t="s">
        <v>114</v>
      </c>
      <c r="N615" s="569">
        <f>IFERROR(VLOOKUP(C615,[3]List1!$A:$D,4,FALSE),"N/A!")</f>
        <v>4.7652E-2</v>
      </c>
      <c r="O615" s="569">
        <f>IFERROR(VLOOKUP(C615,[3]List1!$A:$D,3,FALSE),"N/A!")</f>
        <v>4350</v>
      </c>
      <c r="P615" s="569">
        <f>IFERROR(VLOOKUP(C615,[3]List1!$A:$D,2,FALSE),"N/A!")</f>
        <v>21500</v>
      </c>
      <c r="Q615" s="569" t="s">
        <v>11786</v>
      </c>
      <c r="R615" s="569"/>
      <c r="S615" s="569" t="str">
        <f>IF($W$17=$AF$1,"design",IFERROR(VLOOKUP("design",Jazyky_ceník!$A:$Q,MATCH($W$17,Jazyky_ceník!$A$1:$Q$1,0),FALSE),"!!!"))</f>
        <v>design</v>
      </c>
      <c r="T615" s="569">
        <v>40</v>
      </c>
      <c r="U615" s="569">
        <v>43</v>
      </c>
      <c r="V615" s="569">
        <v>33</v>
      </c>
      <c r="W615" s="569" t="str">
        <f>IFERROR(IF(AND($AB615&gt;=0.1*$AA615,MOD($AB615,$AA615)&gt;=($AA615-(0.1*$AA615))),IF($W$17=$AF$1,"Zvažte možnost doobjednání ještě "&amp;Tabulka1[[#This Row],[VKPAL]]-MOD(AB615,AA615)&amp;" VK do plné palety.",VLOOKUP("Zvažte možnost doobjednání ještě ",Jazyky_ceník!A:Q,MATCH($W$17,Jazyky_ceník!$A$1:$Q$1,0),FALSE)&amp;Tabulka1[[#This Row],[VKPAL]]-MOD(AB615,AA615)&amp;VLOOKUP(" VK do plné palety.",Jazyky_ceník!A:Q,MATCH($W$17,Jazyky_ceník!$A$1:$Q$1,0),FALSE)),IFERROR(IF(AND(NOT(MOD($AB615,$AA615)=0),$AB615&gt;=0.9*$AA615,MOD($AB615,$AA615)&lt;=0.1*$AA615),IF($W$17=$AF$1,"Zvažte možnost optimalizace objednaného množství podle počtu VK na paletě ==&gt;",VLOOKUP("Zvažte možnost optimalizace objednaného množství podle počtu VK na paletě ==&gt;",Jazyky_ceník!A:Q,MATCH($W$17,Jazyky_ceník!$A$1:$Q$1,0),FALSE)),VLOOKUP('General price list'!$C615,Popisy!A:M,MATCH($W$17,Popisy!$A$7:$M$7,0),FALSE)),"---------------")),IFERROR(VLOOKUP('General price list'!$C615,Popisy!A:M,MATCH($W$17,Popisy!$A$7:$M$7,0),FALSE),"---------------"))</f>
        <v>5 různobarevných efektů</v>
      </c>
      <c r="X615" s="569" t="str">
        <f t="shared" si="1832"/>
        <v/>
      </c>
      <c r="Y615" s="569" t="str">
        <f t="shared" si="1833"/>
        <v/>
      </c>
      <c r="Z615" s="569" t="str">
        <f>HYPERLINK("https://www.klasekpyrotechnics.cz/c253sigb")</f>
        <v>https://www.klasekpyrotechnics.cz/c253sigb</v>
      </c>
      <c r="AA615" s="569">
        <f>IFERROR(IF(VLOOKUP(C615,[4]List1!$A:$D,4,FALSE)=0,"",VLOOKUP(C615,[4]List1!$A:$D,4,FALSE)),"")</f>
        <v>32</v>
      </c>
      <c r="AB615" s="565"/>
      <c r="AC615" s="570" t="str">
        <f>IFERROR(IF(VLOOKUP(C615,[1]List1!$A:$D,2,FALSE)="VYPRODÁNO",$V$9,IF(VLOOKUP(C615,[1]List1!$A:$D,2,FALSE)="DOCHÁZÍ",$V$3,VLOOKUP(C615,[1]List1!$A:$D,2,FALSE))),"OFFLINE!")</f>
        <v>SKLADEM</v>
      </c>
      <c r="AD615" s="570" t="str">
        <f ca="1">IF(AP615="NE",$V$10,IF(AC615=$V$3,IF(AQ615&lt;1,$V$8,$V$2&amp;" "&amp;AQ615&amp;" "&amp;$V$1),IF(AC615="SKLADEM",$V$6,IFERROR(IF(OR(AC615-TODAY()&gt;45,VLOOKUP(C615,[1]List1!$A:$E,4,FALSE)=0),AC615,DAY(AC615)&amp;"."&amp;MONTH(AC615)&amp;"."&amp;YEAR(AC615)&amp;" "&amp;$V$4&amp;VLOOKUP(C615,[1]List1!$A:$E,4,FALSE)&amp;" "&amp;$V$1),AC615))))</f>
        <v>SKLADEM</v>
      </c>
      <c r="AE615" s="581" t="str">
        <f t="shared" ca="1" si="1834"/>
        <v>SKLADEM</v>
      </c>
      <c r="AF615" s="584">
        <f t="shared" si="1835"/>
        <v>0</v>
      </c>
      <c r="AG615" s="585">
        <f t="shared" si="1836"/>
        <v>0</v>
      </c>
      <c r="AH615" s="583">
        <f t="shared" si="1837"/>
        <v>0</v>
      </c>
      <c r="AI615" s="582">
        <f t="shared" si="1838"/>
        <v>0</v>
      </c>
      <c r="AJ615" s="569">
        <f t="shared" si="1839"/>
        <v>0</v>
      </c>
      <c r="AK615" s="569" t="str">
        <f t="shared" si="1840"/>
        <v/>
      </c>
      <c r="AL615" s="569">
        <f t="shared" si="1841"/>
        <v>0</v>
      </c>
      <c r="AM615" s="569" t="str">
        <f t="shared" si="1842"/>
        <v/>
      </c>
      <c r="AN615" s="581">
        <f t="shared" si="1843"/>
        <v>0</v>
      </c>
      <c r="AO615" s="623"/>
      <c r="AP615" s="632" t="str">
        <f t="shared" si="1794"/>
        <v/>
      </c>
      <c r="AQ615" s="633" t="str">
        <f>IF(AC615=$V$3,IF(VLOOKUP(C615,[1]List1!$A:$E,5,FALSE)=0,1,VLOOKUP(C615,[1]List1!$A:$E,5,FALSE)),"")</f>
        <v/>
      </c>
      <c r="AR615" s="625" t="str">
        <f t="shared" si="1795"/>
        <v/>
      </c>
      <c r="AS615" s="634" t="str">
        <f t="shared" si="1796"/>
        <v/>
      </c>
      <c r="AT615" s="625" t="str">
        <f t="shared" si="1797"/>
        <v/>
      </c>
      <c r="AU615" s="638" t="e">
        <f t="shared" si="1798"/>
        <v>#N/A</v>
      </c>
      <c r="AV615" s="625" t="e">
        <f t="shared" si="1799"/>
        <v>#N/A</v>
      </c>
      <c r="AX615" s="625">
        <f>IF(AND('General price list'!$J615="F4",'General price list'!$AB615+0&gt;0),1,0)</f>
        <v>0</v>
      </c>
      <c r="AY615" s="625">
        <f t="shared" si="1800"/>
        <v>1</v>
      </c>
      <c r="AZ615" s="625">
        <f t="shared" si="1801"/>
        <v>0</v>
      </c>
    </row>
    <row r="616" spans="1:52" ht="15.75" customHeight="1">
      <c r="A616" s="639" t="str">
        <f>Kat.!C616</f>
        <v>×</v>
      </c>
      <c r="B616" s="640">
        <f>IF(AND('General price list'!$J616="F4",$AI$1=FALSE),0,IF(AC616="SKLADEM",1,IF(AC616=$V$3,1,0)))</f>
        <v>1</v>
      </c>
      <c r="C616" s="641" t="s">
        <v>1283</v>
      </c>
      <c r="D616" s="642" t="s">
        <v>1277</v>
      </c>
      <c r="E616" s="643" t="s">
        <v>12746</v>
      </c>
      <c r="F616" s="791">
        <f>IFERROR(VLOOKUP(C616,[2]List1!$A:$D,3,FALSE),"NEUVEDENO!")</f>
        <v>499</v>
      </c>
      <c r="G616" s="768">
        <f t="shared" si="1830"/>
        <v>499</v>
      </c>
      <c r="H616" s="765">
        <f t="shared" si="1831"/>
        <v>21.196790321689967</v>
      </c>
      <c r="I616" s="644">
        <f>IFERROR(VLOOKUP(C616,[2]List1!$A:$D,4,FALSE),"NEUVEDENO!")</f>
        <v>6</v>
      </c>
      <c r="J616" s="733" t="s">
        <v>113</v>
      </c>
      <c r="K616" s="645" t="s">
        <v>11100</v>
      </c>
      <c r="L616" s="645" t="s">
        <v>10993</v>
      </c>
      <c r="M616" s="645" t="s">
        <v>114</v>
      </c>
      <c r="N616" s="645">
        <f>IFERROR(VLOOKUP(C616,[3]List1!$A:$D,4,FALSE),"N/A!")</f>
        <v>4.7652E-2</v>
      </c>
      <c r="O616" s="645">
        <f>IFERROR(VLOOKUP(C616,[3]List1!$A:$D,3,FALSE),"N/A!")</f>
        <v>2850</v>
      </c>
      <c r="P616" s="645">
        <f>IFERROR(VLOOKUP(C616,[3]List1!$A:$D,2,FALSE),"N/A!")</f>
        <v>19000</v>
      </c>
      <c r="Q616" s="645" t="s">
        <v>11786</v>
      </c>
      <c r="R616" s="645"/>
      <c r="S616" s="645" t="str">
        <f>IF($W$17=$AF$1,"červená fólie",IFERROR(VLOOKUP("červená fólie",Jazyky_ceník!$A:$Q,MATCH($W$17,Jazyky_ceník!$A$1:$Q$1,0),FALSE),"!!!"))</f>
        <v>červená fólie</v>
      </c>
      <c r="T616" s="645">
        <v>35</v>
      </c>
      <c r="U616" s="645">
        <v>40</v>
      </c>
      <c r="V616" s="645">
        <v>30</v>
      </c>
      <c r="W616" s="645" t="str">
        <f>IFERROR(IF(AND($AB616&gt;=0.1*$AA616,MOD($AB616,$AA616)&gt;=($AA616-(0.1*$AA616))),IF($W$17=$AF$1,"Zvažte možnost doobjednání ještě "&amp;Tabulka1[[#This Row],[VKPAL]]-MOD(AB616,AA616)&amp;" VK do plné palety.",VLOOKUP("Zvažte možnost doobjednání ještě ",Jazyky_ceník!A:Q,MATCH($W$17,Jazyky_ceník!$A$1:$Q$1,0),FALSE)&amp;Tabulka1[[#This Row],[VKPAL]]-MOD(AB616,AA616)&amp;VLOOKUP(" VK do plné palety.",Jazyky_ceník!A:Q,MATCH($W$17,Jazyky_ceník!$A$1:$Q$1,0),FALSE)),IFERROR(IF(AND(NOT(MOD($AB616,$AA616)=0),$AB616&gt;=0.9*$AA616,MOD($AB616,$AA616)&lt;=0.1*$AA616),IF($W$17=$AF$1,"Zvažte možnost optimalizace objednaného množství podle počtu VK na paletě ==&gt;",VLOOKUP("Zvažte možnost optimalizace objednaného množství podle počtu VK na paletě ==&gt;",Jazyky_ceník!A:Q,MATCH($W$17,Jazyky_ceník!$A$1:$Q$1,0),FALSE)),VLOOKUP('General price list'!$C616,Popisy!A:M,MATCH($W$17,Popisy!$A$7:$M$7,0),FALSE)),"---------------")),IFERROR(VLOOKUP('General price list'!$C616,Popisy!A:M,MATCH($W$17,Popisy!$A$7:$M$7,0),FALSE),"---------------"))</f>
        <v>5 různobarevných efektu</v>
      </c>
      <c r="X616" s="645" t="str">
        <f t="shared" si="1832"/>
        <v/>
      </c>
      <c r="Y616" s="645" t="str">
        <f t="shared" si="1833"/>
        <v/>
      </c>
      <c r="Z616" s="645" t="str">
        <f>HYPERLINK("https://www.klasekpyrotechnics.cz/c253fr")</f>
        <v>https://www.klasekpyrotechnics.cz/c253fr</v>
      </c>
      <c r="AA616" s="645">
        <f>IFERROR(IF(VLOOKUP(C616,[4]List1!$A:$D,4,FALSE)=0,"",VLOOKUP(C616,[4]List1!$A:$D,4,FALSE)),"")</f>
        <v>28</v>
      </c>
      <c r="AB616" s="646"/>
      <c r="AC616" s="647" t="str">
        <f>IFERROR(IF(VLOOKUP(C616,[1]List1!$A:$D,2,FALSE)="VYPRODÁNO",$V$9,IF(VLOOKUP(C616,[1]List1!$A:$D,2,FALSE)="DOCHÁZÍ",$V$3,VLOOKUP(C616,[1]List1!$A:$D,2,FALSE))),"OFFLINE!")</f>
        <v>SKLADEM</v>
      </c>
      <c r="AD616" s="647" t="str">
        <f ca="1">IF(AP616="NE",$V$10,IF(AC616=$V$3,IF(AQ616&lt;1,$V$8,$V$2&amp;" "&amp;AQ616&amp;" "&amp;$V$1),IF(AC616="SKLADEM",$V$6,IFERROR(IF(OR(AC616-TODAY()&gt;45,VLOOKUP(C616,[1]List1!$A:$E,4,FALSE)=0),AC616,DAY(AC616)&amp;"."&amp;MONTH(AC616)&amp;"."&amp;YEAR(AC616)&amp;" "&amp;$V$4&amp;VLOOKUP(C616,[1]List1!$A:$E,4,FALSE)&amp;" "&amp;$V$1),AC616))))</f>
        <v>SKLADEM</v>
      </c>
      <c r="AE616" s="645" t="str">
        <f t="shared" ca="1" si="1834"/>
        <v>SKLADEM</v>
      </c>
      <c r="AF616" s="648">
        <f t="shared" si="1835"/>
        <v>0</v>
      </c>
      <c r="AG616" s="649">
        <f t="shared" si="1836"/>
        <v>0</v>
      </c>
      <c r="AH616" s="650">
        <f t="shared" si="1837"/>
        <v>0</v>
      </c>
      <c r="AI616" s="645">
        <f t="shared" si="1838"/>
        <v>0</v>
      </c>
      <c r="AJ616" s="645">
        <f t="shared" si="1839"/>
        <v>0</v>
      </c>
      <c r="AK616" s="645" t="str">
        <f t="shared" si="1840"/>
        <v/>
      </c>
      <c r="AL616" s="645">
        <f t="shared" si="1841"/>
        <v>0</v>
      </c>
      <c r="AM616" s="645" t="str">
        <f t="shared" si="1842"/>
        <v/>
      </c>
      <c r="AN616" s="651">
        <f t="shared" si="1843"/>
        <v>0</v>
      </c>
      <c r="AO616" s="623"/>
      <c r="AP616" s="625" t="str">
        <f t="shared" si="1794"/>
        <v/>
      </c>
      <c r="AQ616" s="625" t="str">
        <f>IF(AC616=$V$3,IF(VLOOKUP(C616,[1]List1!$A:$E,5,FALSE)=0,1,VLOOKUP(C616,[1]List1!$A:$E,5,FALSE)),"")</f>
        <v/>
      </c>
      <c r="AR616" s="629" t="str">
        <f t="shared" si="1795"/>
        <v/>
      </c>
      <c r="AS616" s="630" t="str">
        <f t="shared" si="1796"/>
        <v/>
      </c>
      <c r="AT616" s="625" t="str">
        <f t="shared" si="1797"/>
        <v/>
      </c>
      <c r="AU616" s="625" t="e">
        <f t="shared" si="1798"/>
        <v>#N/A</v>
      </c>
      <c r="AV616" s="625" t="e">
        <f t="shared" si="1799"/>
        <v>#N/A</v>
      </c>
      <c r="AW616" s="631"/>
      <c r="AX616" s="631">
        <f>IF(AND('General price list'!$J616="F4",'General price list'!$AB616+0&gt;0),1,0)</f>
        <v>0</v>
      </c>
      <c r="AY616" s="631">
        <f t="shared" si="1800"/>
        <v>1</v>
      </c>
      <c r="AZ616" s="631">
        <f t="shared" si="1801"/>
        <v>0</v>
      </c>
    </row>
    <row r="617" spans="1:52" ht="15" customHeight="1">
      <c r="A617" s="621" t="str">
        <f>Kat.!C617</f>
        <v/>
      </c>
      <c r="B617" s="566">
        <f>IF(AND('General price list'!$J617="F4",$AI$1=FALSE),0,IF(AC617="SKLADEM",1,IF(AC617=$V$3,1,0)))</f>
        <v>1</v>
      </c>
      <c r="C617" s="567" t="s">
        <v>1284</v>
      </c>
      <c r="D617" s="568" t="s">
        <v>11891</v>
      </c>
      <c r="E617" s="763" t="s">
        <v>12746</v>
      </c>
      <c r="F617" s="791">
        <f>IFERROR(VLOOKUP(C617,[2]List1!$A:$D,3,FALSE),"NEUVEDENO!")</f>
        <v>499</v>
      </c>
      <c r="G617" s="769">
        <f t="shared" si="1830"/>
        <v>499</v>
      </c>
      <c r="H617" s="766">
        <f t="shared" si="1831"/>
        <v>21.196790321689967</v>
      </c>
      <c r="I617" s="764">
        <f>IFERROR(VLOOKUP(C617,[2]List1!$A:$D,4,FALSE),"NEUVEDENO!")</f>
        <v>6</v>
      </c>
      <c r="J617" s="732" t="s">
        <v>113</v>
      </c>
      <c r="K617" s="569" t="s">
        <v>11100</v>
      </c>
      <c r="L617" s="569" t="s">
        <v>10993</v>
      </c>
      <c r="M617" s="569" t="s">
        <v>114</v>
      </c>
      <c r="N617" s="569">
        <f>IFERROR(VLOOKUP(C617,[3]List1!$A:$D,4,FALSE),"N/A!")</f>
        <v>4.7652E-2</v>
      </c>
      <c r="O617" s="569">
        <f>IFERROR(VLOOKUP(C617,[3]List1!$A:$D,3,FALSE),"N/A!")</f>
        <v>2850</v>
      </c>
      <c r="P617" s="569">
        <f>IFERROR(VLOOKUP(C617,[3]List1!$A:$D,2,FALSE),"N/A!")</f>
        <v>20500</v>
      </c>
      <c r="Q617" s="569" t="s">
        <v>11786</v>
      </c>
      <c r="R617" s="569"/>
      <c r="S617" s="569" t="str">
        <f>IF($W$17=$AF$1,"design",IFERROR(VLOOKUP("design",Jazyky_ceník!$A:$Q,MATCH($W$17,Jazyky_ceník!$A$1:$Q$1,0),FALSE),"!!!"))</f>
        <v>design</v>
      </c>
      <c r="T617" s="569">
        <v>35</v>
      </c>
      <c r="U617" s="569">
        <v>40</v>
      </c>
      <c r="V617" s="569">
        <v>30</v>
      </c>
      <c r="W617" s="569" t="str">
        <f>IFERROR(IF(AND($AB617&gt;=0.1*$AA617,MOD($AB617,$AA617)&gt;=($AA617-(0.1*$AA617))),IF($W$17=$AF$1,"Zvažte možnost doobjednání ještě "&amp;Tabulka1[[#This Row],[VKPAL]]-MOD(AB617,AA617)&amp;" VK do plné palety.",VLOOKUP("Zvažte možnost doobjednání ještě ",Jazyky_ceník!A:Q,MATCH($W$17,Jazyky_ceník!$A$1:$Q$1,0),FALSE)&amp;Tabulka1[[#This Row],[VKPAL]]-MOD(AB617,AA617)&amp;VLOOKUP(" VK do plné palety.",Jazyky_ceník!A:Q,MATCH($W$17,Jazyky_ceník!$A$1:$Q$1,0),FALSE)),IFERROR(IF(AND(NOT(MOD($AB617,$AA617)=0),$AB617&gt;=0.9*$AA617,MOD($AB617,$AA617)&lt;=0.1*$AA617),IF($W$17=$AF$1,"Zvažte možnost optimalizace objednaného množství podle počtu VK na paletě ==&gt;",VLOOKUP("Zvažte možnost optimalizace objednaného množství podle počtu VK na paletě ==&gt;",Jazyky_ceník!A:Q,MATCH($W$17,Jazyky_ceník!$A$1:$Q$1,0),FALSE)),VLOOKUP('General price list'!$C617,Popisy!A:M,MATCH($W$17,Popisy!$A$7:$M$7,0),FALSE)),"---------------")),IFERROR(VLOOKUP('General price list'!$C617,Popisy!A:M,MATCH($W$17,Popisy!$A$7:$M$7,0),FALSE),"---------------"))</f>
        <v>5 různobarevných efektu</v>
      </c>
      <c r="X617" s="569" t="str">
        <f t="shared" si="1832"/>
        <v/>
      </c>
      <c r="Y617" s="569" t="str">
        <f t="shared" si="1833"/>
        <v/>
      </c>
      <c r="Z617" s="569" t="str">
        <f>HYPERLINK("https://www.klasekpyrotechnics.cz/c253my")</f>
        <v>https://www.klasekpyrotechnics.cz/c253my</v>
      </c>
      <c r="AA617" s="569">
        <f>IFERROR(IF(VLOOKUP(C617,[4]List1!$A:$D,4,FALSE)=0,"",VLOOKUP(C617,[4]List1!$A:$D,4,FALSE)),"")</f>
        <v>28</v>
      </c>
      <c r="AB617" s="565"/>
      <c r="AC617" s="570" t="str">
        <f>IFERROR(IF(VLOOKUP(C617,[1]List1!$A:$D,2,FALSE)="VYPRODÁNO",$V$9,IF(VLOOKUP(C617,[1]List1!$A:$D,2,FALSE)="DOCHÁZÍ",$V$3,VLOOKUP(C617,[1]List1!$A:$D,2,FALSE))),"OFFLINE!")</f>
        <v>SKLADEM</v>
      </c>
      <c r="AD617" s="570" t="str">
        <f ca="1">IF(AP617="NE",$V$10,IF(AC617=$V$3,IF(AQ617&lt;1,$V$8,$V$2&amp;" "&amp;AQ617&amp;" "&amp;$V$1),IF(AC617="SKLADEM",$V$6,IFERROR(IF(OR(AC617-TODAY()&gt;45,VLOOKUP(C617,[1]List1!$A:$E,4,FALSE)=0),AC617,DAY(AC617)&amp;"."&amp;MONTH(AC617)&amp;"."&amp;YEAR(AC617)&amp;" "&amp;$V$4&amp;VLOOKUP(C617,[1]List1!$A:$E,4,FALSE)&amp;" "&amp;$V$1),AC617))))</f>
        <v>SKLADEM</v>
      </c>
      <c r="AE617" s="581" t="str">
        <f t="shared" ca="1" si="1834"/>
        <v>SKLADEM</v>
      </c>
      <c r="AF617" s="584">
        <f t="shared" si="1835"/>
        <v>0</v>
      </c>
      <c r="AG617" s="585">
        <f t="shared" si="1836"/>
        <v>0</v>
      </c>
      <c r="AH617" s="583">
        <f t="shared" si="1837"/>
        <v>0</v>
      </c>
      <c r="AI617" s="582">
        <f t="shared" si="1838"/>
        <v>0</v>
      </c>
      <c r="AJ617" s="569">
        <f t="shared" si="1839"/>
        <v>0</v>
      </c>
      <c r="AK617" s="569" t="str">
        <f t="shared" si="1840"/>
        <v/>
      </c>
      <c r="AL617" s="569">
        <f t="shared" si="1841"/>
        <v>0</v>
      </c>
      <c r="AM617" s="569" t="str">
        <f t="shared" si="1842"/>
        <v/>
      </c>
      <c r="AN617" s="581">
        <f t="shared" si="1843"/>
        <v>0</v>
      </c>
      <c r="AO617" s="623"/>
      <c r="AP617" s="632" t="str">
        <f t="shared" si="1794"/>
        <v/>
      </c>
      <c r="AQ617" s="633" t="str">
        <f>IF(AC617=$V$3,IF(VLOOKUP(C617,[1]List1!$A:$E,5,FALSE)=0,1,VLOOKUP(C617,[1]List1!$A:$E,5,FALSE)),"")</f>
        <v/>
      </c>
      <c r="AR617" s="625" t="str">
        <f t="shared" si="1795"/>
        <v/>
      </c>
      <c r="AS617" s="634" t="str">
        <f t="shared" si="1796"/>
        <v/>
      </c>
      <c r="AT617" s="625" t="str">
        <f t="shared" si="1797"/>
        <v/>
      </c>
      <c r="AU617" s="638" t="e">
        <f t="shared" si="1798"/>
        <v>#N/A</v>
      </c>
      <c r="AV617" s="625" t="e">
        <f t="shared" si="1799"/>
        <v>#N/A</v>
      </c>
      <c r="AX617" s="625">
        <f>IF(AND('General price list'!$J617="F4",'General price list'!$AB617+0&gt;0),1,0)</f>
        <v>0</v>
      </c>
      <c r="AY617" s="625">
        <f t="shared" si="1800"/>
        <v>1</v>
      </c>
      <c r="AZ617" s="625">
        <f t="shared" si="1801"/>
        <v>0</v>
      </c>
    </row>
    <row r="618" spans="1:52" ht="15.75" customHeight="1">
      <c r="A618" s="639" t="str">
        <f>Kat.!C618</f>
        <v/>
      </c>
      <c r="B618" s="640">
        <f>IF(AND('General price list'!$J618="F4",$AI$1=FALSE),0,IF(AC618="SKLADEM",1,IF(AC618=$V$3,1,0)))</f>
        <v>1</v>
      </c>
      <c r="C618" s="641" t="s">
        <v>1295</v>
      </c>
      <c r="D618" s="642" t="s">
        <v>11735</v>
      </c>
      <c r="E618" s="643" t="s">
        <v>12746</v>
      </c>
      <c r="F618" s="773">
        <f>IFERROR(VLOOKUP(C618,[2]List1!$A:$D,3,FALSE),"NEUVEDENO!")</f>
        <v>539</v>
      </c>
      <c r="G618" s="770">
        <f t="shared" si="1830"/>
        <v>539</v>
      </c>
      <c r="H618" s="767">
        <f t="shared" si="1831"/>
        <v>22.89593183044267</v>
      </c>
      <c r="I618" s="644">
        <f>IFERROR(VLOOKUP(C618,[2]List1!$A:$D,4,FALSE),"NEUVEDENO!")</f>
        <v>6</v>
      </c>
      <c r="J618" s="733" t="s">
        <v>113</v>
      </c>
      <c r="K618" s="645" t="s">
        <v>20</v>
      </c>
      <c r="L618" s="645" t="s">
        <v>10993</v>
      </c>
      <c r="M618" s="645" t="s">
        <v>114</v>
      </c>
      <c r="N618" s="645">
        <f>IFERROR(VLOOKUP(C618,[3]List1!$A:$D,4,FALSE),"N/A!")</f>
        <v>4.7652E-2</v>
      </c>
      <c r="O618" s="645">
        <f>IFERROR(VLOOKUP(C618,[3]List1!$A:$D,3,FALSE),"N/A!")</f>
        <v>2412</v>
      </c>
      <c r="P618" s="645">
        <f>IFERROR(VLOOKUP(C618,[3]List1!$A:$D,2,FALSE),"N/A!")</f>
        <v>19500</v>
      </c>
      <c r="Q618" s="645" t="s">
        <v>12099</v>
      </c>
      <c r="R618" s="645"/>
      <c r="S618" s="645" t="str">
        <f>IF($W$17=$AF$1,"design",IFERROR(VLOOKUP("design",Jazyky_ceník!$A:$Q,MATCH($W$17,Jazyky_ceník!$A$1:$Q$1,0),FALSE),"!!!"))</f>
        <v>design</v>
      </c>
      <c r="T618" s="645">
        <v>25</v>
      </c>
      <c r="U618" s="645">
        <v>40</v>
      </c>
      <c r="V618" s="645"/>
      <c r="W618" s="645" t="str">
        <f>IFERROR(IF(AND($AB618&gt;=0.1*$AA618,MOD($AB618,$AA618)&gt;=($AA618-(0.1*$AA618))),IF($W$17=$AF$1,"Zvažte možnost doobjednání ještě "&amp;Tabulka1[[#This Row],[VKPAL]]-MOD(AB618,AA618)&amp;" VK do plné palety.",VLOOKUP("Zvažte možnost doobjednání ještě ",Jazyky_ceník!A:Q,MATCH($W$17,Jazyky_ceník!$A$1:$Q$1,0),FALSE)&amp;Tabulka1[[#This Row],[VKPAL]]-MOD(AB618,AA618)&amp;VLOOKUP(" VK do plné palety.",Jazyky_ceník!A:Q,MATCH($W$17,Jazyky_ceník!$A$1:$Q$1,0),FALSE)),IFERROR(IF(AND(NOT(MOD($AB618,$AA618)=0),$AB618&gt;=0.9*$AA618,MOD($AB618,$AA618)&lt;=0.1*$AA618),IF($W$17=$AF$1,"Zvažte možnost optimalizace objednaného množství podle počtu VK na paletě ==&gt;",VLOOKUP("Zvažte možnost optimalizace objednaného množství podle počtu VK na paletě ==&gt;",Jazyky_ceník!A:Q,MATCH($W$17,Jazyky_ceník!$A$1:$Q$1,0),FALSE)),VLOOKUP('General price list'!$C618,Popisy!A:M,MATCH($W$17,Popisy!$A$7:$M$7,0),FALSE)),"---------------")),IFERROR(VLOOKUP('General price list'!$C618,Popisy!A:M,MATCH($W$17,Popisy!$A$7:$M$7,0),FALSE),"---------------"))</f>
        <v>stříbrné miny s červenou stopou a titanovou detonací</v>
      </c>
      <c r="X618" s="645" t="str">
        <f t="shared" si="1832"/>
        <v/>
      </c>
      <c r="Y618" s="645" t="str">
        <f t="shared" si="1833"/>
        <v/>
      </c>
      <c r="Z618" s="645" t="str">
        <f>HYPERLINK("https://www.klasekpyrotechnics.cz/c253du")</f>
        <v>https://www.klasekpyrotechnics.cz/c253du</v>
      </c>
      <c r="AA618" s="645">
        <f>IFERROR(IF(VLOOKUP(C618,[4]List1!$A:$D,4,FALSE)=0,"",VLOOKUP(C618,[4]List1!$A:$D,4,FALSE)),"")</f>
        <v>28</v>
      </c>
      <c r="AB618" s="646"/>
      <c r="AC618" s="647" t="str">
        <f>IFERROR(IF(VLOOKUP(C618,[1]List1!$A:$D,2,FALSE)="VYPRODÁNO",$V$9,IF(VLOOKUP(C618,[1]List1!$A:$D,2,FALSE)="DOCHÁZÍ",$V$3,VLOOKUP(C618,[1]List1!$A:$D,2,FALSE))),"OFFLINE!")</f>
        <v>SKLADEM</v>
      </c>
      <c r="AD618" s="647" t="str">
        <f ca="1">IF(AP618="NE",$V$10,IF(AC618=$V$3,IF(AQ618&lt;1,$V$8,$V$2&amp;" "&amp;AQ618&amp;" "&amp;$V$1),IF(AC618="SKLADEM",$V$6,IFERROR(IF(OR(AC618-TODAY()&gt;45,VLOOKUP(C618,[1]List1!$A:$E,4,FALSE)=0),AC618,DAY(AC618)&amp;"."&amp;MONTH(AC618)&amp;"."&amp;YEAR(AC618)&amp;" "&amp;$V$4&amp;VLOOKUP(C618,[1]List1!$A:$E,4,FALSE)&amp;" "&amp;$V$1),AC618))))</f>
        <v>SKLADEM</v>
      </c>
      <c r="AE618" s="645" t="str">
        <f t="shared" ca="1" si="1834"/>
        <v>SKLADEM</v>
      </c>
      <c r="AF618" s="648">
        <f t="shared" si="1835"/>
        <v>0</v>
      </c>
      <c r="AG618" s="649">
        <f t="shared" si="1836"/>
        <v>0</v>
      </c>
      <c r="AH618" s="650">
        <f t="shared" si="1837"/>
        <v>0</v>
      </c>
      <c r="AI618" s="645">
        <f t="shared" si="1838"/>
        <v>0</v>
      </c>
      <c r="AJ618" s="645">
        <f t="shared" si="1839"/>
        <v>0</v>
      </c>
      <c r="AK618" s="645" t="str">
        <f t="shared" si="1840"/>
        <v/>
      </c>
      <c r="AL618" s="645">
        <f t="shared" si="1841"/>
        <v>0</v>
      </c>
      <c r="AM618" s="645" t="str">
        <f t="shared" si="1842"/>
        <v/>
      </c>
      <c r="AN618" s="651">
        <f t="shared" si="1843"/>
        <v>0</v>
      </c>
      <c r="AO618" s="623"/>
      <c r="AP618" s="625" t="str">
        <f t="shared" si="1794"/>
        <v/>
      </c>
      <c r="AQ618" s="625" t="str">
        <f>IF(AC618=$V$3,IF(VLOOKUP(C618,[1]List1!$A:$E,5,FALSE)=0,1,VLOOKUP(C618,[1]List1!$A:$E,5,FALSE)),"")</f>
        <v/>
      </c>
      <c r="AR618" s="629" t="str">
        <f t="shared" si="1795"/>
        <v/>
      </c>
      <c r="AS618" s="630" t="str">
        <f t="shared" si="1796"/>
        <v/>
      </c>
      <c r="AT618" s="625" t="str">
        <f t="shared" si="1797"/>
        <v/>
      </c>
      <c r="AU618" s="625" t="e">
        <f t="shared" si="1798"/>
        <v>#N/A</v>
      </c>
      <c r="AV618" s="625" t="e">
        <f t="shared" si="1799"/>
        <v>#N/A</v>
      </c>
      <c r="AW618" s="631"/>
      <c r="AX618" s="631">
        <f>IF(AND('General price list'!$J618="F4",'General price list'!$AB618+0&gt;0),1,0)</f>
        <v>0</v>
      </c>
      <c r="AY618" s="631">
        <f t="shared" si="1800"/>
        <v>1</v>
      </c>
      <c r="AZ618" s="631">
        <f t="shared" si="1801"/>
        <v>0</v>
      </c>
    </row>
    <row r="619" spans="1:52" ht="15" customHeight="1">
      <c r="A619" s="751" t="str">
        <f>Kat.!C619</f>
        <v xml:space="preserve">           Baterie 25 ran, 30 mm moždíř F2 – 1.4G</v>
      </c>
      <c r="B619" s="751"/>
      <c r="C619" s="751"/>
      <c r="D619" s="751"/>
      <c r="E619" s="751"/>
      <c r="F619" s="751"/>
      <c r="G619" s="751"/>
      <c r="H619" s="751"/>
      <c r="I619" s="752"/>
      <c r="J619" s="752"/>
      <c r="K619" s="752" t="s">
        <v>20</v>
      </c>
      <c r="L619" s="753" t="s">
        <v>2818</v>
      </c>
      <c r="M619" s="752"/>
      <c r="N619" s="752"/>
      <c r="O619" s="752"/>
      <c r="P619" s="752"/>
      <c r="Q619" s="752"/>
      <c r="R619" s="752"/>
      <c r="S619" s="752"/>
      <c r="T619" s="752"/>
      <c r="U619" s="752"/>
      <c r="V619" s="752"/>
      <c r="W619" s="752"/>
      <c r="X619" s="752"/>
      <c r="Y619" s="752"/>
      <c r="Z619" s="752" t="s">
        <v>20</v>
      </c>
      <c r="AA619" s="752"/>
      <c r="AB619" s="752"/>
      <c r="AC619" s="754"/>
      <c r="AD619" s="752"/>
      <c r="AE619" s="752"/>
      <c r="AF619" s="752"/>
      <c r="AG619" s="752"/>
      <c r="AH619" s="752"/>
      <c r="AI619" s="752"/>
      <c r="AJ619" s="752"/>
      <c r="AK619" s="752"/>
      <c r="AL619" s="752"/>
      <c r="AM619" s="752"/>
      <c r="AN619" s="752"/>
      <c r="AO619" s="623"/>
      <c r="AP619" s="632" t="str">
        <f t="shared" si="1794"/>
        <v/>
      </c>
      <c r="AQ619" s="633" t="str">
        <f>IF(AC619=$V$3,IF(VLOOKUP(C619,[1]List1!$A:$E,5,FALSE)=0,1,VLOOKUP(C619,[1]List1!$A:$E,5,FALSE)),"")</f>
        <v/>
      </c>
      <c r="AR619" s="625" t="str">
        <f t="shared" si="1795"/>
        <v/>
      </c>
      <c r="AS619" s="634" t="str">
        <f t="shared" si="1796"/>
        <v/>
      </c>
      <c r="AT619" s="625" t="str">
        <f t="shared" si="1797"/>
        <v/>
      </c>
      <c r="AU619" s="638" t="e">
        <f t="shared" si="1798"/>
        <v>#N/A</v>
      </c>
      <c r="AV619" s="625" t="e">
        <f t="shared" si="1799"/>
        <v>#N/A</v>
      </c>
      <c r="AX619" s="625">
        <f>IF(AND('General price list'!$J619="F4",'General price list'!$AB619+0&gt;0),1,0)</f>
        <v>0</v>
      </c>
      <c r="AY619" s="625">
        <f t="shared" si="1800"/>
        <v>0</v>
      </c>
      <c r="AZ619" s="625">
        <f t="shared" si="1801"/>
        <v>0</v>
      </c>
    </row>
    <row r="620" spans="1:52" ht="15.75" customHeight="1">
      <c r="A620" s="639" t="str">
        <f>Kat.!C620</f>
        <v/>
      </c>
      <c r="B620" s="640">
        <f>IF(AND('General price list'!$J620="F4",$AI$1=FALSE),0,IF(AC620="SKLADEM",1,IF(AC620=$V$3,1,0)))</f>
        <v>1</v>
      </c>
      <c r="C620" s="641" t="s">
        <v>1285</v>
      </c>
      <c r="D620" s="642" t="s">
        <v>11892</v>
      </c>
      <c r="E620" s="643" t="s">
        <v>12746</v>
      </c>
      <c r="F620" s="791">
        <f>IFERROR(VLOOKUP(C620,[2]List1!$A:$D,3,FALSE),"NEUVEDENO!")</f>
        <v>469</v>
      </c>
      <c r="G620" s="768">
        <f t="shared" ref="G620:G624" si="1844">IF($W$17=$AF$8,ROUND((F620)/$F$17,2),(F620)*$B$19)</f>
        <v>469</v>
      </c>
      <c r="H620" s="765">
        <f t="shared" ref="H620:H624" si="1845">IF($W$17=$AF$8,G620*$B$19,G620/$F$17)</f>
        <v>19.92243419012544</v>
      </c>
      <c r="I620" s="644">
        <f>IFERROR(VLOOKUP(C620,[2]List1!$A:$D,4,FALSE),"NEUVEDENO!")</f>
        <v>6</v>
      </c>
      <c r="J620" s="733" t="s">
        <v>39</v>
      </c>
      <c r="K620" s="645" t="s">
        <v>11100</v>
      </c>
      <c r="L620" s="645" t="s">
        <v>10994</v>
      </c>
      <c r="M620" s="645" t="s">
        <v>21</v>
      </c>
      <c r="N620" s="645">
        <f>IFERROR(VLOOKUP(C620,[3]List1!$A:$D,4,FALSE),"N/A!")</f>
        <v>4.7652E-2</v>
      </c>
      <c r="O620" s="645">
        <f>IFERROR(VLOOKUP(C620,[3]List1!$A:$D,3,FALSE),"N/A!")</f>
        <v>2550</v>
      </c>
      <c r="P620" s="645">
        <f>IFERROR(VLOOKUP(C620,[3]List1!$A:$D,2,FALSE),"N/A!")</f>
        <v>18000</v>
      </c>
      <c r="Q620" s="645" t="s">
        <v>12778</v>
      </c>
      <c r="R620" s="645"/>
      <c r="S620" s="645" t="str">
        <f>IF($W$17=$AF$1,"design",IFERROR(VLOOKUP("design",Jazyky_ceník!$A:$Q,MATCH($W$17,Jazyky_ceník!$A$1:$Q$1,0),FALSE),"!!!"))</f>
        <v>design</v>
      </c>
      <c r="T620" s="645">
        <v>30</v>
      </c>
      <c r="U620" s="645">
        <v>40</v>
      </c>
      <c r="V620" s="645">
        <v>23</v>
      </c>
      <c r="W620" s="645" t="str">
        <f>IFERROR(IF(AND($AB620&gt;=0.1*$AA620,MOD($AB620,$AA620)&gt;=($AA620-(0.1*$AA620))),IF($W$17=$AF$1,"Zvažte možnost doobjednání ještě "&amp;Tabulka1[[#This Row],[VKPAL]]-MOD(AB620,AA620)&amp;" VK do plné palety.",VLOOKUP("Zvažte možnost doobjednání ještě ",Jazyky_ceník!A:Q,MATCH($W$17,Jazyky_ceník!$A$1:$Q$1,0),FALSE)&amp;Tabulka1[[#This Row],[VKPAL]]-MOD(AB620,AA620)&amp;VLOOKUP(" VK do plné palety.",Jazyky_ceník!A:Q,MATCH($W$17,Jazyky_ceník!$A$1:$Q$1,0),FALSE)),IFERROR(IF(AND(NOT(MOD($AB620,$AA620)=0),$AB620&gt;=0.9*$AA620,MOD($AB620,$AA620)&lt;=0.1*$AA620),IF($W$17=$AF$1,"Zvažte možnost optimalizace objednaného množství podle počtu VK na paletě ==&gt;",VLOOKUP("Zvažte možnost optimalizace objednaného množství podle počtu VK na paletě ==&gt;",Jazyky_ceník!A:Q,MATCH($W$17,Jazyky_ceník!$A$1:$Q$1,0),FALSE)),VLOOKUP('General price list'!$C620,Popisy!A:M,MATCH($W$17,Popisy!$A$7:$M$7,0),FALSE)),"---------------")),IFERROR(VLOOKUP('General price list'!$C620,Popisy!A:M,MATCH($W$17,Popisy!$A$7:$M$7,0),FALSE),"---------------"))</f>
        <v>5 různobarevných efektu</v>
      </c>
      <c r="X620" s="645" t="str">
        <f t="shared" ref="X620:X624" si="1846">IF(AB620&lt;0.0001,"",AB620)</f>
        <v/>
      </c>
      <c r="Y620" s="645" t="str">
        <f t="shared" ref="Y620:Y624" si="1847">IF($AL$3=2,IF(OR(AB620&lt;&gt;"",AB620&lt;&gt;0),AU620,""),IF(C620="","",IF(AB620&lt;0.0001,"",IF(B620=0,"",IF(AQ620&lt;AB620,"",AB620)))))</f>
        <v/>
      </c>
      <c r="Z620" s="645" t="str">
        <f>HYPERLINK("https://www.klasekpyrotechnics.cz/c253bp14")</f>
        <v>https://www.klasekpyrotechnics.cz/c253bp14</v>
      </c>
      <c r="AA620" s="645">
        <f>IFERROR(IF(VLOOKUP(C620,[4]List1!$A:$D,4,FALSE)=0,"",VLOOKUP(C620,[4]List1!$A:$D,4,FALSE)),"")</f>
        <v>28</v>
      </c>
      <c r="AB620" s="646"/>
      <c r="AC620" s="647" t="str">
        <f>IFERROR(IF(VLOOKUP(C620,[1]List1!$A:$D,2,FALSE)="VYPRODÁNO",$V$9,IF(VLOOKUP(C620,[1]List1!$A:$D,2,FALSE)="DOCHÁZÍ",$V$3,VLOOKUP(C620,[1]List1!$A:$D,2,FALSE))),"OFFLINE!")</f>
        <v>SKLADEM</v>
      </c>
      <c r="AD620" s="647" t="str">
        <f ca="1">IF(AP620="NE",$V$10,IF(AC620=$V$3,IF(AQ620&lt;1,$V$8,$V$2&amp;" "&amp;AQ620&amp;" "&amp;$V$1),IF(AC620="SKLADEM",$V$6,IFERROR(IF(OR(AC620-TODAY()&gt;45,VLOOKUP(C620,[1]List1!$A:$E,4,FALSE)=0),AC620,DAY(AC620)&amp;"."&amp;MONTH(AC620)&amp;"."&amp;YEAR(AC620)&amp;" "&amp;$V$4&amp;VLOOKUP(C620,[1]List1!$A:$E,4,FALSE)&amp;" "&amp;$V$1),AC620))))</f>
        <v>SKLADEM</v>
      </c>
      <c r="AE620" s="645" t="str">
        <f t="shared" ref="AE620:AE624" ca="1" si="1848">IFERROR(IF(AV620&lt;&gt;"",AV620,AD620),AD620)</f>
        <v>SKLADEM</v>
      </c>
      <c r="AF620" s="648">
        <f t="shared" ref="AF620:AF624" si="1849">IFERROR(IF(AB620=Y620,G620*I620*Y620,0),0)</f>
        <v>0</v>
      </c>
      <c r="AG620" s="649">
        <f t="shared" ref="AG620:AG624" si="1850">IF($W$17=$AF$8,AH620*1.23,AF620*1.21)</f>
        <v>0</v>
      </c>
      <c r="AH620" s="650">
        <f t="shared" ref="AH620:AH624" si="1851">IFERROR(IF(Y620=AB620,H620*I620*Y620,0),0)</f>
        <v>0</v>
      </c>
      <c r="AI620" s="645">
        <f t="shared" ref="AI620:AI624" si="1852">IFERROR(IF(Y620=AB620,(P620*Y620)/1000,1),0)</f>
        <v>0</v>
      </c>
      <c r="AJ620" s="645">
        <f t="shared" ref="AJ620:AJ624" si="1853">IFERROR(IF(Y620=AB620,N620*Y620,0.1),0)</f>
        <v>0</v>
      </c>
      <c r="AK620" s="645" t="str">
        <f t="shared" ref="AK620:AK624" si="1854">IFERROR(IF(Y620=AB620,IF(M620="1.1G",(O620/1000)*Y620,""),""),0)</f>
        <v/>
      </c>
      <c r="AL620" s="645" t="str">
        <f t="shared" ref="AL620:AL624" si="1855">IFERROR(IF(Y620=AB620,IF(M620="1.3G",(O620/1000)*AB620,""),""),0)</f>
        <v/>
      </c>
      <c r="AM620" s="645">
        <f t="shared" ref="AM620:AM624" si="1856">IFERROR(IF(Y620=AB620,IF(M620="1.4G",(O620/1000)*AB620,""),""),0)</f>
        <v>0</v>
      </c>
      <c r="AN620" s="651">
        <f t="shared" ref="AN620:AN624" si="1857">SUM(AK620:AM620)</f>
        <v>0</v>
      </c>
      <c r="AO620" s="623"/>
      <c r="AP620" s="625" t="str">
        <f t="shared" si="1794"/>
        <v/>
      </c>
      <c r="AQ620" s="625" t="str">
        <f>IF(AC620=$V$3,IF(VLOOKUP(C620,[1]List1!$A:$E,5,FALSE)=0,1,VLOOKUP(C620,[1]List1!$A:$E,5,FALSE)),"")</f>
        <v/>
      </c>
      <c r="AR620" s="629" t="str">
        <f t="shared" si="1795"/>
        <v/>
      </c>
      <c r="AS620" s="630" t="str">
        <f t="shared" si="1796"/>
        <v/>
      </c>
      <c r="AT620" s="625" t="str">
        <f t="shared" si="1797"/>
        <v/>
      </c>
      <c r="AU620" s="625" t="e">
        <f t="shared" si="1798"/>
        <v>#N/A</v>
      </c>
      <c r="AV620" s="625" t="e">
        <f t="shared" si="1799"/>
        <v>#N/A</v>
      </c>
      <c r="AW620" s="631"/>
      <c r="AX620" s="631">
        <f>IF(AND('General price list'!$J620="F4",'General price list'!$AB620+0&gt;0),1,0)</f>
        <v>0</v>
      </c>
      <c r="AY620" s="631">
        <f t="shared" si="1800"/>
        <v>1</v>
      </c>
      <c r="AZ620" s="631">
        <f t="shared" si="1801"/>
        <v>0</v>
      </c>
    </row>
    <row r="621" spans="1:52" ht="15" customHeight="1">
      <c r="A621" s="621" t="str">
        <f>Kat.!C621</f>
        <v/>
      </c>
      <c r="B621" s="566">
        <f>IF(AND('General price list'!$J621="F4",$AI$1=FALSE),0,IF(AC621="SKLADEM",1,IF(AC621=$V$3,1,0)))</f>
        <v>1</v>
      </c>
      <c r="C621" s="567" t="s">
        <v>1287</v>
      </c>
      <c r="D621" s="568" t="s">
        <v>1164</v>
      </c>
      <c r="E621" s="763" t="s">
        <v>12746</v>
      </c>
      <c r="F621" s="772">
        <f>IFERROR(VLOOKUP(C621,[2]List1!$A:$D,3,FALSE),"NEUVEDENO!")</f>
        <v>539</v>
      </c>
      <c r="G621" s="769">
        <f t="shared" si="1844"/>
        <v>539</v>
      </c>
      <c r="H621" s="766">
        <f t="shared" si="1845"/>
        <v>22.89593183044267</v>
      </c>
      <c r="I621" s="764">
        <f>IFERROR(VLOOKUP(C621,[2]List1!$A:$D,4,FALSE),"NEUVEDENO!")</f>
        <v>6</v>
      </c>
      <c r="J621" s="732" t="s">
        <v>39</v>
      </c>
      <c r="K621" s="569" t="s">
        <v>20</v>
      </c>
      <c r="L621" s="569" t="s">
        <v>10994</v>
      </c>
      <c r="M621" s="569" t="s">
        <v>21</v>
      </c>
      <c r="N621" s="569">
        <f>IFERROR(VLOOKUP(C621,[3]List1!$A:$D,4,FALSE),"N/A!")</f>
        <v>4.7652E-2</v>
      </c>
      <c r="O621" s="569">
        <f>IFERROR(VLOOKUP(C621,[3]List1!$A:$D,3,FALSE),"N/A!")</f>
        <v>2958</v>
      </c>
      <c r="P621" s="569">
        <f>IFERROR(VLOOKUP(C621,[3]List1!$A:$D,2,FALSE),"N/A!")</f>
        <v>18800</v>
      </c>
      <c r="Q621" s="569" t="s">
        <v>11314</v>
      </c>
      <c r="R621" s="569" t="s">
        <v>20</v>
      </c>
      <c r="S621" s="569" t="str">
        <f>IF($W$17=$AF$1,"design",IFERROR(VLOOKUP("design",Jazyky_ceník!$A:$Q,MATCH($W$17,Jazyky_ceník!$A$1:$Q$1,0),FALSE),"!!!"))</f>
        <v>design</v>
      </c>
      <c r="T621" s="569">
        <v>30</v>
      </c>
      <c r="U621" s="569">
        <v>40</v>
      </c>
      <c r="V621" s="569">
        <v>3</v>
      </c>
      <c r="W621" s="569" t="str">
        <f>IFERROR(IF(AND($AB621&gt;=0.1*$AA621,MOD($AB621,$AA621)&gt;=($AA621-(0.1*$AA621))),IF($W$17=$AF$1,"Zvažte možnost doobjednání ještě "&amp;Tabulka1[[#This Row],[VKPAL]]-MOD(AB621,AA621)&amp;" VK do plné palety.",VLOOKUP("Zvažte možnost doobjednání ještě ",Jazyky_ceník!A:Q,MATCH($W$17,Jazyky_ceník!$A$1:$Q$1,0),FALSE)&amp;Tabulka1[[#This Row],[VKPAL]]-MOD(AB621,AA621)&amp;VLOOKUP(" VK do plné palety.",Jazyky_ceník!A:Q,MATCH($W$17,Jazyky_ceník!$A$1:$Q$1,0),FALSE)),IFERROR(IF(AND(NOT(MOD($AB621,$AA621)=0),$AB621&gt;=0.9*$AA621,MOD($AB621,$AA621)&lt;=0.1*$AA621),IF($W$17=$AF$1,"Zvažte možnost optimalizace objednaného množství podle počtu VK na paletě ==&gt;",VLOOKUP("Zvažte možnost optimalizace objednaného množství podle počtu VK na paletě ==&gt;",Jazyky_ceník!A:Q,MATCH($W$17,Jazyky_ceník!$A$1:$Q$1,0),FALSE)),VLOOKUP('General price list'!$C621,Popisy!A:M,MATCH($W$17,Popisy!$A$7:$M$7,0),FALSE)),"---------------")),IFERROR(VLOOKUP('General price list'!$C621,Popisy!A:M,MATCH($W$17,Popisy!$A$7:$M$7,0),FALSE),"---------------"))</f>
        <v>5 různobarevných efektů - bez hluku</v>
      </c>
      <c r="X621" s="569" t="str">
        <f t="shared" si="1846"/>
        <v/>
      </c>
      <c r="Y621" s="569" t="str">
        <f t="shared" si="1847"/>
        <v/>
      </c>
      <c r="Z621" s="569" t="str">
        <f>HYPERLINK("https://www.klasekpyrotechnics.cz/c253no14")</f>
        <v>https://www.klasekpyrotechnics.cz/c253no14</v>
      </c>
      <c r="AA621" s="569">
        <f>IFERROR(IF(VLOOKUP(C621,[4]List1!$A:$D,4,FALSE)=0,"",VLOOKUP(C621,[4]List1!$A:$D,4,FALSE)),"")</f>
        <v>28</v>
      </c>
      <c r="AB621" s="565"/>
      <c r="AC621" s="570" t="str">
        <f>IFERROR(IF(VLOOKUP(C621,[1]List1!$A:$D,2,FALSE)="VYPRODÁNO",$V$9,IF(VLOOKUP(C621,[1]List1!$A:$D,2,FALSE)="DOCHÁZÍ",$V$3,VLOOKUP(C621,[1]List1!$A:$D,2,FALSE))),"OFFLINE!")</f>
        <v>SKLADEM</v>
      </c>
      <c r="AD621" s="570" t="str">
        <f ca="1">IF(AP621="NE",$V$10,IF(AC621=$V$3,IF(AQ621&lt;1,$V$8,$V$2&amp;" "&amp;AQ621&amp;" "&amp;$V$1),IF(AC621="SKLADEM",$V$6,IFERROR(IF(OR(AC621-TODAY()&gt;45,VLOOKUP(C621,[1]List1!$A:$E,4,FALSE)=0),AC621,DAY(AC621)&amp;"."&amp;MONTH(AC621)&amp;"."&amp;YEAR(AC621)&amp;" "&amp;$V$4&amp;VLOOKUP(C621,[1]List1!$A:$E,4,FALSE)&amp;" "&amp;$V$1),AC621))))</f>
        <v>SKLADEM</v>
      </c>
      <c r="AE621" s="581" t="str">
        <f t="shared" ca="1" si="1848"/>
        <v>SKLADEM</v>
      </c>
      <c r="AF621" s="584">
        <f t="shared" si="1849"/>
        <v>0</v>
      </c>
      <c r="AG621" s="585">
        <f t="shared" si="1850"/>
        <v>0</v>
      </c>
      <c r="AH621" s="583">
        <f t="shared" si="1851"/>
        <v>0</v>
      </c>
      <c r="AI621" s="582">
        <f t="shared" si="1852"/>
        <v>0</v>
      </c>
      <c r="AJ621" s="569">
        <f t="shared" si="1853"/>
        <v>0</v>
      </c>
      <c r="AK621" s="569" t="str">
        <f t="shared" si="1854"/>
        <v/>
      </c>
      <c r="AL621" s="569" t="str">
        <f t="shared" si="1855"/>
        <v/>
      </c>
      <c r="AM621" s="569">
        <f t="shared" si="1856"/>
        <v>0</v>
      </c>
      <c r="AN621" s="581">
        <f t="shared" si="1857"/>
        <v>0</v>
      </c>
      <c r="AO621" s="623"/>
      <c r="AP621" s="632" t="str">
        <f t="shared" si="1794"/>
        <v/>
      </c>
      <c r="AQ621" s="633" t="str">
        <f>IF(AC621=$V$3,IF(VLOOKUP(C621,[1]List1!$A:$E,5,FALSE)=0,1,VLOOKUP(C621,[1]List1!$A:$E,5,FALSE)),"")</f>
        <v/>
      </c>
      <c r="AR621" s="625" t="str">
        <f t="shared" si="1795"/>
        <v/>
      </c>
      <c r="AS621" s="634" t="str">
        <f t="shared" si="1796"/>
        <v/>
      </c>
      <c r="AT621" s="625" t="str">
        <f t="shared" si="1797"/>
        <v/>
      </c>
      <c r="AU621" s="638" t="e">
        <f t="shared" si="1798"/>
        <v>#N/A</v>
      </c>
      <c r="AV621" s="625" t="e">
        <f t="shared" si="1799"/>
        <v>#N/A</v>
      </c>
      <c r="AX621" s="625">
        <f>IF(AND('General price list'!$J621="F4",'General price list'!$AB621+0&gt;0),1,0)</f>
        <v>0</v>
      </c>
      <c r="AY621" s="625">
        <f t="shared" si="1800"/>
        <v>1</v>
      </c>
      <c r="AZ621" s="625">
        <f t="shared" si="1801"/>
        <v>0</v>
      </c>
    </row>
    <row r="622" spans="1:52" ht="15.75" customHeight="1">
      <c r="A622" s="639" t="str">
        <f>Kat.!C622</f>
        <v/>
      </c>
      <c r="B622" s="640">
        <f>IF(AND('General price list'!$J622="F4",$AI$1=FALSE),0,IF(AC622="SKLADEM",1,IF(AC622=$V$3,1,0)))</f>
        <v>1</v>
      </c>
      <c r="C622" s="641" t="s">
        <v>1291</v>
      </c>
      <c r="D622" s="642" t="s">
        <v>1277</v>
      </c>
      <c r="E622" s="643" t="s">
        <v>12746</v>
      </c>
      <c r="F622" s="791">
        <f>IFERROR(VLOOKUP(C622,[2]List1!$A:$D,3,FALSE),"NEUVEDENO!")</f>
        <v>499</v>
      </c>
      <c r="G622" s="768">
        <f t="shared" si="1844"/>
        <v>499</v>
      </c>
      <c r="H622" s="765">
        <f t="shared" si="1845"/>
        <v>21.196790321689967</v>
      </c>
      <c r="I622" s="644">
        <f>IFERROR(VLOOKUP(C622,[2]List1!$A:$D,4,FALSE),"NEUVEDENO!")</f>
        <v>6</v>
      </c>
      <c r="J622" s="733" t="s">
        <v>39</v>
      </c>
      <c r="K622" s="645" t="s">
        <v>11100</v>
      </c>
      <c r="L622" s="645" t="s">
        <v>10997</v>
      </c>
      <c r="M622" s="645" t="s">
        <v>21</v>
      </c>
      <c r="N622" s="645">
        <f>IFERROR(VLOOKUP(C622,[3]List1!$A:$D,4,FALSE),"N/A!")</f>
        <v>4.7652E-2</v>
      </c>
      <c r="O622" s="645">
        <f>IFERROR(VLOOKUP(C622,[3]List1!$A:$D,3,FALSE),"N/A!")</f>
        <v>2850</v>
      </c>
      <c r="P622" s="645">
        <f>IFERROR(VLOOKUP(C622,[3]List1!$A:$D,2,FALSE),"N/A!")</f>
        <v>20000</v>
      </c>
      <c r="Q622" s="645" t="s">
        <v>11288</v>
      </c>
      <c r="R622" s="645"/>
      <c r="S622" s="645" t="str">
        <f>IF($W$17=$AF$1,"červená fólie",IFERROR(VLOOKUP("červená fólie",Jazyky_ceník!$A:$Q,MATCH($W$17,Jazyky_ceník!$A$1:$Q$1,0),FALSE),"!!!"))</f>
        <v>červená fólie</v>
      </c>
      <c r="T622" s="645">
        <v>35</v>
      </c>
      <c r="U622" s="645">
        <v>40</v>
      </c>
      <c r="V622" s="645">
        <v>24</v>
      </c>
      <c r="W622" s="645" t="str">
        <f>IFERROR(IF(AND($AB622&gt;=0.1*$AA622,MOD($AB622,$AA622)&gt;=($AA622-(0.1*$AA622))),IF($W$17=$AF$1,"Zvažte možnost doobjednání ještě "&amp;Tabulka1[[#This Row],[VKPAL]]-MOD(AB622,AA622)&amp;" VK do plné palety.",VLOOKUP("Zvažte možnost doobjednání ještě ",Jazyky_ceník!A:Q,MATCH($W$17,Jazyky_ceník!$A$1:$Q$1,0),FALSE)&amp;Tabulka1[[#This Row],[VKPAL]]-MOD(AB622,AA622)&amp;VLOOKUP(" VK do plné palety.",Jazyky_ceník!A:Q,MATCH($W$17,Jazyky_ceník!$A$1:$Q$1,0),FALSE)),IFERROR(IF(AND(NOT(MOD($AB622,$AA622)=0),$AB622&gt;=0.9*$AA622,MOD($AB622,$AA622)&lt;=0.1*$AA622),IF($W$17=$AF$1,"Zvažte možnost optimalizace objednaného množství podle počtu VK na paletě ==&gt;",VLOOKUP("Zvažte možnost optimalizace objednaného množství podle počtu VK na paletě ==&gt;",Jazyky_ceník!A:Q,MATCH($W$17,Jazyky_ceník!$A$1:$Q$1,0),FALSE)),VLOOKUP('General price list'!$C622,Popisy!A:M,MATCH($W$17,Popisy!$A$7:$M$7,0),FALSE)),"---------------")),IFERROR(VLOOKUP('General price list'!$C622,Popisy!A:M,MATCH($W$17,Popisy!$A$7:$M$7,0),FALSE),"---------------"))</f>
        <v>5 různobarevných efektu</v>
      </c>
      <c r="X622" s="645" t="str">
        <f t="shared" si="1846"/>
        <v/>
      </c>
      <c r="Y622" s="645" t="str">
        <f t="shared" si="1847"/>
        <v/>
      </c>
      <c r="Z622" s="645" t="str">
        <f>HYPERLINK("https://www.klasekpyrotechnics.cz/c253b14")</f>
        <v>https://www.klasekpyrotechnics.cz/c253b14</v>
      </c>
      <c r="AA622" s="645">
        <f>IFERROR(IF(VLOOKUP(C622,[4]List1!$A:$D,4,FALSE)=0,"",VLOOKUP(C622,[4]List1!$A:$D,4,FALSE)),"")</f>
        <v>28</v>
      </c>
      <c r="AB622" s="646"/>
      <c r="AC622" s="647" t="str">
        <f>IFERROR(IF(VLOOKUP(C622,[1]List1!$A:$D,2,FALSE)="VYPRODÁNO",$V$9,IF(VLOOKUP(C622,[1]List1!$A:$D,2,FALSE)="DOCHÁZÍ",$V$3,VLOOKUP(C622,[1]List1!$A:$D,2,FALSE))),"OFFLINE!")</f>
        <v>SKLADEM</v>
      </c>
      <c r="AD622" s="647" t="str">
        <f ca="1">IF(AP622="NE",$V$10,IF(AC622=$V$3,IF(AQ622&lt;1,$V$8,$V$2&amp;" "&amp;AQ622&amp;" "&amp;$V$1),IF(AC622="SKLADEM",$V$6,IFERROR(IF(OR(AC622-TODAY()&gt;45,VLOOKUP(C622,[1]List1!$A:$E,4,FALSE)=0),AC622,DAY(AC622)&amp;"."&amp;MONTH(AC622)&amp;"."&amp;YEAR(AC622)&amp;" "&amp;$V$4&amp;VLOOKUP(C622,[1]List1!$A:$E,4,FALSE)&amp;" "&amp;$V$1),AC622))))</f>
        <v>SKLADEM</v>
      </c>
      <c r="AE622" s="645" t="str">
        <f t="shared" ca="1" si="1848"/>
        <v>SKLADEM</v>
      </c>
      <c r="AF622" s="648">
        <f t="shared" si="1849"/>
        <v>0</v>
      </c>
      <c r="AG622" s="649">
        <f t="shared" si="1850"/>
        <v>0</v>
      </c>
      <c r="AH622" s="650">
        <f t="shared" si="1851"/>
        <v>0</v>
      </c>
      <c r="AI622" s="645">
        <f t="shared" si="1852"/>
        <v>0</v>
      </c>
      <c r="AJ622" s="645">
        <f t="shared" si="1853"/>
        <v>0</v>
      </c>
      <c r="AK622" s="645" t="str">
        <f t="shared" si="1854"/>
        <v/>
      </c>
      <c r="AL622" s="645" t="str">
        <f t="shared" si="1855"/>
        <v/>
      </c>
      <c r="AM622" s="645">
        <f t="shared" si="1856"/>
        <v>0</v>
      </c>
      <c r="AN622" s="651">
        <f t="shared" si="1857"/>
        <v>0</v>
      </c>
      <c r="AO622" s="623"/>
      <c r="AP622" s="625" t="str">
        <f t="shared" si="1794"/>
        <v/>
      </c>
      <c r="AQ622" s="625" t="str">
        <f>IF(AC622=$V$3,IF(VLOOKUP(C622,[1]List1!$A:$E,5,FALSE)=0,1,VLOOKUP(C622,[1]List1!$A:$E,5,FALSE)),"")</f>
        <v/>
      </c>
      <c r="AR622" s="629" t="str">
        <f t="shared" si="1795"/>
        <v/>
      </c>
      <c r="AS622" s="630" t="str">
        <f t="shared" si="1796"/>
        <v/>
      </c>
      <c r="AT622" s="625" t="str">
        <f t="shared" si="1797"/>
        <v/>
      </c>
      <c r="AU622" s="625" t="e">
        <f t="shared" si="1798"/>
        <v>#N/A</v>
      </c>
      <c r="AV622" s="625" t="e">
        <f t="shared" si="1799"/>
        <v>#N/A</v>
      </c>
      <c r="AW622" s="631"/>
      <c r="AX622" s="631">
        <f>IF(AND('General price list'!$J622="F4",'General price list'!$AB622+0&gt;0),1,0)</f>
        <v>0</v>
      </c>
      <c r="AY622" s="631">
        <f t="shared" si="1800"/>
        <v>1</v>
      </c>
      <c r="AZ622" s="631">
        <f t="shared" si="1801"/>
        <v>0</v>
      </c>
    </row>
    <row r="623" spans="1:52" ht="15.75" customHeight="1">
      <c r="A623" s="621" t="str">
        <f>Kat.!C623</f>
        <v/>
      </c>
      <c r="B623" s="566">
        <f>IF(AND('General price list'!$J623="F4",$AI$1=FALSE),0,IF(AC623="SKLADEM",1,IF(AC623=$V$3,1,0)))</f>
        <v>1</v>
      </c>
      <c r="C623" s="567" t="s">
        <v>1292</v>
      </c>
      <c r="D623" s="568" t="s">
        <v>1281</v>
      </c>
      <c r="E623" s="763" t="s">
        <v>12746</v>
      </c>
      <c r="F623" s="791">
        <f>IFERROR(VLOOKUP(C623,[2]List1!$A:$D,3,FALSE),"NEUVEDENO!")</f>
        <v>499</v>
      </c>
      <c r="G623" s="769">
        <f t="shared" si="1844"/>
        <v>499</v>
      </c>
      <c r="H623" s="766">
        <f t="shared" si="1845"/>
        <v>21.196790321689967</v>
      </c>
      <c r="I623" s="764">
        <f>IFERROR(VLOOKUP(C623,[2]List1!$A:$D,4,FALSE),"NEUVEDENO!")</f>
        <v>6</v>
      </c>
      <c r="J623" s="732" t="s">
        <v>39</v>
      </c>
      <c r="K623" s="569" t="s">
        <v>11100</v>
      </c>
      <c r="L623" s="569" t="s">
        <v>10973</v>
      </c>
      <c r="M623" s="569" t="s">
        <v>21</v>
      </c>
      <c r="N623" s="569">
        <f>IFERROR(VLOOKUP(C623,[3]List1!$A:$D,4,FALSE),"N/A!")</f>
        <v>4.7652E-2</v>
      </c>
      <c r="O623" s="569">
        <f>IFERROR(VLOOKUP(C623,[3]List1!$A:$D,3,FALSE),"N/A!")</f>
        <v>2850</v>
      </c>
      <c r="P623" s="569">
        <f>IFERROR(VLOOKUP(C623,[3]List1!$A:$D,2,FALSE),"N/A!")</f>
        <v>20000</v>
      </c>
      <c r="Q623" s="569" t="s">
        <v>11288</v>
      </c>
      <c r="R623" s="569"/>
      <c r="S623" s="569" t="str">
        <f>IF($W$17=$AF$1,"design",IFERROR(VLOOKUP("design",Jazyky_ceník!$A:$Q,MATCH($W$17,Jazyky_ceník!$A$1:$Q$1,0),FALSE),"!!!"))</f>
        <v>design</v>
      </c>
      <c r="T623" s="569">
        <v>35</v>
      </c>
      <c r="U623" s="569">
        <v>40</v>
      </c>
      <c r="V623" s="569">
        <v>24</v>
      </c>
      <c r="W623" s="569" t="str">
        <f>IFERROR(IF(AND($AB623&gt;=0.1*$AA623,MOD($AB623,$AA623)&gt;=($AA623-(0.1*$AA623))),IF($W$17=$AF$1,"Zvažte možnost doobjednání ještě "&amp;Tabulka1[[#This Row],[VKPAL]]-MOD(AB623,AA623)&amp;" VK do plné palety.",VLOOKUP("Zvažte možnost doobjednání ještě ",Jazyky_ceník!A:Q,MATCH($W$17,Jazyky_ceník!$A$1:$Q$1,0),FALSE)&amp;Tabulka1[[#This Row],[VKPAL]]-MOD(AB623,AA623)&amp;VLOOKUP(" VK do plné palety.",Jazyky_ceník!A:Q,MATCH($W$17,Jazyky_ceník!$A$1:$Q$1,0),FALSE)),IFERROR(IF(AND(NOT(MOD($AB623,$AA623)=0),$AB623&gt;=0.9*$AA623,MOD($AB623,$AA623)&lt;=0.1*$AA623),IF($W$17=$AF$1,"Zvažte možnost optimalizace objednaného množství podle počtu VK na paletě ==&gt;",VLOOKUP("Zvažte možnost optimalizace objednaného množství podle počtu VK na paletě ==&gt;",Jazyky_ceník!A:Q,MATCH($W$17,Jazyky_ceník!$A$1:$Q$1,0),FALSE)),VLOOKUP('General price list'!$C623,Popisy!A:M,MATCH($W$17,Popisy!$A$7:$M$7,0),FALSE)),"---------------")),IFERROR(VLOOKUP('General price list'!$C623,Popisy!A:M,MATCH($W$17,Popisy!$A$7:$M$7,0),FALSE),"---------------"))</f>
        <v>5 různobarevných efektů měnících se po každé ráně</v>
      </c>
      <c r="X623" s="569" t="str">
        <f t="shared" si="1846"/>
        <v/>
      </c>
      <c r="Y623" s="569" t="str">
        <f t="shared" si="1847"/>
        <v/>
      </c>
      <c r="Z623" s="569" t="str">
        <f>HYPERLINK("https://www.klasekpyrotechnics.cz/c253th14")</f>
        <v>https://www.klasekpyrotechnics.cz/c253th14</v>
      </c>
      <c r="AA623" s="569">
        <f>IFERROR(IF(VLOOKUP(C623,[4]List1!$A:$D,4,FALSE)=0,"",VLOOKUP(C623,[4]List1!$A:$D,4,FALSE)),"")</f>
        <v>28</v>
      </c>
      <c r="AB623" s="565"/>
      <c r="AC623" s="570" t="str">
        <f>IFERROR(IF(VLOOKUP(C623,[1]List1!$A:$D,2,FALSE)="VYPRODÁNO",$V$9,IF(VLOOKUP(C623,[1]List1!$A:$D,2,FALSE)="DOCHÁZÍ",$V$3,VLOOKUP(C623,[1]List1!$A:$D,2,FALSE))),"OFFLINE!")</f>
        <v>SKLADEM</v>
      </c>
      <c r="AD623" s="570" t="str">
        <f ca="1">IF(AP623="NE",$V$10,IF(AC623=$V$3,IF(AQ623&lt;1,$V$8,$V$2&amp;" "&amp;AQ623&amp;" "&amp;$V$1),IF(AC623="SKLADEM",$V$6,IFERROR(IF(OR(AC623-TODAY()&gt;45,VLOOKUP(C623,[1]List1!$A:$E,4,FALSE)=0),AC623,DAY(AC623)&amp;"."&amp;MONTH(AC623)&amp;"."&amp;YEAR(AC623)&amp;" "&amp;$V$4&amp;VLOOKUP(C623,[1]List1!$A:$E,4,FALSE)&amp;" "&amp;$V$1),AC623))))</f>
        <v>SKLADEM</v>
      </c>
      <c r="AE623" s="581" t="str">
        <f t="shared" ca="1" si="1848"/>
        <v>SKLADEM</v>
      </c>
      <c r="AF623" s="584">
        <f t="shared" si="1849"/>
        <v>0</v>
      </c>
      <c r="AG623" s="585">
        <f t="shared" si="1850"/>
        <v>0</v>
      </c>
      <c r="AH623" s="583">
        <f t="shared" si="1851"/>
        <v>0</v>
      </c>
      <c r="AI623" s="582">
        <f t="shared" si="1852"/>
        <v>0</v>
      </c>
      <c r="AJ623" s="569">
        <f t="shared" si="1853"/>
        <v>0</v>
      </c>
      <c r="AK623" s="569" t="str">
        <f t="shared" si="1854"/>
        <v/>
      </c>
      <c r="AL623" s="569" t="str">
        <f t="shared" si="1855"/>
        <v/>
      </c>
      <c r="AM623" s="569">
        <f t="shared" si="1856"/>
        <v>0</v>
      </c>
      <c r="AN623" s="581">
        <f t="shared" si="1857"/>
        <v>0</v>
      </c>
      <c r="AO623" s="623"/>
      <c r="AP623" s="625" t="str">
        <f t="shared" si="1794"/>
        <v/>
      </c>
      <c r="AQ623" s="625" t="str">
        <f>IF(AC623=$V$3,IF(VLOOKUP(C623,[1]List1!$A:$E,5,FALSE)=0,1,VLOOKUP(C623,[1]List1!$A:$E,5,FALSE)),"")</f>
        <v/>
      </c>
      <c r="AR623" s="629" t="str">
        <f t="shared" si="1795"/>
        <v/>
      </c>
      <c r="AS623" s="630" t="str">
        <f t="shared" si="1796"/>
        <v/>
      </c>
      <c r="AT623" s="625" t="str">
        <f t="shared" si="1797"/>
        <v/>
      </c>
      <c r="AU623" s="625" t="e">
        <f t="shared" si="1798"/>
        <v>#N/A</v>
      </c>
      <c r="AV623" s="625" t="e">
        <f t="shared" si="1799"/>
        <v>#N/A</v>
      </c>
      <c r="AW623" s="631"/>
      <c r="AX623" s="631">
        <f>IF(AND('General price list'!$J623="F4",'General price list'!$AB623+0&gt;0),1,0)</f>
        <v>0</v>
      </c>
      <c r="AY623" s="631">
        <f t="shared" si="1800"/>
        <v>1</v>
      </c>
      <c r="AZ623" s="631">
        <f t="shared" si="1801"/>
        <v>0</v>
      </c>
    </row>
    <row r="624" spans="1:52" ht="15" customHeight="1">
      <c r="A624" s="639" t="str">
        <f>Kat.!C624</f>
        <v/>
      </c>
      <c r="B624" s="640">
        <f>IF(AND('General price list'!$J624="F4",$AI$1=FALSE),0,IF(AC624="SKLADEM",1,IF(AC624=$V$3,1,0)))</f>
        <v>1</v>
      </c>
      <c r="C624" s="641" t="s">
        <v>1293</v>
      </c>
      <c r="D624" s="642" t="s">
        <v>11893</v>
      </c>
      <c r="E624" s="643" t="s">
        <v>12746</v>
      </c>
      <c r="F624" s="791">
        <f>IFERROR(VLOOKUP(C624,[2]List1!$A:$D,3,FALSE),"NEUVEDENO!")</f>
        <v>499</v>
      </c>
      <c r="G624" s="770">
        <f t="shared" si="1844"/>
        <v>499</v>
      </c>
      <c r="H624" s="767">
        <f t="shared" si="1845"/>
        <v>21.196790321689967</v>
      </c>
      <c r="I624" s="644">
        <f>IFERROR(VLOOKUP(C624,[2]List1!$A:$D,4,FALSE),"NEUVEDENO!")</f>
        <v>6</v>
      </c>
      <c r="J624" s="733" t="s">
        <v>39</v>
      </c>
      <c r="K624" s="645" t="s">
        <v>11100</v>
      </c>
      <c r="L624" s="645" t="s">
        <v>10997</v>
      </c>
      <c r="M624" s="645" t="s">
        <v>21</v>
      </c>
      <c r="N624" s="645">
        <f>IFERROR(VLOOKUP(C624,[3]List1!$A:$D,4,FALSE),"N/A!")</f>
        <v>4.7652E-2</v>
      </c>
      <c r="O624" s="645">
        <f>IFERROR(VLOOKUP(C624,[3]List1!$A:$D,3,FALSE),"N/A!")</f>
        <v>2850</v>
      </c>
      <c r="P624" s="645">
        <f>IFERROR(VLOOKUP(C624,[3]List1!$A:$D,2,FALSE),"N/A!")</f>
        <v>19000</v>
      </c>
      <c r="Q624" s="645" t="s">
        <v>11314</v>
      </c>
      <c r="R624" s="645"/>
      <c r="S624" s="645" t="str">
        <f>IF($W$17=$AF$1,"design",IFERROR(VLOOKUP("design",Jazyky_ceník!$A:$Q,MATCH($W$17,Jazyky_ceník!$A$1:$Q$1,0),FALSE),"!!!"))</f>
        <v>design</v>
      </c>
      <c r="T624" s="645">
        <v>35</v>
      </c>
      <c r="U624" s="645">
        <v>40</v>
      </c>
      <c r="V624" s="645">
        <v>24</v>
      </c>
      <c r="W624" s="645" t="str">
        <f>IFERROR(IF(AND($AB624&gt;=0.1*$AA624,MOD($AB624,$AA624)&gt;=($AA624-(0.1*$AA624))),IF($W$17=$AF$1,"Zvažte možnost doobjednání ještě "&amp;Tabulka1[[#This Row],[VKPAL]]-MOD(AB624,AA624)&amp;" VK do plné palety.",VLOOKUP("Zvažte možnost doobjednání ještě ",Jazyky_ceník!A:Q,MATCH($W$17,Jazyky_ceník!$A$1:$Q$1,0),FALSE)&amp;Tabulka1[[#This Row],[VKPAL]]-MOD(AB624,AA624)&amp;VLOOKUP(" VK do plné palety.",Jazyky_ceník!A:Q,MATCH($W$17,Jazyky_ceník!$A$1:$Q$1,0),FALSE)),IFERROR(IF(AND(NOT(MOD($AB624,$AA624)=0),$AB624&gt;=0.9*$AA624,MOD($AB624,$AA624)&lt;=0.1*$AA624),IF($W$17=$AF$1,"Zvažte možnost optimalizace objednaného množství podle počtu VK na paletě ==&gt;",VLOOKUP("Zvažte možnost optimalizace objednaného množství podle počtu VK na paletě ==&gt;",Jazyky_ceník!A:Q,MATCH($W$17,Jazyky_ceník!$A$1:$Q$1,0),FALSE)),VLOOKUP('General price list'!$C624,Popisy!A:M,MATCH($W$17,Popisy!$A$7:$M$7,0),FALSE)),"---------------")),IFERROR(VLOOKUP('General price list'!$C624,Popisy!A:M,MATCH($W$17,Popisy!$A$7:$M$7,0),FALSE),"---------------"))</f>
        <v>5 různobarevných efektu</v>
      </c>
      <c r="X624" s="645" t="str">
        <f t="shared" si="1846"/>
        <v/>
      </c>
      <c r="Y624" s="645" t="str">
        <f t="shared" si="1847"/>
        <v/>
      </c>
      <c r="Z624" s="645" t="str">
        <f>HYPERLINK("https://www.klasekpyrotechnics.cz/c253e14")</f>
        <v>https://www.klasekpyrotechnics.cz/c253e14</v>
      </c>
      <c r="AA624" s="645">
        <f>IFERROR(IF(VLOOKUP(C624,[4]List1!$A:$D,4,FALSE)=0,"",VLOOKUP(C624,[4]List1!$A:$D,4,FALSE)),"")</f>
        <v>28</v>
      </c>
      <c r="AB624" s="646"/>
      <c r="AC624" s="647" t="str">
        <f>IFERROR(IF(VLOOKUP(C624,[1]List1!$A:$D,2,FALSE)="VYPRODÁNO",$V$9,IF(VLOOKUP(C624,[1]List1!$A:$D,2,FALSE)="DOCHÁZÍ",$V$3,VLOOKUP(C624,[1]List1!$A:$D,2,FALSE))),"OFFLINE!")</f>
        <v>SKLADEM</v>
      </c>
      <c r="AD624" s="647" t="str">
        <f ca="1">IF(AP624="NE",$V$10,IF(AC624=$V$3,IF(AQ624&lt;1,$V$8,$V$2&amp;" "&amp;AQ624&amp;" "&amp;$V$1),IF(AC624="SKLADEM",$V$6,IFERROR(IF(OR(AC624-TODAY()&gt;45,VLOOKUP(C624,[1]List1!$A:$E,4,FALSE)=0),AC624,DAY(AC624)&amp;"."&amp;MONTH(AC624)&amp;"."&amp;YEAR(AC624)&amp;" "&amp;$V$4&amp;VLOOKUP(C624,[1]List1!$A:$E,4,FALSE)&amp;" "&amp;$V$1),AC624))))</f>
        <v>SKLADEM</v>
      </c>
      <c r="AE624" s="645" t="str">
        <f t="shared" ca="1" si="1848"/>
        <v>SKLADEM</v>
      </c>
      <c r="AF624" s="648">
        <f t="shared" si="1849"/>
        <v>0</v>
      </c>
      <c r="AG624" s="649">
        <f t="shared" si="1850"/>
        <v>0</v>
      </c>
      <c r="AH624" s="650">
        <f t="shared" si="1851"/>
        <v>0</v>
      </c>
      <c r="AI624" s="645">
        <f t="shared" si="1852"/>
        <v>0</v>
      </c>
      <c r="AJ624" s="645">
        <f t="shared" si="1853"/>
        <v>0</v>
      </c>
      <c r="AK624" s="645" t="str">
        <f t="shared" si="1854"/>
        <v/>
      </c>
      <c r="AL624" s="645" t="str">
        <f t="shared" si="1855"/>
        <v/>
      </c>
      <c r="AM624" s="645">
        <f t="shared" si="1856"/>
        <v>0</v>
      </c>
      <c r="AN624" s="651">
        <f t="shared" si="1857"/>
        <v>0</v>
      </c>
      <c r="AO624" s="623"/>
      <c r="AP624" s="632" t="str">
        <f t="shared" si="1794"/>
        <v/>
      </c>
      <c r="AQ624" s="633" t="str">
        <f>IF(AC624=$V$3,IF(VLOOKUP(C624,[1]List1!$A:$E,5,FALSE)=0,1,VLOOKUP(C624,[1]List1!$A:$E,5,FALSE)),"")</f>
        <v/>
      </c>
      <c r="AR624" s="625" t="str">
        <f t="shared" si="1795"/>
        <v/>
      </c>
      <c r="AS624" s="634" t="str">
        <f t="shared" si="1796"/>
        <v/>
      </c>
      <c r="AT624" s="625" t="str">
        <f t="shared" si="1797"/>
        <v/>
      </c>
      <c r="AU624" s="638" t="e">
        <f t="shared" si="1798"/>
        <v>#N/A</v>
      </c>
      <c r="AV624" s="625" t="e">
        <f t="shared" si="1799"/>
        <v>#N/A</v>
      </c>
      <c r="AX624" s="625">
        <f>IF(AND('General price list'!$J624="F4",'General price list'!$AB624+0&gt;0),1,0)</f>
        <v>0</v>
      </c>
      <c r="AY624" s="625">
        <f t="shared" si="1800"/>
        <v>1</v>
      </c>
      <c r="AZ624" s="625">
        <f t="shared" si="1801"/>
        <v>0</v>
      </c>
    </row>
    <row r="625" spans="1:52" ht="15.75" customHeight="1">
      <c r="A625" s="751" t="str">
        <f>Kat.!C625</f>
        <v xml:space="preserve">           Baterie 25 ran, 30 mm moždíř – 1.4G</v>
      </c>
      <c r="B625" s="751"/>
      <c r="C625" s="751"/>
      <c r="D625" s="751"/>
      <c r="E625" s="751"/>
      <c r="F625" s="751"/>
      <c r="G625" s="751"/>
      <c r="H625" s="751"/>
      <c r="I625" s="752"/>
      <c r="J625" s="752"/>
      <c r="K625" s="752" t="s">
        <v>20</v>
      </c>
      <c r="L625" s="753" t="s">
        <v>2818</v>
      </c>
      <c r="M625" s="752"/>
      <c r="N625" s="752"/>
      <c r="O625" s="752"/>
      <c r="P625" s="752"/>
      <c r="Q625" s="752"/>
      <c r="R625" s="752"/>
      <c r="S625" s="752"/>
      <c r="T625" s="752"/>
      <c r="U625" s="752"/>
      <c r="V625" s="752"/>
      <c r="W625" s="752"/>
      <c r="X625" s="752"/>
      <c r="Y625" s="752"/>
      <c r="Z625" s="752" t="s">
        <v>20</v>
      </c>
      <c r="AA625" s="752"/>
      <c r="AB625" s="752"/>
      <c r="AC625" s="754"/>
      <c r="AD625" s="752"/>
      <c r="AE625" s="752"/>
      <c r="AF625" s="752"/>
      <c r="AG625" s="752"/>
      <c r="AH625" s="752"/>
      <c r="AI625" s="752"/>
      <c r="AJ625" s="752"/>
      <c r="AK625" s="752"/>
      <c r="AL625" s="752"/>
      <c r="AM625" s="752"/>
      <c r="AN625" s="752"/>
      <c r="AO625" s="623"/>
      <c r="AP625" s="625" t="str">
        <f t="shared" si="1794"/>
        <v/>
      </c>
      <c r="AQ625" s="625" t="str">
        <f>IF(AC625=$V$3,IF(VLOOKUP(C625,[1]List1!$A:$E,5,FALSE)=0,1,VLOOKUP(C625,[1]List1!$A:$E,5,FALSE)),"")</f>
        <v/>
      </c>
      <c r="AR625" s="629" t="str">
        <f t="shared" si="1795"/>
        <v/>
      </c>
      <c r="AS625" s="630" t="str">
        <f t="shared" si="1796"/>
        <v/>
      </c>
      <c r="AT625" s="625" t="str">
        <f t="shared" si="1797"/>
        <v/>
      </c>
      <c r="AU625" s="625" t="e">
        <f t="shared" si="1798"/>
        <v>#N/A</v>
      </c>
      <c r="AV625" s="625" t="e">
        <f t="shared" si="1799"/>
        <v>#N/A</v>
      </c>
      <c r="AW625" s="631"/>
      <c r="AX625" s="631">
        <f>IF(AND('General price list'!$J625="F4",'General price list'!$AB625+0&gt;0),1,0)</f>
        <v>0</v>
      </c>
      <c r="AY625" s="631">
        <f t="shared" si="1800"/>
        <v>0</v>
      </c>
      <c r="AZ625" s="631">
        <f t="shared" si="1801"/>
        <v>0</v>
      </c>
    </row>
    <row r="626" spans="1:52" ht="15" customHeight="1">
      <c r="A626" s="639" t="str">
        <f>Kat.!C626</f>
        <v/>
      </c>
      <c r="B626" s="640">
        <f>IF(AND('General price list'!$J626="F4",$AI$1=FALSE),0,IF(AC626="SKLADEM",1,IF(AC626=$V$3,1,0)))</f>
        <v>1</v>
      </c>
      <c r="C626" s="641" t="s">
        <v>1304</v>
      </c>
      <c r="D626" s="642" t="s">
        <v>1299</v>
      </c>
      <c r="E626" s="643" t="s">
        <v>12746</v>
      </c>
      <c r="F626" s="791">
        <f>IFERROR(VLOOKUP(C626,[2]List1!$A:$D,3,FALSE),"NEUVEDENO!")</f>
        <v>499</v>
      </c>
      <c r="G626" s="770">
        <f t="shared" ref="G626" si="1858">IF($W$17=$AF$8,ROUND((F626)/$F$17,2),(F626)*$B$19)</f>
        <v>499</v>
      </c>
      <c r="H626" s="767">
        <f t="shared" ref="H626" si="1859">IF($W$17=$AF$8,G626*$B$19,G626/$F$17)</f>
        <v>21.196790321689967</v>
      </c>
      <c r="I626" s="644">
        <f>IFERROR(VLOOKUP(C626,[2]List1!$A:$D,4,FALSE),"NEUVEDENO!")</f>
        <v>6</v>
      </c>
      <c r="J626" s="733" t="s">
        <v>39</v>
      </c>
      <c r="K626" s="645" t="s">
        <v>11100</v>
      </c>
      <c r="L626" s="645" t="s">
        <v>10997</v>
      </c>
      <c r="M626" s="645" t="s">
        <v>21</v>
      </c>
      <c r="N626" s="645">
        <f>IFERROR(VLOOKUP(C626,[3]List1!$A:$D,4,FALSE),"N/A!")</f>
        <v>4.7652E-2</v>
      </c>
      <c r="O626" s="645">
        <f>IFERROR(VLOOKUP(C626,[3]List1!$A:$D,3,FALSE),"N/A!")</f>
        <v>2850</v>
      </c>
      <c r="P626" s="645">
        <f>IFERROR(VLOOKUP(C626,[3]List1!$A:$D,2,FALSE),"N/A!")</f>
        <v>17500</v>
      </c>
      <c r="Q626" s="645" t="s">
        <v>11288</v>
      </c>
      <c r="R626" s="645"/>
      <c r="S626" s="645" t="str">
        <f>IF($W$17=$AF$1,"design",IFERROR(VLOOKUP("design",Jazyky_ceník!$A:$Q,MATCH($W$17,Jazyky_ceník!$A$1:$Q$1,0),FALSE),"!!!"))</f>
        <v>design</v>
      </c>
      <c r="T626" s="645">
        <v>35</v>
      </c>
      <c r="U626" s="645">
        <v>40</v>
      </c>
      <c r="V626" s="645">
        <v>24</v>
      </c>
      <c r="W626" s="645" t="str">
        <f>IFERROR(IF(AND($AB626&gt;=0.1*$AA626,MOD($AB626,$AA626)&gt;=($AA626-(0.1*$AA626))),IF($W$17=$AF$1,"Zvažte možnost doobjednání ještě "&amp;Tabulka1[[#This Row],[VKPAL]]-MOD(AB626,AA626)&amp;" VK do plné palety.",VLOOKUP("Zvažte možnost doobjednání ještě ",Jazyky_ceník!A:Q,MATCH($W$17,Jazyky_ceník!$A$1:$Q$1,0),FALSE)&amp;Tabulka1[[#This Row],[VKPAL]]-MOD(AB626,AA626)&amp;VLOOKUP(" VK do plné palety.",Jazyky_ceník!A:Q,MATCH($W$17,Jazyky_ceník!$A$1:$Q$1,0),FALSE)),IFERROR(IF(AND(NOT(MOD($AB626,$AA626)=0),$AB626&gt;=0.9*$AA626,MOD($AB626,$AA626)&lt;=0.1*$AA626),IF($W$17=$AF$1,"Zvažte možnost optimalizace objednaného množství podle počtu VK na paletě ==&gt;",VLOOKUP("Zvažte možnost optimalizace objednaného množství podle počtu VK na paletě ==&gt;",Jazyky_ceník!A:Q,MATCH($W$17,Jazyky_ceník!$A$1:$Q$1,0),FALSE)),VLOOKUP('General price list'!$C626,Popisy!A:M,MATCH($W$17,Popisy!$A$7:$M$7,0),FALSE)),"---------------")),IFERROR(VLOOKUP('General price list'!$C626,Popisy!A:M,MATCH($W$17,Popisy!$A$7:$M$7,0),FALSE),"---------------"))</f>
        <v>brokátová koruna s fialovými konci</v>
      </c>
      <c r="X626" s="645" t="str">
        <f t="shared" ref="X626" si="1860">IF(AB626&lt;0.0001,"",AB626)</f>
        <v/>
      </c>
      <c r="Y626" s="645" t="str">
        <f t="shared" ref="Y626" si="1861">IF($AL$3=2,IF(OR(AB626&lt;&gt;"",AB626&lt;&gt;0),AU626,""),IF(C626="","",IF(AB626&lt;0.0001,"",IF(B626=0,"",IF(AQ626&lt;AB626,"",AB626)))))</f>
        <v/>
      </c>
      <c r="Z626" s="645" t="str">
        <f>HYPERLINK("https://www.klasekpyrotechnics.cz/c253f14")</f>
        <v>https://www.klasekpyrotechnics.cz/c253f14</v>
      </c>
      <c r="AA626" s="645">
        <f>IFERROR(IF(VLOOKUP(C626,[4]List1!$A:$D,4,FALSE)=0,"",VLOOKUP(C626,[4]List1!$A:$D,4,FALSE)),"")</f>
        <v>28</v>
      </c>
      <c r="AB626" s="646"/>
      <c r="AC626" s="647" t="str">
        <f>IFERROR(IF(VLOOKUP(C626,[1]List1!$A:$D,2,FALSE)="VYPRODÁNO",$V$9,IF(VLOOKUP(C626,[1]List1!$A:$D,2,FALSE)="DOCHÁZÍ",$V$3,VLOOKUP(C626,[1]List1!$A:$D,2,FALSE))),"OFFLINE!")</f>
        <v>SKLADEM</v>
      </c>
      <c r="AD626" s="647" t="str">
        <f ca="1">IF(AP626="NE",$V$10,IF(AC626=$V$3,IF(AQ626&lt;1,$V$8,$V$2&amp;" "&amp;AQ626&amp;" "&amp;$V$1),IF(AC626="SKLADEM",$V$6,IFERROR(IF(OR(AC626-TODAY()&gt;45,VLOOKUP(C626,[1]List1!$A:$E,4,FALSE)=0),AC626,DAY(AC626)&amp;"."&amp;MONTH(AC626)&amp;"."&amp;YEAR(AC626)&amp;" "&amp;$V$4&amp;VLOOKUP(C626,[1]List1!$A:$E,4,FALSE)&amp;" "&amp;$V$1),AC626))))</f>
        <v>SKLADEM</v>
      </c>
      <c r="AE626" s="645" t="str">
        <f t="shared" ref="AE626" ca="1" si="1862">IFERROR(IF(AV626&lt;&gt;"",AV626,AD626),AD626)</f>
        <v>SKLADEM</v>
      </c>
      <c r="AF626" s="648">
        <f t="shared" ref="AF626" si="1863">IFERROR(IF(AB626=Y626,G626*I626*Y626,0),0)</f>
        <v>0</v>
      </c>
      <c r="AG626" s="649">
        <f t="shared" ref="AG626" si="1864">IF($W$17=$AF$8,AH626*1.23,AF626*1.21)</f>
        <v>0</v>
      </c>
      <c r="AH626" s="650">
        <f t="shared" ref="AH626" si="1865">IFERROR(IF(Y626=AB626,H626*I626*Y626,0),0)</f>
        <v>0</v>
      </c>
      <c r="AI626" s="645">
        <f t="shared" ref="AI626" si="1866">IFERROR(IF(Y626=AB626,(P626*Y626)/1000,1),0)</f>
        <v>0</v>
      </c>
      <c r="AJ626" s="645">
        <f t="shared" ref="AJ626" si="1867">IFERROR(IF(Y626=AB626,N626*Y626,0.1),0)</f>
        <v>0</v>
      </c>
      <c r="AK626" s="645" t="str">
        <f t="shared" ref="AK626" si="1868">IFERROR(IF(Y626=AB626,IF(M626="1.1G",(O626/1000)*Y626,""),""),0)</f>
        <v/>
      </c>
      <c r="AL626" s="645" t="str">
        <f t="shared" ref="AL626" si="1869">IFERROR(IF(Y626=AB626,IF(M626="1.3G",(O626/1000)*AB626,""),""),0)</f>
        <v/>
      </c>
      <c r="AM626" s="645">
        <f t="shared" ref="AM626" si="1870">IFERROR(IF(Y626=AB626,IF(M626="1.4G",(O626/1000)*AB626,""),""),0)</f>
        <v>0</v>
      </c>
      <c r="AN626" s="651">
        <f t="shared" ref="AN626" si="1871">SUM(AK626:AM626)</f>
        <v>0</v>
      </c>
      <c r="AO626" s="623"/>
      <c r="AP626" s="632" t="str">
        <f t="shared" si="1794"/>
        <v/>
      </c>
      <c r="AQ626" s="633" t="str">
        <f>IF(AC626=$V$3,IF(VLOOKUP(C626,[1]List1!$A:$E,5,FALSE)=0,1,VLOOKUP(C626,[1]List1!$A:$E,5,FALSE)),"")</f>
        <v/>
      </c>
      <c r="AR626" s="625" t="str">
        <f t="shared" si="1795"/>
        <v/>
      </c>
      <c r="AS626" s="634" t="str">
        <f t="shared" si="1796"/>
        <v/>
      </c>
      <c r="AT626" s="625" t="str">
        <f t="shared" si="1797"/>
        <v/>
      </c>
      <c r="AU626" s="638" t="e">
        <f t="shared" si="1798"/>
        <v>#N/A</v>
      </c>
      <c r="AV626" s="625" t="e">
        <f t="shared" si="1799"/>
        <v>#N/A</v>
      </c>
      <c r="AX626" s="625">
        <f>IF(AND('General price list'!$J626="F4",'General price list'!$AB626+0&gt;0),1,0)</f>
        <v>0</v>
      </c>
      <c r="AY626" s="625">
        <f t="shared" si="1800"/>
        <v>1</v>
      </c>
      <c r="AZ626" s="625">
        <f t="shared" si="1801"/>
        <v>0</v>
      </c>
    </row>
    <row r="627" spans="1:52" ht="15" customHeight="1">
      <c r="A627" s="751" t="str">
        <f>Kat.!C627</f>
        <v xml:space="preserve">           Baterie 25 ran, 30 mm šikmý moždíř – 1.4G</v>
      </c>
      <c r="B627" s="751"/>
      <c r="C627" s="751"/>
      <c r="D627" s="751"/>
      <c r="E627" s="751"/>
      <c r="F627" s="751"/>
      <c r="G627" s="751"/>
      <c r="H627" s="751"/>
      <c r="I627" s="752"/>
      <c r="J627" s="752"/>
      <c r="K627" s="752" t="s">
        <v>20</v>
      </c>
      <c r="L627" s="753" t="s">
        <v>2818</v>
      </c>
      <c r="M627" s="752"/>
      <c r="N627" s="752"/>
      <c r="O627" s="752"/>
      <c r="P627" s="752"/>
      <c r="Q627" s="752"/>
      <c r="R627" s="752"/>
      <c r="S627" s="752"/>
      <c r="T627" s="752"/>
      <c r="U627" s="752"/>
      <c r="V627" s="752"/>
      <c r="W627" s="752"/>
      <c r="X627" s="752"/>
      <c r="Y627" s="752"/>
      <c r="Z627" s="752" t="s">
        <v>20</v>
      </c>
      <c r="AA627" s="752"/>
      <c r="AB627" s="752"/>
      <c r="AC627" s="754"/>
      <c r="AD627" s="752"/>
      <c r="AE627" s="752"/>
      <c r="AF627" s="752"/>
      <c r="AG627" s="752"/>
      <c r="AH627" s="752"/>
      <c r="AI627" s="752"/>
      <c r="AJ627" s="752"/>
      <c r="AK627" s="752"/>
      <c r="AL627" s="752"/>
      <c r="AM627" s="752"/>
      <c r="AN627" s="752"/>
      <c r="AO627" s="623"/>
      <c r="AP627" s="632" t="str">
        <f t="shared" si="1794"/>
        <v/>
      </c>
      <c r="AQ627" s="633" t="str">
        <f>IF(AC627=$V$3,IF(VLOOKUP(C627,[1]List1!$A:$E,5,FALSE)=0,1,VLOOKUP(C627,[1]List1!$A:$E,5,FALSE)),"")</f>
        <v/>
      </c>
      <c r="AR627" s="625" t="str">
        <f t="shared" si="1795"/>
        <v/>
      </c>
      <c r="AS627" s="634" t="str">
        <f t="shared" si="1796"/>
        <v/>
      </c>
      <c r="AT627" s="625" t="str">
        <f t="shared" si="1797"/>
        <v/>
      </c>
      <c r="AU627" s="638" t="e">
        <f t="shared" si="1798"/>
        <v>#N/A</v>
      </c>
      <c r="AV627" s="625" t="e">
        <f t="shared" si="1799"/>
        <v>#N/A</v>
      </c>
      <c r="AX627" s="625">
        <f>IF(AND('General price list'!$J627="F4",'General price list'!$AB627+0&gt;0),1,0)</f>
        <v>0</v>
      </c>
      <c r="AY627" s="625">
        <f t="shared" si="1800"/>
        <v>0</v>
      </c>
      <c r="AZ627" s="625">
        <f t="shared" si="1801"/>
        <v>0</v>
      </c>
    </row>
    <row r="628" spans="1:52" ht="15" customHeight="1">
      <c r="A628" s="639" t="str">
        <f>Kat.!C628</f>
        <v>×</v>
      </c>
      <c r="B628" s="640">
        <f>IF(AND('General price list'!$J628="F4",$AI$1=FALSE),0,IF(AC628="SKLADEM",1,IF(AC628=$V$3,1,0)))</f>
        <v>0</v>
      </c>
      <c r="C628" s="641" t="s">
        <v>1308</v>
      </c>
      <c r="D628" s="642" t="s">
        <v>1306</v>
      </c>
      <c r="E628" s="643" t="s">
        <v>12746</v>
      </c>
      <c r="F628" s="791">
        <f>IFERROR(VLOOKUP(C628,[2]List1!$A:$D,3,FALSE),"NEUVEDENO!")</f>
        <v>569</v>
      </c>
      <c r="G628" s="768">
        <f t="shared" ref="G628:G630" si="1872">IF($W$17=$AF$8,ROUND((F628)/$F$17,2),(F628)*$B$19)</f>
        <v>569</v>
      </c>
      <c r="H628" s="765">
        <f t="shared" ref="H628:H630" si="1873">IF($W$17=$AF$8,G628*$B$19,G628/$F$17)</f>
        <v>24.170287962007198</v>
      </c>
      <c r="I628" s="644">
        <f>IFERROR(VLOOKUP(C628,[2]List1!$A:$D,4,FALSE),"NEUVEDENO!")</f>
        <v>6</v>
      </c>
      <c r="J628" s="733" t="s">
        <v>39</v>
      </c>
      <c r="K628" s="645" t="s">
        <v>11100</v>
      </c>
      <c r="L628" s="645" t="s">
        <v>10998</v>
      </c>
      <c r="M628" s="645" t="s">
        <v>21</v>
      </c>
      <c r="N628" s="645">
        <f>IFERROR(VLOOKUP(C628,[3]List1!$A:$D,4,FALSE),"N/A!")</f>
        <v>8.3071999999999993E-2</v>
      </c>
      <c r="O628" s="645">
        <f>IFERROR(VLOOKUP(C628,[3]List1!$A:$D,3,FALSE),"N/A!")</f>
        <v>2850</v>
      </c>
      <c r="P628" s="645">
        <f>IFERROR(VLOOKUP(C628,[3]List1!$A:$D,2,FALSE),"N/A!")</f>
        <v>20000</v>
      </c>
      <c r="Q628" s="645" t="s">
        <v>11315</v>
      </c>
      <c r="R628" s="645" t="s">
        <v>20</v>
      </c>
      <c r="S628" s="645" t="str">
        <f>IF($W$17=$AF$1,"design",IFERROR(VLOOKUP("design",Jazyky_ceník!$A:$Q,MATCH($W$17,Jazyky_ceník!$A$1:$Q$1,0),FALSE),"!!!"))</f>
        <v>design</v>
      </c>
      <c r="T628" s="645">
        <v>35</v>
      </c>
      <c r="U628" s="645">
        <v>40</v>
      </c>
      <c r="V628" s="645">
        <v>24</v>
      </c>
      <c r="W628" s="645" t="str">
        <f>IFERROR(IF(AND($AB628&gt;=0.1*$AA628,MOD($AB628,$AA628)&gt;=($AA628-(0.1*$AA628))),IF($W$17=$AF$1,"Zvažte možnost doobjednání ještě "&amp;Tabulka1[[#This Row],[VKPAL]]-MOD(AB628,AA628)&amp;" VK do plné palety.",VLOOKUP("Zvažte možnost doobjednání ještě ",Jazyky_ceník!A:Q,MATCH($W$17,Jazyky_ceník!$A$1:$Q$1,0),FALSE)&amp;Tabulka1[[#This Row],[VKPAL]]-MOD(AB628,AA628)&amp;VLOOKUP(" VK do plné palety.",Jazyky_ceník!A:Q,MATCH($W$17,Jazyky_ceník!$A$1:$Q$1,0),FALSE)),IFERROR(IF(AND(NOT(MOD($AB628,$AA628)=0),$AB628&gt;=0.9*$AA628,MOD($AB628,$AA628)&lt;=0.1*$AA628),IF($W$17=$AF$1,"Zvažte možnost optimalizace objednaného množství podle počtu VK na paletě ==&gt;",VLOOKUP("Zvažte možnost optimalizace objednaného množství podle počtu VK na paletě ==&gt;",Jazyky_ceník!A:Q,MATCH($W$17,Jazyky_ceník!$A$1:$Q$1,0),FALSE)),VLOOKUP('General price list'!$C628,Popisy!A:M,MATCH($W$17,Popisy!$A$7:$M$7,0),FALSE)),"---------------")),IFERROR(VLOOKUP('General price list'!$C628,Popisy!A:M,MATCH($W$17,Popisy!$A$7:$M$7,0),FALSE),"---------------"))</f>
        <v>5 různobarevných efektu</v>
      </c>
      <c r="X628" s="645" t="str">
        <f t="shared" ref="X628:X630" si="1874">IF(AB628&lt;0.0001,"",AB628)</f>
        <v/>
      </c>
      <c r="Y628" s="645" t="str">
        <f t="shared" ref="Y628:Y630" si="1875">IF($AL$3=2,IF(OR(AB628&lt;&gt;"",AB628&lt;&gt;0),AU628,""),IF(C628="","",IF(AB628&lt;0.0001,"",IF(B628=0,"",IF(AQ628&lt;AB628,"",AB628)))))</f>
        <v/>
      </c>
      <c r="Z628" s="645" t="str">
        <f>HYPERLINK("https://www.klasekpyrotechnics.cz/cf253r14")</f>
        <v>https://www.klasekpyrotechnics.cz/cf253r14</v>
      </c>
      <c r="AA628" s="645">
        <f>IFERROR(IF(VLOOKUP(C628,[4]List1!$A:$D,4,FALSE)=0,"",VLOOKUP(C628,[4]List1!$A:$D,4,FALSE)),"")</f>
        <v>16</v>
      </c>
      <c r="AB628" s="646"/>
      <c r="AC628" s="647" t="str">
        <f>IFERROR(IF(VLOOKUP(C628,[1]List1!$A:$D,2,FALSE)="VYPRODÁNO",$V$9,IF(VLOOKUP(C628,[1]List1!$A:$D,2,FALSE)="DOCHÁZÍ",$V$3,VLOOKUP(C628,[1]List1!$A:$D,2,FALSE))),"OFFLINE!")</f>
        <v>VYPRODÁNO</v>
      </c>
      <c r="AD628" s="647" t="str">
        <f ca="1">IF(AP628="NE",$V$10,IF(AC628=$V$3,IF(AQ628&lt;1,$V$8,$V$2&amp;" "&amp;AQ628&amp;" "&amp;$V$1),IF(AC628="SKLADEM",$V$6,IFERROR(IF(OR(AC628-TODAY()&gt;45,VLOOKUP(C628,[1]List1!$A:$E,4,FALSE)=0),AC628,DAY(AC628)&amp;"."&amp;MONTH(AC628)&amp;"."&amp;YEAR(AC628)&amp;" "&amp;$V$4&amp;VLOOKUP(C628,[1]List1!$A:$E,4,FALSE)&amp;" "&amp;$V$1),AC628))))</f>
        <v>VYPRODÁNO</v>
      </c>
      <c r="AE628" s="645" t="str">
        <f t="shared" ref="AE628:AE630" ca="1" si="1876">IFERROR(IF(AV628&lt;&gt;"",AV628,AD628),AD628)</f>
        <v>VYPRODÁNO</v>
      </c>
      <c r="AF628" s="648">
        <f t="shared" ref="AF628:AF630" si="1877">IFERROR(IF(AB628=Y628,G628*I628*Y628,0),0)</f>
        <v>0</v>
      </c>
      <c r="AG628" s="649">
        <f t="shared" ref="AG628:AG630" si="1878">IF($W$17=$AF$8,AH628*1.23,AF628*1.21)</f>
        <v>0</v>
      </c>
      <c r="AH628" s="650">
        <f t="shared" ref="AH628:AH630" si="1879">IFERROR(IF(Y628=AB628,H628*I628*Y628,0),0)</f>
        <v>0</v>
      </c>
      <c r="AI628" s="645">
        <f t="shared" ref="AI628:AI630" si="1880">IFERROR(IF(Y628=AB628,(P628*Y628)/1000,1),0)</f>
        <v>0</v>
      </c>
      <c r="AJ628" s="645">
        <f t="shared" ref="AJ628:AJ630" si="1881">IFERROR(IF(Y628=AB628,N628*Y628,0.1),0)</f>
        <v>0</v>
      </c>
      <c r="AK628" s="645" t="str">
        <f t="shared" ref="AK628:AK630" si="1882">IFERROR(IF(Y628=AB628,IF(M628="1.1G",(O628/1000)*Y628,""),""),0)</f>
        <v/>
      </c>
      <c r="AL628" s="645" t="str">
        <f t="shared" ref="AL628:AL630" si="1883">IFERROR(IF(Y628=AB628,IF(M628="1.3G",(O628/1000)*AB628,""),""),0)</f>
        <v/>
      </c>
      <c r="AM628" s="645">
        <f t="shared" ref="AM628:AM630" si="1884">IFERROR(IF(Y628=AB628,IF(M628="1.4G",(O628/1000)*AB628,""),""),0)</f>
        <v>0</v>
      </c>
      <c r="AN628" s="651">
        <f t="shared" ref="AN628:AN630" si="1885">SUM(AK628:AM628)</f>
        <v>0</v>
      </c>
      <c r="AO628" s="623"/>
      <c r="AP628" s="632" t="str">
        <f t="shared" si="1794"/>
        <v/>
      </c>
      <c r="AQ628" s="633" t="str">
        <f>IF(AC628=$V$3,IF(VLOOKUP(C628,[1]List1!$A:$E,5,FALSE)=0,1,VLOOKUP(C628,[1]List1!$A:$E,5,FALSE)),"")</f>
        <v/>
      </c>
      <c r="AR628" s="625" t="str">
        <f t="shared" si="1795"/>
        <v/>
      </c>
      <c r="AS628" s="634" t="str">
        <f t="shared" si="1796"/>
        <v/>
      </c>
      <c r="AT628" s="625" t="str">
        <f t="shared" si="1797"/>
        <v/>
      </c>
      <c r="AU628" s="638" t="e">
        <f t="shared" si="1798"/>
        <v>#N/A</v>
      </c>
      <c r="AV628" s="625" t="e">
        <f t="shared" si="1799"/>
        <v>#N/A</v>
      </c>
      <c r="AX628" s="625">
        <f>IF(AND('General price list'!$J628="F4",'General price list'!$AB628+0&gt;0),1,0)</f>
        <v>0</v>
      </c>
      <c r="AY628" s="625">
        <f t="shared" si="1800"/>
        <v>1</v>
      </c>
      <c r="AZ628" s="625">
        <f t="shared" si="1801"/>
        <v>0</v>
      </c>
    </row>
    <row r="629" spans="1:52" ht="15" customHeight="1">
      <c r="A629" s="621" t="str">
        <f>Kat.!C629</f>
        <v/>
      </c>
      <c r="B629" s="566">
        <f>IF(AND('General price list'!$J629="F4",$AI$1=FALSE),0,IF(AC629="SKLADEM",1,IF(AC629=$V$3,1,0)))</f>
        <v>1</v>
      </c>
      <c r="C629" s="567" t="s">
        <v>1309</v>
      </c>
      <c r="D629" s="568" t="s">
        <v>12410</v>
      </c>
      <c r="E629" s="763" t="s">
        <v>12746</v>
      </c>
      <c r="F629" s="791">
        <f>IFERROR(VLOOKUP(C629,[2]List1!$A:$D,3,FALSE),"NEUVEDENO!")</f>
        <v>569</v>
      </c>
      <c r="G629" s="769">
        <f t="shared" si="1872"/>
        <v>569</v>
      </c>
      <c r="H629" s="766">
        <f t="shared" si="1873"/>
        <v>24.170287962007198</v>
      </c>
      <c r="I629" s="764">
        <f>IFERROR(VLOOKUP(C629,[2]List1!$A:$D,4,FALSE),"NEUVEDENO!")</f>
        <v>6</v>
      </c>
      <c r="J629" s="732" t="s">
        <v>39</v>
      </c>
      <c r="K629" s="569" t="s">
        <v>11100</v>
      </c>
      <c r="L629" s="569" t="s">
        <v>10973</v>
      </c>
      <c r="M629" s="569" t="s">
        <v>21</v>
      </c>
      <c r="N629" s="569">
        <f>IFERROR(VLOOKUP(C629,[3]List1!$A:$D,4,FALSE),"N/A!")</f>
        <v>8.3071999999999993E-2</v>
      </c>
      <c r="O629" s="569">
        <f>IFERROR(VLOOKUP(C629,[3]List1!$A:$D,3,FALSE),"N/A!")</f>
        <v>2850</v>
      </c>
      <c r="P629" s="569">
        <f>IFERROR(VLOOKUP(C629,[3]List1!$A:$D,2,FALSE),"N/A!")</f>
        <v>20000</v>
      </c>
      <c r="Q629" s="569" t="s">
        <v>11315</v>
      </c>
      <c r="R629" s="569" t="s">
        <v>20</v>
      </c>
      <c r="S629" s="569" t="str">
        <f>IF($W$17=$AF$1,"design",IFERROR(VLOOKUP("design",Jazyky_ceník!$A:$Q,MATCH($W$17,Jazyky_ceník!$A$1:$Q$1,0),FALSE),"!!!"))</f>
        <v>design</v>
      </c>
      <c r="T629" s="569">
        <v>35</v>
      </c>
      <c r="U629" s="569">
        <v>40</v>
      </c>
      <c r="V629" s="569">
        <v>24</v>
      </c>
      <c r="W629" s="569" t="str">
        <f>IFERROR(IF(AND($AB629&gt;=0.1*$AA629,MOD($AB629,$AA629)&gt;=($AA629-(0.1*$AA629))),IF($W$17=$AF$1,"Zvažte možnost doobjednání ještě "&amp;Tabulka1[[#This Row],[VKPAL]]-MOD(AB629,AA629)&amp;" VK do plné palety.",VLOOKUP("Zvažte možnost doobjednání ještě ",Jazyky_ceník!A:Q,MATCH($W$17,Jazyky_ceník!$A$1:$Q$1,0),FALSE)&amp;Tabulka1[[#This Row],[VKPAL]]-MOD(AB629,AA629)&amp;VLOOKUP(" VK do plné palety.",Jazyky_ceník!A:Q,MATCH($W$17,Jazyky_ceník!$A$1:$Q$1,0),FALSE)),IFERROR(IF(AND(NOT(MOD($AB629,$AA629)=0),$AB629&gt;=0.9*$AA629,MOD($AB629,$AA629)&lt;=0.1*$AA629),IF($W$17=$AF$1,"Zvažte možnost optimalizace objednaného množství podle počtu VK na paletě ==&gt;",VLOOKUP("Zvažte možnost optimalizace objednaného množství podle počtu VK na paletě ==&gt;",Jazyky_ceník!A:Q,MATCH($W$17,Jazyky_ceník!$A$1:$Q$1,0),FALSE)),VLOOKUP('General price list'!$C629,Popisy!A:M,MATCH($W$17,Popisy!$A$7:$M$7,0),FALSE)),"---------------")),IFERROR(VLOOKUP('General price list'!$C629,Popisy!A:M,MATCH($W$17,Popisy!$A$7:$M$7,0),FALSE),"---------------"))</f>
        <v>5 různobarevných efektů měnících se po každé ráně</v>
      </c>
      <c r="X629" s="569" t="str">
        <f t="shared" si="1874"/>
        <v/>
      </c>
      <c r="Y629" s="569" t="str">
        <f t="shared" si="1875"/>
        <v/>
      </c>
      <c r="Z629" s="569" t="str">
        <f>HYPERLINK("https://www.klasekpyrotechnics.cz/cf253d14")</f>
        <v>https://www.klasekpyrotechnics.cz/cf253d14</v>
      </c>
      <c r="AA629" s="569">
        <f>IFERROR(IF(VLOOKUP(C629,[4]List1!$A:$D,4,FALSE)=0,"",VLOOKUP(C629,[4]List1!$A:$D,4,FALSE)),"")</f>
        <v>16</v>
      </c>
      <c r="AB629" s="565"/>
      <c r="AC629" s="570" t="str">
        <f>IFERROR(IF(VLOOKUP(C629,[1]List1!$A:$D,2,FALSE)="VYPRODÁNO",$V$9,IF(VLOOKUP(C629,[1]List1!$A:$D,2,FALSE)="DOCHÁZÍ",$V$3,VLOOKUP(C629,[1]List1!$A:$D,2,FALSE))),"OFFLINE!")</f>
        <v>SKLADEM</v>
      </c>
      <c r="AD629" s="570" t="str">
        <f ca="1">IF(AP629="NE",$V$10,IF(AC629=$V$3,IF(AQ629&lt;1,$V$8,$V$2&amp;" "&amp;AQ629&amp;" "&amp;$V$1),IF(AC629="SKLADEM",$V$6,IFERROR(IF(OR(AC629-TODAY()&gt;45,VLOOKUP(C629,[1]List1!$A:$E,4,FALSE)=0),AC629,DAY(AC629)&amp;"."&amp;MONTH(AC629)&amp;"."&amp;YEAR(AC629)&amp;" "&amp;$V$4&amp;VLOOKUP(C629,[1]List1!$A:$E,4,FALSE)&amp;" "&amp;$V$1),AC629))))</f>
        <v>SKLADEM</v>
      </c>
      <c r="AE629" s="581" t="str">
        <f t="shared" ca="1" si="1876"/>
        <v>SKLADEM</v>
      </c>
      <c r="AF629" s="584">
        <f t="shared" si="1877"/>
        <v>0</v>
      </c>
      <c r="AG629" s="585">
        <f t="shared" si="1878"/>
        <v>0</v>
      </c>
      <c r="AH629" s="583">
        <f t="shared" si="1879"/>
        <v>0</v>
      </c>
      <c r="AI629" s="582">
        <f t="shared" si="1880"/>
        <v>0</v>
      </c>
      <c r="AJ629" s="569">
        <f t="shared" si="1881"/>
        <v>0</v>
      </c>
      <c r="AK629" s="569" t="str">
        <f t="shared" si="1882"/>
        <v/>
      </c>
      <c r="AL629" s="569" t="str">
        <f t="shared" si="1883"/>
        <v/>
      </c>
      <c r="AM629" s="569">
        <f t="shared" si="1884"/>
        <v>0</v>
      </c>
      <c r="AN629" s="581">
        <f t="shared" si="1885"/>
        <v>0</v>
      </c>
      <c r="AO629" s="623"/>
      <c r="AP629" s="632" t="str">
        <f t="shared" si="1794"/>
        <v/>
      </c>
      <c r="AQ629" s="633" t="str">
        <f>IF(AC629=$V$3,IF(VLOOKUP(C629,[1]List1!$A:$E,5,FALSE)=0,1,VLOOKUP(C629,[1]List1!$A:$E,5,FALSE)),"")</f>
        <v/>
      </c>
      <c r="AR629" s="625" t="str">
        <f t="shared" si="1795"/>
        <v/>
      </c>
      <c r="AS629" s="634" t="str">
        <f t="shared" si="1796"/>
        <v/>
      </c>
      <c r="AT629" s="625" t="str">
        <f t="shared" si="1797"/>
        <v/>
      </c>
      <c r="AU629" s="638" t="e">
        <f t="shared" si="1798"/>
        <v>#N/A</v>
      </c>
      <c r="AV629" s="625" t="e">
        <f t="shared" si="1799"/>
        <v>#N/A</v>
      </c>
      <c r="AX629" s="625">
        <f>IF(AND('General price list'!$J629="F4",'General price list'!$AB629+0&gt;0),1,0)</f>
        <v>0</v>
      </c>
      <c r="AY629" s="625">
        <f t="shared" si="1800"/>
        <v>1</v>
      </c>
      <c r="AZ629" s="625">
        <f t="shared" si="1801"/>
        <v>0</v>
      </c>
    </row>
    <row r="630" spans="1:52" ht="15" customHeight="1">
      <c r="A630" s="639" t="str">
        <f>Kat.!C630</f>
        <v/>
      </c>
      <c r="B630" s="640">
        <f>IF(AND('General price list'!$J630="F4",$AI$1=FALSE),0,IF(AC630="SKLADEM",1,IF(AC630=$V$3,1,0)))</f>
        <v>1</v>
      </c>
      <c r="C630" s="567" t="s">
        <v>1310</v>
      </c>
      <c r="D630" s="642" t="s">
        <v>1307</v>
      </c>
      <c r="E630" s="643" t="s">
        <v>12746</v>
      </c>
      <c r="F630" s="791">
        <f>IFERROR(VLOOKUP(C630,[2]List1!$A:$D,3,FALSE),"NEUVEDENO!")</f>
        <v>569</v>
      </c>
      <c r="G630" s="770">
        <f t="shared" si="1872"/>
        <v>569</v>
      </c>
      <c r="H630" s="767">
        <f t="shared" si="1873"/>
        <v>24.170287962007198</v>
      </c>
      <c r="I630" s="644">
        <f>IFERROR(VLOOKUP(C630,[2]List1!$A:$D,4,FALSE),"NEUVEDENO!")</f>
        <v>6</v>
      </c>
      <c r="J630" s="733" t="s">
        <v>39</v>
      </c>
      <c r="K630" s="645" t="s">
        <v>11171</v>
      </c>
      <c r="L630" s="645" t="s">
        <v>10998</v>
      </c>
      <c r="M630" s="645" t="s">
        <v>21</v>
      </c>
      <c r="N630" s="645">
        <f>IFERROR(VLOOKUP(C630,[3]List1!$A:$D,4,FALSE),"N/A!")</f>
        <v>8.3071999999999993E-2</v>
      </c>
      <c r="O630" s="645">
        <f>IFERROR(VLOOKUP(C630,[3]List1!$A:$D,3,FALSE),"N/A!")</f>
        <v>2850</v>
      </c>
      <c r="P630" s="645">
        <f>IFERROR(VLOOKUP(C630,[3]List1!$A:$D,2,FALSE),"N/A!")</f>
        <v>20000</v>
      </c>
      <c r="Q630" s="645" t="s">
        <v>11314</v>
      </c>
      <c r="R630" s="645"/>
      <c r="S630" s="645" t="str">
        <f>IF($W$17=$AF$1,"design",IFERROR(VLOOKUP("design",Jazyky_ceník!$A:$Q,MATCH($W$17,Jazyky_ceník!$A$1:$Q$1,0),FALSE),"!!!"))</f>
        <v>design</v>
      </c>
      <c r="T630" s="645">
        <v>35</v>
      </c>
      <c r="U630" s="645">
        <v>40</v>
      </c>
      <c r="V630" s="645">
        <v>24</v>
      </c>
      <c r="W630" s="645" t="str">
        <f>IFERROR(IF(AND($AB630&gt;=0.1*$AA630,MOD($AB630,$AA630)&gt;=($AA630-(0.1*$AA630))),IF($W$17=$AF$1,"Zvažte možnost doobjednání ještě "&amp;Tabulka1[[#This Row],[VKPAL]]-MOD(AB630,AA630)&amp;" VK do plné palety.",VLOOKUP("Zvažte možnost doobjednání ještě ",Jazyky_ceník!A:Q,MATCH($W$17,Jazyky_ceník!$A$1:$Q$1,0),FALSE)&amp;Tabulka1[[#This Row],[VKPAL]]-MOD(AB630,AA630)&amp;VLOOKUP(" VK do plné palety.",Jazyky_ceník!A:Q,MATCH($W$17,Jazyky_ceník!$A$1:$Q$1,0),FALSE)),IFERROR(IF(AND(NOT(MOD($AB630,$AA630)=0),$AB630&gt;=0.9*$AA630,MOD($AB630,$AA630)&lt;=0.1*$AA630),IF($W$17=$AF$1,"Zvažte možnost optimalizace objednaného množství podle počtu VK na paletě ==&gt;",VLOOKUP("Zvažte možnost optimalizace objednaného množství podle počtu VK na paletě ==&gt;",Jazyky_ceník!A:Q,MATCH($W$17,Jazyky_ceník!$A$1:$Q$1,0),FALSE)),VLOOKUP('General price list'!$C630,Popisy!A:M,MATCH($W$17,Popisy!$A$7:$M$7,0),FALSE)),"---------------")),IFERROR(VLOOKUP('General price list'!$C630,Popisy!A:M,MATCH($W$17,Popisy!$A$7:$M$7,0),FALSE),"---------------"))</f>
        <v>5 různobarevných efektu</v>
      </c>
      <c r="X630" s="645" t="str">
        <f t="shared" si="1874"/>
        <v/>
      </c>
      <c r="Y630" s="645" t="str">
        <f t="shared" si="1875"/>
        <v/>
      </c>
      <c r="Z630" s="645" t="str">
        <f>HYPERLINK("https://www.klasekpyrotechnics.cz/cf253k14")</f>
        <v>https://www.klasekpyrotechnics.cz/cf253k14</v>
      </c>
      <c r="AA630" s="645">
        <f>IFERROR(IF(VLOOKUP(C630,[4]List1!$A:$D,4,FALSE)=0,"",VLOOKUP(C630,[4]List1!$A:$D,4,FALSE)),"")</f>
        <v>16</v>
      </c>
      <c r="AB630" s="646"/>
      <c r="AC630" s="647" t="str">
        <f>IFERROR(IF(VLOOKUP(C630,[1]List1!$A:$D,2,FALSE)="VYPRODÁNO",$V$9,IF(VLOOKUP(C630,[1]List1!$A:$D,2,FALSE)="DOCHÁZÍ",$V$3,VLOOKUP(C630,[1]List1!$A:$D,2,FALSE))),"OFFLINE!")</f>
        <v>SKLADEM</v>
      </c>
      <c r="AD630" s="647" t="str">
        <f ca="1">IF(AP630="NE",$V$10,IF(AC630=$V$3,IF(AQ630&lt;1,$V$8,$V$2&amp;" "&amp;AQ630&amp;" "&amp;$V$1),IF(AC630="SKLADEM",$V$6,IFERROR(IF(OR(AC630-TODAY()&gt;45,VLOOKUP(C630,[1]List1!$A:$E,4,FALSE)=0),AC630,DAY(AC630)&amp;"."&amp;MONTH(AC630)&amp;"."&amp;YEAR(AC630)&amp;" "&amp;$V$4&amp;VLOOKUP(C630,[1]List1!$A:$E,4,FALSE)&amp;" "&amp;$V$1),AC630))))</f>
        <v>SKLADEM</v>
      </c>
      <c r="AE630" s="645" t="str">
        <f t="shared" ca="1" si="1876"/>
        <v>SKLADEM</v>
      </c>
      <c r="AF630" s="648">
        <f t="shared" si="1877"/>
        <v>0</v>
      </c>
      <c r="AG630" s="649">
        <f t="shared" si="1878"/>
        <v>0</v>
      </c>
      <c r="AH630" s="650">
        <f t="shared" si="1879"/>
        <v>0</v>
      </c>
      <c r="AI630" s="645">
        <f t="shared" si="1880"/>
        <v>0</v>
      </c>
      <c r="AJ630" s="645">
        <f t="shared" si="1881"/>
        <v>0</v>
      </c>
      <c r="AK630" s="645" t="str">
        <f t="shared" si="1882"/>
        <v/>
      </c>
      <c r="AL630" s="645" t="str">
        <f t="shared" si="1883"/>
        <v/>
      </c>
      <c r="AM630" s="645">
        <f t="shared" si="1884"/>
        <v>0</v>
      </c>
      <c r="AN630" s="651">
        <f t="shared" si="1885"/>
        <v>0</v>
      </c>
      <c r="AO630" s="623"/>
      <c r="AP630" s="632" t="str">
        <f t="shared" si="1794"/>
        <v/>
      </c>
      <c r="AQ630" s="633" t="str">
        <f>IF(AC630=$V$3,IF(VLOOKUP(C630,[1]List1!$A:$E,5,FALSE)=0,1,VLOOKUP(C630,[1]List1!$A:$E,5,FALSE)),"")</f>
        <v/>
      </c>
      <c r="AR630" s="625" t="str">
        <f t="shared" si="1795"/>
        <v/>
      </c>
      <c r="AS630" s="634" t="str">
        <f t="shared" si="1796"/>
        <v/>
      </c>
      <c r="AT630" s="625" t="str">
        <f t="shared" si="1797"/>
        <v/>
      </c>
      <c r="AU630" s="638" t="e">
        <f t="shared" si="1798"/>
        <v>#N/A</v>
      </c>
      <c r="AV630" s="625" t="e">
        <f t="shared" si="1799"/>
        <v>#N/A</v>
      </c>
      <c r="AX630" s="625">
        <f>IF(AND('General price list'!$J630="F4",'General price list'!$AB630+0&gt;0),1,0)</f>
        <v>0</v>
      </c>
      <c r="AY630" s="625">
        <f t="shared" si="1800"/>
        <v>1</v>
      </c>
      <c r="AZ630" s="625">
        <f t="shared" si="1801"/>
        <v>0</v>
      </c>
    </row>
    <row r="631" spans="1:52" ht="15" customHeight="1">
      <c r="A631" s="751" t="str">
        <f>Kat.!C631</f>
        <v xml:space="preserve">           Baterie 36 ran, 30 mm moždíř – 1.3G</v>
      </c>
      <c r="B631" s="751"/>
      <c r="C631" s="751"/>
      <c r="D631" s="751"/>
      <c r="E631" s="751"/>
      <c r="F631" s="751"/>
      <c r="G631" s="751"/>
      <c r="H631" s="751"/>
      <c r="I631" s="752"/>
      <c r="J631" s="752"/>
      <c r="K631" s="752" t="s">
        <v>20</v>
      </c>
      <c r="L631" s="753" t="s">
        <v>2818</v>
      </c>
      <c r="M631" s="752"/>
      <c r="N631" s="752"/>
      <c r="O631" s="752"/>
      <c r="P631" s="752"/>
      <c r="Q631" s="752"/>
      <c r="R631" s="752"/>
      <c r="S631" s="752"/>
      <c r="T631" s="752"/>
      <c r="U631" s="752"/>
      <c r="V631" s="752"/>
      <c r="W631" s="752"/>
      <c r="X631" s="752"/>
      <c r="Y631" s="752"/>
      <c r="Z631" s="752" t="s">
        <v>20</v>
      </c>
      <c r="AA631" s="752"/>
      <c r="AB631" s="752"/>
      <c r="AC631" s="754"/>
      <c r="AD631" s="752"/>
      <c r="AE631" s="752"/>
      <c r="AF631" s="752"/>
      <c r="AG631" s="752"/>
      <c r="AH631" s="752"/>
      <c r="AI631" s="752"/>
      <c r="AJ631" s="752"/>
      <c r="AK631" s="752"/>
      <c r="AL631" s="752"/>
      <c r="AM631" s="752"/>
      <c r="AN631" s="752"/>
      <c r="AO631" s="623"/>
      <c r="AP631" s="632" t="str">
        <f t="shared" si="1794"/>
        <v/>
      </c>
      <c r="AQ631" s="633" t="str">
        <f>IF(AC631=$V$3,IF(VLOOKUP(C631,[1]List1!$A:$E,5,FALSE)=0,1,VLOOKUP(C631,[1]List1!$A:$E,5,FALSE)),"")</f>
        <v/>
      </c>
      <c r="AR631" s="625" t="str">
        <f t="shared" si="1795"/>
        <v/>
      </c>
      <c r="AS631" s="634" t="str">
        <f t="shared" si="1796"/>
        <v/>
      </c>
      <c r="AT631" s="625" t="str">
        <f t="shared" si="1797"/>
        <v/>
      </c>
      <c r="AU631" s="638" t="e">
        <f t="shared" si="1798"/>
        <v>#N/A</v>
      </c>
      <c r="AV631" s="625" t="e">
        <f t="shared" si="1799"/>
        <v>#N/A</v>
      </c>
      <c r="AX631" s="625">
        <f>IF(AND('General price list'!$J631="F4",'General price list'!$AB631+0&gt;0),1,0)</f>
        <v>0</v>
      </c>
      <c r="AY631" s="625">
        <f t="shared" si="1800"/>
        <v>0</v>
      </c>
      <c r="AZ631" s="625">
        <f t="shared" si="1801"/>
        <v>0</v>
      </c>
    </row>
    <row r="632" spans="1:52" ht="15" customHeight="1">
      <c r="A632" s="639" t="str">
        <f>Kat.!C632</f>
        <v/>
      </c>
      <c r="B632" s="640">
        <f>IF(AND('General price list'!$J632="F4",$AI$1=FALSE),0,IF(AC632="SKLADEM",1,IF(AC632=$V$3,1,0)))</f>
        <v>1</v>
      </c>
      <c r="C632" s="641" t="s">
        <v>1318</v>
      </c>
      <c r="D632" s="642" t="s">
        <v>11894</v>
      </c>
      <c r="E632" s="643" t="s">
        <v>12651</v>
      </c>
      <c r="F632" s="791">
        <f>IFERROR(VLOOKUP(C632,[2]List1!$A:$D,3,FALSE),"NEUVEDENO!")</f>
        <v>709</v>
      </c>
      <c r="G632" s="768">
        <f t="shared" ref="G632:G634" si="1886">IF($W$17=$AF$8,ROUND((F632)/$F$17,2),(F632)*$B$19)</f>
        <v>709</v>
      </c>
      <c r="H632" s="765">
        <f t="shared" ref="H632:H634" si="1887">IF($W$17=$AF$8,G632*$B$19,G632/$F$17)</f>
        <v>30.117283242641655</v>
      </c>
      <c r="I632" s="644">
        <f>IFERROR(VLOOKUP(C632,[2]List1!$A:$D,4,FALSE),"NEUVEDENO!")</f>
        <v>4</v>
      </c>
      <c r="J632" s="733" t="s">
        <v>113</v>
      </c>
      <c r="K632" s="645" t="s">
        <v>11100</v>
      </c>
      <c r="L632" s="645" t="s">
        <v>10993</v>
      </c>
      <c r="M632" s="645" t="s">
        <v>114</v>
      </c>
      <c r="N632" s="645">
        <f>IFERROR(VLOOKUP(C632,[3]List1!$A:$D,4,FALSE),"N/A!")</f>
        <v>5.0721124999999999E-2</v>
      </c>
      <c r="O632" s="645">
        <f>IFERROR(VLOOKUP(C632,[3]List1!$A:$D,3,FALSE),"N/A!")</f>
        <v>2736</v>
      </c>
      <c r="P632" s="645">
        <f>IFERROR(VLOOKUP(C632,[3]List1!$A:$D,2,FALSE),"N/A!")</f>
        <v>18000</v>
      </c>
      <c r="Q632" s="645" t="s">
        <v>12100</v>
      </c>
      <c r="R632" s="645" t="s">
        <v>20</v>
      </c>
      <c r="S632" s="645" t="str">
        <f>IF($W$17=$AF$1,"červená fólie",IFERROR(VLOOKUP("červená fólie",Jazyky_ceník!$A:$Q,MATCH($W$17,Jazyky_ceník!$A$1:$Q$1,0),FALSE),"!!!"))</f>
        <v>červená fólie</v>
      </c>
      <c r="T632" s="645">
        <v>40</v>
      </c>
      <c r="U632" s="645">
        <v>40</v>
      </c>
      <c r="V632" s="645">
        <v>30</v>
      </c>
      <c r="W632" s="645" t="str">
        <f>IFERROR(IF(AND($AB632&gt;=0.1*$AA632,MOD($AB632,$AA632)&gt;=($AA632-(0.1*$AA632))),IF($W$17=$AF$1,"Zvažte možnost doobjednání ještě "&amp;Tabulka1[[#This Row],[VKPAL]]-MOD(AB632,AA632)&amp;" VK do plné palety.",VLOOKUP("Zvažte možnost doobjednání ještě ",Jazyky_ceník!A:Q,MATCH($W$17,Jazyky_ceník!$A$1:$Q$1,0),FALSE)&amp;Tabulka1[[#This Row],[VKPAL]]-MOD(AB632,AA632)&amp;VLOOKUP(" VK do plné palety.",Jazyky_ceník!A:Q,MATCH($W$17,Jazyky_ceník!$A$1:$Q$1,0),FALSE)),IFERROR(IF(AND(NOT(MOD($AB632,$AA632)=0),$AB632&gt;=0.9*$AA632,MOD($AB632,$AA632)&lt;=0.1*$AA632),IF($W$17=$AF$1,"Zvažte možnost optimalizace objednaného množství podle počtu VK na paletě ==&gt;",VLOOKUP("Zvažte možnost optimalizace objednaného množství podle počtu VK na paletě ==&gt;",Jazyky_ceník!A:Q,MATCH($W$17,Jazyky_ceník!$A$1:$Q$1,0),FALSE)),VLOOKUP('General price list'!$C632,Popisy!A:M,MATCH($W$17,Popisy!$A$7:$M$7,0),FALSE)),"---------------")),IFERROR(VLOOKUP('General price list'!$C632,Popisy!A:M,MATCH($W$17,Popisy!$A$7:$M$7,0),FALSE),"---------------"))</f>
        <v>6 různobarevných efektů měnících se po každé ráně</v>
      </c>
      <c r="X632" s="645" t="str">
        <f t="shared" ref="X632:X634" si="1888">IF(AB632&lt;0.0001,"",AB632)</f>
        <v/>
      </c>
      <c r="Y632" s="645" t="str">
        <f t="shared" ref="Y632:Y634" si="1889">IF($AL$3=2,IF(OR(AB632&lt;&gt;"",AB632&lt;&gt;0),AU632,""),IF(C632="","",IF(AB632&lt;0.0001,"",IF(B632=0,"",IF(AQ632&lt;AB632,"",AB632)))))</f>
        <v/>
      </c>
      <c r="Z632" s="645" t="str">
        <f>HYPERLINK("https://www.klasekpyrotechnics.cz/c363pl")</f>
        <v>https://www.klasekpyrotechnics.cz/c363pl</v>
      </c>
      <c r="AA632" s="645">
        <f>IFERROR(IF(VLOOKUP(C632,[4]List1!$A:$D,4,FALSE)=0,"",VLOOKUP(C632,[4]List1!$A:$D,4,FALSE)),"")</f>
        <v>28</v>
      </c>
      <c r="AB632" s="646"/>
      <c r="AC632" s="647" t="str">
        <f>IFERROR(IF(VLOOKUP(C632,[1]List1!$A:$D,2,FALSE)="VYPRODÁNO",$V$9,IF(VLOOKUP(C632,[1]List1!$A:$D,2,FALSE)="DOCHÁZÍ",$V$3,VLOOKUP(C632,[1]List1!$A:$D,2,FALSE))),"OFFLINE!")</f>
        <v>SKLADEM</v>
      </c>
      <c r="AD632" s="647" t="str">
        <f ca="1">IF(AP632="NE",$V$10,IF(AC632=$V$3,IF(AQ632&lt;1,$V$8,$V$2&amp;" "&amp;AQ632&amp;" "&amp;$V$1),IF(AC632="SKLADEM",$V$6,IFERROR(IF(OR(AC632-TODAY()&gt;45,VLOOKUP(C632,[1]List1!$A:$E,4,FALSE)=0),AC632,DAY(AC632)&amp;"."&amp;MONTH(AC632)&amp;"."&amp;YEAR(AC632)&amp;" "&amp;$V$4&amp;VLOOKUP(C632,[1]List1!$A:$E,4,FALSE)&amp;" "&amp;$V$1),AC632))))</f>
        <v>SKLADEM</v>
      </c>
      <c r="AE632" s="645" t="str">
        <f t="shared" ref="AE632:AE634" ca="1" si="1890">IFERROR(IF(AV632&lt;&gt;"",AV632,AD632),AD632)</f>
        <v>SKLADEM</v>
      </c>
      <c r="AF632" s="648">
        <f t="shared" ref="AF632:AF634" si="1891">IFERROR(IF(AB632=Y632,G632*I632*Y632,0),0)</f>
        <v>0</v>
      </c>
      <c r="AG632" s="649">
        <f t="shared" ref="AG632:AG634" si="1892">IF($W$17=$AF$8,AH632*1.23,AF632*1.21)</f>
        <v>0</v>
      </c>
      <c r="AH632" s="650">
        <f t="shared" ref="AH632:AH634" si="1893">IFERROR(IF(Y632=AB632,H632*I632*Y632,0),0)</f>
        <v>0</v>
      </c>
      <c r="AI632" s="645">
        <f t="shared" ref="AI632:AI634" si="1894">IFERROR(IF(Y632=AB632,(P632*Y632)/1000,1),0)</f>
        <v>0</v>
      </c>
      <c r="AJ632" s="645">
        <f t="shared" ref="AJ632:AJ634" si="1895">IFERROR(IF(Y632=AB632,N632*Y632,0.1),0)</f>
        <v>0</v>
      </c>
      <c r="AK632" s="645" t="str">
        <f t="shared" ref="AK632:AK634" si="1896">IFERROR(IF(Y632=AB632,IF(M632="1.1G",(O632/1000)*Y632,""),""),0)</f>
        <v/>
      </c>
      <c r="AL632" s="645">
        <f t="shared" ref="AL632:AL634" si="1897">IFERROR(IF(Y632=AB632,IF(M632="1.3G",(O632/1000)*AB632,""),""),0)</f>
        <v>0</v>
      </c>
      <c r="AM632" s="645" t="str">
        <f t="shared" ref="AM632:AM634" si="1898">IFERROR(IF(Y632=AB632,IF(M632="1.4G",(O632/1000)*AB632,""),""),0)</f>
        <v/>
      </c>
      <c r="AN632" s="651">
        <f t="shared" ref="AN632:AN634" si="1899">SUM(AK632:AM632)</f>
        <v>0</v>
      </c>
      <c r="AO632" s="623"/>
      <c r="AP632" s="632" t="str">
        <f t="shared" si="1794"/>
        <v/>
      </c>
      <c r="AQ632" s="633" t="str">
        <f>IF(AC632=$V$3,IF(VLOOKUP(C632,[1]List1!$A:$E,5,FALSE)=0,1,VLOOKUP(C632,[1]List1!$A:$E,5,FALSE)),"")</f>
        <v/>
      </c>
      <c r="AR632" s="625" t="str">
        <f t="shared" si="1795"/>
        <v/>
      </c>
      <c r="AS632" s="634" t="str">
        <f t="shared" si="1796"/>
        <v/>
      </c>
      <c r="AT632" s="625" t="str">
        <f t="shared" si="1797"/>
        <v/>
      </c>
      <c r="AU632" s="638" t="e">
        <f t="shared" si="1798"/>
        <v>#N/A</v>
      </c>
      <c r="AV632" s="625" t="e">
        <f t="shared" si="1799"/>
        <v>#N/A</v>
      </c>
      <c r="AX632" s="625">
        <f>IF(AND('General price list'!$J632="F4",'General price list'!$AB632+0&gt;0),1,0)</f>
        <v>0</v>
      </c>
      <c r="AY632" s="625">
        <f t="shared" si="1800"/>
        <v>1</v>
      </c>
      <c r="AZ632" s="625">
        <f t="shared" si="1801"/>
        <v>0</v>
      </c>
    </row>
    <row r="633" spans="1:52" ht="15.75" customHeight="1">
      <c r="A633" s="621" t="str">
        <f>Kat.!C633</f>
        <v/>
      </c>
      <c r="B633" s="566">
        <f>IF(AND('General price list'!$J633="F4",$AI$1=FALSE),0,IF(AC633="SKLADEM",1,IF(AC633=$V$3,1,0)))</f>
        <v>1</v>
      </c>
      <c r="C633" s="567" t="s">
        <v>1319</v>
      </c>
      <c r="D633" s="568" t="s">
        <v>1314</v>
      </c>
      <c r="E633" s="763" t="s">
        <v>12651</v>
      </c>
      <c r="F633" s="791">
        <f>IFERROR(VLOOKUP(C633,[2]List1!$A:$D,3,FALSE),"NEUVEDENO!")</f>
        <v>709</v>
      </c>
      <c r="G633" s="769">
        <f t="shared" si="1886"/>
        <v>709</v>
      </c>
      <c r="H633" s="766">
        <f t="shared" si="1887"/>
        <v>30.117283242641655</v>
      </c>
      <c r="I633" s="764">
        <f>IFERROR(VLOOKUP(C633,[2]List1!$A:$D,4,FALSE),"NEUVEDENO!")</f>
        <v>4</v>
      </c>
      <c r="J633" s="732" t="s">
        <v>113</v>
      </c>
      <c r="K633" s="569" t="s">
        <v>11100</v>
      </c>
      <c r="L633" s="569" t="s">
        <v>20</v>
      </c>
      <c r="M633" s="569" t="s">
        <v>114</v>
      </c>
      <c r="N633" s="569">
        <f>IFERROR(VLOOKUP(C633,[3]List1!$A:$D,4,FALSE),"N/A!")</f>
        <v>5.0721124999999999E-2</v>
      </c>
      <c r="O633" s="569">
        <f>IFERROR(VLOOKUP(C633,[3]List1!$A:$D,3,FALSE),"N/A!")</f>
        <v>2736</v>
      </c>
      <c r="P633" s="569">
        <f>IFERROR(VLOOKUP(C633,[3]List1!$A:$D,2,FALSE),"N/A!")</f>
        <v>18000</v>
      </c>
      <c r="Q633" s="569" t="s">
        <v>11316</v>
      </c>
      <c r="R633" s="569"/>
      <c r="S633" s="569" t="str">
        <f>IF($W$17=$AF$1,"červená fólie",IFERROR(VLOOKUP("červená fólie",Jazyky_ceník!$A:$Q,MATCH($W$17,Jazyky_ceník!$A$1:$Q$1,0),FALSE),"!!!"))</f>
        <v>červená fólie</v>
      </c>
      <c r="T633" s="569">
        <v>45</v>
      </c>
      <c r="U633" s="569">
        <v>40</v>
      </c>
      <c r="V633" s="569">
        <v>30</v>
      </c>
      <c r="W633" s="569" t="str">
        <f>IFERROR(IF(AND($AB633&gt;=0.1*$AA633,MOD($AB633,$AA633)&gt;=($AA633-(0.1*$AA633))),IF($W$17=$AF$1,"Zvažte možnost doobjednání ještě "&amp;Tabulka1[[#This Row],[VKPAL]]-MOD(AB633,AA633)&amp;" VK do plné palety.",VLOOKUP("Zvažte možnost doobjednání ještě ",Jazyky_ceník!A:Q,MATCH($W$17,Jazyky_ceník!$A$1:$Q$1,0),FALSE)&amp;Tabulka1[[#This Row],[VKPAL]]-MOD(AB633,AA633)&amp;VLOOKUP(" VK do plné palety.",Jazyky_ceník!A:Q,MATCH($W$17,Jazyky_ceník!$A$1:$Q$1,0),FALSE)),IFERROR(IF(AND(NOT(MOD($AB633,$AA633)=0),$AB633&gt;=0.9*$AA633,MOD($AB633,$AA633)&lt;=0.1*$AA633),IF($W$17=$AF$1,"Zvažte možnost optimalizace objednaného množství podle počtu VK na paletě ==&gt;",VLOOKUP("Zvažte možnost optimalizace objednaného množství podle počtu VK na paletě ==&gt;",Jazyky_ceník!A:Q,MATCH($W$17,Jazyky_ceník!$A$1:$Q$1,0),FALSE)),VLOOKUP('General price list'!$C633,Popisy!A:M,MATCH($W$17,Popisy!$A$7:$M$7,0),FALSE)),"---------------")),IFERROR(VLOOKUP('General price list'!$C633,Popisy!A:M,MATCH($W$17,Popisy!$A$7:$M$7,0),FALSE),"---------------"))</f>
        <v>6 různobarevných efektu</v>
      </c>
      <c r="X633" s="569" t="str">
        <f t="shared" si="1888"/>
        <v/>
      </c>
      <c r="Y633" s="569" t="str">
        <f t="shared" si="1889"/>
        <v/>
      </c>
      <c r="Z633" s="569" t="str">
        <f>HYPERLINK("https://www.klasekpyrotechnics.cz/c363pa")</f>
        <v>https://www.klasekpyrotechnics.cz/c363pa</v>
      </c>
      <c r="AA633" s="569">
        <f>IFERROR(IF(VLOOKUP(C633,[4]List1!$A:$D,4,FALSE)=0,"",VLOOKUP(C633,[4]List1!$A:$D,4,FALSE)),"")</f>
        <v>28</v>
      </c>
      <c r="AB633" s="565"/>
      <c r="AC633" s="570" t="str">
        <f>IFERROR(IF(VLOOKUP(C633,[1]List1!$A:$D,2,FALSE)="VYPRODÁNO",$V$9,IF(VLOOKUP(C633,[1]List1!$A:$D,2,FALSE)="DOCHÁZÍ",$V$3,VLOOKUP(C633,[1]List1!$A:$D,2,FALSE))),"OFFLINE!")</f>
        <v>SKLADEM</v>
      </c>
      <c r="AD633" s="570" t="str">
        <f ca="1">IF(AP633="NE",$V$10,IF(AC633=$V$3,IF(AQ633&lt;1,$V$8,$V$2&amp;" "&amp;AQ633&amp;" "&amp;$V$1),IF(AC633="SKLADEM",$V$6,IFERROR(IF(OR(AC633-TODAY()&gt;45,VLOOKUP(C633,[1]List1!$A:$E,4,FALSE)=0),AC633,DAY(AC633)&amp;"."&amp;MONTH(AC633)&amp;"."&amp;YEAR(AC633)&amp;" "&amp;$V$4&amp;VLOOKUP(C633,[1]List1!$A:$E,4,FALSE)&amp;" "&amp;$V$1),AC633))))</f>
        <v>SKLADEM</v>
      </c>
      <c r="AE633" s="581" t="str">
        <f t="shared" ca="1" si="1890"/>
        <v>SKLADEM</v>
      </c>
      <c r="AF633" s="584">
        <f t="shared" si="1891"/>
        <v>0</v>
      </c>
      <c r="AG633" s="585">
        <f t="shared" si="1892"/>
        <v>0</v>
      </c>
      <c r="AH633" s="583">
        <f t="shared" si="1893"/>
        <v>0</v>
      </c>
      <c r="AI633" s="582">
        <f t="shared" si="1894"/>
        <v>0</v>
      </c>
      <c r="AJ633" s="569">
        <f t="shared" si="1895"/>
        <v>0</v>
      </c>
      <c r="AK633" s="569" t="str">
        <f t="shared" si="1896"/>
        <v/>
      </c>
      <c r="AL633" s="569">
        <f t="shared" si="1897"/>
        <v>0</v>
      </c>
      <c r="AM633" s="569" t="str">
        <f t="shared" si="1898"/>
        <v/>
      </c>
      <c r="AN633" s="581">
        <f t="shared" si="1899"/>
        <v>0</v>
      </c>
      <c r="AO633" s="623"/>
      <c r="AP633" s="625" t="str">
        <f t="shared" si="1794"/>
        <v/>
      </c>
      <c r="AQ633" s="625" t="str">
        <f>IF(AC633=$V$3,IF(VLOOKUP(C633,[1]List1!$A:$E,5,FALSE)=0,1,VLOOKUP(C633,[1]List1!$A:$E,5,FALSE)),"")</f>
        <v/>
      </c>
      <c r="AR633" s="629" t="str">
        <f t="shared" si="1795"/>
        <v/>
      </c>
      <c r="AS633" s="630" t="str">
        <f t="shared" si="1796"/>
        <v/>
      </c>
      <c r="AT633" s="625" t="str">
        <f t="shared" si="1797"/>
        <v/>
      </c>
      <c r="AU633" s="625" t="e">
        <f t="shared" si="1798"/>
        <v>#N/A</v>
      </c>
      <c r="AV633" s="625" t="e">
        <f t="shared" si="1799"/>
        <v>#N/A</v>
      </c>
      <c r="AW633" s="631"/>
      <c r="AX633" s="631">
        <f>IF(AND('General price list'!$J633="F4",'General price list'!$AB633+0&gt;0),1,0)</f>
        <v>0</v>
      </c>
      <c r="AY633" s="631">
        <f t="shared" si="1800"/>
        <v>1</v>
      </c>
      <c r="AZ633" s="631">
        <f t="shared" si="1801"/>
        <v>0</v>
      </c>
    </row>
    <row r="634" spans="1:52" ht="15" customHeight="1">
      <c r="A634" s="639" t="str">
        <f>Kat.!C634</f>
        <v/>
      </c>
      <c r="B634" s="640">
        <f>IF(AND('General price list'!$J634="F4",$AI$1=FALSE),0,IF(AC634="SKLADEM",1,IF(AC634=$V$3,1,0)))</f>
        <v>1</v>
      </c>
      <c r="C634" s="641" t="s">
        <v>1320</v>
      </c>
      <c r="D634" s="642" t="s">
        <v>1316</v>
      </c>
      <c r="E634" s="643" t="s">
        <v>12651</v>
      </c>
      <c r="F634" s="791">
        <f>IFERROR(VLOOKUP(C634,[2]List1!$A:$D,3,FALSE),"NEUVEDENO!")</f>
        <v>709</v>
      </c>
      <c r="G634" s="770">
        <f t="shared" si="1886"/>
        <v>709</v>
      </c>
      <c r="H634" s="767">
        <f t="shared" si="1887"/>
        <v>30.117283242641655</v>
      </c>
      <c r="I634" s="644">
        <f>IFERROR(VLOOKUP(C634,[2]List1!$A:$D,4,FALSE),"NEUVEDENO!")</f>
        <v>4</v>
      </c>
      <c r="J634" s="733" t="s">
        <v>113</v>
      </c>
      <c r="K634" s="645" t="s">
        <v>11100</v>
      </c>
      <c r="L634" s="645" t="s">
        <v>20</v>
      </c>
      <c r="M634" s="645" t="s">
        <v>114</v>
      </c>
      <c r="N634" s="645">
        <f>IFERROR(VLOOKUP(C634,[3]List1!$A:$D,4,FALSE),"N/A!")</f>
        <v>5.0721124999999999E-2</v>
      </c>
      <c r="O634" s="645">
        <f>IFERROR(VLOOKUP(C634,[3]List1!$A:$D,3,FALSE),"N/A!")</f>
        <v>2736</v>
      </c>
      <c r="P634" s="645">
        <f>IFERROR(VLOOKUP(C634,[3]List1!$A:$D,2,FALSE),"N/A!")</f>
        <v>18000</v>
      </c>
      <c r="Q634" s="645" t="s">
        <v>11316</v>
      </c>
      <c r="R634" s="645"/>
      <c r="S634" s="645" t="str">
        <f>IF($W$17=$AF$1,"design",IFERROR(VLOOKUP("design",Jazyky_ceník!$A:$Q,MATCH($W$17,Jazyky_ceník!$A$1:$Q$1,0),FALSE),"!!!"))</f>
        <v>design</v>
      </c>
      <c r="T634" s="645">
        <v>40</v>
      </c>
      <c r="U634" s="645">
        <v>40</v>
      </c>
      <c r="V634" s="645">
        <v>30</v>
      </c>
      <c r="W634" s="645" t="str">
        <f>IFERROR(IF(AND($AB634&gt;=0.1*$AA634,MOD($AB634,$AA634)&gt;=($AA634-(0.1*$AA634))),IF($W$17=$AF$1,"Zvažte možnost doobjednání ještě "&amp;Tabulka1[[#This Row],[VKPAL]]-MOD(AB634,AA634)&amp;" VK do plné palety.",VLOOKUP("Zvažte možnost doobjednání ještě ",Jazyky_ceník!A:Q,MATCH($W$17,Jazyky_ceník!$A$1:$Q$1,0),FALSE)&amp;Tabulka1[[#This Row],[VKPAL]]-MOD(AB634,AA634)&amp;VLOOKUP(" VK do plné palety.",Jazyky_ceník!A:Q,MATCH($W$17,Jazyky_ceník!$A$1:$Q$1,0),FALSE)),IFERROR(IF(AND(NOT(MOD($AB634,$AA634)=0),$AB634&gt;=0.9*$AA634,MOD($AB634,$AA634)&lt;=0.1*$AA634),IF($W$17=$AF$1,"Zvažte možnost optimalizace objednaného množství podle počtu VK na paletě ==&gt;",VLOOKUP("Zvažte možnost optimalizace objednaného množství podle počtu VK na paletě ==&gt;",Jazyky_ceník!A:Q,MATCH($W$17,Jazyky_ceník!$A$1:$Q$1,0),FALSE)),VLOOKUP('General price list'!$C634,Popisy!A:M,MATCH($W$17,Popisy!$A$7:$M$7,0),FALSE)),"---------------")),IFERROR(VLOOKUP('General price list'!$C634,Popisy!A:M,MATCH($W$17,Popisy!$A$7:$M$7,0),FALSE),"---------------"))</f>
        <v>6 různobarevných efektu</v>
      </c>
      <c r="X634" s="645" t="str">
        <f t="shared" si="1888"/>
        <v/>
      </c>
      <c r="Y634" s="645" t="str">
        <f t="shared" si="1889"/>
        <v/>
      </c>
      <c r="Z634" s="645" t="str">
        <f>HYPERLINK("https://www.klasekpyrotechnics.cz/c363dr")</f>
        <v>https://www.klasekpyrotechnics.cz/c363dr</v>
      </c>
      <c r="AA634" s="645">
        <f>IFERROR(IF(VLOOKUP(C634,[4]List1!$A:$D,4,FALSE)=0,"",VLOOKUP(C634,[4]List1!$A:$D,4,FALSE)),"")</f>
        <v>28</v>
      </c>
      <c r="AB634" s="646"/>
      <c r="AC634" s="647" t="str">
        <f>IFERROR(IF(VLOOKUP(C634,[1]List1!$A:$D,2,FALSE)="VYPRODÁNO",$V$9,IF(VLOOKUP(C634,[1]List1!$A:$D,2,FALSE)="DOCHÁZÍ",$V$3,VLOOKUP(C634,[1]List1!$A:$D,2,FALSE))),"OFFLINE!")</f>
        <v>SKLADEM</v>
      </c>
      <c r="AD634" s="647" t="str">
        <f ca="1">IF(AP634="NE",$V$10,IF(AC634=$V$3,IF(AQ634&lt;1,$V$8,$V$2&amp;" "&amp;AQ634&amp;" "&amp;$V$1),IF(AC634="SKLADEM",$V$6,IFERROR(IF(OR(AC634-TODAY()&gt;45,VLOOKUP(C634,[1]List1!$A:$E,4,FALSE)=0),AC634,DAY(AC634)&amp;"."&amp;MONTH(AC634)&amp;"."&amp;YEAR(AC634)&amp;" "&amp;$V$4&amp;VLOOKUP(C634,[1]List1!$A:$E,4,FALSE)&amp;" "&amp;$V$1),AC634))))</f>
        <v>SKLADEM</v>
      </c>
      <c r="AE634" s="645" t="str">
        <f t="shared" ca="1" si="1890"/>
        <v>SKLADEM</v>
      </c>
      <c r="AF634" s="648">
        <f t="shared" si="1891"/>
        <v>0</v>
      </c>
      <c r="AG634" s="649">
        <f t="shared" si="1892"/>
        <v>0</v>
      </c>
      <c r="AH634" s="650">
        <f t="shared" si="1893"/>
        <v>0</v>
      </c>
      <c r="AI634" s="645">
        <f t="shared" si="1894"/>
        <v>0</v>
      </c>
      <c r="AJ634" s="645">
        <f t="shared" si="1895"/>
        <v>0</v>
      </c>
      <c r="AK634" s="645" t="str">
        <f t="shared" si="1896"/>
        <v/>
      </c>
      <c r="AL634" s="645">
        <f t="shared" si="1897"/>
        <v>0</v>
      </c>
      <c r="AM634" s="645" t="str">
        <f t="shared" si="1898"/>
        <v/>
      </c>
      <c r="AN634" s="651">
        <f t="shared" si="1899"/>
        <v>0</v>
      </c>
      <c r="AO634" s="623"/>
      <c r="AP634" s="632" t="str">
        <f t="shared" si="1794"/>
        <v/>
      </c>
      <c r="AQ634" s="633" t="str">
        <f>IF(AC634=$V$3,IF(VLOOKUP(C634,[1]List1!$A:$E,5,FALSE)=0,1,VLOOKUP(C634,[1]List1!$A:$E,5,FALSE)),"")</f>
        <v/>
      </c>
      <c r="AR634" s="625" t="str">
        <f t="shared" si="1795"/>
        <v/>
      </c>
      <c r="AS634" s="634" t="str">
        <f t="shared" si="1796"/>
        <v/>
      </c>
      <c r="AT634" s="625" t="str">
        <f t="shared" si="1797"/>
        <v/>
      </c>
      <c r="AU634" s="638" t="e">
        <f t="shared" si="1798"/>
        <v>#N/A</v>
      </c>
      <c r="AV634" s="625" t="e">
        <f t="shared" si="1799"/>
        <v>#N/A</v>
      </c>
      <c r="AX634" s="625">
        <f>IF(AND('General price list'!$J634="F4",'General price list'!$AB634+0&gt;0),1,0)</f>
        <v>0</v>
      </c>
      <c r="AY634" s="625">
        <f t="shared" si="1800"/>
        <v>1</v>
      </c>
      <c r="AZ634" s="625">
        <f t="shared" si="1801"/>
        <v>0</v>
      </c>
    </row>
    <row r="635" spans="1:52" ht="15" customHeight="1">
      <c r="A635" s="751" t="str">
        <f>Kat.!C635</f>
        <v xml:space="preserve">           Baterie 36 ran, 30 mm šikmý moždíř – 1.3G</v>
      </c>
      <c r="B635" s="751"/>
      <c r="C635" s="751"/>
      <c r="D635" s="751"/>
      <c r="E635" s="751"/>
      <c r="F635" s="751"/>
      <c r="G635" s="751"/>
      <c r="H635" s="751"/>
      <c r="I635" s="752"/>
      <c r="J635" s="752"/>
      <c r="K635" s="752" t="s">
        <v>20</v>
      </c>
      <c r="L635" s="753" t="s">
        <v>20</v>
      </c>
      <c r="M635" s="752"/>
      <c r="N635" s="752"/>
      <c r="O635" s="752"/>
      <c r="P635" s="752"/>
      <c r="Q635" s="752"/>
      <c r="R635" s="752"/>
      <c r="S635" s="752"/>
      <c r="T635" s="752"/>
      <c r="U635" s="752"/>
      <c r="V635" s="752"/>
      <c r="W635" s="752"/>
      <c r="X635" s="752"/>
      <c r="Y635" s="752"/>
      <c r="Z635" s="752" t="s">
        <v>20</v>
      </c>
      <c r="AA635" s="752"/>
      <c r="AB635" s="752"/>
      <c r="AC635" s="754"/>
      <c r="AD635" s="752"/>
      <c r="AE635" s="752"/>
      <c r="AF635" s="752"/>
      <c r="AG635" s="752"/>
      <c r="AH635" s="752"/>
      <c r="AI635" s="752"/>
      <c r="AJ635" s="752"/>
      <c r="AK635" s="752"/>
      <c r="AL635" s="752"/>
      <c r="AM635" s="752"/>
      <c r="AN635" s="752"/>
      <c r="AO635" s="623"/>
      <c r="AP635" s="632" t="str">
        <f t="shared" si="1794"/>
        <v/>
      </c>
      <c r="AQ635" s="633" t="str">
        <f>IF(AC635=$V$3,IF(VLOOKUP(C635,[1]List1!$A:$E,5,FALSE)=0,1,VLOOKUP(C635,[1]List1!$A:$E,5,FALSE)),"")</f>
        <v/>
      </c>
      <c r="AR635" s="625" t="str">
        <f t="shared" si="1795"/>
        <v/>
      </c>
      <c r="AS635" s="634" t="str">
        <f t="shared" si="1796"/>
        <v/>
      </c>
      <c r="AT635" s="625" t="str">
        <f t="shared" si="1797"/>
        <v/>
      </c>
      <c r="AU635" s="638" t="e">
        <f t="shared" si="1798"/>
        <v>#N/A</v>
      </c>
      <c r="AV635" s="625" t="e">
        <f t="shared" si="1799"/>
        <v>#N/A</v>
      </c>
      <c r="AX635" s="625">
        <f>IF(AND('General price list'!$J635="F4",'General price list'!$AB635+0&gt;0),1,0)</f>
        <v>0</v>
      </c>
      <c r="AY635" s="625">
        <f t="shared" si="1800"/>
        <v>0</v>
      </c>
      <c r="AZ635" s="625">
        <f t="shared" si="1801"/>
        <v>0</v>
      </c>
    </row>
    <row r="636" spans="1:52" ht="15" customHeight="1">
      <c r="A636" s="639" t="str">
        <f>Kat.!C636</f>
        <v/>
      </c>
      <c r="B636" s="640">
        <f>IF(AND('General price list'!$J636="F4",$AI$1=FALSE),0,IF(AC636="SKLADEM",1,IF(AC636=$V$3,1,0)))</f>
        <v>1</v>
      </c>
      <c r="C636" s="641" t="s">
        <v>1321</v>
      </c>
      <c r="D636" s="642" t="s">
        <v>1322</v>
      </c>
      <c r="E636" s="643" t="s">
        <v>12651</v>
      </c>
      <c r="F636" s="791">
        <f>IFERROR(VLOOKUP(C636,[2]List1!$A:$D,3,FALSE),"NEUVEDENO!")</f>
        <v>929</v>
      </c>
      <c r="G636" s="770">
        <f t="shared" ref="G636" si="1900">IF($W$17=$AF$8,ROUND((F636)/$F$17,2),(F636)*$B$19)</f>
        <v>929</v>
      </c>
      <c r="H636" s="767">
        <f t="shared" ref="H636" si="1901">IF($W$17=$AF$8,G636*$B$19,G636/$F$17)</f>
        <v>39.462561540781522</v>
      </c>
      <c r="I636" s="644">
        <f>IFERROR(VLOOKUP(C636,[2]List1!$A:$D,4,FALSE),"NEUVEDENO!")</f>
        <v>4</v>
      </c>
      <c r="J636" s="733" t="s">
        <v>113</v>
      </c>
      <c r="K636" s="645" t="s">
        <v>11100</v>
      </c>
      <c r="L636" s="645" t="s">
        <v>20</v>
      </c>
      <c r="M636" s="645" t="s">
        <v>114</v>
      </c>
      <c r="N636" s="645">
        <f>IFERROR(VLOOKUP(C636,[3]List1!$A:$D,4,FALSE),"N/A!")</f>
        <v>8.6393125000000001E-2</v>
      </c>
      <c r="O636" s="645">
        <f>IFERROR(VLOOKUP(C636,[3]List1!$A:$D,3,FALSE),"N/A!")</f>
        <v>2736</v>
      </c>
      <c r="P636" s="645">
        <f>IFERROR(VLOOKUP(C636,[3]List1!$A:$D,2,FALSE),"N/A!")</f>
        <v>22500</v>
      </c>
      <c r="Q636" s="645" t="s">
        <v>11317</v>
      </c>
      <c r="R636" s="645" t="s">
        <v>20</v>
      </c>
      <c r="S636" s="645" t="str">
        <f>IF($W$17=$AF$1,"design",IFERROR(VLOOKUP("design",Jazyky_ceník!$A:$Q,MATCH($W$17,Jazyky_ceník!$A$1:$Q$1,0),FALSE),"!!!"))</f>
        <v>design</v>
      </c>
      <c r="T636" s="645">
        <v>40</v>
      </c>
      <c r="U636" s="645">
        <v>40</v>
      </c>
      <c r="V636" s="645">
        <v>30</v>
      </c>
      <c r="W636" s="645" t="str">
        <f>IFERROR(IF(AND($AB636&gt;=0.1*$AA636,MOD($AB636,$AA636)&gt;=($AA636-(0.1*$AA636))),IF($W$17=$AF$1,"Zvažte možnost doobjednání ještě "&amp;Tabulka1[[#This Row],[VKPAL]]-MOD(AB636,AA636)&amp;" VK do plné palety.",VLOOKUP("Zvažte možnost doobjednání ještě ",Jazyky_ceník!A:Q,MATCH($W$17,Jazyky_ceník!$A$1:$Q$1,0),FALSE)&amp;Tabulka1[[#This Row],[VKPAL]]-MOD(AB636,AA636)&amp;VLOOKUP(" VK do plné palety.",Jazyky_ceník!A:Q,MATCH($W$17,Jazyky_ceník!$A$1:$Q$1,0),FALSE)),IFERROR(IF(AND(NOT(MOD($AB636,$AA636)=0),$AB636&gt;=0.9*$AA636,MOD($AB636,$AA636)&lt;=0.1*$AA636),IF($W$17=$AF$1,"Zvažte možnost optimalizace objednaného množství podle počtu VK na paletě ==&gt;",VLOOKUP("Zvažte možnost optimalizace objednaného množství podle počtu VK na paletě ==&gt;",Jazyky_ceník!A:Q,MATCH($W$17,Jazyky_ceník!$A$1:$Q$1,0),FALSE)),VLOOKUP('General price list'!$C636,Popisy!A:M,MATCH($W$17,Popisy!$A$7:$M$7,0),FALSE)),"---------------")),IFERROR(VLOOKUP('General price list'!$C636,Popisy!A:M,MATCH($W$17,Popisy!$A$7:$M$7,0),FALSE),"---------------"))</f>
        <v>6 různobarevných efektu</v>
      </c>
      <c r="X636" s="645" t="str">
        <f t="shared" ref="X636" si="1902">IF(AB636&lt;0.0001,"",AB636)</f>
        <v/>
      </c>
      <c r="Y636" s="645" t="str">
        <f t="shared" ref="Y636" si="1903">IF($AL$3=2,IF(OR(AB636&lt;&gt;"",AB636&lt;&gt;0),AU636,""),IF(C636="","",IF(AB636&lt;0.0001,"",IF(B636=0,"",IF(AQ636&lt;AB636,"",AB636)))))</f>
        <v/>
      </c>
      <c r="Z636" s="645" t="str">
        <f>HYPERLINK("https://www.klasekpyrotechnics.cz/cf363s")</f>
        <v>https://www.klasekpyrotechnics.cz/cf363s</v>
      </c>
      <c r="AA636" s="645">
        <f>IFERROR(IF(VLOOKUP(C636,[4]List1!$A:$D,4,FALSE)=0,"",VLOOKUP(C636,[4]List1!$A:$D,4,FALSE)),"")</f>
        <v>14</v>
      </c>
      <c r="AB636" s="646"/>
      <c r="AC636" s="647" t="str">
        <f>IFERROR(IF(VLOOKUP(C636,[1]List1!$A:$D,2,FALSE)="VYPRODÁNO",$V$9,IF(VLOOKUP(C636,[1]List1!$A:$D,2,FALSE)="DOCHÁZÍ",$V$3,VLOOKUP(C636,[1]List1!$A:$D,2,FALSE))),"OFFLINE!")</f>
        <v>SKLADEM</v>
      </c>
      <c r="AD636" s="647" t="str">
        <f ca="1">IF(AP636="NE",$V$10,IF(AC636=$V$3,IF(AQ636&lt;1,$V$8,$V$2&amp;" "&amp;AQ636&amp;" "&amp;$V$1),IF(AC636="SKLADEM",$V$6,IFERROR(IF(OR(AC636-TODAY()&gt;45,VLOOKUP(C636,[1]List1!$A:$E,4,FALSE)=0),AC636,DAY(AC636)&amp;"."&amp;MONTH(AC636)&amp;"."&amp;YEAR(AC636)&amp;" "&amp;$V$4&amp;VLOOKUP(C636,[1]List1!$A:$E,4,FALSE)&amp;" "&amp;$V$1),AC636))))</f>
        <v>SKLADEM</v>
      </c>
      <c r="AE636" s="645" t="str">
        <f t="shared" ref="AE636" ca="1" si="1904">IFERROR(IF(AV636&lt;&gt;"",AV636,AD636),AD636)</f>
        <v>SKLADEM</v>
      </c>
      <c r="AF636" s="648">
        <f t="shared" ref="AF636" si="1905">IFERROR(IF(AB636=Y636,G636*I636*Y636,0),0)</f>
        <v>0</v>
      </c>
      <c r="AG636" s="649">
        <f t="shared" ref="AG636" si="1906">IF($W$17=$AF$8,AH636*1.23,AF636*1.21)</f>
        <v>0</v>
      </c>
      <c r="AH636" s="650">
        <f t="shared" ref="AH636" si="1907">IFERROR(IF(Y636=AB636,H636*I636*Y636,0),0)</f>
        <v>0</v>
      </c>
      <c r="AI636" s="645">
        <f t="shared" ref="AI636" si="1908">IFERROR(IF(Y636=AB636,(P636*Y636)/1000,1),0)</f>
        <v>0</v>
      </c>
      <c r="AJ636" s="645">
        <f t="shared" ref="AJ636" si="1909">IFERROR(IF(Y636=AB636,N636*Y636,0.1),0)</f>
        <v>0</v>
      </c>
      <c r="AK636" s="645" t="str">
        <f t="shared" ref="AK636" si="1910">IFERROR(IF(Y636=AB636,IF(M636="1.1G",(O636/1000)*Y636,""),""),0)</f>
        <v/>
      </c>
      <c r="AL636" s="645">
        <f t="shared" ref="AL636" si="1911">IFERROR(IF(Y636=AB636,IF(M636="1.3G",(O636/1000)*AB636,""),""),0)</f>
        <v>0</v>
      </c>
      <c r="AM636" s="645" t="str">
        <f t="shared" ref="AM636" si="1912">IFERROR(IF(Y636=AB636,IF(M636="1.4G",(O636/1000)*AB636,""),""),0)</f>
        <v/>
      </c>
      <c r="AN636" s="651">
        <f t="shared" ref="AN636" si="1913">SUM(AK636:AM636)</f>
        <v>0</v>
      </c>
      <c r="AO636" s="623"/>
      <c r="AP636" s="632" t="str">
        <f t="shared" si="1794"/>
        <v/>
      </c>
      <c r="AQ636" s="633" t="str">
        <f>IF(AC636=$V$3,IF(VLOOKUP(C636,[1]List1!$A:$E,5,FALSE)=0,1,VLOOKUP(C636,[1]List1!$A:$E,5,FALSE)),"")</f>
        <v/>
      </c>
      <c r="AR636" s="625" t="str">
        <f t="shared" si="1795"/>
        <v/>
      </c>
      <c r="AS636" s="634" t="str">
        <f t="shared" si="1796"/>
        <v/>
      </c>
      <c r="AT636" s="625" t="str">
        <f t="shared" si="1797"/>
        <v/>
      </c>
      <c r="AU636" s="638" t="e">
        <f t="shared" si="1798"/>
        <v>#N/A</v>
      </c>
      <c r="AV636" s="625" t="e">
        <f t="shared" si="1799"/>
        <v>#N/A</v>
      </c>
      <c r="AX636" s="625">
        <f>IF(AND('General price list'!$J636="F4",'General price list'!$AB636+0&gt;0),1,0)</f>
        <v>0</v>
      </c>
      <c r="AY636" s="625">
        <f t="shared" si="1800"/>
        <v>1</v>
      </c>
      <c r="AZ636" s="625">
        <f t="shared" si="1801"/>
        <v>0</v>
      </c>
    </row>
    <row r="637" spans="1:52" ht="15.75" customHeight="1">
      <c r="A637" s="751" t="str">
        <f>Kat.!C637</f>
        <v xml:space="preserve">           Baterie 49 ran, 30 mm moždíř – 1.3G</v>
      </c>
      <c r="B637" s="751"/>
      <c r="C637" s="751"/>
      <c r="D637" s="751"/>
      <c r="E637" s="751"/>
      <c r="F637" s="751"/>
      <c r="G637" s="751"/>
      <c r="H637" s="751"/>
      <c r="I637" s="752"/>
      <c r="J637" s="752"/>
      <c r="K637" s="752" t="s">
        <v>20</v>
      </c>
      <c r="L637" s="753" t="s">
        <v>20</v>
      </c>
      <c r="M637" s="752"/>
      <c r="N637" s="752"/>
      <c r="O637" s="752"/>
      <c r="P637" s="752"/>
      <c r="Q637" s="752"/>
      <c r="R637" s="752"/>
      <c r="S637" s="752"/>
      <c r="T637" s="752"/>
      <c r="U637" s="752"/>
      <c r="V637" s="752"/>
      <c r="W637" s="752"/>
      <c r="X637" s="752"/>
      <c r="Y637" s="752"/>
      <c r="Z637" s="752" t="s">
        <v>20</v>
      </c>
      <c r="AA637" s="752"/>
      <c r="AB637" s="752"/>
      <c r="AC637" s="754"/>
      <c r="AD637" s="752"/>
      <c r="AE637" s="752"/>
      <c r="AF637" s="752"/>
      <c r="AG637" s="752"/>
      <c r="AH637" s="752"/>
      <c r="AI637" s="752"/>
      <c r="AJ637" s="752"/>
      <c r="AK637" s="752"/>
      <c r="AL637" s="752"/>
      <c r="AM637" s="752"/>
      <c r="AN637" s="752"/>
      <c r="AO637" s="623"/>
      <c r="AP637" s="625" t="str">
        <f t="shared" si="1794"/>
        <v/>
      </c>
      <c r="AQ637" s="625" t="str">
        <f>IF(AC637=$V$3,IF(VLOOKUP(C637,[1]List1!$A:$E,5,FALSE)=0,1,VLOOKUP(C637,[1]List1!$A:$E,5,FALSE)),"")</f>
        <v/>
      </c>
      <c r="AR637" s="629" t="str">
        <f t="shared" si="1795"/>
        <v/>
      </c>
      <c r="AS637" s="630" t="str">
        <f t="shared" si="1796"/>
        <v/>
      </c>
      <c r="AT637" s="625" t="str">
        <f t="shared" si="1797"/>
        <v/>
      </c>
      <c r="AU637" s="625" t="e">
        <f t="shared" si="1798"/>
        <v>#N/A</v>
      </c>
      <c r="AV637" s="625" t="e">
        <f t="shared" si="1799"/>
        <v>#N/A</v>
      </c>
      <c r="AW637" s="631"/>
      <c r="AX637" s="631">
        <f>IF(AND('General price list'!$J637="F4",'General price list'!$AB637+0&gt;0),1,0)</f>
        <v>0</v>
      </c>
      <c r="AY637" s="631">
        <f t="shared" si="1800"/>
        <v>0</v>
      </c>
      <c r="AZ637" s="631">
        <f t="shared" si="1801"/>
        <v>0</v>
      </c>
    </row>
    <row r="638" spans="1:52" ht="15.75" customHeight="1">
      <c r="A638" s="639" t="str">
        <f>Kat.!C638</f>
        <v/>
      </c>
      <c r="B638" s="640">
        <f>IF(AND('General price list'!$J638="F4",$AI$1=FALSE),0,IF(AC638="SKLADEM",1,IF(AC638=$V$3,1,0)))</f>
        <v>1</v>
      </c>
      <c r="C638" s="641" t="s">
        <v>5043</v>
      </c>
      <c r="D638" s="642" t="s">
        <v>12411</v>
      </c>
      <c r="E638" s="643" t="s">
        <v>12747</v>
      </c>
      <c r="F638" s="791">
        <f>IFERROR(VLOOKUP(C638,[2]List1!$A:$D,3,FALSE),"NEUVEDENO!")</f>
        <v>969</v>
      </c>
      <c r="G638" s="768">
        <f t="shared" ref="G638:G647" si="1914">IF($W$17=$AF$8,ROUND((F638)/$F$17,2),(F638)*$B$19)</f>
        <v>969</v>
      </c>
      <c r="H638" s="765">
        <f t="shared" ref="H638:H647" si="1915">IF($W$17=$AF$8,G638*$B$19,G638/$F$17)</f>
        <v>41.161703049534225</v>
      </c>
      <c r="I638" s="644">
        <f>IFERROR(VLOOKUP(C638,[2]List1!$A:$D,4,FALSE),"NEUVEDENO!")</f>
        <v>2</v>
      </c>
      <c r="J638" s="733" t="s">
        <v>113</v>
      </c>
      <c r="K638" s="645" t="s">
        <v>11100</v>
      </c>
      <c r="L638" s="645" t="s">
        <v>20</v>
      </c>
      <c r="M638" s="645" t="s">
        <v>114</v>
      </c>
      <c r="N638" s="645">
        <f>IFERROR(VLOOKUP(C638,[3]List1!$A:$D,4,FALSE),"N/A!")</f>
        <v>3.50595E-2</v>
      </c>
      <c r="O638" s="645">
        <f>IFERROR(VLOOKUP(C638,[3]List1!$A:$D,3,FALSE),"N/A!")</f>
        <v>1666</v>
      </c>
      <c r="P638" s="645">
        <f>IFERROR(VLOOKUP(C638,[3]List1!$A:$D,2,FALSE),"N/A!")</f>
        <v>12500</v>
      </c>
      <c r="Q638" s="645" t="s">
        <v>11787</v>
      </c>
      <c r="R638" s="645"/>
      <c r="S638" s="645" t="str">
        <f>IF($W$17=$AF$1,"design",IFERROR(VLOOKUP("design",Jazyky_ceník!$A:$Q,MATCH($W$17,Jazyky_ceník!$A$1:$Q$1,0),FALSE),"!!!"))</f>
        <v>design</v>
      </c>
      <c r="T638" s="645">
        <v>80</v>
      </c>
      <c r="U638" s="645">
        <v>40</v>
      </c>
      <c r="V638" s="645">
        <v>29</v>
      </c>
      <c r="W638" s="645" t="str">
        <f>IFERROR(IF(AND($AB638&gt;=0.1*$AA638,MOD($AB638,$AA638)&gt;=($AA638-(0.1*$AA638))),IF($W$17=$AF$1,"Zvažte možnost doobjednání ještě "&amp;Tabulka1[[#This Row],[VKPAL]]-MOD(AB638,AA638)&amp;" VK do plné palety.",VLOOKUP("Zvažte možnost doobjednání ještě ",Jazyky_ceník!A:Q,MATCH($W$17,Jazyky_ceník!$A$1:$Q$1,0),FALSE)&amp;Tabulka1[[#This Row],[VKPAL]]-MOD(AB638,AA638)&amp;VLOOKUP(" VK do plné palety.",Jazyky_ceník!A:Q,MATCH($W$17,Jazyky_ceník!$A$1:$Q$1,0),FALSE)),IFERROR(IF(AND(NOT(MOD($AB638,$AA638)=0),$AB638&gt;=0.9*$AA638,MOD($AB638,$AA638)&lt;=0.1*$AA638),IF($W$17=$AF$1,"Zvažte možnost optimalizace objednaného množství podle počtu VK na paletě ==&gt;",VLOOKUP("Zvažte možnost optimalizace objednaného množství podle počtu VK na paletě ==&gt;",Jazyky_ceník!A:Q,MATCH($W$17,Jazyky_ceník!$A$1:$Q$1,0),FALSE)),VLOOKUP('General price list'!$C638,Popisy!A:M,MATCH($W$17,Popisy!$A$7:$M$7,0),FALSE)),"---------------")),IFERROR(VLOOKUP('General price list'!$C638,Popisy!A:M,MATCH($W$17,Popisy!$A$7:$M$7,0),FALSE),"---------------"))</f>
        <v>7 různobarevných efektu</v>
      </c>
      <c r="X638" s="645" t="str">
        <f t="shared" ref="X638:X647" si="1916">IF(AB638&lt;0.0001,"",AB638)</f>
        <v/>
      </c>
      <c r="Y638" s="645" t="str">
        <f t="shared" ref="Y638:Y647" si="1917">IF($AL$3=2,IF(OR(AB638&lt;&gt;"",AB638&lt;&gt;0),AU638,""),IF(C638="","",IF(AB638&lt;0.0001,"",IF(B638=0,"",IF(AQ638&lt;AB638,"",AB638)))))</f>
        <v/>
      </c>
      <c r="Z638" s="645" t="str">
        <f>HYPERLINK("https://www.klasekpyrotechnics.cz/c493bps")</f>
        <v>https://www.klasekpyrotechnics.cz/c493bps</v>
      </c>
      <c r="AA638" s="645">
        <f>IFERROR(IF(VLOOKUP(C638,[4]List1!$A:$D,4,FALSE)=0,"",VLOOKUP(C638,[4]List1!$A:$D,4,FALSE)),"")</f>
        <v>42</v>
      </c>
      <c r="AB638" s="646"/>
      <c r="AC638" s="647" t="str">
        <f>IFERROR(IF(VLOOKUP(C638,[1]List1!$A:$D,2,FALSE)="VYPRODÁNO",$V$9,IF(VLOOKUP(C638,[1]List1!$A:$D,2,FALSE)="DOCHÁZÍ",$V$3,VLOOKUP(C638,[1]List1!$A:$D,2,FALSE))),"OFFLINE!")</f>
        <v>SKLADEM</v>
      </c>
      <c r="AD638" s="647" t="str">
        <f ca="1">IF(AP638="NE",$V$10,IF(AC638=$V$3,IF(AQ638&lt;1,$V$8,$V$2&amp;" "&amp;AQ638&amp;" "&amp;$V$1),IF(AC638="SKLADEM",$V$6,IFERROR(IF(OR(AC638-TODAY()&gt;45,VLOOKUP(C638,[1]List1!$A:$E,4,FALSE)=0),AC638,DAY(AC638)&amp;"."&amp;MONTH(AC638)&amp;"."&amp;YEAR(AC638)&amp;" "&amp;$V$4&amp;VLOOKUP(C638,[1]List1!$A:$E,4,FALSE)&amp;" "&amp;$V$1),AC638))))</f>
        <v>SKLADEM</v>
      </c>
      <c r="AE638" s="645" t="str">
        <f t="shared" ref="AE638:AE647" ca="1" si="1918">IFERROR(IF(AV638&lt;&gt;"",AV638,AD638),AD638)</f>
        <v>SKLADEM</v>
      </c>
      <c r="AF638" s="648">
        <f t="shared" ref="AF638:AF647" si="1919">IFERROR(IF(AB638=Y638,G638*I638*Y638,0),0)</f>
        <v>0</v>
      </c>
      <c r="AG638" s="649">
        <f t="shared" ref="AG638:AG647" si="1920">IF($W$17=$AF$8,AH638*1.23,AF638*1.21)</f>
        <v>0</v>
      </c>
      <c r="AH638" s="650">
        <f t="shared" ref="AH638:AH647" si="1921">IFERROR(IF(Y638=AB638,H638*I638*Y638,0),0)</f>
        <v>0</v>
      </c>
      <c r="AI638" s="645">
        <f t="shared" ref="AI638:AI647" si="1922">IFERROR(IF(Y638=AB638,(P638*Y638)/1000,1),0)</f>
        <v>0</v>
      </c>
      <c r="AJ638" s="645">
        <f t="shared" ref="AJ638:AJ647" si="1923">IFERROR(IF(Y638=AB638,N638*Y638,0.1),0)</f>
        <v>0</v>
      </c>
      <c r="AK638" s="645" t="str">
        <f t="shared" ref="AK638:AK647" si="1924">IFERROR(IF(Y638=AB638,IF(M638="1.1G",(O638/1000)*Y638,""),""),0)</f>
        <v/>
      </c>
      <c r="AL638" s="645">
        <f t="shared" ref="AL638:AL647" si="1925">IFERROR(IF(Y638=AB638,IF(M638="1.3G",(O638/1000)*AB638,""),""),0)</f>
        <v>0</v>
      </c>
      <c r="AM638" s="645" t="str">
        <f t="shared" ref="AM638:AM647" si="1926">IFERROR(IF(Y638=AB638,IF(M638="1.4G",(O638/1000)*AB638,""),""),0)</f>
        <v/>
      </c>
      <c r="AN638" s="651">
        <f t="shared" ref="AN638:AN647" si="1927">SUM(AK638:AM638)</f>
        <v>0</v>
      </c>
      <c r="AO638" s="623"/>
      <c r="AP638" s="625" t="str">
        <f t="shared" si="1794"/>
        <v/>
      </c>
      <c r="AQ638" s="625" t="str">
        <f>IF(AC638=$V$3,IF(VLOOKUP(C638,[1]List1!$A:$E,5,FALSE)=0,1,VLOOKUP(C638,[1]List1!$A:$E,5,FALSE)),"")</f>
        <v/>
      </c>
      <c r="AR638" s="629" t="str">
        <f t="shared" si="1795"/>
        <v/>
      </c>
      <c r="AS638" s="630" t="str">
        <f t="shared" si="1796"/>
        <v/>
      </c>
      <c r="AT638" s="625" t="str">
        <f t="shared" si="1797"/>
        <v/>
      </c>
      <c r="AU638" s="625" t="e">
        <f t="shared" si="1798"/>
        <v>#N/A</v>
      </c>
      <c r="AV638" s="625" t="e">
        <f t="shared" si="1799"/>
        <v>#N/A</v>
      </c>
      <c r="AW638" s="631"/>
      <c r="AX638" s="631">
        <f>IF(AND('General price list'!$J638="F4",'General price list'!$AB638+0&gt;0),1,0)</f>
        <v>0</v>
      </c>
      <c r="AY638" s="631">
        <f t="shared" si="1800"/>
        <v>1</v>
      </c>
      <c r="AZ638" s="631">
        <f t="shared" si="1801"/>
        <v>0</v>
      </c>
    </row>
    <row r="639" spans="1:52" ht="15" customHeight="1">
      <c r="A639" s="621" t="str">
        <f>Kat.!C639</f>
        <v>×</v>
      </c>
      <c r="B639" s="566">
        <f>IF(AND('General price list'!$J639="F4",$AI$1=FALSE),0,IF(AC639="SKLADEM",1,IF(AC639=$V$3,1,0)))</f>
        <v>1</v>
      </c>
      <c r="C639" s="567" t="s">
        <v>2297</v>
      </c>
      <c r="D639" s="568" t="s">
        <v>2298</v>
      </c>
      <c r="E639" s="763" t="s">
        <v>12747</v>
      </c>
      <c r="F639" s="791">
        <f>IFERROR(VLOOKUP(C639,[2]List1!$A:$D,3,FALSE),"NEUVEDENO!")</f>
        <v>979</v>
      </c>
      <c r="G639" s="769">
        <f t="shared" si="1914"/>
        <v>979</v>
      </c>
      <c r="H639" s="766">
        <f t="shared" si="1915"/>
        <v>41.586488426722397</v>
      </c>
      <c r="I639" s="764">
        <f>IFERROR(VLOOKUP(C639,[2]List1!$A:$D,4,FALSE),"NEUVEDENO!")</f>
        <v>2</v>
      </c>
      <c r="J639" s="732" t="s">
        <v>113</v>
      </c>
      <c r="K639" s="569" t="s">
        <v>11100</v>
      </c>
      <c r="L639" s="569" t="s">
        <v>20</v>
      </c>
      <c r="M639" s="569" t="s">
        <v>114</v>
      </c>
      <c r="N639" s="569">
        <f>IFERROR(VLOOKUP(C639,[3]List1!$A:$D,4,FALSE),"N/A!")</f>
        <v>3.50595E-2</v>
      </c>
      <c r="O639" s="569">
        <f>IFERROR(VLOOKUP(C639,[3]List1!$A:$D,3,FALSE),"N/A!")</f>
        <v>1800</v>
      </c>
      <c r="P639" s="569">
        <f>IFERROR(VLOOKUP(C639,[3]List1!$A:$D,2,FALSE),"N/A!")</f>
        <v>12500</v>
      </c>
      <c r="Q639" s="569" t="s">
        <v>11787</v>
      </c>
      <c r="R639" s="569"/>
      <c r="S639" s="569" t="str">
        <f>IF($W$17=$AF$1,"design",IFERROR(VLOOKUP("design",Jazyky_ceník!$A:$Q,MATCH($W$17,Jazyky_ceník!$A$1:$Q$1,0),FALSE),"!!!"))</f>
        <v>design</v>
      </c>
      <c r="T639" s="569">
        <v>50</v>
      </c>
      <c r="U639" s="569">
        <v>40</v>
      </c>
      <c r="V639" s="569">
        <v>29</v>
      </c>
      <c r="W639" s="569" t="str">
        <f>IFERROR(IF(AND($AB639&gt;=0.1*$AA639,MOD($AB639,$AA639)&gt;=($AA639-(0.1*$AA639))),IF($W$17=$AF$1,"Zvažte možnost doobjednání ještě "&amp;Tabulka1[[#This Row],[VKPAL]]-MOD(AB639,AA639)&amp;" VK do plné palety.",VLOOKUP("Zvažte možnost doobjednání ještě ",Jazyky_ceník!A:Q,MATCH($W$17,Jazyky_ceník!$A$1:$Q$1,0),FALSE)&amp;Tabulka1[[#This Row],[VKPAL]]-MOD(AB639,AA639)&amp;VLOOKUP(" VK do plné palety.",Jazyky_ceník!A:Q,MATCH($W$17,Jazyky_ceník!$A$1:$Q$1,0),FALSE)),IFERROR(IF(AND(NOT(MOD($AB639,$AA639)=0),$AB639&gt;=0.9*$AA639,MOD($AB639,$AA639)&lt;=0.1*$AA639),IF($W$17=$AF$1,"Zvažte možnost optimalizace objednaného množství podle počtu VK na paletě ==&gt;",VLOOKUP("Zvažte možnost optimalizace objednaného množství podle počtu VK na paletě ==&gt;",Jazyky_ceník!A:Q,MATCH($W$17,Jazyky_ceník!$A$1:$Q$1,0),FALSE)),VLOOKUP('General price list'!$C639,Popisy!A:M,MATCH($W$17,Popisy!$A$7:$M$7,0),FALSE)),"---------------")),IFERROR(VLOOKUP('General price list'!$C639,Popisy!A:M,MATCH($W$17,Popisy!$A$7:$M$7,0),FALSE),"---------------"))</f>
        <v>7 různobarevných efektu</v>
      </c>
      <c r="X639" s="569" t="str">
        <f t="shared" si="1916"/>
        <v/>
      </c>
      <c r="Y639" s="569" t="str">
        <f t="shared" si="1917"/>
        <v/>
      </c>
      <c r="Z639" s="569" t="str">
        <f>HYPERLINK("https://www.klasekpyrotechnics.cz/c493pr")</f>
        <v>https://www.klasekpyrotechnics.cz/c493pr</v>
      </c>
      <c r="AA639" s="569">
        <f>IFERROR(IF(VLOOKUP(C639,[4]List1!$A:$D,4,FALSE)=0,"",VLOOKUP(C639,[4]List1!$A:$D,4,FALSE)),"")</f>
        <v>42</v>
      </c>
      <c r="AB639" s="565"/>
      <c r="AC639" s="570" t="str">
        <f>IFERROR(IF(VLOOKUP(C639,[1]List1!$A:$D,2,FALSE)="VYPRODÁNO",$V$9,IF(VLOOKUP(C639,[1]List1!$A:$D,2,FALSE)="DOCHÁZÍ",$V$3,VLOOKUP(C639,[1]List1!$A:$D,2,FALSE))),"OFFLINE!")</f>
        <v>DOCHÁZÍ</v>
      </c>
      <c r="AD639" s="570" t="str">
        <f ca="1">IF(AP639="NE",$V$10,IF(AC639=$V$3,IF(AQ639&lt;1,$V$8,$V$2&amp;" "&amp;AQ639&amp;" "&amp;$V$1),IF(AC639="SKLADEM",$V$6,IFERROR(IF(OR(AC639-TODAY()&gt;45,VLOOKUP(C639,[1]List1!$A:$E,4,FALSE)=0),AC639,DAY(AC639)&amp;"."&amp;MONTH(AC639)&amp;"."&amp;YEAR(AC639)&amp;" "&amp;$V$4&amp;VLOOKUP(C639,[1]List1!$A:$E,4,FALSE)&amp;" "&amp;$V$1),AC639))))</f>
        <v>POSLEDNÍCH 2 VK</v>
      </c>
      <c r="AE639" s="581" t="str">
        <f t="shared" ca="1" si="1918"/>
        <v>POSLEDNÍCH 2 VK</v>
      </c>
      <c r="AF639" s="584">
        <f t="shared" si="1919"/>
        <v>0</v>
      </c>
      <c r="AG639" s="585">
        <f t="shared" si="1920"/>
        <v>0</v>
      </c>
      <c r="AH639" s="583">
        <f t="shared" si="1921"/>
        <v>0</v>
      </c>
      <c r="AI639" s="582">
        <f t="shared" si="1922"/>
        <v>0</v>
      </c>
      <c r="AJ639" s="569">
        <f t="shared" si="1923"/>
        <v>0</v>
      </c>
      <c r="AK639" s="569" t="str">
        <f t="shared" si="1924"/>
        <v/>
      </c>
      <c r="AL639" s="569">
        <f t="shared" si="1925"/>
        <v>0</v>
      </c>
      <c r="AM639" s="569" t="str">
        <f t="shared" si="1926"/>
        <v/>
      </c>
      <c r="AN639" s="581">
        <f t="shared" si="1927"/>
        <v>0</v>
      </c>
      <c r="AO639" s="623"/>
      <c r="AP639" s="632" t="str">
        <f t="shared" si="1794"/>
        <v/>
      </c>
      <c r="AQ639" s="633">
        <f>IF(AC639=$V$3,IF(VLOOKUP(C639,[1]List1!$A:$E,5,FALSE)=0,1,VLOOKUP(C639,[1]List1!$A:$E,5,FALSE)),"")</f>
        <v>2</v>
      </c>
      <c r="AR639" s="625" t="str">
        <f t="shared" si="1795"/>
        <v/>
      </c>
      <c r="AS639" s="634" t="str">
        <f t="shared" si="1796"/>
        <v/>
      </c>
      <c r="AT639" s="625" t="str">
        <f t="shared" si="1797"/>
        <v/>
      </c>
      <c r="AU639" s="638" t="e">
        <f t="shared" si="1798"/>
        <v>#N/A</v>
      </c>
      <c r="AV639" s="625" t="e">
        <f t="shared" si="1799"/>
        <v>#N/A</v>
      </c>
      <c r="AX639" s="625">
        <f>IF(AND('General price list'!$J639="F4",'General price list'!$AB639+0&gt;0),1,0)</f>
        <v>0</v>
      </c>
      <c r="AY639" s="625">
        <f t="shared" si="1800"/>
        <v>1</v>
      </c>
      <c r="AZ639" s="625">
        <f t="shared" si="1801"/>
        <v>0</v>
      </c>
    </row>
    <row r="640" spans="1:52" ht="15" customHeight="1">
      <c r="A640" s="639" t="str">
        <f>Kat.!C640</f>
        <v/>
      </c>
      <c r="B640" s="640">
        <f>IF(AND('General price list'!$J640="F4",$AI$1=FALSE),0,IF(AC640="SKLADEM",1,IF(AC640=$V$3,1,0)))</f>
        <v>1</v>
      </c>
      <c r="C640" s="641" t="s">
        <v>1331</v>
      </c>
      <c r="D640" s="642" t="s">
        <v>1332</v>
      </c>
      <c r="E640" s="643" t="s">
        <v>12747</v>
      </c>
      <c r="F640" s="791">
        <f>IFERROR(VLOOKUP(C640,[2]List1!$A:$D,3,FALSE),"NEUVEDENO!")</f>
        <v>979</v>
      </c>
      <c r="G640" s="768">
        <f t="shared" si="1914"/>
        <v>979</v>
      </c>
      <c r="H640" s="765">
        <f t="shared" si="1915"/>
        <v>41.586488426722397</v>
      </c>
      <c r="I640" s="644">
        <f>IFERROR(VLOOKUP(C640,[2]List1!$A:$D,4,FALSE),"NEUVEDENO!")</f>
        <v>2</v>
      </c>
      <c r="J640" s="733" t="s">
        <v>113</v>
      </c>
      <c r="K640" s="645" t="s">
        <v>11100</v>
      </c>
      <c r="L640" s="645" t="s">
        <v>20</v>
      </c>
      <c r="M640" s="645" t="s">
        <v>114</v>
      </c>
      <c r="N640" s="645">
        <f>IFERROR(VLOOKUP(C640,[3]List1!$A:$D,4,FALSE),"N/A!")</f>
        <v>3.50595E-2</v>
      </c>
      <c r="O640" s="645">
        <f>IFERROR(VLOOKUP(C640,[3]List1!$A:$D,3,FALSE),"N/A!")</f>
        <v>1862</v>
      </c>
      <c r="P640" s="645">
        <f>IFERROR(VLOOKUP(C640,[3]List1!$A:$D,2,FALSE),"N/A!")</f>
        <v>14000</v>
      </c>
      <c r="Q640" s="645" t="s">
        <v>11787</v>
      </c>
      <c r="R640" s="645"/>
      <c r="S640" s="645" t="str">
        <f>IF($W$17=$AF$1,"červená fólie",IFERROR(VLOOKUP("červená fólie",Jazyky_ceník!$A:$Q,MATCH($W$17,Jazyky_ceník!$A$1:$Q$1,0),FALSE),"!!!"))</f>
        <v>červená fólie</v>
      </c>
      <c r="T640" s="645">
        <v>50</v>
      </c>
      <c r="U640" s="645">
        <v>40</v>
      </c>
      <c r="V640" s="645">
        <v>30</v>
      </c>
      <c r="W640" s="645" t="str">
        <f>IFERROR(IF(AND($AB640&gt;=0.1*$AA640,MOD($AB640,$AA640)&gt;=($AA640-(0.1*$AA640))),IF($W$17=$AF$1,"Zvažte možnost doobjednání ještě "&amp;Tabulka1[[#This Row],[VKPAL]]-MOD(AB640,AA640)&amp;" VK do plné palety.",VLOOKUP("Zvažte možnost doobjednání ještě ",Jazyky_ceník!A:Q,MATCH($W$17,Jazyky_ceník!$A$1:$Q$1,0),FALSE)&amp;Tabulka1[[#This Row],[VKPAL]]-MOD(AB640,AA640)&amp;VLOOKUP(" VK do plné palety.",Jazyky_ceník!A:Q,MATCH($W$17,Jazyky_ceník!$A$1:$Q$1,0),FALSE)),IFERROR(IF(AND(NOT(MOD($AB640,$AA640)=0),$AB640&gt;=0.9*$AA640,MOD($AB640,$AA640)&lt;=0.1*$AA640),IF($W$17=$AF$1,"Zvažte možnost optimalizace objednaného množství podle počtu VK na paletě ==&gt;",VLOOKUP("Zvažte možnost optimalizace objednaného množství podle počtu VK na paletě ==&gt;",Jazyky_ceník!A:Q,MATCH($W$17,Jazyky_ceník!$A$1:$Q$1,0),FALSE)),VLOOKUP('General price list'!$C640,Popisy!A:M,MATCH($W$17,Popisy!$A$7:$M$7,0),FALSE)),"---------------")),IFERROR(VLOOKUP('General price list'!$C640,Popisy!A:M,MATCH($W$17,Popisy!$A$7:$M$7,0),FALSE),"---------------"))</f>
        <v>7 různobarevných efektu</v>
      </c>
      <c r="X640" s="645" t="str">
        <f t="shared" si="1916"/>
        <v/>
      </c>
      <c r="Y640" s="645" t="str">
        <f t="shared" si="1917"/>
        <v/>
      </c>
      <c r="Z640" s="645" t="str">
        <f>HYPERLINK("https://www.klasekpyrotechnics.cz/c493ru")</f>
        <v>https://www.klasekpyrotechnics.cz/c493ru</v>
      </c>
      <c r="AA640" s="645">
        <f>IFERROR(IF(VLOOKUP(C640,[4]List1!$A:$D,4,FALSE)=0,"",VLOOKUP(C640,[4]List1!$A:$D,4,FALSE)),"")</f>
        <v>42</v>
      </c>
      <c r="AB640" s="646"/>
      <c r="AC640" s="647" t="str">
        <f>IFERROR(IF(VLOOKUP(C640,[1]List1!$A:$D,2,FALSE)="VYPRODÁNO",$V$9,IF(VLOOKUP(C640,[1]List1!$A:$D,2,FALSE)="DOCHÁZÍ",$V$3,VLOOKUP(C640,[1]List1!$A:$D,2,FALSE))),"OFFLINE!")</f>
        <v>SKLADEM</v>
      </c>
      <c r="AD640" s="647" t="str">
        <f ca="1">IF(AP640="NE",$V$10,IF(AC640=$V$3,IF(AQ640&lt;1,$V$8,$V$2&amp;" "&amp;AQ640&amp;" "&amp;$V$1),IF(AC640="SKLADEM",$V$6,IFERROR(IF(OR(AC640-TODAY()&gt;45,VLOOKUP(C640,[1]List1!$A:$E,4,FALSE)=0),AC640,DAY(AC640)&amp;"."&amp;MONTH(AC640)&amp;"."&amp;YEAR(AC640)&amp;" "&amp;$V$4&amp;VLOOKUP(C640,[1]List1!$A:$E,4,FALSE)&amp;" "&amp;$V$1),AC640))))</f>
        <v>SKLADEM</v>
      </c>
      <c r="AE640" s="645" t="str">
        <f t="shared" ca="1" si="1918"/>
        <v>SKLADEM</v>
      </c>
      <c r="AF640" s="648">
        <f t="shared" si="1919"/>
        <v>0</v>
      </c>
      <c r="AG640" s="649">
        <f t="shared" si="1920"/>
        <v>0</v>
      </c>
      <c r="AH640" s="650">
        <f t="shared" si="1921"/>
        <v>0</v>
      </c>
      <c r="AI640" s="645">
        <f t="shared" si="1922"/>
        <v>0</v>
      </c>
      <c r="AJ640" s="645">
        <f t="shared" si="1923"/>
        <v>0</v>
      </c>
      <c r="AK640" s="645" t="str">
        <f t="shared" si="1924"/>
        <v/>
      </c>
      <c r="AL640" s="645">
        <f t="shared" si="1925"/>
        <v>0</v>
      </c>
      <c r="AM640" s="645" t="str">
        <f t="shared" si="1926"/>
        <v/>
      </c>
      <c r="AN640" s="651">
        <f t="shared" si="1927"/>
        <v>0</v>
      </c>
      <c r="AO640" s="623"/>
      <c r="AP640" s="632" t="str">
        <f t="shared" si="1794"/>
        <v/>
      </c>
      <c r="AQ640" s="633" t="str">
        <f>IF(AC640=$V$3,IF(VLOOKUP(C640,[1]List1!$A:$E,5,FALSE)=0,1,VLOOKUP(C640,[1]List1!$A:$E,5,FALSE)),"")</f>
        <v/>
      </c>
      <c r="AR640" s="625" t="str">
        <f t="shared" si="1795"/>
        <v/>
      </c>
      <c r="AS640" s="634" t="str">
        <f t="shared" si="1796"/>
        <v/>
      </c>
      <c r="AT640" s="625" t="str">
        <f t="shared" si="1797"/>
        <v/>
      </c>
      <c r="AU640" s="638" t="e">
        <f t="shared" si="1798"/>
        <v>#N/A</v>
      </c>
      <c r="AV640" s="625" t="e">
        <f t="shared" si="1799"/>
        <v>#N/A</v>
      </c>
      <c r="AX640" s="625">
        <f>IF(AND('General price list'!$J640="F4",'General price list'!$AB640+0&gt;0),1,0)</f>
        <v>0</v>
      </c>
      <c r="AY640" s="625">
        <f t="shared" si="1800"/>
        <v>1</v>
      </c>
      <c r="AZ640" s="625">
        <f t="shared" si="1801"/>
        <v>0</v>
      </c>
    </row>
    <row r="641" spans="1:52" ht="15" customHeight="1">
      <c r="A641" s="621" t="str">
        <f>Kat.!C641</f>
        <v/>
      </c>
      <c r="B641" s="566">
        <f>IF(AND('General price list'!$J641="F4",$AI$1=FALSE),0,IF(AC641="SKLADEM",1,IF(AC641=$V$3,1,0)))</f>
        <v>1</v>
      </c>
      <c r="C641" s="567" t="s">
        <v>1333</v>
      </c>
      <c r="D641" s="568" t="s">
        <v>1326</v>
      </c>
      <c r="E641" s="763" t="s">
        <v>12747</v>
      </c>
      <c r="F641" s="791">
        <f>IFERROR(VLOOKUP(C641,[2]List1!$A:$D,3,FALSE),"NEUVEDENO!")</f>
        <v>979</v>
      </c>
      <c r="G641" s="769">
        <f t="shared" si="1914"/>
        <v>979</v>
      </c>
      <c r="H641" s="766">
        <f t="shared" si="1915"/>
        <v>41.586488426722397</v>
      </c>
      <c r="I641" s="764">
        <f>IFERROR(VLOOKUP(C641,[2]List1!$A:$D,4,FALSE),"NEUVEDENO!")</f>
        <v>2</v>
      </c>
      <c r="J641" s="732" t="s">
        <v>113</v>
      </c>
      <c r="K641" s="569" t="s">
        <v>11100</v>
      </c>
      <c r="L641" s="569" t="s">
        <v>20</v>
      </c>
      <c r="M641" s="569" t="s">
        <v>114</v>
      </c>
      <c r="N641" s="569">
        <f>IFERROR(VLOOKUP(C641,[3]List1!$A:$D,4,FALSE),"N/A!")</f>
        <v>3.50595E-2</v>
      </c>
      <c r="O641" s="569">
        <f>IFERROR(VLOOKUP(C641,[3]List1!$A:$D,3,FALSE),"N/A!")</f>
        <v>1862</v>
      </c>
      <c r="P641" s="569">
        <f>IFERROR(VLOOKUP(C641,[3]List1!$A:$D,2,FALSE),"N/A!")</f>
        <v>12500</v>
      </c>
      <c r="Q641" s="569" t="s">
        <v>11787</v>
      </c>
      <c r="R641" s="569"/>
      <c r="S641" s="569" t="str">
        <f>IF($W$17=$AF$1,"design",IFERROR(VLOOKUP("design",Jazyky_ceník!$A:$Q,MATCH($W$17,Jazyky_ceník!$A$1:$Q$1,0),FALSE),"!!!"))</f>
        <v>design</v>
      </c>
      <c r="T641" s="569">
        <v>50</v>
      </c>
      <c r="U641" s="569">
        <v>40</v>
      </c>
      <c r="V641" s="569">
        <v>30</v>
      </c>
      <c r="W641" s="569" t="str">
        <f>IFERROR(IF(AND($AB641&gt;=0.1*$AA641,MOD($AB641,$AA641)&gt;=($AA641-(0.1*$AA641))),IF($W$17=$AF$1,"Zvažte možnost doobjednání ještě "&amp;Tabulka1[[#This Row],[VKPAL]]-MOD(AB641,AA641)&amp;" VK do plné palety.",VLOOKUP("Zvažte možnost doobjednání ještě ",Jazyky_ceník!A:Q,MATCH($W$17,Jazyky_ceník!$A$1:$Q$1,0),FALSE)&amp;Tabulka1[[#This Row],[VKPAL]]-MOD(AB641,AA641)&amp;VLOOKUP(" VK do plné palety.",Jazyky_ceník!A:Q,MATCH($W$17,Jazyky_ceník!$A$1:$Q$1,0),FALSE)),IFERROR(IF(AND(NOT(MOD($AB641,$AA641)=0),$AB641&gt;=0.9*$AA641,MOD($AB641,$AA641)&lt;=0.1*$AA641),IF($W$17=$AF$1,"Zvažte možnost optimalizace objednaného množství podle počtu VK na paletě ==&gt;",VLOOKUP("Zvažte možnost optimalizace objednaného množství podle počtu VK na paletě ==&gt;",Jazyky_ceník!A:Q,MATCH($W$17,Jazyky_ceník!$A$1:$Q$1,0),FALSE)),VLOOKUP('General price list'!$C641,Popisy!A:M,MATCH($W$17,Popisy!$A$7:$M$7,0),FALSE)),"---------------")),IFERROR(VLOOKUP('General price list'!$C641,Popisy!A:M,MATCH($W$17,Popisy!$A$7:$M$7,0),FALSE),"---------------"))</f>
        <v>7 různobarevných efektu</v>
      </c>
      <c r="X641" s="569" t="str">
        <f t="shared" si="1916"/>
        <v/>
      </c>
      <c r="Y641" s="569" t="str">
        <f t="shared" si="1917"/>
        <v/>
      </c>
      <c r="Z641" s="569" t="str">
        <f>HYPERLINK("https://www.klasekpyrotechnics.cz/c493ma")</f>
        <v>https://www.klasekpyrotechnics.cz/c493ma</v>
      </c>
      <c r="AA641" s="569">
        <f>IFERROR(IF(VLOOKUP(C641,[4]List1!$A:$D,4,FALSE)=0,"",VLOOKUP(C641,[4]List1!$A:$D,4,FALSE)),"")</f>
        <v>42</v>
      </c>
      <c r="AB641" s="565"/>
      <c r="AC641" s="570" t="str">
        <f>IFERROR(IF(VLOOKUP(C641,[1]List1!$A:$D,2,FALSE)="VYPRODÁNO",$V$9,IF(VLOOKUP(C641,[1]List1!$A:$D,2,FALSE)="DOCHÁZÍ",$V$3,VLOOKUP(C641,[1]List1!$A:$D,2,FALSE))),"OFFLINE!")</f>
        <v>SKLADEM</v>
      </c>
      <c r="AD641" s="570" t="str">
        <f ca="1">IF(AP641="NE",$V$10,IF(AC641=$V$3,IF(AQ641&lt;1,$V$8,$V$2&amp;" "&amp;AQ641&amp;" "&amp;$V$1),IF(AC641="SKLADEM",$V$6,IFERROR(IF(OR(AC641-TODAY()&gt;45,VLOOKUP(C641,[1]List1!$A:$E,4,FALSE)=0),AC641,DAY(AC641)&amp;"."&amp;MONTH(AC641)&amp;"."&amp;YEAR(AC641)&amp;" "&amp;$V$4&amp;VLOOKUP(C641,[1]List1!$A:$E,4,FALSE)&amp;" "&amp;$V$1),AC641))))</f>
        <v>SKLADEM</v>
      </c>
      <c r="AE641" s="581" t="str">
        <f t="shared" ca="1" si="1918"/>
        <v>SKLADEM</v>
      </c>
      <c r="AF641" s="584">
        <f t="shared" si="1919"/>
        <v>0</v>
      </c>
      <c r="AG641" s="585">
        <f t="shared" si="1920"/>
        <v>0</v>
      </c>
      <c r="AH641" s="583">
        <f t="shared" si="1921"/>
        <v>0</v>
      </c>
      <c r="AI641" s="582">
        <f t="shared" si="1922"/>
        <v>0</v>
      </c>
      <c r="AJ641" s="569">
        <f t="shared" si="1923"/>
        <v>0</v>
      </c>
      <c r="AK641" s="569" t="str">
        <f t="shared" si="1924"/>
        <v/>
      </c>
      <c r="AL641" s="569">
        <f t="shared" si="1925"/>
        <v>0</v>
      </c>
      <c r="AM641" s="569" t="str">
        <f t="shared" si="1926"/>
        <v/>
      </c>
      <c r="AN641" s="581">
        <f t="shared" si="1927"/>
        <v>0</v>
      </c>
      <c r="AO641" s="623"/>
      <c r="AP641" s="632" t="str">
        <f t="shared" si="1794"/>
        <v/>
      </c>
      <c r="AQ641" s="633" t="str">
        <f>IF(AC641=$V$3,IF(VLOOKUP(C641,[1]List1!$A:$E,5,FALSE)=0,1,VLOOKUP(C641,[1]List1!$A:$E,5,FALSE)),"")</f>
        <v/>
      </c>
      <c r="AR641" s="625" t="str">
        <f t="shared" si="1795"/>
        <v/>
      </c>
      <c r="AS641" s="634" t="str">
        <f t="shared" si="1796"/>
        <v/>
      </c>
      <c r="AT641" s="625" t="str">
        <f t="shared" si="1797"/>
        <v/>
      </c>
      <c r="AU641" s="638" t="e">
        <f t="shared" si="1798"/>
        <v>#N/A</v>
      </c>
      <c r="AV641" s="625" t="e">
        <f t="shared" si="1799"/>
        <v>#N/A</v>
      </c>
      <c r="AX641" s="625">
        <f>IF(AND('General price list'!$J641="F4",'General price list'!$AB641+0&gt;0),1,0)</f>
        <v>0</v>
      </c>
      <c r="AY641" s="625">
        <f t="shared" si="1800"/>
        <v>1</v>
      </c>
      <c r="AZ641" s="625">
        <f t="shared" si="1801"/>
        <v>0</v>
      </c>
    </row>
    <row r="642" spans="1:52" ht="15" customHeight="1">
      <c r="A642" s="639" t="str">
        <f>Kat.!C642</f>
        <v/>
      </c>
      <c r="B642" s="640">
        <f>IF(AND('General price list'!$J642="F4",$AI$1=FALSE),0,IF(AC642="SKLADEM",1,IF(AC642=$V$3,1,0)))</f>
        <v>1</v>
      </c>
      <c r="C642" s="641" t="s">
        <v>2209</v>
      </c>
      <c r="D642" s="642" t="s">
        <v>1330</v>
      </c>
      <c r="E642" s="643" t="s">
        <v>12747</v>
      </c>
      <c r="F642" s="791">
        <f>IFERROR(VLOOKUP(C642,[2]List1!$A:$D,3,FALSE),"NEUVEDENO!")</f>
        <v>979</v>
      </c>
      <c r="G642" s="768">
        <f t="shared" si="1914"/>
        <v>979</v>
      </c>
      <c r="H642" s="765">
        <f t="shared" si="1915"/>
        <v>41.586488426722397</v>
      </c>
      <c r="I642" s="644">
        <f>IFERROR(VLOOKUP(C642,[2]List1!$A:$D,4,FALSE),"NEUVEDENO!")</f>
        <v>2</v>
      </c>
      <c r="J642" s="733" t="s">
        <v>113</v>
      </c>
      <c r="K642" s="645" t="s">
        <v>11100</v>
      </c>
      <c r="L642" s="645" t="s">
        <v>20</v>
      </c>
      <c r="M642" s="645" t="s">
        <v>114</v>
      </c>
      <c r="N642" s="645">
        <f>IFERROR(VLOOKUP(C642,[3]List1!$A:$D,4,FALSE),"N/A!")</f>
        <v>3.50595E-2</v>
      </c>
      <c r="O642" s="645">
        <f>IFERROR(VLOOKUP(C642,[3]List1!$A:$D,3,FALSE),"N/A!")</f>
        <v>1862</v>
      </c>
      <c r="P642" s="645">
        <f>IFERROR(VLOOKUP(C642,[3]List1!$A:$D,2,FALSE),"N/A!")</f>
        <v>12500</v>
      </c>
      <c r="Q642" s="645" t="s">
        <v>11787</v>
      </c>
      <c r="R642" s="645"/>
      <c r="S642" s="645" t="str">
        <f>IF($W$17=$AF$1,"červená fólie",IFERROR(VLOOKUP("červená fólie",Jazyky_ceník!$A:$Q,MATCH($W$17,Jazyky_ceník!$A$1:$Q$1,0),FALSE),"!!!"))</f>
        <v>červená fólie</v>
      </c>
      <c r="T642" s="645">
        <v>65</v>
      </c>
      <c r="U642" s="645">
        <v>40</v>
      </c>
      <c r="V642" s="645">
        <v>30</v>
      </c>
      <c r="W642" s="645" t="str">
        <f>IFERROR(IF(AND($AB642&gt;=0.1*$AA642,MOD($AB642,$AA642)&gt;=($AA642-(0.1*$AA642))),IF($W$17=$AF$1,"Zvažte možnost doobjednání ještě "&amp;Tabulka1[[#This Row],[VKPAL]]-MOD(AB642,AA642)&amp;" VK do plné palety.",VLOOKUP("Zvažte možnost doobjednání ještě ",Jazyky_ceník!A:Q,MATCH($W$17,Jazyky_ceník!$A$1:$Q$1,0),FALSE)&amp;Tabulka1[[#This Row],[VKPAL]]-MOD(AB642,AA642)&amp;VLOOKUP(" VK do plné palety.",Jazyky_ceník!A:Q,MATCH($W$17,Jazyky_ceník!$A$1:$Q$1,0),FALSE)),IFERROR(IF(AND(NOT(MOD($AB642,$AA642)=0),$AB642&gt;=0.9*$AA642,MOD($AB642,$AA642)&lt;=0.1*$AA642),IF($W$17=$AF$1,"Zvažte možnost optimalizace objednaného množství podle počtu VK na paletě ==&gt;",VLOOKUP("Zvažte možnost optimalizace objednaného množství podle počtu VK na paletě ==&gt;",Jazyky_ceník!A:Q,MATCH($W$17,Jazyky_ceník!$A$1:$Q$1,0),FALSE)),VLOOKUP('General price list'!$C642,Popisy!A:M,MATCH($W$17,Popisy!$A$7:$M$7,0),FALSE)),"---------------")),IFERROR(VLOOKUP('General price list'!$C642,Popisy!A:M,MATCH($W$17,Popisy!$A$7:$M$7,0),FALSE),"---------------"))</f>
        <v>7 různobarevných efektu</v>
      </c>
      <c r="X642" s="645" t="str">
        <f t="shared" si="1916"/>
        <v/>
      </c>
      <c r="Y642" s="645" t="str">
        <f t="shared" si="1917"/>
        <v/>
      </c>
      <c r="Z642" s="645" t="str">
        <f>HYPERLINK("https://www.klasekpyrotechnics.cz/c493li")</f>
        <v>https://www.klasekpyrotechnics.cz/c493li</v>
      </c>
      <c r="AA642" s="645">
        <f>IFERROR(IF(VLOOKUP(C642,[4]List1!$A:$D,4,FALSE)=0,"",VLOOKUP(C642,[4]List1!$A:$D,4,FALSE)),"")</f>
        <v>42</v>
      </c>
      <c r="AB642" s="646"/>
      <c r="AC642" s="647" t="str">
        <f>IFERROR(IF(VLOOKUP(C642,[1]List1!$A:$D,2,FALSE)="VYPRODÁNO",$V$9,IF(VLOOKUP(C642,[1]List1!$A:$D,2,FALSE)="DOCHÁZÍ",$V$3,VLOOKUP(C642,[1]List1!$A:$D,2,FALSE))),"OFFLINE!")</f>
        <v>SKLADEM</v>
      </c>
      <c r="AD642" s="647" t="str">
        <f ca="1">IF(AP642="NE",$V$10,IF(AC642=$V$3,IF(AQ642&lt;1,$V$8,$V$2&amp;" "&amp;AQ642&amp;" "&amp;$V$1),IF(AC642="SKLADEM",$V$6,IFERROR(IF(OR(AC642-TODAY()&gt;45,VLOOKUP(C642,[1]List1!$A:$E,4,FALSE)=0),AC642,DAY(AC642)&amp;"."&amp;MONTH(AC642)&amp;"."&amp;YEAR(AC642)&amp;" "&amp;$V$4&amp;VLOOKUP(C642,[1]List1!$A:$E,4,FALSE)&amp;" "&amp;$V$1),AC642))))</f>
        <v>SKLADEM</v>
      </c>
      <c r="AE642" s="645" t="str">
        <f t="shared" ca="1" si="1918"/>
        <v>SKLADEM</v>
      </c>
      <c r="AF642" s="648">
        <f t="shared" si="1919"/>
        <v>0</v>
      </c>
      <c r="AG642" s="649">
        <f t="shared" si="1920"/>
        <v>0</v>
      </c>
      <c r="AH642" s="650">
        <f t="shared" si="1921"/>
        <v>0</v>
      </c>
      <c r="AI642" s="645">
        <f t="shared" si="1922"/>
        <v>0</v>
      </c>
      <c r="AJ642" s="645">
        <f t="shared" si="1923"/>
        <v>0</v>
      </c>
      <c r="AK642" s="645" t="str">
        <f t="shared" si="1924"/>
        <v/>
      </c>
      <c r="AL642" s="645">
        <f t="shared" si="1925"/>
        <v>0</v>
      </c>
      <c r="AM642" s="645" t="str">
        <f t="shared" si="1926"/>
        <v/>
      </c>
      <c r="AN642" s="651">
        <f t="shared" si="1927"/>
        <v>0</v>
      </c>
      <c r="AO642" s="623"/>
      <c r="AP642" s="632" t="str">
        <f t="shared" si="1794"/>
        <v/>
      </c>
      <c r="AQ642" s="633" t="str">
        <f>IF(AC642=$V$3,IF(VLOOKUP(C642,[1]List1!$A:$E,5,FALSE)=0,1,VLOOKUP(C642,[1]List1!$A:$E,5,FALSE)),"")</f>
        <v/>
      </c>
      <c r="AR642" s="625" t="str">
        <f t="shared" si="1795"/>
        <v/>
      </c>
      <c r="AS642" s="634" t="str">
        <f t="shared" si="1796"/>
        <v/>
      </c>
      <c r="AT642" s="625" t="str">
        <f t="shared" si="1797"/>
        <v/>
      </c>
      <c r="AU642" s="638" t="e">
        <f t="shared" si="1798"/>
        <v>#N/A</v>
      </c>
      <c r="AV642" s="625" t="e">
        <f t="shared" si="1799"/>
        <v>#N/A</v>
      </c>
      <c r="AX642" s="625">
        <f>IF(AND('General price list'!$J642="F4",'General price list'!$AB642+0&gt;0),1,0)</f>
        <v>0</v>
      </c>
      <c r="AY642" s="625">
        <f t="shared" si="1800"/>
        <v>1</v>
      </c>
      <c r="AZ642" s="625">
        <f t="shared" si="1801"/>
        <v>0</v>
      </c>
    </row>
    <row r="643" spans="1:52" ht="15.75" customHeight="1">
      <c r="A643" s="621" t="str">
        <f>Kat.!C643</f>
        <v/>
      </c>
      <c r="B643" s="566">
        <f>IF(AND('General price list'!$J643="F4",$AI$1=FALSE),0,IF(AC643="SKLADEM",1,IF(AC643=$V$3,1,0)))</f>
        <v>1</v>
      </c>
      <c r="C643" s="567" t="s">
        <v>1335</v>
      </c>
      <c r="D643" s="568" t="s">
        <v>11736</v>
      </c>
      <c r="E643" s="763" t="s">
        <v>12747</v>
      </c>
      <c r="F643" s="772">
        <f>IFERROR(VLOOKUP(C643,[2]List1!$A:$D,3,FALSE),"NEUVEDENO!")</f>
        <v>999</v>
      </c>
      <c r="G643" s="769">
        <f t="shared" si="1914"/>
        <v>999</v>
      </c>
      <c r="H643" s="766">
        <f t="shared" si="1915"/>
        <v>42.436059181098749</v>
      </c>
      <c r="I643" s="764">
        <f>IFERROR(VLOOKUP(C643,[2]List1!$A:$D,4,FALSE),"NEUVEDENO!")</f>
        <v>2</v>
      </c>
      <c r="J643" s="732" t="s">
        <v>113</v>
      </c>
      <c r="K643" s="569" t="s">
        <v>20</v>
      </c>
      <c r="L643" s="569" t="s">
        <v>20</v>
      </c>
      <c r="M643" s="569" t="s">
        <v>114</v>
      </c>
      <c r="N643" s="569">
        <f>IFERROR(VLOOKUP(C643,[3]List1!$A:$D,4,FALSE),"N/A!")</f>
        <v>3.50595E-2</v>
      </c>
      <c r="O643" s="569">
        <f>IFERROR(VLOOKUP(C643,[3]List1!$A:$D,3,FALSE),"N/A!")</f>
        <v>1618</v>
      </c>
      <c r="P643" s="569">
        <f>IFERROR(VLOOKUP(C643,[3]List1!$A:$D,2,FALSE),"N/A!")</f>
        <v>12500</v>
      </c>
      <c r="Q643" s="569" t="s">
        <v>11787</v>
      </c>
      <c r="R643" s="569"/>
      <c r="S643" s="569" t="str">
        <f>IF($W$17=$AF$1,"design",IFERROR(VLOOKUP("design",Jazyky_ceník!$A:$Q,MATCH($W$17,Jazyky_ceník!$A$1:$Q$1,0),FALSE),"!!!"))</f>
        <v>design</v>
      </c>
      <c r="T643" s="569">
        <v>35</v>
      </c>
      <c r="U643" s="569">
        <v>40</v>
      </c>
      <c r="V643" s="569"/>
      <c r="W643" s="569" t="str">
        <f>IFERROR(IF(AND($AB643&gt;=0.1*$AA643,MOD($AB643,$AA643)&gt;=($AA643-(0.1*$AA643))),IF($W$17=$AF$1,"Zvažte možnost doobjednání ještě "&amp;Tabulka1[[#This Row],[VKPAL]]-MOD(AB643,AA643)&amp;" VK do plné palety.",VLOOKUP("Zvažte možnost doobjednání ještě ",Jazyky_ceník!A:Q,MATCH($W$17,Jazyky_ceník!$A$1:$Q$1,0),FALSE)&amp;Tabulka1[[#This Row],[VKPAL]]-MOD(AB643,AA643)&amp;VLOOKUP(" VK do plné palety.",Jazyky_ceník!A:Q,MATCH($W$17,Jazyky_ceník!$A$1:$Q$1,0),FALSE)),IFERROR(IF(AND(NOT(MOD($AB643,$AA643)=0),$AB643&gt;=0.9*$AA643,MOD($AB643,$AA643)&lt;=0.1*$AA643),IF($W$17=$AF$1,"Zvažte možnost optimalizace objednaného množství podle počtu VK na paletě ==&gt;",VLOOKUP("Zvažte možnost optimalizace objednaného množství podle počtu VK na paletě ==&gt;",Jazyky_ceník!A:Q,MATCH($W$17,Jazyky_ceník!$A$1:$Q$1,0),FALSE)),VLOOKUP('General price list'!$C643,Popisy!A:M,MATCH($W$17,Popisy!$A$7:$M$7,0),FALSE)),"---------------")),IFERROR(VLOOKUP('General price list'!$C643,Popisy!A:M,MATCH($W$17,Popisy!$A$7:$M$7,0),FALSE),"---------------"))</f>
        <v>stříbrné miny s červenou stopou a titanovou detonací</v>
      </c>
      <c r="X643" s="569" t="str">
        <f t="shared" si="1916"/>
        <v/>
      </c>
      <c r="Y643" s="569" t="str">
        <f t="shared" si="1917"/>
        <v/>
      </c>
      <c r="Z643" s="569" t="str">
        <f>HYPERLINK("https://www.klasekpyrotechnics.cz/c493du")</f>
        <v>https://www.klasekpyrotechnics.cz/c493du</v>
      </c>
      <c r="AA643" s="569">
        <f>IFERROR(IF(VLOOKUP(C643,[4]List1!$A:$D,4,FALSE)=0,"",VLOOKUP(C643,[4]List1!$A:$D,4,FALSE)),"")</f>
        <v>42</v>
      </c>
      <c r="AB643" s="565"/>
      <c r="AC643" s="570" t="str">
        <f>IFERROR(IF(VLOOKUP(C643,[1]List1!$A:$D,2,FALSE)="VYPRODÁNO",$V$9,IF(VLOOKUP(C643,[1]List1!$A:$D,2,FALSE)="DOCHÁZÍ",$V$3,VLOOKUP(C643,[1]List1!$A:$D,2,FALSE))),"OFFLINE!")</f>
        <v>DOCHÁZÍ</v>
      </c>
      <c r="AD643" s="570" t="str">
        <f ca="1">IF(AP643="NE",$V$10,IF(AC643=$V$3,IF(AQ643&lt;1,$V$8,$V$2&amp;" "&amp;AQ643&amp;" "&amp;$V$1),IF(AC643="SKLADEM",$V$6,IFERROR(IF(OR(AC643-TODAY()&gt;45,VLOOKUP(C643,[1]List1!$A:$E,4,FALSE)=0),AC643,DAY(AC643)&amp;"."&amp;MONTH(AC643)&amp;"."&amp;YEAR(AC643)&amp;" "&amp;$V$4&amp;VLOOKUP(C643,[1]List1!$A:$E,4,FALSE)&amp;" "&amp;$V$1),AC643))))</f>
        <v>POSLEDNÍCH 56 VK</v>
      </c>
      <c r="AE643" s="581" t="str">
        <f t="shared" ca="1" si="1918"/>
        <v>POSLEDNÍCH 56 VK</v>
      </c>
      <c r="AF643" s="584">
        <f t="shared" si="1919"/>
        <v>0</v>
      </c>
      <c r="AG643" s="585">
        <f t="shared" si="1920"/>
        <v>0</v>
      </c>
      <c r="AH643" s="583">
        <f t="shared" si="1921"/>
        <v>0</v>
      </c>
      <c r="AI643" s="582">
        <f t="shared" si="1922"/>
        <v>0</v>
      </c>
      <c r="AJ643" s="569">
        <f t="shared" si="1923"/>
        <v>0</v>
      </c>
      <c r="AK643" s="569" t="str">
        <f t="shared" si="1924"/>
        <v/>
      </c>
      <c r="AL643" s="569">
        <f t="shared" si="1925"/>
        <v>0</v>
      </c>
      <c r="AM643" s="569" t="str">
        <f t="shared" si="1926"/>
        <v/>
      </c>
      <c r="AN643" s="581">
        <f t="shared" si="1927"/>
        <v>0</v>
      </c>
      <c r="AO643" s="623"/>
      <c r="AP643" s="625" t="str">
        <f t="shared" si="1794"/>
        <v/>
      </c>
      <c r="AQ643" s="625">
        <f>IF(AC643=$V$3,IF(VLOOKUP(C643,[1]List1!$A:$E,5,FALSE)=0,1,VLOOKUP(C643,[1]List1!$A:$E,5,FALSE)),"")</f>
        <v>56</v>
      </c>
      <c r="AR643" s="629" t="str">
        <f t="shared" si="1795"/>
        <v/>
      </c>
      <c r="AS643" s="630" t="str">
        <f t="shared" si="1796"/>
        <v/>
      </c>
      <c r="AT643" s="625" t="str">
        <f t="shared" si="1797"/>
        <v/>
      </c>
      <c r="AU643" s="625" t="e">
        <f t="shared" si="1798"/>
        <v>#N/A</v>
      </c>
      <c r="AV643" s="625" t="e">
        <f t="shared" si="1799"/>
        <v>#N/A</v>
      </c>
      <c r="AW643" s="631"/>
      <c r="AX643" s="631">
        <f>IF(AND('General price list'!$J643="F4",'General price list'!$AB643+0&gt;0),1,0)</f>
        <v>0</v>
      </c>
      <c r="AY643" s="631">
        <f t="shared" si="1800"/>
        <v>1</v>
      </c>
      <c r="AZ643" s="631">
        <f t="shared" si="1801"/>
        <v>0</v>
      </c>
    </row>
    <row r="644" spans="1:52" ht="15" customHeight="1">
      <c r="A644" s="639" t="str">
        <f>Kat.!C644</f>
        <v/>
      </c>
      <c r="B644" s="640">
        <f>IF(AND('General price list'!$J644="F4",$AI$1=FALSE),0,IF(AC644="SKLADEM",1,IF(AC644=$V$3,1,0)))</f>
        <v>1</v>
      </c>
      <c r="C644" s="641" t="s">
        <v>1336</v>
      </c>
      <c r="D644" s="642" t="s">
        <v>12554</v>
      </c>
      <c r="E644" s="643" t="s">
        <v>12747</v>
      </c>
      <c r="F644" s="791">
        <f>IFERROR(VLOOKUP(C644,[2]List1!$A:$D,3,FALSE),"NEUVEDENO!")</f>
        <v>999</v>
      </c>
      <c r="G644" s="768">
        <f t="shared" si="1914"/>
        <v>999</v>
      </c>
      <c r="H644" s="765">
        <f t="shared" si="1915"/>
        <v>42.436059181098749</v>
      </c>
      <c r="I644" s="644">
        <f>IFERROR(VLOOKUP(C644,[2]List1!$A:$D,4,FALSE),"NEUVEDENO!")</f>
        <v>2</v>
      </c>
      <c r="J644" s="733" t="s">
        <v>113</v>
      </c>
      <c r="K644" s="645" t="s">
        <v>11100</v>
      </c>
      <c r="L644" s="645" t="s">
        <v>20</v>
      </c>
      <c r="M644" s="645" t="s">
        <v>114</v>
      </c>
      <c r="N644" s="645">
        <f>IFERROR(VLOOKUP(C644,[3]List1!$A:$D,4,FALSE),"N/A!")</f>
        <v>3.50595E-2</v>
      </c>
      <c r="O644" s="645">
        <f>IFERROR(VLOOKUP(C644,[3]List1!$A:$D,3,FALSE),"N/A!")</f>
        <v>1996</v>
      </c>
      <c r="P644" s="645">
        <f>IFERROR(VLOOKUP(C644,[3]List1!$A:$D,2,FALSE),"N/A!")</f>
        <v>12500</v>
      </c>
      <c r="Q644" s="645" t="s">
        <v>11787</v>
      </c>
      <c r="R644" s="645"/>
      <c r="S644" s="645" t="str">
        <f>IF($W$17=$AF$1,"červená fólie",IFERROR(VLOOKUP("červená fólie",Jazyky_ceník!$A:$Q,MATCH($W$17,Jazyky_ceník!$A$1:$Q$1,0),FALSE),"!!!"))</f>
        <v>červená fólie</v>
      </c>
      <c r="T644" s="645">
        <v>35</v>
      </c>
      <c r="U644" s="645">
        <v>40</v>
      </c>
      <c r="V644" s="645">
        <v>30</v>
      </c>
      <c r="W644" s="645" t="str">
        <f>IFERROR(IF(AND($AB644&gt;=0.1*$AA644,MOD($AB644,$AA644)&gt;=($AA644-(0.1*$AA644))),IF($W$17=$AF$1,"Zvažte možnost doobjednání ještě "&amp;Tabulka1[[#This Row],[VKPAL]]-MOD(AB644,AA644)&amp;" VK do plné palety.",VLOOKUP("Zvažte možnost doobjednání ještě ",Jazyky_ceník!A:Q,MATCH($W$17,Jazyky_ceník!$A$1:$Q$1,0),FALSE)&amp;Tabulka1[[#This Row],[VKPAL]]-MOD(AB644,AA644)&amp;VLOOKUP(" VK do plné palety.",Jazyky_ceník!A:Q,MATCH($W$17,Jazyky_ceník!$A$1:$Q$1,0),FALSE)),IFERROR(IF(AND(NOT(MOD($AB644,$AA644)=0),$AB644&gt;=0.9*$AA644,MOD($AB644,$AA644)&lt;=0.1*$AA644),IF($W$17=$AF$1,"Zvažte možnost optimalizace objednaného množství podle počtu VK na paletě ==&gt;",VLOOKUP("Zvažte možnost optimalizace objednaného množství podle počtu VK na paletě ==&gt;",Jazyky_ceník!A:Q,MATCH($W$17,Jazyky_ceník!$A$1:$Q$1,0),FALSE)),VLOOKUP('General price list'!$C644,Popisy!A:M,MATCH($W$17,Popisy!$A$7:$M$7,0),FALSE)),"---------------")),IFERROR(VLOOKUP('General price list'!$C644,Popisy!A:M,MATCH($W$17,Popisy!$A$7:$M$7,0),FALSE),"---------------"))</f>
        <v>červená stopa s bílými blikajícími hvězdami</v>
      </c>
      <c r="X644" s="645" t="str">
        <f t="shared" si="1916"/>
        <v/>
      </c>
      <c r="Y644" s="645" t="str">
        <f t="shared" si="1917"/>
        <v/>
      </c>
      <c r="Z644" s="645" t="str">
        <f>HYPERLINK("https://www.klasekpyrotechnics.cz/c493sw")</f>
        <v>https://www.klasekpyrotechnics.cz/c493sw</v>
      </c>
      <c r="AA644" s="645">
        <f>IFERROR(IF(VLOOKUP(C644,[4]List1!$A:$D,4,FALSE)=0,"",VLOOKUP(C644,[4]List1!$A:$D,4,FALSE)),"")</f>
        <v>42</v>
      </c>
      <c r="AB644" s="646"/>
      <c r="AC644" s="647" t="str">
        <f>IFERROR(IF(VLOOKUP(C644,[1]List1!$A:$D,2,FALSE)="VYPRODÁNO",$V$9,IF(VLOOKUP(C644,[1]List1!$A:$D,2,FALSE)="DOCHÁZÍ",$V$3,VLOOKUP(C644,[1]List1!$A:$D,2,FALSE))),"OFFLINE!")</f>
        <v>SKLADEM</v>
      </c>
      <c r="AD644" s="647" t="str">
        <f ca="1">IF(AP644="NE",$V$10,IF(AC644=$V$3,IF(AQ644&lt;1,$V$8,$V$2&amp;" "&amp;AQ644&amp;" "&amp;$V$1),IF(AC644="SKLADEM",$V$6,IFERROR(IF(OR(AC644-TODAY()&gt;45,VLOOKUP(C644,[1]List1!$A:$E,4,FALSE)=0),AC644,DAY(AC644)&amp;"."&amp;MONTH(AC644)&amp;"."&amp;YEAR(AC644)&amp;" "&amp;$V$4&amp;VLOOKUP(C644,[1]List1!$A:$E,4,FALSE)&amp;" "&amp;$V$1),AC644))))</f>
        <v>SKLADEM</v>
      </c>
      <c r="AE644" s="645" t="str">
        <f t="shared" ca="1" si="1918"/>
        <v>SKLADEM</v>
      </c>
      <c r="AF644" s="648">
        <f t="shared" si="1919"/>
        <v>0</v>
      </c>
      <c r="AG644" s="649">
        <f t="shared" si="1920"/>
        <v>0</v>
      </c>
      <c r="AH644" s="650">
        <f t="shared" si="1921"/>
        <v>0</v>
      </c>
      <c r="AI644" s="645">
        <f t="shared" si="1922"/>
        <v>0</v>
      </c>
      <c r="AJ644" s="645">
        <f t="shared" si="1923"/>
        <v>0</v>
      </c>
      <c r="AK644" s="645" t="str">
        <f t="shared" si="1924"/>
        <v/>
      </c>
      <c r="AL644" s="645">
        <f t="shared" si="1925"/>
        <v>0</v>
      </c>
      <c r="AM644" s="645" t="str">
        <f t="shared" si="1926"/>
        <v/>
      </c>
      <c r="AN644" s="651">
        <f t="shared" si="1927"/>
        <v>0</v>
      </c>
      <c r="AO644" s="623"/>
      <c r="AP644" s="632" t="str">
        <f t="shared" si="1794"/>
        <v/>
      </c>
      <c r="AQ644" s="633" t="str">
        <f>IF(AC644=$V$3,IF(VLOOKUP(C644,[1]List1!$A:$E,5,FALSE)=0,1,VLOOKUP(C644,[1]List1!$A:$E,5,FALSE)),"")</f>
        <v/>
      </c>
      <c r="AR644" s="625" t="str">
        <f t="shared" si="1795"/>
        <v/>
      </c>
      <c r="AS644" s="634" t="str">
        <f t="shared" si="1796"/>
        <v/>
      </c>
      <c r="AT644" s="625" t="str">
        <f t="shared" si="1797"/>
        <v/>
      </c>
      <c r="AU644" s="638" t="e">
        <f t="shared" si="1798"/>
        <v>#N/A</v>
      </c>
      <c r="AV644" s="625" t="e">
        <f t="shared" si="1799"/>
        <v>#N/A</v>
      </c>
      <c r="AX644" s="625">
        <f>IF(AND('General price list'!$J644="F4",'General price list'!$AB644+0&gt;0),1,0)</f>
        <v>0</v>
      </c>
      <c r="AY644" s="625">
        <f t="shared" si="1800"/>
        <v>1</v>
      </c>
      <c r="AZ644" s="625">
        <f t="shared" si="1801"/>
        <v>0</v>
      </c>
    </row>
    <row r="645" spans="1:52" ht="15" customHeight="1">
      <c r="A645" s="621" t="str">
        <f>Kat.!C645</f>
        <v/>
      </c>
      <c r="B645" s="566">
        <f>IF(AND('General price list'!$J645="F4",$AI$1=FALSE),0,IF(AC645="SKLADEM",1,IF(AC645=$V$3,1,0)))</f>
        <v>1</v>
      </c>
      <c r="C645" s="567" t="s">
        <v>1340</v>
      </c>
      <c r="D645" s="568" t="s">
        <v>12555</v>
      </c>
      <c r="E645" s="763" t="s">
        <v>12747</v>
      </c>
      <c r="F645" s="791">
        <f>IFERROR(VLOOKUP(C645,[2]List1!$A:$D,3,FALSE),"NEUVEDENO!")</f>
        <v>999</v>
      </c>
      <c r="G645" s="769">
        <f t="shared" si="1914"/>
        <v>999</v>
      </c>
      <c r="H645" s="766">
        <f t="shared" si="1915"/>
        <v>42.436059181098749</v>
      </c>
      <c r="I645" s="764">
        <f>IFERROR(VLOOKUP(C645,[2]List1!$A:$D,4,FALSE),"NEUVEDENO!")</f>
        <v>2</v>
      </c>
      <c r="J645" s="732" t="s">
        <v>113</v>
      </c>
      <c r="K645" s="569" t="s">
        <v>11100</v>
      </c>
      <c r="L645" s="569" t="s">
        <v>20</v>
      </c>
      <c r="M645" s="569" t="s">
        <v>114</v>
      </c>
      <c r="N645" s="569">
        <f>IFERROR(VLOOKUP(C645,[3]List1!$A:$D,4,FALSE),"N/A!")</f>
        <v>3.50595E-2</v>
      </c>
      <c r="O645" s="569">
        <f>IFERROR(VLOOKUP(C645,[3]List1!$A:$D,3,FALSE),"N/A!")</f>
        <v>1862</v>
      </c>
      <c r="P645" s="569">
        <f>IFERROR(VLOOKUP(C645,[3]List1!$A:$D,2,FALSE),"N/A!")</f>
        <v>12500</v>
      </c>
      <c r="Q645" s="569" t="s">
        <v>11787</v>
      </c>
      <c r="R645" s="569"/>
      <c r="S645" s="569" t="str">
        <f>IF($W$17=$AF$1,"červená fólie",IFERROR(VLOOKUP("červená fólie",Jazyky_ceník!$A:$Q,MATCH($W$17,Jazyky_ceník!$A$1:$Q$1,0),FALSE),"!!!"))</f>
        <v>červená fólie</v>
      </c>
      <c r="T645" s="569">
        <v>35</v>
      </c>
      <c r="U645" s="569">
        <v>40</v>
      </c>
      <c r="V645" s="569">
        <v>30</v>
      </c>
      <c r="W645" s="569" t="str">
        <f>IFERROR(IF(AND($AB645&gt;=0.1*$AA645,MOD($AB645,$AA645)&gt;=($AA645-(0.1*$AA645))),IF($W$17=$AF$1,"Zvažte možnost doobjednání ještě "&amp;Tabulka1[[#This Row],[VKPAL]]-MOD(AB645,AA645)&amp;" VK do plné palety.",VLOOKUP("Zvažte možnost doobjednání ještě ",Jazyky_ceník!A:Q,MATCH($W$17,Jazyky_ceník!$A$1:$Q$1,0),FALSE)&amp;Tabulka1[[#This Row],[VKPAL]]-MOD(AB645,AA645)&amp;VLOOKUP(" VK do plné palety.",Jazyky_ceník!A:Q,MATCH($W$17,Jazyky_ceník!$A$1:$Q$1,0),FALSE)),IFERROR(IF(AND(NOT(MOD($AB645,$AA645)=0),$AB645&gt;=0.9*$AA645,MOD($AB645,$AA645)&lt;=0.1*$AA645),IF($W$17=$AF$1,"Zvažte možnost optimalizace objednaného množství podle počtu VK na paletě ==&gt;",VLOOKUP("Zvažte možnost optimalizace objednaného množství podle počtu VK na paletě ==&gt;",Jazyky_ceník!A:Q,MATCH($W$17,Jazyky_ceník!$A$1:$Q$1,0),FALSE)),VLOOKUP('General price list'!$C645,Popisy!A:M,MATCH($W$17,Popisy!$A$7:$M$7,0),FALSE)),"---------------")),IFERROR(VLOOKUP('General price list'!$C645,Popisy!A:M,MATCH($W$17,Popisy!$A$7:$M$7,0),FALSE),"---------------"))</f>
        <v>barevná stopa s barevnými perlami a červeno/zlatým opožděným středem</v>
      </c>
      <c r="X645" s="569" t="str">
        <f t="shared" si="1916"/>
        <v/>
      </c>
      <c r="Y645" s="569" t="str">
        <f t="shared" si="1917"/>
        <v/>
      </c>
      <c r="Z645" s="569" t="str">
        <f>HYPERLINK("https://www.klasekpyrotechnics.cz/c493gh")</f>
        <v>https://www.klasekpyrotechnics.cz/c493gh</v>
      </c>
      <c r="AA645" s="569">
        <f>IFERROR(IF(VLOOKUP(C645,[4]List1!$A:$D,4,FALSE)=0,"",VLOOKUP(C645,[4]List1!$A:$D,4,FALSE)),"")</f>
        <v>42</v>
      </c>
      <c r="AB645" s="565"/>
      <c r="AC645" s="570" t="str">
        <f>IFERROR(IF(VLOOKUP(C645,[1]List1!$A:$D,2,FALSE)="VYPRODÁNO",$V$9,IF(VLOOKUP(C645,[1]List1!$A:$D,2,FALSE)="DOCHÁZÍ",$V$3,VLOOKUP(C645,[1]List1!$A:$D,2,FALSE))),"OFFLINE!")</f>
        <v>SKLADEM</v>
      </c>
      <c r="AD645" s="570" t="str">
        <f ca="1">IF(AP645="NE",$V$10,IF(AC645=$V$3,IF(AQ645&lt;1,$V$8,$V$2&amp;" "&amp;AQ645&amp;" "&amp;$V$1),IF(AC645="SKLADEM",$V$6,IFERROR(IF(OR(AC645-TODAY()&gt;45,VLOOKUP(C645,[1]List1!$A:$E,4,FALSE)=0),AC645,DAY(AC645)&amp;"."&amp;MONTH(AC645)&amp;"."&amp;YEAR(AC645)&amp;" "&amp;$V$4&amp;VLOOKUP(C645,[1]List1!$A:$E,4,FALSE)&amp;" "&amp;$V$1),AC645))))</f>
        <v>SKLADEM</v>
      </c>
      <c r="AE645" s="581" t="str">
        <f t="shared" ca="1" si="1918"/>
        <v>SKLADEM</v>
      </c>
      <c r="AF645" s="584">
        <f t="shared" si="1919"/>
        <v>0</v>
      </c>
      <c r="AG645" s="585">
        <f t="shared" si="1920"/>
        <v>0</v>
      </c>
      <c r="AH645" s="583">
        <f t="shared" si="1921"/>
        <v>0</v>
      </c>
      <c r="AI645" s="582">
        <f t="shared" si="1922"/>
        <v>0</v>
      </c>
      <c r="AJ645" s="569">
        <f t="shared" si="1923"/>
        <v>0</v>
      </c>
      <c r="AK645" s="569" t="str">
        <f t="shared" si="1924"/>
        <v/>
      </c>
      <c r="AL645" s="569">
        <f t="shared" si="1925"/>
        <v>0</v>
      </c>
      <c r="AM645" s="569" t="str">
        <f t="shared" si="1926"/>
        <v/>
      </c>
      <c r="AN645" s="581">
        <f t="shared" si="1927"/>
        <v>0</v>
      </c>
      <c r="AO645" s="623"/>
      <c r="AP645" s="632" t="str">
        <f t="shared" si="1794"/>
        <v/>
      </c>
      <c r="AQ645" s="633" t="str">
        <f>IF(AC645=$V$3,IF(VLOOKUP(C645,[1]List1!$A:$E,5,FALSE)=0,1,VLOOKUP(C645,[1]List1!$A:$E,5,FALSE)),"")</f>
        <v/>
      </c>
      <c r="AR645" s="625" t="str">
        <f t="shared" si="1795"/>
        <v/>
      </c>
      <c r="AS645" s="634" t="str">
        <f t="shared" si="1796"/>
        <v/>
      </c>
      <c r="AT645" s="625" t="str">
        <f t="shared" si="1797"/>
        <v/>
      </c>
      <c r="AU645" s="638" t="e">
        <f t="shared" si="1798"/>
        <v>#N/A</v>
      </c>
      <c r="AV645" s="625" t="e">
        <f t="shared" si="1799"/>
        <v>#N/A</v>
      </c>
      <c r="AX645" s="625">
        <f>IF(AND('General price list'!$J645="F4",'General price list'!$AB645+0&gt;0),1,0)</f>
        <v>0</v>
      </c>
      <c r="AY645" s="625">
        <f t="shared" si="1800"/>
        <v>1</v>
      </c>
      <c r="AZ645" s="625">
        <f t="shared" si="1801"/>
        <v>0</v>
      </c>
    </row>
    <row r="646" spans="1:52" ht="15.75" customHeight="1">
      <c r="A646" s="639" t="str">
        <f>Kat.!C646</f>
        <v/>
      </c>
      <c r="B646" s="640">
        <f>IF(AND('General price list'!$J646="F4",$AI$1=FALSE),0,IF(AC646="SKLADEM",1,IF(AC646=$V$3,1,0)))</f>
        <v>1</v>
      </c>
      <c r="C646" s="641" t="s">
        <v>1344</v>
      </c>
      <c r="D646" s="642" t="s">
        <v>1345</v>
      </c>
      <c r="E646" s="643" t="s">
        <v>12747</v>
      </c>
      <c r="F646" s="791">
        <f>IFERROR(VLOOKUP(C646,[2]List1!$A:$D,3,FALSE),"NEUVEDENO!")</f>
        <v>999</v>
      </c>
      <c r="G646" s="768">
        <f t="shared" si="1914"/>
        <v>999</v>
      </c>
      <c r="H646" s="765">
        <f t="shared" si="1915"/>
        <v>42.436059181098749</v>
      </c>
      <c r="I646" s="644">
        <f>IFERROR(VLOOKUP(C646,[2]List1!$A:$D,4,FALSE),"NEUVEDENO!")</f>
        <v>2</v>
      </c>
      <c r="J646" s="733" t="s">
        <v>113</v>
      </c>
      <c r="K646" s="645" t="s">
        <v>11100</v>
      </c>
      <c r="L646" s="645" t="s">
        <v>20</v>
      </c>
      <c r="M646" s="645" t="s">
        <v>114</v>
      </c>
      <c r="N646" s="645">
        <f>IFERROR(VLOOKUP(C646,[3]List1!$A:$D,4,FALSE),"N/A!")</f>
        <v>3.50595E-2</v>
      </c>
      <c r="O646" s="645">
        <f>IFERROR(VLOOKUP(C646,[3]List1!$A:$D,3,FALSE),"N/A!")</f>
        <v>1862</v>
      </c>
      <c r="P646" s="645">
        <f>IFERROR(VLOOKUP(C646,[3]List1!$A:$D,2,FALSE),"N/A!")</f>
        <v>12500</v>
      </c>
      <c r="Q646" s="645" t="s">
        <v>11787</v>
      </c>
      <c r="R646" s="645"/>
      <c r="S646" s="645" t="str">
        <f>IF($W$17=$AF$1,"červená fólie",IFERROR(VLOOKUP("červená fólie",Jazyky_ceník!$A:$Q,MATCH($W$17,Jazyky_ceník!$A$1:$Q$1,0),FALSE),"!!!"))</f>
        <v>červená fólie</v>
      </c>
      <c r="T646" s="645">
        <v>35</v>
      </c>
      <c r="U646" s="645">
        <v>40</v>
      </c>
      <c r="V646" s="645">
        <v>30</v>
      </c>
      <c r="W646" s="645" t="str">
        <f>IFERROR(IF(AND($AB646&gt;=0.1*$AA646,MOD($AB646,$AA646)&gt;=($AA646-(0.1*$AA646))),IF($W$17=$AF$1,"Zvažte možnost doobjednání ještě "&amp;Tabulka1[[#This Row],[VKPAL]]-MOD(AB646,AA646)&amp;" VK do plné palety.",VLOOKUP("Zvažte možnost doobjednání ještě ",Jazyky_ceník!A:Q,MATCH($W$17,Jazyky_ceník!$A$1:$Q$1,0),FALSE)&amp;Tabulka1[[#This Row],[VKPAL]]-MOD(AB646,AA646)&amp;VLOOKUP(" VK do plné palety.",Jazyky_ceník!A:Q,MATCH($W$17,Jazyky_ceník!$A$1:$Q$1,0),FALSE)),IFERROR(IF(AND(NOT(MOD($AB646,$AA646)=0),$AB646&gt;=0.9*$AA646,MOD($AB646,$AA646)&lt;=0.1*$AA646),IF($W$17=$AF$1,"Zvažte možnost optimalizace objednaného množství podle počtu VK na paletě ==&gt;",VLOOKUP("Zvažte možnost optimalizace objednaného množství podle počtu VK na paletě ==&gt;",Jazyky_ceník!A:Q,MATCH($W$17,Jazyky_ceník!$A$1:$Q$1,0),FALSE)),VLOOKUP('General price list'!$C646,Popisy!A:M,MATCH($W$17,Popisy!$A$7:$M$7,0),FALSE)),"---------------")),IFERROR(VLOOKUP('General price list'!$C646,Popisy!A:M,MATCH($W$17,Popisy!$A$7:$M$7,0),FALSE),"---------------"))</f>
        <v>červená blikající vrba</v>
      </c>
      <c r="X646" s="645" t="str">
        <f t="shared" si="1916"/>
        <v/>
      </c>
      <c r="Y646" s="645" t="str">
        <f t="shared" si="1917"/>
        <v/>
      </c>
      <c r="Z646" s="645" t="str">
        <f>HYPERLINK("https://www.klasekpyrotechnics.cz/c493rg")</f>
        <v>https://www.klasekpyrotechnics.cz/c493rg</v>
      </c>
      <c r="AA646" s="645">
        <f>IFERROR(IF(VLOOKUP(C646,[4]List1!$A:$D,4,FALSE)=0,"",VLOOKUP(C646,[4]List1!$A:$D,4,FALSE)),"")</f>
        <v>42</v>
      </c>
      <c r="AB646" s="646"/>
      <c r="AC646" s="647" t="str">
        <f>IFERROR(IF(VLOOKUP(C646,[1]List1!$A:$D,2,FALSE)="VYPRODÁNO",$V$9,IF(VLOOKUP(C646,[1]List1!$A:$D,2,FALSE)="DOCHÁZÍ",$V$3,VLOOKUP(C646,[1]List1!$A:$D,2,FALSE))),"OFFLINE!")</f>
        <v>SKLADEM</v>
      </c>
      <c r="AD646" s="647" t="str">
        <f ca="1">IF(AP646="NE",$V$10,IF(AC646=$V$3,IF(AQ646&lt;1,$V$8,$V$2&amp;" "&amp;AQ646&amp;" "&amp;$V$1),IF(AC646="SKLADEM",$V$6,IFERROR(IF(OR(AC646-TODAY()&gt;45,VLOOKUP(C646,[1]List1!$A:$E,4,FALSE)=0),AC646,DAY(AC646)&amp;"."&amp;MONTH(AC646)&amp;"."&amp;YEAR(AC646)&amp;" "&amp;$V$4&amp;VLOOKUP(C646,[1]List1!$A:$E,4,FALSE)&amp;" "&amp;$V$1),AC646))))</f>
        <v>SKLADEM</v>
      </c>
      <c r="AE646" s="645" t="str">
        <f t="shared" ca="1" si="1918"/>
        <v>SKLADEM</v>
      </c>
      <c r="AF646" s="648">
        <f t="shared" si="1919"/>
        <v>0</v>
      </c>
      <c r="AG646" s="649">
        <f t="shared" si="1920"/>
        <v>0</v>
      </c>
      <c r="AH646" s="650">
        <f t="shared" si="1921"/>
        <v>0</v>
      </c>
      <c r="AI646" s="645">
        <f t="shared" si="1922"/>
        <v>0</v>
      </c>
      <c r="AJ646" s="645">
        <f t="shared" si="1923"/>
        <v>0</v>
      </c>
      <c r="AK646" s="645" t="str">
        <f t="shared" si="1924"/>
        <v/>
      </c>
      <c r="AL646" s="645">
        <f t="shared" si="1925"/>
        <v>0</v>
      </c>
      <c r="AM646" s="645" t="str">
        <f t="shared" si="1926"/>
        <v/>
      </c>
      <c r="AN646" s="651">
        <f t="shared" si="1927"/>
        <v>0</v>
      </c>
      <c r="AO646" s="623"/>
      <c r="AP646" s="625" t="str">
        <f t="shared" si="1794"/>
        <v/>
      </c>
      <c r="AQ646" s="625" t="str">
        <f>IF(AC646=$V$3,IF(VLOOKUP(C646,[1]List1!$A:$E,5,FALSE)=0,1,VLOOKUP(C646,[1]List1!$A:$E,5,FALSE)),"")</f>
        <v/>
      </c>
      <c r="AR646" s="629" t="str">
        <f t="shared" si="1795"/>
        <v/>
      </c>
      <c r="AS646" s="630" t="str">
        <f t="shared" si="1796"/>
        <v/>
      </c>
      <c r="AT646" s="625" t="str">
        <f t="shared" si="1797"/>
        <v/>
      </c>
      <c r="AU646" s="625" t="e">
        <f t="shared" si="1798"/>
        <v>#N/A</v>
      </c>
      <c r="AV646" s="625" t="e">
        <f t="shared" si="1799"/>
        <v>#N/A</v>
      </c>
      <c r="AW646" s="631"/>
      <c r="AX646" s="631">
        <f>IF(AND('General price list'!$J646="F4",'General price list'!$AB646+0&gt;0),1,0)</f>
        <v>0</v>
      </c>
      <c r="AY646" s="631">
        <f t="shared" si="1800"/>
        <v>1</v>
      </c>
      <c r="AZ646" s="631">
        <f t="shared" si="1801"/>
        <v>0</v>
      </c>
    </row>
    <row r="647" spans="1:52" ht="15" customHeight="1">
      <c r="A647" s="621" t="str">
        <f>Kat.!C647</f>
        <v/>
      </c>
      <c r="B647" s="566">
        <f>IF(AND('General price list'!$J647="F4",$AI$1=FALSE),0,IF(AC647="SKLADEM",1,IF(AC647=$V$3,1,0)))</f>
        <v>1</v>
      </c>
      <c r="C647" s="567" t="s">
        <v>2299</v>
      </c>
      <c r="D647" s="568" t="s">
        <v>12556</v>
      </c>
      <c r="E647" s="763" t="s">
        <v>12747</v>
      </c>
      <c r="F647" s="791">
        <f>IFERROR(VLOOKUP(C647,[2]List1!$A:$D,3,FALSE),"NEUVEDENO!")</f>
        <v>999</v>
      </c>
      <c r="G647" s="769">
        <f t="shared" si="1914"/>
        <v>999</v>
      </c>
      <c r="H647" s="766">
        <f t="shared" si="1915"/>
        <v>42.436059181098749</v>
      </c>
      <c r="I647" s="764">
        <f>IFERROR(VLOOKUP(C647,[2]List1!$A:$D,4,FALSE),"NEUVEDENO!")</f>
        <v>2</v>
      </c>
      <c r="J647" s="732" t="s">
        <v>113</v>
      </c>
      <c r="K647" s="569" t="s">
        <v>11100</v>
      </c>
      <c r="L647" s="569" t="s">
        <v>20</v>
      </c>
      <c r="M647" s="569" t="s">
        <v>114</v>
      </c>
      <c r="N647" s="569">
        <f>IFERROR(VLOOKUP(C647,[3]List1!$A:$D,4,FALSE),"N/A!")</f>
        <v>3.50595E-2</v>
      </c>
      <c r="O647" s="569">
        <f>IFERROR(VLOOKUP(C647,[3]List1!$A:$D,3,FALSE),"N/A!")</f>
        <v>1862</v>
      </c>
      <c r="P647" s="569">
        <f>IFERROR(VLOOKUP(C647,[3]List1!$A:$D,2,FALSE),"N/A!")</f>
        <v>12500</v>
      </c>
      <c r="Q647" s="569" t="s">
        <v>11787</v>
      </c>
      <c r="R647" s="569"/>
      <c r="S647" s="569" t="str">
        <f>IF($W$17=$AF$1,"červená fólie",IFERROR(VLOOKUP("červená fólie",Jazyky_ceník!$A:$Q,MATCH($W$17,Jazyky_ceník!$A$1:$Q$1,0),FALSE),"!!!"))</f>
        <v>červená fólie</v>
      </c>
      <c r="T647" s="569">
        <v>35</v>
      </c>
      <c r="U647" s="569">
        <v>40</v>
      </c>
      <c r="V647" s="569">
        <v>30</v>
      </c>
      <c r="W647" s="569" t="str">
        <f>IFERROR(IF(AND($AB647&gt;=0.1*$AA647,MOD($AB647,$AA647)&gt;=($AA647-(0.1*$AA647))),IF($W$17=$AF$1,"Zvažte možnost doobjednání ještě "&amp;Tabulka1[[#This Row],[VKPAL]]-MOD(AB647,AA647)&amp;" VK do plné palety.",VLOOKUP("Zvažte možnost doobjednání ještě ",Jazyky_ceník!A:Q,MATCH($W$17,Jazyky_ceník!$A$1:$Q$1,0),FALSE)&amp;Tabulka1[[#This Row],[VKPAL]]-MOD(AB647,AA647)&amp;VLOOKUP(" VK do plné palety.",Jazyky_ceník!A:Q,MATCH($W$17,Jazyky_ceník!$A$1:$Q$1,0),FALSE)),IFERROR(IF(AND(NOT(MOD($AB647,$AA647)=0),$AB647&gt;=0.9*$AA647,MOD($AB647,$AA647)&lt;=0.1*$AA647),IF($W$17=$AF$1,"Zvažte možnost optimalizace objednaného množství podle počtu VK na paletě ==&gt;",VLOOKUP("Zvažte možnost optimalizace objednaného množství podle počtu VK na paletě ==&gt;",Jazyky_ceník!A:Q,MATCH($W$17,Jazyky_ceník!$A$1:$Q$1,0),FALSE)),VLOOKUP('General price list'!$C647,Popisy!A:M,MATCH($W$17,Popisy!$A$7:$M$7,0),FALSE)),"---------------")),IFERROR(VLOOKUP('General price list'!$C647,Popisy!A:M,MATCH($W$17,Popisy!$A$7:$M$7,0),FALSE),"---------------"))</f>
        <v>zlatá blikajiící vrba</v>
      </c>
      <c r="X647" s="569" t="str">
        <f t="shared" si="1916"/>
        <v/>
      </c>
      <c r="Y647" s="569" t="str">
        <f t="shared" si="1917"/>
        <v/>
      </c>
      <c r="Z647" s="569" t="str">
        <f>HYPERLINK("https://www.klasekpyrotechnics.cz/c493bw")</f>
        <v>https://www.klasekpyrotechnics.cz/c493bw</v>
      </c>
      <c r="AA647" s="569">
        <f>IFERROR(IF(VLOOKUP(C647,[4]List1!$A:$D,4,FALSE)=0,"",VLOOKUP(C647,[4]List1!$A:$D,4,FALSE)),"")</f>
        <v>42</v>
      </c>
      <c r="AB647" s="565"/>
      <c r="AC647" s="570" t="str">
        <f>IFERROR(IF(VLOOKUP(C647,[1]List1!$A:$D,2,FALSE)="VYPRODÁNO",$V$9,IF(VLOOKUP(C647,[1]List1!$A:$D,2,FALSE)="DOCHÁZÍ",$V$3,VLOOKUP(C647,[1]List1!$A:$D,2,FALSE))),"OFFLINE!")</f>
        <v>SKLADEM</v>
      </c>
      <c r="AD647" s="570" t="str">
        <f ca="1">IF(AP647="NE",$V$10,IF(AC647=$V$3,IF(AQ647&lt;1,$V$8,$V$2&amp;" "&amp;AQ647&amp;" "&amp;$V$1),IF(AC647="SKLADEM",$V$6,IFERROR(IF(OR(AC647-TODAY()&gt;45,VLOOKUP(C647,[1]List1!$A:$E,4,FALSE)=0),AC647,DAY(AC647)&amp;"."&amp;MONTH(AC647)&amp;"."&amp;YEAR(AC647)&amp;" "&amp;$V$4&amp;VLOOKUP(C647,[1]List1!$A:$E,4,FALSE)&amp;" "&amp;$V$1),AC647))))</f>
        <v>SKLADEM</v>
      </c>
      <c r="AE647" s="581" t="str">
        <f t="shared" ca="1" si="1918"/>
        <v>SKLADEM</v>
      </c>
      <c r="AF647" s="584">
        <f t="shared" si="1919"/>
        <v>0</v>
      </c>
      <c r="AG647" s="585">
        <f t="shared" si="1920"/>
        <v>0</v>
      </c>
      <c r="AH647" s="583">
        <f t="shared" si="1921"/>
        <v>0</v>
      </c>
      <c r="AI647" s="582">
        <f t="shared" si="1922"/>
        <v>0</v>
      </c>
      <c r="AJ647" s="569">
        <f t="shared" si="1923"/>
        <v>0</v>
      </c>
      <c r="AK647" s="569" t="str">
        <f t="shared" si="1924"/>
        <v/>
      </c>
      <c r="AL647" s="569">
        <f t="shared" si="1925"/>
        <v>0</v>
      </c>
      <c r="AM647" s="569" t="str">
        <f t="shared" si="1926"/>
        <v/>
      </c>
      <c r="AN647" s="581">
        <f t="shared" si="1927"/>
        <v>0</v>
      </c>
      <c r="AO647" s="623"/>
      <c r="AP647" s="632" t="str">
        <f t="shared" si="1794"/>
        <v/>
      </c>
      <c r="AQ647" s="633" t="str">
        <f>IF(AC647=$V$3,IF(VLOOKUP(C647,[1]List1!$A:$E,5,FALSE)=0,1,VLOOKUP(C647,[1]List1!$A:$E,5,FALSE)),"")</f>
        <v/>
      </c>
      <c r="AR647" s="625" t="str">
        <f t="shared" si="1795"/>
        <v/>
      </c>
      <c r="AS647" s="634" t="str">
        <f t="shared" si="1796"/>
        <v/>
      </c>
      <c r="AT647" s="625" t="str">
        <f t="shared" si="1797"/>
        <v/>
      </c>
      <c r="AU647" s="638" t="e">
        <f t="shared" si="1798"/>
        <v>#N/A</v>
      </c>
      <c r="AV647" s="625" t="e">
        <f t="shared" si="1799"/>
        <v>#N/A</v>
      </c>
      <c r="AX647" s="625">
        <f>IF(AND('General price list'!$J647="F4",'General price list'!$AB647+0&gt;0),1,0)</f>
        <v>0</v>
      </c>
      <c r="AY647" s="625">
        <f t="shared" si="1800"/>
        <v>1</v>
      </c>
      <c r="AZ647" s="625">
        <f t="shared" si="1801"/>
        <v>0</v>
      </c>
    </row>
    <row r="648" spans="1:52" ht="15" customHeight="1">
      <c r="A648" s="751" t="str">
        <f>Kat.!C648</f>
        <v xml:space="preserve">           Baterie 49 ran, 30 mm šikmý moždíř – 1.3G</v>
      </c>
      <c r="B648" s="751"/>
      <c r="C648" s="751"/>
      <c r="D648" s="751"/>
      <c r="E648" s="751"/>
      <c r="F648" s="751"/>
      <c r="G648" s="751"/>
      <c r="H648" s="751"/>
      <c r="I648" s="752"/>
      <c r="J648" s="752"/>
      <c r="K648" s="752" t="s">
        <v>20</v>
      </c>
      <c r="L648" s="753" t="s">
        <v>20</v>
      </c>
      <c r="M648" s="752"/>
      <c r="N648" s="752"/>
      <c r="O648" s="752"/>
      <c r="P648" s="752"/>
      <c r="Q648" s="752"/>
      <c r="R648" s="752"/>
      <c r="S648" s="752"/>
      <c r="T648" s="752"/>
      <c r="U648" s="752"/>
      <c r="V648" s="752"/>
      <c r="W648" s="752"/>
      <c r="X648" s="752"/>
      <c r="Y648" s="752"/>
      <c r="Z648" s="752" t="s">
        <v>20</v>
      </c>
      <c r="AA648" s="752"/>
      <c r="AB648" s="752"/>
      <c r="AC648" s="754"/>
      <c r="AD648" s="752"/>
      <c r="AE648" s="752"/>
      <c r="AF648" s="752"/>
      <c r="AG648" s="752"/>
      <c r="AH648" s="752"/>
      <c r="AI648" s="752"/>
      <c r="AJ648" s="752"/>
      <c r="AK648" s="752"/>
      <c r="AL648" s="752"/>
      <c r="AM648" s="752"/>
      <c r="AN648" s="752"/>
      <c r="AO648" s="623"/>
      <c r="AP648" s="632" t="str">
        <f t="shared" si="1794"/>
        <v/>
      </c>
      <c r="AQ648" s="633" t="str">
        <f>IF(AC648=$V$3,IF(VLOOKUP(C648,[1]List1!$A:$E,5,FALSE)=0,1,VLOOKUP(C648,[1]List1!$A:$E,5,FALSE)),"")</f>
        <v/>
      </c>
      <c r="AR648" s="625" t="str">
        <f t="shared" si="1795"/>
        <v/>
      </c>
      <c r="AS648" s="634" t="str">
        <f t="shared" si="1796"/>
        <v/>
      </c>
      <c r="AT648" s="625" t="str">
        <f t="shared" si="1797"/>
        <v/>
      </c>
      <c r="AU648" s="638" t="e">
        <f t="shared" si="1798"/>
        <v>#N/A</v>
      </c>
      <c r="AV648" s="625" t="e">
        <f t="shared" si="1799"/>
        <v>#N/A</v>
      </c>
      <c r="AX648" s="625">
        <f>IF(AND('General price list'!$J648="F4",'General price list'!$AB648+0&gt;0),1,0)</f>
        <v>0</v>
      </c>
      <c r="AY648" s="625">
        <f t="shared" si="1800"/>
        <v>0</v>
      </c>
      <c r="AZ648" s="625">
        <f t="shared" si="1801"/>
        <v>0</v>
      </c>
    </row>
    <row r="649" spans="1:52" ht="15.75" customHeight="1">
      <c r="A649" s="639" t="str">
        <f>Kat.!C649</f>
        <v/>
      </c>
      <c r="B649" s="640">
        <f>IF(AND('General price list'!$J649="F4",$AI$1=FALSE),0,IF(AC649="SKLADEM",1,IF(AC649=$V$3,1,0)))</f>
        <v>1</v>
      </c>
      <c r="C649" s="641" t="s">
        <v>1349</v>
      </c>
      <c r="D649" s="642" t="s">
        <v>11895</v>
      </c>
      <c r="E649" s="643" t="s">
        <v>12747</v>
      </c>
      <c r="F649" s="791">
        <f>IFERROR(VLOOKUP(C649,[2]List1!$A:$D,3,FALSE),"NEUVEDENO!")</f>
        <v>1239</v>
      </c>
      <c r="G649" s="768">
        <f t="shared" ref="G649:G652" si="1928">IF($W$17=$AF$8,ROUND((F649)/$F$17,2),(F649)*$B$19)</f>
        <v>1239</v>
      </c>
      <c r="H649" s="765">
        <f t="shared" ref="H649:H652" si="1929">IF($W$17=$AF$8,G649*$B$19,G649/$F$17)</f>
        <v>52.630908233614967</v>
      </c>
      <c r="I649" s="644">
        <f>IFERROR(VLOOKUP(C649,[2]List1!$A:$D,4,FALSE),"NEUVEDENO!")</f>
        <v>2</v>
      </c>
      <c r="J649" s="733" t="s">
        <v>113</v>
      </c>
      <c r="K649" s="645" t="s">
        <v>11100</v>
      </c>
      <c r="L649" s="645" t="s">
        <v>20</v>
      </c>
      <c r="M649" s="645" t="s">
        <v>114</v>
      </c>
      <c r="N649" s="645">
        <f>IFERROR(VLOOKUP(C649,[3]List1!$A:$D,4,FALSE),"N/A!")</f>
        <v>5.9639124999999994E-2</v>
      </c>
      <c r="O649" s="645">
        <f>IFERROR(VLOOKUP(C649,[3]List1!$A:$D,3,FALSE),"N/A!")</f>
        <v>1862</v>
      </c>
      <c r="P649" s="645">
        <f>IFERROR(VLOOKUP(C649,[3]List1!$A:$D,2,FALSE),"N/A!")</f>
        <v>14500</v>
      </c>
      <c r="Q649" s="645" t="s">
        <v>11787</v>
      </c>
      <c r="R649" s="645"/>
      <c r="S649" s="645" t="str">
        <f>IF($W$17=$AF$1,"design",IFERROR(VLOOKUP("design",Jazyky_ceník!$A:$Q,MATCH($W$17,Jazyky_ceník!$A$1:$Q$1,0),FALSE),"!!!"))</f>
        <v>design</v>
      </c>
      <c r="T649" s="645">
        <v>45</v>
      </c>
      <c r="U649" s="645">
        <v>40</v>
      </c>
      <c r="V649" s="645">
        <v>30</v>
      </c>
      <c r="W649" s="645" t="str">
        <f>IFERROR(IF(AND($AB649&gt;=0.1*$AA649,MOD($AB649,$AA649)&gt;=($AA649-(0.1*$AA649))),IF($W$17=$AF$1,"Zvažte možnost doobjednání ještě "&amp;Tabulka1[[#This Row],[VKPAL]]-MOD(AB649,AA649)&amp;" VK do plné palety.",VLOOKUP("Zvažte možnost doobjednání ještě ",Jazyky_ceník!A:Q,MATCH($W$17,Jazyky_ceník!$A$1:$Q$1,0),FALSE)&amp;Tabulka1[[#This Row],[VKPAL]]-MOD(AB649,AA649)&amp;VLOOKUP(" VK do plné palety.",Jazyky_ceník!A:Q,MATCH($W$17,Jazyky_ceník!$A$1:$Q$1,0),FALSE)),IFERROR(IF(AND(NOT(MOD($AB649,$AA649)=0),$AB649&gt;=0.9*$AA649,MOD($AB649,$AA649)&lt;=0.1*$AA649),IF($W$17=$AF$1,"Zvažte možnost optimalizace objednaného množství podle počtu VK na paletě ==&gt;",VLOOKUP("Zvažte možnost optimalizace objednaného množství podle počtu VK na paletě ==&gt;",Jazyky_ceník!A:Q,MATCH($W$17,Jazyky_ceník!$A$1:$Q$1,0),FALSE)),VLOOKUP('General price list'!$C649,Popisy!A:M,MATCH($W$17,Popisy!$A$7:$M$7,0),FALSE)),"---------------")),IFERROR(VLOOKUP('General price list'!$C649,Popisy!A:M,MATCH($W$17,Popisy!$A$7:$M$7,0),FALSE),"---------------"))</f>
        <v>7 různobarevných efektu</v>
      </c>
      <c r="X649" s="645" t="str">
        <f t="shared" ref="X649:X652" si="1930">IF(AB649&lt;0.0001,"",AB649)</f>
        <v/>
      </c>
      <c r="Y649" s="645" t="str">
        <f t="shared" ref="Y649:Y652" si="1931">IF($AL$3=2,IF(OR(AB649&lt;&gt;"",AB649&lt;&gt;0),AU649,""),IF(C649="","",IF(AB649&lt;0.0001,"",IF(B649=0,"",IF(AQ649&lt;AB649,"",AB649)))))</f>
        <v/>
      </c>
      <c r="Z649" s="645" t="str">
        <f>HYPERLINK("https://www.klasekpyrotechnics.cz/cf493st")</f>
        <v>https://www.klasekpyrotechnics.cz/cf493st</v>
      </c>
      <c r="AA649" s="645">
        <f>IFERROR(IF(VLOOKUP(C649,[4]List1!$A:$D,4,FALSE)=0,"",VLOOKUP(C649,[4]List1!$A:$D,4,FALSE)),"")</f>
        <v>14</v>
      </c>
      <c r="AB649" s="646"/>
      <c r="AC649" s="647" t="str">
        <f>IFERROR(IF(VLOOKUP(C649,[1]List1!$A:$D,2,FALSE)="VYPRODÁNO",$V$9,IF(VLOOKUP(C649,[1]List1!$A:$D,2,FALSE)="DOCHÁZÍ",$V$3,VLOOKUP(C649,[1]List1!$A:$D,2,FALSE))),"OFFLINE!")</f>
        <v>SKLADEM</v>
      </c>
      <c r="AD649" s="647" t="str">
        <f ca="1">IF(AP649="NE",$V$10,IF(AC649=$V$3,IF(AQ649&lt;1,$V$8,$V$2&amp;" "&amp;AQ649&amp;" "&amp;$V$1),IF(AC649="SKLADEM",$V$6,IFERROR(IF(OR(AC649-TODAY()&gt;45,VLOOKUP(C649,[1]List1!$A:$E,4,FALSE)=0),AC649,DAY(AC649)&amp;"."&amp;MONTH(AC649)&amp;"."&amp;YEAR(AC649)&amp;" "&amp;$V$4&amp;VLOOKUP(C649,[1]List1!$A:$E,4,FALSE)&amp;" "&amp;$V$1),AC649))))</f>
        <v>SKLADEM</v>
      </c>
      <c r="AE649" s="645" t="str">
        <f t="shared" ref="AE649:AE652" ca="1" si="1932">IFERROR(IF(AV649&lt;&gt;"",AV649,AD649),AD649)</f>
        <v>SKLADEM</v>
      </c>
      <c r="AF649" s="648">
        <f t="shared" ref="AF649:AF652" si="1933">IFERROR(IF(AB649=Y649,G649*I649*Y649,0),0)</f>
        <v>0</v>
      </c>
      <c r="AG649" s="649">
        <f t="shared" ref="AG649:AG652" si="1934">IF($W$17=$AF$8,AH649*1.23,AF649*1.21)</f>
        <v>0</v>
      </c>
      <c r="AH649" s="650">
        <f t="shared" ref="AH649:AH652" si="1935">IFERROR(IF(Y649=AB649,H649*I649*Y649,0),0)</f>
        <v>0</v>
      </c>
      <c r="AI649" s="645">
        <f t="shared" ref="AI649:AI652" si="1936">IFERROR(IF(Y649=AB649,(P649*Y649)/1000,1),0)</f>
        <v>0</v>
      </c>
      <c r="AJ649" s="645">
        <f t="shared" ref="AJ649:AJ652" si="1937">IFERROR(IF(Y649=AB649,N649*Y649,0.1),0)</f>
        <v>0</v>
      </c>
      <c r="AK649" s="645" t="str">
        <f t="shared" ref="AK649:AK652" si="1938">IFERROR(IF(Y649=AB649,IF(M649="1.1G",(O649/1000)*Y649,""),""),0)</f>
        <v/>
      </c>
      <c r="AL649" s="645">
        <f t="shared" ref="AL649:AL652" si="1939">IFERROR(IF(Y649=AB649,IF(M649="1.3G",(O649/1000)*AB649,""),""),0)</f>
        <v>0</v>
      </c>
      <c r="AM649" s="645" t="str">
        <f t="shared" ref="AM649:AM652" si="1940">IFERROR(IF(Y649=AB649,IF(M649="1.4G",(O649/1000)*AB649,""),""),0)</f>
        <v/>
      </c>
      <c r="AN649" s="651">
        <f t="shared" ref="AN649:AN652" si="1941">SUM(AK649:AM649)</f>
        <v>0</v>
      </c>
      <c r="AO649" s="623"/>
      <c r="AP649" s="625" t="str">
        <f t="shared" si="1794"/>
        <v/>
      </c>
      <c r="AQ649" s="625" t="str">
        <f>IF(AC649=$V$3,IF(VLOOKUP(C649,[1]List1!$A:$E,5,FALSE)=0,1,VLOOKUP(C649,[1]List1!$A:$E,5,FALSE)),"")</f>
        <v/>
      </c>
      <c r="AR649" s="629" t="str">
        <f t="shared" si="1795"/>
        <v/>
      </c>
      <c r="AS649" s="630" t="str">
        <f t="shared" si="1796"/>
        <v/>
      </c>
      <c r="AT649" s="625" t="str">
        <f t="shared" si="1797"/>
        <v/>
      </c>
      <c r="AU649" s="625" t="e">
        <f t="shared" si="1798"/>
        <v>#N/A</v>
      </c>
      <c r="AV649" s="625" t="e">
        <f t="shared" si="1799"/>
        <v>#N/A</v>
      </c>
      <c r="AW649" s="631"/>
      <c r="AX649" s="631">
        <f>IF(AND('General price list'!$J649="F4",'General price list'!$AB649+0&gt;0),1,0)</f>
        <v>0</v>
      </c>
      <c r="AY649" s="631">
        <f t="shared" si="1800"/>
        <v>1</v>
      </c>
      <c r="AZ649" s="631">
        <f t="shared" si="1801"/>
        <v>0</v>
      </c>
    </row>
    <row r="650" spans="1:52" ht="15" customHeight="1">
      <c r="A650" s="621" t="str">
        <f>Kat.!C650</f>
        <v>×</v>
      </c>
      <c r="B650" s="566">
        <f>IF(AND('General price list'!$J650="F4",$AI$1=FALSE),0,IF(AC650="SKLADEM",1,IF(AC650=$V$3,1,0)))</f>
        <v>1</v>
      </c>
      <c r="C650" s="567" t="s">
        <v>1350</v>
      </c>
      <c r="D650" s="568" t="s">
        <v>1351</v>
      </c>
      <c r="E650" s="763" t="s">
        <v>12747</v>
      </c>
      <c r="F650" s="791">
        <f>IFERROR(VLOOKUP(C650,[2]List1!$A:$D,3,FALSE),"NEUVEDENO!")</f>
        <v>1239</v>
      </c>
      <c r="G650" s="769">
        <f t="shared" si="1928"/>
        <v>1239</v>
      </c>
      <c r="H650" s="766">
        <f t="shared" si="1929"/>
        <v>52.630908233614967</v>
      </c>
      <c r="I650" s="764">
        <f>IFERROR(VLOOKUP(C650,[2]List1!$A:$D,4,FALSE),"NEUVEDENO!")</f>
        <v>2</v>
      </c>
      <c r="J650" s="732" t="s">
        <v>113</v>
      </c>
      <c r="K650" s="569" t="s">
        <v>11100</v>
      </c>
      <c r="L650" s="569" t="s">
        <v>20</v>
      </c>
      <c r="M650" s="569" t="s">
        <v>114</v>
      </c>
      <c r="N650" s="569">
        <f>IFERROR(VLOOKUP(C650,[3]List1!$A:$D,4,FALSE),"N/A!")</f>
        <v>5.9639124999999994E-2</v>
      </c>
      <c r="O650" s="569">
        <f>IFERROR(VLOOKUP(C650,[3]List1!$A:$D,3,FALSE),"N/A!")</f>
        <v>1862</v>
      </c>
      <c r="P650" s="569">
        <f>IFERROR(VLOOKUP(C650,[3]List1!$A:$D,2,FALSE),"N/A!")</f>
        <v>14500</v>
      </c>
      <c r="Q650" s="569" t="s">
        <v>11318</v>
      </c>
      <c r="R650" s="569" t="s">
        <v>20</v>
      </c>
      <c r="S650" s="569" t="str">
        <f>IF($W$17=$AF$1,"design",IFERROR(VLOOKUP("design",Jazyky_ceník!$A:$Q,MATCH($W$17,Jazyky_ceník!$A$1:$Q$1,0),FALSE),"!!!"))</f>
        <v>design</v>
      </c>
      <c r="T650" s="569">
        <v>60</v>
      </c>
      <c r="U650" s="569">
        <v>40</v>
      </c>
      <c r="V650" s="569">
        <v>30</v>
      </c>
      <c r="W650" s="569" t="str">
        <f>IFERROR(IF(AND($AB650&gt;=0.1*$AA650,MOD($AB650,$AA650)&gt;=($AA650-(0.1*$AA650))),IF($W$17=$AF$1,"Zvažte možnost doobjednání ještě "&amp;Tabulka1[[#This Row],[VKPAL]]-MOD(AB650,AA650)&amp;" VK do plné palety.",VLOOKUP("Zvažte možnost doobjednání ještě ",Jazyky_ceník!A:Q,MATCH($W$17,Jazyky_ceník!$A$1:$Q$1,0),FALSE)&amp;Tabulka1[[#This Row],[VKPAL]]-MOD(AB650,AA650)&amp;VLOOKUP(" VK do plné palety.",Jazyky_ceník!A:Q,MATCH($W$17,Jazyky_ceník!$A$1:$Q$1,0),FALSE)),IFERROR(IF(AND(NOT(MOD($AB650,$AA650)=0),$AB650&gt;=0.9*$AA650,MOD($AB650,$AA650)&lt;=0.1*$AA650),IF($W$17=$AF$1,"Zvažte možnost optimalizace objednaného množství podle počtu VK na paletě ==&gt;",VLOOKUP("Zvažte možnost optimalizace objednaného množství podle počtu VK na paletě ==&gt;",Jazyky_ceník!A:Q,MATCH($W$17,Jazyky_ceník!$A$1:$Q$1,0),FALSE)),VLOOKUP('General price list'!$C650,Popisy!A:M,MATCH($W$17,Popisy!$A$7:$M$7,0),FALSE)),"---------------")),IFERROR(VLOOKUP('General price list'!$C650,Popisy!A:M,MATCH($W$17,Popisy!$A$7:$M$7,0),FALSE),"---------------"))</f>
        <v>7 různobarevných efektu</v>
      </c>
      <c r="X650" s="569" t="str">
        <f t="shared" si="1930"/>
        <v/>
      </c>
      <c r="Y650" s="569" t="str">
        <f t="shared" si="1931"/>
        <v/>
      </c>
      <c r="Z650" s="569" t="str">
        <f>HYPERLINK("https://www.klasekpyrotechnics.cz/cf493sa")</f>
        <v>https://www.klasekpyrotechnics.cz/cf493sa</v>
      </c>
      <c r="AA650" s="569">
        <f>IFERROR(IF(VLOOKUP(C650,[4]List1!$A:$D,4,FALSE)=0,"",VLOOKUP(C650,[4]List1!$A:$D,4,FALSE)),"")</f>
        <v>14</v>
      </c>
      <c r="AB650" s="565"/>
      <c r="AC650" s="570" t="str">
        <f>IFERROR(IF(VLOOKUP(C650,[1]List1!$A:$D,2,FALSE)="VYPRODÁNO",$V$9,IF(VLOOKUP(C650,[1]List1!$A:$D,2,FALSE)="DOCHÁZÍ",$V$3,VLOOKUP(C650,[1]List1!$A:$D,2,FALSE))),"OFFLINE!")</f>
        <v>DOCHÁZÍ</v>
      </c>
      <c r="AD650" s="570" t="str">
        <f ca="1">IF(AP650="NE",$V$10,IF(AC650=$V$3,IF(AQ650&lt;1,$V$8,$V$2&amp;" "&amp;AQ650&amp;" "&amp;$V$1),IF(AC650="SKLADEM",$V$6,IFERROR(IF(OR(AC650-TODAY()&gt;45,VLOOKUP(C650,[1]List1!$A:$E,4,FALSE)=0),AC650,DAY(AC650)&amp;"."&amp;MONTH(AC650)&amp;"."&amp;YEAR(AC650)&amp;" "&amp;$V$4&amp;VLOOKUP(C650,[1]List1!$A:$E,4,FALSE)&amp;" "&amp;$V$1),AC650))))</f>
        <v>POSLEDNÍCH 7 VK</v>
      </c>
      <c r="AE650" s="581" t="str">
        <f t="shared" ca="1" si="1932"/>
        <v>POSLEDNÍCH 7 VK</v>
      </c>
      <c r="AF650" s="584">
        <f t="shared" si="1933"/>
        <v>0</v>
      </c>
      <c r="AG650" s="585">
        <f t="shared" si="1934"/>
        <v>0</v>
      </c>
      <c r="AH650" s="583">
        <f t="shared" si="1935"/>
        <v>0</v>
      </c>
      <c r="AI650" s="582">
        <f t="shared" si="1936"/>
        <v>0</v>
      </c>
      <c r="AJ650" s="569">
        <f t="shared" si="1937"/>
        <v>0</v>
      </c>
      <c r="AK650" s="569" t="str">
        <f t="shared" si="1938"/>
        <v/>
      </c>
      <c r="AL650" s="569">
        <f t="shared" si="1939"/>
        <v>0</v>
      </c>
      <c r="AM650" s="569" t="str">
        <f t="shared" si="1940"/>
        <v/>
      </c>
      <c r="AN650" s="581">
        <f t="shared" si="1941"/>
        <v>0</v>
      </c>
      <c r="AO650" s="623"/>
      <c r="AP650" s="632" t="str">
        <f t="shared" si="1794"/>
        <v/>
      </c>
      <c r="AQ650" s="625">
        <f>IF(AC650=$V$3,IF(VLOOKUP(C650,[1]List1!$A:$E,5,FALSE)=0,1,VLOOKUP(C650,[1]List1!$A:$E,5,FALSE)),"")</f>
        <v>7</v>
      </c>
      <c r="AR650" s="625" t="str">
        <f t="shared" si="1795"/>
        <v/>
      </c>
      <c r="AS650" s="634" t="str">
        <f t="shared" si="1796"/>
        <v/>
      </c>
      <c r="AT650" s="625" t="str">
        <f t="shared" si="1797"/>
        <v/>
      </c>
      <c r="AU650" s="638" t="e">
        <f t="shared" si="1798"/>
        <v>#N/A</v>
      </c>
      <c r="AV650" s="625" t="e">
        <f t="shared" si="1799"/>
        <v>#N/A</v>
      </c>
      <c r="AX650" s="625">
        <f>IF(AND('General price list'!$J650="F4",'General price list'!$AB650+0&gt;0),1,0)</f>
        <v>0</v>
      </c>
      <c r="AY650" s="625">
        <f t="shared" si="1800"/>
        <v>1</v>
      </c>
      <c r="AZ650" s="625">
        <f t="shared" si="1801"/>
        <v>0</v>
      </c>
    </row>
    <row r="651" spans="1:52" ht="15.75" customHeight="1">
      <c r="A651" s="639" t="str">
        <f>Kat.!C651</f>
        <v>×</v>
      </c>
      <c r="B651" s="640">
        <f>IF(AND('General price list'!$J651="F4",$AI$1=FALSE),0,IF(AC651="SKLADEM",1,IF(AC651=$V$3,1,0)))</f>
        <v>1</v>
      </c>
      <c r="C651" s="641" t="s">
        <v>1352</v>
      </c>
      <c r="D651" s="642" t="s">
        <v>1353</v>
      </c>
      <c r="E651" s="643" t="s">
        <v>12747</v>
      </c>
      <c r="F651" s="791">
        <f>IFERROR(VLOOKUP(C651,[2]List1!$A:$D,3,FALSE),"NEUVEDENO!")</f>
        <v>1239</v>
      </c>
      <c r="G651" s="768">
        <f t="shared" si="1928"/>
        <v>1239</v>
      </c>
      <c r="H651" s="765">
        <f t="shared" si="1929"/>
        <v>52.630908233614967</v>
      </c>
      <c r="I651" s="644">
        <f>IFERROR(VLOOKUP(C651,[2]List1!$A:$D,4,FALSE),"NEUVEDENO!")</f>
        <v>2</v>
      </c>
      <c r="J651" s="733" t="s">
        <v>113</v>
      </c>
      <c r="K651" s="645" t="s">
        <v>11100</v>
      </c>
      <c r="L651" s="645" t="s">
        <v>20</v>
      </c>
      <c r="M651" s="645" t="s">
        <v>114</v>
      </c>
      <c r="N651" s="645">
        <f>IFERROR(VLOOKUP(C651,[3]List1!$A:$D,4,FALSE),"N/A!")</f>
        <v>5.9639124999999994E-2</v>
      </c>
      <c r="O651" s="645">
        <f>IFERROR(VLOOKUP(C651,[3]List1!$A:$D,3,FALSE),"N/A!")</f>
        <v>1862</v>
      </c>
      <c r="P651" s="645">
        <f>IFERROR(VLOOKUP(C651,[3]List1!$A:$D,2,FALSE),"N/A!")</f>
        <v>14500</v>
      </c>
      <c r="Q651" s="645" t="s">
        <v>11318</v>
      </c>
      <c r="R651" s="645" t="s">
        <v>20</v>
      </c>
      <c r="S651" s="645" t="str">
        <f>IF($W$17=$AF$1,"design",IFERROR(VLOOKUP("design",Jazyky_ceník!$A:$Q,MATCH($W$17,Jazyky_ceník!$A$1:$Q$1,0),FALSE),"!!!"))</f>
        <v>design</v>
      </c>
      <c r="T651" s="645">
        <v>45</v>
      </c>
      <c r="U651" s="645">
        <v>40</v>
      </c>
      <c r="V651" s="645">
        <v>30</v>
      </c>
      <c r="W651" s="645" t="str">
        <f>IFERROR(IF(AND($AB651&gt;=0.1*$AA651,MOD($AB651,$AA651)&gt;=($AA651-(0.1*$AA651))),IF($W$17=$AF$1,"Zvažte možnost doobjednání ještě "&amp;Tabulka1[[#This Row],[VKPAL]]-MOD(AB651,AA651)&amp;" VK do plné palety.",VLOOKUP("Zvažte možnost doobjednání ještě ",Jazyky_ceník!A:Q,MATCH($W$17,Jazyky_ceník!$A$1:$Q$1,0),FALSE)&amp;Tabulka1[[#This Row],[VKPAL]]-MOD(AB651,AA651)&amp;VLOOKUP(" VK do plné palety.",Jazyky_ceník!A:Q,MATCH($W$17,Jazyky_ceník!$A$1:$Q$1,0),FALSE)),IFERROR(IF(AND(NOT(MOD($AB651,$AA651)=0),$AB651&gt;=0.9*$AA651,MOD($AB651,$AA651)&lt;=0.1*$AA651),IF($W$17=$AF$1,"Zvažte možnost optimalizace objednaného množství podle počtu VK na paletě ==&gt;",VLOOKUP("Zvažte možnost optimalizace objednaného množství podle počtu VK na paletě ==&gt;",Jazyky_ceník!A:Q,MATCH($W$17,Jazyky_ceník!$A$1:$Q$1,0),FALSE)),VLOOKUP('General price list'!$C651,Popisy!A:M,MATCH($W$17,Popisy!$A$7:$M$7,0),FALSE)),"---------------")),IFERROR(VLOOKUP('General price list'!$C651,Popisy!A:M,MATCH($W$17,Popisy!$A$7:$M$7,0),FALSE),"---------------"))</f>
        <v>7 různobarevných efektu</v>
      </c>
      <c r="X651" s="645" t="str">
        <f t="shared" si="1930"/>
        <v/>
      </c>
      <c r="Y651" s="645" t="str">
        <f t="shared" si="1931"/>
        <v/>
      </c>
      <c r="Z651" s="645" t="str">
        <f>HYPERLINK("https://www.klasekpyrotechnics.cz/cf493w")</f>
        <v>https://www.klasekpyrotechnics.cz/cf493w</v>
      </c>
      <c r="AA651" s="645">
        <f>IFERROR(IF(VLOOKUP(C651,[4]List1!$A:$D,4,FALSE)=0,"",VLOOKUP(C651,[4]List1!$A:$D,4,FALSE)),"")</f>
        <v>14</v>
      </c>
      <c r="AB651" s="646"/>
      <c r="AC651" s="647" t="str">
        <f>IFERROR(IF(VLOOKUP(C651,[1]List1!$A:$D,2,FALSE)="VYPRODÁNO",$V$9,IF(VLOOKUP(C651,[1]List1!$A:$D,2,FALSE)="DOCHÁZÍ",$V$3,VLOOKUP(C651,[1]List1!$A:$D,2,FALSE))),"OFFLINE!")</f>
        <v>SKLADEM</v>
      </c>
      <c r="AD651" s="647" t="str">
        <f ca="1">IF(AP651="NE",$V$10,IF(AC651=$V$3,IF(AQ651&lt;1,$V$8,$V$2&amp;" "&amp;AQ651&amp;" "&amp;$V$1),IF(AC651="SKLADEM",$V$6,IFERROR(IF(OR(AC651-TODAY()&gt;45,VLOOKUP(C651,[1]List1!$A:$E,4,FALSE)=0),AC651,DAY(AC651)&amp;"."&amp;MONTH(AC651)&amp;"."&amp;YEAR(AC651)&amp;" "&amp;$V$4&amp;VLOOKUP(C651,[1]List1!$A:$E,4,FALSE)&amp;" "&amp;$V$1),AC651))))</f>
        <v>SKLADEM</v>
      </c>
      <c r="AE651" s="645" t="str">
        <f t="shared" ca="1" si="1932"/>
        <v>SKLADEM</v>
      </c>
      <c r="AF651" s="648">
        <f t="shared" si="1933"/>
        <v>0</v>
      </c>
      <c r="AG651" s="649">
        <f t="shared" si="1934"/>
        <v>0</v>
      </c>
      <c r="AH651" s="650">
        <f t="shared" si="1935"/>
        <v>0</v>
      </c>
      <c r="AI651" s="645">
        <f t="shared" si="1936"/>
        <v>0</v>
      </c>
      <c r="AJ651" s="645">
        <f t="shared" si="1937"/>
        <v>0</v>
      </c>
      <c r="AK651" s="645" t="str">
        <f t="shared" si="1938"/>
        <v/>
      </c>
      <c r="AL651" s="645">
        <f t="shared" si="1939"/>
        <v>0</v>
      </c>
      <c r="AM651" s="645" t="str">
        <f t="shared" si="1940"/>
        <v/>
      </c>
      <c r="AN651" s="651">
        <f t="shared" si="1941"/>
        <v>0</v>
      </c>
      <c r="AO651" s="623"/>
      <c r="AP651" s="625" t="str">
        <f t="shared" si="1794"/>
        <v/>
      </c>
      <c r="AQ651" s="625" t="str">
        <f>IF(AC651=$V$3,IF(VLOOKUP(C651,[1]List1!$A:$E,5,FALSE)=0,1,VLOOKUP(C651,[1]List1!$A:$E,5,FALSE)),"")</f>
        <v/>
      </c>
      <c r="AR651" s="629" t="str">
        <f t="shared" si="1795"/>
        <v/>
      </c>
      <c r="AS651" s="630" t="str">
        <f t="shared" si="1796"/>
        <v/>
      </c>
      <c r="AT651" s="625" t="str">
        <f t="shared" si="1797"/>
        <v/>
      </c>
      <c r="AU651" s="625" t="e">
        <f t="shared" si="1798"/>
        <v>#N/A</v>
      </c>
      <c r="AV651" s="625" t="e">
        <f t="shared" si="1799"/>
        <v>#N/A</v>
      </c>
      <c r="AW651" s="631"/>
      <c r="AX651" s="631">
        <f>IF(AND('General price list'!$J651="F4",'General price list'!$AB651+0&gt;0),1,0)</f>
        <v>0</v>
      </c>
      <c r="AY651" s="631">
        <f t="shared" si="1800"/>
        <v>1</v>
      </c>
      <c r="AZ651" s="631">
        <f t="shared" si="1801"/>
        <v>0</v>
      </c>
    </row>
    <row r="652" spans="1:52" ht="15.75" customHeight="1">
      <c r="A652" s="621" t="str">
        <f>Kat.!C652</f>
        <v/>
      </c>
      <c r="B652" s="566">
        <f>IF(AND('General price list'!$J652="F4",$AI$1=FALSE),0,IF(AC652="SKLADEM",1,IF(AC652=$V$3,1,0)))</f>
        <v>1</v>
      </c>
      <c r="C652" s="567" t="s">
        <v>1354</v>
      </c>
      <c r="D652" s="568" t="s">
        <v>1355</v>
      </c>
      <c r="E652" s="763" t="s">
        <v>12747</v>
      </c>
      <c r="F652" s="791">
        <f>IFERROR(VLOOKUP(C652,[2]List1!$A:$D,3,FALSE),"NEUVEDENO!")</f>
        <v>1239</v>
      </c>
      <c r="G652" s="769">
        <f t="shared" si="1928"/>
        <v>1239</v>
      </c>
      <c r="H652" s="766">
        <f t="shared" si="1929"/>
        <v>52.630908233614967</v>
      </c>
      <c r="I652" s="764">
        <f>IFERROR(VLOOKUP(C652,[2]List1!$A:$D,4,FALSE),"NEUVEDENO!")</f>
        <v>2</v>
      </c>
      <c r="J652" s="732" t="s">
        <v>113</v>
      </c>
      <c r="K652" s="569" t="s">
        <v>11100</v>
      </c>
      <c r="L652" s="569" t="s">
        <v>20</v>
      </c>
      <c r="M652" s="569" t="s">
        <v>114</v>
      </c>
      <c r="N652" s="569">
        <f>IFERROR(VLOOKUP(C652,[3]List1!$A:$D,4,FALSE),"N/A!")</f>
        <v>5.9639124999999994E-2</v>
      </c>
      <c r="O652" s="569">
        <f>IFERROR(VLOOKUP(C652,[3]List1!$A:$D,3,FALSE),"N/A!")</f>
        <v>1862</v>
      </c>
      <c r="P652" s="569">
        <f>IFERROR(VLOOKUP(C652,[3]List1!$A:$D,2,FALSE),"N/A!")</f>
        <v>14500</v>
      </c>
      <c r="Q652" s="569" t="s">
        <v>11318</v>
      </c>
      <c r="R652" s="569" t="s">
        <v>20</v>
      </c>
      <c r="S652" s="569" t="str">
        <f>IF($W$17=$AF$1,"design",IFERROR(VLOOKUP("design",Jazyky_ceník!$A:$Q,MATCH($W$17,Jazyky_ceník!$A$1:$Q$1,0),FALSE),"!!!"))</f>
        <v>design</v>
      </c>
      <c r="T652" s="569">
        <v>60</v>
      </c>
      <c r="U652" s="569">
        <v>40</v>
      </c>
      <c r="V652" s="569">
        <v>30</v>
      </c>
      <c r="W652" s="569" t="str">
        <f>IFERROR(IF(AND($AB652&gt;=0.1*$AA652,MOD($AB652,$AA652)&gt;=($AA652-(0.1*$AA652))),IF($W$17=$AF$1,"Zvažte možnost doobjednání ještě "&amp;Tabulka1[[#This Row],[VKPAL]]-MOD(AB652,AA652)&amp;" VK do plné palety.",VLOOKUP("Zvažte možnost doobjednání ještě ",Jazyky_ceník!A:Q,MATCH($W$17,Jazyky_ceník!$A$1:$Q$1,0),FALSE)&amp;Tabulka1[[#This Row],[VKPAL]]-MOD(AB652,AA652)&amp;VLOOKUP(" VK do plné palety.",Jazyky_ceník!A:Q,MATCH($W$17,Jazyky_ceník!$A$1:$Q$1,0),FALSE)),IFERROR(IF(AND(NOT(MOD($AB652,$AA652)=0),$AB652&gt;=0.9*$AA652,MOD($AB652,$AA652)&lt;=0.1*$AA652),IF($W$17=$AF$1,"Zvažte možnost optimalizace objednaného množství podle počtu VK na paletě ==&gt;",VLOOKUP("Zvažte možnost optimalizace objednaného množství podle počtu VK na paletě ==&gt;",Jazyky_ceník!A:Q,MATCH($W$17,Jazyky_ceník!$A$1:$Q$1,0),FALSE)),VLOOKUP('General price list'!$C652,Popisy!A:M,MATCH($W$17,Popisy!$A$7:$M$7,0),FALSE)),"---------------")),IFERROR(VLOOKUP('General price list'!$C652,Popisy!A:M,MATCH($W$17,Popisy!$A$7:$M$7,0),FALSE),"---------------"))</f>
        <v>7 různobarevných efektu</v>
      </c>
      <c r="X652" s="569" t="str">
        <f t="shared" si="1930"/>
        <v/>
      </c>
      <c r="Y652" s="569" t="str">
        <f t="shared" si="1931"/>
        <v/>
      </c>
      <c r="Z652" s="569" t="str">
        <f>HYPERLINK("https://www.klasekpyrotechnics.cz/cf493me")</f>
        <v>https://www.klasekpyrotechnics.cz/cf493me</v>
      </c>
      <c r="AA652" s="569">
        <f>IFERROR(IF(VLOOKUP(C652,[4]List1!$A:$D,4,FALSE)=0,"",VLOOKUP(C652,[4]List1!$A:$D,4,FALSE)),"")</f>
        <v>14</v>
      </c>
      <c r="AB652" s="565"/>
      <c r="AC652" s="570" t="str">
        <f>IFERROR(IF(VLOOKUP(C652,[1]List1!$A:$D,2,FALSE)="VYPRODÁNO",$V$9,IF(VLOOKUP(C652,[1]List1!$A:$D,2,FALSE)="DOCHÁZÍ",$V$3,VLOOKUP(C652,[1]List1!$A:$D,2,FALSE))),"OFFLINE!")</f>
        <v>DOCHÁZÍ</v>
      </c>
      <c r="AD652" s="570" t="str">
        <f ca="1">IF(AP652="NE",$V$10,IF(AC652=$V$3,IF(AQ652&lt;1,$V$8,$V$2&amp;" "&amp;AQ652&amp;" "&amp;$V$1),IF(AC652="SKLADEM",$V$6,IFERROR(IF(OR(AC652-TODAY()&gt;45,VLOOKUP(C652,[1]List1!$A:$E,4,FALSE)=0),AC652,DAY(AC652)&amp;"."&amp;MONTH(AC652)&amp;"."&amp;YEAR(AC652)&amp;" "&amp;$V$4&amp;VLOOKUP(C652,[1]List1!$A:$E,4,FALSE)&amp;" "&amp;$V$1),AC652))))</f>
        <v>POSLEDNÍCH 19 VK</v>
      </c>
      <c r="AE652" s="581" t="str">
        <f t="shared" ca="1" si="1932"/>
        <v>POSLEDNÍCH 19 VK</v>
      </c>
      <c r="AF652" s="584">
        <f t="shared" si="1933"/>
        <v>0</v>
      </c>
      <c r="AG652" s="585">
        <f t="shared" si="1934"/>
        <v>0</v>
      </c>
      <c r="AH652" s="583">
        <f t="shared" si="1935"/>
        <v>0</v>
      </c>
      <c r="AI652" s="582">
        <f t="shared" si="1936"/>
        <v>0</v>
      </c>
      <c r="AJ652" s="569">
        <f t="shared" si="1937"/>
        <v>0</v>
      </c>
      <c r="AK652" s="569" t="str">
        <f t="shared" si="1938"/>
        <v/>
      </c>
      <c r="AL652" s="569">
        <f t="shared" si="1939"/>
        <v>0</v>
      </c>
      <c r="AM652" s="569" t="str">
        <f t="shared" si="1940"/>
        <v/>
      </c>
      <c r="AN652" s="581">
        <f t="shared" si="1941"/>
        <v>0</v>
      </c>
      <c r="AO652" s="623"/>
      <c r="AP652" s="625" t="str">
        <f t="shared" si="1794"/>
        <v/>
      </c>
      <c r="AQ652" s="625">
        <f>IF(AC652=$V$3,IF(VLOOKUP(C652,[1]List1!$A:$E,5,FALSE)=0,1,VLOOKUP(C652,[1]List1!$A:$E,5,FALSE)),"")</f>
        <v>19</v>
      </c>
      <c r="AR652" s="629" t="str">
        <f t="shared" si="1795"/>
        <v/>
      </c>
      <c r="AS652" s="630" t="str">
        <f t="shared" si="1796"/>
        <v/>
      </c>
      <c r="AT652" s="625" t="str">
        <f t="shared" si="1797"/>
        <v/>
      </c>
      <c r="AU652" s="625" t="e">
        <f t="shared" si="1798"/>
        <v>#N/A</v>
      </c>
      <c r="AV652" s="625" t="e">
        <f t="shared" si="1799"/>
        <v>#N/A</v>
      </c>
      <c r="AW652" s="631"/>
      <c r="AX652" s="631">
        <f>IF(AND('General price list'!$J652="F4",'General price list'!$AB652+0&gt;0),1,0)</f>
        <v>0</v>
      </c>
      <c r="AY652" s="631">
        <f t="shared" si="1800"/>
        <v>1</v>
      </c>
      <c r="AZ652" s="631">
        <f t="shared" si="1801"/>
        <v>0</v>
      </c>
    </row>
    <row r="653" spans="1:52" ht="15" customHeight="1">
      <c r="A653" s="751" t="str">
        <f>Kat.!C653</f>
        <v xml:space="preserve">           Baterie 50 ran, 30 mm moždíř – 1.3G</v>
      </c>
      <c r="B653" s="751"/>
      <c r="C653" s="751"/>
      <c r="D653" s="751"/>
      <c r="E653" s="751"/>
      <c r="F653" s="751"/>
      <c r="G653" s="751"/>
      <c r="H653" s="751"/>
      <c r="I653" s="752"/>
      <c r="J653" s="752"/>
      <c r="K653" s="752" t="s">
        <v>20</v>
      </c>
      <c r="L653" s="753" t="s">
        <v>2818</v>
      </c>
      <c r="M653" s="752"/>
      <c r="N653" s="752"/>
      <c r="O653" s="752"/>
      <c r="P653" s="752"/>
      <c r="Q653" s="752"/>
      <c r="R653" s="752"/>
      <c r="S653" s="752"/>
      <c r="T653" s="752"/>
      <c r="U653" s="752"/>
      <c r="V653" s="752"/>
      <c r="W653" s="752"/>
      <c r="X653" s="752"/>
      <c r="Y653" s="752"/>
      <c r="Z653" s="752" t="s">
        <v>20</v>
      </c>
      <c r="AA653" s="752"/>
      <c r="AB653" s="752"/>
      <c r="AC653" s="754"/>
      <c r="AD653" s="752"/>
      <c r="AE653" s="752"/>
      <c r="AF653" s="752"/>
      <c r="AG653" s="752"/>
      <c r="AH653" s="752"/>
      <c r="AI653" s="752"/>
      <c r="AJ653" s="752"/>
      <c r="AK653" s="752"/>
      <c r="AL653" s="752"/>
      <c r="AM653" s="752"/>
      <c r="AN653" s="752"/>
      <c r="AO653" s="623"/>
      <c r="AP653" s="632" t="str">
        <f t="shared" si="1794"/>
        <v/>
      </c>
      <c r="AQ653" s="633" t="str">
        <f>IF(AC653=$V$3,IF(VLOOKUP(C653,[1]List1!$A:$E,5,FALSE)=0,1,VLOOKUP(C653,[1]List1!$A:$E,5,FALSE)),"")</f>
        <v/>
      </c>
      <c r="AR653" s="625" t="str">
        <f t="shared" si="1795"/>
        <v/>
      </c>
      <c r="AS653" s="634" t="str">
        <f t="shared" si="1796"/>
        <v/>
      </c>
      <c r="AT653" s="625" t="str">
        <f t="shared" si="1797"/>
        <v/>
      </c>
      <c r="AU653" s="638" t="e">
        <f t="shared" si="1798"/>
        <v>#N/A</v>
      </c>
      <c r="AV653" s="625" t="e">
        <f t="shared" si="1799"/>
        <v>#N/A</v>
      </c>
      <c r="AX653" s="625">
        <f>IF(AND('General price list'!$J653="F4",'General price list'!$AB653+0&gt;0),1,0)</f>
        <v>0</v>
      </c>
      <c r="AY653" s="625">
        <f t="shared" si="1800"/>
        <v>0</v>
      </c>
      <c r="AZ653" s="625">
        <f t="shared" si="1801"/>
        <v>0</v>
      </c>
    </row>
    <row r="654" spans="1:52" ht="15.75" customHeight="1">
      <c r="A654" s="639" t="str">
        <f>Kat.!C654</f>
        <v/>
      </c>
      <c r="B654" s="640">
        <f>IF(AND('General price list'!$J654="F4",$AI$1=FALSE),0,IF(AC654="SKLADEM",1,IF(AC654=$V$3,1,0)))</f>
        <v>1</v>
      </c>
      <c r="C654" s="641" t="s">
        <v>1356</v>
      </c>
      <c r="D654" s="642" t="s">
        <v>11737</v>
      </c>
      <c r="E654" s="643" t="s">
        <v>12747</v>
      </c>
      <c r="F654" s="771">
        <f>IFERROR(VLOOKUP(C654,[2]List1!$A:$D,3,FALSE),"NEUVEDENO!")</f>
        <v>1100</v>
      </c>
      <c r="G654" s="768">
        <f t="shared" ref="G654:G657" si="1942">IF($W$17=$AF$8,ROUND((F654)/$F$17,2),(F654)*$B$19)</f>
        <v>1100</v>
      </c>
      <c r="H654" s="765">
        <f t="shared" ref="H654:H657" si="1943">IF($W$17=$AF$8,G654*$B$19,G654/$F$17)</f>
        <v>46.726391490699328</v>
      </c>
      <c r="I654" s="644">
        <f>IFERROR(VLOOKUP(C654,[2]List1!$A:$D,4,FALSE),"NEUVEDENO!")</f>
        <v>2</v>
      </c>
      <c r="J654" s="733" t="s">
        <v>113</v>
      </c>
      <c r="K654" s="645" t="s">
        <v>20</v>
      </c>
      <c r="L654" s="645" t="s">
        <v>20</v>
      </c>
      <c r="M654" s="645" t="s">
        <v>114</v>
      </c>
      <c r="N654" s="645">
        <f>IFERROR(VLOOKUP(C654,[3]List1!$A:$D,4,FALSE),"N/A!")</f>
        <v>3.1307874999999999E-2</v>
      </c>
      <c r="O654" s="645">
        <f>IFERROR(VLOOKUP(C654,[3]List1!$A:$D,3,FALSE),"N/A!")</f>
        <v>1998</v>
      </c>
      <c r="P654" s="645">
        <f>IFERROR(VLOOKUP(C654,[3]List1!$A:$D,2,FALSE),"N/A!")</f>
        <v>13700</v>
      </c>
      <c r="Q654" s="645" t="s">
        <v>11319</v>
      </c>
      <c r="R654" s="645"/>
      <c r="S654" s="645" t="str">
        <f>IF($W$17=$AF$1,"design",IFERROR(VLOOKUP("design",Jazyky_ceník!$A:$Q,MATCH($W$17,Jazyky_ceník!$A$1:$Q$1,0),FALSE),"!!!"))</f>
        <v>design</v>
      </c>
      <c r="T654" s="645">
        <v>50</v>
      </c>
      <c r="U654" s="645">
        <v>43</v>
      </c>
      <c r="V654" s="645">
        <v>33</v>
      </c>
      <c r="W654" s="645" t="str">
        <f>IFERROR(IF(AND($AB654&gt;=0.1*$AA654,MOD($AB654,$AA654)&gt;=($AA654-(0.1*$AA654))),IF($W$17=$AF$1,"Zvažte možnost doobjednání ještě "&amp;Tabulka1[[#This Row],[VKPAL]]-MOD(AB654,AA654)&amp;" VK do plné palety.",VLOOKUP("Zvažte možnost doobjednání ještě ",Jazyky_ceník!A:Q,MATCH($W$17,Jazyky_ceník!$A$1:$Q$1,0),FALSE)&amp;Tabulka1[[#This Row],[VKPAL]]-MOD(AB654,AA654)&amp;VLOOKUP(" VK do plné palety.",Jazyky_ceník!A:Q,MATCH($W$17,Jazyky_ceník!$A$1:$Q$1,0),FALSE)),IFERROR(IF(AND(NOT(MOD($AB654,$AA654)=0),$AB654&gt;=0.9*$AA654,MOD($AB654,$AA654)&lt;=0.1*$AA654),IF($W$17=$AF$1,"Zvažte možnost optimalizace objednaného množství podle počtu VK na paletě ==&gt;",VLOOKUP("Zvažte možnost optimalizace objednaného množství podle počtu VK na paletě ==&gt;",Jazyky_ceník!A:Q,MATCH($W$17,Jazyky_ceník!$A$1:$Q$1,0),FALSE)),VLOOKUP('General price list'!$C654,Popisy!A:M,MATCH($W$17,Popisy!$A$7:$M$7,0),FALSE)),"---------------")),IFERROR(VLOOKUP('General price list'!$C654,Popisy!A:M,MATCH($W$17,Popisy!$A$7:$M$7,0),FALSE),"---------------"))</f>
        <v>5 různobarevných efektu</v>
      </c>
      <c r="X654" s="645" t="str">
        <f t="shared" ref="X654:X657" si="1944">IF(AB654&lt;0.0001,"",AB654)</f>
        <v/>
      </c>
      <c r="Y654" s="645" t="str">
        <f t="shared" ref="Y654:Y657" si="1945">IF($AL$3=2,IF(OR(AB654&lt;&gt;"",AB654&lt;&gt;0),AU654,""),IF(C654="","",IF(AB654&lt;0.0001,"",IF(B654=0,"",IF(AQ654&lt;AB654,"",AB654)))))</f>
        <v/>
      </c>
      <c r="Z654" s="645" t="str">
        <f>HYPERLINK("https://www.klasekpyrotechnics.cz/c503siga")</f>
        <v>https://www.klasekpyrotechnics.cz/c503siga</v>
      </c>
      <c r="AA654" s="645">
        <f>IFERROR(IF(VLOOKUP(C654,[4]List1!$A:$D,4,FALSE)=0,"",VLOOKUP(C654,[4]List1!$A:$D,4,FALSE)),"")</f>
        <v>36</v>
      </c>
      <c r="AB654" s="646"/>
      <c r="AC654" s="647" t="str">
        <f>IFERROR(IF(VLOOKUP(C654,[1]List1!$A:$D,2,FALSE)="VYPRODÁNO",$V$9,IF(VLOOKUP(C654,[1]List1!$A:$D,2,FALSE)="DOCHÁZÍ",$V$3,VLOOKUP(C654,[1]List1!$A:$D,2,FALSE))),"OFFLINE!")</f>
        <v>SKLADEM</v>
      </c>
      <c r="AD654" s="647" t="str">
        <f ca="1">IF(AP654="NE",$V$10,IF(AC654=$V$3,IF(AQ654&lt;1,$V$8,$V$2&amp;" "&amp;AQ654&amp;" "&amp;$V$1),IF(AC654="SKLADEM",$V$6,IFERROR(IF(OR(AC654-TODAY()&gt;45,VLOOKUP(C654,[1]List1!$A:$E,4,FALSE)=0),AC654,DAY(AC654)&amp;"."&amp;MONTH(AC654)&amp;"."&amp;YEAR(AC654)&amp;" "&amp;$V$4&amp;VLOOKUP(C654,[1]List1!$A:$E,4,FALSE)&amp;" "&amp;$V$1),AC654))))</f>
        <v>SKLADEM</v>
      </c>
      <c r="AE654" s="645" t="str">
        <f t="shared" ref="AE654:AE657" ca="1" si="1946">IFERROR(IF(AV654&lt;&gt;"",AV654,AD654),AD654)</f>
        <v>SKLADEM</v>
      </c>
      <c r="AF654" s="648">
        <f t="shared" ref="AF654:AF657" si="1947">IFERROR(IF(AB654=Y654,G654*I654*Y654,0),0)</f>
        <v>0</v>
      </c>
      <c r="AG654" s="649">
        <f t="shared" ref="AG654:AG657" si="1948">IF($W$17=$AF$8,AH654*1.23,AF654*1.21)</f>
        <v>0</v>
      </c>
      <c r="AH654" s="650">
        <f t="shared" ref="AH654:AH657" si="1949">IFERROR(IF(Y654=AB654,H654*I654*Y654,0),0)</f>
        <v>0</v>
      </c>
      <c r="AI654" s="645">
        <f t="shared" ref="AI654:AI657" si="1950">IFERROR(IF(Y654=AB654,(P654*Y654)/1000,1),0)</f>
        <v>0</v>
      </c>
      <c r="AJ654" s="645">
        <f t="shared" ref="AJ654:AJ657" si="1951">IFERROR(IF(Y654=AB654,N654*Y654,0.1),0)</f>
        <v>0</v>
      </c>
      <c r="AK654" s="645" t="str">
        <f t="shared" ref="AK654:AK657" si="1952">IFERROR(IF(Y654=AB654,IF(M654="1.1G",(O654/1000)*Y654,""),""),0)</f>
        <v/>
      </c>
      <c r="AL654" s="645">
        <f t="shared" ref="AL654:AL657" si="1953">IFERROR(IF(Y654=AB654,IF(M654="1.3G",(O654/1000)*AB654,""),""),0)</f>
        <v>0</v>
      </c>
      <c r="AM654" s="645" t="str">
        <f t="shared" ref="AM654:AM657" si="1954">IFERROR(IF(Y654=AB654,IF(M654="1.4G",(O654/1000)*AB654,""),""),0)</f>
        <v/>
      </c>
      <c r="AN654" s="651">
        <f t="shared" ref="AN654:AN657" si="1955">SUM(AK654:AM654)</f>
        <v>0</v>
      </c>
      <c r="AO654" s="623"/>
      <c r="AP654" s="625" t="str">
        <f t="shared" si="1794"/>
        <v/>
      </c>
      <c r="AQ654" s="625" t="str">
        <f>IF(AC654=$V$3,IF(VLOOKUP(C654,[1]List1!$A:$E,5,FALSE)=0,1,VLOOKUP(C654,[1]List1!$A:$E,5,FALSE)),"")</f>
        <v/>
      </c>
      <c r="AR654" s="629" t="str">
        <f t="shared" si="1795"/>
        <v/>
      </c>
      <c r="AS654" s="630" t="str">
        <f t="shared" si="1796"/>
        <v/>
      </c>
      <c r="AT654" s="625" t="str">
        <f t="shared" si="1797"/>
        <v/>
      </c>
      <c r="AU654" s="625" t="e">
        <f t="shared" si="1798"/>
        <v>#N/A</v>
      </c>
      <c r="AV654" s="625" t="e">
        <f t="shared" si="1799"/>
        <v>#N/A</v>
      </c>
      <c r="AW654" s="631"/>
      <c r="AX654" s="631">
        <f>IF(AND('General price list'!$J654="F4",'General price list'!$AB654+0&gt;0),1,0)</f>
        <v>0</v>
      </c>
      <c r="AY654" s="631">
        <f t="shared" si="1800"/>
        <v>1</v>
      </c>
      <c r="AZ654" s="631">
        <f t="shared" si="1801"/>
        <v>0</v>
      </c>
    </row>
    <row r="655" spans="1:52" ht="15" customHeight="1">
      <c r="A655" s="621" t="str">
        <f>Kat.!C655</f>
        <v/>
      </c>
      <c r="B655" s="566">
        <f>IF(AND('General price list'!$J655="F4",$AI$1=FALSE),0,IF(AC655="SKLADEM",1,IF(AC655=$V$3,1,0)))</f>
        <v>1</v>
      </c>
      <c r="C655" s="567" t="s">
        <v>1357</v>
      </c>
      <c r="D655" s="568" t="s">
        <v>1358</v>
      </c>
      <c r="E655" s="763" t="s">
        <v>12747</v>
      </c>
      <c r="F655" s="791">
        <f>IFERROR(VLOOKUP(C655,[2]List1!$A:$D,3,FALSE),"NEUVEDENO!")</f>
        <v>969</v>
      </c>
      <c r="G655" s="769">
        <f t="shared" si="1942"/>
        <v>969</v>
      </c>
      <c r="H655" s="766">
        <f t="shared" si="1943"/>
        <v>41.161703049534225</v>
      </c>
      <c r="I655" s="764">
        <f>IFERROR(VLOOKUP(C655,[2]List1!$A:$D,4,FALSE),"NEUVEDENO!")</f>
        <v>2</v>
      </c>
      <c r="J655" s="732" t="s">
        <v>113</v>
      </c>
      <c r="K655" s="569" t="s">
        <v>11100</v>
      </c>
      <c r="L655" s="569" t="s">
        <v>20</v>
      </c>
      <c r="M655" s="569" t="s">
        <v>114</v>
      </c>
      <c r="N655" s="569">
        <f>IFERROR(VLOOKUP(C655,[3]List1!$A:$D,4,FALSE),"N/A!")</f>
        <v>3.1307874999999999E-2</v>
      </c>
      <c r="O655" s="569">
        <f>IFERROR(VLOOKUP(C655,[3]List1!$A:$D,3,FALSE),"N/A!")</f>
        <v>1900</v>
      </c>
      <c r="P655" s="569">
        <f>IFERROR(VLOOKUP(C655,[3]List1!$A:$D,2,FALSE),"N/A!")</f>
        <v>12500</v>
      </c>
      <c r="Q655" s="569" t="s">
        <v>11319</v>
      </c>
      <c r="R655" s="569"/>
      <c r="S655" s="569" t="str">
        <f>IF($W$17=$AF$1,"červená fólie",IFERROR(VLOOKUP("červená fólie",Jazyky_ceník!$A:$Q,MATCH($W$17,Jazyky_ceník!$A$1:$Q$1,0),FALSE),"!!!"))</f>
        <v>červená fólie</v>
      </c>
      <c r="T655" s="569">
        <v>50</v>
      </c>
      <c r="U655" s="569">
        <v>40</v>
      </c>
      <c r="V655" s="569">
        <v>30</v>
      </c>
      <c r="W655" s="569" t="str">
        <f>IFERROR(IF(AND($AB655&gt;=0.1*$AA655,MOD($AB655,$AA655)&gt;=($AA655-(0.1*$AA655))),IF($W$17=$AF$1,"Zvažte možnost doobjednání ještě "&amp;Tabulka1[[#This Row],[VKPAL]]-MOD(AB655,AA655)&amp;" VK do plné palety.",VLOOKUP("Zvažte možnost doobjednání ještě ",Jazyky_ceník!A:Q,MATCH($W$17,Jazyky_ceník!$A$1:$Q$1,0),FALSE)&amp;Tabulka1[[#This Row],[VKPAL]]-MOD(AB655,AA655)&amp;VLOOKUP(" VK do plné palety.",Jazyky_ceník!A:Q,MATCH($W$17,Jazyky_ceník!$A$1:$Q$1,0),FALSE)),IFERROR(IF(AND(NOT(MOD($AB655,$AA655)=0),$AB655&gt;=0.9*$AA655,MOD($AB655,$AA655)&lt;=0.1*$AA655),IF($W$17=$AF$1,"Zvažte možnost optimalizace objednaného množství podle počtu VK na paletě ==&gt;",VLOOKUP("Zvažte možnost optimalizace objednaného množství podle počtu VK na paletě ==&gt;",Jazyky_ceník!A:Q,MATCH($W$17,Jazyky_ceník!$A$1:$Q$1,0),FALSE)),VLOOKUP('General price list'!$C655,Popisy!A:M,MATCH($W$17,Popisy!$A$7:$M$7,0),FALSE)),"---------------")),IFERROR(VLOOKUP('General price list'!$C655,Popisy!A:M,MATCH($W$17,Popisy!$A$7:$M$7,0),FALSE),"---------------"))</f>
        <v>5 různobarevných efektu</v>
      </c>
      <c r="X655" s="569" t="str">
        <f t="shared" si="1944"/>
        <v/>
      </c>
      <c r="Y655" s="569" t="str">
        <f t="shared" si="1945"/>
        <v/>
      </c>
      <c r="Z655" s="569" t="str">
        <f>HYPERLINK("https://www.klasekpyrotechnics.cz/c503ra")</f>
        <v>https://www.klasekpyrotechnics.cz/c503ra</v>
      </c>
      <c r="AA655" s="569">
        <f>IFERROR(IF(VLOOKUP(C655,[4]List1!$A:$D,4,FALSE)=0,"",VLOOKUP(C655,[4]List1!$A:$D,4,FALSE)),"")</f>
        <v>36</v>
      </c>
      <c r="AB655" s="565"/>
      <c r="AC655" s="570" t="str">
        <f>IFERROR(IF(VLOOKUP(C655,[1]List1!$A:$D,2,FALSE)="VYPRODÁNO",$V$9,IF(VLOOKUP(C655,[1]List1!$A:$D,2,FALSE)="DOCHÁZÍ",$V$3,VLOOKUP(C655,[1]List1!$A:$D,2,FALSE))),"OFFLINE!")</f>
        <v>SKLADEM</v>
      </c>
      <c r="AD655" s="570" t="str">
        <f ca="1">IF(AP655="NE",$V$10,IF(AC655=$V$3,IF(AQ655&lt;1,$V$8,$V$2&amp;" "&amp;AQ655&amp;" "&amp;$V$1),IF(AC655="SKLADEM",$V$6,IFERROR(IF(OR(AC655-TODAY()&gt;45,VLOOKUP(C655,[1]List1!$A:$E,4,FALSE)=0),AC655,DAY(AC655)&amp;"."&amp;MONTH(AC655)&amp;"."&amp;YEAR(AC655)&amp;" "&amp;$V$4&amp;VLOOKUP(C655,[1]List1!$A:$E,4,FALSE)&amp;" "&amp;$V$1),AC655))))</f>
        <v>SKLADEM</v>
      </c>
      <c r="AE655" s="581" t="str">
        <f t="shared" ca="1" si="1946"/>
        <v>SKLADEM</v>
      </c>
      <c r="AF655" s="584">
        <f t="shared" si="1947"/>
        <v>0</v>
      </c>
      <c r="AG655" s="585">
        <f t="shared" si="1948"/>
        <v>0</v>
      </c>
      <c r="AH655" s="583">
        <f t="shared" si="1949"/>
        <v>0</v>
      </c>
      <c r="AI655" s="582">
        <f t="shared" si="1950"/>
        <v>0</v>
      </c>
      <c r="AJ655" s="569">
        <f t="shared" si="1951"/>
        <v>0</v>
      </c>
      <c r="AK655" s="569" t="str">
        <f t="shared" si="1952"/>
        <v/>
      </c>
      <c r="AL655" s="569">
        <f t="shared" si="1953"/>
        <v>0</v>
      </c>
      <c r="AM655" s="569" t="str">
        <f t="shared" si="1954"/>
        <v/>
      </c>
      <c r="AN655" s="581">
        <f t="shared" si="1955"/>
        <v>0</v>
      </c>
      <c r="AO655" s="623"/>
      <c r="AP655" s="632" t="str">
        <f t="shared" si="1794"/>
        <v/>
      </c>
      <c r="AQ655" s="633" t="str">
        <f>IF(AC655=$V$3,IF(VLOOKUP(C655,[1]List1!$A:$E,5,FALSE)=0,1,VLOOKUP(C655,[1]List1!$A:$E,5,FALSE)),"")</f>
        <v/>
      </c>
      <c r="AR655" s="625" t="str">
        <f t="shared" si="1795"/>
        <v/>
      </c>
      <c r="AS655" s="634" t="str">
        <f t="shared" si="1796"/>
        <v/>
      </c>
      <c r="AT655" s="625" t="str">
        <f t="shared" si="1797"/>
        <v/>
      </c>
      <c r="AU655" s="638" t="e">
        <f t="shared" si="1798"/>
        <v>#N/A</v>
      </c>
      <c r="AV655" s="625" t="e">
        <f t="shared" si="1799"/>
        <v>#N/A</v>
      </c>
      <c r="AX655" s="625">
        <f>IF(AND('General price list'!$J655="F4",'General price list'!$AB655+0&gt;0),1,0)</f>
        <v>0</v>
      </c>
      <c r="AY655" s="625">
        <f t="shared" si="1800"/>
        <v>1</v>
      </c>
      <c r="AZ655" s="625">
        <f t="shared" si="1801"/>
        <v>0</v>
      </c>
    </row>
    <row r="656" spans="1:52" ht="15.75" customHeight="1">
      <c r="A656" s="639" t="str">
        <f>Kat.!C656</f>
        <v/>
      </c>
      <c r="B656" s="640">
        <f>IF(AND('General price list'!$J656="F4",$AI$1=FALSE),0,IF(AC656="SKLADEM",1,IF(AC656=$V$3,1,0)))</f>
        <v>1</v>
      </c>
      <c r="C656" s="641" t="s">
        <v>1359</v>
      </c>
      <c r="D656" s="642" t="s">
        <v>1360</v>
      </c>
      <c r="E656" s="643" t="s">
        <v>12747</v>
      </c>
      <c r="F656" s="791">
        <f>IFERROR(VLOOKUP(C656,[2]List1!$A:$D,3,FALSE),"NEUVEDENO!")</f>
        <v>969</v>
      </c>
      <c r="G656" s="768">
        <f t="shared" si="1942"/>
        <v>969</v>
      </c>
      <c r="H656" s="765">
        <f t="shared" si="1943"/>
        <v>41.161703049534225</v>
      </c>
      <c r="I656" s="644">
        <f>IFERROR(VLOOKUP(C656,[2]List1!$A:$D,4,FALSE),"NEUVEDENO!")</f>
        <v>2</v>
      </c>
      <c r="J656" s="733" t="s">
        <v>113</v>
      </c>
      <c r="K656" s="645" t="s">
        <v>11100</v>
      </c>
      <c r="L656" s="645" t="s">
        <v>20</v>
      </c>
      <c r="M656" s="645" t="s">
        <v>114</v>
      </c>
      <c r="N656" s="645">
        <f>IFERROR(VLOOKUP(C656,[3]List1!$A:$D,4,FALSE),"N/A!")</f>
        <v>3.1307874999999999E-2</v>
      </c>
      <c r="O656" s="645">
        <f>IFERROR(VLOOKUP(C656,[3]List1!$A:$D,3,FALSE),"N/A!")</f>
        <v>1900</v>
      </c>
      <c r="P656" s="645">
        <f>IFERROR(VLOOKUP(C656,[3]List1!$A:$D,2,FALSE),"N/A!")</f>
        <v>12400</v>
      </c>
      <c r="Q656" s="645" t="s">
        <v>11319</v>
      </c>
      <c r="R656" s="645"/>
      <c r="S656" s="645" t="str">
        <f>IF($W$17=$AF$1,"červená fólie",IFERROR(VLOOKUP("červená fólie",Jazyky_ceník!$A:$Q,MATCH($W$17,Jazyky_ceník!$A$1:$Q$1,0),FALSE),"!!!"))</f>
        <v>červená fólie</v>
      </c>
      <c r="T656" s="645">
        <v>50</v>
      </c>
      <c r="U656" s="645">
        <v>40</v>
      </c>
      <c r="V656" s="645">
        <v>30</v>
      </c>
      <c r="W656" s="645" t="str">
        <f>IFERROR(IF(AND($AB656&gt;=0.1*$AA656,MOD($AB656,$AA656)&gt;=($AA656-(0.1*$AA656))),IF($W$17=$AF$1,"Zvažte možnost doobjednání ještě "&amp;Tabulka1[[#This Row],[VKPAL]]-MOD(AB656,AA656)&amp;" VK do plné palety.",VLOOKUP("Zvažte možnost doobjednání ještě ",Jazyky_ceník!A:Q,MATCH($W$17,Jazyky_ceník!$A$1:$Q$1,0),FALSE)&amp;Tabulka1[[#This Row],[VKPAL]]-MOD(AB656,AA656)&amp;VLOOKUP(" VK do plné palety.",Jazyky_ceník!A:Q,MATCH($W$17,Jazyky_ceník!$A$1:$Q$1,0),FALSE)),IFERROR(IF(AND(NOT(MOD($AB656,$AA656)=0),$AB656&gt;=0.9*$AA656,MOD($AB656,$AA656)&lt;=0.1*$AA656),IF($W$17=$AF$1,"Zvažte možnost optimalizace objednaného množství podle počtu VK na paletě ==&gt;",VLOOKUP("Zvažte možnost optimalizace objednaného množství podle počtu VK na paletě ==&gt;",Jazyky_ceník!A:Q,MATCH($W$17,Jazyky_ceník!$A$1:$Q$1,0),FALSE)),VLOOKUP('General price list'!$C656,Popisy!A:M,MATCH($W$17,Popisy!$A$7:$M$7,0),FALSE)),"---------------")),IFERROR(VLOOKUP('General price list'!$C656,Popisy!A:M,MATCH($W$17,Popisy!$A$7:$M$7,0),FALSE),"---------------"))</f>
        <v>5 různobarevných efektu</v>
      </c>
      <c r="X656" s="645" t="str">
        <f t="shared" si="1944"/>
        <v/>
      </c>
      <c r="Y656" s="645" t="str">
        <f t="shared" si="1945"/>
        <v/>
      </c>
      <c r="Z656" s="645" t="str">
        <f>HYPERLINK("https://www.klasekpyrotechnics.cz/c503ro")</f>
        <v>https://www.klasekpyrotechnics.cz/c503ro</v>
      </c>
      <c r="AA656" s="645">
        <f>IFERROR(IF(VLOOKUP(C656,[4]List1!$A:$D,4,FALSE)=0,"",VLOOKUP(C656,[4]List1!$A:$D,4,FALSE)),"")</f>
        <v>36</v>
      </c>
      <c r="AB656" s="646"/>
      <c r="AC656" s="647" t="str">
        <f>IFERROR(IF(VLOOKUP(C656,[1]List1!$A:$D,2,FALSE)="VYPRODÁNO",$V$9,IF(VLOOKUP(C656,[1]List1!$A:$D,2,FALSE)="DOCHÁZÍ",$V$3,VLOOKUP(C656,[1]List1!$A:$D,2,FALSE))),"OFFLINE!")</f>
        <v>SKLADEM</v>
      </c>
      <c r="AD656" s="647" t="str">
        <f ca="1">IF(AP656="NE",$V$10,IF(AC656=$V$3,IF(AQ656&lt;1,$V$8,$V$2&amp;" "&amp;AQ656&amp;" "&amp;$V$1),IF(AC656="SKLADEM",$V$6,IFERROR(IF(OR(AC656-TODAY()&gt;45,VLOOKUP(C656,[1]List1!$A:$E,4,FALSE)=0),AC656,DAY(AC656)&amp;"."&amp;MONTH(AC656)&amp;"."&amp;YEAR(AC656)&amp;" "&amp;$V$4&amp;VLOOKUP(C656,[1]List1!$A:$E,4,FALSE)&amp;" "&amp;$V$1),AC656))))</f>
        <v>SKLADEM</v>
      </c>
      <c r="AE656" s="645" t="str">
        <f t="shared" ca="1" si="1946"/>
        <v>SKLADEM</v>
      </c>
      <c r="AF656" s="648">
        <f t="shared" si="1947"/>
        <v>0</v>
      </c>
      <c r="AG656" s="649">
        <f t="shared" si="1948"/>
        <v>0</v>
      </c>
      <c r="AH656" s="650">
        <f t="shared" si="1949"/>
        <v>0</v>
      </c>
      <c r="AI656" s="645">
        <f t="shared" si="1950"/>
        <v>0</v>
      </c>
      <c r="AJ656" s="645">
        <f t="shared" si="1951"/>
        <v>0</v>
      </c>
      <c r="AK656" s="645" t="str">
        <f t="shared" si="1952"/>
        <v/>
      </c>
      <c r="AL656" s="645">
        <f t="shared" si="1953"/>
        <v>0</v>
      </c>
      <c r="AM656" s="645" t="str">
        <f t="shared" si="1954"/>
        <v/>
      </c>
      <c r="AN656" s="651">
        <f t="shared" si="1955"/>
        <v>0</v>
      </c>
      <c r="AO656" s="623"/>
      <c r="AP656" s="625" t="str">
        <f t="shared" si="1794"/>
        <v/>
      </c>
      <c r="AQ656" s="625" t="str">
        <f>IF(AC656=$V$3,IF(VLOOKUP(C656,[1]List1!$A:$E,5,FALSE)=0,1,VLOOKUP(C656,[1]List1!$A:$E,5,FALSE)),"")</f>
        <v/>
      </c>
      <c r="AR656" s="629" t="str">
        <f t="shared" si="1795"/>
        <v/>
      </c>
      <c r="AS656" s="630" t="str">
        <f t="shared" si="1796"/>
        <v/>
      </c>
      <c r="AT656" s="625" t="str">
        <f t="shared" si="1797"/>
        <v/>
      </c>
      <c r="AU656" s="625" t="e">
        <f t="shared" si="1798"/>
        <v>#N/A</v>
      </c>
      <c r="AV656" s="625" t="e">
        <f t="shared" si="1799"/>
        <v>#N/A</v>
      </c>
      <c r="AW656" s="631"/>
      <c r="AX656" s="631">
        <f>IF(AND('General price list'!$J656="F4",'General price list'!$AB656+0&gt;0),1,0)</f>
        <v>0</v>
      </c>
      <c r="AY656" s="631">
        <f t="shared" si="1800"/>
        <v>1</v>
      </c>
      <c r="AZ656" s="631">
        <f t="shared" si="1801"/>
        <v>0</v>
      </c>
    </row>
    <row r="657" spans="1:52" ht="15" customHeight="1">
      <c r="A657" s="621" t="str">
        <f>Kat.!C657</f>
        <v/>
      </c>
      <c r="B657" s="566">
        <f>IF(AND('General price list'!$J657="F4",$AI$1=FALSE),0,IF(AC657="SKLADEM",1,IF(AC657=$V$3,1,0)))</f>
        <v>1</v>
      </c>
      <c r="C657" s="567" t="s">
        <v>1362</v>
      </c>
      <c r="D657" s="568" t="s">
        <v>12557</v>
      </c>
      <c r="E657" s="763" t="s">
        <v>12747</v>
      </c>
      <c r="F657" s="791">
        <f>IFERROR(VLOOKUP(C657,[2]List1!$A:$D,3,FALSE),"NEUVEDENO!")</f>
        <v>969</v>
      </c>
      <c r="G657" s="769">
        <f t="shared" si="1942"/>
        <v>969</v>
      </c>
      <c r="H657" s="766">
        <f t="shared" si="1943"/>
        <v>41.161703049534225</v>
      </c>
      <c r="I657" s="764">
        <f>IFERROR(VLOOKUP(C657,[2]List1!$A:$D,4,FALSE),"NEUVEDENO!")</f>
        <v>2</v>
      </c>
      <c r="J657" s="732" t="s">
        <v>113</v>
      </c>
      <c r="K657" s="569" t="s">
        <v>11100</v>
      </c>
      <c r="L657" s="569" t="s">
        <v>10993</v>
      </c>
      <c r="M657" s="569" t="s">
        <v>114</v>
      </c>
      <c r="N657" s="569">
        <f>IFERROR(VLOOKUP(C657,[3]List1!$A:$D,4,FALSE),"N/A!")</f>
        <v>3.1307874999999999E-2</v>
      </c>
      <c r="O657" s="569">
        <f>IFERROR(VLOOKUP(C657,[3]List1!$A:$D,3,FALSE),"N/A!")</f>
        <v>1900</v>
      </c>
      <c r="P657" s="569">
        <f>IFERROR(VLOOKUP(C657,[3]List1!$A:$D,2,FALSE),"N/A!")</f>
        <v>12500</v>
      </c>
      <c r="Q657" s="569" t="s">
        <v>11319</v>
      </c>
      <c r="R657" s="569"/>
      <c r="S657" s="569" t="str">
        <f>IF($W$17=$AF$1,"design",IFERROR(VLOOKUP("design",Jazyky_ceník!$A:$Q,MATCH($W$17,Jazyky_ceník!$A$1:$Q$1,0),FALSE),"!!!"))</f>
        <v>design</v>
      </c>
      <c r="T657" s="569">
        <v>50</v>
      </c>
      <c r="U657" s="569">
        <v>40</v>
      </c>
      <c r="V657" s="569">
        <v>30</v>
      </c>
      <c r="W657" s="569" t="str">
        <f>IFERROR(IF(AND($AB657&gt;=0.1*$AA657,MOD($AB657,$AA657)&gt;=($AA657-(0.1*$AA657))),IF($W$17=$AF$1,"Zvažte možnost doobjednání ještě "&amp;Tabulka1[[#This Row],[VKPAL]]-MOD(AB657,AA657)&amp;" VK do plné palety.",VLOOKUP("Zvažte možnost doobjednání ještě ",Jazyky_ceník!A:Q,MATCH($W$17,Jazyky_ceník!$A$1:$Q$1,0),FALSE)&amp;Tabulka1[[#This Row],[VKPAL]]-MOD(AB657,AA657)&amp;VLOOKUP(" VK do plné palety.",Jazyky_ceník!A:Q,MATCH($W$17,Jazyky_ceník!$A$1:$Q$1,0),FALSE)),IFERROR(IF(AND(NOT(MOD($AB657,$AA657)=0),$AB657&gt;=0.9*$AA657,MOD($AB657,$AA657)&lt;=0.1*$AA657),IF($W$17=$AF$1,"Zvažte možnost optimalizace objednaného množství podle počtu VK na paletě ==&gt;",VLOOKUP("Zvažte možnost optimalizace objednaného množství podle počtu VK na paletě ==&gt;",Jazyky_ceník!A:Q,MATCH($W$17,Jazyky_ceník!$A$1:$Q$1,0),FALSE)),VLOOKUP('General price list'!$C657,Popisy!A:M,MATCH($W$17,Popisy!$A$7:$M$7,0),FALSE)),"---------------")),IFERROR(VLOOKUP('General price list'!$C657,Popisy!A:M,MATCH($W$17,Popisy!$A$7:$M$7,0),FALSE),"---------------"))</f>
        <v>5 různobarevných efektu</v>
      </c>
      <c r="X657" s="569" t="str">
        <f t="shared" si="1944"/>
        <v/>
      </c>
      <c r="Y657" s="569" t="str">
        <f t="shared" si="1945"/>
        <v/>
      </c>
      <c r="Z657" s="569" t="str">
        <f>HYPERLINK("https://www.klasekpyrotechnics.cz/c503bi")</f>
        <v>https://www.klasekpyrotechnics.cz/c503bi</v>
      </c>
      <c r="AA657" s="569">
        <f>IFERROR(IF(VLOOKUP(C657,[4]List1!$A:$D,4,FALSE)=0,"",VLOOKUP(C657,[4]List1!$A:$D,4,FALSE)),"")</f>
        <v>36</v>
      </c>
      <c r="AB657" s="565"/>
      <c r="AC657" s="570" t="str">
        <f>IFERROR(IF(VLOOKUP(C657,[1]List1!$A:$D,2,FALSE)="VYPRODÁNO",$V$9,IF(VLOOKUP(C657,[1]List1!$A:$D,2,FALSE)="DOCHÁZÍ",$V$3,VLOOKUP(C657,[1]List1!$A:$D,2,FALSE))),"OFFLINE!")</f>
        <v>SKLADEM</v>
      </c>
      <c r="AD657" s="570" t="str">
        <f ca="1">IF(AP657="NE",$V$10,IF(AC657=$V$3,IF(AQ657&lt;1,$V$8,$V$2&amp;" "&amp;AQ657&amp;" "&amp;$V$1),IF(AC657="SKLADEM",$V$6,IFERROR(IF(OR(AC657-TODAY()&gt;45,VLOOKUP(C657,[1]List1!$A:$E,4,FALSE)=0),AC657,DAY(AC657)&amp;"."&amp;MONTH(AC657)&amp;"."&amp;YEAR(AC657)&amp;" "&amp;$V$4&amp;VLOOKUP(C657,[1]List1!$A:$E,4,FALSE)&amp;" "&amp;$V$1),AC657))))</f>
        <v>SKLADEM</v>
      </c>
      <c r="AE657" s="581" t="str">
        <f t="shared" ca="1" si="1946"/>
        <v>SKLADEM</v>
      </c>
      <c r="AF657" s="584">
        <f t="shared" si="1947"/>
        <v>0</v>
      </c>
      <c r="AG657" s="585">
        <f t="shared" si="1948"/>
        <v>0</v>
      </c>
      <c r="AH657" s="583">
        <f t="shared" si="1949"/>
        <v>0</v>
      </c>
      <c r="AI657" s="582">
        <f t="shared" si="1950"/>
        <v>0</v>
      </c>
      <c r="AJ657" s="569">
        <f t="shared" si="1951"/>
        <v>0</v>
      </c>
      <c r="AK657" s="569" t="str">
        <f t="shared" si="1952"/>
        <v/>
      </c>
      <c r="AL657" s="569">
        <f t="shared" si="1953"/>
        <v>0</v>
      </c>
      <c r="AM657" s="569" t="str">
        <f t="shared" si="1954"/>
        <v/>
      </c>
      <c r="AN657" s="581">
        <f t="shared" si="1955"/>
        <v>0</v>
      </c>
      <c r="AO657" s="623"/>
      <c r="AP657" s="632" t="str">
        <f t="shared" si="1794"/>
        <v/>
      </c>
      <c r="AQ657" s="633" t="str">
        <f>IF(AC657=$V$3,IF(VLOOKUP(C657,[1]List1!$A:$E,5,FALSE)=0,1,VLOOKUP(C657,[1]List1!$A:$E,5,FALSE)),"")</f>
        <v/>
      </c>
      <c r="AR657" s="625" t="str">
        <f t="shared" si="1795"/>
        <v/>
      </c>
      <c r="AS657" s="634" t="str">
        <f t="shared" si="1796"/>
        <v/>
      </c>
      <c r="AT657" s="625" t="str">
        <f t="shared" si="1797"/>
        <v/>
      </c>
      <c r="AU657" s="638" t="e">
        <f t="shared" si="1798"/>
        <v>#N/A</v>
      </c>
      <c r="AV657" s="625" t="e">
        <f t="shared" si="1799"/>
        <v>#N/A</v>
      </c>
      <c r="AX657" s="625">
        <f>IF(AND('General price list'!$J657="F4",'General price list'!$AB657+0&gt;0),1,0)</f>
        <v>0</v>
      </c>
      <c r="AY657" s="625">
        <f t="shared" si="1800"/>
        <v>1</v>
      </c>
      <c r="AZ657" s="625">
        <f t="shared" si="1801"/>
        <v>0</v>
      </c>
    </row>
    <row r="658" spans="1:52" ht="15.75" customHeight="1">
      <c r="A658" s="751" t="str">
        <f>Kat.!C658</f>
        <v xml:space="preserve">           Baterie 64 ran, 30 mm moždíř – 1.3G</v>
      </c>
      <c r="B658" s="751"/>
      <c r="C658" s="751"/>
      <c r="D658" s="751"/>
      <c r="E658" s="751"/>
      <c r="F658" s="751"/>
      <c r="G658" s="751"/>
      <c r="H658" s="751"/>
      <c r="I658" s="752"/>
      <c r="J658" s="752"/>
      <c r="K658" s="752" t="s">
        <v>20</v>
      </c>
      <c r="L658" s="753" t="s">
        <v>2818</v>
      </c>
      <c r="M658" s="752"/>
      <c r="N658" s="752"/>
      <c r="O658" s="752"/>
      <c r="P658" s="752"/>
      <c r="Q658" s="752"/>
      <c r="R658" s="752"/>
      <c r="S658" s="752"/>
      <c r="T658" s="752"/>
      <c r="U658" s="752"/>
      <c r="V658" s="752"/>
      <c r="W658" s="752"/>
      <c r="X658" s="752"/>
      <c r="Y658" s="752"/>
      <c r="Z658" s="752" t="s">
        <v>20</v>
      </c>
      <c r="AA658" s="752"/>
      <c r="AB658" s="752"/>
      <c r="AC658" s="754"/>
      <c r="AD658" s="752"/>
      <c r="AE658" s="752"/>
      <c r="AF658" s="752"/>
      <c r="AG658" s="752"/>
      <c r="AH658" s="752"/>
      <c r="AI658" s="752"/>
      <c r="AJ658" s="752"/>
      <c r="AK658" s="752"/>
      <c r="AL658" s="752"/>
      <c r="AM658" s="752"/>
      <c r="AN658" s="752"/>
      <c r="AO658" s="623"/>
      <c r="AP658" s="625" t="str">
        <f t="shared" si="1794"/>
        <v/>
      </c>
      <c r="AQ658" s="625" t="str">
        <f>IF(AC658=$V$3,IF(VLOOKUP(C658,[1]List1!$A:$E,5,FALSE)=0,1,VLOOKUP(C658,[1]List1!$A:$E,5,FALSE)),"")</f>
        <v/>
      </c>
      <c r="AR658" s="629" t="str">
        <f t="shared" si="1795"/>
        <v/>
      </c>
      <c r="AS658" s="630" t="str">
        <f t="shared" si="1796"/>
        <v/>
      </c>
      <c r="AT658" s="625" t="str">
        <f t="shared" si="1797"/>
        <v/>
      </c>
      <c r="AU658" s="625" t="e">
        <f t="shared" si="1798"/>
        <v>#N/A</v>
      </c>
      <c r="AV658" s="625" t="e">
        <f t="shared" si="1799"/>
        <v>#N/A</v>
      </c>
      <c r="AW658" s="631"/>
      <c r="AX658" s="631">
        <f>IF(AND('General price list'!$J658="F4",'General price list'!$AB658+0&gt;0),1,0)</f>
        <v>0</v>
      </c>
      <c r="AY658" s="631">
        <f t="shared" si="1800"/>
        <v>0</v>
      </c>
      <c r="AZ658" s="631">
        <f t="shared" si="1801"/>
        <v>0</v>
      </c>
    </row>
    <row r="659" spans="1:52" ht="15" customHeight="1">
      <c r="A659" s="639" t="str">
        <f>Kat.!C659</f>
        <v/>
      </c>
      <c r="B659" s="640">
        <f>IF(AND('General price list'!$J659="F4",$AI$1=FALSE),0,IF(AC659="SKLADEM",1,IF(AC659=$V$3,1,0)))</f>
        <v>1</v>
      </c>
      <c r="C659" s="641" t="s">
        <v>1365</v>
      </c>
      <c r="D659" s="642" t="s">
        <v>617</v>
      </c>
      <c r="E659" s="643" t="s">
        <v>12747</v>
      </c>
      <c r="F659" s="791">
        <f>IFERROR(VLOOKUP(C659,[2]List1!$A:$D,3,FALSE),"NEUVEDENO!")</f>
        <v>1379</v>
      </c>
      <c r="G659" s="768">
        <f t="shared" ref="G659:G660" si="1956">IF($W$17=$AF$8,ROUND((F659)/$F$17,2),(F659)*$B$19)</f>
        <v>1379</v>
      </c>
      <c r="H659" s="765">
        <f t="shared" ref="H659:H660" si="1957">IF($W$17=$AF$8,G659*$B$19,G659/$F$17)</f>
        <v>58.577903514249428</v>
      </c>
      <c r="I659" s="644">
        <f>IFERROR(VLOOKUP(C659,[2]List1!$A:$D,4,FALSE),"NEUVEDENO!")</f>
        <v>2</v>
      </c>
      <c r="J659" s="733" t="s">
        <v>113</v>
      </c>
      <c r="K659" s="645" t="s">
        <v>11100</v>
      </c>
      <c r="L659" s="645" t="s">
        <v>10993</v>
      </c>
      <c r="M659" s="645" t="s">
        <v>114</v>
      </c>
      <c r="N659" s="645">
        <f>IFERROR(VLOOKUP(C659,[3]List1!$A:$D,4,FALSE),"N/A!")</f>
        <v>4.4835E-2</v>
      </c>
      <c r="O659" s="645">
        <f>IFERROR(VLOOKUP(C659,[3]List1!$A:$D,3,FALSE),"N/A!")</f>
        <v>1996</v>
      </c>
      <c r="P659" s="645">
        <f>IFERROR(VLOOKUP(C659,[3]List1!$A:$D,2,FALSE),"N/A!")</f>
        <v>17500</v>
      </c>
      <c r="Q659" s="645" t="s">
        <v>11788</v>
      </c>
      <c r="R659" s="645"/>
      <c r="S659" s="645" t="str">
        <f>IF($W$17=$AF$1,"design",IFERROR(VLOOKUP("design",Jazyky_ceník!$A:$Q,MATCH($W$17,Jazyky_ceník!$A$1:$Q$1,0),FALSE),"!!!"))</f>
        <v>design</v>
      </c>
      <c r="T659" s="645">
        <v>75</v>
      </c>
      <c r="U659" s="645">
        <v>40</v>
      </c>
      <c r="V659" s="645">
        <v>30</v>
      </c>
      <c r="W659" s="645" t="str">
        <f>IFERROR(IF(AND($AB659&gt;=0.1*$AA659,MOD($AB659,$AA659)&gt;=($AA659-(0.1*$AA659))),IF($W$17=$AF$1,"Zvažte možnost doobjednání ještě "&amp;Tabulka1[[#This Row],[VKPAL]]-MOD(AB659,AA659)&amp;" VK do plné palety.",VLOOKUP("Zvažte možnost doobjednání ještě ",Jazyky_ceník!A:Q,MATCH($W$17,Jazyky_ceník!$A$1:$Q$1,0),FALSE)&amp;Tabulka1[[#This Row],[VKPAL]]-MOD(AB659,AA659)&amp;VLOOKUP(" VK do plné palety.",Jazyky_ceník!A:Q,MATCH($W$17,Jazyky_ceník!$A$1:$Q$1,0),FALSE)),IFERROR(IF(AND(NOT(MOD($AB659,$AA659)=0),$AB659&gt;=0.9*$AA659,MOD($AB659,$AA659)&lt;=0.1*$AA659),IF($W$17=$AF$1,"Zvažte možnost optimalizace objednaného množství podle počtu VK na paletě ==&gt;",VLOOKUP("Zvažte možnost optimalizace objednaného množství podle počtu VK na paletě ==&gt;",Jazyky_ceník!A:Q,MATCH($W$17,Jazyky_ceník!$A$1:$Q$1,0),FALSE)),VLOOKUP('General price list'!$C659,Popisy!A:M,MATCH($W$17,Popisy!$A$7:$M$7,0),FALSE)),"---------------")),IFERROR(VLOOKUP('General price list'!$C659,Popisy!A:M,MATCH($W$17,Popisy!$A$7:$M$7,0),FALSE),"---------------"))</f>
        <v>8 různobarevných efektů</v>
      </c>
      <c r="X659" s="645" t="str">
        <f t="shared" ref="X659:X660" si="1958">IF(AB659&lt;0.0001,"",AB659)</f>
        <v/>
      </c>
      <c r="Y659" s="645" t="str">
        <f t="shared" ref="Y659:Y660" si="1959">IF($AL$3=2,IF(OR(AB659&lt;&gt;"",AB659&lt;&gt;0),AU659,""),IF(C659="","",IF(AB659&lt;0.0001,"",IF(B659=0,"",IF(AQ659&lt;AB659,"",AB659)))))</f>
        <v/>
      </c>
      <c r="Z659" s="645" t="str">
        <f>HYPERLINK("https://www.klasekpyrotechnics.cz/c643bi")</f>
        <v>https://www.klasekpyrotechnics.cz/c643bi</v>
      </c>
      <c r="AA659" s="645">
        <f>IFERROR(IF(VLOOKUP(C659,[4]List1!$A:$D,4,FALSE)=0,"",VLOOKUP(C659,[4]List1!$A:$D,4,FALSE)),"")</f>
        <v>24</v>
      </c>
      <c r="AB659" s="646"/>
      <c r="AC659" s="647" t="str">
        <f>IFERROR(IF(VLOOKUP(C659,[1]List1!$A:$D,2,FALSE)="VYPRODÁNO",$V$9,IF(VLOOKUP(C659,[1]List1!$A:$D,2,FALSE)="DOCHÁZÍ",$V$3,VLOOKUP(C659,[1]List1!$A:$D,2,FALSE))),"OFFLINE!")</f>
        <v>SKLADEM</v>
      </c>
      <c r="AD659" s="647" t="str">
        <f ca="1">IF(AP659="NE",$V$10,IF(AC659=$V$3,IF(AQ659&lt;1,$V$8,$V$2&amp;" "&amp;AQ659&amp;" "&amp;$V$1),IF(AC659="SKLADEM",$V$6,IFERROR(IF(OR(AC659-TODAY()&gt;45,VLOOKUP(C659,[1]List1!$A:$E,4,FALSE)=0),AC659,DAY(AC659)&amp;"."&amp;MONTH(AC659)&amp;"."&amp;YEAR(AC659)&amp;" "&amp;$V$4&amp;VLOOKUP(C659,[1]List1!$A:$E,4,FALSE)&amp;" "&amp;$V$1),AC659))))</f>
        <v>SKLADEM</v>
      </c>
      <c r="AE659" s="645" t="str">
        <f t="shared" ref="AE659:AE660" ca="1" si="1960">IFERROR(IF(AV659&lt;&gt;"",AV659,AD659),AD659)</f>
        <v>SKLADEM</v>
      </c>
      <c r="AF659" s="648">
        <f t="shared" ref="AF659:AF660" si="1961">IFERROR(IF(AB659=Y659,G659*I659*Y659,0),0)</f>
        <v>0</v>
      </c>
      <c r="AG659" s="649">
        <f t="shared" ref="AG659:AG660" si="1962">IF($W$17=$AF$8,AH659*1.23,AF659*1.21)</f>
        <v>0</v>
      </c>
      <c r="AH659" s="650">
        <f t="shared" ref="AH659:AH660" si="1963">IFERROR(IF(Y659=AB659,H659*I659*Y659,0),0)</f>
        <v>0</v>
      </c>
      <c r="AI659" s="645">
        <f t="shared" ref="AI659:AI660" si="1964">IFERROR(IF(Y659=AB659,(P659*Y659)/1000,1),0)</f>
        <v>0</v>
      </c>
      <c r="AJ659" s="645">
        <f t="shared" ref="AJ659:AJ660" si="1965">IFERROR(IF(Y659=AB659,N659*Y659,0.1),0)</f>
        <v>0</v>
      </c>
      <c r="AK659" s="645" t="str">
        <f t="shared" ref="AK659:AK660" si="1966">IFERROR(IF(Y659=AB659,IF(M659="1.1G",(O659/1000)*Y659,""),""),0)</f>
        <v/>
      </c>
      <c r="AL659" s="645">
        <f t="shared" ref="AL659:AL660" si="1967">IFERROR(IF(Y659=AB659,IF(M659="1.3G",(O659/1000)*AB659,""),""),0)</f>
        <v>0</v>
      </c>
      <c r="AM659" s="645" t="str">
        <f t="shared" ref="AM659:AM660" si="1968">IFERROR(IF(Y659=AB659,IF(M659="1.4G",(O659/1000)*AB659,""),""),0)</f>
        <v/>
      </c>
      <c r="AN659" s="651">
        <f t="shared" ref="AN659:AN660" si="1969">SUM(AK659:AM659)</f>
        <v>0</v>
      </c>
      <c r="AO659" s="623"/>
      <c r="AP659" s="632" t="str">
        <f t="shared" si="1794"/>
        <v/>
      </c>
      <c r="AQ659" s="633" t="str">
        <f>IF(AC659=$V$3,IF(VLOOKUP(C659,[1]List1!$A:$E,5,FALSE)=0,1,VLOOKUP(C659,[1]List1!$A:$E,5,FALSE)),"")</f>
        <v/>
      </c>
      <c r="AR659" s="625" t="str">
        <f t="shared" si="1795"/>
        <v/>
      </c>
      <c r="AS659" s="634" t="str">
        <f t="shared" si="1796"/>
        <v/>
      </c>
      <c r="AT659" s="625" t="str">
        <f t="shared" si="1797"/>
        <v/>
      </c>
      <c r="AU659" s="638" t="e">
        <f t="shared" si="1798"/>
        <v>#N/A</v>
      </c>
      <c r="AV659" s="625" t="e">
        <f t="shared" si="1799"/>
        <v>#N/A</v>
      </c>
      <c r="AX659" s="625">
        <f>IF(AND('General price list'!$J659="F4",'General price list'!$AB659+0&gt;0),1,0)</f>
        <v>0</v>
      </c>
      <c r="AY659" s="625">
        <f t="shared" si="1800"/>
        <v>1</v>
      </c>
      <c r="AZ659" s="625">
        <f t="shared" si="1801"/>
        <v>0</v>
      </c>
    </row>
    <row r="660" spans="1:52" ht="15.75" customHeight="1">
      <c r="A660" s="621" t="str">
        <f>Kat.!C660</f>
        <v/>
      </c>
      <c r="B660" s="566">
        <f>IF(AND('General price list'!$J660="F4",$AI$1=FALSE),0,IF(AC660="SKLADEM",1,IF(AC660=$V$3,1,0)))</f>
        <v>1</v>
      </c>
      <c r="C660" s="567" t="s">
        <v>1370</v>
      </c>
      <c r="D660" s="568" t="s">
        <v>1366</v>
      </c>
      <c r="E660" s="763" t="s">
        <v>12747</v>
      </c>
      <c r="F660" s="791">
        <f>IFERROR(VLOOKUP(C660,[2]List1!$A:$D,3,FALSE),"NEUVEDENO!")</f>
        <v>1379</v>
      </c>
      <c r="G660" s="769">
        <f t="shared" si="1956"/>
        <v>1379</v>
      </c>
      <c r="H660" s="766">
        <f t="shared" si="1957"/>
        <v>58.577903514249428</v>
      </c>
      <c r="I660" s="764">
        <f>IFERROR(VLOOKUP(C660,[2]List1!$A:$D,4,FALSE),"NEUVEDENO!")</f>
        <v>2</v>
      </c>
      <c r="J660" s="732" t="s">
        <v>113</v>
      </c>
      <c r="K660" s="569" t="s">
        <v>11100</v>
      </c>
      <c r="L660" s="569" t="s">
        <v>10993</v>
      </c>
      <c r="M660" s="569" t="s">
        <v>114</v>
      </c>
      <c r="N660" s="569">
        <f>IFERROR(VLOOKUP(C660,[3]List1!$A:$D,4,FALSE),"N/A!")</f>
        <v>4.4835E-2</v>
      </c>
      <c r="O660" s="569">
        <f>IFERROR(VLOOKUP(C660,[3]List1!$A:$D,3,FALSE),"N/A!")</f>
        <v>1996</v>
      </c>
      <c r="P660" s="569">
        <f>IFERROR(VLOOKUP(C660,[3]List1!$A:$D,2,FALSE),"N/A!")</f>
        <v>17500</v>
      </c>
      <c r="Q660" s="569" t="s">
        <v>11788</v>
      </c>
      <c r="R660" s="569"/>
      <c r="S660" s="569" t="str">
        <f>IF($W$17=$AF$1,"červená fólie",IFERROR(VLOOKUP("červená fólie",Jazyky_ceník!$A:$Q,MATCH($W$17,Jazyky_ceník!$A$1:$Q$1,0),FALSE),"!!!"))</f>
        <v>červená fólie</v>
      </c>
      <c r="T660" s="569">
        <v>75</v>
      </c>
      <c r="U660" s="569">
        <v>40</v>
      </c>
      <c r="V660" s="569">
        <v>30</v>
      </c>
      <c r="W660" s="569" t="str">
        <f>IFERROR(IF(AND($AB660&gt;=0.1*$AA660,MOD($AB660,$AA660)&gt;=($AA660-(0.1*$AA660))),IF($W$17=$AF$1,"Zvažte možnost doobjednání ještě "&amp;Tabulka1[[#This Row],[VKPAL]]-MOD(AB660,AA660)&amp;" VK do plné palety.",VLOOKUP("Zvažte možnost doobjednání ještě ",Jazyky_ceník!A:Q,MATCH($W$17,Jazyky_ceník!$A$1:$Q$1,0),FALSE)&amp;Tabulka1[[#This Row],[VKPAL]]-MOD(AB660,AA660)&amp;VLOOKUP(" VK do plné palety.",Jazyky_ceník!A:Q,MATCH($W$17,Jazyky_ceník!$A$1:$Q$1,0),FALSE)),IFERROR(IF(AND(NOT(MOD($AB660,$AA660)=0),$AB660&gt;=0.9*$AA660,MOD($AB660,$AA660)&lt;=0.1*$AA660),IF($W$17=$AF$1,"Zvažte možnost optimalizace objednaného množství podle počtu VK na paletě ==&gt;",VLOOKUP("Zvažte možnost optimalizace objednaného množství podle počtu VK na paletě ==&gt;",Jazyky_ceník!A:Q,MATCH($W$17,Jazyky_ceník!$A$1:$Q$1,0),FALSE)),VLOOKUP('General price list'!$C660,Popisy!A:M,MATCH($W$17,Popisy!$A$7:$M$7,0),FALSE)),"---------------")),IFERROR(VLOOKUP('General price list'!$C660,Popisy!A:M,MATCH($W$17,Popisy!$A$7:$M$7,0),FALSE),"---------------"))</f>
        <v>8 různobarevných efektů</v>
      </c>
      <c r="X660" s="569" t="str">
        <f t="shared" si="1958"/>
        <v/>
      </c>
      <c r="Y660" s="569" t="str">
        <f t="shared" si="1959"/>
        <v/>
      </c>
      <c r="Z660" s="569" t="str">
        <f>HYPERLINK("https://www.klasekpyrotechnics.cz/c643h")</f>
        <v>https://www.klasekpyrotechnics.cz/c643h</v>
      </c>
      <c r="AA660" s="569">
        <f>IFERROR(IF(VLOOKUP(C660,[4]List1!$A:$D,4,FALSE)=0,"",VLOOKUP(C660,[4]List1!$A:$D,4,FALSE)),"")</f>
        <v>24</v>
      </c>
      <c r="AB660" s="565"/>
      <c r="AC660" s="570" t="str">
        <f>IFERROR(IF(VLOOKUP(C660,[1]List1!$A:$D,2,FALSE)="VYPRODÁNO",$V$9,IF(VLOOKUP(C660,[1]List1!$A:$D,2,FALSE)="DOCHÁZÍ",$V$3,VLOOKUP(C660,[1]List1!$A:$D,2,FALSE))),"OFFLINE!")</f>
        <v>SKLADEM</v>
      </c>
      <c r="AD660" s="570" t="str">
        <f ca="1">IF(AP660="NE",$V$10,IF(AC660=$V$3,IF(AQ660&lt;1,$V$8,$V$2&amp;" "&amp;AQ660&amp;" "&amp;$V$1),IF(AC660="SKLADEM",$V$6,IFERROR(IF(OR(AC660-TODAY()&gt;45,VLOOKUP(C660,[1]List1!$A:$E,4,FALSE)=0),AC660,DAY(AC660)&amp;"."&amp;MONTH(AC660)&amp;"."&amp;YEAR(AC660)&amp;" "&amp;$V$4&amp;VLOOKUP(C660,[1]List1!$A:$E,4,FALSE)&amp;" "&amp;$V$1),AC660))))</f>
        <v>SKLADEM</v>
      </c>
      <c r="AE660" s="581" t="str">
        <f t="shared" ca="1" si="1960"/>
        <v>SKLADEM</v>
      </c>
      <c r="AF660" s="584">
        <f t="shared" si="1961"/>
        <v>0</v>
      </c>
      <c r="AG660" s="585">
        <f t="shared" si="1962"/>
        <v>0</v>
      </c>
      <c r="AH660" s="583">
        <f t="shared" si="1963"/>
        <v>0</v>
      </c>
      <c r="AI660" s="582">
        <f t="shared" si="1964"/>
        <v>0</v>
      </c>
      <c r="AJ660" s="569">
        <f t="shared" si="1965"/>
        <v>0</v>
      </c>
      <c r="AK660" s="569" t="str">
        <f t="shared" si="1966"/>
        <v/>
      </c>
      <c r="AL660" s="569">
        <f t="shared" si="1967"/>
        <v>0</v>
      </c>
      <c r="AM660" s="569" t="str">
        <f t="shared" si="1968"/>
        <v/>
      </c>
      <c r="AN660" s="581">
        <f t="shared" si="1969"/>
        <v>0</v>
      </c>
      <c r="AO660" s="623"/>
      <c r="AP660" s="625" t="str">
        <f t="shared" si="1794"/>
        <v/>
      </c>
      <c r="AQ660" s="625" t="str">
        <f>IF(AC660=$V$3,IF(VLOOKUP(C660,[1]List1!$A:$E,5,FALSE)=0,1,VLOOKUP(C660,[1]List1!$A:$E,5,FALSE)),"")</f>
        <v/>
      </c>
      <c r="AR660" s="629" t="str">
        <f t="shared" si="1795"/>
        <v/>
      </c>
      <c r="AS660" s="630" t="str">
        <f t="shared" si="1796"/>
        <v/>
      </c>
      <c r="AT660" s="625" t="str">
        <f t="shared" si="1797"/>
        <v/>
      </c>
      <c r="AU660" s="625" t="e">
        <f t="shared" si="1798"/>
        <v>#N/A</v>
      </c>
      <c r="AV660" s="625" t="e">
        <f t="shared" si="1799"/>
        <v>#N/A</v>
      </c>
      <c r="AW660" s="631"/>
      <c r="AX660" s="631">
        <f>IF(AND('General price list'!$J660="F4",'General price list'!$AB660+0&gt;0),1,0)</f>
        <v>0</v>
      </c>
      <c r="AY660" s="631">
        <f t="shared" si="1800"/>
        <v>1</v>
      </c>
      <c r="AZ660" s="631">
        <f t="shared" si="1801"/>
        <v>0</v>
      </c>
    </row>
    <row r="661" spans="1:52" ht="15" customHeight="1">
      <c r="A661" s="751" t="str">
        <f>Kat.!C661</f>
        <v xml:space="preserve">           Baterie 64 ran, 30 mm šikmý moždíř – 1.3G</v>
      </c>
      <c r="B661" s="751"/>
      <c r="C661" s="751"/>
      <c r="D661" s="751"/>
      <c r="E661" s="751"/>
      <c r="F661" s="751"/>
      <c r="G661" s="751"/>
      <c r="H661" s="751"/>
      <c r="I661" s="752"/>
      <c r="J661" s="752"/>
      <c r="K661" s="752" t="s">
        <v>20</v>
      </c>
      <c r="L661" s="753" t="s">
        <v>20</v>
      </c>
      <c r="M661" s="752"/>
      <c r="N661" s="752"/>
      <c r="O661" s="752"/>
      <c r="P661" s="752"/>
      <c r="Q661" s="752"/>
      <c r="R661" s="752"/>
      <c r="S661" s="752"/>
      <c r="T661" s="752"/>
      <c r="U661" s="752"/>
      <c r="V661" s="752"/>
      <c r="W661" s="752"/>
      <c r="X661" s="752"/>
      <c r="Y661" s="752"/>
      <c r="Z661" s="752" t="s">
        <v>20</v>
      </c>
      <c r="AA661" s="752"/>
      <c r="AB661" s="752"/>
      <c r="AC661" s="754"/>
      <c r="AD661" s="752"/>
      <c r="AE661" s="752"/>
      <c r="AF661" s="752"/>
      <c r="AG661" s="752"/>
      <c r="AH661" s="752"/>
      <c r="AI661" s="752"/>
      <c r="AJ661" s="752"/>
      <c r="AK661" s="752"/>
      <c r="AL661" s="752"/>
      <c r="AM661" s="752"/>
      <c r="AN661" s="752"/>
      <c r="AO661" s="623"/>
      <c r="AP661" s="632" t="str">
        <f t="shared" ref="AP661:AP663" si="1970">IF($AL$3=1,IF(Y661=AB661,"","NE"),IF(AR661=$V$10,"NE",""))</f>
        <v/>
      </c>
      <c r="AQ661" s="633" t="str">
        <f>IF(AC661=$V$3,IF(VLOOKUP(C661,[1]List1!$A:$E,5,FALSE)=0,1,VLOOKUP(C661,[1]List1!$A:$E,5,FALSE)),"")</f>
        <v/>
      </c>
      <c r="AR661" s="625" t="str">
        <f t="shared" ref="AR661:AR663" si="1971">IF($AL$3=1,"",IF(OR(AB661&lt;&gt;"",AB661&lt;&gt;0),IF(OR(AC661=$V$6,AC661=$V$3,AC661=$V$9),$V$10,""),""))</f>
        <v/>
      </c>
      <c r="AS661" s="634" t="str">
        <f t="shared" ref="AS661:AS663" si="1972">IF(AT661&lt;&gt;"","X","")</f>
        <v/>
      </c>
      <c r="AT661" s="625" t="str">
        <f t="shared" ref="AT661:AT663" si="1973">IF(AND($AL$3=2,AR661="",AB661&lt;&gt;""),AD661,"")</f>
        <v/>
      </c>
      <c r="AU661" s="638" t="e">
        <f t="shared" ref="AU661:AU663" si="1974">IF(AT661=$AS$21,AB661,"")</f>
        <v>#N/A</v>
      </c>
      <c r="AV661" s="625" t="e">
        <f t="shared" ref="AV661:AV663" si="1975">IF(OR(AB661="",AND(AT661&lt;&gt;"",AU661&lt;&gt;"")),"",$V$10)</f>
        <v>#N/A</v>
      </c>
      <c r="AX661" s="625">
        <f>IF(AND('General price list'!$J661="F4",'General price list'!$AB661+0&gt;0),1,0)</f>
        <v>0</v>
      </c>
      <c r="AY661" s="625">
        <f t="shared" ref="AY661:AY663" si="1976">IFERROR(FIND(VLOOKUP($AC$7,$AD$1:$AE$12,2,FALSE),Q661,1),0)</f>
        <v>0</v>
      </c>
      <c r="AZ661" s="625">
        <f t="shared" ref="AZ661:AZ663" si="1977">IFERROR(FIND(VLOOKUP($AC$7,$AD$1:$AE$12,2,FALSE),R661,1),0)</f>
        <v>0</v>
      </c>
    </row>
    <row r="662" spans="1:52" ht="15.75" customHeight="1">
      <c r="A662" s="639" t="str">
        <f>Kat.!C662</f>
        <v/>
      </c>
      <c r="B662" s="640">
        <f>IF(AND('General price list'!$J662="F4",$AI$1=FALSE),0,IF(AC662="SKLADEM",1,IF(AC662=$V$3,1,0)))</f>
        <v>0</v>
      </c>
      <c r="C662" s="641" t="s">
        <v>1376</v>
      </c>
      <c r="D662" s="642" t="s">
        <v>1373</v>
      </c>
      <c r="E662" s="643" t="s">
        <v>12747</v>
      </c>
      <c r="F662" s="791">
        <f>IFERROR(VLOOKUP(C662,[2]List1!$A:$D,3,FALSE),"NEUVEDENO!")</f>
        <v>1699</v>
      </c>
      <c r="G662" s="768">
        <f t="shared" ref="G662:G663" si="1978">IF($W$17=$AF$8,ROUND((F662)/$F$17,2),(F662)*$B$19)</f>
        <v>1699</v>
      </c>
      <c r="H662" s="765">
        <f t="shared" ref="H662:H663" si="1979">IF($W$17=$AF$8,G662*$B$19,G662/$F$17)</f>
        <v>72.171035584271053</v>
      </c>
      <c r="I662" s="644">
        <f>IFERROR(VLOOKUP(C662,[2]List1!$A:$D,4,FALSE),"NEUVEDENO!")</f>
        <v>2</v>
      </c>
      <c r="J662" s="733" t="s">
        <v>113</v>
      </c>
      <c r="K662" s="645" t="s">
        <v>11100</v>
      </c>
      <c r="L662" s="645" t="s">
        <v>20</v>
      </c>
      <c r="M662" s="645" t="s">
        <v>114</v>
      </c>
      <c r="N662" s="645">
        <f>IFERROR(VLOOKUP(C662,[3]List1!$A:$D,4,FALSE),"N/A!")</f>
        <v>7.3830750000000001E-2</v>
      </c>
      <c r="O662" s="645">
        <f>IFERROR(VLOOKUP(C662,[3]List1!$A:$D,3,FALSE),"N/A!")</f>
        <v>1996</v>
      </c>
      <c r="P662" s="645">
        <f>IFERROR(VLOOKUP(C662,[3]List1!$A:$D,2,FALSE),"N/A!")</f>
        <v>19000</v>
      </c>
      <c r="Q662" s="645" t="s">
        <v>11320</v>
      </c>
      <c r="R662" s="645"/>
      <c r="S662" s="645" t="str">
        <f>IF($W$17=$AF$1,"design",IFERROR(VLOOKUP("design",Jazyky_ceník!$A:$Q,MATCH($W$17,Jazyky_ceník!$A$1:$Q$1,0),FALSE),"!!!"))</f>
        <v>design</v>
      </c>
      <c r="T662" s="645">
        <v>60</v>
      </c>
      <c r="U662" s="645">
        <v>40</v>
      </c>
      <c r="V662" s="645">
        <v>30</v>
      </c>
      <c r="W662" s="645" t="str">
        <f>IFERROR(IF(AND($AB662&gt;=0.1*$AA662,MOD($AB662,$AA662)&gt;=($AA662-(0.1*$AA662))),IF($W$17=$AF$1,"Zvažte možnost doobjednání ještě "&amp;Tabulka1[[#This Row],[VKPAL]]-MOD(AB662,AA662)&amp;" VK do plné palety.",VLOOKUP("Zvažte možnost doobjednání ještě ",Jazyky_ceník!A:Q,MATCH($W$17,Jazyky_ceník!$A$1:$Q$1,0),FALSE)&amp;Tabulka1[[#This Row],[VKPAL]]-MOD(AB662,AA662)&amp;VLOOKUP(" VK do plné palety.",Jazyky_ceník!A:Q,MATCH($W$17,Jazyky_ceník!$A$1:$Q$1,0),FALSE)),IFERROR(IF(AND(NOT(MOD($AB662,$AA662)=0),$AB662&gt;=0.9*$AA662,MOD($AB662,$AA662)&lt;=0.1*$AA662),IF($W$17=$AF$1,"Zvažte možnost optimalizace objednaného množství podle počtu VK na paletě ==&gt;",VLOOKUP("Zvažte možnost optimalizace objednaného množství podle počtu VK na paletě ==&gt;",Jazyky_ceník!A:Q,MATCH($W$17,Jazyky_ceník!$A$1:$Q$1,0),FALSE)),VLOOKUP('General price list'!$C662,Popisy!A:M,MATCH($W$17,Popisy!$A$7:$M$7,0),FALSE)),"---------------")),IFERROR(VLOOKUP('General price list'!$C662,Popisy!A:M,MATCH($W$17,Popisy!$A$7:$M$7,0),FALSE),"---------------"))</f>
        <v>8 různobarevných efektů</v>
      </c>
      <c r="X662" s="645" t="str">
        <f t="shared" ref="X662:X663" si="1980">IF(AB662&lt;0.0001,"",AB662)</f>
        <v/>
      </c>
      <c r="Y662" s="645" t="str">
        <f t="shared" ref="Y662:Y663" si="1981">IF($AL$3=2,IF(OR(AB662&lt;&gt;"",AB662&lt;&gt;0),AU662,""),IF(C662="","",IF(AB662&lt;0.0001,"",IF(B662=0,"",IF(AQ662&lt;AB662,"",AB662)))))</f>
        <v/>
      </c>
      <c r="Z662" s="645" t="str">
        <f>HYPERLINK("https://www.klasekpyrotechnics.cz/cf643m")</f>
        <v>https://www.klasekpyrotechnics.cz/cf643m</v>
      </c>
      <c r="AA662" s="645">
        <f>IFERROR(IF(VLOOKUP(C662,[4]List1!$A:$D,4,FALSE)=0,"",VLOOKUP(C662,[4]List1!$A:$D,4,FALSE)),"")</f>
        <v>14</v>
      </c>
      <c r="AB662" s="646"/>
      <c r="AC662" s="647" t="str">
        <f>IFERROR(IF(VLOOKUP(C662,[1]List1!$A:$D,2,FALSE)="VYPRODÁNO",$V$9,IF(VLOOKUP(C662,[1]List1!$A:$D,2,FALSE)="DOCHÁZÍ",$V$3,VLOOKUP(C662,[1]List1!$A:$D,2,FALSE))),"OFFLINE!")</f>
        <v>06.04.2026</v>
      </c>
      <c r="AD662" s="647" t="str">
        <f ca="1">IF(AP662="NE",$V$10,IF(AC662=$V$3,IF(AQ662&lt;1,$V$8,$V$2&amp;" "&amp;AQ662&amp;" "&amp;$V$1),IF(AC662="SKLADEM",$V$6,IFERROR(IF(OR(AC662-TODAY()&gt;45,VLOOKUP(C662,[1]List1!$A:$E,4,FALSE)=0),AC662,DAY(AC662)&amp;"."&amp;MONTH(AC662)&amp;"."&amp;YEAR(AC662)&amp;" "&amp;$V$4&amp;VLOOKUP(C662,[1]List1!$A:$E,4,FALSE)&amp;" "&amp;$V$1),AC662))))</f>
        <v>6.4.2026 DORAZÍ 100+ VK</v>
      </c>
      <c r="AE662" s="645" t="str">
        <f t="shared" ref="AE662:AE663" ca="1" si="1982">IFERROR(IF(AV662&lt;&gt;"",AV662,AD662),AD662)</f>
        <v>6.4.2026 DORAZÍ 100+ VK</v>
      </c>
      <c r="AF662" s="648">
        <f t="shared" ref="AF662:AF663" si="1983">IFERROR(IF(AB662=Y662,G662*I662*Y662,0),0)</f>
        <v>0</v>
      </c>
      <c r="AG662" s="649">
        <f t="shared" ref="AG662:AG663" si="1984">IF($W$17=$AF$8,AH662*1.23,AF662*1.21)</f>
        <v>0</v>
      </c>
      <c r="AH662" s="650">
        <f t="shared" ref="AH662:AH663" si="1985">IFERROR(IF(Y662=AB662,H662*I662*Y662,0),0)</f>
        <v>0</v>
      </c>
      <c r="AI662" s="645">
        <f t="shared" ref="AI662:AI663" si="1986">IFERROR(IF(Y662=AB662,(P662*Y662)/1000,1),0)</f>
        <v>0</v>
      </c>
      <c r="AJ662" s="645">
        <f t="shared" ref="AJ662:AJ663" si="1987">IFERROR(IF(Y662=AB662,N662*Y662,0.1),0)</f>
        <v>0</v>
      </c>
      <c r="AK662" s="645" t="str">
        <f t="shared" ref="AK662:AK663" si="1988">IFERROR(IF(Y662=AB662,IF(M662="1.1G",(O662/1000)*Y662,""),""),0)</f>
        <v/>
      </c>
      <c r="AL662" s="645">
        <f t="shared" ref="AL662:AL663" si="1989">IFERROR(IF(Y662=AB662,IF(M662="1.3G",(O662/1000)*AB662,""),""),0)</f>
        <v>0</v>
      </c>
      <c r="AM662" s="645" t="str">
        <f t="shared" ref="AM662:AM663" si="1990">IFERROR(IF(Y662=AB662,IF(M662="1.4G",(O662/1000)*AB662,""),""),0)</f>
        <v/>
      </c>
      <c r="AN662" s="651">
        <f t="shared" ref="AN662:AN663" si="1991">SUM(AK662:AM662)</f>
        <v>0</v>
      </c>
      <c r="AO662" s="623"/>
      <c r="AP662" s="625" t="str">
        <f t="shared" si="1970"/>
        <v/>
      </c>
      <c r="AQ662" s="625" t="str">
        <f>IF(AC662=$V$3,IF(VLOOKUP(C662,[1]List1!$A:$E,5,FALSE)=0,1,VLOOKUP(C662,[1]List1!$A:$E,5,FALSE)),"")</f>
        <v/>
      </c>
      <c r="AR662" s="629" t="str">
        <f t="shared" si="1971"/>
        <v/>
      </c>
      <c r="AS662" s="630" t="str">
        <f t="shared" si="1972"/>
        <v/>
      </c>
      <c r="AT662" s="625" t="str">
        <f t="shared" si="1973"/>
        <v/>
      </c>
      <c r="AU662" s="625" t="e">
        <f t="shared" si="1974"/>
        <v>#N/A</v>
      </c>
      <c r="AV662" s="625" t="e">
        <f t="shared" si="1975"/>
        <v>#N/A</v>
      </c>
      <c r="AW662" s="631"/>
      <c r="AX662" s="631">
        <f>IF(AND('General price list'!$J662="F4",'General price list'!$AB662+0&gt;0),1,0)</f>
        <v>0</v>
      </c>
      <c r="AY662" s="631">
        <f t="shared" si="1976"/>
        <v>1</v>
      </c>
      <c r="AZ662" s="631">
        <f t="shared" si="1977"/>
        <v>0</v>
      </c>
    </row>
    <row r="663" spans="1:52" ht="15.75" customHeight="1">
      <c r="A663" s="621" t="str">
        <f>Kat.!C663</f>
        <v/>
      </c>
      <c r="B663" s="566">
        <f>IF(AND('General price list'!$J663="F4",$AI$1=FALSE),0,IF(AC663="SKLADEM",1,IF(AC663=$V$3,1,0)))</f>
        <v>1</v>
      </c>
      <c r="C663" s="567" t="s">
        <v>1377</v>
      </c>
      <c r="D663" s="568" t="s">
        <v>1374</v>
      </c>
      <c r="E663" s="763" t="s">
        <v>12747</v>
      </c>
      <c r="F663" s="791">
        <f>IFERROR(VLOOKUP(C663,[2]List1!$A:$D,3,FALSE),"NEUVEDENO!")</f>
        <v>1699</v>
      </c>
      <c r="G663" s="769">
        <f t="shared" si="1978"/>
        <v>1699</v>
      </c>
      <c r="H663" s="766">
        <f t="shared" si="1979"/>
        <v>72.171035584271053</v>
      </c>
      <c r="I663" s="764">
        <f>IFERROR(VLOOKUP(C663,[2]List1!$A:$D,4,FALSE),"NEUVEDENO!")</f>
        <v>2</v>
      </c>
      <c r="J663" s="732" t="s">
        <v>113</v>
      </c>
      <c r="K663" s="569" t="s">
        <v>11100</v>
      </c>
      <c r="L663" s="569" t="s">
        <v>20</v>
      </c>
      <c r="M663" s="569" t="s">
        <v>114</v>
      </c>
      <c r="N663" s="569">
        <f>IFERROR(VLOOKUP(C663,[3]List1!$A:$D,4,FALSE),"N/A!")</f>
        <v>7.3830750000000001E-2</v>
      </c>
      <c r="O663" s="569">
        <f>IFERROR(VLOOKUP(C663,[3]List1!$A:$D,3,FALSE),"N/A!")</f>
        <v>1996</v>
      </c>
      <c r="P663" s="569">
        <f>IFERROR(VLOOKUP(C663,[3]List1!$A:$D,2,FALSE),"N/A!")</f>
        <v>18500</v>
      </c>
      <c r="Q663" s="569" t="s">
        <v>11320</v>
      </c>
      <c r="R663" s="569" t="s">
        <v>20</v>
      </c>
      <c r="S663" s="569" t="str">
        <f>IF($W$17=$AF$1,"design",IFERROR(VLOOKUP("design",Jazyky_ceník!$A:$Q,MATCH($W$17,Jazyky_ceník!$A$1:$Q$1,0),FALSE),"!!!"))</f>
        <v>design</v>
      </c>
      <c r="T663" s="569">
        <v>60</v>
      </c>
      <c r="U663" s="569">
        <v>40</v>
      </c>
      <c r="V663" s="569">
        <v>30</v>
      </c>
      <c r="W663" s="569" t="str">
        <f>IFERROR(IF(AND($AB663&gt;=0.1*$AA663,MOD($AB663,$AA663)&gt;=($AA663-(0.1*$AA663))),IF($W$17=$AF$1,"Zvažte možnost doobjednání ještě "&amp;Tabulka1[[#This Row],[VKPAL]]-MOD(AB663,AA663)&amp;" VK do plné palety.",VLOOKUP("Zvažte možnost doobjednání ještě ",Jazyky_ceník!A:Q,MATCH($W$17,Jazyky_ceník!$A$1:$Q$1,0),FALSE)&amp;Tabulka1[[#This Row],[VKPAL]]-MOD(AB663,AA663)&amp;VLOOKUP(" VK do plné palety.",Jazyky_ceník!A:Q,MATCH($W$17,Jazyky_ceník!$A$1:$Q$1,0),FALSE)),IFERROR(IF(AND(NOT(MOD($AB663,$AA663)=0),$AB663&gt;=0.9*$AA663,MOD($AB663,$AA663)&lt;=0.1*$AA663),IF($W$17=$AF$1,"Zvažte možnost optimalizace objednaného množství podle počtu VK na paletě ==&gt;",VLOOKUP("Zvažte možnost optimalizace objednaného množství podle počtu VK na paletě ==&gt;",Jazyky_ceník!A:Q,MATCH($W$17,Jazyky_ceník!$A$1:$Q$1,0),FALSE)),VLOOKUP('General price list'!$C663,Popisy!A:M,MATCH($W$17,Popisy!$A$7:$M$7,0),FALSE)),"---------------")),IFERROR(VLOOKUP('General price list'!$C663,Popisy!A:M,MATCH($W$17,Popisy!$A$7:$M$7,0),FALSE),"---------------"))</f>
        <v>8 různobarevných efektů měnících se po každé ráně</v>
      </c>
      <c r="X663" s="569" t="str">
        <f t="shared" si="1980"/>
        <v/>
      </c>
      <c r="Y663" s="569" t="str">
        <f t="shared" si="1981"/>
        <v/>
      </c>
      <c r="Z663" s="569" t="str">
        <f>HYPERLINK("https://www.klasekpyrotechnics.cz/cf643t")</f>
        <v>https://www.klasekpyrotechnics.cz/cf643t</v>
      </c>
      <c r="AA663" s="569">
        <f>IFERROR(IF(VLOOKUP(C663,[4]List1!$A:$D,4,FALSE)=0,"",VLOOKUP(C663,[4]List1!$A:$D,4,FALSE)),"")</f>
        <v>14</v>
      </c>
      <c r="AB663" s="565"/>
      <c r="AC663" s="570" t="str">
        <f>IFERROR(IF(VLOOKUP(C663,[1]List1!$A:$D,2,FALSE)="VYPRODÁNO",$V$9,IF(VLOOKUP(C663,[1]List1!$A:$D,2,FALSE)="DOCHÁZÍ",$V$3,VLOOKUP(C663,[1]List1!$A:$D,2,FALSE))),"OFFLINE!")</f>
        <v>SKLADEM</v>
      </c>
      <c r="AD663" s="570" t="str">
        <f ca="1">IF(AP663="NE",$V$10,IF(AC663=$V$3,IF(AQ663&lt;1,$V$8,$V$2&amp;" "&amp;AQ663&amp;" "&amp;$V$1),IF(AC663="SKLADEM",$V$6,IFERROR(IF(OR(AC663-TODAY()&gt;45,VLOOKUP(C663,[1]List1!$A:$E,4,FALSE)=0),AC663,DAY(AC663)&amp;"."&amp;MONTH(AC663)&amp;"."&amp;YEAR(AC663)&amp;" "&amp;$V$4&amp;VLOOKUP(C663,[1]List1!$A:$E,4,FALSE)&amp;" "&amp;$V$1),AC663))))</f>
        <v>SKLADEM</v>
      </c>
      <c r="AE663" s="581" t="str">
        <f t="shared" ca="1" si="1982"/>
        <v>SKLADEM</v>
      </c>
      <c r="AF663" s="584">
        <f t="shared" si="1983"/>
        <v>0</v>
      </c>
      <c r="AG663" s="585">
        <f t="shared" si="1984"/>
        <v>0</v>
      </c>
      <c r="AH663" s="583">
        <f t="shared" si="1985"/>
        <v>0</v>
      </c>
      <c r="AI663" s="582">
        <f t="shared" si="1986"/>
        <v>0</v>
      </c>
      <c r="AJ663" s="569">
        <f t="shared" si="1987"/>
        <v>0</v>
      </c>
      <c r="AK663" s="569" t="str">
        <f t="shared" si="1988"/>
        <v/>
      </c>
      <c r="AL663" s="569">
        <f t="shared" si="1989"/>
        <v>0</v>
      </c>
      <c r="AM663" s="569" t="str">
        <f t="shared" si="1990"/>
        <v/>
      </c>
      <c r="AN663" s="581">
        <f t="shared" si="1991"/>
        <v>0</v>
      </c>
      <c r="AO663" s="623"/>
      <c r="AP663" s="625" t="str">
        <f t="shared" si="1970"/>
        <v/>
      </c>
      <c r="AQ663" s="625" t="str">
        <f>IF(AC663=$V$3,IF(VLOOKUP(C663,[1]List1!$A:$E,5,FALSE)=0,1,VLOOKUP(C663,[1]List1!$A:$E,5,FALSE)),"")</f>
        <v/>
      </c>
      <c r="AR663" s="629" t="str">
        <f t="shared" si="1971"/>
        <v/>
      </c>
      <c r="AS663" s="630" t="str">
        <f t="shared" si="1972"/>
        <v/>
      </c>
      <c r="AT663" s="625" t="str">
        <f t="shared" si="1973"/>
        <v/>
      </c>
      <c r="AU663" s="625" t="e">
        <f t="shared" si="1974"/>
        <v>#N/A</v>
      </c>
      <c r="AV663" s="625" t="e">
        <f t="shared" si="1975"/>
        <v>#N/A</v>
      </c>
      <c r="AW663" s="631"/>
      <c r="AX663" s="631">
        <f>IF(AND('General price list'!$J663="F4",'General price list'!$AB663+0&gt;0),1,0)</f>
        <v>0</v>
      </c>
      <c r="AY663" s="631">
        <f t="shared" si="1976"/>
        <v>1</v>
      </c>
      <c r="AZ663" s="631">
        <f t="shared" si="1977"/>
        <v>0</v>
      </c>
    </row>
    <row r="664" spans="1:52" ht="15" customHeight="1">
      <c r="A664" s="751" t="str">
        <f>Kat.!C664</f>
        <v xml:space="preserve">           Baterie 64 ran, 30 mm rovný + šikmý + V + W moždíř – 1.3G</v>
      </c>
      <c r="B664" s="751"/>
      <c r="C664" s="751"/>
      <c r="D664" s="751"/>
      <c r="E664" s="751"/>
      <c r="F664" s="751"/>
      <c r="G664" s="751"/>
      <c r="H664" s="751"/>
      <c r="I664" s="752"/>
      <c r="J664" s="752"/>
      <c r="K664" s="752" t="s">
        <v>20</v>
      </c>
      <c r="L664" s="753" t="s">
        <v>20</v>
      </c>
      <c r="M664" s="752"/>
      <c r="N664" s="752"/>
      <c r="O664" s="752"/>
      <c r="P664" s="752"/>
      <c r="Q664" s="752"/>
      <c r="R664" s="752"/>
      <c r="S664" s="752"/>
      <c r="T664" s="752"/>
      <c r="U664" s="752"/>
      <c r="V664" s="752"/>
      <c r="W664" s="752"/>
      <c r="X664" s="752"/>
      <c r="Y664" s="752"/>
      <c r="Z664" s="752" t="s">
        <v>20</v>
      </c>
      <c r="AA664" s="752"/>
      <c r="AB664" s="752"/>
      <c r="AC664" s="754"/>
      <c r="AD664" s="752"/>
      <c r="AE664" s="752"/>
      <c r="AF664" s="752"/>
      <c r="AG664" s="752"/>
      <c r="AH664" s="752"/>
      <c r="AI664" s="752"/>
      <c r="AJ664" s="752"/>
      <c r="AK664" s="752"/>
      <c r="AL664" s="752"/>
      <c r="AM664" s="752"/>
      <c r="AN664" s="752"/>
      <c r="AO664" s="623"/>
      <c r="AP664" s="632" t="str">
        <f t="shared" ref="AP664:AP678" si="1992">IF($AL$3=1,IF(Y664=AB664,"","NE"),IF(AR664=$V$10,"NE",""))</f>
        <v/>
      </c>
      <c r="AQ664" s="633" t="str">
        <f>IF(AC664=$V$3,IF(VLOOKUP(C664,[1]List1!$A:$E,5,FALSE)=0,1,VLOOKUP(C664,[1]List1!$A:$E,5,FALSE)),"")</f>
        <v/>
      </c>
      <c r="AR664" s="625" t="str">
        <f t="shared" ref="AR664:AR678" si="1993">IF($AL$3=1,"",IF(OR(AB664&lt;&gt;"",AB664&lt;&gt;0),IF(OR(AC664=$V$6,AC664=$V$3,AC664=$V$9),$V$10,""),""))</f>
        <v/>
      </c>
      <c r="AS664" s="634" t="str">
        <f t="shared" ref="AS664:AS678" si="1994">IF(AT664&lt;&gt;"","X","")</f>
        <v/>
      </c>
      <c r="AT664" s="625" t="str">
        <f t="shared" ref="AT664:AT678" si="1995">IF(AND($AL$3=2,AR664="",AB664&lt;&gt;""),AD664,"")</f>
        <v/>
      </c>
      <c r="AU664" s="638" t="e">
        <f t="shared" ref="AU664:AU678" si="1996">IF(AT664=$AS$21,AB664,"")</f>
        <v>#N/A</v>
      </c>
      <c r="AV664" s="625" t="e">
        <f t="shared" ref="AV664:AV678" si="1997">IF(OR(AB664="",AND(AT664&lt;&gt;"",AU664&lt;&gt;"")),"",$V$10)</f>
        <v>#N/A</v>
      </c>
      <c r="AX664" s="625">
        <f>IF(AND('General price list'!$J664="F4",'General price list'!$AB664+0&gt;0),1,0)</f>
        <v>0</v>
      </c>
      <c r="AY664" s="625">
        <f t="shared" ref="AY664:AY678" si="1998">IFERROR(FIND(VLOOKUP($AC$7,$AD$1:$AE$12,2,FALSE),Q664,1),0)</f>
        <v>0</v>
      </c>
      <c r="AZ664" s="625">
        <f t="shared" ref="AZ664:AZ678" si="1999">IFERROR(FIND(VLOOKUP($AC$7,$AD$1:$AE$12,2,FALSE),R664,1),0)</f>
        <v>0</v>
      </c>
    </row>
    <row r="665" spans="1:52" ht="15.75" customHeight="1">
      <c r="A665" s="639" t="str">
        <f>Kat.!C665</f>
        <v>×</v>
      </c>
      <c r="B665" s="640">
        <f>IF(AND('General price list'!$J665="F4",$AI$1=FALSE),0,IF(AC665="SKLADEM",1,IF(AC665=$V$3,1,0)))</f>
        <v>1</v>
      </c>
      <c r="C665" s="641" t="s">
        <v>1379</v>
      </c>
      <c r="D665" s="642" t="s">
        <v>1380</v>
      </c>
      <c r="E665" s="643" t="s">
        <v>12747</v>
      </c>
      <c r="F665" s="771">
        <f>IFERROR(VLOOKUP(C665,[2]List1!$A:$D,3,FALSE),"NEUVEDENO!")</f>
        <v>1599</v>
      </c>
      <c r="G665" s="768">
        <f t="shared" ref="G665:G666" si="2000">IF($W$17=$AF$8,ROUND((F665)/$F$17,2),(F665)*$B$19)</f>
        <v>1599</v>
      </c>
      <c r="H665" s="765">
        <f t="shared" ref="H665:H666" si="2001">IF($W$17=$AF$8,G665*$B$19,G665/$F$17)</f>
        <v>67.923181812389288</v>
      </c>
      <c r="I665" s="644">
        <f>IFERROR(VLOOKUP(C665,[2]List1!$A:$D,4,FALSE),"NEUVEDENO!")</f>
        <v>2</v>
      </c>
      <c r="J665" s="733" t="s">
        <v>113</v>
      </c>
      <c r="K665" s="645" t="s">
        <v>20</v>
      </c>
      <c r="L665" s="645" t="s">
        <v>20</v>
      </c>
      <c r="M665" s="645" t="s">
        <v>114</v>
      </c>
      <c r="N665" s="645">
        <f>IFERROR(VLOOKUP(C665,[3]List1!$A:$D,4,FALSE),"N/A!")</f>
        <v>6.5960124999999994E-2</v>
      </c>
      <c r="O665" s="645">
        <f>IFERROR(VLOOKUP(C665,[3]List1!$A:$D,3,FALSE),"N/A!")</f>
        <v>1996</v>
      </c>
      <c r="P665" s="645">
        <f>IFERROR(VLOOKUP(C665,[3]List1!$A:$D,2,FALSE),"N/A!")</f>
        <v>18000</v>
      </c>
      <c r="Q665" s="645" t="s">
        <v>12101</v>
      </c>
      <c r="R665" s="645" t="s">
        <v>20</v>
      </c>
      <c r="S665" s="645" t="str">
        <f>IF($W$17=$AF$1,"červená fólie",IFERROR(VLOOKUP("červená fólie",Jazyky_ceník!$A:$Q,MATCH($W$17,Jazyky_ceník!$A$1:$Q$1,0),FALSE),"!!!"))</f>
        <v>červená fólie</v>
      </c>
      <c r="T665" s="645">
        <v>50</v>
      </c>
      <c r="U665" s="645">
        <v>40</v>
      </c>
      <c r="V665" s="645">
        <v>30</v>
      </c>
      <c r="W665" s="645" t="str">
        <f>IFERROR(IF(AND($AB665&gt;=0.1*$AA665,MOD($AB665,$AA665)&gt;=($AA665-(0.1*$AA665))),IF($W$17=$AF$1,"Zvažte možnost doobjednání ještě "&amp;Tabulka1[[#This Row],[VKPAL]]-MOD(AB665,AA665)&amp;" VK do plné palety.",VLOOKUP("Zvažte možnost doobjednání ještě ",Jazyky_ceník!A:Q,MATCH($W$17,Jazyky_ceník!$A$1:$Q$1,0),FALSE)&amp;Tabulka1[[#This Row],[VKPAL]]-MOD(AB665,AA665)&amp;VLOOKUP(" VK do plné palety.",Jazyky_ceník!A:Q,MATCH($W$17,Jazyky_ceník!$A$1:$Q$1,0),FALSE)),IFERROR(IF(AND(NOT(MOD($AB665,$AA665)=0),$AB665&gt;=0.9*$AA665,MOD($AB665,$AA665)&lt;=0.1*$AA665),IF($W$17=$AF$1,"Zvažte možnost optimalizace objednaného množství podle počtu VK na paletě ==&gt;",VLOOKUP("Zvažte možnost optimalizace objednaného množství podle počtu VK na paletě ==&gt;",Jazyky_ceník!A:Q,MATCH($W$17,Jazyky_ceník!$A$1:$Q$1,0),FALSE)),VLOOKUP('General price list'!$C665,Popisy!A:M,MATCH($W$17,Popisy!$A$7:$M$7,0),FALSE)),"---------------")),IFERROR(VLOOKUP('General price list'!$C665,Popisy!A:M,MATCH($W$17,Popisy!$A$7:$M$7,0),FALSE),"---------------"))</f>
        <v>8 různobarevných efektů</v>
      </c>
      <c r="X665" s="645" t="str">
        <f t="shared" ref="X665:X666" si="2002">IF(AB665&lt;0.0001,"",AB665)</f>
        <v/>
      </c>
      <c r="Y665" s="645" t="str">
        <f t="shared" ref="Y665:Y666" si="2003">IF($AL$3=2,IF(OR(AB665&lt;&gt;"",AB665&lt;&gt;0),AU665,""),IF(C665="","",IF(AB665&lt;0.0001,"",IF(B665=0,"",IF(AQ665&lt;AB665,"",AB665)))))</f>
        <v/>
      </c>
      <c r="Z665" s="645" t="str">
        <f>HYPERLINK("https://www.klasekpyrotechnics.cz/c643xmo")</f>
        <v>https://www.klasekpyrotechnics.cz/c643xmo</v>
      </c>
      <c r="AA665" s="645">
        <f>IFERROR(IF(VLOOKUP(C665,[4]List1!$A:$D,4,FALSE)=0,"",VLOOKUP(C665,[4]List1!$A:$D,4,FALSE)),"")</f>
        <v>14</v>
      </c>
      <c r="AB665" s="646"/>
      <c r="AC665" s="647" t="str">
        <f>IFERROR(IF(VLOOKUP(C665,[1]List1!$A:$D,2,FALSE)="VYPRODÁNO",$V$9,IF(VLOOKUP(C665,[1]List1!$A:$D,2,FALSE)="DOCHÁZÍ",$V$3,VLOOKUP(C665,[1]List1!$A:$D,2,FALSE))),"OFFLINE!")</f>
        <v>SKLADEM</v>
      </c>
      <c r="AD665" s="647" t="str">
        <f ca="1">IF(AP665="NE",$V$10,IF(AC665=$V$3,IF(AQ665&lt;1,$V$8,$V$2&amp;" "&amp;AQ665&amp;" "&amp;$V$1),IF(AC665="SKLADEM",$V$6,IFERROR(IF(OR(AC665-TODAY()&gt;45,VLOOKUP(C665,[1]List1!$A:$E,4,FALSE)=0),AC665,DAY(AC665)&amp;"."&amp;MONTH(AC665)&amp;"."&amp;YEAR(AC665)&amp;" "&amp;$V$4&amp;VLOOKUP(C665,[1]List1!$A:$E,4,FALSE)&amp;" "&amp;$V$1),AC665))))</f>
        <v>SKLADEM</v>
      </c>
      <c r="AE665" s="645" t="str">
        <f t="shared" ref="AE665:AE666" ca="1" si="2004">IFERROR(IF(AV665&lt;&gt;"",AV665,AD665),AD665)</f>
        <v>SKLADEM</v>
      </c>
      <c r="AF665" s="648">
        <f t="shared" ref="AF665:AF666" si="2005">IFERROR(IF(AB665=Y665,G665*I665*Y665,0),0)</f>
        <v>0</v>
      </c>
      <c r="AG665" s="649">
        <f t="shared" ref="AG665:AG666" si="2006">IF($W$17=$AF$8,AH665*1.23,AF665*1.21)</f>
        <v>0</v>
      </c>
      <c r="AH665" s="650">
        <f t="shared" ref="AH665:AH666" si="2007">IFERROR(IF(Y665=AB665,H665*I665*Y665,0),0)</f>
        <v>0</v>
      </c>
      <c r="AI665" s="645">
        <f t="shared" ref="AI665:AI666" si="2008">IFERROR(IF(Y665=AB665,(P665*Y665)/1000,1),0)</f>
        <v>0</v>
      </c>
      <c r="AJ665" s="645">
        <f t="shared" ref="AJ665:AJ666" si="2009">IFERROR(IF(Y665=AB665,N665*Y665,0.1),0)</f>
        <v>0</v>
      </c>
      <c r="AK665" s="645" t="str">
        <f t="shared" ref="AK665:AK666" si="2010">IFERROR(IF(Y665=AB665,IF(M665="1.1G",(O665/1000)*Y665,""),""),0)</f>
        <v/>
      </c>
      <c r="AL665" s="645">
        <f t="shared" ref="AL665:AL666" si="2011">IFERROR(IF(Y665=AB665,IF(M665="1.3G",(O665/1000)*AB665,""),""),0)</f>
        <v>0</v>
      </c>
      <c r="AM665" s="645" t="str">
        <f t="shared" ref="AM665:AM666" si="2012">IFERROR(IF(Y665=AB665,IF(M665="1.4G",(O665/1000)*AB665,""),""),0)</f>
        <v/>
      </c>
      <c r="AN665" s="651">
        <f t="shared" ref="AN665:AN666" si="2013">SUM(AK665:AM665)</f>
        <v>0</v>
      </c>
      <c r="AO665" s="623"/>
      <c r="AP665" s="625" t="str">
        <f t="shared" si="1992"/>
        <v/>
      </c>
      <c r="AQ665" s="625" t="str">
        <f>IF(AC665=$V$3,IF(VLOOKUP(C665,[1]List1!$A:$E,5,FALSE)=0,1,VLOOKUP(C665,[1]List1!$A:$E,5,FALSE)),"")</f>
        <v/>
      </c>
      <c r="AR665" s="629" t="str">
        <f t="shared" si="1993"/>
        <v/>
      </c>
      <c r="AS665" s="630" t="str">
        <f t="shared" si="1994"/>
        <v/>
      </c>
      <c r="AT665" s="625" t="str">
        <f t="shared" si="1995"/>
        <v/>
      </c>
      <c r="AU665" s="625" t="e">
        <f t="shared" si="1996"/>
        <v>#N/A</v>
      </c>
      <c r="AV665" s="625" t="e">
        <f t="shared" si="1997"/>
        <v>#N/A</v>
      </c>
      <c r="AW665" s="631"/>
      <c r="AX665" s="631">
        <f>IF(AND('General price list'!$J665="F4",'General price list'!$AB665+0&gt;0),1,0)</f>
        <v>0</v>
      </c>
      <c r="AY665" s="631">
        <f t="shared" si="1998"/>
        <v>1</v>
      </c>
      <c r="AZ665" s="631">
        <f t="shared" si="1999"/>
        <v>0</v>
      </c>
    </row>
    <row r="666" spans="1:52" ht="15" customHeight="1">
      <c r="A666" s="621" t="str">
        <f>Kat.!C666</f>
        <v/>
      </c>
      <c r="B666" s="566">
        <f>IF(AND('General price list'!$J666="F4",$AI$1=FALSE),0,IF(AC666="SKLADEM",1,IF(AC666=$V$3,1,0)))</f>
        <v>1</v>
      </c>
      <c r="C666" s="567" t="s">
        <v>1381</v>
      </c>
      <c r="D666" s="568" t="s">
        <v>1382</v>
      </c>
      <c r="E666" s="763" t="s">
        <v>12747</v>
      </c>
      <c r="F666" s="772">
        <f>IFERROR(VLOOKUP(C666,[2]List1!$A:$D,3,FALSE),"NEUVEDENO!")</f>
        <v>1599</v>
      </c>
      <c r="G666" s="769">
        <f t="shared" si="2000"/>
        <v>1599</v>
      </c>
      <c r="H666" s="766">
        <f t="shared" si="2001"/>
        <v>67.923181812389288</v>
      </c>
      <c r="I666" s="764">
        <f>IFERROR(VLOOKUP(C666,[2]List1!$A:$D,4,FALSE),"NEUVEDENO!")</f>
        <v>2</v>
      </c>
      <c r="J666" s="732" t="s">
        <v>113</v>
      </c>
      <c r="K666" s="569" t="s">
        <v>20</v>
      </c>
      <c r="L666" s="569" t="s">
        <v>20</v>
      </c>
      <c r="M666" s="569" t="s">
        <v>114</v>
      </c>
      <c r="N666" s="569">
        <f>IFERROR(VLOOKUP(C666,[3]List1!$A:$D,4,FALSE),"N/A!")</f>
        <v>6.5960124999999994E-2</v>
      </c>
      <c r="O666" s="569">
        <f>IFERROR(VLOOKUP(C666,[3]List1!$A:$D,3,FALSE),"N/A!")</f>
        <v>1996</v>
      </c>
      <c r="P666" s="569">
        <f>IFERROR(VLOOKUP(C666,[3]List1!$A:$D,2,FALSE),"N/A!")</f>
        <v>17700</v>
      </c>
      <c r="Q666" s="569" t="s">
        <v>12101</v>
      </c>
      <c r="R666" s="569" t="s">
        <v>20</v>
      </c>
      <c r="S666" s="569" t="str">
        <f>IF($W$17=$AF$1,"design",IFERROR(VLOOKUP("design",Jazyky_ceník!$A:$Q,MATCH($W$17,Jazyky_ceník!$A$1:$Q$1,0),FALSE),"!!!"))</f>
        <v>design</v>
      </c>
      <c r="T666" s="569">
        <v>50</v>
      </c>
      <c r="U666" s="569">
        <v>40</v>
      </c>
      <c r="V666" s="569">
        <v>30</v>
      </c>
      <c r="W666" s="569" t="str">
        <f>IFERROR(IF(AND($AB666&gt;=0.1*$AA666,MOD($AB666,$AA666)&gt;=($AA666-(0.1*$AA666))),IF($W$17=$AF$1,"Zvažte možnost doobjednání ještě "&amp;Tabulka1[[#This Row],[VKPAL]]-MOD(AB666,AA666)&amp;" VK do plné palety.",VLOOKUP("Zvažte možnost doobjednání ještě ",Jazyky_ceník!A:Q,MATCH($W$17,Jazyky_ceník!$A$1:$Q$1,0),FALSE)&amp;Tabulka1[[#This Row],[VKPAL]]-MOD(AB666,AA666)&amp;VLOOKUP(" VK do plné palety.",Jazyky_ceník!A:Q,MATCH($W$17,Jazyky_ceník!$A$1:$Q$1,0),FALSE)),IFERROR(IF(AND(NOT(MOD($AB666,$AA666)=0),$AB666&gt;=0.9*$AA666,MOD($AB666,$AA666)&lt;=0.1*$AA666),IF($W$17=$AF$1,"Zvažte možnost optimalizace objednaného množství podle počtu VK na paletě ==&gt;",VLOOKUP("Zvažte možnost optimalizace objednaného množství podle počtu VK na paletě ==&gt;",Jazyky_ceník!A:Q,MATCH($W$17,Jazyky_ceník!$A$1:$Q$1,0),FALSE)),VLOOKUP('General price list'!$C666,Popisy!A:M,MATCH($W$17,Popisy!$A$7:$M$7,0),FALSE)),"---------------")),IFERROR(VLOOKUP('General price list'!$C666,Popisy!A:M,MATCH($W$17,Popisy!$A$7:$M$7,0),FALSE),"---------------"))</f>
        <v>8 různobarevných efektů</v>
      </c>
      <c r="X666" s="569" t="str">
        <f t="shared" si="2002"/>
        <v/>
      </c>
      <c r="Y666" s="569" t="str">
        <f t="shared" si="2003"/>
        <v/>
      </c>
      <c r="Z666" s="569" t="str">
        <f>HYPERLINK("https://www.klasekpyrotechnics.cz/c643xms")</f>
        <v>https://www.klasekpyrotechnics.cz/c643xms</v>
      </c>
      <c r="AA666" s="569">
        <f>IFERROR(IF(VLOOKUP(C666,[4]List1!$A:$D,4,FALSE)=0,"",VLOOKUP(C666,[4]List1!$A:$D,4,FALSE)),"")</f>
        <v>14</v>
      </c>
      <c r="AB666" s="565"/>
      <c r="AC666" s="570" t="str">
        <f>IFERROR(IF(VLOOKUP(C666,[1]List1!$A:$D,2,FALSE)="VYPRODÁNO",$V$9,IF(VLOOKUP(C666,[1]List1!$A:$D,2,FALSE)="DOCHÁZÍ",$V$3,VLOOKUP(C666,[1]List1!$A:$D,2,FALSE))),"OFFLINE!")</f>
        <v>DOCHÁZÍ</v>
      </c>
      <c r="AD666" s="570" t="str">
        <f ca="1">IF(AP666="NE",$V$10,IF(AC666=$V$3,IF(AQ666&lt;1,$V$8,$V$2&amp;" "&amp;AQ666&amp;" "&amp;$V$1),IF(AC666="SKLADEM",$V$6,IFERROR(IF(OR(AC666-TODAY()&gt;45,VLOOKUP(C666,[1]List1!$A:$E,4,FALSE)=0),AC666,DAY(AC666)&amp;"."&amp;MONTH(AC666)&amp;"."&amp;YEAR(AC666)&amp;" "&amp;$V$4&amp;VLOOKUP(C666,[1]List1!$A:$E,4,FALSE)&amp;" "&amp;$V$1),AC666))))</f>
        <v>POSLEDNÍCH 20 VK</v>
      </c>
      <c r="AE666" s="581" t="str">
        <f t="shared" ca="1" si="2004"/>
        <v>POSLEDNÍCH 20 VK</v>
      </c>
      <c r="AF666" s="584">
        <f t="shared" si="2005"/>
        <v>0</v>
      </c>
      <c r="AG666" s="585">
        <f t="shared" si="2006"/>
        <v>0</v>
      </c>
      <c r="AH666" s="583">
        <f t="shared" si="2007"/>
        <v>0</v>
      </c>
      <c r="AI666" s="582">
        <f t="shared" si="2008"/>
        <v>0</v>
      </c>
      <c r="AJ666" s="569">
        <f t="shared" si="2009"/>
        <v>0</v>
      </c>
      <c r="AK666" s="569" t="str">
        <f t="shared" si="2010"/>
        <v/>
      </c>
      <c r="AL666" s="569">
        <f t="shared" si="2011"/>
        <v>0</v>
      </c>
      <c r="AM666" s="569" t="str">
        <f t="shared" si="2012"/>
        <v/>
      </c>
      <c r="AN666" s="581">
        <f t="shared" si="2013"/>
        <v>0</v>
      </c>
      <c r="AO666" s="623"/>
      <c r="AP666" s="632" t="str">
        <f t="shared" si="1992"/>
        <v/>
      </c>
      <c r="AQ666" s="633">
        <f>IF(AC666=$V$3,IF(VLOOKUP(C666,[1]List1!$A:$E,5,FALSE)=0,1,VLOOKUP(C666,[1]List1!$A:$E,5,FALSE)),"")</f>
        <v>20</v>
      </c>
      <c r="AR666" s="625" t="str">
        <f t="shared" si="1993"/>
        <v/>
      </c>
      <c r="AS666" s="634" t="str">
        <f t="shared" si="1994"/>
        <v/>
      </c>
      <c r="AT666" s="625" t="str">
        <f t="shared" si="1995"/>
        <v/>
      </c>
      <c r="AU666" s="638" t="e">
        <f t="shared" si="1996"/>
        <v>#N/A</v>
      </c>
      <c r="AV666" s="625" t="e">
        <f t="shared" si="1997"/>
        <v>#N/A</v>
      </c>
      <c r="AX666" s="625">
        <f>IF(AND('General price list'!$J666="F4",'General price list'!$AB666+0&gt;0),1,0)</f>
        <v>0</v>
      </c>
      <c r="AY666" s="625">
        <f t="shared" si="1998"/>
        <v>1</v>
      </c>
      <c r="AZ666" s="625">
        <f t="shared" si="1999"/>
        <v>0</v>
      </c>
    </row>
    <row r="667" spans="1:52" ht="15.75" customHeight="1">
      <c r="A667" s="751" t="str">
        <f>Kat.!C667</f>
        <v xml:space="preserve">           Složený ohňostroj 30 mm – F2</v>
      </c>
      <c r="B667" s="751"/>
      <c r="C667" s="751"/>
      <c r="D667" s="751"/>
      <c r="E667" s="751"/>
      <c r="F667" s="751"/>
      <c r="G667" s="751"/>
      <c r="H667" s="751"/>
      <c r="I667" s="752"/>
      <c r="J667" s="752"/>
      <c r="K667" s="752" t="s">
        <v>20</v>
      </c>
      <c r="L667" s="753" t="s">
        <v>2818</v>
      </c>
      <c r="M667" s="752"/>
      <c r="N667" s="752"/>
      <c r="O667" s="752"/>
      <c r="P667" s="752"/>
      <c r="Q667" s="752"/>
      <c r="R667" s="752"/>
      <c r="S667" s="752"/>
      <c r="T667" s="752"/>
      <c r="U667" s="752"/>
      <c r="V667" s="752"/>
      <c r="W667" s="752"/>
      <c r="X667" s="752"/>
      <c r="Y667" s="752"/>
      <c r="Z667" s="752" t="s">
        <v>20</v>
      </c>
      <c r="AA667" s="752"/>
      <c r="AB667" s="752"/>
      <c r="AC667" s="754"/>
      <c r="AD667" s="752"/>
      <c r="AE667" s="752"/>
      <c r="AF667" s="752"/>
      <c r="AG667" s="752"/>
      <c r="AH667" s="752"/>
      <c r="AI667" s="752"/>
      <c r="AJ667" s="752"/>
      <c r="AK667" s="752"/>
      <c r="AL667" s="752"/>
      <c r="AM667" s="752"/>
      <c r="AN667" s="752"/>
      <c r="AO667" s="623"/>
      <c r="AP667" s="625" t="str">
        <f t="shared" si="1992"/>
        <v/>
      </c>
      <c r="AQ667" s="625" t="str">
        <f>IF(AC667=$V$3,IF(VLOOKUP(C667,[1]List1!$A:$E,5,FALSE)=0,1,VLOOKUP(C667,[1]List1!$A:$E,5,FALSE)),"")</f>
        <v/>
      </c>
      <c r="AR667" s="629" t="str">
        <f t="shared" si="1993"/>
        <v/>
      </c>
      <c r="AS667" s="630" t="str">
        <f t="shared" si="1994"/>
        <v/>
      </c>
      <c r="AT667" s="625" t="str">
        <f t="shared" si="1995"/>
        <v/>
      </c>
      <c r="AU667" s="625" t="e">
        <f t="shared" si="1996"/>
        <v>#N/A</v>
      </c>
      <c r="AV667" s="625" t="e">
        <f t="shared" si="1997"/>
        <v>#N/A</v>
      </c>
      <c r="AW667" s="631"/>
      <c r="AX667" s="631">
        <f>IF(AND('General price list'!$J667="F4",'General price list'!$AB667+0&gt;0),1,0)</f>
        <v>0</v>
      </c>
      <c r="AY667" s="631">
        <f t="shared" si="1998"/>
        <v>0</v>
      </c>
      <c r="AZ667" s="631">
        <f t="shared" si="1999"/>
        <v>0</v>
      </c>
    </row>
    <row r="668" spans="1:52" ht="15" customHeight="1">
      <c r="A668" s="639" t="str">
        <f>Kat.!C668</f>
        <v/>
      </c>
      <c r="B668" s="640">
        <f>IF(AND('General price list'!$J668="F4",$AI$1=FALSE),0,IF(AC668="SKLADEM",1,IF(AC668=$V$3,1,0)))</f>
        <v>1</v>
      </c>
      <c r="C668" s="641" t="s">
        <v>2300</v>
      </c>
      <c r="D668" s="642" t="s">
        <v>2301</v>
      </c>
      <c r="E668" s="643" t="s">
        <v>12663</v>
      </c>
      <c r="F668" s="771">
        <f>IFERROR(VLOOKUP(C668,[2]List1!$A:$D,3,FALSE),"NEUVEDENO!")</f>
        <v>1129</v>
      </c>
      <c r="G668" s="768">
        <f t="shared" ref="G668:G678" si="2014">IF($W$17=$AF$8,ROUND((F668)/$F$17,2),(F668)*$B$19)</f>
        <v>1129</v>
      </c>
      <c r="H668" s="765">
        <f t="shared" ref="H668:H678" si="2015">IF($W$17=$AF$8,G668*$B$19,G668/$F$17)</f>
        <v>47.958269084545037</v>
      </c>
      <c r="I668" s="644">
        <f>IFERROR(VLOOKUP(C668,[2]List1!$A:$D,4,FALSE),"NEUVEDENO!")</f>
        <v>1</v>
      </c>
      <c r="J668" s="733" t="s">
        <v>39</v>
      </c>
      <c r="K668" s="645" t="s">
        <v>20</v>
      </c>
      <c r="L668" s="645" t="s">
        <v>10994</v>
      </c>
      <c r="M668" s="645" t="s">
        <v>21</v>
      </c>
      <c r="N668" s="645">
        <f>IFERROR(VLOOKUP(C668,[3]List1!$A:$D,4,FALSE),"N/A!")</f>
        <v>1.6453124999999999E-2</v>
      </c>
      <c r="O668" s="645">
        <f>IFERROR(VLOOKUP(C668,[3]List1!$A:$D,3,FALSE),"N/A!")</f>
        <v>950</v>
      </c>
      <c r="P668" s="645">
        <f>IFERROR(VLOOKUP(C668,[3]List1!$A:$D,2,FALSE),"N/A!")</f>
        <v>6600</v>
      </c>
      <c r="Q668" s="645" t="s">
        <v>11789</v>
      </c>
      <c r="R668" s="645"/>
      <c r="S668" s="645" t="str">
        <f>IF($W$17=$AF$1,"červená fólie",IFERROR(VLOOKUP("červená fólie",Jazyky_ceník!$A:$Q,MATCH($W$17,Jazyky_ceník!$A$1:$Q$1,0),FALSE),"!!!"))</f>
        <v>červená fólie</v>
      </c>
      <c r="T668" s="645">
        <v>40</v>
      </c>
      <c r="U668" s="645">
        <v>40</v>
      </c>
      <c r="V668" s="645">
        <v>24</v>
      </c>
      <c r="W668" s="645" t="str">
        <f>IFERROR(IF(AND($AB668&gt;=0.1*$AA668,MOD($AB668,$AA668)&gt;=($AA668-(0.1*$AA668))),IF($W$17=$AF$1,"Zvažte možnost doobjednání ještě "&amp;Tabulka1[[#This Row],[VKPAL]]-MOD(AB668,AA668)&amp;" VK do plné palety.",VLOOKUP("Zvažte možnost doobjednání ještě ",Jazyky_ceník!A:Q,MATCH($W$17,Jazyky_ceník!$A$1:$Q$1,0),FALSE)&amp;Tabulka1[[#This Row],[VKPAL]]-MOD(AB668,AA668)&amp;VLOOKUP(" VK do plné palety.",Jazyky_ceník!A:Q,MATCH($W$17,Jazyky_ceník!$A$1:$Q$1,0),FALSE)),IFERROR(IF(AND(NOT(MOD($AB668,$AA668)=0),$AB668&gt;=0.9*$AA668,MOD($AB668,$AA668)&lt;=0.1*$AA668),IF($W$17=$AF$1,"Zvažte možnost optimalizace objednaného množství podle počtu VK na paletě ==&gt;",VLOOKUP("Zvažte možnost optimalizace objednaného množství podle počtu VK na paletě ==&gt;",Jazyky_ceník!A:Q,MATCH($W$17,Jazyky_ceník!$A$1:$Q$1,0),FALSE)),VLOOKUP('General price list'!$C668,Popisy!A:M,MATCH($W$17,Popisy!$A$7:$M$7,0),FALSE)),"---------------")),IFERROR(VLOOKUP('General price list'!$C668,Popisy!A:M,MATCH($W$17,Popisy!$A$7:$M$7,0),FALSE),"---------------"))</f>
        <v>zlatá blikajiící vrba</v>
      </c>
      <c r="X668" s="645" t="str">
        <f t="shared" ref="X668:X678" si="2016">IF(AB668&lt;0.0001,"",AB668)</f>
        <v/>
      </c>
      <c r="Y668" s="645" t="str">
        <f t="shared" ref="Y668:Y678" si="2017">IF($AL$3=2,IF(OR(AB668&lt;&gt;"",AB668&lt;&gt;0),AU668,""),IF(C668="","",IF(AB668&lt;0.0001,"",IF(B668=0,"",IF(AQ668&lt;AB668,"",AB668)))))</f>
        <v/>
      </c>
      <c r="Z668" s="645" t="str">
        <f>HYPERLINK("https://www.klasekpyrotechnics.cz/c503bw-c14")</f>
        <v>https://www.klasekpyrotechnics.cz/c503bw-c14</v>
      </c>
      <c r="AA668" s="645" t="str">
        <f>IFERROR(IF(VLOOKUP(C668,[4]List1!$A:$D,4,FALSE)=0,"",VLOOKUP(C668,[4]List1!$A:$D,4,FALSE)),"")</f>
        <v>84</v>
      </c>
      <c r="AB668" s="646"/>
      <c r="AC668" s="647" t="str">
        <f>IFERROR(IF(VLOOKUP(C668,[1]List1!$A:$D,2,FALSE)="VYPRODÁNO",$V$9,IF(VLOOKUP(C668,[1]List1!$A:$D,2,FALSE)="DOCHÁZÍ",$V$3,VLOOKUP(C668,[1]List1!$A:$D,2,FALSE))),"OFFLINE!")</f>
        <v>SKLADEM</v>
      </c>
      <c r="AD668" s="647" t="str">
        <f ca="1">IF(AP668="NE",$V$10,IF(AC668=$V$3,IF(AQ668&lt;1,$V$8,$V$2&amp;" "&amp;AQ668&amp;" "&amp;$V$1),IF(AC668="SKLADEM",$V$6,IFERROR(IF(OR(AC668-TODAY()&gt;45,VLOOKUP(C668,[1]List1!$A:$E,4,FALSE)=0),AC668,DAY(AC668)&amp;"."&amp;MONTH(AC668)&amp;"."&amp;YEAR(AC668)&amp;" "&amp;$V$4&amp;VLOOKUP(C668,[1]List1!$A:$E,4,FALSE)&amp;" "&amp;$V$1),AC668))))</f>
        <v>SKLADEM</v>
      </c>
      <c r="AE668" s="645" t="str">
        <f t="shared" ref="AE668:AE678" ca="1" si="2018">IFERROR(IF(AV668&lt;&gt;"",AV668,AD668),AD668)</f>
        <v>SKLADEM</v>
      </c>
      <c r="AF668" s="648">
        <f t="shared" ref="AF668:AF678" si="2019">IFERROR(IF(AB668=Y668,G668*I668*Y668,0),0)</f>
        <v>0</v>
      </c>
      <c r="AG668" s="649">
        <f t="shared" ref="AG668:AG678" si="2020">IF($W$17=$AF$8,AH668*1.23,AF668*1.21)</f>
        <v>0</v>
      </c>
      <c r="AH668" s="650">
        <f t="shared" ref="AH668:AH678" si="2021">IFERROR(IF(Y668=AB668,H668*I668*Y668,0),0)</f>
        <v>0</v>
      </c>
      <c r="AI668" s="645">
        <f t="shared" ref="AI668:AI678" si="2022">IFERROR(IF(Y668=AB668,(P668*Y668)/1000,1),0)</f>
        <v>0</v>
      </c>
      <c r="AJ668" s="645">
        <f t="shared" ref="AJ668:AJ678" si="2023">IFERROR(IF(Y668=AB668,N668*Y668,0.1),0)</f>
        <v>0</v>
      </c>
      <c r="AK668" s="645" t="str">
        <f t="shared" ref="AK668:AK678" si="2024">IFERROR(IF(Y668=AB668,IF(M668="1.1G",(O668/1000)*Y668,""),""),0)</f>
        <v/>
      </c>
      <c r="AL668" s="645" t="str">
        <f t="shared" ref="AL668:AL678" si="2025">IFERROR(IF(Y668=AB668,IF(M668="1.3G",(O668/1000)*AB668,""),""),0)</f>
        <v/>
      </c>
      <c r="AM668" s="645">
        <f t="shared" ref="AM668:AM678" si="2026">IFERROR(IF(Y668=AB668,IF(M668="1.4G",(O668/1000)*AB668,""),""),0)</f>
        <v>0</v>
      </c>
      <c r="AN668" s="651">
        <f t="shared" ref="AN668:AN678" si="2027">SUM(AK668:AM668)</f>
        <v>0</v>
      </c>
      <c r="AO668" s="623"/>
      <c r="AP668" s="632" t="str">
        <f t="shared" si="1992"/>
        <v/>
      </c>
      <c r="AQ668" s="633" t="str">
        <f>IF(AC668=$V$3,IF(VLOOKUP(C668,[1]List1!$A:$E,5,FALSE)=0,1,VLOOKUP(C668,[1]List1!$A:$E,5,FALSE)),"")</f>
        <v/>
      </c>
      <c r="AR668" s="625" t="str">
        <f t="shared" si="1993"/>
        <v/>
      </c>
      <c r="AS668" s="634" t="str">
        <f t="shared" si="1994"/>
        <v/>
      </c>
      <c r="AT668" s="625" t="str">
        <f t="shared" si="1995"/>
        <v/>
      </c>
      <c r="AU668" s="638" t="e">
        <f t="shared" si="1996"/>
        <v>#N/A</v>
      </c>
      <c r="AV668" s="625" t="e">
        <f t="shared" si="1997"/>
        <v>#N/A</v>
      </c>
      <c r="AX668" s="625">
        <f>IF(AND('General price list'!$J668="F4",'General price list'!$AB668+0&gt;0),1,0)</f>
        <v>0</v>
      </c>
      <c r="AY668" s="625">
        <f t="shared" si="1998"/>
        <v>1</v>
      </c>
      <c r="AZ668" s="625">
        <f t="shared" si="1999"/>
        <v>0</v>
      </c>
    </row>
    <row r="669" spans="1:52" ht="15.75" customHeight="1">
      <c r="A669" s="621" t="str">
        <f>Kat.!C669</f>
        <v>×</v>
      </c>
      <c r="B669" s="566">
        <f>IF(AND('General price list'!$J669="F4",$AI$1=FALSE),0,IF(AC669="SKLADEM",1,IF(AC669=$V$3,1,0)))</f>
        <v>1</v>
      </c>
      <c r="C669" s="567" t="s">
        <v>5082</v>
      </c>
      <c r="D669" s="568" t="s">
        <v>5083</v>
      </c>
      <c r="E669" s="763" t="s">
        <v>12663</v>
      </c>
      <c r="F669" s="772">
        <f>IFERROR(VLOOKUP(C669,[2]List1!$A:$D,3,FALSE),"NEUVEDENO!")</f>
        <v>1129</v>
      </c>
      <c r="G669" s="769">
        <f t="shared" si="2014"/>
        <v>1129</v>
      </c>
      <c r="H669" s="766">
        <f t="shared" si="2015"/>
        <v>47.958269084545037</v>
      </c>
      <c r="I669" s="764">
        <f>IFERROR(VLOOKUP(C669,[2]List1!$A:$D,4,FALSE),"NEUVEDENO!")</f>
        <v>1</v>
      </c>
      <c r="J669" s="732" t="s">
        <v>39</v>
      </c>
      <c r="K669" s="569" t="s">
        <v>20</v>
      </c>
      <c r="L669" s="569" t="s">
        <v>10994</v>
      </c>
      <c r="M669" s="569" t="s">
        <v>21</v>
      </c>
      <c r="N669" s="569">
        <f>IFERROR(VLOOKUP(C669,[3]List1!$A:$D,4,FALSE),"N/A!")</f>
        <v>1.6453124999999999E-2</v>
      </c>
      <c r="O669" s="569">
        <f>IFERROR(VLOOKUP(C669,[3]List1!$A:$D,3,FALSE),"N/A!")</f>
        <v>950</v>
      </c>
      <c r="P669" s="569">
        <f>IFERROR(VLOOKUP(C669,[3]List1!$A:$D,2,FALSE),"N/A!")</f>
        <v>6600</v>
      </c>
      <c r="Q669" s="569" t="s">
        <v>11321</v>
      </c>
      <c r="R669" s="569" t="s">
        <v>20</v>
      </c>
      <c r="S669" s="569" t="str">
        <f>IF($W$17=$AF$1,"červená fólie",IFERROR(VLOOKUP("červená fólie",Jazyky_ceník!$A:$Q,MATCH($W$17,Jazyky_ceník!$A$1:$Q$1,0),FALSE),"!!!"))</f>
        <v>červená fólie</v>
      </c>
      <c r="T669" s="569">
        <v>25</v>
      </c>
      <c r="U669" s="569">
        <v>40</v>
      </c>
      <c r="V669" s="569">
        <v>24</v>
      </c>
      <c r="W669" s="569" t="str">
        <f>IFERROR(IF(AND($AB669&gt;=0.1*$AA669,MOD($AB669,$AA669)&gt;=($AA669-(0.1*$AA669))),IF($W$17=$AF$1,"Zvažte možnost doobjednání ještě "&amp;Tabulka1[[#This Row],[VKPAL]]-MOD(AB669,AA669)&amp;" VK do plné palety.",VLOOKUP("Zvažte možnost doobjednání ještě ",Jazyky_ceník!A:Q,MATCH($W$17,Jazyky_ceník!$A$1:$Q$1,0),FALSE)&amp;Tabulka1[[#This Row],[VKPAL]]-MOD(AB669,AA669)&amp;VLOOKUP(" VK do plné palety.",Jazyky_ceník!A:Q,MATCH($W$17,Jazyky_ceník!$A$1:$Q$1,0),FALSE)),IFERROR(IF(AND(NOT(MOD($AB669,$AA669)=0),$AB669&gt;=0.9*$AA669,MOD($AB669,$AA669)&lt;=0.1*$AA669),IF($W$17=$AF$1,"Zvažte možnost optimalizace objednaného množství podle počtu VK na paletě ==&gt;",VLOOKUP("Zvažte možnost optimalizace objednaného množství podle počtu VK na paletě ==&gt;",Jazyky_ceník!A:Q,MATCH($W$17,Jazyky_ceník!$A$1:$Q$1,0),FALSE)),VLOOKUP('General price list'!$C669,Popisy!A:M,MATCH($W$17,Popisy!$A$7:$M$7,0),FALSE)),"---------------")),IFERROR(VLOOKUP('General price list'!$C669,Popisy!A:M,MATCH($W$17,Popisy!$A$7:$M$7,0),FALSE),"---------------"))</f>
        <v>10 různobarevných efektů</v>
      </c>
      <c r="X669" s="569" t="str">
        <f t="shared" si="2016"/>
        <v/>
      </c>
      <c r="Y669" s="569" t="str">
        <f t="shared" si="2017"/>
        <v/>
      </c>
      <c r="Z669" s="569" t="str">
        <f>HYPERLINK("https://www.klasekpyrotechnics.cz/c503ts-c14")</f>
        <v>https://www.klasekpyrotechnics.cz/c503ts-c14</v>
      </c>
      <c r="AA669" s="569" t="str">
        <f>IFERROR(IF(VLOOKUP(C669,[4]List1!$A:$D,4,FALSE)=0,"",VLOOKUP(C669,[4]List1!$A:$D,4,FALSE)),"")</f>
        <v>84</v>
      </c>
      <c r="AB669" s="565"/>
      <c r="AC669" s="570" t="str">
        <f>IFERROR(IF(VLOOKUP(C669,[1]List1!$A:$D,2,FALSE)="VYPRODÁNO",$V$9,IF(VLOOKUP(C669,[1]List1!$A:$D,2,FALSE)="DOCHÁZÍ",$V$3,VLOOKUP(C669,[1]List1!$A:$D,2,FALSE))),"OFFLINE!")</f>
        <v>SKLADEM</v>
      </c>
      <c r="AD669" s="570" t="str">
        <f ca="1">IF(AP669="NE",$V$10,IF(AC669=$V$3,IF(AQ669&lt;1,$V$8,$V$2&amp;" "&amp;AQ669&amp;" "&amp;$V$1),IF(AC669="SKLADEM",$V$6,IFERROR(IF(OR(AC669-TODAY()&gt;45,VLOOKUP(C669,[1]List1!$A:$E,4,FALSE)=0),AC669,DAY(AC669)&amp;"."&amp;MONTH(AC669)&amp;"."&amp;YEAR(AC669)&amp;" "&amp;$V$4&amp;VLOOKUP(C669,[1]List1!$A:$E,4,FALSE)&amp;" "&amp;$V$1),AC669))))</f>
        <v>SKLADEM</v>
      </c>
      <c r="AE669" s="581" t="str">
        <f t="shared" ca="1" si="2018"/>
        <v>SKLADEM</v>
      </c>
      <c r="AF669" s="584">
        <f t="shared" si="2019"/>
        <v>0</v>
      </c>
      <c r="AG669" s="585">
        <f t="shared" si="2020"/>
        <v>0</v>
      </c>
      <c r="AH669" s="583">
        <f t="shared" si="2021"/>
        <v>0</v>
      </c>
      <c r="AI669" s="582">
        <f t="shared" si="2022"/>
        <v>0</v>
      </c>
      <c r="AJ669" s="569">
        <f t="shared" si="2023"/>
        <v>0</v>
      </c>
      <c r="AK669" s="569" t="str">
        <f t="shared" si="2024"/>
        <v/>
      </c>
      <c r="AL669" s="569" t="str">
        <f t="shared" si="2025"/>
        <v/>
      </c>
      <c r="AM669" s="569">
        <f t="shared" si="2026"/>
        <v>0</v>
      </c>
      <c r="AN669" s="581">
        <f t="shared" si="2027"/>
        <v>0</v>
      </c>
      <c r="AO669" s="623"/>
      <c r="AP669" s="625" t="str">
        <f t="shared" si="1992"/>
        <v/>
      </c>
      <c r="AQ669" s="625" t="str">
        <f>IF(AC669=$V$3,IF(VLOOKUP(C669,[1]List1!$A:$E,5,FALSE)=0,1,VLOOKUP(C669,[1]List1!$A:$E,5,FALSE)),"")</f>
        <v/>
      </c>
      <c r="AR669" s="629" t="str">
        <f t="shared" si="1993"/>
        <v/>
      </c>
      <c r="AS669" s="630" t="str">
        <f t="shared" si="1994"/>
        <v/>
      </c>
      <c r="AT669" s="625" t="str">
        <f t="shared" si="1995"/>
        <v/>
      </c>
      <c r="AU669" s="625" t="e">
        <f t="shared" si="1996"/>
        <v>#N/A</v>
      </c>
      <c r="AV669" s="625" t="e">
        <f t="shared" si="1997"/>
        <v>#N/A</v>
      </c>
      <c r="AW669" s="631"/>
      <c r="AX669" s="631">
        <f>IF(AND('General price list'!$J669="F4",'General price list'!$AB669+0&gt;0),1,0)</f>
        <v>0</v>
      </c>
      <c r="AY669" s="631">
        <f t="shared" si="1998"/>
        <v>1</v>
      </c>
      <c r="AZ669" s="631">
        <f t="shared" si="1999"/>
        <v>0</v>
      </c>
    </row>
    <row r="670" spans="1:52" ht="15" customHeight="1">
      <c r="A670" s="639" t="str">
        <f>Kat.!C670</f>
        <v/>
      </c>
      <c r="B670" s="640">
        <f>IF(AND('General price list'!$J670="F4",$AI$1=FALSE),0,IF(AC670="SKLADEM",1,IF(AC670=$V$3,1,0)))</f>
        <v>1</v>
      </c>
      <c r="C670" s="641" t="s">
        <v>1383</v>
      </c>
      <c r="D670" s="642" t="s">
        <v>1384</v>
      </c>
      <c r="E670" s="643" t="s">
        <v>12663</v>
      </c>
      <c r="F670" s="771">
        <f>IFERROR(VLOOKUP(C670,[2]List1!$A:$D,3,FALSE),"NEUVEDENO!")</f>
        <v>1129</v>
      </c>
      <c r="G670" s="768">
        <f t="shared" si="2014"/>
        <v>1129</v>
      </c>
      <c r="H670" s="765">
        <f t="shared" si="2015"/>
        <v>47.958269084545037</v>
      </c>
      <c r="I670" s="644">
        <f>IFERROR(VLOOKUP(C670,[2]List1!$A:$D,4,FALSE),"NEUVEDENO!")</f>
        <v>1</v>
      </c>
      <c r="J670" s="733" t="s">
        <v>39</v>
      </c>
      <c r="K670" s="645" t="s">
        <v>20</v>
      </c>
      <c r="L670" s="645" t="s">
        <v>10994</v>
      </c>
      <c r="M670" s="645" t="s">
        <v>21</v>
      </c>
      <c r="N670" s="645">
        <f>IFERROR(VLOOKUP(C670,[3]List1!$A:$D,4,FALSE),"N/A!")</f>
        <v>1.6453124999999999E-2</v>
      </c>
      <c r="O670" s="645">
        <f>IFERROR(VLOOKUP(C670,[3]List1!$A:$D,3,FALSE),"N/A!")</f>
        <v>950</v>
      </c>
      <c r="P670" s="645">
        <f>IFERROR(VLOOKUP(C670,[3]List1!$A:$D,2,FALSE),"N/A!")</f>
        <v>6600</v>
      </c>
      <c r="Q670" s="645" t="s">
        <v>11789</v>
      </c>
      <c r="R670" s="645"/>
      <c r="S670" s="645" t="str">
        <f>IF($W$17=$AF$1,"červená fólie",IFERROR(VLOOKUP("červená fólie",Jazyky_ceník!$A:$Q,MATCH($W$17,Jazyky_ceník!$A$1:$Q$1,0),FALSE),"!!!"))</f>
        <v>červená fólie</v>
      </c>
      <c r="T670" s="645">
        <v>60</v>
      </c>
      <c r="U670" s="645">
        <v>40</v>
      </c>
      <c r="V670" s="645">
        <v>24</v>
      </c>
      <c r="W670" s="645" t="str">
        <f>IFERROR(IF(AND($AB670&gt;=0.1*$AA670,MOD($AB670,$AA670)&gt;=($AA670-(0.1*$AA670))),IF($W$17=$AF$1,"Zvažte možnost doobjednání ještě "&amp;Tabulka1[[#This Row],[VKPAL]]-MOD(AB670,AA670)&amp;" VK do plné palety.",VLOOKUP("Zvažte možnost doobjednání ještě ",Jazyky_ceník!A:Q,MATCH($W$17,Jazyky_ceník!$A$1:$Q$1,0),FALSE)&amp;Tabulka1[[#This Row],[VKPAL]]-MOD(AB670,AA670)&amp;VLOOKUP(" VK do plné palety.",Jazyky_ceník!A:Q,MATCH($W$17,Jazyky_ceník!$A$1:$Q$1,0),FALSE)),IFERROR(IF(AND(NOT(MOD($AB670,$AA670)=0),$AB670&gt;=0.9*$AA670,MOD($AB670,$AA670)&lt;=0.1*$AA670),IF($W$17=$AF$1,"Zvažte možnost optimalizace objednaného množství podle počtu VK na paletě ==&gt;",VLOOKUP("Zvažte možnost optimalizace objednaného množství podle počtu VK na paletě ==&gt;",Jazyky_ceník!A:Q,MATCH($W$17,Jazyky_ceník!$A$1:$Q$1,0),FALSE)),VLOOKUP('General price list'!$C670,Popisy!A:M,MATCH($W$17,Popisy!$A$7:$M$7,0),FALSE)),"---------------")),IFERROR(VLOOKUP('General price list'!$C670,Popisy!A:M,MATCH($W$17,Popisy!$A$7:$M$7,0),FALSE),"---------------"))</f>
        <v>10 různobarevných efektů</v>
      </c>
      <c r="X670" s="645" t="str">
        <f t="shared" si="2016"/>
        <v/>
      </c>
      <c r="Y670" s="645" t="str">
        <f t="shared" si="2017"/>
        <v/>
      </c>
      <c r="Z670" s="645" t="str">
        <f>HYPERLINK("https://www.klasekpyrotechnics.cz/c503ro-c14")</f>
        <v>https://www.klasekpyrotechnics.cz/c503ro-c14</v>
      </c>
      <c r="AA670" s="645" t="str">
        <f>IFERROR(IF(VLOOKUP(C670,[4]List1!$A:$D,4,FALSE)=0,"",VLOOKUP(C670,[4]List1!$A:$D,4,FALSE)),"")</f>
        <v>84</v>
      </c>
      <c r="AB670" s="646"/>
      <c r="AC670" s="647" t="str">
        <f>IFERROR(IF(VLOOKUP(C670,[1]List1!$A:$D,2,FALSE)="VYPRODÁNO",$V$9,IF(VLOOKUP(C670,[1]List1!$A:$D,2,FALSE)="DOCHÁZÍ",$V$3,VLOOKUP(C670,[1]List1!$A:$D,2,FALSE))),"OFFLINE!")</f>
        <v>SKLADEM</v>
      </c>
      <c r="AD670" s="647" t="str">
        <f ca="1">IF(AP670="NE",$V$10,IF(AC670=$V$3,IF(AQ670&lt;1,$V$8,$V$2&amp;" "&amp;AQ670&amp;" "&amp;$V$1),IF(AC670="SKLADEM",$V$6,IFERROR(IF(OR(AC670-TODAY()&gt;45,VLOOKUP(C670,[1]List1!$A:$E,4,FALSE)=0),AC670,DAY(AC670)&amp;"."&amp;MONTH(AC670)&amp;"."&amp;YEAR(AC670)&amp;" "&amp;$V$4&amp;VLOOKUP(C670,[1]List1!$A:$E,4,FALSE)&amp;" "&amp;$V$1),AC670))))</f>
        <v>SKLADEM</v>
      </c>
      <c r="AE670" s="645" t="str">
        <f t="shared" ca="1" si="2018"/>
        <v>SKLADEM</v>
      </c>
      <c r="AF670" s="648">
        <f t="shared" si="2019"/>
        <v>0</v>
      </c>
      <c r="AG670" s="649">
        <f t="shared" si="2020"/>
        <v>0</v>
      </c>
      <c r="AH670" s="650">
        <f t="shared" si="2021"/>
        <v>0</v>
      </c>
      <c r="AI670" s="645">
        <f t="shared" si="2022"/>
        <v>0</v>
      </c>
      <c r="AJ670" s="645">
        <f t="shared" si="2023"/>
        <v>0</v>
      </c>
      <c r="AK670" s="645" t="str">
        <f t="shared" si="2024"/>
        <v/>
      </c>
      <c r="AL670" s="645" t="str">
        <f t="shared" si="2025"/>
        <v/>
      </c>
      <c r="AM670" s="645">
        <f t="shared" si="2026"/>
        <v>0</v>
      </c>
      <c r="AN670" s="651">
        <f t="shared" si="2027"/>
        <v>0</v>
      </c>
      <c r="AO670" s="623"/>
      <c r="AP670" s="632" t="str">
        <f t="shared" si="1992"/>
        <v/>
      </c>
      <c r="AQ670" s="633" t="str">
        <f>IF(AC670=$V$3,IF(VLOOKUP(C670,[1]List1!$A:$E,5,FALSE)=0,1,VLOOKUP(C670,[1]List1!$A:$E,5,FALSE)),"")</f>
        <v/>
      </c>
      <c r="AR670" s="625" t="str">
        <f t="shared" si="1993"/>
        <v/>
      </c>
      <c r="AS670" s="634" t="str">
        <f t="shared" si="1994"/>
        <v/>
      </c>
      <c r="AT670" s="625" t="str">
        <f t="shared" si="1995"/>
        <v/>
      </c>
      <c r="AU670" s="638" t="e">
        <f t="shared" si="1996"/>
        <v>#N/A</v>
      </c>
      <c r="AV670" s="625" t="e">
        <f t="shared" si="1997"/>
        <v>#N/A</v>
      </c>
      <c r="AX670" s="625">
        <f>IF(AND('General price list'!$J670="F4",'General price list'!$AB670+0&gt;0),1,0)</f>
        <v>0</v>
      </c>
      <c r="AY670" s="625">
        <f t="shared" si="1998"/>
        <v>1</v>
      </c>
      <c r="AZ670" s="625">
        <f t="shared" si="1999"/>
        <v>0</v>
      </c>
    </row>
    <row r="671" spans="1:52" ht="15.75" customHeight="1">
      <c r="A671" s="621" t="str">
        <f>Kat.!C671</f>
        <v/>
      </c>
      <c r="B671" s="566">
        <f>IF(AND('General price list'!$J671="F4",$AI$1=FALSE),0,IF(AC671="SKLADEM",1,IF(AC671=$V$3,1,0)))</f>
        <v>1</v>
      </c>
      <c r="C671" s="567" t="s">
        <v>1385</v>
      </c>
      <c r="D671" s="568" t="s">
        <v>1386</v>
      </c>
      <c r="E671" s="763" t="s">
        <v>12663</v>
      </c>
      <c r="F671" s="772">
        <f>IFERROR(VLOOKUP(C671,[2]List1!$A:$D,3,FALSE),"NEUVEDENO!")</f>
        <v>1129</v>
      </c>
      <c r="G671" s="769">
        <f t="shared" si="2014"/>
        <v>1129</v>
      </c>
      <c r="H671" s="766">
        <f t="shared" si="2015"/>
        <v>47.958269084545037</v>
      </c>
      <c r="I671" s="764">
        <f>IFERROR(VLOOKUP(C671,[2]List1!$A:$D,4,FALSE),"NEUVEDENO!")</f>
        <v>1</v>
      </c>
      <c r="J671" s="732" t="s">
        <v>39</v>
      </c>
      <c r="K671" s="569" t="s">
        <v>20</v>
      </c>
      <c r="L671" s="569" t="s">
        <v>10973</v>
      </c>
      <c r="M671" s="569" t="s">
        <v>21</v>
      </c>
      <c r="N671" s="569">
        <f>IFERROR(VLOOKUP(C671,[3]List1!$A:$D,4,FALSE),"N/A!")</f>
        <v>1.6453124999999999E-2</v>
      </c>
      <c r="O671" s="569">
        <f>IFERROR(VLOOKUP(C671,[3]List1!$A:$D,3,FALSE),"N/A!")</f>
        <v>950</v>
      </c>
      <c r="P671" s="569">
        <f>IFERROR(VLOOKUP(C671,[3]List1!$A:$D,2,FALSE),"N/A!")</f>
        <v>7000</v>
      </c>
      <c r="Q671" s="569" t="s">
        <v>11789</v>
      </c>
      <c r="R671" s="569"/>
      <c r="S671" s="569" t="str">
        <f>IF($W$17=$AF$1,"červená fólie",IFERROR(VLOOKUP("červená fólie",Jazyky_ceník!$A:$Q,MATCH($W$17,Jazyky_ceník!$A$1:$Q$1,0),FALSE),"!!!"))</f>
        <v>červená fólie</v>
      </c>
      <c r="T671" s="569">
        <v>60</v>
      </c>
      <c r="U671" s="569">
        <v>40</v>
      </c>
      <c r="V671" s="569">
        <v>24</v>
      </c>
      <c r="W671" s="569" t="str">
        <f>IFERROR(IF(AND($AB671&gt;=0.1*$AA671,MOD($AB671,$AA671)&gt;=($AA671-(0.1*$AA671))),IF($W$17=$AF$1,"Zvažte možnost doobjednání ještě "&amp;Tabulka1[[#This Row],[VKPAL]]-MOD(AB671,AA671)&amp;" VK do plné palety.",VLOOKUP("Zvažte možnost doobjednání ještě ",Jazyky_ceník!A:Q,MATCH($W$17,Jazyky_ceník!$A$1:$Q$1,0),FALSE)&amp;Tabulka1[[#This Row],[VKPAL]]-MOD(AB671,AA671)&amp;VLOOKUP(" VK do plné palety.",Jazyky_ceník!A:Q,MATCH($W$17,Jazyky_ceník!$A$1:$Q$1,0),FALSE)),IFERROR(IF(AND(NOT(MOD($AB671,$AA671)=0),$AB671&gt;=0.9*$AA671,MOD($AB671,$AA671)&lt;=0.1*$AA671),IF($W$17=$AF$1,"Zvažte možnost optimalizace objednaného množství podle počtu VK na paletě ==&gt;",VLOOKUP("Zvažte možnost optimalizace objednaného množství podle počtu VK na paletě ==&gt;",Jazyky_ceník!A:Q,MATCH($W$17,Jazyky_ceník!$A$1:$Q$1,0),FALSE)),VLOOKUP('General price list'!$C671,Popisy!A:M,MATCH($W$17,Popisy!$A$7:$M$7,0),FALSE)),"---------------")),IFERROR(VLOOKUP('General price list'!$C671,Popisy!A:M,MATCH($W$17,Popisy!$A$7:$M$7,0),FALSE),"---------------"))</f>
        <v>10 různobarevných efektů</v>
      </c>
      <c r="X671" s="569" t="str">
        <f t="shared" si="2016"/>
        <v/>
      </c>
      <c r="Y671" s="569" t="str">
        <f t="shared" si="2017"/>
        <v/>
      </c>
      <c r="Z671" s="569" t="str">
        <f>HYPERLINK("https://www.klasekpyrotechnics.cz/c503f-c14")</f>
        <v>https://www.klasekpyrotechnics.cz/c503f-c14</v>
      </c>
      <c r="AA671" s="569" t="str">
        <f>IFERROR(IF(VLOOKUP(C671,[4]List1!$A:$D,4,FALSE)=0,"",VLOOKUP(C671,[4]List1!$A:$D,4,FALSE)),"")</f>
        <v>84</v>
      </c>
      <c r="AB671" s="565"/>
      <c r="AC671" s="570" t="str">
        <f>IFERROR(IF(VLOOKUP(C671,[1]List1!$A:$D,2,FALSE)="VYPRODÁNO",$V$9,IF(VLOOKUP(C671,[1]List1!$A:$D,2,FALSE)="DOCHÁZÍ",$V$3,VLOOKUP(C671,[1]List1!$A:$D,2,FALSE))),"OFFLINE!")</f>
        <v>SKLADEM</v>
      </c>
      <c r="AD671" s="570" t="str">
        <f ca="1">IF(AP671="NE",$V$10,IF(AC671=$V$3,IF(AQ671&lt;1,$V$8,$V$2&amp;" "&amp;AQ671&amp;" "&amp;$V$1),IF(AC671="SKLADEM",$V$6,IFERROR(IF(OR(AC671-TODAY()&gt;45,VLOOKUP(C671,[1]List1!$A:$E,4,FALSE)=0),AC671,DAY(AC671)&amp;"."&amp;MONTH(AC671)&amp;"."&amp;YEAR(AC671)&amp;" "&amp;$V$4&amp;VLOOKUP(C671,[1]List1!$A:$E,4,FALSE)&amp;" "&amp;$V$1),AC671))))</f>
        <v>SKLADEM</v>
      </c>
      <c r="AE671" s="581" t="str">
        <f t="shared" ca="1" si="2018"/>
        <v>SKLADEM</v>
      </c>
      <c r="AF671" s="584">
        <f t="shared" si="2019"/>
        <v>0</v>
      </c>
      <c r="AG671" s="585">
        <f t="shared" si="2020"/>
        <v>0</v>
      </c>
      <c r="AH671" s="583">
        <f t="shared" si="2021"/>
        <v>0</v>
      </c>
      <c r="AI671" s="582">
        <f t="shared" si="2022"/>
        <v>0</v>
      </c>
      <c r="AJ671" s="569">
        <f t="shared" si="2023"/>
        <v>0</v>
      </c>
      <c r="AK671" s="569" t="str">
        <f t="shared" si="2024"/>
        <v/>
      </c>
      <c r="AL671" s="569" t="str">
        <f t="shared" si="2025"/>
        <v/>
      </c>
      <c r="AM671" s="569">
        <f t="shared" si="2026"/>
        <v>0</v>
      </c>
      <c r="AN671" s="581">
        <f t="shared" si="2027"/>
        <v>0</v>
      </c>
      <c r="AO671" s="623"/>
      <c r="AP671" s="625" t="str">
        <f t="shared" si="1992"/>
        <v/>
      </c>
      <c r="AQ671" s="625" t="str">
        <f>IF(AC671=$V$3,IF(VLOOKUP(C671,[1]List1!$A:$E,5,FALSE)=0,1,VLOOKUP(C671,[1]List1!$A:$E,5,FALSE)),"")</f>
        <v/>
      </c>
      <c r="AR671" s="629" t="str">
        <f t="shared" si="1993"/>
        <v/>
      </c>
      <c r="AS671" s="630" t="str">
        <f t="shared" si="1994"/>
        <v/>
      </c>
      <c r="AT671" s="625" t="str">
        <f t="shared" si="1995"/>
        <v/>
      </c>
      <c r="AU671" s="625" t="e">
        <f t="shared" si="1996"/>
        <v>#N/A</v>
      </c>
      <c r="AV671" s="625" t="e">
        <f t="shared" si="1997"/>
        <v>#N/A</v>
      </c>
      <c r="AW671" s="631"/>
      <c r="AX671" s="631">
        <f>IF(AND('General price list'!$J671="F4",'General price list'!$AB671+0&gt;0),1,0)</f>
        <v>0</v>
      </c>
      <c r="AY671" s="631">
        <f t="shared" si="1998"/>
        <v>1</v>
      </c>
      <c r="AZ671" s="631">
        <f t="shared" si="1999"/>
        <v>0</v>
      </c>
    </row>
    <row r="672" spans="1:52" ht="15" customHeight="1">
      <c r="A672" s="639" t="str">
        <f>Kat.!C672</f>
        <v/>
      </c>
      <c r="B672" s="640">
        <f>IF(AND('General price list'!$J672="F4",$AI$1=FALSE),0,IF(AC672="SKLADEM",1,IF(AC672=$V$3,1,0)))</f>
        <v>1</v>
      </c>
      <c r="C672" s="641" t="s">
        <v>1387</v>
      </c>
      <c r="D672" s="642" t="s">
        <v>11737</v>
      </c>
      <c r="E672" s="643" t="s">
        <v>12663</v>
      </c>
      <c r="F672" s="771">
        <f>IFERROR(VLOOKUP(C672,[2]List1!$A:$D,3,FALSE),"NEUVEDENO!")</f>
        <v>1345</v>
      </c>
      <c r="G672" s="768">
        <f t="shared" si="2014"/>
        <v>1345</v>
      </c>
      <c r="H672" s="765">
        <f t="shared" si="2015"/>
        <v>57.133633231809632</v>
      </c>
      <c r="I672" s="644">
        <f>IFERROR(VLOOKUP(C672,[2]List1!$A:$D,4,FALSE),"NEUVEDENO!")</f>
        <v>1</v>
      </c>
      <c r="J672" s="733" t="s">
        <v>39</v>
      </c>
      <c r="K672" s="645" t="s">
        <v>20</v>
      </c>
      <c r="L672" s="645" t="s">
        <v>10981</v>
      </c>
      <c r="M672" s="645" t="s">
        <v>21</v>
      </c>
      <c r="N672" s="645">
        <f>IFERROR(VLOOKUP(C672,[3]List1!$A:$D,4,FALSE),"N/A!")</f>
        <v>1.6453124999999999E-2</v>
      </c>
      <c r="O672" s="645">
        <f>IFERROR(VLOOKUP(C672,[3]List1!$A:$D,3,FALSE),"N/A!")</f>
        <v>1000</v>
      </c>
      <c r="P672" s="645">
        <f>IFERROR(VLOOKUP(C672,[3]List1!$A:$D,2,FALSE),"N/A!")</f>
        <v>7000</v>
      </c>
      <c r="Q672" s="645" t="s">
        <v>11302</v>
      </c>
      <c r="R672" s="645"/>
      <c r="S672" s="645" t="str">
        <f>IF($W$17=$AF$1,"červená fólie",IFERROR(VLOOKUP("červená fólie",Jazyky_ceník!$A:$Q,MATCH($W$17,Jazyky_ceník!$A$1:$Q$1,0),FALSE),"!!!"))</f>
        <v>červená fólie</v>
      </c>
      <c r="T672" s="645">
        <v>50</v>
      </c>
      <c r="U672" s="645">
        <v>44</v>
      </c>
      <c r="V672" s="645">
        <v>26</v>
      </c>
      <c r="W672" s="645" t="str">
        <f>IFERROR(IF(AND($AB672&gt;=0.1*$AA672,MOD($AB672,$AA672)&gt;=($AA672-(0.1*$AA672))),IF($W$17=$AF$1,"Zvažte možnost doobjednání ještě "&amp;Tabulka1[[#This Row],[VKPAL]]-MOD(AB672,AA672)&amp;" VK do plné palety.",VLOOKUP("Zvažte možnost doobjednání ještě ",Jazyky_ceník!A:Q,MATCH($W$17,Jazyky_ceník!$A$1:$Q$1,0),FALSE)&amp;Tabulka1[[#This Row],[VKPAL]]-MOD(AB672,AA672)&amp;VLOOKUP(" VK do plné palety.",Jazyky_ceník!A:Q,MATCH($W$17,Jazyky_ceník!$A$1:$Q$1,0),FALSE)),IFERROR(IF(AND(NOT(MOD($AB672,$AA672)=0),$AB672&gt;=0.9*$AA672,MOD($AB672,$AA672)&lt;=0.1*$AA672),IF($W$17=$AF$1,"Zvažte možnost optimalizace objednaného množství podle počtu VK na paletě ==&gt;",VLOOKUP("Zvažte možnost optimalizace objednaného množství podle počtu VK na paletě ==&gt;",Jazyky_ceník!A:Q,MATCH($W$17,Jazyky_ceník!$A$1:$Q$1,0),FALSE)),VLOOKUP('General price list'!$C672,Popisy!A:M,MATCH($W$17,Popisy!$A$7:$M$7,0),FALSE)),"---------------")),IFERROR(VLOOKUP('General price list'!$C672,Popisy!A:M,MATCH($W$17,Popisy!$A$7:$M$7,0),FALSE),"---------------"))</f>
        <v>10 různobarevných efektů</v>
      </c>
      <c r="X672" s="645" t="str">
        <f t="shared" si="2016"/>
        <v/>
      </c>
      <c r="Y672" s="645" t="str">
        <f t="shared" si="2017"/>
        <v/>
      </c>
      <c r="Z672" s="645" t="str">
        <f>HYPERLINK("https://www.klasekpyrotechnics.cz/c503sig-c14")</f>
        <v>https://www.klasekpyrotechnics.cz/c503sig-c14</v>
      </c>
      <c r="AA672" s="645" t="str">
        <f>IFERROR(IF(VLOOKUP(C672,[4]List1!$A:$D,4,FALSE)=0,"",VLOOKUP(C672,[4]List1!$A:$D,4,FALSE)),"")</f>
        <v>84</v>
      </c>
      <c r="AB672" s="646"/>
      <c r="AC672" s="647" t="str">
        <f>IFERROR(IF(VLOOKUP(C672,[1]List1!$A:$D,2,FALSE)="VYPRODÁNO",$V$9,IF(VLOOKUP(C672,[1]List1!$A:$D,2,FALSE)="DOCHÁZÍ",$V$3,VLOOKUP(C672,[1]List1!$A:$D,2,FALSE))),"OFFLINE!")</f>
        <v>SKLADEM</v>
      </c>
      <c r="AD672" s="647" t="str">
        <f ca="1">IF(AP672="NE",$V$10,IF(AC672=$V$3,IF(AQ672&lt;1,$V$8,$V$2&amp;" "&amp;AQ672&amp;" "&amp;$V$1),IF(AC672="SKLADEM",$V$6,IFERROR(IF(OR(AC672-TODAY()&gt;45,VLOOKUP(C672,[1]List1!$A:$E,4,FALSE)=0),AC672,DAY(AC672)&amp;"."&amp;MONTH(AC672)&amp;"."&amp;YEAR(AC672)&amp;" "&amp;$V$4&amp;VLOOKUP(C672,[1]List1!$A:$E,4,FALSE)&amp;" "&amp;$V$1),AC672))))</f>
        <v>SKLADEM</v>
      </c>
      <c r="AE672" s="645" t="str">
        <f t="shared" ca="1" si="2018"/>
        <v>SKLADEM</v>
      </c>
      <c r="AF672" s="648">
        <f t="shared" si="2019"/>
        <v>0</v>
      </c>
      <c r="AG672" s="649">
        <f t="shared" si="2020"/>
        <v>0</v>
      </c>
      <c r="AH672" s="650">
        <f t="shared" si="2021"/>
        <v>0</v>
      </c>
      <c r="AI672" s="645">
        <f t="shared" si="2022"/>
        <v>0</v>
      </c>
      <c r="AJ672" s="645">
        <f t="shared" si="2023"/>
        <v>0</v>
      </c>
      <c r="AK672" s="645" t="str">
        <f t="shared" si="2024"/>
        <v/>
      </c>
      <c r="AL672" s="645" t="str">
        <f t="shared" si="2025"/>
        <v/>
      </c>
      <c r="AM672" s="645">
        <f t="shared" si="2026"/>
        <v>0</v>
      </c>
      <c r="AN672" s="651">
        <f t="shared" si="2027"/>
        <v>0</v>
      </c>
      <c r="AO672" s="623"/>
      <c r="AP672" s="632" t="str">
        <f t="shared" si="1992"/>
        <v/>
      </c>
      <c r="AQ672" s="633" t="str">
        <f>IF(AC672=$V$3,IF(VLOOKUP(C672,[1]List1!$A:$E,5,FALSE)=0,1,VLOOKUP(C672,[1]List1!$A:$E,5,FALSE)),"")</f>
        <v/>
      </c>
      <c r="AR672" s="625" t="str">
        <f t="shared" si="1993"/>
        <v/>
      </c>
      <c r="AS672" s="634" t="str">
        <f t="shared" si="1994"/>
        <v/>
      </c>
      <c r="AT672" s="625" t="str">
        <f t="shared" si="1995"/>
        <v/>
      </c>
      <c r="AU672" s="638" t="e">
        <f t="shared" si="1996"/>
        <v>#N/A</v>
      </c>
      <c r="AV672" s="625" t="e">
        <f t="shared" si="1997"/>
        <v>#N/A</v>
      </c>
      <c r="AX672" s="625">
        <f>IF(AND('General price list'!$J672="F4",'General price list'!$AB672+0&gt;0),1,0)</f>
        <v>0</v>
      </c>
      <c r="AY672" s="625">
        <f t="shared" si="1998"/>
        <v>1</v>
      </c>
      <c r="AZ672" s="625">
        <f t="shared" si="1999"/>
        <v>0</v>
      </c>
    </row>
    <row r="673" spans="1:52" ht="15.75" customHeight="1">
      <c r="A673" s="621" t="str">
        <f>Kat.!C673</f>
        <v/>
      </c>
      <c r="B673" s="566">
        <f>IF(AND('General price list'!$J673="F4",$AI$1=FALSE),0,IF(AC673="SKLADEM",1,IF(AC673=$V$3,1,0)))</f>
        <v>1</v>
      </c>
      <c r="C673" s="567" t="s">
        <v>2302</v>
      </c>
      <c r="D673" s="568" t="s">
        <v>11738</v>
      </c>
      <c r="E673" s="763" t="s">
        <v>12663</v>
      </c>
      <c r="F673" s="791">
        <f>IFERROR(VLOOKUP(C673,[2]List1!$A:$D,3,FALSE),"NEUVEDENO!")</f>
        <v>1999</v>
      </c>
      <c r="G673" s="769">
        <f t="shared" si="2014"/>
        <v>1999</v>
      </c>
      <c r="H673" s="766">
        <f t="shared" si="2015"/>
        <v>84.914596899916319</v>
      </c>
      <c r="I673" s="764">
        <f>IFERROR(VLOOKUP(C673,[2]List1!$A:$D,4,FALSE),"NEUVEDENO!")</f>
        <v>1</v>
      </c>
      <c r="J673" s="732" t="s">
        <v>39</v>
      </c>
      <c r="K673" s="569" t="s">
        <v>11100</v>
      </c>
      <c r="L673" s="569" t="s">
        <v>10973</v>
      </c>
      <c r="M673" s="569" t="s">
        <v>21</v>
      </c>
      <c r="N673" s="569">
        <f>IFERROR(VLOOKUP(C673,[3]List1!$A:$D,4,FALSE),"N/A!")</f>
        <v>3.1640624999999999E-2</v>
      </c>
      <c r="O673" s="569">
        <f>IFERROR(VLOOKUP(C673,[3]List1!$A:$D,3,FALSE),"N/A!")</f>
        <v>1900</v>
      </c>
      <c r="P673" s="569">
        <f>IFERROR(VLOOKUP(C673,[3]List1!$A:$D,2,FALSE),"N/A!")</f>
        <v>13400</v>
      </c>
      <c r="Q673" s="569" t="s">
        <v>11276</v>
      </c>
      <c r="R673" s="569" t="s">
        <v>20</v>
      </c>
      <c r="S673" s="569" t="str">
        <f>IF($W$17=$AF$1,"červená fólie",IFERROR(VLOOKUP("červená fólie",Jazyky_ceník!$A:$Q,MATCH($W$17,Jazyky_ceník!$A$1:$Q$1,0),FALSE),"!!!"))</f>
        <v>červená fólie</v>
      </c>
      <c r="T673" s="569">
        <v>110</v>
      </c>
      <c r="U673" s="569">
        <v>40</v>
      </c>
      <c r="V673" s="569">
        <v>24</v>
      </c>
      <c r="W673" s="569" t="str">
        <f>IFERROR(IF(AND($AB673&gt;=0.1*$AA673,MOD($AB673,$AA673)&gt;=($AA673-(0.1*$AA673))),IF($W$17=$AF$1,"Zvažte možnost doobjednání ještě "&amp;Tabulka1[[#This Row],[VKPAL]]-MOD(AB673,AA673)&amp;" VK do plné palety.",VLOOKUP("Zvažte možnost doobjednání ještě ",Jazyky_ceník!A:Q,MATCH($W$17,Jazyky_ceník!$A$1:$Q$1,0),FALSE)&amp;Tabulka1[[#This Row],[VKPAL]]-MOD(AB673,AA673)&amp;VLOOKUP(" VK do plné palety.",Jazyky_ceník!A:Q,MATCH($W$17,Jazyky_ceník!$A$1:$Q$1,0),FALSE)),IFERROR(IF(AND(NOT(MOD($AB673,$AA673)=0),$AB673&gt;=0.9*$AA673,MOD($AB673,$AA673)&lt;=0.1*$AA673),IF($W$17=$AF$1,"Zvažte možnost optimalizace objednaného množství podle počtu VK na paletě ==&gt;",VLOOKUP("Zvažte možnost optimalizace objednaného množství podle počtu VK na paletě ==&gt;",Jazyky_ceník!A:Q,MATCH($W$17,Jazyky_ceník!$A$1:$Q$1,0),FALSE)),VLOOKUP('General price list'!$C673,Popisy!A:M,MATCH($W$17,Popisy!$A$7:$M$7,0),FALSE)),"---------------")),IFERROR(VLOOKUP('General price list'!$C673,Popisy!A:M,MATCH($W$17,Popisy!$A$7:$M$7,0),FALSE),"---------------"))</f>
        <v>20 různobarevných efektů</v>
      </c>
      <c r="X673" s="569" t="str">
        <f t="shared" si="2016"/>
        <v/>
      </c>
      <c r="Y673" s="569" t="str">
        <f t="shared" si="2017"/>
        <v/>
      </c>
      <c r="Z673" s="569" t="str">
        <f>HYPERLINK("https://www.klasekpyrotechnics.cz/c1003f-c14")</f>
        <v>https://www.klasekpyrotechnics.cz/c1003f-c14</v>
      </c>
      <c r="AA673" s="569">
        <f>IFERROR(IF(VLOOKUP(C673,[4]List1!$A:$D,4,FALSE)=0,"",VLOOKUP(C673,[4]List1!$A:$D,4,FALSE)),"")</f>
        <v>36</v>
      </c>
      <c r="AB673" s="565"/>
      <c r="AC673" s="570" t="str">
        <f>IFERROR(IF(VLOOKUP(C673,[1]List1!$A:$D,2,FALSE)="VYPRODÁNO",$V$9,IF(VLOOKUP(C673,[1]List1!$A:$D,2,FALSE)="DOCHÁZÍ",$V$3,VLOOKUP(C673,[1]List1!$A:$D,2,FALSE))),"OFFLINE!")</f>
        <v>SKLADEM</v>
      </c>
      <c r="AD673" s="570" t="str">
        <f ca="1">IF(AP673="NE",$V$10,IF(AC673=$V$3,IF(AQ673&lt;1,$V$8,$V$2&amp;" "&amp;AQ673&amp;" "&amp;$V$1),IF(AC673="SKLADEM",$V$6,IFERROR(IF(OR(AC673-TODAY()&gt;45,VLOOKUP(C673,[1]List1!$A:$E,4,FALSE)=0),AC673,DAY(AC673)&amp;"."&amp;MONTH(AC673)&amp;"."&amp;YEAR(AC673)&amp;" "&amp;$V$4&amp;VLOOKUP(C673,[1]List1!$A:$E,4,FALSE)&amp;" "&amp;$V$1),AC673))))</f>
        <v>SKLADEM</v>
      </c>
      <c r="AE673" s="581" t="str">
        <f t="shared" ca="1" si="2018"/>
        <v>SKLADEM</v>
      </c>
      <c r="AF673" s="584">
        <f t="shared" si="2019"/>
        <v>0</v>
      </c>
      <c r="AG673" s="585">
        <f t="shared" si="2020"/>
        <v>0</v>
      </c>
      <c r="AH673" s="583">
        <f t="shared" si="2021"/>
        <v>0</v>
      </c>
      <c r="AI673" s="582">
        <f t="shared" si="2022"/>
        <v>0</v>
      </c>
      <c r="AJ673" s="569">
        <f t="shared" si="2023"/>
        <v>0</v>
      </c>
      <c r="AK673" s="569" t="str">
        <f t="shared" si="2024"/>
        <v/>
      </c>
      <c r="AL673" s="569" t="str">
        <f t="shared" si="2025"/>
        <v/>
      </c>
      <c r="AM673" s="569">
        <f t="shared" si="2026"/>
        <v>0</v>
      </c>
      <c r="AN673" s="581">
        <f t="shared" si="2027"/>
        <v>0</v>
      </c>
      <c r="AO673" s="623"/>
      <c r="AP673" s="625" t="str">
        <f t="shared" si="1992"/>
        <v/>
      </c>
      <c r="AQ673" s="625" t="str">
        <f>IF(AC673=$V$3,IF(VLOOKUP(C673,[1]List1!$A:$E,5,FALSE)=0,1,VLOOKUP(C673,[1]List1!$A:$E,5,FALSE)),"")</f>
        <v/>
      </c>
      <c r="AR673" s="629" t="str">
        <f t="shared" si="1993"/>
        <v/>
      </c>
      <c r="AS673" s="630" t="str">
        <f t="shared" si="1994"/>
        <v/>
      </c>
      <c r="AT673" s="625" t="str">
        <f t="shared" si="1995"/>
        <v/>
      </c>
      <c r="AU673" s="625" t="e">
        <f t="shared" si="1996"/>
        <v>#N/A</v>
      </c>
      <c r="AV673" s="625" t="e">
        <f t="shared" si="1997"/>
        <v>#N/A</v>
      </c>
      <c r="AW673" s="631"/>
      <c r="AX673" s="631">
        <f>IF(AND('General price list'!$J673="F4",'General price list'!$AB673+0&gt;0),1,0)</f>
        <v>0</v>
      </c>
      <c r="AY673" s="631">
        <f t="shared" si="1998"/>
        <v>1</v>
      </c>
      <c r="AZ673" s="631">
        <f t="shared" si="1999"/>
        <v>0</v>
      </c>
    </row>
    <row r="674" spans="1:52" ht="15.75" customHeight="1">
      <c r="A674" s="639" t="str">
        <f>Kat.!C674</f>
        <v/>
      </c>
      <c r="B674" s="640">
        <f>IF(AND('General price list'!$J674="F4",$AI$1=FALSE),0,IF(AC674="SKLADEM",1,IF(AC674=$V$3,1,0)))</f>
        <v>0</v>
      </c>
      <c r="C674" s="641" t="s">
        <v>12463</v>
      </c>
      <c r="D674" s="642" t="s">
        <v>1171</v>
      </c>
      <c r="E674" s="643" t="s">
        <v>12663</v>
      </c>
      <c r="F674" s="771">
        <f>IFERROR(VLOOKUP(C674,[2]List1!$A:$D,3,FALSE),"NEUVEDENO!")</f>
        <v>2070</v>
      </c>
      <c r="G674" s="768">
        <f t="shared" si="2014"/>
        <v>2070</v>
      </c>
      <c r="H674" s="765">
        <f t="shared" si="2015"/>
        <v>87.93057307795236</v>
      </c>
      <c r="I674" s="644">
        <f>IFERROR(VLOOKUP(C674,[2]List1!$A:$D,4,FALSE),"NEUVEDENO!")</f>
        <v>1</v>
      </c>
      <c r="J674" s="733" t="s">
        <v>39</v>
      </c>
      <c r="K674" s="645">
        <v>4</v>
      </c>
      <c r="L674" s="645"/>
      <c r="M674" s="645" t="s">
        <v>21</v>
      </c>
      <c r="N674" s="645">
        <f>IFERROR(VLOOKUP(C674,[3]List1!$A:$D,4,FALSE),"N/A!")</f>
        <v>3.1640624999999999E-2</v>
      </c>
      <c r="O674" s="645">
        <f>IFERROR(VLOOKUP(C674,[3]List1!$A:$D,3,FALSE),"N/A!")</f>
        <v>1900</v>
      </c>
      <c r="P674" s="645">
        <f>IFERROR(VLOOKUP(C674,[3]List1!$A:$D,2,FALSE),"N/A!")</f>
        <v>13400</v>
      </c>
      <c r="Q674" s="645" t="s">
        <v>11790</v>
      </c>
      <c r="R674" s="645"/>
      <c r="S674" s="645" t="str">
        <f>IF($W$17=$AF$1,"červená fólie",IFERROR(VLOOKUP("červená fólie",Jazyky_ceník!$A:$Q,MATCH($W$17,Jazyky_ceník!$A$1:$Q$1,0),FALSE),"!!!"))</f>
        <v>červená fólie</v>
      </c>
      <c r="T674" s="645">
        <v>100</v>
      </c>
      <c r="U674" s="645">
        <v>40</v>
      </c>
      <c r="V674" s="645">
        <v>24</v>
      </c>
      <c r="W674" s="645" t="str">
        <f>IFERROR(IF(AND($AB674&gt;=0.1*$AA674,MOD($AB674,$AA674)&gt;=($AA674-(0.1*$AA674))),IF($W$17=$AF$1,"Zvažte možnost doobjednání ještě "&amp;Tabulka1[[#This Row],[VKPAL]]-MOD(AB674,AA674)&amp;" VK do plné palety.",VLOOKUP("Zvažte možnost doobjednání ještě ",Jazyky_ceník!A:Q,MATCH($W$17,Jazyky_ceník!$A$1:$Q$1,0),FALSE)&amp;Tabulka1[[#This Row],[VKPAL]]-MOD(AB674,AA674)&amp;VLOOKUP(" VK do plné palety.",Jazyky_ceník!A:Q,MATCH($W$17,Jazyky_ceník!$A$1:$Q$1,0),FALSE)),IFERROR(IF(AND(NOT(MOD($AB674,$AA674)=0),$AB674&gt;=0.9*$AA674,MOD($AB674,$AA674)&lt;=0.1*$AA674),IF($W$17=$AF$1,"Zvažte možnost optimalizace objednaného množství podle počtu VK na paletě ==&gt;",VLOOKUP("Zvažte možnost optimalizace objednaného množství podle počtu VK na paletě ==&gt;",Jazyky_ceník!A:Q,MATCH($W$17,Jazyky_ceník!$A$1:$Q$1,0),FALSE)),VLOOKUP('General price list'!$C674,Popisy!A:M,MATCH($W$17,Popisy!$A$7:$M$7,0),FALSE)),"---------------")),IFERROR(VLOOKUP('General price list'!$C674,Popisy!A:M,MATCH($W$17,Popisy!$A$7:$M$7,0),FALSE),"---------------"))</f>
        <v>20 různobarevných efektů</v>
      </c>
      <c r="X674" s="645" t="str">
        <f t="shared" si="2016"/>
        <v/>
      </c>
      <c r="Y674" s="645" t="str">
        <f t="shared" si="2017"/>
        <v/>
      </c>
      <c r="Z674" s="645" t="str">
        <f>HYPERLINK("https://www.klasekpyrotechnics.cz/c1003vs-c14")</f>
        <v>https://www.klasekpyrotechnics.cz/c1003vs-c14</v>
      </c>
      <c r="AA674" s="645">
        <f>IFERROR(IF(VLOOKUP(C674,[4]List1!$A:$D,4,FALSE)=0,"",VLOOKUP(C674,[4]List1!$A:$D,4,FALSE)),"")</f>
        <v>36</v>
      </c>
      <c r="AB674" s="646"/>
      <c r="AC674" s="647" t="str">
        <f>IFERROR(IF(VLOOKUP(C674,[1]List1!$A:$D,2,FALSE)="VYPRODÁNO",$V$9,IF(VLOOKUP(C674,[1]List1!$A:$D,2,FALSE)="DOCHÁZÍ",$V$3,VLOOKUP(C674,[1]List1!$A:$D,2,FALSE))),"OFFLINE!")</f>
        <v>31.08.2026</v>
      </c>
      <c r="AD674" s="647" t="str">
        <f ca="1">IF(AP674="NE",$V$10,IF(AC674=$V$3,IF(AQ674&lt;1,$V$8,$V$2&amp;" "&amp;AQ674&amp;" "&amp;$V$1),IF(AC674="SKLADEM",$V$6,IFERROR(IF(OR(AC674-TODAY()&gt;45,VLOOKUP(C674,[1]List1!$A:$E,4,FALSE)=0),AC674,DAY(AC674)&amp;"."&amp;MONTH(AC674)&amp;"."&amp;YEAR(AC674)&amp;" "&amp;$V$4&amp;VLOOKUP(C674,[1]List1!$A:$E,4,FALSE)&amp;" "&amp;$V$1),AC674))))</f>
        <v>31.08.2026</v>
      </c>
      <c r="AE674" s="645" t="str">
        <f t="shared" ca="1" si="2018"/>
        <v>31.08.2026</v>
      </c>
      <c r="AF674" s="648">
        <f t="shared" si="2019"/>
        <v>0</v>
      </c>
      <c r="AG674" s="649">
        <f t="shared" si="2020"/>
        <v>0</v>
      </c>
      <c r="AH674" s="650">
        <f t="shared" si="2021"/>
        <v>0</v>
      </c>
      <c r="AI674" s="645">
        <f t="shared" si="2022"/>
        <v>0</v>
      </c>
      <c r="AJ674" s="645">
        <f t="shared" si="2023"/>
        <v>0</v>
      </c>
      <c r="AK674" s="645" t="str">
        <f t="shared" si="2024"/>
        <v/>
      </c>
      <c r="AL674" s="645" t="str">
        <f t="shared" si="2025"/>
        <v/>
      </c>
      <c r="AM674" s="645">
        <f t="shared" si="2026"/>
        <v>0</v>
      </c>
      <c r="AN674" s="651">
        <f t="shared" si="2027"/>
        <v>0</v>
      </c>
      <c r="AO674" s="623"/>
      <c r="AP674" s="625" t="str">
        <f t="shared" si="1992"/>
        <v/>
      </c>
      <c r="AQ674" s="625" t="str">
        <f>IF(AC674=$V$3,IF(VLOOKUP(C674,[1]List1!$A:$E,5,FALSE)=0,1,VLOOKUP(C674,[1]List1!$A:$E,5,FALSE)),"")</f>
        <v/>
      </c>
      <c r="AR674" s="629" t="str">
        <f t="shared" si="1993"/>
        <v/>
      </c>
      <c r="AS674" s="630" t="str">
        <f t="shared" si="1994"/>
        <v/>
      </c>
      <c r="AT674" s="625" t="str">
        <f t="shared" si="1995"/>
        <v/>
      </c>
      <c r="AU674" s="625" t="e">
        <f t="shared" si="1996"/>
        <v>#N/A</v>
      </c>
      <c r="AV674" s="625" t="e">
        <f t="shared" si="1997"/>
        <v>#N/A</v>
      </c>
      <c r="AW674" s="631"/>
      <c r="AX674" s="631">
        <f>IF(AND('General price list'!$J674="F4",'General price list'!$AB674+0&gt;0),1,0)</f>
        <v>0</v>
      </c>
      <c r="AY674" s="631">
        <f t="shared" si="1998"/>
        <v>1</v>
      </c>
      <c r="AZ674" s="631">
        <f t="shared" si="1999"/>
        <v>0</v>
      </c>
    </row>
    <row r="675" spans="1:52" ht="15" customHeight="1">
      <c r="A675" s="621" t="str">
        <f>Kat.!C675</f>
        <v/>
      </c>
      <c r="B675" s="566">
        <f>IF(AND('General price list'!$J675="F4",$AI$1=FALSE),0,IF(AC675="SKLADEM",1,IF(AC675=$V$3,1,0)))</f>
        <v>1</v>
      </c>
      <c r="C675" s="567" t="s">
        <v>12036</v>
      </c>
      <c r="D675" s="568" t="s">
        <v>12037</v>
      </c>
      <c r="E675" s="763" t="s">
        <v>12663</v>
      </c>
      <c r="F675" s="791">
        <f>IFERROR(VLOOKUP(C675,[2]List1!$A:$D,3,FALSE),"NEUVEDENO!")</f>
        <v>1999</v>
      </c>
      <c r="G675" s="769">
        <f t="shared" si="2014"/>
        <v>1999</v>
      </c>
      <c r="H675" s="766">
        <f t="shared" si="2015"/>
        <v>84.914596899916319</v>
      </c>
      <c r="I675" s="764">
        <f>IFERROR(VLOOKUP(C675,[2]List1!$A:$D,4,FALSE),"NEUVEDENO!")</f>
        <v>1</v>
      </c>
      <c r="J675" s="732" t="s">
        <v>39</v>
      </c>
      <c r="K675" s="569" t="s">
        <v>11100</v>
      </c>
      <c r="L675" s="569"/>
      <c r="M675" s="569" t="s">
        <v>114</v>
      </c>
      <c r="N675" s="569">
        <f>IFERROR(VLOOKUP(C675,[3]List1!$A:$D,4,FALSE),"N/A!")</f>
        <v>3.1640624999999999E-2</v>
      </c>
      <c r="O675" s="569">
        <f>IFERROR(VLOOKUP(C675,[3]List1!$A:$D,3,FALSE),"N/A!")</f>
        <v>1900</v>
      </c>
      <c r="P675" s="569">
        <f>IFERROR(VLOOKUP(C675,[3]List1!$A:$D,2,FALSE),"N/A!")</f>
        <v>13400</v>
      </c>
      <c r="Q675" s="569" t="s">
        <v>11790</v>
      </c>
      <c r="R675" s="569"/>
      <c r="S675" s="569" t="str">
        <f>IF($W$17=$AF$1,"červená fólie",IFERROR(VLOOKUP("červená fólie",Jazyky_ceník!$A:$Q,MATCH($W$17,Jazyky_ceník!$A$1:$Q$1,0),FALSE),"!!!"))</f>
        <v>červená fólie</v>
      </c>
      <c r="T675" s="569">
        <v>100</v>
      </c>
      <c r="U675" s="569">
        <v>40</v>
      </c>
      <c r="V675" s="569">
        <v>30</v>
      </c>
      <c r="W675" s="569" t="str">
        <f>IFERROR(IF(AND($AB675&gt;=0.1*$AA675,MOD($AB675,$AA675)&gt;=($AA675-(0.1*$AA675))),IF($W$17=$AF$1,"Zvažte možnost doobjednání ještě "&amp;Tabulka1[[#This Row],[VKPAL]]-MOD(AB675,AA675)&amp;" VK do plné palety.",VLOOKUP("Zvažte možnost doobjednání ještě ",Jazyky_ceník!A:Q,MATCH($W$17,Jazyky_ceník!$A$1:$Q$1,0),FALSE)&amp;Tabulka1[[#This Row],[VKPAL]]-MOD(AB675,AA675)&amp;VLOOKUP(" VK do plné palety.",Jazyky_ceník!A:Q,MATCH($W$17,Jazyky_ceník!$A$1:$Q$1,0),FALSE)),IFERROR(IF(AND(NOT(MOD($AB675,$AA675)=0),$AB675&gt;=0.9*$AA675,MOD($AB675,$AA675)&lt;=0.1*$AA675),IF($W$17=$AF$1,"Zvažte možnost optimalizace objednaného množství podle počtu VK na paletě ==&gt;",VLOOKUP("Zvažte možnost optimalizace objednaného množství podle počtu VK na paletě ==&gt;",Jazyky_ceník!A:Q,MATCH($W$17,Jazyky_ceník!$A$1:$Q$1,0),FALSE)),VLOOKUP('General price list'!$C675,Popisy!A:M,MATCH($W$17,Popisy!$A$7:$M$7,0),FALSE)),"---------------")),IFERROR(VLOOKUP('General price list'!$C675,Popisy!A:M,MATCH($W$17,Popisy!$A$7:$M$7,0),FALSE),"---------------"))</f>
        <v>10 různobarevných efektů</v>
      </c>
      <c r="X675" s="569" t="str">
        <f t="shared" si="2016"/>
        <v/>
      </c>
      <c r="Y675" s="569" t="str">
        <f t="shared" si="2017"/>
        <v/>
      </c>
      <c r="Z675" s="569" t="str">
        <f>HYPERLINK("https://www.klasekpyrotechnics.cz/c1003cy-c")</f>
        <v>https://www.klasekpyrotechnics.cz/c1003cy-c</v>
      </c>
      <c r="AA675" s="569">
        <f>IFERROR(IF(VLOOKUP(C675,[4]List1!$A:$D,4,FALSE)=0,"",VLOOKUP(C675,[4]List1!$A:$D,4,FALSE)),"")</f>
        <v>36</v>
      </c>
      <c r="AB675" s="565"/>
      <c r="AC675" s="570" t="str">
        <f>IFERROR(IF(VLOOKUP(C675,[1]List1!$A:$D,2,FALSE)="VYPRODÁNO",$V$9,IF(VLOOKUP(C675,[1]List1!$A:$D,2,FALSE)="DOCHÁZÍ",$V$3,VLOOKUP(C675,[1]List1!$A:$D,2,FALSE))),"OFFLINE!")</f>
        <v>SKLADEM</v>
      </c>
      <c r="AD675" s="570" t="str">
        <f ca="1">IF(AP675="NE",$V$10,IF(AC675=$V$3,IF(AQ675&lt;1,$V$8,$V$2&amp;" "&amp;AQ675&amp;" "&amp;$V$1),IF(AC675="SKLADEM",$V$6,IFERROR(IF(OR(AC675-TODAY()&gt;45,VLOOKUP(C675,[1]List1!$A:$E,4,FALSE)=0),AC675,DAY(AC675)&amp;"."&amp;MONTH(AC675)&amp;"."&amp;YEAR(AC675)&amp;" "&amp;$V$4&amp;VLOOKUP(C675,[1]List1!$A:$E,4,FALSE)&amp;" "&amp;$V$1),AC675))))</f>
        <v>SKLADEM</v>
      </c>
      <c r="AE675" s="581" t="str">
        <f t="shared" ca="1" si="2018"/>
        <v>SKLADEM</v>
      </c>
      <c r="AF675" s="584">
        <f t="shared" si="2019"/>
        <v>0</v>
      </c>
      <c r="AG675" s="585">
        <f t="shared" si="2020"/>
        <v>0</v>
      </c>
      <c r="AH675" s="583">
        <f t="shared" si="2021"/>
        <v>0</v>
      </c>
      <c r="AI675" s="582">
        <f t="shared" si="2022"/>
        <v>0</v>
      </c>
      <c r="AJ675" s="569">
        <f t="shared" si="2023"/>
        <v>0</v>
      </c>
      <c r="AK675" s="569" t="str">
        <f t="shared" si="2024"/>
        <v/>
      </c>
      <c r="AL675" s="569">
        <f t="shared" si="2025"/>
        <v>0</v>
      </c>
      <c r="AM675" s="569" t="str">
        <f t="shared" si="2026"/>
        <v/>
      </c>
      <c r="AN675" s="581">
        <f t="shared" si="2027"/>
        <v>0</v>
      </c>
      <c r="AO675" s="623"/>
      <c r="AP675" s="632" t="str">
        <f t="shared" si="1992"/>
        <v/>
      </c>
      <c r="AQ675" s="633" t="str">
        <f>IF(AC675=$V$3,IF(VLOOKUP(C675,[1]List1!$A:$E,5,FALSE)=0,1,VLOOKUP(C675,[1]List1!$A:$E,5,FALSE)),"")</f>
        <v/>
      </c>
      <c r="AR675" s="625" t="str">
        <f t="shared" si="1993"/>
        <v/>
      </c>
      <c r="AS675" s="634" t="str">
        <f t="shared" si="1994"/>
        <v/>
      </c>
      <c r="AT675" s="625" t="str">
        <f t="shared" si="1995"/>
        <v/>
      </c>
      <c r="AU675" s="638" t="e">
        <f t="shared" si="1996"/>
        <v>#N/A</v>
      </c>
      <c r="AV675" s="625" t="e">
        <f t="shared" si="1997"/>
        <v>#N/A</v>
      </c>
      <c r="AX675" s="625">
        <f>IF(AND('General price list'!$J675="F4",'General price list'!$AB675+0&gt;0),1,0)</f>
        <v>0</v>
      </c>
      <c r="AY675" s="625">
        <f t="shared" si="1998"/>
        <v>1</v>
      </c>
      <c r="AZ675" s="625">
        <f t="shared" si="1999"/>
        <v>0</v>
      </c>
    </row>
    <row r="676" spans="1:52" ht="15" customHeight="1">
      <c r="A676" s="639" t="str">
        <f>Kat.!C676</f>
        <v/>
      </c>
      <c r="B676" s="640">
        <f>IF(AND('General price list'!$J676="F4",$AI$1=FALSE),0,IF(AC676="SKLADEM",1,IF(AC676=$V$3,1,0)))</f>
        <v>1</v>
      </c>
      <c r="C676" s="641" t="s">
        <v>2303</v>
      </c>
      <c r="D676" s="642" t="s">
        <v>11896</v>
      </c>
      <c r="E676" s="643" t="s">
        <v>12663</v>
      </c>
      <c r="F676" s="771">
        <f>IFERROR(VLOOKUP(C676,[2]List1!$A:$D,3,FALSE),"NEUVEDENO!")</f>
        <v>2911</v>
      </c>
      <c r="G676" s="768">
        <f t="shared" si="2014"/>
        <v>2911</v>
      </c>
      <c r="H676" s="765">
        <f t="shared" si="2015"/>
        <v>123.65502329947795</v>
      </c>
      <c r="I676" s="644">
        <f>IFERROR(VLOOKUP(C676,[2]List1!$A:$D,4,FALSE),"NEUVEDENO!")</f>
        <v>1</v>
      </c>
      <c r="J676" s="733" t="s">
        <v>39</v>
      </c>
      <c r="K676" s="645" t="s">
        <v>20</v>
      </c>
      <c r="L676" s="645" t="s">
        <v>10981</v>
      </c>
      <c r="M676" s="645" t="s">
        <v>21</v>
      </c>
      <c r="N676" s="645">
        <f>IFERROR(VLOOKUP(C676,[3]List1!$A:$D,4,FALSE),"N/A!")</f>
        <v>4.6396874999999997E-2</v>
      </c>
      <c r="O676" s="645">
        <f>IFERROR(VLOOKUP(C676,[3]List1!$A:$D,3,FALSE),"N/A!")</f>
        <v>2000</v>
      </c>
      <c r="P676" s="645">
        <f>IFERROR(VLOOKUP(C676,[3]List1!$A:$D,2,FALSE),"N/A!")</f>
        <v>12200</v>
      </c>
      <c r="Q676" s="645" t="s">
        <v>11790</v>
      </c>
      <c r="R676" s="645"/>
      <c r="S676" s="645" t="str">
        <f>IF($W$17=$AF$1,"červená fólie",IFERROR(VLOOKUP("červená fólie",Jazyky_ceník!$A:$Q,MATCH($W$17,Jazyky_ceník!$A$1:$Q$1,0),FALSE),"!!!"))</f>
        <v>červená fólie</v>
      </c>
      <c r="T676" s="645">
        <v>70</v>
      </c>
      <c r="U676" s="645">
        <v>40</v>
      </c>
      <c r="V676" s="645">
        <v>25</v>
      </c>
      <c r="W676" s="645" t="str">
        <f>IFERROR(IF(AND($AB676&gt;=0.1*$AA676,MOD($AB676,$AA676)&gt;=($AA676-(0.1*$AA676))),IF($W$17=$AF$1,"Zvažte možnost doobjednání ještě "&amp;Tabulka1[[#This Row],[VKPAL]]-MOD(AB676,AA676)&amp;" VK do plné palety.",VLOOKUP("Zvažte možnost doobjednání ještě ",Jazyky_ceník!A:Q,MATCH($W$17,Jazyky_ceník!$A$1:$Q$1,0),FALSE)&amp;Tabulka1[[#This Row],[VKPAL]]-MOD(AB676,AA676)&amp;VLOOKUP(" VK do plné palety.",Jazyky_ceník!A:Q,MATCH($W$17,Jazyky_ceník!$A$1:$Q$1,0),FALSE)),IFERROR(IF(AND(NOT(MOD($AB676,$AA676)=0),$AB676&gt;=0.9*$AA676,MOD($AB676,$AA676)&lt;=0.1*$AA676),IF($W$17=$AF$1,"Zvažte možnost optimalizace objednaného množství podle počtu VK na paletě ==&gt;",VLOOKUP("Zvažte možnost optimalizace objednaného množství podle počtu VK na paletě ==&gt;",Jazyky_ceník!A:Q,MATCH($W$17,Jazyky_ceník!$A$1:$Q$1,0),FALSE)),VLOOKUP('General price list'!$C676,Popisy!A:M,MATCH($W$17,Popisy!$A$7:$M$7,0),FALSE)),"---------------")),IFERROR(VLOOKUP('General price list'!$C676,Popisy!A:M,MATCH($W$17,Popisy!$A$7:$M$7,0),FALSE),"---------------"))</f>
        <v>20 různobarevných efektů</v>
      </c>
      <c r="X676" s="645" t="str">
        <f t="shared" si="2016"/>
        <v/>
      </c>
      <c r="Y676" s="645" t="str">
        <f t="shared" si="2017"/>
        <v/>
      </c>
      <c r="Z676" s="645" t="str">
        <f>HYPERLINK("https://www.klasekpyrotechnics.cz/c10030xf-c14")</f>
        <v>https://www.klasekpyrotechnics.cz/c10030xf-c14</v>
      </c>
      <c r="AA676" s="645">
        <f>IFERROR(IF(VLOOKUP(C676,[4]List1!$A:$D,4,FALSE)=0,"",VLOOKUP(C676,[4]List1!$A:$D,4,FALSE)),"")</f>
        <v>24</v>
      </c>
      <c r="AB676" s="646"/>
      <c r="AC676" s="647" t="str">
        <f>IFERROR(IF(VLOOKUP(C676,[1]List1!$A:$D,2,FALSE)="VYPRODÁNO",$V$9,IF(VLOOKUP(C676,[1]List1!$A:$D,2,FALSE)="DOCHÁZÍ",$V$3,VLOOKUP(C676,[1]List1!$A:$D,2,FALSE))),"OFFLINE!")</f>
        <v>SKLADEM</v>
      </c>
      <c r="AD676" s="647" t="str">
        <f ca="1">IF(AP676="NE",$V$10,IF(AC676=$V$3,IF(AQ676&lt;1,$V$8,$V$2&amp;" "&amp;AQ676&amp;" "&amp;$V$1),IF(AC676="SKLADEM",$V$6,IFERROR(IF(OR(AC676-TODAY()&gt;45,VLOOKUP(C676,[1]List1!$A:$E,4,FALSE)=0),AC676,DAY(AC676)&amp;"."&amp;MONTH(AC676)&amp;"."&amp;YEAR(AC676)&amp;" "&amp;$V$4&amp;VLOOKUP(C676,[1]List1!$A:$E,4,FALSE)&amp;" "&amp;$V$1),AC676))))</f>
        <v>SKLADEM</v>
      </c>
      <c r="AE676" s="645" t="str">
        <f t="shared" ca="1" si="2018"/>
        <v>SKLADEM</v>
      </c>
      <c r="AF676" s="648">
        <f t="shared" si="2019"/>
        <v>0</v>
      </c>
      <c r="AG676" s="649">
        <f t="shared" si="2020"/>
        <v>0</v>
      </c>
      <c r="AH676" s="650">
        <f t="shared" si="2021"/>
        <v>0</v>
      </c>
      <c r="AI676" s="645">
        <f t="shared" si="2022"/>
        <v>0</v>
      </c>
      <c r="AJ676" s="645">
        <f t="shared" si="2023"/>
        <v>0</v>
      </c>
      <c r="AK676" s="645" t="str">
        <f t="shared" si="2024"/>
        <v/>
      </c>
      <c r="AL676" s="645" t="str">
        <f t="shared" si="2025"/>
        <v/>
      </c>
      <c r="AM676" s="645">
        <f t="shared" si="2026"/>
        <v>0</v>
      </c>
      <c r="AN676" s="651">
        <f t="shared" si="2027"/>
        <v>0</v>
      </c>
      <c r="AO676" s="623"/>
      <c r="AP676" s="632" t="str">
        <f t="shared" si="1992"/>
        <v/>
      </c>
      <c r="AQ676" s="633" t="str">
        <f>IF(AC676=$V$3,IF(VLOOKUP(C676,[1]List1!$A:$E,5,FALSE)=0,1,VLOOKUP(C676,[1]List1!$A:$E,5,FALSE)),"")</f>
        <v/>
      </c>
      <c r="AR676" s="625" t="str">
        <f t="shared" si="1993"/>
        <v/>
      </c>
      <c r="AS676" s="634" t="str">
        <f t="shared" si="1994"/>
        <v/>
      </c>
      <c r="AT676" s="625" t="str">
        <f t="shared" si="1995"/>
        <v/>
      </c>
      <c r="AU676" s="638" t="e">
        <f t="shared" si="1996"/>
        <v>#N/A</v>
      </c>
      <c r="AV676" s="625" t="e">
        <f t="shared" si="1997"/>
        <v>#N/A</v>
      </c>
      <c r="AX676" s="625">
        <f>IF(AND('General price list'!$J676="F4",'General price list'!$AB676+0&gt;0),1,0)</f>
        <v>0</v>
      </c>
      <c r="AY676" s="625">
        <f t="shared" si="1998"/>
        <v>1</v>
      </c>
      <c r="AZ676" s="625">
        <f t="shared" si="1999"/>
        <v>0</v>
      </c>
    </row>
    <row r="677" spans="1:52" ht="15" customHeight="1">
      <c r="A677" s="621" t="str">
        <f>Kat.!C677</f>
        <v/>
      </c>
      <c r="B677" s="566">
        <f>IF(AND('General price list'!$J677="F4",$AI$1=FALSE),0,IF(AC677="SKLADEM",1,IF(AC677=$V$3,1,0)))</f>
        <v>1</v>
      </c>
      <c r="C677" s="567" t="s">
        <v>1392</v>
      </c>
      <c r="D677" s="568" t="s">
        <v>1393</v>
      </c>
      <c r="E677" s="763" t="s">
        <v>12663</v>
      </c>
      <c r="F677" s="772">
        <f>IFERROR(VLOOKUP(C677,[2]List1!$A:$D,3,FALSE),"NEUVEDENO!")</f>
        <v>3558</v>
      </c>
      <c r="G677" s="769">
        <f t="shared" si="2014"/>
        <v>3558</v>
      </c>
      <c r="H677" s="766">
        <f t="shared" si="2015"/>
        <v>151.13863720355292</v>
      </c>
      <c r="I677" s="764">
        <f>IFERROR(VLOOKUP(C677,[2]List1!$A:$D,4,FALSE),"NEUVEDENO!")</f>
        <v>1</v>
      </c>
      <c r="J677" s="732" t="s">
        <v>39</v>
      </c>
      <c r="K677" s="569">
        <v>5</v>
      </c>
      <c r="L677" s="569" t="s">
        <v>10981</v>
      </c>
      <c r="M677" s="569" t="s">
        <v>21</v>
      </c>
      <c r="N677" s="569">
        <f>IFERROR(VLOOKUP(C677,[3]List1!$A:$D,4,FALSE),"N/A!")</f>
        <v>0.10238399999999999</v>
      </c>
      <c r="O677" s="569">
        <f>IFERROR(VLOOKUP(C677,[3]List1!$A:$D,3,FALSE),"N/A!")</f>
        <v>1992</v>
      </c>
      <c r="P677" s="569">
        <f>IFERROR(VLOOKUP(C677,[3]List1!$A:$D,2,FALSE),"N/A!")</f>
        <v>19500</v>
      </c>
      <c r="Q677" s="569" t="s">
        <v>11787</v>
      </c>
      <c r="R677" s="569" t="s">
        <v>20</v>
      </c>
      <c r="S677" s="569" t="str">
        <f>IF($W$17=$AF$1,"červená fólie",IFERROR(VLOOKUP("červená fólie",Jazyky_ceník!$A:$Q,MATCH($W$17,Jazyky_ceník!$A$1:$Q$1,0),FALSE),"!!!"))</f>
        <v>červená fólie</v>
      </c>
      <c r="T677" s="569">
        <v>100</v>
      </c>
      <c r="U677" s="569">
        <v>40</v>
      </c>
      <c r="V677" s="569">
        <v>24</v>
      </c>
      <c r="W677" s="569" t="str">
        <f>IFERROR(IF(AND($AB677&gt;=0.1*$AA677,MOD($AB677,$AA677)&gt;=($AA677-(0.1*$AA677))),IF($W$17=$AF$1,"Zvažte možnost doobjednání ještě "&amp;Tabulka1[[#This Row],[VKPAL]]-MOD(AB677,AA677)&amp;" VK do plné palety.",VLOOKUP("Zvažte možnost doobjednání ještě ",Jazyky_ceník!A:Q,MATCH($W$17,Jazyky_ceník!$A$1:$Q$1,0),FALSE)&amp;Tabulka1[[#This Row],[VKPAL]]-MOD(AB677,AA677)&amp;VLOOKUP(" VK do plné palety.",Jazyky_ceník!A:Q,MATCH($W$17,Jazyky_ceník!$A$1:$Q$1,0),FALSE)),IFERROR(IF(AND(NOT(MOD($AB677,$AA677)=0),$AB677&gt;=0.9*$AA677,MOD($AB677,$AA677)&lt;=0.1*$AA677),IF($W$17=$AF$1,"Zvažte možnost optimalizace objednaného množství podle počtu VK na paletě ==&gt;",VLOOKUP("Zvažte možnost optimalizace objednaného množství podle počtu VK na paletě ==&gt;",Jazyky_ceník!A:Q,MATCH($W$17,Jazyky_ceník!$A$1:$Q$1,0),FALSE)),VLOOKUP('General price list'!$C677,Popisy!A:M,MATCH($W$17,Popisy!$A$7:$M$7,0),FALSE)),"---------------")),IFERROR(VLOOKUP('General price list'!$C677,Popisy!A:M,MATCH($W$17,Popisy!$A$7:$M$7,0),FALSE),"---------------"))</f>
        <v>14 různobarevných efektů</v>
      </c>
      <c r="X677" s="569" t="str">
        <f t="shared" si="2016"/>
        <v/>
      </c>
      <c r="Y677" s="569" t="str">
        <f t="shared" si="2017"/>
        <v/>
      </c>
      <c r="Z677" s="569" t="str">
        <f>HYPERLINK("https://www.klasekpyrotechnics.cz/c1163mb-c14")</f>
        <v>https://www.klasekpyrotechnics.cz/c1163mb-c14</v>
      </c>
      <c r="AA677" s="569">
        <f>IFERROR(IF(VLOOKUP(C677,[4]List1!$A:$D,4,FALSE)=0,"",VLOOKUP(C677,[4]List1!$A:$D,4,FALSE)),"")</f>
        <v>14</v>
      </c>
      <c r="AB677" s="565"/>
      <c r="AC677" s="570" t="str">
        <f>IFERROR(IF(VLOOKUP(C677,[1]List1!$A:$D,2,FALSE)="VYPRODÁNO",$V$9,IF(VLOOKUP(C677,[1]List1!$A:$D,2,FALSE)="DOCHÁZÍ",$V$3,VLOOKUP(C677,[1]List1!$A:$D,2,FALSE))),"OFFLINE!")</f>
        <v>DOCHÁZÍ</v>
      </c>
      <c r="AD677" s="570" t="str">
        <f ca="1">IF(AP677="NE",$V$10,IF(AC677=$V$3,IF(AQ677&lt;1,$V$8,$V$2&amp;" "&amp;AQ677&amp;" "&amp;$V$1),IF(AC677="SKLADEM",$V$6,IFERROR(IF(OR(AC677-TODAY()&gt;45,VLOOKUP(C677,[1]List1!$A:$E,4,FALSE)=0),AC677,DAY(AC677)&amp;"."&amp;MONTH(AC677)&amp;"."&amp;YEAR(AC677)&amp;" "&amp;$V$4&amp;VLOOKUP(C677,[1]List1!$A:$E,4,FALSE)&amp;" "&amp;$V$1),AC677))))</f>
        <v>POSLEDNÍCH 11 VK</v>
      </c>
      <c r="AE677" s="581" t="str">
        <f t="shared" ca="1" si="2018"/>
        <v>POSLEDNÍCH 11 VK</v>
      </c>
      <c r="AF677" s="584">
        <f t="shared" si="2019"/>
        <v>0</v>
      </c>
      <c r="AG677" s="585">
        <f t="shared" si="2020"/>
        <v>0</v>
      </c>
      <c r="AH677" s="583">
        <f t="shared" si="2021"/>
        <v>0</v>
      </c>
      <c r="AI677" s="582">
        <f t="shared" si="2022"/>
        <v>0</v>
      </c>
      <c r="AJ677" s="569">
        <f t="shared" si="2023"/>
        <v>0</v>
      </c>
      <c r="AK677" s="569" t="str">
        <f t="shared" si="2024"/>
        <v/>
      </c>
      <c r="AL677" s="569" t="str">
        <f t="shared" si="2025"/>
        <v/>
      </c>
      <c r="AM677" s="569">
        <f t="shared" si="2026"/>
        <v>0</v>
      </c>
      <c r="AN677" s="581">
        <f t="shared" si="2027"/>
        <v>0</v>
      </c>
      <c r="AO677" s="623"/>
      <c r="AP677" s="632" t="str">
        <f t="shared" si="1992"/>
        <v/>
      </c>
      <c r="AQ677" s="633">
        <f>IF(AC677=$V$3,IF(VLOOKUP(C677,[1]List1!$A:$E,5,FALSE)=0,1,VLOOKUP(C677,[1]List1!$A:$E,5,FALSE)),"")</f>
        <v>11</v>
      </c>
      <c r="AR677" s="625" t="str">
        <f t="shared" si="1993"/>
        <v/>
      </c>
      <c r="AS677" s="634" t="str">
        <f t="shared" si="1994"/>
        <v/>
      </c>
      <c r="AT677" s="625" t="str">
        <f t="shared" si="1995"/>
        <v/>
      </c>
      <c r="AU677" s="638" t="e">
        <f t="shared" si="1996"/>
        <v>#N/A</v>
      </c>
      <c r="AV677" s="625" t="e">
        <f t="shared" si="1997"/>
        <v>#N/A</v>
      </c>
      <c r="AX677" s="625">
        <f>IF(AND('General price list'!$J677="F4",'General price list'!$AB677+0&gt;0),1,0)</f>
        <v>0</v>
      </c>
      <c r="AY677" s="625">
        <f t="shared" si="1998"/>
        <v>1</v>
      </c>
      <c r="AZ677" s="625">
        <f t="shared" si="1999"/>
        <v>0</v>
      </c>
    </row>
    <row r="678" spans="1:52" ht="15.75" customHeight="1">
      <c r="A678" s="639" t="str">
        <f>Kat.!C678</f>
        <v/>
      </c>
      <c r="B678" s="640">
        <f>IF(AND('General price list'!$J678="F4",$AI$1=FALSE),0,IF(AC678="SKLADEM",1,IF(AC678=$V$3,1,0)))</f>
        <v>1</v>
      </c>
      <c r="C678" s="641" t="s">
        <v>2304</v>
      </c>
      <c r="D678" s="642" t="s">
        <v>11897</v>
      </c>
      <c r="E678" s="643" t="s">
        <v>12663</v>
      </c>
      <c r="F678" s="773">
        <f>IFERROR(VLOOKUP(C678,[2]List1!$A:$D,3,FALSE),"NEUVEDENO!")</f>
        <v>3312</v>
      </c>
      <c r="G678" s="770">
        <f t="shared" si="2014"/>
        <v>3312</v>
      </c>
      <c r="H678" s="767">
        <f t="shared" si="2015"/>
        <v>140.6889169247238</v>
      </c>
      <c r="I678" s="644">
        <f>IFERROR(VLOOKUP(C678,[2]List1!$A:$D,4,FALSE),"NEUVEDENO!")</f>
        <v>1</v>
      </c>
      <c r="J678" s="733" t="s">
        <v>39</v>
      </c>
      <c r="K678" s="645" t="s">
        <v>20</v>
      </c>
      <c r="L678" s="645" t="s">
        <v>10981</v>
      </c>
      <c r="M678" s="645" t="s">
        <v>21</v>
      </c>
      <c r="N678" s="645">
        <f>IFERROR(VLOOKUP(C678,[3]List1!$A:$D,4,FALSE),"N/A!")</f>
        <v>4.9687499999999996E-2</v>
      </c>
      <c r="O678" s="645">
        <f>IFERROR(VLOOKUP(C678,[3]List1!$A:$D,3,FALSE),"N/A!")</f>
        <v>1998</v>
      </c>
      <c r="P678" s="645">
        <f>IFERROR(VLOOKUP(C678,[3]List1!$A:$D,2,FALSE),"N/A!")</f>
        <v>18500</v>
      </c>
      <c r="Q678" s="645" t="s">
        <v>11780</v>
      </c>
      <c r="R678" s="645"/>
      <c r="S678" s="645" t="str">
        <f>IF($W$17=$AF$1,"červená fólie",IFERROR(VLOOKUP("červená fólie",Jazyky_ceník!$A:$Q,MATCH($W$17,Jazyky_ceník!$A$1:$Q$1,0),FALSE),"!!!"))</f>
        <v>červená fólie</v>
      </c>
      <c r="T678" s="645">
        <v>90</v>
      </c>
      <c r="U678" s="645">
        <v>40</v>
      </c>
      <c r="V678" s="645">
        <v>25</v>
      </c>
      <c r="W678" s="645" t="str">
        <f>IFERROR(IF(AND($AB678&gt;=0.1*$AA678,MOD($AB678,$AA678)&gt;=($AA678-(0.1*$AA678))),IF($W$17=$AF$1,"Zvažte možnost doobjednání ještě "&amp;Tabulka1[[#This Row],[VKPAL]]-MOD(AB678,AA678)&amp;" VK do plné palety.",VLOOKUP("Zvažte možnost doobjednání ještě ",Jazyky_ceník!A:Q,MATCH($W$17,Jazyky_ceník!$A$1:$Q$1,0),FALSE)&amp;Tabulka1[[#This Row],[VKPAL]]-MOD(AB678,AA678)&amp;VLOOKUP(" VK do plné palety.",Jazyky_ceník!A:Q,MATCH($W$17,Jazyky_ceník!$A$1:$Q$1,0),FALSE)),IFERROR(IF(AND(NOT(MOD($AB678,$AA678)=0),$AB678&gt;=0.9*$AA678,MOD($AB678,$AA678)&lt;=0.1*$AA678),IF($W$17=$AF$1,"Zvažte možnost optimalizace objednaného množství podle počtu VK na paletě ==&gt;",VLOOKUP("Zvažte možnost optimalizace objednaného množství podle počtu VK na paletě ==&gt;",Jazyky_ceník!A:Q,MATCH($W$17,Jazyky_ceník!$A$1:$Q$1,0),FALSE)),VLOOKUP('General price list'!$C678,Popisy!A:M,MATCH($W$17,Popisy!$A$7:$M$7,0),FALSE)),"---------------")),IFERROR(VLOOKUP('General price list'!$C678,Popisy!A:M,MATCH($W$17,Popisy!$A$7:$M$7,0),FALSE),"---------------"))</f>
        <v>15 různobarevných efektů</v>
      </c>
      <c r="X678" s="645" t="str">
        <f t="shared" si="2016"/>
        <v/>
      </c>
      <c r="Y678" s="645" t="str">
        <f t="shared" si="2017"/>
        <v/>
      </c>
      <c r="Z678" s="645" t="str">
        <f>HYPERLINK("https://www.klasekpyrotechnics.cz/c12230xpt-c14")</f>
        <v>https://www.klasekpyrotechnics.cz/c12230xpt-c14</v>
      </c>
      <c r="AA678" s="645">
        <f>IFERROR(IF(VLOOKUP(C678,[4]List1!$A:$D,4,FALSE)=0,"",VLOOKUP(C678,[4]List1!$A:$D,4,FALSE)),"")</f>
        <v>24</v>
      </c>
      <c r="AB678" s="646"/>
      <c r="AC678" s="647" t="str">
        <f>IFERROR(IF(VLOOKUP(C678,[1]List1!$A:$D,2,FALSE)="VYPRODÁNO",$V$9,IF(VLOOKUP(C678,[1]List1!$A:$D,2,FALSE)="DOCHÁZÍ",$V$3,VLOOKUP(C678,[1]List1!$A:$D,2,FALSE))),"OFFLINE!")</f>
        <v>SKLADEM</v>
      </c>
      <c r="AD678" s="647" t="str">
        <f ca="1">IF(AP678="NE",$V$10,IF(AC678=$V$3,IF(AQ678&lt;1,$V$8,$V$2&amp;" "&amp;AQ678&amp;" "&amp;$V$1),IF(AC678="SKLADEM",$V$6,IFERROR(IF(OR(AC678-TODAY()&gt;45,VLOOKUP(C678,[1]List1!$A:$E,4,FALSE)=0),AC678,DAY(AC678)&amp;"."&amp;MONTH(AC678)&amp;"."&amp;YEAR(AC678)&amp;" "&amp;$V$4&amp;VLOOKUP(C678,[1]List1!$A:$E,4,FALSE)&amp;" "&amp;$V$1),AC678))))</f>
        <v>SKLADEM</v>
      </c>
      <c r="AE678" s="645" t="str">
        <f t="shared" ca="1" si="2018"/>
        <v>SKLADEM</v>
      </c>
      <c r="AF678" s="648">
        <f t="shared" si="2019"/>
        <v>0</v>
      </c>
      <c r="AG678" s="649">
        <f t="shared" si="2020"/>
        <v>0</v>
      </c>
      <c r="AH678" s="650">
        <f t="shared" si="2021"/>
        <v>0</v>
      </c>
      <c r="AI678" s="645">
        <f t="shared" si="2022"/>
        <v>0</v>
      </c>
      <c r="AJ678" s="645">
        <f t="shared" si="2023"/>
        <v>0</v>
      </c>
      <c r="AK678" s="645" t="str">
        <f t="shared" si="2024"/>
        <v/>
      </c>
      <c r="AL678" s="645" t="str">
        <f t="shared" si="2025"/>
        <v/>
      </c>
      <c r="AM678" s="645">
        <f t="shared" si="2026"/>
        <v>0</v>
      </c>
      <c r="AN678" s="651">
        <f t="shared" si="2027"/>
        <v>0</v>
      </c>
      <c r="AO678" s="623"/>
      <c r="AP678" s="625" t="str">
        <f t="shared" si="1992"/>
        <v/>
      </c>
      <c r="AQ678" s="625" t="str">
        <f>IF(AC678=$V$3,IF(VLOOKUP(C678,[1]List1!$A:$E,5,FALSE)=0,1,VLOOKUP(C678,[1]List1!$A:$E,5,FALSE)),"")</f>
        <v/>
      </c>
      <c r="AR678" s="629" t="str">
        <f t="shared" si="1993"/>
        <v/>
      </c>
      <c r="AS678" s="630" t="str">
        <f t="shared" si="1994"/>
        <v/>
      </c>
      <c r="AT678" s="625" t="str">
        <f t="shared" si="1995"/>
        <v/>
      </c>
      <c r="AU678" s="625" t="e">
        <f t="shared" si="1996"/>
        <v>#N/A</v>
      </c>
      <c r="AV678" s="625" t="e">
        <f t="shared" si="1997"/>
        <v>#N/A</v>
      </c>
      <c r="AW678" s="631"/>
      <c r="AX678" s="631">
        <f>IF(AND('General price list'!$J678="F4",'General price list'!$AB678+0&gt;0),1,0)</f>
        <v>0</v>
      </c>
      <c r="AY678" s="631">
        <f t="shared" si="1998"/>
        <v>1</v>
      </c>
      <c r="AZ678" s="631">
        <f t="shared" si="1999"/>
        <v>0</v>
      </c>
    </row>
    <row r="679" spans="1:52" ht="15" customHeight="1">
      <c r="A679" s="751" t="str">
        <f>Kat.!C679</f>
        <v xml:space="preserve">           Dvojitý složený ohňostroj, 30 mm F2 – 1.4G</v>
      </c>
      <c r="B679" s="751"/>
      <c r="C679" s="751"/>
      <c r="D679" s="751"/>
      <c r="E679" s="751"/>
      <c r="F679" s="751"/>
      <c r="G679" s="751"/>
      <c r="H679" s="751"/>
      <c r="I679" s="752"/>
      <c r="J679" s="752"/>
      <c r="K679" s="752" t="s">
        <v>20</v>
      </c>
      <c r="L679" s="753" t="s">
        <v>20</v>
      </c>
      <c r="M679" s="752"/>
      <c r="N679" s="752"/>
      <c r="O679" s="752"/>
      <c r="P679" s="752"/>
      <c r="Q679" s="752"/>
      <c r="R679" s="752"/>
      <c r="S679" s="752"/>
      <c r="T679" s="752"/>
      <c r="U679" s="752"/>
      <c r="V679" s="752"/>
      <c r="W679" s="752"/>
      <c r="X679" s="752"/>
      <c r="Y679" s="752"/>
      <c r="Z679" s="752" t="s">
        <v>20</v>
      </c>
      <c r="AA679" s="752"/>
      <c r="AB679" s="752"/>
      <c r="AC679" s="754"/>
      <c r="AD679" s="752"/>
      <c r="AE679" s="752"/>
      <c r="AF679" s="752"/>
      <c r="AG679" s="752"/>
      <c r="AH679" s="752"/>
      <c r="AI679" s="752"/>
      <c r="AJ679" s="752"/>
      <c r="AK679" s="752"/>
      <c r="AL679" s="752"/>
      <c r="AM679" s="752"/>
      <c r="AN679" s="752"/>
      <c r="AO679" s="623"/>
      <c r="AP679" s="632" t="str">
        <f t="shared" ref="AP679:AP698" si="2028">IF($AL$3=1,IF(Y679=AB679,"","NE"),IF(AR679=$V$10,"NE",""))</f>
        <v/>
      </c>
      <c r="AQ679" s="633" t="str">
        <f>IF(AC679=$V$3,IF(VLOOKUP(C679,[1]List1!$A:$E,5,FALSE)=0,1,VLOOKUP(C679,[1]List1!$A:$E,5,FALSE)),"")</f>
        <v/>
      </c>
      <c r="AR679" s="625" t="str">
        <f t="shared" ref="AR679:AR698" si="2029">IF($AL$3=1,"",IF(OR(AB679&lt;&gt;"",AB679&lt;&gt;0),IF(OR(AC679=$V$6,AC679=$V$3,AC679=$V$9),$V$10,""),""))</f>
        <v/>
      </c>
      <c r="AS679" s="634" t="str">
        <f t="shared" ref="AS679:AS698" si="2030">IF(AT679&lt;&gt;"","X","")</f>
        <v/>
      </c>
      <c r="AT679" s="625" t="str">
        <f t="shared" ref="AT679:AT698" si="2031">IF(AND($AL$3=2,AR679="",AB679&lt;&gt;""),AD679,"")</f>
        <v/>
      </c>
      <c r="AU679" s="638" t="e">
        <f t="shared" ref="AU679:AU698" si="2032">IF(AT679=$AS$21,AB679,"")</f>
        <v>#N/A</v>
      </c>
      <c r="AV679" s="625" t="e">
        <f t="shared" ref="AV679:AV698" si="2033">IF(OR(AB679="",AND(AT679&lt;&gt;"",AU679&lt;&gt;"")),"",$V$10)</f>
        <v>#N/A</v>
      </c>
      <c r="AX679" s="625">
        <f>IF(AND('General price list'!$J679="F4",'General price list'!$AB679+0&gt;0),1,0)</f>
        <v>0</v>
      </c>
      <c r="AY679" s="625">
        <f t="shared" ref="AY679:AY698" si="2034">IFERROR(FIND(VLOOKUP($AC$7,$AD$1:$AE$12,2,FALSE),Q679,1),0)</f>
        <v>0</v>
      </c>
      <c r="AZ679" s="625">
        <f t="shared" ref="AZ679:AZ698" si="2035">IFERROR(FIND(VLOOKUP($AC$7,$AD$1:$AE$12,2,FALSE),R679,1),0)</f>
        <v>0</v>
      </c>
    </row>
    <row r="680" spans="1:52" ht="15.75" customHeight="1">
      <c r="A680" s="639" t="str">
        <f>Kat.!C680</f>
        <v/>
      </c>
      <c r="B680" s="640">
        <f>IF(AND('General price list'!$J680="F4",$AI$1=FALSE),0,IF(AC680="SKLADEM",1,IF(AC680=$V$3,1,0)))</f>
        <v>0</v>
      </c>
      <c r="C680" s="641" t="s">
        <v>12881</v>
      </c>
      <c r="D680" s="642" t="s">
        <v>11900</v>
      </c>
      <c r="E680" s="643" t="s">
        <v>12663</v>
      </c>
      <c r="F680" s="791">
        <f>IFERROR(VLOOKUP(C680,[2]List1!$A:$D,3,FALSE),"NEUVEDENO!")</f>
        <v>3079</v>
      </c>
      <c r="G680" s="768">
        <f t="shared" ref="G680:G681" si="2036">IF($W$17=$AF$8,ROUND((F680)/$F$17,2),(F680)*$B$19)</f>
        <v>3079</v>
      </c>
      <c r="H680" s="765">
        <f t="shared" ref="H680:H681" si="2037">IF($W$17=$AF$8,G680*$B$19,G680/$F$17)</f>
        <v>130.79141763623929</v>
      </c>
      <c r="I680" s="644">
        <f>IFERROR(VLOOKUP(C680,[2]List1!$A:$D,4,FALSE),"NEUVEDENO!")</f>
        <v>1</v>
      </c>
      <c r="J680" s="733" t="s">
        <v>39</v>
      </c>
      <c r="K680" s="645" t="s">
        <v>13032</v>
      </c>
      <c r="L680" s="645"/>
      <c r="M680" s="645" t="s">
        <v>21</v>
      </c>
      <c r="N680" s="645">
        <f>IFERROR(VLOOKUP(C680,[3]List1!$A:$D,4,FALSE),"N/A!")</f>
        <v>5.2725000000000001E-2</v>
      </c>
      <c r="O680" s="645">
        <f>IFERROR(VLOOKUP(C680,[3]List1!$A:$D,3,FALSE),"N/A!")</f>
        <v>2750</v>
      </c>
      <c r="P680" s="645">
        <f>IFERROR(VLOOKUP(C680,[3]List1!$A:$D,2,FALSE),"N/A!")</f>
        <v>21000</v>
      </c>
      <c r="Q680" s="645" t="s">
        <v>12779</v>
      </c>
      <c r="R680" s="645"/>
      <c r="S680" s="645" t="str">
        <f>IF($W$17=$AF$1,"červená fólie",IFERROR(VLOOKUP("červená fólie",Jazyky_ceník!$A:$Q,MATCH($W$17,Jazyky_ceník!$A$1:$Q$1,0),FALSE),"!!!"))</f>
        <v>červená fólie</v>
      </c>
      <c r="T680" s="645">
        <v>140</v>
      </c>
      <c r="U680" s="645">
        <v>40</v>
      </c>
      <c r="V680" s="645">
        <v>24</v>
      </c>
      <c r="W680" s="645" t="str">
        <f>IFERROR(IF(AND($AB680&gt;=0.1*$AA680,MOD($AB680,$AA680)&gt;=($AA680-(0.1*$AA680))),IF($W$17=$AF$1,"Zvažte možnost doobjednání ještě "&amp;Tabulka1[[#This Row],[VKPAL]]-MOD(AB680,AA680)&amp;" VK do plné palety.",VLOOKUP("Zvažte možnost doobjednání ještě ",Jazyky_ceník!A:Q,MATCH($W$17,Jazyky_ceník!$A$1:$Q$1,0),FALSE)&amp;Tabulka1[[#This Row],[VKPAL]]-MOD(AB680,AA680)&amp;VLOOKUP(" VK do plné palety.",Jazyky_ceník!A:Q,MATCH($W$17,Jazyky_ceník!$A$1:$Q$1,0),FALSE)),IFERROR(IF(AND(NOT(MOD($AB680,$AA680)=0),$AB680&gt;=0.9*$AA680,MOD($AB680,$AA680)&lt;=0.1*$AA680),IF($W$17=$AF$1,"Zvažte možnost optimalizace objednaného množství podle počtu VK na paletě ==&gt;",VLOOKUP("Zvažte možnost optimalizace objednaného množství podle počtu VK na paletě ==&gt;",Jazyky_ceník!A:Q,MATCH($W$17,Jazyky_ceník!$A$1:$Q$1,0),FALSE)),VLOOKUP('General price list'!$C680,Popisy!A:M,MATCH($W$17,Popisy!$A$7:$M$7,0),FALSE)),"---------------")),IFERROR(VLOOKUP('General price list'!$C680,Popisy!A:M,MATCH($W$17,Popisy!$A$7:$M$7,0),FALSE),"---------------"))</f>
        <v>15 různobarevných efektů</v>
      </c>
      <c r="X680" s="645" t="str">
        <f t="shared" ref="X680:X681" si="2038">IF(AB680&lt;0.0001,"",AB680)</f>
        <v/>
      </c>
      <c r="Y680" s="645" t="str">
        <f t="shared" ref="Y680:Y681" si="2039">IF($AL$3=2,IF(OR(AB680&lt;&gt;"",AB680&lt;&gt;0),AU680,""),IF(C680="","",IF(AB680&lt;0.0001,"",IF(B680=0,"",IF(AQ680&lt;AB680,"",AB680)))))</f>
        <v/>
      </c>
      <c r="Z680" s="645" t="str">
        <f>HYPERLINK("https://www.klasekpyrotechnics.cz/c1-c2_c1503x-c14")</f>
        <v>https://www.klasekpyrotechnics.cz/c1-c2_c1503x-c14</v>
      </c>
      <c r="AA680" s="645">
        <f>IFERROR(IF(VLOOKUP(C680,[4]List1!$A:$D,4,FALSE)=0,"",VLOOKUP(C680,[4]List1!$A:$D,4,FALSE)),"")</f>
        <v>24</v>
      </c>
      <c r="AB680" s="646"/>
      <c r="AC680" s="647" t="str">
        <f>IFERROR(IF(VLOOKUP(C680,[1]List1!$A:$D,2,FALSE)="VYPRODÁNO",$V$9,IF(VLOOKUP(C680,[1]List1!$A:$D,2,FALSE)="DOCHÁZÍ",$V$3,VLOOKUP(C680,[1]List1!$A:$D,2,FALSE))),"OFFLINE!")</f>
        <v>31.08.2026</v>
      </c>
      <c r="AD680" s="647" t="str">
        <f ca="1">IF(AP680="NE",$V$10,IF(AC680=$V$3,IF(AQ680&lt;1,$V$8,$V$2&amp;" "&amp;AQ680&amp;" "&amp;$V$1),IF(AC680="SKLADEM",$V$6,IFERROR(IF(OR(AC680-TODAY()&gt;45,VLOOKUP(C680,[1]List1!$A:$E,4,FALSE)=0),AC680,DAY(AC680)&amp;"."&amp;MONTH(AC680)&amp;"."&amp;YEAR(AC680)&amp;" "&amp;$V$4&amp;VLOOKUP(C680,[1]List1!$A:$E,4,FALSE)&amp;" "&amp;$V$1),AC680))))</f>
        <v>31.08.2026</v>
      </c>
      <c r="AE680" s="645" t="str">
        <f t="shared" ref="AE680:AE681" ca="1" si="2040">IFERROR(IF(AV680&lt;&gt;"",AV680,AD680),AD680)</f>
        <v>31.08.2026</v>
      </c>
      <c r="AF680" s="648">
        <f t="shared" ref="AF680:AF681" si="2041">IFERROR(IF(AB680=Y680,G680*I680*Y680,0),0)</f>
        <v>0</v>
      </c>
      <c r="AG680" s="649">
        <f t="shared" ref="AG680:AG681" si="2042">IF($W$17=$AF$8,AH680*1.23,AF680*1.21)</f>
        <v>0</v>
      </c>
      <c r="AH680" s="650">
        <f t="shared" ref="AH680:AH681" si="2043">IFERROR(IF(Y680=AB680,H680*I680*Y680,0),0)</f>
        <v>0</v>
      </c>
      <c r="AI680" s="645">
        <f t="shared" ref="AI680:AI681" si="2044">IFERROR(IF(Y680=AB680,(P680*Y680)/1000,1),0)</f>
        <v>0</v>
      </c>
      <c r="AJ680" s="645">
        <f t="shared" ref="AJ680:AJ681" si="2045">IFERROR(IF(Y680=AB680,N680*Y680,0.1),0)</f>
        <v>0</v>
      </c>
      <c r="AK680" s="645" t="str">
        <f t="shared" ref="AK680:AK681" si="2046">IFERROR(IF(Y680=AB680,IF(M680="1.1G",(O680/1000)*Y680,""),""),0)</f>
        <v/>
      </c>
      <c r="AL680" s="645" t="str">
        <f t="shared" ref="AL680:AL681" si="2047">IFERROR(IF(Y680=AB680,IF(M680="1.3G",(O680/1000)*AB680,""),""),0)</f>
        <v/>
      </c>
      <c r="AM680" s="645">
        <f t="shared" ref="AM680:AM681" si="2048">IFERROR(IF(Y680=AB680,IF(M680="1.4G",(O680/1000)*AB680,""),""),0)</f>
        <v>0</v>
      </c>
      <c r="AN680" s="651">
        <f t="shared" ref="AN680:AN681" si="2049">SUM(AK680:AM680)</f>
        <v>0</v>
      </c>
      <c r="AO680" s="623"/>
      <c r="AP680" s="625" t="str">
        <f t="shared" si="2028"/>
        <v/>
      </c>
      <c r="AQ680" s="625" t="str">
        <f>IF(AC680=$V$3,IF(VLOOKUP(C680,[1]List1!$A:$E,5,FALSE)=0,1,VLOOKUP(C680,[1]List1!$A:$E,5,FALSE)),"")</f>
        <v/>
      </c>
      <c r="AR680" s="629" t="str">
        <f t="shared" si="2029"/>
        <v/>
      </c>
      <c r="AS680" s="630" t="str">
        <f t="shared" si="2030"/>
        <v/>
      </c>
      <c r="AT680" s="625" t="str">
        <f t="shared" si="2031"/>
        <v/>
      </c>
      <c r="AU680" s="625" t="e">
        <f t="shared" si="2032"/>
        <v>#N/A</v>
      </c>
      <c r="AV680" s="625" t="e">
        <f t="shared" si="2033"/>
        <v>#N/A</v>
      </c>
      <c r="AW680" s="631"/>
      <c r="AX680" s="631">
        <f>IF(AND('General price list'!$J680="F4",'General price list'!$AB680+0&gt;0),1,0)</f>
        <v>0</v>
      </c>
      <c r="AY680" s="631">
        <f t="shared" si="2034"/>
        <v>1</v>
      </c>
      <c r="AZ680" s="631">
        <f t="shared" si="2035"/>
        <v>0</v>
      </c>
    </row>
    <row r="681" spans="1:52" ht="15" customHeight="1">
      <c r="A681" s="621" t="str">
        <f>Kat.!C681</f>
        <v/>
      </c>
      <c r="B681" s="566">
        <f>IF(AND('General price list'!$J681="F4",$AI$1=FALSE),0,IF(AC681="SKLADEM",1,IF(AC681=$V$3,1,0)))</f>
        <v>0</v>
      </c>
      <c r="C681" s="641" t="s">
        <v>12882</v>
      </c>
      <c r="D681" s="568" t="s">
        <v>12558</v>
      </c>
      <c r="E681" s="763" t="s">
        <v>12663</v>
      </c>
      <c r="F681" s="791">
        <f>IFERROR(VLOOKUP(C681,[2]List1!$A:$D,3,FALSE),"NEUVEDENO!")</f>
        <v>4089</v>
      </c>
      <c r="G681" s="769">
        <f t="shared" si="2036"/>
        <v>4089</v>
      </c>
      <c r="H681" s="766">
        <f t="shared" si="2037"/>
        <v>173.69474073224504</v>
      </c>
      <c r="I681" s="764">
        <f>IFERROR(VLOOKUP(C681,[2]List1!$A:$D,4,FALSE),"NEUVEDENO!")</f>
        <v>1</v>
      </c>
      <c r="J681" s="732" t="s">
        <v>39</v>
      </c>
      <c r="K681" s="569" t="s">
        <v>13032</v>
      </c>
      <c r="L681" s="569"/>
      <c r="M681" s="569" t="s">
        <v>21</v>
      </c>
      <c r="N681" s="569">
        <f>IFERROR(VLOOKUP(C681,[3]List1!$A:$D,4,FALSE),"N/A!")</f>
        <v>7.03125E-2</v>
      </c>
      <c r="O681" s="569">
        <f>IFERROR(VLOOKUP(C681,[3]List1!$A:$D,3,FALSE),"N/A!")</f>
        <v>3800</v>
      </c>
      <c r="P681" s="569">
        <f>IFERROR(VLOOKUP(C681,[3]List1!$A:$D,2,FALSE),"N/A!")</f>
        <v>27000</v>
      </c>
      <c r="Q681" s="569" t="s">
        <v>12780</v>
      </c>
      <c r="R681" s="569"/>
      <c r="S681" s="569" t="str">
        <f>IF($W$17=$AF$1,"červená fólie",IFERROR(VLOOKUP("červená fólie",Jazyky_ceník!$A:$Q,MATCH($W$17,Jazyky_ceník!$A$1:$Q$1,0),FALSE),"!!!"))</f>
        <v>červená fólie</v>
      </c>
      <c r="T681" s="569">
        <v>180</v>
      </c>
      <c r="U681" s="569">
        <v>40</v>
      </c>
      <c r="V681" s="569">
        <v>24</v>
      </c>
      <c r="W681" s="569" t="str">
        <f>IFERROR(IF(AND($AB681&gt;=0.1*$AA681,MOD($AB681,$AA681)&gt;=($AA681-(0.1*$AA681))),IF($W$17=$AF$1,"Zvažte možnost doobjednání ještě "&amp;Tabulka1[[#This Row],[VKPAL]]-MOD(AB681,AA681)&amp;" VK do plné palety.",VLOOKUP("Zvažte možnost doobjednání ještě ",Jazyky_ceník!A:Q,MATCH($W$17,Jazyky_ceník!$A$1:$Q$1,0),FALSE)&amp;Tabulka1[[#This Row],[VKPAL]]-MOD(AB681,AA681)&amp;VLOOKUP(" VK do plné palety.",Jazyky_ceník!A:Q,MATCH($W$17,Jazyky_ceník!$A$1:$Q$1,0),FALSE)),IFERROR(IF(AND(NOT(MOD($AB681,$AA681)=0),$AB681&gt;=0.9*$AA681,MOD($AB681,$AA681)&lt;=0.1*$AA681),IF($W$17=$AF$1,"Zvažte možnost optimalizace objednaného množství podle počtu VK na paletě ==&gt;",VLOOKUP("Zvažte možnost optimalizace objednaného množství podle počtu VK na paletě ==&gt;",Jazyky_ceník!A:Q,MATCH($W$17,Jazyky_ceník!$A$1:$Q$1,0),FALSE)),VLOOKUP('General price list'!$C681,Popisy!A:M,MATCH($W$17,Popisy!$A$7:$M$7,0),FALSE)),"---------------")),IFERROR(VLOOKUP('General price list'!$C681,Popisy!A:M,MATCH($W$17,Popisy!$A$7:$M$7,0),FALSE),"---------------"))</f>
        <v>20 různobarevných efektů</v>
      </c>
      <c r="X681" s="569" t="str">
        <f t="shared" si="2038"/>
        <v/>
      </c>
      <c r="Y681" s="569" t="str">
        <f t="shared" si="2039"/>
        <v/>
      </c>
      <c r="Z681" s="569" t="str">
        <f>HYPERLINK("https://www.klasekpyrotechnics.cz/c1-c2_c2003u-c14")</f>
        <v>https://www.klasekpyrotechnics.cz/c1-c2_c2003u-c14</v>
      </c>
      <c r="AA681" s="569">
        <f>IFERROR(IF(VLOOKUP(C681,[4]List1!$A:$D,4,FALSE)=0,"",VLOOKUP(C681,[4]List1!$A:$D,4,FALSE)),"")</f>
        <v>18</v>
      </c>
      <c r="AB681" s="565"/>
      <c r="AC681" s="570" t="str">
        <f>IFERROR(IF(VLOOKUP(C681,[1]List1!$A:$D,2,FALSE)="VYPRODÁNO",$V$9,IF(VLOOKUP(C681,[1]List1!$A:$D,2,FALSE)="DOCHÁZÍ",$V$3,VLOOKUP(C681,[1]List1!$A:$D,2,FALSE))),"OFFLINE!")</f>
        <v>31.08.2026</v>
      </c>
      <c r="AD681" s="570" t="str">
        <f ca="1">IF(AP681="NE",$V$10,IF(AC681=$V$3,IF(AQ681&lt;1,$V$8,$V$2&amp;" "&amp;AQ681&amp;" "&amp;$V$1),IF(AC681="SKLADEM",$V$6,IFERROR(IF(OR(AC681-TODAY()&gt;45,VLOOKUP(C681,[1]List1!$A:$E,4,FALSE)=0),AC681,DAY(AC681)&amp;"."&amp;MONTH(AC681)&amp;"."&amp;YEAR(AC681)&amp;" "&amp;$V$4&amp;VLOOKUP(C681,[1]List1!$A:$E,4,FALSE)&amp;" "&amp;$V$1),AC681))))</f>
        <v>31.08.2026</v>
      </c>
      <c r="AE681" s="581" t="str">
        <f t="shared" ca="1" si="2040"/>
        <v>31.08.2026</v>
      </c>
      <c r="AF681" s="584">
        <f t="shared" si="2041"/>
        <v>0</v>
      </c>
      <c r="AG681" s="585">
        <f t="shared" si="2042"/>
        <v>0</v>
      </c>
      <c r="AH681" s="583">
        <f t="shared" si="2043"/>
        <v>0</v>
      </c>
      <c r="AI681" s="582">
        <f t="shared" si="2044"/>
        <v>0</v>
      </c>
      <c r="AJ681" s="569">
        <f t="shared" si="2045"/>
        <v>0</v>
      </c>
      <c r="AK681" s="569" t="str">
        <f t="shared" si="2046"/>
        <v/>
      </c>
      <c r="AL681" s="569" t="str">
        <f t="shared" si="2047"/>
        <v/>
      </c>
      <c r="AM681" s="569">
        <f t="shared" si="2048"/>
        <v>0</v>
      </c>
      <c r="AN681" s="581">
        <f t="shared" si="2049"/>
        <v>0</v>
      </c>
      <c r="AO681" s="623"/>
      <c r="AP681" s="632" t="str">
        <f t="shared" si="2028"/>
        <v/>
      </c>
      <c r="AQ681" s="633" t="str">
        <f>IF(AC681=$V$3,IF(VLOOKUP(C681,[1]List1!$A:$E,5,FALSE)=0,1,VLOOKUP(C681,[1]List1!$A:$E,5,FALSE)),"")</f>
        <v/>
      </c>
      <c r="AR681" s="625" t="str">
        <f t="shared" si="2029"/>
        <v/>
      </c>
      <c r="AS681" s="634" t="str">
        <f t="shared" si="2030"/>
        <v/>
      </c>
      <c r="AT681" s="625" t="str">
        <f t="shared" si="2031"/>
        <v/>
      </c>
      <c r="AU681" s="638" t="e">
        <f t="shared" si="2032"/>
        <v>#N/A</v>
      </c>
      <c r="AV681" s="625" t="e">
        <f t="shared" si="2033"/>
        <v>#N/A</v>
      </c>
      <c r="AX681" s="625">
        <f>IF(AND('General price list'!$J681="F4",'General price list'!$AB681+0&gt;0),1,0)</f>
        <v>0</v>
      </c>
      <c r="AY681" s="625">
        <f t="shared" si="2034"/>
        <v>1</v>
      </c>
      <c r="AZ681" s="625">
        <f t="shared" si="2035"/>
        <v>0</v>
      </c>
    </row>
    <row r="682" spans="1:52" ht="15" customHeight="1">
      <c r="A682" s="751" t="str">
        <f>Kat.!C682</f>
        <v xml:space="preserve">           Složený ohňostroj 30 mm – F3 – 1.3G</v>
      </c>
      <c r="B682" s="751"/>
      <c r="C682" s="751"/>
      <c r="D682" s="751"/>
      <c r="E682" s="751"/>
      <c r="F682" s="751"/>
      <c r="G682" s="751"/>
      <c r="H682" s="751"/>
      <c r="I682" s="752"/>
      <c r="J682" s="752"/>
      <c r="K682" s="752" t="s">
        <v>20</v>
      </c>
      <c r="L682" s="753" t="s">
        <v>20</v>
      </c>
      <c r="M682" s="752"/>
      <c r="N682" s="752"/>
      <c r="O682" s="752"/>
      <c r="P682" s="752"/>
      <c r="Q682" s="752"/>
      <c r="R682" s="752"/>
      <c r="S682" s="752"/>
      <c r="T682" s="752"/>
      <c r="U682" s="752"/>
      <c r="V682" s="752"/>
      <c r="W682" s="752"/>
      <c r="X682" s="752"/>
      <c r="Y682" s="752"/>
      <c r="Z682" s="752" t="s">
        <v>20</v>
      </c>
      <c r="AA682" s="752"/>
      <c r="AB682" s="752"/>
      <c r="AC682" s="754"/>
      <c r="AD682" s="752"/>
      <c r="AE682" s="752"/>
      <c r="AF682" s="752"/>
      <c r="AG682" s="752"/>
      <c r="AH682" s="752"/>
      <c r="AI682" s="752"/>
      <c r="AJ682" s="752"/>
      <c r="AK682" s="752"/>
      <c r="AL682" s="752"/>
      <c r="AM682" s="752"/>
      <c r="AN682" s="752"/>
      <c r="AO682" s="623"/>
      <c r="AP682" s="632" t="str">
        <f t="shared" si="2028"/>
        <v/>
      </c>
      <c r="AQ682" s="633" t="str">
        <f>IF(AC682=$V$3,IF(VLOOKUP(C682,[1]List1!$A:$E,5,FALSE)=0,1,VLOOKUP(C682,[1]List1!$A:$E,5,FALSE)),"")</f>
        <v/>
      </c>
      <c r="AR682" s="625" t="str">
        <f t="shared" si="2029"/>
        <v/>
      </c>
      <c r="AS682" s="634" t="str">
        <f t="shared" si="2030"/>
        <v/>
      </c>
      <c r="AT682" s="625" t="str">
        <f t="shared" si="2031"/>
        <v/>
      </c>
      <c r="AU682" s="638" t="e">
        <f t="shared" si="2032"/>
        <v>#N/A</v>
      </c>
      <c r="AV682" s="625" t="e">
        <f t="shared" si="2033"/>
        <v>#N/A</v>
      </c>
      <c r="AX682" s="625">
        <f>IF(AND('General price list'!$J682="F4",'General price list'!$AB682+0&gt;0),1,0)</f>
        <v>0</v>
      </c>
      <c r="AY682" s="625">
        <f t="shared" si="2034"/>
        <v>0</v>
      </c>
      <c r="AZ682" s="625">
        <f t="shared" si="2035"/>
        <v>0</v>
      </c>
    </row>
    <row r="683" spans="1:52" ht="15" customHeight="1">
      <c r="A683" s="639" t="str">
        <f>Kat.!C683</f>
        <v>×</v>
      </c>
      <c r="B683" s="640">
        <f>IF(AND('General price list'!$J683="F4",$AI$1=FALSE),0,IF(AC683="SKLADEM",1,IF(AC683=$V$3,1,0)))</f>
        <v>0</v>
      </c>
      <c r="C683" s="641" t="s">
        <v>1400</v>
      </c>
      <c r="D683" s="642" t="s">
        <v>12559</v>
      </c>
      <c r="E683" s="643" t="s">
        <v>12663</v>
      </c>
      <c r="F683" s="791">
        <f>IFERROR(VLOOKUP(C683,[2]List1!$A:$D,3,FALSE),"NEUVEDENO!")</f>
        <v>2099</v>
      </c>
      <c r="G683" s="768">
        <f t="shared" ref="G683:G698" si="2050">IF($W$17=$AF$8,ROUND((F683)/$F$17,2),(F683)*$B$19)</f>
        <v>2099</v>
      </c>
      <c r="H683" s="765">
        <f t="shared" ref="H683:H698" si="2051">IF($W$17=$AF$8,G683*$B$19,G683/$F$17)</f>
        <v>89.162450671798069</v>
      </c>
      <c r="I683" s="644">
        <f>IFERROR(VLOOKUP(C683,[2]List1!$A:$D,4,FALSE),"NEUVEDENO!")</f>
        <v>1</v>
      </c>
      <c r="J683" s="733" t="s">
        <v>113</v>
      </c>
      <c r="K683" s="645" t="s">
        <v>11100</v>
      </c>
      <c r="L683" s="645" t="s">
        <v>20</v>
      </c>
      <c r="M683" s="645" t="s">
        <v>114</v>
      </c>
      <c r="N683" s="645">
        <f>IFERROR(VLOOKUP(C683,[3]List1!$A:$D,4,FALSE),"N/A!")</f>
        <v>3.5624999999999997E-2</v>
      </c>
      <c r="O683" s="645">
        <f>IFERROR(VLOOKUP(C683,[3]List1!$A:$D,3,FALSE),"N/A!")</f>
        <v>1800</v>
      </c>
      <c r="P683" s="645">
        <f>IFERROR(VLOOKUP(C683,[3]List1!$A:$D,2,FALSE),"N/A!")</f>
        <v>13500</v>
      </c>
      <c r="Q683" s="645" t="s">
        <v>11790</v>
      </c>
      <c r="R683" s="645"/>
      <c r="S683" s="645" t="str">
        <f>IF($W$17=$AF$1,"červená fólie",IFERROR(VLOOKUP("červená fólie",Jazyky_ceník!$A:$Q,MATCH($W$17,Jazyky_ceník!$A$1:$Q$1,0),FALSE),"!!!"))</f>
        <v>červená fólie</v>
      </c>
      <c r="T683" s="645">
        <v>100</v>
      </c>
      <c r="U683" s="645">
        <v>40</v>
      </c>
      <c r="V683" s="645">
        <v>29</v>
      </c>
      <c r="W683" s="645" t="str">
        <f>IFERROR(IF(AND($AB683&gt;=0.1*$AA683,MOD($AB683,$AA683)&gt;=($AA683-(0.1*$AA683))),IF($W$17=$AF$1,"Zvažte možnost doobjednání ještě "&amp;Tabulka1[[#This Row],[VKPAL]]-MOD(AB683,AA683)&amp;" VK do plné palety.",VLOOKUP("Zvažte možnost doobjednání ještě ",Jazyky_ceník!A:Q,MATCH($W$17,Jazyky_ceník!$A$1:$Q$1,0),FALSE)&amp;Tabulka1[[#This Row],[VKPAL]]-MOD(AB683,AA683)&amp;VLOOKUP(" VK do plné palety.",Jazyky_ceník!A:Q,MATCH($W$17,Jazyky_ceník!$A$1:$Q$1,0),FALSE)),IFERROR(IF(AND(NOT(MOD($AB683,$AA683)=0),$AB683&gt;=0.9*$AA683,MOD($AB683,$AA683)&lt;=0.1*$AA683),IF($W$17=$AF$1,"Zvažte možnost optimalizace objednaného množství podle počtu VK na paletě ==&gt;",VLOOKUP("Zvažte možnost optimalizace objednaného množství podle počtu VK na paletě ==&gt;",Jazyky_ceník!A:Q,MATCH($W$17,Jazyky_ceník!$A$1:$Q$1,0),FALSE)),VLOOKUP('General price list'!$C683,Popisy!A:M,MATCH($W$17,Popisy!$A$7:$M$7,0),FALSE)),"---------------")),IFERROR(VLOOKUP('General price list'!$C683,Popisy!A:M,MATCH($W$17,Popisy!$A$7:$M$7,0),FALSE),"---------------"))</f>
        <v>10 různobarevných efektů</v>
      </c>
      <c r="X683" s="645" t="str">
        <f t="shared" ref="X683:X698" si="2052">IF(AB683&lt;0.0001,"",AB683)</f>
        <v/>
      </c>
      <c r="Y683" s="645" t="str">
        <f t="shared" ref="Y683:Y698" si="2053">IF($AL$3=2,IF(OR(AB683&lt;&gt;"",AB683&lt;&gt;0),AU683,""),IF(C683="","",IF(AB683&lt;0.0001,"",IF(B683=0,"",IF(AQ683&lt;AB683,"",AB683)))))</f>
        <v/>
      </c>
      <c r="Z683" s="645" t="str">
        <f>HYPERLINK("https://www.klasekpyrotechnics.cz/c1003bp-c")</f>
        <v>https://www.klasekpyrotechnics.cz/c1003bp-c</v>
      </c>
      <c r="AA683" s="645">
        <f>IFERROR(IF(VLOOKUP(C683,[4]List1!$A:$D,4,FALSE)=0,"",VLOOKUP(C683,[4]List1!$A:$D,4,FALSE)),"")</f>
        <v>36</v>
      </c>
      <c r="AB683" s="646"/>
      <c r="AC683" s="647" t="str">
        <f>IFERROR(IF(VLOOKUP(C683,[1]List1!$A:$D,2,FALSE)="VYPRODÁNO",$V$9,IF(VLOOKUP(C683,[1]List1!$A:$D,2,FALSE)="DOCHÁZÍ",$V$3,VLOOKUP(C683,[1]List1!$A:$D,2,FALSE))),"OFFLINE!")</f>
        <v>VYPRODÁNO</v>
      </c>
      <c r="AD683" s="647" t="str">
        <f ca="1">IF(AP683="NE",$V$10,IF(AC683=$V$3,IF(AQ683&lt;1,$V$8,$V$2&amp;" "&amp;AQ683&amp;" "&amp;$V$1),IF(AC683="SKLADEM",$V$6,IFERROR(IF(OR(AC683-TODAY()&gt;45,VLOOKUP(C683,[1]List1!$A:$E,4,FALSE)=0),AC683,DAY(AC683)&amp;"."&amp;MONTH(AC683)&amp;"."&amp;YEAR(AC683)&amp;" "&amp;$V$4&amp;VLOOKUP(C683,[1]List1!$A:$E,4,FALSE)&amp;" "&amp;$V$1),AC683))))</f>
        <v>VYPRODÁNO</v>
      </c>
      <c r="AE683" s="645" t="str">
        <f t="shared" ref="AE683:AE698" ca="1" si="2054">IFERROR(IF(AV683&lt;&gt;"",AV683,AD683),AD683)</f>
        <v>VYPRODÁNO</v>
      </c>
      <c r="AF683" s="648">
        <f t="shared" ref="AF683:AF698" si="2055">IFERROR(IF(AB683=Y683,G683*I683*Y683,0),0)</f>
        <v>0</v>
      </c>
      <c r="AG683" s="649">
        <f t="shared" ref="AG683:AG698" si="2056">IF($W$17=$AF$8,AH683*1.23,AF683*1.21)</f>
        <v>0</v>
      </c>
      <c r="AH683" s="650">
        <f t="shared" ref="AH683:AH698" si="2057">IFERROR(IF(Y683=AB683,H683*I683*Y683,0),0)</f>
        <v>0</v>
      </c>
      <c r="AI683" s="645">
        <f t="shared" ref="AI683:AI698" si="2058">IFERROR(IF(Y683=AB683,(P683*Y683)/1000,1),0)</f>
        <v>0</v>
      </c>
      <c r="AJ683" s="645">
        <f t="shared" ref="AJ683:AJ698" si="2059">IFERROR(IF(Y683=AB683,N683*Y683,0.1),0)</f>
        <v>0</v>
      </c>
      <c r="AK683" s="645" t="str">
        <f t="shared" ref="AK683:AK698" si="2060">IFERROR(IF(Y683=AB683,IF(M683="1.1G",(O683/1000)*Y683,""),""),0)</f>
        <v/>
      </c>
      <c r="AL683" s="645">
        <f t="shared" ref="AL683:AL698" si="2061">IFERROR(IF(Y683=AB683,IF(M683="1.3G",(O683/1000)*AB683,""),""),0)</f>
        <v>0</v>
      </c>
      <c r="AM683" s="645" t="str">
        <f t="shared" ref="AM683:AM698" si="2062">IFERROR(IF(Y683=AB683,IF(M683="1.4G",(O683/1000)*AB683,""),""),0)</f>
        <v/>
      </c>
      <c r="AN683" s="651">
        <f t="shared" ref="AN683:AN698" si="2063">SUM(AK683:AM683)</f>
        <v>0</v>
      </c>
      <c r="AO683" s="623"/>
      <c r="AP683" s="632" t="str">
        <f t="shared" si="2028"/>
        <v/>
      </c>
      <c r="AQ683" s="633" t="str">
        <f>IF(AC683=$V$3,IF(VLOOKUP(C683,[1]List1!$A:$E,5,FALSE)=0,1,VLOOKUP(C683,[1]List1!$A:$E,5,FALSE)),"")</f>
        <v/>
      </c>
      <c r="AR683" s="625" t="str">
        <f t="shared" si="2029"/>
        <v/>
      </c>
      <c r="AS683" s="634" t="str">
        <f t="shared" si="2030"/>
        <v/>
      </c>
      <c r="AT683" s="625" t="str">
        <f t="shared" si="2031"/>
        <v/>
      </c>
      <c r="AU683" s="638" t="e">
        <f t="shared" si="2032"/>
        <v>#N/A</v>
      </c>
      <c r="AV683" s="625" t="e">
        <f t="shared" si="2033"/>
        <v>#N/A</v>
      </c>
      <c r="AX683" s="625">
        <f>IF(AND('General price list'!$J683="F4",'General price list'!$AB683+0&gt;0),1,0)</f>
        <v>0</v>
      </c>
      <c r="AY683" s="625">
        <f t="shared" si="2034"/>
        <v>1</v>
      </c>
      <c r="AZ683" s="625">
        <f t="shared" si="2035"/>
        <v>0</v>
      </c>
    </row>
    <row r="684" spans="1:52" ht="15" customHeight="1">
      <c r="A684" s="621" t="str">
        <f>Kat.!C684</f>
        <v/>
      </c>
      <c r="B684" s="566">
        <f>IF(AND('General price list'!$J684="F4",$AI$1=FALSE),0,IF(AC684="SKLADEM",1,IF(AC684=$V$3,1,0)))</f>
        <v>1</v>
      </c>
      <c r="C684" s="567" t="s">
        <v>5095</v>
      </c>
      <c r="D684" s="568" t="s">
        <v>11719</v>
      </c>
      <c r="E684" s="763" t="s">
        <v>12663</v>
      </c>
      <c r="F684" s="791">
        <f>IFERROR(VLOOKUP(C684,[2]List1!$A:$D,3,FALSE),"NEUVEDENO!")</f>
        <v>2099</v>
      </c>
      <c r="G684" s="769">
        <f t="shared" si="2050"/>
        <v>2099</v>
      </c>
      <c r="H684" s="766">
        <f t="shared" si="2051"/>
        <v>89.162450671798069</v>
      </c>
      <c r="I684" s="764">
        <f>IFERROR(VLOOKUP(C684,[2]List1!$A:$D,4,FALSE),"NEUVEDENO!")</f>
        <v>1</v>
      </c>
      <c r="J684" s="732" t="s">
        <v>113</v>
      </c>
      <c r="K684" s="569" t="s">
        <v>11100</v>
      </c>
      <c r="L684" s="569" t="s">
        <v>20</v>
      </c>
      <c r="M684" s="569" t="s">
        <v>114</v>
      </c>
      <c r="N684" s="569">
        <f>IFERROR(VLOOKUP(C684,[3]List1!$A:$D,4,FALSE),"N/A!")</f>
        <v>3.5624999999999997E-2</v>
      </c>
      <c r="O684" s="569">
        <f>IFERROR(VLOOKUP(C684,[3]List1!$A:$D,3,FALSE),"N/A!")</f>
        <v>1800</v>
      </c>
      <c r="P684" s="569">
        <f>IFERROR(VLOOKUP(C684,[3]List1!$A:$D,2,FALSE),"N/A!")</f>
        <v>12500</v>
      </c>
      <c r="Q684" s="569" t="s">
        <v>11790</v>
      </c>
      <c r="R684" s="569"/>
      <c r="S684" s="569" t="str">
        <f>IF($W$17=$AF$1,"červená fólie",IFERROR(VLOOKUP("červená fólie",Jazyky_ceník!$A:$Q,MATCH($W$17,Jazyky_ceník!$A$1:$Q$1,0),FALSE),"!!!"))</f>
        <v>červená fólie</v>
      </c>
      <c r="T684" s="569">
        <v>130</v>
      </c>
      <c r="U684" s="569">
        <v>40</v>
      </c>
      <c r="V684" s="569">
        <v>29</v>
      </c>
      <c r="W684" s="569" t="str">
        <f>IFERROR(IF(AND($AB684&gt;=0.1*$AA684,MOD($AB684,$AA684)&gt;=($AA684-(0.1*$AA684))),IF($W$17=$AF$1,"Zvažte možnost doobjednání ještě "&amp;Tabulka1[[#This Row],[VKPAL]]-MOD(AB684,AA684)&amp;" VK do plné palety.",VLOOKUP("Zvažte možnost doobjednání ještě ",Jazyky_ceník!A:Q,MATCH($W$17,Jazyky_ceník!$A$1:$Q$1,0),FALSE)&amp;Tabulka1[[#This Row],[VKPAL]]-MOD(AB684,AA684)&amp;VLOOKUP(" VK do plné palety.",Jazyky_ceník!A:Q,MATCH($W$17,Jazyky_ceník!$A$1:$Q$1,0),FALSE)),IFERROR(IF(AND(NOT(MOD($AB684,$AA684)=0),$AB684&gt;=0.9*$AA684,MOD($AB684,$AA684)&lt;=0.1*$AA684),IF($W$17=$AF$1,"Zvažte možnost optimalizace objednaného množství podle počtu VK na paletě ==&gt;",VLOOKUP("Zvažte možnost optimalizace objednaného množství podle počtu VK na paletě ==&gt;",Jazyky_ceník!A:Q,MATCH($W$17,Jazyky_ceník!$A$1:$Q$1,0),FALSE)),VLOOKUP('General price list'!$C684,Popisy!A:M,MATCH($W$17,Popisy!$A$7:$M$7,0),FALSE)),"---------------")),IFERROR(VLOOKUP('General price list'!$C684,Popisy!A:M,MATCH($W$17,Popisy!$A$7:$M$7,0),FALSE),"---------------"))</f>
        <v>10 různobarevných efektů</v>
      </c>
      <c r="X684" s="569" t="str">
        <f t="shared" si="2052"/>
        <v/>
      </c>
      <c r="Y684" s="569" t="str">
        <f t="shared" si="2053"/>
        <v/>
      </c>
      <c r="Z684" s="569" t="str">
        <f>HYPERLINK("https://www.klasekpyrotechnics.cz/c1003bps-c")</f>
        <v>https://www.klasekpyrotechnics.cz/c1003bps-c</v>
      </c>
      <c r="AA684" s="569">
        <f>IFERROR(IF(VLOOKUP(C684,[4]List1!$A:$D,4,FALSE)=0,"",VLOOKUP(C684,[4]List1!$A:$D,4,FALSE)),"")</f>
        <v>36</v>
      </c>
      <c r="AB684" s="565"/>
      <c r="AC684" s="570" t="str">
        <f>IFERROR(IF(VLOOKUP(C684,[1]List1!$A:$D,2,FALSE)="VYPRODÁNO",$V$9,IF(VLOOKUP(C684,[1]List1!$A:$D,2,FALSE)="DOCHÁZÍ",$V$3,VLOOKUP(C684,[1]List1!$A:$D,2,FALSE))),"OFFLINE!")</f>
        <v>SKLADEM</v>
      </c>
      <c r="AD684" s="570" t="str">
        <f ca="1">IF(AP684="NE",$V$10,IF(AC684=$V$3,IF(AQ684&lt;1,$V$8,$V$2&amp;" "&amp;AQ684&amp;" "&amp;$V$1),IF(AC684="SKLADEM",$V$6,IFERROR(IF(OR(AC684-TODAY()&gt;45,VLOOKUP(C684,[1]List1!$A:$E,4,FALSE)=0),AC684,DAY(AC684)&amp;"."&amp;MONTH(AC684)&amp;"."&amp;YEAR(AC684)&amp;" "&amp;$V$4&amp;VLOOKUP(C684,[1]List1!$A:$E,4,FALSE)&amp;" "&amp;$V$1),AC684))))</f>
        <v>SKLADEM</v>
      </c>
      <c r="AE684" s="581" t="str">
        <f t="shared" ca="1" si="2054"/>
        <v>SKLADEM</v>
      </c>
      <c r="AF684" s="584">
        <f t="shared" si="2055"/>
        <v>0</v>
      </c>
      <c r="AG684" s="585">
        <f t="shared" si="2056"/>
        <v>0</v>
      </c>
      <c r="AH684" s="583">
        <f t="shared" si="2057"/>
        <v>0</v>
      </c>
      <c r="AI684" s="582">
        <f t="shared" si="2058"/>
        <v>0</v>
      </c>
      <c r="AJ684" s="569">
        <f t="shared" si="2059"/>
        <v>0</v>
      </c>
      <c r="AK684" s="569" t="str">
        <f t="shared" si="2060"/>
        <v/>
      </c>
      <c r="AL684" s="569">
        <f t="shared" si="2061"/>
        <v>0</v>
      </c>
      <c r="AM684" s="569" t="str">
        <f t="shared" si="2062"/>
        <v/>
      </c>
      <c r="AN684" s="581">
        <f t="shared" si="2063"/>
        <v>0</v>
      </c>
      <c r="AO684" s="623"/>
      <c r="AP684" s="632" t="str">
        <f t="shared" si="2028"/>
        <v/>
      </c>
      <c r="AQ684" s="633" t="str">
        <f>IF(AC684=$V$3,IF(VLOOKUP(C684,[1]List1!$A:$E,5,FALSE)=0,1,VLOOKUP(C684,[1]List1!$A:$E,5,FALSE)),"")</f>
        <v/>
      </c>
      <c r="AR684" s="625" t="str">
        <f t="shared" si="2029"/>
        <v/>
      </c>
      <c r="AS684" s="634" t="str">
        <f t="shared" si="2030"/>
        <v/>
      </c>
      <c r="AT684" s="625" t="str">
        <f t="shared" si="2031"/>
        <v/>
      </c>
      <c r="AU684" s="638" t="e">
        <f t="shared" si="2032"/>
        <v>#N/A</v>
      </c>
      <c r="AV684" s="625" t="e">
        <f t="shared" si="2033"/>
        <v>#N/A</v>
      </c>
      <c r="AX684" s="625">
        <f>IF(AND('General price list'!$J684="F4",'General price list'!$AB684+0&gt;0),1,0)</f>
        <v>0</v>
      </c>
      <c r="AY684" s="625">
        <f t="shared" si="2034"/>
        <v>1</v>
      </c>
      <c r="AZ684" s="625">
        <f t="shared" si="2035"/>
        <v>0</v>
      </c>
    </row>
    <row r="685" spans="1:52" ht="15" customHeight="1">
      <c r="A685" s="639" t="str">
        <f>Kat.!C685</f>
        <v>×</v>
      </c>
      <c r="B685" s="640">
        <f>IF(AND('General price list'!$J685="F4",$AI$1=FALSE),0,IF(AC685="SKLADEM",1,IF(AC685=$V$3,1,0)))</f>
        <v>1</v>
      </c>
      <c r="C685" s="641" t="s">
        <v>1403</v>
      </c>
      <c r="D685" s="642" t="s">
        <v>1394</v>
      </c>
      <c r="E685" s="643" t="s">
        <v>12663</v>
      </c>
      <c r="F685" s="791">
        <f>IFERROR(VLOOKUP(C685,[2]List1!$A:$D,3,FALSE),"NEUVEDENO!")</f>
        <v>2399</v>
      </c>
      <c r="G685" s="768">
        <f t="shared" si="2050"/>
        <v>2399</v>
      </c>
      <c r="H685" s="765">
        <f t="shared" si="2051"/>
        <v>101.90601198744335</v>
      </c>
      <c r="I685" s="644">
        <f>IFERROR(VLOOKUP(C685,[2]List1!$A:$D,4,FALSE),"NEUVEDENO!")</f>
        <v>1</v>
      </c>
      <c r="J685" s="733" t="s">
        <v>113</v>
      </c>
      <c r="K685" s="645" t="s">
        <v>11100</v>
      </c>
      <c r="L685" s="645" t="s">
        <v>20</v>
      </c>
      <c r="M685" s="645" t="s">
        <v>114</v>
      </c>
      <c r="N685" s="645">
        <f>IFERROR(VLOOKUP(C685,[3]List1!$A:$D,4,FALSE),"N/A!")</f>
        <v>3.5624999999999997E-2</v>
      </c>
      <c r="O685" s="645">
        <f>IFERROR(VLOOKUP(C685,[3]List1!$A:$D,3,FALSE),"N/A!")</f>
        <v>1900</v>
      </c>
      <c r="P685" s="645">
        <f>IFERROR(VLOOKUP(C685,[3]List1!$A:$D,2,FALSE),"N/A!")</f>
        <v>13500</v>
      </c>
      <c r="Q685" s="645" t="s">
        <v>11790</v>
      </c>
      <c r="R685" s="645"/>
      <c r="S685" s="645" t="str">
        <f>IF($W$17=$AF$1,"červená fólie",IFERROR(VLOOKUP("červená fólie",Jazyky_ceník!$A:$Q,MATCH($W$17,Jazyky_ceník!$A$1:$Q$1,0),FALSE),"!!!"))</f>
        <v>červená fólie</v>
      </c>
      <c r="T685" s="645">
        <v>100</v>
      </c>
      <c r="U685" s="645">
        <v>40</v>
      </c>
      <c r="V685" s="645">
        <v>30</v>
      </c>
      <c r="W685" s="645" t="str">
        <f>IFERROR(IF(AND($AB685&gt;=0.1*$AA685,MOD($AB685,$AA685)&gt;=($AA685-(0.1*$AA685))),IF($W$17=$AF$1,"Zvažte možnost doobjednání ještě "&amp;Tabulka1[[#This Row],[VKPAL]]-MOD(AB685,AA685)&amp;" VK do plné palety.",VLOOKUP("Zvažte možnost doobjednání ještě ",Jazyky_ceník!A:Q,MATCH($W$17,Jazyky_ceník!$A$1:$Q$1,0),FALSE)&amp;Tabulka1[[#This Row],[VKPAL]]-MOD(AB685,AA685)&amp;VLOOKUP(" VK do plné palety.",Jazyky_ceník!A:Q,MATCH($W$17,Jazyky_ceník!$A$1:$Q$1,0),FALSE)),IFERROR(IF(AND(NOT(MOD($AB685,$AA685)=0),$AB685&gt;=0.9*$AA685,MOD($AB685,$AA685)&lt;=0.1*$AA685),IF($W$17=$AF$1,"Zvažte možnost optimalizace objednaného množství podle počtu VK na paletě ==&gt;",VLOOKUP("Zvažte možnost optimalizace objednaného množství podle počtu VK na paletě ==&gt;",Jazyky_ceník!A:Q,MATCH($W$17,Jazyky_ceník!$A$1:$Q$1,0),FALSE)),VLOOKUP('General price list'!$C685,Popisy!A:M,MATCH($W$17,Popisy!$A$7:$M$7,0),FALSE)),"---------------")),IFERROR(VLOOKUP('General price list'!$C685,Popisy!A:M,MATCH($W$17,Popisy!$A$7:$M$7,0),FALSE),"---------------"))</f>
        <v>10 různobarevných efektů</v>
      </c>
      <c r="X685" s="645" t="str">
        <f t="shared" si="2052"/>
        <v/>
      </c>
      <c r="Y685" s="645" t="str">
        <f t="shared" si="2053"/>
        <v/>
      </c>
      <c r="Z685" s="645" t="str">
        <f>HYPERLINK("https://www.klasekpyrotechnics.cz/c1003bb-c")</f>
        <v>https://www.klasekpyrotechnics.cz/c1003bb-c</v>
      </c>
      <c r="AA685" s="645">
        <f>IFERROR(IF(VLOOKUP(C685,[4]List1!$A:$D,4,FALSE)=0,"",VLOOKUP(C685,[4]List1!$A:$D,4,FALSE)),"")</f>
        <v>36</v>
      </c>
      <c r="AB685" s="646"/>
      <c r="AC685" s="647" t="str">
        <f>IFERROR(IF(VLOOKUP(C685,[1]List1!$A:$D,2,FALSE)="VYPRODÁNO",$V$9,IF(VLOOKUP(C685,[1]List1!$A:$D,2,FALSE)="DOCHÁZÍ",$V$3,VLOOKUP(C685,[1]List1!$A:$D,2,FALSE))),"OFFLINE!")</f>
        <v>DOCHÁZÍ</v>
      </c>
      <c r="AD685" s="647" t="str">
        <f ca="1">IF(AP685="NE",$V$10,IF(AC685=$V$3,IF(AQ685&lt;1,$V$8,$V$2&amp;" "&amp;AQ685&amp;" "&amp;$V$1),IF(AC685="SKLADEM",$V$6,IFERROR(IF(OR(AC685-TODAY()&gt;45,VLOOKUP(C685,[1]List1!$A:$E,4,FALSE)=0),AC685,DAY(AC685)&amp;"."&amp;MONTH(AC685)&amp;"."&amp;YEAR(AC685)&amp;" "&amp;$V$4&amp;VLOOKUP(C685,[1]List1!$A:$E,4,FALSE)&amp;" "&amp;$V$1),AC685))))</f>
        <v>POSLEDNÍCH 62 VK</v>
      </c>
      <c r="AE685" s="645" t="str">
        <f t="shared" ca="1" si="2054"/>
        <v>POSLEDNÍCH 62 VK</v>
      </c>
      <c r="AF685" s="648">
        <f t="shared" si="2055"/>
        <v>0</v>
      </c>
      <c r="AG685" s="649">
        <f t="shared" si="2056"/>
        <v>0</v>
      </c>
      <c r="AH685" s="650">
        <f t="shared" si="2057"/>
        <v>0</v>
      </c>
      <c r="AI685" s="645">
        <f t="shared" si="2058"/>
        <v>0</v>
      </c>
      <c r="AJ685" s="645">
        <f t="shared" si="2059"/>
        <v>0</v>
      </c>
      <c r="AK685" s="645" t="str">
        <f t="shared" si="2060"/>
        <v/>
      </c>
      <c r="AL685" s="645">
        <f t="shared" si="2061"/>
        <v>0</v>
      </c>
      <c r="AM685" s="645" t="str">
        <f t="shared" si="2062"/>
        <v/>
      </c>
      <c r="AN685" s="651">
        <f t="shared" si="2063"/>
        <v>0</v>
      </c>
      <c r="AO685" s="623"/>
      <c r="AP685" s="632" t="str">
        <f t="shared" si="2028"/>
        <v/>
      </c>
      <c r="AQ685" s="633">
        <f>IF(AC685=$V$3,IF(VLOOKUP(C685,[1]List1!$A:$E,5,FALSE)=0,1,VLOOKUP(C685,[1]List1!$A:$E,5,FALSE)),"")</f>
        <v>62</v>
      </c>
      <c r="AR685" s="625" t="str">
        <f t="shared" si="2029"/>
        <v/>
      </c>
      <c r="AS685" s="634" t="str">
        <f t="shared" si="2030"/>
        <v/>
      </c>
      <c r="AT685" s="625" t="str">
        <f t="shared" si="2031"/>
        <v/>
      </c>
      <c r="AU685" s="638" t="e">
        <f t="shared" si="2032"/>
        <v>#N/A</v>
      </c>
      <c r="AV685" s="625" t="e">
        <f t="shared" si="2033"/>
        <v>#N/A</v>
      </c>
      <c r="AX685" s="625">
        <f>IF(AND('General price list'!$J685="F4",'General price list'!$AB685+0&gt;0),1,0)</f>
        <v>0</v>
      </c>
      <c r="AY685" s="625">
        <f t="shared" si="2034"/>
        <v>1</v>
      </c>
      <c r="AZ685" s="625">
        <f t="shared" si="2035"/>
        <v>0</v>
      </c>
    </row>
    <row r="686" spans="1:52" ht="15" customHeight="1">
      <c r="A686" s="621" t="str">
        <f>Kat.!C686</f>
        <v/>
      </c>
      <c r="B686" s="566">
        <f>IF(AND('General price list'!$J686="F4",$AI$1=FALSE),0,IF(AC686="SKLADEM",1,IF(AC686=$V$3,1,0)))</f>
        <v>1</v>
      </c>
      <c r="C686" s="567" t="s">
        <v>5097</v>
      </c>
      <c r="D686" s="568" t="s">
        <v>11738</v>
      </c>
      <c r="E686" s="763" t="s">
        <v>12663</v>
      </c>
      <c r="F686" s="791">
        <f>IFERROR(VLOOKUP(C686,[2]List1!$A:$D,3,FALSE),"NEUVEDENO!")</f>
        <v>2399</v>
      </c>
      <c r="G686" s="769">
        <f t="shared" si="2050"/>
        <v>2399</v>
      </c>
      <c r="H686" s="766">
        <f t="shared" si="2051"/>
        <v>101.90601198744335</v>
      </c>
      <c r="I686" s="764">
        <f>IFERROR(VLOOKUP(C686,[2]List1!$A:$D,4,FALSE),"NEUVEDENO!")</f>
        <v>1</v>
      </c>
      <c r="J686" s="732" t="s">
        <v>113</v>
      </c>
      <c r="K686" s="569" t="s">
        <v>11100</v>
      </c>
      <c r="L686" s="569" t="s">
        <v>20</v>
      </c>
      <c r="M686" s="569" t="s">
        <v>114</v>
      </c>
      <c r="N686" s="569">
        <f>IFERROR(VLOOKUP(C686,[3]List1!$A:$D,4,FALSE),"N/A!")</f>
        <v>3.5624999999999997E-2</v>
      </c>
      <c r="O686" s="569">
        <f>IFERROR(VLOOKUP(C686,[3]List1!$A:$D,3,FALSE),"N/A!")</f>
        <v>1900</v>
      </c>
      <c r="P686" s="569">
        <f>IFERROR(VLOOKUP(C686,[3]List1!$A:$D,2,FALSE),"N/A!")</f>
        <v>13500</v>
      </c>
      <c r="Q686" s="569" t="s">
        <v>11790</v>
      </c>
      <c r="R686" s="569"/>
      <c r="S686" s="569" t="str">
        <f>IF($W$17=$AF$1,"červená fólie",IFERROR(VLOOKUP("červená fólie",Jazyky_ceník!$A:$Q,MATCH($W$17,Jazyky_ceník!$A$1:$Q$1,0),FALSE),"!!!"))</f>
        <v>červená fólie</v>
      </c>
      <c r="T686" s="569">
        <v>100</v>
      </c>
      <c r="U686" s="569">
        <v>40</v>
      </c>
      <c r="V686" s="569">
        <v>30</v>
      </c>
      <c r="W686" s="569" t="str">
        <f>IFERROR(IF(AND($AB686&gt;=0.1*$AA686,MOD($AB686,$AA686)&gt;=($AA686-(0.1*$AA686))),IF($W$17=$AF$1,"Zvažte možnost doobjednání ještě "&amp;Tabulka1[[#This Row],[VKPAL]]-MOD(AB686,AA686)&amp;" VK do plné palety.",VLOOKUP("Zvažte možnost doobjednání ještě ",Jazyky_ceník!A:Q,MATCH($W$17,Jazyky_ceník!$A$1:$Q$1,0),FALSE)&amp;Tabulka1[[#This Row],[VKPAL]]-MOD(AB686,AA686)&amp;VLOOKUP(" VK do plné palety.",Jazyky_ceník!A:Q,MATCH($W$17,Jazyky_ceník!$A$1:$Q$1,0),FALSE)),IFERROR(IF(AND(NOT(MOD($AB686,$AA686)=0),$AB686&gt;=0.9*$AA686,MOD($AB686,$AA686)&lt;=0.1*$AA686),IF($W$17=$AF$1,"Zvažte možnost optimalizace objednaného množství podle počtu VK na paletě ==&gt;",VLOOKUP("Zvažte možnost optimalizace objednaného množství podle počtu VK na paletě ==&gt;",Jazyky_ceník!A:Q,MATCH($W$17,Jazyky_ceník!$A$1:$Q$1,0),FALSE)),VLOOKUP('General price list'!$C686,Popisy!A:M,MATCH($W$17,Popisy!$A$7:$M$7,0),FALSE)),"---------------")),IFERROR(VLOOKUP('General price list'!$C686,Popisy!A:M,MATCH($W$17,Popisy!$A$7:$M$7,0),FALSE),"---------------"))</f>
        <v>10 různobarevných efektů</v>
      </c>
      <c r="X686" s="569" t="str">
        <f t="shared" si="2052"/>
        <v/>
      </c>
      <c r="Y686" s="569" t="str">
        <f t="shared" si="2053"/>
        <v/>
      </c>
      <c r="Z686" s="569" t="str">
        <f>HYPERLINK("https://www.klasekpyrotechnics.cz/c1003f-c")</f>
        <v>https://www.klasekpyrotechnics.cz/c1003f-c</v>
      </c>
      <c r="AA686" s="569">
        <f>IFERROR(IF(VLOOKUP(C686,[4]List1!$A:$D,4,FALSE)=0,"",VLOOKUP(C686,[4]List1!$A:$D,4,FALSE)),"")</f>
        <v>36</v>
      </c>
      <c r="AB686" s="565"/>
      <c r="AC686" s="570" t="str">
        <f>IFERROR(IF(VLOOKUP(C686,[1]List1!$A:$D,2,FALSE)="VYPRODÁNO",$V$9,IF(VLOOKUP(C686,[1]List1!$A:$D,2,FALSE)="DOCHÁZÍ",$V$3,VLOOKUP(C686,[1]List1!$A:$D,2,FALSE))),"OFFLINE!")</f>
        <v>SKLADEM</v>
      </c>
      <c r="AD686" s="570" t="str">
        <f ca="1">IF(AP686="NE",$V$10,IF(AC686=$V$3,IF(AQ686&lt;1,$V$8,$V$2&amp;" "&amp;AQ686&amp;" "&amp;$V$1),IF(AC686="SKLADEM",$V$6,IFERROR(IF(OR(AC686-TODAY()&gt;45,VLOOKUP(C686,[1]List1!$A:$E,4,FALSE)=0),AC686,DAY(AC686)&amp;"."&amp;MONTH(AC686)&amp;"."&amp;YEAR(AC686)&amp;" "&amp;$V$4&amp;VLOOKUP(C686,[1]List1!$A:$E,4,FALSE)&amp;" "&amp;$V$1),AC686))))</f>
        <v>SKLADEM</v>
      </c>
      <c r="AE686" s="581" t="str">
        <f t="shared" ca="1" si="2054"/>
        <v>SKLADEM</v>
      </c>
      <c r="AF686" s="584">
        <f t="shared" si="2055"/>
        <v>0</v>
      </c>
      <c r="AG686" s="585">
        <f t="shared" si="2056"/>
        <v>0</v>
      </c>
      <c r="AH686" s="583">
        <f t="shared" si="2057"/>
        <v>0</v>
      </c>
      <c r="AI686" s="582">
        <f t="shared" si="2058"/>
        <v>0</v>
      </c>
      <c r="AJ686" s="569">
        <f t="shared" si="2059"/>
        <v>0</v>
      </c>
      <c r="AK686" s="569" t="str">
        <f t="shared" si="2060"/>
        <v/>
      </c>
      <c r="AL686" s="569">
        <f t="shared" si="2061"/>
        <v>0</v>
      </c>
      <c r="AM686" s="569" t="str">
        <f t="shared" si="2062"/>
        <v/>
      </c>
      <c r="AN686" s="581">
        <f t="shared" si="2063"/>
        <v>0</v>
      </c>
      <c r="AO686" s="623"/>
      <c r="AP686" s="632" t="str">
        <f t="shared" si="2028"/>
        <v/>
      </c>
      <c r="AQ686" s="633" t="str">
        <f>IF(AC686=$V$3,IF(VLOOKUP(C686,[1]List1!$A:$E,5,FALSE)=0,1,VLOOKUP(C686,[1]List1!$A:$E,5,FALSE)),"")</f>
        <v/>
      </c>
      <c r="AR686" s="625" t="str">
        <f t="shared" si="2029"/>
        <v/>
      </c>
      <c r="AS686" s="634" t="str">
        <f t="shared" si="2030"/>
        <v/>
      </c>
      <c r="AT686" s="625" t="str">
        <f t="shared" si="2031"/>
        <v/>
      </c>
      <c r="AU686" s="638" t="e">
        <f t="shared" si="2032"/>
        <v>#N/A</v>
      </c>
      <c r="AV686" s="625" t="e">
        <f t="shared" si="2033"/>
        <v>#N/A</v>
      </c>
      <c r="AX686" s="625">
        <f>IF(AND('General price list'!$J686="F4",'General price list'!$AB686+0&gt;0),1,0)</f>
        <v>0</v>
      </c>
      <c r="AY686" s="625">
        <f t="shared" si="2034"/>
        <v>1</v>
      </c>
      <c r="AZ686" s="625">
        <f t="shared" si="2035"/>
        <v>0</v>
      </c>
    </row>
    <row r="687" spans="1:52" ht="15" customHeight="1">
      <c r="A687" s="639" t="str">
        <f>Kat.!C687</f>
        <v/>
      </c>
      <c r="B687" s="640">
        <f>IF(AND('General price list'!$J687="F4",$AI$1=FALSE),0,IF(AC687="SKLADEM",1,IF(AC687=$V$3,1,0)))</f>
        <v>1</v>
      </c>
      <c r="C687" s="641" t="s">
        <v>1404</v>
      </c>
      <c r="D687" s="642" t="s">
        <v>11898</v>
      </c>
      <c r="E687" s="643" t="s">
        <v>12663</v>
      </c>
      <c r="F687" s="771">
        <f>IFERROR(VLOOKUP(C687,[2]List1!$A:$D,3,FALSE),"NEUVEDENO!")</f>
        <v>2846</v>
      </c>
      <c r="G687" s="768">
        <f t="shared" si="2050"/>
        <v>2846</v>
      </c>
      <c r="H687" s="765">
        <f t="shared" si="2051"/>
        <v>120.89391834775481</v>
      </c>
      <c r="I687" s="644">
        <f>IFERROR(VLOOKUP(C687,[2]List1!$A:$D,4,FALSE),"NEUVEDENO!")</f>
        <v>1</v>
      </c>
      <c r="J687" s="733" t="s">
        <v>113</v>
      </c>
      <c r="K687" s="645" t="s">
        <v>20</v>
      </c>
      <c r="L687" s="645" t="s">
        <v>20</v>
      </c>
      <c r="M687" s="645" t="s">
        <v>114</v>
      </c>
      <c r="N687" s="645">
        <f>IFERROR(VLOOKUP(C687,[3]List1!$A:$D,4,FALSE),"N/A!")</f>
        <v>3.5624999999999997E-2</v>
      </c>
      <c r="O687" s="645">
        <f>IFERROR(VLOOKUP(C687,[3]List1!$A:$D,3,FALSE),"N/A!")</f>
        <v>1998</v>
      </c>
      <c r="P687" s="645">
        <f>IFERROR(VLOOKUP(C687,[3]List1!$A:$D,2,FALSE),"N/A!")</f>
        <v>14000</v>
      </c>
      <c r="Q687" s="645" t="s">
        <v>11322</v>
      </c>
      <c r="R687" s="645"/>
      <c r="S687" s="645" t="str">
        <f>IF($W$17=$AF$1,"červená fólie",IFERROR(VLOOKUP("červená fólie",Jazyky_ceník!$A:$Q,MATCH($W$17,Jazyky_ceník!$A$1:$Q$1,0),FALSE),"!!!"))</f>
        <v>červená fólie</v>
      </c>
      <c r="T687" s="645">
        <v>100</v>
      </c>
      <c r="U687" s="645">
        <v>43</v>
      </c>
      <c r="V687" s="645">
        <v>33</v>
      </c>
      <c r="W687" s="645" t="str">
        <f>IFERROR(IF(AND($AB687&gt;=0.1*$AA687,MOD($AB687,$AA687)&gt;=($AA687-(0.1*$AA687))),IF($W$17=$AF$1,"Zvažte možnost doobjednání ještě "&amp;Tabulka1[[#This Row],[VKPAL]]-MOD(AB687,AA687)&amp;" VK do plné palety.",VLOOKUP("Zvažte možnost doobjednání ještě ",Jazyky_ceník!A:Q,MATCH($W$17,Jazyky_ceník!$A$1:$Q$1,0),FALSE)&amp;Tabulka1[[#This Row],[VKPAL]]-MOD(AB687,AA687)&amp;VLOOKUP(" VK do plné palety.",Jazyky_ceník!A:Q,MATCH($W$17,Jazyky_ceník!$A$1:$Q$1,0),FALSE)),IFERROR(IF(AND(NOT(MOD($AB687,$AA687)=0),$AB687&gt;=0.9*$AA687,MOD($AB687,$AA687)&lt;=0.1*$AA687),IF($W$17=$AF$1,"Zvažte možnost optimalizace objednaného množství podle počtu VK na paletě ==&gt;",VLOOKUP("Zvažte možnost optimalizace objednaného množství podle počtu VK na paletě ==&gt;",Jazyky_ceník!A:Q,MATCH($W$17,Jazyky_ceník!$A$1:$Q$1,0),FALSE)),VLOOKUP('General price list'!$C687,Popisy!A:M,MATCH($W$17,Popisy!$A$7:$M$7,0),FALSE)),"---------------")),IFERROR(VLOOKUP('General price list'!$C687,Popisy!A:M,MATCH($W$17,Popisy!$A$7:$M$7,0),FALSE),"---------------"))</f>
        <v>10 různobarevných efektů</v>
      </c>
      <c r="X687" s="645" t="str">
        <f t="shared" si="2052"/>
        <v/>
      </c>
      <c r="Y687" s="645" t="str">
        <f t="shared" si="2053"/>
        <v/>
      </c>
      <c r="Z687" s="645" t="str">
        <f>HYPERLINK("https://www.klasekpyrotechnics.cz/c1003sig-c")</f>
        <v>https://www.klasekpyrotechnics.cz/c1003sig-c</v>
      </c>
      <c r="AA687" s="645">
        <f>IFERROR(IF(VLOOKUP(C687,[4]List1!$A:$D,4,FALSE)=0,"",VLOOKUP(C687,[4]List1!$A:$D,4,FALSE)),"")</f>
        <v>36</v>
      </c>
      <c r="AB687" s="646"/>
      <c r="AC687" s="647" t="str">
        <f>IFERROR(IF(VLOOKUP(C687,[1]List1!$A:$D,2,FALSE)="VYPRODÁNO",$V$9,IF(VLOOKUP(C687,[1]List1!$A:$D,2,FALSE)="DOCHÁZÍ",$V$3,VLOOKUP(C687,[1]List1!$A:$D,2,FALSE))),"OFFLINE!")</f>
        <v>SKLADEM</v>
      </c>
      <c r="AD687" s="647" t="str">
        <f ca="1">IF(AP687="NE",$V$10,IF(AC687=$V$3,IF(AQ687&lt;1,$V$8,$V$2&amp;" "&amp;AQ687&amp;" "&amp;$V$1),IF(AC687="SKLADEM",$V$6,IFERROR(IF(OR(AC687-TODAY()&gt;45,VLOOKUP(C687,[1]List1!$A:$E,4,FALSE)=0),AC687,DAY(AC687)&amp;"."&amp;MONTH(AC687)&amp;"."&amp;YEAR(AC687)&amp;" "&amp;$V$4&amp;VLOOKUP(C687,[1]List1!$A:$E,4,FALSE)&amp;" "&amp;$V$1),AC687))))</f>
        <v>SKLADEM</v>
      </c>
      <c r="AE687" s="645" t="str">
        <f t="shared" ca="1" si="2054"/>
        <v>SKLADEM</v>
      </c>
      <c r="AF687" s="648">
        <f t="shared" si="2055"/>
        <v>0</v>
      </c>
      <c r="AG687" s="649">
        <f t="shared" si="2056"/>
        <v>0</v>
      </c>
      <c r="AH687" s="650">
        <f t="shared" si="2057"/>
        <v>0</v>
      </c>
      <c r="AI687" s="645">
        <f t="shared" si="2058"/>
        <v>0</v>
      </c>
      <c r="AJ687" s="645">
        <f t="shared" si="2059"/>
        <v>0</v>
      </c>
      <c r="AK687" s="645" t="str">
        <f t="shared" si="2060"/>
        <v/>
      </c>
      <c r="AL687" s="645">
        <f t="shared" si="2061"/>
        <v>0</v>
      </c>
      <c r="AM687" s="645" t="str">
        <f t="shared" si="2062"/>
        <v/>
      </c>
      <c r="AN687" s="651">
        <f t="shared" si="2063"/>
        <v>0</v>
      </c>
      <c r="AO687" s="623"/>
      <c r="AP687" s="632" t="str">
        <f t="shared" si="2028"/>
        <v/>
      </c>
      <c r="AQ687" s="633" t="str">
        <f>IF(AC687=$V$3,IF(VLOOKUP(C687,[1]List1!$A:$E,5,FALSE)=0,1,VLOOKUP(C687,[1]List1!$A:$E,5,FALSE)),"")</f>
        <v/>
      </c>
      <c r="AR687" s="625" t="str">
        <f t="shared" si="2029"/>
        <v/>
      </c>
      <c r="AS687" s="634" t="str">
        <f t="shared" si="2030"/>
        <v/>
      </c>
      <c r="AT687" s="625" t="str">
        <f t="shared" si="2031"/>
        <v/>
      </c>
      <c r="AU687" s="638" t="e">
        <f t="shared" si="2032"/>
        <v>#N/A</v>
      </c>
      <c r="AV687" s="625" t="e">
        <f t="shared" si="2033"/>
        <v>#N/A</v>
      </c>
      <c r="AX687" s="625">
        <f>IF(AND('General price list'!$J687="F4",'General price list'!$AB687+0&gt;0),1,0)</f>
        <v>0</v>
      </c>
      <c r="AY687" s="625">
        <f t="shared" si="2034"/>
        <v>1</v>
      </c>
      <c r="AZ687" s="625">
        <f t="shared" si="2035"/>
        <v>0</v>
      </c>
    </row>
    <row r="688" spans="1:52" ht="15" customHeight="1">
      <c r="A688" s="621" t="str">
        <f>Kat.!C688</f>
        <v>×</v>
      </c>
      <c r="B688" s="566">
        <f>IF(AND('General price list'!$J688="F4",$AI$1=FALSE),0,IF(AC688="SKLADEM",1,IF(AC688=$V$3,1,0)))</f>
        <v>1</v>
      </c>
      <c r="C688" s="567" t="s">
        <v>1406</v>
      </c>
      <c r="D688" s="568" t="s">
        <v>1171</v>
      </c>
      <c r="E688" s="763" t="s">
        <v>12663</v>
      </c>
      <c r="F688" s="772">
        <f>IFERROR(VLOOKUP(C688,[2]List1!$A:$D,3,FALSE),"NEUVEDENO!")</f>
        <v>2471</v>
      </c>
      <c r="G688" s="769">
        <f t="shared" si="2050"/>
        <v>2471</v>
      </c>
      <c r="H688" s="766">
        <f t="shared" si="2051"/>
        <v>104.96446670319821</v>
      </c>
      <c r="I688" s="764">
        <f>IFERROR(VLOOKUP(C688,[2]List1!$A:$D,4,FALSE),"NEUVEDENO!")</f>
        <v>1</v>
      </c>
      <c r="J688" s="732" t="s">
        <v>113</v>
      </c>
      <c r="K688" s="569" t="s">
        <v>20</v>
      </c>
      <c r="L688" s="569" t="s">
        <v>20</v>
      </c>
      <c r="M688" s="569" t="s">
        <v>114</v>
      </c>
      <c r="N688" s="569">
        <f>IFERROR(VLOOKUP(C688,[3]List1!$A:$D,4,FALSE),"N/A!")</f>
        <v>3.5624999999999997E-2</v>
      </c>
      <c r="O688" s="569">
        <f>IFERROR(VLOOKUP(C688,[3]List1!$A:$D,3,FALSE),"N/A!")</f>
        <v>1900</v>
      </c>
      <c r="P688" s="569">
        <f>IFERROR(VLOOKUP(C688,[3]List1!$A:$D,2,FALSE),"N/A!")</f>
        <v>13500</v>
      </c>
      <c r="Q688" s="569" t="s">
        <v>11790</v>
      </c>
      <c r="R688" s="569"/>
      <c r="S688" s="569" t="str">
        <f>IF($W$17=$AF$1,"červená fólie",IFERROR(VLOOKUP("červená fólie",Jazyky_ceník!$A:$Q,MATCH($W$17,Jazyky_ceník!$A$1:$Q$1,0),FALSE),"!!!"))</f>
        <v>červená fólie</v>
      </c>
      <c r="T688" s="569">
        <v>100</v>
      </c>
      <c r="U688" s="569">
        <v>40</v>
      </c>
      <c r="V688" s="569">
        <v>30</v>
      </c>
      <c r="W688" s="569" t="str">
        <f>IFERROR(IF(AND($AB688&gt;=0.1*$AA688,MOD($AB688,$AA688)&gt;=($AA688-(0.1*$AA688))),IF($W$17=$AF$1,"Zvažte možnost doobjednání ještě "&amp;Tabulka1[[#This Row],[VKPAL]]-MOD(AB688,AA688)&amp;" VK do plné palety.",VLOOKUP("Zvažte možnost doobjednání ještě ",Jazyky_ceník!A:Q,MATCH($W$17,Jazyky_ceník!$A$1:$Q$1,0),FALSE)&amp;Tabulka1[[#This Row],[VKPAL]]-MOD(AB688,AA688)&amp;VLOOKUP(" VK do plné palety.",Jazyky_ceník!A:Q,MATCH($W$17,Jazyky_ceník!$A$1:$Q$1,0),FALSE)),IFERROR(IF(AND(NOT(MOD($AB688,$AA688)=0),$AB688&gt;=0.9*$AA688,MOD($AB688,$AA688)&lt;=0.1*$AA688),IF($W$17=$AF$1,"Zvažte možnost optimalizace objednaného množství podle počtu VK na paletě ==&gt;",VLOOKUP("Zvažte možnost optimalizace objednaného množství podle počtu VK na paletě ==&gt;",Jazyky_ceník!A:Q,MATCH($W$17,Jazyky_ceník!$A$1:$Q$1,0),FALSE)),VLOOKUP('General price list'!$C688,Popisy!A:M,MATCH($W$17,Popisy!$A$7:$M$7,0),FALSE)),"---------------")),IFERROR(VLOOKUP('General price list'!$C688,Popisy!A:M,MATCH($W$17,Popisy!$A$7:$M$7,0),FALSE),"---------------"))</f>
        <v>10 různobarevných efektů, karton obsahuje nálepky s různým věkem</v>
      </c>
      <c r="X688" s="569" t="str">
        <f t="shared" si="2052"/>
        <v/>
      </c>
      <c r="Y688" s="569" t="str">
        <f t="shared" si="2053"/>
        <v/>
      </c>
      <c r="Z688" s="569" t="str">
        <f>HYPERLINK("https://www.klasekpyrotechnics.cz/c1003vs-c")</f>
        <v>https://www.klasekpyrotechnics.cz/c1003vs-c</v>
      </c>
      <c r="AA688" s="569">
        <f>IFERROR(IF(VLOOKUP(C688,[4]List1!$A:$D,4,FALSE)=0,"",VLOOKUP(C688,[4]List1!$A:$D,4,FALSE)),"")</f>
        <v>36</v>
      </c>
      <c r="AB688" s="565"/>
      <c r="AC688" s="570" t="str">
        <f>IFERROR(IF(VLOOKUP(C688,[1]List1!$A:$D,2,FALSE)="VYPRODÁNO",$V$9,IF(VLOOKUP(C688,[1]List1!$A:$D,2,FALSE)="DOCHÁZÍ",$V$3,VLOOKUP(C688,[1]List1!$A:$D,2,FALSE))),"OFFLINE!")</f>
        <v>DOCHÁZÍ</v>
      </c>
      <c r="AD688" s="570" t="str">
        <f ca="1">IF(AP688="NE",$V$10,IF(AC688=$V$3,IF(AQ688&lt;1,$V$8,$V$2&amp;" "&amp;AQ688&amp;" "&amp;$V$1),IF(AC688="SKLADEM",$V$6,IFERROR(IF(OR(AC688-TODAY()&gt;45,VLOOKUP(C688,[1]List1!$A:$E,4,FALSE)=0),AC688,DAY(AC688)&amp;"."&amp;MONTH(AC688)&amp;"."&amp;YEAR(AC688)&amp;" "&amp;$V$4&amp;VLOOKUP(C688,[1]List1!$A:$E,4,FALSE)&amp;" "&amp;$V$1),AC688))))</f>
        <v>POSLEDNÍCH 59 VK</v>
      </c>
      <c r="AE688" s="581" t="str">
        <f t="shared" ca="1" si="2054"/>
        <v>POSLEDNÍCH 59 VK</v>
      </c>
      <c r="AF688" s="584">
        <f t="shared" si="2055"/>
        <v>0</v>
      </c>
      <c r="AG688" s="585">
        <f t="shared" si="2056"/>
        <v>0</v>
      </c>
      <c r="AH688" s="583">
        <f t="shared" si="2057"/>
        <v>0</v>
      </c>
      <c r="AI688" s="582">
        <f t="shared" si="2058"/>
        <v>0</v>
      </c>
      <c r="AJ688" s="569">
        <f t="shared" si="2059"/>
        <v>0</v>
      </c>
      <c r="AK688" s="569" t="str">
        <f t="shared" si="2060"/>
        <v/>
      </c>
      <c r="AL688" s="569">
        <f t="shared" si="2061"/>
        <v>0</v>
      </c>
      <c r="AM688" s="569" t="str">
        <f t="shared" si="2062"/>
        <v/>
      </c>
      <c r="AN688" s="581">
        <f t="shared" si="2063"/>
        <v>0</v>
      </c>
      <c r="AO688" s="623"/>
      <c r="AP688" s="632" t="str">
        <f t="shared" si="2028"/>
        <v/>
      </c>
      <c r="AQ688" s="633">
        <f>IF(AC688=$V$3,IF(VLOOKUP(C688,[1]List1!$A:$E,5,FALSE)=0,1,VLOOKUP(C688,[1]List1!$A:$E,5,FALSE)),"")</f>
        <v>59</v>
      </c>
      <c r="AR688" s="625" t="str">
        <f t="shared" si="2029"/>
        <v/>
      </c>
      <c r="AS688" s="634" t="str">
        <f t="shared" si="2030"/>
        <v/>
      </c>
      <c r="AT688" s="625" t="str">
        <f t="shared" si="2031"/>
        <v/>
      </c>
      <c r="AU688" s="638" t="e">
        <f t="shared" si="2032"/>
        <v>#N/A</v>
      </c>
      <c r="AV688" s="625" t="e">
        <f t="shared" si="2033"/>
        <v>#N/A</v>
      </c>
      <c r="AX688" s="625">
        <f>IF(AND('General price list'!$J688="F4",'General price list'!$AB688+0&gt;0),1,0)</f>
        <v>0</v>
      </c>
      <c r="AY688" s="625">
        <f t="shared" si="2034"/>
        <v>1</v>
      </c>
      <c r="AZ688" s="625">
        <f t="shared" si="2035"/>
        <v>0</v>
      </c>
    </row>
    <row r="689" spans="1:52" ht="15" customHeight="1">
      <c r="A689" s="639" t="str">
        <f>Kat.!C689</f>
        <v/>
      </c>
      <c r="B689" s="640">
        <f>IF(AND('General price list'!$J689="F4",$AI$1=FALSE),0,IF(AC689="SKLADEM",1,IF(AC689=$V$3,1,0)))</f>
        <v>1</v>
      </c>
      <c r="C689" s="641" t="s">
        <v>2305</v>
      </c>
      <c r="D689" s="642" t="s">
        <v>11899</v>
      </c>
      <c r="E689" s="643" t="s">
        <v>12663</v>
      </c>
      <c r="F689" s="771">
        <f>IFERROR(VLOOKUP(C689,[2]List1!$A:$D,3,FALSE),"NEUVEDENO!")</f>
        <v>3752</v>
      </c>
      <c r="G689" s="768">
        <f t="shared" si="2050"/>
        <v>3752</v>
      </c>
      <c r="H689" s="765">
        <f t="shared" si="2051"/>
        <v>159.37947352100352</v>
      </c>
      <c r="I689" s="644">
        <f>IFERROR(VLOOKUP(C689,[2]List1!$A:$D,4,FALSE),"NEUVEDENO!")</f>
        <v>1</v>
      </c>
      <c r="J689" s="733" t="s">
        <v>113</v>
      </c>
      <c r="K689" s="645" t="s">
        <v>20</v>
      </c>
      <c r="L689" s="645" t="s">
        <v>20</v>
      </c>
      <c r="M689" s="645" t="s">
        <v>114</v>
      </c>
      <c r="N689" s="645">
        <f>IFERROR(VLOOKUP(C689,[3]List1!$A:$D,4,FALSE),"N/A!")</f>
        <v>6.7306249999999998E-2</v>
      </c>
      <c r="O689" s="645">
        <f>IFERROR(VLOOKUP(C689,[3]List1!$A:$D,3,FALSE),"N/A!")</f>
        <v>1998</v>
      </c>
      <c r="P689" s="645">
        <f>IFERROR(VLOOKUP(C689,[3]List1!$A:$D,2,FALSE),"N/A!")</f>
        <v>20000</v>
      </c>
      <c r="Q689" s="645" t="s">
        <v>11791</v>
      </c>
      <c r="R689" s="645"/>
      <c r="S689" s="645" t="str">
        <f>IF($W$17=$AF$1,"červená fólie",IFERROR(VLOOKUP("červená fólie",Jazyky_ceník!$A:$Q,MATCH($W$17,Jazyky_ceník!$A$1:$Q$1,0),FALSE),"!!!"))</f>
        <v>červená fólie</v>
      </c>
      <c r="T689" s="645">
        <v>80</v>
      </c>
      <c r="U689" s="645">
        <v>40</v>
      </c>
      <c r="V689" s="645">
        <v>31</v>
      </c>
      <c r="W689" s="645" t="str">
        <f>IFERROR(IF(AND($AB689&gt;=0.1*$AA689,MOD($AB689,$AA689)&gt;=($AA689-(0.1*$AA689))),IF($W$17=$AF$1,"Zvažte možnost doobjednání ještě "&amp;Tabulka1[[#This Row],[VKPAL]]-MOD(AB689,AA689)&amp;" VK do plné palety.",VLOOKUP("Zvažte možnost doobjednání ještě ",Jazyky_ceník!A:Q,MATCH($W$17,Jazyky_ceník!$A$1:$Q$1,0),FALSE)&amp;Tabulka1[[#This Row],[VKPAL]]-MOD(AB689,AA689)&amp;VLOOKUP(" VK do plné palety.",Jazyky_ceník!A:Q,MATCH($W$17,Jazyky_ceník!$A$1:$Q$1,0),FALSE)),IFERROR(IF(AND(NOT(MOD($AB689,$AA689)=0),$AB689&gt;=0.9*$AA689,MOD($AB689,$AA689)&lt;=0.1*$AA689),IF($W$17=$AF$1,"Zvažte možnost optimalizace objednaného množství podle počtu VK na paletě ==&gt;",VLOOKUP("Zvažte možnost optimalizace objednaného množství podle počtu VK na paletě ==&gt;",Jazyky_ceník!A:Q,MATCH($W$17,Jazyky_ceník!$A$1:$Q$1,0),FALSE)),VLOOKUP('General price list'!$C689,Popisy!A:M,MATCH($W$17,Popisy!$A$7:$M$7,0),FALSE)),"---------------")),IFERROR(VLOOKUP('General price list'!$C689,Popisy!A:M,MATCH($W$17,Popisy!$A$7:$M$7,0),FALSE),"---------------"))</f>
        <v>16 různobarevných efektů</v>
      </c>
      <c r="X689" s="645" t="str">
        <f t="shared" si="2052"/>
        <v/>
      </c>
      <c r="Y689" s="645" t="str">
        <f t="shared" si="2053"/>
        <v/>
      </c>
      <c r="Z689" s="645" t="str">
        <f>HYPERLINK("https://www.klasekpyrotechnics.cz/c128xmpt-c")</f>
        <v>https://www.klasekpyrotechnics.cz/c128xmpt-c</v>
      </c>
      <c r="AA689" s="645">
        <f>IFERROR(IF(VLOOKUP(C689,[4]List1!$A:$D,4,FALSE)=0,"",VLOOKUP(C689,[4]List1!$A:$D,4,FALSE)),"")</f>
        <v>12</v>
      </c>
      <c r="AB689" s="646"/>
      <c r="AC689" s="647" t="str">
        <f>IFERROR(IF(VLOOKUP(C689,[1]List1!$A:$D,2,FALSE)="VYPRODÁNO",$V$9,IF(VLOOKUP(C689,[1]List1!$A:$D,2,FALSE)="DOCHÁZÍ",$V$3,VLOOKUP(C689,[1]List1!$A:$D,2,FALSE))),"OFFLINE!")</f>
        <v>SKLADEM</v>
      </c>
      <c r="AD689" s="647" t="str">
        <f ca="1">IF(AP689="NE",$V$10,IF(AC689=$V$3,IF(AQ689&lt;1,$V$8,$V$2&amp;" "&amp;AQ689&amp;" "&amp;$V$1),IF(AC689="SKLADEM",$V$6,IFERROR(IF(OR(AC689-TODAY()&gt;45,VLOOKUP(C689,[1]List1!$A:$E,4,FALSE)=0),AC689,DAY(AC689)&amp;"."&amp;MONTH(AC689)&amp;"."&amp;YEAR(AC689)&amp;" "&amp;$V$4&amp;VLOOKUP(C689,[1]List1!$A:$E,4,FALSE)&amp;" "&amp;$V$1),AC689))))</f>
        <v>SKLADEM</v>
      </c>
      <c r="AE689" s="645" t="str">
        <f t="shared" ca="1" si="2054"/>
        <v>SKLADEM</v>
      </c>
      <c r="AF689" s="648">
        <f t="shared" si="2055"/>
        <v>0</v>
      </c>
      <c r="AG689" s="649">
        <f t="shared" si="2056"/>
        <v>0</v>
      </c>
      <c r="AH689" s="650">
        <f t="shared" si="2057"/>
        <v>0</v>
      </c>
      <c r="AI689" s="645">
        <f t="shared" si="2058"/>
        <v>0</v>
      </c>
      <c r="AJ689" s="645">
        <f t="shared" si="2059"/>
        <v>0</v>
      </c>
      <c r="AK689" s="645" t="str">
        <f t="shared" si="2060"/>
        <v/>
      </c>
      <c r="AL689" s="645">
        <f t="shared" si="2061"/>
        <v>0</v>
      </c>
      <c r="AM689" s="645" t="str">
        <f t="shared" si="2062"/>
        <v/>
      </c>
      <c r="AN689" s="651">
        <f t="shared" si="2063"/>
        <v>0</v>
      </c>
      <c r="AO689" s="623"/>
      <c r="AP689" s="632" t="str">
        <f t="shared" si="2028"/>
        <v/>
      </c>
      <c r="AQ689" s="633" t="str">
        <f>IF(AC689=$V$3,IF(VLOOKUP(C689,[1]List1!$A:$E,5,FALSE)=0,1,VLOOKUP(C689,[1]List1!$A:$E,5,FALSE)),"")</f>
        <v/>
      </c>
      <c r="AR689" s="625" t="str">
        <f t="shared" si="2029"/>
        <v/>
      </c>
      <c r="AS689" s="634" t="str">
        <f t="shared" si="2030"/>
        <v/>
      </c>
      <c r="AT689" s="625" t="str">
        <f t="shared" si="2031"/>
        <v/>
      </c>
      <c r="AU689" s="638" t="e">
        <f t="shared" si="2032"/>
        <v>#N/A</v>
      </c>
      <c r="AV689" s="625" t="e">
        <f t="shared" si="2033"/>
        <v>#N/A</v>
      </c>
      <c r="AX689" s="625">
        <f>IF(AND('General price list'!$J689="F4",'General price list'!$AB689+0&gt;0),1,0)</f>
        <v>0</v>
      </c>
      <c r="AY689" s="625">
        <f t="shared" si="2034"/>
        <v>1</v>
      </c>
      <c r="AZ689" s="625">
        <f t="shared" si="2035"/>
        <v>0</v>
      </c>
    </row>
    <row r="690" spans="1:52" ht="15" customHeight="1">
      <c r="A690" s="621" t="str">
        <f>Kat.!C690</f>
        <v/>
      </c>
      <c r="B690" s="566">
        <f>IF(AND('General price list'!$J690="F4",$AI$1=FALSE),0,IF(AC690="SKLADEM",1,IF(AC690=$V$3,1,0)))</f>
        <v>1</v>
      </c>
      <c r="C690" s="567" t="s">
        <v>1410</v>
      </c>
      <c r="D690" s="568" t="s">
        <v>1395</v>
      </c>
      <c r="E690" s="763" t="s">
        <v>12663</v>
      </c>
      <c r="F690" s="772">
        <f>IFERROR(VLOOKUP(C690,[2]List1!$A:$D,3,FALSE),"NEUVEDENO!")</f>
        <v>3499</v>
      </c>
      <c r="G690" s="769">
        <f t="shared" si="2050"/>
        <v>3499</v>
      </c>
      <c r="H690" s="766">
        <f t="shared" si="2051"/>
        <v>148.63240347814266</v>
      </c>
      <c r="I690" s="764">
        <f>IFERROR(VLOOKUP(C690,[2]List1!$A:$D,4,FALSE),"NEUVEDENO!")</f>
        <v>1</v>
      </c>
      <c r="J690" s="732" t="s">
        <v>113</v>
      </c>
      <c r="K690" s="569" t="s">
        <v>20</v>
      </c>
      <c r="L690" s="569" t="s">
        <v>20</v>
      </c>
      <c r="M690" s="569" t="s">
        <v>114</v>
      </c>
      <c r="N690" s="569">
        <f>IFERROR(VLOOKUP(C690,[3]List1!$A:$D,4,FALSE),"N/A!")</f>
        <v>6.7306249999999998E-2</v>
      </c>
      <c r="O690" s="569">
        <f>IFERROR(VLOOKUP(C690,[3]List1!$A:$D,3,FALSE),"N/A!")</f>
        <v>1996</v>
      </c>
      <c r="P690" s="569">
        <f>IFERROR(VLOOKUP(C690,[3]List1!$A:$D,2,FALSE),"N/A!")</f>
        <v>20500</v>
      </c>
      <c r="Q690" s="569" t="s">
        <v>11787</v>
      </c>
      <c r="R690" s="569"/>
      <c r="S690" s="569" t="str">
        <f>IF($W$17=$AF$1,"červená fólie",IFERROR(VLOOKUP("červená fólie",Jazyky_ceník!$A:$Q,MATCH($W$17,Jazyky_ceník!$A$1:$Q$1,0),FALSE),"!!!"))</f>
        <v>červená fólie</v>
      </c>
      <c r="T690" s="569">
        <v>100</v>
      </c>
      <c r="U690" s="569">
        <v>40</v>
      </c>
      <c r="V690" s="569">
        <v>30</v>
      </c>
      <c r="W690" s="569" t="str">
        <f>IFERROR(IF(AND($AB690&gt;=0.1*$AA690,MOD($AB690,$AA690)&gt;=($AA690-(0.1*$AA690))),IF($W$17=$AF$1,"Zvažte možnost doobjednání ještě "&amp;Tabulka1[[#This Row],[VKPAL]]-MOD(AB690,AA690)&amp;" VK do plné palety.",VLOOKUP("Zvažte možnost doobjednání ještě ",Jazyky_ceník!A:Q,MATCH($W$17,Jazyky_ceník!$A$1:$Q$1,0),FALSE)&amp;Tabulka1[[#This Row],[VKPAL]]-MOD(AB690,AA690)&amp;VLOOKUP(" VK do plné palety.",Jazyky_ceník!A:Q,MATCH($W$17,Jazyky_ceník!$A$1:$Q$1,0),FALSE)),IFERROR(IF(AND(NOT(MOD($AB690,$AA690)=0),$AB690&gt;=0.9*$AA690,MOD($AB690,$AA690)&lt;=0.1*$AA690),IF($W$17=$AF$1,"Zvažte možnost optimalizace objednaného množství podle počtu VK na paletě ==&gt;",VLOOKUP("Zvažte možnost optimalizace objednaného množství podle počtu VK na paletě ==&gt;",Jazyky_ceník!A:Q,MATCH($W$17,Jazyky_ceník!$A$1:$Q$1,0),FALSE)),VLOOKUP('General price list'!$C690,Popisy!A:M,MATCH($W$17,Popisy!$A$7:$M$7,0),FALSE)),"---------------")),IFERROR(VLOOKUP('General price list'!$C690,Popisy!A:M,MATCH($W$17,Popisy!$A$7:$M$7,0),FALSE),"---------------"))</f>
        <v>16 různobarevných efektů</v>
      </c>
      <c r="X690" s="569" t="str">
        <f t="shared" si="2052"/>
        <v/>
      </c>
      <c r="Y690" s="569" t="str">
        <f t="shared" si="2053"/>
        <v/>
      </c>
      <c r="Z690" s="569" t="str">
        <f>HYPERLINK("https://www.klasekpyrotechnics.cz/c128xmb-c")</f>
        <v>https://www.klasekpyrotechnics.cz/c128xmb-c</v>
      </c>
      <c r="AA690" s="569">
        <f>IFERROR(IF(VLOOKUP(C690,[4]List1!$A:$D,4,FALSE)=0,"",VLOOKUP(C690,[4]List1!$A:$D,4,FALSE)),"")</f>
        <v>12</v>
      </c>
      <c r="AB690" s="565"/>
      <c r="AC690" s="570" t="str">
        <f>IFERROR(IF(VLOOKUP(C690,[1]List1!$A:$D,2,FALSE)="VYPRODÁNO",$V$9,IF(VLOOKUP(C690,[1]List1!$A:$D,2,FALSE)="DOCHÁZÍ",$V$3,VLOOKUP(C690,[1]List1!$A:$D,2,FALSE))),"OFFLINE!")</f>
        <v>SKLADEM</v>
      </c>
      <c r="AD690" s="570" t="str">
        <f ca="1">IF(AP690="NE",$V$10,IF(AC690=$V$3,IF(AQ690&lt;1,$V$8,$V$2&amp;" "&amp;AQ690&amp;" "&amp;$V$1),IF(AC690="SKLADEM",$V$6,IFERROR(IF(OR(AC690-TODAY()&gt;45,VLOOKUP(C690,[1]List1!$A:$E,4,FALSE)=0),AC690,DAY(AC690)&amp;"."&amp;MONTH(AC690)&amp;"."&amp;YEAR(AC690)&amp;" "&amp;$V$4&amp;VLOOKUP(C690,[1]List1!$A:$E,4,FALSE)&amp;" "&amp;$V$1),AC690))))</f>
        <v>SKLADEM</v>
      </c>
      <c r="AE690" s="581" t="str">
        <f t="shared" ca="1" si="2054"/>
        <v>SKLADEM</v>
      </c>
      <c r="AF690" s="584">
        <f t="shared" si="2055"/>
        <v>0</v>
      </c>
      <c r="AG690" s="585">
        <f t="shared" si="2056"/>
        <v>0</v>
      </c>
      <c r="AH690" s="583">
        <f t="shared" si="2057"/>
        <v>0</v>
      </c>
      <c r="AI690" s="582">
        <f t="shared" si="2058"/>
        <v>0</v>
      </c>
      <c r="AJ690" s="569">
        <f t="shared" si="2059"/>
        <v>0</v>
      </c>
      <c r="AK690" s="569" t="str">
        <f t="shared" si="2060"/>
        <v/>
      </c>
      <c r="AL690" s="569">
        <f t="shared" si="2061"/>
        <v>0</v>
      </c>
      <c r="AM690" s="569" t="str">
        <f t="shared" si="2062"/>
        <v/>
      </c>
      <c r="AN690" s="581">
        <f t="shared" si="2063"/>
        <v>0</v>
      </c>
      <c r="AO690" s="623"/>
      <c r="AP690" s="632" t="str">
        <f t="shared" si="2028"/>
        <v/>
      </c>
      <c r="AQ690" s="633" t="str">
        <f>IF(AC690=$V$3,IF(VLOOKUP(C690,[1]List1!$A:$E,5,FALSE)=0,1,VLOOKUP(C690,[1]List1!$A:$E,5,FALSE)),"")</f>
        <v/>
      </c>
      <c r="AR690" s="625" t="str">
        <f t="shared" si="2029"/>
        <v/>
      </c>
      <c r="AS690" s="634" t="str">
        <f t="shared" si="2030"/>
        <v/>
      </c>
      <c r="AT690" s="625" t="str">
        <f t="shared" si="2031"/>
        <v/>
      </c>
      <c r="AU690" s="638" t="e">
        <f t="shared" si="2032"/>
        <v>#N/A</v>
      </c>
      <c r="AV690" s="625" t="e">
        <f t="shared" si="2033"/>
        <v>#N/A</v>
      </c>
      <c r="AX690" s="625">
        <f>IF(AND('General price list'!$J690="F4",'General price list'!$AB690+0&gt;0),1,0)</f>
        <v>0</v>
      </c>
      <c r="AY690" s="625">
        <f t="shared" si="2034"/>
        <v>1</v>
      </c>
      <c r="AZ690" s="625">
        <f t="shared" si="2035"/>
        <v>0</v>
      </c>
    </row>
    <row r="691" spans="1:52" ht="15" customHeight="1">
      <c r="A691" s="639" t="str">
        <f>Kat.!C691</f>
        <v/>
      </c>
      <c r="B691" s="640">
        <f>IF(AND('General price list'!$J691="F4",$AI$1=FALSE),0,IF(AC691="SKLADEM",1,IF(AC691=$V$3,1,0)))</f>
        <v>1</v>
      </c>
      <c r="C691" s="641" t="s">
        <v>1411</v>
      </c>
      <c r="D691" s="642" t="s">
        <v>11900</v>
      </c>
      <c r="E691" s="643" t="s">
        <v>12663</v>
      </c>
      <c r="F691" s="791">
        <f>IFERROR(VLOOKUP(C691,[2]List1!$A:$D,3,FALSE),"NEUVEDENO!")</f>
        <v>3499</v>
      </c>
      <c r="G691" s="768">
        <f t="shared" si="2050"/>
        <v>3499</v>
      </c>
      <c r="H691" s="765">
        <f t="shared" si="2051"/>
        <v>148.63240347814266</v>
      </c>
      <c r="I691" s="644">
        <f>IFERROR(VLOOKUP(C691,[2]List1!$A:$D,4,FALSE),"NEUVEDENO!")</f>
        <v>1</v>
      </c>
      <c r="J691" s="733" t="s">
        <v>113</v>
      </c>
      <c r="K691" s="645" t="s">
        <v>11100</v>
      </c>
      <c r="L691" s="645" t="s">
        <v>20</v>
      </c>
      <c r="M691" s="645" t="s">
        <v>114</v>
      </c>
      <c r="N691" s="645">
        <f>IFERROR(VLOOKUP(C691,[3]List1!$A:$D,4,FALSE),"N/A!")</f>
        <v>5.2725000000000001E-2</v>
      </c>
      <c r="O691" s="645">
        <f>IFERROR(VLOOKUP(C691,[3]List1!$A:$D,3,FALSE),"N/A!")</f>
        <v>2850</v>
      </c>
      <c r="P691" s="645">
        <f>IFERROR(VLOOKUP(C691,[3]List1!$A:$D,2,FALSE),"N/A!")</f>
        <v>21000</v>
      </c>
      <c r="Q691" s="645" t="s">
        <v>11790</v>
      </c>
      <c r="R691" s="645"/>
      <c r="S691" s="645" t="str">
        <f>IF($W$17=$AF$1,"červená fólie",IFERROR(VLOOKUP("červená fólie",Jazyky_ceník!$A:$Q,MATCH($W$17,Jazyky_ceník!$A$1:$Q$1,0),FALSE),"!!!"))</f>
        <v>červená fólie</v>
      </c>
      <c r="T691" s="645">
        <v>150</v>
      </c>
      <c r="U691" s="645">
        <v>40</v>
      </c>
      <c r="V691" s="645">
        <v>30</v>
      </c>
      <c r="W691" s="645" t="str">
        <f>IFERROR(IF(AND($AB691&gt;=0.1*$AA691,MOD($AB691,$AA691)&gt;=($AA691-(0.1*$AA691))),IF($W$17=$AF$1,"Zvažte možnost doobjednání ještě "&amp;Tabulka1[[#This Row],[VKPAL]]-MOD(AB691,AA691)&amp;" VK do plné palety.",VLOOKUP("Zvažte možnost doobjednání ještě ",Jazyky_ceník!A:Q,MATCH($W$17,Jazyky_ceník!$A$1:$Q$1,0),FALSE)&amp;Tabulka1[[#This Row],[VKPAL]]-MOD(AB691,AA691)&amp;VLOOKUP(" VK do plné palety.",Jazyky_ceník!A:Q,MATCH($W$17,Jazyky_ceník!$A$1:$Q$1,0),FALSE)),IFERROR(IF(AND(NOT(MOD($AB691,$AA691)=0),$AB691&gt;=0.9*$AA691,MOD($AB691,$AA691)&lt;=0.1*$AA691),IF($W$17=$AF$1,"Zvažte možnost optimalizace objednaného množství podle počtu VK na paletě ==&gt;",VLOOKUP("Zvažte možnost optimalizace objednaného množství podle počtu VK na paletě ==&gt;",Jazyky_ceník!A:Q,MATCH($W$17,Jazyky_ceník!$A$1:$Q$1,0),FALSE)),VLOOKUP('General price list'!$C691,Popisy!A:M,MATCH($W$17,Popisy!$A$7:$M$7,0),FALSE)),"---------------")),IFERROR(VLOOKUP('General price list'!$C691,Popisy!A:M,MATCH($W$17,Popisy!$A$7:$M$7,0),FALSE),"---------------"))</f>
        <v>15 různobarevných efektů</v>
      </c>
      <c r="X691" s="645" t="str">
        <f t="shared" si="2052"/>
        <v/>
      </c>
      <c r="Y691" s="645" t="str">
        <f t="shared" si="2053"/>
        <v/>
      </c>
      <c r="Z691" s="645" t="str">
        <f>HYPERLINK("https://www.klasekpyrotechnics.cz/c1503x-c")</f>
        <v>https://www.klasekpyrotechnics.cz/c1503x-c</v>
      </c>
      <c r="AA691" s="645">
        <f>IFERROR(IF(VLOOKUP(C691,[4]List1!$A:$D,4,FALSE)=0,"",VLOOKUP(C691,[4]List1!$A:$D,4,FALSE)),"")</f>
        <v>24</v>
      </c>
      <c r="AB691" s="646"/>
      <c r="AC691" s="647" t="str">
        <f>IFERROR(IF(VLOOKUP(C691,[1]List1!$A:$D,2,FALSE)="VYPRODÁNO",$V$9,IF(VLOOKUP(C691,[1]List1!$A:$D,2,FALSE)="DOCHÁZÍ",$V$3,VLOOKUP(C691,[1]List1!$A:$D,2,FALSE))),"OFFLINE!")</f>
        <v>SKLADEM</v>
      </c>
      <c r="AD691" s="647" t="str">
        <f ca="1">IF(AP691="NE",$V$10,IF(AC691=$V$3,IF(AQ691&lt;1,$V$8,$V$2&amp;" "&amp;AQ691&amp;" "&amp;$V$1),IF(AC691="SKLADEM",$V$6,IFERROR(IF(OR(AC691-TODAY()&gt;45,VLOOKUP(C691,[1]List1!$A:$E,4,FALSE)=0),AC691,DAY(AC691)&amp;"."&amp;MONTH(AC691)&amp;"."&amp;YEAR(AC691)&amp;" "&amp;$V$4&amp;VLOOKUP(C691,[1]List1!$A:$E,4,FALSE)&amp;" "&amp;$V$1),AC691))))</f>
        <v>SKLADEM</v>
      </c>
      <c r="AE691" s="645" t="str">
        <f t="shared" ca="1" si="2054"/>
        <v>SKLADEM</v>
      </c>
      <c r="AF691" s="648">
        <f t="shared" si="2055"/>
        <v>0</v>
      </c>
      <c r="AG691" s="649">
        <f t="shared" si="2056"/>
        <v>0</v>
      </c>
      <c r="AH691" s="650">
        <f t="shared" si="2057"/>
        <v>0</v>
      </c>
      <c r="AI691" s="645">
        <f t="shared" si="2058"/>
        <v>0</v>
      </c>
      <c r="AJ691" s="645">
        <f t="shared" si="2059"/>
        <v>0</v>
      </c>
      <c r="AK691" s="645" t="str">
        <f t="shared" si="2060"/>
        <v/>
      </c>
      <c r="AL691" s="645">
        <f t="shared" si="2061"/>
        <v>0</v>
      </c>
      <c r="AM691" s="645" t="str">
        <f t="shared" si="2062"/>
        <v/>
      </c>
      <c r="AN691" s="651">
        <f t="shared" si="2063"/>
        <v>0</v>
      </c>
      <c r="AO691" s="623"/>
      <c r="AP691" s="632" t="str">
        <f t="shared" si="2028"/>
        <v/>
      </c>
      <c r="AQ691" s="633" t="str">
        <f>IF(AC691=$V$3,IF(VLOOKUP(C691,[1]List1!$A:$E,5,FALSE)=0,1,VLOOKUP(C691,[1]List1!$A:$E,5,FALSE)),"")</f>
        <v/>
      </c>
      <c r="AR691" s="625" t="str">
        <f t="shared" si="2029"/>
        <v/>
      </c>
      <c r="AS691" s="634" t="str">
        <f t="shared" si="2030"/>
        <v/>
      </c>
      <c r="AT691" s="625" t="str">
        <f t="shared" si="2031"/>
        <v/>
      </c>
      <c r="AU691" s="638" t="e">
        <f t="shared" si="2032"/>
        <v>#N/A</v>
      </c>
      <c r="AV691" s="625" t="e">
        <f t="shared" si="2033"/>
        <v>#N/A</v>
      </c>
      <c r="AX691" s="625">
        <f>IF(AND('General price list'!$J691="F4",'General price list'!$AB691+0&gt;0),1,0)</f>
        <v>0</v>
      </c>
      <c r="AY691" s="625">
        <f t="shared" si="2034"/>
        <v>1</v>
      </c>
      <c r="AZ691" s="625">
        <f t="shared" si="2035"/>
        <v>0</v>
      </c>
    </row>
    <row r="692" spans="1:52" ht="15" customHeight="1">
      <c r="A692" s="621" t="str">
        <f>Kat.!C692</f>
        <v/>
      </c>
      <c r="B692" s="566">
        <f>IF(AND('General price list'!$J692="F4",$AI$1=FALSE),0,IF(AC692="SKLADEM",1,IF(AC692=$V$3,1,0)))</f>
        <v>1</v>
      </c>
      <c r="C692" s="567" t="s">
        <v>1412</v>
      </c>
      <c r="D692" s="568" t="s">
        <v>11901</v>
      </c>
      <c r="E692" s="763" t="s">
        <v>12663</v>
      </c>
      <c r="F692" s="791">
        <f>IFERROR(VLOOKUP(C692,[2]List1!$A:$D,3,FALSE),"NEUVEDENO!")</f>
        <v>3439</v>
      </c>
      <c r="G692" s="769">
        <f t="shared" si="2050"/>
        <v>3439</v>
      </c>
      <c r="H692" s="766">
        <f t="shared" si="2051"/>
        <v>146.08369121501363</v>
      </c>
      <c r="I692" s="764">
        <f>IFERROR(VLOOKUP(C692,[2]List1!$A:$D,4,FALSE),"NEUVEDENO!")</f>
        <v>1</v>
      </c>
      <c r="J692" s="732" t="s">
        <v>113</v>
      </c>
      <c r="K692" s="569" t="s">
        <v>11100</v>
      </c>
      <c r="L692" s="569" t="s">
        <v>20</v>
      </c>
      <c r="M692" s="569" t="s">
        <v>114</v>
      </c>
      <c r="N692" s="569">
        <f>IFERROR(VLOOKUP(C692,[3]List1!$A:$D,4,FALSE),"N/A!")</f>
        <v>5.2725000000000001E-2</v>
      </c>
      <c r="O692" s="569">
        <f>IFERROR(VLOOKUP(C692,[3]List1!$A:$D,3,FALSE),"N/A!")</f>
        <v>2700</v>
      </c>
      <c r="P692" s="569">
        <f>IFERROR(VLOOKUP(C692,[3]List1!$A:$D,2,FALSE),"N/A!")</f>
        <v>20000</v>
      </c>
      <c r="Q692" s="569" t="s">
        <v>11790</v>
      </c>
      <c r="R692" s="569"/>
      <c r="S692" s="569" t="str">
        <f>IF($W$17=$AF$1,"modrá fólie",IFERROR(VLOOKUP("modrá fólie",Jazyky_ceník!$A:$Q,MATCH($W$17,Jazyky_ceník!$A$1:$Q$1,0),FALSE),"!!!"))</f>
        <v>modrá fólie</v>
      </c>
      <c r="T692" s="569">
        <v>150</v>
      </c>
      <c r="U692" s="569">
        <v>40</v>
      </c>
      <c r="V692" s="569">
        <v>29</v>
      </c>
      <c r="W692" s="569" t="str">
        <f>IFERROR(IF(AND($AB692&gt;=0.1*$AA692,MOD($AB692,$AA692)&gt;=($AA692-(0.1*$AA692))),IF($W$17=$AF$1,"Zvažte možnost doobjednání ještě "&amp;Tabulka1[[#This Row],[VKPAL]]-MOD(AB692,AA692)&amp;" VK do plné palety.",VLOOKUP("Zvažte možnost doobjednání ještě ",Jazyky_ceník!A:Q,MATCH($W$17,Jazyky_ceník!$A$1:$Q$1,0),FALSE)&amp;Tabulka1[[#This Row],[VKPAL]]-MOD(AB692,AA692)&amp;VLOOKUP(" VK do plné palety.",Jazyky_ceník!A:Q,MATCH($W$17,Jazyky_ceník!$A$1:$Q$1,0),FALSE)),IFERROR(IF(AND(NOT(MOD($AB692,$AA692)=0),$AB692&gt;=0.9*$AA692,MOD($AB692,$AA692)&lt;=0.1*$AA692),IF($W$17=$AF$1,"Zvažte možnost optimalizace objednaného množství podle počtu VK na paletě ==&gt;",VLOOKUP("Zvažte možnost optimalizace objednaného množství podle počtu VK na paletě ==&gt;",Jazyky_ceník!A:Q,MATCH($W$17,Jazyky_ceník!$A$1:$Q$1,0),FALSE)),VLOOKUP('General price list'!$C692,Popisy!A:M,MATCH($W$17,Popisy!$A$7:$M$7,0),FALSE)),"---------------")),IFERROR(VLOOKUP('General price list'!$C692,Popisy!A:M,MATCH($W$17,Popisy!$A$7:$M$7,0),FALSE),"---------------"))</f>
        <v>15 různobarevných efektů</v>
      </c>
      <c r="X692" s="569" t="str">
        <f t="shared" si="2052"/>
        <v/>
      </c>
      <c r="Y692" s="569" t="str">
        <f t="shared" si="2053"/>
        <v/>
      </c>
      <c r="Z692" s="569" t="str">
        <f>HYPERLINK("https://www.klasekpyrotechnics.cz/c1503bpf-c")</f>
        <v>https://www.klasekpyrotechnics.cz/c1503bpf-c</v>
      </c>
      <c r="AA692" s="569">
        <f>IFERROR(IF(VLOOKUP(C692,[4]List1!$A:$D,4,FALSE)=0,"",VLOOKUP(C692,[4]List1!$A:$D,4,FALSE)),"")</f>
        <v>24</v>
      </c>
      <c r="AB692" s="565"/>
      <c r="AC692" s="570" t="str">
        <f>IFERROR(IF(VLOOKUP(C692,[1]List1!$A:$D,2,FALSE)="VYPRODÁNO",$V$9,IF(VLOOKUP(C692,[1]List1!$A:$D,2,FALSE)="DOCHÁZÍ",$V$3,VLOOKUP(C692,[1]List1!$A:$D,2,FALSE))),"OFFLINE!")</f>
        <v>SKLADEM</v>
      </c>
      <c r="AD692" s="570" t="str">
        <f ca="1">IF(AP692="NE",$V$10,IF(AC692=$V$3,IF(AQ692&lt;1,$V$8,$V$2&amp;" "&amp;AQ692&amp;" "&amp;$V$1),IF(AC692="SKLADEM",$V$6,IFERROR(IF(OR(AC692-TODAY()&gt;45,VLOOKUP(C692,[1]List1!$A:$E,4,FALSE)=0),AC692,DAY(AC692)&amp;"."&amp;MONTH(AC692)&amp;"."&amp;YEAR(AC692)&amp;" "&amp;$V$4&amp;VLOOKUP(C692,[1]List1!$A:$E,4,FALSE)&amp;" "&amp;$V$1),AC692))))</f>
        <v>SKLADEM</v>
      </c>
      <c r="AE692" s="581" t="str">
        <f t="shared" ca="1" si="2054"/>
        <v>SKLADEM</v>
      </c>
      <c r="AF692" s="584">
        <f t="shared" si="2055"/>
        <v>0</v>
      </c>
      <c r="AG692" s="585">
        <f t="shared" si="2056"/>
        <v>0</v>
      </c>
      <c r="AH692" s="583">
        <f t="shared" si="2057"/>
        <v>0</v>
      </c>
      <c r="AI692" s="582">
        <f t="shared" si="2058"/>
        <v>0</v>
      </c>
      <c r="AJ692" s="569">
        <f t="shared" si="2059"/>
        <v>0</v>
      </c>
      <c r="AK692" s="569" t="str">
        <f t="shared" si="2060"/>
        <v/>
      </c>
      <c r="AL692" s="569">
        <f t="shared" si="2061"/>
        <v>0</v>
      </c>
      <c r="AM692" s="569" t="str">
        <f t="shared" si="2062"/>
        <v/>
      </c>
      <c r="AN692" s="581">
        <f t="shared" si="2063"/>
        <v>0</v>
      </c>
      <c r="AO692" s="623"/>
      <c r="AP692" s="632" t="str">
        <f t="shared" si="2028"/>
        <v/>
      </c>
      <c r="AQ692" s="633" t="str">
        <f>IF(AC692=$V$3,IF(VLOOKUP(C692,[1]List1!$A:$E,5,FALSE)=0,1,VLOOKUP(C692,[1]List1!$A:$E,5,FALSE)),"")</f>
        <v/>
      </c>
      <c r="AR692" s="625" t="str">
        <f t="shared" si="2029"/>
        <v/>
      </c>
      <c r="AS692" s="634" t="str">
        <f t="shared" si="2030"/>
        <v/>
      </c>
      <c r="AT692" s="625" t="str">
        <f t="shared" si="2031"/>
        <v/>
      </c>
      <c r="AU692" s="638" t="e">
        <f t="shared" si="2032"/>
        <v>#N/A</v>
      </c>
      <c r="AV692" s="625" t="e">
        <f t="shared" si="2033"/>
        <v>#N/A</v>
      </c>
      <c r="AX692" s="625">
        <f>IF(AND('General price list'!$J692="F4",'General price list'!$AB692+0&gt;0),1,0)</f>
        <v>0</v>
      </c>
      <c r="AY692" s="625">
        <f t="shared" si="2034"/>
        <v>1</v>
      </c>
      <c r="AZ692" s="625">
        <f t="shared" si="2035"/>
        <v>0</v>
      </c>
    </row>
    <row r="693" spans="1:52" ht="15" customHeight="1">
      <c r="A693" s="639" t="str">
        <f>Kat.!C693</f>
        <v/>
      </c>
      <c r="B693" s="640">
        <f>IF(AND('General price list'!$J693="F4",$AI$1=FALSE),0,IF(AC693="SKLADEM",1,IF(AC693=$V$3,1,0)))</f>
        <v>1</v>
      </c>
      <c r="C693" s="641" t="s">
        <v>9147</v>
      </c>
      <c r="D693" s="642" t="s">
        <v>9490</v>
      </c>
      <c r="E693" s="643" t="s">
        <v>12663</v>
      </c>
      <c r="F693" s="771">
        <f>IFERROR(VLOOKUP(C693,[2]List1!$A:$D,3,FALSE),"NEUVEDENO!")</f>
        <v>5278</v>
      </c>
      <c r="G693" s="768">
        <f t="shared" si="2050"/>
        <v>5278</v>
      </c>
      <c r="H693" s="765">
        <f t="shared" si="2051"/>
        <v>224.20172207991914</v>
      </c>
      <c r="I693" s="644">
        <f>IFERROR(VLOOKUP(C693,[2]List1!$A:$D,4,FALSE),"NEUVEDENO!")</f>
        <v>1</v>
      </c>
      <c r="J693" s="733" t="s">
        <v>113</v>
      </c>
      <c r="K693" s="645" t="s">
        <v>20</v>
      </c>
      <c r="L693" s="645" t="s">
        <v>20</v>
      </c>
      <c r="M693" s="645" t="s">
        <v>114</v>
      </c>
      <c r="N693" s="645">
        <f>IFERROR(VLOOKUP(C693,[3]List1!$A:$D,4,FALSE),"N/A!")</f>
        <v>0.10326225</v>
      </c>
      <c r="O693" s="645">
        <f>IFERROR(VLOOKUP(C693,[3]List1!$A:$D,3,FALSE),"N/A!")</f>
        <v>2994</v>
      </c>
      <c r="P693" s="645">
        <f>IFERROR(VLOOKUP(C693,[3]List1!$A:$D,2,FALSE),"N/A!")</f>
        <v>29500</v>
      </c>
      <c r="Q693" s="645" t="s">
        <v>11792</v>
      </c>
      <c r="R693" s="645"/>
      <c r="S693" s="645" t="str">
        <f>IF($W$17=$AF$1,"modrá fólie",IFERROR(VLOOKUP("modrá fólie",Jazyky_ceník!$A:$Q,MATCH($W$17,Jazyky_ceník!$A$1:$Q$1,0),FALSE),"!!!"))</f>
        <v>modrá fólie</v>
      </c>
      <c r="T693" s="645">
        <v>150</v>
      </c>
      <c r="U693" s="645">
        <v>40</v>
      </c>
      <c r="V693" s="645">
        <v>30</v>
      </c>
      <c r="W693" s="645" t="str">
        <f>IFERROR(IF(AND($AB693&gt;=0.1*$AA693,MOD($AB693,$AA693)&gt;=($AA693-(0.1*$AA693))),IF($W$17=$AF$1,"Zvažte možnost doobjednání ještě "&amp;Tabulka1[[#This Row],[VKPAL]]-MOD(AB693,AA693)&amp;" VK do plné palety.",VLOOKUP("Zvažte možnost doobjednání ještě ",Jazyky_ceník!A:Q,MATCH($W$17,Jazyky_ceník!$A$1:$Q$1,0),FALSE)&amp;Tabulka1[[#This Row],[VKPAL]]-MOD(AB693,AA693)&amp;VLOOKUP(" VK do plné palety.",Jazyky_ceník!A:Q,MATCH($W$17,Jazyky_ceník!$A$1:$Q$1,0),FALSE)),IFERROR(IF(AND(NOT(MOD($AB693,$AA693)=0),$AB693&gt;=0.9*$AA693,MOD($AB693,$AA693)&lt;=0.1*$AA693),IF($W$17=$AF$1,"Zvažte možnost optimalizace objednaného množství podle počtu VK na paletě ==&gt;",VLOOKUP("Zvažte možnost optimalizace objednaného množství podle počtu VK na paletě ==&gt;",Jazyky_ceník!A:Q,MATCH($W$17,Jazyky_ceník!$A$1:$Q$1,0),FALSE)),VLOOKUP('General price list'!$C693,Popisy!A:M,MATCH($W$17,Popisy!$A$7:$M$7,0),FALSE)),"---------------")),IFERROR(VLOOKUP('General price list'!$C693,Popisy!A:M,MATCH($W$17,Popisy!$A$7:$M$7,0),FALSE),"---------------"))</f>
        <v>24 různobarevných efektů</v>
      </c>
      <c r="X693" s="645" t="str">
        <f t="shared" si="2052"/>
        <v/>
      </c>
      <c r="Y693" s="645" t="str">
        <f t="shared" si="2053"/>
        <v/>
      </c>
      <c r="Z693" s="645" t="str">
        <f>HYPERLINK("https://www.klasekpyrotechnics.cz/c1923xmf-c")</f>
        <v>https://www.klasekpyrotechnics.cz/c1923xmf-c</v>
      </c>
      <c r="AA693" s="645">
        <f>IFERROR(IF(VLOOKUP(C693,[4]List1!$A:$D,4,FALSE)=0,"",VLOOKUP(C693,[4]List1!$A:$D,4,FALSE)),"")</f>
        <v>14</v>
      </c>
      <c r="AB693" s="646"/>
      <c r="AC693" s="647" t="str">
        <f>IFERROR(IF(VLOOKUP(C693,[1]List1!$A:$D,2,FALSE)="VYPRODÁNO",$V$9,IF(VLOOKUP(C693,[1]List1!$A:$D,2,FALSE)="DOCHÁZÍ",$V$3,VLOOKUP(C693,[1]List1!$A:$D,2,FALSE))),"OFFLINE!")</f>
        <v>DOCHÁZÍ</v>
      </c>
      <c r="AD693" s="647" t="str">
        <f ca="1">IF(AP693="NE",$V$10,IF(AC693=$V$3,IF(AQ693&lt;1,$V$8,$V$2&amp;" "&amp;AQ693&amp;" "&amp;$V$1),IF(AC693="SKLADEM",$V$6,IFERROR(IF(OR(AC693-TODAY()&gt;45,VLOOKUP(C693,[1]List1!$A:$E,4,FALSE)=0),AC693,DAY(AC693)&amp;"."&amp;MONTH(AC693)&amp;"."&amp;YEAR(AC693)&amp;" "&amp;$V$4&amp;VLOOKUP(C693,[1]List1!$A:$E,4,FALSE)&amp;" "&amp;$V$1),AC693))))</f>
        <v>POSLEDNÍCH 44 VK</v>
      </c>
      <c r="AE693" s="645" t="str">
        <f t="shared" ca="1" si="2054"/>
        <v>POSLEDNÍCH 44 VK</v>
      </c>
      <c r="AF693" s="648">
        <f t="shared" si="2055"/>
        <v>0</v>
      </c>
      <c r="AG693" s="649">
        <f t="shared" si="2056"/>
        <v>0</v>
      </c>
      <c r="AH693" s="650">
        <f t="shared" si="2057"/>
        <v>0</v>
      </c>
      <c r="AI693" s="645">
        <f t="shared" si="2058"/>
        <v>0</v>
      </c>
      <c r="AJ693" s="645">
        <f t="shared" si="2059"/>
        <v>0</v>
      </c>
      <c r="AK693" s="645" t="str">
        <f t="shared" si="2060"/>
        <v/>
      </c>
      <c r="AL693" s="645">
        <f t="shared" si="2061"/>
        <v>0</v>
      </c>
      <c r="AM693" s="645" t="str">
        <f t="shared" si="2062"/>
        <v/>
      </c>
      <c r="AN693" s="651">
        <f t="shared" si="2063"/>
        <v>0</v>
      </c>
      <c r="AO693" s="623"/>
      <c r="AP693" s="632" t="str">
        <f t="shared" si="2028"/>
        <v/>
      </c>
      <c r="AQ693" s="633">
        <f>IF(AC693=$V$3,IF(VLOOKUP(C693,[1]List1!$A:$E,5,FALSE)=0,1,VLOOKUP(C693,[1]List1!$A:$E,5,FALSE)),"")</f>
        <v>44</v>
      </c>
      <c r="AR693" s="625" t="str">
        <f t="shared" si="2029"/>
        <v/>
      </c>
      <c r="AS693" s="634" t="str">
        <f t="shared" si="2030"/>
        <v/>
      </c>
      <c r="AT693" s="625" t="str">
        <f t="shared" si="2031"/>
        <v/>
      </c>
      <c r="AU693" s="638" t="e">
        <f t="shared" si="2032"/>
        <v>#N/A</v>
      </c>
      <c r="AV693" s="625" t="e">
        <f t="shared" si="2033"/>
        <v>#N/A</v>
      </c>
      <c r="AX693" s="625">
        <f>IF(AND('General price list'!$J693="F4",'General price list'!$AB693+0&gt;0),1,0)</f>
        <v>0</v>
      </c>
      <c r="AY693" s="625">
        <f t="shared" si="2034"/>
        <v>1</v>
      </c>
      <c r="AZ693" s="625">
        <f t="shared" si="2035"/>
        <v>0</v>
      </c>
    </row>
    <row r="694" spans="1:52" ht="15" customHeight="1">
      <c r="A694" s="621" t="str">
        <f>Kat.!C694</f>
        <v/>
      </c>
      <c r="B694" s="566">
        <f>IF(AND('General price list'!$J694="F4",$AI$1=FALSE),0,IF(AC694="SKLADEM",1,IF(AC694=$V$3,1,0)))</f>
        <v>1</v>
      </c>
      <c r="C694" s="567" t="s">
        <v>1413</v>
      </c>
      <c r="D694" s="568" t="s">
        <v>12560</v>
      </c>
      <c r="E694" s="763" t="s">
        <v>12663</v>
      </c>
      <c r="F694" s="771">
        <f>IFERROR(VLOOKUP(C694,[2]List1!$A:$D,3,FALSE),"NEUVEDENO!")</f>
        <v>4189</v>
      </c>
      <c r="G694" s="769">
        <f t="shared" si="2050"/>
        <v>4189</v>
      </c>
      <c r="H694" s="766">
        <f t="shared" si="2051"/>
        <v>177.94259450412679</v>
      </c>
      <c r="I694" s="764">
        <f>IFERROR(VLOOKUP(C694,[2]List1!$A:$D,4,FALSE),"NEUVEDENO!")</f>
        <v>1</v>
      </c>
      <c r="J694" s="732" t="s">
        <v>113</v>
      </c>
      <c r="K694" s="569" t="s">
        <v>13033</v>
      </c>
      <c r="L694" s="569" t="s">
        <v>20</v>
      </c>
      <c r="M694" s="569" t="s">
        <v>114</v>
      </c>
      <c r="N694" s="569">
        <f>IFERROR(VLOOKUP(C694,[3]List1!$A:$D,4,FALSE),"N/A!")</f>
        <v>7.03125E-2</v>
      </c>
      <c r="O694" s="569">
        <f>IFERROR(VLOOKUP(C694,[3]List1!$A:$D,3,FALSE),"N/A!")</f>
        <v>3600</v>
      </c>
      <c r="P694" s="569">
        <f>IFERROR(VLOOKUP(C694,[3]List1!$A:$D,2,FALSE),"N/A!")</f>
        <v>27000</v>
      </c>
      <c r="Q694" s="569" t="s">
        <v>11793</v>
      </c>
      <c r="R694" s="569"/>
      <c r="S694" s="569" t="str">
        <f>IF($W$17=$AF$1,"červená fólie",IFERROR(VLOOKUP("červená fólie",Jazyky_ceník!$A:$Q,MATCH($W$17,Jazyky_ceník!$A$1:$Q$1,0),FALSE),"!!!"))</f>
        <v>červená fólie</v>
      </c>
      <c r="T694" s="569">
        <v>180</v>
      </c>
      <c r="U694" s="569">
        <v>40</v>
      </c>
      <c r="V694" s="569">
        <v>29</v>
      </c>
      <c r="W694" s="569" t="str">
        <f>IFERROR(IF(AND($AB694&gt;=0.1*$AA694,MOD($AB694,$AA694)&gt;=($AA694-(0.1*$AA694))),IF($W$17=$AF$1,"Zvažte možnost doobjednání ještě "&amp;Tabulka1[[#This Row],[VKPAL]]-MOD(AB694,AA694)&amp;" VK do plné palety.",VLOOKUP("Zvažte možnost doobjednání ještě ",Jazyky_ceník!A:Q,MATCH($W$17,Jazyky_ceník!$A$1:$Q$1,0),FALSE)&amp;Tabulka1[[#This Row],[VKPAL]]-MOD(AB694,AA694)&amp;VLOOKUP(" VK do plné palety.",Jazyky_ceník!A:Q,MATCH($W$17,Jazyky_ceník!$A$1:$Q$1,0),FALSE)),IFERROR(IF(AND(NOT(MOD($AB694,$AA694)=0),$AB694&gt;=0.9*$AA694,MOD($AB694,$AA694)&lt;=0.1*$AA694),IF($W$17=$AF$1,"Zvažte možnost optimalizace objednaného množství podle počtu VK na paletě ==&gt;",VLOOKUP("Zvažte možnost optimalizace objednaného množství podle počtu VK na paletě ==&gt;",Jazyky_ceník!A:Q,MATCH($W$17,Jazyky_ceník!$A$1:$Q$1,0),FALSE)),VLOOKUP('General price list'!$C694,Popisy!A:M,MATCH($W$17,Popisy!$A$7:$M$7,0),FALSE)),"---------------")),IFERROR(VLOOKUP('General price list'!$C694,Popisy!A:M,MATCH($W$17,Popisy!$A$7:$M$7,0),FALSE),"---------------"))</f>
        <v>20 různobarevných efektů</v>
      </c>
      <c r="X694" s="569" t="str">
        <f t="shared" si="2052"/>
        <v/>
      </c>
      <c r="Y694" s="569" t="str">
        <f t="shared" si="2053"/>
        <v/>
      </c>
      <c r="Z694" s="569" t="str">
        <f>HYPERLINK("https://www.klasekpyrotechnics.cz/c2003bp-c")</f>
        <v>https://www.klasekpyrotechnics.cz/c2003bp-c</v>
      </c>
      <c r="AA694" s="569">
        <f>IFERROR(IF(VLOOKUP(C694,[4]List1!$A:$D,4,FALSE)=0,"",VLOOKUP(C694,[4]List1!$A:$D,4,FALSE)),"")</f>
        <v>18</v>
      </c>
      <c r="AB694" s="565"/>
      <c r="AC694" s="570" t="str">
        <f>IFERROR(IF(VLOOKUP(C694,[1]List1!$A:$D,2,FALSE)="VYPRODÁNO",$V$9,IF(VLOOKUP(C694,[1]List1!$A:$D,2,FALSE)="DOCHÁZÍ",$V$3,VLOOKUP(C694,[1]List1!$A:$D,2,FALSE))),"OFFLINE!")</f>
        <v>SKLADEM</v>
      </c>
      <c r="AD694" s="570" t="str">
        <f ca="1">IF(AP694="NE",$V$10,IF(AC694=$V$3,IF(AQ694&lt;1,$V$8,$V$2&amp;" "&amp;AQ694&amp;" "&amp;$V$1),IF(AC694="SKLADEM",$V$6,IFERROR(IF(OR(AC694-TODAY()&gt;45,VLOOKUP(C694,[1]List1!$A:$E,4,FALSE)=0),AC694,DAY(AC694)&amp;"."&amp;MONTH(AC694)&amp;"."&amp;YEAR(AC694)&amp;" "&amp;$V$4&amp;VLOOKUP(C694,[1]List1!$A:$E,4,FALSE)&amp;" "&amp;$V$1),AC694))))</f>
        <v>SKLADEM</v>
      </c>
      <c r="AE694" s="581" t="str">
        <f t="shared" ca="1" si="2054"/>
        <v>SKLADEM</v>
      </c>
      <c r="AF694" s="584">
        <f t="shared" si="2055"/>
        <v>0</v>
      </c>
      <c r="AG694" s="585">
        <f t="shared" si="2056"/>
        <v>0</v>
      </c>
      <c r="AH694" s="583">
        <f t="shared" si="2057"/>
        <v>0</v>
      </c>
      <c r="AI694" s="582">
        <f t="shared" si="2058"/>
        <v>0</v>
      </c>
      <c r="AJ694" s="569">
        <f t="shared" si="2059"/>
        <v>0</v>
      </c>
      <c r="AK694" s="569" t="str">
        <f t="shared" si="2060"/>
        <v/>
      </c>
      <c r="AL694" s="569">
        <f t="shared" si="2061"/>
        <v>0</v>
      </c>
      <c r="AM694" s="569" t="str">
        <f t="shared" si="2062"/>
        <v/>
      </c>
      <c r="AN694" s="581">
        <f t="shared" si="2063"/>
        <v>0</v>
      </c>
      <c r="AO694" s="623"/>
      <c r="AP694" s="632" t="str">
        <f t="shared" si="2028"/>
        <v/>
      </c>
      <c r="AQ694" s="633" t="str">
        <f>IF(AC694=$V$3,IF(VLOOKUP(C694,[1]List1!$A:$E,5,FALSE)=0,1,VLOOKUP(C694,[1]List1!$A:$E,5,FALSE)),"")</f>
        <v/>
      </c>
      <c r="AR694" s="625" t="str">
        <f t="shared" si="2029"/>
        <v/>
      </c>
      <c r="AS694" s="634" t="str">
        <f t="shared" si="2030"/>
        <v/>
      </c>
      <c r="AT694" s="625" t="str">
        <f t="shared" si="2031"/>
        <v/>
      </c>
      <c r="AU694" s="638" t="e">
        <f t="shared" si="2032"/>
        <v>#N/A</v>
      </c>
      <c r="AV694" s="625" t="e">
        <f t="shared" si="2033"/>
        <v>#N/A</v>
      </c>
      <c r="AX694" s="625">
        <f>IF(AND('General price list'!$J694="F4",'General price list'!$AB694+0&gt;0),1,0)</f>
        <v>0</v>
      </c>
      <c r="AY694" s="625">
        <f t="shared" si="2034"/>
        <v>1</v>
      </c>
      <c r="AZ694" s="625">
        <f t="shared" si="2035"/>
        <v>0</v>
      </c>
    </row>
    <row r="695" spans="1:52" ht="15.75" customHeight="1">
      <c r="A695" s="639" t="str">
        <f>Kat.!C695</f>
        <v>×</v>
      </c>
      <c r="B695" s="640">
        <f>IF(AND('General price list'!$J695="F4",$AI$1=FALSE),0,IF(AC695="SKLADEM",1,IF(AC695=$V$3,1,0)))</f>
        <v>1</v>
      </c>
      <c r="C695" s="641" t="s">
        <v>1414</v>
      </c>
      <c r="D695" s="642" t="s">
        <v>12558</v>
      </c>
      <c r="E695" s="643" t="s">
        <v>12663</v>
      </c>
      <c r="F695" s="791">
        <f>IFERROR(VLOOKUP(C695,[2]List1!$A:$D,3,FALSE),"NEUVEDENO!")</f>
        <v>4399</v>
      </c>
      <c r="G695" s="768">
        <f t="shared" si="2050"/>
        <v>4399</v>
      </c>
      <c r="H695" s="765">
        <f t="shared" si="2051"/>
        <v>186.86308742507848</v>
      </c>
      <c r="I695" s="644">
        <f>IFERROR(VLOOKUP(C695,[2]List1!$A:$D,4,FALSE),"NEUVEDENO!")</f>
        <v>1</v>
      </c>
      <c r="J695" s="733" t="s">
        <v>113</v>
      </c>
      <c r="K695" s="645" t="s">
        <v>11100</v>
      </c>
      <c r="L695" s="645" t="s">
        <v>20</v>
      </c>
      <c r="M695" s="645" t="s">
        <v>114</v>
      </c>
      <c r="N695" s="645">
        <f>IFERROR(VLOOKUP(C695,[3]List1!$A:$D,4,FALSE),"N/A!")</f>
        <v>7.03125E-2</v>
      </c>
      <c r="O695" s="645">
        <f>IFERROR(VLOOKUP(C695,[3]List1!$A:$D,3,FALSE),"N/A!")</f>
        <v>3800</v>
      </c>
      <c r="P695" s="645">
        <f>IFERROR(VLOOKUP(C695,[3]List1!$A:$D,2,FALSE),"N/A!")</f>
        <v>27000</v>
      </c>
      <c r="Q695" s="645" t="s">
        <v>11322</v>
      </c>
      <c r="R695" s="645" t="s">
        <v>20</v>
      </c>
      <c r="S695" s="645" t="str">
        <f>IF($W$17=$AF$1,"červená fólie",IFERROR(VLOOKUP("červená fólie",Jazyky_ceník!$A:$Q,MATCH($W$17,Jazyky_ceník!$A$1:$Q$1,0),FALSE),"!!!"))</f>
        <v>červená fólie</v>
      </c>
      <c r="T695" s="645">
        <v>180</v>
      </c>
      <c r="U695" s="645">
        <v>40</v>
      </c>
      <c r="V695" s="645">
        <v>30</v>
      </c>
      <c r="W695" s="645" t="str">
        <f>IFERROR(IF(AND($AB695&gt;=0.1*$AA695,MOD($AB695,$AA695)&gt;=($AA695-(0.1*$AA695))),IF($W$17=$AF$1,"Zvažte možnost doobjednání ještě "&amp;Tabulka1[[#This Row],[VKPAL]]-MOD(AB695,AA695)&amp;" VK do plné palety.",VLOOKUP("Zvažte možnost doobjednání ještě ",Jazyky_ceník!A:Q,MATCH($W$17,Jazyky_ceník!$A$1:$Q$1,0),FALSE)&amp;Tabulka1[[#This Row],[VKPAL]]-MOD(AB695,AA695)&amp;VLOOKUP(" VK do plné palety.",Jazyky_ceník!A:Q,MATCH($W$17,Jazyky_ceník!$A$1:$Q$1,0),FALSE)),IFERROR(IF(AND(NOT(MOD($AB695,$AA695)=0),$AB695&gt;=0.9*$AA695,MOD($AB695,$AA695)&lt;=0.1*$AA695),IF($W$17=$AF$1,"Zvažte možnost optimalizace objednaného množství podle počtu VK na paletě ==&gt;",VLOOKUP("Zvažte možnost optimalizace objednaného množství podle počtu VK na paletě ==&gt;",Jazyky_ceník!A:Q,MATCH($W$17,Jazyky_ceník!$A$1:$Q$1,0),FALSE)),VLOOKUP('General price list'!$C695,Popisy!A:M,MATCH($W$17,Popisy!$A$7:$M$7,0),FALSE)),"---------------")),IFERROR(VLOOKUP('General price list'!$C695,Popisy!A:M,MATCH($W$17,Popisy!$A$7:$M$7,0),FALSE),"---------------"))</f>
        <v>20 různobarevných efektů</v>
      </c>
      <c r="X695" s="645" t="str">
        <f t="shared" si="2052"/>
        <v/>
      </c>
      <c r="Y695" s="645" t="str">
        <f t="shared" si="2053"/>
        <v/>
      </c>
      <c r="Z695" s="645" t="str">
        <f>HYPERLINK("https://www.klasekpyrotechnics.cz/c2003u-c")</f>
        <v>https://www.klasekpyrotechnics.cz/c2003u-c</v>
      </c>
      <c r="AA695" s="645">
        <f>IFERROR(IF(VLOOKUP(C695,[4]List1!$A:$D,4,FALSE)=0,"",VLOOKUP(C695,[4]List1!$A:$D,4,FALSE)),"")</f>
        <v>18</v>
      </c>
      <c r="AB695" s="646"/>
      <c r="AC695" s="647" t="str">
        <f>IFERROR(IF(VLOOKUP(C695,[1]List1!$A:$D,2,FALSE)="VYPRODÁNO",$V$9,IF(VLOOKUP(C695,[1]List1!$A:$D,2,FALSE)="DOCHÁZÍ",$V$3,VLOOKUP(C695,[1]List1!$A:$D,2,FALSE))),"OFFLINE!")</f>
        <v>SKLADEM</v>
      </c>
      <c r="AD695" s="647" t="str">
        <f ca="1">IF(AP695="NE",$V$10,IF(AC695=$V$3,IF(AQ695&lt;1,$V$8,$V$2&amp;" "&amp;AQ695&amp;" "&amp;$V$1),IF(AC695="SKLADEM",$V$6,IFERROR(IF(OR(AC695-TODAY()&gt;45,VLOOKUP(C695,[1]List1!$A:$E,4,FALSE)=0),AC695,DAY(AC695)&amp;"."&amp;MONTH(AC695)&amp;"."&amp;YEAR(AC695)&amp;" "&amp;$V$4&amp;VLOOKUP(C695,[1]List1!$A:$E,4,FALSE)&amp;" "&amp;$V$1),AC695))))</f>
        <v>SKLADEM</v>
      </c>
      <c r="AE695" s="645" t="str">
        <f t="shared" ca="1" si="2054"/>
        <v>SKLADEM</v>
      </c>
      <c r="AF695" s="648">
        <f t="shared" si="2055"/>
        <v>0</v>
      </c>
      <c r="AG695" s="649">
        <f t="shared" si="2056"/>
        <v>0</v>
      </c>
      <c r="AH695" s="650">
        <f t="shared" si="2057"/>
        <v>0</v>
      </c>
      <c r="AI695" s="645">
        <f t="shared" si="2058"/>
        <v>0</v>
      </c>
      <c r="AJ695" s="645">
        <f t="shared" si="2059"/>
        <v>0</v>
      </c>
      <c r="AK695" s="645" t="str">
        <f t="shared" si="2060"/>
        <v/>
      </c>
      <c r="AL695" s="645">
        <f t="shared" si="2061"/>
        <v>0</v>
      </c>
      <c r="AM695" s="645" t="str">
        <f t="shared" si="2062"/>
        <v/>
      </c>
      <c r="AN695" s="651">
        <f t="shared" si="2063"/>
        <v>0</v>
      </c>
      <c r="AO695" s="623"/>
      <c r="AP695" s="625" t="str">
        <f t="shared" si="2028"/>
        <v/>
      </c>
      <c r="AQ695" s="625" t="str">
        <f>IF(AC695=$V$3,IF(VLOOKUP(C695,[1]List1!$A:$E,5,FALSE)=0,1,VLOOKUP(C695,[1]List1!$A:$E,5,FALSE)),"")</f>
        <v/>
      </c>
      <c r="AR695" s="629" t="str">
        <f t="shared" si="2029"/>
        <v/>
      </c>
      <c r="AS695" s="630" t="str">
        <f t="shared" si="2030"/>
        <v/>
      </c>
      <c r="AT695" s="625" t="str">
        <f t="shared" si="2031"/>
        <v/>
      </c>
      <c r="AU695" s="625" t="e">
        <f t="shared" si="2032"/>
        <v>#N/A</v>
      </c>
      <c r="AV695" s="625" t="e">
        <f t="shared" si="2033"/>
        <v>#N/A</v>
      </c>
      <c r="AW695" s="631"/>
      <c r="AX695" s="631">
        <f>IF(AND('General price list'!$J695="F4",'General price list'!$AB695+0&gt;0),1,0)</f>
        <v>0</v>
      </c>
      <c r="AY695" s="631">
        <f t="shared" si="2034"/>
        <v>1</v>
      </c>
      <c r="AZ695" s="631">
        <f t="shared" si="2035"/>
        <v>0</v>
      </c>
    </row>
    <row r="696" spans="1:52" ht="15" customHeight="1">
      <c r="A696" s="621" t="str">
        <f>Kat.!C696</f>
        <v/>
      </c>
      <c r="B696" s="566">
        <f>IF(AND('General price list'!$J696="F4",$AI$1=FALSE),0,IF(AC696="SKLADEM",1,IF(AC696=$V$3,1,0)))</f>
        <v>1</v>
      </c>
      <c r="C696" s="567" t="s">
        <v>1415</v>
      </c>
      <c r="D696" s="568" t="s">
        <v>1399</v>
      </c>
      <c r="E696" s="763" t="s">
        <v>12663</v>
      </c>
      <c r="F696" s="791">
        <f>IFERROR(VLOOKUP(C696,[2]List1!$A:$D,3,FALSE),"NEUVEDENO!")</f>
        <v>4399</v>
      </c>
      <c r="G696" s="769">
        <f t="shared" si="2050"/>
        <v>4399</v>
      </c>
      <c r="H696" s="766">
        <f t="shared" si="2051"/>
        <v>186.86308742507848</v>
      </c>
      <c r="I696" s="764">
        <f>IFERROR(VLOOKUP(C696,[2]List1!$A:$D,4,FALSE),"NEUVEDENO!")</f>
        <v>1</v>
      </c>
      <c r="J696" s="732" t="s">
        <v>113</v>
      </c>
      <c r="K696" s="569" t="s">
        <v>11171</v>
      </c>
      <c r="L696" s="569" t="s">
        <v>20</v>
      </c>
      <c r="M696" s="569" t="s">
        <v>114</v>
      </c>
      <c r="N696" s="569">
        <f>IFERROR(VLOOKUP(C696,[3]List1!$A:$D,4,FALSE),"N/A!")</f>
        <v>7.03125E-2</v>
      </c>
      <c r="O696" s="569">
        <f>IFERROR(VLOOKUP(C696,[3]List1!$A:$D,3,FALSE),"N/A!")</f>
        <v>3800</v>
      </c>
      <c r="P696" s="569">
        <f>IFERROR(VLOOKUP(C696,[3]List1!$A:$D,2,FALSE),"N/A!")</f>
        <v>27000</v>
      </c>
      <c r="Q696" s="569" t="s">
        <v>11322</v>
      </c>
      <c r="R696" s="569" t="s">
        <v>20</v>
      </c>
      <c r="S696" s="569" t="str">
        <f>IF($W$17=$AF$1,"červená fólie",IFERROR(VLOOKUP("červená fólie",Jazyky_ceník!$A:$Q,MATCH($W$17,Jazyky_ceník!$A$1:$Q$1,0),FALSE),"!!!"))</f>
        <v>červená fólie</v>
      </c>
      <c r="T696" s="569">
        <v>180</v>
      </c>
      <c r="U696" s="569">
        <v>40</v>
      </c>
      <c r="V696" s="569">
        <v>30</v>
      </c>
      <c r="W696" s="569" t="str">
        <f>IFERROR(IF(AND($AB696&gt;=0.1*$AA696,MOD($AB696,$AA696)&gt;=($AA696-(0.1*$AA696))),IF($W$17=$AF$1,"Zvažte možnost doobjednání ještě "&amp;Tabulka1[[#This Row],[VKPAL]]-MOD(AB696,AA696)&amp;" VK do plné palety.",VLOOKUP("Zvažte možnost doobjednání ještě ",Jazyky_ceník!A:Q,MATCH($W$17,Jazyky_ceník!$A$1:$Q$1,0),FALSE)&amp;Tabulka1[[#This Row],[VKPAL]]-MOD(AB696,AA696)&amp;VLOOKUP(" VK do plné palety.",Jazyky_ceník!A:Q,MATCH($W$17,Jazyky_ceník!$A$1:$Q$1,0),FALSE)),IFERROR(IF(AND(NOT(MOD($AB696,$AA696)=0),$AB696&gt;=0.9*$AA696,MOD($AB696,$AA696)&lt;=0.1*$AA696),IF($W$17=$AF$1,"Zvažte možnost optimalizace objednaného množství podle počtu VK na paletě ==&gt;",VLOOKUP("Zvažte možnost optimalizace objednaného množství podle počtu VK na paletě ==&gt;",Jazyky_ceník!A:Q,MATCH($W$17,Jazyky_ceník!$A$1:$Q$1,0),FALSE)),VLOOKUP('General price list'!$C696,Popisy!A:M,MATCH($W$17,Popisy!$A$7:$M$7,0),FALSE)),"---------------")),IFERROR(VLOOKUP('General price list'!$C696,Popisy!A:M,MATCH($W$17,Popisy!$A$7:$M$7,0),FALSE),"---------------"))</f>
        <v>20 různobarevných efektů</v>
      </c>
      <c r="X696" s="569" t="str">
        <f t="shared" si="2052"/>
        <v/>
      </c>
      <c r="Y696" s="569" t="str">
        <f t="shared" si="2053"/>
        <v/>
      </c>
      <c r="Z696" s="569" t="str">
        <f>HYPERLINK("https://www.klasekpyrotechnics.cz/c2003f-c")</f>
        <v>https://www.klasekpyrotechnics.cz/c2003f-c</v>
      </c>
      <c r="AA696" s="569">
        <f>IFERROR(IF(VLOOKUP(C696,[4]List1!$A:$D,4,FALSE)=0,"",VLOOKUP(C696,[4]List1!$A:$D,4,FALSE)),"")</f>
        <v>18</v>
      </c>
      <c r="AB696" s="565"/>
      <c r="AC696" s="570" t="str">
        <f>IFERROR(IF(VLOOKUP(C696,[1]List1!$A:$D,2,FALSE)="VYPRODÁNO",$V$9,IF(VLOOKUP(C696,[1]List1!$A:$D,2,FALSE)="DOCHÁZÍ",$V$3,VLOOKUP(C696,[1]List1!$A:$D,2,FALSE))),"OFFLINE!")</f>
        <v>SKLADEM</v>
      </c>
      <c r="AD696" s="570" t="str">
        <f ca="1">IF(AP696="NE",$V$10,IF(AC696=$V$3,IF(AQ696&lt;1,$V$8,$V$2&amp;" "&amp;AQ696&amp;" "&amp;$V$1),IF(AC696="SKLADEM",$V$6,IFERROR(IF(OR(AC696-TODAY()&gt;45,VLOOKUP(C696,[1]List1!$A:$E,4,FALSE)=0),AC696,DAY(AC696)&amp;"."&amp;MONTH(AC696)&amp;"."&amp;YEAR(AC696)&amp;" "&amp;$V$4&amp;VLOOKUP(C696,[1]List1!$A:$E,4,FALSE)&amp;" "&amp;$V$1),AC696))))</f>
        <v>SKLADEM</v>
      </c>
      <c r="AE696" s="581" t="str">
        <f t="shared" ca="1" si="2054"/>
        <v>SKLADEM</v>
      </c>
      <c r="AF696" s="584">
        <f t="shared" si="2055"/>
        <v>0</v>
      </c>
      <c r="AG696" s="585">
        <f t="shared" si="2056"/>
        <v>0</v>
      </c>
      <c r="AH696" s="583">
        <f t="shared" si="2057"/>
        <v>0</v>
      </c>
      <c r="AI696" s="582">
        <f t="shared" si="2058"/>
        <v>0</v>
      </c>
      <c r="AJ696" s="569">
        <f t="shared" si="2059"/>
        <v>0</v>
      </c>
      <c r="AK696" s="569" t="str">
        <f t="shared" si="2060"/>
        <v/>
      </c>
      <c r="AL696" s="569">
        <f t="shared" si="2061"/>
        <v>0</v>
      </c>
      <c r="AM696" s="569" t="str">
        <f t="shared" si="2062"/>
        <v/>
      </c>
      <c r="AN696" s="581">
        <f t="shared" si="2063"/>
        <v>0</v>
      </c>
      <c r="AO696" s="623"/>
      <c r="AP696" s="632" t="str">
        <f t="shared" si="2028"/>
        <v/>
      </c>
      <c r="AQ696" s="633" t="str">
        <f>IF(AC696=$V$3,IF(VLOOKUP(C696,[1]List1!$A:$E,5,FALSE)=0,1,VLOOKUP(C696,[1]List1!$A:$E,5,FALSE)),"")</f>
        <v/>
      </c>
      <c r="AR696" s="625" t="str">
        <f t="shared" si="2029"/>
        <v/>
      </c>
      <c r="AS696" s="634" t="str">
        <f t="shared" si="2030"/>
        <v/>
      </c>
      <c r="AT696" s="625" t="str">
        <f t="shared" si="2031"/>
        <v/>
      </c>
      <c r="AU696" s="638" t="e">
        <f t="shared" si="2032"/>
        <v>#N/A</v>
      </c>
      <c r="AV696" s="625" t="e">
        <f t="shared" si="2033"/>
        <v>#N/A</v>
      </c>
      <c r="AX696" s="625">
        <f>IF(AND('General price list'!$J696="F4",'General price list'!$AB696+0&gt;0),1,0)</f>
        <v>0</v>
      </c>
      <c r="AY696" s="625">
        <f t="shared" si="2034"/>
        <v>1</v>
      </c>
      <c r="AZ696" s="625">
        <f t="shared" si="2035"/>
        <v>0</v>
      </c>
    </row>
    <row r="697" spans="1:52" ht="15" customHeight="1">
      <c r="A697" s="639" t="str">
        <f>Kat.!C697</f>
        <v/>
      </c>
      <c r="B697" s="640">
        <f>IF(AND('General price list'!$J697="F4",$AI$1=FALSE),0,IF(AC697="SKLADEM",1,IF(AC697=$V$3,1,0)))</f>
        <v>1</v>
      </c>
      <c r="C697" s="641" t="s">
        <v>1416</v>
      </c>
      <c r="D697" s="642" t="s">
        <v>11902</v>
      </c>
      <c r="E697" s="643" t="s">
        <v>12663</v>
      </c>
      <c r="F697" s="771">
        <f>IFERROR(VLOOKUP(C697,[2]List1!$A:$D,3,FALSE),"NEUVEDENO!")</f>
        <v>5045</v>
      </c>
      <c r="G697" s="768">
        <f t="shared" si="2050"/>
        <v>5045</v>
      </c>
      <c r="H697" s="765">
        <f t="shared" si="2051"/>
        <v>214.30422279143463</v>
      </c>
      <c r="I697" s="644">
        <f>IFERROR(VLOOKUP(C697,[2]List1!$A:$D,4,FALSE),"NEUVEDENO!")</f>
        <v>1</v>
      </c>
      <c r="J697" s="733" t="s">
        <v>113</v>
      </c>
      <c r="K697" s="645" t="s">
        <v>20</v>
      </c>
      <c r="L697" s="645" t="s">
        <v>20</v>
      </c>
      <c r="M697" s="645" t="s">
        <v>114</v>
      </c>
      <c r="N697" s="645">
        <f>IFERROR(VLOOKUP(C697,[3]List1!$A:$D,4,FALSE),"N/A!")</f>
        <v>7.03125E-2</v>
      </c>
      <c r="O697" s="645">
        <f>IFERROR(VLOOKUP(C697,[3]List1!$A:$D,3,FALSE),"N/A!")</f>
        <v>3996</v>
      </c>
      <c r="P697" s="645">
        <f>IFERROR(VLOOKUP(C697,[3]List1!$A:$D,2,FALSE),"N/A!")</f>
        <v>28000</v>
      </c>
      <c r="Q697" s="645" t="s">
        <v>11322</v>
      </c>
      <c r="R697" s="645"/>
      <c r="S697" s="645" t="str">
        <f>IF($W$17=$AF$1,"červená fólie",IFERROR(VLOOKUP("červená fólie",Jazyky_ceník!$A:$Q,MATCH($W$17,Jazyky_ceník!$A$1:$Q$1,0),FALSE),"!!!"))</f>
        <v>červená fólie</v>
      </c>
      <c r="T697" s="645">
        <v>180</v>
      </c>
      <c r="U697" s="645">
        <v>43</v>
      </c>
      <c r="V697" s="645">
        <v>33</v>
      </c>
      <c r="W697" s="645" t="str">
        <f>IFERROR(IF(AND($AB697&gt;=0.1*$AA697,MOD($AB697,$AA697)&gt;=($AA697-(0.1*$AA697))),IF($W$17=$AF$1,"Zvažte možnost doobjednání ještě "&amp;Tabulka1[[#This Row],[VKPAL]]-MOD(AB697,AA697)&amp;" VK do plné palety.",VLOOKUP("Zvažte možnost doobjednání ještě ",Jazyky_ceník!A:Q,MATCH($W$17,Jazyky_ceník!$A$1:$Q$1,0),FALSE)&amp;Tabulka1[[#This Row],[VKPAL]]-MOD(AB697,AA697)&amp;VLOOKUP(" VK do plné palety.",Jazyky_ceník!A:Q,MATCH($W$17,Jazyky_ceník!$A$1:$Q$1,0),FALSE)),IFERROR(IF(AND(NOT(MOD($AB697,$AA697)=0),$AB697&gt;=0.9*$AA697,MOD($AB697,$AA697)&lt;=0.1*$AA697),IF($W$17=$AF$1,"Zvažte možnost optimalizace objednaného množství podle počtu VK na paletě ==&gt;",VLOOKUP("Zvažte možnost optimalizace objednaného množství podle počtu VK na paletě ==&gt;",Jazyky_ceník!A:Q,MATCH($W$17,Jazyky_ceník!$A$1:$Q$1,0),FALSE)),VLOOKUP('General price list'!$C697,Popisy!A:M,MATCH($W$17,Popisy!$A$7:$M$7,0),FALSE)),"---------------")),IFERROR(VLOOKUP('General price list'!$C697,Popisy!A:M,MATCH($W$17,Popisy!$A$7:$M$7,0),FALSE),"---------------"))</f>
        <v>10 různobarevných efektů</v>
      </c>
      <c r="X697" s="645" t="str">
        <f t="shared" si="2052"/>
        <v/>
      </c>
      <c r="Y697" s="645" t="str">
        <f t="shared" si="2053"/>
        <v/>
      </c>
      <c r="Z697" s="645" t="str">
        <f>HYPERLINK("https://www.klasekpyrotechnics.cz/c2003sig-c")</f>
        <v>https://www.klasekpyrotechnics.cz/c2003sig-c</v>
      </c>
      <c r="AA697" s="645">
        <f>IFERROR(IF(VLOOKUP(C697,[4]List1!$A:$D,4,FALSE)=0,"",VLOOKUP(C697,[4]List1!$A:$D,4,FALSE)),"")</f>
        <v>18</v>
      </c>
      <c r="AB697" s="646"/>
      <c r="AC697" s="647" t="str">
        <f>IFERROR(IF(VLOOKUP(C697,[1]List1!$A:$D,2,FALSE)="VYPRODÁNO",$V$9,IF(VLOOKUP(C697,[1]List1!$A:$D,2,FALSE)="DOCHÁZÍ",$V$3,VLOOKUP(C697,[1]List1!$A:$D,2,FALSE))),"OFFLINE!")</f>
        <v>SKLADEM</v>
      </c>
      <c r="AD697" s="647" t="str">
        <f ca="1">IF(AP697="NE",$V$10,IF(AC697=$V$3,IF(AQ697&lt;1,$V$8,$V$2&amp;" "&amp;AQ697&amp;" "&amp;$V$1),IF(AC697="SKLADEM",$V$6,IFERROR(IF(OR(AC697-TODAY()&gt;45,VLOOKUP(C697,[1]List1!$A:$E,4,FALSE)=0),AC697,DAY(AC697)&amp;"."&amp;MONTH(AC697)&amp;"."&amp;YEAR(AC697)&amp;" "&amp;$V$4&amp;VLOOKUP(C697,[1]List1!$A:$E,4,FALSE)&amp;" "&amp;$V$1),AC697))))</f>
        <v>SKLADEM</v>
      </c>
      <c r="AE697" s="645" t="str">
        <f t="shared" ca="1" si="2054"/>
        <v>SKLADEM</v>
      </c>
      <c r="AF697" s="648">
        <f t="shared" si="2055"/>
        <v>0</v>
      </c>
      <c r="AG697" s="649">
        <f t="shared" si="2056"/>
        <v>0</v>
      </c>
      <c r="AH697" s="650">
        <f t="shared" si="2057"/>
        <v>0</v>
      </c>
      <c r="AI697" s="645">
        <f t="shared" si="2058"/>
        <v>0</v>
      </c>
      <c r="AJ697" s="645">
        <f t="shared" si="2059"/>
        <v>0</v>
      </c>
      <c r="AK697" s="645" t="str">
        <f t="shared" si="2060"/>
        <v/>
      </c>
      <c r="AL697" s="645">
        <f t="shared" si="2061"/>
        <v>0</v>
      </c>
      <c r="AM697" s="645" t="str">
        <f t="shared" si="2062"/>
        <v/>
      </c>
      <c r="AN697" s="651">
        <f t="shared" si="2063"/>
        <v>0</v>
      </c>
      <c r="AO697" s="623"/>
      <c r="AP697" s="632" t="str">
        <f t="shared" si="2028"/>
        <v/>
      </c>
      <c r="AQ697" s="633" t="str">
        <f>IF(AC697=$V$3,IF(VLOOKUP(C697,[1]List1!$A:$E,5,FALSE)=0,1,VLOOKUP(C697,[1]List1!$A:$E,5,FALSE)),"")</f>
        <v/>
      </c>
      <c r="AR697" s="625" t="str">
        <f t="shared" si="2029"/>
        <v/>
      </c>
      <c r="AS697" s="634" t="str">
        <f t="shared" si="2030"/>
        <v/>
      </c>
      <c r="AT697" s="625" t="str">
        <f t="shared" si="2031"/>
        <v/>
      </c>
      <c r="AU697" s="638" t="e">
        <f t="shared" si="2032"/>
        <v>#N/A</v>
      </c>
      <c r="AV697" s="625" t="e">
        <f t="shared" si="2033"/>
        <v>#N/A</v>
      </c>
      <c r="AX697" s="625">
        <f>IF(AND('General price list'!$J697="F4",'General price list'!$AB697+0&gt;0),1,0)</f>
        <v>0</v>
      </c>
      <c r="AY697" s="625">
        <f t="shared" si="2034"/>
        <v>1</v>
      </c>
      <c r="AZ697" s="625">
        <f t="shared" si="2035"/>
        <v>0</v>
      </c>
    </row>
    <row r="698" spans="1:52" ht="15.75" customHeight="1">
      <c r="A698" s="621" t="str">
        <f>Kat.!C698</f>
        <v/>
      </c>
      <c r="B698" s="566">
        <f>IF(AND('General price list'!$J698="F4",$AI$1=FALSE),0,IF(AC698="SKLADEM",1,IF(AC698=$V$3,1,0)))</f>
        <v>1</v>
      </c>
      <c r="C698" s="567" t="s">
        <v>1417</v>
      </c>
      <c r="D698" s="568" t="s">
        <v>11903</v>
      </c>
      <c r="E698" s="763" t="s">
        <v>12663</v>
      </c>
      <c r="F698" s="772">
        <f>IFERROR(VLOOKUP(C698,[2]List1!$A:$D,3,FALSE),"NEUVEDENO!")</f>
        <v>6857</v>
      </c>
      <c r="G698" s="769">
        <f t="shared" si="2050"/>
        <v>6857</v>
      </c>
      <c r="H698" s="766">
        <f t="shared" si="2051"/>
        <v>291.27533313793208</v>
      </c>
      <c r="I698" s="764">
        <f>IFERROR(VLOOKUP(C698,[2]List1!$A:$D,4,FALSE),"NEUVEDENO!")</f>
        <v>1</v>
      </c>
      <c r="J698" s="732" t="s">
        <v>113</v>
      </c>
      <c r="K698" s="569" t="s">
        <v>20</v>
      </c>
      <c r="L698" s="569" t="s">
        <v>20</v>
      </c>
      <c r="M698" s="569" t="s">
        <v>114</v>
      </c>
      <c r="N698" s="569">
        <f>IFERROR(VLOOKUP(C698,[3]List1!$A:$D,4,FALSE),"N/A!")</f>
        <v>0.13234374999999998</v>
      </c>
      <c r="O698" s="569">
        <f>IFERROR(VLOOKUP(C698,[3]List1!$A:$D,3,FALSE),"N/A!")</f>
        <v>3992</v>
      </c>
      <c r="P698" s="569">
        <f>IFERROR(VLOOKUP(C698,[3]List1!$A:$D,2,FALSE),"N/A!")</f>
        <v>42000</v>
      </c>
      <c r="Q698" s="569" t="s">
        <v>12102</v>
      </c>
      <c r="R698" s="569"/>
      <c r="S698" s="569" t="str">
        <f>IF($W$17=$AF$1,"červená fólie",IFERROR(VLOOKUP("červená fólie",Jazyky_ceník!$A:$Q,MATCH($W$17,Jazyky_ceník!$A$1:$Q$1,0),FALSE),"!!!"))</f>
        <v>červená fólie</v>
      </c>
      <c r="T698" s="569">
        <v>200</v>
      </c>
      <c r="U698" s="569">
        <v>40</v>
      </c>
      <c r="V698" s="569">
        <v>30</v>
      </c>
      <c r="W698" s="569" t="str">
        <f>IFERROR(IF(AND($AB698&gt;=0.1*$AA698,MOD($AB698,$AA698)&gt;=($AA698-(0.1*$AA698))),IF($W$17=$AF$1,"Zvažte možnost doobjednání ještě "&amp;Tabulka1[[#This Row],[VKPAL]]-MOD(AB698,AA698)&amp;" VK do plné palety.",VLOOKUP("Zvažte možnost doobjednání ještě ",Jazyky_ceník!A:Q,MATCH($W$17,Jazyky_ceník!$A$1:$Q$1,0),FALSE)&amp;Tabulka1[[#This Row],[VKPAL]]-MOD(AB698,AA698)&amp;VLOOKUP(" VK do plné palety.",Jazyky_ceník!A:Q,MATCH($W$17,Jazyky_ceník!$A$1:$Q$1,0),FALSE)),IFERROR(IF(AND(NOT(MOD($AB698,$AA698)=0),$AB698&gt;=0.9*$AA698,MOD($AB698,$AA698)&lt;=0.1*$AA698),IF($W$17=$AF$1,"Zvažte možnost optimalizace objednaného množství podle počtu VK na paletě ==&gt;",VLOOKUP("Zvažte možnost optimalizace objednaného množství podle počtu VK na paletě ==&gt;",Jazyky_ceník!A:Q,MATCH($W$17,Jazyky_ceník!$A$1:$Q$1,0),FALSE)),VLOOKUP('General price list'!$C698,Popisy!A:M,MATCH($W$17,Popisy!$A$7:$M$7,0),FALSE)),"---------------")),IFERROR(VLOOKUP('General price list'!$C698,Popisy!A:M,MATCH($W$17,Popisy!$A$7:$M$7,0),FALSE),"---------------"))</f>
        <v>32 různobarevných efektů</v>
      </c>
      <c r="X698" s="569" t="str">
        <f t="shared" si="2052"/>
        <v/>
      </c>
      <c r="Y698" s="569" t="str">
        <f t="shared" si="2053"/>
        <v/>
      </c>
      <c r="Z698" s="569" t="str">
        <f>HYPERLINK("https://www.klasekpyrotechnics.cz/c2563xmf-c")</f>
        <v>https://www.klasekpyrotechnics.cz/c2563xmf-c</v>
      </c>
      <c r="AA698" s="569">
        <f>IFERROR(IF(VLOOKUP(C698,[4]List1!$A:$D,4,FALSE)=0,"",VLOOKUP(C698,[4]List1!$A:$D,4,FALSE)),"")</f>
        <v>7</v>
      </c>
      <c r="AB698" s="565"/>
      <c r="AC698" s="570" t="str">
        <f>IFERROR(IF(VLOOKUP(C698,[1]List1!$A:$D,2,FALSE)="VYPRODÁNO",$V$9,IF(VLOOKUP(C698,[1]List1!$A:$D,2,FALSE)="DOCHÁZÍ",$V$3,VLOOKUP(C698,[1]List1!$A:$D,2,FALSE))),"OFFLINE!")</f>
        <v>SKLADEM</v>
      </c>
      <c r="AD698" s="570" t="str">
        <f ca="1">IF(AP698="NE",$V$10,IF(AC698=$V$3,IF(AQ698&lt;1,$V$8,$V$2&amp;" "&amp;AQ698&amp;" "&amp;$V$1),IF(AC698="SKLADEM",$V$6,IFERROR(IF(OR(AC698-TODAY()&gt;45,VLOOKUP(C698,[1]List1!$A:$E,4,FALSE)=0),AC698,DAY(AC698)&amp;"."&amp;MONTH(AC698)&amp;"."&amp;YEAR(AC698)&amp;" "&amp;$V$4&amp;VLOOKUP(C698,[1]List1!$A:$E,4,FALSE)&amp;" "&amp;$V$1),AC698))))</f>
        <v>SKLADEM</v>
      </c>
      <c r="AE698" s="581" t="str">
        <f t="shared" ca="1" si="2054"/>
        <v>SKLADEM</v>
      </c>
      <c r="AF698" s="584">
        <f t="shared" si="2055"/>
        <v>0</v>
      </c>
      <c r="AG698" s="585">
        <f t="shared" si="2056"/>
        <v>0</v>
      </c>
      <c r="AH698" s="583">
        <f t="shared" si="2057"/>
        <v>0</v>
      </c>
      <c r="AI698" s="582">
        <f t="shared" si="2058"/>
        <v>0</v>
      </c>
      <c r="AJ698" s="569">
        <f t="shared" si="2059"/>
        <v>0</v>
      </c>
      <c r="AK698" s="569" t="str">
        <f t="shared" si="2060"/>
        <v/>
      </c>
      <c r="AL698" s="569">
        <f t="shared" si="2061"/>
        <v>0</v>
      </c>
      <c r="AM698" s="569" t="str">
        <f t="shared" si="2062"/>
        <v/>
      </c>
      <c r="AN698" s="581">
        <f t="shared" si="2063"/>
        <v>0</v>
      </c>
      <c r="AO698" s="623"/>
      <c r="AP698" s="625" t="str">
        <f t="shared" si="2028"/>
        <v/>
      </c>
      <c r="AQ698" s="625" t="str">
        <f>IF(AC698=$V$3,IF(VLOOKUP(C698,[1]List1!$A:$E,5,FALSE)=0,1,VLOOKUP(C698,[1]List1!$A:$E,5,FALSE)),"")</f>
        <v/>
      </c>
      <c r="AR698" s="629" t="str">
        <f t="shared" si="2029"/>
        <v/>
      </c>
      <c r="AS698" s="630" t="str">
        <f t="shared" si="2030"/>
        <v/>
      </c>
      <c r="AT698" s="625" t="str">
        <f t="shared" si="2031"/>
        <v/>
      </c>
      <c r="AU698" s="625" t="e">
        <f t="shared" si="2032"/>
        <v>#N/A</v>
      </c>
      <c r="AV698" s="625" t="e">
        <f t="shared" si="2033"/>
        <v>#N/A</v>
      </c>
      <c r="AW698" s="631"/>
      <c r="AX698" s="631">
        <f>IF(AND('General price list'!$J698="F4",'General price list'!$AB698+0&gt;0),1,0)</f>
        <v>0</v>
      </c>
      <c r="AY698" s="631">
        <f t="shared" si="2034"/>
        <v>1</v>
      </c>
      <c r="AZ698" s="631">
        <f t="shared" si="2035"/>
        <v>0</v>
      </c>
    </row>
    <row r="699" spans="1:52" ht="15.75" customHeight="1">
      <c r="A699" s="751" t="str">
        <f>Kat.!C699</f>
        <v xml:space="preserve">           Baterie min 16 ran, 50 mm moždíř – 1.4G</v>
      </c>
      <c r="B699" s="751"/>
      <c r="C699" s="751"/>
      <c r="D699" s="751"/>
      <c r="E699" s="751"/>
      <c r="F699" s="751"/>
      <c r="G699" s="751"/>
      <c r="H699" s="751"/>
      <c r="I699" s="752"/>
      <c r="J699" s="752"/>
      <c r="K699" s="752" t="s">
        <v>20</v>
      </c>
      <c r="L699" s="753" t="s">
        <v>20</v>
      </c>
      <c r="M699" s="752"/>
      <c r="N699" s="752"/>
      <c r="O699" s="752"/>
      <c r="P699" s="752"/>
      <c r="Q699" s="752"/>
      <c r="R699" s="752"/>
      <c r="S699" s="752"/>
      <c r="T699" s="752"/>
      <c r="U699" s="752"/>
      <c r="V699" s="752"/>
      <c r="W699" s="752"/>
      <c r="X699" s="752"/>
      <c r="Y699" s="752"/>
      <c r="Z699" s="752" t="s">
        <v>20</v>
      </c>
      <c r="AA699" s="752"/>
      <c r="AB699" s="752"/>
      <c r="AC699" s="754"/>
      <c r="AD699" s="752"/>
      <c r="AE699" s="752"/>
      <c r="AF699" s="752"/>
      <c r="AG699" s="752"/>
      <c r="AH699" s="752"/>
      <c r="AI699" s="752"/>
      <c r="AJ699" s="752"/>
      <c r="AK699" s="752"/>
      <c r="AL699" s="752"/>
      <c r="AM699" s="752"/>
      <c r="AN699" s="752"/>
      <c r="AO699" s="623"/>
      <c r="AP699" s="625" t="str">
        <f t="shared" ref="AP699:AP747" si="2064">IF($AL$3=1,IF(Y699=AB699,"","NE"),IF(AR699=$V$10,"NE",""))</f>
        <v/>
      </c>
      <c r="AQ699" s="625" t="str">
        <f>IF(AC699=$V$3,IF(VLOOKUP(C699,[1]List1!$A:$E,5,FALSE)=0,1,VLOOKUP(C699,[1]List1!$A:$E,5,FALSE)),"")</f>
        <v/>
      </c>
      <c r="AR699" s="629" t="str">
        <f t="shared" ref="AR699:AR747" si="2065">IF($AL$3=1,"",IF(OR(AB699&lt;&gt;"",AB699&lt;&gt;0),IF(OR(AC699=$V$6,AC699=$V$3,AC699=$V$9),$V$10,""),""))</f>
        <v/>
      </c>
      <c r="AS699" s="630" t="str">
        <f t="shared" ref="AS699:AS747" si="2066">IF(AT699&lt;&gt;"","X","")</f>
        <v/>
      </c>
      <c r="AT699" s="625" t="str">
        <f t="shared" ref="AT699:AT747" si="2067">IF(AND($AL$3=2,AR699="",AB699&lt;&gt;""),AD699,"")</f>
        <v/>
      </c>
      <c r="AU699" s="625" t="e">
        <f t="shared" ref="AU699:AU747" si="2068">IF(AT699=$AS$21,AB699,"")</f>
        <v>#N/A</v>
      </c>
      <c r="AV699" s="625" t="e">
        <f t="shared" ref="AV699:AV747" si="2069">IF(OR(AB699="",AND(AT699&lt;&gt;"",AU699&lt;&gt;"")),"",$V$10)</f>
        <v>#N/A</v>
      </c>
      <c r="AW699" s="631"/>
      <c r="AX699" s="631">
        <f>IF(AND('General price list'!$J699="F4",'General price list'!$AB699+0&gt;0),1,0)</f>
        <v>0</v>
      </c>
      <c r="AY699" s="631">
        <f t="shared" ref="AY699:AY747" si="2070">IFERROR(FIND(VLOOKUP($AC$7,$AD$1:$AE$12,2,FALSE),Q699,1),0)</f>
        <v>0</v>
      </c>
      <c r="AZ699" s="631">
        <f t="shared" ref="AZ699:AZ747" si="2071">IFERROR(FIND(VLOOKUP($AC$7,$AD$1:$AE$12,2,FALSE),R699,1),0)</f>
        <v>0</v>
      </c>
    </row>
    <row r="700" spans="1:52" ht="15" customHeight="1">
      <c r="A700" s="639" t="str">
        <f>Kat.!C700</f>
        <v/>
      </c>
      <c r="B700" s="640">
        <f>IF(AND('General price list'!$J700="F4",$AI$1=FALSE),0,IF(AC700="SKLADEM",1,IF(AC700=$V$3,1,0)))</f>
        <v>0</v>
      </c>
      <c r="C700" s="641" t="s">
        <v>12464</v>
      </c>
      <c r="D700" s="642" t="s">
        <v>12521</v>
      </c>
      <c r="E700" s="643" t="s">
        <v>12745</v>
      </c>
      <c r="F700" s="771">
        <f>IFERROR(VLOOKUP(C700,[2]List1!$A:$D,3,FALSE),"NEUVEDENO!")</f>
        <v>970</v>
      </c>
      <c r="G700" s="768">
        <f t="shared" ref="G700:G701" si="2072">IF($W$17=$AF$8,ROUND((F700)/$F$17,2),(F700)*$B$19)</f>
        <v>970</v>
      </c>
      <c r="H700" s="765">
        <f t="shared" ref="H700:H701" si="2073">IF($W$17=$AF$8,G700*$B$19,G700/$F$17)</f>
        <v>41.204181587253039</v>
      </c>
      <c r="I700" s="644">
        <f>IFERROR(VLOOKUP(C700,[2]List1!$A:$D,4,FALSE),"NEUVEDENO!")</f>
        <v>3</v>
      </c>
      <c r="J700" s="733" t="s">
        <v>39</v>
      </c>
      <c r="K700" s="645">
        <v>4</v>
      </c>
      <c r="L700" s="645"/>
      <c r="M700" s="645" t="s">
        <v>21</v>
      </c>
      <c r="N700" s="645">
        <f>IFERROR(VLOOKUP(C700,[3]List1!$A:$D,4,FALSE),"N/A!")</f>
        <v>5.0999999999999997E-2</v>
      </c>
      <c r="O700" s="645">
        <f>IFERROR(VLOOKUP(C700,[3]List1!$A:$D,3,FALSE),"N/A!")</f>
        <v>1344</v>
      </c>
      <c r="P700" s="645">
        <f>IFERROR(VLOOKUP(C700,[3]List1!$A:$D,2,FALSE),"N/A!")</f>
        <v>18500</v>
      </c>
      <c r="Q700" s="645" t="s">
        <v>11787</v>
      </c>
      <c r="R700" s="645"/>
      <c r="S700" s="645" t="str">
        <f>IF($W$17=$AF$1,"červená fólie",IFERROR(VLOOKUP("červená fólie",Jazyky_ceník!$A:$Q,MATCH($W$17,Jazyky_ceník!$A$1:$Q$1,0),FALSE),"!!!"))</f>
        <v>červená fólie</v>
      </c>
      <c r="T700" s="645">
        <v>30</v>
      </c>
      <c r="U700" s="645"/>
      <c r="V700" s="645"/>
      <c r="W700" s="645" t="str">
        <f>IFERROR(IF(AND($AB700&gt;=0.1*$AA700,MOD($AB700,$AA700)&gt;=($AA700-(0.1*$AA700))),IF($W$17=$AF$1,"Zvažte možnost doobjednání ještě "&amp;Tabulka1[[#This Row],[VKPAL]]-MOD(AB700,AA700)&amp;" VK do plné palety.",VLOOKUP("Zvažte možnost doobjednání ještě ",Jazyky_ceník!A:Q,MATCH($W$17,Jazyky_ceník!$A$1:$Q$1,0),FALSE)&amp;Tabulka1[[#This Row],[VKPAL]]-MOD(AB700,AA700)&amp;VLOOKUP(" VK do plné palety.",Jazyky_ceník!A:Q,MATCH($W$17,Jazyky_ceník!$A$1:$Q$1,0),FALSE)),IFERROR(IF(AND(NOT(MOD($AB700,$AA700)=0),$AB700&gt;=0.9*$AA700,MOD($AB700,$AA700)&lt;=0.1*$AA700),IF($W$17=$AF$1,"Zvažte možnost optimalizace objednaného množství podle počtu VK na paletě ==&gt;",VLOOKUP("Zvažte možnost optimalizace objednaného množství podle počtu VK na paletě ==&gt;",Jazyky_ceník!A:Q,MATCH($W$17,Jazyky_ceník!$A$1:$Q$1,0),FALSE)),VLOOKUP('General price list'!$C700,Popisy!A:M,MATCH($W$17,Popisy!$A$7:$M$7,0),FALSE)),"---------------")),IFERROR(VLOOKUP('General price list'!$C700,Popisy!A:M,MATCH($W$17,Popisy!$A$7:$M$7,0),FALSE),"---------------"))</f>
        <v>stříbnré práskající hvězdy</v>
      </c>
      <c r="X700" s="645" t="str">
        <f t="shared" ref="X700:X701" si="2074">IF(AB700&lt;0.0001,"",AB700)</f>
        <v/>
      </c>
      <c r="Y700" s="645" t="str">
        <f t="shared" ref="Y700:Y701" si="2075">IF($AL$3=2,IF(OR(AB700&lt;&gt;"",AB700&lt;&gt;0),AU700,""),IF(C700="","",IF(AB700&lt;0.0001,"",IF(B700=0,"",IF(AQ700&lt;AB700,"",AB700)))))</f>
        <v/>
      </c>
      <c r="Z700" s="645" t="str">
        <f>HYPERLINK("https://www.klasekpyrotechnics.cz/c165du14")</f>
        <v>https://www.klasekpyrotechnics.cz/c165du14</v>
      </c>
      <c r="AA700" s="645">
        <f>IFERROR(IF(VLOOKUP(C700,[4]List1!$A:$D,4,FALSE)=0,"",VLOOKUP(C700,[4]List1!$A:$D,4,FALSE)),"")</f>
        <v>25</v>
      </c>
      <c r="AB700" s="646"/>
      <c r="AC700" s="647" t="str">
        <f>IFERROR(IF(VLOOKUP(C700,[1]List1!$A:$D,2,FALSE)="VYPRODÁNO",$V$9,IF(VLOOKUP(C700,[1]List1!$A:$D,2,FALSE)="DOCHÁZÍ",$V$3,VLOOKUP(C700,[1]List1!$A:$D,2,FALSE))),"OFFLINE!")</f>
        <v>31.08.2026</v>
      </c>
      <c r="AD700" s="647" t="str">
        <f ca="1">IF(AP700="NE",$V$10,IF(AC700=$V$3,IF(AQ700&lt;1,$V$8,$V$2&amp;" "&amp;AQ700&amp;" "&amp;$V$1),IF(AC700="SKLADEM",$V$6,IFERROR(IF(OR(AC700-TODAY()&gt;45,VLOOKUP(C700,[1]List1!$A:$E,4,FALSE)=0),AC700,DAY(AC700)&amp;"."&amp;MONTH(AC700)&amp;"."&amp;YEAR(AC700)&amp;" "&amp;$V$4&amp;VLOOKUP(C700,[1]List1!$A:$E,4,FALSE)&amp;" "&amp;$V$1),AC700))))</f>
        <v>31.08.2026</v>
      </c>
      <c r="AE700" s="645" t="str">
        <f t="shared" ref="AE700:AE701" ca="1" si="2076">IFERROR(IF(AV700&lt;&gt;"",AV700,AD700),AD700)</f>
        <v>31.08.2026</v>
      </c>
      <c r="AF700" s="648">
        <f t="shared" ref="AF700:AF701" si="2077">IFERROR(IF(AB700=Y700,G700*I700*Y700,0),0)</f>
        <v>0</v>
      </c>
      <c r="AG700" s="649">
        <f t="shared" ref="AG700:AG701" si="2078">IF($W$17=$AF$8,AH700*1.23,AF700*1.21)</f>
        <v>0</v>
      </c>
      <c r="AH700" s="650">
        <f t="shared" ref="AH700:AH701" si="2079">IFERROR(IF(Y700=AB700,H700*I700*Y700,0),0)</f>
        <v>0</v>
      </c>
      <c r="AI700" s="645">
        <f t="shared" ref="AI700:AI701" si="2080">IFERROR(IF(Y700=AB700,(P700*Y700)/1000,1),0)</f>
        <v>0</v>
      </c>
      <c r="AJ700" s="645">
        <f t="shared" ref="AJ700:AJ701" si="2081">IFERROR(IF(Y700=AB700,N700*Y700,0.1),0)</f>
        <v>0</v>
      </c>
      <c r="AK700" s="645" t="str">
        <f t="shared" ref="AK700:AK701" si="2082">IFERROR(IF(Y700=AB700,IF(M700="1.1G",(O700/1000)*Y700,""),""),0)</f>
        <v/>
      </c>
      <c r="AL700" s="645" t="str">
        <f t="shared" ref="AL700:AL701" si="2083">IFERROR(IF(Y700=AB700,IF(M700="1.3G",(O700/1000)*AB700,""),""),0)</f>
        <v/>
      </c>
      <c r="AM700" s="645">
        <f t="shared" ref="AM700:AM701" si="2084">IFERROR(IF(Y700=AB700,IF(M700="1.4G",(O700/1000)*AB700,""),""),0)</f>
        <v>0</v>
      </c>
      <c r="AN700" s="651">
        <f t="shared" ref="AN700:AN701" si="2085">SUM(AK700:AM700)</f>
        <v>0</v>
      </c>
      <c r="AO700" s="623"/>
      <c r="AP700" s="632" t="str">
        <f t="shared" si="2064"/>
        <v/>
      </c>
      <c r="AQ700" s="633" t="str">
        <f>IF(AC700=$V$3,IF(VLOOKUP(C700,[1]List1!$A:$E,5,FALSE)=0,1,VLOOKUP(C700,[1]List1!$A:$E,5,FALSE)),"")</f>
        <v/>
      </c>
      <c r="AR700" s="625" t="str">
        <f t="shared" si="2065"/>
        <v/>
      </c>
      <c r="AS700" s="634" t="str">
        <f t="shared" si="2066"/>
        <v/>
      </c>
      <c r="AT700" s="625" t="str">
        <f t="shared" si="2067"/>
        <v/>
      </c>
      <c r="AU700" s="638" t="e">
        <f t="shared" si="2068"/>
        <v>#N/A</v>
      </c>
      <c r="AV700" s="625" t="e">
        <f t="shared" si="2069"/>
        <v>#N/A</v>
      </c>
      <c r="AX700" s="625">
        <f>IF(AND('General price list'!$J700="F4",'General price list'!$AB700+0&gt;0),1,0)</f>
        <v>0</v>
      </c>
      <c r="AY700" s="625">
        <f t="shared" si="2070"/>
        <v>1</v>
      </c>
      <c r="AZ700" s="625">
        <f t="shared" si="2071"/>
        <v>0</v>
      </c>
    </row>
    <row r="701" spans="1:52" ht="15" customHeight="1">
      <c r="A701" s="621" t="str">
        <f>Kat.!C701</f>
        <v/>
      </c>
      <c r="B701" s="566">
        <f>IF(AND('General price list'!$J701="F4",$AI$1=FALSE),0,IF(AC701="SKLADEM",1,IF(AC701=$V$3,1,0)))</f>
        <v>0</v>
      </c>
      <c r="C701" s="641" t="s">
        <v>12465</v>
      </c>
      <c r="D701" s="568" t="s">
        <v>12561</v>
      </c>
      <c r="E701" s="763" t="s">
        <v>12745</v>
      </c>
      <c r="F701" s="772">
        <f>IFERROR(VLOOKUP(C701,[2]List1!$A:$D,3,FALSE),"NEUVEDENO!")</f>
        <v>970</v>
      </c>
      <c r="G701" s="769">
        <f t="shared" si="2072"/>
        <v>970</v>
      </c>
      <c r="H701" s="766">
        <f t="shared" si="2073"/>
        <v>41.204181587253039</v>
      </c>
      <c r="I701" s="764">
        <f>IFERROR(VLOOKUP(C701,[2]List1!$A:$D,4,FALSE),"NEUVEDENO!")</f>
        <v>3</v>
      </c>
      <c r="J701" s="732" t="s">
        <v>39</v>
      </c>
      <c r="K701" s="569">
        <v>4</v>
      </c>
      <c r="L701" s="569"/>
      <c r="M701" s="569" t="s">
        <v>21</v>
      </c>
      <c r="N701" s="569">
        <f>IFERROR(VLOOKUP(C701,[3]List1!$A:$D,4,FALSE),"N/A!")</f>
        <v>5.0999999999999997E-2</v>
      </c>
      <c r="O701" s="569">
        <f>IFERROR(VLOOKUP(C701,[3]List1!$A:$D,3,FALSE),"N/A!")</f>
        <v>1344</v>
      </c>
      <c r="P701" s="569">
        <f>IFERROR(VLOOKUP(C701,[3]List1!$A:$D,2,FALSE),"N/A!")</f>
        <v>18500</v>
      </c>
      <c r="Q701" s="569" t="s">
        <v>11787</v>
      </c>
      <c r="R701" s="569"/>
      <c r="S701" s="569" t="str">
        <f>IF($W$17=$AF$1,"design",IFERROR(VLOOKUP("design",Jazyky_ceník!$A:$Q,MATCH($W$17,Jazyky_ceník!$A$1:$Q$1,0),FALSE),"!!!"))</f>
        <v>design</v>
      </c>
      <c r="T701" s="569">
        <v>30</v>
      </c>
      <c r="U701" s="569"/>
      <c r="V701" s="569"/>
      <c r="W701" s="569" t="str">
        <f>IFERROR(IF(AND($AB701&gt;=0.1*$AA701,MOD($AB701,$AA701)&gt;=($AA701-(0.1*$AA701))),IF($W$17=$AF$1,"Zvažte možnost doobjednání ještě "&amp;Tabulka1[[#This Row],[VKPAL]]-MOD(AB701,AA701)&amp;" VK do plné palety.",VLOOKUP("Zvažte možnost doobjednání ještě ",Jazyky_ceník!A:Q,MATCH($W$17,Jazyky_ceník!$A$1:$Q$1,0),FALSE)&amp;Tabulka1[[#This Row],[VKPAL]]-MOD(AB701,AA701)&amp;VLOOKUP(" VK do plné palety.",Jazyky_ceník!A:Q,MATCH($W$17,Jazyky_ceník!$A$1:$Q$1,0),FALSE)),IFERROR(IF(AND(NOT(MOD($AB701,$AA701)=0),$AB701&gt;=0.9*$AA701,MOD($AB701,$AA701)&lt;=0.1*$AA701),IF($W$17=$AF$1,"Zvažte možnost optimalizace objednaného množství podle počtu VK na paletě ==&gt;",VLOOKUP("Zvažte možnost optimalizace objednaného množství podle počtu VK na paletě ==&gt;",Jazyky_ceník!A:Q,MATCH($W$17,Jazyky_ceník!$A$1:$Q$1,0),FALSE)),VLOOKUP('General price list'!$C701,Popisy!A:M,MATCH($W$17,Popisy!$A$7:$M$7,0),FALSE)),"---------------")),IFERROR(VLOOKUP('General price list'!$C701,Popisy!A:M,MATCH($W$17,Popisy!$A$7:$M$7,0),FALSE),"---------------"))</f>
        <v>4 různobarevných efektů</v>
      </c>
      <c r="X701" s="569" t="str">
        <f t="shared" si="2074"/>
        <v/>
      </c>
      <c r="Y701" s="569" t="str">
        <f t="shared" si="2075"/>
        <v/>
      </c>
      <c r="Z701" s="569" t="str">
        <f>HYPERLINK("https://www.klasekpyrotechnics.cz/c165no14")</f>
        <v>https://www.klasekpyrotechnics.cz/c165no14</v>
      </c>
      <c r="AA701" s="569">
        <f>IFERROR(IF(VLOOKUP(C701,[4]List1!$A:$D,4,FALSE)=0,"",VLOOKUP(C701,[4]List1!$A:$D,4,FALSE)),"")</f>
        <v>25</v>
      </c>
      <c r="AB701" s="565"/>
      <c r="AC701" s="570" t="str">
        <f>IFERROR(IF(VLOOKUP(C701,[1]List1!$A:$D,2,FALSE)="VYPRODÁNO",$V$9,IF(VLOOKUP(C701,[1]List1!$A:$D,2,FALSE)="DOCHÁZÍ",$V$3,VLOOKUP(C701,[1]List1!$A:$D,2,FALSE))),"OFFLINE!")</f>
        <v>31.08.2026</v>
      </c>
      <c r="AD701" s="570" t="str">
        <f ca="1">IF(AP701="NE",$V$10,IF(AC701=$V$3,IF(AQ701&lt;1,$V$8,$V$2&amp;" "&amp;AQ701&amp;" "&amp;$V$1),IF(AC701="SKLADEM",$V$6,IFERROR(IF(OR(AC701-TODAY()&gt;45,VLOOKUP(C701,[1]List1!$A:$E,4,FALSE)=0),AC701,DAY(AC701)&amp;"."&amp;MONTH(AC701)&amp;"."&amp;YEAR(AC701)&amp;" "&amp;$V$4&amp;VLOOKUP(C701,[1]List1!$A:$E,4,FALSE)&amp;" "&amp;$V$1),AC701))))</f>
        <v>31.08.2026</v>
      </c>
      <c r="AE701" s="581" t="str">
        <f t="shared" ca="1" si="2076"/>
        <v>31.08.2026</v>
      </c>
      <c r="AF701" s="584">
        <f t="shared" si="2077"/>
        <v>0</v>
      </c>
      <c r="AG701" s="585">
        <f t="shared" si="2078"/>
        <v>0</v>
      </c>
      <c r="AH701" s="583">
        <f t="shared" si="2079"/>
        <v>0</v>
      </c>
      <c r="AI701" s="582">
        <f t="shared" si="2080"/>
        <v>0</v>
      </c>
      <c r="AJ701" s="569">
        <f t="shared" si="2081"/>
        <v>0</v>
      </c>
      <c r="AK701" s="569" t="str">
        <f t="shared" si="2082"/>
        <v/>
      </c>
      <c r="AL701" s="569" t="str">
        <f t="shared" si="2083"/>
        <v/>
      </c>
      <c r="AM701" s="569">
        <f t="shared" si="2084"/>
        <v>0</v>
      </c>
      <c r="AN701" s="581">
        <f t="shared" si="2085"/>
        <v>0</v>
      </c>
      <c r="AO701" s="623"/>
      <c r="AP701" s="632" t="str">
        <f t="shared" si="2064"/>
        <v/>
      </c>
      <c r="AQ701" s="633" t="str">
        <f>IF(AC701=$V$3,IF(VLOOKUP(C701,[1]List1!$A:$E,5,FALSE)=0,1,VLOOKUP(C701,[1]List1!$A:$E,5,FALSE)),"")</f>
        <v/>
      </c>
      <c r="AR701" s="625" t="str">
        <f t="shared" si="2065"/>
        <v/>
      </c>
      <c r="AS701" s="634" t="str">
        <f t="shared" si="2066"/>
        <v/>
      </c>
      <c r="AT701" s="625" t="str">
        <f t="shared" si="2067"/>
        <v/>
      </c>
      <c r="AU701" s="638" t="e">
        <f t="shared" si="2068"/>
        <v>#N/A</v>
      </c>
      <c r="AV701" s="625" t="e">
        <f t="shared" si="2069"/>
        <v>#N/A</v>
      </c>
      <c r="AX701" s="625">
        <f>IF(AND('General price list'!$J701="F4",'General price list'!$AB701+0&gt;0),1,0)</f>
        <v>0</v>
      </c>
      <c r="AY701" s="625">
        <f t="shared" si="2070"/>
        <v>1</v>
      </c>
      <c r="AZ701" s="625">
        <f t="shared" si="2071"/>
        <v>0</v>
      </c>
    </row>
    <row r="702" spans="1:52" ht="15" customHeight="1">
      <c r="A702" s="751" t="str">
        <f>Kat.!C702</f>
        <v xml:space="preserve">           Baterie 16 ran, 50 mm moždíř – 1.3G</v>
      </c>
      <c r="B702" s="751"/>
      <c r="C702" s="751"/>
      <c r="D702" s="751"/>
      <c r="E702" s="751"/>
      <c r="F702" s="751"/>
      <c r="G702" s="751"/>
      <c r="H702" s="751"/>
      <c r="I702" s="752"/>
      <c r="J702" s="752"/>
      <c r="K702" s="752" t="s">
        <v>20</v>
      </c>
      <c r="L702" s="753" t="s">
        <v>20</v>
      </c>
      <c r="M702" s="752"/>
      <c r="N702" s="752"/>
      <c r="O702" s="752"/>
      <c r="P702" s="752"/>
      <c r="Q702" s="752"/>
      <c r="R702" s="752"/>
      <c r="S702" s="752"/>
      <c r="T702" s="752"/>
      <c r="U702" s="752"/>
      <c r="V702" s="752"/>
      <c r="W702" s="752"/>
      <c r="X702" s="752"/>
      <c r="Y702" s="752"/>
      <c r="Z702" s="752" t="s">
        <v>20</v>
      </c>
      <c r="AA702" s="752"/>
      <c r="AB702" s="752"/>
      <c r="AC702" s="754"/>
      <c r="AD702" s="752"/>
      <c r="AE702" s="752"/>
      <c r="AF702" s="752"/>
      <c r="AG702" s="752"/>
      <c r="AH702" s="752"/>
      <c r="AI702" s="752"/>
      <c r="AJ702" s="752"/>
      <c r="AK702" s="752"/>
      <c r="AL702" s="752"/>
      <c r="AM702" s="752"/>
      <c r="AN702" s="752"/>
      <c r="AO702" s="623"/>
      <c r="AP702" s="632" t="str">
        <f t="shared" si="2064"/>
        <v/>
      </c>
      <c r="AQ702" s="633" t="str">
        <f>IF(AC702=$V$3,IF(VLOOKUP(C702,[1]List1!$A:$E,5,FALSE)=0,1,VLOOKUP(C702,[1]List1!$A:$E,5,FALSE)),"")</f>
        <v/>
      </c>
      <c r="AR702" s="625" t="str">
        <f t="shared" si="2065"/>
        <v/>
      </c>
      <c r="AS702" s="634" t="str">
        <f t="shared" si="2066"/>
        <v/>
      </c>
      <c r="AT702" s="625" t="str">
        <f t="shared" si="2067"/>
        <v/>
      </c>
      <c r="AU702" s="638" t="e">
        <f t="shared" si="2068"/>
        <v>#N/A</v>
      </c>
      <c r="AV702" s="625" t="e">
        <f t="shared" si="2069"/>
        <v>#N/A</v>
      </c>
      <c r="AX702" s="625">
        <f>IF(AND('General price list'!$J702="F4",'General price list'!$AB702+0&gt;0),1,0)</f>
        <v>0</v>
      </c>
      <c r="AY702" s="625">
        <f t="shared" si="2070"/>
        <v>0</v>
      </c>
      <c r="AZ702" s="625">
        <f t="shared" si="2071"/>
        <v>0</v>
      </c>
    </row>
    <row r="703" spans="1:52" ht="15.75" customHeight="1">
      <c r="A703" s="639" t="str">
        <f>Kat.!C703</f>
        <v/>
      </c>
      <c r="B703" s="640">
        <f>IF(AND('General price list'!$J703="F4",$AI$1=FALSE),0,IF(AC703="SKLADEM",1,IF(AC703=$V$3,1,0)))</f>
        <v>1</v>
      </c>
      <c r="C703" s="641" t="s">
        <v>1419</v>
      </c>
      <c r="D703" s="642" t="s">
        <v>1420</v>
      </c>
      <c r="E703" s="643" t="s">
        <v>12745</v>
      </c>
      <c r="F703" s="771">
        <f>IFERROR(VLOOKUP(C703,[2]List1!$A:$D,3,FALSE),"NEUVEDENO!")</f>
        <v>1105</v>
      </c>
      <c r="G703" s="768">
        <f t="shared" ref="G703:G704" si="2086">IF($W$17=$AF$8,ROUND((F703)/$F$17,2),(F703)*$B$19)</f>
        <v>1105</v>
      </c>
      <c r="H703" s="765">
        <f t="shared" ref="H703:H704" si="2087">IF($W$17=$AF$8,G703*$B$19,G703/$F$17)</f>
        <v>46.938784179293414</v>
      </c>
      <c r="I703" s="644">
        <f>IFERROR(VLOOKUP(C703,[2]List1!$A:$D,4,FALSE),"NEUVEDENO!")</f>
        <v>3</v>
      </c>
      <c r="J703" s="733" t="s">
        <v>113</v>
      </c>
      <c r="K703" s="645" t="s">
        <v>20</v>
      </c>
      <c r="L703" s="645" t="s">
        <v>20</v>
      </c>
      <c r="M703" s="645" t="s">
        <v>114</v>
      </c>
      <c r="N703" s="645">
        <f>IFERROR(VLOOKUP(C703,[3]List1!$A:$D,4,FALSE),"N/A!")</f>
        <v>5.0999999999999997E-2</v>
      </c>
      <c r="O703" s="645">
        <f>IFERROR(VLOOKUP(C703,[3]List1!$A:$D,3,FALSE),"N/A!")</f>
        <v>2400</v>
      </c>
      <c r="P703" s="645">
        <f>IFERROR(VLOOKUP(C703,[3]List1!$A:$D,2,FALSE),"N/A!")</f>
        <v>18500</v>
      </c>
      <c r="Q703" s="645" t="s">
        <v>11787</v>
      </c>
      <c r="R703" s="645"/>
      <c r="S703" s="645" t="str">
        <f>IF($W$17=$AF$1,"červená fólie",IFERROR(VLOOKUP("červená fólie",Jazyky_ceník!$A:$Q,MATCH($W$17,Jazyky_ceník!$A$1:$Q$1,0),FALSE),"!!!"))</f>
        <v>červená fólie</v>
      </c>
      <c r="T703" s="645">
        <v>35</v>
      </c>
      <c r="U703" s="645">
        <v>60</v>
      </c>
      <c r="V703" s="645">
        <v>40</v>
      </c>
      <c r="W703" s="645" t="str">
        <f>IFERROR(IF(AND($AB703&gt;=0.1*$AA703,MOD($AB703,$AA703)&gt;=($AA703-(0.1*$AA703))),IF($W$17=$AF$1,"Zvažte možnost doobjednání ještě "&amp;Tabulka1[[#This Row],[VKPAL]]-MOD(AB703,AA703)&amp;" VK do plné palety.",VLOOKUP("Zvažte možnost doobjednání ještě ",Jazyky_ceník!A:Q,MATCH($W$17,Jazyky_ceník!$A$1:$Q$1,0),FALSE)&amp;Tabulka1[[#This Row],[VKPAL]]-MOD(AB703,AA703)&amp;VLOOKUP(" VK do plné palety.",Jazyky_ceník!A:Q,MATCH($W$17,Jazyky_ceník!$A$1:$Q$1,0),FALSE)),IFERROR(IF(AND(NOT(MOD($AB703,$AA703)=0),$AB703&gt;=0.9*$AA703,MOD($AB703,$AA703)&lt;=0.1*$AA703),IF($W$17=$AF$1,"Zvažte možnost optimalizace objednaného množství podle počtu VK na paletě ==&gt;",VLOOKUP("Zvažte možnost optimalizace objednaného množství podle počtu VK na paletě ==&gt;",Jazyky_ceník!A:Q,MATCH($W$17,Jazyky_ceník!$A$1:$Q$1,0),FALSE)),VLOOKUP('General price list'!$C703,Popisy!A:M,MATCH($W$17,Popisy!$A$7:$M$7,0),FALSE)),"---------------")),IFERROR(VLOOKUP('General price list'!$C703,Popisy!A:M,MATCH($W$17,Popisy!$A$7:$M$7,0),FALSE),"---------------"))</f>
        <v>5 různobarevných efektů střídajících se po každé ráně</v>
      </c>
      <c r="X703" s="645" t="str">
        <f t="shared" ref="X703:X704" si="2088">IF(AB703&lt;0.0001,"",AB703)</f>
        <v/>
      </c>
      <c r="Y703" s="645" t="str">
        <f t="shared" ref="Y703:Y704" si="2089">IF($AL$3=2,IF(OR(AB703&lt;&gt;"",AB703&lt;&gt;0),AU703,""),IF(C703="","",IF(AB703&lt;0.0001,"",IF(B703=0,"",IF(AQ703&lt;AB703,"",AB703)))))</f>
        <v/>
      </c>
      <c r="Z703" s="645" t="str">
        <f>HYPERLINK("https://www.klasekpyrotechnics.cz/c165ja")</f>
        <v>https://www.klasekpyrotechnics.cz/c165ja</v>
      </c>
      <c r="AA703" s="645">
        <f>IFERROR(IF(VLOOKUP(C703,[4]List1!$A:$D,4,FALSE)=0,"",VLOOKUP(C703,[4]List1!$A:$D,4,FALSE)),"")</f>
        <v>25</v>
      </c>
      <c r="AB703" s="646"/>
      <c r="AC703" s="647" t="str">
        <f>IFERROR(IF(VLOOKUP(C703,[1]List1!$A:$D,2,FALSE)="VYPRODÁNO",$V$9,IF(VLOOKUP(C703,[1]List1!$A:$D,2,FALSE)="DOCHÁZÍ",$V$3,VLOOKUP(C703,[1]List1!$A:$D,2,FALSE))),"OFFLINE!")</f>
        <v>SKLADEM</v>
      </c>
      <c r="AD703" s="647" t="str">
        <f ca="1">IF(AP703="NE",$V$10,IF(AC703=$V$3,IF(AQ703&lt;1,$V$8,$V$2&amp;" "&amp;AQ703&amp;" "&amp;$V$1),IF(AC703="SKLADEM",$V$6,IFERROR(IF(OR(AC703-TODAY()&gt;45,VLOOKUP(C703,[1]List1!$A:$E,4,FALSE)=0),AC703,DAY(AC703)&amp;"."&amp;MONTH(AC703)&amp;"."&amp;YEAR(AC703)&amp;" "&amp;$V$4&amp;VLOOKUP(C703,[1]List1!$A:$E,4,FALSE)&amp;" "&amp;$V$1),AC703))))</f>
        <v>SKLADEM</v>
      </c>
      <c r="AE703" s="645" t="str">
        <f t="shared" ref="AE703:AE704" ca="1" si="2090">IFERROR(IF(AV703&lt;&gt;"",AV703,AD703),AD703)</f>
        <v>SKLADEM</v>
      </c>
      <c r="AF703" s="648">
        <f t="shared" ref="AF703:AF704" si="2091">IFERROR(IF(AB703=Y703,G703*I703*Y703,0),0)</f>
        <v>0</v>
      </c>
      <c r="AG703" s="649">
        <f t="shared" ref="AG703:AG704" si="2092">IF($W$17=$AF$8,AH703*1.23,AF703*1.21)</f>
        <v>0</v>
      </c>
      <c r="AH703" s="650">
        <f t="shared" ref="AH703:AH704" si="2093">IFERROR(IF(Y703=AB703,H703*I703*Y703,0),0)</f>
        <v>0</v>
      </c>
      <c r="AI703" s="645">
        <f t="shared" ref="AI703:AI704" si="2094">IFERROR(IF(Y703=AB703,(P703*Y703)/1000,1),0)</f>
        <v>0</v>
      </c>
      <c r="AJ703" s="645">
        <f t="shared" ref="AJ703:AJ704" si="2095">IFERROR(IF(Y703=AB703,N703*Y703,0.1),0)</f>
        <v>0</v>
      </c>
      <c r="AK703" s="645" t="str">
        <f t="shared" ref="AK703:AK704" si="2096">IFERROR(IF(Y703=AB703,IF(M703="1.1G",(O703/1000)*Y703,""),""),0)</f>
        <v/>
      </c>
      <c r="AL703" s="645">
        <f t="shared" ref="AL703:AL704" si="2097">IFERROR(IF(Y703=AB703,IF(M703="1.3G",(O703/1000)*AB703,""),""),0)</f>
        <v>0</v>
      </c>
      <c r="AM703" s="645" t="str">
        <f t="shared" ref="AM703:AM704" si="2098">IFERROR(IF(Y703=AB703,IF(M703="1.4G",(O703/1000)*AB703,""),""),0)</f>
        <v/>
      </c>
      <c r="AN703" s="651">
        <f t="shared" ref="AN703:AN704" si="2099">SUM(AK703:AM703)</f>
        <v>0</v>
      </c>
      <c r="AO703" s="623"/>
      <c r="AP703" s="625" t="str">
        <f t="shared" si="2064"/>
        <v/>
      </c>
      <c r="AQ703" s="625" t="str">
        <f>IF(AC703=$V$3,IF(VLOOKUP(C703,[1]List1!$A:$E,5,FALSE)=0,1,VLOOKUP(C703,[1]List1!$A:$E,5,FALSE)),"")</f>
        <v/>
      </c>
      <c r="AR703" s="629" t="str">
        <f t="shared" si="2065"/>
        <v/>
      </c>
      <c r="AS703" s="630" t="str">
        <f t="shared" si="2066"/>
        <v/>
      </c>
      <c r="AT703" s="625" t="str">
        <f t="shared" si="2067"/>
        <v/>
      </c>
      <c r="AU703" s="625" t="e">
        <f t="shared" si="2068"/>
        <v>#N/A</v>
      </c>
      <c r="AV703" s="625" t="e">
        <f t="shared" si="2069"/>
        <v>#N/A</v>
      </c>
      <c r="AW703" s="631"/>
      <c r="AX703" s="631">
        <f>IF(AND('General price list'!$J703="F4",'General price list'!$AB703+0&gt;0),1,0)</f>
        <v>0</v>
      </c>
      <c r="AY703" s="631">
        <f t="shared" si="2070"/>
        <v>1</v>
      </c>
      <c r="AZ703" s="631">
        <f t="shared" si="2071"/>
        <v>0</v>
      </c>
    </row>
    <row r="704" spans="1:52" ht="15.75" customHeight="1">
      <c r="A704" s="621" t="str">
        <f>Kat.!C704</f>
        <v/>
      </c>
      <c r="B704" s="566">
        <f>IF(AND('General price list'!$J704="F4",$AI$1=FALSE),0,IF(AC704="SKLADEM",1,IF(AC704=$V$3,1,0)))</f>
        <v>1</v>
      </c>
      <c r="C704" s="567" t="s">
        <v>1421</v>
      </c>
      <c r="D704" s="568" t="s">
        <v>1422</v>
      </c>
      <c r="E704" s="763" t="s">
        <v>12745</v>
      </c>
      <c r="F704" s="772">
        <f>IFERROR(VLOOKUP(C704,[2]List1!$A:$D,3,FALSE),"NEUVEDENO!")</f>
        <v>1105</v>
      </c>
      <c r="G704" s="769">
        <f t="shared" si="2086"/>
        <v>1105</v>
      </c>
      <c r="H704" s="766">
        <f t="shared" si="2087"/>
        <v>46.938784179293414</v>
      </c>
      <c r="I704" s="764">
        <f>IFERROR(VLOOKUP(C704,[2]List1!$A:$D,4,FALSE),"NEUVEDENO!")</f>
        <v>3</v>
      </c>
      <c r="J704" s="732" t="s">
        <v>113</v>
      </c>
      <c r="K704" s="569" t="s">
        <v>20</v>
      </c>
      <c r="L704" s="569" t="s">
        <v>20</v>
      </c>
      <c r="M704" s="569" t="s">
        <v>114</v>
      </c>
      <c r="N704" s="569">
        <f>IFERROR(VLOOKUP(C704,[3]List1!$A:$D,4,FALSE),"N/A!")</f>
        <v>5.0999999999999997E-2</v>
      </c>
      <c r="O704" s="569">
        <f>IFERROR(VLOOKUP(C704,[3]List1!$A:$D,3,FALSE),"N/A!")</f>
        <v>2400</v>
      </c>
      <c r="P704" s="569">
        <f>IFERROR(VLOOKUP(C704,[3]List1!$A:$D,2,FALSE),"N/A!")</f>
        <v>19000</v>
      </c>
      <c r="Q704" s="569" t="s">
        <v>11794</v>
      </c>
      <c r="R704" s="569"/>
      <c r="S704" s="569" t="str">
        <f>IF($W$17=$AF$1,"červená fólie",IFERROR(VLOOKUP("červená fólie",Jazyky_ceník!$A:$Q,MATCH($W$17,Jazyky_ceník!$A$1:$Q$1,0),FALSE),"!!!"))</f>
        <v>červená fólie</v>
      </c>
      <c r="T704" s="569">
        <v>35</v>
      </c>
      <c r="U704" s="569">
        <v>60</v>
      </c>
      <c r="V704" s="569">
        <v>40</v>
      </c>
      <c r="W704" s="569" t="str">
        <f>IFERROR(IF(AND($AB704&gt;=0.1*$AA704,MOD($AB704,$AA704)&gt;=($AA704-(0.1*$AA704))),IF($W$17=$AF$1,"Zvažte možnost doobjednání ještě "&amp;Tabulka1[[#This Row],[VKPAL]]-MOD(AB704,AA704)&amp;" VK do plné palety.",VLOOKUP("Zvažte možnost doobjednání ještě ",Jazyky_ceník!A:Q,MATCH($W$17,Jazyky_ceník!$A$1:$Q$1,0),FALSE)&amp;Tabulka1[[#This Row],[VKPAL]]-MOD(AB704,AA704)&amp;VLOOKUP(" VK do plné palety.",Jazyky_ceník!A:Q,MATCH($W$17,Jazyky_ceník!$A$1:$Q$1,0),FALSE)),IFERROR(IF(AND(NOT(MOD($AB704,$AA704)=0),$AB704&gt;=0.9*$AA704,MOD($AB704,$AA704)&lt;=0.1*$AA704),IF($W$17=$AF$1,"Zvažte možnost optimalizace objednaného množství podle počtu VK na paletě ==&gt;",VLOOKUP("Zvažte možnost optimalizace objednaného množství podle počtu VK na paletě ==&gt;",Jazyky_ceník!A:Q,MATCH($W$17,Jazyky_ceník!$A$1:$Q$1,0),FALSE)),VLOOKUP('General price list'!$C704,Popisy!A:M,MATCH($W$17,Popisy!$A$7:$M$7,0),FALSE)),"---------------")),IFERROR(VLOOKUP('General price list'!$C704,Popisy!A:M,MATCH($W$17,Popisy!$A$7:$M$7,0),FALSE),"---------------"))</f>
        <v>5 různobarevných efektů střídajících se po každé ráně</v>
      </c>
      <c r="X704" s="569" t="str">
        <f t="shared" si="2088"/>
        <v/>
      </c>
      <c r="Y704" s="569" t="str">
        <f t="shared" si="2089"/>
        <v/>
      </c>
      <c r="Z704" s="569" t="str">
        <f>HYPERLINK("https://www.klasekpyrotechnics.cz/c165p")</f>
        <v>https://www.klasekpyrotechnics.cz/c165p</v>
      </c>
      <c r="AA704" s="569">
        <f>IFERROR(IF(VLOOKUP(C704,[4]List1!$A:$D,4,FALSE)=0,"",VLOOKUP(C704,[4]List1!$A:$D,4,FALSE)),"")</f>
        <v>25</v>
      </c>
      <c r="AB704" s="565"/>
      <c r="AC704" s="570" t="str">
        <f>IFERROR(IF(VLOOKUP(C704,[1]List1!$A:$D,2,FALSE)="VYPRODÁNO",$V$9,IF(VLOOKUP(C704,[1]List1!$A:$D,2,FALSE)="DOCHÁZÍ",$V$3,VLOOKUP(C704,[1]List1!$A:$D,2,FALSE))),"OFFLINE!")</f>
        <v>SKLADEM</v>
      </c>
      <c r="AD704" s="570" t="str">
        <f ca="1">IF(AP704="NE",$V$10,IF(AC704=$V$3,IF(AQ704&lt;1,$V$8,$V$2&amp;" "&amp;AQ704&amp;" "&amp;$V$1),IF(AC704="SKLADEM",$V$6,IFERROR(IF(OR(AC704-TODAY()&gt;45,VLOOKUP(C704,[1]List1!$A:$E,4,FALSE)=0),AC704,DAY(AC704)&amp;"."&amp;MONTH(AC704)&amp;"."&amp;YEAR(AC704)&amp;" "&amp;$V$4&amp;VLOOKUP(C704,[1]List1!$A:$E,4,FALSE)&amp;" "&amp;$V$1),AC704))))</f>
        <v>SKLADEM</v>
      </c>
      <c r="AE704" s="581" t="str">
        <f t="shared" ca="1" si="2090"/>
        <v>SKLADEM</v>
      </c>
      <c r="AF704" s="584">
        <f t="shared" si="2091"/>
        <v>0</v>
      </c>
      <c r="AG704" s="585">
        <f t="shared" si="2092"/>
        <v>0</v>
      </c>
      <c r="AH704" s="583">
        <f t="shared" si="2093"/>
        <v>0</v>
      </c>
      <c r="AI704" s="582">
        <f t="shared" si="2094"/>
        <v>0</v>
      </c>
      <c r="AJ704" s="569">
        <f t="shared" si="2095"/>
        <v>0</v>
      </c>
      <c r="AK704" s="569" t="str">
        <f t="shared" si="2096"/>
        <v/>
      </c>
      <c r="AL704" s="569">
        <f t="shared" si="2097"/>
        <v>0</v>
      </c>
      <c r="AM704" s="569" t="str">
        <f t="shared" si="2098"/>
        <v/>
      </c>
      <c r="AN704" s="581">
        <f t="shared" si="2099"/>
        <v>0</v>
      </c>
      <c r="AO704" s="623"/>
      <c r="AP704" s="625" t="str">
        <f t="shared" si="2064"/>
        <v/>
      </c>
      <c r="AQ704" s="625" t="str">
        <f>IF(AC704=$V$3,IF(VLOOKUP(C704,[1]List1!$A:$E,5,FALSE)=0,1,VLOOKUP(C704,[1]List1!$A:$E,5,FALSE)),"")</f>
        <v/>
      </c>
      <c r="AR704" s="629" t="str">
        <f t="shared" si="2065"/>
        <v/>
      </c>
      <c r="AS704" s="630" t="str">
        <f t="shared" si="2066"/>
        <v/>
      </c>
      <c r="AT704" s="625" t="str">
        <f t="shared" si="2067"/>
        <v/>
      </c>
      <c r="AU704" s="625" t="e">
        <f t="shared" si="2068"/>
        <v>#N/A</v>
      </c>
      <c r="AV704" s="625" t="e">
        <f t="shared" si="2069"/>
        <v>#N/A</v>
      </c>
      <c r="AW704" s="631"/>
      <c r="AX704" s="631">
        <f>IF(AND('General price list'!$J704="F4",'General price list'!$AB704+0&gt;0),1,0)</f>
        <v>0</v>
      </c>
      <c r="AY704" s="631">
        <f t="shared" si="2070"/>
        <v>1</v>
      </c>
      <c r="AZ704" s="631">
        <f t="shared" si="2071"/>
        <v>0</v>
      </c>
    </row>
    <row r="705" spans="1:52" ht="15" customHeight="1">
      <c r="A705" s="751" t="str">
        <f>Kat.!C705</f>
        <v xml:space="preserve">           Baterie 25 ran, 45 mm moždíř – 1.3G</v>
      </c>
      <c r="B705" s="751"/>
      <c r="C705" s="751"/>
      <c r="D705" s="751"/>
      <c r="E705" s="751"/>
      <c r="F705" s="751"/>
      <c r="G705" s="751"/>
      <c r="H705" s="751"/>
      <c r="I705" s="752"/>
      <c r="J705" s="752"/>
      <c r="K705" s="752" t="s">
        <v>20</v>
      </c>
      <c r="L705" s="753" t="s">
        <v>20</v>
      </c>
      <c r="M705" s="752"/>
      <c r="N705" s="752"/>
      <c r="O705" s="752"/>
      <c r="P705" s="752"/>
      <c r="Q705" s="752"/>
      <c r="R705" s="752"/>
      <c r="S705" s="752"/>
      <c r="T705" s="752"/>
      <c r="U705" s="752"/>
      <c r="V705" s="752"/>
      <c r="W705" s="752"/>
      <c r="X705" s="752"/>
      <c r="Y705" s="752"/>
      <c r="Z705" s="752" t="s">
        <v>20</v>
      </c>
      <c r="AA705" s="752"/>
      <c r="AB705" s="752"/>
      <c r="AC705" s="754"/>
      <c r="AD705" s="752"/>
      <c r="AE705" s="752"/>
      <c r="AF705" s="752"/>
      <c r="AG705" s="752"/>
      <c r="AH705" s="752"/>
      <c r="AI705" s="752"/>
      <c r="AJ705" s="752"/>
      <c r="AK705" s="752"/>
      <c r="AL705" s="752"/>
      <c r="AM705" s="752"/>
      <c r="AN705" s="752"/>
      <c r="AO705" s="623"/>
      <c r="AP705" s="632" t="str">
        <f t="shared" si="2064"/>
        <v/>
      </c>
      <c r="AQ705" s="633" t="str">
        <f>IF(AC705=$V$3,IF(VLOOKUP(C705,[1]List1!$A:$E,5,FALSE)=0,1,VLOOKUP(C705,[1]List1!$A:$E,5,FALSE)),"")</f>
        <v/>
      </c>
      <c r="AR705" s="625" t="str">
        <f t="shared" si="2065"/>
        <v/>
      </c>
      <c r="AS705" s="634" t="str">
        <f t="shared" si="2066"/>
        <v/>
      </c>
      <c r="AT705" s="625" t="str">
        <f t="shared" si="2067"/>
        <v/>
      </c>
      <c r="AU705" s="638" t="e">
        <f t="shared" si="2068"/>
        <v>#N/A</v>
      </c>
      <c r="AV705" s="625" t="e">
        <f t="shared" si="2069"/>
        <v>#N/A</v>
      </c>
      <c r="AX705" s="625">
        <f>IF(AND('General price list'!$J705="F4",'General price list'!$AB705+0&gt;0),1,0)</f>
        <v>0</v>
      </c>
      <c r="AY705" s="625">
        <f t="shared" si="2070"/>
        <v>0</v>
      </c>
      <c r="AZ705" s="625">
        <f t="shared" si="2071"/>
        <v>0</v>
      </c>
    </row>
    <row r="706" spans="1:52" ht="15.75" customHeight="1">
      <c r="A706" s="639" t="str">
        <f>Kat.!C706</f>
        <v/>
      </c>
      <c r="B706" s="640">
        <f>IF(AND('General price list'!$J706="F4",$AI$1=FALSE),0,IF(AC706="SKLADEM",1,IF(AC706=$V$3,1,0)))</f>
        <v>1</v>
      </c>
      <c r="C706" s="641" t="s">
        <v>2307</v>
      </c>
      <c r="D706" s="642" t="s">
        <v>12562</v>
      </c>
      <c r="E706" s="643" t="s">
        <v>12747</v>
      </c>
      <c r="F706" s="771">
        <f>IFERROR(VLOOKUP(C706,[2]List1!$A:$D,3,FALSE),"NEUVEDENO!")</f>
        <v>1387</v>
      </c>
      <c r="G706" s="768">
        <f t="shared" ref="G706:G707" si="2100">IF($W$17=$AF$8,ROUND((F706)/$F$17,2),(F706)*$B$19)</f>
        <v>1387</v>
      </c>
      <c r="H706" s="765">
        <f t="shared" ref="H706:H707" si="2101">IF($W$17=$AF$8,G706*$B$19,G706/$F$17)</f>
        <v>58.917731815999964</v>
      </c>
      <c r="I706" s="644">
        <f>IFERROR(VLOOKUP(C706,[2]List1!$A:$D,4,FALSE),"NEUVEDENO!")</f>
        <v>2</v>
      </c>
      <c r="J706" s="733" t="s">
        <v>113</v>
      </c>
      <c r="K706" s="645" t="s">
        <v>20</v>
      </c>
      <c r="L706" s="645" t="s">
        <v>20</v>
      </c>
      <c r="M706" s="645" t="s">
        <v>114</v>
      </c>
      <c r="N706" s="645">
        <f>IFERROR(VLOOKUP(C706,[3]List1!$A:$D,4,FALSE),"N/A!")</f>
        <v>5.0296999999999994E-2</v>
      </c>
      <c r="O706" s="645">
        <f>IFERROR(VLOOKUP(C706,[3]List1!$A:$D,3,FALSE),"N/A!")</f>
        <v>1980</v>
      </c>
      <c r="P706" s="645">
        <f>IFERROR(VLOOKUP(C706,[3]List1!$A:$D,2,FALSE),"N/A!")</f>
        <v>20000</v>
      </c>
      <c r="Q706" s="645" t="s">
        <v>11795</v>
      </c>
      <c r="R706" s="645"/>
      <c r="S706" s="645" t="str">
        <f>IF($W$17=$AF$1,"design",IFERROR(VLOOKUP("design",Jazyky_ceník!$A:$Q,MATCH($W$17,Jazyky_ceník!$A$1:$Q$1,0),FALSE),"!!!"))</f>
        <v>design</v>
      </c>
      <c r="T706" s="645">
        <v>45</v>
      </c>
      <c r="U706" s="645">
        <v>60</v>
      </c>
      <c r="V706" s="645">
        <v>37</v>
      </c>
      <c r="W706" s="645" t="str">
        <f>IFERROR(IF(AND($AB706&gt;=0.1*$AA706,MOD($AB706,$AA706)&gt;=($AA706-(0.1*$AA706))),IF($W$17=$AF$1,"Zvažte možnost doobjednání ještě "&amp;Tabulka1[[#This Row],[VKPAL]]-MOD(AB706,AA706)&amp;" VK do plné palety.",VLOOKUP("Zvažte možnost doobjednání ještě ",Jazyky_ceník!A:Q,MATCH($W$17,Jazyky_ceník!$A$1:$Q$1,0),FALSE)&amp;Tabulka1[[#This Row],[VKPAL]]-MOD(AB706,AA706)&amp;VLOOKUP(" VK do plné palety.",Jazyky_ceník!A:Q,MATCH($W$17,Jazyky_ceník!$A$1:$Q$1,0),FALSE)),IFERROR(IF(AND(NOT(MOD($AB706,$AA706)=0),$AB706&gt;=0.9*$AA706,MOD($AB706,$AA706)&lt;=0.1*$AA706),IF($W$17=$AF$1,"Zvažte možnost optimalizace objednaného množství podle počtu VK na paletě ==&gt;",VLOOKUP("Zvažte možnost optimalizace objednaného množství podle počtu VK na paletě ==&gt;",Jazyky_ceník!A:Q,MATCH($W$17,Jazyky_ceník!$A$1:$Q$1,0),FALSE)),VLOOKUP('General price list'!$C706,Popisy!A:M,MATCH($W$17,Popisy!$A$7:$M$7,0),FALSE)),"---------------")),IFERROR(VLOOKUP('General price list'!$C706,Popisy!A:M,MATCH($W$17,Popisy!$A$7:$M$7,0),FALSE),"---------------"))</f>
        <v>5 různobarevných efektů</v>
      </c>
      <c r="X706" s="645" t="str">
        <f t="shared" ref="X706:X707" si="2102">IF(AB706&lt;0.0001,"",AB706)</f>
        <v/>
      </c>
      <c r="Y706" s="645" t="str">
        <f t="shared" ref="Y706:Y707" si="2103">IF($AL$3=2,IF(OR(AB706&lt;&gt;"",AB706&lt;&gt;0),AU706,""),IF(C706="","",IF(AB706&lt;0.0001,"",IF(B706=0,"",IF(AQ706&lt;AB706,"",AB706)))))</f>
        <v/>
      </c>
      <c r="Z706" s="645" t="str">
        <f>HYPERLINK("https://www.klasekpyrotechnics.cz/c2545no")</f>
        <v>https://www.klasekpyrotechnics.cz/c2545no</v>
      </c>
      <c r="AA706" s="645">
        <f>IFERROR(IF(VLOOKUP(C706,[4]List1!$A:$D,4,FALSE)=0,"",VLOOKUP(C706,[4]List1!$A:$D,4,FALSE)),"")</f>
        <v>30</v>
      </c>
      <c r="AB706" s="646"/>
      <c r="AC706" s="647" t="str">
        <f>IFERROR(IF(VLOOKUP(C706,[1]List1!$A:$D,2,FALSE)="VYPRODÁNO",$V$9,IF(VLOOKUP(C706,[1]List1!$A:$D,2,FALSE)="DOCHÁZÍ",$V$3,VLOOKUP(C706,[1]List1!$A:$D,2,FALSE))),"OFFLINE!")</f>
        <v>SKLADEM</v>
      </c>
      <c r="AD706" s="647" t="str">
        <f ca="1">IF(AP706="NE",$V$10,IF(AC706=$V$3,IF(AQ706&lt;1,$V$8,$V$2&amp;" "&amp;AQ706&amp;" "&amp;$V$1),IF(AC706="SKLADEM",$V$6,IFERROR(IF(OR(AC706-TODAY()&gt;45,VLOOKUP(C706,[1]List1!$A:$E,4,FALSE)=0),AC706,DAY(AC706)&amp;"."&amp;MONTH(AC706)&amp;"."&amp;YEAR(AC706)&amp;" "&amp;$V$4&amp;VLOOKUP(C706,[1]List1!$A:$E,4,FALSE)&amp;" "&amp;$V$1),AC706))))</f>
        <v>SKLADEM</v>
      </c>
      <c r="AE706" s="645" t="str">
        <f t="shared" ref="AE706:AE707" ca="1" si="2104">IFERROR(IF(AV706&lt;&gt;"",AV706,AD706),AD706)</f>
        <v>SKLADEM</v>
      </c>
      <c r="AF706" s="648">
        <f t="shared" ref="AF706:AF707" si="2105">IFERROR(IF(AB706=Y706,G706*I706*Y706,0),0)</f>
        <v>0</v>
      </c>
      <c r="AG706" s="649">
        <f t="shared" ref="AG706:AG707" si="2106">IF($W$17=$AF$8,AH706*1.23,AF706*1.21)</f>
        <v>0</v>
      </c>
      <c r="AH706" s="650">
        <f t="shared" ref="AH706:AH707" si="2107">IFERROR(IF(Y706=AB706,H706*I706*Y706,0),0)</f>
        <v>0</v>
      </c>
      <c r="AI706" s="645">
        <f t="shared" ref="AI706:AI707" si="2108">IFERROR(IF(Y706=AB706,(P706*Y706)/1000,1),0)</f>
        <v>0</v>
      </c>
      <c r="AJ706" s="645">
        <f t="shared" ref="AJ706:AJ707" si="2109">IFERROR(IF(Y706=AB706,N706*Y706,0.1),0)</f>
        <v>0</v>
      </c>
      <c r="AK706" s="645" t="str">
        <f t="shared" ref="AK706:AK707" si="2110">IFERROR(IF(Y706=AB706,IF(M706="1.1G",(O706/1000)*Y706,""),""),0)</f>
        <v/>
      </c>
      <c r="AL706" s="645">
        <f t="shared" ref="AL706:AL707" si="2111">IFERROR(IF(Y706=AB706,IF(M706="1.3G",(O706/1000)*AB706,""),""),0)</f>
        <v>0</v>
      </c>
      <c r="AM706" s="645" t="str">
        <f t="shared" ref="AM706:AM707" si="2112">IFERROR(IF(Y706=AB706,IF(M706="1.4G",(O706/1000)*AB706,""),""),0)</f>
        <v/>
      </c>
      <c r="AN706" s="651">
        <f t="shared" ref="AN706:AN707" si="2113">SUM(AK706:AM706)</f>
        <v>0</v>
      </c>
      <c r="AO706" s="623"/>
      <c r="AP706" s="625" t="str">
        <f t="shared" si="2064"/>
        <v/>
      </c>
      <c r="AQ706" s="625" t="str">
        <f>IF(AC706=$V$3,IF(VLOOKUP(C706,[1]List1!$A:$E,5,FALSE)=0,1,VLOOKUP(C706,[1]List1!$A:$E,5,FALSE)),"")</f>
        <v/>
      </c>
      <c r="AR706" s="629" t="str">
        <f t="shared" si="2065"/>
        <v/>
      </c>
      <c r="AS706" s="630" t="str">
        <f t="shared" si="2066"/>
        <v/>
      </c>
      <c r="AT706" s="625" t="str">
        <f t="shared" si="2067"/>
        <v/>
      </c>
      <c r="AU706" s="625" t="e">
        <f t="shared" si="2068"/>
        <v>#N/A</v>
      </c>
      <c r="AV706" s="625" t="e">
        <f t="shared" si="2069"/>
        <v>#N/A</v>
      </c>
      <c r="AW706" s="631"/>
      <c r="AX706" s="631">
        <f>IF(AND('General price list'!$J706="F4",'General price list'!$AB706+0&gt;0),1,0)</f>
        <v>0</v>
      </c>
      <c r="AY706" s="631">
        <f t="shared" si="2070"/>
        <v>1</v>
      </c>
      <c r="AZ706" s="631">
        <f t="shared" si="2071"/>
        <v>0</v>
      </c>
    </row>
    <row r="707" spans="1:52" ht="15" customHeight="1">
      <c r="A707" s="621" t="str">
        <f>Kat.!C707</f>
        <v/>
      </c>
      <c r="B707" s="566">
        <f>IF(AND('General price list'!$J707="F4",$AI$1=FALSE),0,IF(AC707="SKLADEM",1,IF(AC707=$V$3,1,0)))</f>
        <v>1</v>
      </c>
      <c r="C707" s="567" t="s">
        <v>2308</v>
      </c>
      <c r="D707" s="568" t="s">
        <v>1424</v>
      </c>
      <c r="E707" s="763" t="s">
        <v>12747</v>
      </c>
      <c r="F707" s="772">
        <f>IFERROR(VLOOKUP(C707,[2]List1!$A:$D,3,FALSE),"NEUVEDENO!")</f>
        <v>1387</v>
      </c>
      <c r="G707" s="769">
        <f t="shared" si="2100"/>
        <v>1387</v>
      </c>
      <c r="H707" s="766">
        <f t="shared" si="2101"/>
        <v>58.917731815999964</v>
      </c>
      <c r="I707" s="764">
        <f>IFERROR(VLOOKUP(C707,[2]List1!$A:$D,4,FALSE),"NEUVEDENO!")</f>
        <v>2</v>
      </c>
      <c r="J707" s="732" t="s">
        <v>113</v>
      </c>
      <c r="K707" s="569" t="s">
        <v>20</v>
      </c>
      <c r="L707" s="569" t="s">
        <v>20</v>
      </c>
      <c r="M707" s="569" t="s">
        <v>114</v>
      </c>
      <c r="N707" s="569">
        <f>IFERROR(VLOOKUP(C707,[3]List1!$A:$D,4,FALSE),"N/A!")</f>
        <v>5.0296999999999994E-2</v>
      </c>
      <c r="O707" s="569">
        <f>IFERROR(VLOOKUP(C707,[3]List1!$A:$D,3,FALSE),"N/A!")</f>
        <v>1980</v>
      </c>
      <c r="P707" s="569">
        <f>IFERROR(VLOOKUP(C707,[3]List1!$A:$D,2,FALSE),"N/A!")</f>
        <v>20000</v>
      </c>
      <c r="Q707" s="569" t="s">
        <v>11795</v>
      </c>
      <c r="R707" s="569"/>
      <c r="S707" s="569" t="str">
        <f>IF($W$17=$AF$1,"červená fólie",IFERROR(VLOOKUP("červená fólie",Jazyky_ceník!$A:$Q,MATCH($W$17,Jazyky_ceník!$A$1:$Q$1,0),FALSE),"!!!"))</f>
        <v>červená fólie</v>
      </c>
      <c r="T707" s="569">
        <v>45</v>
      </c>
      <c r="U707" s="569">
        <v>60</v>
      </c>
      <c r="V707" s="569">
        <v>37</v>
      </c>
      <c r="W707" s="569" t="str">
        <f>IFERROR(IF(AND($AB707&gt;=0.1*$AA707,MOD($AB707,$AA707)&gt;=($AA707-(0.1*$AA707))),IF($W$17=$AF$1,"Zvažte možnost doobjednání ještě "&amp;Tabulka1[[#This Row],[VKPAL]]-MOD(AB707,AA707)&amp;" VK do plné palety.",VLOOKUP("Zvažte možnost doobjednání ještě ",Jazyky_ceník!A:Q,MATCH($W$17,Jazyky_ceník!$A$1:$Q$1,0),FALSE)&amp;Tabulka1[[#This Row],[VKPAL]]-MOD(AB707,AA707)&amp;VLOOKUP(" VK do plné palety.",Jazyky_ceník!A:Q,MATCH($W$17,Jazyky_ceník!$A$1:$Q$1,0),FALSE)),IFERROR(IF(AND(NOT(MOD($AB707,$AA707)=0),$AB707&gt;=0.9*$AA707,MOD($AB707,$AA707)&lt;=0.1*$AA707),IF($W$17=$AF$1,"Zvažte možnost optimalizace objednaného množství podle počtu VK na paletě ==&gt;",VLOOKUP("Zvažte možnost optimalizace objednaného množství podle počtu VK na paletě ==&gt;",Jazyky_ceník!A:Q,MATCH($W$17,Jazyky_ceník!$A$1:$Q$1,0),FALSE)),VLOOKUP('General price list'!$C707,Popisy!A:M,MATCH($W$17,Popisy!$A$7:$M$7,0),FALSE)),"---------------")),IFERROR(VLOOKUP('General price list'!$C707,Popisy!A:M,MATCH($W$17,Popisy!$A$7:$M$7,0),FALSE),"---------------"))</f>
        <v>5 různobarevných efektů</v>
      </c>
      <c r="X707" s="569" t="str">
        <f t="shared" si="2102"/>
        <v/>
      </c>
      <c r="Y707" s="569" t="str">
        <f t="shared" si="2103"/>
        <v/>
      </c>
      <c r="Z707" s="569" t="str">
        <f>HYPERLINK("https://www.klasekpyrotechnics.cz/c2545di")</f>
        <v>https://www.klasekpyrotechnics.cz/c2545di</v>
      </c>
      <c r="AA707" s="569">
        <f>IFERROR(IF(VLOOKUP(C707,[4]List1!$A:$D,4,FALSE)=0,"",VLOOKUP(C707,[4]List1!$A:$D,4,FALSE)),"")</f>
        <v>30</v>
      </c>
      <c r="AB707" s="565"/>
      <c r="AC707" s="570" t="str">
        <f>IFERROR(IF(VLOOKUP(C707,[1]List1!$A:$D,2,FALSE)="VYPRODÁNO",$V$9,IF(VLOOKUP(C707,[1]List1!$A:$D,2,FALSE)="DOCHÁZÍ",$V$3,VLOOKUP(C707,[1]List1!$A:$D,2,FALSE))),"OFFLINE!")</f>
        <v>SKLADEM</v>
      </c>
      <c r="AD707" s="570" t="str">
        <f ca="1">IF(AP707="NE",$V$10,IF(AC707=$V$3,IF(AQ707&lt;1,$V$8,$V$2&amp;" "&amp;AQ707&amp;" "&amp;$V$1),IF(AC707="SKLADEM",$V$6,IFERROR(IF(OR(AC707-TODAY()&gt;45,VLOOKUP(C707,[1]List1!$A:$E,4,FALSE)=0),AC707,DAY(AC707)&amp;"."&amp;MONTH(AC707)&amp;"."&amp;YEAR(AC707)&amp;" "&amp;$V$4&amp;VLOOKUP(C707,[1]List1!$A:$E,4,FALSE)&amp;" "&amp;$V$1),AC707))))</f>
        <v>SKLADEM</v>
      </c>
      <c r="AE707" s="581" t="str">
        <f t="shared" ca="1" si="2104"/>
        <v>SKLADEM</v>
      </c>
      <c r="AF707" s="584">
        <f t="shared" si="2105"/>
        <v>0</v>
      </c>
      <c r="AG707" s="585">
        <f t="shared" si="2106"/>
        <v>0</v>
      </c>
      <c r="AH707" s="583">
        <f t="shared" si="2107"/>
        <v>0</v>
      </c>
      <c r="AI707" s="582">
        <f t="shared" si="2108"/>
        <v>0</v>
      </c>
      <c r="AJ707" s="569">
        <f t="shared" si="2109"/>
        <v>0</v>
      </c>
      <c r="AK707" s="569" t="str">
        <f t="shared" si="2110"/>
        <v/>
      </c>
      <c r="AL707" s="569">
        <f t="shared" si="2111"/>
        <v>0</v>
      </c>
      <c r="AM707" s="569" t="str">
        <f t="shared" si="2112"/>
        <v/>
      </c>
      <c r="AN707" s="581">
        <f t="shared" si="2113"/>
        <v>0</v>
      </c>
      <c r="AO707" s="623"/>
      <c r="AP707" s="632" t="str">
        <f t="shared" si="2064"/>
        <v/>
      </c>
      <c r="AQ707" s="633" t="str">
        <f>IF(AC707=$V$3,IF(VLOOKUP(C707,[1]List1!$A:$E,5,FALSE)=0,1,VLOOKUP(C707,[1]List1!$A:$E,5,FALSE)),"")</f>
        <v/>
      </c>
      <c r="AR707" s="625" t="str">
        <f t="shared" si="2065"/>
        <v/>
      </c>
      <c r="AS707" s="634" t="str">
        <f t="shared" si="2066"/>
        <v/>
      </c>
      <c r="AT707" s="625" t="str">
        <f t="shared" si="2067"/>
        <v/>
      </c>
      <c r="AU707" s="638" t="e">
        <f t="shared" si="2068"/>
        <v>#N/A</v>
      </c>
      <c r="AV707" s="625" t="e">
        <f t="shared" si="2069"/>
        <v>#N/A</v>
      </c>
      <c r="AX707" s="625">
        <f>IF(AND('General price list'!$J707="F4",'General price list'!$AB707+0&gt;0),1,0)</f>
        <v>0</v>
      </c>
      <c r="AY707" s="625">
        <f t="shared" si="2070"/>
        <v>1</v>
      </c>
      <c r="AZ707" s="625">
        <f t="shared" si="2071"/>
        <v>0</v>
      </c>
    </row>
    <row r="708" spans="1:52" ht="15.75" customHeight="1">
      <c r="A708" s="751" t="str">
        <f>Kat.!C708</f>
        <v xml:space="preserve">           Baterie 25 ran, 50 mm moždíř – 1.3G</v>
      </c>
      <c r="B708" s="751"/>
      <c r="C708" s="751"/>
      <c r="D708" s="751"/>
      <c r="E708" s="751"/>
      <c r="F708" s="751"/>
      <c r="G708" s="751"/>
      <c r="H708" s="751"/>
      <c r="I708" s="752"/>
      <c r="J708" s="752"/>
      <c r="K708" s="752" t="s">
        <v>20</v>
      </c>
      <c r="L708" s="753" t="s">
        <v>20</v>
      </c>
      <c r="M708" s="752"/>
      <c r="N708" s="752"/>
      <c r="O708" s="752"/>
      <c r="P708" s="752"/>
      <c r="Q708" s="752"/>
      <c r="R708" s="752"/>
      <c r="S708" s="752"/>
      <c r="T708" s="752"/>
      <c r="U708" s="752"/>
      <c r="V708" s="752"/>
      <c r="W708" s="752"/>
      <c r="X708" s="752"/>
      <c r="Y708" s="752"/>
      <c r="Z708" s="752" t="s">
        <v>20</v>
      </c>
      <c r="AA708" s="752"/>
      <c r="AB708" s="752"/>
      <c r="AC708" s="754"/>
      <c r="AD708" s="752"/>
      <c r="AE708" s="752"/>
      <c r="AF708" s="752"/>
      <c r="AG708" s="752"/>
      <c r="AH708" s="752"/>
      <c r="AI708" s="752"/>
      <c r="AJ708" s="752"/>
      <c r="AK708" s="752"/>
      <c r="AL708" s="752"/>
      <c r="AM708" s="752"/>
      <c r="AN708" s="752"/>
      <c r="AO708" s="623"/>
      <c r="AP708" s="625" t="str">
        <f t="shared" si="2064"/>
        <v/>
      </c>
      <c r="AQ708" s="625" t="str">
        <f>IF(AC708=$V$3,IF(VLOOKUP(C708,[1]List1!$A:$E,5,FALSE)=0,1,VLOOKUP(C708,[1]List1!$A:$E,5,FALSE)),"")</f>
        <v/>
      </c>
      <c r="AR708" s="629" t="str">
        <f t="shared" si="2065"/>
        <v/>
      </c>
      <c r="AS708" s="630" t="str">
        <f t="shared" si="2066"/>
        <v/>
      </c>
      <c r="AT708" s="625" t="str">
        <f t="shared" si="2067"/>
        <v/>
      </c>
      <c r="AU708" s="625" t="e">
        <f t="shared" si="2068"/>
        <v>#N/A</v>
      </c>
      <c r="AV708" s="625" t="e">
        <f t="shared" si="2069"/>
        <v>#N/A</v>
      </c>
      <c r="AW708" s="631"/>
      <c r="AX708" s="631">
        <f>IF(AND('General price list'!$J708="F4",'General price list'!$AB708+0&gt;0),1,0)</f>
        <v>0</v>
      </c>
      <c r="AY708" s="631">
        <f t="shared" si="2070"/>
        <v>0</v>
      </c>
      <c r="AZ708" s="631">
        <f t="shared" si="2071"/>
        <v>0</v>
      </c>
    </row>
    <row r="709" spans="1:52" ht="15" customHeight="1">
      <c r="A709" s="639" t="str">
        <f>Kat.!C709</f>
        <v/>
      </c>
      <c r="B709" s="640">
        <f>IF(AND('General price list'!$J709="F4",$AI$1=FALSE),0,IF(AC709="SKLADEM",1,IF(AC709=$V$3,1,0)))</f>
        <v>0</v>
      </c>
      <c r="C709" s="641" t="s">
        <v>1423</v>
      </c>
      <c r="D709" s="642" t="s">
        <v>11717</v>
      </c>
      <c r="E709" s="643" t="s">
        <v>12747</v>
      </c>
      <c r="F709" s="773">
        <f>IFERROR(VLOOKUP(C709,[2]List1!$A:$D,3,FALSE),"NEUVEDENO!")</f>
        <v>1721</v>
      </c>
      <c r="G709" s="770">
        <f t="shared" ref="G709" si="2114">IF($W$17=$AF$8,ROUND((F709)/$F$17,2),(F709)*$B$19)</f>
        <v>1721</v>
      </c>
      <c r="H709" s="767">
        <f t="shared" ref="H709" si="2115">IF($W$17=$AF$8,G709*$B$19,G709/$F$17)</f>
        <v>73.10556341408504</v>
      </c>
      <c r="I709" s="644">
        <f>IFERROR(VLOOKUP(C709,[2]List1!$A:$D,4,FALSE),"NEUVEDENO!")</f>
        <v>2</v>
      </c>
      <c r="J709" s="733" t="s">
        <v>113</v>
      </c>
      <c r="K709" s="645" t="s">
        <v>20</v>
      </c>
      <c r="L709" s="645" t="s">
        <v>20</v>
      </c>
      <c r="M709" s="645" t="s">
        <v>114</v>
      </c>
      <c r="N709" s="645">
        <f>IFERROR(VLOOKUP(C709,[3]List1!$A:$D,4,FALSE),"N/A!")</f>
        <v>5.2199999999999996E-2</v>
      </c>
      <c r="O709" s="645">
        <f>IFERROR(VLOOKUP(C709,[3]List1!$A:$D,3,FALSE),"N/A!")</f>
        <v>2000</v>
      </c>
      <c r="P709" s="645">
        <f>IFERROR(VLOOKUP(C709,[3]List1!$A:$D,2,FALSE),"N/A!")</f>
        <v>16000</v>
      </c>
      <c r="Q709" s="645" t="s">
        <v>11323</v>
      </c>
      <c r="R709" s="645" t="s">
        <v>20</v>
      </c>
      <c r="S709" s="645" t="str">
        <f>IF($W$17=$AF$1,"červená fólie",IFERROR(VLOOKUP("červená fólie",Jazyky_ceník!$A:$Q,MATCH($W$17,Jazyky_ceník!$A$1:$Q$1,0),FALSE),"!!!"))</f>
        <v>červená fólie</v>
      </c>
      <c r="T709" s="645">
        <v>40</v>
      </c>
      <c r="U709" s="645">
        <v>60</v>
      </c>
      <c r="V709" s="645">
        <v>39</v>
      </c>
      <c r="W709" s="645" t="str">
        <f>IFERROR(IF(AND($AB709&gt;=0.1*$AA709,MOD($AB709,$AA709)&gt;=($AA709-(0.1*$AA709))),IF($W$17=$AF$1,"Zvažte možnost doobjednání ještě "&amp;Tabulka1[[#This Row],[VKPAL]]-MOD(AB709,AA709)&amp;" VK do plné palety.",VLOOKUP("Zvažte možnost doobjednání ještě ",Jazyky_ceník!A:Q,MATCH($W$17,Jazyky_ceník!$A$1:$Q$1,0),FALSE)&amp;Tabulka1[[#This Row],[VKPAL]]-MOD(AB709,AA709)&amp;VLOOKUP(" VK do plné palety.",Jazyky_ceník!A:Q,MATCH($W$17,Jazyky_ceník!$A$1:$Q$1,0),FALSE)),IFERROR(IF(AND(NOT(MOD($AB709,$AA709)=0),$AB709&gt;=0.9*$AA709,MOD($AB709,$AA709)&lt;=0.1*$AA709),IF($W$17=$AF$1,"Zvažte možnost optimalizace objednaného množství podle počtu VK na paletě ==&gt;",VLOOKUP("Zvažte možnost optimalizace objednaného množství podle počtu VK na paletě ==&gt;",Jazyky_ceník!A:Q,MATCH($W$17,Jazyky_ceník!$A$1:$Q$1,0),FALSE)),VLOOKUP('General price list'!$C709,Popisy!A:M,MATCH($W$17,Popisy!$A$7:$M$7,0),FALSE)),"---------------")),IFERROR(VLOOKUP('General price list'!$C709,Popisy!A:M,MATCH($W$17,Popisy!$A$7:$M$7,0),FALSE),"---------------"))</f>
        <v>5 různobarevných efektů střídajících se po každé ráně</v>
      </c>
      <c r="X709" s="645" t="str">
        <f t="shared" ref="X709" si="2116">IF(AB709&lt;0.0001,"",AB709)</f>
        <v/>
      </c>
      <c r="Y709" s="645" t="str">
        <f t="shared" ref="Y709" si="2117">IF($AL$3=2,IF(OR(AB709&lt;&gt;"",AB709&lt;&gt;0),AU709,""),IF(C709="","",IF(AB709&lt;0.0001,"",IF(B709=0,"",IF(AQ709&lt;AB709,"",AB709)))))</f>
        <v/>
      </c>
      <c r="Z709" s="645" t="str">
        <f>HYPERLINK("https://www.klasekpyrotechnics.cz/c255bp")</f>
        <v>https://www.klasekpyrotechnics.cz/c255bp</v>
      </c>
      <c r="AA709" s="645">
        <f>IFERROR(IF(VLOOKUP(C709,[4]List1!$A:$D,4,FALSE)=0,"",VLOOKUP(C709,[4]List1!$A:$D,4,FALSE)),"")</f>
        <v>20</v>
      </c>
      <c r="AB709" s="646"/>
      <c r="AC709" s="647" t="str">
        <f>IFERROR(IF(VLOOKUP(C709,[1]List1!$A:$D,2,FALSE)="VYPRODÁNO",$V$9,IF(VLOOKUP(C709,[1]List1!$A:$D,2,FALSE)="DOCHÁZÍ",$V$3,VLOOKUP(C709,[1]List1!$A:$D,2,FALSE))),"OFFLINE!")</f>
        <v>VYPRODÁNO</v>
      </c>
      <c r="AD709" s="647" t="str">
        <f ca="1">IF(AP709="NE",$V$10,IF(AC709=$V$3,IF(AQ709&lt;1,$V$8,$V$2&amp;" "&amp;AQ709&amp;" "&amp;$V$1),IF(AC709="SKLADEM",$V$6,IFERROR(IF(OR(AC709-TODAY()&gt;45,VLOOKUP(C709,[1]List1!$A:$E,4,FALSE)=0),AC709,DAY(AC709)&amp;"."&amp;MONTH(AC709)&amp;"."&amp;YEAR(AC709)&amp;" "&amp;$V$4&amp;VLOOKUP(C709,[1]List1!$A:$E,4,FALSE)&amp;" "&amp;$V$1),AC709))))</f>
        <v>VYPRODÁNO</v>
      </c>
      <c r="AE709" s="645" t="str">
        <f t="shared" ref="AE709" ca="1" si="2118">IFERROR(IF(AV709&lt;&gt;"",AV709,AD709),AD709)</f>
        <v>VYPRODÁNO</v>
      </c>
      <c r="AF709" s="648">
        <f t="shared" ref="AF709" si="2119">IFERROR(IF(AB709=Y709,G709*I709*Y709,0),0)</f>
        <v>0</v>
      </c>
      <c r="AG709" s="649">
        <f t="shared" ref="AG709" si="2120">IF($W$17=$AF$8,AH709*1.23,AF709*1.21)</f>
        <v>0</v>
      </c>
      <c r="AH709" s="650">
        <f t="shared" ref="AH709" si="2121">IFERROR(IF(Y709=AB709,H709*I709*Y709,0),0)</f>
        <v>0</v>
      </c>
      <c r="AI709" s="645">
        <f t="shared" ref="AI709" si="2122">IFERROR(IF(Y709=AB709,(P709*Y709)/1000,1),0)</f>
        <v>0</v>
      </c>
      <c r="AJ709" s="645">
        <f t="shared" ref="AJ709" si="2123">IFERROR(IF(Y709=AB709,N709*Y709,0.1),0)</f>
        <v>0</v>
      </c>
      <c r="AK709" s="645" t="str">
        <f t="shared" ref="AK709" si="2124">IFERROR(IF(Y709=AB709,IF(M709="1.1G",(O709/1000)*Y709,""),""),0)</f>
        <v/>
      </c>
      <c r="AL709" s="645">
        <f t="shared" ref="AL709" si="2125">IFERROR(IF(Y709=AB709,IF(M709="1.3G",(O709/1000)*AB709,""),""),0)</f>
        <v>0</v>
      </c>
      <c r="AM709" s="645" t="str">
        <f t="shared" ref="AM709" si="2126">IFERROR(IF(Y709=AB709,IF(M709="1.4G",(O709/1000)*AB709,""),""),0)</f>
        <v/>
      </c>
      <c r="AN709" s="651">
        <f t="shared" ref="AN709" si="2127">SUM(AK709:AM709)</f>
        <v>0</v>
      </c>
      <c r="AO709" s="623"/>
      <c r="AP709" s="632" t="str">
        <f t="shared" si="2064"/>
        <v/>
      </c>
      <c r="AQ709" s="633" t="str">
        <f>IF(AC709=$V$3,IF(VLOOKUP(C709,[1]List1!$A:$E,5,FALSE)=0,1,VLOOKUP(C709,[1]List1!$A:$E,5,FALSE)),"")</f>
        <v/>
      </c>
      <c r="AR709" s="625" t="str">
        <f t="shared" si="2065"/>
        <v/>
      </c>
      <c r="AS709" s="634" t="str">
        <f t="shared" si="2066"/>
        <v/>
      </c>
      <c r="AT709" s="625" t="str">
        <f t="shared" si="2067"/>
        <v/>
      </c>
      <c r="AU709" s="638" t="e">
        <f t="shared" si="2068"/>
        <v>#N/A</v>
      </c>
      <c r="AV709" s="625" t="e">
        <f t="shared" si="2069"/>
        <v>#N/A</v>
      </c>
      <c r="AX709" s="625">
        <f>IF(AND('General price list'!$J709="F4",'General price list'!$AB709+0&gt;0),1,0)</f>
        <v>0</v>
      </c>
      <c r="AY709" s="625">
        <f t="shared" si="2070"/>
        <v>1</v>
      </c>
      <c r="AZ709" s="625">
        <f t="shared" si="2071"/>
        <v>0</v>
      </c>
    </row>
    <row r="710" spans="1:52" ht="15.75" customHeight="1">
      <c r="A710" s="751" t="str">
        <f>Kat.!C710</f>
        <v xml:space="preserve">           Baterie 35 ran, 45 mm moždíř – 1.3G</v>
      </c>
      <c r="B710" s="751"/>
      <c r="C710" s="751"/>
      <c r="D710" s="751"/>
      <c r="E710" s="751"/>
      <c r="F710" s="751"/>
      <c r="G710" s="751"/>
      <c r="H710" s="751"/>
      <c r="I710" s="752"/>
      <c r="J710" s="752"/>
      <c r="K710" s="752" t="s">
        <v>20</v>
      </c>
      <c r="L710" s="753" t="s">
        <v>20</v>
      </c>
      <c r="M710" s="752"/>
      <c r="N710" s="752"/>
      <c r="O710" s="752"/>
      <c r="P710" s="752"/>
      <c r="Q710" s="752"/>
      <c r="R710" s="752"/>
      <c r="S710" s="752"/>
      <c r="T710" s="752"/>
      <c r="U710" s="752"/>
      <c r="V710" s="752"/>
      <c r="W710" s="752"/>
      <c r="X710" s="752"/>
      <c r="Y710" s="752"/>
      <c r="Z710" s="752" t="s">
        <v>20</v>
      </c>
      <c r="AA710" s="752"/>
      <c r="AB710" s="752"/>
      <c r="AC710" s="754"/>
      <c r="AD710" s="752"/>
      <c r="AE710" s="752"/>
      <c r="AF710" s="752"/>
      <c r="AG710" s="752"/>
      <c r="AH710" s="752"/>
      <c r="AI710" s="752"/>
      <c r="AJ710" s="752"/>
      <c r="AK710" s="752"/>
      <c r="AL710" s="752"/>
      <c r="AM710" s="752"/>
      <c r="AN710" s="752"/>
      <c r="AO710" s="623"/>
      <c r="AP710" s="625" t="str">
        <f t="shared" si="2064"/>
        <v/>
      </c>
      <c r="AQ710" s="625" t="str">
        <f>IF(AC710=$V$3,IF(VLOOKUP(C710,[1]List1!$A:$E,5,FALSE)=0,1,VLOOKUP(C710,[1]List1!$A:$E,5,FALSE)),"")</f>
        <v/>
      </c>
      <c r="AR710" s="629" t="str">
        <f t="shared" si="2065"/>
        <v/>
      </c>
      <c r="AS710" s="630" t="str">
        <f t="shared" si="2066"/>
        <v/>
      </c>
      <c r="AT710" s="625" t="str">
        <f t="shared" si="2067"/>
        <v/>
      </c>
      <c r="AU710" s="625" t="e">
        <f t="shared" si="2068"/>
        <v>#N/A</v>
      </c>
      <c r="AV710" s="625" t="e">
        <f t="shared" si="2069"/>
        <v>#N/A</v>
      </c>
      <c r="AW710" s="631"/>
      <c r="AX710" s="631">
        <f>IF(AND('General price list'!$J710="F4",'General price list'!$AB710+0&gt;0),1,0)</f>
        <v>0</v>
      </c>
      <c r="AY710" s="631">
        <f t="shared" si="2070"/>
        <v>0</v>
      </c>
      <c r="AZ710" s="631">
        <f t="shared" si="2071"/>
        <v>0</v>
      </c>
    </row>
    <row r="711" spans="1:52" ht="15.75" customHeight="1">
      <c r="A711" s="639" t="str">
        <f>Kat.!C711</f>
        <v/>
      </c>
      <c r="B711" s="640">
        <f>IF(AND('General price list'!$J711="F4",$AI$1=FALSE),0,IF(AC711="SKLADEM",1,IF(AC711=$V$3,1,0)))</f>
        <v>1</v>
      </c>
      <c r="C711" s="641" t="s">
        <v>2310</v>
      </c>
      <c r="D711" s="642" t="s">
        <v>2311</v>
      </c>
      <c r="E711" s="643" t="s">
        <v>12747</v>
      </c>
      <c r="F711" s="771">
        <f>IFERROR(VLOOKUP(C711,[2]List1!$A:$D,3,FALSE),"NEUVEDENO!")</f>
        <v>1942</v>
      </c>
      <c r="G711" s="768">
        <f t="shared" ref="G711:G712" si="2128">IF($W$17=$AF$8,ROUND((F711)/$F$17,2),(F711)*$B$19)</f>
        <v>1942</v>
      </c>
      <c r="H711" s="765">
        <f t="shared" ref="H711:H712" si="2129">IF($W$17=$AF$8,G711*$B$19,G711/$F$17)</f>
        <v>82.493320249943721</v>
      </c>
      <c r="I711" s="644">
        <f>IFERROR(VLOOKUP(C711,[2]List1!$A:$D,4,FALSE),"NEUVEDENO!")</f>
        <v>2</v>
      </c>
      <c r="J711" s="733" t="s">
        <v>113</v>
      </c>
      <c r="K711" s="645" t="s">
        <v>20</v>
      </c>
      <c r="L711" s="645" t="s">
        <v>20</v>
      </c>
      <c r="M711" s="645" t="s">
        <v>114</v>
      </c>
      <c r="N711" s="645">
        <f>IFERROR(VLOOKUP(C711,[3]List1!$A:$D,4,FALSE),"N/A!")</f>
        <v>6.8475999999999995E-2</v>
      </c>
      <c r="O711" s="645">
        <f>IFERROR(VLOOKUP(C711,[3]List1!$A:$D,3,FALSE),"N/A!")</f>
        <v>2000</v>
      </c>
      <c r="P711" s="645">
        <f>IFERROR(VLOOKUP(C711,[3]List1!$A:$D,2,FALSE),"N/A!")</f>
        <v>27000</v>
      </c>
      <c r="Q711" s="645" t="s">
        <v>11795</v>
      </c>
      <c r="R711" s="645"/>
      <c r="S711" s="645" t="str">
        <f>IF($W$17=$AF$1,"červená fólie",IFERROR(VLOOKUP("červená fólie",Jazyky_ceník!$A:$Q,MATCH($W$17,Jazyky_ceník!$A$1:$Q$1,0),FALSE),"!!!"))</f>
        <v>červená fólie</v>
      </c>
      <c r="T711" s="645">
        <v>50</v>
      </c>
      <c r="U711" s="645">
        <v>60</v>
      </c>
      <c r="V711" s="645">
        <v>37</v>
      </c>
      <c r="W711" s="645" t="str">
        <f>IFERROR(IF(AND($AB711&gt;=0.1*$AA711,MOD($AB711,$AA711)&gt;=($AA711-(0.1*$AA711))),IF($W$17=$AF$1,"Zvažte možnost doobjednání ještě "&amp;Tabulka1[[#This Row],[VKPAL]]-MOD(AB711,AA711)&amp;" VK do plné palety.",VLOOKUP("Zvažte možnost doobjednání ještě ",Jazyky_ceník!A:Q,MATCH($W$17,Jazyky_ceník!$A$1:$Q$1,0),FALSE)&amp;Tabulka1[[#This Row],[VKPAL]]-MOD(AB711,AA711)&amp;VLOOKUP(" VK do plné palety.",Jazyky_ceník!A:Q,MATCH($W$17,Jazyky_ceník!$A$1:$Q$1,0),FALSE)),IFERROR(IF(AND(NOT(MOD($AB711,$AA711)=0),$AB711&gt;=0.9*$AA711,MOD($AB711,$AA711)&lt;=0.1*$AA711),IF($W$17=$AF$1,"Zvažte možnost optimalizace objednaného množství podle počtu VK na paletě ==&gt;",VLOOKUP("Zvažte možnost optimalizace objednaného množství podle počtu VK na paletě ==&gt;",Jazyky_ceník!A:Q,MATCH($W$17,Jazyky_ceník!$A$1:$Q$1,0),FALSE)),VLOOKUP('General price list'!$C711,Popisy!A:M,MATCH($W$17,Popisy!$A$7:$M$7,0),FALSE)),"---------------")),IFERROR(VLOOKUP('General price list'!$C711,Popisy!A:M,MATCH($W$17,Popisy!$A$7:$M$7,0),FALSE),"---------------"))</f>
        <v>7 různobarevných efektů</v>
      </c>
      <c r="X711" s="645" t="str">
        <f t="shared" ref="X711:X712" si="2130">IF(AB711&lt;0.0001,"",AB711)</f>
        <v/>
      </c>
      <c r="Y711" s="645" t="str">
        <f t="shared" ref="Y711:Y712" si="2131">IF($AL$3=2,IF(OR(AB711&lt;&gt;"",AB711&lt;&gt;0),AU711,""),IF(C711="","",IF(AB711&lt;0.0001,"",IF(B711=0,"",IF(AQ711&lt;AB711,"",AB711)))))</f>
        <v/>
      </c>
      <c r="Z711" s="645" t="str">
        <f>HYPERLINK("https://www.klasekpyrotechnics.cz/c3545mf")</f>
        <v>https://www.klasekpyrotechnics.cz/c3545mf</v>
      </c>
      <c r="AA711" s="645">
        <f>IFERROR(IF(VLOOKUP(C711,[4]List1!$A:$D,4,FALSE)=0,"",VLOOKUP(C711,[4]List1!$A:$D,4,FALSE)),"")</f>
        <v>20</v>
      </c>
      <c r="AB711" s="646"/>
      <c r="AC711" s="647" t="str">
        <f>IFERROR(IF(VLOOKUP(C711,[1]List1!$A:$D,2,FALSE)="VYPRODÁNO",$V$9,IF(VLOOKUP(C711,[1]List1!$A:$D,2,FALSE)="DOCHÁZÍ",$V$3,VLOOKUP(C711,[1]List1!$A:$D,2,FALSE))),"OFFLINE!")</f>
        <v>SKLADEM</v>
      </c>
      <c r="AD711" s="647" t="str">
        <f ca="1">IF(AP711="NE",$V$10,IF(AC711=$V$3,IF(AQ711&lt;1,$V$8,$V$2&amp;" "&amp;AQ711&amp;" "&amp;$V$1),IF(AC711="SKLADEM",$V$6,IFERROR(IF(OR(AC711-TODAY()&gt;45,VLOOKUP(C711,[1]List1!$A:$E,4,FALSE)=0),AC711,DAY(AC711)&amp;"."&amp;MONTH(AC711)&amp;"."&amp;YEAR(AC711)&amp;" "&amp;$V$4&amp;VLOOKUP(C711,[1]List1!$A:$E,4,FALSE)&amp;" "&amp;$V$1),AC711))))</f>
        <v>SKLADEM</v>
      </c>
      <c r="AE711" s="645" t="str">
        <f t="shared" ref="AE711:AE712" ca="1" si="2132">IFERROR(IF(AV711&lt;&gt;"",AV711,AD711),AD711)</f>
        <v>SKLADEM</v>
      </c>
      <c r="AF711" s="648">
        <f t="shared" ref="AF711:AF712" si="2133">IFERROR(IF(AB711=Y711,G711*I711*Y711,0),0)</f>
        <v>0</v>
      </c>
      <c r="AG711" s="649">
        <f t="shared" ref="AG711:AG712" si="2134">IF($W$17=$AF$8,AH711*1.23,AF711*1.21)</f>
        <v>0</v>
      </c>
      <c r="AH711" s="650">
        <f t="shared" ref="AH711:AH712" si="2135">IFERROR(IF(Y711=AB711,H711*I711*Y711,0),0)</f>
        <v>0</v>
      </c>
      <c r="AI711" s="645">
        <f t="shared" ref="AI711:AI712" si="2136">IFERROR(IF(Y711=AB711,(P711*Y711)/1000,1),0)</f>
        <v>0</v>
      </c>
      <c r="AJ711" s="645">
        <f t="shared" ref="AJ711:AJ712" si="2137">IFERROR(IF(Y711=AB711,N711*Y711,0.1),0)</f>
        <v>0</v>
      </c>
      <c r="AK711" s="645" t="str">
        <f t="shared" ref="AK711:AK712" si="2138">IFERROR(IF(Y711=AB711,IF(M711="1.1G",(O711/1000)*Y711,""),""),0)</f>
        <v/>
      </c>
      <c r="AL711" s="645">
        <f t="shared" ref="AL711:AL712" si="2139">IFERROR(IF(Y711=AB711,IF(M711="1.3G",(O711/1000)*AB711,""),""),0)</f>
        <v>0</v>
      </c>
      <c r="AM711" s="645" t="str">
        <f t="shared" ref="AM711:AM712" si="2140">IFERROR(IF(Y711=AB711,IF(M711="1.4G",(O711/1000)*AB711,""),""),0)</f>
        <v/>
      </c>
      <c r="AN711" s="651">
        <f t="shared" ref="AN711:AN712" si="2141">SUM(AK711:AM711)</f>
        <v>0</v>
      </c>
      <c r="AO711" s="623"/>
      <c r="AP711" s="625" t="str">
        <f t="shared" si="2064"/>
        <v/>
      </c>
      <c r="AQ711" s="625" t="str">
        <f>IF(AC711=$V$3,IF(VLOOKUP(C711,[1]List1!$A:$E,5,FALSE)=0,1,VLOOKUP(C711,[1]List1!$A:$E,5,FALSE)),"")</f>
        <v/>
      </c>
      <c r="AR711" s="629" t="str">
        <f t="shared" si="2065"/>
        <v/>
      </c>
      <c r="AS711" s="630" t="str">
        <f t="shared" si="2066"/>
        <v/>
      </c>
      <c r="AT711" s="625" t="str">
        <f t="shared" si="2067"/>
        <v/>
      </c>
      <c r="AU711" s="625" t="e">
        <f t="shared" si="2068"/>
        <v>#N/A</v>
      </c>
      <c r="AV711" s="625" t="e">
        <f t="shared" si="2069"/>
        <v>#N/A</v>
      </c>
      <c r="AW711" s="631"/>
      <c r="AX711" s="631">
        <f>IF(AND('General price list'!$J711="F4",'General price list'!$AB711+0&gt;0),1,0)</f>
        <v>0</v>
      </c>
      <c r="AY711" s="631">
        <f t="shared" si="2070"/>
        <v>1</v>
      </c>
      <c r="AZ711" s="631">
        <f t="shared" si="2071"/>
        <v>0</v>
      </c>
    </row>
    <row r="712" spans="1:52" ht="15.75" customHeight="1">
      <c r="A712" s="621" t="str">
        <f>Kat.!C712</f>
        <v/>
      </c>
      <c r="B712" s="566">
        <f>IF(AND('General price list'!$J712="F4",$AI$1=FALSE),0,IF(AC712="SKLADEM",1,IF(AC712=$V$3,1,0)))</f>
        <v>1</v>
      </c>
      <c r="C712" s="567" t="s">
        <v>2312</v>
      </c>
      <c r="D712" s="568" t="s">
        <v>12563</v>
      </c>
      <c r="E712" s="763" t="s">
        <v>12747</v>
      </c>
      <c r="F712" s="772">
        <f>IFERROR(VLOOKUP(C712,[2]List1!$A:$D,3,FALSE),"NEUVEDENO!")</f>
        <v>1942</v>
      </c>
      <c r="G712" s="769">
        <f t="shared" si="2128"/>
        <v>1942</v>
      </c>
      <c r="H712" s="766">
        <f t="shared" si="2129"/>
        <v>82.493320249943721</v>
      </c>
      <c r="I712" s="764">
        <f>IFERROR(VLOOKUP(C712,[2]List1!$A:$D,4,FALSE),"NEUVEDENO!")</f>
        <v>2</v>
      </c>
      <c r="J712" s="732" t="s">
        <v>113</v>
      </c>
      <c r="K712" s="569" t="s">
        <v>20</v>
      </c>
      <c r="L712" s="569" t="s">
        <v>20</v>
      </c>
      <c r="M712" s="569" t="s">
        <v>114</v>
      </c>
      <c r="N712" s="569">
        <f>IFERROR(VLOOKUP(C712,[3]List1!$A:$D,4,FALSE),"N/A!")</f>
        <v>6.8475999999999995E-2</v>
      </c>
      <c r="O712" s="569">
        <f>IFERROR(VLOOKUP(C712,[3]List1!$A:$D,3,FALSE),"N/A!")</f>
        <v>2000</v>
      </c>
      <c r="P712" s="569">
        <f>IFERROR(VLOOKUP(C712,[3]List1!$A:$D,2,FALSE),"N/A!")</f>
        <v>27000</v>
      </c>
      <c r="Q712" s="569" t="s">
        <v>11795</v>
      </c>
      <c r="R712" s="569"/>
      <c r="S712" s="569" t="str">
        <f>IF($W$17=$AF$1,"design",IFERROR(VLOOKUP("design",Jazyky_ceník!$A:$Q,MATCH($W$17,Jazyky_ceník!$A$1:$Q$1,0),FALSE),"!!!"))</f>
        <v>design</v>
      </c>
      <c r="T712" s="569">
        <v>50</v>
      </c>
      <c r="U712" s="569">
        <v>60</v>
      </c>
      <c r="V712" s="569">
        <v>37</v>
      </c>
      <c r="W712" s="569" t="str">
        <f>IFERROR(IF(AND($AB712&gt;=0.1*$AA712,MOD($AB712,$AA712)&gt;=($AA712-(0.1*$AA712))),IF($W$17=$AF$1,"Zvažte možnost doobjednání ještě "&amp;Tabulka1[[#This Row],[VKPAL]]-MOD(AB712,AA712)&amp;" VK do plné palety.",VLOOKUP("Zvažte možnost doobjednání ještě ",Jazyky_ceník!A:Q,MATCH($W$17,Jazyky_ceník!$A$1:$Q$1,0),FALSE)&amp;Tabulka1[[#This Row],[VKPAL]]-MOD(AB712,AA712)&amp;VLOOKUP(" VK do plné palety.",Jazyky_ceník!A:Q,MATCH($W$17,Jazyky_ceník!$A$1:$Q$1,0),FALSE)),IFERROR(IF(AND(NOT(MOD($AB712,$AA712)=0),$AB712&gt;=0.9*$AA712,MOD($AB712,$AA712)&lt;=0.1*$AA712),IF($W$17=$AF$1,"Zvažte možnost optimalizace objednaného množství podle počtu VK na paletě ==&gt;",VLOOKUP("Zvažte možnost optimalizace objednaného množství podle počtu VK na paletě ==&gt;",Jazyky_ceník!A:Q,MATCH($W$17,Jazyky_ceník!$A$1:$Q$1,0),FALSE)),VLOOKUP('General price list'!$C712,Popisy!A:M,MATCH($W$17,Popisy!$A$7:$M$7,0),FALSE)),"---------------")),IFERROR(VLOOKUP('General price list'!$C712,Popisy!A:M,MATCH($W$17,Popisy!$A$7:$M$7,0),FALSE),"---------------"))</f>
        <v>7 různobarevných efektů</v>
      </c>
      <c r="X712" s="569" t="str">
        <f t="shared" si="2130"/>
        <v/>
      </c>
      <c r="Y712" s="569" t="str">
        <f t="shared" si="2131"/>
        <v/>
      </c>
      <c r="Z712" s="569" t="str">
        <f>HYPERLINK("https://www.klasekpyrotechnics.cz/c3545no")</f>
        <v>https://www.klasekpyrotechnics.cz/c3545no</v>
      </c>
      <c r="AA712" s="569">
        <f>IFERROR(IF(VLOOKUP(C712,[4]List1!$A:$D,4,FALSE)=0,"",VLOOKUP(C712,[4]List1!$A:$D,4,FALSE)),"")</f>
        <v>20</v>
      </c>
      <c r="AB712" s="565"/>
      <c r="AC712" s="570" t="str">
        <f>IFERROR(IF(VLOOKUP(C712,[1]List1!$A:$D,2,FALSE)="VYPRODÁNO",$V$9,IF(VLOOKUP(C712,[1]List1!$A:$D,2,FALSE)="DOCHÁZÍ",$V$3,VLOOKUP(C712,[1]List1!$A:$D,2,FALSE))),"OFFLINE!")</f>
        <v>SKLADEM</v>
      </c>
      <c r="AD712" s="570" t="str">
        <f ca="1">IF(AP712="NE",$V$10,IF(AC712=$V$3,IF(AQ712&lt;1,$V$8,$V$2&amp;" "&amp;AQ712&amp;" "&amp;$V$1),IF(AC712="SKLADEM",$V$6,IFERROR(IF(OR(AC712-TODAY()&gt;45,VLOOKUP(C712,[1]List1!$A:$E,4,FALSE)=0),AC712,DAY(AC712)&amp;"."&amp;MONTH(AC712)&amp;"."&amp;YEAR(AC712)&amp;" "&amp;$V$4&amp;VLOOKUP(C712,[1]List1!$A:$E,4,FALSE)&amp;" "&amp;$V$1),AC712))))</f>
        <v>SKLADEM</v>
      </c>
      <c r="AE712" s="581" t="str">
        <f t="shared" ca="1" si="2132"/>
        <v>SKLADEM</v>
      </c>
      <c r="AF712" s="584">
        <f t="shared" si="2133"/>
        <v>0</v>
      </c>
      <c r="AG712" s="585">
        <f t="shared" si="2134"/>
        <v>0</v>
      </c>
      <c r="AH712" s="583">
        <f t="shared" si="2135"/>
        <v>0</v>
      </c>
      <c r="AI712" s="582">
        <f t="shared" si="2136"/>
        <v>0</v>
      </c>
      <c r="AJ712" s="569">
        <f t="shared" si="2137"/>
        <v>0</v>
      </c>
      <c r="AK712" s="569" t="str">
        <f t="shared" si="2138"/>
        <v/>
      </c>
      <c r="AL712" s="569">
        <f t="shared" si="2139"/>
        <v>0</v>
      </c>
      <c r="AM712" s="569" t="str">
        <f t="shared" si="2140"/>
        <v/>
      </c>
      <c r="AN712" s="581">
        <f t="shared" si="2141"/>
        <v>0</v>
      </c>
      <c r="AO712" s="623"/>
      <c r="AP712" s="625" t="str">
        <f t="shared" si="2064"/>
        <v/>
      </c>
      <c r="AQ712" s="625" t="str">
        <f>IF(AC712=$V$3,IF(VLOOKUP(C712,[1]List1!$A:$E,5,FALSE)=0,1,VLOOKUP(C712,[1]List1!$A:$E,5,FALSE)),"")</f>
        <v/>
      </c>
      <c r="AR712" s="629" t="str">
        <f t="shared" si="2065"/>
        <v/>
      </c>
      <c r="AS712" s="630" t="str">
        <f t="shared" si="2066"/>
        <v/>
      </c>
      <c r="AT712" s="625" t="str">
        <f t="shared" si="2067"/>
        <v/>
      </c>
      <c r="AU712" s="625" t="e">
        <f t="shared" si="2068"/>
        <v>#N/A</v>
      </c>
      <c r="AV712" s="625" t="e">
        <f t="shared" si="2069"/>
        <v>#N/A</v>
      </c>
      <c r="AW712" s="631"/>
      <c r="AX712" s="631">
        <f>IF(AND('General price list'!$J712="F4",'General price list'!$AB712+0&gt;0),1,0)</f>
        <v>0</v>
      </c>
      <c r="AY712" s="631">
        <f t="shared" si="2070"/>
        <v>1</v>
      </c>
      <c r="AZ712" s="631">
        <f t="shared" si="2071"/>
        <v>0</v>
      </c>
    </row>
    <row r="713" spans="1:52" ht="15.75" customHeight="1">
      <c r="A713" s="751" t="str">
        <f>Kat.!C713</f>
        <v xml:space="preserve">           Baterie 36 ran, 45 mm moždíř – 1.3G</v>
      </c>
      <c r="B713" s="751"/>
      <c r="C713" s="751"/>
      <c r="D713" s="751"/>
      <c r="E713" s="751"/>
      <c r="F713" s="751"/>
      <c r="G713" s="751"/>
      <c r="H713" s="751"/>
      <c r="I713" s="752"/>
      <c r="J713" s="752"/>
      <c r="K713" s="752" t="s">
        <v>20</v>
      </c>
      <c r="L713" s="753" t="s">
        <v>20</v>
      </c>
      <c r="M713" s="752"/>
      <c r="N713" s="752"/>
      <c r="O713" s="752"/>
      <c r="P713" s="752"/>
      <c r="Q713" s="752"/>
      <c r="R713" s="752"/>
      <c r="S713" s="752"/>
      <c r="T713" s="752"/>
      <c r="U713" s="752"/>
      <c r="V713" s="752"/>
      <c r="W713" s="752"/>
      <c r="X713" s="752"/>
      <c r="Y713" s="752"/>
      <c r="Z713" s="752" t="s">
        <v>20</v>
      </c>
      <c r="AA713" s="752"/>
      <c r="AB713" s="752"/>
      <c r="AC713" s="754"/>
      <c r="AD713" s="752"/>
      <c r="AE713" s="752"/>
      <c r="AF713" s="752"/>
      <c r="AG713" s="752"/>
      <c r="AH713" s="752"/>
      <c r="AI713" s="752"/>
      <c r="AJ713" s="752"/>
      <c r="AK713" s="752"/>
      <c r="AL713" s="752"/>
      <c r="AM713" s="752"/>
      <c r="AN713" s="752"/>
      <c r="AO713" s="623"/>
      <c r="AP713" s="625" t="str">
        <f t="shared" si="2064"/>
        <v/>
      </c>
      <c r="AQ713" s="625" t="str">
        <f>IF(AC713=$V$3,IF(VLOOKUP(C713,[1]List1!$A:$E,5,FALSE)=0,1,VLOOKUP(C713,[1]List1!$A:$E,5,FALSE)),"")</f>
        <v/>
      </c>
      <c r="AR713" s="629" t="str">
        <f t="shared" si="2065"/>
        <v/>
      </c>
      <c r="AS713" s="630" t="str">
        <f t="shared" si="2066"/>
        <v/>
      </c>
      <c r="AT713" s="625" t="str">
        <f t="shared" si="2067"/>
        <v/>
      </c>
      <c r="AU713" s="625" t="e">
        <f t="shared" si="2068"/>
        <v>#N/A</v>
      </c>
      <c r="AV713" s="625" t="e">
        <f t="shared" si="2069"/>
        <v>#N/A</v>
      </c>
      <c r="AW713" s="631"/>
      <c r="AX713" s="631">
        <f>IF(AND('General price list'!$J713="F4",'General price list'!$AB713+0&gt;0),1,0)</f>
        <v>0</v>
      </c>
      <c r="AY713" s="631">
        <f t="shared" si="2070"/>
        <v>0</v>
      </c>
      <c r="AZ713" s="631">
        <f t="shared" si="2071"/>
        <v>0</v>
      </c>
    </row>
    <row r="714" spans="1:52" ht="15.75" customHeight="1">
      <c r="A714" s="639" t="str">
        <f>Kat.!C714</f>
        <v/>
      </c>
      <c r="B714" s="640">
        <f>IF(AND('General price list'!$J714="F4",$AI$1=FALSE),0,IF(AC714="SKLADEM",1,IF(AC714=$V$3,1,0)))</f>
        <v>1</v>
      </c>
      <c r="C714" s="641" t="s">
        <v>2313</v>
      </c>
      <c r="D714" s="642" t="s">
        <v>1429</v>
      </c>
      <c r="E714" s="643" t="s">
        <v>12747</v>
      </c>
      <c r="F714" s="771">
        <f>IFERROR(VLOOKUP(C714,[2]List1!$A:$D,3,FALSE),"NEUVEDENO!")</f>
        <v>1970</v>
      </c>
      <c r="G714" s="768">
        <f t="shared" ref="G714:G715" si="2142">IF($W$17=$AF$8,ROUND((F714)/$F$17,2),(F714)*$B$19)</f>
        <v>1970</v>
      </c>
      <c r="H714" s="765">
        <f t="shared" ref="H714:H715" si="2143">IF($W$17=$AF$8,G714*$B$19,G714/$F$17)</f>
        <v>83.682719306070609</v>
      </c>
      <c r="I714" s="644">
        <f>IFERROR(VLOOKUP(C714,[2]List1!$A:$D,4,FALSE),"NEUVEDENO!")</f>
        <v>2</v>
      </c>
      <c r="J714" s="733" t="s">
        <v>113</v>
      </c>
      <c r="K714" s="645" t="s">
        <v>20</v>
      </c>
      <c r="L714" s="645" t="s">
        <v>20</v>
      </c>
      <c r="M714" s="645" t="s">
        <v>114</v>
      </c>
      <c r="N714" s="645">
        <f>IFERROR(VLOOKUP(C714,[3]List1!$A:$D,4,FALSE),"N/A!")</f>
        <v>6.8447999999999995E-2</v>
      </c>
      <c r="O714" s="645">
        <f>IFERROR(VLOOKUP(C714,[3]List1!$A:$D,3,FALSE),"N/A!")</f>
        <v>2000</v>
      </c>
      <c r="P714" s="645">
        <f>IFERROR(VLOOKUP(C714,[3]List1!$A:$D,2,FALSE),"N/A!")</f>
        <v>27800</v>
      </c>
      <c r="Q714" s="645" t="s">
        <v>11324</v>
      </c>
      <c r="R714" s="645"/>
      <c r="S714" s="645" t="str">
        <f>IF($W$17=$AF$1,"červená fólie",IFERROR(VLOOKUP("červená fólie",Jazyky_ceník!$A:$Q,MATCH($W$17,Jazyky_ceník!$A$1:$Q$1,0),FALSE),"!!!"))</f>
        <v>červená fólie</v>
      </c>
      <c r="T714" s="645">
        <v>50</v>
      </c>
      <c r="U714" s="645">
        <v>60</v>
      </c>
      <c r="V714" s="645">
        <v>37</v>
      </c>
      <c r="W714" s="645" t="str">
        <f>IFERROR(IF(AND($AB714&gt;=0.1*$AA714,MOD($AB714,$AA714)&gt;=($AA714-(0.1*$AA714))),IF($W$17=$AF$1,"Zvažte možnost doobjednání ještě "&amp;Tabulka1[[#This Row],[VKPAL]]-MOD(AB714,AA714)&amp;" VK do plné palety.",VLOOKUP("Zvažte možnost doobjednání ještě ",Jazyky_ceník!A:Q,MATCH($W$17,Jazyky_ceník!$A$1:$Q$1,0),FALSE)&amp;Tabulka1[[#This Row],[VKPAL]]-MOD(AB714,AA714)&amp;VLOOKUP(" VK do plné palety.",Jazyky_ceník!A:Q,MATCH($W$17,Jazyky_ceník!$A$1:$Q$1,0),FALSE)),IFERROR(IF(AND(NOT(MOD($AB714,$AA714)=0),$AB714&gt;=0.9*$AA714,MOD($AB714,$AA714)&lt;=0.1*$AA714),IF($W$17=$AF$1,"Zvažte možnost optimalizace objednaného množství podle počtu VK na paletě ==&gt;",VLOOKUP("Zvažte možnost optimalizace objednaného množství podle počtu VK na paletě ==&gt;",Jazyky_ceník!A:Q,MATCH($W$17,Jazyky_ceník!$A$1:$Q$1,0),FALSE)),VLOOKUP('General price list'!$C714,Popisy!A:M,MATCH($W$17,Popisy!$A$7:$M$7,0),FALSE)),"---------------")),IFERROR(VLOOKUP('General price list'!$C714,Popisy!A:M,MATCH($W$17,Popisy!$A$7:$M$7,0),FALSE),"---------------"))</f>
        <v>6 různobarevných efektů</v>
      </c>
      <c r="X714" s="645" t="str">
        <f t="shared" ref="X714:X715" si="2144">IF(AB714&lt;0.0001,"",AB714)</f>
        <v/>
      </c>
      <c r="Y714" s="645" t="str">
        <f t="shared" ref="Y714:Y715" si="2145">IF($AL$3=2,IF(OR(AB714&lt;&gt;"",AB714&lt;&gt;0),AU714,""),IF(C714="","",IF(AB714&lt;0.0001,"",IF(B714=0,"",IF(AQ714&lt;AB714,"",AB714)))))</f>
        <v/>
      </c>
      <c r="Z714" s="645" t="str">
        <f>HYPERLINK("https://www.klasekpyrotechnics.cz/c3645ba")</f>
        <v>https://www.klasekpyrotechnics.cz/c3645ba</v>
      </c>
      <c r="AA714" s="645">
        <f>IFERROR(IF(VLOOKUP(C714,[4]List1!$A:$D,4,FALSE)=0,"",VLOOKUP(C714,[4]List1!$A:$D,4,FALSE)),"")</f>
        <v>15</v>
      </c>
      <c r="AB714" s="646"/>
      <c r="AC714" s="647" t="str">
        <f>IFERROR(IF(VLOOKUP(C714,[1]List1!$A:$D,2,FALSE)="VYPRODÁNO",$V$9,IF(VLOOKUP(C714,[1]List1!$A:$D,2,FALSE)="DOCHÁZÍ",$V$3,VLOOKUP(C714,[1]List1!$A:$D,2,FALSE))),"OFFLINE!")</f>
        <v>SKLADEM</v>
      </c>
      <c r="AD714" s="647" t="str">
        <f ca="1">IF(AP714="NE",$V$10,IF(AC714=$V$3,IF(AQ714&lt;1,$V$8,$V$2&amp;" "&amp;AQ714&amp;" "&amp;$V$1),IF(AC714="SKLADEM",$V$6,IFERROR(IF(OR(AC714-TODAY()&gt;45,VLOOKUP(C714,[1]List1!$A:$E,4,FALSE)=0),AC714,DAY(AC714)&amp;"."&amp;MONTH(AC714)&amp;"."&amp;YEAR(AC714)&amp;" "&amp;$V$4&amp;VLOOKUP(C714,[1]List1!$A:$E,4,FALSE)&amp;" "&amp;$V$1),AC714))))</f>
        <v>SKLADEM</v>
      </c>
      <c r="AE714" s="645" t="str">
        <f t="shared" ref="AE714:AE715" ca="1" si="2146">IFERROR(IF(AV714&lt;&gt;"",AV714,AD714),AD714)</f>
        <v>SKLADEM</v>
      </c>
      <c r="AF714" s="648">
        <f t="shared" ref="AF714:AF715" si="2147">IFERROR(IF(AB714=Y714,G714*I714*Y714,0),0)</f>
        <v>0</v>
      </c>
      <c r="AG714" s="649">
        <f t="shared" ref="AG714:AG715" si="2148">IF($W$17=$AF$8,AH714*1.23,AF714*1.21)</f>
        <v>0</v>
      </c>
      <c r="AH714" s="650">
        <f t="shared" ref="AH714:AH715" si="2149">IFERROR(IF(Y714=AB714,H714*I714*Y714,0),0)</f>
        <v>0</v>
      </c>
      <c r="AI714" s="645">
        <f t="shared" ref="AI714:AI715" si="2150">IFERROR(IF(Y714=AB714,(P714*Y714)/1000,1),0)</f>
        <v>0</v>
      </c>
      <c r="AJ714" s="645">
        <f t="shared" ref="AJ714:AJ715" si="2151">IFERROR(IF(Y714=AB714,N714*Y714,0.1),0)</f>
        <v>0</v>
      </c>
      <c r="AK714" s="645" t="str">
        <f t="shared" ref="AK714:AK715" si="2152">IFERROR(IF(Y714=AB714,IF(M714="1.1G",(O714/1000)*Y714,""),""),0)</f>
        <v/>
      </c>
      <c r="AL714" s="645">
        <f t="shared" ref="AL714:AL715" si="2153">IFERROR(IF(Y714=AB714,IF(M714="1.3G",(O714/1000)*AB714,""),""),0)</f>
        <v>0</v>
      </c>
      <c r="AM714" s="645" t="str">
        <f t="shared" ref="AM714:AM715" si="2154">IFERROR(IF(Y714=AB714,IF(M714="1.4G",(O714/1000)*AB714,""),""),0)</f>
        <v/>
      </c>
      <c r="AN714" s="651">
        <f t="shared" ref="AN714:AN715" si="2155">SUM(AK714:AM714)</f>
        <v>0</v>
      </c>
      <c r="AO714" s="623"/>
      <c r="AP714" s="625" t="str">
        <f t="shared" si="2064"/>
        <v/>
      </c>
      <c r="AQ714" s="625" t="str">
        <f>IF(AC714=$V$3,IF(VLOOKUP(C714,[1]List1!$A:$E,5,FALSE)=0,1,VLOOKUP(C714,[1]List1!$A:$E,5,FALSE)),"")</f>
        <v/>
      </c>
      <c r="AR714" s="629" t="str">
        <f t="shared" si="2065"/>
        <v/>
      </c>
      <c r="AS714" s="630" t="str">
        <f t="shared" si="2066"/>
        <v/>
      </c>
      <c r="AT714" s="625" t="str">
        <f t="shared" si="2067"/>
        <v/>
      </c>
      <c r="AU714" s="625" t="e">
        <f t="shared" si="2068"/>
        <v>#N/A</v>
      </c>
      <c r="AV714" s="625" t="e">
        <f t="shared" si="2069"/>
        <v>#N/A</v>
      </c>
      <c r="AW714" s="631"/>
      <c r="AX714" s="631">
        <f>IF(AND('General price list'!$J714="F4",'General price list'!$AB714+0&gt;0),1,0)</f>
        <v>0</v>
      </c>
      <c r="AY714" s="631">
        <f t="shared" si="2070"/>
        <v>1</v>
      </c>
      <c r="AZ714" s="631">
        <f t="shared" si="2071"/>
        <v>0</v>
      </c>
    </row>
    <row r="715" spans="1:52" ht="15.75" customHeight="1">
      <c r="A715" s="621" t="str">
        <f>Kat.!C715</f>
        <v/>
      </c>
      <c r="B715" s="566">
        <f>IF(AND('General price list'!$J715="F4",$AI$1=FALSE),0,IF(AC715="SKLADEM",1,IF(AC715=$V$3,1,0)))</f>
        <v>1</v>
      </c>
      <c r="C715" s="567" t="s">
        <v>2314</v>
      </c>
      <c r="D715" s="568" t="s">
        <v>11739</v>
      </c>
      <c r="E715" s="763" t="s">
        <v>12747</v>
      </c>
      <c r="F715" s="772">
        <f>IFERROR(VLOOKUP(C715,[2]List1!$A:$D,3,FALSE),"NEUVEDENO!")</f>
        <v>1970</v>
      </c>
      <c r="G715" s="769">
        <f t="shared" si="2142"/>
        <v>1970</v>
      </c>
      <c r="H715" s="766">
        <f t="shared" si="2143"/>
        <v>83.682719306070609</v>
      </c>
      <c r="I715" s="764">
        <f>IFERROR(VLOOKUP(C715,[2]List1!$A:$D,4,FALSE),"NEUVEDENO!")</f>
        <v>2</v>
      </c>
      <c r="J715" s="732" t="s">
        <v>113</v>
      </c>
      <c r="K715" s="569" t="s">
        <v>20</v>
      </c>
      <c r="L715" s="569" t="s">
        <v>20</v>
      </c>
      <c r="M715" s="569" t="s">
        <v>114</v>
      </c>
      <c r="N715" s="569">
        <f>IFERROR(VLOOKUP(C715,[3]List1!$A:$D,4,FALSE),"N/A!")</f>
        <v>6.8447999999999995E-2</v>
      </c>
      <c r="O715" s="569">
        <f>IFERROR(VLOOKUP(C715,[3]List1!$A:$D,3,FALSE),"N/A!")</f>
        <v>2000</v>
      </c>
      <c r="P715" s="569">
        <f>IFERROR(VLOOKUP(C715,[3]List1!$A:$D,2,FALSE),"N/A!")</f>
        <v>27800</v>
      </c>
      <c r="Q715" s="569" t="s">
        <v>11324</v>
      </c>
      <c r="R715" s="569"/>
      <c r="S715" s="569" t="str">
        <f>IF($W$17=$AF$1,"červená fólie",IFERROR(VLOOKUP("červená fólie",Jazyky_ceník!$A:$Q,MATCH($W$17,Jazyky_ceník!$A$1:$Q$1,0),FALSE),"!!!"))</f>
        <v>červená fólie</v>
      </c>
      <c r="T715" s="569">
        <v>50</v>
      </c>
      <c r="U715" s="569">
        <v>60</v>
      </c>
      <c r="V715" s="569">
        <v>37</v>
      </c>
      <c r="W715" s="569" t="str">
        <f>IFERROR(IF(AND($AB715&gt;=0.1*$AA715,MOD($AB715,$AA715)&gt;=($AA715-(0.1*$AA715))),IF($W$17=$AF$1,"Zvažte možnost doobjednání ještě "&amp;Tabulka1[[#This Row],[VKPAL]]-MOD(AB715,AA715)&amp;" VK do plné palety.",VLOOKUP("Zvažte možnost doobjednání ještě ",Jazyky_ceník!A:Q,MATCH($W$17,Jazyky_ceník!$A$1:$Q$1,0),FALSE)&amp;Tabulka1[[#This Row],[VKPAL]]-MOD(AB715,AA715)&amp;VLOOKUP(" VK do plné palety.",Jazyky_ceník!A:Q,MATCH($W$17,Jazyky_ceník!$A$1:$Q$1,0),FALSE)),IFERROR(IF(AND(NOT(MOD($AB715,$AA715)=0),$AB715&gt;=0.9*$AA715,MOD($AB715,$AA715)&lt;=0.1*$AA715),IF($W$17=$AF$1,"Zvažte možnost optimalizace objednaného množství podle počtu VK na paletě ==&gt;",VLOOKUP("Zvažte možnost optimalizace objednaného množství podle počtu VK na paletě ==&gt;",Jazyky_ceník!A:Q,MATCH($W$17,Jazyky_ceník!$A$1:$Q$1,0),FALSE)),VLOOKUP('General price list'!$C715,Popisy!A:M,MATCH($W$17,Popisy!$A$7:$M$7,0),FALSE)),"---------------")),IFERROR(VLOOKUP('General price list'!$C715,Popisy!A:M,MATCH($W$17,Popisy!$A$7:$M$7,0),FALSE),"---------------"))</f>
        <v>6 různobarevných efektů</v>
      </c>
      <c r="X715" s="569" t="str">
        <f t="shared" si="2144"/>
        <v/>
      </c>
      <c r="Y715" s="569" t="str">
        <f t="shared" si="2145"/>
        <v/>
      </c>
      <c r="Z715" s="569" t="str">
        <f>HYPERLINK("https://www.klasekpyrotechnics.cz/c3645se")</f>
        <v>https://www.klasekpyrotechnics.cz/c3645se</v>
      </c>
      <c r="AA715" s="569">
        <f>IFERROR(IF(VLOOKUP(C715,[4]List1!$A:$D,4,FALSE)=0,"",VLOOKUP(C715,[4]List1!$A:$D,4,FALSE)),"")</f>
        <v>15</v>
      </c>
      <c r="AB715" s="565"/>
      <c r="AC715" s="570" t="str">
        <f>IFERROR(IF(VLOOKUP(C715,[1]List1!$A:$D,2,FALSE)="VYPRODÁNO",$V$9,IF(VLOOKUP(C715,[1]List1!$A:$D,2,FALSE)="DOCHÁZÍ",$V$3,VLOOKUP(C715,[1]List1!$A:$D,2,FALSE))),"OFFLINE!")</f>
        <v>SKLADEM</v>
      </c>
      <c r="AD715" s="570" t="str">
        <f ca="1">IF(AP715="NE",$V$10,IF(AC715=$V$3,IF(AQ715&lt;1,$V$8,$V$2&amp;" "&amp;AQ715&amp;" "&amp;$V$1),IF(AC715="SKLADEM",$V$6,IFERROR(IF(OR(AC715-TODAY()&gt;45,VLOOKUP(C715,[1]List1!$A:$E,4,FALSE)=0),AC715,DAY(AC715)&amp;"."&amp;MONTH(AC715)&amp;"."&amp;YEAR(AC715)&amp;" "&amp;$V$4&amp;VLOOKUP(C715,[1]List1!$A:$E,4,FALSE)&amp;" "&amp;$V$1),AC715))))</f>
        <v>SKLADEM</v>
      </c>
      <c r="AE715" s="581" t="str">
        <f t="shared" ca="1" si="2146"/>
        <v>SKLADEM</v>
      </c>
      <c r="AF715" s="584">
        <f t="shared" si="2147"/>
        <v>0</v>
      </c>
      <c r="AG715" s="585">
        <f t="shared" si="2148"/>
        <v>0</v>
      </c>
      <c r="AH715" s="583">
        <f t="shared" si="2149"/>
        <v>0</v>
      </c>
      <c r="AI715" s="582">
        <f t="shared" si="2150"/>
        <v>0</v>
      </c>
      <c r="AJ715" s="569">
        <f t="shared" si="2151"/>
        <v>0</v>
      </c>
      <c r="AK715" s="569" t="str">
        <f t="shared" si="2152"/>
        <v/>
      </c>
      <c r="AL715" s="569">
        <f t="shared" si="2153"/>
        <v>0</v>
      </c>
      <c r="AM715" s="569" t="str">
        <f t="shared" si="2154"/>
        <v/>
      </c>
      <c r="AN715" s="581">
        <f t="shared" si="2155"/>
        <v>0</v>
      </c>
      <c r="AO715" s="623"/>
      <c r="AP715" s="625" t="str">
        <f t="shared" si="2064"/>
        <v/>
      </c>
      <c r="AQ715" s="625" t="str">
        <f>IF(AC715=$V$3,IF(VLOOKUP(C715,[1]List1!$A:$E,5,FALSE)=0,1,VLOOKUP(C715,[1]List1!$A:$E,5,FALSE)),"")</f>
        <v/>
      </c>
      <c r="AR715" s="629" t="str">
        <f t="shared" si="2065"/>
        <v/>
      </c>
      <c r="AS715" s="630" t="str">
        <f t="shared" si="2066"/>
        <v/>
      </c>
      <c r="AT715" s="625" t="str">
        <f t="shared" si="2067"/>
        <v/>
      </c>
      <c r="AU715" s="625" t="e">
        <f t="shared" si="2068"/>
        <v>#N/A</v>
      </c>
      <c r="AV715" s="625" t="e">
        <f t="shared" si="2069"/>
        <v>#N/A</v>
      </c>
      <c r="AW715" s="631"/>
      <c r="AX715" s="631">
        <f>IF(AND('General price list'!$J715="F4",'General price list'!$AB715+0&gt;0),1,0)</f>
        <v>0</v>
      </c>
      <c r="AY715" s="631">
        <f t="shared" si="2070"/>
        <v>1</v>
      </c>
      <c r="AZ715" s="631">
        <f t="shared" si="2071"/>
        <v>0</v>
      </c>
    </row>
    <row r="716" spans="1:52" ht="15" customHeight="1">
      <c r="A716" s="751" t="str">
        <f>Kat.!C716</f>
        <v xml:space="preserve">           Baterie 36 ran, 50 mm moždíř – 1.3G</v>
      </c>
      <c r="B716" s="751"/>
      <c r="C716" s="751"/>
      <c r="D716" s="751"/>
      <c r="E716" s="751"/>
      <c r="F716" s="751"/>
      <c r="G716" s="751"/>
      <c r="H716" s="751"/>
      <c r="I716" s="752"/>
      <c r="J716" s="752"/>
      <c r="K716" s="752" t="s">
        <v>20</v>
      </c>
      <c r="L716" s="753" t="s">
        <v>20</v>
      </c>
      <c r="M716" s="752"/>
      <c r="N716" s="752"/>
      <c r="O716" s="752"/>
      <c r="P716" s="752"/>
      <c r="Q716" s="752"/>
      <c r="R716" s="752"/>
      <c r="S716" s="752"/>
      <c r="T716" s="752"/>
      <c r="U716" s="752"/>
      <c r="V716" s="752"/>
      <c r="W716" s="752"/>
      <c r="X716" s="752"/>
      <c r="Y716" s="752"/>
      <c r="Z716" s="752" t="s">
        <v>20</v>
      </c>
      <c r="AA716" s="752"/>
      <c r="AB716" s="752"/>
      <c r="AC716" s="754"/>
      <c r="AD716" s="752"/>
      <c r="AE716" s="752"/>
      <c r="AF716" s="752"/>
      <c r="AG716" s="752"/>
      <c r="AH716" s="752"/>
      <c r="AI716" s="752"/>
      <c r="AJ716" s="752"/>
      <c r="AK716" s="752"/>
      <c r="AL716" s="752"/>
      <c r="AM716" s="752"/>
      <c r="AN716" s="752"/>
      <c r="AO716" s="623"/>
      <c r="AP716" s="632" t="str">
        <f t="shared" si="2064"/>
        <v/>
      </c>
      <c r="AQ716" s="633" t="str">
        <f>IF(AC716=$V$3,IF(VLOOKUP(C716,[1]List1!$A:$E,5,FALSE)=0,1,VLOOKUP(C716,[1]List1!$A:$E,5,FALSE)),"")</f>
        <v/>
      </c>
      <c r="AR716" s="625" t="str">
        <f t="shared" si="2065"/>
        <v/>
      </c>
      <c r="AS716" s="634" t="str">
        <f t="shared" si="2066"/>
        <v/>
      </c>
      <c r="AT716" s="625" t="str">
        <f t="shared" si="2067"/>
        <v/>
      </c>
      <c r="AU716" s="638" t="e">
        <f t="shared" si="2068"/>
        <v>#N/A</v>
      </c>
      <c r="AV716" s="625" t="e">
        <f t="shared" si="2069"/>
        <v>#N/A</v>
      </c>
      <c r="AX716" s="625">
        <f>IF(AND('General price list'!$J716="F4",'General price list'!$AB716+0&gt;0),1,0)</f>
        <v>0</v>
      </c>
      <c r="AY716" s="625">
        <f t="shared" si="2070"/>
        <v>0</v>
      </c>
      <c r="AZ716" s="625">
        <f t="shared" si="2071"/>
        <v>0</v>
      </c>
    </row>
    <row r="717" spans="1:52" ht="15.75" customHeight="1">
      <c r="A717" s="639" t="str">
        <f>Kat.!C717</f>
        <v/>
      </c>
      <c r="B717" s="640">
        <f>IF(AND('General price list'!$J717="F4",$AI$1=FALSE),0,IF(AC717="SKLADEM",1,IF(AC717=$V$3,1,0)))</f>
        <v>0</v>
      </c>
      <c r="C717" s="641" t="s">
        <v>1425</v>
      </c>
      <c r="D717" s="642" t="s">
        <v>1426</v>
      </c>
      <c r="E717" s="643" t="s">
        <v>12747</v>
      </c>
      <c r="F717" s="773">
        <f>IFERROR(VLOOKUP(C717,[2]List1!$A:$D,3,FALSE),"NEUVEDENO!")</f>
        <v>2599</v>
      </c>
      <c r="G717" s="770">
        <f t="shared" ref="G717" si="2156">IF($W$17=$AF$8,ROUND((F717)/$F$17,2),(F717)*$B$19)</f>
        <v>2599</v>
      </c>
      <c r="H717" s="767">
        <f t="shared" ref="H717" si="2157">IF($W$17=$AF$8,G717*$B$19,G717/$F$17)</f>
        <v>110.40171953120687</v>
      </c>
      <c r="I717" s="644">
        <f>IFERROR(VLOOKUP(C717,[2]List1!$A:$D,4,FALSE),"NEUVEDENO!")</f>
        <v>2</v>
      </c>
      <c r="J717" s="733" t="s">
        <v>614</v>
      </c>
      <c r="K717" s="645" t="s">
        <v>20</v>
      </c>
      <c r="L717" s="645" t="s">
        <v>20</v>
      </c>
      <c r="M717" s="645" t="s">
        <v>114</v>
      </c>
      <c r="N717" s="645">
        <f>IFERROR(VLOOKUP(C717,[3]List1!$A:$D,4,FALSE),"N/A!")</f>
        <v>7.6449249999999996E-2</v>
      </c>
      <c r="O717" s="645">
        <f>IFERROR(VLOOKUP(C717,[3]List1!$A:$D,3,FALSE),"N/A!")</f>
        <v>3600</v>
      </c>
      <c r="P717" s="645">
        <f>IFERROR(VLOOKUP(C717,[3]List1!$A:$D,2,FALSE),"N/A!")</f>
        <v>29500</v>
      </c>
      <c r="Q717" s="645" t="s">
        <v>11325</v>
      </c>
      <c r="R717" s="645"/>
      <c r="S717" s="645" t="str">
        <f>IF($W$17=$AF$1,"design",IFERROR(VLOOKUP("design",Jazyky_ceník!$A:$Q,MATCH($W$17,Jazyky_ceník!$A$1:$Q$1,0),FALSE),"!!!"))</f>
        <v>design</v>
      </c>
      <c r="T717" s="645">
        <v>35</v>
      </c>
      <c r="U717" s="645">
        <v>60</v>
      </c>
      <c r="V717" s="645"/>
      <c r="W717" s="645" t="str">
        <f>IFERROR(IF(AND($AB717&gt;=0.1*$AA717,MOD($AB717,$AA717)&gt;=($AA717-(0.1*$AA717))),IF($W$17=$AF$1,"Zvažte možnost doobjednání ještě "&amp;Tabulka1[[#This Row],[VKPAL]]-MOD(AB717,AA717)&amp;" VK do plné palety.",VLOOKUP("Zvažte možnost doobjednání ještě ",Jazyky_ceník!A:Q,MATCH($W$17,Jazyky_ceník!$A$1:$Q$1,0),FALSE)&amp;Tabulka1[[#This Row],[VKPAL]]-MOD(AB717,AA717)&amp;VLOOKUP(" VK do plné palety.",Jazyky_ceník!A:Q,MATCH($W$17,Jazyky_ceník!$A$1:$Q$1,0),FALSE)),IFERROR(IF(AND(NOT(MOD($AB717,$AA717)=0),$AB717&gt;=0.9*$AA717,MOD($AB717,$AA717)&lt;=0.1*$AA717),IF($W$17=$AF$1,"Zvažte možnost optimalizace objednaného množství podle počtu VK na paletě ==&gt;",VLOOKUP("Zvažte možnost optimalizace objednaného množství podle počtu VK na paletě ==&gt;",Jazyky_ceník!A:Q,MATCH($W$17,Jazyky_ceník!$A$1:$Q$1,0),FALSE)),VLOOKUP('General price list'!$C717,Popisy!A:M,MATCH($W$17,Popisy!$A$7:$M$7,0),FALSE)),"---------------")),IFERROR(VLOOKUP('General price list'!$C717,Popisy!A:M,MATCH($W$17,Popisy!$A$7:$M$7,0),FALSE),"---------------"))</f>
        <v>stříbrná stopa s titanovou explozí</v>
      </c>
      <c r="X717" s="645" t="str">
        <f t="shared" ref="X717" si="2158">IF(AB717&lt;0.0001,"",AB717)</f>
        <v/>
      </c>
      <c r="Y717" s="645" t="str">
        <f t="shared" ref="Y717" si="2159">IF($AL$3=2,IF(OR(AB717&lt;&gt;"",AB717&lt;&gt;0),AU717,""),IF(C717="","",IF(AB717&lt;0.0001,"",IF(B717=0,"",IF(AQ717&lt;AB717,"",AB717)))))</f>
        <v/>
      </c>
      <c r="Z717" s="645" t="str">
        <f>HYPERLINK("https://www.klasekpyrotechnics.cz/c365du")</f>
        <v>https://www.klasekpyrotechnics.cz/c365du</v>
      </c>
      <c r="AA717" s="645">
        <f>IFERROR(IF(VLOOKUP(C717,[4]List1!$A:$D,4,FALSE)=0,"",VLOOKUP(C717,[4]List1!$A:$D,4,FALSE)),"")</f>
        <v>15</v>
      </c>
      <c r="AB717" s="646"/>
      <c r="AC717" s="647" t="str">
        <f>IFERROR(IF(VLOOKUP(C717,[1]List1!$A:$D,2,FALSE)="VYPRODÁNO",$V$9,IF(VLOOKUP(C717,[1]List1!$A:$D,2,FALSE)="DOCHÁZÍ",$V$3,VLOOKUP(C717,[1]List1!$A:$D,2,FALSE))),"OFFLINE!")</f>
        <v>SKLADEM</v>
      </c>
      <c r="AD717" s="647" t="str">
        <f ca="1">IF(AP717="NE",$V$10,IF(AC717=$V$3,IF(AQ717&lt;1,$V$8,$V$2&amp;" "&amp;AQ717&amp;" "&amp;$V$1),IF(AC717="SKLADEM",$V$6,IFERROR(IF(OR(AC717-TODAY()&gt;45,VLOOKUP(C717,[1]List1!$A:$E,4,FALSE)=0),AC717,DAY(AC717)&amp;"."&amp;MONTH(AC717)&amp;"."&amp;YEAR(AC717)&amp;" "&amp;$V$4&amp;VLOOKUP(C717,[1]List1!$A:$E,4,FALSE)&amp;" "&amp;$V$1),AC717))))</f>
        <v>SKLADEM</v>
      </c>
      <c r="AE717" s="645" t="str">
        <f t="shared" ref="AE717" ca="1" si="2160">IFERROR(IF(AV717&lt;&gt;"",AV717,AD717),AD717)</f>
        <v>SKLADEM</v>
      </c>
      <c r="AF717" s="648">
        <f t="shared" ref="AF717" si="2161">IFERROR(IF(AB717=Y717,G717*I717*Y717,0),0)</f>
        <v>0</v>
      </c>
      <c r="AG717" s="649">
        <f t="shared" ref="AG717" si="2162">IF($W$17=$AF$8,AH717*1.23,AF717*1.21)</f>
        <v>0</v>
      </c>
      <c r="AH717" s="650">
        <f t="shared" ref="AH717" si="2163">IFERROR(IF(Y717=AB717,H717*I717*Y717,0),0)</f>
        <v>0</v>
      </c>
      <c r="AI717" s="645">
        <f t="shared" ref="AI717" si="2164">IFERROR(IF(Y717=AB717,(P717*Y717)/1000,1),0)</f>
        <v>0</v>
      </c>
      <c r="AJ717" s="645">
        <f t="shared" ref="AJ717" si="2165">IFERROR(IF(Y717=AB717,N717*Y717,0.1),0)</f>
        <v>0</v>
      </c>
      <c r="AK717" s="645" t="str">
        <f t="shared" ref="AK717" si="2166">IFERROR(IF(Y717=AB717,IF(M717="1.1G",(O717/1000)*Y717,""),""),0)</f>
        <v/>
      </c>
      <c r="AL717" s="645">
        <f t="shared" ref="AL717" si="2167">IFERROR(IF(Y717=AB717,IF(M717="1.3G",(O717/1000)*AB717,""),""),0)</f>
        <v>0</v>
      </c>
      <c r="AM717" s="645" t="str">
        <f t="shared" ref="AM717" si="2168">IFERROR(IF(Y717=AB717,IF(M717="1.4G",(O717/1000)*AB717,""),""),0)</f>
        <v/>
      </c>
      <c r="AN717" s="651">
        <f t="shared" ref="AN717" si="2169">SUM(AK717:AM717)</f>
        <v>0</v>
      </c>
      <c r="AO717" s="623"/>
      <c r="AP717" s="625" t="str">
        <f t="shared" si="2064"/>
        <v/>
      </c>
      <c r="AQ717" s="625" t="str">
        <f>IF(AC717=$V$3,IF(VLOOKUP(C717,[1]List1!$A:$E,5,FALSE)=0,1,VLOOKUP(C717,[1]List1!$A:$E,5,FALSE)),"")</f>
        <v/>
      </c>
      <c r="AR717" s="629" t="str">
        <f t="shared" si="2065"/>
        <v/>
      </c>
      <c r="AS717" s="630" t="str">
        <f t="shared" si="2066"/>
        <v/>
      </c>
      <c r="AT717" s="625" t="str">
        <f t="shared" si="2067"/>
        <v/>
      </c>
      <c r="AU717" s="625" t="e">
        <f t="shared" si="2068"/>
        <v>#N/A</v>
      </c>
      <c r="AV717" s="625" t="e">
        <f t="shared" si="2069"/>
        <v>#N/A</v>
      </c>
      <c r="AW717" s="631"/>
      <c r="AX717" s="631">
        <f>IF(AND('General price list'!$J717="F4",'General price list'!$AB717+0&gt;0),1,0)</f>
        <v>0</v>
      </c>
      <c r="AY717" s="631">
        <f t="shared" si="2070"/>
        <v>1</v>
      </c>
      <c r="AZ717" s="631">
        <f t="shared" si="2071"/>
        <v>0</v>
      </c>
    </row>
    <row r="718" spans="1:52" ht="15" customHeight="1">
      <c r="A718" s="751" t="str">
        <f>Kat.!C718</f>
        <v xml:space="preserve">           Složený ohňostroj 45 + 50 mm – 1.3G</v>
      </c>
      <c r="B718" s="751"/>
      <c r="C718" s="751"/>
      <c r="D718" s="751"/>
      <c r="E718" s="751"/>
      <c r="F718" s="751"/>
      <c r="G718" s="751"/>
      <c r="H718" s="751"/>
      <c r="I718" s="752"/>
      <c r="J718" s="752"/>
      <c r="K718" s="752" t="s">
        <v>20</v>
      </c>
      <c r="L718" s="753" t="s">
        <v>20</v>
      </c>
      <c r="M718" s="752"/>
      <c r="N718" s="752"/>
      <c r="O718" s="752"/>
      <c r="P718" s="752"/>
      <c r="Q718" s="752"/>
      <c r="R718" s="752"/>
      <c r="S718" s="752"/>
      <c r="T718" s="752"/>
      <c r="U718" s="752"/>
      <c r="V718" s="752"/>
      <c r="W718" s="752"/>
      <c r="X718" s="752"/>
      <c r="Y718" s="752"/>
      <c r="Z718" s="752" t="s">
        <v>20</v>
      </c>
      <c r="AA718" s="752"/>
      <c r="AB718" s="752"/>
      <c r="AC718" s="754"/>
      <c r="AD718" s="752"/>
      <c r="AE718" s="752"/>
      <c r="AF718" s="752"/>
      <c r="AG718" s="752"/>
      <c r="AH718" s="752"/>
      <c r="AI718" s="752"/>
      <c r="AJ718" s="752"/>
      <c r="AK718" s="752"/>
      <c r="AL718" s="752"/>
      <c r="AM718" s="752"/>
      <c r="AN718" s="752"/>
      <c r="AO718" s="623"/>
      <c r="AP718" s="632" t="str">
        <f t="shared" si="2064"/>
        <v/>
      </c>
      <c r="AQ718" s="633" t="str">
        <f>IF(AC718=$V$3,IF(VLOOKUP(C718,[1]List1!$A:$E,5,FALSE)=0,1,VLOOKUP(C718,[1]List1!$A:$E,5,FALSE)),"")</f>
        <v/>
      </c>
      <c r="AR718" s="625" t="str">
        <f t="shared" si="2065"/>
        <v/>
      </c>
      <c r="AS718" s="634" t="str">
        <f t="shared" si="2066"/>
        <v/>
      </c>
      <c r="AT718" s="625" t="str">
        <f t="shared" si="2067"/>
        <v/>
      </c>
      <c r="AU718" s="638" t="e">
        <f t="shared" si="2068"/>
        <v>#N/A</v>
      </c>
      <c r="AV718" s="625" t="e">
        <f t="shared" si="2069"/>
        <v>#N/A</v>
      </c>
      <c r="AX718" s="625">
        <f>IF(AND('General price list'!$J718="F4",'General price list'!$AB718+0&gt;0),1,0)</f>
        <v>0</v>
      </c>
      <c r="AY718" s="625">
        <f t="shared" si="2070"/>
        <v>0</v>
      </c>
      <c r="AZ718" s="625">
        <f t="shared" si="2071"/>
        <v>0</v>
      </c>
    </row>
    <row r="719" spans="1:52" ht="15.75" customHeight="1">
      <c r="A719" s="639" t="str">
        <f>Kat.!C719</f>
        <v/>
      </c>
      <c r="B719" s="640">
        <f>IF(AND('General price list'!$J719="F4",$AI$1=FALSE),0,IF(AC719="SKLADEM",1,IF(AC719=$V$3,1,0)))</f>
        <v>1</v>
      </c>
      <c r="C719" s="641" t="s">
        <v>1430</v>
      </c>
      <c r="D719" s="642" t="s">
        <v>11904</v>
      </c>
      <c r="E719" s="643" t="s">
        <v>12663</v>
      </c>
      <c r="F719" s="771">
        <f>IFERROR(VLOOKUP(C719,[2]List1!$A:$D,3,FALSE),"NEUVEDENO!")</f>
        <v>3599</v>
      </c>
      <c r="G719" s="768">
        <f t="shared" ref="G719:G722" si="2170">IF($W$17=$AF$8,ROUND((F719)/$F$17,2),(F719)*$B$19)</f>
        <v>3599</v>
      </c>
      <c r="H719" s="765">
        <f t="shared" ref="H719:H722" si="2171">IF($W$17=$AF$8,G719*$B$19,G719/$F$17)</f>
        <v>152.88025725002441</v>
      </c>
      <c r="I719" s="644">
        <f>IFERROR(VLOOKUP(C719,[2]List1!$A:$D,4,FALSE),"NEUVEDENO!")</f>
        <v>1</v>
      </c>
      <c r="J719" s="733" t="s">
        <v>113</v>
      </c>
      <c r="K719" s="645" t="s">
        <v>20</v>
      </c>
      <c r="L719" s="645" t="s">
        <v>20</v>
      </c>
      <c r="M719" s="645" t="s">
        <v>114</v>
      </c>
      <c r="N719" s="645">
        <f>IFERROR(VLOOKUP(C719,[3]List1!$A:$D,4,FALSE),"N/A!")</f>
        <v>5.7644999999999995E-2</v>
      </c>
      <c r="O719" s="645">
        <f>IFERROR(VLOOKUP(C719,[3]List1!$A:$D,3,FALSE),"N/A!")</f>
        <v>1998</v>
      </c>
      <c r="P719" s="645">
        <f>IFERROR(VLOOKUP(C719,[3]List1!$A:$D,2,FALSE),"N/A!")</f>
        <v>20500</v>
      </c>
      <c r="Q719" s="645" t="s">
        <v>11326</v>
      </c>
      <c r="R719" s="645"/>
      <c r="S719" s="645" t="str">
        <f>IF($W$17=$AF$1,"červená fólie",IFERROR(VLOOKUP("červená fólie",Jazyky_ceník!$A:$Q,MATCH($W$17,Jazyky_ceník!$A$1:$Q$1,0),FALSE),"!!!"))</f>
        <v>červená fólie</v>
      </c>
      <c r="T719" s="645">
        <v>70</v>
      </c>
      <c r="U719" s="645">
        <v>60</v>
      </c>
      <c r="V719" s="645">
        <v>40</v>
      </c>
      <c r="W719" s="645" t="str">
        <f>IFERROR(IF(AND($AB719&gt;=0.1*$AA719,MOD($AB719,$AA719)&gt;=($AA719-(0.1*$AA719))),IF($W$17=$AF$1,"Zvažte možnost doobjednání ještě "&amp;Tabulka1[[#This Row],[VKPAL]]-MOD(AB719,AA719)&amp;" VK do plné palety.",VLOOKUP("Zvažte možnost doobjednání ještě ",Jazyky_ceník!A:Q,MATCH($W$17,Jazyky_ceník!$A$1:$Q$1,0),FALSE)&amp;Tabulka1[[#This Row],[VKPAL]]-MOD(AB719,AA719)&amp;VLOOKUP(" VK do plné palety.",Jazyky_ceník!A:Q,MATCH($W$17,Jazyky_ceník!$A$1:$Q$1,0),FALSE)),IFERROR(IF(AND(NOT(MOD($AB719,$AA719)=0),$AB719&gt;=0.9*$AA719,MOD($AB719,$AA719)&lt;=0.1*$AA719),IF($W$17=$AF$1,"Zvažte možnost optimalizace objednaného množství podle počtu VK na paletě ==&gt;",VLOOKUP("Zvažte možnost optimalizace objednaného množství podle počtu VK na paletě ==&gt;",Jazyky_ceník!A:Q,MATCH($W$17,Jazyky_ceník!$A$1:$Q$1,0),FALSE)),VLOOKUP('General price list'!$C719,Popisy!A:M,MATCH($W$17,Popisy!$A$7:$M$7,0),FALSE)),"---------------")),IFERROR(VLOOKUP('General price list'!$C719,Popisy!A:M,MATCH($W$17,Popisy!$A$7:$M$7,0),FALSE),"---------------"))</f>
        <v>10 různobarevných efektů</v>
      </c>
      <c r="X719" s="645" t="str">
        <f t="shared" ref="X719:X722" si="2172">IF(AB719&lt;0.0001,"",AB719)</f>
        <v/>
      </c>
      <c r="Y719" s="645" t="str">
        <f t="shared" ref="Y719:Y722" si="2173">IF($AL$3=2,IF(OR(AB719&lt;&gt;"",AB719&lt;&gt;0),AU719,""),IF(C719="","",IF(AB719&lt;0.0001,"",IF(B719=0,"",IF(AQ719&lt;AB719,"",AB719)))))</f>
        <v/>
      </c>
      <c r="Z719" s="645" t="str">
        <f>HYPERLINK("https://www.klasekpyrotechnics.cz/c505x-c")</f>
        <v>https://www.klasekpyrotechnics.cz/c505x-c</v>
      </c>
      <c r="AA719" s="645">
        <f>IFERROR(IF(VLOOKUP(C719,[4]List1!$A:$D,4,FALSE)=0,"",VLOOKUP(C719,[4]List1!$A:$D,4,FALSE)),"")</f>
        <v>20</v>
      </c>
      <c r="AB719" s="646"/>
      <c r="AC719" s="647" t="str">
        <f>IFERROR(IF(VLOOKUP(C719,[1]List1!$A:$D,2,FALSE)="VYPRODÁNO",$V$9,IF(VLOOKUP(C719,[1]List1!$A:$D,2,FALSE)="DOCHÁZÍ",$V$3,VLOOKUP(C719,[1]List1!$A:$D,2,FALSE))),"OFFLINE!")</f>
        <v>SKLADEM</v>
      </c>
      <c r="AD719" s="647" t="str">
        <f ca="1">IF(AP719="NE",$V$10,IF(AC719=$V$3,IF(AQ719&lt;1,$V$8,$V$2&amp;" "&amp;AQ719&amp;" "&amp;$V$1),IF(AC719="SKLADEM",$V$6,IFERROR(IF(OR(AC719-TODAY()&gt;45,VLOOKUP(C719,[1]List1!$A:$E,4,FALSE)=0),AC719,DAY(AC719)&amp;"."&amp;MONTH(AC719)&amp;"."&amp;YEAR(AC719)&amp;" "&amp;$V$4&amp;VLOOKUP(C719,[1]List1!$A:$E,4,FALSE)&amp;" "&amp;$V$1),AC719))))</f>
        <v>SKLADEM</v>
      </c>
      <c r="AE719" s="645" t="str">
        <f t="shared" ref="AE719:AE722" ca="1" si="2174">IFERROR(IF(AV719&lt;&gt;"",AV719,AD719),AD719)</f>
        <v>SKLADEM</v>
      </c>
      <c r="AF719" s="648">
        <f t="shared" ref="AF719:AF722" si="2175">IFERROR(IF(AB719=Y719,G719*I719*Y719,0),0)</f>
        <v>0</v>
      </c>
      <c r="AG719" s="649">
        <f t="shared" ref="AG719:AG722" si="2176">IF($W$17=$AF$8,AH719*1.23,AF719*1.21)</f>
        <v>0</v>
      </c>
      <c r="AH719" s="650">
        <f t="shared" ref="AH719:AH722" si="2177">IFERROR(IF(Y719=AB719,H719*I719*Y719,0),0)</f>
        <v>0</v>
      </c>
      <c r="AI719" s="645">
        <f t="shared" ref="AI719:AI722" si="2178">IFERROR(IF(Y719=AB719,(P719*Y719)/1000,1),0)</f>
        <v>0</v>
      </c>
      <c r="AJ719" s="645">
        <f t="shared" ref="AJ719:AJ722" si="2179">IFERROR(IF(Y719=AB719,N719*Y719,0.1),0)</f>
        <v>0</v>
      </c>
      <c r="AK719" s="645" t="str">
        <f t="shared" ref="AK719:AK722" si="2180">IFERROR(IF(Y719=AB719,IF(M719="1.1G",(O719/1000)*Y719,""),""),0)</f>
        <v/>
      </c>
      <c r="AL719" s="645">
        <f t="shared" ref="AL719:AL722" si="2181">IFERROR(IF(Y719=AB719,IF(M719="1.3G",(O719/1000)*AB719,""),""),0)</f>
        <v>0</v>
      </c>
      <c r="AM719" s="645" t="str">
        <f t="shared" ref="AM719:AM722" si="2182">IFERROR(IF(Y719=AB719,IF(M719="1.4G",(O719/1000)*AB719,""),""),0)</f>
        <v/>
      </c>
      <c r="AN719" s="651">
        <f t="shared" ref="AN719:AN722" si="2183">SUM(AK719:AM719)</f>
        <v>0</v>
      </c>
      <c r="AO719" s="623"/>
      <c r="AP719" s="625" t="str">
        <f t="shared" si="2064"/>
        <v/>
      </c>
      <c r="AQ719" s="625" t="str">
        <f>IF(AC719=$V$3,IF(VLOOKUP(C719,[1]List1!$A:$E,5,FALSE)=0,1,VLOOKUP(C719,[1]List1!$A:$E,5,FALSE)),"")</f>
        <v/>
      </c>
      <c r="AR719" s="629" t="str">
        <f t="shared" si="2065"/>
        <v/>
      </c>
      <c r="AS719" s="630" t="str">
        <f t="shared" si="2066"/>
        <v/>
      </c>
      <c r="AT719" s="625" t="str">
        <f t="shared" si="2067"/>
        <v/>
      </c>
      <c r="AU719" s="625" t="e">
        <f t="shared" si="2068"/>
        <v>#N/A</v>
      </c>
      <c r="AV719" s="625" t="e">
        <f t="shared" si="2069"/>
        <v>#N/A</v>
      </c>
      <c r="AW719" s="631"/>
      <c r="AX719" s="631">
        <f>IF(AND('General price list'!$J719="F4",'General price list'!$AB719+0&gt;0),1,0)</f>
        <v>0</v>
      </c>
      <c r="AY719" s="631">
        <f t="shared" si="2070"/>
        <v>1</v>
      </c>
      <c r="AZ719" s="631">
        <f t="shared" si="2071"/>
        <v>0</v>
      </c>
    </row>
    <row r="720" spans="1:52" ht="15.75" customHeight="1">
      <c r="A720" s="621" t="str">
        <f>Kat.!C720</f>
        <v/>
      </c>
      <c r="B720" s="566">
        <f>IF(AND('General price list'!$J720="F4",$AI$1=FALSE),0,IF(AC720="SKLADEM",1,IF(AC720=$V$3,1,0)))</f>
        <v>1</v>
      </c>
      <c r="C720" s="567" t="s">
        <v>1431</v>
      </c>
      <c r="D720" s="568" t="s">
        <v>12564</v>
      </c>
      <c r="E720" s="763" t="s">
        <v>12663</v>
      </c>
      <c r="F720" s="772">
        <f>IFERROR(VLOOKUP(C720,[2]List1!$A:$D,3,FALSE),"NEUVEDENO!")</f>
        <v>3599</v>
      </c>
      <c r="G720" s="769">
        <f t="shared" si="2170"/>
        <v>3599</v>
      </c>
      <c r="H720" s="766">
        <f t="shared" si="2171"/>
        <v>152.88025725002441</v>
      </c>
      <c r="I720" s="764">
        <f>IFERROR(VLOOKUP(C720,[2]List1!$A:$D,4,FALSE),"NEUVEDENO!")</f>
        <v>1</v>
      </c>
      <c r="J720" s="732" t="s">
        <v>113</v>
      </c>
      <c r="K720" s="569" t="s">
        <v>20</v>
      </c>
      <c r="L720" s="569" t="s">
        <v>20</v>
      </c>
      <c r="M720" s="569" t="s">
        <v>114</v>
      </c>
      <c r="N720" s="569">
        <f>IFERROR(VLOOKUP(C720,[3]List1!$A:$D,4,FALSE),"N/A!")</f>
        <v>5.7644999999999995E-2</v>
      </c>
      <c r="O720" s="569">
        <f>IFERROR(VLOOKUP(C720,[3]List1!$A:$D,3,FALSE),"N/A!")</f>
        <v>1998</v>
      </c>
      <c r="P720" s="569">
        <f>IFERROR(VLOOKUP(C720,[3]List1!$A:$D,2,FALSE),"N/A!")</f>
        <v>20500</v>
      </c>
      <c r="Q720" s="569" t="s">
        <v>11326</v>
      </c>
      <c r="R720" s="569"/>
      <c r="S720" s="569" t="str">
        <f>IF($W$17=$AF$1,"červená fólie",IFERROR(VLOOKUP("červená fólie",Jazyky_ceník!$A:$Q,MATCH($W$17,Jazyky_ceník!$A$1:$Q$1,0),FALSE),"!!!"))</f>
        <v>červená fólie</v>
      </c>
      <c r="T720" s="569">
        <v>70</v>
      </c>
      <c r="U720" s="569">
        <v>60</v>
      </c>
      <c r="V720" s="569">
        <v>40</v>
      </c>
      <c r="W720" s="569" t="str">
        <f>IFERROR(IF(AND($AB720&gt;=0.1*$AA720,MOD($AB720,$AA720)&gt;=($AA720-(0.1*$AA720))),IF($W$17=$AF$1,"Zvažte možnost doobjednání ještě "&amp;Tabulka1[[#This Row],[VKPAL]]-MOD(AB720,AA720)&amp;" VK do plné palety.",VLOOKUP("Zvažte možnost doobjednání ještě ",Jazyky_ceník!A:Q,MATCH($W$17,Jazyky_ceník!$A$1:$Q$1,0),FALSE)&amp;Tabulka1[[#This Row],[VKPAL]]-MOD(AB720,AA720)&amp;VLOOKUP(" VK do plné palety.",Jazyky_ceník!A:Q,MATCH($W$17,Jazyky_ceník!$A$1:$Q$1,0),FALSE)),IFERROR(IF(AND(NOT(MOD($AB720,$AA720)=0),$AB720&gt;=0.9*$AA720,MOD($AB720,$AA720)&lt;=0.1*$AA720),IF($W$17=$AF$1,"Zvažte možnost optimalizace objednaného množství podle počtu VK na paletě ==&gt;",VLOOKUP("Zvažte možnost optimalizace objednaného množství podle počtu VK na paletě ==&gt;",Jazyky_ceník!A:Q,MATCH($W$17,Jazyky_ceník!$A$1:$Q$1,0),FALSE)),VLOOKUP('General price list'!$C720,Popisy!A:M,MATCH($W$17,Popisy!$A$7:$M$7,0),FALSE)),"---------------")),IFERROR(VLOOKUP('General price list'!$C720,Popisy!A:M,MATCH($W$17,Popisy!$A$7:$M$7,0),FALSE),"---------------"))</f>
        <v>10 různobarevných efektů</v>
      </c>
      <c r="X720" s="569" t="str">
        <f t="shared" si="2172"/>
        <v/>
      </c>
      <c r="Y720" s="569" t="str">
        <f t="shared" si="2173"/>
        <v/>
      </c>
      <c r="Z720" s="569" t="str">
        <f>HYPERLINK("https://www.klasekpyrotechnics.cz/c505v-c")</f>
        <v>https://www.klasekpyrotechnics.cz/c505v-c</v>
      </c>
      <c r="AA720" s="569">
        <f>IFERROR(IF(VLOOKUP(C720,[4]List1!$A:$D,4,FALSE)=0,"",VLOOKUP(C720,[4]List1!$A:$D,4,FALSE)),"")</f>
        <v>20</v>
      </c>
      <c r="AB720" s="565"/>
      <c r="AC720" s="570" t="str">
        <f>IFERROR(IF(VLOOKUP(C720,[1]List1!$A:$D,2,FALSE)="VYPRODÁNO",$V$9,IF(VLOOKUP(C720,[1]List1!$A:$D,2,FALSE)="DOCHÁZÍ",$V$3,VLOOKUP(C720,[1]List1!$A:$D,2,FALSE))),"OFFLINE!")</f>
        <v>SKLADEM</v>
      </c>
      <c r="AD720" s="570" t="str">
        <f ca="1">IF(AP720="NE",$V$10,IF(AC720=$V$3,IF(AQ720&lt;1,$V$8,$V$2&amp;" "&amp;AQ720&amp;" "&amp;$V$1),IF(AC720="SKLADEM",$V$6,IFERROR(IF(OR(AC720-TODAY()&gt;45,VLOOKUP(C720,[1]List1!$A:$E,4,FALSE)=0),AC720,DAY(AC720)&amp;"."&amp;MONTH(AC720)&amp;"."&amp;YEAR(AC720)&amp;" "&amp;$V$4&amp;VLOOKUP(C720,[1]List1!$A:$E,4,FALSE)&amp;" "&amp;$V$1),AC720))))</f>
        <v>SKLADEM</v>
      </c>
      <c r="AE720" s="581" t="str">
        <f t="shared" ca="1" si="2174"/>
        <v>SKLADEM</v>
      </c>
      <c r="AF720" s="584">
        <f t="shared" si="2175"/>
        <v>0</v>
      </c>
      <c r="AG720" s="585">
        <f t="shared" si="2176"/>
        <v>0</v>
      </c>
      <c r="AH720" s="583">
        <f t="shared" si="2177"/>
        <v>0</v>
      </c>
      <c r="AI720" s="582">
        <f t="shared" si="2178"/>
        <v>0</v>
      </c>
      <c r="AJ720" s="569">
        <f t="shared" si="2179"/>
        <v>0</v>
      </c>
      <c r="AK720" s="569" t="str">
        <f t="shared" si="2180"/>
        <v/>
      </c>
      <c r="AL720" s="569">
        <f t="shared" si="2181"/>
        <v>0</v>
      </c>
      <c r="AM720" s="569" t="str">
        <f t="shared" si="2182"/>
        <v/>
      </c>
      <c r="AN720" s="581">
        <f t="shared" si="2183"/>
        <v>0</v>
      </c>
      <c r="AO720" s="623"/>
      <c r="AP720" s="625" t="str">
        <f t="shared" si="2064"/>
        <v/>
      </c>
      <c r="AQ720" s="625" t="str">
        <f>IF(AC720=$V$3,IF(VLOOKUP(C720,[1]List1!$A:$E,5,FALSE)=0,1,VLOOKUP(C720,[1]List1!$A:$E,5,FALSE)),"")</f>
        <v/>
      </c>
      <c r="AR720" s="629" t="str">
        <f t="shared" si="2065"/>
        <v/>
      </c>
      <c r="AS720" s="630" t="str">
        <f t="shared" si="2066"/>
        <v/>
      </c>
      <c r="AT720" s="625" t="str">
        <f t="shared" si="2067"/>
        <v/>
      </c>
      <c r="AU720" s="625" t="e">
        <f t="shared" si="2068"/>
        <v>#N/A</v>
      </c>
      <c r="AV720" s="625" t="e">
        <f t="shared" si="2069"/>
        <v>#N/A</v>
      </c>
      <c r="AW720" s="631"/>
      <c r="AX720" s="631">
        <f>IF(AND('General price list'!$J720="F4",'General price list'!$AB720+0&gt;0),1,0)</f>
        <v>0</v>
      </c>
      <c r="AY720" s="631">
        <f t="shared" si="2070"/>
        <v>1</v>
      </c>
      <c r="AZ720" s="631">
        <f t="shared" si="2071"/>
        <v>0</v>
      </c>
    </row>
    <row r="721" spans="1:52" ht="15" customHeight="1">
      <c r="A721" s="639" t="str">
        <f>Kat.!C721</f>
        <v/>
      </c>
      <c r="B721" s="640">
        <f>IF(AND('General price list'!$J721="F4",$AI$1=FALSE),0,IF(AC721="SKLADEM",1,IF(AC721=$V$3,1,0)))</f>
        <v>1</v>
      </c>
      <c r="C721" s="641" t="s">
        <v>1432</v>
      </c>
      <c r="D721" s="642" t="s">
        <v>12565</v>
      </c>
      <c r="E721" s="643" t="s">
        <v>12663</v>
      </c>
      <c r="F721" s="771">
        <f>IFERROR(VLOOKUP(C721,[2]List1!$A:$D,3,FALSE),"NEUVEDENO!")</f>
        <v>5249</v>
      </c>
      <c r="G721" s="768">
        <f t="shared" si="2170"/>
        <v>5249</v>
      </c>
      <c r="H721" s="765">
        <f t="shared" si="2171"/>
        <v>222.96984448607341</v>
      </c>
      <c r="I721" s="644">
        <f>IFERROR(VLOOKUP(C721,[2]List1!$A:$D,4,FALSE),"NEUVEDENO!")</f>
        <v>1</v>
      </c>
      <c r="J721" s="733" t="s">
        <v>113</v>
      </c>
      <c r="K721" s="645" t="s">
        <v>20</v>
      </c>
      <c r="L721" s="645" t="s">
        <v>20</v>
      </c>
      <c r="M721" s="645" t="s">
        <v>114</v>
      </c>
      <c r="N721" s="645">
        <f>IFERROR(VLOOKUP(C721,[3]List1!$A:$D,4,FALSE),"N/A!")</f>
        <v>8.5522500000000001E-2</v>
      </c>
      <c r="O721" s="645">
        <f>IFERROR(VLOOKUP(C721,[3]List1!$A:$D,3,FALSE),"N/A!")</f>
        <v>2997</v>
      </c>
      <c r="P721" s="645">
        <f>IFERROR(VLOOKUP(C721,[3]List1!$A:$D,2,FALSE),"N/A!")</f>
        <v>30200</v>
      </c>
      <c r="Q721" s="645" t="s">
        <v>11326</v>
      </c>
      <c r="R721" s="645"/>
      <c r="S721" s="645" t="str">
        <f>IF($W$17=$AF$1,"červená fólie",IFERROR(VLOOKUP("červená fólie",Jazyky_ceník!$A:$Q,MATCH($W$17,Jazyky_ceník!$A$1:$Q$1,0),FALSE),"!!!"))</f>
        <v>červená fólie</v>
      </c>
      <c r="T721" s="645">
        <v>100</v>
      </c>
      <c r="U721" s="645">
        <v>60</v>
      </c>
      <c r="V721" s="645">
        <v>40</v>
      </c>
      <c r="W721" s="645" t="str">
        <f>IFERROR(IF(AND($AB721&gt;=0.1*$AA721,MOD($AB721,$AA721)&gt;=($AA721-(0.1*$AA721))),IF($W$17=$AF$1,"Zvažte možnost doobjednání ještě "&amp;Tabulka1[[#This Row],[VKPAL]]-MOD(AB721,AA721)&amp;" VK do plné palety.",VLOOKUP("Zvažte možnost doobjednání ještě ",Jazyky_ceník!A:Q,MATCH($W$17,Jazyky_ceník!$A$1:$Q$1,0),FALSE)&amp;Tabulka1[[#This Row],[VKPAL]]-MOD(AB721,AA721)&amp;VLOOKUP(" VK do plné palety.",Jazyky_ceník!A:Q,MATCH($W$17,Jazyky_ceník!$A$1:$Q$1,0),FALSE)),IFERROR(IF(AND(NOT(MOD($AB721,$AA721)=0),$AB721&gt;=0.9*$AA721,MOD($AB721,$AA721)&lt;=0.1*$AA721),IF($W$17=$AF$1,"Zvažte možnost optimalizace objednaného množství podle počtu VK na paletě ==&gt;",VLOOKUP("Zvažte možnost optimalizace objednaného množství podle počtu VK na paletě ==&gt;",Jazyky_ceník!A:Q,MATCH($W$17,Jazyky_ceník!$A$1:$Q$1,0),FALSE)),VLOOKUP('General price list'!$C721,Popisy!A:M,MATCH($W$17,Popisy!$A$7:$M$7,0),FALSE)),"---------------")),IFERROR(VLOOKUP('General price list'!$C721,Popisy!A:M,MATCH($W$17,Popisy!$A$7:$M$7,0),FALSE),"---------------"))</f>
        <v>15 různobarevných efektů</v>
      </c>
      <c r="X721" s="645" t="str">
        <f t="shared" si="2172"/>
        <v/>
      </c>
      <c r="Y721" s="645" t="str">
        <f t="shared" si="2173"/>
        <v/>
      </c>
      <c r="Z721" s="645" t="str">
        <f>HYPERLINK("https://www.klasekpyrotechnics.cz/c755r-c")</f>
        <v>https://www.klasekpyrotechnics.cz/c755r-c</v>
      </c>
      <c r="AA721" s="645">
        <f>IFERROR(IF(VLOOKUP(C721,[4]List1!$A:$D,4,FALSE)=0,"",VLOOKUP(C721,[4]List1!$A:$D,4,FALSE)),"")</f>
        <v>10</v>
      </c>
      <c r="AB721" s="646"/>
      <c r="AC721" s="647" t="str">
        <f>IFERROR(IF(VLOOKUP(C721,[1]List1!$A:$D,2,FALSE)="VYPRODÁNO",$V$9,IF(VLOOKUP(C721,[1]List1!$A:$D,2,FALSE)="DOCHÁZÍ",$V$3,VLOOKUP(C721,[1]List1!$A:$D,2,FALSE))),"OFFLINE!")</f>
        <v>SKLADEM</v>
      </c>
      <c r="AD721" s="647" t="str">
        <f ca="1">IF(AP721="NE",$V$10,IF(AC721=$V$3,IF(AQ721&lt;1,$V$8,$V$2&amp;" "&amp;AQ721&amp;" "&amp;$V$1),IF(AC721="SKLADEM",$V$6,IFERROR(IF(OR(AC721-TODAY()&gt;45,VLOOKUP(C721,[1]List1!$A:$E,4,FALSE)=0),AC721,DAY(AC721)&amp;"."&amp;MONTH(AC721)&amp;"."&amp;YEAR(AC721)&amp;" "&amp;$V$4&amp;VLOOKUP(C721,[1]List1!$A:$E,4,FALSE)&amp;" "&amp;$V$1),AC721))))</f>
        <v>SKLADEM</v>
      </c>
      <c r="AE721" s="645" t="str">
        <f t="shared" ca="1" si="2174"/>
        <v>SKLADEM</v>
      </c>
      <c r="AF721" s="648">
        <f t="shared" si="2175"/>
        <v>0</v>
      </c>
      <c r="AG721" s="649">
        <f t="shared" si="2176"/>
        <v>0</v>
      </c>
      <c r="AH721" s="650">
        <f t="shared" si="2177"/>
        <v>0</v>
      </c>
      <c r="AI721" s="645">
        <f t="shared" si="2178"/>
        <v>0</v>
      </c>
      <c r="AJ721" s="645">
        <f t="shared" si="2179"/>
        <v>0</v>
      </c>
      <c r="AK721" s="645" t="str">
        <f t="shared" si="2180"/>
        <v/>
      </c>
      <c r="AL721" s="645">
        <f t="shared" si="2181"/>
        <v>0</v>
      </c>
      <c r="AM721" s="645" t="str">
        <f t="shared" si="2182"/>
        <v/>
      </c>
      <c r="AN721" s="651">
        <f t="shared" si="2183"/>
        <v>0</v>
      </c>
      <c r="AO721" s="623"/>
      <c r="AP721" s="632" t="str">
        <f t="shared" si="2064"/>
        <v/>
      </c>
      <c r="AQ721" s="633" t="str">
        <f>IF(AC721=$V$3,IF(VLOOKUP(C721,[1]List1!$A:$E,5,FALSE)=0,1,VLOOKUP(C721,[1]List1!$A:$E,5,FALSE)),"")</f>
        <v/>
      </c>
      <c r="AR721" s="625" t="str">
        <f t="shared" si="2065"/>
        <v/>
      </c>
      <c r="AS721" s="634" t="str">
        <f t="shared" si="2066"/>
        <v/>
      </c>
      <c r="AT721" s="625" t="str">
        <f t="shared" si="2067"/>
        <v/>
      </c>
      <c r="AU721" s="638" t="e">
        <f t="shared" si="2068"/>
        <v>#N/A</v>
      </c>
      <c r="AV721" s="625" t="e">
        <f t="shared" si="2069"/>
        <v>#N/A</v>
      </c>
      <c r="AX721" s="625">
        <f>IF(AND('General price list'!$J721="F4",'General price list'!$AB721+0&gt;0),1,0)</f>
        <v>0</v>
      </c>
      <c r="AY721" s="625">
        <f t="shared" si="2070"/>
        <v>1</v>
      </c>
      <c r="AZ721" s="625">
        <f t="shared" si="2071"/>
        <v>0</v>
      </c>
    </row>
    <row r="722" spans="1:52" ht="15" customHeight="1">
      <c r="A722" s="621" t="str">
        <f>Kat.!C722</f>
        <v/>
      </c>
      <c r="B722" s="566">
        <f>IF(AND('General price list'!$J722="F4",$AI$1=FALSE),0,IF(AC722="SKLADEM",1,IF(AC722=$V$3,1,0)))</f>
        <v>1</v>
      </c>
      <c r="C722" s="567" t="s">
        <v>2315</v>
      </c>
      <c r="D722" s="568" t="s">
        <v>2316</v>
      </c>
      <c r="E722" s="763" t="s">
        <v>12663</v>
      </c>
      <c r="F722" s="772">
        <f>IFERROR(VLOOKUP(C722,[2]List1!$A:$D,3,FALSE),"NEUVEDENO!")</f>
        <v>6543</v>
      </c>
      <c r="G722" s="769">
        <f t="shared" si="2170"/>
        <v>6543</v>
      </c>
      <c r="H722" s="766">
        <f t="shared" si="2171"/>
        <v>277.93707229422336</v>
      </c>
      <c r="I722" s="764">
        <f>IFERROR(VLOOKUP(C722,[2]List1!$A:$D,4,FALSE),"NEUVEDENO!")</f>
        <v>1</v>
      </c>
      <c r="J722" s="732" t="s">
        <v>113</v>
      </c>
      <c r="K722" s="569" t="s">
        <v>20</v>
      </c>
      <c r="L722" s="569" t="s">
        <v>20</v>
      </c>
      <c r="M722" s="569" t="s">
        <v>114</v>
      </c>
      <c r="N722" s="569">
        <f>IFERROR(VLOOKUP(C722,[3]List1!$A:$D,4,FALSE),"N/A!")</f>
        <v>9.9066000000000001E-2</v>
      </c>
      <c r="O722" s="569">
        <f>IFERROR(VLOOKUP(C722,[3]List1!$A:$D,3,FALSE),"N/A!")</f>
        <v>3000</v>
      </c>
      <c r="P722" s="569">
        <f>IFERROR(VLOOKUP(C722,[3]List1!$A:$D,2,FALSE),"N/A!")</f>
        <v>36000</v>
      </c>
      <c r="Q722" s="569" t="s">
        <v>11327</v>
      </c>
      <c r="R722" s="569"/>
      <c r="S722" s="569" t="str">
        <f>IF($W$17=$AF$1,"červená fólie",IFERROR(VLOOKUP("červená fólie",Jazyky_ceník!$A:$Q,MATCH($W$17,Jazyky_ceník!$A$1:$Q$1,0),FALSE),"!!!"))</f>
        <v>červená fólie</v>
      </c>
      <c r="T722" s="569">
        <v>150</v>
      </c>
      <c r="U722" s="569">
        <v>60</v>
      </c>
      <c r="V722" s="569">
        <v>37</v>
      </c>
      <c r="W722" s="569" t="str">
        <f>IFERROR(IF(AND($AB722&gt;=0.1*$AA722,MOD($AB722,$AA722)&gt;=($AA722-(0.1*$AA722))),IF($W$17=$AF$1,"Zvažte možnost doobjednání ještě "&amp;Tabulka1[[#This Row],[VKPAL]]-MOD(AB722,AA722)&amp;" VK do plné palety.",VLOOKUP("Zvažte možnost doobjednání ještě ",Jazyky_ceník!A:Q,MATCH($W$17,Jazyky_ceník!$A$1:$Q$1,0),FALSE)&amp;Tabulka1[[#This Row],[VKPAL]]-MOD(AB722,AA722)&amp;VLOOKUP(" VK do plné palety.",Jazyky_ceník!A:Q,MATCH($W$17,Jazyky_ceník!$A$1:$Q$1,0),FALSE)),IFERROR(IF(AND(NOT(MOD($AB722,$AA722)=0),$AB722&gt;=0.9*$AA722,MOD($AB722,$AA722)&lt;=0.1*$AA722),IF($W$17=$AF$1,"Zvažte možnost optimalizace objednaného množství podle počtu VK na paletě ==&gt;",VLOOKUP("Zvažte možnost optimalizace objednaného množství podle počtu VK na paletě ==&gt;",Jazyky_ceník!A:Q,MATCH($W$17,Jazyky_ceník!$A$1:$Q$1,0),FALSE)),VLOOKUP('General price list'!$C722,Popisy!A:M,MATCH($W$17,Popisy!$A$7:$M$7,0),FALSE)),"---------------")),IFERROR(VLOOKUP('General price list'!$C722,Popisy!A:M,MATCH($W$17,Popisy!$A$7:$M$7,0),FALSE),"---------------"))</f>
        <v>21 různobarevných efektů</v>
      </c>
      <c r="X722" s="569" t="str">
        <f t="shared" si="2172"/>
        <v/>
      </c>
      <c r="Y722" s="569" t="str">
        <f t="shared" si="2173"/>
        <v/>
      </c>
      <c r="Z722" s="569" t="str">
        <f>HYPERLINK("https://www.klasekpyrotechnics.cz/c10545gi-c")</f>
        <v>https://www.klasekpyrotechnics.cz/c10545gi-c</v>
      </c>
      <c r="AA722" s="569">
        <f>IFERROR(IF(VLOOKUP(C722,[4]List1!$A:$D,4,FALSE)=0,"",VLOOKUP(C722,[4]List1!$A:$D,4,FALSE)),"")</f>
        <v>15</v>
      </c>
      <c r="AB722" s="565"/>
      <c r="AC722" s="570" t="str">
        <f>IFERROR(IF(VLOOKUP(C722,[1]List1!$A:$D,2,FALSE)="VYPRODÁNO",$V$9,IF(VLOOKUP(C722,[1]List1!$A:$D,2,FALSE)="DOCHÁZÍ",$V$3,VLOOKUP(C722,[1]List1!$A:$D,2,FALSE))),"OFFLINE!")</f>
        <v>SKLADEM</v>
      </c>
      <c r="AD722" s="570" t="str">
        <f ca="1">IF(AP722="NE",$V$10,IF(AC722=$V$3,IF(AQ722&lt;1,$V$8,$V$2&amp;" "&amp;AQ722&amp;" "&amp;$V$1),IF(AC722="SKLADEM",$V$6,IFERROR(IF(OR(AC722-TODAY()&gt;45,VLOOKUP(C722,[1]List1!$A:$E,4,FALSE)=0),AC722,DAY(AC722)&amp;"."&amp;MONTH(AC722)&amp;"."&amp;YEAR(AC722)&amp;" "&amp;$V$4&amp;VLOOKUP(C722,[1]List1!$A:$E,4,FALSE)&amp;" "&amp;$V$1),AC722))))</f>
        <v>SKLADEM</v>
      </c>
      <c r="AE722" s="581" t="str">
        <f t="shared" ca="1" si="2174"/>
        <v>SKLADEM</v>
      </c>
      <c r="AF722" s="584">
        <f t="shared" si="2175"/>
        <v>0</v>
      </c>
      <c r="AG722" s="585">
        <f t="shared" si="2176"/>
        <v>0</v>
      </c>
      <c r="AH722" s="583">
        <f t="shared" si="2177"/>
        <v>0</v>
      </c>
      <c r="AI722" s="582">
        <f t="shared" si="2178"/>
        <v>0</v>
      </c>
      <c r="AJ722" s="569">
        <f t="shared" si="2179"/>
        <v>0</v>
      </c>
      <c r="AK722" s="569" t="str">
        <f t="shared" si="2180"/>
        <v/>
      </c>
      <c r="AL722" s="569">
        <f t="shared" si="2181"/>
        <v>0</v>
      </c>
      <c r="AM722" s="569" t="str">
        <f t="shared" si="2182"/>
        <v/>
      </c>
      <c r="AN722" s="581">
        <f t="shared" si="2183"/>
        <v>0</v>
      </c>
      <c r="AO722" s="623"/>
      <c r="AP722" s="632" t="str">
        <f t="shared" si="2064"/>
        <v/>
      </c>
      <c r="AQ722" s="633" t="str">
        <f>IF(AC722=$V$3,IF(VLOOKUP(C722,[1]List1!$A:$E,5,FALSE)=0,1,VLOOKUP(C722,[1]List1!$A:$E,5,FALSE)),"")</f>
        <v/>
      </c>
      <c r="AR722" s="625" t="str">
        <f t="shared" si="2065"/>
        <v/>
      </c>
      <c r="AS722" s="634" t="str">
        <f t="shared" si="2066"/>
        <v/>
      </c>
      <c r="AT722" s="625" t="str">
        <f t="shared" si="2067"/>
        <v/>
      </c>
      <c r="AU722" s="638" t="e">
        <f t="shared" si="2068"/>
        <v>#N/A</v>
      </c>
      <c r="AV722" s="625" t="e">
        <f t="shared" si="2069"/>
        <v>#N/A</v>
      </c>
      <c r="AX722" s="625">
        <f>IF(AND('General price list'!$J722="F4",'General price list'!$AB722+0&gt;0),1,0)</f>
        <v>0</v>
      </c>
      <c r="AY722" s="625">
        <f t="shared" si="2070"/>
        <v>1</v>
      </c>
      <c r="AZ722" s="625">
        <f t="shared" si="2071"/>
        <v>0</v>
      </c>
    </row>
    <row r="723" spans="1:52" ht="15" customHeight="1">
      <c r="A723" s="751" t="str">
        <f>Kat.!C723</f>
        <v xml:space="preserve">           Baterie min 250 ran, 50 mm moždíř – 1.3G</v>
      </c>
      <c r="B723" s="751"/>
      <c r="C723" s="751"/>
      <c r="D723" s="751"/>
      <c r="E723" s="751"/>
      <c r="F723" s="751"/>
      <c r="G723" s="751"/>
      <c r="H723" s="751"/>
      <c r="I723" s="752"/>
      <c r="J723" s="752"/>
      <c r="K723" s="752" t="s">
        <v>20</v>
      </c>
      <c r="L723" s="753" t="s">
        <v>20</v>
      </c>
      <c r="M723" s="752"/>
      <c r="N723" s="752"/>
      <c r="O723" s="752"/>
      <c r="P723" s="752"/>
      <c r="Q723" s="752"/>
      <c r="R723" s="752"/>
      <c r="S723" s="752"/>
      <c r="T723" s="752"/>
      <c r="U723" s="752"/>
      <c r="V723" s="752"/>
      <c r="W723" s="752"/>
      <c r="X723" s="752"/>
      <c r="Y723" s="752"/>
      <c r="Z723" s="752" t="s">
        <v>20</v>
      </c>
      <c r="AA723" s="752"/>
      <c r="AB723" s="752"/>
      <c r="AC723" s="754"/>
      <c r="AD723" s="752"/>
      <c r="AE723" s="752"/>
      <c r="AF723" s="752"/>
      <c r="AG723" s="752"/>
      <c r="AH723" s="752"/>
      <c r="AI723" s="752"/>
      <c r="AJ723" s="752"/>
      <c r="AK723" s="752"/>
      <c r="AL723" s="752"/>
      <c r="AM723" s="752"/>
      <c r="AN723" s="752"/>
      <c r="AO723" s="623"/>
      <c r="AP723" s="632" t="str">
        <f t="shared" si="2064"/>
        <v/>
      </c>
      <c r="AQ723" s="633" t="str">
        <f>IF(AC723=$V$3,IF(VLOOKUP(C723,[1]List1!$A:$E,5,FALSE)=0,1,VLOOKUP(C723,[1]List1!$A:$E,5,FALSE)),"")</f>
        <v/>
      </c>
      <c r="AR723" s="625" t="str">
        <f t="shared" si="2065"/>
        <v/>
      </c>
      <c r="AS723" s="634" t="str">
        <f t="shared" si="2066"/>
        <v/>
      </c>
      <c r="AT723" s="625" t="str">
        <f t="shared" si="2067"/>
        <v/>
      </c>
      <c r="AU723" s="638" t="e">
        <f t="shared" si="2068"/>
        <v>#N/A</v>
      </c>
      <c r="AV723" s="625" t="e">
        <f t="shared" si="2069"/>
        <v>#N/A</v>
      </c>
      <c r="AX723" s="625">
        <f>IF(AND('General price list'!$J723="F4",'General price list'!$AB723+0&gt;0),1,0)</f>
        <v>0</v>
      </c>
      <c r="AY723" s="625">
        <f t="shared" si="2070"/>
        <v>0</v>
      </c>
      <c r="AZ723" s="625">
        <f t="shared" si="2071"/>
        <v>0</v>
      </c>
    </row>
    <row r="724" spans="1:52" ht="15.75" customHeight="1">
      <c r="A724" s="639" t="str">
        <f>Kat.!C724</f>
        <v/>
      </c>
      <c r="B724" s="640">
        <f>IF(AND('General price list'!$J724="F4",$AI$1=FALSE),0,IF(AC724="SKLADEM",1,IF(AC724=$V$3,1,0)))</f>
        <v>1</v>
      </c>
      <c r="C724" s="641" t="s">
        <v>1433</v>
      </c>
      <c r="D724" s="642" t="s">
        <v>1434</v>
      </c>
      <c r="E724" s="643" t="s">
        <v>12747</v>
      </c>
      <c r="F724" s="773">
        <f>IFERROR(VLOOKUP(C724,[2]List1!$A:$D,3,FALSE),"NEUVEDENO!")</f>
        <v>1949</v>
      </c>
      <c r="G724" s="770">
        <f t="shared" ref="G724" si="2184">IF($W$17=$AF$8,ROUND((F724)/$F$17,2),(F724)*$B$19)</f>
        <v>1949</v>
      </c>
      <c r="H724" s="767">
        <f t="shared" ref="H724" si="2185">IF($W$17=$AF$8,G724*$B$19,G724/$F$17)</f>
        <v>82.790670013975443</v>
      </c>
      <c r="I724" s="644">
        <f>IFERROR(VLOOKUP(C724,[2]List1!$A:$D,4,FALSE),"NEUVEDENO!")</f>
        <v>2</v>
      </c>
      <c r="J724" s="733" t="s">
        <v>113</v>
      </c>
      <c r="K724" s="645" t="s">
        <v>20</v>
      </c>
      <c r="L724" s="645" t="s">
        <v>20</v>
      </c>
      <c r="M724" s="645" t="s">
        <v>114</v>
      </c>
      <c r="N724" s="645">
        <f>IFERROR(VLOOKUP(C724,[3]List1!$A:$D,4,FALSE),"N/A!")</f>
        <v>6.3488000000000003E-2</v>
      </c>
      <c r="O724" s="645">
        <f>IFERROR(VLOOKUP(C724,[3]List1!$A:$D,3,FALSE),"N/A!")</f>
        <v>2000</v>
      </c>
      <c r="P724" s="645">
        <f>IFERROR(VLOOKUP(C724,[3]List1!$A:$D,2,FALSE),"N/A!")</f>
        <v>17000</v>
      </c>
      <c r="Q724" s="645" t="s">
        <v>12781</v>
      </c>
      <c r="R724" s="645"/>
      <c r="S724" s="645" t="str">
        <f>IF($W$17=$AF$1,"design",IFERROR(VLOOKUP("design",Jazyky_ceník!$A:$Q,MATCH($W$17,Jazyky_ceník!$A$1:$Q$1,0),FALSE),"!!!"))</f>
        <v>design</v>
      </c>
      <c r="T724" s="645">
        <v>30</v>
      </c>
      <c r="U724" s="645">
        <v>60</v>
      </c>
      <c r="V724" s="645"/>
      <c r="W724" s="645" t="str">
        <f>IFERROR(IF(AND($AB724&gt;=0.1*$AA724,MOD($AB724,$AA724)&gt;=($AA724-(0.1*$AA724))),IF($W$17=$AF$1,"Zvažte možnost doobjednání ještě "&amp;Tabulka1[[#This Row],[VKPAL]]-MOD(AB724,AA724)&amp;" VK do plné palety.",VLOOKUP("Zvažte možnost doobjednání ještě ",Jazyky_ceník!A:Q,MATCH($W$17,Jazyky_ceník!$A$1:$Q$1,0),FALSE)&amp;Tabulka1[[#This Row],[VKPAL]]-MOD(AB724,AA724)&amp;VLOOKUP(" VK do plné palety.",Jazyky_ceník!A:Q,MATCH($W$17,Jazyky_ceník!$A$1:$Q$1,0),FALSE)),IFERROR(IF(AND(NOT(MOD($AB724,$AA724)=0),$AB724&gt;=0.9*$AA724,MOD($AB724,$AA724)&lt;=0.1*$AA724),IF($W$17=$AF$1,"Zvažte možnost optimalizace objednaného množství podle počtu VK na paletě ==&gt;",VLOOKUP("Zvažte možnost optimalizace objednaného množství podle počtu VK na paletě ==&gt;",Jazyky_ceník!A:Q,MATCH($W$17,Jazyky_ceník!$A$1:$Q$1,0),FALSE)),VLOOKUP('General price list'!$C724,Popisy!A:M,MATCH($W$17,Popisy!$A$7:$M$7,0),FALSE)),"---------------")),IFERROR(VLOOKUP('General price list'!$C724,Popisy!A:M,MATCH($W$17,Popisy!$A$7:$M$7,0),FALSE),"---------------"))</f>
        <v>Bílá mina s červenou stopou a titanovou explozí(každý moždíř obsahuje 10ran)</v>
      </c>
      <c r="X724" s="645" t="str">
        <f t="shared" ref="X724" si="2186">IF(AB724&lt;0.0001,"",AB724)</f>
        <v/>
      </c>
      <c r="Y724" s="645" t="str">
        <f t="shared" ref="Y724" si="2187">IF($AL$3=2,IF(OR(AB724&lt;&gt;"",AB724&lt;&gt;0),AU724,""),IF(C724="","",IF(AB724&lt;0.0001,"",IF(B724=0,"",IF(AQ724&lt;AB724,"",AB724)))))</f>
        <v/>
      </c>
      <c r="Z724" s="645" t="str">
        <f>HYPERLINK("https://www.klasekpyrotechnics.cz/c2505d")</f>
        <v>https://www.klasekpyrotechnics.cz/c2505d</v>
      </c>
      <c r="AA724" s="645">
        <f>IFERROR(IF(VLOOKUP(C724,[4]List1!$A:$D,4,FALSE)=0,"",VLOOKUP(C724,[4]List1!$A:$D,4,FALSE)),"")</f>
        <v>20</v>
      </c>
      <c r="AB724" s="646"/>
      <c r="AC724" s="647" t="str">
        <f>IFERROR(IF(VLOOKUP(C724,[1]List1!$A:$D,2,FALSE)="VYPRODÁNO",$V$9,IF(VLOOKUP(C724,[1]List1!$A:$D,2,FALSE)="DOCHÁZÍ",$V$3,VLOOKUP(C724,[1]List1!$A:$D,2,FALSE))),"OFFLINE!")</f>
        <v>SKLADEM</v>
      </c>
      <c r="AD724" s="647" t="str">
        <f ca="1">IF(AP724="NE",$V$10,IF(AC724=$V$3,IF(AQ724&lt;1,$V$8,$V$2&amp;" "&amp;AQ724&amp;" "&amp;$V$1),IF(AC724="SKLADEM",$V$6,IFERROR(IF(OR(AC724-TODAY()&gt;45,VLOOKUP(C724,[1]List1!$A:$E,4,FALSE)=0),AC724,DAY(AC724)&amp;"."&amp;MONTH(AC724)&amp;"."&amp;YEAR(AC724)&amp;" "&amp;$V$4&amp;VLOOKUP(C724,[1]List1!$A:$E,4,FALSE)&amp;" "&amp;$V$1),AC724))))</f>
        <v>SKLADEM</v>
      </c>
      <c r="AE724" s="645" t="str">
        <f t="shared" ref="AE724" ca="1" si="2188">IFERROR(IF(AV724&lt;&gt;"",AV724,AD724),AD724)</f>
        <v>SKLADEM</v>
      </c>
      <c r="AF724" s="648">
        <f t="shared" ref="AF724" si="2189">IFERROR(IF(AB724=Y724,G724*I724*Y724,0),0)</f>
        <v>0</v>
      </c>
      <c r="AG724" s="649">
        <f t="shared" ref="AG724" si="2190">IF($W$17=$AF$8,AH724*1.23,AF724*1.21)</f>
        <v>0</v>
      </c>
      <c r="AH724" s="650">
        <f t="shared" ref="AH724" si="2191">IFERROR(IF(Y724=AB724,H724*I724*Y724,0),0)</f>
        <v>0</v>
      </c>
      <c r="AI724" s="645">
        <f t="shared" ref="AI724" si="2192">IFERROR(IF(Y724=AB724,(P724*Y724)/1000,1),0)</f>
        <v>0</v>
      </c>
      <c r="AJ724" s="645">
        <f t="shared" ref="AJ724" si="2193">IFERROR(IF(Y724=AB724,N724*Y724,0.1),0)</f>
        <v>0</v>
      </c>
      <c r="AK724" s="645" t="str">
        <f t="shared" ref="AK724" si="2194">IFERROR(IF(Y724=AB724,IF(M724="1.1G",(O724/1000)*Y724,""),""),0)</f>
        <v/>
      </c>
      <c r="AL724" s="645">
        <f t="shared" ref="AL724" si="2195">IFERROR(IF(Y724=AB724,IF(M724="1.3G",(O724/1000)*AB724,""),""),0)</f>
        <v>0</v>
      </c>
      <c r="AM724" s="645" t="str">
        <f t="shared" ref="AM724" si="2196">IFERROR(IF(Y724=AB724,IF(M724="1.4G",(O724/1000)*AB724,""),""),0)</f>
        <v/>
      </c>
      <c r="AN724" s="651">
        <f t="shared" ref="AN724" si="2197">SUM(AK724:AM724)</f>
        <v>0</v>
      </c>
      <c r="AO724" s="623"/>
      <c r="AP724" s="632" t="str">
        <f t="shared" si="2064"/>
        <v/>
      </c>
      <c r="AQ724" s="633" t="str">
        <f>IF(AC724=$V$3,IF(VLOOKUP(C724,[1]List1!$A:$E,5,FALSE)=0,1,VLOOKUP(C724,[1]List1!$A:$E,5,FALSE)),"")</f>
        <v/>
      </c>
      <c r="AR724" s="625" t="str">
        <f t="shared" si="2065"/>
        <v/>
      </c>
      <c r="AS724" s="634" t="str">
        <f t="shared" si="2066"/>
        <v/>
      </c>
      <c r="AT724" s="625" t="str">
        <f t="shared" si="2067"/>
        <v/>
      </c>
      <c r="AU724" s="638" t="e">
        <f t="shared" si="2068"/>
        <v>#N/A</v>
      </c>
      <c r="AV724" s="625" t="e">
        <f t="shared" si="2069"/>
        <v>#N/A</v>
      </c>
      <c r="AX724" s="625">
        <f>IF(AND('General price list'!$J724="F4",'General price list'!$AB724+0&gt;0),1,0)</f>
        <v>0</v>
      </c>
      <c r="AY724" s="625">
        <f t="shared" si="2070"/>
        <v>1</v>
      </c>
      <c r="AZ724" s="625">
        <f t="shared" si="2071"/>
        <v>0</v>
      </c>
    </row>
    <row r="725" spans="1:52" ht="15" customHeight="1">
      <c r="A725" s="751" t="str">
        <f>Kat.!C725</f>
        <v xml:space="preserve">           Baterie 24 ran, 63 mm moždíř – 1.3G</v>
      </c>
      <c r="B725" s="751"/>
      <c r="C725" s="751"/>
      <c r="D725" s="751"/>
      <c r="E725" s="751"/>
      <c r="F725" s="751"/>
      <c r="G725" s="751"/>
      <c r="H725" s="751"/>
      <c r="I725" s="752"/>
      <c r="J725" s="752"/>
      <c r="K725" s="752" t="s">
        <v>20</v>
      </c>
      <c r="L725" s="753" t="s">
        <v>20</v>
      </c>
      <c r="M725" s="752"/>
      <c r="N725" s="752"/>
      <c r="O725" s="752"/>
      <c r="P725" s="752"/>
      <c r="Q725" s="752"/>
      <c r="R725" s="752"/>
      <c r="S725" s="752"/>
      <c r="T725" s="752"/>
      <c r="U725" s="752"/>
      <c r="V725" s="752"/>
      <c r="W725" s="752"/>
      <c r="X725" s="752"/>
      <c r="Y725" s="752"/>
      <c r="Z725" s="752" t="s">
        <v>20</v>
      </c>
      <c r="AA725" s="752"/>
      <c r="AB725" s="752"/>
      <c r="AC725" s="754"/>
      <c r="AD725" s="752"/>
      <c r="AE725" s="752"/>
      <c r="AF725" s="752"/>
      <c r="AG725" s="752"/>
      <c r="AH725" s="752"/>
      <c r="AI725" s="752"/>
      <c r="AJ725" s="752"/>
      <c r="AK725" s="752"/>
      <c r="AL725" s="752"/>
      <c r="AM725" s="752"/>
      <c r="AN725" s="752"/>
      <c r="AO725" s="623"/>
      <c r="AP725" s="632" t="str">
        <f t="shared" ref="AP725:AP726" si="2198">IF($AL$3=1,IF(Y725=AB725,"","NE"),IF(AR725=$V$10,"NE",""))</f>
        <v/>
      </c>
      <c r="AQ725" s="633" t="str">
        <f>IF(AC725=$V$3,IF(VLOOKUP(C725,[1]List1!$A:$E,5,FALSE)=0,1,VLOOKUP(C725,[1]List1!$A:$E,5,FALSE)),"")</f>
        <v/>
      </c>
      <c r="AR725" s="625" t="str">
        <f t="shared" ref="AR725:AR726" si="2199">IF($AL$3=1,"",IF(OR(AB725&lt;&gt;"",AB725&lt;&gt;0),IF(OR(AC725=$V$6,AC725=$V$3,AC725=$V$9),$V$10,""),""))</f>
        <v/>
      </c>
      <c r="AS725" s="634" t="str">
        <f t="shared" ref="AS725:AS726" si="2200">IF(AT725&lt;&gt;"","X","")</f>
        <v/>
      </c>
      <c r="AT725" s="625" t="str">
        <f t="shared" ref="AT725:AT726" si="2201">IF(AND($AL$3=2,AR725="",AB725&lt;&gt;""),AD725,"")</f>
        <v/>
      </c>
      <c r="AU725" s="638" t="e">
        <f t="shared" ref="AU725:AU726" si="2202">IF(AT725=$AS$21,AB725,"")</f>
        <v>#N/A</v>
      </c>
      <c r="AV725" s="625" t="e">
        <f t="shared" ref="AV725:AV726" si="2203">IF(OR(AB725="",AND(AT725&lt;&gt;"",AU725&lt;&gt;"")),"",$V$10)</f>
        <v>#N/A</v>
      </c>
      <c r="AX725" s="625">
        <f>IF(AND('General price list'!$J725="F4",'General price list'!$AB725+0&gt;0),1,0)</f>
        <v>0</v>
      </c>
      <c r="AY725" s="625">
        <f t="shared" ref="AY725:AY726" si="2204">IFERROR(FIND(VLOOKUP($AC$7,$AD$1:$AE$12,2,FALSE),Q725,1),0)</f>
        <v>0</v>
      </c>
      <c r="AZ725" s="625">
        <f t="shared" ref="AZ725:AZ726" si="2205">IFERROR(FIND(VLOOKUP($AC$7,$AD$1:$AE$12,2,FALSE),R725,1),0)</f>
        <v>0</v>
      </c>
    </row>
    <row r="726" spans="1:52" ht="15.75" customHeight="1">
      <c r="A726" s="639" t="str">
        <f>Kat.!C726</f>
        <v/>
      </c>
      <c r="B726" s="640">
        <f>IF(AND('General price list'!$J726="F4",$AI$1=FALSE),0,IF(AC726="SKLADEM",1,IF(AC726=$V$3,1,0)))</f>
        <v>0</v>
      </c>
      <c r="C726" s="641" t="s">
        <v>1439</v>
      </c>
      <c r="D726" s="642" t="s">
        <v>1440</v>
      </c>
      <c r="E726" s="643" t="s">
        <v>12747</v>
      </c>
      <c r="F726" s="773">
        <f>IFERROR(VLOOKUP(C726,[2]List1!$A:$D,3,FALSE),"NEUVEDENO!")</f>
        <v>3940</v>
      </c>
      <c r="G726" s="770">
        <f t="shared" ref="G726" si="2206">IF($W$17=$AF$8,ROUND((F726)/$F$17,2),(F726)*$B$19)</f>
        <v>3940</v>
      </c>
      <c r="H726" s="767">
        <f t="shared" ref="H726" si="2207">IF($W$17=$AF$8,G726*$B$19,G726/$F$17)</f>
        <v>167.36543861214122</v>
      </c>
      <c r="I726" s="644">
        <f>IFERROR(VLOOKUP(C726,[2]List1!$A:$D,4,FALSE),"NEUVEDENO!")</f>
        <v>2</v>
      </c>
      <c r="J726" s="733" t="s">
        <v>614</v>
      </c>
      <c r="K726" s="645" t="s">
        <v>20</v>
      </c>
      <c r="L726" s="645" t="s">
        <v>20</v>
      </c>
      <c r="M726" s="645" t="s">
        <v>114</v>
      </c>
      <c r="N726" s="645">
        <f>IFERROR(VLOOKUP(C726,[3]List1!$A:$D,4,FALSE),"N/A!")</f>
        <v>9.917999999999999E-2</v>
      </c>
      <c r="O726" s="645">
        <f>IFERROR(VLOOKUP(C726,[3]List1!$A:$D,3,FALSE),"N/A!")</f>
        <v>1920</v>
      </c>
      <c r="P726" s="645">
        <f>IFERROR(VLOOKUP(C726,[3]List1!$A:$D,2,FALSE),"N/A!")</f>
        <v>25100</v>
      </c>
      <c r="Q726" s="645" t="s">
        <v>11328</v>
      </c>
      <c r="R726" s="645" t="s">
        <v>20</v>
      </c>
      <c r="S726" s="645" t="str">
        <f>IF($W$17=$AF$1,"design",IFERROR(VLOOKUP("design",Jazyky_ceník!$A:$Q,MATCH($W$17,Jazyky_ceník!$A$1:$Q$1,0),FALSE),"!!!"))</f>
        <v>design</v>
      </c>
      <c r="T726" s="645">
        <v>50</v>
      </c>
      <c r="U726" s="645">
        <v>75</v>
      </c>
      <c r="V726" s="645">
        <v>47</v>
      </c>
      <c r="W726" s="645" t="str">
        <f>IFERROR(IF(AND($AB726&gt;=0.1*$AA726,MOD($AB726,$AA726)&gt;=($AA726-(0.1*$AA726))),IF($W$17=$AF$1,"Zvažte možnost doobjednání ještě "&amp;Tabulka1[[#This Row],[VKPAL]]-MOD(AB726,AA726)&amp;" VK do plné palety.",VLOOKUP("Zvažte možnost doobjednání ještě ",Jazyky_ceník!A:Q,MATCH($W$17,Jazyky_ceník!$A$1:$Q$1,0),FALSE)&amp;Tabulka1[[#This Row],[VKPAL]]-MOD(AB726,AA726)&amp;VLOOKUP(" VK do plné palety.",Jazyky_ceník!A:Q,MATCH($W$17,Jazyky_ceník!$A$1:$Q$1,0),FALSE)),IFERROR(IF(AND(NOT(MOD($AB726,$AA726)=0),$AB726&gt;=0.9*$AA726,MOD($AB726,$AA726)&lt;=0.1*$AA726),IF($W$17=$AF$1,"Zvažte možnost optimalizace objednaného množství podle počtu VK na paletě ==&gt;",VLOOKUP("Zvažte možnost optimalizace objednaného množství podle počtu VK na paletě ==&gt;",Jazyky_ceník!A:Q,MATCH($W$17,Jazyky_ceník!$A$1:$Q$1,0),FALSE)),VLOOKUP('General price list'!$C726,Popisy!A:M,MATCH($W$17,Popisy!$A$7:$M$7,0),FALSE)),"---------------")),IFERROR(VLOOKUP('General price list'!$C726,Popisy!A:M,MATCH($W$17,Popisy!$A$7:$M$7,0),FALSE),"---------------"))</f>
        <v>6 různobarevných efektů</v>
      </c>
      <c r="X726" s="645" t="str">
        <f t="shared" ref="X726" si="2208">IF(AB726&lt;0.0001,"",AB726)</f>
        <v/>
      </c>
      <c r="Y726" s="645" t="str">
        <f t="shared" ref="Y726" si="2209">IF($AL$3=2,IF(OR(AB726&lt;&gt;"",AB726&lt;&gt;0),AU726,""),IF(C726="","",IF(AB726&lt;0.0001,"",IF(B726=0,"",IF(AQ726&lt;AB726,"",AB726)))))</f>
        <v/>
      </c>
      <c r="Z726" s="645" t="str">
        <f>HYPERLINK("https://www.klasekpyrotechnics.cz/c2463b")</f>
        <v>https://www.klasekpyrotechnics.cz/c2463b</v>
      </c>
      <c r="AA726" s="645" t="str">
        <f>IFERROR(IF(VLOOKUP(C726,[4]List1!$A:$D,4,FALSE)=0,"",VLOOKUP(C726,[4]List1!$A:$D,4,FALSE)),"")</f>
        <v>16</v>
      </c>
      <c r="AB726" s="646"/>
      <c r="AC726" s="647" t="str">
        <f>IFERROR(IF(VLOOKUP(C726,[1]List1!$A:$D,2,FALSE)="VYPRODÁNO",$V$9,IF(VLOOKUP(C726,[1]List1!$A:$D,2,FALSE)="DOCHÁZÍ",$V$3,VLOOKUP(C726,[1]List1!$A:$D,2,FALSE))),"OFFLINE!")</f>
        <v>SKLADEM</v>
      </c>
      <c r="AD726" s="647" t="str">
        <f ca="1">IF(AP726="NE",$V$10,IF(AC726=$V$3,IF(AQ726&lt;1,$V$8,$V$2&amp;" "&amp;AQ726&amp;" "&amp;$V$1),IF(AC726="SKLADEM",$V$6,IFERROR(IF(OR(AC726-TODAY()&gt;45,VLOOKUP(C726,[1]List1!$A:$E,4,FALSE)=0),AC726,DAY(AC726)&amp;"."&amp;MONTH(AC726)&amp;"."&amp;YEAR(AC726)&amp;" "&amp;$V$4&amp;VLOOKUP(C726,[1]List1!$A:$E,4,FALSE)&amp;" "&amp;$V$1),AC726))))</f>
        <v>SKLADEM</v>
      </c>
      <c r="AE726" s="645" t="str">
        <f t="shared" ref="AE726" ca="1" si="2210">IFERROR(IF(AV726&lt;&gt;"",AV726,AD726),AD726)</f>
        <v>SKLADEM</v>
      </c>
      <c r="AF726" s="648">
        <f t="shared" ref="AF726" si="2211">IFERROR(IF(AB726=Y726,G726*I726*Y726,0),0)</f>
        <v>0</v>
      </c>
      <c r="AG726" s="649">
        <f t="shared" ref="AG726" si="2212">IF($W$17=$AF$8,AH726*1.23,AF726*1.21)</f>
        <v>0</v>
      </c>
      <c r="AH726" s="650">
        <f t="shared" ref="AH726" si="2213">IFERROR(IF(Y726=AB726,H726*I726*Y726,0),0)</f>
        <v>0</v>
      </c>
      <c r="AI726" s="645">
        <f t="shared" ref="AI726" si="2214">IFERROR(IF(Y726=AB726,(P726*Y726)/1000,1),0)</f>
        <v>0</v>
      </c>
      <c r="AJ726" s="645">
        <f t="shared" ref="AJ726" si="2215">IFERROR(IF(Y726=AB726,N726*Y726,0.1),0)</f>
        <v>0</v>
      </c>
      <c r="AK726" s="645" t="str">
        <f t="shared" ref="AK726" si="2216">IFERROR(IF(Y726=AB726,IF(M726="1.1G",(O726/1000)*Y726,""),""),0)</f>
        <v/>
      </c>
      <c r="AL726" s="645">
        <f t="shared" ref="AL726" si="2217">IFERROR(IF(Y726=AB726,IF(M726="1.3G",(O726/1000)*AB726,""),""),0)</f>
        <v>0</v>
      </c>
      <c r="AM726" s="645" t="str">
        <f t="shared" ref="AM726" si="2218">IFERROR(IF(Y726=AB726,IF(M726="1.4G",(O726/1000)*AB726,""),""),0)</f>
        <v/>
      </c>
      <c r="AN726" s="651">
        <f t="shared" ref="AN726" si="2219">SUM(AK726:AM726)</f>
        <v>0</v>
      </c>
      <c r="AO726" s="623"/>
      <c r="AP726" s="632" t="str">
        <f t="shared" si="2198"/>
        <v/>
      </c>
      <c r="AQ726" s="633" t="str">
        <f>IF(AC726=$V$3,IF(VLOOKUP(C726,[1]List1!$A:$E,5,FALSE)=0,1,VLOOKUP(C726,[1]List1!$A:$E,5,FALSE)),"")</f>
        <v/>
      </c>
      <c r="AR726" s="625" t="str">
        <f t="shared" si="2199"/>
        <v/>
      </c>
      <c r="AS726" s="634" t="str">
        <f t="shared" si="2200"/>
        <v/>
      </c>
      <c r="AT726" s="625" t="str">
        <f t="shared" si="2201"/>
        <v/>
      </c>
      <c r="AU726" s="638" t="e">
        <f t="shared" si="2202"/>
        <v>#N/A</v>
      </c>
      <c r="AV726" s="625" t="e">
        <f t="shared" si="2203"/>
        <v>#N/A</v>
      </c>
      <c r="AX726" s="625">
        <f>IF(AND('General price list'!$J726="F4",'General price list'!$AB726+0&gt;0),1,0)</f>
        <v>0</v>
      </c>
      <c r="AY726" s="625">
        <f t="shared" si="2204"/>
        <v>1</v>
      </c>
      <c r="AZ726" s="625">
        <f t="shared" si="2205"/>
        <v>0</v>
      </c>
    </row>
    <row r="727" spans="1:52" ht="15.75" customHeight="1">
      <c r="A727" s="751" t="str">
        <f>Kat.!C727</f>
        <v xml:space="preserve">           Baterie 25 ran, 75 mm moždíř – 1.3G</v>
      </c>
      <c r="B727" s="751"/>
      <c r="C727" s="751"/>
      <c r="D727" s="751"/>
      <c r="E727" s="751"/>
      <c r="F727" s="751"/>
      <c r="G727" s="751"/>
      <c r="H727" s="751"/>
      <c r="I727" s="752"/>
      <c r="J727" s="752"/>
      <c r="K727" s="752" t="s">
        <v>20</v>
      </c>
      <c r="L727" s="753" t="s">
        <v>20</v>
      </c>
      <c r="M727" s="752"/>
      <c r="N727" s="752"/>
      <c r="O727" s="752"/>
      <c r="P727" s="752"/>
      <c r="Q727" s="752"/>
      <c r="R727" s="752"/>
      <c r="S727" s="752"/>
      <c r="T727" s="752"/>
      <c r="U727" s="752"/>
      <c r="V727" s="752"/>
      <c r="W727" s="752"/>
      <c r="X727" s="752"/>
      <c r="Y727" s="752"/>
      <c r="Z727" s="752" t="s">
        <v>20</v>
      </c>
      <c r="AA727" s="752"/>
      <c r="AB727" s="752"/>
      <c r="AC727" s="754"/>
      <c r="AD727" s="752"/>
      <c r="AE727" s="752"/>
      <c r="AF727" s="752"/>
      <c r="AG727" s="752"/>
      <c r="AH727" s="752"/>
      <c r="AI727" s="752"/>
      <c r="AJ727" s="752"/>
      <c r="AK727" s="752"/>
      <c r="AL727" s="752"/>
      <c r="AM727" s="752"/>
      <c r="AN727" s="752"/>
      <c r="AO727" s="623"/>
      <c r="AP727" s="625" t="str">
        <f t="shared" si="2064"/>
        <v/>
      </c>
      <c r="AQ727" s="625" t="str">
        <f>IF(AC727=$V$3,IF(VLOOKUP(C727,[1]List1!$A:$E,5,FALSE)=0,1,VLOOKUP(C727,[1]List1!$A:$E,5,FALSE)),"")</f>
        <v/>
      </c>
      <c r="AR727" s="629" t="str">
        <f t="shared" si="2065"/>
        <v/>
      </c>
      <c r="AS727" s="630" t="str">
        <f t="shared" si="2066"/>
        <v/>
      </c>
      <c r="AT727" s="625" t="str">
        <f t="shared" si="2067"/>
        <v/>
      </c>
      <c r="AU727" s="625" t="e">
        <f t="shared" si="2068"/>
        <v>#N/A</v>
      </c>
      <c r="AV727" s="625" t="e">
        <f t="shared" si="2069"/>
        <v>#N/A</v>
      </c>
      <c r="AW727" s="631"/>
      <c r="AX727" s="631">
        <f>IF(AND('General price list'!$J727="F4",'General price list'!$AB727+0&gt;0),1,0)</f>
        <v>0</v>
      </c>
      <c r="AY727" s="631">
        <f t="shared" si="2070"/>
        <v>0</v>
      </c>
      <c r="AZ727" s="631">
        <f t="shared" si="2071"/>
        <v>0</v>
      </c>
    </row>
    <row r="728" spans="1:52" ht="15.75" customHeight="1">
      <c r="A728" s="639" t="str">
        <f>Kat.!C728</f>
        <v/>
      </c>
      <c r="B728" s="640">
        <f>IF(AND('General price list'!$J728="F4",$AI$1=FALSE),0,IF(AC728="SKLADEM",1,IF(AC728=$V$3,1,0)))</f>
        <v>0</v>
      </c>
      <c r="C728" s="641" t="s">
        <v>1443</v>
      </c>
      <c r="D728" s="642" t="s">
        <v>1444</v>
      </c>
      <c r="E728" s="643" t="s">
        <v>12663</v>
      </c>
      <c r="F728" s="773">
        <f>IFERROR(VLOOKUP(C728,[2]List1!$A:$D,3,FALSE),"NEUVEDENO!")</f>
        <v>6499</v>
      </c>
      <c r="G728" s="770">
        <f t="shared" ref="G728" si="2220">IF($W$17=$AF$8,ROUND((F728)/$F$17,2),(F728)*$B$19)</f>
        <v>6499</v>
      </c>
      <c r="H728" s="767">
        <f t="shared" ref="H728" si="2221">IF($W$17=$AF$8,G728*$B$19,G728/$F$17)</f>
        <v>276.06801663459538</v>
      </c>
      <c r="I728" s="644">
        <f>IFERROR(VLOOKUP(C728,[2]List1!$A:$D,4,FALSE),"NEUVEDENO!")</f>
        <v>1</v>
      </c>
      <c r="J728" s="733" t="s">
        <v>614</v>
      </c>
      <c r="K728" s="645" t="s">
        <v>20</v>
      </c>
      <c r="L728" s="645" t="s">
        <v>20</v>
      </c>
      <c r="M728" s="645" t="s">
        <v>114</v>
      </c>
      <c r="N728" s="645">
        <f>IFERROR(VLOOKUP(C728,[3]List1!$A:$D,4,FALSE),"N/A!")</f>
        <v>9.5174999999999996E-2</v>
      </c>
      <c r="O728" s="645">
        <f>IFERROR(VLOOKUP(C728,[3]List1!$A:$D,3,FALSE),"N/A!")</f>
        <v>3750</v>
      </c>
      <c r="P728" s="645">
        <f>IFERROR(VLOOKUP(C728,[3]List1!$A:$D,2,FALSE),"N/A!")</f>
        <v>18300</v>
      </c>
      <c r="Q728" s="645" t="s">
        <v>11329</v>
      </c>
      <c r="R728" s="645"/>
      <c r="S728" s="645" t="str">
        <f>IF($W$17=$AF$1,"design",IFERROR(VLOOKUP("design",Jazyky_ceník!$A:$Q,MATCH($W$17,Jazyky_ceník!$A$1:$Q$1,0),FALSE),"!!!"))</f>
        <v>design</v>
      </c>
      <c r="T728" s="645">
        <v>60</v>
      </c>
      <c r="U728" s="645">
        <v>90</v>
      </c>
      <c r="V728" s="645">
        <v>55</v>
      </c>
      <c r="W728" s="645" t="str">
        <f>IFERROR(IF(AND($AB728&gt;=0.1*$AA728,MOD($AB728,$AA728)&gt;=($AA728-(0.1*$AA728))),IF($W$17=$AF$1,"Zvažte možnost doobjednání ještě "&amp;Tabulka1[[#This Row],[VKPAL]]-MOD(AB728,AA728)&amp;" VK do plné palety.",VLOOKUP("Zvažte možnost doobjednání ještě ",Jazyky_ceník!A:Q,MATCH($W$17,Jazyky_ceník!$A$1:$Q$1,0),FALSE)&amp;Tabulka1[[#This Row],[VKPAL]]-MOD(AB728,AA728)&amp;VLOOKUP(" VK do plné palety.",Jazyky_ceník!A:Q,MATCH($W$17,Jazyky_ceník!$A$1:$Q$1,0),FALSE)),IFERROR(IF(AND(NOT(MOD($AB728,$AA728)=0),$AB728&gt;=0.9*$AA728,MOD($AB728,$AA728)&lt;=0.1*$AA728),IF($W$17=$AF$1,"Zvažte možnost optimalizace objednaného množství podle počtu VK na paletě ==&gt;",VLOOKUP("Zvažte možnost optimalizace objednaného množství podle počtu VK na paletě ==&gt;",Jazyky_ceník!A:Q,MATCH($W$17,Jazyky_ceník!$A$1:$Q$1,0),FALSE)),VLOOKUP('General price list'!$C728,Popisy!A:M,MATCH($W$17,Popisy!$A$7:$M$7,0),FALSE)),"---------------")),IFERROR(VLOOKUP('General price list'!$C728,Popisy!A:M,MATCH($W$17,Popisy!$A$7:$M$7,0),FALSE),"---------------"))</f>
        <v>5 různobarevných efektů střídajících se po každé ráně</v>
      </c>
      <c r="X728" s="645" t="str">
        <f t="shared" ref="X728" si="2222">IF(AB728&lt;0.0001,"",AB728)</f>
        <v/>
      </c>
      <c r="Y728" s="645" t="str">
        <f t="shared" ref="Y728" si="2223">IF($AL$3=2,IF(OR(AB728&lt;&gt;"",AB728&lt;&gt;0),AU728,""),IF(C728="","",IF(AB728&lt;0.0001,"",IF(B728=0,"",IF(AQ728&lt;AB728,"",AB728)))))</f>
        <v/>
      </c>
      <c r="Z728" s="645" t="str">
        <f>HYPERLINK("https://www.klasekpyrotechnics.cz/c2575c")</f>
        <v>https://www.klasekpyrotechnics.cz/c2575c</v>
      </c>
      <c r="AA728" s="645" t="str">
        <f>IFERROR(IF(VLOOKUP(C728,[4]List1!$A:$D,4,FALSE)=0,"",VLOOKUP(C728,[4]List1!$A:$D,4,FALSE)),"")</f>
        <v>24</v>
      </c>
      <c r="AB728" s="646"/>
      <c r="AC728" s="647" t="str">
        <f>IFERROR(IF(VLOOKUP(C728,[1]List1!$A:$D,2,FALSE)="VYPRODÁNO",$V$9,IF(VLOOKUP(C728,[1]List1!$A:$D,2,FALSE)="DOCHÁZÍ",$V$3,VLOOKUP(C728,[1]List1!$A:$D,2,FALSE))),"OFFLINE!")</f>
        <v>SKLADEM</v>
      </c>
      <c r="AD728" s="647" t="str">
        <f ca="1">IF(AP728="NE",$V$10,IF(AC728=$V$3,IF(AQ728&lt;1,$V$8,$V$2&amp;" "&amp;AQ728&amp;" "&amp;$V$1),IF(AC728="SKLADEM",$V$6,IFERROR(IF(OR(AC728-TODAY()&gt;45,VLOOKUP(C728,[1]List1!$A:$E,4,FALSE)=0),AC728,DAY(AC728)&amp;"."&amp;MONTH(AC728)&amp;"."&amp;YEAR(AC728)&amp;" "&amp;$V$4&amp;VLOOKUP(C728,[1]List1!$A:$E,4,FALSE)&amp;" "&amp;$V$1),AC728))))</f>
        <v>SKLADEM</v>
      </c>
      <c r="AE728" s="645" t="str">
        <f t="shared" ref="AE728" ca="1" si="2224">IFERROR(IF(AV728&lt;&gt;"",AV728,AD728),AD728)</f>
        <v>SKLADEM</v>
      </c>
      <c r="AF728" s="648">
        <f t="shared" ref="AF728" si="2225">IFERROR(IF(AB728=Y728,G728*I728*Y728,0),0)</f>
        <v>0</v>
      </c>
      <c r="AG728" s="649">
        <f t="shared" ref="AG728" si="2226">IF($W$17=$AF$8,AH728*1.23,AF728*1.21)</f>
        <v>0</v>
      </c>
      <c r="AH728" s="650">
        <f t="shared" ref="AH728" si="2227">IFERROR(IF(Y728=AB728,H728*I728*Y728,0),0)</f>
        <v>0</v>
      </c>
      <c r="AI728" s="645">
        <f t="shared" ref="AI728" si="2228">IFERROR(IF(Y728=AB728,(P728*Y728)/1000,1),0)</f>
        <v>0</v>
      </c>
      <c r="AJ728" s="645">
        <f t="shared" ref="AJ728" si="2229">IFERROR(IF(Y728=AB728,N728*Y728,0.1),0)</f>
        <v>0</v>
      </c>
      <c r="AK728" s="645" t="str">
        <f t="shared" ref="AK728" si="2230">IFERROR(IF(Y728=AB728,IF(M728="1.1G",(O728/1000)*Y728,""),""),0)</f>
        <v/>
      </c>
      <c r="AL728" s="645">
        <f t="shared" ref="AL728" si="2231">IFERROR(IF(Y728=AB728,IF(M728="1.3G",(O728/1000)*AB728,""),""),0)</f>
        <v>0</v>
      </c>
      <c r="AM728" s="645" t="str">
        <f t="shared" ref="AM728" si="2232">IFERROR(IF(Y728=AB728,IF(M728="1.4G",(O728/1000)*AB728,""),""),0)</f>
        <v/>
      </c>
      <c r="AN728" s="651">
        <f t="shared" ref="AN728" si="2233">SUM(AK728:AM728)</f>
        <v>0</v>
      </c>
      <c r="AO728" s="623"/>
      <c r="AP728" s="625" t="str">
        <f t="shared" si="2064"/>
        <v/>
      </c>
      <c r="AQ728" s="625" t="str">
        <f>IF(AC728=$V$3,IF(VLOOKUP(C728,[1]List1!$A:$E,5,FALSE)=0,1,VLOOKUP(C728,[1]List1!$A:$E,5,FALSE)),"")</f>
        <v/>
      </c>
      <c r="AR728" s="629" t="str">
        <f t="shared" si="2065"/>
        <v/>
      </c>
      <c r="AS728" s="630" t="str">
        <f t="shared" si="2066"/>
        <v/>
      </c>
      <c r="AT728" s="625" t="str">
        <f t="shared" si="2067"/>
        <v/>
      </c>
      <c r="AU728" s="625" t="e">
        <f t="shared" si="2068"/>
        <v>#N/A</v>
      </c>
      <c r="AV728" s="625" t="e">
        <f t="shared" si="2069"/>
        <v>#N/A</v>
      </c>
      <c r="AW728" s="631"/>
      <c r="AX728" s="631">
        <f>IF(AND('General price list'!$J728="F4",'General price list'!$AB728+0&gt;0),1,0)</f>
        <v>0</v>
      </c>
      <c r="AY728" s="631">
        <f t="shared" si="2070"/>
        <v>1</v>
      </c>
      <c r="AZ728" s="631">
        <f t="shared" si="2071"/>
        <v>0</v>
      </c>
    </row>
    <row r="729" spans="1:52" ht="15.75" customHeight="1">
      <c r="A729" s="751" t="str">
        <f>Kat.!C729</f>
        <v xml:space="preserve">           Multikaliberní kompakty do 30 mm – Kat. F2</v>
      </c>
      <c r="B729" s="751"/>
      <c r="C729" s="751"/>
      <c r="D729" s="751"/>
      <c r="E729" s="751"/>
      <c r="F729" s="751"/>
      <c r="G729" s="751"/>
      <c r="H729" s="751"/>
      <c r="I729" s="752"/>
      <c r="J729" s="752"/>
      <c r="K729" s="752" t="s">
        <v>20</v>
      </c>
      <c r="L729" s="753" t="s">
        <v>20</v>
      </c>
      <c r="M729" s="752"/>
      <c r="N729" s="752"/>
      <c r="O729" s="752"/>
      <c r="P729" s="752"/>
      <c r="Q729" s="752"/>
      <c r="R729" s="752"/>
      <c r="S729" s="752"/>
      <c r="T729" s="752"/>
      <c r="U729" s="752"/>
      <c r="V729" s="752"/>
      <c r="W729" s="752"/>
      <c r="X729" s="752"/>
      <c r="Y729" s="752"/>
      <c r="Z729" s="752" t="s">
        <v>20</v>
      </c>
      <c r="AA729" s="752"/>
      <c r="AB729" s="752"/>
      <c r="AC729" s="754"/>
      <c r="AD729" s="752"/>
      <c r="AE729" s="752"/>
      <c r="AF729" s="752"/>
      <c r="AG729" s="752"/>
      <c r="AH729" s="752"/>
      <c r="AI729" s="752"/>
      <c r="AJ729" s="752"/>
      <c r="AK729" s="752"/>
      <c r="AL729" s="752"/>
      <c r="AM729" s="752"/>
      <c r="AN729" s="752"/>
      <c r="AO729" s="623"/>
      <c r="AP729" s="625" t="str">
        <f t="shared" si="2064"/>
        <v/>
      </c>
      <c r="AQ729" s="625" t="str">
        <f>IF(AC729=$V$3,IF(VLOOKUP(C729,[1]List1!$A:$E,5,FALSE)=0,1,VLOOKUP(C729,[1]List1!$A:$E,5,FALSE)),"")</f>
        <v/>
      </c>
      <c r="AR729" s="629" t="str">
        <f t="shared" si="2065"/>
        <v/>
      </c>
      <c r="AS729" s="630" t="str">
        <f t="shared" si="2066"/>
        <v/>
      </c>
      <c r="AT729" s="625" t="str">
        <f t="shared" si="2067"/>
        <v/>
      </c>
      <c r="AU729" s="625" t="e">
        <f t="shared" si="2068"/>
        <v>#N/A</v>
      </c>
      <c r="AV729" s="625" t="e">
        <f t="shared" si="2069"/>
        <v>#N/A</v>
      </c>
      <c r="AW729" s="631"/>
      <c r="AX729" s="631">
        <f>IF(AND('General price list'!$J729="F4",'General price list'!$AB729+0&gt;0),1,0)</f>
        <v>0</v>
      </c>
      <c r="AY729" s="631">
        <f t="shared" si="2070"/>
        <v>0</v>
      </c>
      <c r="AZ729" s="631">
        <f t="shared" si="2071"/>
        <v>0</v>
      </c>
    </row>
    <row r="730" spans="1:52" ht="15" customHeight="1">
      <c r="A730" s="751" t="str">
        <f>Kat.!C730</f>
        <v xml:space="preserve">           Baterie 39 ran, 20 + 25 + 30 mm šikmý + V + W moždíř – 1.3G</v>
      </c>
      <c r="B730" s="751"/>
      <c r="C730" s="751"/>
      <c r="D730" s="751"/>
      <c r="E730" s="751"/>
      <c r="F730" s="751"/>
      <c r="G730" s="751"/>
      <c r="H730" s="751"/>
      <c r="I730" s="752"/>
      <c r="J730" s="752"/>
      <c r="K730" s="752" t="s">
        <v>20</v>
      </c>
      <c r="L730" s="753" t="s">
        <v>20</v>
      </c>
      <c r="M730" s="752"/>
      <c r="N730" s="752"/>
      <c r="O730" s="752"/>
      <c r="P730" s="752"/>
      <c r="Q730" s="752"/>
      <c r="R730" s="752"/>
      <c r="S730" s="752"/>
      <c r="T730" s="752"/>
      <c r="U730" s="752"/>
      <c r="V730" s="752"/>
      <c r="W730" s="752"/>
      <c r="X730" s="752"/>
      <c r="Y730" s="752"/>
      <c r="Z730" s="752" t="s">
        <v>20</v>
      </c>
      <c r="AA730" s="752"/>
      <c r="AB730" s="752"/>
      <c r="AC730" s="754"/>
      <c r="AD730" s="752"/>
      <c r="AE730" s="752"/>
      <c r="AF730" s="752"/>
      <c r="AG730" s="752"/>
      <c r="AH730" s="752"/>
      <c r="AI730" s="752"/>
      <c r="AJ730" s="752"/>
      <c r="AK730" s="752"/>
      <c r="AL730" s="752"/>
      <c r="AM730" s="752"/>
      <c r="AN730" s="752"/>
      <c r="AO730" s="623"/>
      <c r="AP730" s="632" t="str">
        <f t="shared" si="2064"/>
        <v/>
      </c>
      <c r="AQ730" s="633" t="str">
        <f>IF(AC730=$V$3,IF(VLOOKUP(C730,[1]List1!$A:$E,5,FALSE)=0,1,VLOOKUP(C730,[1]List1!$A:$E,5,FALSE)),"")</f>
        <v/>
      </c>
      <c r="AR730" s="625" t="str">
        <f t="shared" si="2065"/>
        <v/>
      </c>
      <c r="AS730" s="634" t="str">
        <f t="shared" si="2066"/>
        <v/>
      </c>
      <c r="AT730" s="625" t="str">
        <f t="shared" si="2067"/>
        <v/>
      </c>
      <c r="AU730" s="638" t="e">
        <f t="shared" si="2068"/>
        <v>#N/A</v>
      </c>
      <c r="AV730" s="625" t="e">
        <f t="shared" si="2069"/>
        <v>#N/A</v>
      </c>
      <c r="AX730" s="625">
        <f>IF(AND('General price list'!$J730="F4",'General price list'!$AB730+0&gt;0),1,0)</f>
        <v>0</v>
      </c>
      <c r="AY730" s="625">
        <f t="shared" si="2070"/>
        <v>0</v>
      </c>
      <c r="AZ730" s="625">
        <f t="shared" si="2071"/>
        <v>0</v>
      </c>
    </row>
    <row r="731" spans="1:52" ht="15.75" customHeight="1">
      <c r="A731" s="639" t="str">
        <f>Kat.!C731</f>
        <v/>
      </c>
      <c r="B731" s="640">
        <f>IF(AND('General price list'!$J731="F4",$AI$1=FALSE),0,IF(AC731="SKLADEM",1,IF(AC731=$V$3,1,0)))</f>
        <v>1</v>
      </c>
      <c r="C731" s="641" t="s">
        <v>2317</v>
      </c>
      <c r="D731" s="642" t="s">
        <v>12425</v>
      </c>
      <c r="E731" s="643" t="s">
        <v>12678</v>
      </c>
      <c r="F731" s="773">
        <f>IFERROR(VLOOKUP(C731,[2]List1!$A:$D,3,FALSE),"NEUVEDENO!")</f>
        <v>608</v>
      </c>
      <c r="G731" s="770">
        <f t="shared" ref="G731" si="2234">IF($W$17=$AF$8,ROUND((F731)/$F$17,2),(F731)*$B$19)</f>
        <v>608</v>
      </c>
      <c r="H731" s="767">
        <f t="shared" ref="H731" si="2235">IF($W$17=$AF$8,G731*$B$19,G731/$F$17)</f>
        <v>25.826950933041083</v>
      </c>
      <c r="I731" s="644">
        <f>IFERROR(VLOOKUP(C731,[2]List1!$A:$D,4,FALSE),"NEUVEDENO!")</f>
        <v>8</v>
      </c>
      <c r="J731" s="733" t="s">
        <v>39</v>
      </c>
      <c r="K731" s="645" t="s">
        <v>20</v>
      </c>
      <c r="L731" s="645" t="s">
        <v>20</v>
      </c>
      <c r="M731" s="645" t="s">
        <v>114</v>
      </c>
      <c r="N731" s="645">
        <f>IFERROR(VLOOKUP(C731,[3]List1!$A:$D,4,FALSE),"N/A!")</f>
        <v>0.10309199999999999</v>
      </c>
      <c r="O731" s="645">
        <f>IFERROR(VLOOKUP(C731,[3]List1!$A:$D,3,FALSE),"N/A!")</f>
        <v>3920</v>
      </c>
      <c r="P731" s="645">
        <f>IFERROR(VLOOKUP(C731,[3]List1!$A:$D,2,FALSE),"N/A!")</f>
        <v>20200</v>
      </c>
      <c r="Q731" s="645" t="s">
        <v>11796</v>
      </c>
      <c r="R731" s="645"/>
      <c r="S731" s="645" t="str">
        <f>IF($W$17=$AF$1,"design",IFERROR(VLOOKUP("design",Jazyky_ceník!$A:$Q,MATCH($W$17,Jazyky_ceník!$A$1:$Q$1,0),FALSE),"!!!"))</f>
        <v>design</v>
      </c>
      <c r="T731" s="645">
        <v>30</v>
      </c>
      <c r="U731" s="645" t="s">
        <v>10746</v>
      </c>
      <c r="V731" s="645" t="s">
        <v>10747</v>
      </c>
      <c r="W731" s="645" t="str">
        <f>IFERROR(IF(AND($AB731&gt;=0.1*$AA731,MOD($AB731,$AA731)&gt;=($AA731-(0.1*$AA731))),IF($W$17=$AF$1,"Zvažte možnost doobjednání ještě "&amp;Tabulka1[[#This Row],[VKPAL]]-MOD(AB731,AA731)&amp;" VK do plné palety.",VLOOKUP("Zvažte možnost doobjednání ještě ",Jazyky_ceník!A:Q,MATCH($W$17,Jazyky_ceník!$A$1:$Q$1,0),FALSE)&amp;Tabulka1[[#This Row],[VKPAL]]-MOD(AB731,AA731)&amp;VLOOKUP(" VK do plné palety.",Jazyky_ceník!A:Q,MATCH($W$17,Jazyky_ceník!$A$1:$Q$1,0),FALSE)),IFERROR(IF(AND(NOT(MOD($AB731,$AA731)=0),$AB731&gt;=0.9*$AA731,MOD($AB731,$AA731)&lt;=0.1*$AA731),IF($W$17=$AF$1,"Zvažte možnost optimalizace objednaného množství podle počtu VK na paletě ==&gt;",VLOOKUP("Zvažte možnost optimalizace objednaného množství podle počtu VK na paletě ==&gt;",Jazyky_ceník!A:Q,MATCH($W$17,Jazyky_ceník!$A$1:$Q$1,0),FALSE)),VLOOKUP('General price list'!$C731,Popisy!A:M,MATCH($W$17,Popisy!$A$7:$M$7,0),FALSE)),"---------------")),IFERROR(VLOOKUP('General price list'!$C731,Popisy!A:M,MATCH($W$17,Popisy!$A$7:$M$7,0),FALSE),"---------------"))</f>
        <v>6 různobarevných efektů</v>
      </c>
      <c r="X731" s="645" t="str">
        <f t="shared" ref="X731" si="2236">IF(AB731&lt;0.0001,"",AB731)</f>
        <v/>
      </c>
      <c r="Y731" s="645" t="str">
        <f t="shared" ref="Y731" si="2237">IF($AL$3=2,IF(OR(AB731&lt;&gt;"",AB731&lt;&gt;0),AU731,""),IF(C731="","",IF(AB731&lt;0.0001,"",IF(B731=0,"",IF(AQ731&lt;AB731,"",AB731)))))</f>
        <v/>
      </c>
      <c r="Z731" s="645" t="str">
        <f>HYPERLINK("https://www.klasekpyrotechnics.cz/c39mpt")</f>
        <v>https://www.klasekpyrotechnics.cz/c39mpt</v>
      </c>
      <c r="AA731" s="645">
        <f>IFERROR(IF(VLOOKUP(C731,[4]List1!$A:$D,4,FALSE)=0,"",VLOOKUP(C731,[4]List1!$A:$D,4,FALSE)),"")</f>
        <v>8</v>
      </c>
      <c r="AB731" s="646"/>
      <c r="AC731" s="647" t="str">
        <f>IFERROR(IF(VLOOKUP(C731,[1]List1!$A:$D,2,FALSE)="VYPRODÁNO",$V$9,IF(VLOOKUP(C731,[1]List1!$A:$D,2,FALSE)="DOCHÁZÍ",$V$3,VLOOKUP(C731,[1]List1!$A:$D,2,FALSE))),"OFFLINE!")</f>
        <v>SKLADEM</v>
      </c>
      <c r="AD731" s="647" t="str">
        <f ca="1">IF(AP731="NE",$V$10,IF(AC731=$V$3,IF(AQ731&lt;1,$V$8,$V$2&amp;" "&amp;AQ731&amp;" "&amp;$V$1),IF(AC731="SKLADEM",$V$6,IFERROR(IF(OR(AC731-TODAY()&gt;45,VLOOKUP(C731,[1]List1!$A:$E,4,FALSE)=0),AC731,DAY(AC731)&amp;"."&amp;MONTH(AC731)&amp;"."&amp;YEAR(AC731)&amp;" "&amp;$V$4&amp;VLOOKUP(C731,[1]List1!$A:$E,4,FALSE)&amp;" "&amp;$V$1),AC731))))</f>
        <v>SKLADEM</v>
      </c>
      <c r="AE731" s="645" t="str">
        <f t="shared" ref="AE731" ca="1" si="2238">IFERROR(IF(AV731&lt;&gt;"",AV731,AD731),AD731)</f>
        <v>SKLADEM</v>
      </c>
      <c r="AF731" s="648">
        <f t="shared" ref="AF731" si="2239">IFERROR(IF(AB731=Y731,G731*I731*Y731,0),0)</f>
        <v>0</v>
      </c>
      <c r="AG731" s="649">
        <f t="shared" ref="AG731" si="2240">IF($W$17=$AF$8,AH731*1.23,AF731*1.21)</f>
        <v>0</v>
      </c>
      <c r="AH731" s="650">
        <f t="shared" ref="AH731" si="2241">IFERROR(IF(Y731=AB731,H731*I731*Y731,0),0)</f>
        <v>0</v>
      </c>
      <c r="AI731" s="645">
        <f t="shared" ref="AI731" si="2242">IFERROR(IF(Y731=AB731,(P731*Y731)/1000,1),0)</f>
        <v>0</v>
      </c>
      <c r="AJ731" s="645">
        <f t="shared" ref="AJ731" si="2243">IFERROR(IF(Y731=AB731,N731*Y731,0.1),0)</f>
        <v>0</v>
      </c>
      <c r="AK731" s="645" t="str">
        <f t="shared" ref="AK731" si="2244">IFERROR(IF(Y731=AB731,IF(M731="1.1G",(O731/1000)*Y731,""),""),0)</f>
        <v/>
      </c>
      <c r="AL731" s="645">
        <f t="shared" ref="AL731" si="2245">IFERROR(IF(Y731=AB731,IF(M731="1.3G",(O731/1000)*AB731,""),""),0)</f>
        <v>0</v>
      </c>
      <c r="AM731" s="645" t="str">
        <f t="shared" ref="AM731" si="2246">IFERROR(IF(Y731=AB731,IF(M731="1.4G",(O731/1000)*AB731,""),""),0)</f>
        <v/>
      </c>
      <c r="AN731" s="651">
        <f t="shared" ref="AN731" si="2247">SUM(AK731:AM731)</f>
        <v>0</v>
      </c>
      <c r="AO731" s="623"/>
      <c r="AP731" s="625" t="str">
        <f t="shared" si="2064"/>
        <v/>
      </c>
      <c r="AQ731" s="625" t="str">
        <f>IF(AC731=$V$3,IF(VLOOKUP(C731,[1]List1!$A:$E,5,FALSE)=0,1,VLOOKUP(C731,[1]List1!$A:$E,5,FALSE)),"")</f>
        <v/>
      </c>
      <c r="AR731" s="629" t="str">
        <f t="shared" si="2065"/>
        <v/>
      </c>
      <c r="AS731" s="630" t="str">
        <f t="shared" si="2066"/>
        <v/>
      </c>
      <c r="AT731" s="625" t="str">
        <f t="shared" si="2067"/>
        <v/>
      </c>
      <c r="AU731" s="625" t="e">
        <f t="shared" si="2068"/>
        <v>#N/A</v>
      </c>
      <c r="AV731" s="625" t="e">
        <f t="shared" si="2069"/>
        <v>#N/A</v>
      </c>
      <c r="AW731" s="631"/>
      <c r="AX731" s="631">
        <f>IF(AND('General price list'!$J731="F4",'General price list'!$AB731+0&gt;0),1,0)</f>
        <v>0</v>
      </c>
      <c r="AY731" s="631">
        <f t="shared" si="2070"/>
        <v>1</v>
      </c>
      <c r="AZ731" s="631">
        <f t="shared" si="2071"/>
        <v>0</v>
      </c>
    </row>
    <row r="732" spans="1:52" ht="15.75" customHeight="1">
      <c r="A732" s="751" t="str">
        <f>Kat.!C732</f>
        <v xml:space="preserve">           Baterie 46 ran, 20 mm (26 ran), 25 mm (20 ran)</v>
      </c>
      <c r="B732" s="751"/>
      <c r="C732" s="751"/>
      <c r="D732" s="751"/>
      <c r="E732" s="751"/>
      <c r="F732" s="751"/>
      <c r="G732" s="751"/>
      <c r="H732" s="751"/>
      <c r="I732" s="752"/>
      <c r="J732" s="752"/>
      <c r="K732" s="752" t="s">
        <v>20</v>
      </c>
      <c r="L732" s="753" t="s">
        <v>20</v>
      </c>
      <c r="M732" s="752"/>
      <c r="N732" s="752"/>
      <c r="O732" s="752"/>
      <c r="P732" s="752"/>
      <c r="Q732" s="752"/>
      <c r="R732" s="752"/>
      <c r="S732" s="752"/>
      <c r="T732" s="752"/>
      <c r="U732" s="752"/>
      <c r="V732" s="752"/>
      <c r="W732" s="752"/>
      <c r="X732" s="752"/>
      <c r="Y732" s="752"/>
      <c r="Z732" s="752" t="s">
        <v>20</v>
      </c>
      <c r="AA732" s="752"/>
      <c r="AB732" s="752"/>
      <c r="AC732" s="754"/>
      <c r="AD732" s="752"/>
      <c r="AE732" s="752"/>
      <c r="AF732" s="752"/>
      <c r="AG732" s="752"/>
      <c r="AH732" s="752"/>
      <c r="AI732" s="752"/>
      <c r="AJ732" s="752"/>
      <c r="AK732" s="752"/>
      <c r="AL732" s="752"/>
      <c r="AM732" s="752"/>
      <c r="AN732" s="752"/>
      <c r="AO732" s="623"/>
      <c r="AP732" s="625" t="str">
        <f t="shared" si="2064"/>
        <v/>
      </c>
      <c r="AQ732" s="625" t="str">
        <f>IF(AC732=$V$3,IF(VLOOKUP(C732,[1]List1!$A:$E,5,FALSE)=0,1,VLOOKUP(C732,[1]List1!$A:$E,5,FALSE)),"")</f>
        <v/>
      </c>
      <c r="AR732" s="629" t="str">
        <f t="shared" si="2065"/>
        <v/>
      </c>
      <c r="AS732" s="630" t="str">
        <f t="shared" si="2066"/>
        <v/>
      </c>
      <c r="AT732" s="625" t="str">
        <f t="shared" si="2067"/>
        <v/>
      </c>
      <c r="AU732" s="625" t="e">
        <f t="shared" si="2068"/>
        <v>#N/A</v>
      </c>
      <c r="AV732" s="625" t="e">
        <f t="shared" si="2069"/>
        <v>#N/A</v>
      </c>
      <c r="AW732" s="631"/>
      <c r="AX732" s="631">
        <f>IF(AND('General price list'!$J732="F4",'General price list'!$AB732+0&gt;0),1,0)</f>
        <v>0</v>
      </c>
      <c r="AY732" s="631">
        <f t="shared" si="2070"/>
        <v>0</v>
      </c>
      <c r="AZ732" s="631">
        <f t="shared" si="2071"/>
        <v>0</v>
      </c>
    </row>
    <row r="733" spans="1:52" ht="15" customHeight="1">
      <c r="A733" s="639" t="str">
        <f>Kat.!C733</f>
        <v/>
      </c>
      <c r="B733" s="640">
        <f>IF(AND('General price list'!$J733="F4",$AI$1=FALSE),0,IF(AC733="SKLADEM",1,IF(AC733=$V$3,1,0)))</f>
        <v>1</v>
      </c>
      <c r="C733" s="641" t="s">
        <v>12038</v>
      </c>
      <c r="D733" s="642" t="s">
        <v>12039</v>
      </c>
      <c r="E733" s="643" t="s">
        <v>12746</v>
      </c>
      <c r="F733" s="773">
        <f>IFERROR(VLOOKUP(C733,[2]List1!$A:$D,3,FALSE),"NEUVEDENO!")</f>
        <v>541</v>
      </c>
      <c r="G733" s="770">
        <f t="shared" ref="G733" si="2248">IF($W$17=$AF$8,ROUND((F733)/$F$17,2),(F733)*$B$19)</f>
        <v>541</v>
      </c>
      <c r="H733" s="767">
        <f t="shared" ref="H733" si="2249">IF($W$17=$AF$8,G733*$B$19,G733/$F$17)</f>
        <v>22.980888905880303</v>
      </c>
      <c r="I733" s="644">
        <f>IFERROR(VLOOKUP(C733,[2]List1!$A:$D,4,FALSE),"NEUVEDENO!")</f>
        <v>6</v>
      </c>
      <c r="J733" s="733" t="s">
        <v>39</v>
      </c>
      <c r="K733" s="645" t="s">
        <v>20</v>
      </c>
      <c r="L733" s="645" t="s">
        <v>15088</v>
      </c>
      <c r="M733" s="645" t="s">
        <v>114</v>
      </c>
      <c r="N733" s="645">
        <f>IFERROR(VLOOKUP(C733,[3]List1!$A:$D,4,FALSE),"N/A!")</f>
        <v>4.3993950000000004E-2</v>
      </c>
      <c r="O733" s="645">
        <f>IFERROR(VLOOKUP(C733,[3]List1!$A:$D,3,FALSE),"N/A!")</f>
        <v>2292</v>
      </c>
      <c r="P733" s="645">
        <f>IFERROR(VLOOKUP(C733,[3]List1!$A:$D,2,FALSE),"N/A!")</f>
        <v>18000</v>
      </c>
      <c r="Q733" s="645" t="s">
        <v>15059</v>
      </c>
      <c r="R733" s="645"/>
      <c r="S733" s="645" t="str">
        <f>IF($W$17=$AF$1,"design",IFERROR(VLOOKUP("design",Jazyky_ceník!$A:$Q,MATCH($W$17,Jazyky_ceník!$A$1:$Q$1,0),FALSE),"!!!"))</f>
        <v>design</v>
      </c>
      <c r="T733" s="645">
        <v>60</v>
      </c>
      <c r="U733" s="645" t="s">
        <v>10751</v>
      </c>
      <c r="V733" s="645" t="s">
        <v>10752</v>
      </c>
      <c r="W733" s="645" t="str">
        <f>IFERROR(IF(AND($AB733&gt;=0.1*$AA733,MOD($AB733,$AA733)&gt;=($AA733-(0.1*$AA733))),IF($W$17=$AF$1,"Zvažte možnost doobjednání ještě "&amp;Tabulka1[[#This Row],[VKPAL]]-MOD(AB733,AA733)&amp;" VK do plné palety.",VLOOKUP("Zvažte možnost doobjednání ještě ",Jazyky_ceník!A:Q,MATCH($W$17,Jazyky_ceník!$A$1:$Q$1,0),FALSE)&amp;Tabulka1[[#This Row],[VKPAL]]-MOD(AB733,AA733)&amp;VLOOKUP(" VK do plné palety.",Jazyky_ceník!A:Q,MATCH($W$17,Jazyky_ceník!$A$1:$Q$1,0),FALSE)),IFERROR(IF(AND(NOT(MOD($AB733,$AA733)=0),$AB733&gt;=0.9*$AA733,MOD($AB733,$AA733)&lt;=0.1*$AA733),IF($W$17=$AF$1,"Zvažte možnost optimalizace objednaného množství podle počtu VK na paletě ==&gt;",VLOOKUP("Zvažte možnost optimalizace objednaného množství podle počtu VK na paletě ==&gt;",Jazyky_ceník!A:Q,MATCH($W$17,Jazyky_ceník!$A$1:$Q$1,0),FALSE)),VLOOKUP('General price list'!$C733,Popisy!A:M,MATCH($W$17,Popisy!$A$7:$M$7,0),FALSE)),"---------------")),IFERROR(VLOOKUP('General price list'!$C733,Popisy!A:M,MATCH($W$17,Popisy!$A$7:$M$7,0),FALSE),"---------------"))</f>
        <v>9 různobarevných efektů</v>
      </c>
      <c r="X733" s="645" t="str">
        <f t="shared" ref="X733" si="2250">IF(AB733&lt;0.0001,"",AB733)</f>
        <v/>
      </c>
      <c r="Y733" s="645" t="str">
        <f t="shared" ref="Y733" si="2251">IF($AL$3=2,IF(OR(AB733&lt;&gt;"",AB733&lt;&gt;0),AU733,""),IF(C733="","",IF(AB733&lt;0.0001,"",IF(B733=0,"",IF(AQ733&lt;AB733,"",AB733)))))</f>
        <v/>
      </c>
      <c r="Z733" s="645" t="str">
        <f>HYPERLINK("https://www.klasekpyrotechnics.cz/c46mxp")</f>
        <v>https://www.klasekpyrotechnics.cz/c46mxp</v>
      </c>
      <c r="AA733" s="645">
        <f>IFERROR(IF(VLOOKUP(C733,[4]List1!$A:$D,4,FALSE)=0,"",VLOOKUP(C733,[4]List1!$A:$D,4,FALSE)),"")</f>
        <v>24</v>
      </c>
      <c r="AB733" s="646"/>
      <c r="AC733" s="647" t="str">
        <f>IFERROR(IF(VLOOKUP(C733,[1]List1!$A:$D,2,FALSE)="VYPRODÁNO",$V$9,IF(VLOOKUP(C733,[1]List1!$A:$D,2,FALSE)="DOCHÁZÍ",$V$3,VLOOKUP(C733,[1]List1!$A:$D,2,FALSE))),"OFFLINE!")</f>
        <v>SKLADEM</v>
      </c>
      <c r="AD733" s="647" t="str">
        <f ca="1">IF(AP733="NE",$V$10,IF(AC733=$V$3,IF(AQ733&lt;1,$V$8,$V$2&amp;" "&amp;AQ733&amp;" "&amp;$V$1),IF(AC733="SKLADEM",$V$6,IFERROR(IF(OR(AC733-TODAY()&gt;45,VLOOKUP(C733,[1]List1!$A:$E,4,FALSE)=0),AC733,DAY(AC733)&amp;"."&amp;MONTH(AC733)&amp;"."&amp;YEAR(AC733)&amp;" "&amp;$V$4&amp;VLOOKUP(C733,[1]List1!$A:$E,4,FALSE)&amp;" "&amp;$V$1),AC733))))</f>
        <v>SKLADEM</v>
      </c>
      <c r="AE733" s="645" t="str">
        <f t="shared" ref="AE733" ca="1" si="2252">IFERROR(IF(AV733&lt;&gt;"",AV733,AD733),AD733)</f>
        <v>SKLADEM</v>
      </c>
      <c r="AF733" s="648">
        <f t="shared" ref="AF733" si="2253">IFERROR(IF(AB733=Y733,G733*I733*Y733,0),0)</f>
        <v>0</v>
      </c>
      <c r="AG733" s="649">
        <f t="shared" ref="AG733" si="2254">IF($W$17=$AF$8,AH733*1.23,AF733*1.21)</f>
        <v>0</v>
      </c>
      <c r="AH733" s="650">
        <f t="shared" ref="AH733" si="2255">IFERROR(IF(Y733=AB733,H733*I733*Y733,0),0)</f>
        <v>0</v>
      </c>
      <c r="AI733" s="645">
        <f t="shared" ref="AI733" si="2256">IFERROR(IF(Y733=AB733,(P733*Y733)/1000,1),0)</f>
        <v>0</v>
      </c>
      <c r="AJ733" s="645">
        <f t="shared" ref="AJ733" si="2257">IFERROR(IF(Y733=AB733,N733*Y733,0.1),0)</f>
        <v>0</v>
      </c>
      <c r="AK733" s="645" t="str">
        <f t="shared" ref="AK733" si="2258">IFERROR(IF(Y733=AB733,IF(M733="1.1G",(O733/1000)*Y733,""),""),0)</f>
        <v/>
      </c>
      <c r="AL733" s="645">
        <f t="shared" ref="AL733" si="2259">IFERROR(IF(Y733=AB733,IF(M733="1.3G",(O733/1000)*AB733,""),""),0)</f>
        <v>0</v>
      </c>
      <c r="AM733" s="645" t="str">
        <f t="shared" ref="AM733" si="2260">IFERROR(IF(Y733=AB733,IF(M733="1.4G",(O733/1000)*AB733,""),""),0)</f>
        <v/>
      </c>
      <c r="AN733" s="651">
        <f t="shared" ref="AN733" si="2261">SUM(AK733:AM733)</f>
        <v>0</v>
      </c>
      <c r="AO733" s="623"/>
      <c r="AP733" s="632" t="str">
        <f t="shared" si="2064"/>
        <v/>
      </c>
      <c r="AQ733" s="633" t="str">
        <f>IF(AC733=$V$3,IF(VLOOKUP(C733,[1]List1!$A:$E,5,FALSE)=0,1,VLOOKUP(C733,[1]List1!$A:$E,5,FALSE)),"")</f>
        <v/>
      </c>
      <c r="AR733" s="625" t="str">
        <f t="shared" si="2065"/>
        <v/>
      </c>
      <c r="AS733" s="634" t="str">
        <f t="shared" si="2066"/>
        <v/>
      </c>
      <c r="AT733" s="625" t="str">
        <f t="shared" si="2067"/>
        <v/>
      </c>
      <c r="AU733" s="638" t="e">
        <f t="shared" si="2068"/>
        <v>#N/A</v>
      </c>
      <c r="AV733" s="625" t="e">
        <f t="shared" si="2069"/>
        <v>#N/A</v>
      </c>
      <c r="AX733" s="625">
        <f>IF(AND('General price list'!$J733="F4",'General price list'!$AB733+0&gt;0),1,0)</f>
        <v>0</v>
      </c>
      <c r="AY733" s="625">
        <f t="shared" si="2070"/>
        <v>1</v>
      </c>
      <c r="AZ733" s="625">
        <f t="shared" si="2071"/>
        <v>0</v>
      </c>
    </row>
    <row r="734" spans="1:52" ht="15.75" customHeight="1">
      <c r="A734" s="751" t="str">
        <f>Kat.!C734</f>
        <v xml:space="preserve">           Baterie 48 ran, 25 mm (40 ran), 30 mm (4 ran), 50 mm (4 ran)</v>
      </c>
      <c r="B734" s="751"/>
      <c r="C734" s="751"/>
      <c r="D734" s="751"/>
      <c r="E734" s="751"/>
      <c r="F734" s="751"/>
      <c r="G734" s="751"/>
      <c r="H734" s="751"/>
      <c r="I734" s="752"/>
      <c r="J734" s="752"/>
      <c r="K734" s="752" t="s">
        <v>20</v>
      </c>
      <c r="L734" s="753" t="s">
        <v>20</v>
      </c>
      <c r="M734" s="752"/>
      <c r="N734" s="752"/>
      <c r="O734" s="752"/>
      <c r="P734" s="752"/>
      <c r="Q734" s="752"/>
      <c r="R734" s="752"/>
      <c r="S734" s="752"/>
      <c r="T734" s="752"/>
      <c r="U734" s="752"/>
      <c r="V734" s="752"/>
      <c r="W734" s="752"/>
      <c r="X734" s="752"/>
      <c r="Y734" s="752"/>
      <c r="Z734" s="752" t="s">
        <v>20</v>
      </c>
      <c r="AA734" s="752"/>
      <c r="AB734" s="752"/>
      <c r="AC734" s="754"/>
      <c r="AD734" s="752"/>
      <c r="AE734" s="752"/>
      <c r="AF734" s="752"/>
      <c r="AG734" s="752"/>
      <c r="AH734" s="752"/>
      <c r="AI734" s="752"/>
      <c r="AJ734" s="752"/>
      <c r="AK734" s="752"/>
      <c r="AL734" s="752"/>
      <c r="AM734" s="752"/>
      <c r="AN734" s="752"/>
      <c r="AO734" s="623"/>
      <c r="AP734" s="625" t="str">
        <f t="shared" si="2064"/>
        <v/>
      </c>
      <c r="AQ734" s="625" t="str">
        <f>IF(AC734=$V$3,IF(VLOOKUP(C734,[1]List1!$A:$E,5,FALSE)=0,1,VLOOKUP(C734,[1]List1!$A:$E,5,FALSE)),"")</f>
        <v/>
      </c>
      <c r="AR734" s="629" t="str">
        <f t="shared" si="2065"/>
        <v/>
      </c>
      <c r="AS734" s="630" t="str">
        <f t="shared" si="2066"/>
        <v/>
      </c>
      <c r="AT734" s="625" t="str">
        <f t="shared" si="2067"/>
        <v/>
      </c>
      <c r="AU734" s="625" t="e">
        <f t="shared" si="2068"/>
        <v>#N/A</v>
      </c>
      <c r="AV734" s="625" t="e">
        <f t="shared" si="2069"/>
        <v>#N/A</v>
      </c>
      <c r="AW734" s="631"/>
      <c r="AX734" s="631">
        <f>IF(AND('General price list'!$J734="F4",'General price list'!$AB734+0&gt;0),1,0)</f>
        <v>0</v>
      </c>
      <c r="AY734" s="631">
        <f t="shared" si="2070"/>
        <v>0</v>
      </c>
      <c r="AZ734" s="631">
        <f t="shared" si="2071"/>
        <v>0</v>
      </c>
    </row>
    <row r="735" spans="1:52" ht="15.75" customHeight="1">
      <c r="A735" s="639" t="str">
        <f>Kat.!C735</f>
        <v/>
      </c>
      <c r="B735" s="640">
        <f>IF(AND('General price list'!$J735="F4",$AI$1=FALSE),0,IF(AC735="SKLADEM",1,IF(AC735=$V$3,1,0)))</f>
        <v>1</v>
      </c>
      <c r="C735" s="641" t="s">
        <v>12177</v>
      </c>
      <c r="D735" s="642" t="s">
        <v>12041</v>
      </c>
      <c r="E735" s="643" t="s">
        <v>12651</v>
      </c>
      <c r="F735" s="773">
        <f>IFERROR(VLOOKUP(C735,[2]List1!$A:$D,3,FALSE),"NEUVEDENO!")</f>
        <v>1035</v>
      </c>
      <c r="G735" s="770">
        <f t="shared" ref="G735" si="2262">IF($W$17=$AF$8,ROUND((F735)/$F$17,2),(F735)*$B$19)</f>
        <v>1035</v>
      </c>
      <c r="H735" s="767">
        <f t="shared" ref="H735" si="2263">IF($W$17=$AF$8,G735*$B$19,G735/$F$17)</f>
        <v>43.96528653897618</v>
      </c>
      <c r="I735" s="644">
        <f>IFERROR(VLOOKUP(C735,[2]List1!$A:$D,4,FALSE),"NEUVEDENO!")</f>
        <v>4</v>
      </c>
      <c r="J735" s="733" t="s">
        <v>39</v>
      </c>
      <c r="K735" s="645" t="s">
        <v>20</v>
      </c>
      <c r="L735" s="645"/>
      <c r="M735" s="645" t="s">
        <v>21</v>
      </c>
      <c r="N735" s="645">
        <f>IFERROR(VLOOKUP(C735,[3]List1!$A:$D,4,FALSE),"N/A!")</f>
        <v>8.2264479999999987E-2</v>
      </c>
      <c r="O735" s="645">
        <f>IFERROR(VLOOKUP(C735,[3]List1!$A:$D,3,FALSE),"N/A!")</f>
        <v>1984</v>
      </c>
      <c r="P735" s="645">
        <f>IFERROR(VLOOKUP(C735,[3]List1!$A:$D,2,FALSE),"N/A!")</f>
        <v>21000</v>
      </c>
      <c r="Q735" s="645" t="s">
        <v>11782</v>
      </c>
      <c r="R735" s="645"/>
      <c r="S735" s="645" t="str">
        <f>IF($W$17=$AF$1,"design",IFERROR(VLOOKUP("design",Jazyky_ceník!$A:$Q,MATCH($W$17,Jazyky_ceník!$A$1:$Q$1,0),FALSE),"!!!"))</f>
        <v>design</v>
      </c>
      <c r="T735" s="645">
        <v>40</v>
      </c>
      <c r="U735" s="645" t="s">
        <v>10751</v>
      </c>
      <c r="V735" s="645" t="s">
        <v>10752</v>
      </c>
      <c r="W735" s="645" t="str">
        <f>IFERROR(IF(AND($AB735&gt;=0.1*$AA735,MOD($AB735,$AA735)&gt;=($AA735-(0.1*$AA735))),IF($W$17=$AF$1,"Zvažte možnost doobjednání ještě "&amp;Tabulka1[[#This Row],[VKPAL]]-MOD(AB735,AA735)&amp;" VK do plné palety.",VLOOKUP("Zvažte možnost doobjednání ještě ",Jazyky_ceník!A:Q,MATCH($W$17,Jazyky_ceník!$A$1:$Q$1,0),FALSE)&amp;Tabulka1[[#This Row],[VKPAL]]-MOD(AB735,AA735)&amp;VLOOKUP(" VK do plné palety.",Jazyky_ceník!A:Q,MATCH($W$17,Jazyky_ceník!$A$1:$Q$1,0),FALSE)),IFERROR(IF(AND(NOT(MOD($AB735,$AA735)=0),$AB735&gt;=0.9*$AA735,MOD($AB735,$AA735)&lt;=0.1*$AA735),IF($W$17=$AF$1,"Zvažte možnost optimalizace objednaného množství podle počtu VK na paletě ==&gt;",VLOOKUP("Zvažte možnost optimalizace objednaného množství podle počtu VK na paletě ==&gt;",Jazyky_ceník!A:Q,MATCH($W$17,Jazyky_ceník!$A$1:$Q$1,0),FALSE)),VLOOKUP('General price list'!$C735,Popisy!A:M,MATCH($W$17,Popisy!$A$7:$M$7,0),FALSE)),"---------------")),IFERROR(VLOOKUP('General price list'!$C735,Popisy!A:M,MATCH($W$17,Popisy!$A$7:$M$7,0),FALSE),"---------------"))</f>
        <v>8 různobarevných efektů</v>
      </c>
      <c r="X735" s="645" t="str">
        <f t="shared" ref="X735" si="2264">IF(AB735&lt;0.0001,"",AB735)</f>
        <v/>
      </c>
      <c r="Y735" s="645" t="str">
        <f t="shared" ref="Y735" si="2265">IF($AL$3=2,IF(OR(AB735&lt;&gt;"",AB735&lt;&gt;0),AU735,""),IF(C735="","",IF(AB735&lt;0.0001,"",IF(B735=0,"",IF(AQ735&lt;AB735,"",AB735)))))</f>
        <v/>
      </c>
      <c r="Z735" s="645" t="str">
        <f>HYPERLINK("https://www.klasekpyrotechnics.cz/c48xmf14")</f>
        <v>https://www.klasekpyrotechnics.cz/c48xmf14</v>
      </c>
      <c r="AA735" s="645">
        <f>IFERROR(IF(VLOOKUP(C735,[4]List1!$A:$D,4,FALSE)=0,"",VLOOKUP(C735,[4]List1!$A:$D,4,FALSE)),"")</f>
        <v>16</v>
      </c>
      <c r="AB735" s="646"/>
      <c r="AC735" s="647" t="str">
        <f>IFERROR(IF(VLOOKUP(C735,[1]List1!$A:$D,2,FALSE)="VYPRODÁNO",$V$9,IF(VLOOKUP(C735,[1]List1!$A:$D,2,FALSE)="DOCHÁZÍ",$V$3,VLOOKUP(C735,[1]List1!$A:$D,2,FALSE))),"OFFLINE!")</f>
        <v>SKLADEM</v>
      </c>
      <c r="AD735" s="647" t="str">
        <f ca="1">IF(AP735="NE",$V$10,IF(AC735=$V$3,IF(AQ735&lt;1,$V$8,$V$2&amp;" "&amp;AQ735&amp;" "&amp;$V$1),IF(AC735="SKLADEM",$V$6,IFERROR(IF(OR(AC735-TODAY()&gt;45,VLOOKUP(C735,[1]List1!$A:$E,4,FALSE)=0),AC735,DAY(AC735)&amp;"."&amp;MONTH(AC735)&amp;"."&amp;YEAR(AC735)&amp;" "&amp;$V$4&amp;VLOOKUP(C735,[1]List1!$A:$E,4,FALSE)&amp;" "&amp;$V$1),AC735))))</f>
        <v>SKLADEM</v>
      </c>
      <c r="AE735" s="645" t="str">
        <f t="shared" ref="AE735" ca="1" si="2266">IFERROR(IF(AV735&lt;&gt;"",AV735,AD735),AD735)</f>
        <v>SKLADEM</v>
      </c>
      <c r="AF735" s="648">
        <f t="shared" ref="AF735" si="2267">IFERROR(IF(AB735=Y735,G735*I735*Y735,0),0)</f>
        <v>0</v>
      </c>
      <c r="AG735" s="649">
        <f t="shared" ref="AG735" si="2268">IF($W$17=$AF$8,AH735*1.23,AF735*1.21)</f>
        <v>0</v>
      </c>
      <c r="AH735" s="650">
        <f t="shared" ref="AH735" si="2269">IFERROR(IF(Y735=AB735,H735*I735*Y735,0),0)</f>
        <v>0</v>
      </c>
      <c r="AI735" s="645">
        <f t="shared" ref="AI735" si="2270">IFERROR(IF(Y735=AB735,(P735*Y735)/1000,1),0)</f>
        <v>0</v>
      </c>
      <c r="AJ735" s="645">
        <f t="shared" ref="AJ735" si="2271">IFERROR(IF(Y735=AB735,N735*Y735,0.1),0)</f>
        <v>0</v>
      </c>
      <c r="AK735" s="645" t="str">
        <f t="shared" ref="AK735" si="2272">IFERROR(IF(Y735=AB735,IF(M735="1.1G",(O735/1000)*Y735,""),""),0)</f>
        <v/>
      </c>
      <c r="AL735" s="645" t="str">
        <f t="shared" ref="AL735" si="2273">IFERROR(IF(Y735=AB735,IF(M735="1.3G",(O735/1000)*AB735,""),""),0)</f>
        <v/>
      </c>
      <c r="AM735" s="645">
        <f t="shared" ref="AM735" si="2274">IFERROR(IF(Y735=AB735,IF(M735="1.4G",(O735/1000)*AB735,""),""),0)</f>
        <v>0</v>
      </c>
      <c r="AN735" s="651">
        <f t="shared" ref="AN735" si="2275">SUM(AK735:AM735)</f>
        <v>0</v>
      </c>
      <c r="AO735" s="623"/>
      <c r="AP735" s="625" t="str">
        <f t="shared" si="2064"/>
        <v/>
      </c>
      <c r="AQ735" s="625" t="str">
        <f>IF(AC735=$V$3,IF(VLOOKUP(C735,[1]List1!$A:$E,5,FALSE)=0,1,VLOOKUP(C735,[1]List1!$A:$E,5,FALSE)),"")</f>
        <v/>
      </c>
      <c r="AR735" s="629" t="str">
        <f t="shared" si="2065"/>
        <v/>
      </c>
      <c r="AS735" s="630" t="str">
        <f t="shared" si="2066"/>
        <v/>
      </c>
      <c r="AT735" s="625" t="str">
        <f t="shared" si="2067"/>
        <v/>
      </c>
      <c r="AU735" s="625" t="e">
        <f t="shared" si="2068"/>
        <v>#N/A</v>
      </c>
      <c r="AV735" s="625" t="e">
        <f t="shared" si="2069"/>
        <v>#N/A</v>
      </c>
      <c r="AW735" s="631"/>
      <c r="AX735" s="631">
        <f>IF(AND('General price list'!$J735="F4",'General price list'!$AB735+0&gt;0),1,0)</f>
        <v>0</v>
      </c>
      <c r="AY735" s="631">
        <f t="shared" si="2070"/>
        <v>1</v>
      </c>
      <c r="AZ735" s="631">
        <f t="shared" si="2071"/>
        <v>0</v>
      </c>
    </row>
    <row r="736" spans="1:52" ht="15" customHeight="1">
      <c r="A736" s="751" t="str">
        <f>Kat.!C736</f>
        <v xml:space="preserve">           Baterie 50 ran, 20 + 25 + 30 mm rovný + šikmý + S moždíř – 1.3G</v>
      </c>
      <c r="B736" s="751"/>
      <c r="C736" s="751"/>
      <c r="D736" s="751"/>
      <c r="E736" s="751"/>
      <c r="F736" s="751"/>
      <c r="G736" s="751"/>
      <c r="H736" s="751"/>
      <c r="I736" s="752"/>
      <c r="J736" s="752"/>
      <c r="K736" s="752" t="s">
        <v>20</v>
      </c>
      <c r="L736" s="753" t="s">
        <v>20</v>
      </c>
      <c r="M736" s="752"/>
      <c r="N736" s="752"/>
      <c r="O736" s="752"/>
      <c r="P736" s="752"/>
      <c r="Q736" s="752"/>
      <c r="R736" s="752"/>
      <c r="S736" s="752"/>
      <c r="T736" s="752"/>
      <c r="U736" s="752"/>
      <c r="V736" s="752"/>
      <c r="W736" s="752"/>
      <c r="X736" s="752"/>
      <c r="Y736" s="752"/>
      <c r="Z736" s="752" t="s">
        <v>20</v>
      </c>
      <c r="AA736" s="752"/>
      <c r="AB736" s="752"/>
      <c r="AC736" s="754"/>
      <c r="AD736" s="752"/>
      <c r="AE736" s="752"/>
      <c r="AF736" s="752"/>
      <c r="AG736" s="752"/>
      <c r="AH736" s="752"/>
      <c r="AI736" s="752"/>
      <c r="AJ736" s="752"/>
      <c r="AK736" s="752"/>
      <c r="AL736" s="752"/>
      <c r="AM736" s="752"/>
      <c r="AN736" s="752"/>
      <c r="AO736" s="623"/>
      <c r="AP736" s="632" t="str">
        <f t="shared" si="2064"/>
        <v/>
      </c>
      <c r="AQ736" s="633" t="str">
        <f>IF(AC736=$V$3,IF(VLOOKUP(C736,[1]List1!$A:$E,5,FALSE)=0,1,VLOOKUP(C736,[1]List1!$A:$E,5,FALSE)),"")</f>
        <v/>
      </c>
      <c r="AR736" s="625" t="str">
        <f t="shared" si="2065"/>
        <v/>
      </c>
      <c r="AS736" s="634" t="str">
        <f t="shared" si="2066"/>
        <v/>
      </c>
      <c r="AT736" s="625" t="str">
        <f t="shared" si="2067"/>
        <v/>
      </c>
      <c r="AU736" s="638" t="e">
        <f t="shared" si="2068"/>
        <v>#N/A</v>
      </c>
      <c r="AV736" s="625" t="e">
        <f t="shared" si="2069"/>
        <v>#N/A</v>
      </c>
      <c r="AX736" s="625">
        <f>IF(AND('General price list'!$J736="F4",'General price list'!$AB736+0&gt;0),1,0)</f>
        <v>0</v>
      </c>
      <c r="AY736" s="625">
        <f t="shared" si="2070"/>
        <v>0</v>
      </c>
      <c r="AZ736" s="625">
        <f t="shared" si="2071"/>
        <v>0</v>
      </c>
    </row>
    <row r="737" spans="1:52" ht="15.75" customHeight="1">
      <c r="A737" s="639" t="str">
        <f>Kat.!C737</f>
        <v/>
      </c>
      <c r="B737" s="640">
        <f>IF(AND('General price list'!$J737="F4",$AI$1=FALSE),0,IF(AC737="SKLADEM",1,IF(AC737=$V$3,1,0)))</f>
        <v>1</v>
      </c>
      <c r="C737" s="641" t="s">
        <v>1468</v>
      </c>
      <c r="D737" s="642" t="s">
        <v>1469</v>
      </c>
      <c r="E737" s="643" t="s">
        <v>12746</v>
      </c>
      <c r="F737" s="771">
        <f>IFERROR(VLOOKUP(C737,[2]List1!$A:$D,3,FALSE),"NEUVEDENO!")</f>
        <v>770</v>
      </c>
      <c r="G737" s="768">
        <f t="shared" ref="G737:G738" si="2276">IF($W$17=$AF$8,ROUND((F737)/$F$17,2),(F737)*$B$19)</f>
        <v>770</v>
      </c>
      <c r="H737" s="765">
        <f t="shared" ref="H737:H738" si="2277">IF($W$17=$AF$8,G737*$B$19,G737/$F$17)</f>
        <v>32.708474043489531</v>
      </c>
      <c r="I737" s="644">
        <f>IFERROR(VLOOKUP(C737,[2]List1!$A:$D,4,FALSE),"NEUVEDENO!")</f>
        <v>6</v>
      </c>
      <c r="J737" s="733" t="s">
        <v>39</v>
      </c>
      <c r="K737" s="645" t="s">
        <v>20</v>
      </c>
      <c r="L737" s="645" t="s">
        <v>20</v>
      </c>
      <c r="M737" s="645" t="s">
        <v>114</v>
      </c>
      <c r="N737" s="645">
        <f>IFERROR(VLOOKUP(C737,[3]List1!$A:$D,4,FALSE),"N/A!")</f>
        <v>6.9599999999999995E-2</v>
      </c>
      <c r="O737" s="645">
        <f>IFERROR(VLOOKUP(C737,[3]List1!$A:$D,3,FALSE),"N/A!")</f>
        <v>2970</v>
      </c>
      <c r="P737" s="645">
        <f>IFERROR(VLOOKUP(C737,[3]List1!$A:$D,2,FALSE),"N/A!")</f>
        <v>23500</v>
      </c>
      <c r="Q737" s="645" t="s">
        <v>11330</v>
      </c>
      <c r="R737" s="645" t="s">
        <v>20</v>
      </c>
      <c r="S737" s="645" t="str">
        <f>IF($W$17=$AF$1,"design",IFERROR(VLOOKUP("design",Jazyky_ceník!$A:$Q,MATCH($W$17,Jazyky_ceník!$A$1:$Q$1,0),FALSE),"!!!"))</f>
        <v>design</v>
      </c>
      <c r="T737" s="645">
        <v>40</v>
      </c>
      <c r="U737" s="645" t="s">
        <v>10746</v>
      </c>
      <c r="V737" s="645" t="s">
        <v>10747</v>
      </c>
      <c r="W737" s="645" t="str">
        <f>IFERROR(IF(AND($AB737&gt;=0.1*$AA737,MOD($AB737,$AA737)&gt;=($AA737-(0.1*$AA737))),IF($W$17=$AF$1,"Zvažte možnost doobjednání ještě "&amp;Tabulka1[[#This Row],[VKPAL]]-MOD(AB737,AA737)&amp;" VK do plné palety.",VLOOKUP("Zvažte možnost doobjednání ještě ",Jazyky_ceník!A:Q,MATCH($W$17,Jazyky_ceník!$A$1:$Q$1,0),FALSE)&amp;Tabulka1[[#This Row],[VKPAL]]-MOD(AB737,AA737)&amp;VLOOKUP(" VK do plné palety.",Jazyky_ceník!A:Q,MATCH($W$17,Jazyky_ceník!$A$1:$Q$1,0),FALSE)),IFERROR(IF(AND(NOT(MOD($AB737,$AA737)=0),$AB737&gt;=0.9*$AA737,MOD($AB737,$AA737)&lt;=0.1*$AA737),IF($W$17=$AF$1,"Zvažte možnost optimalizace objednaného množství podle počtu VK na paletě ==&gt;",VLOOKUP("Zvažte možnost optimalizace objednaného množství podle počtu VK na paletě ==&gt;",Jazyky_ceník!A:Q,MATCH($W$17,Jazyky_ceník!$A$1:$Q$1,0),FALSE)),VLOOKUP('General price list'!$C737,Popisy!A:M,MATCH($W$17,Popisy!$A$7:$M$7,0),FALSE)),"---------------")),IFERROR(VLOOKUP('General price list'!$C737,Popisy!A:M,MATCH($W$17,Popisy!$A$7:$M$7,0),FALSE),"---------------"))</f>
        <v>7 různobarevných efektů</v>
      </c>
      <c r="X737" s="645" t="str">
        <f t="shared" ref="X737:X738" si="2278">IF(AB737&lt;0.0001,"",AB737)</f>
        <v/>
      </c>
      <c r="Y737" s="645" t="str">
        <f t="shared" ref="Y737:Y738" si="2279">IF($AL$3=2,IF(OR(AB737&lt;&gt;"",AB737&lt;&gt;0),AU737,""),IF(C737="","",IF(AB737&lt;0.0001,"",IF(B737=0,"",IF(AQ737&lt;AB737,"",AB737)))))</f>
        <v/>
      </c>
      <c r="Z737" s="645" t="str">
        <f>HYPERLINK("https://www.klasekpyrotechnics.cz/c50mo")</f>
        <v>https://www.klasekpyrotechnics.cz/c50mo</v>
      </c>
      <c r="AA737" s="645">
        <f>IFERROR(IF(VLOOKUP(C737,[4]List1!$A:$D,4,FALSE)=0,"",VLOOKUP(C737,[4]List1!$A:$D,4,FALSE)),"")</f>
        <v>16</v>
      </c>
      <c r="AB737" s="646"/>
      <c r="AC737" s="647" t="str">
        <f>IFERROR(IF(VLOOKUP(C737,[1]List1!$A:$D,2,FALSE)="VYPRODÁNO",$V$9,IF(VLOOKUP(C737,[1]List1!$A:$D,2,FALSE)="DOCHÁZÍ",$V$3,VLOOKUP(C737,[1]List1!$A:$D,2,FALSE))),"OFFLINE!")</f>
        <v>SKLADEM</v>
      </c>
      <c r="AD737" s="647" t="str">
        <f ca="1">IF(AP737="NE",$V$10,IF(AC737=$V$3,IF(AQ737&lt;1,$V$8,$V$2&amp;" "&amp;AQ737&amp;" "&amp;$V$1),IF(AC737="SKLADEM",$V$6,IFERROR(IF(OR(AC737-TODAY()&gt;45,VLOOKUP(C737,[1]List1!$A:$E,4,FALSE)=0),AC737,DAY(AC737)&amp;"."&amp;MONTH(AC737)&amp;"."&amp;YEAR(AC737)&amp;" "&amp;$V$4&amp;VLOOKUP(C737,[1]List1!$A:$E,4,FALSE)&amp;" "&amp;$V$1),AC737))))</f>
        <v>SKLADEM</v>
      </c>
      <c r="AE737" s="645" t="str">
        <f t="shared" ref="AE737:AE738" ca="1" si="2280">IFERROR(IF(AV737&lt;&gt;"",AV737,AD737),AD737)</f>
        <v>SKLADEM</v>
      </c>
      <c r="AF737" s="648">
        <f t="shared" ref="AF737:AF738" si="2281">IFERROR(IF(AB737=Y737,G737*I737*Y737,0),0)</f>
        <v>0</v>
      </c>
      <c r="AG737" s="649">
        <f t="shared" ref="AG737:AG738" si="2282">IF($W$17=$AF$8,AH737*1.23,AF737*1.21)</f>
        <v>0</v>
      </c>
      <c r="AH737" s="650">
        <f t="shared" ref="AH737:AH738" si="2283">IFERROR(IF(Y737=AB737,H737*I737*Y737,0),0)</f>
        <v>0</v>
      </c>
      <c r="AI737" s="645">
        <f t="shared" ref="AI737:AI738" si="2284">IFERROR(IF(Y737=AB737,(P737*Y737)/1000,1),0)</f>
        <v>0</v>
      </c>
      <c r="AJ737" s="645">
        <f t="shared" ref="AJ737:AJ738" si="2285">IFERROR(IF(Y737=AB737,N737*Y737,0.1),0)</f>
        <v>0</v>
      </c>
      <c r="AK737" s="645" t="str">
        <f t="shared" ref="AK737:AK738" si="2286">IFERROR(IF(Y737=AB737,IF(M737="1.1G",(O737/1000)*Y737,""),""),0)</f>
        <v/>
      </c>
      <c r="AL737" s="645">
        <f t="shared" ref="AL737:AL738" si="2287">IFERROR(IF(Y737=AB737,IF(M737="1.3G",(O737/1000)*AB737,""),""),0)</f>
        <v>0</v>
      </c>
      <c r="AM737" s="645" t="str">
        <f t="shared" ref="AM737:AM738" si="2288">IFERROR(IF(Y737=AB737,IF(M737="1.4G",(O737/1000)*AB737,""),""),0)</f>
        <v/>
      </c>
      <c r="AN737" s="651">
        <f t="shared" ref="AN737:AN738" si="2289">SUM(AK737:AM737)</f>
        <v>0</v>
      </c>
      <c r="AO737" s="623"/>
      <c r="AP737" s="625" t="str">
        <f t="shared" si="2064"/>
        <v/>
      </c>
      <c r="AQ737" s="625" t="str">
        <f>IF(AC737=$V$3,IF(VLOOKUP(C737,[1]List1!$A:$E,5,FALSE)=0,1,VLOOKUP(C737,[1]List1!$A:$E,5,FALSE)),"")</f>
        <v/>
      </c>
      <c r="AR737" s="629" t="str">
        <f t="shared" si="2065"/>
        <v/>
      </c>
      <c r="AS737" s="630" t="str">
        <f t="shared" si="2066"/>
        <v/>
      </c>
      <c r="AT737" s="625" t="str">
        <f t="shared" si="2067"/>
        <v/>
      </c>
      <c r="AU737" s="625" t="e">
        <f t="shared" si="2068"/>
        <v>#N/A</v>
      </c>
      <c r="AV737" s="625" t="e">
        <f t="shared" si="2069"/>
        <v>#N/A</v>
      </c>
      <c r="AW737" s="631"/>
      <c r="AX737" s="631">
        <f>IF(AND('General price list'!$J737="F4",'General price list'!$AB737+0&gt;0),1,0)</f>
        <v>0</v>
      </c>
      <c r="AY737" s="631">
        <f t="shared" si="2070"/>
        <v>1</v>
      </c>
      <c r="AZ737" s="631">
        <f t="shared" si="2071"/>
        <v>0</v>
      </c>
    </row>
    <row r="738" spans="1:52" ht="15.75" customHeight="1">
      <c r="A738" s="621" t="str">
        <f>Kat.!C738</f>
        <v/>
      </c>
      <c r="B738" s="566">
        <f>IF(AND('General price list'!$J738="F4",$AI$1=FALSE),0,IF(AC738="SKLADEM",1,IF(AC738=$V$3,1,0)))</f>
        <v>1</v>
      </c>
      <c r="C738" s="567" t="s">
        <v>1470</v>
      </c>
      <c r="D738" s="568" t="s">
        <v>1471</v>
      </c>
      <c r="E738" s="763" t="s">
        <v>12746</v>
      </c>
      <c r="F738" s="772">
        <f>IFERROR(VLOOKUP(C738,[2]List1!$A:$D,3,FALSE),"NEUVEDENO!")</f>
        <v>770</v>
      </c>
      <c r="G738" s="769">
        <f t="shared" si="2276"/>
        <v>770</v>
      </c>
      <c r="H738" s="766">
        <f t="shared" si="2277"/>
        <v>32.708474043489531</v>
      </c>
      <c r="I738" s="764">
        <f>IFERROR(VLOOKUP(C738,[2]List1!$A:$D,4,FALSE),"NEUVEDENO!")</f>
        <v>6</v>
      </c>
      <c r="J738" s="732" t="s">
        <v>39</v>
      </c>
      <c r="K738" s="569" t="s">
        <v>20</v>
      </c>
      <c r="L738" s="569" t="s">
        <v>20</v>
      </c>
      <c r="M738" s="569" t="s">
        <v>114</v>
      </c>
      <c r="N738" s="569">
        <f>IFERROR(VLOOKUP(C738,[3]List1!$A:$D,4,FALSE),"N/A!")</f>
        <v>6.9599999999999995E-2</v>
      </c>
      <c r="O738" s="569">
        <f>IFERROR(VLOOKUP(C738,[3]List1!$A:$D,3,FALSE),"N/A!")</f>
        <v>2970</v>
      </c>
      <c r="P738" s="569">
        <f>IFERROR(VLOOKUP(C738,[3]List1!$A:$D,2,FALSE),"N/A!")</f>
        <v>23500</v>
      </c>
      <c r="Q738" s="569" t="s">
        <v>11330</v>
      </c>
      <c r="R738" s="569"/>
      <c r="S738" s="569" t="str">
        <f>IF($W$17=$AF$1,"červená fólie",IFERROR(VLOOKUP("červená fólie",Jazyky_ceník!$A:$Q,MATCH($W$17,Jazyky_ceník!$A$1:$Q$1,0),FALSE),"!!!"))</f>
        <v>červená fólie</v>
      </c>
      <c r="T738" s="569">
        <v>40</v>
      </c>
      <c r="U738" s="569" t="s">
        <v>10746</v>
      </c>
      <c r="V738" s="569" t="s">
        <v>10747</v>
      </c>
      <c r="W738" s="569" t="str">
        <f>IFERROR(IF(AND($AB738&gt;=0.1*$AA738,MOD($AB738,$AA738)&gt;=($AA738-(0.1*$AA738))),IF($W$17=$AF$1,"Zvažte možnost doobjednání ještě "&amp;Tabulka1[[#This Row],[VKPAL]]-MOD(AB738,AA738)&amp;" VK do plné palety.",VLOOKUP("Zvažte možnost doobjednání ještě ",Jazyky_ceník!A:Q,MATCH($W$17,Jazyky_ceník!$A$1:$Q$1,0),FALSE)&amp;Tabulka1[[#This Row],[VKPAL]]-MOD(AB738,AA738)&amp;VLOOKUP(" VK do plné palety.",Jazyky_ceník!A:Q,MATCH($W$17,Jazyky_ceník!$A$1:$Q$1,0),FALSE)),IFERROR(IF(AND(NOT(MOD($AB738,$AA738)=0),$AB738&gt;=0.9*$AA738,MOD($AB738,$AA738)&lt;=0.1*$AA738),IF($W$17=$AF$1,"Zvažte možnost optimalizace objednaného množství podle počtu VK na paletě ==&gt;",VLOOKUP("Zvažte možnost optimalizace objednaného množství podle počtu VK na paletě ==&gt;",Jazyky_ceník!A:Q,MATCH($W$17,Jazyky_ceník!$A$1:$Q$1,0),FALSE)),VLOOKUP('General price list'!$C738,Popisy!A:M,MATCH($W$17,Popisy!$A$7:$M$7,0),FALSE)),"---------------")),IFERROR(VLOOKUP('General price list'!$C738,Popisy!A:M,MATCH($W$17,Popisy!$A$7:$M$7,0),FALSE),"---------------"))</f>
        <v>7 různobarevných efektů</v>
      </c>
      <c r="X738" s="569" t="str">
        <f t="shared" si="2278"/>
        <v/>
      </c>
      <c r="Y738" s="569" t="str">
        <f t="shared" si="2279"/>
        <v/>
      </c>
      <c r="Z738" s="569" t="str">
        <f>HYPERLINK("https://www.klasekpyrotechnics.cz/c50mch")</f>
        <v>https://www.klasekpyrotechnics.cz/c50mch</v>
      </c>
      <c r="AA738" s="569">
        <f>IFERROR(IF(VLOOKUP(C738,[4]List1!$A:$D,4,FALSE)=0,"",VLOOKUP(C738,[4]List1!$A:$D,4,FALSE)),"")</f>
        <v>16</v>
      </c>
      <c r="AB738" s="565"/>
      <c r="AC738" s="570" t="str">
        <f>IFERROR(IF(VLOOKUP(C738,[1]List1!$A:$D,2,FALSE)="VYPRODÁNO",$V$9,IF(VLOOKUP(C738,[1]List1!$A:$D,2,FALSE)="DOCHÁZÍ",$V$3,VLOOKUP(C738,[1]List1!$A:$D,2,FALSE))),"OFFLINE!")</f>
        <v>SKLADEM</v>
      </c>
      <c r="AD738" s="570" t="str">
        <f ca="1">IF(AP738="NE",$V$10,IF(AC738=$V$3,IF(AQ738&lt;1,$V$8,$V$2&amp;" "&amp;AQ738&amp;" "&amp;$V$1),IF(AC738="SKLADEM",$V$6,IFERROR(IF(OR(AC738-TODAY()&gt;45,VLOOKUP(C738,[1]List1!$A:$E,4,FALSE)=0),AC738,DAY(AC738)&amp;"."&amp;MONTH(AC738)&amp;"."&amp;YEAR(AC738)&amp;" "&amp;$V$4&amp;VLOOKUP(C738,[1]List1!$A:$E,4,FALSE)&amp;" "&amp;$V$1),AC738))))</f>
        <v>SKLADEM</v>
      </c>
      <c r="AE738" s="581" t="str">
        <f t="shared" ca="1" si="2280"/>
        <v>SKLADEM</v>
      </c>
      <c r="AF738" s="584">
        <f t="shared" si="2281"/>
        <v>0</v>
      </c>
      <c r="AG738" s="585">
        <f t="shared" si="2282"/>
        <v>0</v>
      </c>
      <c r="AH738" s="583">
        <f t="shared" si="2283"/>
        <v>0</v>
      </c>
      <c r="AI738" s="582">
        <f t="shared" si="2284"/>
        <v>0</v>
      </c>
      <c r="AJ738" s="569">
        <f t="shared" si="2285"/>
        <v>0</v>
      </c>
      <c r="AK738" s="569" t="str">
        <f t="shared" si="2286"/>
        <v/>
      </c>
      <c r="AL738" s="569">
        <f t="shared" si="2287"/>
        <v>0</v>
      </c>
      <c r="AM738" s="569" t="str">
        <f t="shared" si="2288"/>
        <v/>
      </c>
      <c r="AN738" s="581">
        <f t="shared" si="2289"/>
        <v>0</v>
      </c>
      <c r="AO738" s="623"/>
      <c r="AP738" s="625" t="str">
        <f t="shared" si="2064"/>
        <v/>
      </c>
      <c r="AQ738" s="625" t="str">
        <f>IF(AC738=$V$3,IF(VLOOKUP(C738,[1]List1!$A:$E,5,FALSE)=0,1,VLOOKUP(C738,[1]List1!$A:$E,5,FALSE)),"")</f>
        <v/>
      </c>
      <c r="AR738" s="629" t="str">
        <f t="shared" si="2065"/>
        <v/>
      </c>
      <c r="AS738" s="630" t="str">
        <f t="shared" si="2066"/>
        <v/>
      </c>
      <c r="AT738" s="625" t="str">
        <f t="shared" si="2067"/>
        <v/>
      </c>
      <c r="AU738" s="625" t="e">
        <f t="shared" si="2068"/>
        <v>#N/A</v>
      </c>
      <c r="AV738" s="625" t="e">
        <f t="shared" si="2069"/>
        <v>#N/A</v>
      </c>
      <c r="AW738" s="631"/>
      <c r="AX738" s="631">
        <f>IF(AND('General price list'!$J738="F4",'General price list'!$AB738+0&gt;0),1,0)</f>
        <v>0</v>
      </c>
      <c r="AY738" s="631">
        <f t="shared" si="2070"/>
        <v>1</v>
      </c>
      <c r="AZ738" s="631">
        <f t="shared" si="2071"/>
        <v>0</v>
      </c>
    </row>
    <row r="739" spans="1:52" ht="15" customHeight="1">
      <c r="A739" s="751" t="str">
        <f>Kat.!C739</f>
        <v xml:space="preserve">           Baterie 64 ran, 20 + 25 mm moždíř – 1.3G</v>
      </c>
      <c r="B739" s="751"/>
      <c r="C739" s="751"/>
      <c r="D739" s="751"/>
      <c r="E739" s="751"/>
      <c r="F739" s="751"/>
      <c r="G739" s="751"/>
      <c r="H739" s="751"/>
      <c r="I739" s="752"/>
      <c r="J739" s="752"/>
      <c r="K739" s="752" t="s">
        <v>20</v>
      </c>
      <c r="L739" s="753" t="s">
        <v>20</v>
      </c>
      <c r="M739" s="752"/>
      <c r="N739" s="752"/>
      <c r="O739" s="752"/>
      <c r="P739" s="752"/>
      <c r="Q739" s="752"/>
      <c r="R739" s="752"/>
      <c r="S739" s="752"/>
      <c r="T739" s="752"/>
      <c r="U739" s="752"/>
      <c r="V739" s="752"/>
      <c r="W739" s="752"/>
      <c r="X739" s="752"/>
      <c r="Y739" s="752"/>
      <c r="Z739" s="752" t="s">
        <v>20</v>
      </c>
      <c r="AA739" s="752"/>
      <c r="AB739" s="752"/>
      <c r="AC739" s="754"/>
      <c r="AD739" s="752"/>
      <c r="AE739" s="752"/>
      <c r="AF739" s="752"/>
      <c r="AG739" s="752"/>
      <c r="AH739" s="752"/>
      <c r="AI739" s="752"/>
      <c r="AJ739" s="752"/>
      <c r="AK739" s="752"/>
      <c r="AL739" s="752"/>
      <c r="AM739" s="752"/>
      <c r="AN739" s="752"/>
      <c r="AO739" s="623"/>
      <c r="AP739" s="632" t="str">
        <f t="shared" si="2064"/>
        <v/>
      </c>
      <c r="AQ739" s="633" t="str">
        <f>IF(AC739=$V$3,IF(VLOOKUP(C739,[1]List1!$A:$E,5,FALSE)=0,1,VLOOKUP(C739,[1]List1!$A:$E,5,FALSE)),"")</f>
        <v/>
      </c>
      <c r="AR739" s="625" t="str">
        <f t="shared" si="2065"/>
        <v/>
      </c>
      <c r="AS739" s="634" t="str">
        <f t="shared" si="2066"/>
        <v/>
      </c>
      <c r="AT739" s="625" t="str">
        <f t="shared" si="2067"/>
        <v/>
      </c>
      <c r="AU739" s="638" t="e">
        <f t="shared" si="2068"/>
        <v>#N/A</v>
      </c>
      <c r="AV739" s="625" t="e">
        <f t="shared" si="2069"/>
        <v>#N/A</v>
      </c>
      <c r="AX739" s="625">
        <f>IF(AND('General price list'!$J739="F4",'General price list'!$AB739+0&gt;0),1,0)</f>
        <v>0</v>
      </c>
      <c r="AY739" s="625">
        <f t="shared" si="2070"/>
        <v>0</v>
      </c>
      <c r="AZ739" s="625">
        <f t="shared" si="2071"/>
        <v>0</v>
      </c>
    </row>
    <row r="740" spans="1:52" ht="15" customHeight="1">
      <c r="A740" s="639" t="str">
        <f>Kat.!C740</f>
        <v/>
      </c>
      <c r="B740" s="640">
        <f>IF(AND('General price list'!$J740="F4",$AI$1=FALSE),0,IF(AC740="SKLADEM",1,IF(AC740=$V$3,1,0)))</f>
        <v>1</v>
      </c>
      <c r="C740" s="641" t="s">
        <v>1479</v>
      </c>
      <c r="D740" s="642" t="s">
        <v>1477</v>
      </c>
      <c r="E740" s="643" t="s">
        <v>12651</v>
      </c>
      <c r="F740" s="771">
        <f>IFERROR(VLOOKUP(C740,[2]List1!$A:$D,3,FALSE),"NEUVEDENO!")</f>
        <v>744</v>
      </c>
      <c r="G740" s="768">
        <f t="shared" ref="G740:G741" si="2290">IF($W$17=$AF$8,ROUND((F740)/$F$17,2),(F740)*$B$19)</f>
        <v>744</v>
      </c>
      <c r="H740" s="765">
        <f t="shared" ref="H740:H741" si="2291">IF($W$17=$AF$8,G740*$B$19,G740/$F$17)</f>
        <v>31.604032062800272</v>
      </c>
      <c r="I740" s="644">
        <f>IFERROR(VLOOKUP(C740,[2]List1!$A:$D,4,FALSE),"NEUVEDENO!")</f>
        <v>4</v>
      </c>
      <c r="J740" s="733" t="s">
        <v>39</v>
      </c>
      <c r="K740" s="645" t="s">
        <v>20</v>
      </c>
      <c r="L740" s="645" t="s">
        <v>20</v>
      </c>
      <c r="M740" s="645" t="s">
        <v>114</v>
      </c>
      <c r="N740" s="645">
        <f>IFERROR(VLOOKUP(C740,[3]List1!$A:$D,4,FALSE),"N/A!")</f>
        <v>3.2399999999999998E-2</v>
      </c>
      <c r="O740" s="645">
        <f>IFERROR(VLOOKUP(C740,[3]List1!$A:$D,3,FALSE),"N/A!")</f>
        <v>1980</v>
      </c>
      <c r="P740" s="645">
        <f>IFERROR(VLOOKUP(C740,[3]List1!$A:$D,2,FALSE),"N/A!")</f>
        <v>15000</v>
      </c>
      <c r="Q740" s="645" t="s">
        <v>11797</v>
      </c>
      <c r="R740" s="645"/>
      <c r="S740" s="645" t="str">
        <f>IF($W$17=$AF$1,"červená fólie",IFERROR(VLOOKUP("červená fólie",Jazyky_ceník!$A:$Q,MATCH($W$17,Jazyky_ceník!$A$1:$Q$1,0),FALSE),"!!!"))</f>
        <v>červená fólie</v>
      </c>
      <c r="T740" s="645">
        <v>60</v>
      </c>
      <c r="U740" s="645" t="s">
        <v>10751</v>
      </c>
      <c r="V740" s="645" t="s">
        <v>10752</v>
      </c>
      <c r="W740" s="645" t="str">
        <f>IFERROR(IF(AND($AB740&gt;=0.1*$AA740,MOD($AB740,$AA740)&gt;=($AA740-(0.1*$AA740))),IF($W$17=$AF$1,"Zvažte možnost doobjednání ještě "&amp;Tabulka1[[#This Row],[VKPAL]]-MOD(AB740,AA740)&amp;" VK do plné palety.",VLOOKUP("Zvažte možnost doobjednání ještě ",Jazyky_ceník!A:Q,MATCH($W$17,Jazyky_ceník!$A$1:$Q$1,0),FALSE)&amp;Tabulka1[[#This Row],[VKPAL]]-MOD(AB740,AA740)&amp;VLOOKUP(" VK do plné palety.",Jazyky_ceník!A:Q,MATCH($W$17,Jazyky_ceník!$A$1:$Q$1,0),FALSE)),IFERROR(IF(AND(NOT(MOD($AB740,$AA740)=0),$AB740&gt;=0.9*$AA740,MOD($AB740,$AA740)&lt;=0.1*$AA740),IF($W$17=$AF$1,"Zvažte možnost optimalizace objednaného množství podle počtu VK na paletě ==&gt;",VLOOKUP("Zvažte možnost optimalizace objednaného množství podle počtu VK na paletě ==&gt;",Jazyky_ceník!A:Q,MATCH($W$17,Jazyky_ceník!$A$1:$Q$1,0),FALSE)),VLOOKUP('General price list'!$C740,Popisy!A:M,MATCH($W$17,Popisy!$A$7:$M$7,0),FALSE)),"---------------")),IFERROR(VLOOKUP('General price list'!$C740,Popisy!A:M,MATCH($W$17,Popisy!$A$7:$M$7,0),FALSE),"---------------"))</f>
        <v>9 různobarevných efektů</v>
      </c>
      <c r="X740" s="645" t="str">
        <f t="shared" ref="X740:X741" si="2292">IF(AB740&lt;0.0001,"",AB740)</f>
        <v/>
      </c>
      <c r="Y740" s="645" t="str">
        <f t="shared" ref="Y740:Y741" si="2293">IF($AL$3=2,IF(OR(AB740&lt;&gt;"",AB740&lt;&gt;0),AU740,""),IF(C740="","",IF(AB740&lt;0.0001,"",IF(B740=0,"",IF(AQ740&lt;AB740,"",AB740)))))</f>
        <v/>
      </c>
      <c r="Z740" s="645" t="str">
        <f>HYPERLINK("https://www.klasekpyrotechnics.cz/c64mt")</f>
        <v>https://www.klasekpyrotechnics.cz/c64mt</v>
      </c>
      <c r="AA740" s="645">
        <f>IFERROR(IF(VLOOKUP(C740,[4]List1!$A:$D,4,FALSE)=0,"",VLOOKUP(C740,[4]List1!$A:$D,4,FALSE)),"")</f>
        <v>36</v>
      </c>
      <c r="AB740" s="646"/>
      <c r="AC740" s="647" t="str">
        <f>IFERROR(IF(VLOOKUP(C740,[1]List1!$A:$D,2,FALSE)="VYPRODÁNO",$V$9,IF(VLOOKUP(C740,[1]List1!$A:$D,2,FALSE)="DOCHÁZÍ",$V$3,VLOOKUP(C740,[1]List1!$A:$D,2,FALSE))),"OFFLINE!")</f>
        <v>SKLADEM</v>
      </c>
      <c r="AD740" s="647" t="str">
        <f ca="1">IF(AP740="NE",$V$10,IF(AC740=$V$3,IF(AQ740&lt;1,$V$8,$V$2&amp;" "&amp;AQ740&amp;" "&amp;$V$1),IF(AC740="SKLADEM",$V$6,IFERROR(IF(OR(AC740-TODAY()&gt;45,VLOOKUP(C740,[1]List1!$A:$E,4,FALSE)=0),AC740,DAY(AC740)&amp;"."&amp;MONTH(AC740)&amp;"."&amp;YEAR(AC740)&amp;" "&amp;$V$4&amp;VLOOKUP(C740,[1]List1!$A:$E,4,FALSE)&amp;" "&amp;$V$1),AC740))))</f>
        <v>SKLADEM</v>
      </c>
      <c r="AE740" s="645" t="str">
        <f t="shared" ref="AE740:AE741" ca="1" si="2294">IFERROR(IF(AV740&lt;&gt;"",AV740,AD740),AD740)</f>
        <v>SKLADEM</v>
      </c>
      <c r="AF740" s="648">
        <f t="shared" ref="AF740:AF741" si="2295">IFERROR(IF(AB740=Y740,G740*I740*Y740,0),0)</f>
        <v>0</v>
      </c>
      <c r="AG740" s="649">
        <f t="shared" ref="AG740:AG741" si="2296">IF($W$17=$AF$8,AH740*1.23,AF740*1.21)</f>
        <v>0</v>
      </c>
      <c r="AH740" s="650">
        <f t="shared" ref="AH740:AH741" si="2297">IFERROR(IF(Y740=AB740,H740*I740*Y740,0),0)</f>
        <v>0</v>
      </c>
      <c r="AI740" s="645">
        <f t="shared" ref="AI740:AI741" si="2298">IFERROR(IF(Y740=AB740,(P740*Y740)/1000,1),0)</f>
        <v>0</v>
      </c>
      <c r="AJ740" s="645">
        <f t="shared" ref="AJ740:AJ741" si="2299">IFERROR(IF(Y740=AB740,N740*Y740,0.1),0)</f>
        <v>0</v>
      </c>
      <c r="AK740" s="645" t="str">
        <f t="shared" ref="AK740:AK741" si="2300">IFERROR(IF(Y740=AB740,IF(M740="1.1G",(O740/1000)*Y740,""),""),0)</f>
        <v/>
      </c>
      <c r="AL740" s="645">
        <f t="shared" ref="AL740:AL741" si="2301">IFERROR(IF(Y740=AB740,IF(M740="1.3G",(O740/1000)*AB740,""),""),0)</f>
        <v>0</v>
      </c>
      <c r="AM740" s="645" t="str">
        <f t="shared" ref="AM740:AM741" si="2302">IFERROR(IF(Y740=AB740,IF(M740="1.4G",(O740/1000)*AB740,""),""),0)</f>
        <v/>
      </c>
      <c r="AN740" s="651">
        <f t="shared" ref="AN740:AN741" si="2303">SUM(AK740:AM740)</f>
        <v>0</v>
      </c>
      <c r="AO740" s="623"/>
      <c r="AP740" s="632" t="str">
        <f t="shared" si="2064"/>
        <v/>
      </c>
      <c r="AQ740" s="633" t="str">
        <f>IF(AC740=$V$3,IF(VLOOKUP(C740,[1]List1!$A:$E,5,FALSE)=0,1,VLOOKUP(C740,[1]List1!$A:$E,5,FALSE)),"")</f>
        <v/>
      </c>
      <c r="AR740" s="625" t="str">
        <f t="shared" si="2065"/>
        <v/>
      </c>
      <c r="AS740" s="634" t="str">
        <f t="shared" si="2066"/>
        <v/>
      </c>
      <c r="AT740" s="625" t="str">
        <f t="shared" si="2067"/>
        <v/>
      </c>
      <c r="AU740" s="638" t="e">
        <f t="shared" si="2068"/>
        <v>#N/A</v>
      </c>
      <c r="AV740" s="625" t="e">
        <f t="shared" si="2069"/>
        <v>#N/A</v>
      </c>
      <c r="AX740" s="625">
        <f>IF(AND('General price list'!$J740="F4",'General price list'!$AB740+0&gt;0),1,0)</f>
        <v>0</v>
      </c>
      <c r="AY740" s="625">
        <f t="shared" si="2070"/>
        <v>1</v>
      </c>
      <c r="AZ740" s="625">
        <f t="shared" si="2071"/>
        <v>0</v>
      </c>
    </row>
    <row r="741" spans="1:52" ht="15" customHeight="1">
      <c r="A741" s="621" t="str">
        <f>Kat.!C741</f>
        <v/>
      </c>
      <c r="B741" s="566">
        <f>IF(AND('General price list'!$J741="F4",$AI$1=FALSE),0,IF(AC741="SKLADEM",1,IF(AC741=$V$3,1,0)))</f>
        <v>1</v>
      </c>
      <c r="C741" s="567" t="s">
        <v>1480</v>
      </c>
      <c r="D741" s="568" t="s">
        <v>1478</v>
      </c>
      <c r="E741" s="763" t="s">
        <v>12651</v>
      </c>
      <c r="F741" s="772">
        <f>IFERROR(VLOOKUP(C741,[2]List1!$A:$D,3,FALSE),"NEUVEDENO!")</f>
        <v>744</v>
      </c>
      <c r="G741" s="769">
        <f t="shared" si="2290"/>
        <v>744</v>
      </c>
      <c r="H741" s="766">
        <f t="shared" si="2291"/>
        <v>31.604032062800272</v>
      </c>
      <c r="I741" s="764">
        <f>IFERROR(VLOOKUP(C741,[2]List1!$A:$D,4,FALSE),"NEUVEDENO!")</f>
        <v>4</v>
      </c>
      <c r="J741" s="732" t="s">
        <v>39</v>
      </c>
      <c r="K741" s="569" t="s">
        <v>20</v>
      </c>
      <c r="L741" s="569" t="s">
        <v>20</v>
      </c>
      <c r="M741" s="569" t="s">
        <v>114</v>
      </c>
      <c r="N741" s="569">
        <f>IFERROR(VLOOKUP(C741,[3]List1!$A:$D,4,FALSE),"N/A!")</f>
        <v>3.2399999999999998E-2</v>
      </c>
      <c r="O741" s="569">
        <f>IFERROR(VLOOKUP(C741,[3]List1!$A:$D,3,FALSE),"N/A!")</f>
        <v>1980</v>
      </c>
      <c r="P741" s="569">
        <f>IFERROR(VLOOKUP(C741,[3]List1!$A:$D,2,FALSE),"N/A!")</f>
        <v>15000</v>
      </c>
      <c r="Q741" s="569" t="s">
        <v>11797</v>
      </c>
      <c r="R741" s="569"/>
      <c r="S741" s="569" t="str">
        <f>IF($W$17=$AF$1,"design",IFERROR(VLOOKUP("design",Jazyky_ceník!$A:$Q,MATCH($W$17,Jazyky_ceník!$A$1:$Q$1,0),FALSE),"!!!"))</f>
        <v>design</v>
      </c>
      <c r="T741" s="569">
        <v>60</v>
      </c>
      <c r="U741" s="569" t="s">
        <v>10751</v>
      </c>
      <c r="V741" s="569" t="s">
        <v>10752</v>
      </c>
      <c r="W741" s="569" t="str">
        <f>IFERROR(IF(AND($AB741&gt;=0.1*$AA741,MOD($AB741,$AA741)&gt;=($AA741-(0.1*$AA741))),IF($W$17=$AF$1,"Zvažte možnost doobjednání ještě "&amp;Tabulka1[[#This Row],[VKPAL]]-MOD(AB741,AA741)&amp;" VK do plné palety.",VLOOKUP("Zvažte možnost doobjednání ještě ",Jazyky_ceník!A:Q,MATCH($W$17,Jazyky_ceník!$A$1:$Q$1,0),FALSE)&amp;Tabulka1[[#This Row],[VKPAL]]-MOD(AB741,AA741)&amp;VLOOKUP(" VK do plné palety.",Jazyky_ceník!A:Q,MATCH($W$17,Jazyky_ceník!$A$1:$Q$1,0),FALSE)),IFERROR(IF(AND(NOT(MOD($AB741,$AA741)=0),$AB741&gt;=0.9*$AA741,MOD($AB741,$AA741)&lt;=0.1*$AA741),IF($W$17=$AF$1,"Zvažte možnost optimalizace objednaného množství podle počtu VK na paletě ==&gt;",VLOOKUP("Zvažte možnost optimalizace objednaného množství podle počtu VK na paletě ==&gt;",Jazyky_ceník!A:Q,MATCH($W$17,Jazyky_ceník!$A$1:$Q$1,0),FALSE)),VLOOKUP('General price list'!$C741,Popisy!A:M,MATCH($W$17,Popisy!$A$7:$M$7,0),FALSE)),"---------------")),IFERROR(VLOOKUP('General price list'!$C741,Popisy!A:M,MATCH($W$17,Popisy!$A$7:$M$7,0),FALSE),"---------------"))</f>
        <v>9 různobarevných efektů</v>
      </c>
      <c r="X741" s="569" t="str">
        <f t="shared" si="2292"/>
        <v/>
      </c>
      <c r="Y741" s="569" t="str">
        <f t="shared" si="2293"/>
        <v/>
      </c>
      <c r="Z741" s="569" t="str">
        <f>HYPERLINK("https://www.klasekpyrotechnics.cz/c64mp")</f>
        <v>https://www.klasekpyrotechnics.cz/c64mp</v>
      </c>
      <c r="AA741" s="569">
        <f>IFERROR(IF(VLOOKUP(C741,[4]List1!$A:$D,4,FALSE)=0,"",VLOOKUP(C741,[4]List1!$A:$D,4,FALSE)),"")</f>
        <v>36</v>
      </c>
      <c r="AB741" s="565"/>
      <c r="AC741" s="570" t="str">
        <f>IFERROR(IF(VLOOKUP(C741,[1]List1!$A:$D,2,FALSE)="VYPRODÁNO",$V$9,IF(VLOOKUP(C741,[1]List1!$A:$D,2,FALSE)="DOCHÁZÍ",$V$3,VLOOKUP(C741,[1]List1!$A:$D,2,FALSE))),"OFFLINE!")</f>
        <v>SKLADEM</v>
      </c>
      <c r="AD741" s="570" t="str">
        <f ca="1">IF(AP741="NE",$V$10,IF(AC741=$V$3,IF(AQ741&lt;1,$V$8,$V$2&amp;" "&amp;AQ741&amp;" "&amp;$V$1),IF(AC741="SKLADEM",$V$6,IFERROR(IF(OR(AC741-TODAY()&gt;45,VLOOKUP(C741,[1]List1!$A:$E,4,FALSE)=0),AC741,DAY(AC741)&amp;"."&amp;MONTH(AC741)&amp;"."&amp;YEAR(AC741)&amp;" "&amp;$V$4&amp;VLOOKUP(C741,[1]List1!$A:$E,4,FALSE)&amp;" "&amp;$V$1),AC741))))</f>
        <v>SKLADEM</v>
      </c>
      <c r="AE741" s="581" t="str">
        <f t="shared" ca="1" si="2294"/>
        <v>SKLADEM</v>
      </c>
      <c r="AF741" s="584">
        <f t="shared" si="2295"/>
        <v>0</v>
      </c>
      <c r="AG741" s="585">
        <f t="shared" si="2296"/>
        <v>0</v>
      </c>
      <c r="AH741" s="583">
        <f t="shared" si="2297"/>
        <v>0</v>
      </c>
      <c r="AI741" s="582">
        <f t="shared" si="2298"/>
        <v>0</v>
      </c>
      <c r="AJ741" s="569">
        <f t="shared" si="2299"/>
        <v>0</v>
      </c>
      <c r="AK741" s="569" t="str">
        <f t="shared" si="2300"/>
        <v/>
      </c>
      <c r="AL741" s="569">
        <f t="shared" si="2301"/>
        <v>0</v>
      </c>
      <c r="AM741" s="569" t="str">
        <f t="shared" si="2302"/>
        <v/>
      </c>
      <c r="AN741" s="581">
        <f t="shared" si="2303"/>
        <v>0</v>
      </c>
      <c r="AO741" s="623"/>
      <c r="AP741" s="632" t="str">
        <f t="shared" si="2064"/>
        <v/>
      </c>
      <c r="AQ741" s="633" t="str">
        <f>IF(AC741=$V$3,IF(VLOOKUP(C741,[1]List1!$A:$E,5,FALSE)=0,1,VLOOKUP(C741,[1]List1!$A:$E,5,FALSE)),"")</f>
        <v/>
      </c>
      <c r="AR741" s="625" t="str">
        <f t="shared" si="2065"/>
        <v/>
      </c>
      <c r="AS741" s="634" t="str">
        <f t="shared" si="2066"/>
        <v/>
      </c>
      <c r="AT741" s="625" t="str">
        <f t="shared" si="2067"/>
        <v/>
      </c>
      <c r="AU741" s="638" t="e">
        <f t="shared" si="2068"/>
        <v>#N/A</v>
      </c>
      <c r="AV741" s="625" t="e">
        <f t="shared" si="2069"/>
        <v>#N/A</v>
      </c>
      <c r="AX741" s="625">
        <f>IF(AND('General price list'!$J741="F4",'General price list'!$AB741+0&gt;0),1,0)</f>
        <v>0</v>
      </c>
      <c r="AY741" s="625">
        <f t="shared" si="2070"/>
        <v>1</v>
      </c>
      <c r="AZ741" s="625">
        <f t="shared" si="2071"/>
        <v>0</v>
      </c>
    </row>
    <row r="742" spans="1:52" ht="15" customHeight="1">
      <c r="A742" s="751" t="str">
        <f>Kat.!C742</f>
        <v xml:space="preserve">           Baterie 68 ran, 20 + 25 + 30 mm moždíř (všechny směry) – 1.3G</v>
      </c>
      <c r="B742" s="751"/>
      <c r="C742" s="751"/>
      <c r="D742" s="751"/>
      <c r="E742" s="751"/>
      <c r="F742" s="751"/>
      <c r="G742" s="751"/>
      <c r="H742" s="751"/>
      <c r="I742" s="752"/>
      <c r="J742" s="752"/>
      <c r="K742" s="752" t="s">
        <v>20</v>
      </c>
      <c r="L742" s="753" t="s">
        <v>20</v>
      </c>
      <c r="M742" s="752"/>
      <c r="N742" s="752"/>
      <c r="O742" s="752"/>
      <c r="P742" s="752"/>
      <c r="Q742" s="752"/>
      <c r="R742" s="752"/>
      <c r="S742" s="752"/>
      <c r="T742" s="752"/>
      <c r="U742" s="752"/>
      <c r="V742" s="752"/>
      <c r="W742" s="752"/>
      <c r="X742" s="752"/>
      <c r="Y742" s="752"/>
      <c r="Z742" s="752" t="s">
        <v>20</v>
      </c>
      <c r="AA742" s="752"/>
      <c r="AB742" s="752"/>
      <c r="AC742" s="754"/>
      <c r="AD742" s="752"/>
      <c r="AE742" s="752"/>
      <c r="AF742" s="752"/>
      <c r="AG742" s="752"/>
      <c r="AH742" s="752"/>
      <c r="AI742" s="752"/>
      <c r="AJ742" s="752"/>
      <c r="AK742" s="752"/>
      <c r="AL742" s="752"/>
      <c r="AM742" s="752"/>
      <c r="AN742" s="752"/>
      <c r="AO742" s="623"/>
      <c r="AP742" s="632" t="str">
        <f t="shared" si="2064"/>
        <v/>
      </c>
      <c r="AQ742" s="633" t="str">
        <f>IF(AC742=$V$3,IF(VLOOKUP(C742,[1]List1!$A:$E,5,FALSE)=0,1,VLOOKUP(C742,[1]List1!$A:$E,5,FALSE)),"")</f>
        <v/>
      </c>
      <c r="AR742" s="625" t="str">
        <f t="shared" si="2065"/>
        <v/>
      </c>
      <c r="AS742" s="634" t="str">
        <f t="shared" si="2066"/>
        <v/>
      </c>
      <c r="AT742" s="625" t="str">
        <f t="shared" si="2067"/>
        <v/>
      </c>
      <c r="AU742" s="638" t="e">
        <f t="shared" si="2068"/>
        <v>#N/A</v>
      </c>
      <c r="AV742" s="625" t="e">
        <f t="shared" si="2069"/>
        <v>#N/A</v>
      </c>
      <c r="AX742" s="625">
        <f>IF(AND('General price list'!$J742="F4",'General price list'!$AB742+0&gt;0),1,0)</f>
        <v>0</v>
      </c>
      <c r="AY742" s="625">
        <f t="shared" si="2070"/>
        <v>0</v>
      </c>
      <c r="AZ742" s="625">
        <f t="shared" si="2071"/>
        <v>0</v>
      </c>
    </row>
    <row r="743" spans="1:52" ht="15" customHeight="1">
      <c r="A743" s="639" t="str">
        <f>Kat.!C743</f>
        <v>×</v>
      </c>
      <c r="B743" s="640">
        <f>IF(AND('General price list'!$J743="F4",$AI$1=FALSE),0,IF(AC743="SKLADEM",1,IF(AC743=$V$3,1,0)))</f>
        <v>1</v>
      </c>
      <c r="C743" s="641" t="s">
        <v>2319</v>
      </c>
      <c r="D743" s="642" t="s">
        <v>12426</v>
      </c>
      <c r="E743" s="643" t="s">
        <v>12746</v>
      </c>
      <c r="F743" s="773">
        <f>IFERROR(VLOOKUP(C743,[2]List1!$A:$D,3,FALSE),"NEUVEDENO!")</f>
        <v>938</v>
      </c>
      <c r="G743" s="770">
        <f t="shared" ref="G743" si="2304">IF($W$17=$AF$8,ROUND((F743)/$F$17,2),(F743)*$B$19)</f>
        <v>938</v>
      </c>
      <c r="H743" s="767">
        <f t="shared" ref="H743" si="2305">IF($W$17=$AF$8,G743*$B$19,G743/$F$17)</f>
        <v>39.84486838025088</v>
      </c>
      <c r="I743" s="644">
        <f>IFERROR(VLOOKUP(C743,[2]List1!$A:$D,4,FALSE),"NEUVEDENO!")</f>
        <v>6</v>
      </c>
      <c r="J743" s="733" t="s">
        <v>39</v>
      </c>
      <c r="K743" s="645" t="s">
        <v>20</v>
      </c>
      <c r="L743" s="645" t="s">
        <v>20</v>
      </c>
      <c r="M743" s="645" t="s">
        <v>114</v>
      </c>
      <c r="N743" s="645">
        <f>IFERROR(VLOOKUP(C743,[3]List1!$A:$D,4,FALSE),"N/A!")</f>
        <v>9.3080999999999997E-2</v>
      </c>
      <c r="O743" s="645">
        <f>IFERROR(VLOOKUP(C743,[3]List1!$A:$D,3,FALSE),"N/A!")</f>
        <v>3000</v>
      </c>
      <c r="P743" s="645">
        <f>IFERROR(VLOOKUP(C743,[3]List1!$A:$D,2,FALSE),"N/A!")</f>
        <v>28000</v>
      </c>
      <c r="Q743" s="645" t="s">
        <v>11798</v>
      </c>
      <c r="R743" s="645"/>
      <c r="S743" s="645" t="str">
        <f>IF($W$17=$AF$1,"design",IFERROR(VLOOKUP("design",Jazyky_ceník!$A:$Q,MATCH($W$17,Jazyky_ceník!$A$1:$Q$1,0),FALSE),"!!!"))</f>
        <v>design</v>
      </c>
      <c r="T743" s="645">
        <v>45</v>
      </c>
      <c r="U743" s="645" t="s">
        <v>10746</v>
      </c>
      <c r="V743" s="645" t="s">
        <v>10754</v>
      </c>
      <c r="W743" s="645" t="str">
        <f>IFERROR(IF(AND($AB743&gt;=0.1*$AA743,MOD($AB743,$AA743)&gt;=($AA743-(0.1*$AA743))),IF($W$17=$AF$1,"Zvažte možnost doobjednání ještě "&amp;Tabulka1[[#This Row],[VKPAL]]-MOD(AB743,AA743)&amp;" VK do plné palety.",VLOOKUP("Zvažte možnost doobjednání ještě ",Jazyky_ceník!A:Q,MATCH($W$17,Jazyky_ceník!$A$1:$Q$1,0),FALSE)&amp;Tabulka1[[#This Row],[VKPAL]]-MOD(AB743,AA743)&amp;VLOOKUP(" VK do plné palety.",Jazyky_ceník!A:Q,MATCH($W$17,Jazyky_ceník!$A$1:$Q$1,0),FALSE)),IFERROR(IF(AND(NOT(MOD($AB743,$AA743)=0),$AB743&gt;=0.9*$AA743,MOD($AB743,$AA743)&lt;=0.1*$AA743),IF($W$17=$AF$1,"Zvažte možnost optimalizace objednaného množství podle počtu VK na paletě ==&gt;",VLOOKUP("Zvažte možnost optimalizace objednaného množství podle počtu VK na paletě ==&gt;",Jazyky_ceník!A:Q,MATCH($W$17,Jazyky_ceník!$A$1:$Q$1,0),FALSE)),VLOOKUP('General price list'!$C743,Popisy!A:M,MATCH($W$17,Popisy!$A$7:$M$7,0),FALSE)),"---------------")),IFERROR(VLOOKUP('General price list'!$C743,Popisy!A:M,MATCH($W$17,Popisy!$A$7:$M$7,0),FALSE),"---------------"))</f>
        <v>14 různobarevných efektů</v>
      </c>
      <c r="X743" s="645" t="str">
        <f t="shared" ref="X743" si="2306">IF(AB743&lt;0.0001,"",AB743)</f>
        <v/>
      </c>
      <c r="Y743" s="645" t="str">
        <f t="shared" ref="Y743" si="2307">IF($AL$3=2,IF(OR(AB743&lt;&gt;"",AB743&lt;&gt;0),AU743,""),IF(C743="","",IF(AB743&lt;0.0001,"",IF(B743=0,"",IF(AQ743&lt;AB743,"",AB743)))))</f>
        <v/>
      </c>
      <c r="Z743" s="645" t="str">
        <f>HYPERLINK("https://www.klasekpyrotechnics.cz/c68xmpt")</f>
        <v>https://www.klasekpyrotechnics.cz/c68xmpt</v>
      </c>
      <c r="AA743" s="645">
        <f>IFERROR(IF(VLOOKUP(C743,[4]List1!$A:$D,4,FALSE)=0,"",VLOOKUP(C743,[4]List1!$A:$D,4,FALSE)),"")</f>
        <v>15</v>
      </c>
      <c r="AB743" s="646"/>
      <c r="AC743" s="647" t="str">
        <f>IFERROR(IF(VLOOKUP(C743,[1]List1!$A:$D,2,FALSE)="VYPRODÁNO",$V$9,IF(VLOOKUP(C743,[1]List1!$A:$D,2,FALSE)="DOCHÁZÍ",$V$3,VLOOKUP(C743,[1]List1!$A:$D,2,FALSE))),"OFFLINE!")</f>
        <v>DOCHÁZÍ</v>
      </c>
      <c r="AD743" s="647" t="str">
        <f ca="1">IF(AP743="NE",$V$10,IF(AC743=$V$3,IF(AQ743&lt;1,$V$8,$V$2&amp;" "&amp;AQ743&amp;" "&amp;$V$1),IF(AC743="SKLADEM",$V$6,IFERROR(IF(OR(AC743-TODAY()&gt;45,VLOOKUP(C743,[1]List1!$A:$E,4,FALSE)=0),AC743,DAY(AC743)&amp;"."&amp;MONTH(AC743)&amp;"."&amp;YEAR(AC743)&amp;" "&amp;$V$4&amp;VLOOKUP(C743,[1]List1!$A:$E,4,FALSE)&amp;" "&amp;$V$1),AC743))))</f>
        <v>POSLEDNÍCH 38 VK</v>
      </c>
      <c r="AE743" s="645" t="str">
        <f t="shared" ref="AE743" ca="1" si="2308">IFERROR(IF(AV743&lt;&gt;"",AV743,AD743),AD743)</f>
        <v>POSLEDNÍCH 38 VK</v>
      </c>
      <c r="AF743" s="648">
        <f t="shared" ref="AF743" si="2309">IFERROR(IF(AB743=Y743,G743*I743*Y743,0),0)</f>
        <v>0</v>
      </c>
      <c r="AG743" s="649">
        <f t="shared" ref="AG743" si="2310">IF($W$17=$AF$8,AH743*1.23,AF743*1.21)</f>
        <v>0</v>
      </c>
      <c r="AH743" s="650">
        <f t="shared" ref="AH743" si="2311">IFERROR(IF(Y743=AB743,H743*I743*Y743,0),0)</f>
        <v>0</v>
      </c>
      <c r="AI743" s="645">
        <f t="shared" ref="AI743" si="2312">IFERROR(IF(Y743=AB743,(P743*Y743)/1000,1),0)</f>
        <v>0</v>
      </c>
      <c r="AJ743" s="645">
        <f t="shared" ref="AJ743" si="2313">IFERROR(IF(Y743=AB743,N743*Y743,0.1),0)</f>
        <v>0</v>
      </c>
      <c r="AK743" s="645" t="str">
        <f t="shared" ref="AK743" si="2314">IFERROR(IF(Y743=AB743,IF(M743="1.1G",(O743/1000)*Y743,""),""),0)</f>
        <v/>
      </c>
      <c r="AL743" s="645">
        <f t="shared" ref="AL743" si="2315">IFERROR(IF(Y743=AB743,IF(M743="1.3G",(O743/1000)*AB743,""),""),0)</f>
        <v>0</v>
      </c>
      <c r="AM743" s="645" t="str">
        <f t="shared" ref="AM743" si="2316">IFERROR(IF(Y743=AB743,IF(M743="1.4G",(O743/1000)*AB743,""),""),0)</f>
        <v/>
      </c>
      <c r="AN743" s="651">
        <f t="shared" ref="AN743" si="2317">SUM(AK743:AM743)</f>
        <v>0</v>
      </c>
      <c r="AO743" s="623"/>
      <c r="AP743" s="632" t="str">
        <f t="shared" si="2064"/>
        <v/>
      </c>
      <c r="AQ743" s="633">
        <f>IF(AC743=$V$3,IF(VLOOKUP(C743,[1]List1!$A:$E,5,FALSE)=0,1,VLOOKUP(C743,[1]List1!$A:$E,5,FALSE)),"")</f>
        <v>38</v>
      </c>
      <c r="AR743" s="625" t="str">
        <f t="shared" si="2065"/>
        <v/>
      </c>
      <c r="AS743" s="634" t="str">
        <f t="shared" si="2066"/>
        <v/>
      </c>
      <c r="AT743" s="625" t="str">
        <f t="shared" si="2067"/>
        <v/>
      </c>
      <c r="AU743" s="638" t="e">
        <f t="shared" si="2068"/>
        <v>#N/A</v>
      </c>
      <c r="AV743" s="625" t="e">
        <f t="shared" si="2069"/>
        <v>#N/A</v>
      </c>
      <c r="AX743" s="625">
        <f>IF(AND('General price list'!$J743="F4",'General price list'!$AB743+0&gt;0),1,0)</f>
        <v>0</v>
      </c>
      <c r="AY743" s="625">
        <f t="shared" si="2070"/>
        <v>1</v>
      </c>
      <c r="AZ743" s="625">
        <f t="shared" si="2071"/>
        <v>0</v>
      </c>
    </row>
    <row r="744" spans="1:52" ht="15" customHeight="1">
      <c r="A744" s="751" t="str">
        <f>Kat.!C744</f>
        <v xml:space="preserve">           Baterie 68 ran, 20 + 25 + 30 mm moždíř (všechny směry) – 1.4G</v>
      </c>
      <c r="B744" s="751"/>
      <c r="C744" s="751"/>
      <c r="D744" s="751"/>
      <c r="E744" s="751"/>
      <c r="F744" s="751"/>
      <c r="G744" s="751"/>
      <c r="H744" s="751"/>
      <c r="I744" s="752"/>
      <c r="J744" s="752"/>
      <c r="K744" s="752" t="s">
        <v>20</v>
      </c>
      <c r="L744" s="753" t="s">
        <v>2818</v>
      </c>
      <c r="M744" s="752"/>
      <c r="N744" s="752"/>
      <c r="O744" s="752"/>
      <c r="P744" s="752"/>
      <c r="Q744" s="752"/>
      <c r="R744" s="752"/>
      <c r="S744" s="752"/>
      <c r="T744" s="752"/>
      <c r="U744" s="752"/>
      <c r="V744" s="752"/>
      <c r="W744" s="752"/>
      <c r="X744" s="752"/>
      <c r="Y744" s="752"/>
      <c r="Z744" s="752" t="s">
        <v>20</v>
      </c>
      <c r="AA744" s="752"/>
      <c r="AB744" s="752"/>
      <c r="AC744" s="754"/>
      <c r="AD744" s="752"/>
      <c r="AE744" s="752"/>
      <c r="AF744" s="752"/>
      <c r="AG744" s="752"/>
      <c r="AH744" s="752"/>
      <c r="AI744" s="752"/>
      <c r="AJ744" s="752"/>
      <c r="AK744" s="752"/>
      <c r="AL744" s="752"/>
      <c r="AM744" s="752"/>
      <c r="AN744" s="752"/>
      <c r="AO744" s="623"/>
      <c r="AP744" s="632" t="str">
        <f t="shared" si="2064"/>
        <v/>
      </c>
      <c r="AQ744" s="633" t="str">
        <f>IF(AC744=$V$3,IF(VLOOKUP(C744,[1]List1!$A:$E,5,FALSE)=0,1,VLOOKUP(C744,[1]List1!$A:$E,5,FALSE)),"")</f>
        <v/>
      </c>
      <c r="AR744" s="625" t="str">
        <f t="shared" si="2065"/>
        <v/>
      </c>
      <c r="AS744" s="634" t="str">
        <f t="shared" si="2066"/>
        <v/>
      </c>
      <c r="AT744" s="625" t="str">
        <f t="shared" si="2067"/>
        <v/>
      </c>
      <c r="AU744" s="638" t="e">
        <f t="shared" si="2068"/>
        <v>#N/A</v>
      </c>
      <c r="AV744" s="625" t="e">
        <f t="shared" si="2069"/>
        <v>#N/A</v>
      </c>
      <c r="AX744" s="625">
        <f>IF(AND('General price list'!$J744="F4",'General price list'!$AB744+0&gt;0),1,0)</f>
        <v>0</v>
      </c>
      <c r="AY744" s="625">
        <f t="shared" si="2070"/>
        <v>0</v>
      </c>
      <c r="AZ744" s="625">
        <f t="shared" si="2071"/>
        <v>0</v>
      </c>
    </row>
    <row r="745" spans="1:52" ht="15" customHeight="1">
      <c r="A745" s="639" t="str">
        <f>Kat.!C745</f>
        <v/>
      </c>
      <c r="B745" s="640">
        <f>IF(AND('General price list'!$J745="F4",$AI$1=FALSE),0,IF(AC745="SKLADEM",1,IF(AC745=$V$3,1,0)))</f>
        <v>1</v>
      </c>
      <c r="C745" s="641" t="s">
        <v>2321</v>
      </c>
      <c r="D745" s="642" t="s">
        <v>12426</v>
      </c>
      <c r="E745" s="643" t="s">
        <v>12746</v>
      </c>
      <c r="F745" s="773">
        <f>IFERROR(VLOOKUP(C745,[2]List1!$A:$D,3,FALSE),"NEUVEDENO!")</f>
        <v>938</v>
      </c>
      <c r="G745" s="770">
        <f t="shared" ref="G745" si="2318">IF($W$17=$AF$8,ROUND((F745)/$F$17,2),(F745)*$B$19)</f>
        <v>938</v>
      </c>
      <c r="H745" s="767">
        <f t="shared" ref="H745" si="2319">IF($W$17=$AF$8,G745*$B$19,G745/$F$17)</f>
        <v>39.84486838025088</v>
      </c>
      <c r="I745" s="644">
        <f>IFERROR(VLOOKUP(C745,[2]List1!$A:$D,4,FALSE),"NEUVEDENO!")</f>
        <v>6</v>
      </c>
      <c r="J745" s="733" t="s">
        <v>39</v>
      </c>
      <c r="K745" s="645" t="s">
        <v>20</v>
      </c>
      <c r="L745" s="645" t="s">
        <v>10981</v>
      </c>
      <c r="M745" s="645" t="s">
        <v>21</v>
      </c>
      <c r="N745" s="645">
        <f>IFERROR(VLOOKUP(C745,[3]List1!$A:$D,4,FALSE),"N/A!")</f>
        <v>9.3080999999999997E-2</v>
      </c>
      <c r="O745" s="645">
        <f>IFERROR(VLOOKUP(C745,[3]List1!$A:$D,3,FALSE),"N/A!")</f>
        <v>3000</v>
      </c>
      <c r="P745" s="645">
        <f>IFERROR(VLOOKUP(C745,[3]List1!$A:$D,2,FALSE),"N/A!")</f>
        <v>28000</v>
      </c>
      <c r="Q745" s="645" t="s">
        <v>11331</v>
      </c>
      <c r="R745" s="645"/>
      <c r="S745" s="645" t="str">
        <f>IF($W$17=$AF$1,"design",IFERROR(VLOOKUP("design",Jazyky_ceník!$A:$Q,MATCH($W$17,Jazyky_ceník!$A$1:$Q$1,0),FALSE),"!!!"))</f>
        <v>design</v>
      </c>
      <c r="T745" s="645">
        <v>45</v>
      </c>
      <c r="U745" s="645" t="s">
        <v>10746</v>
      </c>
      <c r="V745" s="645" t="s">
        <v>10755</v>
      </c>
      <c r="W745" s="645" t="str">
        <f>IFERROR(IF(AND($AB745&gt;=0.1*$AA745,MOD($AB745,$AA745)&gt;=($AA745-(0.1*$AA745))),IF($W$17=$AF$1,"Zvažte možnost doobjednání ještě "&amp;Tabulka1[[#This Row],[VKPAL]]-MOD(AB745,AA745)&amp;" VK do plné palety.",VLOOKUP("Zvažte možnost doobjednání ještě ",Jazyky_ceník!A:Q,MATCH($W$17,Jazyky_ceník!$A$1:$Q$1,0),FALSE)&amp;Tabulka1[[#This Row],[VKPAL]]-MOD(AB745,AA745)&amp;VLOOKUP(" VK do plné palety.",Jazyky_ceník!A:Q,MATCH($W$17,Jazyky_ceník!$A$1:$Q$1,0),FALSE)),IFERROR(IF(AND(NOT(MOD($AB745,$AA745)=0),$AB745&gt;=0.9*$AA745,MOD($AB745,$AA745)&lt;=0.1*$AA745),IF($W$17=$AF$1,"Zvažte možnost optimalizace objednaného množství podle počtu VK na paletě ==&gt;",VLOOKUP("Zvažte možnost optimalizace objednaného množství podle počtu VK na paletě ==&gt;",Jazyky_ceník!A:Q,MATCH($W$17,Jazyky_ceník!$A$1:$Q$1,0),FALSE)),VLOOKUP('General price list'!$C745,Popisy!A:M,MATCH($W$17,Popisy!$A$7:$M$7,0),FALSE)),"---------------")),IFERROR(VLOOKUP('General price list'!$C745,Popisy!A:M,MATCH($W$17,Popisy!$A$7:$M$7,0),FALSE),"---------------"))</f>
        <v>14 různobarevných efektů</v>
      </c>
      <c r="X745" s="645" t="str">
        <f t="shared" ref="X745" si="2320">IF(AB745&lt;0.0001,"",AB745)</f>
        <v/>
      </c>
      <c r="Y745" s="645" t="str">
        <f t="shared" ref="Y745" si="2321">IF($AL$3=2,IF(OR(AB745&lt;&gt;"",AB745&lt;&gt;0),AU745,""),IF(C745="","",IF(AB745&lt;0.0001,"",IF(B745=0,"",IF(AQ745&lt;AB745,"",AB745)))))</f>
        <v/>
      </c>
      <c r="Z745" s="645" t="str">
        <f>HYPERLINK("https://www.klasekpyrotechnics.cz/c68xmpt14")</f>
        <v>https://www.klasekpyrotechnics.cz/c68xmpt14</v>
      </c>
      <c r="AA745" s="645">
        <f>IFERROR(IF(VLOOKUP(C745,[4]List1!$A:$D,4,FALSE)=0,"",VLOOKUP(C745,[4]List1!$A:$D,4,FALSE)),"")</f>
        <v>15</v>
      </c>
      <c r="AB745" s="646"/>
      <c r="AC745" s="647" t="str">
        <f>IFERROR(IF(VLOOKUP(C745,[1]List1!$A:$D,2,FALSE)="VYPRODÁNO",$V$9,IF(VLOOKUP(C745,[1]List1!$A:$D,2,FALSE)="DOCHÁZÍ",$V$3,VLOOKUP(C745,[1]List1!$A:$D,2,FALSE))),"OFFLINE!")</f>
        <v>SKLADEM</v>
      </c>
      <c r="AD745" s="647" t="str">
        <f ca="1">IF(AP745="NE",$V$10,IF(AC745=$V$3,IF(AQ745&lt;1,$V$8,$V$2&amp;" "&amp;AQ745&amp;" "&amp;$V$1),IF(AC745="SKLADEM",$V$6,IFERROR(IF(OR(AC745-TODAY()&gt;45,VLOOKUP(C745,[1]List1!$A:$E,4,FALSE)=0),AC745,DAY(AC745)&amp;"."&amp;MONTH(AC745)&amp;"."&amp;YEAR(AC745)&amp;" "&amp;$V$4&amp;VLOOKUP(C745,[1]List1!$A:$E,4,FALSE)&amp;" "&amp;$V$1),AC745))))</f>
        <v>SKLADEM</v>
      </c>
      <c r="AE745" s="645" t="str">
        <f t="shared" ref="AE745" ca="1" si="2322">IFERROR(IF(AV745&lt;&gt;"",AV745,AD745),AD745)</f>
        <v>SKLADEM</v>
      </c>
      <c r="AF745" s="648">
        <f t="shared" ref="AF745" si="2323">IFERROR(IF(AB745=Y745,G745*I745*Y745,0),0)</f>
        <v>0</v>
      </c>
      <c r="AG745" s="649">
        <f t="shared" ref="AG745" si="2324">IF($W$17=$AF$8,AH745*1.23,AF745*1.21)</f>
        <v>0</v>
      </c>
      <c r="AH745" s="650">
        <f t="shared" ref="AH745" si="2325">IFERROR(IF(Y745=AB745,H745*I745*Y745,0),0)</f>
        <v>0</v>
      </c>
      <c r="AI745" s="645">
        <f t="shared" ref="AI745" si="2326">IFERROR(IF(Y745=AB745,(P745*Y745)/1000,1),0)</f>
        <v>0</v>
      </c>
      <c r="AJ745" s="645">
        <f t="shared" ref="AJ745" si="2327">IFERROR(IF(Y745=AB745,N745*Y745,0.1),0)</f>
        <v>0</v>
      </c>
      <c r="AK745" s="645" t="str">
        <f t="shared" ref="AK745" si="2328">IFERROR(IF(Y745=AB745,IF(M745="1.1G",(O745/1000)*Y745,""),""),0)</f>
        <v/>
      </c>
      <c r="AL745" s="645" t="str">
        <f t="shared" ref="AL745" si="2329">IFERROR(IF(Y745=AB745,IF(M745="1.3G",(O745/1000)*AB745,""),""),0)</f>
        <v/>
      </c>
      <c r="AM745" s="645">
        <f t="shared" ref="AM745" si="2330">IFERROR(IF(Y745=AB745,IF(M745="1.4G",(O745/1000)*AB745,""),""),0)</f>
        <v>0</v>
      </c>
      <c r="AN745" s="651">
        <f t="shared" ref="AN745" si="2331">SUM(AK745:AM745)</f>
        <v>0</v>
      </c>
      <c r="AO745" s="623"/>
      <c r="AP745" s="632" t="str">
        <f t="shared" si="2064"/>
        <v/>
      </c>
      <c r="AQ745" s="633" t="str">
        <f>IF(AC745=$V$3,IF(VLOOKUP(C745,[1]List1!$A:$E,5,FALSE)=0,1,VLOOKUP(C745,[1]List1!$A:$E,5,FALSE)),"")</f>
        <v/>
      </c>
      <c r="AR745" s="625" t="str">
        <f t="shared" si="2065"/>
        <v/>
      </c>
      <c r="AS745" s="634" t="str">
        <f t="shared" si="2066"/>
        <v/>
      </c>
      <c r="AT745" s="625" t="str">
        <f t="shared" si="2067"/>
        <v/>
      </c>
      <c r="AU745" s="638" t="e">
        <f t="shared" si="2068"/>
        <v>#N/A</v>
      </c>
      <c r="AV745" s="625" t="e">
        <f t="shared" si="2069"/>
        <v>#N/A</v>
      </c>
      <c r="AX745" s="625">
        <f>IF(AND('General price list'!$J745="F4",'General price list'!$AB745+0&gt;0),1,0)</f>
        <v>0</v>
      </c>
      <c r="AY745" s="625">
        <f t="shared" si="2070"/>
        <v>1</v>
      </c>
      <c r="AZ745" s="625">
        <f t="shared" si="2071"/>
        <v>0</v>
      </c>
    </row>
    <row r="746" spans="1:52" ht="15" customHeight="1">
      <c r="A746" s="751" t="str">
        <f>Kat.!C746</f>
        <v xml:space="preserve">           Baterie 77 ran, 20 mm (48 ran), 25 mm (24 ran), 30 mm (5 ran)</v>
      </c>
      <c r="B746" s="751"/>
      <c r="C746" s="751"/>
      <c r="D746" s="751"/>
      <c r="E746" s="751"/>
      <c r="F746" s="751"/>
      <c r="G746" s="751"/>
      <c r="H746" s="751"/>
      <c r="I746" s="752"/>
      <c r="J746" s="752"/>
      <c r="K746" s="752" t="s">
        <v>20</v>
      </c>
      <c r="L746" s="753" t="s">
        <v>20</v>
      </c>
      <c r="M746" s="752"/>
      <c r="N746" s="752"/>
      <c r="O746" s="752"/>
      <c r="P746" s="752"/>
      <c r="Q746" s="752"/>
      <c r="R746" s="752"/>
      <c r="S746" s="752"/>
      <c r="T746" s="752"/>
      <c r="U746" s="752"/>
      <c r="V746" s="752"/>
      <c r="W746" s="752"/>
      <c r="X746" s="752"/>
      <c r="Y746" s="752"/>
      <c r="Z746" s="752" t="s">
        <v>20</v>
      </c>
      <c r="AA746" s="752"/>
      <c r="AB746" s="752"/>
      <c r="AC746" s="754"/>
      <c r="AD746" s="752"/>
      <c r="AE746" s="752"/>
      <c r="AF746" s="752"/>
      <c r="AG746" s="752"/>
      <c r="AH746" s="752"/>
      <c r="AI746" s="752"/>
      <c r="AJ746" s="752"/>
      <c r="AK746" s="752"/>
      <c r="AL746" s="752"/>
      <c r="AM746" s="752"/>
      <c r="AN746" s="752"/>
      <c r="AO746" s="623"/>
      <c r="AP746" s="632" t="str">
        <f t="shared" si="2064"/>
        <v/>
      </c>
      <c r="AQ746" s="633" t="str">
        <f>IF(AC746=$V$3,IF(VLOOKUP(C746,[1]List1!$A:$E,5,FALSE)=0,1,VLOOKUP(C746,[1]List1!$A:$E,5,FALSE)),"")</f>
        <v/>
      </c>
      <c r="AR746" s="625" t="str">
        <f t="shared" si="2065"/>
        <v/>
      </c>
      <c r="AS746" s="634" t="str">
        <f t="shared" si="2066"/>
        <v/>
      </c>
      <c r="AT746" s="625" t="str">
        <f t="shared" si="2067"/>
        <v/>
      </c>
      <c r="AU746" s="638" t="e">
        <f t="shared" si="2068"/>
        <v>#N/A</v>
      </c>
      <c r="AV746" s="625" t="e">
        <f t="shared" si="2069"/>
        <v>#N/A</v>
      </c>
      <c r="AX746" s="625">
        <f>IF(AND('General price list'!$J746="F4",'General price list'!$AB746+0&gt;0),1,0)</f>
        <v>0</v>
      </c>
      <c r="AY746" s="625">
        <f t="shared" si="2070"/>
        <v>0</v>
      </c>
      <c r="AZ746" s="625">
        <f t="shared" si="2071"/>
        <v>0</v>
      </c>
    </row>
    <row r="747" spans="1:52" ht="15" customHeight="1">
      <c r="A747" s="639" t="str">
        <f>Kat.!C747</f>
        <v/>
      </c>
      <c r="B747" s="640">
        <f>IF(AND('General price list'!$J747="F4",$AI$1=FALSE),0,IF(AC747="SKLADEM",1,IF(AC747=$V$3,1,0)))</f>
        <v>1</v>
      </c>
      <c r="C747" s="641" t="s">
        <v>12042</v>
      </c>
      <c r="D747" s="642" t="s">
        <v>12043</v>
      </c>
      <c r="E747" s="643" t="s">
        <v>12651</v>
      </c>
      <c r="F747" s="773">
        <f>IFERROR(VLOOKUP(C747,[2]List1!$A:$D,3,FALSE),"NEUVEDENO!")</f>
        <v>1067</v>
      </c>
      <c r="G747" s="770">
        <f t="shared" ref="G747" si="2332">IF($W$17=$AF$8,ROUND((F747)/$F$17,2),(F747)*$B$19)</f>
        <v>1067</v>
      </c>
      <c r="H747" s="767">
        <f t="shared" ref="H747" si="2333">IF($W$17=$AF$8,G747*$B$19,G747/$F$17)</f>
        <v>45.324599745978347</v>
      </c>
      <c r="I747" s="644">
        <f>IFERROR(VLOOKUP(C747,[2]List1!$A:$D,4,FALSE),"NEUVEDENO!")</f>
        <v>4</v>
      </c>
      <c r="J747" s="733" t="s">
        <v>39</v>
      </c>
      <c r="K747" s="645" t="s">
        <v>20</v>
      </c>
      <c r="L747" s="645" t="s">
        <v>15088</v>
      </c>
      <c r="M747" s="645" t="s">
        <v>21</v>
      </c>
      <c r="N747" s="645">
        <f>IFERROR(VLOOKUP(C747,[3]List1!$A:$D,4,FALSE),"N/A!")</f>
        <v>7.6111909999999991E-2</v>
      </c>
      <c r="O747" s="645">
        <f>IFERROR(VLOOKUP(C747,[3]List1!$A:$D,3,FALSE),"N/A!")</f>
        <v>1992</v>
      </c>
      <c r="P747" s="645">
        <f>IFERROR(VLOOKUP(C747,[3]List1!$A:$D,2,FALSE),"N/A!")</f>
        <v>21400</v>
      </c>
      <c r="Q747" s="645" t="s">
        <v>11782</v>
      </c>
      <c r="R747" s="645"/>
      <c r="S747" s="645" t="str">
        <f>IF($W$17=$AF$1,"design",IFERROR(VLOOKUP("design",Jazyky_ceník!$A:$Q,MATCH($W$17,Jazyky_ceník!$A$1:$Q$1,0),FALSE),"!!!"))</f>
        <v>design</v>
      </c>
      <c r="T747" s="645">
        <v>60</v>
      </c>
      <c r="U747" s="645" t="s">
        <v>10746</v>
      </c>
      <c r="V747" s="645" t="s">
        <v>10755</v>
      </c>
      <c r="W747" s="645" t="str">
        <f>IFERROR(IF(AND($AB747&gt;=0.1*$AA747,MOD($AB747,$AA747)&gt;=($AA747-(0.1*$AA747))),IF($W$17=$AF$1,"Zvažte možnost doobjednání ještě "&amp;Tabulka1[[#This Row],[VKPAL]]-MOD(AB747,AA747)&amp;" VK do plné palety.",VLOOKUP("Zvažte možnost doobjednání ještě ",Jazyky_ceník!A:Q,MATCH($W$17,Jazyky_ceník!$A$1:$Q$1,0),FALSE)&amp;Tabulka1[[#This Row],[VKPAL]]-MOD(AB747,AA747)&amp;VLOOKUP(" VK do plné palety.",Jazyky_ceník!A:Q,MATCH($W$17,Jazyky_ceník!$A$1:$Q$1,0),FALSE)),IFERROR(IF(AND(NOT(MOD($AB747,$AA747)=0),$AB747&gt;=0.9*$AA747,MOD($AB747,$AA747)&lt;=0.1*$AA747),IF($W$17=$AF$1,"Zvažte možnost optimalizace objednaného množství podle počtu VK na paletě ==&gt;",VLOOKUP("Zvažte možnost optimalizace objednaného množství podle počtu VK na paletě ==&gt;",Jazyky_ceník!A:Q,MATCH($W$17,Jazyky_ceník!$A$1:$Q$1,0),FALSE)),VLOOKUP('General price list'!$C747,Popisy!A:M,MATCH($W$17,Popisy!$A$7:$M$7,0),FALSE)),"---------------")),IFERROR(VLOOKUP('General price list'!$C747,Popisy!A:M,MATCH($W$17,Popisy!$A$7:$M$7,0),FALSE),"---------------"))</f>
        <v>8 různobarevných efektů</v>
      </c>
      <c r="X747" s="645" t="str">
        <f t="shared" ref="X747" si="2334">IF(AB747&lt;0.0001,"",AB747)</f>
        <v/>
      </c>
      <c r="Y747" s="645" t="str">
        <f t="shared" ref="Y747" si="2335">IF($AL$3=2,IF(OR(AB747&lt;&gt;"",AB747&lt;&gt;0),AU747,""),IF(C747="","",IF(AB747&lt;0.0001,"",IF(B747=0,"",IF(AQ747&lt;AB747,"",AB747)))))</f>
        <v/>
      </c>
      <c r="Z747" s="645" t="str">
        <f>HYPERLINK("https://www.klasekpyrotechnics.cz/c77mxr14")</f>
        <v>https://www.klasekpyrotechnics.cz/c77mxr14</v>
      </c>
      <c r="AA747" s="645">
        <f>IFERROR(IF(VLOOKUP(C747,[4]List1!$A:$D,4,FALSE)=0,"",VLOOKUP(C747,[4]List1!$A:$D,4,FALSE)),"")</f>
        <v>18</v>
      </c>
      <c r="AB747" s="646"/>
      <c r="AC747" s="647" t="str">
        <f>IFERROR(IF(VLOOKUP(C747,[1]List1!$A:$D,2,FALSE)="VYPRODÁNO",$V$9,IF(VLOOKUP(C747,[1]List1!$A:$D,2,FALSE)="DOCHÁZÍ",$V$3,VLOOKUP(C747,[1]List1!$A:$D,2,FALSE))),"OFFLINE!")</f>
        <v>SKLADEM</v>
      </c>
      <c r="AD747" s="647" t="str">
        <f ca="1">IF(AP747="NE",$V$10,IF(AC747=$V$3,IF(AQ747&lt;1,$V$8,$V$2&amp;" "&amp;AQ747&amp;" "&amp;$V$1),IF(AC747="SKLADEM",$V$6,IFERROR(IF(OR(AC747-TODAY()&gt;45,VLOOKUP(C747,[1]List1!$A:$E,4,FALSE)=0),AC747,DAY(AC747)&amp;"."&amp;MONTH(AC747)&amp;"."&amp;YEAR(AC747)&amp;" "&amp;$V$4&amp;VLOOKUP(C747,[1]List1!$A:$E,4,FALSE)&amp;" "&amp;$V$1),AC747))))</f>
        <v>SKLADEM</v>
      </c>
      <c r="AE747" s="645" t="str">
        <f t="shared" ref="AE747" ca="1" si="2336">IFERROR(IF(AV747&lt;&gt;"",AV747,AD747),AD747)</f>
        <v>SKLADEM</v>
      </c>
      <c r="AF747" s="648">
        <f t="shared" ref="AF747" si="2337">IFERROR(IF(AB747=Y747,G747*I747*Y747,0),0)</f>
        <v>0</v>
      </c>
      <c r="AG747" s="649">
        <f t="shared" ref="AG747" si="2338">IF($W$17=$AF$8,AH747*1.23,AF747*1.21)</f>
        <v>0</v>
      </c>
      <c r="AH747" s="650">
        <f t="shared" ref="AH747" si="2339">IFERROR(IF(Y747=AB747,H747*I747*Y747,0),0)</f>
        <v>0</v>
      </c>
      <c r="AI747" s="645">
        <f t="shared" ref="AI747" si="2340">IFERROR(IF(Y747=AB747,(P747*Y747)/1000,1),0)</f>
        <v>0</v>
      </c>
      <c r="AJ747" s="645">
        <f t="shared" ref="AJ747" si="2341">IFERROR(IF(Y747=AB747,N747*Y747,0.1),0)</f>
        <v>0</v>
      </c>
      <c r="AK747" s="645" t="str">
        <f t="shared" ref="AK747" si="2342">IFERROR(IF(Y747=AB747,IF(M747="1.1G",(O747/1000)*Y747,""),""),0)</f>
        <v/>
      </c>
      <c r="AL747" s="645" t="str">
        <f t="shared" ref="AL747" si="2343">IFERROR(IF(Y747=AB747,IF(M747="1.3G",(O747/1000)*AB747,""),""),0)</f>
        <v/>
      </c>
      <c r="AM747" s="645">
        <f t="shared" ref="AM747" si="2344">IFERROR(IF(Y747=AB747,IF(M747="1.4G",(O747/1000)*AB747,""),""),0)</f>
        <v>0</v>
      </c>
      <c r="AN747" s="651">
        <f t="shared" ref="AN747" si="2345">SUM(AK747:AM747)</f>
        <v>0</v>
      </c>
      <c r="AO747" s="623"/>
      <c r="AP747" s="632" t="str">
        <f t="shared" si="2064"/>
        <v/>
      </c>
      <c r="AQ747" s="633" t="str">
        <f>IF(AC747=$V$3,IF(VLOOKUP(C747,[1]List1!$A:$E,5,FALSE)=0,1,VLOOKUP(C747,[1]List1!$A:$E,5,FALSE)),"")</f>
        <v/>
      </c>
      <c r="AR747" s="625" t="str">
        <f t="shared" si="2065"/>
        <v/>
      </c>
      <c r="AS747" s="634" t="str">
        <f t="shared" si="2066"/>
        <v/>
      </c>
      <c r="AT747" s="625" t="str">
        <f t="shared" si="2067"/>
        <v/>
      </c>
      <c r="AU747" s="638" t="e">
        <f t="shared" si="2068"/>
        <v>#N/A</v>
      </c>
      <c r="AV747" s="625" t="e">
        <f t="shared" si="2069"/>
        <v>#N/A</v>
      </c>
      <c r="AX747" s="625">
        <f>IF(AND('General price list'!$J747="F4",'General price list'!$AB747+0&gt;0),1,0)</f>
        <v>0</v>
      </c>
      <c r="AY747" s="625">
        <f t="shared" si="2070"/>
        <v>1</v>
      </c>
      <c r="AZ747" s="625">
        <f t="shared" si="2071"/>
        <v>0</v>
      </c>
    </row>
    <row r="748" spans="1:52" ht="15.75" customHeight="1">
      <c r="A748" s="751" t="str">
        <f>Kat.!C748</f>
        <v xml:space="preserve">           Baterie 100 ran, 16 mm (82 ran), 20 mm (18 ran)</v>
      </c>
      <c r="B748" s="751"/>
      <c r="C748" s="751"/>
      <c r="D748" s="751"/>
      <c r="E748" s="751"/>
      <c r="F748" s="751"/>
      <c r="G748" s="751"/>
      <c r="H748" s="751"/>
      <c r="I748" s="752"/>
      <c r="J748" s="752"/>
      <c r="K748" s="752" t="s">
        <v>20</v>
      </c>
      <c r="L748" s="753" t="s">
        <v>20</v>
      </c>
      <c r="M748" s="752"/>
      <c r="N748" s="752"/>
      <c r="O748" s="752"/>
      <c r="P748" s="752"/>
      <c r="Q748" s="752"/>
      <c r="R748" s="752"/>
      <c r="S748" s="752"/>
      <c r="T748" s="752"/>
      <c r="U748" s="752"/>
      <c r="V748" s="752"/>
      <c r="W748" s="752"/>
      <c r="X748" s="752"/>
      <c r="Y748" s="752"/>
      <c r="Z748" s="752" t="s">
        <v>20</v>
      </c>
      <c r="AA748" s="752"/>
      <c r="AB748" s="752"/>
      <c r="AC748" s="754"/>
      <c r="AD748" s="752"/>
      <c r="AE748" s="752"/>
      <c r="AF748" s="752"/>
      <c r="AG748" s="752"/>
      <c r="AH748" s="752"/>
      <c r="AI748" s="752"/>
      <c r="AJ748" s="752"/>
      <c r="AK748" s="752"/>
      <c r="AL748" s="752"/>
      <c r="AM748" s="752"/>
      <c r="AN748" s="752"/>
      <c r="AO748" s="623"/>
      <c r="AP748" s="625" t="str">
        <f t="shared" ref="AP748:AP799" si="2346">IF($AL$3=1,IF(Y748=AB748,"","NE"),IF(AR748=$V$10,"NE",""))</f>
        <v/>
      </c>
      <c r="AQ748" s="625" t="str">
        <f>IF(AC748=$V$3,IF(VLOOKUP(C748,[1]List1!$A:$E,5,FALSE)=0,1,VLOOKUP(C748,[1]List1!$A:$E,5,FALSE)),"")</f>
        <v/>
      </c>
      <c r="AR748" s="629" t="str">
        <f t="shared" ref="AR748:AR799" si="2347">IF($AL$3=1,"",IF(OR(AB748&lt;&gt;"",AB748&lt;&gt;0),IF(OR(AC748=$V$6,AC748=$V$3,AC748=$V$9),$V$10,""),""))</f>
        <v/>
      </c>
      <c r="AS748" s="630" t="str">
        <f t="shared" ref="AS748:AS795" si="2348">IF(AT748&lt;&gt;"","X","")</f>
        <v/>
      </c>
      <c r="AT748" s="625" t="str">
        <f t="shared" ref="AT748:AT799" si="2349">IF(AND($AL$3=2,AR748="",AB748&lt;&gt;""),AD748,"")</f>
        <v/>
      </c>
      <c r="AU748" s="625" t="e">
        <f t="shared" ref="AU748:AU799" si="2350">IF(AT748=$AS$21,AB748,"")</f>
        <v>#N/A</v>
      </c>
      <c r="AV748" s="625" t="e">
        <f t="shared" ref="AV748:AV799" si="2351">IF(OR(AB748="",AND(AT748&lt;&gt;"",AU748&lt;&gt;"")),"",$V$10)</f>
        <v>#N/A</v>
      </c>
      <c r="AW748" s="631"/>
      <c r="AX748" s="631">
        <f>IF(AND('General price list'!$J748="F4",'General price list'!$AB748+0&gt;0),1,0)</f>
        <v>0</v>
      </c>
      <c r="AY748" s="631">
        <f t="shared" ref="AY748:AY799" si="2352">IFERROR(FIND(VLOOKUP($AC$7,$AD$1:$AE$12,2,FALSE),Q748,1),0)</f>
        <v>0</v>
      </c>
      <c r="AZ748" s="631">
        <f t="shared" ref="AZ748:AZ799" si="2353">IFERROR(FIND(VLOOKUP($AC$7,$AD$1:$AE$12,2,FALSE),R748,1),0)</f>
        <v>0</v>
      </c>
    </row>
    <row r="749" spans="1:52" ht="15" customHeight="1">
      <c r="A749" s="639" t="str">
        <f>Kat.!C749</f>
        <v/>
      </c>
      <c r="B749" s="640">
        <f>IF(AND('General price list'!$J749="F4",$AI$1=FALSE),0,IF(AC749="SKLADEM",1,IF(AC749=$V$3,1,0)))</f>
        <v>0</v>
      </c>
      <c r="C749" s="641" t="s">
        <v>12466</v>
      </c>
      <c r="D749" s="642" t="s">
        <v>1351</v>
      </c>
      <c r="E749" s="643" t="s">
        <v>12651</v>
      </c>
      <c r="F749" s="773">
        <f>IFERROR(VLOOKUP(C749,[2]List1!$A:$D,3,FALSE),"NEUVEDENO!")</f>
        <v>912</v>
      </c>
      <c r="G749" s="770">
        <f t="shared" ref="G749" si="2354">IF($W$17=$AF$8,ROUND((F749)/$F$17,2),(F749)*$B$19)</f>
        <v>912</v>
      </c>
      <c r="H749" s="767">
        <f t="shared" ref="H749" si="2355">IF($W$17=$AF$8,G749*$B$19,G749/$F$17)</f>
        <v>38.74042639956162</v>
      </c>
      <c r="I749" s="644">
        <f>IFERROR(VLOOKUP(C749,[2]List1!$A:$D,4,FALSE),"NEUVEDENO!")</f>
        <v>4</v>
      </c>
      <c r="J749" s="733" t="s">
        <v>39</v>
      </c>
      <c r="K749" s="645">
        <v>4</v>
      </c>
      <c r="L749" s="645"/>
      <c r="M749" s="645" t="s">
        <v>21</v>
      </c>
      <c r="N749" s="645">
        <f>IFERROR(VLOOKUP(C749,[3]List1!$A:$D,4,FALSE),"N/A!")</f>
        <v>0</v>
      </c>
      <c r="O749" s="645">
        <f>IFERROR(VLOOKUP(C749,[3]List1!$A:$D,3,FALSE),"N/A!")</f>
        <v>436</v>
      </c>
      <c r="P749" s="645">
        <f>IFERROR(VLOOKUP(C749,[3]List1!$A:$D,2,FALSE),"N/A!")</f>
        <v>13000</v>
      </c>
      <c r="Q749" s="645" t="s">
        <v>15073</v>
      </c>
      <c r="R749" s="645"/>
      <c r="S749" s="645" t="str">
        <f>IF($W$17=$AF$1,"design",IFERROR(VLOOKUP("design",Jazyky_ceník!$A:$Q,MATCH($W$17,Jazyky_ceník!$A$1:$Q$1,0),FALSE),"!!!"))</f>
        <v>design</v>
      </c>
      <c r="T749" s="645">
        <v>50</v>
      </c>
      <c r="U749" s="645" t="s">
        <v>12069</v>
      </c>
      <c r="V749" s="645" t="s">
        <v>12787</v>
      </c>
      <c r="W749" s="645" t="str">
        <f>IFERROR(IF(AND($AB749&gt;=0.1*$AA749,MOD($AB749,$AA749)&gt;=($AA749-(0.1*$AA749))),IF($W$17=$AF$1,"Zvažte možnost doobjednání ještě "&amp;Tabulka1[[#This Row],[VKPAL]]-MOD(AB749,AA749)&amp;" VK do plné palety.",VLOOKUP("Zvažte možnost doobjednání ještě ",Jazyky_ceník!A:Q,MATCH($W$17,Jazyky_ceník!$A$1:$Q$1,0),FALSE)&amp;Tabulka1[[#This Row],[VKPAL]]-MOD(AB749,AA749)&amp;VLOOKUP(" VK do plné palety.",Jazyky_ceník!A:Q,MATCH($W$17,Jazyky_ceník!$A$1:$Q$1,0),FALSE)),IFERROR(IF(AND(NOT(MOD($AB749,$AA749)=0),$AB749&gt;=0.9*$AA749,MOD($AB749,$AA749)&lt;=0.1*$AA749),IF($W$17=$AF$1,"Zvažte možnost optimalizace objednaného množství podle počtu VK na paletě ==&gt;",VLOOKUP("Zvažte možnost optimalizace objednaného množství podle počtu VK na paletě ==&gt;",Jazyky_ceník!A:Q,MATCH($W$17,Jazyky_ceník!$A$1:$Q$1,0),FALSE)),VLOOKUP('General price list'!$C749,Popisy!A:M,MATCH($W$17,Popisy!$A$7:$M$7,0),FALSE)),"---------------")),IFERROR(VLOOKUP('General price list'!$C749,Popisy!A:M,MATCH($W$17,Popisy!$A$7:$M$7,0),FALSE),"---------------"))</f>
        <v>8 různobarevných efektů</v>
      </c>
      <c r="X749" s="645" t="str">
        <f t="shared" ref="X749" si="2356">IF(AB749&lt;0.0001,"",AB749)</f>
        <v/>
      </c>
      <c r="Y749" s="645" t="str">
        <f t="shared" ref="Y749" si="2357">IF($AL$3=2,IF(OR(AB749&lt;&gt;"",AB749&lt;&gt;0),AU749,""),IF(C749="","",IF(AB749&lt;0.0001,"",IF(B749=0,"",IF(AQ749&lt;AB749,"",AB749)))))</f>
        <v/>
      </c>
      <c r="Z749" s="645" t="str">
        <f>HYPERLINK("https://www.klasekpyrotechnics.cz/c77mxs14")</f>
        <v>https://www.klasekpyrotechnics.cz/c77mxs14</v>
      </c>
      <c r="AA749" s="645" t="str">
        <f>IFERROR(IF(VLOOKUP(C749,[4]List1!$A:$D,4,FALSE)=0,"",VLOOKUP(C749,[4]List1!$A:$D,4,FALSE)),"")</f>
        <v/>
      </c>
      <c r="AB749" s="646"/>
      <c r="AC749" s="647" t="str">
        <f>IFERROR(IF(VLOOKUP(C749,[1]List1!$A:$D,2,FALSE)="VYPRODÁNO",$V$9,IF(VLOOKUP(C749,[1]List1!$A:$D,2,FALSE)="DOCHÁZÍ",$V$3,VLOOKUP(C749,[1]List1!$A:$D,2,FALSE))),"OFFLINE!")</f>
        <v>31.08.2026</v>
      </c>
      <c r="AD749" s="647" t="str">
        <f ca="1">IF(AP749="NE",$V$10,IF(AC749=$V$3,IF(AQ749&lt;1,$V$8,$V$2&amp;" "&amp;AQ749&amp;" "&amp;$V$1),IF(AC749="SKLADEM",$V$6,IFERROR(IF(OR(AC749-TODAY()&gt;45,VLOOKUP(C749,[1]List1!$A:$E,4,FALSE)=0),AC749,DAY(AC749)&amp;"."&amp;MONTH(AC749)&amp;"."&amp;YEAR(AC749)&amp;" "&amp;$V$4&amp;VLOOKUP(C749,[1]List1!$A:$E,4,FALSE)&amp;" "&amp;$V$1),AC749))))</f>
        <v>31.08.2026</v>
      </c>
      <c r="AE749" s="645" t="str">
        <f t="shared" ref="AE749" ca="1" si="2358">IFERROR(IF(AV749&lt;&gt;"",AV749,AD749),AD749)</f>
        <v>31.08.2026</v>
      </c>
      <c r="AF749" s="648">
        <f t="shared" ref="AF749" si="2359">IFERROR(IF(AB749=Y749,G749*I749*Y749,0),0)</f>
        <v>0</v>
      </c>
      <c r="AG749" s="649">
        <f t="shared" ref="AG749" si="2360">IF($W$17=$AF$8,AH749*1.23,AF749*1.21)</f>
        <v>0</v>
      </c>
      <c r="AH749" s="650">
        <f t="shared" ref="AH749" si="2361">IFERROR(IF(Y749=AB749,H749*I749*Y749,0),0)</f>
        <v>0</v>
      </c>
      <c r="AI749" s="645">
        <f t="shared" ref="AI749" si="2362">IFERROR(IF(Y749=AB749,(P749*Y749)/1000,1),0)</f>
        <v>0</v>
      </c>
      <c r="AJ749" s="645">
        <f t="shared" ref="AJ749" si="2363">IFERROR(IF(Y749=AB749,N749*Y749,0.1),0)</f>
        <v>0</v>
      </c>
      <c r="AK749" s="645" t="str">
        <f t="shared" ref="AK749" si="2364">IFERROR(IF(Y749=AB749,IF(M749="1.1G",(O749/1000)*Y749,""),""),0)</f>
        <v/>
      </c>
      <c r="AL749" s="645" t="str">
        <f t="shared" ref="AL749" si="2365">IFERROR(IF(Y749=AB749,IF(M749="1.3G",(O749/1000)*AB749,""),""),0)</f>
        <v/>
      </c>
      <c r="AM749" s="645">
        <f t="shared" ref="AM749" si="2366">IFERROR(IF(Y749=AB749,IF(M749="1.4G",(O749/1000)*AB749,""),""),0)</f>
        <v>0</v>
      </c>
      <c r="AN749" s="651">
        <f t="shared" ref="AN749" si="2367">SUM(AK749:AM749)</f>
        <v>0</v>
      </c>
      <c r="AO749" s="623"/>
      <c r="AP749" s="632" t="str">
        <f t="shared" si="2346"/>
        <v/>
      </c>
      <c r="AQ749" s="633" t="str">
        <f>IF(AC749=$V$3,IF(VLOOKUP(C749,[1]List1!$A:$E,5,FALSE)=0,1,VLOOKUP(C749,[1]List1!$A:$E,5,FALSE)),"")</f>
        <v/>
      </c>
      <c r="AR749" s="625" t="str">
        <f t="shared" si="2347"/>
        <v/>
      </c>
      <c r="AS749" s="634" t="str">
        <f t="shared" si="2348"/>
        <v/>
      </c>
      <c r="AT749" s="625" t="str">
        <f t="shared" si="2349"/>
        <v/>
      </c>
      <c r="AU749" s="638" t="e">
        <f t="shared" si="2350"/>
        <v>#N/A</v>
      </c>
      <c r="AV749" s="625" t="e">
        <f t="shared" si="2351"/>
        <v>#N/A</v>
      </c>
      <c r="AX749" s="625">
        <f>IF(AND('General price list'!$J749="F4",'General price list'!$AB749+0&gt;0),1,0)</f>
        <v>0</v>
      </c>
      <c r="AY749" s="625">
        <f t="shared" si="2352"/>
        <v>1</v>
      </c>
      <c r="AZ749" s="625">
        <f t="shared" si="2353"/>
        <v>0</v>
      </c>
    </row>
    <row r="750" spans="1:52" ht="15" customHeight="1">
      <c r="A750" s="751" t="str">
        <f>Kat.!C750</f>
        <v xml:space="preserve">           Baterie 148 ran, 16 mm (115 ran), 18 mm (26 ran), 20 mm (7 ran)</v>
      </c>
      <c r="B750" s="751"/>
      <c r="C750" s="751"/>
      <c r="D750" s="751"/>
      <c r="E750" s="751"/>
      <c r="F750" s="751"/>
      <c r="G750" s="751"/>
      <c r="H750" s="751"/>
      <c r="I750" s="752"/>
      <c r="J750" s="752"/>
      <c r="K750" s="752" t="s">
        <v>20</v>
      </c>
      <c r="L750" s="753" t="s">
        <v>20</v>
      </c>
      <c r="M750" s="752"/>
      <c r="N750" s="752"/>
      <c r="O750" s="752"/>
      <c r="P750" s="752"/>
      <c r="Q750" s="752"/>
      <c r="R750" s="752"/>
      <c r="S750" s="752"/>
      <c r="T750" s="752"/>
      <c r="U750" s="752"/>
      <c r="V750" s="752"/>
      <c r="W750" s="752"/>
      <c r="X750" s="752"/>
      <c r="Y750" s="752"/>
      <c r="Z750" s="752" t="s">
        <v>20</v>
      </c>
      <c r="AA750" s="752"/>
      <c r="AB750" s="752"/>
      <c r="AC750" s="754"/>
      <c r="AD750" s="752"/>
      <c r="AE750" s="752"/>
      <c r="AF750" s="752"/>
      <c r="AG750" s="752"/>
      <c r="AH750" s="752"/>
      <c r="AI750" s="752"/>
      <c r="AJ750" s="752"/>
      <c r="AK750" s="752"/>
      <c r="AL750" s="752"/>
      <c r="AM750" s="752"/>
      <c r="AN750" s="752"/>
      <c r="AO750" s="623"/>
      <c r="AP750" s="632" t="str">
        <f t="shared" si="2346"/>
        <v/>
      </c>
      <c r="AQ750" s="633" t="str">
        <f>IF(AC750=$V$3,IF(VLOOKUP(C750,[1]List1!$A:$E,5,FALSE)=0,1,VLOOKUP(C750,[1]List1!$A:$E,5,FALSE)),"")</f>
        <v/>
      </c>
      <c r="AR750" s="625" t="str">
        <f t="shared" si="2347"/>
        <v/>
      </c>
      <c r="AS750" s="634" t="str">
        <f t="shared" si="2348"/>
        <v/>
      </c>
      <c r="AT750" s="625" t="str">
        <f t="shared" si="2349"/>
        <v/>
      </c>
      <c r="AU750" s="638" t="e">
        <f t="shared" si="2350"/>
        <v>#N/A</v>
      </c>
      <c r="AV750" s="625" t="e">
        <f t="shared" si="2351"/>
        <v>#N/A</v>
      </c>
      <c r="AX750" s="625">
        <f>IF(AND('General price list'!$J750="F4",'General price list'!$AB750+0&gt;0),1,0)</f>
        <v>0</v>
      </c>
      <c r="AY750" s="625">
        <f t="shared" si="2352"/>
        <v>0</v>
      </c>
      <c r="AZ750" s="625">
        <f t="shared" si="2353"/>
        <v>0</v>
      </c>
    </row>
    <row r="751" spans="1:52" ht="15" customHeight="1">
      <c r="A751" s="639" t="str">
        <f>Kat.!C751</f>
        <v/>
      </c>
      <c r="B751" s="640">
        <f>IF(AND('General price list'!$J751="F4",$AI$1=FALSE),0,IF(AC751="SKLADEM",1,IF(AC751=$V$3,1,0)))</f>
        <v>1</v>
      </c>
      <c r="C751" s="641" t="s">
        <v>12161</v>
      </c>
      <c r="D751" s="642" t="s">
        <v>12162</v>
      </c>
      <c r="E751" s="643" t="s">
        <v>12747</v>
      </c>
      <c r="F751" s="773">
        <f>IFERROR(VLOOKUP(C751,[2]List1!$A:$D,3,FALSE),"NEUVEDENO!")</f>
        <v>1369</v>
      </c>
      <c r="G751" s="770">
        <f t="shared" ref="G751" si="2368">IF($W$17=$AF$8,ROUND((F751)/$F$17,2),(F751)*$B$19)</f>
        <v>1369</v>
      </c>
      <c r="H751" s="767">
        <f t="shared" ref="H751" si="2369">IF($W$17=$AF$8,G751*$B$19,G751/$F$17)</f>
        <v>58.153118137061249</v>
      </c>
      <c r="I751" s="644">
        <f>IFERROR(VLOOKUP(C751,[2]List1!$A:$D,4,FALSE),"NEUVEDENO!")</f>
        <v>2</v>
      </c>
      <c r="J751" s="733" t="s">
        <v>39</v>
      </c>
      <c r="K751" s="645" t="s">
        <v>20</v>
      </c>
      <c r="L751" s="645"/>
      <c r="M751" s="645" t="s">
        <v>21</v>
      </c>
      <c r="N751" s="645">
        <f>IFERROR(VLOOKUP(C751,[3]List1!$A:$D,4,FALSE),"N/A!")</f>
        <v>2.4624E-2</v>
      </c>
      <c r="O751" s="645">
        <f>IFERROR(VLOOKUP(C751,[3]List1!$A:$D,3,FALSE),"N/A!")</f>
        <v>998</v>
      </c>
      <c r="P751" s="645">
        <f>IFERROR(VLOOKUP(C751,[3]List1!$A:$D,2,FALSE),"N/A!")</f>
        <v>15000</v>
      </c>
      <c r="Q751" s="645" t="s">
        <v>12782</v>
      </c>
      <c r="R751" s="645"/>
      <c r="S751" s="645" t="str">
        <f>IF($W$17=$AF$1,"design",IFERROR(VLOOKUP("design",Jazyky_ceník!$A:$Q,MATCH($W$17,Jazyky_ceník!$A$1:$Q$1,0),FALSE),"!!!"))</f>
        <v>design</v>
      </c>
      <c r="T751" s="645">
        <v>65</v>
      </c>
      <c r="U751" s="645" t="s">
        <v>12069</v>
      </c>
      <c r="V751" s="645" t="s">
        <v>12787</v>
      </c>
      <c r="W751" s="645" t="str">
        <f>IFERROR(IF(AND($AB751&gt;=0.1*$AA751,MOD($AB751,$AA751)&gt;=($AA751-(0.1*$AA751))),IF($W$17=$AF$1,"Zvažte možnost doobjednání ještě "&amp;Tabulka1[[#This Row],[VKPAL]]-MOD(AB751,AA751)&amp;" VK do plné palety.",VLOOKUP("Zvažte možnost doobjednání ještě ",Jazyky_ceník!A:Q,MATCH($W$17,Jazyky_ceník!$A$1:$Q$1,0),FALSE)&amp;Tabulka1[[#This Row],[VKPAL]]-MOD(AB751,AA751)&amp;VLOOKUP(" VK do plné palety.",Jazyky_ceník!A:Q,MATCH($W$17,Jazyky_ceník!$A$1:$Q$1,0),FALSE)),IFERROR(IF(AND(NOT(MOD($AB751,$AA751)=0),$AB751&gt;=0.9*$AA751,MOD($AB751,$AA751)&lt;=0.1*$AA751),IF($W$17=$AF$1,"Zvažte možnost optimalizace objednaného množství podle počtu VK na paletě ==&gt;",VLOOKUP("Zvažte možnost optimalizace objednaného množství podle počtu VK na paletě ==&gt;",Jazyky_ceník!A:Q,MATCH($W$17,Jazyky_ceník!$A$1:$Q$1,0),FALSE)),VLOOKUP('General price list'!$C751,Popisy!A:M,MATCH($W$17,Popisy!$A$7:$M$7,0),FALSE)),"---------------")),IFERROR(VLOOKUP('General price list'!$C751,Popisy!A:M,MATCH($W$17,Popisy!$A$7:$M$7,0),FALSE),"---------------"))</f>
        <v>14 různobarevných efektů</v>
      </c>
      <c r="X751" s="645" t="str">
        <f t="shared" ref="X751" si="2370">IF(AB751&lt;0.0001,"",AB751)</f>
        <v/>
      </c>
      <c r="Y751" s="645" t="str">
        <f t="shared" ref="Y751" si="2371">IF($AL$3=2,IF(OR(AB751&lt;&gt;"",AB751&lt;&gt;0),AU751,""),IF(C751="","",IF(AB751&lt;0.0001,"",IF(B751=0,"",IF(AQ751&lt;AB751,"",AB751)))))</f>
        <v/>
      </c>
      <c r="Z751" s="645" t="str">
        <f>HYPERLINK("https://www.klasekpyrotechnics.cz/c148mxp14")</f>
        <v>https://www.klasekpyrotechnics.cz/c148mxp14</v>
      </c>
      <c r="AA751" s="645">
        <f>IFERROR(IF(VLOOKUP(C751,[4]List1!$A:$D,4,FALSE)=0,"",VLOOKUP(C751,[4]List1!$A:$D,4,FALSE)),"")</f>
        <v>48</v>
      </c>
      <c r="AB751" s="646"/>
      <c r="AC751" s="647" t="str">
        <f>IFERROR(IF(VLOOKUP(C751,[1]List1!$A:$D,2,FALSE)="VYPRODÁNO",$V$9,IF(VLOOKUP(C751,[1]List1!$A:$D,2,FALSE)="DOCHÁZÍ",$V$3,VLOOKUP(C751,[1]List1!$A:$D,2,FALSE))),"OFFLINE!")</f>
        <v>SKLADEM</v>
      </c>
      <c r="AD751" s="647" t="str">
        <f ca="1">IF(AP751="NE",$V$10,IF(AC751=$V$3,IF(AQ751&lt;1,$V$8,$V$2&amp;" "&amp;AQ751&amp;" "&amp;$V$1),IF(AC751="SKLADEM",$V$6,IFERROR(IF(OR(AC751-TODAY()&gt;45,VLOOKUP(C751,[1]List1!$A:$E,4,FALSE)=0),AC751,DAY(AC751)&amp;"."&amp;MONTH(AC751)&amp;"."&amp;YEAR(AC751)&amp;" "&amp;$V$4&amp;VLOOKUP(C751,[1]List1!$A:$E,4,FALSE)&amp;" "&amp;$V$1),AC751))))</f>
        <v>SKLADEM</v>
      </c>
      <c r="AE751" s="645" t="str">
        <f t="shared" ref="AE751" ca="1" si="2372">IFERROR(IF(AV751&lt;&gt;"",AV751,AD751),AD751)</f>
        <v>SKLADEM</v>
      </c>
      <c r="AF751" s="648">
        <f t="shared" ref="AF751" si="2373">IFERROR(IF(AB751=Y751,G751*I751*Y751,0),0)</f>
        <v>0</v>
      </c>
      <c r="AG751" s="649">
        <f t="shared" ref="AG751" si="2374">IF($W$17=$AF$8,AH751*1.23,AF751*1.21)</f>
        <v>0</v>
      </c>
      <c r="AH751" s="650">
        <f t="shared" ref="AH751" si="2375">IFERROR(IF(Y751=AB751,H751*I751*Y751,0),0)</f>
        <v>0</v>
      </c>
      <c r="AI751" s="645">
        <f t="shared" ref="AI751" si="2376">IFERROR(IF(Y751=AB751,(P751*Y751)/1000,1),0)</f>
        <v>0</v>
      </c>
      <c r="AJ751" s="645">
        <f t="shared" ref="AJ751" si="2377">IFERROR(IF(Y751=AB751,N751*Y751,0.1),0)</f>
        <v>0</v>
      </c>
      <c r="AK751" s="645" t="str">
        <f t="shared" ref="AK751" si="2378">IFERROR(IF(Y751=AB751,IF(M751="1.1G",(O751/1000)*Y751,""),""),0)</f>
        <v/>
      </c>
      <c r="AL751" s="645" t="str">
        <f t="shared" ref="AL751" si="2379">IFERROR(IF(Y751=AB751,IF(M751="1.3G",(O751/1000)*AB751,""),""),0)</f>
        <v/>
      </c>
      <c r="AM751" s="645">
        <f t="shared" ref="AM751" si="2380">IFERROR(IF(Y751=AB751,IF(M751="1.4G",(O751/1000)*AB751,""),""),0)</f>
        <v>0</v>
      </c>
      <c r="AN751" s="651">
        <f t="shared" ref="AN751" si="2381">SUM(AK751:AM751)</f>
        <v>0</v>
      </c>
      <c r="AO751" s="623"/>
      <c r="AP751" s="632" t="str">
        <f t="shared" si="2346"/>
        <v/>
      </c>
      <c r="AQ751" s="633" t="str">
        <f>IF(AC751=$V$3,IF(VLOOKUP(C751,[1]List1!$A:$E,5,FALSE)=0,1,VLOOKUP(C751,[1]List1!$A:$E,5,FALSE)),"")</f>
        <v/>
      </c>
      <c r="AR751" s="625" t="str">
        <f t="shared" si="2347"/>
        <v/>
      </c>
      <c r="AS751" s="634" t="str">
        <f t="shared" si="2348"/>
        <v/>
      </c>
      <c r="AT751" s="625" t="str">
        <f t="shared" si="2349"/>
        <v/>
      </c>
      <c r="AU751" s="638" t="e">
        <f t="shared" si="2350"/>
        <v>#N/A</v>
      </c>
      <c r="AV751" s="625" t="e">
        <f t="shared" si="2351"/>
        <v>#N/A</v>
      </c>
      <c r="AX751" s="625">
        <f>IF(AND('General price list'!$J751="F4",'General price list'!$AB751+0&gt;0),1,0)</f>
        <v>0</v>
      </c>
      <c r="AY751" s="625">
        <f t="shared" si="2352"/>
        <v>1</v>
      </c>
      <c r="AZ751" s="625">
        <f t="shared" si="2353"/>
        <v>0</v>
      </c>
    </row>
    <row r="752" spans="1:52" ht="15" customHeight="1">
      <c r="A752" s="751" t="str">
        <f>Kat.!C752</f>
        <v xml:space="preserve">           Baterie 165 ran, 16 mm (125 ran), 20 mm (40 ran)</v>
      </c>
      <c r="B752" s="751"/>
      <c r="C752" s="751"/>
      <c r="D752" s="751"/>
      <c r="E752" s="751"/>
      <c r="F752" s="751"/>
      <c r="G752" s="751"/>
      <c r="H752" s="751"/>
      <c r="I752" s="752"/>
      <c r="J752" s="752"/>
      <c r="K752" s="752" t="s">
        <v>20</v>
      </c>
      <c r="L752" s="753" t="s">
        <v>20</v>
      </c>
      <c r="M752" s="752"/>
      <c r="N752" s="752"/>
      <c r="O752" s="752"/>
      <c r="P752" s="752"/>
      <c r="Q752" s="752"/>
      <c r="R752" s="752"/>
      <c r="S752" s="752"/>
      <c r="T752" s="752"/>
      <c r="U752" s="752"/>
      <c r="V752" s="752"/>
      <c r="W752" s="752"/>
      <c r="X752" s="752"/>
      <c r="Y752" s="752"/>
      <c r="Z752" s="752" t="s">
        <v>20</v>
      </c>
      <c r="AA752" s="752"/>
      <c r="AB752" s="752"/>
      <c r="AC752" s="754"/>
      <c r="AD752" s="752"/>
      <c r="AE752" s="752"/>
      <c r="AF752" s="752"/>
      <c r="AG752" s="752"/>
      <c r="AH752" s="752"/>
      <c r="AI752" s="752"/>
      <c r="AJ752" s="752"/>
      <c r="AK752" s="752"/>
      <c r="AL752" s="752"/>
      <c r="AM752" s="752"/>
      <c r="AN752" s="752"/>
      <c r="AO752" s="623"/>
      <c r="AP752" s="632" t="str">
        <f t="shared" si="2346"/>
        <v/>
      </c>
      <c r="AQ752" s="633" t="str">
        <f>IF(AC752=$V$3,IF(VLOOKUP(C752,[1]List1!$A:$E,5,FALSE)=0,1,VLOOKUP(C752,[1]List1!$A:$E,5,FALSE)),"")</f>
        <v/>
      </c>
      <c r="AR752" s="625" t="str">
        <f t="shared" si="2347"/>
        <v/>
      </c>
      <c r="AS752" s="634" t="str">
        <f t="shared" si="2348"/>
        <v/>
      </c>
      <c r="AT752" s="625" t="str">
        <f t="shared" si="2349"/>
        <v/>
      </c>
      <c r="AU752" s="638" t="e">
        <f t="shared" si="2350"/>
        <v>#N/A</v>
      </c>
      <c r="AV752" s="625" t="e">
        <f t="shared" si="2351"/>
        <v>#N/A</v>
      </c>
      <c r="AX752" s="625">
        <f>IF(AND('General price list'!$J752="F4",'General price list'!$AB752+0&gt;0),1,0)</f>
        <v>0</v>
      </c>
      <c r="AY752" s="625">
        <f t="shared" si="2352"/>
        <v>0</v>
      </c>
      <c r="AZ752" s="625">
        <f t="shared" si="2353"/>
        <v>0</v>
      </c>
    </row>
    <row r="753" spans="1:52" ht="15" customHeight="1">
      <c r="A753" s="639" t="str">
        <f>Kat.!C753</f>
        <v/>
      </c>
      <c r="B753" s="640">
        <f>IF(AND('General price list'!$J753="F4",$AI$1=FALSE),0,IF(AC753="SKLADEM",1,IF(AC753=$V$3,1,0)))</f>
        <v>0</v>
      </c>
      <c r="C753" s="641" t="s">
        <v>12467</v>
      </c>
      <c r="D753" s="642" t="s">
        <v>12566</v>
      </c>
      <c r="E753" s="643" t="s">
        <v>12747</v>
      </c>
      <c r="F753" s="773">
        <f>IFERROR(VLOOKUP(C753,[2]List1!$A:$D,3,FALSE),"NEUVEDENO!")</f>
        <v>1552</v>
      </c>
      <c r="G753" s="770">
        <f t="shared" ref="G753" si="2382">IF($W$17=$AF$8,ROUND((F753)/$F$17,2),(F753)*$B$19)</f>
        <v>1552</v>
      </c>
      <c r="H753" s="767">
        <f t="shared" ref="H753" si="2383">IF($W$17=$AF$8,G753*$B$19,G753/$F$17)</f>
        <v>65.926690539604863</v>
      </c>
      <c r="I753" s="644">
        <f>IFERROR(VLOOKUP(C753,[2]List1!$A:$D,4,FALSE),"NEUVEDENO!")</f>
        <v>2</v>
      </c>
      <c r="J753" s="733" t="s">
        <v>39</v>
      </c>
      <c r="K753" s="645">
        <v>4</v>
      </c>
      <c r="L753" s="645"/>
      <c r="M753" s="645" t="s">
        <v>21</v>
      </c>
      <c r="N753" s="645">
        <f>IFERROR(VLOOKUP(C753,[3]List1!$A:$D,4,FALSE),"N/A!")</f>
        <v>0</v>
      </c>
      <c r="O753" s="645">
        <f>IFERROR(VLOOKUP(C753,[3]List1!$A:$D,3,FALSE),"N/A!")</f>
        <v>996</v>
      </c>
      <c r="P753" s="645">
        <f>IFERROR(VLOOKUP(C753,[3]List1!$A:$D,2,FALSE),"N/A!")</f>
        <v>10200</v>
      </c>
      <c r="Q753" s="645" t="s">
        <v>15070</v>
      </c>
      <c r="R753" s="645"/>
      <c r="S753" s="645" t="str">
        <f>IF($W$17=$AF$1,"design",IFERROR(VLOOKUP("design",Jazyky_ceník!$A:$Q,MATCH($W$17,Jazyky_ceník!$A$1:$Q$1,0),FALSE),"!!!"))</f>
        <v>design</v>
      </c>
      <c r="T753" s="645">
        <v>65</v>
      </c>
      <c r="U753" s="645" t="s">
        <v>12069</v>
      </c>
      <c r="V753" s="645" t="s">
        <v>12787</v>
      </c>
      <c r="W753" s="645" t="str">
        <f>IFERROR(IF(AND($AB753&gt;=0.1*$AA753,MOD($AB753,$AA753)&gt;=($AA753-(0.1*$AA753))),IF($W$17=$AF$1,"Zvažte možnost doobjednání ještě "&amp;Tabulka1[[#This Row],[VKPAL]]-MOD(AB753,AA753)&amp;" VK do plné palety.",VLOOKUP("Zvažte možnost doobjednání ještě ",Jazyky_ceník!A:Q,MATCH($W$17,Jazyky_ceník!$A$1:$Q$1,0),FALSE)&amp;Tabulka1[[#This Row],[VKPAL]]-MOD(AB753,AA753)&amp;VLOOKUP(" VK do plné palety.",Jazyky_ceník!A:Q,MATCH($W$17,Jazyky_ceník!$A$1:$Q$1,0),FALSE)),IFERROR(IF(AND(NOT(MOD($AB753,$AA753)=0),$AB753&gt;=0.9*$AA753,MOD($AB753,$AA753)&lt;=0.1*$AA753),IF($W$17=$AF$1,"Zvažte možnost optimalizace objednaného množství podle počtu VK na paletě ==&gt;",VLOOKUP("Zvažte možnost optimalizace objednaného množství podle počtu VK na paletě ==&gt;",Jazyky_ceník!A:Q,MATCH($W$17,Jazyky_ceník!$A$1:$Q$1,0),FALSE)),VLOOKUP('General price list'!$C753,Popisy!A:M,MATCH($W$17,Popisy!$A$7:$M$7,0),FALSE)),"---------------")),IFERROR(VLOOKUP('General price list'!$C753,Popisy!A:M,MATCH($W$17,Popisy!$A$7:$M$7,0),FALSE),"---------------"))</f>
        <v>14 různobarevných efektů</v>
      </c>
      <c r="X753" s="645" t="str">
        <f t="shared" ref="X753" si="2384">IF(AB753&lt;0.0001,"",AB753)</f>
        <v/>
      </c>
      <c r="Y753" s="645" t="str">
        <f t="shared" ref="Y753" si="2385">IF($AL$3=2,IF(OR(AB753&lt;&gt;"",AB753&lt;&gt;0),AU753,""),IF(C753="","",IF(AB753&lt;0.0001,"",IF(B753=0,"",IF(AQ753&lt;AB753,"",AB753)))))</f>
        <v/>
      </c>
      <c r="Z753" s="645" t="str">
        <f>HYPERLINK("https://www.klasekpyrotechnics.cz/c165mxv14")</f>
        <v>https://www.klasekpyrotechnics.cz/c165mxv14</v>
      </c>
      <c r="AA753" s="645" t="str">
        <f>IFERROR(IF(VLOOKUP(C753,[4]List1!$A:$D,4,FALSE)=0,"",VLOOKUP(C753,[4]List1!$A:$D,4,FALSE)),"")</f>
        <v/>
      </c>
      <c r="AB753" s="646"/>
      <c r="AC753" s="647" t="str">
        <f>IFERROR(IF(VLOOKUP(C753,[1]List1!$A:$D,2,FALSE)="VYPRODÁNO",$V$9,IF(VLOOKUP(C753,[1]List1!$A:$D,2,FALSE)="DOCHÁZÍ",$V$3,VLOOKUP(C753,[1]List1!$A:$D,2,FALSE))),"OFFLINE!")</f>
        <v>31.08.2026</v>
      </c>
      <c r="AD753" s="647" t="str">
        <f ca="1">IF(AP753="NE",$V$10,IF(AC753=$V$3,IF(AQ753&lt;1,$V$8,$V$2&amp;" "&amp;AQ753&amp;" "&amp;$V$1),IF(AC753="SKLADEM",$V$6,IFERROR(IF(OR(AC753-TODAY()&gt;45,VLOOKUP(C753,[1]List1!$A:$E,4,FALSE)=0),AC753,DAY(AC753)&amp;"."&amp;MONTH(AC753)&amp;"."&amp;YEAR(AC753)&amp;" "&amp;$V$4&amp;VLOOKUP(C753,[1]List1!$A:$E,4,FALSE)&amp;" "&amp;$V$1),AC753))))</f>
        <v>31.08.2026</v>
      </c>
      <c r="AE753" s="645" t="str">
        <f t="shared" ref="AE753" ca="1" si="2386">IFERROR(IF(AV753&lt;&gt;"",AV753,AD753),AD753)</f>
        <v>31.08.2026</v>
      </c>
      <c r="AF753" s="648">
        <f t="shared" ref="AF753" si="2387">IFERROR(IF(AB753=Y753,G753*I753*Y753,0),0)</f>
        <v>0</v>
      </c>
      <c r="AG753" s="649">
        <f t="shared" ref="AG753" si="2388">IF($W$17=$AF$8,AH753*1.23,AF753*1.21)</f>
        <v>0</v>
      </c>
      <c r="AH753" s="650">
        <f t="shared" ref="AH753" si="2389">IFERROR(IF(Y753=AB753,H753*I753*Y753,0),0)</f>
        <v>0</v>
      </c>
      <c r="AI753" s="645">
        <f t="shared" ref="AI753" si="2390">IFERROR(IF(Y753=AB753,(P753*Y753)/1000,1),0)</f>
        <v>0</v>
      </c>
      <c r="AJ753" s="645">
        <f t="shared" ref="AJ753" si="2391">IFERROR(IF(Y753=AB753,N753*Y753,0.1),0)</f>
        <v>0</v>
      </c>
      <c r="AK753" s="645" t="str">
        <f t="shared" ref="AK753" si="2392">IFERROR(IF(Y753=AB753,IF(M753="1.1G",(O753/1000)*Y753,""),""),0)</f>
        <v/>
      </c>
      <c r="AL753" s="645" t="str">
        <f t="shared" ref="AL753" si="2393">IFERROR(IF(Y753=AB753,IF(M753="1.3G",(O753/1000)*AB753,""),""),0)</f>
        <v/>
      </c>
      <c r="AM753" s="645">
        <f t="shared" ref="AM753" si="2394">IFERROR(IF(Y753=AB753,IF(M753="1.4G",(O753/1000)*AB753,""),""),0)</f>
        <v>0</v>
      </c>
      <c r="AN753" s="651">
        <f t="shared" ref="AN753" si="2395">SUM(AK753:AM753)</f>
        <v>0</v>
      </c>
      <c r="AO753" s="623"/>
      <c r="AP753" s="632" t="str">
        <f t="shared" si="2346"/>
        <v/>
      </c>
      <c r="AQ753" s="633" t="str">
        <f>IF(AC753=$V$3,IF(VLOOKUP(C753,[1]List1!$A:$E,5,FALSE)=0,1,VLOOKUP(C753,[1]List1!$A:$E,5,FALSE)),"")</f>
        <v/>
      </c>
      <c r="AR753" s="625" t="str">
        <f t="shared" si="2347"/>
        <v/>
      </c>
      <c r="AS753" s="634" t="str">
        <f t="shared" si="2348"/>
        <v/>
      </c>
      <c r="AT753" s="625" t="str">
        <f t="shared" si="2349"/>
        <v/>
      </c>
      <c r="AU753" s="638" t="e">
        <f t="shared" si="2350"/>
        <v>#N/A</v>
      </c>
      <c r="AV753" s="625" t="e">
        <f t="shared" si="2351"/>
        <v>#N/A</v>
      </c>
      <c r="AX753" s="625">
        <f>IF(AND('General price list'!$J753="F4",'General price list'!$AB753+0&gt;0),1,0)</f>
        <v>0</v>
      </c>
      <c r="AY753" s="625">
        <f t="shared" si="2352"/>
        <v>1</v>
      </c>
      <c r="AZ753" s="625">
        <f t="shared" si="2353"/>
        <v>0</v>
      </c>
    </row>
    <row r="754" spans="1:52" ht="15" customHeight="1">
      <c r="A754" s="751" t="str">
        <f>Kat.!C754</f>
        <v xml:space="preserve">           Baterie 170 ran, 16 mm (125 ran), 20 mm (40 ran)</v>
      </c>
      <c r="B754" s="751"/>
      <c r="C754" s="751"/>
      <c r="D754" s="751"/>
      <c r="E754" s="751"/>
      <c r="F754" s="751"/>
      <c r="G754" s="751"/>
      <c r="H754" s="751"/>
      <c r="I754" s="752"/>
      <c r="J754" s="752"/>
      <c r="K754" s="752" t="s">
        <v>20</v>
      </c>
      <c r="L754" s="753" t="s">
        <v>20</v>
      </c>
      <c r="M754" s="752"/>
      <c r="N754" s="752"/>
      <c r="O754" s="752"/>
      <c r="P754" s="752"/>
      <c r="Q754" s="752"/>
      <c r="R754" s="752"/>
      <c r="S754" s="752"/>
      <c r="T754" s="752"/>
      <c r="U754" s="752"/>
      <c r="V754" s="752"/>
      <c r="W754" s="752"/>
      <c r="X754" s="752"/>
      <c r="Y754" s="752"/>
      <c r="Z754" s="752" t="s">
        <v>20</v>
      </c>
      <c r="AA754" s="752"/>
      <c r="AB754" s="752"/>
      <c r="AC754" s="754"/>
      <c r="AD754" s="752"/>
      <c r="AE754" s="752"/>
      <c r="AF754" s="752"/>
      <c r="AG754" s="752"/>
      <c r="AH754" s="752"/>
      <c r="AI754" s="752"/>
      <c r="AJ754" s="752"/>
      <c r="AK754" s="752"/>
      <c r="AL754" s="752"/>
      <c r="AM754" s="752"/>
      <c r="AN754" s="752"/>
      <c r="AO754" s="623"/>
      <c r="AP754" s="632" t="str">
        <f t="shared" si="2346"/>
        <v/>
      </c>
      <c r="AQ754" s="633" t="str">
        <f>IF(AC754=$V$3,IF(VLOOKUP(C754,[1]List1!$A:$E,5,FALSE)=0,1,VLOOKUP(C754,[1]List1!$A:$E,5,FALSE)),"")</f>
        <v/>
      </c>
      <c r="AR754" s="625" t="str">
        <f t="shared" si="2347"/>
        <v/>
      </c>
      <c r="AS754" s="634" t="str">
        <f t="shared" si="2348"/>
        <v/>
      </c>
      <c r="AT754" s="625" t="str">
        <f t="shared" si="2349"/>
        <v/>
      </c>
      <c r="AU754" s="638" t="e">
        <f t="shared" si="2350"/>
        <v>#N/A</v>
      </c>
      <c r="AV754" s="625" t="e">
        <f t="shared" si="2351"/>
        <v>#N/A</v>
      </c>
      <c r="AX754" s="625">
        <f>IF(AND('General price list'!$J754="F4",'General price list'!$AB754+0&gt;0),1,0)</f>
        <v>0</v>
      </c>
      <c r="AY754" s="625">
        <f t="shared" si="2352"/>
        <v>0</v>
      </c>
      <c r="AZ754" s="625">
        <f t="shared" si="2353"/>
        <v>0</v>
      </c>
    </row>
    <row r="755" spans="1:52" ht="15" customHeight="1">
      <c r="A755" s="639" t="str">
        <f>Kat.!C755</f>
        <v/>
      </c>
      <c r="B755" s="640">
        <f>IF(AND('General price list'!$J755="F4",$AI$1=FALSE),0,IF(AC755="SKLADEM",1,IF(AC755=$V$3,1,0)))</f>
        <v>0</v>
      </c>
      <c r="C755" s="641" t="s">
        <v>12468</v>
      </c>
      <c r="D755" s="642" t="s">
        <v>12567</v>
      </c>
      <c r="E755" s="643" t="s">
        <v>12747</v>
      </c>
      <c r="F755" s="773">
        <f>IFERROR(VLOOKUP(C755,[2]List1!$A:$D,3,FALSE),"NEUVEDENO!")</f>
        <v>1579</v>
      </c>
      <c r="G755" s="770">
        <f t="shared" ref="G755" si="2396">IF($W$17=$AF$8,ROUND((F755)/$F$17,2),(F755)*$B$19)</f>
        <v>1579</v>
      </c>
      <c r="H755" s="767">
        <f t="shared" ref="H755" si="2397">IF($W$17=$AF$8,G755*$B$19,G755/$F$17)</f>
        <v>67.073611058012943</v>
      </c>
      <c r="I755" s="644">
        <f>IFERROR(VLOOKUP(C755,[2]List1!$A:$D,4,FALSE),"NEUVEDENO!")</f>
        <v>2</v>
      </c>
      <c r="J755" s="733" t="s">
        <v>39</v>
      </c>
      <c r="K755" s="645">
        <v>4</v>
      </c>
      <c r="L755" s="645"/>
      <c r="M755" s="645" t="s">
        <v>21</v>
      </c>
      <c r="N755" s="645">
        <f>IFERROR(VLOOKUP(C755,[3]List1!$A:$D,4,FALSE),"N/A!")</f>
        <v>0</v>
      </c>
      <c r="O755" s="645">
        <f>IFERROR(VLOOKUP(C755,[3]List1!$A:$D,3,FALSE),"N/A!")</f>
        <v>998</v>
      </c>
      <c r="P755" s="645">
        <f>IFERROR(VLOOKUP(C755,[3]List1!$A:$D,2,FALSE),"N/A!")</f>
        <v>9500</v>
      </c>
      <c r="Q755" s="645" t="s">
        <v>15070</v>
      </c>
      <c r="R755" s="645"/>
      <c r="S755" s="645" t="str">
        <f>IF($W$17=$AF$1,"design",IFERROR(VLOOKUP("design",Jazyky_ceník!$A:$Q,MATCH($W$17,Jazyky_ceník!$A$1:$Q$1,0),FALSE),"!!!"))</f>
        <v>design</v>
      </c>
      <c r="T755" s="645">
        <v>65</v>
      </c>
      <c r="U755" s="645" t="s">
        <v>12788</v>
      </c>
      <c r="V755" s="645" t="s">
        <v>12789</v>
      </c>
      <c r="W755" s="645" t="str">
        <f>IFERROR(IF(AND($AB755&gt;=0.1*$AA755,MOD($AB755,$AA755)&gt;=($AA755-(0.1*$AA755))),IF($W$17=$AF$1,"Zvažte možnost doobjednání ještě "&amp;Tabulka1[[#This Row],[VKPAL]]-MOD(AB755,AA755)&amp;" VK do plné palety.",VLOOKUP("Zvažte možnost doobjednání ještě ",Jazyky_ceník!A:Q,MATCH($W$17,Jazyky_ceník!$A$1:$Q$1,0),FALSE)&amp;Tabulka1[[#This Row],[VKPAL]]-MOD(AB755,AA755)&amp;VLOOKUP(" VK do plné palety.",Jazyky_ceník!A:Q,MATCH($W$17,Jazyky_ceník!$A$1:$Q$1,0),FALSE)),IFERROR(IF(AND(NOT(MOD($AB755,$AA755)=0),$AB755&gt;=0.9*$AA755,MOD($AB755,$AA755)&lt;=0.1*$AA755),IF($W$17=$AF$1,"Zvažte možnost optimalizace objednaného množství podle počtu VK na paletě ==&gt;",VLOOKUP("Zvažte možnost optimalizace objednaného množství podle počtu VK na paletě ==&gt;",Jazyky_ceník!A:Q,MATCH($W$17,Jazyky_ceník!$A$1:$Q$1,0),FALSE)),VLOOKUP('General price list'!$C755,Popisy!A:M,MATCH($W$17,Popisy!$A$7:$M$7,0),FALSE)),"---------------")),IFERROR(VLOOKUP('General price list'!$C755,Popisy!A:M,MATCH($W$17,Popisy!$A$7:$M$7,0),FALSE),"---------------"))</f>
        <v>14 různobarevných efektů</v>
      </c>
      <c r="X755" s="645" t="str">
        <f t="shared" ref="X755" si="2398">IF(AB755&lt;0.0001,"",AB755)</f>
        <v/>
      </c>
      <c r="Y755" s="645" t="str">
        <f t="shared" ref="Y755" si="2399">IF($AL$3=2,IF(OR(AB755&lt;&gt;"",AB755&lt;&gt;0),AU755,""),IF(C755="","",IF(AB755&lt;0.0001,"",IF(B755=0,"",IF(AQ755&lt;AB755,"",AB755)))))</f>
        <v/>
      </c>
      <c r="Z755" s="645" t="str">
        <f>HYPERLINK("https://www.klasekpyrotechnics.cz/c170mxr14")</f>
        <v>https://www.klasekpyrotechnics.cz/c170mxr14</v>
      </c>
      <c r="AA755" s="645" t="str">
        <f>IFERROR(IF(VLOOKUP(C755,[4]List1!$A:$D,4,FALSE)=0,"",VLOOKUP(C755,[4]List1!$A:$D,4,FALSE)),"")</f>
        <v/>
      </c>
      <c r="AB755" s="646"/>
      <c r="AC755" s="647" t="str">
        <f>IFERROR(IF(VLOOKUP(C755,[1]List1!$A:$D,2,FALSE)="VYPRODÁNO",$V$9,IF(VLOOKUP(C755,[1]List1!$A:$D,2,FALSE)="DOCHÁZÍ",$V$3,VLOOKUP(C755,[1]List1!$A:$D,2,FALSE))),"OFFLINE!")</f>
        <v>31.08.2026</v>
      </c>
      <c r="AD755" s="647" t="str">
        <f ca="1">IF(AP755="NE",$V$10,IF(AC755=$V$3,IF(AQ755&lt;1,$V$8,$V$2&amp;" "&amp;AQ755&amp;" "&amp;$V$1),IF(AC755="SKLADEM",$V$6,IFERROR(IF(OR(AC755-TODAY()&gt;45,VLOOKUP(C755,[1]List1!$A:$E,4,FALSE)=0),AC755,DAY(AC755)&amp;"."&amp;MONTH(AC755)&amp;"."&amp;YEAR(AC755)&amp;" "&amp;$V$4&amp;VLOOKUP(C755,[1]List1!$A:$E,4,FALSE)&amp;" "&amp;$V$1),AC755))))</f>
        <v>31.08.2026</v>
      </c>
      <c r="AE755" s="645" t="str">
        <f t="shared" ref="AE755" ca="1" si="2400">IFERROR(IF(AV755&lt;&gt;"",AV755,AD755),AD755)</f>
        <v>31.08.2026</v>
      </c>
      <c r="AF755" s="648">
        <f t="shared" ref="AF755" si="2401">IFERROR(IF(AB755=Y755,G755*I755*Y755,0),0)</f>
        <v>0</v>
      </c>
      <c r="AG755" s="649">
        <f t="shared" ref="AG755" si="2402">IF($W$17=$AF$8,AH755*1.23,AF755*1.21)</f>
        <v>0</v>
      </c>
      <c r="AH755" s="650">
        <f t="shared" ref="AH755" si="2403">IFERROR(IF(Y755=AB755,H755*I755*Y755,0),0)</f>
        <v>0</v>
      </c>
      <c r="AI755" s="645">
        <f t="shared" ref="AI755" si="2404">IFERROR(IF(Y755=AB755,(P755*Y755)/1000,1),0)</f>
        <v>0</v>
      </c>
      <c r="AJ755" s="645">
        <f t="shared" ref="AJ755" si="2405">IFERROR(IF(Y755=AB755,N755*Y755,0.1),0)</f>
        <v>0</v>
      </c>
      <c r="AK755" s="645" t="str">
        <f t="shared" ref="AK755" si="2406">IFERROR(IF(Y755=AB755,IF(M755="1.1G",(O755/1000)*Y755,""),""),0)</f>
        <v/>
      </c>
      <c r="AL755" s="645" t="str">
        <f t="shared" ref="AL755" si="2407">IFERROR(IF(Y755=AB755,IF(M755="1.3G",(O755/1000)*AB755,""),""),0)</f>
        <v/>
      </c>
      <c r="AM755" s="645">
        <f t="shared" ref="AM755" si="2408">IFERROR(IF(Y755=AB755,IF(M755="1.4G",(O755/1000)*AB755,""),""),0)</f>
        <v>0</v>
      </c>
      <c r="AN755" s="651">
        <f t="shared" ref="AN755" si="2409">SUM(AK755:AM755)</f>
        <v>0</v>
      </c>
      <c r="AO755" s="623"/>
      <c r="AP755" s="632" t="str">
        <f t="shared" si="2346"/>
        <v/>
      </c>
      <c r="AQ755" s="633" t="str">
        <f>IF(AC755=$V$3,IF(VLOOKUP(C755,[1]List1!$A:$E,5,FALSE)=0,1,VLOOKUP(C755,[1]List1!$A:$E,5,FALSE)),"")</f>
        <v/>
      </c>
      <c r="AR755" s="625" t="str">
        <f t="shared" si="2347"/>
        <v/>
      </c>
      <c r="AS755" s="634" t="str">
        <f t="shared" si="2348"/>
        <v/>
      </c>
      <c r="AT755" s="625" t="str">
        <f t="shared" si="2349"/>
        <v/>
      </c>
      <c r="AU755" s="638" t="e">
        <f t="shared" si="2350"/>
        <v>#N/A</v>
      </c>
      <c r="AV755" s="625" t="e">
        <f t="shared" si="2351"/>
        <v>#N/A</v>
      </c>
      <c r="AX755" s="625">
        <f>IF(AND('General price list'!$J755="F4",'General price list'!$AB755+0&gt;0),1,0)</f>
        <v>0</v>
      </c>
      <c r="AY755" s="625">
        <f t="shared" si="2352"/>
        <v>1</v>
      </c>
      <c r="AZ755" s="625">
        <f t="shared" si="2353"/>
        <v>0</v>
      </c>
    </row>
    <row r="756" spans="1:52" ht="15" customHeight="1">
      <c r="A756" s="751" t="str">
        <f>Kat.!C756</f>
        <v xml:space="preserve">           Multikaliberní kompakty do 30 mm – Kat. F3</v>
      </c>
      <c r="B756" s="751"/>
      <c r="C756" s="751"/>
      <c r="D756" s="751"/>
      <c r="E756" s="751"/>
      <c r="F756" s="751"/>
      <c r="G756" s="751"/>
      <c r="H756" s="751"/>
      <c r="I756" s="752"/>
      <c r="J756" s="752"/>
      <c r="K756" s="752" t="s">
        <v>20</v>
      </c>
      <c r="L756" s="753" t="s">
        <v>20</v>
      </c>
      <c r="M756" s="752"/>
      <c r="N756" s="752"/>
      <c r="O756" s="752"/>
      <c r="P756" s="752"/>
      <c r="Q756" s="752"/>
      <c r="R756" s="752"/>
      <c r="S756" s="752"/>
      <c r="T756" s="752"/>
      <c r="U756" s="752"/>
      <c r="V756" s="752"/>
      <c r="W756" s="752"/>
      <c r="X756" s="752"/>
      <c r="Y756" s="752"/>
      <c r="Z756" s="752" t="s">
        <v>20</v>
      </c>
      <c r="AA756" s="752"/>
      <c r="AB756" s="752"/>
      <c r="AC756" s="754"/>
      <c r="AD756" s="752"/>
      <c r="AE756" s="752"/>
      <c r="AF756" s="752"/>
      <c r="AG756" s="752"/>
      <c r="AH756" s="752"/>
      <c r="AI756" s="752"/>
      <c r="AJ756" s="752"/>
      <c r="AK756" s="752"/>
      <c r="AL756" s="752"/>
      <c r="AM756" s="752"/>
      <c r="AN756" s="752"/>
      <c r="AO756" s="623"/>
      <c r="AP756" s="632" t="str">
        <f t="shared" si="2346"/>
        <v/>
      </c>
      <c r="AQ756" s="633" t="str">
        <f>IF(AC756=$V$3,IF(VLOOKUP(C756,[1]List1!$A:$E,5,FALSE)=0,1,VLOOKUP(C756,[1]List1!$A:$E,5,FALSE)),"")</f>
        <v/>
      </c>
      <c r="AR756" s="625" t="str">
        <f t="shared" si="2347"/>
        <v/>
      </c>
      <c r="AS756" s="634" t="str">
        <f t="shared" si="2348"/>
        <v/>
      </c>
      <c r="AT756" s="625" t="str">
        <f t="shared" si="2349"/>
        <v/>
      </c>
      <c r="AU756" s="638" t="e">
        <f t="shared" si="2350"/>
        <v>#N/A</v>
      </c>
      <c r="AV756" s="625" t="e">
        <f t="shared" si="2351"/>
        <v>#N/A</v>
      </c>
      <c r="AX756" s="625">
        <f>IF(AND('General price list'!$J756="F4",'General price list'!$AB756+0&gt;0),1,0)</f>
        <v>0</v>
      </c>
      <c r="AY756" s="625">
        <f t="shared" si="2352"/>
        <v>0</v>
      </c>
      <c r="AZ756" s="625">
        <f t="shared" si="2353"/>
        <v>0</v>
      </c>
    </row>
    <row r="757" spans="1:52" ht="15" customHeight="1">
      <c r="A757" s="751" t="str">
        <f>Kat.!C757</f>
        <v xml:space="preserve">           Baterie + fontána 40 ran, 20 + 25 + 30 mm moždíř – 1.3G</v>
      </c>
      <c r="B757" s="751"/>
      <c r="C757" s="751"/>
      <c r="D757" s="751"/>
      <c r="E757" s="751"/>
      <c r="F757" s="751"/>
      <c r="G757" s="751"/>
      <c r="H757" s="751"/>
      <c r="I757" s="752"/>
      <c r="J757" s="752"/>
      <c r="K757" s="752" t="s">
        <v>20</v>
      </c>
      <c r="L757" s="753" t="s">
        <v>20</v>
      </c>
      <c r="M757" s="752"/>
      <c r="N757" s="752"/>
      <c r="O757" s="752"/>
      <c r="P757" s="752"/>
      <c r="Q757" s="752"/>
      <c r="R757" s="752"/>
      <c r="S757" s="752"/>
      <c r="T757" s="752"/>
      <c r="U757" s="752"/>
      <c r="V757" s="752"/>
      <c r="W757" s="752"/>
      <c r="X757" s="752"/>
      <c r="Y757" s="752"/>
      <c r="Z757" s="752" t="s">
        <v>20</v>
      </c>
      <c r="AA757" s="752"/>
      <c r="AB757" s="752"/>
      <c r="AC757" s="754"/>
      <c r="AD757" s="752"/>
      <c r="AE757" s="752"/>
      <c r="AF757" s="752"/>
      <c r="AG757" s="752"/>
      <c r="AH757" s="752"/>
      <c r="AI757" s="752"/>
      <c r="AJ757" s="752"/>
      <c r="AK757" s="752"/>
      <c r="AL757" s="752"/>
      <c r="AM757" s="752"/>
      <c r="AN757" s="752"/>
      <c r="AO757" s="623"/>
      <c r="AP757" s="632" t="str">
        <f t="shared" si="2346"/>
        <v/>
      </c>
      <c r="AQ757" s="633" t="str">
        <f>IF(AC757=$V$3,IF(VLOOKUP(C757,[1]List1!$A:$E,5,FALSE)=0,1,VLOOKUP(C757,[1]List1!$A:$E,5,FALSE)),"")</f>
        <v/>
      </c>
      <c r="AR757" s="625" t="str">
        <f t="shared" si="2347"/>
        <v/>
      </c>
      <c r="AS757" s="634" t="str">
        <f t="shared" si="2348"/>
        <v/>
      </c>
      <c r="AT757" s="625" t="str">
        <f t="shared" si="2349"/>
        <v/>
      </c>
      <c r="AU757" s="638" t="e">
        <f t="shared" si="2350"/>
        <v>#N/A</v>
      </c>
      <c r="AV757" s="625" t="e">
        <f t="shared" si="2351"/>
        <v>#N/A</v>
      </c>
      <c r="AX757" s="625">
        <f>IF(AND('General price list'!$J757="F4",'General price list'!$AB757+0&gt;0),1,0)</f>
        <v>0</v>
      </c>
      <c r="AY757" s="625">
        <f t="shared" si="2352"/>
        <v>0</v>
      </c>
      <c r="AZ757" s="625">
        <f t="shared" si="2353"/>
        <v>0</v>
      </c>
    </row>
    <row r="758" spans="1:52" ht="15.75" customHeight="1">
      <c r="A758" s="639" t="str">
        <f>Kat.!C758</f>
        <v/>
      </c>
      <c r="B758" s="640">
        <f>IF(AND('General price list'!$J758="F4",$AI$1=FALSE),0,IF(AC758="SKLADEM",1,IF(AC758=$V$3,1,0)))</f>
        <v>1</v>
      </c>
      <c r="C758" s="641" t="s">
        <v>1453</v>
      </c>
      <c r="D758" s="642" t="s">
        <v>1454</v>
      </c>
      <c r="E758" s="643" t="s">
        <v>12678</v>
      </c>
      <c r="F758" s="773">
        <f>IFERROR(VLOOKUP(C758,[2]List1!$A:$D,3,FALSE),"NEUVEDENO!")</f>
        <v>655</v>
      </c>
      <c r="G758" s="770">
        <f t="shared" ref="G758" si="2410">IF($W$17=$AF$8,ROUND((F758)/$F$17,2),(F758)*$B$19)</f>
        <v>655</v>
      </c>
      <c r="H758" s="767">
        <f t="shared" ref="H758" si="2411">IF($W$17=$AF$8,G758*$B$19,G758/$F$17)</f>
        <v>27.823442205825508</v>
      </c>
      <c r="I758" s="644">
        <f>IFERROR(VLOOKUP(C758,[2]List1!$A:$D,4,FALSE),"NEUVEDENO!")</f>
        <v>8</v>
      </c>
      <c r="J758" s="733" t="s">
        <v>113</v>
      </c>
      <c r="K758" s="645" t="s">
        <v>20</v>
      </c>
      <c r="L758" s="645" t="s">
        <v>20</v>
      </c>
      <c r="M758" s="645" t="s">
        <v>114</v>
      </c>
      <c r="N758" s="645">
        <f>IFERROR(VLOOKUP(C758,[3]List1!$A:$D,4,FALSE),"N/A!")</f>
        <v>6.4712999999999993E-2</v>
      </c>
      <c r="O758" s="645">
        <f>IFERROR(VLOOKUP(C758,[3]List1!$A:$D,3,FALSE),"N/A!")</f>
        <v>6864</v>
      </c>
      <c r="P758" s="645">
        <f>IFERROR(VLOOKUP(C758,[3]List1!$A:$D,2,FALSE),"N/A!")</f>
        <v>24900</v>
      </c>
      <c r="Q758" s="645" t="s">
        <v>11244</v>
      </c>
      <c r="R758" s="645" t="s">
        <v>20</v>
      </c>
      <c r="S758" s="645" t="str">
        <f>IF($W$17=$AF$1,"červená fólie",IFERROR(VLOOKUP("červená fólie",Jazyky_ceník!$A:$Q,MATCH($W$17,Jazyky_ceník!$A$1:$Q$1,0),FALSE),"!!!"))</f>
        <v>červená fólie</v>
      </c>
      <c r="T758" s="645">
        <v>80</v>
      </c>
      <c r="U758" s="645" t="s">
        <v>10749</v>
      </c>
      <c r="V758" s="645" t="s">
        <v>10750</v>
      </c>
      <c r="W758" s="645" t="str">
        <f>IFERROR(IF(AND($AB758&gt;=0.1*$AA758,MOD($AB758,$AA758)&gt;=($AA758-(0.1*$AA758))),IF($W$17=$AF$1,"Zvažte možnost doobjednání ještě "&amp;Tabulka1[[#This Row],[VKPAL]]-MOD(AB758,AA758)&amp;" VK do plné palety.",VLOOKUP("Zvažte možnost doobjednání ještě ",Jazyky_ceník!A:Q,MATCH($W$17,Jazyky_ceník!$A$1:$Q$1,0),FALSE)&amp;Tabulka1[[#This Row],[VKPAL]]-MOD(AB758,AA758)&amp;VLOOKUP(" VK do plné palety.",Jazyky_ceník!A:Q,MATCH($W$17,Jazyky_ceník!$A$1:$Q$1,0),FALSE)),IFERROR(IF(AND(NOT(MOD($AB758,$AA758)=0),$AB758&gt;=0.9*$AA758,MOD($AB758,$AA758)&lt;=0.1*$AA758),IF($W$17=$AF$1,"Zvažte možnost optimalizace objednaného množství podle počtu VK na paletě ==&gt;",VLOOKUP("Zvažte možnost optimalizace objednaného množství podle počtu VK na paletě ==&gt;",Jazyky_ceník!A:Q,MATCH($W$17,Jazyky_ceník!$A$1:$Q$1,0),FALSE)),VLOOKUP('General price list'!$C758,Popisy!A:M,MATCH($W$17,Popisy!$A$7:$M$7,0),FALSE)),"---------------")),IFERROR(VLOOKUP('General price list'!$C758,Popisy!A:M,MATCH($W$17,Popisy!$A$7:$M$7,0),FALSE),"---------------"))</f>
        <v>stříbrná práskající fontána+8 různobarevných efektů</v>
      </c>
      <c r="X758" s="645" t="str">
        <f t="shared" ref="X758" si="2412">IF(AB758&lt;0.0001,"",AB758)</f>
        <v/>
      </c>
      <c r="Y758" s="645" t="str">
        <f t="shared" ref="Y758" si="2413">IF($AL$3=2,IF(OR(AB758&lt;&gt;"",AB758&lt;&gt;0),AU758,""),IF(C758="","",IF(AB758&lt;0.0001,"",IF(B758=0,"",IF(AQ758&lt;AB758,"",AB758)))))</f>
        <v/>
      </c>
      <c r="Z758" s="645" t="str">
        <f>HYPERLINK("https://www.klasekpyrotechnics.cz/c40fmh")</f>
        <v>https://www.klasekpyrotechnics.cz/c40fmh</v>
      </c>
      <c r="AA758" s="645">
        <f>IFERROR(IF(VLOOKUP(C758,[4]List1!$A:$D,4,FALSE)=0,"",VLOOKUP(C758,[4]List1!$A:$D,4,FALSE)),"")</f>
        <v>16</v>
      </c>
      <c r="AB758" s="646"/>
      <c r="AC758" s="647" t="str">
        <f>IFERROR(IF(VLOOKUP(C758,[1]List1!$A:$D,2,FALSE)="VYPRODÁNO",$V$9,IF(VLOOKUP(C758,[1]List1!$A:$D,2,FALSE)="DOCHÁZÍ",$V$3,VLOOKUP(C758,[1]List1!$A:$D,2,FALSE))),"OFFLINE!")</f>
        <v>SKLADEM</v>
      </c>
      <c r="AD758" s="647" t="str">
        <f ca="1">IF(AP758="NE",$V$10,IF(AC758=$V$3,IF(AQ758&lt;1,$V$8,$V$2&amp;" "&amp;AQ758&amp;" "&amp;$V$1),IF(AC758="SKLADEM",$V$6,IFERROR(IF(OR(AC758-TODAY()&gt;45,VLOOKUP(C758,[1]List1!$A:$E,4,FALSE)=0),AC758,DAY(AC758)&amp;"."&amp;MONTH(AC758)&amp;"."&amp;YEAR(AC758)&amp;" "&amp;$V$4&amp;VLOOKUP(C758,[1]List1!$A:$E,4,FALSE)&amp;" "&amp;$V$1),AC758))))</f>
        <v>SKLADEM</v>
      </c>
      <c r="AE758" s="645" t="str">
        <f t="shared" ref="AE758" ca="1" si="2414">IFERROR(IF(AV758&lt;&gt;"",AV758,AD758),AD758)</f>
        <v>SKLADEM</v>
      </c>
      <c r="AF758" s="648">
        <f t="shared" ref="AF758" si="2415">IFERROR(IF(AB758=Y758,G758*I758*Y758,0),0)</f>
        <v>0</v>
      </c>
      <c r="AG758" s="649">
        <f t="shared" ref="AG758" si="2416">IF($W$17=$AF$8,AH758*1.23,AF758*1.21)</f>
        <v>0</v>
      </c>
      <c r="AH758" s="650">
        <f t="shared" ref="AH758" si="2417">IFERROR(IF(Y758=AB758,H758*I758*Y758,0),0)</f>
        <v>0</v>
      </c>
      <c r="AI758" s="645">
        <f t="shared" ref="AI758" si="2418">IFERROR(IF(Y758=AB758,(P758*Y758)/1000,1),0)</f>
        <v>0</v>
      </c>
      <c r="AJ758" s="645">
        <f t="shared" ref="AJ758" si="2419">IFERROR(IF(Y758=AB758,N758*Y758,0.1),0)</f>
        <v>0</v>
      </c>
      <c r="AK758" s="645" t="str">
        <f t="shared" ref="AK758" si="2420">IFERROR(IF(Y758=AB758,IF(M758="1.1G",(O758/1000)*Y758,""),""),0)</f>
        <v/>
      </c>
      <c r="AL758" s="645">
        <f t="shared" ref="AL758" si="2421">IFERROR(IF(Y758=AB758,IF(M758="1.3G",(O758/1000)*AB758,""),""),0)</f>
        <v>0</v>
      </c>
      <c r="AM758" s="645" t="str">
        <f t="shared" ref="AM758" si="2422">IFERROR(IF(Y758=AB758,IF(M758="1.4G",(O758/1000)*AB758,""),""),0)</f>
        <v/>
      </c>
      <c r="AN758" s="651">
        <f t="shared" ref="AN758" si="2423">SUM(AK758:AM758)</f>
        <v>0</v>
      </c>
      <c r="AO758" s="623"/>
      <c r="AP758" s="625" t="str">
        <f t="shared" si="2346"/>
        <v/>
      </c>
      <c r="AQ758" s="625" t="str">
        <f>IF(AC758=$V$3,IF(VLOOKUP(C758,[1]List1!$A:$E,5,FALSE)=0,1,VLOOKUP(C758,[1]List1!$A:$E,5,FALSE)),"")</f>
        <v/>
      </c>
      <c r="AR758" s="629" t="str">
        <f t="shared" si="2347"/>
        <v/>
      </c>
      <c r="AS758" s="630" t="str">
        <f t="shared" si="2348"/>
        <v/>
      </c>
      <c r="AT758" s="625" t="str">
        <f t="shared" si="2349"/>
        <v/>
      </c>
      <c r="AU758" s="625" t="e">
        <f t="shared" si="2350"/>
        <v>#N/A</v>
      </c>
      <c r="AV758" s="625" t="e">
        <f t="shared" si="2351"/>
        <v>#N/A</v>
      </c>
      <c r="AW758" s="631"/>
      <c r="AX758" s="631">
        <f>IF(AND('General price list'!$J758="F4",'General price list'!$AB758+0&gt;0),1,0)</f>
        <v>0</v>
      </c>
      <c r="AY758" s="631">
        <f t="shared" si="2352"/>
        <v>1</v>
      </c>
      <c r="AZ758" s="631">
        <f t="shared" si="2353"/>
        <v>0</v>
      </c>
    </row>
    <row r="759" spans="1:52" ht="15" customHeight="1">
      <c r="A759" s="751" t="str">
        <f>Kat.!C759</f>
        <v xml:space="preserve">           Baterie 100 ran, 20 + 25 + 30 mm rovný + šikmý + S moždíř – 1.3G</v>
      </c>
      <c r="B759" s="751"/>
      <c r="C759" s="751"/>
      <c r="D759" s="751"/>
      <c r="E759" s="751"/>
      <c r="F759" s="751"/>
      <c r="G759" s="751"/>
      <c r="H759" s="751"/>
      <c r="I759" s="752"/>
      <c r="J759" s="752"/>
      <c r="K759" s="752" t="s">
        <v>20</v>
      </c>
      <c r="L759" s="753" t="s">
        <v>20</v>
      </c>
      <c r="M759" s="752"/>
      <c r="N759" s="752"/>
      <c r="O759" s="752"/>
      <c r="P759" s="752"/>
      <c r="Q759" s="752"/>
      <c r="R759" s="752"/>
      <c r="S759" s="752"/>
      <c r="T759" s="752"/>
      <c r="U759" s="752"/>
      <c r="V759" s="752"/>
      <c r="W759" s="752"/>
      <c r="X759" s="752"/>
      <c r="Y759" s="752"/>
      <c r="Z759" s="752" t="s">
        <v>20</v>
      </c>
      <c r="AA759" s="752"/>
      <c r="AB759" s="752"/>
      <c r="AC759" s="754"/>
      <c r="AD759" s="752"/>
      <c r="AE759" s="752"/>
      <c r="AF759" s="752"/>
      <c r="AG759" s="752"/>
      <c r="AH759" s="752"/>
      <c r="AI759" s="752"/>
      <c r="AJ759" s="752"/>
      <c r="AK759" s="752"/>
      <c r="AL759" s="752"/>
      <c r="AM759" s="752"/>
      <c r="AN759" s="752"/>
      <c r="AO759" s="623"/>
      <c r="AP759" s="632" t="str">
        <f t="shared" ref="AP759:AP764" si="2424">IF($AL$3=1,IF(Y759=AB759,"","NE"),IF(AR759=$V$10,"NE",""))</f>
        <v/>
      </c>
      <c r="AQ759" s="633" t="str">
        <f>IF(AC759=$V$3,IF(VLOOKUP(C759,[1]List1!$A:$E,5,FALSE)=0,1,VLOOKUP(C759,[1]List1!$A:$E,5,FALSE)),"")</f>
        <v/>
      </c>
      <c r="AR759" s="625" t="str">
        <f t="shared" ref="AR759:AR764" si="2425">IF($AL$3=1,"",IF(OR(AB759&lt;&gt;"",AB759&lt;&gt;0),IF(OR(AC759=$V$6,AC759=$V$3,AC759=$V$9),$V$10,""),""))</f>
        <v/>
      </c>
      <c r="AS759" s="634" t="str">
        <f t="shared" ref="AS759:AS764" si="2426">IF(AT759&lt;&gt;"","X","")</f>
        <v/>
      </c>
      <c r="AT759" s="625" t="str">
        <f t="shared" ref="AT759:AT764" si="2427">IF(AND($AL$3=2,AR759="",AB759&lt;&gt;""),AD759,"")</f>
        <v/>
      </c>
      <c r="AU759" s="638" t="e">
        <f t="shared" ref="AU759:AU764" si="2428">IF(AT759=$AS$21,AB759,"")</f>
        <v>#N/A</v>
      </c>
      <c r="AV759" s="625" t="e">
        <f t="shared" ref="AV759:AV764" si="2429">IF(OR(AB759="",AND(AT759&lt;&gt;"",AU759&lt;&gt;"")),"",$V$10)</f>
        <v>#N/A</v>
      </c>
      <c r="AX759" s="625">
        <f>IF(AND('General price list'!$J759="F4",'General price list'!$AB759+0&gt;0),1,0)</f>
        <v>0</v>
      </c>
      <c r="AY759" s="625">
        <f t="shared" ref="AY759:AY764" si="2430">IFERROR(FIND(VLOOKUP($AC$7,$AD$1:$AE$12,2,FALSE),Q759,1),0)</f>
        <v>0</v>
      </c>
      <c r="AZ759" s="625">
        <f t="shared" ref="AZ759:AZ764" si="2431">IFERROR(FIND(VLOOKUP($AC$7,$AD$1:$AE$12,2,FALSE),R759,1),0)</f>
        <v>0</v>
      </c>
    </row>
    <row r="760" spans="1:52" ht="15" customHeight="1">
      <c r="A760" s="639" t="str">
        <f>Kat.!C760</f>
        <v/>
      </c>
      <c r="B760" s="640">
        <f>IF(AND('General price list'!$J760="F4",$AI$1=FALSE),0,IF(AC760="SKLADEM",1,IF(AC760=$V$3,1,0)))</f>
        <v>1</v>
      </c>
      <c r="C760" s="641" t="s">
        <v>2323</v>
      </c>
      <c r="D760" s="642" t="s">
        <v>12427</v>
      </c>
      <c r="E760" s="643" t="s">
        <v>12747</v>
      </c>
      <c r="F760" s="771">
        <f>IFERROR(VLOOKUP(C760,[2]List1!$A:$D,3,FALSE),"NEUVEDENO!")</f>
        <v>1799</v>
      </c>
      <c r="G760" s="768">
        <f t="shared" ref="G760:G761" si="2432">IF($W$17=$AF$8,ROUND((F760)/$F$17,2),(F760)*$B$19)</f>
        <v>1799</v>
      </c>
      <c r="H760" s="765">
        <f t="shared" ref="H760:H761" si="2433">IF($W$17=$AF$8,G760*$B$19,G760/$F$17)</f>
        <v>76.418889356152803</v>
      </c>
      <c r="I760" s="644">
        <f>IFERROR(VLOOKUP(C760,[2]List1!$A:$D,4,FALSE),"NEUVEDENO!")</f>
        <v>2</v>
      </c>
      <c r="J760" s="733" t="s">
        <v>113</v>
      </c>
      <c r="K760" s="645" t="s">
        <v>20</v>
      </c>
      <c r="L760" s="645" t="s">
        <v>20</v>
      </c>
      <c r="M760" s="645" t="s">
        <v>114</v>
      </c>
      <c r="N760" s="645">
        <f>IFERROR(VLOOKUP(C760,[3]List1!$A:$D,4,FALSE),"N/A!")</f>
        <v>5.6249999999999994E-2</v>
      </c>
      <c r="O760" s="645">
        <f>IFERROR(VLOOKUP(C760,[3]List1!$A:$D,3,FALSE),"N/A!")</f>
        <v>1996</v>
      </c>
      <c r="P760" s="645">
        <f>IFERROR(VLOOKUP(C760,[3]List1!$A:$D,2,FALSE),"N/A!")</f>
        <v>15900</v>
      </c>
      <c r="Q760" s="645" t="s">
        <v>12783</v>
      </c>
      <c r="R760" s="645" t="s">
        <v>20</v>
      </c>
      <c r="S760" s="645" t="str">
        <f>IF($W$17=$AF$1,"design",IFERROR(VLOOKUP("design",Jazyky_ceník!$A:$Q,MATCH($W$17,Jazyky_ceník!$A$1:$Q$1,0),FALSE),"!!!"))</f>
        <v>design</v>
      </c>
      <c r="T760" s="645">
        <v>70</v>
      </c>
      <c r="U760" s="645" t="s">
        <v>10746</v>
      </c>
      <c r="V760" s="645" t="s">
        <v>10754</v>
      </c>
      <c r="W760" s="645" t="str">
        <f>IFERROR(IF(AND($AB760&gt;=0.1*$AA760,MOD($AB760,$AA760)&gt;=($AA760-(0.1*$AA760))),IF($W$17=$AF$1,"Zvažte možnost doobjednání ještě "&amp;Tabulka1[[#This Row],[VKPAL]]-MOD(AB760,AA760)&amp;" VK do plné palety.",VLOOKUP("Zvažte možnost doobjednání ještě ",Jazyky_ceník!A:Q,MATCH($W$17,Jazyky_ceník!$A$1:$Q$1,0),FALSE)&amp;Tabulka1[[#This Row],[VKPAL]]-MOD(AB760,AA760)&amp;VLOOKUP(" VK do plné palety.",Jazyky_ceník!A:Q,MATCH($W$17,Jazyky_ceník!$A$1:$Q$1,0),FALSE)),IFERROR(IF(AND(NOT(MOD($AB760,$AA760)=0),$AB760&gt;=0.9*$AA760,MOD($AB760,$AA760)&lt;=0.1*$AA760),IF($W$17=$AF$1,"Zvažte možnost optimalizace objednaného množství podle počtu VK na paletě ==&gt;",VLOOKUP("Zvažte možnost optimalizace objednaného množství podle počtu VK na paletě ==&gt;",Jazyky_ceník!A:Q,MATCH($W$17,Jazyky_ceník!$A$1:$Q$1,0),FALSE)),VLOOKUP('General price list'!$C760,Popisy!A:M,MATCH($W$17,Popisy!$A$7:$M$7,0),FALSE)),"---------------")),IFERROR(VLOOKUP('General price list'!$C760,Popisy!A:M,MATCH($W$17,Popisy!$A$7:$M$7,0),FALSE),"---------------"))</f>
        <v>14 různobarevných efektů</v>
      </c>
      <c r="X760" s="645" t="str">
        <f t="shared" ref="X760:X761" si="2434">IF(AB760&lt;0.0001,"",AB760)</f>
        <v/>
      </c>
      <c r="Y760" s="645" t="str">
        <f t="shared" ref="Y760:Y761" si="2435">IF($AL$3=2,IF(OR(AB760&lt;&gt;"",AB760&lt;&gt;0),AU760,""),IF(C760="","",IF(AB760&lt;0.0001,"",IF(B760=0,"",IF(AQ760&lt;AB760,"",AB760)))))</f>
        <v/>
      </c>
      <c r="Z760" s="645" t="str">
        <f>HYPERLINK("https://www.klasekpyrotechnics.cz/c100mpt")</f>
        <v>https://www.klasekpyrotechnics.cz/c100mpt</v>
      </c>
      <c r="AA760" s="645">
        <f>IFERROR(IF(VLOOKUP(C760,[4]List1!$A:$D,4,FALSE)=0,"",VLOOKUP(C760,[4]List1!$A:$D,4,FALSE)),"")</f>
        <v>16</v>
      </c>
      <c r="AB760" s="646"/>
      <c r="AC760" s="647" t="str">
        <f>IFERROR(IF(VLOOKUP(C760,[1]List1!$A:$D,2,FALSE)="VYPRODÁNO",$V$9,IF(VLOOKUP(C760,[1]List1!$A:$D,2,FALSE)="DOCHÁZÍ",$V$3,VLOOKUP(C760,[1]List1!$A:$D,2,FALSE))),"OFFLINE!")</f>
        <v>SKLADEM</v>
      </c>
      <c r="AD760" s="647" t="str">
        <f ca="1">IF(AP760="NE",$V$10,IF(AC760=$V$3,IF(AQ760&lt;1,$V$8,$V$2&amp;" "&amp;AQ760&amp;" "&amp;$V$1),IF(AC760="SKLADEM",$V$6,IFERROR(IF(OR(AC760-TODAY()&gt;45,VLOOKUP(C760,[1]List1!$A:$E,4,FALSE)=0),AC760,DAY(AC760)&amp;"."&amp;MONTH(AC760)&amp;"."&amp;YEAR(AC760)&amp;" "&amp;$V$4&amp;VLOOKUP(C760,[1]List1!$A:$E,4,FALSE)&amp;" "&amp;$V$1),AC760))))</f>
        <v>SKLADEM</v>
      </c>
      <c r="AE760" s="645" t="str">
        <f t="shared" ref="AE760:AE761" ca="1" si="2436">IFERROR(IF(AV760&lt;&gt;"",AV760,AD760),AD760)</f>
        <v>SKLADEM</v>
      </c>
      <c r="AF760" s="648">
        <f t="shared" ref="AF760:AF761" si="2437">IFERROR(IF(AB760=Y760,G760*I760*Y760,0),0)</f>
        <v>0</v>
      </c>
      <c r="AG760" s="649">
        <f t="shared" ref="AG760:AG761" si="2438">IF($W$17=$AF$8,AH760*1.23,AF760*1.21)</f>
        <v>0</v>
      </c>
      <c r="AH760" s="650">
        <f t="shared" ref="AH760:AH761" si="2439">IFERROR(IF(Y760=AB760,H760*I760*Y760,0),0)</f>
        <v>0</v>
      </c>
      <c r="AI760" s="645">
        <f t="shared" ref="AI760:AI761" si="2440">IFERROR(IF(Y760=AB760,(P760*Y760)/1000,1),0)</f>
        <v>0</v>
      </c>
      <c r="AJ760" s="645">
        <f t="shared" ref="AJ760:AJ761" si="2441">IFERROR(IF(Y760=AB760,N760*Y760,0.1),0)</f>
        <v>0</v>
      </c>
      <c r="AK760" s="645" t="str">
        <f t="shared" ref="AK760:AK761" si="2442">IFERROR(IF(Y760=AB760,IF(M760="1.1G",(O760/1000)*Y760,""),""),0)</f>
        <v/>
      </c>
      <c r="AL760" s="645">
        <f t="shared" ref="AL760:AL761" si="2443">IFERROR(IF(Y760=AB760,IF(M760="1.3G",(O760/1000)*AB760,""),""),0)</f>
        <v>0</v>
      </c>
      <c r="AM760" s="645" t="str">
        <f t="shared" ref="AM760:AM761" si="2444">IFERROR(IF(Y760=AB760,IF(M760="1.4G",(O760/1000)*AB760,""),""),0)</f>
        <v/>
      </c>
      <c r="AN760" s="651">
        <f t="shared" ref="AN760:AN761" si="2445">SUM(AK760:AM760)</f>
        <v>0</v>
      </c>
      <c r="AO760" s="623"/>
      <c r="AP760" s="632" t="str">
        <f t="shared" si="2424"/>
        <v/>
      </c>
      <c r="AQ760" s="633" t="str">
        <f>IF(AC760=$V$3,IF(VLOOKUP(C760,[1]List1!$A:$E,5,FALSE)=0,1,VLOOKUP(C760,[1]List1!$A:$E,5,FALSE)),"")</f>
        <v/>
      </c>
      <c r="AR760" s="625" t="str">
        <f t="shared" si="2425"/>
        <v/>
      </c>
      <c r="AS760" s="634" t="str">
        <f t="shared" si="2426"/>
        <v/>
      </c>
      <c r="AT760" s="625" t="str">
        <f t="shared" si="2427"/>
        <v/>
      </c>
      <c r="AU760" s="638" t="e">
        <f t="shared" si="2428"/>
        <v>#N/A</v>
      </c>
      <c r="AV760" s="625" t="e">
        <f t="shared" si="2429"/>
        <v>#N/A</v>
      </c>
      <c r="AX760" s="625">
        <f>IF(AND('General price list'!$J760="F4",'General price list'!$AB760+0&gt;0),1,0)</f>
        <v>0</v>
      </c>
      <c r="AY760" s="625">
        <f t="shared" si="2430"/>
        <v>1</v>
      </c>
      <c r="AZ760" s="625">
        <f t="shared" si="2431"/>
        <v>0</v>
      </c>
    </row>
    <row r="761" spans="1:52" ht="15" customHeight="1">
      <c r="A761" s="621" t="str">
        <f>Kat.!C761</f>
        <v/>
      </c>
      <c r="B761" s="566">
        <f>IF(AND('General price list'!$J761="F4",$AI$1=FALSE),0,IF(AC761="SKLADEM",1,IF(AC761=$V$3,1,0)))</f>
        <v>1</v>
      </c>
      <c r="C761" s="567" t="s">
        <v>1489</v>
      </c>
      <c r="D761" s="568" t="s">
        <v>1490</v>
      </c>
      <c r="E761" s="763" t="s">
        <v>12747</v>
      </c>
      <c r="F761" s="772">
        <f>IFERROR(VLOOKUP(C761,[2]List1!$A:$D,3,FALSE),"NEUVEDENO!")</f>
        <v>1799</v>
      </c>
      <c r="G761" s="769">
        <f t="shared" si="2432"/>
        <v>1799</v>
      </c>
      <c r="H761" s="766">
        <f t="shared" si="2433"/>
        <v>76.418889356152803</v>
      </c>
      <c r="I761" s="764">
        <f>IFERROR(VLOOKUP(C761,[2]List1!$A:$D,4,FALSE),"NEUVEDENO!")</f>
        <v>2</v>
      </c>
      <c r="J761" s="732" t="s">
        <v>113</v>
      </c>
      <c r="K761" s="569" t="s">
        <v>20</v>
      </c>
      <c r="L761" s="569" t="s">
        <v>20</v>
      </c>
      <c r="M761" s="569" t="s">
        <v>114</v>
      </c>
      <c r="N761" s="569">
        <f>IFERROR(VLOOKUP(C761,[3]List1!$A:$D,4,FALSE),"N/A!")</f>
        <v>5.6249999999999994E-2</v>
      </c>
      <c r="O761" s="569">
        <f>IFERROR(VLOOKUP(C761,[3]List1!$A:$D,3,FALSE),"N/A!")</f>
        <v>1976</v>
      </c>
      <c r="P761" s="569">
        <f>IFERROR(VLOOKUP(C761,[3]List1!$A:$D,2,FALSE),"N/A!")</f>
        <v>15900</v>
      </c>
      <c r="Q761" s="569" t="s">
        <v>11788</v>
      </c>
      <c r="R761" s="569"/>
      <c r="S761" s="569" t="str">
        <f>IF($W$17=$AF$1,"design",IFERROR(VLOOKUP("design",Jazyky_ceník!$A:$Q,MATCH($W$17,Jazyky_ceník!$A$1:$Q$1,0),FALSE),"!!!"))</f>
        <v>design</v>
      </c>
      <c r="T761" s="569">
        <v>80</v>
      </c>
      <c r="U761" s="569" t="s">
        <v>10746</v>
      </c>
      <c r="V761" s="569" t="s">
        <v>10747</v>
      </c>
      <c r="W761" s="569" t="str">
        <f>IFERROR(IF(AND($AB761&gt;=0.1*$AA761,MOD($AB761,$AA761)&gt;=($AA761-(0.1*$AA761))),IF($W$17=$AF$1,"Zvažte možnost doobjednání ještě "&amp;Tabulka1[[#This Row],[VKPAL]]-MOD(AB761,AA761)&amp;" VK do plné palety.",VLOOKUP("Zvažte možnost doobjednání ještě ",Jazyky_ceník!A:Q,MATCH($W$17,Jazyky_ceník!$A$1:$Q$1,0),FALSE)&amp;Tabulka1[[#This Row],[VKPAL]]-MOD(AB761,AA761)&amp;VLOOKUP(" VK do plné palety.",Jazyky_ceník!A:Q,MATCH($W$17,Jazyky_ceník!$A$1:$Q$1,0),FALSE)),IFERROR(IF(AND(NOT(MOD($AB761,$AA761)=0),$AB761&gt;=0.9*$AA761,MOD($AB761,$AA761)&lt;=0.1*$AA761),IF($W$17=$AF$1,"Zvažte možnost optimalizace objednaného množství podle počtu VK na paletě ==&gt;",VLOOKUP("Zvažte možnost optimalizace objednaného množství podle počtu VK na paletě ==&gt;",Jazyky_ceník!A:Q,MATCH($W$17,Jazyky_ceník!$A$1:$Q$1,0),FALSE)),VLOOKUP('General price list'!$C761,Popisy!A:M,MATCH($W$17,Popisy!$A$7:$M$7,0),FALSE)),"---------------")),IFERROR(VLOOKUP('General price list'!$C761,Popisy!A:M,MATCH($W$17,Popisy!$A$7:$M$7,0),FALSE),"---------------"))</f>
        <v>14 různobarevných efektů</v>
      </c>
      <c r="X761" s="569" t="str">
        <f t="shared" si="2434"/>
        <v/>
      </c>
      <c r="Y761" s="569" t="str">
        <f t="shared" si="2435"/>
        <v/>
      </c>
      <c r="Z761" s="569" t="str">
        <f>HYPERLINK("https://www.klasekpyrotechnics.cz/c100mn")</f>
        <v>https://www.klasekpyrotechnics.cz/c100mn</v>
      </c>
      <c r="AA761" s="569">
        <f>IFERROR(IF(VLOOKUP(C761,[4]List1!$A:$D,4,FALSE)=0,"",VLOOKUP(C761,[4]List1!$A:$D,4,FALSE)),"")</f>
        <v>16</v>
      </c>
      <c r="AB761" s="565"/>
      <c r="AC761" s="570" t="str">
        <f>IFERROR(IF(VLOOKUP(C761,[1]List1!$A:$D,2,FALSE)="VYPRODÁNO",$V$9,IF(VLOOKUP(C761,[1]List1!$A:$D,2,FALSE)="DOCHÁZÍ",$V$3,VLOOKUP(C761,[1]List1!$A:$D,2,FALSE))),"OFFLINE!")</f>
        <v>SKLADEM</v>
      </c>
      <c r="AD761" s="570" t="str">
        <f ca="1">IF(AP761="NE",$V$10,IF(AC761=$V$3,IF(AQ761&lt;1,$V$8,$V$2&amp;" "&amp;AQ761&amp;" "&amp;$V$1),IF(AC761="SKLADEM",$V$6,IFERROR(IF(OR(AC761-TODAY()&gt;45,VLOOKUP(C761,[1]List1!$A:$E,4,FALSE)=0),AC761,DAY(AC761)&amp;"."&amp;MONTH(AC761)&amp;"."&amp;YEAR(AC761)&amp;" "&amp;$V$4&amp;VLOOKUP(C761,[1]List1!$A:$E,4,FALSE)&amp;" "&amp;$V$1),AC761))))</f>
        <v>SKLADEM</v>
      </c>
      <c r="AE761" s="581" t="str">
        <f t="shared" ca="1" si="2436"/>
        <v>SKLADEM</v>
      </c>
      <c r="AF761" s="584">
        <f t="shared" si="2437"/>
        <v>0</v>
      </c>
      <c r="AG761" s="585">
        <f t="shared" si="2438"/>
        <v>0</v>
      </c>
      <c r="AH761" s="583">
        <f t="shared" si="2439"/>
        <v>0</v>
      </c>
      <c r="AI761" s="582">
        <f t="shared" si="2440"/>
        <v>0</v>
      </c>
      <c r="AJ761" s="569">
        <f t="shared" si="2441"/>
        <v>0</v>
      </c>
      <c r="AK761" s="569" t="str">
        <f t="shared" si="2442"/>
        <v/>
      </c>
      <c r="AL761" s="569">
        <f t="shared" si="2443"/>
        <v>0</v>
      </c>
      <c r="AM761" s="569" t="str">
        <f t="shared" si="2444"/>
        <v/>
      </c>
      <c r="AN761" s="581">
        <f t="shared" si="2445"/>
        <v>0</v>
      </c>
      <c r="AO761" s="623"/>
      <c r="AP761" s="632" t="str">
        <f t="shared" si="2424"/>
        <v/>
      </c>
      <c r="AQ761" s="633" t="str">
        <f>IF(AC761=$V$3,IF(VLOOKUP(C761,[1]List1!$A:$E,5,FALSE)=0,1,VLOOKUP(C761,[1]List1!$A:$E,5,FALSE)),"")</f>
        <v/>
      </c>
      <c r="AR761" s="625" t="str">
        <f t="shared" si="2425"/>
        <v/>
      </c>
      <c r="AS761" s="634" t="str">
        <f t="shared" si="2426"/>
        <v/>
      </c>
      <c r="AT761" s="625" t="str">
        <f t="shared" si="2427"/>
        <v/>
      </c>
      <c r="AU761" s="638" t="e">
        <f t="shared" si="2428"/>
        <v>#N/A</v>
      </c>
      <c r="AV761" s="625" t="e">
        <f t="shared" si="2429"/>
        <v>#N/A</v>
      </c>
      <c r="AX761" s="625">
        <f>IF(AND('General price list'!$J761="F4",'General price list'!$AB761+0&gt;0),1,0)</f>
        <v>0</v>
      </c>
      <c r="AY761" s="625">
        <f t="shared" si="2430"/>
        <v>1</v>
      </c>
      <c r="AZ761" s="625">
        <f t="shared" si="2431"/>
        <v>0</v>
      </c>
    </row>
    <row r="762" spans="1:52" ht="15" customHeight="1">
      <c r="A762" s="751" t="str">
        <f>Kat.!C762</f>
        <v xml:space="preserve">           Baterie 106 ran, 20 + 25 + 30 mm rovný + šikmý + S moždíř – 1.3G</v>
      </c>
      <c r="B762" s="751"/>
      <c r="C762" s="751"/>
      <c r="D762" s="751"/>
      <c r="E762" s="751"/>
      <c r="F762" s="751"/>
      <c r="G762" s="751"/>
      <c r="H762" s="751"/>
      <c r="I762" s="752"/>
      <c r="J762" s="752"/>
      <c r="K762" s="752" t="s">
        <v>20</v>
      </c>
      <c r="L762" s="753" t="s">
        <v>20</v>
      </c>
      <c r="M762" s="752"/>
      <c r="N762" s="752"/>
      <c r="O762" s="752"/>
      <c r="P762" s="752"/>
      <c r="Q762" s="752"/>
      <c r="R762" s="752"/>
      <c r="S762" s="752"/>
      <c r="T762" s="752"/>
      <c r="U762" s="752"/>
      <c r="V762" s="752"/>
      <c r="W762" s="752"/>
      <c r="X762" s="752"/>
      <c r="Y762" s="752"/>
      <c r="Z762" s="752" t="s">
        <v>20</v>
      </c>
      <c r="AA762" s="752"/>
      <c r="AB762" s="752"/>
      <c r="AC762" s="754"/>
      <c r="AD762" s="752"/>
      <c r="AE762" s="752"/>
      <c r="AF762" s="752"/>
      <c r="AG762" s="752"/>
      <c r="AH762" s="752"/>
      <c r="AI762" s="752"/>
      <c r="AJ762" s="752"/>
      <c r="AK762" s="752"/>
      <c r="AL762" s="752"/>
      <c r="AM762" s="752"/>
      <c r="AN762" s="752"/>
      <c r="AO762" s="623"/>
      <c r="AP762" s="632" t="str">
        <f t="shared" si="2424"/>
        <v/>
      </c>
      <c r="AQ762" s="633" t="str">
        <f>IF(AC762=$V$3,IF(VLOOKUP(C762,[1]List1!$A:$E,5,FALSE)=0,1,VLOOKUP(C762,[1]List1!$A:$E,5,FALSE)),"")</f>
        <v/>
      </c>
      <c r="AR762" s="625" t="str">
        <f t="shared" si="2425"/>
        <v/>
      </c>
      <c r="AS762" s="634" t="str">
        <f t="shared" si="2426"/>
        <v/>
      </c>
      <c r="AT762" s="625" t="str">
        <f t="shared" si="2427"/>
        <v/>
      </c>
      <c r="AU762" s="638" t="e">
        <f t="shared" si="2428"/>
        <v>#N/A</v>
      </c>
      <c r="AV762" s="625" t="e">
        <f t="shared" si="2429"/>
        <v>#N/A</v>
      </c>
      <c r="AX762" s="625">
        <f>IF(AND('General price list'!$J762="F4",'General price list'!$AB762+0&gt;0),1,0)</f>
        <v>0</v>
      </c>
      <c r="AY762" s="625">
        <f t="shared" si="2430"/>
        <v>0</v>
      </c>
      <c r="AZ762" s="625">
        <f t="shared" si="2431"/>
        <v>0</v>
      </c>
    </row>
    <row r="763" spans="1:52" ht="15" customHeight="1">
      <c r="A763" s="639" t="str">
        <f>Kat.!C763</f>
        <v/>
      </c>
      <c r="B763" s="640">
        <f>IF(AND('General price list'!$J763="F4",$AI$1=FALSE),0,IF(AC763="SKLADEM",1,IF(AC763=$V$3,1,0)))</f>
        <v>1</v>
      </c>
      <c r="C763" s="641" t="s">
        <v>1491</v>
      </c>
      <c r="D763" s="642" t="s">
        <v>1492</v>
      </c>
      <c r="E763" s="643" t="s">
        <v>12747</v>
      </c>
      <c r="F763" s="771">
        <f>IFERROR(VLOOKUP(C763,[2]List1!$A:$D,3,FALSE),"NEUVEDENO!")</f>
        <v>1682</v>
      </c>
      <c r="G763" s="768">
        <f t="shared" ref="G763:G764" si="2446">IF($W$17=$AF$8,ROUND((F763)/$F$17,2),(F763)*$B$19)</f>
        <v>1682</v>
      </c>
      <c r="H763" s="765">
        <f t="shared" ref="H763:H764" si="2447">IF($W$17=$AF$8,G763*$B$19,G763/$F$17)</f>
        <v>71.448900443051144</v>
      </c>
      <c r="I763" s="644">
        <f>IFERROR(VLOOKUP(C763,[2]List1!$A:$D,4,FALSE),"NEUVEDENO!")</f>
        <v>2</v>
      </c>
      <c r="J763" s="733" t="s">
        <v>113</v>
      </c>
      <c r="K763" s="645" t="s">
        <v>20</v>
      </c>
      <c r="L763" s="645" t="s">
        <v>20</v>
      </c>
      <c r="M763" s="645" t="s">
        <v>114</v>
      </c>
      <c r="N763" s="645">
        <f>IFERROR(VLOOKUP(C763,[3]List1!$A:$D,4,FALSE),"N/A!")</f>
        <v>4.6068749999999999E-2</v>
      </c>
      <c r="O763" s="645">
        <f>IFERROR(VLOOKUP(C763,[3]List1!$A:$D,3,FALSE),"N/A!")</f>
        <v>1990</v>
      </c>
      <c r="P763" s="645">
        <f>IFERROR(VLOOKUP(C763,[3]List1!$A:$D,2,FALSE),"N/A!")</f>
        <v>16000</v>
      </c>
      <c r="Q763" s="645" t="s">
        <v>11794</v>
      </c>
      <c r="R763" s="645"/>
      <c r="S763" s="645" t="str">
        <f>IF($W$17=$AF$1,"design",IFERROR(VLOOKUP("design",Jazyky_ceník!$A:$Q,MATCH($W$17,Jazyky_ceník!$A$1:$Q$1,0),FALSE),"!!!"))</f>
        <v>design</v>
      </c>
      <c r="T763" s="645">
        <v>80</v>
      </c>
      <c r="U763" s="645" t="s">
        <v>10746</v>
      </c>
      <c r="V763" s="645" t="s">
        <v>10747</v>
      </c>
      <c r="W763" s="645" t="str">
        <f>IFERROR(IF(AND($AB763&gt;=0.1*$AA763,MOD($AB763,$AA763)&gt;=($AA763-(0.1*$AA763))),IF($W$17=$AF$1,"Zvažte možnost doobjednání ještě "&amp;Tabulka1[[#This Row],[VKPAL]]-MOD(AB763,AA763)&amp;" VK do plné palety.",VLOOKUP("Zvažte možnost doobjednání ještě ",Jazyky_ceník!A:Q,MATCH($W$17,Jazyky_ceník!$A$1:$Q$1,0),FALSE)&amp;Tabulka1[[#This Row],[VKPAL]]-MOD(AB763,AA763)&amp;VLOOKUP(" VK do plné palety.",Jazyky_ceník!A:Q,MATCH($W$17,Jazyky_ceník!$A$1:$Q$1,0),FALSE)),IFERROR(IF(AND(NOT(MOD($AB763,$AA763)=0),$AB763&gt;=0.9*$AA763,MOD($AB763,$AA763)&lt;=0.1*$AA763),IF($W$17=$AF$1,"Zvažte možnost optimalizace objednaného množství podle počtu VK na paletě ==&gt;",VLOOKUP("Zvažte možnost optimalizace objednaného množství podle počtu VK na paletě ==&gt;",Jazyky_ceník!A:Q,MATCH($W$17,Jazyky_ceník!$A$1:$Q$1,0),FALSE)),VLOOKUP('General price list'!$C763,Popisy!A:M,MATCH($W$17,Popisy!$A$7:$M$7,0),FALSE)),"---------------")),IFERROR(VLOOKUP('General price list'!$C763,Popisy!A:M,MATCH($W$17,Popisy!$A$7:$M$7,0),FALSE),"---------------"))</f>
        <v>13 různobarevných efektů</v>
      </c>
      <c r="X763" s="645" t="str">
        <f t="shared" ref="X763:X764" si="2448">IF(AB763&lt;0.0001,"",AB763)</f>
        <v/>
      </c>
      <c r="Y763" s="645" t="str">
        <f t="shared" ref="Y763:Y764" si="2449">IF($AL$3=2,IF(OR(AB763&lt;&gt;"",AB763&lt;&gt;0),AU763,""),IF(C763="","",IF(AB763&lt;0.0001,"",IF(B763=0,"",IF(AQ763&lt;AB763,"",AB763)))))</f>
        <v/>
      </c>
      <c r="Z763" s="645" t="str">
        <f>HYPERLINK("https://www.klasekpyrotechnics.cz/c106mh")</f>
        <v>https://www.klasekpyrotechnics.cz/c106mh</v>
      </c>
      <c r="AA763" s="645">
        <f>IFERROR(IF(VLOOKUP(C763,[4]List1!$A:$D,4,FALSE)=0,"",VLOOKUP(C763,[4]List1!$A:$D,4,FALSE)),"")</f>
        <v>24</v>
      </c>
      <c r="AB763" s="646"/>
      <c r="AC763" s="647" t="str">
        <f>IFERROR(IF(VLOOKUP(C763,[1]List1!$A:$D,2,FALSE)="VYPRODÁNO",$V$9,IF(VLOOKUP(C763,[1]List1!$A:$D,2,FALSE)="DOCHÁZÍ",$V$3,VLOOKUP(C763,[1]List1!$A:$D,2,FALSE))),"OFFLINE!")</f>
        <v>SKLADEM</v>
      </c>
      <c r="AD763" s="647" t="str">
        <f ca="1">IF(AP763="NE",$V$10,IF(AC763=$V$3,IF(AQ763&lt;1,$V$8,$V$2&amp;" "&amp;AQ763&amp;" "&amp;$V$1),IF(AC763="SKLADEM",$V$6,IFERROR(IF(OR(AC763-TODAY()&gt;45,VLOOKUP(C763,[1]List1!$A:$E,4,FALSE)=0),AC763,DAY(AC763)&amp;"."&amp;MONTH(AC763)&amp;"."&amp;YEAR(AC763)&amp;" "&amp;$V$4&amp;VLOOKUP(C763,[1]List1!$A:$E,4,FALSE)&amp;" "&amp;$V$1),AC763))))</f>
        <v>SKLADEM</v>
      </c>
      <c r="AE763" s="645" t="str">
        <f t="shared" ref="AE763:AE764" ca="1" si="2450">IFERROR(IF(AV763&lt;&gt;"",AV763,AD763),AD763)</f>
        <v>SKLADEM</v>
      </c>
      <c r="AF763" s="648">
        <f t="shared" ref="AF763:AF764" si="2451">IFERROR(IF(AB763=Y763,G763*I763*Y763,0),0)</f>
        <v>0</v>
      </c>
      <c r="AG763" s="649">
        <f t="shared" ref="AG763:AG764" si="2452">IF($W$17=$AF$8,AH763*1.23,AF763*1.21)</f>
        <v>0</v>
      </c>
      <c r="AH763" s="650">
        <f t="shared" ref="AH763:AH764" si="2453">IFERROR(IF(Y763=AB763,H763*I763*Y763,0),0)</f>
        <v>0</v>
      </c>
      <c r="AI763" s="645">
        <f t="shared" ref="AI763:AI764" si="2454">IFERROR(IF(Y763=AB763,(P763*Y763)/1000,1),0)</f>
        <v>0</v>
      </c>
      <c r="AJ763" s="645">
        <f t="shared" ref="AJ763:AJ764" si="2455">IFERROR(IF(Y763=AB763,N763*Y763,0.1),0)</f>
        <v>0</v>
      </c>
      <c r="AK763" s="645" t="str">
        <f t="shared" ref="AK763:AK764" si="2456">IFERROR(IF(Y763=AB763,IF(M763="1.1G",(O763/1000)*Y763,""),""),0)</f>
        <v/>
      </c>
      <c r="AL763" s="645">
        <f t="shared" ref="AL763:AL764" si="2457">IFERROR(IF(Y763=AB763,IF(M763="1.3G",(O763/1000)*AB763,""),""),0)</f>
        <v>0</v>
      </c>
      <c r="AM763" s="645" t="str">
        <f t="shared" ref="AM763:AM764" si="2458">IFERROR(IF(Y763=AB763,IF(M763="1.4G",(O763/1000)*AB763,""),""),0)</f>
        <v/>
      </c>
      <c r="AN763" s="651">
        <f t="shared" ref="AN763:AN764" si="2459">SUM(AK763:AM763)</f>
        <v>0</v>
      </c>
      <c r="AO763" s="623"/>
      <c r="AP763" s="632" t="str">
        <f t="shared" si="2424"/>
        <v/>
      </c>
      <c r="AQ763" s="633" t="str">
        <f>IF(AC763=$V$3,IF(VLOOKUP(C763,[1]List1!$A:$E,5,FALSE)=0,1,VLOOKUP(C763,[1]List1!$A:$E,5,FALSE)),"")</f>
        <v/>
      </c>
      <c r="AR763" s="625" t="str">
        <f t="shared" si="2425"/>
        <v/>
      </c>
      <c r="AS763" s="634" t="str">
        <f t="shared" si="2426"/>
        <v/>
      </c>
      <c r="AT763" s="625" t="str">
        <f t="shared" si="2427"/>
        <v/>
      </c>
      <c r="AU763" s="638" t="e">
        <f t="shared" si="2428"/>
        <v>#N/A</v>
      </c>
      <c r="AV763" s="625" t="e">
        <f t="shared" si="2429"/>
        <v>#N/A</v>
      </c>
      <c r="AX763" s="625">
        <f>IF(AND('General price list'!$J763="F4",'General price list'!$AB763+0&gt;0),1,0)</f>
        <v>0</v>
      </c>
      <c r="AY763" s="625">
        <f t="shared" si="2430"/>
        <v>1</v>
      </c>
      <c r="AZ763" s="625">
        <f t="shared" si="2431"/>
        <v>0</v>
      </c>
    </row>
    <row r="764" spans="1:52" ht="15.75" customHeight="1">
      <c r="A764" s="621" t="str">
        <f>Kat.!C764</f>
        <v/>
      </c>
      <c r="B764" s="566">
        <f>IF(AND('General price list'!$J764="F4",$AI$1=FALSE),0,IF(AC764="SKLADEM",1,IF(AC764=$V$3,1,0)))</f>
        <v>1</v>
      </c>
      <c r="C764" s="567" t="s">
        <v>1493</v>
      </c>
      <c r="D764" s="568" t="s">
        <v>1494</v>
      </c>
      <c r="E764" s="763" t="s">
        <v>12747</v>
      </c>
      <c r="F764" s="772">
        <f>IFERROR(VLOOKUP(C764,[2]List1!$A:$D,3,FALSE),"NEUVEDENO!")</f>
        <v>1682</v>
      </c>
      <c r="G764" s="769">
        <f t="shared" si="2446"/>
        <v>1682</v>
      </c>
      <c r="H764" s="766">
        <f t="shared" si="2447"/>
        <v>71.448900443051144</v>
      </c>
      <c r="I764" s="764">
        <f>IFERROR(VLOOKUP(C764,[2]List1!$A:$D,4,FALSE),"NEUVEDENO!")</f>
        <v>2</v>
      </c>
      <c r="J764" s="732" t="s">
        <v>113</v>
      </c>
      <c r="K764" s="569" t="s">
        <v>20</v>
      </c>
      <c r="L764" s="569" t="s">
        <v>20</v>
      </c>
      <c r="M764" s="569" t="s">
        <v>114</v>
      </c>
      <c r="N764" s="569">
        <f>IFERROR(VLOOKUP(C764,[3]List1!$A:$D,4,FALSE),"N/A!")</f>
        <v>4.6068749999999999E-2</v>
      </c>
      <c r="O764" s="569">
        <f>IFERROR(VLOOKUP(C764,[3]List1!$A:$D,3,FALSE),"N/A!")</f>
        <v>1990</v>
      </c>
      <c r="P764" s="569">
        <f>IFERROR(VLOOKUP(C764,[3]List1!$A:$D,2,FALSE),"N/A!")</f>
        <v>16000</v>
      </c>
      <c r="Q764" s="569" t="s">
        <v>11794</v>
      </c>
      <c r="R764" s="569"/>
      <c r="S764" s="569" t="str">
        <f>IF($W$17=$AF$1,"design",IFERROR(VLOOKUP("design",Jazyky_ceník!$A:$Q,MATCH($W$17,Jazyky_ceník!$A$1:$Q$1,0),FALSE),"!!!"))</f>
        <v>design</v>
      </c>
      <c r="T764" s="569">
        <v>80</v>
      </c>
      <c r="U764" s="569" t="s">
        <v>10746</v>
      </c>
      <c r="V764" s="569" t="s">
        <v>10747</v>
      </c>
      <c r="W764" s="569" t="str">
        <f>IFERROR(IF(AND($AB764&gt;=0.1*$AA764,MOD($AB764,$AA764)&gt;=($AA764-(0.1*$AA764))),IF($W$17=$AF$1,"Zvažte možnost doobjednání ještě "&amp;Tabulka1[[#This Row],[VKPAL]]-MOD(AB764,AA764)&amp;" VK do plné palety.",VLOOKUP("Zvažte možnost doobjednání ještě ",Jazyky_ceník!A:Q,MATCH($W$17,Jazyky_ceník!$A$1:$Q$1,0),FALSE)&amp;Tabulka1[[#This Row],[VKPAL]]-MOD(AB764,AA764)&amp;VLOOKUP(" VK do plné palety.",Jazyky_ceník!A:Q,MATCH($W$17,Jazyky_ceník!$A$1:$Q$1,0),FALSE)),IFERROR(IF(AND(NOT(MOD($AB764,$AA764)=0),$AB764&gt;=0.9*$AA764,MOD($AB764,$AA764)&lt;=0.1*$AA764),IF($W$17=$AF$1,"Zvažte možnost optimalizace objednaného množství podle počtu VK na paletě ==&gt;",VLOOKUP("Zvažte možnost optimalizace objednaného množství podle počtu VK na paletě ==&gt;",Jazyky_ceník!A:Q,MATCH($W$17,Jazyky_ceník!$A$1:$Q$1,0),FALSE)),VLOOKUP('General price list'!$C764,Popisy!A:M,MATCH($W$17,Popisy!$A$7:$M$7,0),FALSE)),"---------------")),IFERROR(VLOOKUP('General price list'!$C764,Popisy!A:M,MATCH($W$17,Popisy!$A$7:$M$7,0),FALSE),"---------------"))</f>
        <v>13 různobarevných efektů</v>
      </c>
      <c r="X764" s="569" t="str">
        <f t="shared" si="2448"/>
        <v/>
      </c>
      <c r="Y764" s="569" t="str">
        <f t="shared" si="2449"/>
        <v/>
      </c>
      <c r="Z764" s="569" t="str">
        <f>HYPERLINK("https://www.klasekpyrotechnics.cz/c106mb")</f>
        <v>https://www.klasekpyrotechnics.cz/c106mb</v>
      </c>
      <c r="AA764" s="569">
        <f>IFERROR(IF(VLOOKUP(C764,[4]List1!$A:$D,4,FALSE)=0,"",VLOOKUP(C764,[4]List1!$A:$D,4,FALSE)),"")</f>
        <v>24</v>
      </c>
      <c r="AB764" s="565"/>
      <c r="AC764" s="570" t="str">
        <f>IFERROR(IF(VLOOKUP(C764,[1]List1!$A:$D,2,FALSE)="VYPRODÁNO",$V$9,IF(VLOOKUP(C764,[1]List1!$A:$D,2,FALSE)="DOCHÁZÍ",$V$3,VLOOKUP(C764,[1]List1!$A:$D,2,FALSE))),"OFFLINE!")</f>
        <v>SKLADEM</v>
      </c>
      <c r="AD764" s="570" t="str">
        <f ca="1">IF(AP764="NE",$V$10,IF(AC764=$V$3,IF(AQ764&lt;1,$V$8,$V$2&amp;" "&amp;AQ764&amp;" "&amp;$V$1),IF(AC764="SKLADEM",$V$6,IFERROR(IF(OR(AC764-TODAY()&gt;45,VLOOKUP(C764,[1]List1!$A:$E,4,FALSE)=0),AC764,DAY(AC764)&amp;"."&amp;MONTH(AC764)&amp;"."&amp;YEAR(AC764)&amp;" "&amp;$V$4&amp;VLOOKUP(C764,[1]List1!$A:$E,4,FALSE)&amp;" "&amp;$V$1),AC764))))</f>
        <v>SKLADEM</v>
      </c>
      <c r="AE764" s="581" t="str">
        <f t="shared" ca="1" si="2450"/>
        <v>SKLADEM</v>
      </c>
      <c r="AF764" s="584">
        <f t="shared" si="2451"/>
        <v>0</v>
      </c>
      <c r="AG764" s="585">
        <f t="shared" si="2452"/>
        <v>0</v>
      </c>
      <c r="AH764" s="583">
        <f t="shared" si="2453"/>
        <v>0</v>
      </c>
      <c r="AI764" s="582">
        <f t="shared" si="2454"/>
        <v>0</v>
      </c>
      <c r="AJ764" s="569">
        <f t="shared" si="2455"/>
        <v>0</v>
      </c>
      <c r="AK764" s="569" t="str">
        <f t="shared" si="2456"/>
        <v/>
      </c>
      <c r="AL764" s="569">
        <f t="shared" si="2457"/>
        <v>0</v>
      </c>
      <c r="AM764" s="569" t="str">
        <f t="shared" si="2458"/>
        <v/>
      </c>
      <c r="AN764" s="581">
        <f t="shared" si="2459"/>
        <v>0</v>
      </c>
      <c r="AO764" s="623"/>
      <c r="AP764" s="625" t="str">
        <f t="shared" si="2424"/>
        <v/>
      </c>
      <c r="AQ764" s="625" t="str">
        <f>IF(AC764=$V$3,IF(VLOOKUP(C764,[1]List1!$A:$E,5,FALSE)=0,1,VLOOKUP(C764,[1]List1!$A:$E,5,FALSE)),"")</f>
        <v/>
      </c>
      <c r="AR764" s="629" t="str">
        <f t="shared" si="2425"/>
        <v/>
      </c>
      <c r="AS764" s="630" t="str">
        <f t="shared" si="2426"/>
        <v/>
      </c>
      <c r="AT764" s="625" t="str">
        <f t="shared" si="2427"/>
        <v/>
      </c>
      <c r="AU764" s="625" t="e">
        <f t="shared" si="2428"/>
        <v>#N/A</v>
      </c>
      <c r="AV764" s="625" t="e">
        <f t="shared" si="2429"/>
        <v>#N/A</v>
      </c>
      <c r="AW764" s="631"/>
      <c r="AX764" s="631">
        <f>IF(AND('General price list'!$J764="F4",'General price list'!$AB764+0&gt;0),1,0)</f>
        <v>0</v>
      </c>
      <c r="AY764" s="631">
        <f t="shared" si="2430"/>
        <v>1</v>
      </c>
      <c r="AZ764" s="631">
        <f t="shared" si="2431"/>
        <v>0</v>
      </c>
    </row>
    <row r="765" spans="1:52" ht="15" customHeight="1">
      <c r="A765" s="751" t="str">
        <f>Kat.!C765</f>
        <v xml:space="preserve">           Baterie 109 ran, 20 + 25 + 30 mm moždíř – 1.3G</v>
      </c>
      <c r="B765" s="751"/>
      <c r="C765" s="751"/>
      <c r="D765" s="751"/>
      <c r="E765" s="751"/>
      <c r="F765" s="751"/>
      <c r="G765" s="751"/>
      <c r="H765" s="751"/>
      <c r="I765" s="752"/>
      <c r="J765" s="752"/>
      <c r="K765" s="752" t="s">
        <v>20</v>
      </c>
      <c r="L765" s="753" t="s">
        <v>20</v>
      </c>
      <c r="M765" s="752"/>
      <c r="N765" s="752"/>
      <c r="O765" s="752"/>
      <c r="P765" s="752"/>
      <c r="Q765" s="752"/>
      <c r="R765" s="752"/>
      <c r="S765" s="752"/>
      <c r="T765" s="752"/>
      <c r="U765" s="752"/>
      <c r="V765" s="752"/>
      <c r="W765" s="752"/>
      <c r="X765" s="752"/>
      <c r="Y765" s="752"/>
      <c r="Z765" s="752" t="s">
        <v>20</v>
      </c>
      <c r="AA765" s="752"/>
      <c r="AB765" s="752"/>
      <c r="AC765" s="754"/>
      <c r="AD765" s="752"/>
      <c r="AE765" s="752"/>
      <c r="AF765" s="752"/>
      <c r="AG765" s="752"/>
      <c r="AH765" s="752"/>
      <c r="AI765" s="752"/>
      <c r="AJ765" s="752"/>
      <c r="AK765" s="752"/>
      <c r="AL765" s="752"/>
      <c r="AM765" s="752"/>
      <c r="AN765" s="752"/>
      <c r="AO765" s="623"/>
      <c r="AP765" s="632" t="str">
        <f t="shared" si="2346"/>
        <v/>
      </c>
      <c r="AQ765" s="633" t="str">
        <f>IF(AC765=$V$3,IF(VLOOKUP(C765,[1]List1!$A:$E,5,FALSE)=0,1,VLOOKUP(C765,[1]List1!$A:$E,5,FALSE)),"")</f>
        <v/>
      </c>
      <c r="AR765" s="625" t="str">
        <f t="shared" si="2347"/>
        <v/>
      </c>
      <c r="AS765" s="634" t="str">
        <f t="shared" si="2348"/>
        <v/>
      </c>
      <c r="AT765" s="625" t="str">
        <f t="shared" si="2349"/>
        <v/>
      </c>
      <c r="AU765" s="638" t="e">
        <f t="shared" si="2350"/>
        <v>#N/A</v>
      </c>
      <c r="AV765" s="625" t="e">
        <f t="shared" si="2351"/>
        <v>#N/A</v>
      </c>
      <c r="AX765" s="625">
        <f>IF(AND('General price list'!$J765="F4",'General price list'!$AB765+0&gt;0),1,0)</f>
        <v>0</v>
      </c>
      <c r="AY765" s="625">
        <f t="shared" si="2352"/>
        <v>0</v>
      </c>
      <c r="AZ765" s="625">
        <f t="shared" si="2353"/>
        <v>0</v>
      </c>
    </row>
    <row r="766" spans="1:52" ht="15" customHeight="1">
      <c r="A766" s="639" t="str">
        <f>Kat.!C766</f>
        <v/>
      </c>
      <c r="B766" s="640">
        <f>IF(AND('General price list'!$J766="F4",$AI$1=FALSE),0,IF(AC766="SKLADEM",1,IF(AC766=$V$3,1,0)))</f>
        <v>1</v>
      </c>
      <c r="C766" s="641" t="s">
        <v>1495</v>
      </c>
      <c r="D766" s="642" t="s">
        <v>1496</v>
      </c>
      <c r="E766" s="643" t="s">
        <v>12747</v>
      </c>
      <c r="F766" s="771">
        <f>IFERROR(VLOOKUP(C766,[2]List1!$A:$D,3,FALSE),"NEUVEDENO!")</f>
        <v>1488</v>
      </c>
      <c r="G766" s="768">
        <f t="shared" ref="G766:G767" si="2460">IF($W$17=$AF$8,ROUND((F766)/$F$17,2),(F766)*$B$19)</f>
        <v>1488</v>
      </c>
      <c r="H766" s="765">
        <f t="shared" ref="H766:H767" si="2461">IF($W$17=$AF$8,G766*$B$19,G766/$F$17)</f>
        <v>63.208064125600544</v>
      </c>
      <c r="I766" s="644">
        <f>IFERROR(VLOOKUP(C766,[2]List1!$A:$D,4,FALSE),"NEUVEDENO!")</f>
        <v>2</v>
      </c>
      <c r="J766" s="733" t="s">
        <v>113</v>
      </c>
      <c r="K766" s="645" t="s">
        <v>20</v>
      </c>
      <c r="L766" s="645" t="s">
        <v>20</v>
      </c>
      <c r="M766" s="645" t="s">
        <v>114</v>
      </c>
      <c r="N766" s="645">
        <f>IFERROR(VLOOKUP(C766,[3]List1!$A:$D,4,FALSE),"N/A!")</f>
        <v>3.7976249999999996E-2</v>
      </c>
      <c r="O766" s="645">
        <f>IFERROR(VLOOKUP(C766,[3]List1!$A:$D,3,FALSE),"N/A!")</f>
        <v>1996</v>
      </c>
      <c r="P766" s="645">
        <f>IFERROR(VLOOKUP(C766,[3]List1!$A:$D,2,FALSE),"N/A!")</f>
        <v>14500</v>
      </c>
      <c r="Q766" s="645" t="s">
        <v>11332</v>
      </c>
      <c r="R766" s="645"/>
      <c r="S766" s="645" t="str">
        <f>IF($W$17=$AF$1,"design",IFERROR(VLOOKUP("design",Jazyky_ceník!$A:$Q,MATCH($W$17,Jazyky_ceník!$A$1:$Q$1,0),FALSE),"!!!"))</f>
        <v>design</v>
      </c>
      <c r="T766" s="645">
        <v>80</v>
      </c>
      <c r="U766" s="645" t="s">
        <v>10749</v>
      </c>
      <c r="V766" s="645" t="s">
        <v>10750</v>
      </c>
      <c r="W766" s="645" t="str">
        <f>IFERROR(IF(AND($AB766&gt;=0.1*$AA766,MOD($AB766,$AA766)&gt;=($AA766-(0.1*$AA766))),IF($W$17=$AF$1,"Zvažte možnost doobjednání ještě "&amp;Tabulka1[[#This Row],[VKPAL]]-MOD(AB766,AA766)&amp;" VK do plné palety.",VLOOKUP("Zvažte možnost doobjednání ještě ",Jazyky_ceník!A:Q,MATCH($W$17,Jazyky_ceník!$A$1:$Q$1,0),FALSE)&amp;Tabulka1[[#This Row],[VKPAL]]-MOD(AB766,AA766)&amp;VLOOKUP(" VK do plné palety.",Jazyky_ceník!A:Q,MATCH($W$17,Jazyky_ceník!$A$1:$Q$1,0),FALSE)),IFERROR(IF(AND(NOT(MOD($AB766,$AA766)=0),$AB766&gt;=0.9*$AA766,MOD($AB766,$AA766)&lt;=0.1*$AA766),IF($W$17=$AF$1,"Zvažte možnost optimalizace objednaného množství podle počtu VK na paletě ==&gt;",VLOOKUP("Zvažte možnost optimalizace objednaného množství podle počtu VK na paletě ==&gt;",Jazyky_ceník!A:Q,MATCH($W$17,Jazyky_ceník!$A$1:$Q$1,0),FALSE)),VLOOKUP('General price list'!$C766,Popisy!A:M,MATCH($W$17,Popisy!$A$7:$M$7,0),FALSE)),"---------------")),IFERROR(VLOOKUP('General price list'!$C766,Popisy!A:M,MATCH($W$17,Popisy!$A$7:$M$7,0),FALSE),"---------------"))</f>
        <v>16 různobarevných efektů</v>
      </c>
      <c r="X766" s="645" t="str">
        <f t="shared" ref="X766:X767" si="2462">IF(AB766&lt;0.0001,"",AB766)</f>
        <v/>
      </c>
      <c r="Y766" s="645" t="str">
        <f t="shared" ref="Y766:Y767" si="2463">IF($AL$3=2,IF(OR(AB766&lt;&gt;"",AB766&lt;&gt;0),AU766,""),IF(C766="","",IF(AB766&lt;0.0001,"",IF(B766=0,"",IF(AQ766&lt;AB766,"",AB766)))))</f>
        <v/>
      </c>
      <c r="Z766" s="645" t="str">
        <f>HYPERLINK("https://www.klasekpyrotechnics.cz/c109mg")</f>
        <v>https://www.klasekpyrotechnics.cz/c109mg</v>
      </c>
      <c r="AA766" s="645">
        <f>IFERROR(IF(VLOOKUP(C766,[4]List1!$A:$D,4,FALSE)=0,"",VLOOKUP(C766,[4]List1!$A:$D,4,FALSE)),"")</f>
        <v>30</v>
      </c>
      <c r="AB766" s="646"/>
      <c r="AC766" s="647" t="str">
        <f>IFERROR(IF(VLOOKUP(C766,[1]List1!$A:$D,2,FALSE)="VYPRODÁNO",$V$9,IF(VLOOKUP(C766,[1]List1!$A:$D,2,FALSE)="DOCHÁZÍ",$V$3,VLOOKUP(C766,[1]List1!$A:$D,2,FALSE))),"OFFLINE!")</f>
        <v>SKLADEM</v>
      </c>
      <c r="AD766" s="647" t="str">
        <f ca="1">IF(AP766="NE",$V$10,IF(AC766=$V$3,IF(AQ766&lt;1,$V$8,$V$2&amp;" "&amp;AQ766&amp;" "&amp;$V$1),IF(AC766="SKLADEM",$V$6,IFERROR(IF(OR(AC766-TODAY()&gt;45,VLOOKUP(C766,[1]List1!$A:$E,4,FALSE)=0),AC766,DAY(AC766)&amp;"."&amp;MONTH(AC766)&amp;"."&amp;YEAR(AC766)&amp;" "&amp;$V$4&amp;VLOOKUP(C766,[1]List1!$A:$E,4,FALSE)&amp;" "&amp;$V$1),AC766))))</f>
        <v>SKLADEM</v>
      </c>
      <c r="AE766" s="645" t="str">
        <f t="shared" ref="AE766:AE767" ca="1" si="2464">IFERROR(IF(AV766&lt;&gt;"",AV766,AD766),AD766)</f>
        <v>SKLADEM</v>
      </c>
      <c r="AF766" s="648">
        <f t="shared" ref="AF766:AF767" si="2465">IFERROR(IF(AB766=Y766,G766*I766*Y766,0),0)</f>
        <v>0</v>
      </c>
      <c r="AG766" s="649">
        <f t="shared" ref="AG766:AG767" si="2466">IF($W$17=$AF$8,AH766*1.23,AF766*1.21)</f>
        <v>0</v>
      </c>
      <c r="AH766" s="650">
        <f t="shared" ref="AH766:AH767" si="2467">IFERROR(IF(Y766=AB766,H766*I766*Y766,0),0)</f>
        <v>0</v>
      </c>
      <c r="AI766" s="645">
        <f t="shared" ref="AI766:AI767" si="2468">IFERROR(IF(Y766=AB766,(P766*Y766)/1000,1),0)</f>
        <v>0</v>
      </c>
      <c r="AJ766" s="645">
        <f t="shared" ref="AJ766:AJ767" si="2469">IFERROR(IF(Y766=AB766,N766*Y766,0.1),0)</f>
        <v>0</v>
      </c>
      <c r="AK766" s="645" t="str">
        <f t="shared" ref="AK766:AK767" si="2470">IFERROR(IF(Y766=AB766,IF(M766="1.1G",(O766/1000)*Y766,""),""),0)</f>
        <v/>
      </c>
      <c r="AL766" s="645">
        <f t="shared" ref="AL766:AL767" si="2471">IFERROR(IF(Y766=AB766,IF(M766="1.3G",(O766/1000)*AB766,""),""),0)</f>
        <v>0</v>
      </c>
      <c r="AM766" s="645" t="str">
        <f t="shared" ref="AM766:AM767" si="2472">IFERROR(IF(Y766=AB766,IF(M766="1.4G",(O766/1000)*AB766,""),""),0)</f>
        <v/>
      </c>
      <c r="AN766" s="651">
        <f t="shared" ref="AN766:AN767" si="2473">SUM(AK766:AM766)</f>
        <v>0</v>
      </c>
      <c r="AO766" s="623"/>
      <c r="AP766" s="632" t="str">
        <f t="shared" si="2346"/>
        <v/>
      </c>
      <c r="AQ766" s="633" t="str">
        <f>IF(AC766=$V$3,IF(VLOOKUP(C766,[1]List1!$A:$E,5,FALSE)=0,1,VLOOKUP(C766,[1]List1!$A:$E,5,FALSE)),"")</f>
        <v/>
      </c>
      <c r="AR766" s="625" t="str">
        <f t="shared" si="2347"/>
        <v/>
      </c>
      <c r="AS766" s="634" t="str">
        <f t="shared" si="2348"/>
        <v/>
      </c>
      <c r="AT766" s="625" t="str">
        <f t="shared" si="2349"/>
        <v/>
      </c>
      <c r="AU766" s="638" t="e">
        <f t="shared" si="2350"/>
        <v>#N/A</v>
      </c>
      <c r="AV766" s="625" t="e">
        <f t="shared" si="2351"/>
        <v>#N/A</v>
      </c>
      <c r="AX766" s="625">
        <f>IF(AND('General price list'!$J766="F4",'General price list'!$AB766+0&gt;0),1,0)</f>
        <v>0</v>
      </c>
      <c r="AY766" s="625">
        <f t="shared" si="2352"/>
        <v>1</v>
      </c>
      <c r="AZ766" s="625">
        <f t="shared" si="2353"/>
        <v>0</v>
      </c>
    </row>
    <row r="767" spans="1:52" ht="15" customHeight="1">
      <c r="A767" s="621" t="str">
        <f>Kat.!C767</f>
        <v/>
      </c>
      <c r="B767" s="566">
        <f>IF(AND('General price list'!$J767="F4",$AI$1=FALSE),0,IF(AC767="SKLADEM",1,IF(AC767=$V$3,1,0)))</f>
        <v>1</v>
      </c>
      <c r="C767" s="567" t="s">
        <v>1497</v>
      </c>
      <c r="D767" s="568" t="s">
        <v>1498</v>
      </c>
      <c r="E767" s="763" t="s">
        <v>12747</v>
      </c>
      <c r="F767" s="772">
        <f>IFERROR(VLOOKUP(C767,[2]List1!$A:$D,3,FALSE),"NEUVEDENO!")</f>
        <v>1488</v>
      </c>
      <c r="G767" s="769">
        <f t="shared" si="2460"/>
        <v>1488</v>
      </c>
      <c r="H767" s="766">
        <f t="shared" si="2461"/>
        <v>63.208064125600544</v>
      </c>
      <c r="I767" s="764">
        <f>IFERROR(VLOOKUP(C767,[2]List1!$A:$D,4,FALSE),"NEUVEDENO!")</f>
        <v>2</v>
      </c>
      <c r="J767" s="732" t="s">
        <v>113</v>
      </c>
      <c r="K767" s="569" t="s">
        <v>20</v>
      </c>
      <c r="L767" s="569" t="s">
        <v>20</v>
      </c>
      <c r="M767" s="569" t="s">
        <v>114</v>
      </c>
      <c r="N767" s="569">
        <f>IFERROR(VLOOKUP(C767,[3]List1!$A:$D,4,FALSE),"N/A!")</f>
        <v>3.7976249999999996E-2</v>
      </c>
      <c r="O767" s="569">
        <f>IFERROR(VLOOKUP(C767,[3]List1!$A:$D,3,FALSE),"N/A!")</f>
        <v>1996</v>
      </c>
      <c r="P767" s="569">
        <f>IFERROR(VLOOKUP(C767,[3]List1!$A:$D,2,FALSE),"N/A!")</f>
        <v>14500</v>
      </c>
      <c r="Q767" s="569" t="s">
        <v>11332</v>
      </c>
      <c r="R767" s="569"/>
      <c r="S767" s="569" t="str">
        <f>IF($W$17=$AF$1,"design",IFERROR(VLOOKUP("design",Jazyky_ceník!$A:$Q,MATCH($W$17,Jazyky_ceník!$A$1:$Q$1,0),FALSE),"!!!"))</f>
        <v>design</v>
      </c>
      <c r="T767" s="569">
        <v>80</v>
      </c>
      <c r="U767" s="569" t="s">
        <v>10749</v>
      </c>
      <c r="V767" s="569" t="s">
        <v>10750</v>
      </c>
      <c r="W767" s="569" t="str">
        <f>IFERROR(IF(AND($AB767&gt;=0.1*$AA767,MOD($AB767,$AA767)&gt;=($AA767-(0.1*$AA767))),IF($W$17=$AF$1,"Zvažte možnost doobjednání ještě "&amp;Tabulka1[[#This Row],[VKPAL]]-MOD(AB767,AA767)&amp;" VK do plné palety.",VLOOKUP("Zvažte možnost doobjednání ještě ",Jazyky_ceník!A:Q,MATCH($W$17,Jazyky_ceník!$A$1:$Q$1,0),FALSE)&amp;Tabulka1[[#This Row],[VKPAL]]-MOD(AB767,AA767)&amp;VLOOKUP(" VK do plné palety.",Jazyky_ceník!A:Q,MATCH($W$17,Jazyky_ceník!$A$1:$Q$1,0),FALSE)),IFERROR(IF(AND(NOT(MOD($AB767,$AA767)=0),$AB767&gt;=0.9*$AA767,MOD($AB767,$AA767)&lt;=0.1*$AA767),IF($W$17=$AF$1,"Zvažte možnost optimalizace objednaného množství podle počtu VK na paletě ==&gt;",VLOOKUP("Zvažte možnost optimalizace objednaného množství podle počtu VK na paletě ==&gt;",Jazyky_ceník!A:Q,MATCH($W$17,Jazyky_ceník!$A$1:$Q$1,0),FALSE)),VLOOKUP('General price list'!$C767,Popisy!A:M,MATCH($W$17,Popisy!$A$7:$M$7,0),FALSE)),"---------------")),IFERROR(VLOOKUP('General price list'!$C767,Popisy!A:M,MATCH($W$17,Popisy!$A$7:$M$7,0),FALSE),"---------------"))</f>
        <v>16 různobarevných efektů</v>
      </c>
      <c r="X767" s="569" t="str">
        <f t="shared" si="2462"/>
        <v/>
      </c>
      <c r="Y767" s="569" t="str">
        <f t="shared" si="2463"/>
        <v/>
      </c>
      <c r="Z767" s="569" t="str">
        <f>HYPERLINK("https://www.klasekpyrotechnics.cz/c109mm")</f>
        <v>https://www.klasekpyrotechnics.cz/c109mm</v>
      </c>
      <c r="AA767" s="569">
        <f>IFERROR(IF(VLOOKUP(C767,[4]List1!$A:$D,4,FALSE)=0,"",VLOOKUP(C767,[4]List1!$A:$D,4,FALSE)),"")</f>
        <v>30</v>
      </c>
      <c r="AB767" s="565"/>
      <c r="AC767" s="570" t="str">
        <f>IFERROR(IF(VLOOKUP(C767,[1]List1!$A:$D,2,FALSE)="VYPRODÁNO",$V$9,IF(VLOOKUP(C767,[1]List1!$A:$D,2,FALSE)="DOCHÁZÍ",$V$3,VLOOKUP(C767,[1]List1!$A:$D,2,FALSE))),"OFFLINE!")</f>
        <v>SKLADEM</v>
      </c>
      <c r="AD767" s="570" t="str">
        <f ca="1">IF(AP767="NE",$V$10,IF(AC767=$V$3,IF(AQ767&lt;1,$V$8,$V$2&amp;" "&amp;AQ767&amp;" "&amp;$V$1),IF(AC767="SKLADEM",$V$6,IFERROR(IF(OR(AC767-TODAY()&gt;45,VLOOKUP(C767,[1]List1!$A:$E,4,FALSE)=0),AC767,DAY(AC767)&amp;"."&amp;MONTH(AC767)&amp;"."&amp;YEAR(AC767)&amp;" "&amp;$V$4&amp;VLOOKUP(C767,[1]List1!$A:$E,4,FALSE)&amp;" "&amp;$V$1),AC767))))</f>
        <v>SKLADEM</v>
      </c>
      <c r="AE767" s="581" t="str">
        <f t="shared" ca="1" si="2464"/>
        <v>SKLADEM</v>
      </c>
      <c r="AF767" s="584">
        <f t="shared" si="2465"/>
        <v>0</v>
      </c>
      <c r="AG767" s="585">
        <f t="shared" si="2466"/>
        <v>0</v>
      </c>
      <c r="AH767" s="583">
        <f t="shared" si="2467"/>
        <v>0</v>
      </c>
      <c r="AI767" s="582">
        <f t="shared" si="2468"/>
        <v>0</v>
      </c>
      <c r="AJ767" s="569">
        <f t="shared" si="2469"/>
        <v>0</v>
      </c>
      <c r="AK767" s="569" t="str">
        <f t="shared" si="2470"/>
        <v/>
      </c>
      <c r="AL767" s="569">
        <f t="shared" si="2471"/>
        <v>0</v>
      </c>
      <c r="AM767" s="569" t="str">
        <f t="shared" si="2472"/>
        <v/>
      </c>
      <c r="AN767" s="581">
        <f t="shared" si="2473"/>
        <v>0</v>
      </c>
      <c r="AO767" s="623"/>
      <c r="AP767" s="632" t="str">
        <f t="shared" si="2346"/>
        <v/>
      </c>
      <c r="AQ767" s="633" t="str">
        <f>IF(AC767=$V$3,IF(VLOOKUP(C767,[1]List1!$A:$E,5,FALSE)=0,1,VLOOKUP(C767,[1]List1!$A:$E,5,FALSE)),"")</f>
        <v/>
      </c>
      <c r="AR767" s="625" t="str">
        <f t="shared" si="2347"/>
        <v/>
      </c>
      <c r="AS767" s="634" t="str">
        <f t="shared" si="2348"/>
        <v/>
      </c>
      <c r="AT767" s="625" t="str">
        <f t="shared" si="2349"/>
        <v/>
      </c>
      <c r="AU767" s="638" t="e">
        <f t="shared" si="2350"/>
        <v>#N/A</v>
      </c>
      <c r="AV767" s="625" t="e">
        <f t="shared" si="2351"/>
        <v>#N/A</v>
      </c>
      <c r="AX767" s="625">
        <f>IF(AND('General price list'!$J767="F4",'General price list'!$AB767+0&gt;0),1,0)</f>
        <v>0</v>
      </c>
      <c r="AY767" s="625">
        <f t="shared" si="2352"/>
        <v>1</v>
      </c>
      <c r="AZ767" s="625">
        <f t="shared" si="2353"/>
        <v>0</v>
      </c>
    </row>
    <row r="768" spans="1:52" ht="15" customHeight="1">
      <c r="A768" s="751" t="str">
        <f>Kat.!C768</f>
        <v xml:space="preserve">           Složený ohňostroj multikaliber F2 – 1.4G – maximum 1000 g NEC</v>
      </c>
      <c r="B768" s="751"/>
      <c r="C768" s="751"/>
      <c r="D768" s="751"/>
      <c r="E768" s="751"/>
      <c r="F768" s="751"/>
      <c r="G768" s="751"/>
      <c r="H768" s="751"/>
      <c r="I768" s="752"/>
      <c r="J768" s="752"/>
      <c r="K768" s="752" t="s">
        <v>20</v>
      </c>
      <c r="L768" s="753" t="s">
        <v>2818</v>
      </c>
      <c r="M768" s="752"/>
      <c r="N768" s="752"/>
      <c r="O768" s="752"/>
      <c r="P768" s="752"/>
      <c r="Q768" s="752"/>
      <c r="R768" s="752"/>
      <c r="S768" s="752"/>
      <c r="T768" s="752"/>
      <c r="U768" s="752"/>
      <c r="V768" s="752"/>
      <c r="W768" s="752"/>
      <c r="X768" s="752"/>
      <c r="Y768" s="752"/>
      <c r="Z768" s="752" t="s">
        <v>20</v>
      </c>
      <c r="AA768" s="752"/>
      <c r="AB768" s="752"/>
      <c r="AC768" s="754"/>
      <c r="AD768" s="752"/>
      <c r="AE768" s="752"/>
      <c r="AF768" s="752"/>
      <c r="AG768" s="752"/>
      <c r="AH768" s="752"/>
      <c r="AI768" s="752"/>
      <c r="AJ768" s="752"/>
      <c r="AK768" s="752"/>
      <c r="AL768" s="752"/>
      <c r="AM768" s="752"/>
      <c r="AN768" s="752"/>
      <c r="AO768" s="623"/>
      <c r="AP768" s="632" t="str">
        <f t="shared" si="2346"/>
        <v/>
      </c>
      <c r="AQ768" s="633" t="str">
        <f>IF(AC768=$V$3,IF(VLOOKUP(C768,[1]List1!$A:$E,5,FALSE)=0,1,VLOOKUP(C768,[1]List1!$A:$E,5,FALSE)),"")</f>
        <v/>
      </c>
      <c r="AR768" s="625" t="str">
        <f t="shared" si="2347"/>
        <v/>
      </c>
      <c r="AS768" s="634" t="str">
        <f t="shared" si="2348"/>
        <v/>
      </c>
      <c r="AT768" s="625" t="str">
        <f t="shared" si="2349"/>
        <v/>
      </c>
      <c r="AU768" s="638" t="e">
        <f t="shared" si="2350"/>
        <v>#N/A</v>
      </c>
      <c r="AV768" s="625" t="e">
        <f t="shared" si="2351"/>
        <v>#N/A</v>
      </c>
      <c r="AX768" s="625">
        <f>IF(AND('General price list'!$J768="F4",'General price list'!$AB768+0&gt;0),1,0)</f>
        <v>0</v>
      </c>
      <c r="AY768" s="625">
        <f t="shared" si="2352"/>
        <v>0</v>
      </c>
      <c r="AZ768" s="625">
        <f t="shared" si="2353"/>
        <v>0</v>
      </c>
    </row>
    <row r="769" spans="1:52" ht="15.75" customHeight="1">
      <c r="A769" s="639" t="str">
        <f>Kat.!C769</f>
        <v>×</v>
      </c>
      <c r="B769" s="640">
        <f>IF(AND('General price list'!$J769="F4",$AI$1=FALSE),0,IF(AC769="SKLADEM",1,IF(AC769=$V$3,1,0)))</f>
        <v>1</v>
      </c>
      <c r="C769" s="641" t="s">
        <v>5140</v>
      </c>
      <c r="D769" s="642" t="s">
        <v>5141</v>
      </c>
      <c r="E769" s="643" t="s">
        <v>12663</v>
      </c>
      <c r="F769" s="771">
        <f>IFERROR(VLOOKUP(C769,[2]List1!$A:$D,3,FALSE),"NEUVEDENO!")</f>
        <v>1637</v>
      </c>
      <c r="G769" s="768">
        <f t="shared" ref="G769:G779" si="2474">IF($W$17=$AF$8,ROUND((F769)/$F$17,2),(F769)*$B$19)</f>
        <v>1637</v>
      </c>
      <c r="H769" s="765">
        <f t="shared" ref="H769:H779" si="2475">IF($W$17=$AF$8,G769*$B$19,G769/$F$17)</f>
        <v>69.537366245704362</v>
      </c>
      <c r="I769" s="644">
        <f>IFERROR(VLOOKUP(C769,[2]List1!$A:$D,4,FALSE),"NEUVEDENO!")</f>
        <v>1</v>
      </c>
      <c r="J769" s="733" t="s">
        <v>39</v>
      </c>
      <c r="K769" s="645" t="s">
        <v>20</v>
      </c>
      <c r="L769" s="645" t="s">
        <v>10981</v>
      </c>
      <c r="M769" s="645" t="s">
        <v>21</v>
      </c>
      <c r="N769" s="645">
        <f>IFERROR(VLOOKUP(C769,[3]List1!$A:$D,4,FALSE),"N/A!")</f>
        <v>2.3039999999999998E-2</v>
      </c>
      <c r="O769" s="645">
        <f>IFERROR(VLOOKUP(C769,[3]List1!$A:$D,3,FALSE),"N/A!")</f>
        <v>1000</v>
      </c>
      <c r="P769" s="645">
        <f>IFERROR(VLOOKUP(C769,[3]List1!$A:$D,2,FALSE),"N/A!")</f>
        <v>7700</v>
      </c>
      <c r="Q769" s="645" t="s">
        <v>11749</v>
      </c>
      <c r="R769" s="645" t="s">
        <v>20</v>
      </c>
      <c r="S769" s="645" t="str">
        <f>IF($W$17=$AF$1,"červená fólie",IFERROR(VLOOKUP("červená fólie",Jazyky_ceník!$A:$Q,MATCH($W$17,Jazyky_ceník!$A$1:$Q$1,0),FALSE),"!!!"))</f>
        <v>červená fólie</v>
      </c>
      <c r="T769" s="645">
        <v>55</v>
      </c>
      <c r="U769" s="645" t="s">
        <v>10746</v>
      </c>
      <c r="V769" s="645" t="s">
        <v>10748</v>
      </c>
      <c r="W769" s="645" t="str">
        <f>IFERROR(IF(AND($AB769&gt;=0.1*$AA769,MOD($AB769,$AA769)&gt;=($AA769-(0.1*$AA769))),IF($W$17=$AF$1,"Zvažte možnost doobjednání ještě "&amp;Tabulka1[[#This Row],[VKPAL]]-MOD(AB769,AA769)&amp;" VK do plné palety.",VLOOKUP("Zvažte možnost doobjednání ještě ",Jazyky_ceník!A:Q,MATCH($W$17,Jazyky_ceník!$A$1:$Q$1,0),FALSE)&amp;Tabulka1[[#This Row],[VKPAL]]-MOD(AB769,AA769)&amp;VLOOKUP(" VK do plné palety.",Jazyky_ceník!A:Q,MATCH($W$17,Jazyky_ceník!$A$1:$Q$1,0),FALSE)),IFERROR(IF(AND(NOT(MOD($AB769,$AA769)=0),$AB769&gt;=0.9*$AA769,MOD($AB769,$AA769)&lt;=0.1*$AA769),IF($W$17=$AF$1,"Zvažte možnost optimalizace objednaného množství podle počtu VK na paletě ==&gt;",VLOOKUP("Zvažte možnost optimalizace objednaného množství podle počtu VK na paletě ==&gt;",Jazyky_ceník!A:Q,MATCH($W$17,Jazyky_ceník!$A$1:$Q$1,0),FALSE)),VLOOKUP('General price list'!$C769,Popisy!A:M,MATCH($W$17,Popisy!$A$7:$M$7,0),FALSE)),"---------------")),IFERROR(VLOOKUP('General price list'!$C769,Popisy!A:M,MATCH($W$17,Popisy!$A$7:$M$7,0),FALSE),"---------------"))</f>
        <v>14 různobarevných efektů</v>
      </c>
      <c r="X769" s="645" t="str">
        <f t="shared" ref="X769:X779" si="2476">IF(AB769&lt;0.0001,"",AB769)</f>
        <v/>
      </c>
      <c r="Y769" s="645" t="str">
        <f t="shared" ref="Y769:Y779" si="2477">IF($AL$3=2,IF(OR(AB769&lt;&gt;"",AB769&lt;&gt;0),AU769,""),IF(C769="","",IF(AB769&lt;0.0001,"",IF(B769=0,"",IF(AQ769&lt;AB769,"",AB769)))))</f>
        <v/>
      </c>
      <c r="Z769" s="645" t="str">
        <f>HYPERLINK("https://www.klasekpyrotechnics.cz/c100mts-c14")</f>
        <v>https://www.klasekpyrotechnics.cz/c100mts-c14</v>
      </c>
      <c r="AA769" s="645">
        <f>IFERROR(IF(VLOOKUP(C769,[4]List1!$A:$D,4,FALSE)=0,"",VLOOKUP(C769,[4]List1!$A:$D,4,FALSE)),"")</f>
        <v>60</v>
      </c>
      <c r="AB769" s="646"/>
      <c r="AC769" s="647" t="str">
        <f>IFERROR(IF(VLOOKUP(C769,[1]List1!$A:$D,2,FALSE)="VYPRODÁNO",$V$9,IF(VLOOKUP(C769,[1]List1!$A:$D,2,FALSE)="DOCHÁZÍ",$V$3,VLOOKUP(C769,[1]List1!$A:$D,2,FALSE))),"OFFLINE!")</f>
        <v>SKLADEM</v>
      </c>
      <c r="AD769" s="647" t="str">
        <f ca="1">IF(AP769="NE",$V$10,IF(AC769=$V$3,IF(AQ769&lt;1,$V$8,$V$2&amp;" "&amp;AQ769&amp;" "&amp;$V$1),IF(AC769="SKLADEM",$V$6,IFERROR(IF(OR(AC769-TODAY()&gt;45,VLOOKUP(C769,[1]List1!$A:$E,4,FALSE)=0),AC769,DAY(AC769)&amp;"."&amp;MONTH(AC769)&amp;"."&amp;YEAR(AC769)&amp;" "&amp;$V$4&amp;VLOOKUP(C769,[1]List1!$A:$E,4,FALSE)&amp;" "&amp;$V$1),AC769))))</f>
        <v>SKLADEM</v>
      </c>
      <c r="AE769" s="645" t="str">
        <f t="shared" ref="AE769:AE779" ca="1" si="2478">IFERROR(IF(AV769&lt;&gt;"",AV769,AD769),AD769)</f>
        <v>SKLADEM</v>
      </c>
      <c r="AF769" s="648">
        <f t="shared" ref="AF769:AF779" si="2479">IFERROR(IF(AB769=Y769,G769*I769*Y769,0),0)</f>
        <v>0</v>
      </c>
      <c r="AG769" s="649">
        <f t="shared" ref="AG769:AG779" si="2480">IF($W$17=$AF$8,AH769*1.23,AF769*1.21)</f>
        <v>0</v>
      </c>
      <c r="AH769" s="650">
        <f t="shared" ref="AH769:AH779" si="2481">IFERROR(IF(Y769=AB769,H769*I769*Y769,0),0)</f>
        <v>0</v>
      </c>
      <c r="AI769" s="645">
        <f t="shared" ref="AI769:AI779" si="2482">IFERROR(IF(Y769=AB769,(P769*Y769)/1000,1),0)</f>
        <v>0</v>
      </c>
      <c r="AJ769" s="645">
        <f t="shared" ref="AJ769:AJ779" si="2483">IFERROR(IF(Y769=AB769,N769*Y769,0.1),0)</f>
        <v>0</v>
      </c>
      <c r="AK769" s="645" t="str">
        <f t="shared" ref="AK769:AK779" si="2484">IFERROR(IF(Y769=AB769,IF(M769="1.1G",(O769/1000)*Y769,""),""),0)</f>
        <v/>
      </c>
      <c r="AL769" s="645" t="str">
        <f t="shared" ref="AL769:AL779" si="2485">IFERROR(IF(Y769=AB769,IF(M769="1.3G",(O769/1000)*AB769,""),""),0)</f>
        <v/>
      </c>
      <c r="AM769" s="645">
        <f t="shared" ref="AM769:AM779" si="2486">IFERROR(IF(Y769=AB769,IF(M769="1.4G",(O769/1000)*AB769,""),""),0)</f>
        <v>0</v>
      </c>
      <c r="AN769" s="651">
        <f t="shared" ref="AN769:AN779" si="2487">SUM(AK769:AM769)</f>
        <v>0</v>
      </c>
      <c r="AO769" s="623"/>
      <c r="AP769" s="625" t="str">
        <f t="shared" si="2346"/>
        <v/>
      </c>
      <c r="AQ769" s="625" t="str">
        <f>IF(AC769=$V$3,IF(VLOOKUP(C769,[1]List1!$A:$E,5,FALSE)=0,1,VLOOKUP(C769,[1]List1!$A:$E,5,FALSE)),"")</f>
        <v/>
      </c>
      <c r="AR769" s="629" t="str">
        <f t="shared" si="2347"/>
        <v/>
      </c>
      <c r="AS769" s="630" t="str">
        <f t="shared" si="2348"/>
        <v/>
      </c>
      <c r="AT769" s="625" t="str">
        <f t="shared" si="2349"/>
        <v/>
      </c>
      <c r="AU769" s="625" t="e">
        <f t="shared" si="2350"/>
        <v>#N/A</v>
      </c>
      <c r="AV769" s="625" t="e">
        <f t="shared" si="2351"/>
        <v>#N/A</v>
      </c>
      <c r="AW769" s="631"/>
      <c r="AX769" s="631">
        <f>IF(AND('General price list'!$J769="F4",'General price list'!$AB769+0&gt;0),1,0)</f>
        <v>0</v>
      </c>
      <c r="AY769" s="631">
        <f t="shared" si="2352"/>
        <v>2</v>
      </c>
      <c r="AZ769" s="631">
        <f t="shared" si="2353"/>
        <v>0</v>
      </c>
    </row>
    <row r="770" spans="1:52" ht="15.75" customHeight="1">
      <c r="A770" s="621" t="str">
        <f>Kat.!C770</f>
        <v/>
      </c>
      <c r="B770" s="566">
        <f>IF(AND('General price list'!$J770="F4",$AI$1=FALSE),0,IF(AC770="SKLADEM",1,IF(AC770=$V$3,1,0)))</f>
        <v>1</v>
      </c>
      <c r="C770" s="567" t="s">
        <v>5142</v>
      </c>
      <c r="D770" s="568" t="s">
        <v>12427</v>
      </c>
      <c r="E770" s="763" t="s">
        <v>12663</v>
      </c>
      <c r="F770" s="772">
        <f>IFERROR(VLOOKUP(C770,[2]List1!$A:$D,3,FALSE),"NEUVEDENO!")</f>
        <v>1637</v>
      </c>
      <c r="G770" s="769">
        <f t="shared" si="2474"/>
        <v>1637</v>
      </c>
      <c r="H770" s="766">
        <f t="shared" si="2475"/>
        <v>69.537366245704362</v>
      </c>
      <c r="I770" s="764">
        <f>IFERROR(VLOOKUP(C770,[2]List1!$A:$D,4,FALSE),"NEUVEDENO!")</f>
        <v>1</v>
      </c>
      <c r="J770" s="732" t="s">
        <v>39</v>
      </c>
      <c r="K770" s="569" t="s">
        <v>20</v>
      </c>
      <c r="L770" s="569" t="s">
        <v>10981</v>
      </c>
      <c r="M770" s="569" t="s">
        <v>21</v>
      </c>
      <c r="N770" s="569">
        <f>IFERROR(VLOOKUP(C770,[3]List1!$A:$D,4,FALSE),"N/A!")</f>
        <v>2.3039999999999998E-2</v>
      </c>
      <c r="O770" s="569">
        <f>IFERROR(VLOOKUP(C770,[3]List1!$A:$D,3,FALSE),"N/A!")</f>
        <v>1000</v>
      </c>
      <c r="P770" s="569">
        <f>IFERROR(VLOOKUP(C770,[3]List1!$A:$D,2,FALSE),"N/A!")</f>
        <v>7700</v>
      </c>
      <c r="Q770" s="569" t="s">
        <v>11749</v>
      </c>
      <c r="R770" s="569" t="s">
        <v>20</v>
      </c>
      <c r="S770" s="569" t="str">
        <f>IF($W$17=$AF$1,"červená fólie",IFERROR(VLOOKUP("červená fólie",Jazyky_ceník!$A:$Q,MATCH($W$17,Jazyky_ceník!$A$1:$Q$1,0),FALSE),"!!!"))</f>
        <v>červená fólie</v>
      </c>
      <c r="T770" s="569">
        <v>65</v>
      </c>
      <c r="U770" s="569" t="s">
        <v>10746</v>
      </c>
      <c r="V770" s="569" t="s">
        <v>10748</v>
      </c>
      <c r="W770" s="569" t="str">
        <f>IFERROR(IF(AND($AB770&gt;=0.1*$AA770,MOD($AB770,$AA770)&gt;=($AA770-(0.1*$AA770))),IF($W$17=$AF$1,"Zvažte možnost doobjednání ještě "&amp;Tabulka1[[#This Row],[VKPAL]]-MOD(AB770,AA770)&amp;" VK do plné palety.",VLOOKUP("Zvažte možnost doobjednání ještě ",Jazyky_ceník!A:Q,MATCH($W$17,Jazyky_ceník!$A$1:$Q$1,0),FALSE)&amp;Tabulka1[[#This Row],[VKPAL]]-MOD(AB770,AA770)&amp;VLOOKUP(" VK do plné palety.",Jazyky_ceník!A:Q,MATCH($W$17,Jazyky_ceník!$A$1:$Q$1,0),FALSE)),IFERROR(IF(AND(NOT(MOD($AB770,$AA770)=0),$AB770&gt;=0.9*$AA770,MOD($AB770,$AA770)&lt;=0.1*$AA770),IF($W$17=$AF$1,"Zvažte možnost optimalizace objednaného množství podle počtu VK na paletě ==&gt;",VLOOKUP("Zvažte možnost optimalizace objednaného množství podle počtu VK na paletě ==&gt;",Jazyky_ceník!A:Q,MATCH($W$17,Jazyky_ceník!$A$1:$Q$1,0),FALSE)),VLOOKUP('General price list'!$C770,Popisy!A:M,MATCH($W$17,Popisy!$A$7:$M$7,0),FALSE)),"---------------")),IFERROR(VLOOKUP('General price list'!$C770,Popisy!A:M,MATCH($W$17,Popisy!$A$7:$M$7,0),FALSE),"---------------"))</f>
        <v>14 různobarevných efektů</v>
      </c>
      <c r="X770" s="569" t="str">
        <f t="shared" si="2476"/>
        <v/>
      </c>
      <c r="Y770" s="569" t="str">
        <f t="shared" si="2477"/>
        <v/>
      </c>
      <c r="Z770" s="569" t="str">
        <f>HYPERLINK("https://www.klasekpyrotechnics.cz/c100mpt-c14")</f>
        <v>https://www.klasekpyrotechnics.cz/c100mpt-c14</v>
      </c>
      <c r="AA770" s="569">
        <f>IFERROR(IF(VLOOKUP(C770,[4]List1!$A:$D,4,FALSE)=0,"",VLOOKUP(C770,[4]List1!$A:$D,4,FALSE)),"")</f>
        <v>60</v>
      </c>
      <c r="AB770" s="565"/>
      <c r="AC770" s="570" t="str">
        <f>IFERROR(IF(VLOOKUP(C770,[1]List1!$A:$D,2,FALSE)="VYPRODÁNO",$V$9,IF(VLOOKUP(C770,[1]List1!$A:$D,2,FALSE)="DOCHÁZÍ",$V$3,VLOOKUP(C770,[1]List1!$A:$D,2,FALSE))),"OFFLINE!")</f>
        <v>SKLADEM</v>
      </c>
      <c r="AD770" s="570" t="str">
        <f ca="1">IF(AP770="NE",$V$10,IF(AC770=$V$3,IF(AQ770&lt;1,$V$8,$V$2&amp;" "&amp;AQ770&amp;" "&amp;$V$1),IF(AC770="SKLADEM",$V$6,IFERROR(IF(OR(AC770-TODAY()&gt;45,VLOOKUP(C770,[1]List1!$A:$E,4,FALSE)=0),AC770,DAY(AC770)&amp;"."&amp;MONTH(AC770)&amp;"."&amp;YEAR(AC770)&amp;" "&amp;$V$4&amp;VLOOKUP(C770,[1]List1!$A:$E,4,FALSE)&amp;" "&amp;$V$1),AC770))))</f>
        <v>SKLADEM</v>
      </c>
      <c r="AE770" s="581" t="str">
        <f t="shared" ca="1" si="2478"/>
        <v>SKLADEM</v>
      </c>
      <c r="AF770" s="584">
        <f t="shared" si="2479"/>
        <v>0</v>
      </c>
      <c r="AG770" s="585">
        <f t="shared" si="2480"/>
        <v>0</v>
      </c>
      <c r="AH770" s="583">
        <f t="shared" si="2481"/>
        <v>0</v>
      </c>
      <c r="AI770" s="582">
        <f t="shared" si="2482"/>
        <v>0</v>
      </c>
      <c r="AJ770" s="569">
        <f t="shared" si="2483"/>
        <v>0</v>
      </c>
      <c r="AK770" s="569" t="str">
        <f t="shared" si="2484"/>
        <v/>
      </c>
      <c r="AL770" s="569" t="str">
        <f t="shared" si="2485"/>
        <v/>
      </c>
      <c r="AM770" s="569">
        <f t="shared" si="2486"/>
        <v>0</v>
      </c>
      <c r="AN770" s="581">
        <f t="shared" si="2487"/>
        <v>0</v>
      </c>
      <c r="AO770" s="623"/>
      <c r="AP770" s="625" t="str">
        <f t="shared" si="2346"/>
        <v/>
      </c>
      <c r="AQ770" s="625" t="str">
        <f>IF(AC770=$V$3,IF(VLOOKUP(C770,[1]List1!$A:$E,5,FALSE)=0,1,VLOOKUP(C770,[1]List1!$A:$E,5,FALSE)),"")</f>
        <v/>
      </c>
      <c r="AR770" s="629" t="str">
        <f t="shared" si="2347"/>
        <v/>
      </c>
      <c r="AS770" s="630" t="str">
        <f t="shared" si="2348"/>
        <v/>
      </c>
      <c r="AT770" s="625" t="str">
        <f t="shared" si="2349"/>
        <v/>
      </c>
      <c r="AU770" s="625" t="e">
        <f t="shared" si="2350"/>
        <v>#N/A</v>
      </c>
      <c r="AV770" s="625" t="e">
        <f t="shared" si="2351"/>
        <v>#N/A</v>
      </c>
      <c r="AW770" s="631"/>
      <c r="AX770" s="631">
        <f>IF(AND('General price list'!$J770="F4",'General price list'!$AB770+0&gt;0),1,0)</f>
        <v>0</v>
      </c>
      <c r="AY770" s="631">
        <f t="shared" si="2352"/>
        <v>2</v>
      </c>
      <c r="AZ770" s="631">
        <f t="shared" si="2353"/>
        <v>0</v>
      </c>
    </row>
    <row r="771" spans="1:52" ht="15.75" customHeight="1">
      <c r="A771" s="639" t="str">
        <f>Kat.!C771</f>
        <v/>
      </c>
      <c r="B771" s="640">
        <f>IF(AND('General price list'!$J771="F4",$AI$1=FALSE),0,IF(AC771="SKLADEM",1,IF(AC771=$V$3,1,0)))</f>
        <v>1</v>
      </c>
      <c r="C771" s="641" t="s">
        <v>12044</v>
      </c>
      <c r="D771" s="642" t="s">
        <v>12045</v>
      </c>
      <c r="E771" s="643" t="s">
        <v>12663</v>
      </c>
      <c r="F771" s="771">
        <f>IFERROR(VLOOKUP(C771,[2]List1!$A:$D,3,FALSE),"NEUVEDENO!")</f>
        <v>1734</v>
      </c>
      <c r="G771" s="768">
        <f t="shared" si="2474"/>
        <v>1734</v>
      </c>
      <c r="H771" s="765">
        <f t="shared" si="2475"/>
        <v>73.657784404429663</v>
      </c>
      <c r="I771" s="644">
        <f>IFERROR(VLOOKUP(C771,[2]List1!$A:$D,4,FALSE),"NEUVEDENO!")</f>
        <v>1</v>
      </c>
      <c r="J771" s="733" t="s">
        <v>39</v>
      </c>
      <c r="K771" s="645" t="s">
        <v>20</v>
      </c>
      <c r="L771" s="645" t="s">
        <v>15088</v>
      </c>
      <c r="M771" s="645" t="s">
        <v>21</v>
      </c>
      <c r="N771" s="645">
        <f>IFERROR(VLOOKUP(C771,[3]List1!$A:$D,4,FALSE),"N/A!")</f>
        <v>2.4015999999999999E-2</v>
      </c>
      <c r="O771" s="645">
        <f>IFERROR(VLOOKUP(C771,[3]List1!$A:$D,3,FALSE),"N/A!")</f>
        <v>992</v>
      </c>
      <c r="P771" s="645">
        <f>IFERROR(VLOOKUP(C771,[3]List1!$A:$D,2,FALSE),"N/A!")</f>
        <v>9000</v>
      </c>
      <c r="Q771" s="645"/>
      <c r="R771" s="645"/>
      <c r="S771" s="645" t="str">
        <f>IF($W$17=$AF$1,"červená fólie",IFERROR(VLOOKUP("červená fólie",Jazyky_ceník!$A:$Q,MATCH($W$17,Jazyky_ceník!$A$1:$Q$1,0),FALSE),"!!!"))</f>
        <v>červená fólie</v>
      </c>
      <c r="T771" s="645">
        <v>70</v>
      </c>
      <c r="U771" s="645" t="s">
        <v>10746</v>
      </c>
      <c r="V771" s="645" t="s">
        <v>10748</v>
      </c>
      <c r="W771" s="645" t="str">
        <f>IFERROR(IF(AND($AB771&gt;=0.1*$AA771,MOD($AB771,$AA771)&gt;=($AA771-(0.1*$AA771))),IF($W$17=$AF$1,"Zvažte možnost doobjednání ještě "&amp;Tabulka1[[#This Row],[VKPAL]]-MOD(AB771,AA771)&amp;" VK do plné palety.",VLOOKUP("Zvažte možnost doobjednání ještě ",Jazyky_ceník!A:Q,MATCH($W$17,Jazyky_ceník!$A$1:$Q$1,0),FALSE)&amp;Tabulka1[[#This Row],[VKPAL]]-MOD(AB771,AA771)&amp;VLOOKUP(" VK do plné palety.",Jazyky_ceník!A:Q,MATCH($W$17,Jazyky_ceník!$A$1:$Q$1,0),FALSE)),IFERROR(IF(AND(NOT(MOD($AB771,$AA771)=0),$AB771&gt;=0.9*$AA771,MOD($AB771,$AA771)&lt;=0.1*$AA771),IF($W$17=$AF$1,"Zvažte možnost optimalizace objednaného množství podle počtu VK na paletě ==&gt;",VLOOKUP("Zvažte možnost optimalizace objednaného množství podle počtu VK na paletě ==&gt;",Jazyky_ceník!A:Q,MATCH($W$17,Jazyky_ceník!$A$1:$Q$1,0),FALSE)),VLOOKUP('General price list'!$C771,Popisy!A:M,MATCH($W$17,Popisy!$A$7:$M$7,0),FALSE)),"---------------")),IFERROR(VLOOKUP('General price list'!$C771,Popisy!A:M,MATCH($W$17,Popisy!$A$7:$M$7,0),FALSE),"---------------"))</f>
        <v>13 různobarevných efektů</v>
      </c>
      <c r="X771" s="645" t="str">
        <f t="shared" si="2476"/>
        <v/>
      </c>
      <c r="Y771" s="645" t="str">
        <f t="shared" si="2477"/>
        <v/>
      </c>
      <c r="Z771" s="645" t="str">
        <f>HYPERLINK("https://www.klasekpyrotechnics.cz/c124mxm-c14")</f>
        <v>https://www.klasekpyrotechnics.cz/c124mxm-c14</v>
      </c>
      <c r="AA771" s="645">
        <f>IFERROR(IF(VLOOKUP(C771,[4]List1!$A:$D,4,FALSE)=0,"",VLOOKUP(C771,[4]List1!$A:$D,4,FALSE)),"")</f>
        <v>54</v>
      </c>
      <c r="AB771" s="646"/>
      <c r="AC771" s="647" t="str">
        <f>IFERROR(IF(VLOOKUP(C771,[1]List1!$A:$D,2,FALSE)="VYPRODÁNO",$V$9,IF(VLOOKUP(C771,[1]List1!$A:$D,2,FALSE)="DOCHÁZÍ",$V$3,VLOOKUP(C771,[1]List1!$A:$D,2,FALSE))),"OFFLINE!")</f>
        <v>SKLADEM</v>
      </c>
      <c r="AD771" s="647" t="str">
        <f ca="1">IF(AP771="NE",$V$10,IF(AC771=$V$3,IF(AQ771&lt;1,$V$8,$V$2&amp;" "&amp;AQ771&amp;" "&amp;$V$1),IF(AC771="SKLADEM",$V$6,IFERROR(IF(OR(AC771-TODAY()&gt;45,VLOOKUP(C771,[1]List1!$A:$E,4,FALSE)=0),AC771,DAY(AC771)&amp;"."&amp;MONTH(AC771)&amp;"."&amp;YEAR(AC771)&amp;" "&amp;$V$4&amp;VLOOKUP(C771,[1]List1!$A:$E,4,FALSE)&amp;" "&amp;$V$1),AC771))))</f>
        <v>SKLADEM</v>
      </c>
      <c r="AE771" s="645" t="str">
        <f t="shared" ca="1" si="2478"/>
        <v>SKLADEM</v>
      </c>
      <c r="AF771" s="648">
        <f t="shared" si="2479"/>
        <v>0</v>
      </c>
      <c r="AG771" s="649">
        <f t="shared" si="2480"/>
        <v>0</v>
      </c>
      <c r="AH771" s="650">
        <f t="shared" si="2481"/>
        <v>0</v>
      </c>
      <c r="AI771" s="645">
        <f t="shared" si="2482"/>
        <v>0</v>
      </c>
      <c r="AJ771" s="645">
        <f t="shared" si="2483"/>
        <v>0</v>
      </c>
      <c r="AK771" s="645" t="str">
        <f t="shared" si="2484"/>
        <v/>
      </c>
      <c r="AL771" s="645" t="str">
        <f t="shared" si="2485"/>
        <v/>
      </c>
      <c r="AM771" s="645">
        <f t="shared" si="2486"/>
        <v>0</v>
      </c>
      <c r="AN771" s="651">
        <f t="shared" si="2487"/>
        <v>0</v>
      </c>
      <c r="AO771" s="623"/>
      <c r="AP771" s="625" t="str">
        <f t="shared" si="2346"/>
        <v/>
      </c>
      <c r="AQ771" s="625" t="str">
        <f>IF(AC771=$V$3,IF(VLOOKUP(C771,[1]List1!$A:$E,5,FALSE)=0,1,VLOOKUP(C771,[1]List1!$A:$E,5,FALSE)),"")</f>
        <v/>
      </c>
      <c r="AR771" s="629" t="str">
        <f t="shared" si="2347"/>
        <v/>
      </c>
      <c r="AS771" s="630" t="str">
        <f t="shared" si="2348"/>
        <v/>
      </c>
      <c r="AT771" s="625" t="str">
        <f t="shared" si="2349"/>
        <v/>
      </c>
      <c r="AU771" s="625" t="e">
        <f t="shared" si="2350"/>
        <v>#N/A</v>
      </c>
      <c r="AV771" s="625" t="e">
        <f t="shared" si="2351"/>
        <v>#N/A</v>
      </c>
      <c r="AW771" s="631"/>
      <c r="AX771" s="631">
        <f>IF(AND('General price list'!$J771="F4",'General price list'!$AB771+0&gt;0),1,0)</f>
        <v>0</v>
      </c>
      <c r="AY771" s="631">
        <f t="shared" si="2352"/>
        <v>0</v>
      </c>
      <c r="AZ771" s="631">
        <f t="shared" si="2353"/>
        <v>0</v>
      </c>
    </row>
    <row r="772" spans="1:52" ht="15" customHeight="1">
      <c r="A772" s="621" t="str">
        <f>Kat.!C772</f>
        <v/>
      </c>
      <c r="B772" s="566">
        <f>IF(AND('General price list'!$J772="F4",$AI$1=FALSE),0,IF(AC772="SKLADEM",1,IF(AC772=$V$3,1,0)))</f>
        <v>1</v>
      </c>
      <c r="C772" s="567" t="s">
        <v>1499</v>
      </c>
      <c r="D772" s="568" t="s">
        <v>1500</v>
      </c>
      <c r="E772" s="763" t="s">
        <v>12663</v>
      </c>
      <c r="F772" s="772">
        <f>IFERROR(VLOOKUP(C772,[2]List1!$A:$D,3,FALSE),"NEUVEDENO!")</f>
        <v>1599</v>
      </c>
      <c r="G772" s="769">
        <f t="shared" si="2474"/>
        <v>1599</v>
      </c>
      <c r="H772" s="766">
        <f t="shared" si="2475"/>
        <v>67.923181812389288</v>
      </c>
      <c r="I772" s="764">
        <f>IFERROR(VLOOKUP(C772,[2]List1!$A:$D,4,FALSE),"NEUVEDENO!")</f>
        <v>1</v>
      </c>
      <c r="J772" s="732" t="s">
        <v>39</v>
      </c>
      <c r="K772" s="569" t="s">
        <v>20</v>
      </c>
      <c r="L772" s="569" t="s">
        <v>10981</v>
      </c>
      <c r="M772" s="569" t="s">
        <v>21</v>
      </c>
      <c r="N772" s="569">
        <f>IFERROR(VLOOKUP(C772,[3]List1!$A:$D,4,FALSE),"N/A!")</f>
        <v>1.8926249999999999E-2</v>
      </c>
      <c r="O772" s="569">
        <f>IFERROR(VLOOKUP(C772,[3]List1!$A:$D,3,FALSE),"N/A!")</f>
        <v>990</v>
      </c>
      <c r="P772" s="569">
        <f>IFERROR(VLOOKUP(C772,[3]List1!$A:$D,2,FALSE),"N/A!")</f>
        <v>8000</v>
      </c>
      <c r="Q772" s="569" t="s">
        <v>11311</v>
      </c>
      <c r="R772" s="569" t="s">
        <v>20</v>
      </c>
      <c r="S772" s="569" t="str">
        <f>IF($W$17=$AF$1,"červená fólie",IFERROR(VLOOKUP("červená fólie",Jazyky_ceník!$A:$Q,MATCH($W$17,Jazyky_ceník!$A$1:$Q$1,0),FALSE),"!!!"))</f>
        <v>červená fólie</v>
      </c>
      <c r="T772" s="569">
        <v>100</v>
      </c>
      <c r="U772" s="569" t="s">
        <v>10751</v>
      </c>
      <c r="V772" s="569" t="s">
        <v>10753</v>
      </c>
      <c r="W772" s="569" t="str">
        <f>IFERROR(IF(AND($AB772&gt;=0.1*$AA772,MOD($AB772,$AA772)&gt;=($AA772-(0.1*$AA772))),IF($W$17=$AF$1,"Zvažte možnost doobjednání ještě "&amp;Tabulka1[[#This Row],[VKPAL]]-MOD(AB772,AA772)&amp;" VK do plné palety.",VLOOKUP("Zvažte možnost doobjednání ještě ",Jazyky_ceník!A:Q,MATCH($W$17,Jazyky_ceník!$A$1:$Q$1,0),FALSE)&amp;Tabulka1[[#This Row],[VKPAL]]-MOD(AB772,AA772)&amp;VLOOKUP(" VK do plné palety.",Jazyky_ceník!A:Q,MATCH($W$17,Jazyky_ceník!$A$1:$Q$1,0),FALSE)),IFERROR(IF(AND(NOT(MOD($AB772,$AA772)=0),$AB772&gt;=0.9*$AA772,MOD($AB772,$AA772)&lt;=0.1*$AA772),IF($W$17=$AF$1,"Zvažte možnost optimalizace objednaného množství podle počtu VK na paletě ==&gt;",VLOOKUP("Zvažte možnost optimalizace objednaného množství podle počtu VK na paletě ==&gt;",Jazyky_ceník!A:Q,MATCH($W$17,Jazyky_ceník!$A$1:$Q$1,0),FALSE)),VLOOKUP('General price list'!$C772,Popisy!A:M,MATCH($W$17,Popisy!$A$7:$M$7,0),FALSE)),"---------------")),IFERROR(VLOOKUP('General price list'!$C772,Popisy!A:M,MATCH($W$17,Popisy!$A$7:$M$7,0),FALSE),"---------------"))</f>
        <v>18 různobarevných efektů</v>
      </c>
      <c r="X772" s="569" t="str">
        <f t="shared" si="2476"/>
        <v/>
      </c>
      <c r="Y772" s="569" t="str">
        <f t="shared" si="2477"/>
        <v/>
      </c>
      <c r="Z772" s="569" t="str">
        <f>HYPERLINK("https://www.klasekpyrotechnics.cz/c128ms-c14")</f>
        <v>https://www.klasekpyrotechnics.cz/c128ms-c14</v>
      </c>
      <c r="AA772" s="569">
        <f>IFERROR(IF(VLOOKUP(C772,[4]List1!$A:$D,4,FALSE)=0,"",VLOOKUP(C772,[4]List1!$A:$D,4,FALSE)),"")</f>
        <v>63</v>
      </c>
      <c r="AB772" s="565"/>
      <c r="AC772" s="570" t="str">
        <f>IFERROR(IF(VLOOKUP(C772,[1]List1!$A:$D,2,FALSE)="VYPRODÁNO",$V$9,IF(VLOOKUP(C772,[1]List1!$A:$D,2,FALSE)="DOCHÁZÍ",$V$3,VLOOKUP(C772,[1]List1!$A:$D,2,FALSE))),"OFFLINE!")</f>
        <v>SKLADEM</v>
      </c>
      <c r="AD772" s="570" t="str">
        <f ca="1">IF(AP772="NE",$V$10,IF(AC772=$V$3,IF(AQ772&lt;1,$V$8,$V$2&amp;" "&amp;AQ772&amp;" "&amp;$V$1),IF(AC772="SKLADEM",$V$6,IFERROR(IF(OR(AC772-TODAY()&gt;45,VLOOKUP(C772,[1]List1!$A:$E,4,FALSE)=0),AC772,DAY(AC772)&amp;"."&amp;MONTH(AC772)&amp;"."&amp;YEAR(AC772)&amp;" "&amp;$V$4&amp;VLOOKUP(C772,[1]List1!$A:$E,4,FALSE)&amp;" "&amp;$V$1),AC772))))</f>
        <v>SKLADEM</v>
      </c>
      <c r="AE772" s="581" t="str">
        <f t="shared" ca="1" si="2478"/>
        <v>SKLADEM</v>
      </c>
      <c r="AF772" s="584">
        <f t="shared" si="2479"/>
        <v>0</v>
      </c>
      <c r="AG772" s="585">
        <f t="shared" si="2480"/>
        <v>0</v>
      </c>
      <c r="AH772" s="583">
        <f t="shared" si="2481"/>
        <v>0</v>
      </c>
      <c r="AI772" s="582">
        <f t="shared" si="2482"/>
        <v>0</v>
      </c>
      <c r="AJ772" s="569">
        <f t="shared" si="2483"/>
        <v>0</v>
      </c>
      <c r="AK772" s="569" t="str">
        <f t="shared" si="2484"/>
        <v/>
      </c>
      <c r="AL772" s="569" t="str">
        <f t="shared" si="2485"/>
        <v/>
      </c>
      <c r="AM772" s="569">
        <f t="shared" si="2486"/>
        <v>0</v>
      </c>
      <c r="AN772" s="581">
        <f t="shared" si="2487"/>
        <v>0</v>
      </c>
      <c r="AO772" s="623"/>
      <c r="AP772" s="632" t="str">
        <f t="shared" si="2346"/>
        <v/>
      </c>
      <c r="AQ772" s="633" t="str">
        <f>IF(AC772=$V$3,IF(VLOOKUP(C772,[1]List1!$A:$E,5,FALSE)=0,1,VLOOKUP(C772,[1]List1!$A:$E,5,FALSE)),"")</f>
        <v/>
      </c>
      <c r="AR772" s="625" t="str">
        <f t="shared" si="2347"/>
        <v/>
      </c>
      <c r="AS772" s="634" t="str">
        <f t="shared" si="2348"/>
        <v/>
      </c>
      <c r="AT772" s="625" t="str">
        <f t="shared" si="2349"/>
        <v/>
      </c>
      <c r="AU772" s="638" t="e">
        <f t="shared" si="2350"/>
        <v>#N/A</v>
      </c>
      <c r="AV772" s="625" t="e">
        <f t="shared" si="2351"/>
        <v>#N/A</v>
      </c>
      <c r="AX772" s="625">
        <f>IF(AND('General price list'!$J772="F4",'General price list'!$AB772+0&gt;0),1,0)</f>
        <v>0</v>
      </c>
      <c r="AY772" s="625">
        <f t="shared" si="2352"/>
        <v>1</v>
      </c>
      <c r="AZ772" s="625">
        <f t="shared" si="2353"/>
        <v>0</v>
      </c>
    </row>
    <row r="773" spans="1:52" ht="15" customHeight="1">
      <c r="A773" s="639" t="str">
        <f>Kat.!C773</f>
        <v>×</v>
      </c>
      <c r="B773" s="640">
        <f>IF(AND('General price list'!$J773="F4",$AI$1=FALSE),0,IF(AC773="SKLADEM",1,IF(AC773=$V$3,1,0)))</f>
        <v>1</v>
      </c>
      <c r="C773" s="641" t="s">
        <v>5143</v>
      </c>
      <c r="D773" s="642" t="s">
        <v>5144</v>
      </c>
      <c r="E773" s="643" t="s">
        <v>12663</v>
      </c>
      <c r="F773" s="771">
        <f>IFERROR(VLOOKUP(C773,[2]List1!$A:$D,3,FALSE),"NEUVEDENO!")</f>
        <v>2225</v>
      </c>
      <c r="G773" s="768">
        <f t="shared" si="2474"/>
        <v>2225</v>
      </c>
      <c r="H773" s="765">
        <f t="shared" si="2475"/>
        <v>94.514746424369093</v>
      </c>
      <c r="I773" s="644">
        <f>IFERROR(VLOOKUP(C773,[2]List1!$A:$D,4,FALSE),"NEUVEDENO!")</f>
        <v>1</v>
      </c>
      <c r="J773" s="733" t="s">
        <v>39</v>
      </c>
      <c r="K773" s="645" t="s">
        <v>20</v>
      </c>
      <c r="L773" s="645" t="s">
        <v>10981</v>
      </c>
      <c r="M773" s="645" t="s">
        <v>21</v>
      </c>
      <c r="N773" s="645">
        <f>IFERROR(VLOOKUP(C773,[3]List1!$A:$D,4,FALSE),"N/A!")</f>
        <v>3.2544000000000003E-2</v>
      </c>
      <c r="O773" s="645">
        <f>IFERROR(VLOOKUP(C773,[3]List1!$A:$D,3,FALSE),"N/A!")</f>
        <v>1000</v>
      </c>
      <c r="P773" s="645">
        <f>IFERROR(VLOOKUP(C773,[3]List1!$A:$D,2,FALSE),"N/A!")</f>
        <v>9500</v>
      </c>
      <c r="Q773" s="645" t="s">
        <v>12103</v>
      </c>
      <c r="R773" s="645" t="s">
        <v>20</v>
      </c>
      <c r="S773" s="645" t="str">
        <f>IF($W$17=$AF$1,"červená fólie",IFERROR(VLOOKUP("červená fólie",Jazyky_ceník!$A:$Q,MATCH($W$17,Jazyky_ceník!$A$1:$Q$1,0),FALSE),"!!!"))</f>
        <v>červená fólie</v>
      </c>
      <c r="T773" s="645">
        <v>70</v>
      </c>
      <c r="U773" s="645" t="s">
        <v>10746</v>
      </c>
      <c r="V773" s="645" t="s">
        <v>10755</v>
      </c>
      <c r="W773" s="645" t="str">
        <f>IFERROR(IF(AND($AB773&gt;=0.1*$AA773,MOD($AB773,$AA773)&gt;=($AA773-(0.1*$AA773))),IF($W$17=$AF$1,"Zvažte možnost doobjednání ještě "&amp;Tabulka1[[#This Row],[VKPAL]]-MOD(AB773,AA773)&amp;" VK do plné palety.",VLOOKUP("Zvažte možnost doobjednání ještě ",Jazyky_ceník!A:Q,MATCH($W$17,Jazyky_ceník!$A$1:$Q$1,0),FALSE)&amp;Tabulka1[[#This Row],[VKPAL]]-MOD(AB773,AA773)&amp;VLOOKUP(" VK do plné palety.",Jazyky_ceník!A:Q,MATCH($W$17,Jazyky_ceník!$A$1:$Q$1,0),FALSE)),IFERROR(IF(AND(NOT(MOD($AB773,$AA773)=0),$AB773&gt;=0.9*$AA773,MOD($AB773,$AA773)&lt;=0.1*$AA773),IF($W$17=$AF$1,"Zvažte možnost optimalizace objednaného množství podle počtu VK na paletě ==&gt;",VLOOKUP("Zvažte možnost optimalizace objednaného množství podle počtu VK na paletě ==&gt;",Jazyky_ceník!A:Q,MATCH($W$17,Jazyky_ceník!$A$1:$Q$1,0),FALSE)),VLOOKUP('General price list'!$C773,Popisy!A:M,MATCH($W$17,Popisy!$A$7:$M$7,0),FALSE)),"---------------")),IFERROR(VLOOKUP('General price list'!$C773,Popisy!A:M,MATCH($W$17,Popisy!$A$7:$M$7,0),FALSE),"---------------"))</f>
        <v>28 různobarevných efektů</v>
      </c>
      <c r="X773" s="645" t="str">
        <f t="shared" si="2476"/>
        <v/>
      </c>
      <c r="Y773" s="645" t="str">
        <f t="shared" si="2477"/>
        <v/>
      </c>
      <c r="Z773" s="645" t="str">
        <f>HYPERLINK("https://www.klasekpyrotechnics.cz/c136xmts-c14")</f>
        <v>https://www.klasekpyrotechnics.cz/c136xmts-c14</v>
      </c>
      <c r="AA773" s="645">
        <f>IFERROR(IF(VLOOKUP(C773,[4]List1!$A:$D,4,FALSE)=0,"",VLOOKUP(C773,[4]List1!$A:$D,4,FALSE)),"")</f>
        <v>32</v>
      </c>
      <c r="AB773" s="646"/>
      <c r="AC773" s="647" t="str">
        <f>IFERROR(IF(VLOOKUP(C773,[1]List1!$A:$D,2,FALSE)="VYPRODÁNO",$V$9,IF(VLOOKUP(C773,[1]List1!$A:$D,2,FALSE)="DOCHÁZÍ",$V$3,VLOOKUP(C773,[1]List1!$A:$D,2,FALSE))),"OFFLINE!")</f>
        <v>SKLADEM</v>
      </c>
      <c r="AD773" s="647" t="str">
        <f ca="1">IF(AP773="NE",$V$10,IF(AC773=$V$3,IF(AQ773&lt;1,$V$8,$V$2&amp;" "&amp;AQ773&amp;" "&amp;$V$1),IF(AC773="SKLADEM",$V$6,IFERROR(IF(OR(AC773-TODAY()&gt;45,VLOOKUP(C773,[1]List1!$A:$E,4,FALSE)=0),AC773,DAY(AC773)&amp;"."&amp;MONTH(AC773)&amp;"."&amp;YEAR(AC773)&amp;" "&amp;$V$4&amp;VLOOKUP(C773,[1]List1!$A:$E,4,FALSE)&amp;" "&amp;$V$1),AC773))))</f>
        <v>SKLADEM</v>
      </c>
      <c r="AE773" s="645" t="str">
        <f t="shared" ca="1" si="2478"/>
        <v>SKLADEM</v>
      </c>
      <c r="AF773" s="648">
        <f t="shared" si="2479"/>
        <v>0</v>
      </c>
      <c r="AG773" s="649">
        <f t="shared" si="2480"/>
        <v>0</v>
      </c>
      <c r="AH773" s="650">
        <f t="shared" si="2481"/>
        <v>0</v>
      </c>
      <c r="AI773" s="645">
        <f t="shared" si="2482"/>
        <v>0</v>
      </c>
      <c r="AJ773" s="645">
        <f t="shared" si="2483"/>
        <v>0</v>
      </c>
      <c r="AK773" s="645" t="str">
        <f t="shared" si="2484"/>
        <v/>
      </c>
      <c r="AL773" s="645" t="str">
        <f t="shared" si="2485"/>
        <v/>
      </c>
      <c r="AM773" s="645">
        <f t="shared" si="2486"/>
        <v>0</v>
      </c>
      <c r="AN773" s="651">
        <f t="shared" si="2487"/>
        <v>0</v>
      </c>
      <c r="AO773" s="623"/>
      <c r="AP773" s="632" t="str">
        <f t="shared" si="2346"/>
        <v/>
      </c>
      <c r="AQ773" s="633" t="str">
        <f>IF(AC773=$V$3,IF(VLOOKUP(C773,[1]List1!$A:$E,5,FALSE)=0,1,VLOOKUP(C773,[1]List1!$A:$E,5,FALSE)),"")</f>
        <v/>
      </c>
      <c r="AR773" s="625" t="str">
        <f t="shared" si="2347"/>
        <v/>
      </c>
      <c r="AS773" s="634" t="str">
        <f t="shared" si="2348"/>
        <v/>
      </c>
      <c r="AT773" s="625" t="str">
        <f t="shared" si="2349"/>
        <v/>
      </c>
      <c r="AU773" s="638" t="e">
        <f t="shared" si="2350"/>
        <v>#N/A</v>
      </c>
      <c r="AV773" s="625" t="e">
        <f t="shared" si="2351"/>
        <v>#N/A</v>
      </c>
      <c r="AX773" s="625">
        <f>IF(AND('General price list'!$J773="F4",'General price list'!$AB773+0&gt;0),1,0)</f>
        <v>0</v>
      </c>
      <c r="AY773" s="625">
        <f t="shared" si="2352"/>
        <v>1</v>
      </c>
      <c r="AZ773" s="625">
        <f t="shared" si="2353"/>
        <v>0</v>
      </c>
    </row>
    <row r="774" spans="1:52" ht="15" customHeight="1">
      <c r="A774" s="621" t="str">
        <f>Kat.!C774</f>
        <v/>
      </c>
      <c r="B774" s="566">
        <f>IF(AND('General price list'!$J774="F4",$AI$1=FALSE),0,IF(AC774="SKLADEM",1,IF(AC774=$V$3,1,0)))</f>
        <v>1</v>
      </c>
      <c r="C774" s="567" t="s">
        <v>5145</v>
      </c>
      <c r="D774" s="568" t="s">
        <v>5146</v>
      </c>
      <c r="E774" s="763" t="s">
        <v>12663</v>
      </c>
      <c r="F774" s="772">
        <f>IFERROR(VLOOKUP(C774,[2]List1!$A:$D,3,FALSE),"NEUVEDENO!")</f>
        <v>2225</v>
      </c>
      <c r="G774" s="769">
        <f t="shared" si="2474"/>
        <v>2225</v>
      </c>
      <c r="H774" s="766">
        <f t="shared" si="2475"/>
        <v>94.514746424369093</v>
      </c>
      <c r="I774" s="764">
        <f>IFERROR(VLOOKUP(C774,[2]List1!$A:$D,4,FALSE),"NEUVEDENO!")</f>
        <v>1</v>
      </c>
      <c r="J774" s="732" t="s">
        <v>39</v>
      </c>
      <c r="K774" s="569" t="s">
        <v>20</v>
      </c>
      <c r="L774" s="569" t="s">
        <v>10981</v>
      </c>
      <c r="M774" s="569" t="s">
        <v>21</v>
      </c>
      <c r="N774" s="569">
        <f>IFERROR(VLOOKUP(C774,[3]List1!$A:$D,4,FALSE),"N/A!")</f>
        <v>3.2544000000000003E-2</v>
      </c>
      <c r="O774" s="569">
        <f>IFERROR(VLOOKUP(C774,[3]List1!$A:$D,3,FALSE),"N/A!")</f>
        <v>1000</v>
      </c>
      <c r="P774" s="569">
        <f>IFERROR(VLOOKUP(C774,[3]List1!$A:$D,2,FALSE),"N/A!")</f>
        <v>9500</v>
      </c>
      <c r="Q774" s="569" t="s">
        <v>11244</v>
      </c>
      <c r="R774" s="569"/>
      <c r="S774" s="569" t="str">
        <f>IF($W$17=$AF$1,"červená fólie",IFERROR(VLOOKUP("červená fólie",Jazyky_ceník!$A:$Q,MATCH($W$17,Jazyky_ceník!$A$1:$Q$1,0),FALSE),"!!!"))</f>
        <v>červená fólie</v>
      </c>
      <c r="T774" s="569">
        <v>90</v>
      </c>
      <c r="U774" s="569" t="s">
        <v>10746</v>
      </c>
      <c r="V774" s="569" t="s">
        <v>10755</v>
      </c>
      <c r="W774" s="569" t="str">
        <f>IFERROR(IF(AND($AB774&gt;=0.1*$AA774,MOD($AB774,$AA774)&gt;=($AA774-(0.1*$AA774))),IF($W$17=$AF$1,"Zvažte možnost doobjednání ještě "&amp;Tabulka1[[#This Row],[VKPAL]]-MOD(AB774,AA774)&amp;" VK do plné palety.",VLOOKUP("Zvažte možnost doobjednání ještě ",Jazyky_ceník!A:Q,MATCH($W$17,Jazyky_ceník!$A$1:$Q$1,0),FALSE)&amp;Tabulka1[[#This Row],[VKPAL]]-MOD(AB774,AA774)&amp;VLOOKUP(" VK do plné palety.",Jazyky_ceník!A:Q,MATCH($W$17,Jazyky_ceník!$A$1:$Q$1,0),FALSE)),IFERROR(IF(AND(NOT(MOD($AB774,$AA774)=0),$AB774&gt;=0.9*$AA774,MOD($AB774,$AA774)&lt;=0.1*$AA774),IF($W$17=$AF$1,"Zvažte možnost optimalizace objednaného množství podle počtu VK na paletě ==&gt;",VLOOKUP("Zvažte možnost optimalizace objednaného množství podle počtu VK na paletě ==&gt;",Jazyky_ceník!A:Q,MATCH($W$17,Jazyky_ceník!$A$1:$Q$1,0),FALSE)),VLOOKUP('General price list'!$C774,Popisy!A:M,MATCH($W$17,Popisy!$A$7:$M$7,0),FALSE)),"---------------")),IFERROR(VLOOKUP('General price list'!$C774,Popisy!A:M,MATCH($W$17,Popisy!$A$7:$M$7,0),FALSE),"---------------"))</f>
        <v>28 různobarevných efektů</v>
      </c>
      <c r="X774" s="569" t="str">
        <f t="shared" si="2476"/>
        <v/>
      </c>
      <c r="Y774" s="569" t="str">
        <f t="shared" si="2477"/>
        <v/>
      </c>
      <c r="Z774" s="569" t="str">
        <f>HYPERLINK("https://www.klasekpyrotechnics.cz/c136xmk-c14")</f>
        <v>https://www.klasekpyrotechnics.cz/c136xmk-c14</v>
      </c>
      <c r="AA774" s="569">
        <f>IFERROR(IF(VLOOKUP(C774,[4]List1!$A:$D,4,FALSE)=0,"",VLOOKUP(C774,[4]List1!$A:$D,4,FALSE)),"")</f>
        <v>32</v>
      </c>
      <c r="AB774" s="565"/>
      <c r="AC774" s="570" t="str">
        <f>IFERROR(IF(VLOOKUP(C774,[1]List1!$A:$D,2,FALSE)="VYPRODÁNO",$V$9,IF(VLOOKUP(C774,[1]List1!$A:$D,2,FALSE)="DOCHÁZÍ",$V$3,VLOOKUP(C774,[1]List1!$A:$D,2,FALSE))),"OFFLINE!")</f>
        <v>SKLADEM</v>
      </c>
      <c r="AD774" s="570" t="str">
        <f ca="1">IF(AP774="NE",$V$10,IF(AC774=$V$3,IF(AQ774&lt;1,$V$8,$V$2&amp;" "&amp;AQ774&amp;" "&amp;$V$1),IF(AC774="SKLADEM",$V$6,IFERROR(IF(OR(AC774-TODAY()&gt;45,VLOOKUP(C774,[1]List1!$A:$E,4,FALSE)=0),AC774,DAY(AC774)&amp;"."&amp;MONTH(AC774)&amp;"."&amp;YEAR(AC774)&amp;" "&amp;$V$4&amp;VLOOKUP(C774,[1]List1!$A:$E,4,FALSE)&amp;" "&amp;$V$1),AC774))))</f>
        <v>SKLADEM</v>
      </c>
      <c r="AE774" s="581" t="str">
        <f t="shared" ca="1" si="2478"/>
        <v>SKLADEM</v>
      </c>
      <c r="AF774" s="584">
        <f t="shared" si="2479"/>
        <v>0</v>
      </c>
      <c r="AG774" s="585">
        <f t="shared" si="2480"/>
        <v>0</v>
      </c>
      <c r="AH774" s="583">
        <f t="shared" si="2481"/>
        <v>0</v>
      </c>
      <c r="AI774" s="582">
        <f t="shared" si="2482"/>
        <v>0</v>
      </c>
      <c r="AJ774" s="569">
        <f t="shared" si="2483"/>
        <v>0</v>
      </c>
      <c r="AK774" s="569" t="str">
        <f t="shared" si="2484"/>
        <v/>
      </c>
      <c r="AL774" s="569" t="str">
        <f t="shared" si="2485"/>
        <v/>
      </c>
      <c r="AM774" s="569">
        <f t="shared" si="2486"/>
        <v>0</v>
      </c>
      <c r="AN774" s="581">
        <f t="shared" si="2487"/>
        <v>0</v>
      </c>
      <c r="AO774" s="623"/>
      <c r="AP774" s="632" t="str">
        <f t="shared" si="2346"/>
        <v/>
      </c>
      <c r="AQ774" s="633" t="str">
        <f>IF(AC774=$V$3,IF(VLOOKUP(C774,[1]List1!$A:$E,5,FALSE)=0,1,VLOOKUP(C774,[1]List1!$A:$E,5,FALSE)),"")</f>
        <v/>
      </c>
      <c r="AR774" s="625" t="str">
        <f t="shared" si="2347"/>
        <v/>
      </c>
      <c r="AS774" s="634" t="str">
        <f t="shared" si="2348"/>
        <v/>
      </c>
      <c r="AT774" s="625" t="str">
        <f t="shared" si="2349"/>
        <v/>
      </c>
      <c r="AU774" s="638" t="e">
        <f t="shared" si="2350"/>
        <v>#N/A</v>
      </c>
      <c r="AV774" s="625" t="e">
        <f t="shared" si="2351"/>
        <v>#N/A</v>
      </c>
      <c r="AX774" s="625">
        <f>IF(AND('General price list'!$J774="F4",'General price list'!$AB774+0&gt;0),1,0)</f>
        <v>0</v>
      </c>
      <c r="AY774" s="625">
        <f t="shared" si="2352"/>
        <v>1</v>
      </c>
      <c r="AZ774" s="625">
        <f t="shared" si="2353"/>
        <v>0</v>
      </c>
    </row>
    <row r="775" spans="1:52" ht="15" customHeight="1">
      <c r="A775" s="639" t="str">
        <f>Kat.!C775</f>
        <v/>
      </c>
      <c r="B775" s="640">
        <f>IF(AND('General price list'!$J775="F4",$AI$1=FALSE),0,IF(AC775="SKLADEM",1,IF(AC775=$V$3,1,0)))</f>
        <v>1</v>
      </c>
      <c r="C775" s="641" t="s">
        <v>12046</v>
      </c>
      <c r="D775" s="642" t="s">
        <v>12047</v>
      </c>
      <c r="E775" s="643" t="s">
        <v>12663</v>
      </c>
      <c r="F775" s="771">
        <f>IFERROR(VLOOKUP(C775,[2]List1!$A:$D,3,FALSE),"NEUVEDENO!")</f>
        <v>2484</v>
      </c>
      <c r="G775" s="768">
        <f t="shared" si="2474"/>
        <v>2484</v>
      </c>
      <c r="H775" s="765">
        <f t="shared" si="2475"/>
        <v>105.51668769354283</v>
      </c>
      <c r="I775" s="644">
        <f>IFERROR(VLOOKUP(C775,[2]List1!$A:$D,4,FALSE),"NEUVEDENO!")</f>
        <v>1</v>
      </c>
      <c r="J775" s="733" t="s">
        <v>39</v>
      </c>
      <c r="K775" s="645" t="s">
        <v>20</v>
      </c>
      <c r="L775" s="645" t="s">
        <v>15088</v>
      </c>
      <c r="M775" s="645" t="s">
        <v>21</v>
      </c>
      <c r="N775" s="645">
        <f>IFERROR(VLOOKUP(C775,[3]List1!$A:$D,4,FALSE),"N/A!")</f>
        <v>0</v>
      </c>
      <c r="O775" s="645">
        <f>IFERROR(VLOOKUP(C775,[3]List1!$A:$D,3,FALSE),"N/A!")</f>
        <v>998</v>
      </c>
      <c r="P775" s="645">
        <f>IFERROR(VLOOKUP(C775,[3]List1!$A:$D,2,FALSE),"N/A!")</f>
        <v>10000</v>
      </c>
      <c r="Q775" s="645" t="s">
        <v>11244</v>
      </c>
      <c r="R775" s="645"/>
      <c r="S775" s="645" t="str">
        <f>IF($W$17=$AF$1,"červená fólie",IFERROR(VLOOKUP("červená fólie",Jazyky_ceník!$A:$Q,MATCH($W$17,Jazyky_ceník!$A$1:$Q$1,0),FALSE),"!!!"))</f>
        <v>červená fólie</v>
      </c>
      <c r="T775" s="645">
        <v>105</v>
      </c>
      <c r="U775" s="645" t="s">
        <v>10751</v>
      </c>
      <c r="V775" s="645" t="s">
        <v>10753</v>
      </c>
      <c r="W775" s="645" t="str">
        <f>IFERROR(IF(AND($AB775&gt;=0.1*$AA775,MOD($AB775,$AA775)&gt;=($AA775-(0.1*$AA775))),IF($W$17=$AF$1,"Zvažte možnost doobjednání ještě "&amp;Tabulka1[[#This Row],[VKPAL]]-MOD(AB775,AA775)&amp;" VK do plné palety.",VLOOKUP("Zvažte možnost doobjednání ještě ",Jazyky_ceník!A:Q,MATCH($W$17,Jazyky_ceník!$A$1:$Q$1,0),FALSE)&amp;Tabulka1[[#This Row],[VKPAL]]-MOD(AB775,AA775)&amp;VLOOKUP(" VK do plné palety.",Jazyky_ceník!A:Q,MATCH($W$17,Jazyky_ceník!$A$1:$Q$1,0),FALSE)),IFERROR(IF(AND(NOT(MOD($AB775,$AA775)=0),$AB775&gt;=0.9*$AA775,MOD($AB775,$AA775)&lt;=0.1*$AA775),IF($W$17=$AF$1,"Zvažte možnost optimalizace objednaného množství podle počtu VK na paletě ==&gt;",VLOOKUP("Zvažte možnost optimalizace objednaného množství podle počtu VK na paletě ==&gt;",Jazyky_ceník!A:Q,MATCH($W$17,Jazyky_ceník!$A$1:$Q$1,0),FALSE)),VLOOKUP('General price list'!$C775,Popisy!A:M,MATCH($W$17,Popisy!$A$7:$M$7,0),FALSE)),"---------------")),IFERROR(VLOOKUP('General price list'!$C775,Popisy!A:M,MATCH($W$17,Popisy!$A$7:$M$7,0),FALSE),"---------------"))</f>
        <v>23 různobarevných efektů</v>
      </c>
      <c r="X775" s="645" t="str">
        <f t="shared" si="2476"/>
        <v/>
      </c>
      <c r="Y775" s="645" t="str">
        <f t="shared" si="2477"/>
        <v/>
      </c>
      <c r="Z775" s="645" t="str">
        <f>HYPERLINK("https://www.klasekpyrotechnics.cz/c150mxh-c14")</f>
        <v>https://www.klasekpyrotechnics.cz/c150mxh-c14</v>
      </c>
      <c r="AA775" s="645">
        <f>IFERROR(IF(VLOOKUP(C775,[4]List1!$A:$D,4,FALSE)=0,"",VLOOKUP(C775,[4]List1!$A:$D,4,FALSE)),"")</f>
        <v>32</v>
      </c>
      <c r="AB775" s="646"/>
      <c r="AC775" s="647" t="str">
        <f>IFERROR(IF(VLOOKUP(C775,[1]List1!$A:$D,2,FALSE)="VYPRODÁNO",$V$9,IF(VLOOKUP(C775,[1]List1!$A:$D,2,FALSE)="DOCHÁZÍ",$V$3,VLOOKUP(C775,[1]List1!$A:$D,2,FALSE))),"OFFLINE!")</f>
        <v>SKLADEM</v>
      </c>
      <c r="AD775" s="647" t="str">
        <f ca="1">IF(AP775="NE",$V$10,IF(AC775=$V$3,IF(AQ775&lt;1,$V$8,$V$2&amp;" "&amp;AQ775&amp;" "&amp;$V$1),IF(AC775="SKLADEM",$V$6,IFERROR(IF(OR(AC775-TODAY()&gt;45,VLOOKUP(C775,[1]List1!$A:$E,4,FALSE)=0),AC775,DAY(AC775)&amp;"."&amp;MONTH(AC775)&amp;"."&amp;YEAR(AC775)&amp;" "&amp;$V$4&amp;VLOOKUP(C775,[1]List1!$A:$E,4,FALSE)&amp;" "&amp;$V$1),AC775))))</f>
        <v>SKLADEM</v>
      </c>
      <c r="AE775" s="645" t="str">
        <f t="shared" ca="1" si="2478"/>
        <v>SKLADEM</v>
      </c>
      <c r="AF775" s="648">
        <f t="shared" si="2479"/>
        <v>0</v>
      </c>
      <c r="AG775" s="649">
        <f t="shared" si="2480"/>
        <v>0</v>
      </c>
      <c r="AH775" s="650">
        <f t="shared" si="2481"/>
        <v>0</v>
      </c>
      <c r="AI775" s="645">
        <f t="shared" si="2482"/>
        <v>0</v>
      </c>
      <c r="AJ775" s="645">
        <f t="shared" si="2483"/>
        <v>0</v>
      </c>
      <c r="AK775" s="645" t="str">
        <f t="shared" si="2484"/>
        <v/>
      </c>
      <c r="AL775" s="645" t="str">
        <f t="shared" si="2485"/>
        <v/>
      </c>
      <c r="AM775" s="645">
        <f t="shared" si="2486"/>
        <v>0</v>
      </c>
      <c r="AN775" s="651">
        <f t="shared" si="2487"/>
        <v>0</v>
      </c>
      <c r="AO775" s="623"/>
      <c r="AP775" s="632" t="str">
        <f t="shared" si="2346"/>
        <v/>
      </c>
      <c r="AQ775" s="633" t="str">
        <f>IF(AC775=$V$3,IF(VLOOKUP(C775,[1]List1!$A:$E,5,FALSE)=0,1,VLOOKUP(C775,[1]List1!$A:$E,5,FALSE)),"")</f>
        <v/>
      </c>
      <c r="AR775" s="625" t="str">
        <f t="shared" si="2347"/>
        <v/>
      </c>
      <c r="AS775" s="634" t="str">
        <f t="shared" si="2348"/>
        <v/>
      </c>
      <c r="AT775" s="625" t="str">
        <f t="shared" si="2349"/>
        <v/>
      </c>
      <c r="AU775" s="638" t="e">
        <f t="shared" si="2350"/>
        <v>#N/A</v>
      </c>
      <c r="AV775" s="625" t="e">
        <f t="shared" si="2351"/>
        <v>#N/A</v>
      </c>
      <c r="AX775" s="625">
        <f>IF(AND('General price list'!$J775="F4",'General price list'!$AB775+0&gt;0),1,0)</f>
        <v>0</v>
      </c>
      <c r="AY775" s="625">
        <f t="shared" si="2352"/>
        <v>1</v>
      </c>
      <c r="AZ775" s="625">
        <f t="shared" si="2353"/>
        <v>0</v>
      </c>
    </row>
    <row r="776" spans="1:52" ht="15" customHeight="1">
      <c r="A776" s="621" t="str">
        <f>Kat.!C776</f>
        <v/>
      </c>
      <c r="B776" s="566">
        <f>IF(AND('General price list'!$J776="F4",$AI$1=FALSE),0,IF(AC776="SKLADEM",1,IF(AC776=$V$3,1,0)))</f>
        <v>1</v>
      </c>
      <c r="C776" s="567" t="s">
        <v>12048</v>
      </c>
      <c r="D776" s="568" t="s">
        <v>12049</v>
      </c>
      <c r="E776" s="763" t="s">
        <v>12663</v>
      </c>
      <c r="F776" s="772">
        <f>IFERROR(VLOOKUP(C776,[2]List1!$A:$D,3,FALSE),"NEUVEDENO!")</f>
        <v>2342</v>
      </c>
      <c r="G776" s="769">
        <f t="shared" si="2474"/>
        <v>2342</v>
      </c>
      <c r="H776" s="766">
        <f t="shared" si="2475"/>
        <v>99.484735337470738</v>
      </c>
      <c r="I776" s="764">
        <f>IFERROR(VLOOKUP(C776,[2]List1!$A:$D,4,FALSE),"NEUVEDENO!")</f>
        <v>1</v>
      </c>
      <c r="J776" s="732" t="s">
        <v>39</v>
      </c>
      <c r="K776" s="569" t="s">
        <v>20</v>
      </c>
      <c r="L776" s="569" t="s">
        <v>15088</v>
      </c>
      <c r="M776" s="569" t="s">
        <v>21</v>
      </c>
      <c r="N776" s="569">
        <f>IFERROR(VLOOKUP(C776,[3]List1!$A:$D,4,FALSE),"N/A!")</f>
        <v>3.6209249999999998E-2</v>
      </c>
      <c r="O776" s="569">
        <f>IFERROR(VLOOKUP(C776,[3]List1!$A:$D,3,FALSE),"N/A!")</f>
        <v>996</v>
      </c>
      <c r="P776" s="569">
        <f>IFERROR(VLOOKUP(C776,[3]List1!$A:$D,2,FALSE),"N/A!")</f>
        <v>11000</v>
      </c>
      <c r="Q776" s="569" t="s">
        <v>11247</v>
      </c>
      <c r="R776" s="569"/>
      <c r="S776" s="569" t="str">
        <f>IF($W$17=$AF$1,"červená fólie",IFERROR(VLOOKUP("červená fólie",Jazyky_ceník!$A:$Q,MATCH($W$17,Jazyky_ceník!$A$1:$Q$1,0),FALSE),"!!!"))</f>
        <v>červená fólie</v>
      </c>
      <c r="T776" s="569">
        <v>120</v>
      </c>
      <c r="U776" s="569" t="s">
        <v>10746</v>
      </c>
      <c r="V776" s="569" t="s">
        <v>10755</v>
      </c>
      <c r="W776" s="569" t="str">
        <f>IFERROR(IF(AND($AB776&gt;=0.1*$AA776,MOD($AB776,$AA776)&gt;=($AA776-(0.1*$AA776))),IF($W$17=$AF$1,"Zvažte možnost doobjednání ještě "&amp;Tabulka1[[#This Row],[VKPAL]]-MOD(AB776,AA776)&amp;" VK do plné palety.",VLOOKUP("Zvažte možnost doobjednání ještě ",Jazyky_ceník!A:Q,MATCH($W$17,Jazyky_ceník!$A$1:$Q$1,0),FALSE)&amp;Tabulka1[[#This Row],[VKPAL]]-MOD(AB776,AA776)&amp;VLOOKUP(" VK do plné palety.",Jazyky_ceník!A:Q,MATCH($W$17,Jazyky_ceník!$A$1:$Q$1,0),FALSE)),IFERROR(IF(AND(NOT(MOD($AB776,$AA776)=0),$AB776&gt;=0.9*$AA776,MOD($AB776,$AA776)&lt;=0.1*$AA776),IF($W$17=$AF$1,"Zvažte možnost optimalizace objednaného množství podle počtu VK na paletě ==&gt;",VLOOKUP("Zvažte možnost optimalizace objednaného množství podle počtu VK na paletě ==&gt;",Jazyky_ceník!A:Q,MATCH($W$17,Jazyky_ceník!$A$1:$Q$1,0),FALSE)),VLOOKUP('General price list'!$C776,Popisy!A:M,MATCH($W$17,Popisy!$A$7:$M$7,0),FALSE)),"---------------")),IFERROR(VLOOKUP('General price list'!$C776,Popisy!A:M,MATCH($W$17,Popisy!$A$7:$M$7,0),FALSE),"---------------"))</f>
        <v>18 různobarevných efektů</v>
      </c>
      <c r="X776" s="569" t="str">
        <f t="shared" si="2476"/>
        <v/>
      </c>
      <c r="Y776" s="569" t="str">
        <f t="shared" si="2477"/>
        <v/>
      </c>
      <c r="Z776" s="569" t="str">
        <f>HYPERLINK("https://www.klasekpyrotechnics.cz/c154mxb-c14")</f>
        <v>https://www.klasekpyrotechnics.cz/c154mxb-c14</v>
      </c>
      <c r="AA776" s="569">
        <f>IFERROR(IF(VLOOKUP(C776,[4]List1!$A:$D,4,FALSE)=0,"",VLOOKUP(C776,[4]List1!$A:$D,4,FALSE)),"")</f>
        <v>36</v>
      </c>
      <c r="AB776" s="565"/>
      <c r="AC776" s="570" t="str">
        <f>IFERROR(IF(VLOOKUP(C776,[1]List1!$A:$D,2,FALSE)="VYPRODÁNO",$V$9,IF(VLOOKUP(C776,[1]List1!$A:$D,2,FALSE)="DOCHÁZÍ",$V$3,VLOOKUP(C776,[1]List1!$A:$D,2,FALSE))),"OFFLINE!")</f>
        <v>SKLADEM</v>
      </c>
      <c r="AD776" s="570" t="str">
        <f ca="1">IF(AP776="NE",$V$10,IF(AC776=$V$3,IF(AQ776&lt;1,$V$8,$V$2&amp;" "&amp;AQ776&amp;" "&amp;$V$1),IF(AC776="SKLADEM",$V$6,IFERROR(IF(OR(AC776-TODAY()&gt;45,VLOOKUP(C776,[1]List1!$A:$E,4,FALSE)=0),AC776,DAY(AC776)&amp;"."&amp;MONTH(AC776)&amp;"."&amp;YEAR(AC776)&amp;" "&amp;$V$4&amp;VLOOKUP(C776,[1]List1!$A:$E,4,FALSE)&amp;" "&amp;$V$1),AC776))))</f>
        <v>SKLADEM</v>
      </c>
      <c r="AE776" s="581" t="str">
        <f t="shared" ca="1" si="2478"/>
        <v>SKLADEM</v>
      </c>
      <c r="AF776" s="584">
        <f t="shared" si="2479"/>
        <v>0</v>
      </c>
      <c r="AG776" s="585">
        <f t="shared" si="2480"/>
        <v>0</v>
      </c>
      <c r="AH776" s="583">
        <f t="shared" si="2481"/>
        <v>0</v>
      </c>
      <c r="AI776" s="582">
        <f t="shared" si="2482"/>
        <v>0</v>
      </c>
      <c r="AJ776" s="569">
        <f t="shared" si="2483"/>
        <v>0</v>
      </c>
      <c r="AK776" s="569" t="str">
        <f t="shared" si="2484"/>
        <v/>
      </c>
      <c r="AL776" s="569" t="str">
        <f t="shared" si="2485"/>
        <v/>
      </c>
      <c r="AM776" s="569">
        <f t="shared" si="2486"/>
        <v>0</v>
      </c>
      <c r="AN776" s="581">
        <f t="shared" si="2487"/>
        <v>0</v>
      </c>
      <c r="AO776" s="623"/>
      <c r="AP776" s="632" t="str">
        <f t="shared" si="2346"/>
        <v/>
      </c>
      <c r="AQ776" s="633" t="str">
        <f>IF(AC776=$V$3,IF(VLOOKUP(C776,[1]List1!$A:$E,5,FALSE)=0,1,VLOOKUP(C776,[1]List1!$A:$E,5,FALSE)),"")</f>
        <v/>
      </c>
      <c r="AR776" s="625" t="str">
        <f t="shared" si="2347"/>
        <v/>
      </c>
      <c r="AS776" s="634" t="str">
        <f t="shared" si="2348"/>
        <v/>
      </c>
      <c r="AT776" s="625" t="str">
        <f t="shared" si="2349"/>
        <v/>
      </c>
      <c r="AU776" s="638" t="e">
        <f t="shared" si="2350"/>
        <v>#N/A</v>
      </c>
      <c r="AV776" s="625" t="e">
        <f t="shared" si="2351"/>
        <v>#N/A</v>
      </c>
      <c r="AX776" s="625">
        <f>IF(AND('General price list'!$J776="F4",'General price list'!$AB776+0&gt;0),1,0)</f>
        <v>0</v>
      </c>
      <c r="AY776" s="625">
        <f t="shared" si="2352"/>
        <v>1</v>
      </c>
      <c r="AZ776" s="625">
        <f t="shared" si="2353"/>
        <v>0</v>
      </c>
    </row>
    <row r="777" spans="1:52" ht="15" customHeight="1">
      <c r="A777" s="639" t="str">
        <f>Kat.!C777</f>
        <v/>
      </c>
      <c r="B777" s="640">
        <f>IF(AND('General price list'!$J777="F4",$AI$1=FALSE),0,IF(AC777="SKLADEM",1,IF(AC777=$V$3,1,0)))</f>
        <v>1</v>
      </c>
      <c r="C777" s="641" t="s">
        <v>12050</v>
      </c>
      <c r="D777" s="642" t="s">
        <v>12051</v>
      </c>
      <c r="E777" s="643" t="s">
        <v>12663</v>
      </c>
      <c r="F777" s="771">
        <f>IFERROR(VLOOKUP(C777,[2]List1!$A:$D,3,FALSE),"NEUVEDENO!")</f>
        <v>2820</v>
      </c>
      <c r="G777" s="768">
        <f t="shared" si="2474"/>
        <v>2820</v>
      </c>
      <c r="H777" s="765">
        <f t="shared" si="2475"/>
        <v>119.78947636706555</v>
      </c>
      <c r="I777" s="644">
        <f>IFERROR(VLOOKUP(C777,[2]List1!$A:$D,4,FALSE),"NEUVEDENO!")</f>
        <v>1</v>
      </c>
      <c r="J777" s="733" t="s">
        <v>39</v>
      </c>
      <c r="K777" s="645" t="s">
        <v>20</v>
      </c>
      <c r="L777" s="645" t="s">
        <v>15088</v>
      </c>
      <c r="M777" s="645" t="s">
        <v>21</v>
      </c>
      <c r="N777" s="645">
        <f>IFERROR(VLOOKUP(C777,[3]List1!$A:$D,4,FALSE),"N/A!")</f>
        <v>2.5806374999999999E-2</v>
      </c>
      <c r="O777" s="645">
        <f>IFERROR(VLOOKUP(C777,[3]List1!$A:$D,3,FALSE),"N/A!")</f>
        <v>998</v>
      </c>
      <c r="P777" s="645">
        <f>IFERROR(VLOOKUP(C777,[3]List1!$A:$D,2,FALSE),"N/A!")</f>
        <v>10500</v>
      </c>
      <c r="Q777" s="645" t="s">
        <v>11296</v>
      </c>
      <c r="R777" s="645"/>
      <c r="S777" s="645" t="str">
        <f>IF($W$17=$AF$1,"červená fólie",IFERROR(VLOOKUP("červená fólie",Jazyky_ceník!$A:$Q,MATCH($W$17,Jazyky_ceník!$A$1:$Q$1,0),FALSE),"!!!"))</f>
        <v>červená fólie</v>
      </c>
      <c r="T777" s="645">
        <v>115</v>
      </c>
      <c r="U777" s="645" t="s">
        <v>12069</v>
      </c>
      <c r="V777" s="645" t="s">
        <v>12787</v>
      </c>
      <c r="W777" s="645" t="str">
        <f>IFERROR(IF(AND($AB777&gt;=0.1*$AA777,MOD($AB777,$AA777)&gt;=($AA777-(0.1*$AA777))),IF($W$17=$AF$1,"Zvažte možnost doobjednání ještě "&amp;Tabulka1[[#This Row],[VKPAL]]-MOD(AB777,AA777)&amp;" VK do plné palety.",VLOOKUP("Zvažte možnost doobjednání ještě ",Jazyky_ceník!A:Q,MATCH($W$17,Jazyky_ceník!$A$1:$Q$1,0),FALSE)&amp;Tabulka1[[#This Row],[VKPAL]]-MOD(AB777,AA777)&amp;VLOOKUP(" VK do plné palety.",Jazyky_ceník!A:Q,MATCH($W$17,Jazyky_ceník!$A$1:$Q$1,0),FALSE)),IFERROR(IF(AND(NOT(MOD($AB777,$AA777)=0),$AB777&gt;=0.9*$AA777,MOD($AB777,$AA777)&lt;=0.1*$AA777),IF($W$17=$AF$1,"Zvažte možnost optimalizace objednaného množství podle počtu VK na paletě ==&gt;",VLOOKUP("Zvažte možnost optimalizace objednaného množství podle počtu VK na paletě ==&gt;",Jazyky_ceník!A:Q,MATCH($W$17,Jazyky_ceník!$A$1:$Q$1,0),FALSE)),VLOOKUP('General price list'!$C777,Popisy!A:M,MATCH($W$17,Popisy!$A$7:$M$7,0),FALSE)),"---------------")),IFERROR(VLOOKUP('General price list'!$C777,Popisy!A:M,MATCH($W$17,Popisy!$A$7:$M$7,0),FALSE),"---------------"))</f>
        <v>25 různobarevných efektů</v>
      </c>
      <c r="X777" s="645" t="str">
        <f t="shared" si="2476"/>
        <v/>
      </c>
      <c r="Y777" s="645" t="str">
        <f t="shared" si="2477"/>
        <v/>
      </c>
      <c r="Z777" s="645" t="str">
        <f>HYPERLINK("https://www.klasekpyrotechnics.cz/c270mxm-c14")</f>
        <v>https://www.klasekpyrotechnics.cz/c270mxm-c14</v>
      </c>
      <c r="AA777" s="645">
        <f>IFERROR(IF(VLOOKUP(C777,[4]List1!$A:$D,4,FALSE)=0,"",VLOOKUP(C777,[4]List1!$A:$D,4,FALSE)),"")</f>
        <v>48</v>
      </c>
      <c r="AB777" s="646"/>
      <c r="AC777" s="647" t="str">
        <f>IFERROR(IF(VLOOKUP(C777,[1]List1!$A:$D,2,FALSE)="VYPRODÁNO",$V$9,IF(VLOOKUP(C777,[1]List1!$A:$D,2,FALSE)="DOCHÁZÍ",$V$3,VLOOKUP(C777,[1]List1!$A:$D,2,FALSE))),"OFFLINE!")</f>
        <v>SKLADEM</v>
      </c>
      <c r="AD777" s="647" t="str">
        <f ca="1">IF(AP777="NE",$V$10,IF(AC777=$V$3,IF(AQ777&lt;1,$V$8,$V$2&amp;" "&amp;AQ777&amp;" "&amp;$V$1),IF(AC777="SKLADEM",$V$6,IFERROR(IF(OR(AC777-TODAY()&gt;45,VLOOKUP(C777,[1]List1!$A:$E,4,FALSE)=0),AC777,DAY(AC777)&amp;"."&amp;MONTH(AC777)&amp;"."&amp;YEAR(AC777)&amp;" "&amp;$V$4&amp;VLOOKUP(C777,[1]List1!$A:$E,4,FALSE)&amp;" "&amp;$V$1),AC777))))</f>
        <v>SKLADEM</v>
      </c>
      <c r="AE777" s="645" t="str">
        <f t="shared" ca="1" si="2478"/>
        <v>SKLADEM</v>
      </c>
      <c r="AF777" s="648">
        <f t="shared" si="2479"/>
        <v>0</v>
      </c>
      <c r="AG777" s="649">
        <f t="shared" si="2480"/>
        <v>0</v>
      </c>
      <c r="AH777" s="650">
        <f t="shared" si="2481"/>
        <v>0</v>
      </c>
      <c r="AI777" s="645">
        <f t="shared" si="2482"/>
        <v>0</v>
      </c>
      <c r="AJ777" s="645">
        <f t="shared" si="2483"/>
        <v>0</v>
      </c>
      <c r="AK777" s="645" t="str">
        <f t="shared" si="2484"/>
        <v/>
      </c>
      <c r="AL777" s="645" t="str">
        <f t="shared" si="2485"/>
        <v/>
      </c>
      <c r="AM777" s="645">
        <f t="shared" si="2486"/>
        <v>0</v>
      </c>
      <c r="AN777" s="651">
        <f t="shared" si="2487"/>
        <v>0</v>
      </c>
      <c r="AO777" s="623"/>
      <c r="AP777" s="632" t="str">
        <f t="shared" si="2346"/>
        <v/>
      </c>
      <c r="AQ777" s="633" t="str">
        <f>IF(AC777=$V$3,IF(VLOOKUP(C777,[1]List1!$A:$E,5,FALSE)=0,1,VLOOKUP(C777,[1]List1!$A:$E,5,FALSE)),"")</f>
        <v/>
      </c>
      <c r="AR777" s="625" t="str">
        <f t="shared" si="2347"/>
        <v/>
      </c>
      <c r="AS777" s="634" t="str">
        <f t="shared" si="2348"/>
        <v/>
      </c>
      <c r="AT777" s="625" t="str">
        <f t="shared" si="2349"/>
        <v/>
      </c>
      <c r="AU777" s="638" t="e">
        <f t="shared" si="2350"/>
        <v>#N/A</v>
      </c>
      <c r="AV777" s="625" t="e">
        <f t="shared" si="2351"/>
        <v>#N/A</v>
      </c>
      <c r="AX777" s="625">
        <f>IF(AND('General price list'!$J777="F4",'General price list'!$AB777+0&gt;0),1,0)</f>
        <v>0</v>
      </c>
      <c r="AY777" s="625">
        <f t="shared" si="2352"/>
        <v>1</v>
      </c>
      <c r="AZ777" s="625">
        <f t="shared" si="2353"/>
        <v>0</v>
      </c>
    </row>
    <row r="778" spans="1:52" ht="15" customHeight="1">
      <c r="A778" s="621" t="str">
        <f>Kat.!C778</f>
        <v/>
      </c>
      <c r="B778" s="566">
        <f>IF(AND('General price list'!$J778="F4",$AI$1=FALSE),0,IF(AC778="SKLADEM",1,IF(AC778=$V$3,1,0)))</f>
        <v>0</v>
      </c>
      <c r="C778" s="641" t="s">
        <v>12469</v>
      </c>
      <c r="D778" s="568" t="s">
        <v>12568</v>
      </c>
      <c r="E778" s="763" t="s">
        <v>12663</v>
      </c>
      <c r="F778" s="772">
        <f>IFERROR(VLOOKUP(C778,[2]List1!$A:$D,3,FALSE),"NEUVEDENO!")</f>
        <v>2975</v>
      </c>
      <c r="G778" s="769">
        <f t="shared" si="2474"/>
        <v>2975</v>
      </c>
      <c r="H778" s="766">
        <f t="shared" si="2475"/>
        <v>126.37364971348227</v>
      </c>
      <c r="I778" s="764">
        <f>IFERROR(VLOOKUP(C778,[2]List1!$A:$D,4,FALSE),"NEUVEDENO!")</f>
        <v>1</v>
      </c>
      <c r="J778" s="732" t="s">
        <v>39</v>
      </c>
      <c r="K778" s="569">
        <v>4</v>
      </c>
      <c r="L778" s="569"/>
      <c r="M778" s="569" t="s">
        <v>21</v>
      </c>
      <c r="N778" s="569">
        <f>IFERROR(VLOOKUP(C778,[3]List1!$A:$D,4,FALSE),"N/A!")</f>
        <v>2.4624E-2</v>
      </c>
      <c r="O778" s="569">
        <f>IFERROR(VLOOKUP(C778,[3]List1!$A:$D,3,FALSE),"N/A!")</f>
        <v>998</v>
      </c>
      <c r="P778" s="569">
        <f>IFERROR(VLOOKUP(C778,[3]List1!$A:$D,2,FALSE),"N/A!")</f>
        <v>15000</v>
      </c>
      <c r="Q778" s="569" t="s">
        <v>11296</v>
      </c>
      <c r="R778" s="569"/>
      <c r="S778" s="569" t="str">
        <f>IF($W$17=$AF$1,"červená fólie",IFERROR(VLOOKUP("červená fólie",Jazyky_ceník!$A:$Q,MATCH($W$17,Jazyky_ceník!$A$1:$Q$1,0),FALSE),"!!!"))</f>
        <v>červená fólie</v>
      </c>
      <c r="T778" s="569">
        <v>130</v>
      </c>
      <c r="U778" s="569" t="s">
        <v>12069</v>
      </c>
      <c r="V778" s="569" t="s">
        <v>12787</v>
      </c>
      <c r="W778" s="569" t="str">
        <f>IFERROR(IF(AND($AB778&gt;=0.1*$AA778,MOD($AB778,$AA778)&gt;=($AA778-(0.1*$AA778))),IF($W$17=$AF$1,"Zvažte možnost doobjednání ještě "&amp;Tabulka1[[#This Row],[VKPAL]]-MOD(AB778,AA778)&amp;" VK do plné palety.",VLOOKUP("Zvažte možnost doobjednání ještě ",Jazyky_ceník!A:Q,MATCH($W$17,Jazyky_ceník!$A$1:$Q$1,0),FALSE)&amp;Tabulka1[[#This Row],[VKPAL]]-MOD(AB778,AA778)&amp;VLOOKUP(" VK do plné palety.",Jazyky_ceník!A:Q,MATCH($W$17,Jazyky_ceník!$A$1:$Q$1,0),FALSE)),IFERROR(IF(AND(NOT(MOD($AB778,$AA778)=0),$AB778&gt;=0.9*$AA778,MOD($AB778,$AA778)&lt;=0.1*$AA778),IF($W$17=$AF$1,"Zvažte možnost optimalizace objednaného množství podle počtu VK na paletě ==&gt;",VLOOKUP("Zvažte možnost optimalizace objednaného množství podle počtu VK na paletě ==&gt;",Jazyky_ceník!A:Q,MATCH($W$17,Jazyky_ceník!$A$1:$Q$1,0),FALSE)),VLOOKUP('General price list'!$C778,Popisy!A:M,MATCH($W$17,Popisy!$A$7:$M$7,0),FALSE)),"---------------")),IFERROR(VLOOKUP('General price list'!$C778,Popisy!A:M,MATCH($W$17,Popisy!$A$7:$M$7,0),FALSE),"---------------"))</f>
        <v>28 různobarevných efektů</v>
      </c>
      <c r="X778" s="569" t="str">
        <f t="shared" si="2476"/>
        <v/>
      </c>
      <c r="Y778" s="569" t="str">
        <f t="shared" si="2477"/>
        <v/>
      </c>
      <c r="Z778" s="569" t="str">
        <f>HYPERLINK("https://www.klasekpyrotechnics.cz/c296mxh-c14")</f>
        <v>https://www.klasekpyrotechnics.cz/c296mxh-c14</v>
      </c>
      <c r="AA778" s="569" t="str">
        <f>IFERROR(IF(VLOOKUP(C778,[4]List1!$A:$D,4,FALSE)=0,"",VLOOKUP(C778,[4]List1!$A:$D,4,FALSE)),"")</f>
        <v/>
      </c>
      <c r="AB778" s="565"/>
      <c r="AC778" s="570" t="str">
        <f>IFERROR(IF(VLOOKUP(C778,[1]List1!$A:$D,2,FALSE)="VYPRODÁNO",$V$9,IF(VLOOKUP(C778,[1]List1!$A:$D,2,FALSE)="DOCHÁZÍ",$V$3,VLOOKUP(C778,[1]List1!$A:$D,2,FALSE))),"OFFLINE!")</f>
        <v>06.04.2026</v>
      </c>
      <c r="AD778" s="570" t="str">
        <f ca="1">IF(AP778="NE",$V$10,IF(AC778=$V$3,IF(AQ778&lt;1,$V$8,$V$2&amp;" "&amp;AQ778&amp;" "&amp;$V$1),IF(AC778="SKLADEM",$V$6,IFERROR(IF(OR(AC778-TODAY()&gt;45,VLOOKUP(C778,[1]List1!$A:$E,4,FALSE)=0),AC778,DAY(AC778)&amp;"."&amp;MONTH(AC778)&amp;"."&amp;YEAR(AC778)&amp;" "&amp;$V$4&amp;VLOOKUP(C778,[1]List1!$A:$E,4,FALSE)&amp;" "&amp;$V$1),AC778))))</f>
        <v>6.4.2026 DORAZÍ 100+ VK</v>
      </c>
      <c r="AE778" s="581" t="str">
        <f t="shared" ca="1" si="2478"/>
        <v>6.4.2026 DORAZÍ 100+ VK</v>
      </c>
      <c r="AF778" s="584">
        <f t="shared" si="2479"/>
        <v>0</v>
      </c>
      <c r="AG778" s="585">
        <f t="shared" si="2480"/>
        <v>0</v>
      </c>
      <c r="AH778" s="583">
        <f t="shared" si="2481"/>
        <v>0</v>
      </c>
      <c r="AI778" s="582">
        <f t="shared" si="2482"/>
        <v>0</v>
      </c>
      <c r="AJ778" s="569">
        <f t="shared" si="2483"/>
        <v>0</v>
      </c>
      <c r="AK778" s="569" t="str">
        <f t="shared" si="2484"/>
        <v/>
      </c>
      <c r="AL778" s="569" t="str">
        <f t="shared" si="2485"/>
        <v/>
      </c>
      <c r="AM778" s="569">
        <f t="shared" si="2486"/>
        <v>0</v>
      </c>
      <c r="AN778" s="581">
        <f t="shared" si="2487"/>
        <v>0</v>
      </c>
      <c r="AO778" s="623"/>
      <c r="AP778" s="632" t="str">
        <f t="shared" si="2346"/>
        <v/>
      </c>
      <c r="AQ778" s="633" t="str">
        <f>IF(AC778=$V$3,IF(VLOOKUP(C778,[1]List1!$A:$E,5,FALSE)=0,1,VLOOKUP(C778,[1]List1!$A:$E,5,FALSE)),"")</f>
        <v/>
      </c>
      <c r="AR778" s="625" t="str">
        <f t="shared" si="2347"/>
        <v/>
      </c>
      <c r="AS778" s="634" t="str">
        <f t="shared" si="2348"/>
        <v/>
      </c>
      <c r="AT778" s="625" t="str">
        <f t="shared" si="2349"/>
        <v/>
      </c>
      <c r="AU778" s="638" t="e">
        <f t="shared" si="2350"/>
        <v>#N/A</v>
      </c>
      <c r="AV778" s="625" t="e">
        <f t="shared" si="2351"/>
        <v>#N/A</v>
      </c>
      <c r="AX778" s="625">
        <f>IF(AND('General price list'!$J778="F4",'General price list'!$AB778+0&gt;0),1,0)</f>
        <v>0</v>
      </c>
      <c r="AY778" s="625">
        <f t="shared" si="2352"/>
        <v>1</v>
      </c>
      <c r="AZ778" s="625">
        <f t="shared" si="2353"/>
        <v>0</v>
      </c>
    </row>
    <row r="779" spans="1:52" ht="15.75" customHeight="1">
      <c r="A779" s="639" t="str">
        <f>Kat.!C779</f>
        <v/>
      </c>
      <c r="B779" s="640">
        <f>IF(AND('General price list'!$J779="F4",$AI$1=FALSE),0,IF(AC779="SKLADEM",1,IF(AC779=$V$3,1,0)))</f>
        <v>0</v>
      </c>
      <c r="C779" s="641" t="s">
        <v>12470</v>
      </c>
      <c r="D779" s="642" t="s">
        <v>12569</v>
      </c>
      <c r="E779" s="643" t="s">
        <v>12663</v>
      </c>
      <c r="F779" s="773">
        <f>IFERROR(VLOOKUP(C779,[2]List1!$A:$D,3,FALSE),"NEUVEDENO!")</f>
        <v>3234</v>
      </c>
      <c r="G779" s="770">
        <f t="shared" si="2474"/>
        <v>3234</v>
      </c>
      <c r="H779" s="767">
        <f t="shared" si="2475"/>
        <v>137.37559098265601</v>
      </c>
      <c r="I779" s="644">
        <f>IFERROR(VLOOKUP(C779,[2]List1!$A:$D,4,FALSE),"NEUVEDENO!")</f>
        <v>1</v>
      </c>
      <c r="J779" s="733" t="s">
        <v>39</v>
      </c>
      <c r="K779" s="645">
        <v>4</v>
      </c>
      <c r="L779" s="645"/>
      <c r="M779" s="645" t="s">
        <v>21</v>
      </c>
      <c r="N779" s="645">
        <f>IFERROR(VLOOKUP(C779,[3]List1!$A:$D,4,FALSE),"N/A!")</f>
        <v>0</v>
      </c>
      <c r="O779" s="645">
        <f>IFERROR(VLOOKUP(C779,[3]List1!$A:$D,3,FALSE),"N/A!")</f>
        <v>996</v>
      </c>
      <c r="P779" s="645">
        <f>IFERROR(VLOOKUP(C779,[3]List1!$A:$D,2,FALSE),"N/A!")</f>
        <v>15000</v>
      </c>
      <c r="Q779" s="645" t="s">
        <v>15074</v>
      </c>
      <c r="R779" s="645"/>
      <c r="S779" s="645" t="str">
        <f>IF($W$17=$AF$1,"červená fólie",IFERROR(VLOOKUP("červená fólie",Jazyky_ceník!$A:$Q,MATCH($W$17,Jazyky_ceník!$A$1:$Q$1,0),FALSE),"!!!"))</f>
        <v>červená fólie</v>
      </c>
      <c r="T779" s="645">
        <v>120</v>
      </c>
      <c r="U779" s="645" t="s">
        <v>12069</v>
      </c>
      <c r="V779" s="645" t="s">
        <v>12787</v>
      </c>
      <c r="W779" s="645" t="str">
        <f>IFERROR(IF(AND($AB779&gt;=0.1*$AA779,MOD($AB779,$AA779)&gt;=($AA779-(0.1*$AA779))),IF($W$17=$AF$1,"Zvažte možnost doobjednání ještě "&amp;Tabulka1[[#This Row],[VKPAL]]-MOD(AB779,AA779)&amp;" VK do plné palety.",VLOOKUP("Zvažte možnost doobjednání ještě ",Jazyky_ceník!A:Q,MATCH($W$17,Jazyky_ceník!$A$1:$Q$1,0),FALSE)&amp;Tabulka1[[#This Row],[VKPAL]]-MOD(AB779,AA779)&amp;VLOOKUP(" VK do plné palety.",Jazyky_ceník!A:Q,MATCH($W$17,Jazyky_ceník!$A$1:$Q$1,0),FALSE)),IFERROR(IF(AND(NOT(MOD($AB779,$AA779)=0),$AB779&gt;=0.9*$AA779,MOD($AB779,$AA779)&lt;=0.1*$AA779),IF($W$17=$AF$1,"Zvažte možnost optimalizace objednaného množství podle počtu VK na paletě ==&gt;",VLOOKUP("Zvažte možnost optimalizace objednaného množství podle počtu VK na paletě ==&gt;",Jazyky_ceník!A:Q,MATCH($W$17,Jazyky_ceník!$A$1:$Q$1,0),FALSE)),VLOOKUP('General price list'!$C779,Popisy!A:M,MATCH($W$17,Popisy!$A$7:$M$7,0),FALSE)),"---------------")),IFERROR(VLOOKUP('General price list'!$C779,Popisy!A:M,MATCH($W$17,Popisy!$A$7:$M$7,0),FALSE),"---------------"))</f>
        <v>28 různobarevných efektů</v>
      </c>
      <c r="X779" s="645" t="str">
        <f t="shared" si="2476"/>
        <v/>
      </c>
      <c r="Y779" s="645" t="str">
        <f t="shared" si="2477"/>
        <v/>
      </c>
      <c r="Z779" s="645" t="str">
        <f>HYPERLINK("https://www.klasekpyrotechnics.cz/c330mxr-c14")</f>
        <v>https://www.klasekpyrotechnics.cz/c330mxr-c14</v>
      </c>
      <c r="AA779" s="645" t="str">
        <f>IFERROR(IF(VLOOKUP(C779,[4]List1!$A:$D,4,FALSE)=0,"",VLOOKUP(C779,[4]List1!$A:$D,4,FALSE)),"")</f>
        <v/>
      </c>
      <c r="AB779" s="646"/>
      <c r="AC779" s="647" t="str">
        <f>IFERROR(IF(VLOOKUP(C779,[1]List1!$A:$D,2,FALSE)="VYPRODÁNO",$V$9,IF(VLOOKUP(C779,[1]List1!$A:$D,2,FALSE)="DOCHÁZÍ",$V$3,VLOOKUP(C779,[1]List1!$A:$D,2,FALSE))),"OFFLINE!")</f>
        <v>31.08.2026</v>
      </c>
      <c r="AD779" s="647" t="str">
        <f ca="1">IF(AP779="NE",$V$10,IF(AC779=$V$3,IF(AQ779&lt;1,$V$8,$V$2&amp;" "&amp;AQ779&amp;" "&amp;$V$1),IF(AC779="SKLADEM",$V$6,IFERROR(IF(OR(AC779-TODAY()&gt;45,VLOOKUP(C779,[1]List1!$A:$E,4,FALSE)=0),AC779,DAY(AC779)&amp;"."&amp;MONTH(AC779)&amp;"."&amp;YEAR(AC779)&amp;" "&amp;$V$4&amp;VLOOKUP(C779,[1]List1!$A:$E,4,FALSE)&amp;" "&amp;$V$1),AC779))))</f>
        <v>31.08.2026</v>
      </c>
      <c r="AE779" s="645" t="str">
        <f t="shared" ca="1" si="2478"/>
        <v>31.08.2026</v>
      </c>
      <c r="AF779" s="648">
        <f t="shared" si="2479"/>
        <v>0</v>
      </c>
      <c r="AG779" s="649">
        <f t="shared" si="2480"/>
        <v>0</v>
      </c>
      <c r="AH779" s="650">
        <f t="shared" si="2481"/>
        <v>0</v>
      </c>
      <c r="AI779" s="645">
        <f t="shared" si="2482"/>
        <v>0</v>
      </c>
      <c r="AJ779" s="645">
        <f t="shared" si="2483"/>
        <v>0</v>
      </c>
      <c r="AK779" s="645" t="str">
        <f t="shared" si="2484"/>
        <v/>
      </c>
      <c r="AL779" s="645" t="str">
        <f t="shared" si="2485"/>
        <v/>
      </c>
      <c r="AM779" s="645">
        <f t="shared" si="2486"/>
        <v>0</v>
      </c>
      <c r="AN779" s="651">
        <f t="shared" si="2487"/>
        <v>0</v>
      </c>
      <c r="AO779" s="623"/>
      <c r="AP779" s="625" t="str">
        <f t="shared" si="2346"/>
        <v/>
      </c>
      <c r="AQ779" s="625" t="str">
        <f>IF(AC779=$V$3,IF(VLOOKUP(C779,[1]List1!$A:$E,5,FALSE)=0,1,VLOOKUP(C779,[1]List1!$A:$E,5,FALSE)),"")</f>
        <v/>
      </c>
      <c r="AR779" s="629" t="str">
        <f t="shared" si="2347"/>
        <v/>
      </c>
      <c r="AS779" s="630" t="str">
        <f t="shared" si="2348"/>
        <v/>
      </c>
      <c r="AT779" s="625" t="str">
        <f t="shared" si="2349"/>
        <v/>
      </c>
      <c r="AU779" s="625" t="e">
        <f t="shared" si="2350"/>
        <v>#N/A</v>
      </c>
      <c r="AV779" s="625" t="e">
        <f t="shared" si="2351"/>
        <v>#N/A</v>
      </c>
      <c r="AW779" s="631"/>
      <c r="AX779" s="631">
        <f>IF(AND('General price list'!$J779="F4",'General price list'!$AB779+0&gt;0),1,0)</f>
        <v>0</v>
      </c>
      <c r="AY779" s="631">
        <f t="shared" si="2352"/>
        <v>1</v>
      </c>
      <c r="AZ779" s="631">
        <f t="shared" si="2353"/>
        <v>0</v>
      </c>
    </row>
    <row r="780" spans="1:52" ht="15.75" customHeight="1">
      <c r="A780" s="751" t="str">
        <f>Kat.!C780</f>
        <v xml:space="preserve">           Složený ohňostroj multikaliber F2 – 1.4G – maximum 2000 g NEC</v>
      </c>
      <c r="B780" s="751"/>
      <c r="C780" s="751"/>
      <c r="D780" s="751"/>
      <c r="E780" s="751"/>
      <c r="F780" s="751"/>
      <c r="G780" s="751"/>
      <c r="H780" s="751"/>
      <c r="I780" s="752"/>
      <c r="J780" s="752"/>
      <c r="K780" s="752" t="s">
        <v>20</v>
      </c>
      <c r="L780" s="753" t="s">
        <v>2818</v>
      </c>
      <c r="M780" s="752"/>
      <c r="N780" s="752"/>
      <c r="O780" s="752"/>
      <c r="P780" s="752"/>
      <c r="Q780" s="752"/>
      <c r="R780" s="752"/>
      <c r="S780" s="752"/>
      <c r="T780" s="752"/>
      <c r="U780" s="752"/>
      <c r="V780" s="752"/>
      <c r="W780" s="752"/>
      <c r="X780" s="752"/>
      <c r="Y780" s="752"/>
      <c r="Z780" s="752" t="s">
        <v>20</v>
      </c>
      <c r="AA780" s="752"/>
      <c r="AB780" s="752"/>
      <c r="AC780" s="754"/>
      <c r="AD780" s="752"/>
      <c r="AE780" s="752"/>
      <c r="AF780" s="752"/>
      <c r="AG780" s="752"/>
      <c r="AH780" s="752"/>
      <c r="AI780" s="752"/>
      <c r="AJ780" s="752"/>
      <c r="AK780" s="752"/>
      <c r="AL780" s="752"/>
      <c r="AM780" s="752"/>
      <c r="AN780" s="752"/>
      <c r="AO780" s="623"/>
      <c r="AP780" s="625" t="str">
        <f t="shared" si="2346"/>
        <v/>
      </c>
      <c r="AQ780" s="625" t="str">
        <f>IF(AC780=$V$3,IF(VLOOKUP(C780,[1]List1!$A:$E,5,FALSE)=0,1,VLOOKUP(C780,[1]List1!$A:$E,5,FALSE)),"")</f>
        <v/>
      </c>
      <c r="AR780" s="629" t="str">
        <f t="shared" si="2347"/>
        <v/>
      </c>
      <c r="AS780" s="630" t="str">
        <f t="shared" si="2348"/>
        <v/>
      </c>
      <c r="AT780" s="625" t="str">
        <f t="shared" si="2349"/>
        <v/>
      </c>
      <c r="AU780" s="625" t="e">
        <f t="shared" si="2350"/>
        <v>#N/A</v>
      </c>
      <c r="AV780" s="625" t="e">
        <f t="shared" si="2351"/>
        <v>#N/A</v>
      </c>
      <c r="AW780" s="631"/>
      <c r="AX780" s="631">
        <f>IF(AND('General price list'!$J780="F4",'General price list'!$AB780+0&gt;0),1,0)</f>
        <v>0</v>
      </c>
      <c r="AY780" s="631">
        <f t="shared" si="2352"/>
        <v>0</v>
      </c>
      <c r="AZ780" s="631">
        <f t="shared" si="2353"/>
        <v>0</v>
      </c>
    </row>
    <row r="781" spans="1:52" ht="15" customHeight="1">
      <c r="A781" s="639" t="str">
        <f>Kat.!C781</f>
        <v/>
      </c>
      <c r="B781" s="640">
        <f>IF(AND('General price list'!$J781="F4",$AI$1=FALSE),0,IF(AC781="SKLADEM",1,IF(AC781=$V$3,1,0)))</f>
        <v>1</v>
      </c>
      <c r="C781" s="641" t="s">
        <v>1501</v>
      </c>
      <c r="D781" s="642" t="s">
        <v>9491</v>
      </c>
      <c r="E781" s="643" t="s">
        <v>12663</v>
      </c>
      <c r="F781" s="771">
        <f>IFERROR(VLOOKUP(C781,[2]List1!$A:$D,3,FALSE),"NEUVEDENO!")</f>
        <v>2820</v>
      </c>
      <c r="G781" s="768">
        <f t="shared" ref="G781:G786" si="2488">IF($W$17=$AF$8,ROUND((F781)/$F$17,2),(F781)*$B$19)</f>
        <v>2820</v>
      </c>
      <c r="H781" s="765">
        <f t="shared" ref="H781:H786" si="2489">IF($W$17=$AF$8,G781*$B$19,G781/$F$17)</f>
        <v>119.78947636706555</v>
      </c>
      <c r="I781" s="644">
        <f>IFERROR(VLOOKUP(C781,[2]List1!$A:$D,4,FALSE),"NEUVEDENO!")</f>
        <v>1</v>
      </c>
      <c r="J781" s="733" t="s">
        <v>39</v>
      </c>
      <c r="K781" s="645" t="s">
        <v>20</v>
      </c>
      <c r="L781" s="645" t="s">
        <v>10981</v>
      </c>
      <c r="M781" s="645" t="s">
        <v>21</v>
      </c>
      <c r="N781" s="645">
        <f>IFERROR(VLOOKUP(C781,[3]List1!$A:$D,4,FALSE),"N/A!")</f>
        <v>3.5751999999999999E-2</v>
      </c>
      <c r="O781" s="645">
        <f>IFERROR(VLOOKUP(C781,[3]List1!$A:$D,3,FALSE),"N/A!")</f>
        <v>1485</v>
      </c>
      <c r="P781" s="645">
        <f>IFERROR(VLOOKUP(C781,[3]List1!$A:$D,2,FALSE),"N/A!")</f>
        <v>11500</v>
      </c>
      <c r="Q781" s="645" t="s">
        <v>11252</v>
      </c>
      <c r="R781" s="645"/>
      <c r="S781" s="645" t="str">
        <f>IF($W$17=$AF$1,"červená fólie",IFERROR(VLOOKUP("červená fólie",Jazyky_ceník!$A:$Q,MATCH($W$17,Jazyky_ceník!$A$1:$Q$1,0),FALSE),"!!!"))</f>
        <v>červená fólie</v>
      </c>
      <c r="T781" s="645">
        <v>100</v>
      </c>
      <c r="U781" s="645" t="s">
        <v>10746</v>
      </c>
      <c r="V781" s="645" t="s">
        <v>10748</v>
      </c>
      <c r="W781" s="645" t="str">
        <f>IFERROR(IF(AND($AB781&gt;=0.1*$AA781,MOD($AB781,$AA781)&gt;=($AA781-(0.1*$AA781))),IF($W$17=$AF$1,"Zvažte možnost doobjednání ještě "&amp;Tabulka1[[#This Row],[VKPAL]]-MOD(AB781,AA781)&amp;" VK do plné palety.",VLOOKUP("Zvažte možnost doobjednání ještě ",Jazyky_ceník!A:Q,MATCH($W$17,Jazyky_ceník!$A$1:$Q$1,0),FALSE)&amp;Tabulka1[[#This Row],[VKPAL]]-MOD(AB781,AA781)&amp;VLOOKUP(" VK do plné palety.",Jazyky_ceník!A:Q,MATCH($W$17,Jazyky_ceník!$A$1:$Q$1,0),FALSE)),IFERROR(IF(AND(NOT(MOD($AB781,$AA781)=0),$AB781&gt;=0.9*$AA781,MOD($AB781,$AA781)&lt;=0.1*$AA781),IF($W$17=$AF$1,"Zvažte možnost optimalizace objednaného množství podle počtu VK na paletě ==&gt;",VLOOKUP("Zvažte možnost optimalizace objednaného množství podle počtu VK na paletě ==&gt;",Jazyky_ceník!A:Q,MATCH($W$17,Jazyky_ceník!$A$1:$Q$1,0),FALSE)),VLOOKUP('General price list'!$C781,Popisy!A:M,MATCH($W$17,Popisy!$A$7:$M$7,0),FALSE)),"---------------")),IFERROR(VLOOKUP('General price list'!$C781,Popisy!A:M,MATCH($W$17,Popisy!$A$7:$M$7,0),FALSE),"---------------"))</f>
        <v>21 různobarevných efektů</v>
      </c>
      <c r="X781" s="645" t="str">
        <f t="shared" ref="X781:X786" si="2490">IF(AB781&lt;0.0001,"",AB781)</f>
        <v/>
      </c>
      <c r="Y781" s="645" t="str">
        <f t="shared" ref="Y781:Y786" si="2491">IF($AL$3=2,IF(OR(AB781&lt;&gt;"",AB781&lt;&gt;0),AU781,""),IF(C781="","",IF(AB781&lt;0.0001,"",IF(B781=0,"",IF(AQ781&lt;AB781,"",AB781)))))</f>
        <v/>
      </c>
      <c r="Z781" s="645" t="str">
        <f>HYPERLINK("https://www.klasekpyrotechnics.cz/c150mf-c14")</f>
        <v>https://www.klasekpyrotechnics.cz/c150mf-c14</v>
      </c>
      <c r="AA781" s="645">
        <f>IFERROR(IF(VLOOKUP(C781,[4]List1!$A:$D,4,FALSE)=0,"",VLOOKUP(C781,[4]List1!$A:$D,4,FALSE)),"")</f>
        <v>32</v>
      </c>
      <c r="AB781" s="646"/>
      <c r="AC781" s="647" t="str">
        <f>IFERROR(IF(VLOOKUP(C781,[1]List1!$A:$D,2,FALSE)="VYPRODÁNO",$V$9,IF(VLOOKUP(C781,[1]List1!$A:$D,2,FALSE)="DOCHÁZÍ",$V$3,VLOOKUP(C781,[1]List1!$A:$D,2,FALSE))),"OFFLINE!")</f>
        <v>SKLADEM</v>
      </c>
      <c r="AD781" s="647" t="str">
        <f ca="1">IF(AP781="NE",$V$10,IF(AC781=$V$3,IF(AQ781&lt;1,$V$8,$V$2&amp;" "&amp;AQ781&amp;" "&amp;$V$1),IF(AC781="SKLADEM",$V$6,IFERROR(IF(OR(AC781-TODAY()&gt;45,VLOOKUP(C781,[1]List1!$A:$E,4,FALSE)=0),AC781,DAY(AC781)&amp;"."&amp;MONTH(AC781)&amp;"."&amp;YEAR(AC781)&amp;" "&amp;$V$4&amp;VLOOKUP(C781,[1]List1!$A:$E,4,FALSE)&amp;" "&amp;$V$1),AC781))))</f>
        <v>SKLADEM</v>
      </c>
      <c r="AE781" s="645" t="str">
        <f t="shared" ref="AE781:AE786" ca="1" si="2492">IFERROR(IF(AV781&lt;&gt;"",AV781,AD781),AD781)</f>
        <v>SKLADEM</v>
      </c>
      <c r="AF781" s="648">
        <f t="shared" ref="AF781:AF786" si="2493">IFERROR(IF(AB781=Y781,G781*I781*Y781,0),0)</f>
        <v>0</v>
      </c>
      <c r="AG781" s="649">
        <f t="shared" ref="AG781:AG786" si="2494">IF($W$17=$AF$8,AH781*1.23,AF781*1.21)</f>
        <v>0</v>
      </c>
      <c r="AH781" s="650">
        <f t="shared" ref="AH781:AH786" si="2495">IFERROR(IF(Y781=AB781,H781*I781*Y781,0),0)</f>
        <v>0</v>
      </c>
      <c r="AI781" s="645">
        <f t="shared" ref="AI781:AI786" si="2496">IFERROR(IF(Y781=AB781,(P781*Y781)/1000,1),0)</f>
        <v>0</v>
      </c>
      <c r="AJ781" s="645">
        <f t="shared" ref="AJ781:AJ786" si="2497">IFERROR(IF(Y781=AB781,N781*Y781,0.1),0)</f>
        <v>0</v>
      </c>
      <c r="AK781" s="645" t="str">
        <f t="shared" ref="AK781:AK786" si="2498">IFERROR(IF(Y781=AB781,IF(M781="1.1G",(O781/1000)*Y781,""),""),0)</f>
        <v/>
      </c>
      <c r="AL781" s="645" t="str">
        <f t="shared" ref="AL781:AL786" si="2499">IFERROR(IF(Y781=AB781,IF(M781="1.3G",(O781/1000)*AB781,""),""),0)</f>
        <v/>
      </c>
      <c r="AM781" s="645">
        <f t="shared" ref="AM781:AM786" si="2500">IFERROR(IF(Y781=AB781,IF(M781="1.4G",(O781/1000)*AB781,""),""),0)</f>
        <v>0</v>
      </c>
      <c r="AN781" s="651">
        <f t="shared" ref="AN781:AN786" si="2501">SUM(AK781:AM781)</f>
        <v>0</v>
      </c>
      <c r="AO781" s="623"/>
      <c r="AP781" s="632" t="str">
        <f t="shared" si="2346"/>
        <v/>
      </c>
      <c r="AQ781" s="633" t="str">
        <f>IF(AC781=$V$3,IF(VLOOKUP(C781,[1]List1!$A:$E,5,FALSE)=0,1,VLOOKUP(C781,[1]List1!$A:$E,5,FALSE)),"")</f>
        <v/>
      </c>
      <c r="AR781" s="625" t="str">
        <f t="shared" si="2347"/>
        <v/>
      </c>
      <c r="AS781" s="634" t="str">
        <f t="shared" si="2348"/>
        <v/>
      </c>
      <c r="AT781" s="625" t="str">
        <f t="shared" si="2349"/>
        <v/>
      </c>
      <c r="AU781" s="638" t="e">
        <f t="shared" si="2350"/>
        <v>#N/A</v>
      </c>
      <c r="AV781" s="625" t="e">
        <f t="shared" si="2351"/>
        <v>#N/A</v>
      </c>
      <c r="AX781" s="625">
        <f>IF(AND('General price list'!$J781="F4",'General price list'!$AB781+0&gt;0),1,0)</f>
        <v>0</v>
      </c>
      <c r="AY781" s="625">
        <f t="shared" si="2352"/>
        <v>1</v>
      </c>
      <c r="AZ781" s="625">
        <f t="shared" si="2353"/>
        <v>0</v>
      </c>
    </row>
    <row r="782" spans="1:52" ht="15" customHeight="1">
      <c r="A782" s="621" t="str">
        <f>Kat.!C782</f>
        <v/>
      </c>
      <c r="B782" s="566">
        <f>IF(AND('General price list'!$J782="F4",$AI$1=FALSE),0,IF(AC782="SKLADEM",1,IF(AC782=$V$3,1,0)))</f>
        <v>1</v>
      </c>
      <c r="C782" s="567" t="s">
        <v>1505</v>
      </c>
      <c r="D782" s="568" t="s">
        <v>9492</v>
      </c>
      <c r="E782" s="763" t="s">
        <v>12663</v>
      </c>
      <c r="F782" s="772">
        <f>IFERROR(VLOOKUP(C782,[2]List1!$A:$D,3,FALSE),"NEUVEDENO!")</f>
        <v>3790</v>
      </c>
      <c r="G782" s="769">
        <f t="shared" si="2488"/>
        <v>3790</v>
      </c>
      <c r="H782" s="766">
        <f t="shared" si="2489"/>
        <v>160.99365795431859</v>
      </c>
      <c r="I782" s="764">
        <f>IFERROR(VLOOKUP(C782,[2]List1!$A:$D,4,FALSE),"NEUVEDENO!")</f>
        <v>1</v>
      </c>
      <c r="J782" s="732" t="s">
        <v>39</v>
      </c>
      <c r="K782" s="569" t="s">
        <v>20</v>
      </c>
      <c r="L782" s="569" t="s">
        <v>10981</v>
      </c>
      <c r="M782" s="569" t="s">
        <v>21</v>
      </c>
      <c r="N782" s="569">
        <f>IFERROR(VLOOKUP(C782,[3]List1!$A:$D,4,FALSE),"N/A!")</f>
        <v>4.7888E-2</v>
      </c>
      <c r="O782" s="569">
        <f>IFERROR(VLOOKUP(C782,[3]List1!$A:$D,3,FALSE),"N/A!")</f>
        <v>1980</v>
      </c>
      <c r="P782" s="569">
        <f>IFERROR(VLOOKUP(C782,[3]List1!$A:$D,2,FALSE),"N/A!")</f>
        <v>15800</v>
      </c>
      <c r="Q782" s="569" t="s">
        <v>11252</v>
      </c>
      <c r="R782" s="569"/>
      <c r="S782" s="569" t="str">
        <f>IF($W$17=$AF$1,"červená fólie",IFERROR(VLOOKUP("červená fólie",Jazyky_ceník!$A:$Q,MATCH($W$17,Jazyky_ceník!$A$1:$Q$1,0),FALSE),"!!!"))</f>
        <v>červená fólie</v>
      </c>
      <c r="T782" s="569">
        <v>150</v>
      </c>
      <c r="U782" s="569" t="s">
        <v>10746</v>
      </c>
      <c r="V782" s="569" t="s">
        <v>10748</v>
      </c>
      <c r="W782" s="569" t="str">
        <f>IFERROR(IF(AND($AB782&gt;=0.1*$AA782,MOD($AB782,$AA782)&gt;=($AA782-(0.1*$AA782))),IF($W$17=$AF$1,"Zvažte možnost doobjednání ještě "&amp;Tabulka1[[#This Row],[VKPAL]]-MOD(AB782,AA782)&amp;" VK do plné palety.",VLOOKUP("Zvažte možnost doobjednání ještě ",Jazyky_ceník!A:Q,MATCH($W$17,Jazyky_ceník!$A$1:$Q$1,0),FALSE)&amp;Tabulka1[[#This Row],[VKPAL]]-MOD(AB782,AA782)&amp;VLOOKUP(" VK do plné palety.",Jazyky_ceník!A:Q,MATCH($W$17,Jazyky_ceník!$A$1:$Q$1,0),FALSE)),IFERROR(IF(AND(NOT(MOD($AB782,$AA782)=0),$AB782&gt;=0.9*$AA782,MOD($AB782,$AA782)&lt;=0.1*$AA782),IF($W$17=$AF$1,"Zvažte možnost optimalizace objednaného množství podle počtu VK na paletě ==&gt;",VLOOKUP("Zvažte možnost optimalizace objednaného množství podle počtu VK na paletě ==&gt;",Jazyky_ceník!A:Q,MATCH($W$17,Jazyky_ceník!$A$1:$Q$1,0),FALSE)),VLOOKUP('General price list'!$C782,Popisy!A:M,MATCH($W$17,Popisy!$A$7:$M$7,0),FALSE)),"---------------")),IFERROR(VLOOKUP('General price list'!$C782,Popisy!A:M,MATCH($W$17,Popisy!$A$7:$M$7,0),FALSE),"---------------"))</f>
        <v>14 různobarevných efektů</v>
      </c>
      <c r="X782" s="569" t="str">
        <f t="shared" si="2490"/>
        <v/>
      </c>
      <c r="Y782" s="569" t="str">
        <f t="shared" si="2491"/>
        <v/>
      </c>
      <c r="Z782" s="569" t="str">
        <f>HYPERLINK("https://www.klasekpyrotechnics.cz/c200mf-c14")</f>
        <v>https://www.klasekpyrotechnics.cz/c200mf-c14</v>
      </c>
      <c r="AA782" s="569">
        <f>IFERROR(IF(VLOOKUP(C782,[4]List1!$A:$D,4,FALSE)=0,"",VLOOKUP(C782,[4]List1!$A:$D,4,FALSE)),"")</f>
        <v>24</v>
      </c>
      <c r="AB782" s="565"/>
      <c r="AC782" s="570" t="str">
        <f>IFERROR(IF(VLOOKUP(C782,[1]List1!$A:$D,2,FALSE)="VYPRODÁNO",$V$9,IF(VLOOKUP(C782,[1]List1!$A:$D,2,FALSE)="DOCHÁZÍ",$V$3,VLOOKUP(C782,[1]List1!$A:$D,2,FALSE))),"OFFLINE!")</f>
        <v>SKLADEM</v>
      </c>
      <c r="AD782" s="570" t="str">
        <f ca="1">IF(AP782="NE",$V$10,IF(AC782=$V$3,IF(AQ782&lt;1,$V$8,$V$2&amp;" "&amp;AQ782&amp;" "&amp;$V$1),IF(AC782="SKLADEM",$V$6,IFERROR(IF(OR(AC782-TODAY()&gt;45,VLOOKUP(C782,[1]List1!$A:$E,4,FALSE)=0),AC782,DAY(AC782)&amp;"."&amp;MONTH(AC782)&amp;"."&amp;YEAR(AC782)&amp;" "&amp;$V$4&amp;VLOOKUP(C782,[1]List1!$A:$E,4,FALSE)&amp;" "&amp;$V$1),AC782))))</f>
        <v>SKLADEM</v>
      </c>
      <c r="AE782" s="581" t="str">
        <f t="shared" ca="1" si="2492"/>
        <v>SKLADEM</v>
      </c>
      <c r="AF782" s="584">
        <f t="shared" si="2493"/>
        <v>0</v>
      </c>
      <c r="AG782" s="585">
        <f t="shared" si="2494"/>
        <v>0</v>
      </c>
      <c r="AH782" s="583">
        <f t="shared" si="2495"/>
        <v>0</v>
      </c>
      <c r="AI782" s="582">
        <f t="shared" si="2496"/>
        <v>0</v>
      </c>
      <c r="AJ782" s="569">
        <f t="shared" si="2497"/>
        <v>0</v>
      </c>
      <c r="AK782" s="569" t="str">
        <f t="shared" si="2498"/>
        <v/>
      </c>
      <c r="AL782" s="569" t="str">
        <f t="shared" si="2499"/>
        <v/>
      </c>
      <c r="AM782" s="569">
        <f t="shared" si="2500"/>
        <v>0</v>
      </c>
      <c r="AN782" s="581">
        <f t="shared" si="2501"/>
        <v>0</v>
      </c>
      <c r="AO782" s="623"/>
      <c r="AP782" s="632" t="str">
        <f t="shared" si="2346"/>
        <v/>
      </c>
      <c r="AQ782" s="633" t="str">
        <f>IF(AC782=$V$3,IF(VLOOKUP(C782,[1]List1!$A:$E,5,FALSE)=0,1,VLOOKUP(C782,[1]List1!$A:$E,5,FALSE)),"")</f>
        <v/>
      </c>
      <c r="AR782" s="625" t="str">
        <f t="shared" si="2347"/>
        <v/>
      </c>
      <c r="AS782" s="634" t="str">
        <f t="shared" si="2348"/>
        <v/>
      </c>
      <c r="AT782" s="625" t="str">
        <f t="shared" si="2349"/>
        <v/>
      </c>
      <c r="AU782" s="638" t="e">
        <f t="shared" si="2350"/>
        <v>#N/A</v>
      </c>
      <c r="AV782" s="625" t="e">
        <f t="shared" si="2351"/>
        <v>#N/A</v>
      </c>
      <c r="AX782" s="625">
        <f>IF(AND('General price list'!$J782="F4",'General price list'!$AB782+0&gt;0),1,0)</f>
        <v>0</v>
      </c>
      <c r="AY782" s="625">
        <f t="shared" si="2352"/>
        <v>1</v>
      </c>
      <c r="AZ782" s="625">
        <f t="shared" si="2353"/>
        <v>0</v>
      </c>
    </row>
    <row r="783" spans="1:52" ht="15" customHeight="1">
      <c r="A783" s="639" t="str">
        <f>Kat.!C783</f>
        <v/>
      </c>
      <c r="B783" s="640">
        <f>IF(AND('General price list'!$J783="F4",$AI$1=FALSE),0,IF(AC783="SKLADEM",1,IF(AC783=$V$3,1,0)))</f>
        <v>0</v>
      </c>
      <c r="C783" s="641" t="s">
        <v>2325</v>
      </c>
      <c r="D783" s="642" t="s">
        <v>12428</v>
      </c>
      <c r="E783" s="643" t="s">
        <v>12663</v>
      </c>
      <c r="F783" s="771">
        <f>IFERROR(VLOOKUP(C783,[2]List1!$A:$D,3,FALSE),"NEUVEDENO!")</f>
        <v>3157</v>
      </c>
      <c r="G783" s="768">
        <f t="shared" si="2488"/>
        <v>3157</v>
      </c>
      <c r="H783" s="765">
        <f t="shared" si="2489"/>
        <v>134.10474357830705</v>
      </c>
      <c r="I783" s="644">
        <f>IFERROR(VLOOKUP(C783,[2]List1!$A:$D,4,FALSE),"NEUVEDENO!")</f>
        <v>1</v>
      </c>
      <c r="J783" s="733" t="s">
        <v>39</v>
      </c>
      <c r="K783" s="645" t="s">
        <v>20</v>
      </c>
      <c r="L783" s="645" t="s">
        <v>10981</v>
      </c>
      <c r="M783" s="645" t="s">
        <v>21</v>
      </c>
      <c r="N783" s="645">
        <f>IFERROR(VLOOKUP(C783,[3]List1!$A:$D,4,FALSE),"N/A!")</f>
        <v>4.9148749999999998E-2</v>
      </c>
      <c r="O783" s="645">
        <f>IFERROR(VLOOKUP(C783,[3]List1!$A:$D,3,FALSE),"N/A!")</f>
        <v>1500</v>
      </c>
      <c r="P783" s="645">
        <f>IFERROR(VLOOKUP(C783,[3]List1!$A:$D,2,FALSE),"N/A!")</f>
        <v>17000</v>
      </c>
      <c r="Q783" s="645" t="s">
        <v>11299</v>
      </c>
      <c r="R783" s="645" t="s">
        <v>20</v>
      </c>
      <c r="S783" s="645" t="str">
        <f>IF($W$17=$AF$1,"červená fólie",IFERROR(VLOOKUP("červená fólie",Jazyky_ceník!$A:$Q,MATCH($W$17,Jazyky_ceník!$A$1:$Q$1,0),FALSE),"!!!"))</f>
        <v>červená fólie</v>
      </c>
      <c r="T783" s="645">
        <v>100</v>
      </c>
      <c r="U783" s="645" t="s">
        <v>10746</v>
      </c>
      <c r="V783" s="645" t="s">
        <v>10755</v>
      </c>
      <c r="W783" s="645" t="str">
        <f>IFERROR(IF(AND($AB783&gt;=0.1*$AA783,MOD($AB783,$AA783)&gt;=($AA783-(0.1*$AA783))),IF($W$17=$AF$1,"Zvažte možnost doobjednání ještě "&amp;Tabulka1[[#This Row],[VKPAL]]-MOD(AB783,AA783)&amp;" VK do plné palety.",VLOOKUP("Zvažte možnost doobjednání ještě ",Jazyky_ceník!A:Q,MATCH($W$17,Jazyky_ceník!$A$1:$Q$1,0),FALSE)&amp;Tabulka1[[#This Row],[VKPAL]]-MOD(AB783,AA783)&amp;VLOOKUP(" VK do plné palety.",Jazyky_ceník!A:Q,MATCH($W$17,Jazyky_ceník!$A$1:$Q$1,0),FALSE)),IFERROR(IF(AND(NOT(MOD($AB783,$AA783)=0),$AB783&gt;=0.9*$AA783,MOD($AB783,$AA783)&lt;=0.1*$AA783),IF($W$17=$AF$1,"Zvažte možnost optimalizace objednaného množství podle počtu VK na paletě ==&gt;",VLOOKUP("Zvažte možnost optimalizace objednaného množství podle počtu VK na paletě ==&gt;",Jazyky_ceník!A:Q,MATCH($W$17,Jazyky_ceník!$A$1:$Q$1,0),FALSE)),VLOOKUP('General price list'!$C783,Popisy!A:M,MATCH($W$17,Popisy!$A$7:$M$7,0),FALSE)),"---------------")),IFERROR(VLOOKUP('General price list'!$C783,Popisy!A:M,MATCH($W$17,Popisy!$A$7:$M$7,0),FALSE),"---------------"))</f>
        <v>42 různobarevných efektů</v>
      </c>
      <c r="X783" s="645" t="str">
        <f t="shared" si="2490"/>
        <v/>
      </c>
      <c r="Y783" s="645" t="str">
        <f t="shared" si="2491"/>
        <v/>
      </c>
      <c r="Z783" s="645" t="str">
        <f>HYPERLINK("https://www.klasekpyrotechnics.cz/c204xmpt-c14")</f>
        <v>https://www.klasekpyrotechnics.cz/c204xmpt-c14</v>
      </c>
      <c r="AA783" s="645">
        <f>IFERROR(IF(VLOOKUP(C783,[4]List1!$A:$D,4,FALSE)=0,"",VLOOKUP(C783,[4]List1!$A:$D,4,FALSE)),"")</f>
        <v>21</v>
      </c>
      <c r="AB783" s="646"/>
      <c r="AC783" s="647" t="str">
        <f>IFERROR(IF(VLOOKUP(C783,[1]List1!$A:$D,2,FALSE)="VYPRODÁNO",$V$9,IF(VLOOKUP(C783,[1]List1!$A:$D,2,FALSE)="DOCHÁZÍ",$V$3,VLOOKUP(C783,[1]List1!$A:$D,2,FALSE))),"OFFLINE!")</f>
        <v>31.08.2026</v>
      </c>
      <c r="AD783" s="647" t="str">
        <f ca="1">IF(AP783="NE",$V$10,IF(AC783=$V$3,IF(AQ783&lt;1,$V$8,$V$2&amp;" "&amp;AQ783&amp;" "&amp;$V$1),IF(AC783="SKLADEM",$V$6,IFERROR(IF(OR(AC783-TODAY()&gt;45,VLOOKUP(C783,[1]List1!$A:$E,4,FALSE)=0),AC783,DAY(AC783)&amp;"."&amp;MONTH(AC783)&amp;"."&amp;YEAR(AC783)&amp;" "&amp;$V$4&amp;VLOOKUP(C783,[1]List1!$A:$E,4,FALSE)&amp;" "&amp;$V$1),AC783))))</f>
        <v>31.08.2026</v>
      </c>
      <c r="AE783" s="645" t="str">
        <f t="shared" ca="1" si="2492"/>
        <v>31.08.2026</v>
      </c>
      <c r="AF783" s="648">
        <f t="shared" si="2493"/>
        <v>0</v>
      </c>
      <c r="AG783" s="649">
        <f t="shared" si="2494"/>
        <v>0</v>
      </c>
      <c r="AH783" s="650">
        <f t="shared" si="2495"/>
        <v>0</v>
      </c>
      <c r="AI783" s="645">
        <f t="shared" si="2496"/>
        <v>0</v>
      </c>
      <c r="AJ783" s="645">
        <f t="shared" si="2497"/>
        <v>0</v>
      </c>
      <c r="AK783" s="645" t="str">
        <f t="shared" si="2498"/>
        <v/>
      </c>
      <c r="AL783" s="645" t="str">
        <f t="shared" si="2499"/>
        <v/>
      </c>
      <c r="AM783" s="645">
        <f t="shared" si="2500"/>
        <v>0</v>
      </c>
      <c r="AN783" s="651">
        <f t="shared" si="2501"/>
        <v>0</v>
      </c>
      <c r="AO783" s="623"/>
      <c r="AP783" s="632" t="str">
        <f t="shared" si="2346"/>
        <v/>
      </c>
      <c r="AQ783" s="633" t="str">
        <f>IF(AC783=$V$3,IF(VLOOKUP(C783,[1]List1!$A:$E,5,FALSE)=0,1,VLOOKUP(C783,[1]List1!$A:$E,5,FALSE)),"")</f>
        <v/>
      </c>
      <c r="AR783" s="625" t="str">
        <f t="shared" si="2347"/>
        <v/>
      </c>
      <c r="AS783" s="634" t="str">
        <f t="shared" si="2348"/>
        <v/>
      </c>
      <c r="AT783" s="625" t="str">
        <f t="shared" si="2349"/>
        <v/>
      </c>
      <c r="AU783" s="638" t="e">
        <f t="shared" si="2350"/>
        <v>#N/A</v>
      </c>
      <c r="AV783" s="625" t="e">
        <f t="shared" si="2351"/>
        <v>#N/A</v>
      </c>
      <c r="AX783" s="625">
        <f>IF(AND('General price list'!$J783="F4",'General price list'!$AB783+0&gt;0),1,0)</f>
        <v>0</v>
      </c>
      <c r="AY783" s="625">
        <f t="shared" si="2352"/>
        <v>1</v>
      </c>
      <c r="AZ783" s="625">
        <f t="shared" si="2353"/>
        <v>0</v>
      </c>
    </row>
    <row r="784" spans="1:52" ht="15.75" customHeight="1">
      <c r="A784" s="621" t="str">
        <f>Kat.!C784</f>
        <v/>
      </c>
      <c r="B784" s="566">
        <f>IF(AND('General price list'!$J784="F4",$AI$1=FALSE),0,IF(AC784="SKLADEM",1,IF(AC784=$V$3,1,0)))</f>
        <v>1</v>
      </c>
      <c r="C784" s="567" t="s">
        <v>2326</v>
      </c>
      <c r="D784" s="568" t="s">
        <v>11218</v>
      </c>
      <c r="E784" s="763" t="s">
        <v>12663</v>
      </c>
      <c r="F784" s="772">
        <f>IFERROR(VLOOKUP(C784,[2]List1!$A:$D,3,FALSE),"NEUVEDENO!")</f>
        <v>3182</v>
      </c>
      <c r="G784" s="769">
        <f t="shared" si="2488"/>
        <v>3182</v>
      </c>
      <c r="H784" s="766">
        <f t="shared" si="2489"/>
        <v>135.16670702127749</v>
      </c>
      <c r="I784" s="764">
        <f>IFERROR(VLOOKUP(C784,[2]List1!$A:$D,4,FALSE),"NEUVEDENO!")</f>
        <v>1</v>
      </c>
      <c r="J784" s="732" t="s">
        <v>39</v>
      </c>
      <c r="K784" s="569" t="s">
        <v>20</v>
      </c>
      <c r="L784" s="569"/>
      <c r="M784" s="569" t="s">
        <v>21</v>
      </c>
      <c r="N784" s="569">
        <f>IFERROR(VLOOKUP(C784,[3]List1!$A:$D,4,FALSE),"N/A!")</f>
        <v>4.3296000000000001E-2</v>
      </c>
      <c r="O784" s="569">
        <f>IFERROR(VLOOKUP(C784,[3]List1!$A:$D,3,FALSE),"N/A!")</f>
        <v>1963</v>
      </c>
      <c r="P784" s="569">
        <f>IFERROR(VLOOKUP(C784,[3]List1!$A:$D,2,FALSE),"N/A!")</f>
        <v>13500</v>
      </c>
      <c r="Q784" s="569" t="s">
        <v>11299</v>
      </c>
      <c r="R784" s="569" t="s">
        <v>20</v>
      </c>
      <c r="S784" s="569" t="str">
        <f>IF($W$17=$AF$1,"červená fólie",IFERROR(VLOOKUP("červená fólie",Jazyky_ceník!$A:$Q,MATCH($W$17,Jazyky_ceník!$A$1:$Q$1,0),FALSE),"!!!"))</f>
        <v>červená fólie</v>
      </c>
      <c r="T784" s="569">
        <v>90</v>
      </c>
      <c r="U784" s="569" t="s">
        <v>10746</v>
      </c>
      <c r="V784" s="569" t="s">
        <v>10748</v>
      </c>
      <c r="W784" s="569" t="str">
        <f>IFERROR(IF(AND($AB784&gt;=0.1*$AA784,MOD($AB784,$AA784)&gt;=($AA784-(0.1*$AA784))),IF($W$17=$AF$1,"Zvažte možnost doobjednání ještě "&amp;Tabulka1[[#This Row],[VKPAL]]-MOD(AB784,AA784)&amp;" VK do plné palety.",VLOOKUP("Zvažte možnost doobjednání ještě ",Jazyky_ceník!A:Q,MATCH($W$17,Jazyky_ceník!$A$1:$Q$1,0),FALSE)&amp;Tabulka1[[#This Row],[VKPAL]]-MOD(AB784,AA784)&amp;VLOOKUP(" VK do plné palety.",Jazyky_ceník!A:Q,MATCH($W$17,Jazyky_ceník!$A$1:$Q$1,0),FALSE)),IFERROR(IF(AND(NOT(MOD($AB784,$AA784)=0),$AB784&gt;=0.9*$AA784,MOD($AB784,$AA784)&lt;=0.1*$AA784),IF($W$17=$AF$1,"Zvažte možnost optimalizace objednaného množství podle počtu VK na paletě ==&gt;",VLOOKUP("Zvažte možnost optimalizace objednaného množství podle počtu VK na paletě ==&gt;",Jazyky_ceník!A:Q,MATCH($W$17,Jazyky_ceník!$A$1:$Q$1,0),FALSE)),VLOOKUP('General price list'!$C784,Popisy!A:M,MATCH($W$17,Popisy!$A$7:$M$7,0),FALSE)),"---------------")),IFERROR(VLOOKUP('General price list'!$C784,Popisy!A:M,MATCH($W$17,Popisy!$A$7:$M$7,0),FALSE),"---------------"))</f>
        <v>19 různobarevných efektů</v>
      </c>
      <c r="X784" s="569" t="str">
        <f t="shared" si="2490"/>
        <v/>
      </c>
      <c r="Y784" s="569" t="str">
        <f t="shared" si="2491"/>
        <v/>
      </c>
      <c r="Z784" s="569" t="str">
        <f>HYPERLINK("https://www.klasekpyrotechnics.cz/c216xmfs-c14")</f>
        <v>https://www.klasekpyrotechnics.cz/c216xmfs-c14</v>
      </c>
      <c r="AA784" s="569">
        <f>IFERROR(IF(VLOOKUP(C784,[4]List1!$A:$D,4,FALSE)=0,"",VLOOKUP(C784,[4]List1!$A:$D,4,FALSE)),"")</f>
        <v>32</v>
      </c>
      <c r="AB784" s="565"/>
      <c r="AC784" s="570" t="str">
        <f>IFERROR(IF(VLOOKUP(C784,[1]List1!$A:$D,2,FALSE)="VYPRODÁNO",$V$9,IF(VLOOKUP(C784,[1]List1!$A:$D,2,FALSE)="DOCHÁZÍ",$V$3,VLOOKUP(C784,[1]List1!$A:$D,2,FALSE))),"OFFLINE!")</f>
        <v>SKLADEM</v>
      </c>
      <c r="AD784" s="570" t="str">
        <f ca="1">IF(AP784="NE",$V$10,IF(AC784=$V$3,IF(AQ784&lt;1,$V$8,$V$2&amp;" "&amp;AQ784&amp;" "&amp;$V$1),IF(AC784="SKLADEM",$V$6,IFERROR(IF(OR(AC784-TODAY()&gt;45,VLOOKUP(C784,[1]List1!$A:$E,4,FALSE)=0),AC784,DAY(AC784)&amp;"."&amp;MONTH(AC784)&amp;"."&amp;YEAR(AC784)&amp;" "&amp;$V$4&amp;VLOOKUP(C784,[1]List1!$A:$E,4,FALSE)&amp;" "&amp;$V$1),AC784))))</f>
        <v>SKLADEM</v>
      </c>
      <c r="AE784" s="581" t="str">
        <f t="shared" ca="1" si="2492"/>
        <v>SKLADEM</v>
      </c>
      <c r="AF784" s="584">
        <f t="shared" si="2493"/>
        <v>0</v>
      </c>
      <c r="AG784" s="585">
        <f t="shared" si="2494"/>
        <v>0</v>
      </c>
      <c r="AH784" s="583">
        <f t="shared" si="2495"/>
        <v>0</v>
      </c>
      <c r="AI784" s="582">
        <f t="shared" si="2496"/>
        <v>0</v>
      </c>
      <c r="AJ784" s="569">
        <f t="shared" si="2497"/>
        <v>0</v>
      </c>
      <c r="AK784" s="569" t="str">
        <f t="shared" si="2498"/>
        <v/>
      </c>
      <c r="AL784" s="569" t="str">
        <f t="shared" si="2499"/>
        <v/>
      </c>
      <c r="AM784" s="569">
        <f t="shared" si="2500"/>
        <v>0</v>
      </c>
      <c r="AN784" s="581">
        <f t="shared" si="2501"/>
        <v>0</v>
      </c>
      <c r="AO784" s="623"/>
      <c r="AP784" s="625" t="str">
        <f t="shared" si="2346"/>
        <v/>
      </c>
      <c r="AQ784" s="625" t="str">
        <f>IF(AC784=$V$3,IF(VLOOKUP(C784,[1]List1!$A:$E,5,FALSE)=0,1,VLOOKUP(C784,[1]List1!$A:$E,5,FALSE)),"")</f>
        <v/>
      </c>
      <c r="AR784" s="629" t="str">
        <f t="shared" si="2347"/>
        <v/>
      </c>
      <c r="AS784" s="630" t="str">
        <f t="shared" si="2348"/>
        <v/>
      </c>
      <c r="AT784" s="625" t="str">
        <f t="shared" si="2349"/>
        <v/>
      </c>
      <c r="AU784" s="625" t="e">
        <f t="shared" si="2350"/>
        <v>#N/A</v>
      </c>
      <c r="AV784" s="625" t="e">
        <f t="shared" si="2351"/>
        <v>#N/A</v>
      </c>
      <c r="AW784" s="631"/>
      <c r="AX784" s="631">
        <f>IF(AND('General price list'!$J784="F4",'General price list'!$AB784+0&gt;0),1,0)</f>
        <v>0</v>
      </c>
      <c r="AY784" s="631">
        <f t="shared" si="2352"/>
        <v>1</v>
      </c>
      <c r="AZ784" s="631">
        <f t="shared" si="2353"/>
        <v>0</v>
      </c>
    </row>
    <row r="785" spans="1:52" ht="15" customHeight="1">
      <c r="A785" s="639" t="str">
        <f>Kat.!C785</f>
        <v/>
      </c>
      <c r="B785" s="640">
        <f>IF(AND('General price list'!$J785="F4",$AI$1=FALSE),0,IF(AC785="SKLADEM",1,IF(AC785=$V$3,1,0)))</f>
        <v>1</v>
      </c>
      <c r="C785" s="641" t="s">
        <v>2327</v>
      </c>
      <c r="D785" s="642" t="s">
        <v>2328</v>
      </c>
      <c r="E785" s="643" t="s">
        <v>12663</v>
      </c>
      <c r="F785" s="771">
        <f>IFERROR(VLOOKUP(C785,[2]List1!$A:$D,3,FALSE),"NEUVEDENO!")</f>
        <v>4204</v>
      </c>
      <c r="G785" s="768">
        <f t="shared" si="2488"/>
        <v>4204</v>
      </c>
      <c r="H785" s="765">
        <f t="shared" si="2489"/>
        <v>178.57977256990907</v>
      </c>
      <c r="I785" s="644">
        <f>IFERROR(VLOOKUP(C785,[2]List1!$A:$D,4,FALSE),"NEUVEDENO!")</f>
        <v>1</v>
      </c>
      <c r="J785" s="733" t="s">
        <v>39</v>
      </c>
      <c r="K785" s="645" t="s">
        <v>20</v>
      </c>
      <c r="L785" s="645" t="s">
        <v>10981</v>
      </c>
      <c r="M785" s="645" t="s">
        <v>21</v>
      </c>
      <c r="N785" s="645">
        <f>IFERROR(VLOOKUP(C785,[3]List1!$A:$D,4,FALSE),"N/A!")</f>
        <v>5.2135999999999995E-2</v>
      </c>
      <c r="O785" s="645">
        <f>IFERROR(VLOOKUP(C785,[3]List1!$A:$D,3,FALSE),"N/A!")</f>
        <v>2000</v>
      </c>
      <c r="P785" s="645">
        <f>IFERROR(VLOOKUP(C785,[3]List1!$A:$D,2,FALSE),"N/A!")</f>
        <v>17000</v>
      </c>
      <c r="Q785" s="645" t="s">
        <v>11302</v>
      </c>
      <c r="R785" s="645"/>
      <c r="S785" s="645" t="str">
        <f>IF($W$17=$AF$1,"červená fólie",IFERROR(VLOOKUP("červená fólie",Jazyky_ceník!$A:$Q,MATCH($W$17,Jazyky_ceník!$A$1:$Q$1,0),FALSE),"!!!"))</f>
        <v>červená fólie</v>
      </c>
      <c r="T785" s="645">
        <v>130</v>
      </c>
      <c r="U785" s="645" t="s">
        <v>10746</v>
      </c>
      <c r="V785" s="645" t="s">
        <v>10755</v>
      </c>
      <c r="W785" s="645" t="str">
        <f>IFERROR(IF(AND($AB785&gt;=0.1*$AA785,MOD($AB785,$AA785)&gt;=($AA785-(0.1*$AA785))),IF($W$17=$AF$1,"Zvažte možnost doobjednání ještě "&amp;Tabulka1[[#This Row],[VKPAL]]-MOD(AB785,AA785)&amp;" VK do plné palety.",VLOOKUP("Zvažte možnost doobjednání ještě ",Jazyky_ceník!A:Q,MATCH($W$17,Jazyky_ceník!$A$1:$Q$1,0),FALSE)&amp;Tabulka1[[#This Row],[VKPAL]]-MOD(AB785,AA785)&amp;VLOOKUP(" VK do plné palety.",Jazyky_ceník!A:Q,MATCH($W$17,Jazyky_ceník!$A$1:$Q$1,0),FALSE)),IFERROR(IF(AND(NOT(MOD($AB785,$AA785)=0),$AB785&gt;=0.9*$AA785,MOD($AB785,$AA785)&lt;=0.1*$AA785),IF($W$17=$AF$1,"Zvažte možnost optimalizace objednaného množství podle počtu VK na paletě ==&gt;",VLOOKUP("Zvažte možnost optimalizace objednaného množství podle počtu VK na paletě ==&gt;",Jazyky_ceník!A:Q,MATCH($W$17,Jazyky_ceník!$A$1:$Q$1,0),FALSE)),VLOOKUP('General price list'!$C785,Popisy!A:M,MATCH($W$17,Popisy!$A$7:$M$7,0),FALSE)),"---------------")),IFERROR(VLOOKUP('General price list'!$C785,Popisy!A:M,MATCH($W$17,Popisy!$A$7:$M$7,0),FALSE),"---------------"))</f>
        <v>34 různobarevných efektů</v>
      </c>
      <c r="X785" s="645" t="str">
        <f t="shared" si="2490"/>
        <v/>
      </c>
      <c r="Y785" s="645" t="str">
        <f t="shared" si="2491"/>
        <v/>
      </c>
      <c r="Z785" s="645" t="str">
        <f>HYPERLINK("https://www.klasekpyrotechnics.cz/c223xmk-c14")</f>
        <v>https://www.klasekpyrotechnics.cz/c223xmk-c14</v>
      </c>
      <c r="AA785" s="645">
        <f>IFERROR(IF(VLOOKUP(C785,[4]List1!$A:$D,4,FALSE)=0,"",VLOOKUP(C785,[4]List1!$A:$D,4,FALSE)),"")</f>
        <v>18</v>
      </c>
      <c r="AB785" s="646"/>
      <c r="AC785" s="647" t="str">
        <f>IFERROR(IF(VLOOKUP(C785,[1]List1!$A:$D,2,FALSE)="VYPRODÁNO",$V$9,IF(VLOOKUP(C785,[1]List1!$A:$D,2,FALSE)="DOCHÁZÍ",$V$3,VLOOKUP(C785,[1]List1!$A:$D,2,FALSE))),"OFFLINE!")</f>
        <v>SKLADEM</v>
      </c>
      <c r="AD785" s="647" t="str">
        <f ca="1">IF(AP785="NE",$V$10,IF(AC785=$V$3,IF(AQ785&lt;1,$V$8,$V$2&amp;" "&amp;AQ785&amp;" "&amp;$V$1),IF(AC785="SKLADEM",$V$6,IFERROR(IF(OR(AC785-TODAY()&gt;45,VLOOKUP(C785,[1]List1!$A:$E,4,FALSE)=0),AC785,DAY(AC785)&amp;"."&amp;MONTH(AC785)&amp;"."&amp;YEAR(AC785)&amp;" "&amp;$V$4&amp;VLOOKUP(C785,[1]List1!$A:$E,4,FALSE)&amp;" "&amp;$V$1),AC785))))</f>
        <v>SKLADEM</v>
      </c>
      <c r="AE785" s="645" t="str">
        <f t="shared" ca="1" si="2492"/>
        <v>SKLADEM</v>
      </c>
      <c r="AF785" s="648">
        <f t="shared" si="2493"/>
        <v>0</v>
      </c>
      <c r="AG785" s="649">
        <f t="shared" si="2494"/>
        <v>0</v>
      </c>
      <c r="AH785" s="650">
        <f t="shared" si="2495"/>
        <v>0</v>
      </c>
      <c r="AI785" s="645">
        <f t="shared" si="2496"/>
        <v>0</v>
      </c>
      <c r="AJ785" s="645">
        <f t="shared" si="2497"/>
        <v>0</v>
      </c>
      <c r="AK785" s="645" t="str">
        <f t="shared" si="2498"/>
        <v/>
      </c>
      <c r="AL785" s="645" t="str">
        <f t="shared" si="2499"/>
        <v/>
      </c>
      <c r="AM785" s="645">
        <f t="shared" si="2500"/>
        <v>0</v>
      </c>
      <c r="AN785" s="651">
        <f t="shared" si="2501"/>
        <v>0</v>
      </c>
      <c r="AO785" s="623"/>
      <c r="AP785" s="632" t="str">
        <f t="shared" si="2346"/>
        <v/>
      </c>
      <c r="AQ785" s="633" t="str">
        <f>IF(AC785=$V$3,IF(VLOOKUP(C785,[1]List1!$A:$E,5,FALSE)=0,1,VLOOKUP(C785,[1]List1!$A:$E,5,FALSE)),"")</f>
        <v/>
      </c>
      <c r="AR785" s="625" t="str">
        <f t="shared" si="2347"/>
        <v/>
      </c>
      <c r="AS785" s="634" t="str">
        <f t="shared" si="2348"/>
        <v/>
      </c>
      <c r="AT785" s="625" t="str">
        <f t="shared" si="2349"/>
        <v/>
      </c>
      <c r="AU785" s="638" t="e">
        <f t="shared" si="2350"/>
        <v>#N/A</v>
      </c>
      <c r="AV785" s="625" t="e">
        <f t="shared" si="2351"/>
        <v>#N/A</v>
      </c>
      <c r="AX785" s="625">
        <f>IF(AND('General price list'!$J785="F4",'General price list'!$AB785+0&gt;0),1,0)</f>
        <v>0</v>
      </c>
      <c r="AY785" s="625">
        <f t="shared" si="2352"/>
        <v>1</v>
      </c>
      <c r="AZ785" s="625">
        <f t="shared" si="2353"/>
        <v>0</v>
      </c>
    </row>
    <row r="786" spans="1:52" ht="15.75" customHeight="1">
      <c r="A786" s="621" t="str">
        <f>Kat.!C786</f>
        <v/>
      </c>
      <c r="B786" s="566">
        <f>IF(AND('General price list'!$J786="F4",$AI$1=FALSE),0,IF(AC786="SKLADEM",1,IF(AC786=$V$3,1,0)))</f>
        <v>0</v>
      </c>
      <c r="C786" s="641" t="s">
        <v>12471</v>
      </c>
      <c r="D786" s="568" t="s">
        <v>12570</v>
      </c>
      <c r="E786" s="763" t="s">
        <v>12663</v>
      </c>
      <c r="F786" s="772">
        <f>IFERROR(VLOOKUP(C786,[2]List1!$A:$D,3,FALSE),"NEUVEDENO!")</f>
        <v>4851</v>
      </c>
      <c r="G786" s="769">
        <f t="shared" si="2488"/>
        <v>4851</v>
      </c>
      <c r="H786" s="766">
        <f t="shared" si="2489"/>
        <v>206.06338647398402</v>
      </c>
      <c r="I786" s="764">
        <f>IFERROR(VLOOKUP(C786,[2]List1!$A:$D,4,FALSE),"NEUVEDENO!")</f>
        <v>1</v>
      </c>
      <c r="J786" s="732" t="s">
        <v>39</v>
      </c>
      <c r="K786" s="569">
        <v>4</v>
      </c>
      <c r="L786" s="569"/>
      <c r="M786" s="569" t="s">
        <v>21</v>
      </c>
      <c r="N786" s="569">
        <f>IFERROR(VLOOKUP(C786,[3]List1!$A:$D,4,FALSE),"N/A!")</f>
        <v>0</v>
      </c>
      <c r="O786" s="569">
        <f>IFERROR(VLOOKUP(C786,[3]List1!$A:$D,3,FALSE),"N/A!")</f>
        <v>1497</v>
      </c>
      <c r="P786" s="569">
        <f>IFERROR(VLOOKUP(C786,[3]List1!$A:$D,2,FALSE),"N/A!")</f>
        <v>22000</v>
      </c>
      <c r="Q786" s="569" t="s">
        <v>15071</v>
      </c>
      <c r="R786" s="569"/>
      <c r="S786" s="569" t="str">
        <f>IF($W$17=$AF$1,"červená fólie",IFERROR(VLOOKUP("červená fólie",Jazyky_ceník!$A:$Q,MATCH($W$17,Jazyky_ceník!$A$1:$Q$1,0),FALSE),"!!!"))</f>
        <v>červená fólie</v>
      </c>
      <c r="T786" s="569">
        <v>180</v>
      </c>
      <c r="U786" s="569" t="s">
        <v>12788</v>
      </c>
      <c r="V786" s="569" t="s">
        <v>12789</v>
      </c>
      <c r="W786" s="569" t="str">
        <f>IFERROR(IF(AND($AB786&gt;=0.1*$AA786,MOD($AB786,$AA786)&gt;=($AA786-(0.1*$AA786))),IF($W$17=$AF$1,"Zvažte možnost doobjednání ještě "&amp;Tabulka1[[#This Row],[VKPAL]]-MOD(AB786,AA786)&amp;" VK do plné palety.",VLOOKUP("Zvažte možnost doobjednání ještě ",Jazyky_ceník!A:Q,MATCH($W$17,Jazyky_ceník!$A$1:$Q$1,0),FALSE)&amp;Tabulka1[[#This Row],[VKPAL]]-MOD(AB786,AA786)&amp;VLOOKUP(" VK do plné palety.",Jazyky_ceník!A:Q,MATCH($W$17,Jazyky_ceník!$A$1:$Q$1,0),FALSE)),IFERROR(IF(AND(NOT(MOD($AB786,$AA786)=0),$AB786&gt;=0.9*$AA786,MOD($AB786,$AA786)&lt;=0.1*$AA786),IF($W$17=$AF$1,"Zvažte možnost optimalizace objednaného množství podle počtu VK na paletě ==&gt;",VLOOKUP("Zvažte možnost optimalizace objednaného množství podle počtu VK na paletě ==&gt;",Jazyky_ceník!A:Q,MATCH($W$17,Jazyky_ceník!$A$1:$Q$1,0),FALSE)),VLOOKUP('General price list'!$C786,Popisy!A:M,MATCH($W$17,Popisy!$A$7:$M$7,0),FALSE)),"---------------")),IFERROR(VLOOKUP('General price list'!$C786,Popisy!A:M,MATCH($W$17,Popisy!$A$7:$M$7,0),FALSE),"---------------"))</f>
        <v>42 různobarevných efektů</v>
      </c>
      <c r="X786" s="569" t="str">
        <f t="shared" si="2490"/>
        <v/>
      </c>
      <c r="Y786" s="569" t="str">
        <f t="shared" si="2491"/>
        <v/>
      </c>
      <c r="Z786" s="569" t="str">
        <f>HYPERLINK("https://www.klasekpyrotechnics.cz/c510mxu-c14")</f>
        <v>https://www.klasekpyrotechnics.cz/c510mxu-c14</v>
      </c>
      <c r="AA786" s="569" t="str">
        <f>IFERROR(IF(VLOOKUP(C786,[4]List1!$A:$D,4,FALSE)=0,"",VLOOKUP(C786,[4]List1!$A:$D,4,FALSE)),"")</f>
        <v/>
      </c>
      <c r="AB786" s="565"/>
      <c r="AC786" s="570" t="str">
        <f>IFERROR(IF(VLOOKUP(C786,[1]List1!$A:$D,2,FALSE)="VYPRODÁNO",$V$9,IF(VLOOKUP(C786,[1]List1!$A:$D,2,FALSE)="DOCHÁZÍ",$V$3,VLOOKUP(C786,[1]List1!$A:$D,2,FALSE))),"OFFLINE!")</f>
        <v>31.08.2026</v>
      </c>
      <c r="AD786" s="570" t="str">
        <f ca="1">IF(AP786="NE",$V$10,IF(AC786=$V$3,IF(AQ786&lt;1,$V$8,$V$2&amp;" "&amp;AQ786&amp;" "&amp;$V$1),IF(AC786="SKLADEM",$V$6,IFERROR(IF(OR(AC786-TODAY()&gt;45,VLOOKUP(C786,[1]List1!$A:$E,4,FALSE)=0),AC786,DAY(AC786)&amp;"."&amp;MONTH(AC786)&amp;"."&amp;YEAR(AC786)&amp;" "&amp;$V$4&amp;VLOOKUP(C786,[1]List1!$A:$E,4,FALSE)&amp;" "&amp;$V$1),AC786))))</f>
        <v>31.08.2026</v>
      </c>
      <c r="AE786" s="581" t="str">
        <f t="shared" ca="1" si="2492"/>
        <v>31.08.2026</v>
      </c>
      <c r="AF786" s="584">
        <f t="shared" si="2493"/>
        <v>0</v>
      </c>
      <c r="AG786" s="585">
        <f t="shared" si="2494"/>
        <v>0</v>
      </c>
      <c r="AH786" s="583">
        <f t="shared" si="2495"/>
        <v>0</v>
      </c>
      <c r="AI786" s="582">
        <f t="shared" si="2496"/>
        <v>0</v>
      </c>
      <c r="AJ786" s="569">
        <f t="shared" si="2497"/>
        <v>0</v>
      </c>
      <c r="AK786" s="569" t="str">
        <f t="shared" si="2498"/>
        <v/>
      </c>
      <c r="AL786" s="569" t="str">
        <f t="shared" si="2499"/>
        <v/>
      </c>
      <c r="AM786" s="569">
        <f t="shared" si="2500"/>
        <v>0</v>
      </c>
      <c r="AN786" s="581">
        <f t="shared" si="2501"/>
        <v>0</v>
      </c>
      <c r="AO786" s="623"/>
      <c r="AP786" s="625" t="str">
        <f t="shared" si="2346"/>
        <v/>
      </c>
      <c r="AQ786" s="625" t="str">
        <f>IF(AC786=$V$3,IF(VLOOKUP(C786,[1]List1!$A:$E,5,FALSE)=0,1,VLOOKUP(C786,[1]List1!$A:$E,5,FALSE)),"")</f>
        <v/>
      </c>
      <c r="AR786" s="629" t="str">
        <f t="shared" si="2347"/>
        <v/>
      </c>
      <c r="AS786" s="630" t="str">
        <f t="shared" si="2348"/>
        <v/>
      </c>
      <c r="AT786" s="625" t="str">
        <f t="shared" si="2349"/>
        <v/>
      </c>
      <c r="AU786" s="625" t="e">
        <f t="shared" si="2350"/>
        <v>#N/A</v>
      </c>
      <c r="AV786" s="625" t="e">
        <f t="shared" si="2351"/>
        <v>#N/A</v>
      </c>
      <c r="AW786" s="631"/>
      <c r="AX786" s="631">
        <f>IF(AND('General price list'!$J786="F4",'General price list'!$AB786+0&gt;0),1,0)</f>
        <v>0</v>
      </c>
      <c r="AY786" s="631">
        <f t="shared" si="2352"/>
        <v>1</v>
      </c>
      <c r="AZ786" s="631">
        <f t="shared" si="2353"/>
        <v>0</v>
      </c>
    </row>
    <row r="787" spans="1:52" ht="15.75" customHeight="1">
      <c r="A787" s="751" t="str">
        <f>Kat.!C787</f>
        <v xml:space="preserve">           Složený ohňostroj, multikaliber F2 – 1.3G</v>
      </c>
      <c r="B787" s="751"/>
      <c r="C787" s="751"/>
      <c r="D787" s="751"/>
      <c r="E787" s="751"/>
      <c r="F787" s="751"/>
      <c r="G787" s="751"/>
      <c r="H787" s="751"/>
      <c r="I787" s="752"/>
      <c r="J787" s="752"/>
      <c r="K787" s="752" t="s">
        <v>20</v>
      </c>
      <c r="L787" s="753" t="s">
        <v>20</v>
      </c>
      <c r="M787" s="752"/>
      <c r="N787" s="752"/>
      <c r="O787" s="752"/>
      <c r="P787" s="752"/>
      <c r="Q787" s="752"/>
      <c r="R787" s="752"/>
      <c r="S787" s="752"/>
      <c r="T787" s="752"/>
      <c r="U787" s="752"/>
      <c r="V787" s="752"/>
      <c r="W787" s="752"/>
      <c r="X787" s="752"/>
      <c r="Y787" s="752"/>
      <c r="Z787" s="752" t="s">
        <v>20</v>
      </c>
      <c r="AA787" s="752"/>
      <c r="AB787" s="752"/>
      <c r="AC787" s="754"/>
      <c r="AD787" s="752"/>
      <c r="AE787" s="752"/>
      <c r="AF787" s="752"/>
      <c r="AG787" s="752"/>
      <c r="AH787" s="752"/>
      <c r="AI787" s="752"/>
      <c r="AJ787" s="752"/>
      <c r="AK787" s="752"/>
      <c r="AL787" s="752"/>
      <c r="AM787" s="752"/>
      <c r="AN787" s="752"/>
      <c r="AO787" s="623"/>
      <c r="AP787" s="625" t="str">
        <f t="shared" si="2346"/>
        <v/>
      </c>
      <c r="AQ787" s="625" t="str">
        <f>IF(AC787=$V$3,IF(VLOOKUP(C787,[1]List1!$A:$E,5,FALSE)=0,1,VLOOKUP(C787,[1]List1!$A:$E,5,FALSE)),"")</f>
        <v/>
      </c>
      <c r="AR787" s="629" t="str">
        <f t="shared" si="2347"/>
        <v/>
      </c>
      <c r="AS787" s="630" t="str">
        <f t="shared" si="2348"/>
        <v/>
      </c>
      <c r="AT787" s="625" t="str">
        <f t="shared" si="2349"/>
        <v/>
      </c>
      <c r="AU787" s="625" t="e">
        <f t="shared" si="2350"/>
        <v>#N/A</v>
      </c>
      <c r="AV787" s="625" t="e">
        <f t="shared" si="2351"/>
        <v>#N/A</v>
      </c>
      <c r="AW787" s="631"/>
      <c r="AX787" s="631">
        <f>IF(AND('General price list'!$J787="F4",'General price list'!$AB787+0&gt;0),1,0)</f>
        <v>0</v>
      </c>
      <c r="AY787" s="631">
        <f t="shared" si="2352"/>
        <v>0</v>
      </c>
      <c r="AZ787" s="631">
        <f t="shared" si="2353"/>
        <v>0</v>
      </c>
    </row>
    <row r="788" spans="1:52" ht="15" customHeight="1">
      <c r="A788" s="639" t="str">
        <f>Kat.!C788</f>
        <v/>
      </c>
      <c r="B788" s="640">
        <f>IF(AND('General price list'!$J788="F4",$AI$1=FALSE),0,IF(AC788="SKLADEM",1,IF(AC788=$V$3,1,0)))</f>
        <v>1</v>
      </c>
      <c r="C788" s="641" t="s">
        <v>2329</v>
      </c>
      <c r="D788" s="642" t="s">
        <v>12429</v>
      </c>
      <c r="E788" s="643" t="s">
        <v>12663</v>
      </c>
      <c r="F788" s="771">
        <f>IFERROR(VLOOKUP(C788,[2]List1!$A:$D,3,FALSE),"NEUVEDENO!")</f>
        <v>3053</v>
      </c>
      <c r="G788" s="768">
        <f t="shared" ref="G788:G799" si="2502">IF($W$17=$AF$8,ROUND((F788)/$F$17,2),(F788)*$B$19)</f>
        <v>3053</v>
      </c>
      <c r="H788" s="765">
        <f t="shared" ref="H788:H799" si="2503">IF($W$17=$AF$8,G788*$B$19,G788/$F$17)</f>
        <v>129.68697565555004</v>
      </c>
      <c r="I788" s="644">
        <f>IFERROR(VLOOKUP(C788,[2]List1!$A:$D,4,FALSE),"NEUVEDENO!")</f>
        <v>1</v>
      </c>
      <c r="J788" s="733" t="s">
        <v>39</v>
      </c>
      <c r="K788" s="645" t="s">
        <v>20</v>
      </c>
      <c r="L788" s="645" t="s">
        <v>20</v>
      </c>
      <c r="M788" s="645" t="s">
        <v>114</v>
      </c>
      <c r="N788" s="645">
        <f>IFERROR(VLOOKUP(C788,[3]List1!$A:$D,4,FALSE),"N/A!")</f>
        <v>3.9199999999999999E-2</v>
      </c>
      <c r="O788" s="645">
        <f>IFERROR(VLOOKUP(C788,[3]List1!$A:$D,3,FALSE),"N/A!")</f>
        <v>2000</v>
      </c>
      <c r="P788" s="645">
        <f>IFERROR(VLOOKUP(C788,[3]List1!$A:$D,2,FALSE),"N/A!")</f>
        <v>13500</v>
      </c>
      <c r="Q788" s="645" t="s">
        <v>11244</v>
      </c>
      <c r="R788" s="645"/>
      <c r="S788" s="645" t="str">
        <f>IF($W$17=$AF$1,"červená fólie",IFERROR(VLOOKUP("červená fólie",Jazyky_ceník!$A:$Q,MATCH($W$17,Jazyky_ceník!$A$1:$Q$1,0),FALSE),"!!!"))</f>
        <v>červená fólie</v>
      </c>
      <c r="T788" s="645">
        <v>105</v>
      </c>
      <c r="U788" s="645" t="s">
        <v>10746</v>
      </c>
      <c r="V788" s="645" t="s">
        <v>10754</v>
      </c>
      <c r="W788" s="645" t="str">
        <f>IFERROR(IF(AND($AB788&gt;=0.1*$AA788,MOD($AB788,$AA788)&gt;=($AA788-(0.1*$AA788))),IF($W$17=$AF$1,"Zvažte možnost doobjednání ještě "&amp;Tabulka1[[#This Row],[VKPAL]]-MOD(AB788,AA788)&amp;" VK do plné palety.",VLOOKUP("Zvažte možnost doobjednání ještě ",Jazyky_ceník!A:Q,MATCH($W$17,Jazyky_ceník!$A$1:$Q$1,0),FALSE)&amp;Tabulka1[[#This Row],[VKPAL]]-MOD(AB788,AA788)&amp;VLOOKUP(" VK do plné palety.",Jazyky_ceník!A:Q,MATCH($W$17,Jazyky_ceník!$A$1:$Q$1,0),FALSE)),IFERROR(IF(AND(NOT(MOD($AB788,$AA788)=0),$AB788&gt;=0.9*$AA788,MOD($AB788,$AA788)&lt;=0.1*$AA788),IF($W$17=$AF$1,"Zvažte možnost optimalizace objednaného množství podle počtu VK na paletě ==&gt;",VLOOKUP("Zvažte možnost optimalizace objednaného množství podle počtu VK na paletě ==&gt;",Jazyky_ceník!A:Q,MATCH($W$17,Jazyky_ceník!$A$1:$Q$1,0),FALSE)),VLOOKUP('General price list'!$C788,Popisy!A:M,MATCH($W$17,Popisy!$A$7:$M$7,0),FALSE)),"---------------")),IFERROR(VLOOKUP('General price list'!$C788,Popisy!A:M,MATCH($W$17,Popisy!$A$7:$M$7,0),FALSE),"---------------"))</f>
        <v>20 různobarevných efektů</v>
      </c>
      <c r="X788" s="645" t="str">
        <f t="shared" ref="X788:X799" si="2504">IF(AB788&lt;0.0001,"",AB788)</f>
        <v/>
      </c>
      <c r="Y788" s="645" t="str">
        <f t="shared" ref="Y788:Y799" si="2505">IF($AL$3=2,IF(OR(AB788&lt;&gt;"",AB788&lt;&gt;0),AU788,""),IF(C788="","",IF(AB788&lt;0.0001,"",IF(B788=0,"",IF(AQ788&lt;AB788,"",AB788)))))</f>
        <v/>
      </c>
      <c r="Z788" s="645" t="str">
        <f>HYPERLINK("https://www.klasekpyrotechnics.cz/c132xmpt-c")</f>
        <v>https://www.klasekpyrotechnics.cz/c132xmpt-c</v>
      </c>
      <c r="AA788" s="645">
        <f>IFERROR(IF(VLOOKUP(C788,[4]List1!$A:$D,4,FALSE)=0,"",VLOOKUP(C788,[4]List1!$A:$D,4,FALSE)),"")</f>
        <v>32</v>
      </c>
      <c r="AB788" s="646"/>
      <c r="AC788" s="647" t="str">
        <f>IFERROR(IF(VLOOKUP(C788,[1]List1!$A:$D,2,FALSE)="VYPRODÁNO",$V$9,IF(VLOOKUP(C788,[1]List1!$A:$D,2,FALSE)="DOCHÁZÍ",$V$3,VLOOKUP(C788,[1]List1!$A:$D,2,FALSE))),"OFFLINE!")</f>
        <v>SKLADEM</v>
      </c>
      <c r="AD788" s="647" t="str">
        <f ca="1">IF(AP788="NE",$V$10,IF(AC788=$V$3,IF(AQ788&lt;1,$V$8,$V$2&amp;" "&amp;AQ788&amp;" "&amp;$V$1),IF(AC788="SKLADEM",$V$6,IFERROR(IF(OR(AC788-TODAY()&gt;45,VLOOKUP(C788,[1]List1!$A:$E,4,FALSE)=0),AC788,DAY(AC788)&amp;"."&amp;MONTH(AC788)&amp;"."&amp;YEAR(AC788)&amp;" "&amp;$V$4&amp;VLOOKUP(C788,[1]List1!$A:$E,4,FALSE)&amp;" "&amp;$V$1),AC788))))</f>
        <v>SKLADEM</v>
      </c>
      <c r="AE788" s="645" t="str">
        <f t="shared" ref="AE788:AE799" ca="1" si="2506">IFERROR(IF(AV788&lt;&gt;"",AV788,AD788),AD788)</f>
        <v>SKLADEM</v>
      </c>
      <c r="AF788" s="648">
        <f t="shared" ref="AF788:AF799" si="2507">IFERROR(IF(AB788=Y788,G788*I788*Y788,0),0)</f>
        <v>0</v>
      </c>
      <c r="AG788" s="649">
        <f t="shared" ref="AG788:AG799" si="2508">IF($W$17=$AF$8,AH788*1.23,AF788*1.21)</f>
        <v>0</v>
      </c>
      <c r="AH788" s="650">
        <f t="shared" ref="AH788:AH799" si="2509">IFERROR(IF(Y788=AB788,H788*I788*Y788,0),0)</f>
        <v>0</v>
      </c>
      <c r="AI788" s="645">
        <f t="shared" ref="AI788:AI799" si="2510">IFERROR(IF(Y788=AB788,(P788*Y788)/1000,1),0)</f>
        <v>0</v>
      </c>
      <c r="AJ788" s="645">
        <f t="shared" ref="AJ788:AJ799" si="2511">IFERROR(IF(Y788=AB788,N788*Y788,0.1),0)</f>
        <v>0</v>
      </c>
      <c r="AK788" s="645" t="str">
        <f t="shared" ref="AK788:AK799" si="2512">IFERROR(IF(Y788=AB788,IF(M788="1.1G",(O788/1000)*Y788,""),""),0)</f>
        <v/>
      </c>
      <c r="AL788" s="645">
        <f t="shared" ref="AL788:AL799" si="2513">IFERROR(IF(Y788=AB788,IF(M788="1.3G",(O788/1000)*AB788,""),""),0)</f>
        <v>0</v>
      </c>
      <c r="AM788" s="645" t="str">
        <f t="shared" ref="AM788:AM799" si="2514">IFERROR(IF(Y788=AB788,IF(M788="1.4G",(O788/1000)*AB788,""),""),0)</f>
        <v/>
      </c>
      <c r="AN788" s="651">
        <f t="shared" ref="AN788:AN799" si="2515">SUM(AK788:AM788)</f>
        <v>0</v>
      </c>
      <c r="AO788" s="623"/>
      <c r="AP788" s="632" t="str">
        <f t="shared" si="2346"/>
        <v/>
      </c>
      <c r="AQ788" s="633" t="str">
        <f>IF(AC788=$V$3,IF(VLOOKUP(C788,[1]List1!$A:$E,5,FALSE)=0,1,VLOOKUP(C788,[1]List1!$A:$E,5,FALSE)),"")</f>
        <v/>
      </c>
      <c r="AR788" s="625" t="str">
        <f t="shared" si="2347"/>
        <v/>
      </c>
      <c r="AS788" s="634" t="str">
        <f t="shared" si="2348"/>
        <v/>
      </c>
      <c r="AT788" s="625" t="str">
        <f t="shared" si="2349"/>
        <v/>
      </c>
      <c r="AU788" s="638" t="e">
        <f t="shared" si="2350"/>
        <v>#N/A</v>
      </c>
      <c r="AV788" s="625" t="e">
        <f t="shared" si="2351"/>
        <v>#N/A</v>
      </c>
      <c r="AX788" s="625">
        <f>IF(AND('General price list'!$J788="F4",'General price list'!$AB788+0&gt;0),1,0)</f>
        <v>0</v>
      </c>
      <c r="AY788" s="625">
        <f t="shared" si="2352"/>
        <v>1</v>
      </c>
      <c r="AZ788" s="625">
        <f t="shared" si="2353"/>
        <v>0</v>
      </c>
    </row>
    <row r="789" spans="1:52" ht="15.75" customHeight="1">
      <c r="A789" s="621" t="str">
        <f>Kat.!C789</f>
        <v/>
      </c>
      <c r="B789" s="566">
        <f>IF(AND('General price list'!$J789="F4",$AI$1=FALSE),0,IF(AC789="SKLADEM",1,IF(AC789=$V$3,1,0)))</f>
        <v>1</v>
      </c>
      <c r="C789" s="567" t="s">
        <v>2330</v>
      </c>
      <c r="D789" s="568" t="s">
        <v>12430</v>
      </c>
      <c r="E789" s="763" t="s">
        <v>12663</v>
      </c>
      <c r="F789" s="772">
        <f>IFERROR(VLOOKUP(C789,[2]List1!$A:$D,3,FALSE),"NEUVEDENO!")</f>
        <v>2820</v>
      </c>
      <c r="G789" s="769">
        <f t="shared" si="2502"/>
        <v>2820</v>
      </c>
      <c r="H789" s="766">
        <f t="shared" si="2503"/>
        <v>119.78947636706555</v>
      </c>
      <c r="I789" s="764">
        <f>IFERROR(VLOOKUP(C789,[2]List1!$A:$D,4,FALSE),"NEUVEDENO!")</f>
        <v>1</v>
      </c>
      <c r="J789" s="732" t="s">
        <v>39</v>
      </c>
      <c r="K789" s="569" t="s">
        <v>20</v>
      </c>
      <c r="L789" s="569" t="s">
        <v>20</v>
      </c>
      <c r="M789" s="569" t="s">
        <v>114</v>
      </c>
      <c r="N789" s="569">
        <f>IFERROR(VLOOKUP(C789,[3]List1!$A:$D,4,FALSE),"N/A!")</f>
        <v>3.5751999999999999E-2</v>
      </c>
      <c r="O789" s="569">
        <f>IFERROR(VLOOKUP(C789,[3]List1!$A:$D,3,FALSE),"N/A!")</f>
        <v>1498</v>
      </c>
      <c r="P789" s="569">
        <f>IFERROR(VLOOKUP(C789,[3]List1!$A:$D,2,FALSE),"N/A!")</f>
        <v>11700</v>
      </c>
      <c r="Q789" s="569" t="s">
        <v>11252</v>
      </c>
      <c r="R789" s="569"/>
      <c r="S789" s="569" t="str">
        <f>IF($W$17=$AF$1,"červená fólie",IFERROR(VLOOKUP("červená fólie",Jazyky_ceník!$A:$Q,MATCH($W$17,Jazyky_ceník!$A$1:$Q$1,0),FALSE),"!!!"))</f>
        <v>červená fólie</v>
      </c>
      <c r="T789" s="569">
        <v>90</v>
      </c>
      <c r="U789" s="569" t="s">
        <v>10746</v>
      </c>
      <c r="V789" s="569" t="s">
        <v>10754</v>
      </c>
      <c r="W789" s="569" t="str">
        <f>IFERROR(IF(AND($AB789&gt;=0.1*$AA789,MOD($AB789,$AA789)&gt;=($AA789-(0.1*$AA789))),IF($W$17=$AF$1,"Zvažte možnost doobjednání ještě "&amp;Tabulka1[[#This Row],[VKPAL]]-MOD(AB789,AA789)&amp;" VK do plné palety.",VLOOKUP("Zvažte možnost doobjednání ještě ",Jazyky_ceník!A:Q,MATCH($W$17,Jazyky_ceník!$A$1:$Q$1,0),FALSE)&amp;Tabulka1[[#This Row],[VKPAL]]-MOD(AB789,AA789)&amp;VLOOKUP(" VK do plné palety.",Jazyky_ceník!A:Q,MATCH($W$17,Jazyky_ceník!$A$1:$Q$1,0),FALSE)),IFERROR(IF(AND(NOT(MOD($AB789,$AA789)=0),$AB789&gt;=0.9*$AA789,MOD($AB789,$AA789)&lt;=0.1*$AA789),IF($W$17=$AF$1,"Zvažte možnost optimalizace objednaného množství podle počtu VK na paletě ==&gt;",VLOOKUP("Zvažte možnost optimalizace objednaného množství podle počtu VK na paletě ==&gt;",Jazyky_ceník!A:Q,MATCH($W$17,Jazyky_ceník!$A$1:$Q$1,0),FALSE)),VLOOKUP('General price list'!$C789,Popisy!A:M,MATCH($W$17,Popisy!$A$7:$M$7,0),FALSE)),"---------------")),IFERROR(VLOOKUP('General price list'!$C789,Popisy!A:M,MATCH($W$17,Popisy!$A$7:$M$7,0),FALSE),"---------------"))</f>
        <v>14 různobarevných efektů</v>
      </c>
      <c r="X789" s="569" t="str">
        <f t="shared" si="2504"/>
        <v/>
      </c>
      <c r="Y789" s="569" t="str">
        <f t="shared" si="2505"/>
        <v/>
      </c>
      <c r="Z789" s="569" t="str">
        <f>HYPERLINK("https://www.klasekpyrotechnics.cz/c150mpt-c")</f>
        <v>https://www.klasekpyrotechnics.cz/c150mpt-c</v>
      </c>
      <c r="AA789" s="569">
        <f>IFERROR(IF(VLOOKUP(C789,[4]List1!$A:$D,4,FALSE)=0,"",VLOOKUP(C789,[4]List1!$A:$D,4,FALSE)),"")</f>
        <v>32</v>
      </c>
      <c r="AB789" s="565"/>
      <c r="AC789" s="570" t="str">
        <f>IFERROR(IF(VLOOKUP(C789,[1]List1!$A:$D,2,FALSE)="VYPRODÁNO",$V$9,IF(VLOOKUP(C789,[1]List1!$A:$D,2,FALSE)="DOCHÁZÍ",$V$3,VLOOKUP(C789,[1]List1!$A:$D,2,FALSE))),"OFFLINE!")</f>
        <v>SKLADEM</v>
      </c>
      <c r="AD789" s="570" t="str">
        <f ca="1">IF(AP789="NE",$V$10,IF(AC789=$V$3,IF(AQ789&lt;1,$V$8,$V$2&amp;" "&amp;AQ789&amp;" "&amp;$V$1),IF(AC789="SKLADEM",$V$6,IFERROR(IF(OR(AC789-TODAY()&gt;45,VLOOKUP(C789,[1]List1!$A:$E,4,FALSE)=0),AC789,DAY(AC789)&amp;"."&amp;MONTH(AC789)&amp;"."&amp;YEAR(AC789)&amp;" "&amp;$V$4&amp;VLOOKUP(C789,[1]List1!$A:$E,4,FALSE)&amp;" "&amp;$V$1),AC789))))</f>
        <v>SKLADEM</v>
      </c>
      <c r="AE789" s="581" t="str">
        <f t="shared" ca="1" si="2506"/>
        <v>SKLADEM</v>
      </c>
      <c r="AF789" s="584">
        <f t="shared" si="2507"/>
        <v>0</v>
      </c>
      <c r="AG789" s="585">
        <f t="shared" si="2508"/>
        <v>0</v>
      </c>
      <c r="AH789" s="583">
        <f t="shared" si="2509"/>
        <v>0</v>
      </c>
      <c r="AI789" s="582">
        <f t="shared" si="2510"/>
        <v>0</v>
      </c>
      <c r="AJ789" s="569">
        <f t="shared" si="2511"/>
        <v>0</v>
      </c>
      <c r="AK789" s="569" t="str">
        <f t="shared" si="2512"/>
        <v/>
      </c>
      <c r="AL789" s="569">
        <f t="shared" si="2513"/>
        <v>0</v>
      </c>
      <c r="AM789" s="569" t="str">
        <f t="shared" si="2514"/>
        <v/>
      </c>
      <c r="AN789" s="581">
        <f t="shared" si="2515"/>
        <v>0</v>
      </c>
      <c r="AO789" s="623"/>
      <c r="AP789" s="625" t="str">
        <f t="shared" si="2346"/>
        <v/>
      </c>
      <c r="AQ789" s="625" t="str">
        <f>IF(AC789=$V$3,IF(VLOOKUP(C789,[1]List1!$A:$E,5,FALSE)=0,1,VLOOKUP(C789,[1]List1!$A:$E,5,FALSE)),"")</f>
        <v/>
      </c>
      <c r="AR789" s="629" t="str">
        <f t="shared" si="2347"/>
        <v/>
      </c>
      <c r="AS789" s="630" t="str">
        <f t="shared" si="2348"/>
        <v/>
      </c>
      <c r="AT789" s="625" t="str">
        <f t="shared" si="2349"/>
        <v/>
      </c>
      <c r="AU789" s="625" t="e">
        <f t="shared" si="2350"/>
        <v>#N/A</v>
      </c>
      <c r="AV789" s="625" t="e">
        <f t="shared" si="2351"/>
        <v>#N/A</v>
      </c>
      <c r="AW789" s="631"/>
      <c r="AX789" s="631">
        <f>IF(AND('General price list'!$J789="F4",'General price list'!$AB789+0&gt;0),1,0)</f>
        <v>0</v>
      </c>
      <c r="AY789" s="631">
        <f t="shared" si="2352"/>
        <v>1</v>
      </c>
      <c r="AZ789" s="631">
        <f t="shared" si="2353"/>
        <v>0</v>
      </c>
    </row>
    <row r="790" spans="1:52" ht="15.75" customHeight="1">
      <c r="A790" s="639" t="str">
        <f>Kat.!C790</f>
        <v>×</v>
      </c>
      <c r="B790" s="640">
        <f>IF(AND('General price list'!$J790="F4",$AI$1=FALSE),0,IF(AC790="SKLADEM",1,IF(AC790=$V$3,1,0)))</f>
        <v>1</v>
      </c>
      <c r="C790" s="641" t="s">
        <v>1506</v>
      </c>
      <c r="D790" s="642" t="s">
        <v>9491</v>
      </c>
      <c r="E790" s="643" t="s">
        <v>12663</v>
      </c>
      <c r="F790" s="771">
        <f>IFERROR(VLOOKUP(C790,[2]List1!$A:$D,3,FALSE),"NEUVEDENO!")</f>
        <v>2820</v>
      </c>
      <c r="G790" s="768">
        <f t="shared" si="2502"/>
        <v>2820</v>
      </c>
      <c r="H790" s="765">
        <f t="shared" si="2503"/>
        <v>119.78947636706555</v>
      </c>
      <c r="I790" s="644">
        <f>IFERROR(VLOOKUP(C790,[2]List1!$A:$D,4,FALSE),"NEUVEDENO!")</f>
        <v>1</v>
      </c>
      <c r="J790" s="733" t="s">
        <v>39</v>
      </c>
      <c r="K790" s="645" t="s">
        <v>20</v>
      </c>
      <c r="L790" s="645" t="s">
        <v>20</v>
      </c>
      <c r="M790" s="645" t="s">
        <v>114</v>
      </c>
      <c r="N790" s="645">
        <f>IFERROR(VLOOKUP(C790,[3]List1!$A:$D,4,FALSE),"N/A!")</f>
        <v>3.5751999999999999E-2</v>
      </c>
      <c r="O790" s="645">
        <f>IFERROR(VLOOKUP(C790,[3]List1!$A:$D,3,FALSE),"N/A!")</f>
        <v>1485</v>
      </c>
      <c r="P790" s="645">
        <f>IFERROR(VLOOKUP(C790,[3]List1!$A:$D,2,FALSE),"N/A!")</f>
        <v>11700</v>
      </c>
      <c r="Q790" s="645" t="s">
        <v>11252</v>
      </c>
      <c r="R790" s="645" t="s">
        <v>20</v>
      </c>
      <c r="S790" s="645" t="str">
        <f>IF($W$17=$AF$1,"červená fólie",IFERROR(VLOOKUP("červená fólie",Jazyky_ceník!$A:$Q,MATCH($W$17,Jazyky_ceník!$A$1:$Q$1,0),FALSE),"!!!"))</f>
        <v>červená fólie</v>
      </c>
      <c r="T790" s="645">
        <v>100</v>
      </c>
      <c r="U790" s="645" t="s">
        <v>10746</v>
      </c>
      <c r="V790" s="645" t="s">
        <v>10747</v>
      </c>
      <c r="W790" s="645" t="str">
        <f>IFERROR(IF(AND($AB790&gt;=0.1*$AA790,MOD($AB790,$AA790)&gt;=($AA790-(0.1*$AA790))),IF($W$17=$AF$1,"Zvažte možnost doobjednání ještě "&amp;Tabulka1[[#This Row],[VKPAL]]-MOD(AB790,AA790)&amp;" VK do plné palety.",VLOOKUP("Zvažte možnost doobjednání ještě ",Jazyky_ceník!A:Q,MATCH($W$17,Jazyky_ceník!$A$1:$Q$1,0),FALSE)&amp;Tabulka1[[#This Row],[VKPAL]]-MOD(AB790,AA790)&amp;VLOOKUP(" VK do plné palety.",Jazyky_ceník!A:Q,MATCH($W$17,Jazyky_ceník!$A$1:$Q$1,0),FALSE)),IFERROR(IF(AND(NOT(MOD($AB790,$AA790)=0),$AB790&gt;=0.9*$AA790,MOD($AB790,$AA790)&lt;=0.1*$AA790),IF($W$17=$AF$1,"Zvažte možnost optimalizace objednaného množství podle počtu VK na paletě ==&gt;",VLOOKUP("Zvažte možnost optimalizace objednaného množství podle počtu VK na paletě ==&gt;",Jazyky_ceník!A:Q,MATCH($W$17,Jazyky_ceník!$A$1:$Q$1,0),FALSE)),VLOOKUP('General price list'!$C790,Popisy!A:M,MATCH($W$17,Popisy!$A$7:$M$7,0),FALSE)),"---------------")),IFERROR(VLOOKUP('General price list'!$C790,Popisy!A:M,MATCH($W$17,Popisy!$A$7:$M$7,0),FALSE),"---------------"))</f>
        <v>14 různobarevných efektů</v>
      </c>
      <c r="X790" s="645" t="str">
        <f t="shared" si="2504"/>
        <v/>
      </c>
      <c r="Y790" s="645" t="str">
        <f t="shared" si="2505"/>
        <v/>
      </c>
      <c r="Z790" s="645" t="str">
        <f>HYPERLINK("https://www.klasekpyrotechnics.cz/c150mf-c")</f>
        <v>https://www.klasekpyrotechnics.cz/c150mf-c</v>
      </c>
      <c r="AA790" s="645">
        <f>IFERROR(IF(VLOOKUP(C790,[4]List1!$A:$D,4,FALSE)=0,"",VLOOKUP(C790,[4]List1!$A:$D,4,FALSE)),"")</f>
        <v>32</v>
      </c>
      <c r="AB790" s="646"/>
      <c r="AC790" s="647" t="str">
        <f>IFERROR(IF(VLOOKUP(C790,[1]List1!$A:$D,2,FALSE)="VYPRODÁNO",$V$9,IF(VLOOKUP(C790,[1]List1!$A:$D,2,FALSE)="DOCHÁZÍ",$V$3,VLOOKUP(C790,[1]List1!$A:$D,2,FALSE))),"OFFLINE!")</f>
        <v>SKLADEM</v>
      </c>
      <c r="AD790" s="647" t="str">
        <f ca="1">IF(AP790="NE",$V$10,IF(AC790=$V$3,IF(AQ790&lt;1,$V$8,$V$2&amp;" "&amp;AQ790&amp;" "&amp;$V$1),IF(AC790="SKLADEM",$V$6,IFERROR(IF(OR(AC790-TODAY()&gt;45,VLOOKUP(C790,[1]List1!$A:$E,4,FALSE)=0),AC790,DAY(AC790)&amp;"."&amp;MONTH(AC790)&amp;"."&amp;YEAR(AC790)&amp;" "&amp;$V$4&amp;VLOOKUP(C790,[1]List1!$A:$E,4,FALSE)&amp;" "&amp;$V$1),AC790))))</f>
        <v>SKLADEM</v>
      </c>
      <c r="AE790" s="645" t="str">
        <f t="shared" ca="1" si="2506"/>
        <v>SKLADEM</v>
      </c>
      <c r="AF790" s="648">
        <f t="shared" si="2507"/>
        <v>0</v>
      </c>
      <c r="AG790" s="649">
        <f t="shared" si="2508"/>
        <v>0</v>
      </c>
      <c r="AH790" s="650">
        <f t="shared" si="2509"/>
        <v>0</v>
      </c>
      <c r="AI790" s="645">
        <f t="shared" si="2510"/>
        <v>0</v>
      </c>
      <c r="AJ790" s="645">
        <f t="shared" si="2511"/>
        <v>0</v>
      </c>
      <c r="AK790" s="645" t="str">
        <f t="shared" si="2512"/>
        <v/>
      </c>
      <c r="AL790" s="645">
        <f t="shared" si="2513"/>
        <v>0</v>
      </c>
      <c r="AM790" s="645" t="str">
        <f t="shared" si="2514"/>
        <v/>
      </c>
      <c r="AN790" s="651">
        <f t="shared" si="2515"/>
        <v>0</v>
      </c>
      <c r="AO790" s="623"/>
      <c r="AP790" s="625" t="str">
        <f t="shared" si="2346"/>
        <v/>
      </c>
      <c r="AQ790" s="625" t="str">
        <f>IF(AC790=$V$3,IF(VLOOKUP(C790,[1]List1!$A:$E,5,FALSE)=0,1,VLOOKUP(C790,[1]List1!$A:$E,5,FALSE)),"")</f>
        <v/>
      </c>
      <c r="AR790" s="629" t="str">
        <f t="shared" si="2347"/>
        <v/>
      </c>
      <c r="AS790" s="630" t="str">
        <f t="shared" si="2348"/>
        <v/>
      </c>
      <c r="AT790" s="625" t="str">
        <f t="shared" si="2349"/>
        <v/>
      </c>
      <c r="AU790" s="625" t="e">
        <f t="shared" si="2350"/>
        <v>#N/A</v>
      </c>
      <c r="AV790" s="625" t="e">
        <f t="shared" si="2351"/>
        <v>#N/A</v>
      </c>
      <c r="AW790" s="631"/>
      <c r="AX790" s="631">
        <f>IF(AND('General price list'!$J790="F4",'General price list'!$AB790+0&gt;0),1,0)</f>
        <v>0</v>
      </c>
      <c r="AY790" s="631">
        <f t="shared" si="2352"/>
        <v>1</v>
      </c>
      <c r="AZ790" s="631">
        <f t="shared" si="2353"/>
        <v>0</v>
      </c>
    </row>
    <row r="791" spans="1:52" ht="15" customHeight="1">
      <c r="A791" s="621" t="str">
        <f>Kat.!C791</f>
        <v/>
      </c>
      <c r="B791" s="566">
        <f>IF(AND('General price list'!$J791="F4",$AI$1=FALSE),0,IF(AC791="SKLADEM",1,IF(AC791=$V$3,1,0)))</f>
        <v>1</v>
      </c>
      <c r="C791" s="567" t="s">
        <v>1507</v>
      </c>
      <c r="D791" s="568" t="s">
        <v>9492</v>
      </c>
      <c r="E791" s="763" t="s">
        <v>12663</v>
      </c>
      <c r="F791" s="772">
        <f>IFERROR(VLOOKUP(C791,[2]List1!$A:$D,3,FALSE),"NEUVEDENO!")</f>
        <v>3790</v>
      </c>
      <c r="G791" s="769">
        <f t="shared" si="2502"/>
        <v>3790</v>
      </c>
      <c r="H791" s="766">
        <f t="shared" si="2503"/>
        <v>160.99365795431859</v>
      </c>
      <c r="I791" s="764">
        <f>IFERROR(VLOOKUP(C791,[2]List1!$A:$D,4,FALSE),"NEUVEDENO!")</f>
        <v>1</v>
      </c>
      <c r="J791" s="732" t="s">
        <v>39</v>
      </c>
      <c r="K791" s="569" t="s">
        <v>20</v>
      </c>
      <c r="L791" s="569" t="s">
        <v>20</v>
      </c>
      <c r="M791" s="569" t="s">
        <v>114</v>
      </c>
      <c r="N791" s="569">
        <f>IFERROR(VLOOKUP(C791,[3]List1!$A:$D,4,FALSE),"N/A!")</f>
        <v>4.7888E-2</v>
      </c>
      <c r="O791" s="569">
        <f>IFERROR(VLOOKUP(C791,[3]List1!$A:$D,3,FALSE),"N/A!")</f>
        <v>1980</v>
      </c>
      <c r="P791" s="569">
        <f>IFERROR(VLOOKUP(C791,[3]List1!$A:$D,2,FALSE),"N/A!")</f>
        <v>15600</v>
      </c>
      <c r="Q791" s="569" t="s">
        <v>11238</v>
      </c>
      <c r="R791" s="569"/>
      <c r="S791" s="569" t="str">
        <f>IF($W$17=$AF$1,"červená fólie",IFERROR(VLOOKUP("červená fólie",Jazyky_ceník!$A:$Q,MATCH($W$17,Jazyky_ceník!$A$1:$Q$1,0),FALSE),"!!!"))</f>
        <v>červená fólie</v>
      </c>
      <c r="T791" s="569">
        <v>150</v>
      </c>
      <c r="U791" s="569" t="s">
        <v>10746</v>
      </c>
      <c r="V791" s="569" t="s">
        <v>10747</v>
      </c>
      <c r="W791" s="569" t="str">
        <f>IFERROR(IF(AND($AB791&gt;=0.1*$AA791,MOD($AB791,$AA791)&gt;=($AA791-(0.1*$AA791))),IF($W$17=$AF$1,"Zvažte možnost doobjednání ještě "&amp;Tabulka1[[#This Row],[VKPAL]]-MOD(AB791,AA791)&amp;" VK do plné palety.",VLOOKUP("Zvažte možnost doobjednání ještě ",Jazyky_ceník!A:Q,MATCH($W$17,Jazyky_ceník!$A$1:$Q$1,0),FALSE)&amp;Tabulka1[[#This Row],[VKPAL]]-MOD(AB791,AA791)&amp;VLOOKUP(" VK do plné palety.",Jazyky_ceník!A:Q,MATCH($W$17,Jazyky_ceník!$A$1:$Q$1,0),FALSE)),IFERROR(IF(AND(NOT(MOD($AB791,$AA791)=0),$AB791&gt;=0.9*$AA791,MOD($AB791,$AA791)&lt;=0.1*$AA791),IF($W$17=$AF$1,"Zvažte možnost optimalizace objednaného množství podle počtu VK na paletě ==&gt;",VLOOKUP("Zvažte možnost optimalizace objednaného množství podle počtu VK na paletě ==&gt;",Jazyky_ceník!A:Q,MATCH($W$17,Jazyky_ceník!$A$1:$Q$1,0),FALSE)),VLOOKUP('General price list'!$C791,Popisy!A:M,MATCH($W$17,Popisy!$A$7:$M$7,0),FALSE)),"---------------")),IFERROR(VLOOKUP('General price list'!$C791,Popisy!A:M,MATCH($W$17,Popisy!$A$7:$M$7,0),FALSE),"---------------"))</f>
        <v>14 různobarevných efektů</v>
      </c>
      <c r="X791" s="569" t="str">
        <f t="shared" si="2504"/>
        <v/>
      </c>
      <c r="Y791" s="569" t="str">
        <f t="shared" si="2505"/>
        <v/>
      </c>
      <c r="Z791" s="569" t="str">
        <f>HYPERLINK("https://www.klasekpyrotechnics.cz/c200mf-c")</f>
        <v>https://www.klasekpyrotechnics.cz/c200mf-c</v>
      </c>
      <c r="AA791" s="569">
        <f>IFERROR(IF(VLOOKUP(C791,[4]List1!$A:$D,4,FALSE)=0,"",VLOOKUP(C791,[4]List1!$A:$D,4,FALSE)),"")</f>
        <v>24</v>
      </c>
      <c r="AB791" s="565"/>
      <c r="AC791" s="570" t="str">
        <f>IFERROR(IF(VLOOKUP(C791,[1]List1!$A:$D,2,FALSE)="VYPRODÁNO",$V$9,IF(VLOOKUP(C791,[1]List1!$A:$D,2,FALSE)="DOCHÁZÍ",$V$3,VLOOKUP(C791,[1]List1!$A:$D,2,FALSE))),"OFFLINE!")</f>
        <v>SKLADEM</v>
      </c>
      <c r="AD791" s="570" t="str">
        <f ca="1">IF(AP791="NE",$V$10,IF(AC791=$V$3,IF(AQ791&lt;1,$V$8,$V$2&amp;" "&amp;AQ791&amp;" "&amp;$V$1),IF(AC791="SKLADEM",$V$6,IFERROR(IF(OR(AC791-TODAY()&gt;45,VLOOKUP(C791,[1]List1!$A:$E,4,FALSE)=0),AC791,DAY(AC791)&amp;"."&amp;MONTH(AC791)&amp;"."&amp;YEAR(AC791)&amp;" "&amp;$V$4&amp;VLOOKUP(C791,[1]List1!$A:$E,4,FALSE)&amp;" "&amp;$V$1),AC791))))</f>
        <v>SKLADEM</v>
      </c>
      <c r="AE791" s="581" t="str">
        <f t="shared" ca="1" si="2506"/>
        <v>SKLADEM</v>
      </c>
      <c r="AF791" s="584">
        <f t="shared" si="2507"/>
        <v>0</v>
      </c>
      <c r="AG791" s="585">
        <f t="shared" si="2508"/>
        <v>0</v>
      </c>
      <c r="AH791" s="583">
        <f t="shared" si="2509"/>
        <v>0</v>
      </c>
      <c r="AI791" s="582">
        <f t="shared" si="2510"/>
        <v>0</v>
      </c>
      <c r="AJ791" s="569">
        <f t="shared" si="2511"/>
        <v>0</v>
      </c>
      <c r="AK791" s="569" t="str">
        <f t="shared" si="2512"/>
        <v/>
      </c>
      <c r="AL791" s="569">
        <f t="shared" si="2513"/>
        <v>0</v>
      </c>
      <c r="AM791" s="569" t="str">
        <f t="shared" si="2514"/>
        <v/>
      </c>
      <c r="AN791" s="581">
        <f t="shared" si="2515"/>
        <v>0</v>
      </c>
      <c r="AO791" s="623"/>
      <c r="AP791" s="632" t="str">
        <f t="shared" si="2346"/>
        <v/>
      </c>
      <c r="AQ791" s="633" t="str">
        <f>IF(AC791=$V$3,IF(VLOOKUP(C791,[1]List1!$A:$E,5,FALSE)=0,1,VLOOKUP(C791,[1]List1!$A:$E,5,FALSE)),"")</f>
        <v/>
      </c>
      <c r="AR791" s="625" t="str">
        <f t="shared" si="2347"/>
        <v/>
      </c>
      <c r="AS791" s="634" t="str">
        <f t="shared" si="2348"/>
        <v/>
      </c>
      <c r="AT791" s="625" t="str">
        <f t="shared" si="2349"/>
        <v/>
      </c>
      <c r="AU791" s="638" t="e">
        <f t="shared" si="2350"/>
        <v>#N/A</v>
      </c>
      <c r="AV791" s="625" t="e">
        <f t="shared" si="2351"/>
        <v>#N/A</v>
      </c>
      <c r="AX791" s="625">
        <f>IF(AND('General price list'!$J791="F4",'General price list'!$AB791+0&gt;0),1,0)</f>
        <v>0</v>
      </c>
      <c r="AY791" s="625">
        <f t="shared" si="2352"/>
        <v>1</v>
      </c>
      <c r="AZ791" s="625">
        <f t="shared" si="2353"/>
        <v>0</v>
      </c>
    </row>
    <row r="792" spans="1:52" ht="15.75" customHeight="1">
      <c r="A792" s="639" t="str">
        <f>Kat.!C792</f>
        <v>×</v>
      </c>
      <c r="B792" s="640">
        <f>IF(AND('General price list'!$J792="F4",$AI$1=FALSE),0,IF(AC792="SKLADEM",1,IF(AC792=$V$3,1,0)))</f>
        <v>1</v>
      </c>
      <c r="C792" s="641" t="s">
        <v>2331</v>
      </c>
      <c r="D792" s="642" t="s">
        <v>12428</v>
      </c>
      <c r="E792" s="643" t="s">
        <v>12663</v>
      </c>
      <c r="F792" s="771">
        <f>IFERROR(VLOOKUP(C792,[2]List1!$A:$D,3,FALSE),"NEUVEDENO!")</f>
        <v>3157</v>
      </c>
      <c r="G792" s="768">
        <f t="shared" si="2502"/>
        <v>3157</v>
      </c>
      <c r="H792" s="765">
        <f t="shared" si="2503"/>
        <v>134.10474357830705</v>
      </c>
      <c r="I792" s="644">
        <f>IFERROR(VLOOKUP(C792,[2]List1!$A:$D,4,FALSE),"NEUVEDENO!")</f>
        <v>1</v>
      </c>
      <c r="J792" s="733" t="s">
        <v>39</v>
      </c>
      <c r="K792" s="645" t="s">
        <v>20</v>
      </c>
      <c r="L792" s="645" t="s">
        <v>20</v>
      </c>
      <c r="M792" s="645" t="s">
        <v>114</v>
      </c>
      <c r="N792" s="645">
        <f>IFERROR(VLOOKUP(C792,[3]List1!$A:$D,4,FALSE),"N/A!")</f>
        <v>4.9148749999999998E-2</v>
      </c>
      <c r="O792" s="645">
        <f>IFERROR(VLOOKUP(C792,[3]List1!$A:$D,3,FALSE),"N/A!")</f>
        <v>1500</v>
      </c>
      <c r="P792" s="645">
        <f>IFERROR(VLOOKUP(C792,[3]List1!$A:$D,2,FALSE),"N/A!")</f>
        <v>17000</v>
      </c>
      <c r="Q792" s="645" t="s">
        <v>11799</v>
      </c>
      <c r="R792" s="645"/>
      <c r="S792" s="645" t="str">
        <f>IF($W$17=$AF$1,"červená fólie",IFERROR(VLOOKUP("červená fólie",Jazyky_ceník!$A:$Q,MATCH($W$17,Jazyky_ceník!$A$1:$Q$1,0),FALSE),"!!!"))</f>
        <v>červená fólie</v>
      </c>
      <c r="T792" s="645">
        <v>100</v>
      </c>
      <c r="U792" s="645" t="s">
        <v>10746</v>
      </c>
      <c r="V792" s="645" t="s">
        <v>10754</v>
      </c>
      <c r="W792" s="645" t="str">
        <f>IFERROR(IF(AND($AB792&gt;=0.1*$AA792,MOD($AB792,$AA792)&gt;=($AA792-(0.1*$AA792))),IF($W$17=$AF$1,"Zvažte možnost doobjednání ještě "&amp;Tabulka1[[#This Row],[VKPAL]]-MOD(AB792,AA792)&amp;" VK do plné palety.",VLOOKUP("Zvažte možnost doobjednání ještě ",Jazyky_ceník!A:Q,MATCH($W$17,Jazyky_ceník!$A$1:$Q$1,0),FALSE)&amp;Tabulka1[[#This Row],[VKPAL]]-MOD(AB792,AA792)&amp;VLOOKUP(" VK do plné palety.",Jazyky_ceník!A:Q,MATCH($W$17,Jazyky_ceník!$A$1:$Q$1,0),FALSE)),IFERROR(IF(AND(NOT(MOD($AB792,$AA792)=0),$AB792&gt;=0.9*$AA792,MOD($AB792,$AA792)&lt;=0.1*$AA792),IF($W$17=$AF$1,"Zvažte možnost optimalizace objednaného množství podle počtu VK na paletě ==&gt;",VLOOKUP("Zvažte možnost optimalizace objednaného množství podle počtu VK na paletě ==&gt;",Jazyky_ceník!A:Q,MATCH($W$17,Jazyky_ceník!$A$1:$Q$1,0),FALSE)),VLOOKUP('General price list'!$C792,Popisy!A:M,MATCH($W$17,Popisy!$A$7:$M$7,0),FALSE)),"---------------")),IFERROR(VLOOKUP('General price list'!$C792,Popisy!A:M,MATCH($W$17,Popisy!$A$7:$M$7,0),FALSE),"---------------"))</f>
        <v>42 různobarevných efektů</v>
      </c>
      <c r="X792" s="645" t="str">
        <f t="shared" si="2504"/>
        <v/>
      </c>
      <c r="Y792" s="645" t="str">
        <f t="shared" si="2505"/>
        <v/>
      </c>
      <c r="Z792" s="645" t="str">
        <f>HYPERLINK("https://www.klasekpyrotechnics.cz/c204xmpt-c")</f>
        <v>https://www.klasekpyrotechnics.cz/c204xmpt-c</v>
      </c>
      <c r="AA792" s="645">
        <f>IFERROR(IF(VLOOKUP(C792,[4]List1!$A:$D,4,FALSE)=0,"",VLOOKUP(C792,[4]List1!$A:$D,4,FALSE)),"")</f>
        <v>21</v>
      </c>
      <c r="AB792" s="646"/>
      <c r="AC792" s="647" t="str">
        <f>IFERROR(IF(VLOOKUP(C792,[1]List1!$A:$D,2,FALSE)="VYPRODÁNO",$V$9,IF(VLOOKUP(C792,[1]List1!$A:$D,2,FALSE)="DOCHÁZÍ",$V$3,VLOOKUP(C792,[1]List1!$A:$D,2,FALSE))),"OFFLINE!")</f>
        <v>SKLADEM</v>
      </c>
      <c r="AD792" s="647" t="str">
        <f ca="1">IF(AP792="NE",$V$10,IF(AC792=$V$3,IF(AQ792&lt;1,$V$8,$V$2&amp;" "&amp;AQ792&amp;" "&amp;$V$1),IF(AC792="SKLADEM",$V$6,IFERROR(IF(OR(AC792-TODAY()&gt;45,VLOOKUP(C792,[1]List1!$A:$E,4,FALSE)=0),AC792,DAY(AC792)&amp;"."&amp;MONTH(AC792)&amp;"."&amp;YEAR(AC792)&amp;" "&amp;$V$4&amp;VLOOKUP(C792,[1]List1!$A:$E,4,FALSE)&amp;" "&amp;$V$1),AC792))))</f>
        <v>SKLADEM</v>
      </c>
      <c r="AE792" s="645" t="str">
        <f t="shared" ca="1" si="2506"/>
        <v>SKLADEM</v>
      </c>
      <c r="AF792" s="648">
        <f t="shared" si="2507"/>
        <v>0</v>
      </c>
      <c r="AG792" s="649">
        <f t="shared" si="2508"/>
        <v>0</v>
      </c>
      <c r="AH792" s="650">
        <f t="shared" si="2509"/>
        <v>0</v>
      </c>
      <c r="AI792" s="645">
        <f t="shared" si="2510"/>
        <v>0</v>
      </c>
      <c r="AJ792" s="645">
        <f t="shared" si="2511"/>
        <v>0</v>
      </c>
      <c r="AK792" s="645" t="str">
        <f t="shared" si="2512"/>
        <v/>
      </c>
      <c r="AL792" s="645">
        <f t="shared" si="2513"/>
        <v>0</v>
      </c>
      <c r="AM792" s="645" t="str">
        <f t="shared" si="2514"/>
        <v/>
      </c>
      <c r="AN792" s="651">
        <f t="shared" si="2515"/>
        <v>0</v>
      </c>
      <c r="AO792" s="623"/>
      <c r="AP792" s="625" t="str">
        <f t="shared" si="2346"/>
        <v/>
      </c>
      <c r="AQ792" s="625" t="str">
        <f>IF(AC792=$V$3,IF(VLOOKUP(C792,[1]List1!$A:$E,5,FALSE)=0,1,VLOOKUP(C792,[1]List1!$A:$E,5,FALSE)),"")</f>
        <v/>
      </c>
      <c r="AR792" s="629" t="str">
        <f t="shared" si="2347"/>
        <v/>
      </c>
      <c r="AS792" s="630" t="str">
        <f t="shared" si="2348"/>
        <v/>
      </c>
      <c r="AT792" s="625" t="str">
        <f t="shared" si="2349"/>
        <v/>
      </c>
      <c r="AU792" s="625" t="e">
        <f t="shared" si="2350"/>
        <v>#N/A</v>
      </c>
      <c r="AV792" s="625" t="e">
        <f t="shared" si="2351"/>
        <v>#N/A</v>
      </c>
      <c r="AW792" s="631"/>
      <c r="AX792" s="631">
        <f>IF(AND('General price list'!$J792="F4",'General price list'!$AB792+0&gt;0),1,0)</f>
        <v>0</v>
      </c>
      <c r="AY792" s="631">
        <f t="shared" si="2352"/>
        <v>1</v>
      </c>
      <c r="AZ792" s="631">
        <f t="shared" si="2353"/>
        <v>0</v>
      </c>
    </row>
    <row r="793" spans="1:52" ht="15" customHeight="1">
      <c r="A793" s="621" t="str">
        <f>Kat.!C793</f>
        <v>×</v>
      </c>
      <c r="B793" s="566">
        <f>IF(AND('General price list'!$J793="F4",$AI$1=FALSE),0,IF(AC793="SKLADEM",1,IF(AC793=$V$3,1,0)))</f>
        <v>1</v>
      </c>
      <c r="C793" s="567" t="s">
        <v>2332</v>
      </c>
      <c r="D793" s="568" t="s">
        <v>11218</v>
      </c>
      <c r="E793" s="763" t="s">
        <v>12663</v>
      </c>
      <c r="F793" s="772">
        <f>IFERROR(VLOOKUP(C793,[2]List1!$A:$D,3,FALSE),"NEUVEDENO!")</f>
        <v>3182</v>
      </c>
      <c r="G793" s="769">
        <f t="shared" si="2502"/>
        <v>3182</v>
      </c>
      <c r="H793" s="766">
        <f t="shared" si="2503"/>
        <v>135.16670702127749</v>
      </c>
      <c r="I793" s="764">
        <f>IFERROR(VLOOKUP(C793,[2]List1!$A:$D,4,FALSE),"NEUVEDENO!")</f>
        <v>1</v>
      </c>
      <c r="J793" s="732" t="s">
        <v>39</v>
      </c>
      <c r="K793" s="569" t="s">
        <v>20</v>
      </c>
      <c r="L793" s="569" t="s">
        <v>20</v>
      </c>
      <c r="M793" s="569" t="s">
        <v>114</v>
      </c>
      <c r="N793" s="569">
        <f>IFERROR(VLOOKUP(C793,[3]List1!$A:$D,4,FALSE),"N/A!")</f>
        <v>4.3296000000000001E-2</v>
      </c>
      <c r="O793" s="569">
        <f>IFERROR(VLOOKUP(C793,[3]List1!$A:$D,3,FALSE),"N/A!")</f>
        <v>1963</v>
      </c>
      <c r="P793" s="569">
        <f>IFERROR(VLOOKUP(C793,[3]List1!$A:$D,2,FALSE),"N/A!")</f>
        <v>13500</v>
      </c>
      <c r="Q793" s="569" t="s">
        <v>11252</v>
      </c>
      <c r="R793" s="569" t="s">
        <v>20</v>
      </c>
      <c r="S793" s="569" t="str">
        <f>IF($W$17=$AF$1,"červená fólie",IFERROR(VLOOKUP("červená fólie",Jazyky_ceník!$A:$Q,MATCH($W$17,Jazyky_ceník!$A$1:$Q$1,0),FALSE),"!!!"))</f>
        <v>červená fólie</v>
      </c>
      <c r="T793" s="569">
        <v>90</v>
      </c>
      <c r="U793" s="569" t="s">
        <v>10746</v>
      </c>
      <c r="V793" s="569" t="s">
        <v>10747</v>
      </c>
      <c r="W793" s="569" t="str">
        <f>IFERROR(IF(AND($AB793&gt;=0.1*$AA793,MOD($AB793,$AA793)&gt;=($AA793-(0.1*$AA793))),IF($W$17=$AF$1,"Zvažte možnost doobjednání ještě "&amp;Tabulka1[[#This Row],[VKPAL]]-MOD(AB793,AA793)&amp;" VK do plné palety.",VLOOKUP("Zvažte možnost doobjednání ještě ",Jazyky_ceník!A:Q,MATCH($W$17,Jazyky_ceník!$A$1:$Q$1,0),FALSE)&amp;Tabulka1[[#This Row],[VKPAL]]-MOD(AB793,AA793)&amp;VLOOKUP(" VK do plné palety.",Jazyky_ceník!A:Q,MATCH($W$17,Jazyky_ceník!$A$1:$Q$1,0),FALSE)),IFERROR(IF(AND(NOT(MOD($AB793,$AA793)=0),$AB793&gt;=0.9*$AA793,MOD($AB793,$AA793)&lt;=0.1*$AA793),IF($W$17=$AF$1,"Zvažte možnost optimalizace objednaného množství podle počtu VK na paletě ==&gt;",VLOOKUP("Zvažte možnost optimalizace objednaného množství podle počtu VK na paletě ==&gt;",Jazyky_ceník!A:Q,MATCH($W$17,Jazyky_ceník!$A$1:$Q$1,0),FALSE)),VLOOKUP('General price list'!$C793,Popisy!A:M,MATCH($W$17,Popisy!$A$7:$M$7,0),FALSE)),"---------------")),IFERROR(VLOOKUP('General price list'!$C793,Popisy!A:M,MATCH($W$17,Popisy!$A$7:$M$7,0),FALSE),"---------------"))</f>
        <v>19 různobarevných efektů</v>
      </c>
      <c r="X793" s="569" t="str">
        <f t="shared" si="2504"/>
        <v/>
      </c>
      <c r="Y793" s="569" t="str">
        <f t="shared" si="2505"/>
        <v/>
      </c>
      <c r="Z793" s="569" t="str">
        <f>HYPERLINK("https://www.klasekpyrotechnics.cz/c216xmfs-c")</f>
        <v>https://www.klasekpyrotechnics.cz/c216xmfs-c</v>
      </c>
      <c r="AA793" s="569">
        <f>IFERROR(IF(VLOOKUP(C793,[4]List1!$A:$D,4,FALSE)=0,"",VLOOKUP(C793,[4]List1!$A:$D,4,FALSE)),"")</f>
        <v>32</v>
      </c>
      <c r="AB793" s="565"/>
      <c r="AC793" s="570" t="str">
        <f>IFERROR(IF(VLOOKUP(C793,[1]List1!$A:$D,2,FALSE)="VYPRODÁNO",$V$9,IF(VLOOKUP(C793,[1]List1!$A:$D,2,FALSE)="DOCHÁZÍ",$V$3,VLOOKUP(C793,[1]List1!$A:$D,2,FALSE))),"OFFLINE!")</f>
        <v>SKLADEM</v>
      </c>
      <c r="AD793" s="570" t="str">
        <f ca="1">IF(AP793="NE",$V$10,IF(AC793=$V$3,IF(AQ793&lt;1,$V$8,$V$2&amp;" "&amp;AQ793&amp;" "&amp;$V$1),IF(AC793="SKLADEM",$V$6,IFERROR(IF(OR(AC793-TODAY()&gt;45,VLOOKUP(C793,[1]List1!$A:$E,4,FALSE)=0),AC793,DAY(AC793)&amp;"."&amp;MONTH(AC793)&amp;"."&amp;YEAR(AC793)&amp;" "&amp;$V$4&amp;VLOOKUP(C793,[1]List1!$A:$E,4,FALSE)&amp;" "&amp;$V$1),AC793))))</f>
        <v>SKLADEM</v>
      </c>
      <c r="AE793" s="581" t="str">
        <f t="shared" ca="1" si="2506"/>
        <v>SKLADEM</v>
      </c>
      <c r="AF793" s="584">
        <f t="shared" si="2507"/>
        <v>0</v>
      </c>
      <c r="AG793" s="585">
        <f t="shared" si="2508"/>
        <v>0</v>
      </c>
      <c r="AH793" s="583">
        <f t="shared" si="2509"/>
        <v>0</v>
      </c>
      <c r="AI793" s="582">
        <f t="shared" si="2510"/>
        <v>0</v>
      </c>
      <c r="AJ793" s="569">
        <f t="shared" si="2511"/>
        <v>0</v>
      </c>
      <c r="AK793" s="569" t="str">
        <f t="shared" si="2512"/>
        <v/>
      </c>
      <c r="AL793" s="569">
        <f t="shared" si="2513"/>
        <v>0</v>
      </c>
      <c r="AM793" s="569" t="str">
        <f t="shared" si="2514"/>
        <v/>
      </c>
      <c r="AN793" s="581">
        <f t="shared" si="2515"/>
        <v>0</v>
      </c>
      <c r="AO793" s="623"/>
      <c r="AP793" s="632" t="str">
        <f t="shared" si="2346"/>
        <v/>
      </c>
      <c r="AQ793" s="633" t="str">
        <f>IF(AC793=$V$3,IF(VLOOKUP(C793,[1]List1!$A:$E,5,FALSE)=0,1,VLOOKUP(C793,[1]List1!$A:$E,5,FALSE)),"")</f>
        <v/>
      </c>
      <c r="AR793" s="625" t="str">
        <f t="shared" si="2347"/>
        <v/>
      </c>
      <c r="AS793" s="634" t="str">
        <f t="shared" si="2348"/>
        <v/>
      </c>
      <c r="AT793" s="625" t="str">
        <f t="shared" si="2349"/>
        <v/>
      </c>
      <c r="AU793" s="638" t="e">
        <f t="shared" si="2350"/>
        <v>#N/A</v>
      </c>
      <c r="AV793" s="625" t="e">
        <f t="shared" si="2351"/>
        <v>#N/A</v>
      </c>
      <c r="AX793" s="625">
        <f>IF(AND('General price list'!$J793="F4",'General price list'!$AB793+0&gt;0),1,0)</f>
        <v>0</v>
      </c>
      <c r="AY793" s="625">
        <f t="shared" si="2352"/>
        <v>1</v>
      </c>
      <c r="AZ793" s="625">
        <f t="shared" si="2353"/>
        <v>0</v>
      </c>
    </row>
    <row r="794" spans="1:52" ht="15.75" customHeight="1">
      <c r="A794" s="639" t="str">
        <f>Kat.!C794</f>
        <v/>
      </c>
      <c r="B794" s="640">
        <f>IF(AND('General price list'!$J794="F4",$AI$1=FALSE),0,IF(AC794="SKLADEM",1,IF(AC794=$V$3,1,0)))</f>
        <v>1</v>
      </c>
      <c r="C794" s="641" t="s">
        <v>2333</v>
      </c>
      <c r="D794" s="642" t="s">
        <v>2328</v>
      </c>
      <c r="E794" s="643" t="s">
        <v>12663</v>
      </c>
      <c r="F794" s="771">
        <f>IFERROR(VLOOKUP(C794,[2]List1!$A:$D,3,FALSE),"NEUVEDENO!")</f>
        <v>4204</v>
      </c>
      <c r="G794" s="768">
        <f t="shared" si="2502"/>
        <v>4204</v>
      </c>
      <c r="H794" s="765">
        <f t="shared" si="2503"/>
        <v>178.57977256990907</v>
      </c>
      <c r="I794" s="644">
        <f>IFERROR(VLOOKUP(C794,[2]List1!$A:$D,4,FALSE),"NEUVEDENO!")</f>
        <v>1</v>
      </c>
      <c r="J794" s="733" t="s">
        <v>39</v>
      </c>
      <c r="K794" s="645" t="s">
        <v>20</v>
      </c>
      <c r="L794" s="645" t="s">
        <v>20</v>
      </c>
      <c r="M794" s="645" t="s">
        <v>114</v>
      </c>
      <c r="N794" s="645">
        <f>IFERROR(VLOOKUP(C794,[3]List1!$A:$D,4,FALSE),"N/A!")</f>
        <v>5.4879999999999998E-2</v>
      </c>
      <c r="O794" s="645">
        <f>IFERROR(VLOOKUP(C794,[3]List1!$A:$D,3,FALSE),"N/A!")</f>
        <v>2000</v>
      </c>
      <c r="P794" s="645">
        <f>IFERROR(VLOOKUP(C794,[3]List1!$A:$D,2,FALSE),"N/A!")</f>
        <v>17000</v>
      </c>
      <c r="Q794" s="645" t="s">
        <v>11302</v>
      </c>
      <c r="R794" s="645"/>
      <c r="S794" s="645" t="str">
        <f>IF($W$17=$AF$1,"červená fólie",IFERROR(VLOOKUP("červená fólie",Jazyky_ceník!$A:$Q,MATCH($W$17,Jazyky_ceník!$A$1:$Q$1,0),FALSE),"!!!"))</f>
        <v>červená fólie</v>
      </c>
      <c r="T794" s="645">
        <v>130</v>
      </c>
      <c r="U794" s="645" t="s">
        <v>10746</v>
      </c>
      <c r="V794" s="645" t="s">
        <v>10747</v>
      </c>
      <c r="W794" s="645" t="str">
        <f>IFERROR(IF(AND($AB794&gt;=0.1*$AA794,MOD($AB794,$AA794)&gt;=($AA794-(0.1*$AA794))),IF($W$17=$AF$1,"Zvažte možnost doobjednání ještě "&amp;Tabulka1[[#This Row],[VKPAL]]-MOD(AB794,AA794)&amp;" VK do plné palety.",VLOOKUP("Zvažte možnost doobjednání ještě ",Jazyky_ceník!A:Q,MATCH($W$17,Jazyky_ceník!$A$1:$Q$1,0),FALSE)&amp;Tabulka1[[#This Row],[VKPAL]]-MOD(AB794,AA794)&amp;VLOOKUP(" VK do plné palety.",Jazyky_ceník!A:Q,MATCH($W$17,Jazyky_ceník!$A$1:$Q$1,0),FALSE)),IFERROR(IF(AND(NOT(MOD($AB794,$AA794)=0),$AB794&gt;=0.9*$AA794,MOD($AB794,$AA794)&lt;=0.1*$AA794),IF($W$17=$AF$1,"Zvažte možnost optimalizace objednaného množství podle počtu VK na paletě ==&gt;",VLOOKUP("Zvažte možnost optimalizace objednaného množství podle počtu VK na paletě ==&gt;",Jazyky_ceník!A:Q,MATCH($W$17,Jazyky_ceník!$A$1:$Q$1,0),FALSE)),VLOOKUP('General price list'!$C794,Popisy!A:M,MATCH($W$17,Popisy!$A$7:$M$7,0),FALSE)),"---------------")),IFERROR(VLOOKUP('General price list'!$C794,Popisy!A:M,MATCH($W$17,Popisy!$A$7:$M$7,0),FALSE),"---------------"))</f>
        <v>34 různobarevných efektů</v>
      </c>
      <c r="X794" s="645" t="str">
        <f t="shared" si="2504"/>
        <v/>
      </c>
      <c r="Y794" s="645" t="str">
        <f t="shared" si="2505"/>
        <v/>
      </c>
      <c r="Z794" s="645" t="str">
        <f>HYPERLINK("https://www.klasekpyrotechnics.cz/c223xmk-c")</f>
        <v>https://www.klasekpyrotechnics.cz/c223xmk-c</v>
      </c>
      <c r="AA794" s="645">
        <f>IFERROR(IF(VLOOKUP(C794,[4]List1!$A:$D,4,FALSE)=0,"",VLOOKUP(C794,[4]List1!$A:$D,4,FALSE)),"")</f>
        <v>18</v>
      </c>
      <c r="AB794" s="646"/>
      <c r="AC794" s="647" t="str">
        <f>IFERROR(IF(VLOOKUP(C794,[1]List1!$A:$D,2,FALSE)="VYPRODÁNO",$V$9,IF(VLOOKUP(C794,[1]List1!$A:$D,2,FALSE)="DOCHÁZÍ",$V$3,VLOOKUP(C794,[1]List1!$A:$D,2,FALSE))),"OFFLINE!")</f>
        <v>SKLADEM</v>
      </c>
      <c r="AD794" s="647" t="str">
        <f ca="1">IF(AP794="NE",$V$10,IF(AC794=$V$3,IF(AQ794&lt;1,$V$8,$V$2&amp;" "&amp;AQ794&amp;" "&amp;$V$1),IF(AC794="SKLADEM",$V$6,IFERROR(IF(OR(AC794-TODAY()&gt;45,VLOOKUP(C794,[1]List1!$A:$E,4,FALSE)=0),AC794,DAY(AC794)&amp;"."&amp;MONTH(AC794)&amp;"."&amp;YEAR(AC794)&amp;" "&amp;$V$4&amp;VLOOKUP(C794,[1]List1!$A:$E,4,FALSE)&amp;" "&amp;$V$1),AC794))))</f>
        <v>SKLADEM</v>
      </c>
      <c r="AE794" s="645" t="str">
        <f t="shared" ca="1" si="2506"/>
        <v>SKLADEM</v>
      </c>
      <c r="AF794" s="648">
        <f t="shared" si="2507"/>
        <v>0</v>
      </c>
      <c r="AG794" s="649">
        <f t="shared" si="2508"/>
        <v>0</v>
      </c>
      <c r="AH794" s="650">
        <f t="shared" si="2509"/>
        <v>0</v>
      </c>
      <c r="AI794" s="645">
        <f t="shared" si="2510"/>
        <v>0</v>
      </c>
      <c r="AJ794" s="645">
        <f t="shared" si="2511"/>
        <v>0</v>
      </c>
      <c r="AK794" s="645" t="str">
        <f t="shared" si="2512"/>
        <v/>
      </c>
      <c r="AL794" s="645">
        <f t="shared" si="2513"/>
        <v>0</v>
      </c>
      <c r="AM794" s="645" t="str">
        <f t="shared" si="2514"/>
        <v/>
      </c>
      <c r="AN794" s="651">
        <f t="shared" si="2515"/>
        <v>0</v>
      </c>
      <c r="AO794" s="623"/>
      <c r="AP794" s="625" t="str">
        <f t="shared" si="2346"/>
        <v/>
      </c>
      <c r="AQ794" s="625" t="str">
        <f>IF(AC794=$V$3,IF(VLOOKUP(C794,[1]List1!$A:$E,5,FALSE)=0,1,VLOOKUP(C794,[1]List1!$A:$E,5,FALSE)),"")</f>
        <v/>
      </c>
      <c r="AR794" s="629" t="str">
        <f t="shared" si="2347"/>
        <v/>
      </c>
      <c r="AS794" s="630" t="str">
        <f t="shared" si="2348"/>
        <v/>
      </c>
      <c r="AT794" s="625" t="str">
        <f t="shared" si="2349"/>
        <v/>
      </c>
      <c r="AU794" s="625" t="e">
        <f t="shared" si="2350"/>
        <v>#N/A</v>
      </c>
      <c r="AV794" s="625" t="e">
        <f t="shared" si="2351"/>
        <v>#N/A</v>
      </c>
      <c r="AW794" s="631"/>
      <c r="AX794" s="631">
        <f>IF(AND('General price list'!$J794="F4",'General price list'!$AB794+0&gt;0),1,0)</f>
        <v>0</v>
      </c>
      <c r="AY794" s="631">
        <f t="shared" si="2352"/>
        <v>1</v>
      </c>
      <c r="AZ794" s="631">
        <f t="shared" si="2353"/>
        <v>0</v>
      </c>
    </row>
    <row r="795" spans="1:52" ht="15.75" customHeight="1">
      <c r="A795" s="621" t="str">
        <f>Kat.!C795</f>
        <v/>
      </c>
      <c r="B795" s="566">
        <f>IF(AND('General price list'!$J795="F4",$AI$1=FALSE),0,IF(AC795="SKLADEM",1,IF(AC795=$V$3,1,0)))</f>
        <v>1</v>
      </c>
      <c r="C795" s="567" t="s">
        <v>12052</v>
      </c>
      <c r="D795" s="568" t="s">
        <v>12053</v>
      </c>
      <c r="E795" s="763" t="s">
        <v>12663</v>
      </c>
      <c r="F795" s="772">
        <f>IFERROR(VLOOKUP(C795,[2]List1!$A:$D,3,FALSE),"NEUVEDENO!")</f>
        <v>4321</v>
      </c>
      <c r="G795" s="769">
        <f t="shared" si="2502"/>
        <v>4321</v>
      </c>
      <c r="H795" s="766">
        <f t="shared" si="2503"/>
        <v>183.54976148301071</v>
      </c>
      <c r="I795" s="764">
        <f>IFERROR(VLOOKUP(C795,[2]List1!$A:$D,4,FALSE),"NEUVEDENO!")</f>
        <v>1</v>
      </c>
      <c r="J795" s="732" t="s">
        <v>39</v>
      </c>
      <c r="K795" s="569" t="s">
        <v>20</v>
      </c>
      <c r="L795" s="569"/>
      <c r="M795" s="569" t="s">
        <v>114</v>
      </c>
      <c r="N795" s="569">
        <f>IFERROR(VLOOKUP(C795,[3]List1!$A:$D,4,FALSE),"N/A!")</f>
        <v>6.1559999999999997E-2</v>
      </c>
      <c r="O795" s="569">
        <f>IFERROR(VLOOKUP(C795,[3]List1!$A:$D,3,FALSE),"N/A!")</f>
        <v>1997</v>
      </c>
      <c r="P795" s="569">
        <f>IFERROR(VLOOKUP(C795,[3]List1!$A:$D,2,FALSE),"N/A!")</f>
        <v>20000</v>
      </c>
      <c r="Q795" s="569" t="s">
        <v>11299</v>
      </c>
      <c r="R795" s="569"/>
      <c r="S795" s="569" t="str">
        <f>IF($W$17=$AF$1,"červená fólie",IFERROR(VLOOKUP("červená fólie",Jazyky_ceník!$A:$Q,MATCH($W$17,Jazyky_ceník!$A$1:$Q$1,0),FALSE),"!!!"))</f>
        <v>červená fólie</v>
      </c>
      <c r="T795" s="569">
        <v>120</v>
      </c>
      <c r="U795" s="569" t="s">
        <v>10746</v>
      </c>
      <c r="V795" s="569" t="s">
        <v>10747</v>
      </c>
      <c r="W795" s="569" t="str">
        <f>IFERROR(IF(AND($AB795&gt;=0.1*$AA795,MOD($AB795,$AA795)&gt;=($AA795-(0.1*$AA795))),IF($W$17=$AF$1,"Zvažte možnost doobjednání ještě "&amp;Tabulka1[[#This Row],[VKPAL]]-MOD(AB795,AA795)&amp;" VK do plné palety.",VLOOKUP("Zvažte možnost doobjednání ještě ",Jazyky_ceník!A:Q,MATCH($W$17,Jazyky_ceník!$A$1:$Q$1,0),FALSE)&amp;Tabulka1[[#This Row],[VKPAL]]-MOD(AB795,AA795)&amp;VLOOKUP(" VK do plné palety.",Jazyky_ceník!A:Q,MATCH($W$17,Jazyky_ceník!$A$1:$Q$1,0),FALSE)),IFERROR(IF(AND(NOT(MOD($AB795,$AA795)=0),$AB795&gt;=0.9*$AA795,MOD($AB795,$AA795)&lt;=0.1*$AA795),IF($W$17=$AF$1,"Zvažte možnost optimalizace objednaného množství podle počtu VK na paletě ==&gt;",VLOOKUP("Zvažte možnost optimalizace objednaného množství podle počtu VK na paletě ==&gt;",Jazyky_ceník!A:Q,MATCH($W$17,Jazyky_ceník!$A$1:$Q$1,0),FALSE)),VLOOKUP('General price list'!$C795,Popisy!A:M,MATCH($W$17,Popisy!$A$7:$M$7,0),FALSE)),"---------------")),IFERROR(VLOOKUP('General price list'!$C795,Popisy!A:M,MATCH($W$17,Popisy!$A$7:$M$7,0),FALSE),"---------------"))</f>
        <v>17 různobarevných efektů</v>
      </c>
      <c r="X795" s="569" t="str">
        <f t="shared" si="2504"/>
        <v/>
      </c>
      <c r="Y795" s="569" t="str">
        <f t="shared" si="2505"/>
        <v/>
      </c>
      <c r="Z795" s="569" t="str">
        <f>HYPERLINK("https://www.klasekpyrotechnics.cz/c248mxy-c")</f>
        <v>https://www.klasekpyrotechnics.cz/c248mxy-c</v>
      </c>
      <c r="AA795" s="569">
        <f>IFERROR(IF(VLOOKUP(C795,[4]List1!$A:$D,4,FALSE)=0,"",VLOOKUP(C795,[4]List1!$A:$D,4,FALSE)),"")</f>
        <v>27</v>
      </c>
      <c r="AB795" s="565"/>
      <c r="AC795" s="570" t="str">
        <f>IFERROR(IF(VLOOKUP(C795,[1]List1!$A:$D,2,FALSE)="VYPRODÁNO",$V$9,IF(VLOOKUP(C795,[1]List1!$A:$D,2,FALSE)="DOCHÁZÍ",$V$3,VLOOKUP(C795,[1]List1!$A:$D,2,FALSE))),"OFFLINE!")</f>
        <v>SKLADEM</v>
      </c>
      <c r="AD795" s="570" t="str">
        <f ca="1">IF(AP795="NE",$V$10,IF(AC795=$V$3,IF(AQ795&lt;1,$V$8,$V$2&amp;" "&amp;AQ795&amp;" "&amp;$V$1),IF(AC795="SKLADEM",$V$6,IFERROR(IF(OR(AC795-TODAY()&gt;45,VLOOKUP(C795,[1]List1!$A:$E,4,FALSE)=0),AC795,DAY(AC795)&amp;"."&amp;MONTH(AC795)&amp;"."&amp;YEAR(AC795)&amp;" "&amp;$V$4&amp;VLOOKUP(C795,[1]List1!$A:$E,4,FALSE)&amp;" "&amp;$V$1),AC795))))</f>
        <v>SKLADEM</v>
      </c>
      <c r="AE795" s="581" t="str">
        <f t="shared" ca="1" si="2506"/>
        <v>SKLADEM</v>
      </c>
      <c r="AF795" s="584">
        <f t="shared" si="2507"/>
        <v>0</v>
      </c>
      <c r="AG795" s="585">
        <f t="shared" si="2508"/>
        <v>0</v>
      </c>
      <c r="AH795" s="583">
        <f t="shared" si="2509"/>
        <v>0</v>
      </c>
      <c r="AI795" s="582">
        <f t="shared" si="2510"/>
        <v>0</v>
      </c>
      <c r="AJ795" s="569">
        <f t="shared" si="2511"/>
        <v>0</v>
      </c>
      <c r="AK795" s="569" t="str">
        <f t="shared" si="2512"/>
        <v/>
      </c>
      <c r="AL795" s="569">
        <f t="shared" si="2513"/>
        <v>0</v>
      </c>
      <c r="AM795" s="569" t="str">
        <f t="shared" si="2514"/>
        <v/>
      </c>
      <c r="AN795" s="581">
        <f t="shared" si="2515"/>
        <v>0</v>
      </c>
      <c r="AO795" s="623"/>
      <c r="AP795" s="625" t="str">
        <f t="shared" si="2346"/>
        <v/>
      </c>
      <c r="AQ795" s="625" t="str">
        <f>IF(AC795=$V$3,IF(VLOOKUP(C795,[1]List1!$A:$E,5,FALSE)=0,1,VLOOKUP(C795,[1]List1!$A:$E,5,FALSE)),"")</f>
        <v/>
      </c>
      <c r="AR795" s="629" t="str">
        <f t="shared" si="2347"/>
        <v/>
      </c>
      <c r="AS795" s="630" t="str">
        <f t="shared" si="2348"/>
        <v/>
      </c>
      <c r="AT795" s="625" t="str">
        <f t="shared" si="2349"/>
        <v/>
      </c>
      <c r="AU795" s="625" t="e">
        <f t="shared" si="2350"/>
        <v>#N/A</v>
      </c>
      <c r="AV795" s="625" t="e">
        <f t="shared" si="2351"/>
        <v>#N/A</v>
      </c>
      <c r="AW795" s="631"/>
      <c r="AX795" s="631">
        <f>IF(AND('General price list'!$J795="F4",'General price list'!$AB795+0&gt;0),1,0)</f>
        <v>0</v>
      </c>
      <c r="AY795" s="631">
        <f t="shared" si="2352"/>
        <v>1</v>
      </c>
      <c r="AZ795" s="631">
        <f t="shared" si="2353"/>
        <v>0</v>
      </c>
    </row>
    <row r="796" spans="1:52" ht="15.75" customHeight="1">
      <c r="A796" s="639" t="str">
        <f>Kat.!C796</f>
        <v/>
      </c>
      <c r="B796" s="640">
        <f>IF(AND('General price list'!$J796="F4",$AI$1=FALSE),0,IF(AC796="SKLADEM",1,IF(AC796=$V$3,1,0)))</f>
        <v>1</v>
      </c>
      <c r="C796" s="641" t="s">
        <v>12054</v>
      </c>
      <c r="D796" s="642" t="s">
        <v>12055</v>
      </c>
      <c r="E796" s="643" t="s">
        <v>12663</v>
      </c>
      <c r="F796" s="771">
        <f>IFERROR(VLOOKUP(C796,[2]List1!$A:$D,3,FALSE),"NEUVEDENO!")</f>
        <v>5123</v>
      </c>
      <c r="G796" s="768">
        <f t="shared" si="2502"/>
        <v>5123</v>
      </c>
      <c r="H796" s="765">
        <f t="shared" si="2503"/>
        <v>217.61754873350239</v>
      </c>
      <c r="I796" s="644">
        <f>IFERROR(VLOOKUP(C796,[2]List1!$A:$D,4,FALSE),"NEUVEDENO!")</f>
        <v>1</v>
      </c>
      <c r="J796" s="733" t="s">
        <v>39</v>
      </c>
      <c r="K796" s="645" t="s">
        <v>20</v>
      </c>
      <c r="L796" s="645"/>
      <c r="M796" s="645" t="s">
        <v>114</v>
      </c>
      <c r="N796" s="645">
        <f>IFERROR(VLOOKUP(C796,[3]List1!$A:$D,4,FALSE),"N/A!")</f>
        <v>6.1170499999999996E-2</v>
      </c>
      <c r="O796" s="645">
        <f>IFERROR(VLOOKUP(C796,[3]List1!$A:$D,3,FALSE),"N/A!")</f>
        <v>1996</v>
      </c>
      <c r="P796" s="645">
        <f>IFERROR(VLOOKUP(C796,[3]List1!$A:$D,2,FALSE),"N/A!")</f>
        <v>23000</v>
      </c>
      <c r="Q796" s="645" t="s">
        <v>11302</v>
      </c>
      <c r="R796" s="645"/>
      <c r="S796" s="645" t="str">
        <f>IF($W$17=$AF$1,"červená fólie",IFERROR(VLOOKUP("červená fólie",Jazyky_ceník!$A:$Q,MATCH($W$17,Jazyky_ceník!$A$1:$Q$1,0),FALSE),"!!!"))</f>
        <v>červená fólie</v>
      </c>
      <c r="T796" s="645">
        <v>120</v>
      </c>
      <c r="U796" s="645" t="s">
        <v>10746</v>
      </c>
      <c r="V796" s="645" t="s">
        <v>10747</v>
      </c>
      <c r="W796" s="645" t="str">
        <f>IFERROR(IF(AND($AB796&gt;=0.1*$AA796,MOD($AB796,$AA796)&gt;=($AA796-(0.1*$AA796))),IF($W$17=$AF$1,"Zvažte možnost doobjednání ještě "&amp;Tabulka1[[#This Row],[VKPAL]]-MOD(AB796,AA796)&amp;" VK do plné palety.",VLOOKUP("Zvažte možnost doobjednání ještě ",Jazyky_ceník!A:Q,MATCH($W$17,Jazyky_ceník!$A$1:$Q$1,0),FALSE)&amp;Tabulka1[[#This Row],[VKPAL]]-MOD(AB796,AA796)&amp;VLOOKUP(" VK do plné palety.",Jazyky_ceník!A:Q,MATCH($W$17,Jazyky_ceník!$A$1:$Q$1,0),FALSE)),IFERROR(IF(AND(NOT(MOD($AB796,$AA796)=0),$AB796&gt;=0.9*$AA796,MOD($AB796,$AA796)&lt;=0.1*$AA796),IF($W$17=$AF$1,"Zvažte možnost optimalizace objednaného množství podle počtu VK na paletě ==&gt;",VLOOKUP("Zvažte možnost optimalizace objednaného množství podle počtu VK na paletě ==&gt;",Jazyky_ceník!A:Q,MATCH($W$17,Jazyky_ceník!$A$1:$Q$1,0),FALSE)),VLOOKUP('General price list'!$C796,Popisy!A:M,MATCH($W$17,Popisy!$A$7:$M$7,0),FALSE)),"---------------")),IFERROR(VLOOKUP('General price list'!$C796,Popisy!A:M,MATCH($W$17,Popisy!$A$7:$M$7,0),FALSE),"---------------"))</f>
        <v>23 různobarevných efektů</v>
      </c>
      <c r="X796" s="645" t="str">
        <f t="shared" si="2504"/>
        <v/>
      </c>
      <c r="Y796" s="645" t="str">
        <f t="shared" si="2505"/>
        <v/>
      </c>
      <c r="Z796" s="645" t="str">
        <f>HYPERLINK("https://www.klasekpyrotechnics.cz/c252mxb-c")</f>
        <v>https://www.klasekpyrotechnics.cz/c252mxb-c</v>
      </c>
      <c r="AA796" s="645">
        <f>IFERROR(IF(VLOOKUP(C796,[4]List1!$A:$D,4,FALSE)=0,"",VLOOKUP(C796,[4]List1!$A:$D,4,FALSE)),"")</f>
        <v>18</v>
      </c>
      <c r="AB796" s="646"/>
      <c r="AC796" s="647" t="str">
        <f>IFERROR(IF(VLOOKUP(C796,[1]List1!$A:$D,2,FALSE)="VYPRODÁNO",$V$9,IF(VLOOKUP(C796,[1]List1!$A:$D,2,FALSE)="DOCHÁZÍ",$V$3,VLOOKUP(C796,[1]List1!$A:$D,2,FALSE))),"OFFLINE!")</f>
        <v>SKLADEM</v>
      </c>
      <c r="AD796" s="647" t="str">
        <f ca="1">IF(AP796="NE",$V$10,IF(AC796=$V$3,IF(AQ796&lt;1,$V$8,$V$2&amp;" "&amp;AQ796&amp;" "&amp;$V$1),IF(AC796="SKLADEM",$V$6,IFERROR(IF(OR(AC796-TODAY()&gt;45,VLOOKUP(C796,[1]List1!$A:$E,4,FALSE)=0),AC796,DAY(AC796)&amp;"."&amp;MONTH(AC796)&amp;"."&amp;YEAR(AC796)&amp;" "&amp;$V$4&amp;VLOOKUP(C796,[1]List1!$A:$E,4,FALSE)&amp;" "&amp;$V$1),AC796))))</f>
        <v>SKLADEM</v>
      </c>
      <c r="AE796" s="645" t="str">
        <f t="shared" ca="1" si="2506"/>
        <v>SKLADEM</v>
      </c>
      <c r="AF796" s="648">
        <f t="shared" si="2507"/>
        <v>0</v>
      </c>
      <c r="AG796" s="649">
        <f t="shared" si="2508"/>
        <v>0</v>
      </c>
      <c r="AH796" s="650">
        <f t="shared" si="2509"/>
        <v>0</v>
      </c>
      <c r="AI796" s="645">
        <f t="shared" si="2510"/>
        <v>0</v>
      </c>
      <c r="AJ796" s="645">
        <f t="shared" si="2511"/>
        <v>0</v>
      </c>
      <c r="AK796" s="645" t="str">
        <f t="shared" si="2512"/>
        <v/>
      </c>
      <c r="AL796" s="645">
        <f t="shared" si="2513"/>
        <v>0</v>
      </c>
      <c r="AM796" s="645" t="str">
        <f t="shared" si="2514"/>
        <v/>
      </c>
      <c r="AN796" s="651">
        <f t="shared" si="2515"/>
        <v>0</v>
      </c>
      <c r="AO796" s="623"/>
      <c r="AP796" s="625" t="str">
        <f t="shared" si="2346"/>
        <v/>
      </c>
      <c r="AQ796" s="625" t="str">
        <f>IF(AC796=$V$3,IF(VLOOKUP(C796,[1]List1!$A:$E,5,FALSE)=0,1,VLOOKUP(C796,[1]List1!$A:$E,5,FALSE)),"")</f>
        <v/>
      </c>
      <c r="AR796" s="629" t="str">
        <f t="shared" si="2347"/>
        <v/>
      </c>
      <c r="AS796" s="630" t="str">
        <f t="shared" ref="AS796:AS799" si="2516">IF(AT796&lt;&gt;"","X","")</f>
        <v/>
      </c>
      <c r="AT796" s="625" t="str">
        <f t="shared" si="2349"/>
        <v/>
      </c>
      <c r="AU796" s="625" t="e">
        <f t="shared" si="2350"/>
        <v>#N/A</v>
      </c>
      <c r="AV796" s="625" t="e">
        <f t="shared" si="2351"/>
        <v>#N/A</v>
      </c>
      <c r="AW796" s="631"/>
      <c r="AX796" s="631">
        <f>IF(AND('General price list'!$J796="F4",'General price list'!$AB796+0&gt;0),1,0)</f>
        <v>0</v>
      </c>
      <c r="AY796" s="631">
        <f t="shared" si="2352"/>
        <v>1</v>
      </c>
      <c r="AZ796" s="631">
        <f t="shared" si="2353"/>
        <v>0</v>
      </c>
    </row>
    <row r="797" spans="1:52" ht="15.75" customHeight="1">
      <c r="A797" s="621" t="str">
        <f>Kat.!C797</f>
        <v/>
      </c>
      <c r="B797" s="566">
        <f>IF(AND('General price list'!$J797="F4",$AI$1=FALSE),0,IF(AC797="SKLADEM",1,IF(AC797=$V$3,1,0)))</f>
        <v>1</v>
      </c>
      <c r="C797" s="567" t="s">
        <v>12056</v>
      </c>
      <c r="D797" s="568" t="s">
        <v>12057</v>
      </c>
      <c r="E797" s="763" t="s">
        <v>12663</v>
      </c>
      <c r="F797" s="772">
        <f>IFERROR(VLOOKUP(C797,[2]List1!$A:$D,3,FALSE),"NEUVEDENO!")</f>
        <v>4981</v>
      </c>
      <c r="G797" s="769">
        <f t="shared" si="2502"/>
        <v>4981</v>
      </c>
      <c r="H797" s="766">
        <f t="shared" si="2503"/>
        <v>211.58559637743031</v>
      </c>
      <c r="I797" s="764">
        <f>IFERROR(VLOOKUP(C797,[2]List1!$A:$D,4,FALSE),"NEUVEDENO!")</f>
        <v>1</v>
      </c>
      <c r="J797" s="732" t="s">
        <v>39</v>
      </c>
      <c r="K797" s="569" t="s">
        <v>20</v>
      </c>
      <c r="L797" s="569"/>
      <c r="M797" s="569" t="s">
        <v>114</v>
      </c>
      <c r="N797" s="569">
        <f>IFERROR(VLOOKUP(C797,[3]List1!$A:$D,4,FALSE),"N/A!")</f>
        <v>6.4295999999999992E-2</v>
      </c>
      <c r="O797" s="569">
        <f>IFERROR(VLOOKUP(C797,[3]List1!$A:$D,3,FALSE),"N/A!")</f>
        <v>1998</v>
      </c>
      <c r="P797" s="569">
        <f>IFERROR(VLOOKUP(C797,[3]List1!$A:$D,2,FALSE),"N/A!")</f>
        <v>22000</v>
      </c>
      <c r="Q797" s="569" t="s">
        <v>11302</v>
      </c>
      <c r="R797" s="569"/>
      <c r="S797" s="569" t="str">
        <f>IF($W$17=$AF$1,"červená fólie",IFERROR(VLOOKUP("červená fólie",Jazyky_ceník!$A:$Q,MATCH($W$17,Jazyky_ceník!$A$1:$Q$1,0),FALSE),"!!!"))</f>
        <v>červená fólie</v>
      </c>
      <c r="T797" s="569">
        <v>230</v>
      </c>
      <c r="U797" s="569" t="s">
        <v>10746</v>
      </c>
      <c r="V797" s="569" t="s">
        <v>10747</v>
      </c>
      <c r="W797" s="569" t="str">
        <f>IFERROR(IF(AND($AB797&gt;=0.1*$AA797,MOD($AB797,$AA797)&gt;=($AA797-(0.1*$AA797))),IF($W$17=$AF$1,"Zvažte možnost doobjednání ještě "&amp;Tabulka1[[#This Row],[VKPAL]]-MOD(AB797,AA797)&amp;" VK do plné palety.",VLOOKUP("Zvažte možnost doobjednání ještě ",Jazyky_ceník!A:Q,MATCH($W$17,Jazyky_ceník!$A$1:$Q$1,0),FALSE)&amp;Tabulka1[[#This Row],[VKPAL]]-MOD(AB797,AA797)&amp;VLOOKUP(" VK do plné palety.",Jazyky_ceník!A:Q,MATCH($W$17,Jazyky_ceník!$A$1:$Q$1,0),FALSE)),IFERROR(IF(AND(NOT(MOD($AB797,$AA797)=0),$AB797&gt;=0.9*$AA797,MOD($AB797,$AA797)&lt;=0.1*$AA797),IF($W$17=$AF$1,"Zvažte možnost optimalizace objednaného množství podle počtu VK na paletě ==&gt;",VLOOKUP("Zvažte možnost optimalizace objednaného množství podle počtu VK na paletě ==&gt;",Jazyky_ceník!A:Q,MATCH($W$17,Jazyky_ceník!$A$1:$Q$1,0),FALSE)),VLOOKUP('General price list'!$C797,Popisy!A:M,MATCH($W$17,Popisy!$A$7:$M$7,0),FALSE)),"---------------")),IFERROR(VLOOKUP('General price list'!$C797,Popisy!A:M,MATCH($W$17,Popisy!$A$7:$M$7,0),FALSE),"---------------"))</f>
        <v>25 různobarevných efektů</v>
      </c>
      <c r="X797" s="569" t="str">
        <f t="shared" si="2504"/>
        <v/>
      </c>
      <c r="Y797" s="569" t="str">
        <f t="shared" si="2505"/>
        <v/>
      </c>
      <c r="Z797" s="569" t="str">
        <f>HYPERLINK("https://www.klasekpyrotechnics.cz/c316mxf-c")</f>
        <v>https://www.klasekpyrotechnics.cz/c316mxf-c</v>
      </c>
      <c r="AA797" s="569">
        <f>IFERROR(IF(VLOOKUP(C797,[4]List1!$A:$D,4,FALSE)=0,"",VLOOKUP(C797,[4]List1!$A:$D,4,FALSE)),"")</f>
        <v>18</v>
      </c>
      <c r="AB797" s="565"/>
      <c r="AC797" s="570" t="str">
        <f>IFERROR(IF(VLOOKUP(C797,[1]List1!$A:$D,2,FALSE)="VYPRODÁNO",$V$9,IF(VLOOKUP(C797,[1]List1!$A:$D,2,FALSE)="DOCHÁZÍ",$V$3,VLOOKUP(C797,[1]List1!$A:$D,2,FALSE))),"OFFLINE!")</f>
        <v>SKLADEM</v>
      </c>
      <c r="AD797" s="570" t="str">
        <f ca="1">IF(AP797="NE",$V$10,IF(AC797=$V$3,IF(AQ797&lt;1,$V$8,$V$2&amp;" "&amp;AQ797&amp;" "&amp;$V$1),IF(AC797="SKLADEM",$V$6,IFERROR(IF(OR(AC797-TODAY()&gt;45,VLOOKUP(C797,[1]List1!$A:$E,4,FALSE)=0),AC797,DAY(AC797)&amp;"."&amp;MONTH(AC797)&amp;"."&amp;YEAR(AC797)&amp;" "&amp;$V$4&amp;VLOOKUP(C797,[1]List1!$A:$E,4,FALSE)&amp;" "&amp;$V$1),AC797))))</f>
        <v>SKLADEM</v>
      </c>
      <c r="AE797" s="581" t="str">
        <f t="shared" ca="1" si="2506"/>
        <v>SKLADEM</v>
      </c>
      <c r="AF797" s="584">
        <f t="shared" si="2507"/>
        <v>0</v>
      </c>
      <c r="AG797" s="585">
        <f t="shared" si="2508"/>
        <v>0</v>
      </c>
      <c r="AH797" s="583">
        <f t="shared" si="2509"/>
        <v>0</v>
      </c>
      <c r="AI797" s="582">
        <f t="shared" si="2510"/>
        <v>0</v>
      </c>
      <c r="AJ797" s="569">
        <f t="shared" si="2511"/>
        <v>0</v>
      </c>
      <c r="AK797" s="569" t="str">
        <f t="shared" si="2512"/>
        <v/>
      </c>
      <c r="AL797" s="569">
        <f t="shared" si="2513"/>
        <v>0</v>
      </c>
      <c r="AM797" s="569" t="str">
        <f t="shared" si="2514"/>
        <v/>
      </c>
      <c r="AN797" s="581">
        <f t="shared" si="2515"/>
        <v>0</v>
      </c>
      <c r="AO797" s="623"/>
      <c r="AP797" s="625" t="str">
        <f t="shared" si="2346"/>
        <v/>
      </c>
      <c r="AQ797" s="625" t="str">
        <f>IF(AC797=$V$3,IF(VLOOKUP(C797,[1]List1!$A:$E,5,FALSE)=0,1,VLOOKUP(C797,[1]List1!$A:$E,5,FALSE)),"")</f>
        <v/>
      </c>
      <c r="AR797" s="629" t="str">
        <f t="shared" si="2347"/>
        <v/>
      </c>
      <c r="AS797" s="630" t="str">
        <f t="shared" si="2516"/>
        <v/>
      </c>
      <c r="AT797" s="625" t="str">
        <f t="shared" si="2349"/>
        <v/>
      </c>
      <c r="AU797" s="625" t="e">
        <f t="shared" si="2350"/>
        <v>#N/A</v>
      </c>
      <c r="AV797" s="625" t="e">
        <f t="shared" si="2351"/>
        <v>#N/A</v>
      </c>
      <c r="AW797" s="631"/>
      <c r="AX797" s="631">
        <f>IF(AND('General price list'!$J797="F4",'General price list'!$AB797+0&gt;0),1,0)</f>
        <v>0</v>
      </c>
      <c r="AY797" s="631">
        <f t="shared" si="2352"/>
        <v>1</v>
      </c>
      <c r="AZ797" s="631">
        <f t="shared" si="2353"/>
        <v>0</v>
      </c>
    </row>
    <row r="798" spans="1:52" ht="15.75" customHeight="1">
      <c r="A798" s="639" t="str">
        <f>Kat.!C798</f>
        <v/>
      </c>
      <c r="B798" s="640">
        <f>IF(AND('General price list'!$J798="F4",$AI$1=FALSE),0,IF(AC798="SKLADEM",1,IF(AC798=$V$3,1,0)))</f>
        <v>1</v>
      </c>
      <c r="C798" s="641" t="s">
        <v>12058</v>
      </c>
      <c r="D798" s="642" t="s">
        <v>12059</v>
      </c>
      <c r="E798" s="643" t="s">
        <v>12663</v>
      </c>
      <c r="F798" s="771">
        <f>IFERROR(VLOOKUP(C798,[2]List1!$A:$D,3,FALSE),"NEUVEDENO!")</f>
        <v>5369</v>
      </c>
      <c r="G798" s="768">
        <f t="shared" si="2502"/>
        <v>5369</v>
      </c>
      <c r="H798" s="765">
        <f t="shared" si="2503"/>
        <v>228.06726901233154</v>
      </c>
      <c r="I798" s="644">
        <f>IFERROR(VLOOKUP(C798,[2]List1!$A:$D,4,FALSE),"NEUVEDENO!")</f>
        <v>1</v>
      </c>
      <c r="J798" s="733" t="s">
        <v>39</v>
      </c>
      <c r="K798" s="645" t="s">
        <v>20</v>
      </c>
      <c r="L798" s="645"/>
      <c r="M798" s="645" t="s">
        <v>114</v>
      </c>
      <c r="N798" s="645">
        <f>IFERROR(VLOOKUP(C798,[3]List1!$A:$D,4,FALSE),"N/A!")</f>
        <v>6.1645499999999999E-2</v>
      </c>
      <c r="O798" s="645">
        <f>IFERROR(VLOOKUP(C798,[3]List1!$A:$D,3,FALSE),"N/A!")</f>
        <v>2000</v>
      </c>
      <c r="P798" s="645">
        <f>IFERROR(VLOOKUP(C798,[3]List1!$A:$D,2,FALSE),"N/A!")</f>
        <v>22500</v>
      </c>
      <c r="Q798" s="645" t="s">
        <v>11244</v>
      </c>
      <c r="R798" s="645"/>
      <c r="S798" s="645" t="str">
        <f>IF($W$17=$AF$1,"červená fólie",IFERROR(VLOOKUP("červená fólie",Jazyky_ceník!$A:$Q,MATCH($W$17,Jazyky_ceník!$A$1:$Q$1,0),FALSE),"!!!"))</f>
        <v>červená fólie</v>
      </c>
      <c r="T798" s="645">
        <v>210</v>
      </c>
      <c r="U798" s="645" t="s">
        <v>10746</v>
      </c>
      <c r="V798" s="645" t="s">
        <v>10747</v>
      </c>
      <c r="W798" s="645" t="str">
        <f>IFERROR(IF(AND($AB798&gt;=0.1*$AA798,MOD($AB798,$AA798)&gt;=($AA798-(0.1*$AA798))),IF($W$17=$AF$1,"Zvažte možnost doobjednání ještě "&amp;Tabulka1[[#This Row],[VKPAL]]-MOD(AB798,AA798)&amp;" VK do plné palety.",VLOOKUP("Zvažte možnost doobjednání ještě ",Jazyky_ceník!A:Q,MATCH($W$17,Jazyky_ceník!$A$1:$Q$1,0),FALSE)&amp;Tabulka1[[#This Row],[VKPAL]]-MOD(AB798,AA798)&amp;VLOOKUP(" VK do plné palety.",Jazyky_ceník!A:Q,MATCH($W$17,Jazyky_ceník!$A$1:$Q$1,0),FALSE)),IFERROR(IF(AND(NOT(MOD($AB798,$AA798)=0),$AB798&gt;=0.9*$AA798,MOD($AB798,$AA798)&lt;=0.1*$AA798),IF($W$17=$AF$1,"Zvažte možnost optimalizace objednaného množství podle počtu VK na paletě ==&gt;",VLOOKUP("Zvažte možnost optimalizace objednaného množství podle počtu VK na paletě ==&gt;",Jazyky_ceník!A:Q,MATCH($W$17,Jazyky_ceník!$A$1:$Q$1,0),FALSE)),VLOOKUP('General price list'!$C798,Popisy!A:M,MATCH($W$17,Popisy!$A$7:$M$7,0),FALSE)),"---------------")),IFERROR(VLOOKUP('General price list'!$C798,Popisy!A:M,MATCH($W$17,Popisy!$A$7:$M$7,0),FALSE),"---------------"))</f>
        <v>23 různobarevných efektů</v>
      </c>
      <c r="X798" s="645" t="str">
        <f t="shared" si="2504"/>
        <v/>
      </c>
      <c r="Y798" s="645" t="str">
        <f t="shared" si="2505"/>
        <v/>
      </c>
      <c r="Z798" s="645" t="str">
        <f>HYPERLINK("https://www.klasekpyrotechnics.cz/c342mxg-c")</f>
        <v>https://www.klasekpyrotechnics.cz/c342mxg-c</v>
      </c>
      <c r="AA798" s="645">
        <f>IFERROR(IF(VLOOKUP(C798,[4]List1!$A:$D,4,FALSE)=0,"",VLOOKUP(C798,[4]List1!$A:$D,4,FALSE)),"")</f>
        <v>18</v>
      </c>
      <c r="AB798" s="646"/>
      <c r="AC798" s="647" t="str">
        <f>IFERROR(IF(VLOOKUP(C798,[1]List1!$A:$D,2,FALSE)="VYPRODÁNO",$V$9,IF(VLOOKUP(C798,[1]List1!$A:$D,2,FALSE)="DOCHÁZÍ",$V$3,VLOOKUP(C798,[1]List1!$A:$D,2,FALSE))),"OFFLINE!")</f>
        <v>SKLADEM</v>
      </c>
      <c r="AD798" s="647" t="str">
        <f ca="1">IF(AP798="NE",$V$10,IF(AC798=$V$3,IF(AQ798&lt;1,$V$8,$V$2&amp;" "&amp;AQ798&amp;" "&amp;$V$1),IF(AC798="SKLADEM",$V$6,IFERROR(IF(OR(AC798-TODAY()&gt;45,VLOOKUP(C798,[1]List1!$A:$E,4,FALSE)=0),AC798,DAY(AC798)&amp;"."&amp;MONTH(AC798)&amp;"."&amp;YEAR(AC798)&amp;" "&amp;$V$4&amp;VLOOKUP(C798,[1]List1!$A:$E,4,FALSE)&amp;" "&amp;$V$1),AC798))))</f>
        <v>SKLADEM</v>
      </c>
      <c r="AE798" s="645" t="str">
        <f t="shared" ca="1" si="2506"/>
        <v>SKLADEM</v>
      </c>
      <c r="AF798" s="648">
        <f t="shared" si="2507"/>
        <v>0</v>
      </c>
      <c r="AG798" s="649">
        <f t="shared" si="2508"/>
        <v>0</v>
      </c>
      <c r="AH798" s="650">
        <f t="shared" si="2509"/>
        <v>0</v>
      </c>
      <c r="AI798" s="645">
        <f t="shared" si="2510"/>
        <v>0</v>
      </c>
      <c r="AJ798" s="645">
        <f t="shared" si="2511"/>
        <v>0</v>
      </c>
      <c r="AK798" s="645" t="str">
        <f t="shared" si="2512"/>
        <v/>
      </c>
      <c r="AL798" s="645">
        <f t="shared" si="2513"/>
        <v>0</v>
      </c>
      <c r="AM798" s="645" t="str">
        <f t="shared" si="2514"/>
        <v/>
      </c>
      <c r="AN798" s="651">
        <f t="shared" si="2515"/>
        <v>0</v>
      </c>
      <c r="AO798" s="623"/>
      <c r="AP798" s="625" t="str">
        <f t="shared" si="2346"/>
        <v/>
      </c>
      <c r="AQ798" s="625" t="str">
        <f>IF(AC798=$V$3,IF(VLOOKUP(C798,[1]List1!$A:$E,5,FALSE)=0,1,VLOOKUP(C798,[1]List1!$A:$E,5,FALSE)),"")</f>
        <v/>
      </c>
      <c r="AR798" s="629" t="str">
        <f t="shared" si="2347"/>
        <v/>
      </c>
      <c r="AS798" s="630" t="str">
        <f t="shared" si="2516"/>
        <v/>
      </c>
      <c r="AT798" s="625" t="str">
        <f t="shared" si="2349"/>
        <v/>
      </c>
      <c r="AU798" s="625" t="e">
        <f t="shared" si="2350"/>
        <v>#N/A</v>
      </c>
      <c r="AV798" s="625" t="e">
        <f t="shared" si="2351"/>
        <v>#N/A</v>
      </c>
      <c r="AW798" s="631"/>
      <c r="AX798" s="631">
        <f>IF(AND('General price list'!$J798="F4",'General price list'!$AB798+0&gt;0),1,0)</f>
        <v>0</v>
      </c>
      <c r="AY798" s="631">
        <f t="shared" si="2352"/>
        <v>1</v>
      </c>
      <c r="AZ798" s="631">
        <f t="shared" si="2353"/>
        <v>0</v>
      </c>
    </row>
    <row r="799" spans="1:52" ht="15.75" customHeight="1">
      <c r="A799" s="621" t="str">
        <f>Kat.!C799</f>
        <v/>
      </c>
      <c r="B799" s="566">
        <f>IF(AND('General price list'!$J799="F4",$AI$1=FALSE),0,IF(AC799="SKLADEM",1,IF(AC799=$V$3,1,0)))</f>
        <v>1</v>
      </c>
      <c r="C799" s="567" t="s">
        <v>12060</v>
      </c>
      <c r="D799" s="568" t="s">
        <v>12061</v>
      </c>
      <c r="E799" s="763" t="s">
        <v>12663</v>
      </c>
      <c r="F799" s="772">
        <f>IFERROR(VLOOKUP(C799,[2]List1!$A:$D,3,FALSE),"NEUVEDENO!")</f>
        <v>4657</v>
      </c>
      <c r="G799" s="769">
        <f t="shared" si="2502"/>
        <v>4657</v>
      </c>
      <c r="H799" s="766">
        <f t="shared" si="2503"/>
        <v>197.82255015653342</v>
      </c>
      <c r="I799" s="764">
        <f>IFERROR(VLOOKUP(C799,[2]List1!$A:$D,4,FALSE),"NEUVEDENO!")</f>
        <v>1</v>
      </c>
      <c r="J799" s="732" t="s">
        <v>39</v>
      </c>
      <c r="K799" s="569" t="s">
        <v>20</v>
      </c>
      <c r="L799" s="569"/>
      <c r="M799" s="569" t="s">
        <v>114</v>
      </c>
      <c r="N799" s="569">
        <f>IFERROR(VLOOKUP(C799,[3]List1!$A:$D,4,FALSE),"N/A!")</f>
        <v>3.6063999999999999E-2</v>
      </c>
      <c r="O799" s="569">
        <f>IFERROR(VLOOKUP(C799,[3]List1!$A:$D,3,FALSE),"N/A!")</f>
        <v>1873</v>
      </c>
      <c r="P799" s="569">
        <f>IFERROR(VLOOKUP(C799,[3]List1!$A:$D,2,FALSE),"N/A!")</f>
        <v>14500</v>
      </c>
      <c r="Q799" s="569" t="s">
        <v>15060</v>
      </c>
      <c r="R799" s="569"/>
      <c r="S799" s="569" t="str">
        <f>IF($W$17=$AF$1,"červená fólie",IFERROR(VLOOKUP("červená fólie",Jazyky_ceník!$A:$Q,MATCH($W$17,Jazyky_ceník!$A$1:$Q$1,0),FALSE),"!!!"))</f>
        <v>červená fólie</v>
      </c>
      <c r="T799" s="569">
        <v>230</v>
      </c>
      <c r="U799" s="569" t="s">
        <v>12069</v>
      </c>
      <c r="V799" s="569" t="s">
        <v>12070</v>
      </c>
      <c r="W799" s="569" t="str">
        <f>IFERROR(IF(AND($AB799&gt;=0.1*$AA799,MOD($AB799,$AA799)&gt;=($AA799-(0.1*$AA799))),IF($W$17=$AF$1,"Zvažte možnost doobjednání ještě "&amp;Tabulka1[[#This Row],[VKPAL]]-MOD(AB799,AA799)&amp;" VK do plné palety.",VLOOKUP("Zvažte možnost doobjednání ještě ",Jazyky_ceník!A:Q,MATCH($W$17,Jazyky_ceník!$A$1:$Q$1,0),FALSE)&amp;Tabulka1[[#This Row],[VKPAL]]-MOD(AB799,AA799)&amp;VLOOKUP(" VK do plné palety.",Jazyky_ceník!A:Q,MATCH($W$17,Jazyky_ceník!$A$1:$Q$1,0),FALSE)),IFERROR(IF(AND(NOT(MOD($AB799,$AA799)=0),$AB799&gt;=0.9*$AA799,MOD($AB799,$AA799)&lt;=0.1*$AA799),IF($W$17=$AF$1,"Zvažte možnost optimalizace objednaného množství podle počtu VK na paletě ==&gt;",VLOOKUP("Zvažte možnost optimalizace objednaného množství podle počtu VK na paletě ==&gt;",Jazyky_ceník!A:Q,MATCH($W$17,Jazyky_ceník!$A$1:$Q$1,0),FALSE)),VLOOKUP('General price list'!$C799,Popisy!A:M,MATCH($W$17,Popisy!$A$7:$M$7,0),FALSE)),"---------------")),IFERROR(VLOOKUP('General price list'!$C799,Popisy!A:M,MATCH($W$17,Popisy!$A$7:$M$7,0),FALSE),"---------------"))</f>
        <v>25 různobarevných efektů</v>
      </c>
      <c r="X799" s="569" t="str">
        <f t="shared" si="2504"/>
        <v/>
      </c>
      <c r="Y799" s="569" t="str">
        <f t="shared" si="2505"/>
        <v/>
      </c>
      <c r="Z799" s="569" t="str">
        <f>HYPERLINK("https://www.klasekpyrotechnics.cz/c500mxb-c")</f>
        <v>https://www.klasekpyrotechnics.cz/c500mxb-c</v>
      </c>
      <c r="AA799" s="569">
        <f>IFERROR(IF(VLOOKUP(C799,[4]List1!$A:$D,4,FALSE)=0,"",VLOOKUP(C799,[4]List1!$A:$D,4,FALSE)),"")</f>
        <v>24</v>
      </c>
      <c r="AB799" s="565"/>
      <c r="AC799" s="570" t="str">
        <f>IFERROR(IF(VLOOKUP(C799,[1]List1!$A:$D,2,FALSE)="VYPRODÁNO",$V$9,IF(VLOOKUP(C799,[1]List1!$A:$D,2,FALSE)="DOCHÁZÍ",$V$3,VLOOKUP(C799,[1]List1!$A:$D,2,FALSE))),"OFFLINE!")</f>
        <v>SKLADEM</v>
      </c>
      <c r="AD799" s="570" t="str">
        <f ca="1">IF(AP799="NE",$V$10,IF(AC799=$V$3,IF(AQ799&lt;1,$V$8,$V$2&amp;" "&amp;AQ799&amp;" "&amp;$V$1),IF(AC799="SKLADEM",$V$6,IFERROR(IF(OR(AC799-TODAY()&gt;45,VLOOKUP(C799,[1]List1!$A:$E,4,FALSE)=0),AC799,DAY(AC799)&amp;"."&amp;MONTH(AC799)&amp;"."&amp;YEAR(AC799)&amp;" "&amp;$V$4&amp;VLOOKUP(C799,[1]List1!$A:$E,4,FALSE)&amp;" "&amp;$V$1),AC799))))</f>
        <v>SKLADEM</v>
      </c>
      <c r="AE799" s="581" t="str">
        <f t="shared" ca="1" si="2506"/>
        <v>SKLADEM</v>
      </c>
      <c r="AF799" s="584">
        <f t="shared" si="2507"/>
        <v>0</v>
      </c>
      <c r="AG799" s="585">
        <f t="shared" si="2508"/>
        <v>0</v>
      </c>
      <c r="AH799" s="583">
        <f t="shared" si="2509"/>
        <v>0</v>
      </c>
      <c r="AI799" s="582">
        <f t="shared" si="2510"/>
        <v>0</v>
      </c>
      <c r="AJ799" s="569">
        <f t="shared" si="2511"/>
        <v>0</v>
      </c>
      <c r="AK799" s="569" t="str">
        <f t="shared" si="2512"/>
        <v/>
      </c>
      <c r="AL799" s="569">
        <f t="shared" si="2513"/>
        <v>0</v>
      </c>
      <c r="AM799" s="569" t="str">
        <f t="shared" si="2514"/>
        <v/>
      </c>
      <c r="AN799" s="581">
        <f t="shared" si="2515"/>
        <v>0</v>
      </c>
      <c r="AO799" s="623"/>
      <c r="AP799" s="625" t="str">
        <f t="shared" si="2346"/>
        <v/>
      </c>
      <c r="AQ799" s="625" t="str">
        <f>IF(AC799=$V$3,IF(VLOOKUP(C799,[1]List1!$A:$E,5,FALSE)=0,1,VLOOKUP(C799,[1]List1!$A:$E,5,FALSE)),"")</f>
        <v/>
      </c>
      <c r="AR799" s="629" t="str">
        <f t="shared" si="2347"/>
        <v/>
      </c>
      <c r="AS799" s="630" t="str">
        <f t="shared" si="2516"/>
        <v/>
      </c>
      <c r="AT799" s="625" t="str">
        <f t="shared" si="2349"/>
        <v/>
      </c>
      <c r="AU799" s="625" t="e">
        <f t="shared" si="2350"/>
        <v>#N/A</v>
      </c>
      <c r="AV799" s="625" t="e">
        <f t="shared" si="2351"/>
        <v>#N/A</v>
      </c>
      <c r="AW799" s="631"/>
      <c r="AX799" s="631">
        <f>IF(AND('General price list'!$J799="F4",'General price list'!$AB799+0&gt;0),1,0)</f>
        <v>0</v>
      </c>
      <c r="AY799" s="631">
        <f t="shared" si="2352"/>
        <v>1</v>
      </c>
      <c r="AZ799" s="631">
        <f t="shared" si="2353"/>
        <v>0</v>
      </c>
    </row>
    <row r="800" spans="1:52" ht="15.75" customHeight="1">
      <c r="A800" s="751" t="str">
        <f>Kat.!C800</f>
        <v xml:space="preserve">           Dvojitý složený ohňostroj, multikaliber F2 – 1.4G</v>
      </c>
      <c r="B800" s="751"/>
      <c r="C800" s="751"/>
      <c r="D800" s="751"/>
      <c r="E800" s="751"/>
      <c r="F800" s="751"/>
      <c r="G800" s="751"/>
      <c r="H800" s="751"/>
      <c r="I800" s="752"/>
      <c r="J800" s="752"/>
      <c r="K800" s="752" t="s">
        <v>20</v>
      </c>
      <c r="L800" s="753" t="s">
        <v>20</v>
      </c>
      <c r="M800" s="752"/>
      <c r="N800" s="752"/>
      <c r="O800" s="752"/>
      <c r="P800" s="752"/>
      <c r="Q800" s="752"/>
      <c r="R800" s="752"/>
      <c r="S800" s="752"/>
      <c r="T800" s="752"/>
      <c r="U800" s="752"/>
      <c r="V800" s="752"/>
      <c r="W800" s="752"/>
      <c r="X800" s="752"/>
      <c r="Y800" s="752"/>
      <c r="Z800" s="752" t="s">
        <v>20</v>
      </c>
      <c r="AA800" s="752"/>
      <c r="AB800" s="752"/>
      <c r="AC800" s="754"/>
      <c r="AD800" s="752"/>
      <c r="AE800" s="752"/>
      <c r="AF800" s="752"/>
      <c r="AG800" s="752"/>
      <c r="AH800" s="752"/>
      <c r="AI800" s="752"/>
      <c r="AJ800" s="752"/>
      <c r="AK800" s="752"/>
      <c r="AL800" s="752"/>
      <c r="AM800" s="752"/>
      <c r="AN800" s="752"/>
      <c r="AO800" s="623"/>
      <c r="AP800" s="625" t="str">
        <f t="shared" ref="AP800:AP831" si="2517">IF($AL$3=1,IF(Y800=AB800,"","NE"),IF(AR800=$V$10,"NE",""))</f>
        <v/>
      </c>
      <c r="AQ800" s="625" t="str">
        <f>IF(AC800=$V$3,IF(VLOOKUP(C800,[1]List1!$A:$E,5,FALSE)=0,1,VLOOKUP(C800,[1]List1!$A:$E,5,FALSE)),"")</f>
        <v/>
      </c>
      <c r="AR800" s="629" t="str">
        <f t="shared" ref="AR800:AR831" si="2518">IF($AL$3=1,"",IF(OR(AB800&lt;&gt;"",AB800&lt;&gt;0),IF(OR(AC800=$V$6,AC800=$V$3,AC800=$V$9),$V$10,""),""))</f>
        <v/>
      </c>
      <c r="AS800" s="630" t="str">
        <f t="shared" ref="AS800:AS831" si="2519">IF(AT800&lt;&gt;"","X","")</f>
        <v/>
      </c>
      <c r="AT800" s="625" t="str">
        <f t="shared" ref="AT800:AT831" si="2520">IF(AND($AL$3=2,AR800="",AB800&lt;&gt;""),AD800,"")</f>
        <v/>
      </c>
      <c r="AU800" s="625" t="e">
        <f t="shared" ref="AU800:AU831" si="2521">IF(AT800=$AS$21,AB800,"")</f>
        <v>#N/A</v>
      </c>
      <c r="AV800" s="625" t="e">
        <f t="shared" ref="AV800:AV831" si="2522">IF(OR(AB800="",AND(AT800&lt;&gt;"",AU800&lt;&gt;"")),"",$V$10)</f>
        <v>#N/A</v>
      </c>
      <c r="AW800" s="631"/>
      <c r="AX800" s="631">
        <f>IF(AND('General price list'!$J800="F4",'General price list'!$AB800+0&gt;0),1,0)</f>
        <v>0</v>
      </c>
      <c r="AY800" s="631">
        <f t="shared" ref="AY800:AY831" si="2523">IFERROR(FIND(VLOOKUP($AC$7,$AD$1:$AE$12,2,FALSE),Q800,1),0)</f>
        <v>0</v>
      </c>
      <c r="AZ800" s="631">
        <f t="shared" ref="AZ800:AZ831" si="2524">IFERROR(FIND(VLOOKUP($AC$7,$AD$1:$AE$12,2,FALSE),R800,1),0)</f>
        <v>0</v>
      </c>
    </row>
    <row r="801" spans="1:52" ht="15" customHeight="1">
      <c r="A801" s="639" t="str">
        <f>Kat.!C801</f>
        <v/>
      </c>
      <c r="B801" s="640">
        <f>IF(AND('General price list'!$J801="F4",$AI$1=FALSE),0,IF(AC801="SKLADEM",1,IF(AC801=$V$3,1,0)))</f>
        <v>1</v>
      </c>
      <c r="C801" s="641" t="s">
        <v>12883</v>
      </c>
      <c r="D801" s="642" t="s">
        <v>12063</v>
      </c>
      <c r="E801" s="643" t="s">
        <v>12663</v>
      </c>
      <c r="F801" s="771">
        <f>IFERROR(VLOOKUP(C801,[2]List1!$A:$D,3,FALSE),"NEUVEDENO!")</f>
        <v>7154</v>
      </c>
      <c r="G801" s="768">
        <f t="shared" ref="G801:G804" si="2525">IF($W$17=$AF$8,ROUND((F801)/$F$17,2),(F801)*$B$19)</f>
        <v>7154</v>
      </c>
      <c r="H801" s="765">
        <f t="shared" ref="H801:H804" si="2526">IF($W$17=$AF$8,G801*$B$19,G801/$F$17)</f>
        <v>303.89145884042091</v>
      </c>
      <c r="I801" s="644">
        <f>IFERROR(VLOOKUP(C801,[2]List1!$A:$D,4,FALSE),"NEUVEDENO!")</f>
        <v>1</v>
      </c>
      <c r="J801" s="733" t="s">
        <v>39</v>
      </c>
      <c r="K801" s="645" t="s">
        <v>20</v>
      </c>
      <c r="L801" s="645"/>
      <c r="M801" s="645" t="s">
        <v>21</v>
      </c>
      <c r="N801" s="645">
        <f>IFERROR(VLOOKUP(C801,[3]List1!$A:$D,4,FALSE),"N/A!")</f>
        <v>9.6222000000000002E-2</v>
      </c>
      <c r="O801" s="645">
        <f>IFERROR(VLOOKUP(C801,[3]List1!$A:$D,3,FALSE),"N/A!")</f>
        <v>3835</v>
      </c>
      <c r="P801" s="645">
        <f>IFERROR(VLOOKUP(C801,[3]List1!$A:$D,2,FALSE),"N/A!")</f>
        <v>29000</v>
      </c>
      <c r="Q801" s="645" t="s">
        <v>15061</v>
      </c>
      <c r="R801" s="645"/>
      <c r="S801" s="645" t="str">
        <f>IF($W$17=$AF$1,"červená fólie",IFERROR(VLOOKUP("červená fólie",Jazyky_ceník!$A:$Q,MATCH($W$17,Jazyky_ceník!$A$1:$Q$1,0),FALSE),"!!!"))</f>
        <v>červená fólie</v>
      </c>
      <c r="T801" s="645">
        <v>210</v>
      </c>
      <c r="U801" s="645" t="s">
        <v>10746</v>
      </c>
      <c r="V801" s="645" t="s">
        <v>12790</v>
      </c>
      <c r="W801" s="645" t="str">
        <f>IFERROR(IF(AND($AB801&gt;=0.1*$AA801,MOD($AB801,$AA801)&gt;=($AA801-(0.1*$AA801))),IF($W$17=$AF$1,"Zvažte možnost doobjednání ještě "&amp;Tabulka1[[#This Row],[VKPAL]]-MOD(AB801,AA801)&amp;" VK do plné palety.",VLOOKUP("Zvažte možnost doobjednání ještě ",Jazyky_ceník!A:Q,MATCH($W$17,Jazyky_ceník!$A$1:$Q$1,0),FALSE)&amp;Tabulka1[[#This Row],[VKPAL]]-MOD(AB801,AA801)&amp;VLOOKUP(" VK do plné palety.",Jazyky_ceník!A:Q,MATCH($W$17,Jazyky_ceník!$A$1:$Q$1,0),FALSE)),IFERROR(IF(AND(NOT(MOD($AB801,$AA801)=0),$AB801&gt;=0.9*$AA801,MOD($AB801,$AA801)&lt;=0.1*$AA801),IF($W$17=$AF$1,"Zvažte možnost optimalizace objednaného množství podle počtu VK na paletě ==&gt;",VLOOKUP("Zvažte možnost optimalizace objednaného množství podle počtu VK na paletě ==&gt;",Jazyky_ceník!A:Q,MATCH($W$17,Jazyky_ceník!$A$1:$Q$1,0),FALSE)),VLOOKUP('General price list'!$C801,Popisy!A:M,MATCH($W$17,Popisy!$A$7:$M$7,0),FALSE)),"---------------")),IFERROR(VLOOKUP('General price list'!$C801,Popisy!A:M,MATCH($W$17,Popisy!$A$7:$M$7,0),FALSE),"---------------"))</f>
        <v>38 různobarevných efektů</v>
      </c>
      <c r="X801" s="645" t="str">
        <f t="shared" ref="X801:X804" si="2527">IF(AB801&lt;0.0001,"",AB801)</f>
        <v/>
      </c>
      <c r="Y801" s="645" t="str">
        <f t="shared" ref="Y801:Y804" si="2528">IF($AL$3=2,IF(OR(AB801&lt;&gt;"",AB801&lt;&gt;0),AU801,""),IF(C801="","",IF(AB801&lt;0.0001,"",IF(B801=0,"",IF(AQ801&lt;AB801,"",AB801)))))</f>
        <v/>
      </c>
      <c r="Z801" s="645" t="str">
        <f>HYPERLINK("https://www.klasekpyrotechnics.cz/c1-c2_c425mxm-c14")</f>
        <v>https://www.klasekpyrotechnics.cz/c1-c2_c425mxm-c14</v>
      </c>
      <c r="AA801" s="645">
        <f>IFERROR(IF(VLOOKUP(C801,[4]List1!$A:$D,4,FALSE)=0,"",VLOOKUP(C801,[4]List1!$A:$D,4,FALSE)),"")</f>
        <v>16</v>
      </c>
      <c r="AB801" s="646"/>
      <c r="AC801" s="647" t="str">
        <f>IFERROR(IF(VLOOKUP(C801,[1]List1!$A:$D,2,FALSE)="VYPRODÁNO",$V$9,IF(VLOOKUP(C801,[1]List1!$A:$D,2,FALSE)="DOCHÁZÍ",$V$3,VLOOKUP(C801,[1]List1!$A:$D,2,FALSE))),"OFFLINE!")</f>
        <v>SKLADEM</v>
      </c>
      <c r="AD801" s="647" t="str">
        <f ca="1">IF(AP801="NE",$V$10,IF(AC801=$V$3,IF(AQ801&lt;1,$V$8,$V$2&amp;" "&amp;AQ801&amp;" "&amp;$V$1),IF(AC801="SKLADEM",$V$6,IFERROR(IF(OR(AC801-TODAY()&gt;45,VLOOKUP(C801,[1]List1!$A:$E,4,FALSE)=0),AC801,DAY(AC801)&amp;"."&amp;MONTH(AC801)&amp;"."&amp;YEAR(AC801)&amp;" "&amp;$V$4&amp;VLOOKUP(C801,[1]List1!$A:$E,4,FALSE)&amp;" "&amp;$V$1),AC801))))</f>
        <v>SKLADEM</v>
      </c>
      <c r="AE801" s="645" t="str">
        <f t="shared" ref="AE801:AE804" ca="1" si="2529">IFERROR(IF(AV801&lt;&gt;"",AV801,AD801),AD801)</f>
        <v>SKLADEM</v>
      </c>
      <c r="AF801" s="648">
        <f t="shared" ref="AF801:AF804" si="2530">IFERROR(IF(AB801=Y801,G801*I801*Y801,0),0)</f>
        <v>0</v>
      </c>
      <c r="AG801" s="649">
        <f t="shared" ref="AG801:AG804" si="2531">IF($W$17=$AF$8,AH801*1.23,AF801*1.21)</f>
        <v>0</v>
      </c>
      <c r="AH801" s="650">
        <f t="shared" ref="AH801:AH804" si="2532">IFERROR(IF(Y801=AB801,H801*I801*Y801,0),0)</f>
        <v>0</v>
      </c>
      <c r="AI801" s="645">
        <f t="shared" ref="AI801:AI804" si="2533">IFERROR(IF(Y801=AB801,(P801*Y801)/1000,1),0)</f>
        <v>0</v>
      </c>
      <c r="AJ801" s="645">
        <f t="shared" ref="AJ801:AJ804" si="2534">IFERROR(IF(Y801=AB801,N801*Y801,0.1),0)</f>
        <v>0</v>
      </c>
      <c r="AK801" s="645" t="str">
        <f t="shared" ref="AK801:AK804" si="2535">IFERROR(IF(Y801=AB801,IF(M801="1.1G",(O801/1000)*Y801,""),""),0)</f>
        <v/>
      </c>
      <c r="AL801" s="645" t="str">
        <f t="shared" ref="AL801:AL804" si="2536">IFERROR(IF(Y801=AB801,IF(M801="1.3G",(O801/1000)*AB801,""),""),0)</f>
        <v/>
      </c>
      <c r="AM801" s="645">
        <f t="shared" ref="AM801:AM804" si="2537">IFERROR(IF(Y801=AB801,IF(M801="1.4G",(O801/1000)*AB801,""),""),0)</f>
        <v>0</v>
      </c>
      <c r="AN801" s="651">
        <f t="shared" ref="AN801:AN804" si="2538">SUM(AK801:AM801)</f>
        <v>0</v>
      </c>
      <c r="AO801" s="623"/>
      <c r="AP801" s="632" t="str">
        <f t="shared" si="2517"/>
        <v/>
      </c>
      <c r="AQ801" s="633" t="str">
        <f>IF(AC801=$V$3,IF(VLOOKUP(C801,[1]List1!$A:$E,5,FALSE)=0,1,VLOOKUP(C801,[1]List1!$A:$E,5,FALSE)),"")</f>
        <v/>
      </c>
      <c r="AR801" s="625" t="str">
        <f t="shared" si="2518"/>
        <v/>
      </c>
      <c r="AS801" s="634" t="str">
        <f t="shared" si="2519"/>
        <v/>
      </c>
      <c r="AT801" s="625" t="str">
        <f t="shared" si="2520"/>
        <v/>
      </c>
      <c r="AU801" s="638" t="e">
        <f t="shared" si="2521"/>
        <v>#N/A</v>
      </c>
      <c r="AV801" s="625" t="e">
        <f t="shared" si="2522"/>
        <v>#N/A</v>
      </c>
      <c r="AX801" s="625">
        <f>IF(AND('General price list'!$J801="F4",'General price list'!$AB801+0&gt;0),1,0)</f>
        <v>0</v>
      </c>
      <c r="AY801" s="625">
        <f t="shared" si="2523"/>
        <v>1</v>
      </c>
      <c r="AZ801" s="625">
        <f t="shared" si="2524"/>
        <v>0</v>
      </c>
    </row>
    <row r="802" spans="1:52" ht="15" customHeight="1">
      <c r="A802" s="621" t="str">
        <f>Kat.!C802</f>
        <v/>
      </c>
      <c r="B802" s="566">
        <f>IF(AND('General price list'!$J802="F4",$AI$1=FALSE),0,IF(AC802="SKLADEM",1,IF(AC802=$V$3,1,0)))</f>
        <v>1</v>
      </c>
      <c r="C802" s="567" t="s">
        <v>12884</v>
      </c>
      <c r="D802" s="568" t="s">
        <v>12065</v>
      </c>
      <c r="E802" s="763" t="s">
        <v>12663</v>
      </c>
      <c r="F802" s="772">
        <f>IFERROR(VLOOKUP(C802,[2]List1!$A:$D,3,FALSE),"NEUVEDENO!")</f>
        <v>7245</v>
      </c>
      <c r="G802" s="769">
        <f t="shared" si="2525"/>
        <v>7245</v>
      </c>
      <c r="H802" s="766">
        <f t="shared" si="2526"/>
        <v>307.75700577283328</v>
      </c>
      <c r="I802" s="764">
        <f>IFERROR(VLOOKUP(C802,[2]List1!$A:$D,4,FALSE),"NEUVEDENO!")</f>
        <v>1</v>
      </c>
      <c r="J802" s="732" t="s">
        <v>39</v>
      </c>
      <c r="K802" s="569" t="s">
        <v>20</v>
      </c>
      <c r="L802" s="569"/>
      <c r="M802" s="569" t="s">
        <v>21</v>
      </c>
      <c r="N802" s="569">
        <f>IFERROR(VLOOKUP(C802,[3]List1!$A:$D,4,FALSE),"N/A!")</f>
        <v>0.11544</v>
      </c>
      <c r="O802" s="569">
        <f>IFERROR(VLOOKUP(C802,[3]List1!$A:$D,3,FALSE),"N/A!")</f>
        <v>3992</v>
      </c>
      <c r="P802" s="569">
        <f>IFERROR(VLOOKUP(C802,[3]List1!$A:$D,2,FALSE),"N/A!")</f>
        <v>33000</v>
      </c>
      <c r="Q802" s="569" t="s">
        <v>15062</v>
      </c>
      <c r="R802" s="569"/>
      <c r="S802" s="569" t="str">
        <f>IF($W$17=$AF$1,"červená fólie",IFERROR(VLOOKUP("červená fólie",Jazyky_ceník!$A:$Q,MATCH($W$17,Jazyky_ceník!$A$1:$Q$1,0),FALSE),"!!!"))</f>
        <v>červená fólie</v>
      </c>
      <c r="T802" s="569">
        <v>100</v>
      </c>
      <c r="U802" s="569" t="s">
        <v>10746</v>
      </c>
      <c r="V802" s="569" t="s">
        <v>12790</v>
      </c>
      <c r="W802" s="569" t="str">
        <f>IFERROR(IF(AND($AB802&gt;=0.1*$AA802,MOD($AB802,$AA802)&gt;=($AA802-(0.1*$AA802))),IF($W$17=$AF$1,"Zvažte možnost doobjednání ještě "&amp;Tabulka1[[#This Row],[VKPAL]]-MOD(AB802,AA802)&amp;" VK do plné palety.",VLOOKUP("Zvažte možnost doobjednání ještě ",Jazyky_ceník!A:Q,MATCH($W$17,Jazyky_ceník!$A$1:$Q$1,0),FALSE)&amp;Tabulka1[[#This Row],[VKPAL]]-MOD(AB802,AA802)&amp;VLOOKUP(" VK do plné palety.",Jazyky_ceník!A:Q,MATCH($W$17,Jazyky_ceník!$A$1:$Q$1,0),FALSE)),IFERROR(IF(AND(NOT(MOD($AB802,$AA802)=0),$AB802&gt;=0.9*$AA802,MOD($AB802,$AA802)&lt;=0.1*$AA802),IF($W$17=$AF$1,"Zvažte možnost optimalizace objednaného množství podle počtu VK na paletě ==&gt;",VLOOKUP("Zvažte možnost optimalizace objednaného množství podle počtu VK na paletě ==&gt;",Jazyky_ceník!A:Q,MATCH($W$17,Jazyky_ceník!$A$1:$Q$1,0),FALSE)),VLOOKUP('General price list'!$C802,Popisy!A:M,MATCH($W$17,Popisy!$A$7:$M$7,0),FALSE)),"---------------")),IFERROR(VLOOKUP('General price list'!$C802,Popisy!A:M,MATCH($W$17,Popisy!$A$7:$M$7,0),FALSE),"---------------"))</f>
        <v>19 různobarevných efektů</v>
      </c>
      <c r="X802" s="569" t="str">
        <f t="shared" si="2527"/>
        <v/>
      </c>
      <c r="Y802" s="569" t="str">
        <f t="shared" si="2528"/>
        <v/>
      </c>
      <c r="Z802" s="569" t="str">
        <f>HYPERLINK("https://www.klasekpyrotechnics.cz/c3-c4_c234mxd-c14")</f>
        <v>https://www.klasekpyrotechnics.cz/c3-c4_c234mxd-c14</v>
      </c>
      <c r="AA802" s="569" t="str">
        <f>IFERROR(IF(VLOOKUP(C802,[4]List1!$A:$D,4,FALSE)=0,"",VLOOKUP(C802,[4]List1!$A:$D,4,FALSE)),"")</f>
        <v/>
      </c>
      <c r="AB802" s="565"/>
      <c r="AC802" s="570" t="str">
        <f>IFERROR(IF(VLOOKUP(C802,[1]List1!$A:$D,2,FALSE)="VYPRODÁNO",$V$9,IF(VLOOKUP(C802,[1]List1!$A:$D,2,FALSE)="DOCHÁZÍ",$V$3,VLOOKUP(C802,[1]List1!$A:$D,2,FALSE))),"OFFLINE!")</f>
        <v>SKLADEM</v>
      </c>
      <c r="AD802" s="570" t="str">
        <f ca="1">IF(AP802="NE",$V$10,IF(AC802=$V$3,IF(AQ802&lt;1,$V$8,$V$2&amp;" "&amp;AQ802&amp;" "&amp;$V$1),IF(AC802="SKLADEM",$V$6,IFERROR(IF(OR(AC802-TODAY()&gt;45,VLOOKUP(C802,[1]List1!$A:$E,4,FALSE)=0),AC802,DAY(AC802)&amp;"."&amp;MONTH(AC802)&amp;"."&amp;YEAR(AC802)&amp;" "&amp;$V$4&amp;VLOOKUP(C802,[1]List1!$A:$E,4,FALSE)&amp;" "&amp;$V$1),AC802))))</f>
        <v>SKLADEM</v>
      </c>
      <c r="AE802" s="581" t="str">
        <f t="shared" ca="1" si="2529"/>
        <v>SKLADEM</v>
      </c>
      <c r="AF802" s="584">
        <f t="shared" si="2530"/>
        <v>0</v>
      </c>
      <c r="AG802" s="585">
        <f t="shared" si="2531"/>
        <v>0</v>
      </c>
      <c r="AH802" s="583">
        <f t="shared" si="2532"/>
        <v>0</v>
      </c>
      <c r="AI802" s="582">
        <f t="shared" si="2533"/>
        <v>0</v>
      </c>
      <c r="AJ802" s="569">
        <f t="shared" si="2534"/>
        <v>0</v>
      </c>
      <c r="AK802" s="569" t="str">
        <f t="shared" si="2535"/>
        <v/>
      </c>
      <c r="AL802" s="569" t="str">
        <f t="shared" si="2536"/>
        <v/>
      </c>
      <c r="AM802" s="569">
        <f t="shared" si="2537"/>
        <v>0</v>
      </c>
      <c r="AN802" s="581">
        <f t="shared" si="2538"/>
        <v>0</v>
      </c>
      <c r="AO802" s="623"/>
      <c r="AP802" s="632" t="str">
        <f t="shared" si="2517"/>
        <v/>
      </c>
      <c r="AQ802" s="633" t="str">
        <f>IF(AC802=$V$3,IF(VLOOKUP(C802,[1]List1!$A:$E,5,FALSE)=0,1,VLOOKUP(C802,[1]List1!$A:$E,5,FALSE)),"")</f>
        <v/>
      </c>
      <c r="AR802" s="625" t="str">
        <f t="shared" si="2518"/>
        <v/>
      </c>
      <c r="AS802" s="634" t="str">
        <f t="shared" si="2519"/>
        <v/>
      </c>
      <c r="AT802" s="625" t="str">
        <f t="shared" si="2520"/>
        <v/>
      </c>
      <c r="AU802" s="638" t="e">
        <f t="shared" si="2521"/>
        <v>#N/A</v>
      </c>
      <c r="AV802" s="625" t="e">
        <f t="shared" si="2522"/>
        <v>#N/A</v>
      </c>
      <c r="AX802" s="625">
        <f>IF(AND('General price list'!$J802="F4",'General price list'!$AB802+0&gt;0),1,0)</f>
        <v>0</v>
      </c>
      <c r="AY802" s="625">
        <f t="shared" si="2523"/>
        <v>1</v>
      </c>
      <c r="AZ802" s="625">
        <f t="shared" si="2524"/>
        <v>0</v>
      </c>
    </row>
    <row r="803" spans="1:52" ht="15.75" customHeight="1">
      <c r="A803" s="639" t="str">
        <f>Kat.!C803</f>
        <v/>
      </c>
      <c r="B803" s="640">
        <f>IF(AND('General price list'!$J803="F4",$AI$1=FALSE),0,IF(AC803="SKLADEM",1,IF(AC803=$V$3,1,0)))</f>
        <v>1</v>
      </c>
      <c r="C803" s="641" t="s">
        <v>12885</v>
      </c>
      <c r="D803" s="642" t="s">
        <v>12067</v>
      </c>
      <c r="E803" s="643" t="s">
        <v>12663</v>
      </c>
      <c r="F803" s="771">
        <f>IFERROR(VLOOKUP(C803,[2]List1!$A:$D,3,FALSE),"NEUVEDENO!")</f>
        <v>7866</v>
      </c>
      <c r="G803" s="768">
        <f t="shared" si="2525"/>
        <v>7866</v>
      </c>
      <c r="H803" s="765">
        <f t="shared" si="2526"/>
        <v>334.13617769621897</v>
      </c>
      <c r="I803" s="644">
        <f>IFERROR(VLOOKUP(C803,[2]List1!$A:$D,4,FALSE),"NEUVEDENO!")</f>
        <v>1</v>
      </c>
      <c r="J803" s="733" t="s">
        <v>39</v>
      </c>
      <c r="K803" s="645" t="s">
        <v>20</v>
      </c>
      <c r="L803" s="645"/>
      <c r="M803" s="645" t="s">
        <v>21</v>
      </c>
      <c r="N803" s="645">
        <f>IFERROR(VLOOKUP(C803,[3]List1!$A:$D,4,FALSE),"N/A!")</f>
        <v>0</v>
      </c>
      <c r="O803" s="645">
        <f>IFERROR(VLOOKUP(C803,[3]List1!$A:$D,3,FALSE),"N/A!")</f>
        <v>3997</v>
      </c>
      <c r="P803" s="645">
        <f>IFERROR(VLOOKUP(C803,[3]List1!$A:$D,2,FALSE),"N/A!")</f>
        <v>35000</v>
      </c>
      <c r="Q803" s="645" t="s">
        <v>15063</v>
      </c>
      <c r="R803" s="645"/>
      <c r="S803" s="645" t="str">
        <f>IF($W$17=$AF$1,"červená fólie",IFERROR(VLOOKUP("červená fólie",Jazyky_ceník!$A:$Q,MATCH($W$17,Jazyky_ceník!$A$1:$Q$1,0),FALSE),"!!!"))</f>
        <v>červená fólie</v>
      </c>
      <c r="T803" s="645">
        <v>100</v>
      </c>
      <c r="U803" s="645" t="s">
        <v>10746</v>
      </c>
      <c r="V803" s="645" t="s">
        <v>12790</v>
      </c>
      <c r="W803" s="645" t="str">
        <f>IFERROR(IF(AND($AB803&gt;=0.1*$AA803,MOD($AB803,$AA803)&gt;=($AA803-(0.1*$AA803))),IF($W$17=$AF$1,"Zvažte možnost doobjednání ještě "&amp;Tabulka1[[#This Row],[VKPAL]]-MOD(AB803,AA803)&amp;" VK do plné palety.",VLOOKUP("Zvažte možnost doobjednání ještě ",Jazyky_ceník!A:Q,MATCH($W$17,Jazyky_ceník!$A$1:$Q$1,0),FALSE)&amp;Tabulka1[[#This Row],[VKPAL]]-MOD(AB803,AA803)&amp;VLOOKUP(" VK do plné palety.",Jazyky_ceník!A:Q,MATCH($W$17,Jazyky_ceník!$A$1:$Q$1,0),FALSE)),IFERROR(IF(AND(NOT(MOD($AB803,$AA803)=0),$AB803&gt;=0.9*$AA803,MOD($AB803,$AA803)&lt;=0.1*$AA803),IF($W$17=$AF$1,"Zvažte možnost optimalizace objednaného množství podle počtu VK na paletě ==&gt;",VLOOKUP("Zvažte možnost optimalizace objednaného množství podle počtu VK na paletě ==&gt;",Jazyky_ceník!A:Q,MATCH($W$17,Jazyky_ceník!$A$1:$Q$1,0),FALSE)),VLOOKUP('General price list'!$C803,Popisy!A:M,MATCH($W$17,Popisy!$A$7:$M$7,0),FALSE)),"---------------")),IFERROR(VLOOKUP('General price list'!$C803,Popisy!A:M,MATCH($W$17,Popisy!$A$7:$M$7,0),FALSE),"---------------"))</f>
        <v>25 různobarevných efektů</v>
      </c>
      <c r="X803" s="645" t="str">
        <f t="shared" si="2527"/>
        <v/>
      </c>
      <c r="Y803" s="645" t="str">
        <f t="shared" si="2528"/>
        <v/>
      </c>
      <c r="Z803" s="645" t="str">
        <f>HYPERLINK("https://www.klasekpyrotechnics.cz/c5-c6_c303mxn-c14")</f>
        <v>https://www.klasekpyrotechnics.cz/c5-c6_c303mxn-c14</v>
      </c>
      <c r="AA803" s="645" t="str">
        <f>IFERROR(IF(VLOOKUP(C803,[4]List1!$A:$D,4,FALSE)=0,"",VLOOKUP(C803,[4]List1!$A:$D,4,FALSE)),"")</f>
        <v/>
      </c>
      <c r="AB803" s="646"/>
      <c r="AC803" s="647" t="str">
        <f>IFERROR(IF(VLOOKUP(C803,[1]List1!$A:$D,2,FALSE)="VYPRODÁNO",$V$9,IF(VLOOKUP(C803,[1]List1!$A:$D,2,FALSE)="DOCHÁZÍ",$V$3,VLOOKUP(C803,[1]List1!$A:$D,2,FALSE))),"OFFLINE!")</f>
        <v>SKLADEM</v>
      </c>
      <c r="AD803" s="647" t="str">
        <f ca="1">IF(AP803="NE",$V$10,IF(AC803=$V$3,IF(AQ803&lt;1,$V$8,$V$2&amp;" "&amp;AQ803&amp;" "&amp;$V$1),IF(AC803="SKLADEM",$V$6,IFERROR(IF(OR(AC803-TODAY()&gt;45,VLOOKUP(C803,[1]List1!$A:$E,4,FALSE)=0),AC803,DAY(AC803)&amp;"."&amp;MONTH(AC803)&amp;"."&amp;YEAR(AC803)&amp;" "&amp;$V$4&amp;VLOOKUP(C803,[1]List1!$A:$E,4,FALSE)&amp;" "&amp;$V$1),AC803))))</f>
        <v>SKLADEM</v>
      </c>
      <c r="AE803" s="645" t="str">
        <f t="shared" ca="1" si="2529"/>
        <v>SKLADEM</v>
      </c>
      <c r="AF803" s="648">
        <f t="shared" si="2530"/>
        <v>0</v>
      </c>
      <c r="AG803" s="649">
        <f t="shared" si="2531"/>
        <v>0</v>
      </c>
      <c r="AH803" s="650">
        <f t="shared" si="2532"/>
        <v>0</v>
      </c>
      <c r="AI803" s="645">
        <f t="shared" si="2533"/>
        <v>0</v>
      </c>
      <c r="AJ803" s="645">
        <f t="shared" si="2534"/>
        <v>0</v>
      </c>
      <c r="AK803" s="645" t="str">
        <f t="shared" si="2535"/>
        <v/>
      </c>
      <c r="AL803" s="645" t="str">
        <f t="shared" si="2536"/>
        <v/>
      </c>
      <c r="AM803" s="645">
        <f t="shared" si="2537"/>
        <v>0</v>
      </c>
      <c r="AN803" s="651">
        <f t="shared" si="2538"/>
        <v>0</v>
      </c>
      <c r="AO803" s="623"/>
      <c r="AP803" s="625" t="str">
        <f t="shared" si="2517"/>
        <v/>
      </c>
      <c r="AQ803" s="625" t="str">
        <f>IF(AC803=$V$3,IF(VLOOKUP(C803,[1]List1!$A:$E,5,FALSE)=0,1,VLOOKUP(C803,[1]List1!$A:$E,5,FALSE)),"")</f>
        <v/>
      </c>
      <c r="AR803" s="629" t="str">
        <f t="shared" si="2518"/>
        <v/>
      </c>
      <c r="AS803" s="630" t="str">
        <f t="shared" si="2519"/>
        <v/>
      </c>
      <c r="AT803" s="625" t="str">
        <f t="shared" si="2520"/>
        <v/>
      </c>
      <c r="AU803" s="625" t="e">
        <f t="shared" si="2521"/>
        <v>#N/A</v>
      </c>
      <c r="AV803" s="625" t="e">
        <f t="shared" si="2522"/>
        <v>#N/A</v>
      </c>
      <c r="AW803" s="631"/>
      <c r="AX803" s="631">
        <f>IF(AND('General price list'!$J803="F4",'General price list'!$AB803+0&gt;0),1,0)</f>
        <v>0</v>
      </c>
      <c r="AY803" s="631">
        <f t="shared" si="2523"/>
        <v>1</v>
      </c>
      <c r="AZ803" s="631">
        <f t="shared" si="2524"/>
        <v>0</v>
      </c>
    </row>
    <row r="804" spans="1:52" ht="15" customHeight="1">
      <c r="A804" s="621" t="str">
        <f>Kat.!C804</f>
        <v/>
      </c>
      <c r="B804" s="566">
        <f>IF(AND('General price list'!$J804="F4",$AI$1=FALSE),0,IF(AC804="SKLADEM",1,IF(AC804=$V$3,1,0)))</f>
        <v>0</v>
      </c>
      <c r="C804" s="641" t="s">
        <v>12886</v>
      </c>
      <c r="D804" s="568" t="s">
        <v>12571</v>
      </c>
      <c r="E804" s="763" t="s">
        <v>12663</v>
      </c>
      <c r="F804" s="772">
        <f>IFERROR(VLOOKUP(C804,[2]List1!$A:$D,3,FALSE),"NEUVEDENO!")</f>
        <v>10099</v>
      </c>
      <c r="G804" s="769">
        <f t="shared" si="2525"/>
        <v>10099</v>
      </c>
      <c r="H804" s="766">
        <f t="shared" si="2526"/>
        <v>428.99075242233863</v>
      </c>
      <c r="I804" s="764">
        <f>IFERROR(VLOOKUP(C804,[2]List1!$A:$D,4,FALSE),"NEUVEDENO!")</f>
        <v>1</v>
      </c>
      <c r="J804" s="732" t="s">
        <v>39</v>
      </c>
      <c r="K804" s="569">
        <v>4</v>
      </c>
      <c r="L804" s="569"/>
      <c r="M804" s="569" t="s">
        <v>21</v>
      </c>
      <c r="N804" s="569">
        <f>IFERROR(VLOOKUP(C804,[3]List1!$A:$D,4,FALSE),"N/A!")</f>
        <v>0.12859199999999998</v>
      </c>
      <c r="O804" s="569">
        <f>IFERROR(VLOOKUP(C804,[3]List1!$A:$D,3,FALSE),"N/A!")</f>
        <v>3996</v>
      </c>
      <c r="P804" s="569">
        <f>IFERROR(VLOOKUP(C804,[3]List1!$A:$D,2,FALSE),"N/A!")</f>
        <v>44000</v>
      </c>
      <c r="Q804" s="569" t="s">
        <v>15075</v>
      </c>
      <c r="R804" s="569"/>
      <c r="S804" s="569" t="str">
        <f>IF($W$17=$AF$1,"červená fólie",IFERROR(VLOOKUP("červená fólie",Jazyky_ceník!$A:$Q,MATCH($W$17,Jazyky_ceník!$A$1:$Q$1,0),FALSE),"!!!"))</f>
        <v>červená fólie</v>
      </c>
      <c r="T804" s="569">
        <v>460</v>
      </c>
      <c r="U804" s="569" t="s">
        <v>10746</v>
      </c>
      <c r="V804" s="569" t="s">
        <v>12790</v>
      </c>
      <c r="W804" s="569" t="str">
        <f>IFERROR(IF(AND($AB804&gt;=0.1*$AA804,MOD($AB804,$AA804)&gt;=($AA804-(0.1*$AA804))),IF($W$17=$AF$1,"Zvažte možnost doobjednání ještě "&amp;Tabulka1[[#This Row],[VKPAL]]-MOD(AB804,AA804)&amp;" VK do plné palety.",VLOOKUP("Zvažte možnost doobjednání ještě ",Jazyky_ceník!A:Q,MATCH($W$17,Jazyky_ceník!$A$1:$Q$1,0),FALSE)&amp;Tabulka1[[#This Row],[VKPAL]]-MOD(AB804,AA804)&amp;VLOOKUP(" VK do plné palety.",Jazyky_ceník!A:Q,MATCH($W$17,Jazyky_ceník!$A$1:$Q$1,0),FALSE)),IFERROR(IF(AND(NOT(MOD($AB804,$AA804)=0),$AB804&gt;=0.9*$AA804,MOD($AB804,$AA804)&lt;=0.1*$AA804),IF($W$17=$AF$1,"Zvažte možnost optimalizace objednaného množství podle počtu VK na paletě ==&gt;",VLOOKUP("Zvažte možnost optimalizace objednaného množství podle počtu VK na paletě ==&gt;",Jazyky_ceník!A:Q,MATCH($W$17,Jazyky_ceník!$A$1:$Q$1,0),FALSE)),VLOOKUP('General price list'!$C804,Popisy!A:M,MATCH($W$17,Popisy!$A$7:$M$7,0),FALSE)),"---------------")),IFERROR(VLOOKUP('General price list'!$C804,Popisy!A:M,MATCH($W$17,Popisy!$A$7:$M$7,0),FALSE),"---------------"))</f>
        <v>50 různobarevných efektů</v>
      </c>
      <c r="X804" s="569" t="str">
        <f t="shared" si="2527"/>
        <v/>
      </c>
      <c r="Y804" s="569" t="str">
        <f t="shared" si="2528"/>
        <v/>
      </c>
      <c r="Z804" s="569" t="str">
        <f>HYPERLINK("https://www.klasekpyrotechnics.cz/c1-c2_c632mxn-c14")</f>
        <v>https://www.klasekpyrotechnics.cz/c1-c2_c632mxn-c14</v>
      </c>
      <c r="AA804" s="569" t="str">
        <f>IFERROR(IF(VLOOKUP(C804,[4]List1!$A:$D,4,FALSE)=0,"",VLOOKUP(C804,[4]List1!$A:$D,4,FALSE)),"")</f>
        <v/>
      </c>
      <c r="AB804" s="565"/>
      <c r="AC804" s="570" t="str">
        <f>IFERROR(IF(VLOOKUP(C804,[1]List1!$A:$D,2,FALSE)="VYPRODÁNO",$V$9,IF(VLOOKUP(C804,[1]List1!$A:$D,2,FALSE)="DOCHÁZÍ",$V$3,VLOOKUP(C804,[1]List1!$A:$D,2,FALSE))),"OFFLINE!")</f>
        <v>31.08.2026</v>
      </c>
      <c r="AD804" s="570" t="str">
        <f ca="1">IF(AP804="NE",$V$10,IF(AC804=$V$3,IF(AQ804&lt;1,$V$8,$V$2&amp;" "&amp;AQ804&amp;" "&amp;$V$1),IF(AC804="SKLADEM",$V$6,IFERROR(IF(OR(AC804-TODAY()&gt;45,VLOOKUP(C804,[1]List1!$A:$E,4,FALSE)=0),AC804,DAY(AC804)&amp;"."&amp;MONTH(AC804)&amp;"."&amp;YEAR(AC804)&amp;" "&amp;$V$4&amp;VLOOKUP(C804,[1]List1!$A:$E,4,FALSE)&amp;" "&amp;$V$1),AC804))))</f>
        <v>31.08.2026</v>
      </c>
      <c r="AE804" s="581" t="str">
        <f t="shared" ca="1" si="2529"/>
        <v>31.08.2026</v>
      </c>
      <c r="AF804" s="584">
        <f t="shared" si="2530"/>
        <v>0</v>
      </c>
      <c r="AG804" s="585">
        <f t="shared" si="2531"/>
        <v>0</v>
      </c>
      <c r="AH804" s="583">
        <f t="shared" si="2532"/>
        <v>0</v>
      </c>
      <c r="AI804" s="582">
        <f t="shared" si="2533"/>
        <v>0</v>
      </c>
      <c r="AJ804" s="569">
        <f t="shared" si="2534"/>
        <v>0</v>
      </c>
      <c r="AK804" s="569" t="str">
        <f t="shared" si="2535"/>
        <v/>
      </c>
      <c r="AL804" s="569" t="str">
        <f t="shared" si="2536"/>
        <v/>
      </c>
      <c r="AM804" s="569">
        <f t="shared" si="2537"/>
        <v>0</v>
      </c>
      <c r="AN804" s="581">
        <f t="shared" si="2538"/>
        <v>0</v>
      </c>
      <c r="AO804" s="623"/>
      <c r="AP804" s="632" t="str">
        <f t="shared" si="2517"/>
        <v/>
      </c>
      <c r="AQ804" s="633" t="str">
        <f>IF(AC804=$V$3,IF(VLOOKUP(C804,[1]List1!$A:$E,5,FALSE)=0,1,VLOOKUP(C804,[1]List1!$A:$E,5,FALSE)),"")</f>
        <v/>
      </c>
      <c r="AR804" s="625" t="str">
        <f t="shared" si="2518"/>
        <v/>
      </c>
      <c r="AS804" s="634" t="str">
        <f t="shared" si="2519"/>
        <v/>
      </c>
      <c r="AT804" s="625" t="str">
        <f t="shared" si="2520"/>
        <v/>
      </c>
      <c r="AU804" s="638" t="e">
        <f t="shared" si="2521"/>
        <v>#N/A</v>
      </c>
      <c r="AV804" s="625" t="e">
        <f t="shared" si="2522"/>
        <v>#N/A</v>
      </c>
      <c r="AX804" s="625">
        <f>IF(AND('General price list'!$J804="F4",'General price list'!$AB804+0&gt;0),1,0)</f>
        <v>0</v>
      </c>
      <c r="AY804" s="625">
        <f t="shared" si="2523"/>
        <v>1</v>
      </c>
      <c r="AZ804" s="625">
        <f t="shared" si="2524"/>
        <v>0</v>
      </c>
    </row>
    <row r="805" spans="1:52" ht="15" customHeight="1">
      <c r="A805" s="751" t="str">
        <f>Kat.!C805</f>
        <v xml:space="preserve">           Složený ohňostroj, multikaliber (20–30 mm) F3 – 1.3G</v>
      </c>
      <c r="B805" s="751"/>
      <c r="C805" s="751"/>
      <c r="D805" s="751"/>
      <c r="E805" s="751"/>
      <c r="F805" s="751"/>
      <c r="G805" s="751"/>
      <c r="H805" s="751"/>
      <c r="I805" s="752"/>
      <c r="J805" s="752"/>
      <c r="K805" s="752" t="s">
        <v>20</v>
      </c>
      <c r="L805" s="753" t="s">
        <v>20</v>
      </c>
      <c r="M805" s="752"/>
      <c r="N805" s="752"/>
      <c r="O805" s="752"/>
      <c r="P805" s="752"/>
      <c r="Q805" s="752"/>
      <c r="R805" s="752"/>
      <c r="S805" s="752"/>
      <c r="T805" s="752"/>
      <c r="U805" s="752"/>
      <c r="V805" s="752"/>
      <c r="W805" s="752"/>
      <c r="X805" s="752"/>
      <c r="Y805" s="752"/>
      <c r="Z805" s="752" t="s">
        <v>20</v>
      </c>
      <c r="AA805" s="752"/>
      <c r="AB805" s="752"/>
      <c r="AC805" s="754"/>
      <c r="AD805" s="752"/>
      <c r="AE805" s="752"/>
      <c r="AF805" s="752"/>
      <c r="AG805" s="752"/>
      <c r="AH805" s="752"/>
      <c r="AI805" s="752"/>
      <c r="AJ805" s="752"/>
      <c r="AK805" s="752"/>
      <c r="AL805" s="752"/>
      <c r="AM805" s="752"/>
      <c r="AN805" s="752"/>
      <c r="AO805" s="623"/>
      <c r="AP805" s="632" t="str">
        <f t="shared" si="2517"/>
        <v/>
      </c>
      <c r="AQ805" s="633" t="str">
        <f>IF(AC805=$V$3,IF(VLOOKUP(C805,[1]List1!$A:$E,5,FALSE)=0,1,VLOOKUP(C805,[1]List1!$A:$E,5,FALSE)),"")</f>
        <v/>
      </c>
      <c r="AR805" s="625" t="str">
        <f t="shared" si="2518"/>
        <v/>
      </c>
      <c r="AS805" s="634" t="str">
        <f t="shared" si="2519"/>
        <v/>
      </c>
      <c r="AT805" s="625" t="str">
        <f t="shared" si="2520"/>
        <v/>
      </c>
      <c r="AU805" s="638" t="e">
        <f t="shared" si="2521"/>
        <v>#N/A</v>
      </c>
      <c r="AV805" s="625" t="e">
        <f t="shared" si="2522"/>
        <v>#N/A</v>
      </c>
      <c r="AX805" s="625">
        <f>IF(AND('General price list'!$J805="F4",'General price list'!$AB805+0&gt;0),1,0)</f>
        <v>0</v>
      </c>
      <c r="AY805" s="625">
        <f t="shared" si="2523"/>
        <v>0</v>
      </c>
      <c r="AZ805" s="625">
        <f t="shared" si="2524"/>
        <v>0</v>
      </c>
    </row>
    <row r="806" spans="1:52" ht="15.75" customHeight="1">
      <c r="A806" s="639" t="str">
        <f>Kat.!C806</f>
        <v/>
      </c>
      <c r="B806" s="640">
        <f>IF(AND('General price list'!$J806="F4",$AI$1=FALSE),0,IF(AC806="SKLADEM",1,IF(AC806=$V$3,1,0)))</f>
        <v>1</v>
      </c>
      <c r="C806" s="641" t="s">
        <v>1508</v>
      </c>
      <c r="D806" s="642" t="s">
        <v>9493</v>
      </c>
      <c r="E806" s="643" t="s">
        <v>12663</v>
      </c>
      <c r="F806" s="771">
        <f>IFERROR(VLOOKUP(C806,[2]List1!$A:$D,3,FALSE),"NEUVEDENO!")</f>
        <v>3558</v>
      </c>
      <c r="G806" s="768">
        <f t="shared" ref="G806:G809" si="2539">IF($W$17=$AF$8,ROUND((F806)/$F$17,2),(F806)*$B$19)</f>
        <v>3558</v>
      </c>
      <c r="H806" s="765">
        <f t="shared" ref="H806:H809" si="2540">IF($W$17=$AF$8,G806*$B$19,G806/$F$17)</f>
        <v>151.13863720355292</v>
      </c>
      <c r="I806" s="644">
        <f>IFERROR(VLOOKUP(C806,[2]List1!$A:$D,4,FALSE),"NEUVEDENO!")</f>
        <v>1</v>
      </c>
      <c r="J806" s="733" t="s">
        <v>113</v>
      </c>
      <c r="K806" s="645" t="s">
        <v>20</v>
      </c>
      <c r="L806" s="645" t="s">
        <v>20</v>
      </c>
      <c r="M806" s="645" t="s">
        <v>114</v>
      </c>
      <c r="N806" s="645">
        <f>IFERROR(VLOOKUP(C806,[3]List1!$A:$D,4,FALSE),"N/A!")</f>
        <v>4.7774999999999998E-2</v>
      </c>
      <c r="O806" s="645">
        <f>IFERROR(VLOOKUP(C806,[3]List1!$A:$D,3,FALSE),"N/A!")</f>
        <v>1990</v>
      </c>
      <c r="P806" s="645">
        <f>IFERROR(VLOOKUP(C806,[3]List1!$A:$D,2,FALSE),"N/A!")</f>
        <v>17800</v>
      </c>
      <c r="Q806" s="645" t="s">
        <v>11333</v>
      </c>
      <c r="R806" s="645"/>
      <c r="S806" s="645" t="str">
        <f>IF($W$17=$AF$1,"červená fólie",IFERROR(VLOOKUP("červená fólie",Jazyky_ceník!$A:$Q,MATCH($W$17,Jazyky_ceník!$A$1:$Q$1,0),FALSE),"!!!"))</f>
        <v>červená fólie</v>
      </c>
      <c r="T806" s="645">
        <v>160</v>
      </c>
      <c r="U806" s="645" t="s">
        <v>10746</v>
      </c>
      <c r="V806" s="645" t="s">
        <v>10747</v>
      </c>
      <c r="W806" s="645" t="str">
        <f>IFERROR(IF(AND($AB806&gt;=0.1*$AA806,MOD($AB806,$AA806)&gt;=($AA806-(0.1*$AA806))),IF($W$17=$AF$1,"Zvažte možnost doobjednání ještě "&amp;Tabulka1[[#This Row],[VKPAL]]-MOD(AB806,AA806)&amp;" VK do plné palety.",VLOOKUP("Zvažte možnost doobjednání ještě ",Jazyky_ceník!A:Q,MATCH($W$17,Jazyky_ceník!$A$1:$Q$1,0),FALSE)&amp;Tabulka1[[#This Row],[VKPAL]]-MOD(AB806,AA806)&amp;VLOOKUP(" VK do plné palety.",Jazyky_ceník!A:Q,MATCH($W$17,Jazyky_ceník!$A$1:$Q$1,0),FALSE)),IFERROR(IF(AND(NOT(MOD($AB806,$AA806)=0),$AB806&gt;=0.9*$AA806,MOD($AB806,$AA806)&lt;=0.1*$AA806),IF($W$17=$AF$1,"Zvažte možnost optimalizace objednaného množství podle počtu VK na paletě ==&gt;",VLOOKUP("Zvažte možnost optimalizace objednaného množství podle počtu VK na paletě ==&gt;",Jazyky_ceník!A:Q,MATCH($W$17,Jazyky_ceník!$A$1:$Q$1,0),FALSE)),VLOOKUP('General price list'!$C806,Popisy!A:M,MATCH($W$17,Popisy!$A$7:$M$7,0),FALSE)),"---------------")),IFERROR(VLOOKUP('General price list'!$C806,Popisy!A:M,MATCH($W$17,Popisy!$A$7:$M$7,0),FALSE),"---------------"))</f>
        <v>24 různobarevných efektů</v>
      </c>
      <c r="X806" s="645" t="str">
        <f t="shared" ref="X806:X809" si="2541">IF(AB806&lt;0.0001,"",AB806)</f>
        <v/>
      </c>
      <c r="Y806" s="645" t="str">
        <f t="shared" ref="Y806:Y809" si="2542">IF($AL$3=2,IF(OR(AB806&lt;&gt;"",AB806&lt;&gt;0),AU806,""),IF(C806="","",IF(AB806&lt;0.0001,"",IF(B806=0,"",IF(AQ806&lt;AB806,"",AB806)))))</f>
        <v/>
      </c>
      <c r="Z806" s="645" t="str">
        <f>HYPERLINK("https://www.klasekpyrotechnics.cz/c212mf-c")</f>
        <v>https://www.klasekpyrotechnics.cz/c212mf-c</v>
      </c>
      <c r="AA806" s="645">
        <f>IFERROR(IF(VLOOKUP(C806,[4]List1!$A:$D,4,FALSE)=0,"",VLOOKUP(C806,[4]List1!$A:$D,4,FALSE)),"")</f>
        <v>24</v>
      </c>
      <c r="AB806" s="646"/>
      <c r="AC806" s="647" t="str">
        <f>IFERROR(IF(VLOOKUP(C806,[1]List1!$A:$D,2,FALSE)="VYPRODÁNO",$V$9,IF(VLOOKUP(C806,[1]List1!$A:$D,2,FALSE)="DOCHÁZÍ",$V$3,VLOOKUP(C806,[1]List1!$A:$D,2,FALSE))),"OFFLINE!")</f>
        <v>SKLADEM</v>
      </c>
      <c r="AD806" s="647" t="str">
        <f ca="1">IF(AP806="NE",$V$10,IF(AC806=$V$3,IF(AQ806&lt;1,$V$8,$V$2&amp;" "&amp;AQ806&amp;" "&amp;$V$1),IF(AC806="SKLADEM",$V$6,IFERROR(IF(OR(AC806-TODAY()&gt;45,VLOOKUP(C806,[1]List1!$A:$E,4,FALSE)=0),AC806,DAY(AC806)&amp;"."&amp;MONTH(AC806)&amp;"."&amp;YEAR(AC806)&amp;" "&amp;$V$4&amp;VLOOKUP(C806,[1]List1!$A:$E,4,FALSE)&amp;" "&amp;$V$1),AC806))))</f>
        <v>SKLADEM</v>
      </c>
      <c r="AE806" s="645" t="str">
        <f t="shared" ref="AE806:AE809" ca="1" si="2543">IFERROR(IF(AV806&lt;&gt;"",AV806,AD806),AD806)</f>
        <v>SKLADEM</v>
      </c>
      <c r="AF806" s="648">
        <f t="shared" ref="AF806:AF809" si="2544">IFERROR(IF(AB806=Y806,G806*I806*Y806,0),0)</f>
        <v>0</v>
      </c>
      <c r="AG806" s="649">
        <f t="shared" ref="AG806:AG809" si="2545">IF($W$17=$AF$8,AH806*1.23,AF806*1.21)</f>
        <v>0</v>
      </c>
      <c r="AH806" s="650">
        <f t="shared" ref="AH806:AH809" si="2546">IFERROR(IF(Y806=AB806,H806*I806*Y806,0),0)</f>
        <v>0</v>
      </c>
      <c r="AI806" s="645">
        <f t="shared" ref="AI806:AI809" si="2547">IFERROR(IF(Y806=AB806,(P806*Y806)/1000,1),0)</f>
        <v>0</v>
      </c>
      <c r="AJ806" s="645">
        <f t="shared" ref="AJ806:AJ809" si="2548">IFERROR(IF(Y806=AB806,N806*Y806,0.1),0)</f>
        <v>0</v>
      </c>
      <c r="AK806" s="645" t="str">
        <f t="shared" ref="AK806:AK809" si="2549">IFERROR(IF(Y806=AB806,IF(M806="1.1G",(O806/1000)*Y806,""),""),0)</f>
        <v/>
      </c>
      <c r="AL806" s="645">
        <f t="shared" ref="AL806:AL809" si="2550">IFERROR(IF(Y806=AB806,IF(M806="1.3G",(O806/1000)*AB806,""),""),0)</f>
        <v>0</v>
      </c>
      <c r="AM806" s="645" t="str">
        <f t="shared" ref="AM806:AM809" si="2551">IFERROR(IF(Y806=AB806,IF(M806="1.4G",(O806/1000)*AB806,""),""),0)</f>
        <v/>
      </c>
      <c r="AN806" s="651">
        <f t="shared" ref="AN806:AN809" si="2552">SUM(AK806:AM806)</f>
        <v>0</v>
      </c>
      <c r="AO806" s="623"/>
      <c r="AP806" s="625" t="str">
        <f t="shared" si="2517"/>
        <v/>
      </c>
      <c r="AQ806" s="625" t="str">
        <f>IF(AC806=$V$3,IF(VLOOKUP(C806,[1]List1!$A:$E,5,FALSE)=0,1,VLOOKUP(C806,[1]List1!$A:$E,5,FALSE)),"")</f>
        <v/>
      </c>
      <c r="AR806" s="629" t="str">
        <f t="shared" si="2518"/>
        <v/>
      </c>
      <c r="AS806" s="630" t="str">
        <f t="shared" si="2519"/>
        <v/>
      </c>
      <c r="AT806" s="625" t="str">
        <f t="shared" si="2520"/>
        <v/>
      </c>
      <c r="AU806" s="625" t="e">
        <f t="shared" si="2521"/>
        <v>#N/A</v>
      </c>
      <c r="AV806" s="625" t="e">
        <f t="shared" si="2522"/>
        <v>#N/A</v>
      </c>
      <c r="AW806" s="631"/>
      <c r="AX806" s="631">
        <f>IF(AND('General price list'!$J806="F4",'General price list'!$AB806+0&gt;0),1,0)</f>
        <v>0</v>
      </c>
      <c r="AY806" s="631">
        <f t="shared" si="2523"/>
        <v>1</v>
      </c>
      <c r="AZ806" s="631">
        <f t="shared" si="2524"/>
        <v>0</v>
      </c>
    </row>
    <row r="807" spans="1:52" ht="15" customHeight="1">
      <c r="A807" s="621" t="str">
        <f>Kat.!C807</f>
        <v/>
      </c>
      <c r="B807" s="566">
        <f>IF(AND('General price list'!$J807="F4",$AI$1=FALSE),0,IF(AC807="SKLADEM",1,IF(AC807=$V$3,1,0)))</f>
        <v>1</v>
      </c>
      <c r="C807" s="567" t="s">
        <v>2334</v>
      </c>
      <c r="D807" s="568" t="s">
        <v>12431</v>
      </c>
      <c r="E807" s="763" t="s">
        <v>12663</v>
      </c>
      <c r="F807" s="772">
        <f>IFERROR(VLOOKUP(C807,[2]List1!$A:$D,3,FALSE),"NEUVEDENO!")</f>
        <v>5999</v>
      </c>
      <c r="G807" s="769">
        <f t="shared" si="2539"/>
        <v>5999</v>
      </c>
      <c r="H807" s="766">
        <f t="shared" si="2540"/>
        <v>254.8287477751866</v>
      </c>
      <c r="I807" s="764">
        <f>IFERROR(VLOOKUP(C807,[2]List1!$A:$D,4,FALSE),"NEUVEDENO!")</f>
        <v>1</v>
      </c>
      <c r="J807" s="732" t="s">
        <v>113</v>
      </c>
      <c r="K807" s="569" t="s">
        <v>20</v>
      </c>
      <c r="L807" s="569" t="s">
        <v>20</v>
      </c>
      <c r="M807" s="569" t="s">
        <v>114</v>
      </c>
      <c r="N807" s="569">
        <f>IFERROR(VLOOKUP(C807,[3]List1!$A:$D,4,FALSE),"N/A!")</f>
        <v>9.3761499999999998E-2</v>
      </c>
      <c r="O807" s="569">
        <f>IFERROR(VLOOKUP(C807,[3]List1!$A:$D,3,FALSE),"N/A!")</f>
        <v>4000</v>
      </c>
      <c r="P807" s="569">
        <f>IFERROR(VLOOKUP(C807,[3]List1!$A:$D,2,FALSE),"N/A!")</f>
        <v>30000</v>
      </c>
      <c r="Q807" s="569" t="s">
        <v>12784</v>
      </c>
      <c r="R807" s="569"/>
      <c r="S807" s="569" t="str">
        <f>IF($W$17=$AF$1,"červená fólie",IFERROR(VLOOKUP("červená fólie",Jazyky_ceník!$A:$Q,MATCH($W$17,Jazyky_ceník!$A$1:$Q$1,0),FALSE),"!!!"))</f>
        <v>červená fólie</v>
      </c>
      <c r="T807" s="569">
        <v>110</v>
      </c>
      <c r="U807" s="569" t="s">
        <v>10756</v>
      </c>
      <c r="V807" s="569" t="s">
        <v>10757</v>
      </c>
      <c r="W807" s="569" t="str">
        <f>IFERROR(IF(AND($AB807&gt;=0.1*$AA807,MOD($AB807,$AA807)&gt;=($AA807-(0.1*$AA807))),IF($W$17=$AF$1,"Zvažte možnost doobjednání ještě "&amp;Tabulka1[[#This Row],[VKPAL]]-MOD(AB807,AA807)&amp;" VK do plné palety.",VLOOKUP("Zvažte možnost doobjednání ještě ",Jazyky_ceník!A:Q,MATCH($W$17,Jazyky_ceník!$A$1:$Q$1,0),FALSE)&amp;Tabulka1[[#This Row],[VKPAL]]-MOD(AB807,AA807)&amp;VLOOKUP(" VK do plné palety.",Jazyky_ceník!A:Q,MATCH($W$17,Jazyky_ceník!$A$1:$Q$1,0),FALSE)),IFERROR(IF(AND(NOT(MOD($AB807,$AA807)=0),$AB807&gt;=0.9*$AA807,MOD($AB807,$AA807)&lt;=0.1*$AA807),IF($W$17=$AF$1,"Zvažte možnost optimalizace objednaného množství podle počtu VK na paletě ==&gt;",VLOOKUP("Zvažte možnost optimalizace objednaného množství podle počtu VK na paletě ==&gt;",Jazyky_ceník!A:Q,MATCH($W$17,Jazyky_ceník!$A$1:$Q$1,0),FALSE)),VLOOKUP('General price list'!$C807,Popisy!A:M,MATCH($W$17,Popisy!$A$7:$M$7,0),FALSE)),"---------------")),IFERROR(VLOOKUP('General price list'!$C807,Popisy!A:M,MATCH($W$17,Popisy!$A$7:$M$7,0),FALSE),"---------------"))</f>
        <v>24 různobarevných efektů</v>
      </c>
      <c r="X807" s="569" t="str">
        <f t="shared" si="2541"/>
        <v/>
      </c>
      <c r="Y807" s="569" t="str">
        <f t="shared" si="2542"/>
        <v/>
      </c>
      <c r="Z807" s="569" t="str">
        <f>HYPERLINK("https://www.klasekpyrotechnics.cz/c219xmpt-c")</f>
        <v>https://www.klasekpyrotechnics.cz/c219xmpt-c</v>
      </c>
      <c r="AA807" s="569">
        <f>IFERROR(IF(VLOOKUP(C807,[4]List1!$A:$D,4,FALSE)=0,"",VLOOKUP(C807,[4]List1!$A:$D,4,FALSE)),"")</f>
        <v>12</v>
      </c>
      <c r="AB807" s="565"/>
      <c r="AC807" s="570" t="str">
        <f>IFERROR(IF(VLOOKUP(C807,[1]List1!$A:$D,2,FALSE)="VYPRODÁNO",$V$9,IF(VLOOKUP(C807,[1]List1!$A:$D,2,FALSE)="DOCHÁZÍ",$V$3,VLOOKUP(C807,[1]List1!$A:$D,2,FALSE))),"OFFLINE!")</f>
        <v>SKLADEM</v>
      </c>
      <c r="AD807" s="570" t="str">
        <f ca="1">IF(AP807="NE",$V$10,IF(AC807=$V$3,IF(AQ807&lt;1,$V$8,$V$2&amp;" "&amp;AQ807&amp;" "&amp;$V$1),IF(AC807="SKLADEM",$V$6,IFERROR(IF(OR(AC807-TODAY()&gt;45,VLOOKUP(C807,[1]List1!$A:$E,4,FALSE)=0),AC807,DAY(AC807)&amp;"."&amp;MONTH(AC807)&amp;"."&amp;YEAR(AC807)&amp;" "&amp;$V$4&amp;VLOOKUP(C807,[1]List1!$A:$E,4,FALSE)&amp;" "&amp;$V$1),AC807))))</f>
        <v>SKLADEM</v>
      </c>
      <c r="AE807" s="581" t="str">
        <f t="shared" ca="1" si="2543"/>
        <v>SKLADEM</v>
      </c>
      <c r="AF807" s="584">
        <f t="shared" si="2544"/>
        <v>0</v>
      </c>
      <c r="AG807" s="585">
        <f t="shared" si="2545"/>
        <v>0</v>
      </c>
      <c r="AH807" s="583">
        <f t="shared" si="2546"/>
        <v>0</v>
      </c>
      <c r="AI807" s="582">
        <f t="shared" si="2547"/>
        <v>0</v>
      </c>
      <c r="AJ807" s="569">
        <f t="shared" si="2548"/>
        <v>0</v>
      </c>
      <c r="AK807" s="569" t="str">
        <f t="shared" si="2549"/>
        <v/>
      </c>
      <c r="AL807" s="569">
        <f t="shared" si="2550"/>
        <v>0</v>
      </c>
      <c r="AM807" s="569" t="str">
        <f t="shared" si="2551"/>
        <v/>
      </c>
      <c r="AN807" s="581">
        <f t="shared" si="2552"/>
        <v>0</v>
      </c>
      <c r="AO807" s="623"/>
      <c r="AP807" s="632" t="str">
        <f t="shared" si="2517"/>
        <v/>
      </c>
      <c r="AQ807" s="633" t="str">
        <f>IF(AC807=$V$3,IF(VLOOKUP(C807,[1]List1!$A:$E,5,FALSE)=0,1,VLOOKUP(C807,[1]List1!$A:$E,5,FALSE)),"")</f>
        <v/>
      </c>
      <c r="AR807" s="625" t="str">
        <f t="shared" si="2518"/>
        <v/>
      </c>
      <c r="AS807" s="634" t="str">
        <f t="shared" si="2519"/>
        <v/>
      </c>
      <c r="AT807" s="625" t="str">
        <f t="shared" si="2520"/>
        <v/>
      </c>
      <c r="AU807" s="638" t="e">
        <f t="shared" si="2521"/>
        <v>#N/A</v>
      </c>
      <c r="AV807" s="625" t="e">
        <f t="shared" si="2522"/>
        <v>#N/A</v>
      </c>
      <c r="AX807" s="625">
        <f>IF(AND('General price list'!$J807="F4",'General price list'!$AB807+0&gt;0),1,0)</f>
        <v>0</v>
      </c>
      <c r="AY807" s="625">
        <f t="shared" si="2523"/>
        <v>1</v>
      </c>
      <c r="AZ807" s="625">
        <f t="shared" si="2524"/>
        <v>0</v>
      </c>
    </row>
    <row r="808" spans="1:52" ht="15.75" customHeight="1">
      <c r="A808" s="639" t="str">
        <f>Kat.!C808</f>
        <v/>
      </c>
      <c r="B808" s="640">
        <f>IF(AND('General price list'!$J808="F4",$AI$1=FALSE),0,IF(AC808="SKLADEM",1,IF(AC808=$V$3,1,0)))</f>
        <v>1</v>
      </c>
      <c r="C808" s="641" t="s">
        <v>2335</v>
      </c>
      <c r="D808" s="642" t="s">
        <v>12432</v>
      </c>
      <c r="E808" s="643" t="s">
        <v>12663</v>
      </c>
      <c r="F808" s="771">
        <f>IFERROR(VLOOKUP(C808,[2]List1!$A:$D,3,FALSE),"NEUVEDENO!")</f>
        <v>6520</v>
      </c>
      <c r="G808" s="768">
        <f t="shared" si="2539"/>
        <v>6520</v>
      </c>
      <c r="H808" s="765">
        <f t="shared" si="2540"/>
        <v>276.96006592669056</v>
      </c>
      <c r="I808" s="644">
        <f>IFERROR(VLOOKUP(C808,[2]List1!$A:$D,4,FALSE),"NEUVEDENO!")</f>
        <v>1</v>
      </c>
      <c r="J808" s="733" t="s">
        <v>113</v>
      </c>
      <c r="K808" s="645" t="s">
        <v>20</v>
      </c>
      <c r="L808" s="645" t="s">
        <v>20</v>
      </c>
      <c r="M808" s="645" t="s">
        <v>114</v>
      </c>
      <c r="N808" s="645">
        <f>IFERROR(VLOOKUP(C808,[3]List1!$A:$D,4,FALSE),"N/A!")</f>
        <v>8.9033000000000001E-2</v>
      </c>
      <c r="O808" s="645">
        <f>IFERROR(VLOOKUP(C808,[3]List1!$A:$D,3,FALSE),"N/A!")</f>
        <v>4000</v>
      </c>
      <c r="P808" s="645">
        <f>IFERROR(VLOOKUP(C808,[3]List1!$A:$D,2,FALSE),"N/A!")</f>
        <v>26300</v>
      </c>
      <c r="Q808" s="645" t="s">
        <v>11334</v>
      </c>
      <c r="R808" s="645"/>
      <c r="S808" s="645" t="str">
        <f>IF($W$17=$AF$1,"červená fólie",IFERROR(VLOOKUP("červená fólie",Jazyky_ceník!$A:$Q,MATCH($W$17,Jazyky_ceník!$A$1:$Q$1,0),FALSE),"!!!"))</f>
        <v>červená fólie</v>
      </c>
      <c r="T808" s="645">
        <v>90</v>
      </c>
      <c r="U808" s="645" t="s">
        <v>10756</v>
      </c>
      <c r="V808" s="645" t="s">
        <v>10757</v>
      </c>
      <c r="W808" s="645" t="str">
        <f>IFERROR(IF(AND($AB808&gt;=0.1*$AA808,MOD($AB808,$AA808)&gt;=($AA808-(0.1*$AA808))),IF($W$17=$AF$1,"Zvažte možnost doobjednání ještě "&amp;Tabulka1[[#This Row],[VKPAL]]-MOD(AB808,AA808)&amp;" VK do plné palety.",VLOOKUP("Zvažte možnost doobjednání ještě ",Jazyky_ceník!A:Q,MATCH($W$17,Jazyky_ceník!$A$1:$Q$1,0),FALSE)&amp;Tabulka1[[#This Row],[VKPAL]]-MOD(AB808,AA808)&amp;VLOOKUP(" VK do plné palety.",Jazyky_ceník!A:Q,MATCH($W$17,Jazyky_ceník!$A$1:$Q$1,0),FALSE)),IFERROR(IF(AND(NOT(MOD($AB808,$AA808)=0),$AB808&gt;=0.9*$AA808,MOD($AB808,$AA808)&lt;=0.1*$AA808),IF($W$17=$AF$1,"Zvažte možnost optimalizace objednaného množství podle počtu VK na paletě ==&gt;",VLOOKUP("Zvažte možnost optimalizace objednaného množství podle počtu VK na paletě ==&gt;",Jazyky_ceník!A:Q,MATCH($W$17,Jazyky_ceník!$A$1:$Q$1,0),FALSE)),VLOOKUP('General price list'!$C808,Popisy!A:M,MATCH($W$17,Popisy!$A$7:$M$7,0),FALSE)),"---------------")),IFERROR(VLOOKUP('General price list'!$C808,Popisy!A:M,MATCH($W$17,Popisy!$A$7:$M$7,0),FALSE),"---------------"))</f>
        <v>26 různobarevných efektů</v>
      </c>
      <c r="X808" s="645" t="str">
        <f t="shared" si="2541"/>
        <v/>
      </c>
      <c r="Y808" s="645" t="str">
        <f t="shared" si="2542"/>
        <v/>
      </c>
      <c r="Z808" s="645" t="str">
        <f>HYPERLINK("https://www.klasekpyrotechnics.cz/c253xmpt-c")</f>
        <v>https://www.klasekpyrotechnics.cz/c253xmpt-c</v>
      </c>
      <c r="AA808" s="645">
        <f>IFERROR(IF(VLOOKUP(C808,[4]List1!$A:$D,4,FALSE)=0,"",VLOOKUP(C808,[4]List1!$A:$D,4,FALSE)),"")</f>
        <v>12</v>
      </c>
      <c r="AB808" s="646"/>
      <c r="AC808" s="647" t="str">
        <f>IFERROR(IF(VLOOKUP(C808,[1]List1!$A:$D,2,FALSE)="VYPRODÁNO",$V$9,IF(VLOOKUP(C808,[1]List1!$A:$D,2,FALSE)="DOCHÁZÍ",$V$3,VLOOKUP(C808,[1]List1!$A:$D,2,FALSE))),"OFFLINE!")</f>
        <v>SKLADEM</v>
      </c>
      <c r="AD808" s="647" t="str">
        <f ca="1">IF(AP808="NE",$V$10,IF(AC808=$V$3,IF(AQ808&lt;1,$V$8,$V$2&amp;" "&amp;AQ808&amp;" "&amp;$V$1),IF(AC808="SKLADEM",$V$6,IFERROR(IF(OR(AC808-TODAY()&gt;45,VLOOKUP(C808,[1]List1!$A:$E,4,FALSE)=0),AC808,DAY(AC808)&amp;"."&amp;MONTH(AC808)&amp;"."&amp;YEAR(AC808)&amp;" "&amp;$V$4&amp;VLOOKUP(C808,[1]List1!$A:$E,4,FALSE)&amp;" "&amp;$V$1),AC808))))</f>
        <v>SKLADEM</v>
      </c>
      <c r="AE808" s="645" t="str">
        <f t="shared" ca="1" si="2543"/>
        <v>SKLADEM</v>
      </c>
      <c r="AF808" s="648">
        <f t="shared" si="2544"/>
        <v>0</v>
      </c>
      <c r="AG808" s="649">
        <f t="shared" si="2545"/>
        <v>0</v>
      </c>
      <c r="AH808" s="650">
        <f t="shared" si="2546"/>
        <v>0</v>
      </c>
      <c r="AI808" s="645">
        <f t="shared" si="2547"/>
        <v>0</v>
      </c>
      <c r="AJ808" s="645">
        <f t="shared" si="2548"/>
        <v>0</v>
      </c>
      <c r="AK808" s="645" t="str">
        <f t="shared" si="2549"/>
        <v/>
      </c>
      <c r="AL808" s="645">
        <f t="shared" si="2550"/>
        <v>0</v>
      </c>
      <c r="AM808" s="645" t="str">
        <f t="shared" si="2551"/>
        <v/>
      </c>
      <c r="AN808" s="651">
        <f t="shared" si="2552"/>
        <v>0</v>
      </c>
      <c r="AO808" s="623"/>
      <c r="AP808" s="625" t="str">
        <f t="shared" si="2517"/>
        <v/>
      </c>
      <c r="AQ808" s="625" t="str">
        <f>IF(AC808=$V$3,IF(VLOOKUP(C808,[1]List1!$A:$E,5,FALSE)=0,1,VLOOKUP(C808,[1]List1!$A:$E,5,FALSE)),"")</f>
        <v/>
      </c>
      <c r="AR808" s="629" t="str">
        <f t="shared" si="2518"/>
        <v/>
      </c>
      <c r="AS808" s="630" t="str">
        <f t="shared" si="2519"/>
        <v/>
      </c>
      <c r="AT808" s="625" t="str">
        <f t="shared" si="2520"/>
        <v/>
      </c>
      <c r="AU808" s="625" t="e">
        <f t="shared" si="2521"/>
        <v>#N/A</v>
      </c>
      <c r="AV808" s="625" t="e">
        <f t="shared" si="2522"/>
        <v>#N/A</v>
      </c>
      <c r="AW808" s="631"/>
      <c r="AX808" s="631">
        <f>IF(AND('General price list'!$J808="F4",'General price list'!$AB808+0&gt;0),1,0)</f>
        <v>0</v>
      </c>
      <c r="AY808" s="631">
        <f t="shared" si="2523"/>
        <v>1</v>
      </c>
      <c r="AZ808" s="631">
        <f t="shared" si="2524"/>
        <v>0</v>
      </c>
    </row>
    <row r="809" spans="1:52" ht="15" customHeight="1">
      <c r="A809" s="621" t="str">
        <f>Kat.!C809</f>
        <v/>
      </c>
      <c r="B809" s="566">
        <f>IF(AND('General price list'!$J809="F4",$AI$1=FALSE),0,IF(AC809="SKLADEM",1,IF(AC809=$V$3,1,0)))</f>
        <v>1</v>
      </c>
      <c r="C809" s="567" t="s">
        <v>2336</v>
      </c>
      <c r="D809" s="568" t="s">
        <v>2337</v>
      </c>
      <c r="E809" s="763" t="s">
        <v>12663</v>
      </c>
      <c r="F809" s="772">
        <f>IFERROR(VLOOKUP(C809,[2]List1!$A:$D,3,FALSE),"NEUVEDENO!")</f>
        <v>9699</v>
      </c>
      <c r="G809" s="769">
        <f t="shared" si="2539"/>
        <v>9699</v>
      </c>
      <c r="H809" s="766">
        <f t="shared" si="2540"/>
        <v>411.99933733481157</v>
      </c>
      <c r="I809" s="764">
        <f>IFERROR(VLOOKUP(C809,[2]List1!$A:$D,4,FALSE),"NEUVEDENO!")</f>
        <v>1</v>
      </c>
      <c r="J809" s="732" t="s">
        <v>113</v>
      </c>
      <c r="K809" s="569" t="s">
        <v>20</v>
      </c>
      <c r="L809" s="569" t="s">
        <v>20</v>
      </c>
      <c r="M809" s="569" t="s">
        <v>114</v>
      </c>
      <c r="N809" s="569">
        <f>IFERROR(VLOOKUP(C809,[3]List1!$A:$D,4,FALSE),"N/A!")</f>
        <v>0.13455075</v>
      </c>
      <c r="O809" s="569">
        <f>IFERROR(VLOOKUP(C809,[3]List1!$A:$D,3,FALSE),"N/A!")</f>
        <v>4000</v>
      </c>
      <c r="P809" s="569">
        <f>IFERROR(VLOOKUP(C809,[3]List1!$A:$D,2,FALSE),"N/A!")</f>
        <v>39500</v>
      </c>
      <c r="Q809" s="569" t="s">
        <v>11335</v>
      </c>
      <c r="R809" s="569"/>
      <c r="S809" s="569" t="str">
        <f>IF($W$17=$AF$1,"červená fólie",IFERROR(VLOOKUP("červená fólie",Jazyky_ceník!$A:$Q,MATCH($W$17,Jazyky_ceník!$A$1:$Q$1,0),FALSE),"!!!"))</f>
        <v>červená fólie</v>
      </c>
      <c r="T809" s="569">
        <v>180</v>
      </c>
      <c r="U809" s="569" t="s">
        <v>10746</v>
      </c>
      <c r="V809" s="569" t="s">
        <v>10747</v>
      </c>
      <c r="W809" s="569" t="str">
        <f>IFERROR(IF(AND($AB809&gt;=0.1*$AA809,MOD($AB809,$AA809)&gt;=($AA809-(0.1*$AA809))),IF($W$17=$AF$1,"Zvažte možnost doobjednání ještě "&amp;Tabulka1[[#This Row],[VKPAL]]-MOD(AB809,AA809)&amp;" VK do plné palety.",VLOOKUP("Zvažte možnost doobjednání ještě ",Jazyky_ceník!A:Q,MATCH($W$17,Jazyky_ceník!$A$1:$Q$1,0),FALSE)&amp;Tabulka1[[#This Row],[VKPAL]]-MOD(AB809,AA809)&amp;VLOOKUP(" VK do plné palety.",Jazyky_ceník!A:Q,MATCH($W$17,Jazyky_ceník!$A$1:$Q$1,0),FALSE)),IFERROR(IF(AND(NOT(MOD($AB809,$AA809)=0),$AB809&gt;=0.9*$AA809,MOD($AB809,$AA809)&lt;=0.1*$AA809),IF($W$17=$AF$1,"Zvažte možnost optimalizace objednaného množství podle počtu VK na paletě ==&gt;",VLOOKUP("Zvažte možnost optimalizace objednaného množství podle počtu VK na paletě ==&gt;",Jazyky_ceník!A:Q,MATCH($W$17,Jazyky_ceník!$A$1:$Q$1,0),FALSE)),VLOOKUP('General price list'!$C809,Popisy!A:M,MATCH($W$17,Popisy!$A$7:$M$7,0),FALSE)),"---------------")),IFERROR(VLOOKUP('General price list'!$C809,Popisy!A:M,MATCH($W$17,Popisy!$A$7:$M$7,0),FALSE),"---------------"))</f>
        <v>33 různobarevných efektů</v>
      </c>
      <c r="X809" s="569" t="str">
        <f t="shared" si="2541"/>
        <v/>
      </c>
      <c r="Y809" s="569" t="str">
        <f t="shared" si="2542"/>
        <v/>
      </c>
      <c r="Z809" s="569" t="str">
        <f>HYPERLINK("https://www.klasekpyrotechnics.cz/c379xmk-c")</f>
        <v>https://www.klasekpyrotechnics.cz/c379xmk-c</v>
      </c>
      <c r="AA809" s="569">
        <f>IFERROR(IF(VLOOKUP(C809,[4]List1!$A:$D,4,FALSE)=0,"",VLOOKUP(C809,[4]List1!$A:$D,4,FALSE)),"")</f>
        <v>12</v>
      </c>
      <c r="AB809" s="565"/>
      <c r="AC809" s="570" t="str">
        <f>IFERROR(IF(VLOOKUP(C809,[1]List1!$A:$D,2,FALSE)="VYPRODÁNO",$V$9,IF(VLOOKUP(C809,[1]List1!$A:$D,2,FALSE)="DOCHÁZÍ",$V$3,VLOOKUP(C809,[1]List1!$A:$D,2,FALSE))),"OFFLINE!")</f>
        <v>SKLADEM</v>
      </c>
      <c r="AD809" s="570" t="str">
        <f ca="1">IF(AP809="NE",$V$10,IF(AC809=$V$3,IF(AQ809&lt;1,$V$8,$V$2&amp;" "&amp;AQ809&amp;" "&amp;$V$1),IF(AC809="SKLADEM",$V$6,IFERROR(IF(OR(AC809-TODAY()&gt;45,VLOOKUP(C809,[1]List1!$A:$E,4,FALSE)=0),AC809,DAY(AC809)&amp;"."&amp;MONTH(AC809)&amp;"."&amp;YEAR(AC809)&amp;" "&amp;$V$4&amp;VLOOKUP(C809,[1]List1!$A:$E,4,FALSE)&amp;" "&amp;$V$1),AC809))))</f>
        <v>SKLADEM</v>
      </c>
      <c r="AE809" s="581" t="str">
        <f t="shared" ca="1" si="2543"/>
        <v>SKLADEM</v>
      </c>
      <c r="AF809" s="584">
        <f t="shared" si="2544"/>
        <v>0</v>
      </c>
      <c r="AG809" s="585">
        <f t="shared" si="2545"/>
        <v>0</v>
      </c>
      <c r="AH809" s="583">
        <f t="shared" si="2546"/>
        <v>0</v>
      </c>
      <c r="AI809" s="582">
        <f t="shared" si="2547"/>
        <v>0</v>
      </c>
      <c r="AJ809" s="569">
        <f t="shared" si="2548"/>
        <v>0</v>
      </c>
      <c r="AK809" s="569" t="str">
        <f t="shared" si="2549"/>
        <v/>
      </c>
      <c r="AL809" s="569">
        <f t="shared" si="2550"/>
        <v>0</v>
      </c>
      <c r="AM809" s="569" t="str">
        <f t="shared" si="2551"/>
        <v/>
      </c>
      <c r="AN809" s="581">
        <f t="shared" si="2552"/>
        <v>0</v>
      </c>
      <c r="AO809" s="623"/>
      <c r="AP809" s="632" t="str">
        <f t="shared" si="2517"/>
        <v/>
      </c>
      <c r="AQ809" s="633" t="str">
        <f>IF(AC809=$V$3,IF(VLOOKUP(C809,[1]List1!$A:$E,5,FALSE)=0,1,VLOOKUP(C809,[1]List1!$A:$E,5,FALSE)),"")</f>
        <v/>
      </c>
      <c r="AR809" s="625" t="str">
        <f t="shared" si="2518"/>
        <v/>
      </c>
      <c r="AS809" s="634" t="str">
        <f t="shared" si="2519"/>
        <v/>
      </c>
      <c r="AT809" s="625" t="str">
        <f t="shared" si="2520"/>
        <v/>
      </c>
      <c r="AU809" s="638" t="e">
        <f t="shared" si="2521"/>
        <v>#N/A</v>
      </c>
      <c r="AV809" s="625" t="e">
        <f t="shared" si="2522"/>
        <v>#N/A</v>
      </c>
      <c r="AX809" s="625">
        <f>IF(AND('General price list'!$J809="F4",'General price list'!$AB809+0&gt;0),1,0)</f>
        <v>0</v>
      </c>
      <c r="AY809" s="625">
        <f t="shared" si="2523"/>
        <v>1</v>
      </c>
      <c r="AZ809" s="625">
        <f t="shared" si="2524"/>
        <v>0</v>
      </c>
    </row>
    <row r="810" spans="1:52" ht="15" customHeight="1">
      <c r="A810" s="751" t="str">
        <f>Kat.!C810</f>
        <v xml:space="preserve">           Multikaliberní kompakty nad 30 mm</v>
      </c>
      <c r="B810" s="751"/>
      <c r="C810" s="751"/>
      <c r="D810" s="751"/>
      <c r="E810" s="751"/>
      <c r="F810" s="751"/>
      <c r="G810" s="751"/>
      <c r="H810" s="751"/>
      <c r="I810" s="752"/>
      <c r="J810" s="752"/>
      <c r="K810" s="752" t="s">
        <v>20</v>
      </c>
      <c r="L810" s="753" t="s">
        <v>20</v>
      </c>
      <c r="M810" s="752"/>
      <c r="N810" s="752"/>
      <c r="O810" s="752"/>
      <c r="P810" s="752"/>
      <c r="Q810" s="752"/>
      <c r="R810" s="752"/>
      <c r="S810" s="752"/>
      <c r="T810" s="752"/>
      <c r="U810" s="752"/>
      <c r="V810" s="752"/>
      <c r="W810" s="752"/>
      <c r="X810" s="752"/>
      <c r="Y810" s="752"/>
      <c r="Z810" s="752" t="s">
        <v>20</v>
      </c>
      <c r="AA810" s="752"/>
      <c r="AB810" s="752"/>
      <c r="AC810" s="754"/>
      <c r="AD810" s="752"/>
      <c r="AE810" s="752"/>
      <c r="AF810" s="752"/>
      <c r="AG810" s="752"/>
      <c r="AH810" s="752"/>
      <c r="AI810" s="752"/>
      <c r="AJ810" s="752"/>
      <c r="AK810" s="752"/>
      <c r="AL810" s="752"/>
      <c r="AM810" s="752"/>
      <c r="AN810" s="752"/>
      <c r="AO810" s="623"/>
      <c r="AP810" s="632" t="str">
        <f t="shared" si="2517"/>
        <v/>
      </c>
      <c r="AQ810" s="633" t="str">
        <f>IF(AC810=$V$3,IF(VLOOKUP(C810,[1]List1!$A:$E,5,FALSE)=0,1,VLOOKUP(C810,[1]List1!$A:$E,5,FALSE)),"")</f>
        <v/>
      </c>
      <c r="AR810" s="625" t="str">
        <f t="shared" si="2518"/>
        <v/>
      </c>
      <c r="AS810" s="634" t="str">
        <f t="shared" si="2519"/>
        <v/>
      </c>
      <c r="AT810" s="625" t="str">
        <f t="shared" si="2520"/>
        <v/>
      </c>
      <c r="AU810" s="638" t="e">
        <f t="shared" si="2521"/>
        <v>#N/A</v>
      </c>
      <c r="AV810" s="625" t="e">
        <f t="shared" si="2522"/>
        <v>#N/A</v>
      </c>
      <c r="AX810" s="625">
        <f>IF(AND('General price list'!$J810="F4",'General price list'!$AB810+0&gt;0),1,0)</f>
        <v>0</v>
      </c>
      <c r="AY810" s="625">
        <f t="shared" si="2523"/>
        <v>0</v>
      </c>
      <c r="AZ810" s="625">
        <f t="shared" si="2524"/>
        <v>0</v>
      </c>
    </row>
    <row r="811" spans="1:52" ht="15.75" customHeight="1">
      <c r="A811" s="751" t="str">
        <f>Kat.!C811</f>
        <v xml:space="preserve">           Baterie 23 ran, 30 + 50 mm moždíř – 1.3G</v>
      </c>
      <c r="B811" s="751"/>
      <c r="C811" s="751"/>
      <c r="D811" s="751"/>
      <c r="E811" s="751"/>
      <c r="F811" s="751"/>
      <c r="G811" s="751"/>
      <c r="H811" s="751"/>
      <c r="I811" s="752"/>
      <c r="J811" s="752"/>
      <c r="K811" s="752" t="s">
        <v>20</v>
      </c>
      <c r="L811" s="753" t="s">
        <v>20</v>
      </c>
      <c r="M811" s="752"/>
      <c r="N811" s="752"/>
      <c r="O811" s="752"/>
      <c r="P811" s="752"/>
      <c r="Q811" s="752"/>
      <c r="R811" s="752"/>
      <c r="S811" s="752"/>
      <c r="T811" s="752"/>
      <c r="U811" s="752"/>
      <c r="V811" s="752"/>
      <c r="W811" s="752"/>
      <c r="X811" s="752"/>
      <c r="Y811" s="752"/>
      <c r="Z811" s="752" t="s">
        <v>20</v>
      </c>
      <c r="AA811" s="752"/>
      <c r="AB811" s="752"/>
      <c r="AC811" s="754"/>
      <c r="AD811" s="752"/>
      <c r="AE811" s="752"/>
      <c r="AF811" s="752"/>
      <c r="AG811" s="752"/>
      <c r="AH811" s="752"/>
      <c r="AI811" s="752"/>
      <c r="AJ811" s="752"/>
      <c r="AK811" s="752"/>
      <c r="AL811" s="752"/>
      <c r="AM811" s="752"/>
      <c r="AN811" s="752"/>
      <c r="AO811" s="623"/>
      <c r="AP811" s="625" t="str">
        <f t="shared" si="2517"/>
        <v/>
      </c>
      <c r="AQ811" s="625" t="str">
        <f>IF(AC811=$V$3,IF(VLOOKUP(C811,[1]List1!$A:$E,5,FALSE)=0,1,VLOOKUP(C811,[1]List1!$A:$E,5,FALSE)),"")</f>
        <v/>
      </c>
      <c r="AR811" s="629" t="str">
        <f t="shared" si="2518"/>
        <v/>
      </c>
      <c r="AS811" s="630" t="str">
        <f t="shared" si="2519"/>
        <v/>
      </c>
      <c r="AT811" s="625" t="str">
        <f t="shared" si="2520"/>
        <v/>
      </c>
      <c r="AU811" s="625" t="e">
        <f t="shared" si="2521"/>
        <v>#N/A</v>
      </c>
      <c r="AV811" s="625" t="e">
        <f t="shared" si="2522"/>
        <v>#N/A</v>
      </c>
      <c r="AW811" s="631"/>
      <c r="AX811" s="631">
        <f>IF(AND('General price list'!$J811="F4",'General price list'!$AB811+0&gt;0),1,0)</f>
        <v>0</v>
      </c>
      <c r="AY811" s="631">
        <f t="shared" si="2523"/>
        <v>0</v>
      </c>
      <c r="AZ811" s="631">
        <f t="shared" si="2524"/>
        <v>0</v>
      </c>
    </row>
    <row r="812" spans="1:52" ht="15.75" customHeight="1">
      <c r="A812" s="639" t="str">
        <f>Kat.!C812</f>
        <v/>
      </c>
      <c r="B812" s="640">
        <f>IF(AND('General price list'!$J812="F4",$AI$1=FALSE),0,IF(AC812="SKLADEM",1,IF(AC812=$V$3,1,0)))</f>
        <v>1</v>
      </c>
      <c r="C812" s="641" t="s">
        <v>1445</v>
      </c>
      <c r="D812" s="642" t="s">
        <v>1446</v>
      </c>
      <c r="E812" s="643" t="s">
        <v>12746</v>
      </c>
      <c r="F812" s="773">
        <f>IFERROR(VLOOKUP(C812,[2]List1!$A:$D,3,FALSE),"NEUVEDENO!")</f>
        <v>794</v>
      </c>
      <c r="G812" s="770">
        <f t="shared" ref="G812" si="2553">IF($W$17=$AF$8,ROUND((F812)/$F$17,2),(F812)*$B$19)</f>
        <v>794</v>
      </c>
      <c r="H812" s="767">
        <f t="shared" ref="H812" si="2554">IF($W$17=$AF$8,G812*$B$19,G812/$F$17)</f>
        <v>33.727958948741147</v>
      </c>
      <c r="I812" s="644">
        <f>IFERROR(VLOOKUP(C812,[2]List1!$A:$D,4,FALSE),"NEUVEDENO!")</f>
        <v>6</v>
      </c>
      <c r="J812" s="733" t="s">
        <v>113</v>
      </c>
      <c r="K812" s="645" t="s">
        <v>20</v>
      </c>
      <c r="L812" s="645" t="s">
        <v>20</v>
      </c>
      <c r="M812" s="645" t="s">
        <v>114</v>
      </c>
      <c r="N812" s="645">
        <f>IFERROR(VLOOKUP(C812,[3]List1!$A:$D,4,FALSE),"N/A!")</f>
        <v>6.3997499999999999E-2</v>
      </c>
      <c r="O812" s="645">
        <f>IFERROR(VLOOKUP(C812,[3]List1!$A:$D,3,FALSE),"N/A!")</f>
        <v>3180</v>
      </c>
      <c r="P812" s="645">
        <f>IFERROR(VLOOKUP(C812,[3]List1!$A:$D,2,FALSE),"N/A!")</f>
        <v>25500</v>
      </c>
      <c r="Q812" s="645" t="s">
        <v>11800</v>
      </c>
      <c r="R812" s="645"/>
      <c r="S812" s="645" t="str">
        <f>IF($W$17=$AF$1,"design",IFERROR(VLOOKUP("design",Jazyky_ceník!$A:$Q,MATCH($W$17,Jazyky_ceník!$A$1:$Q$1,0),FALSE),"!!!"))</f>
        <v>design</v>
      </c>
      <c r="T812" s="645">
        <v>35</v>
      </c>
      <c r="U812" s="645" t="s">
        <v>10758</v>
      </c>
      <c r="V812" s="645" t="s">
        <v>10759</v>
      </c>
      <c r="W812" s="645" t="str">
        <f>IFERROR(IF(AND($AB812&gt;=0.1*$AA812,MOD($AB812,$AA812)&gt;=($AA812-(0.1*$AA812))),IF($W$17=$AF$1,"Zvažte možnost doobjednání ještě "&amp;Tabulka1[[#This Row],[VKPAL]]-MOD(AB812,AA812)&amp;" VK do plné palety.",VLOOKUP("Zvažte možnost doobjednání ještě ",Jazyky_ceník!A:Q,MATCH($W$17,Jazyky_ceník!$A$1:$Q$1,0),FALSE)&amp;Tabulka1[[#This Row],[VKPAL]]-MOD(AB812,AA812)&amp;VLOOKUP(" VK do plné palety.",Jazyky_ceník!A:Q,MATCH($W$17,Jazyky_ceník!$A$1:$Q$1,0),FALSE)),IFERROR(IF(AND(NOT(MOD($AB812,$AA812)=0),$AB812&gt;=0.9*$AA812,MOD($AB812,$AA812)&lt;=0.1*$AA812),IF($W$17=$AF$1,"Zvažte možnost optimalizace objednaného množství podle počtu VK na paletě ==&gt;",VLOOKUP("Zvažte možnost optimalizace objednaného množství podle počtu VK na paletě ==&gt;",Jazyky_ceník!A:Q,MATCH($W$17,Jazyky_ceník!$A$1:$Q$1,0),FALSE)),VLOOKUP('General price list'!$C812,Popisy!A:M,MATCH($W$17,Popisy!$A$7:$M$7,0),FALSE)),"---------------")),IFERROR(VLOOKUP('General price list'!$C812,Popisy!A:M,MATCH($W$17,Popisy!$A$7:$M$7,0),FALSE),"---------------"))</f>
        <v>7 různobarevných efektů</v>
      </c>
      <c r="X812" s="645" t="str">
        <f t="shared" ref="X812" si="2555">IF(AB812&lt;0.0001,"",AB812)</f>
        <v/>
      </c>
      <c r="Y812" s="645" t="str">
        <f t="shared" ref="Y812" si="2556">IF($AL$3=2,IF(OR(AB812&lt;&gt;"",AB812&lt;&gt;0),AU812,""),IF(C812="","",IF(AB812&lt;0.0001,"",IF(B812=0,"",IF(AQ812&lt;AB812,"",AB812)))))</f>
        <v/>
      </c>
      <c r="Z812" s="645" t="str">
        <f>HYPERLINK("https://www.klasekpyrotechnics.cz/c23mo")</f>
        <v>https://www.klasekpyrotechnics.cz/c23mo</v>
      </c>
      <c r="AA812" s="645">
        <f>IFERROR(IF(VLOOKUP(C812,[4]List1!$A:$D,4,FALSE)=0,"",VLOOKUP(C812,[4]List1!$A:$D,4,FALSE)),"")</f>
        <v>12</v>
      </c>
      <c r="AB812" s="646"/>
      <c r="AC812" s="647" t="str">
        <f>IFERROR(IF(VLOOKUP(C812,[1]List1!$A:$D,2,FALSE)="VYPRODÁNO",$V$9,IF(VLOOKUP(C812,[1]List1!$A:$D,2,FALSE)="DOCHÁZÍ",$V$3,VLOOKUP(C812,[1]List1!$A:$D,2,FALSE))),"OFFLINE!")</f>
        <v>SKLADEM</v>
      </c>
      <c r="AD812" s="647" t="str">
        <f ca="1">IF(AP812="NE",$V$10,IF(AC812=$V$3,IF(AQ812&lt;1,$V$8,$V$2&amp;" "&amp;AQ812&amp;" "&amp;$V$1),IF(AC812="SKLADEM",$V$6,IFERROR(IF(OR(AC812-TODAY()&gt;45,VLOOKUP(C812,[1]List1!$A:$E,4,FALSE)=0),AC812,DAY(AC812)&amp;"."&amp;MONTH(AC812)&amp;"."&amp;YEAR(AC812)&amp;" "&amp;$V$4&amp;VLOOKUP(C812,[1]List1!$A:$E,4,FALSE)&amp;" "&amp;$V$1),AC812))))</f>
        <v>SKLADEM</v>
      </c>
      <c r="AE812" s="645" t="str">
        <f t="shared" ref="AE812" ca="1" si="2557">IFERROR(IF(AV812&lt;&gt;"",AV812,AD812),AD812)</f>
        <v>SKLADEM</v>
      </c>
      <c r="AF812" s="648">
        <f t="shared" ref="AF812" si="2558">IFERROR(IF(AB812=Y812,G812*I812*Y812,0),0)</f>
        <v>0</v>
      </c>
      <c r="AG812" s="649">
        <f t="shared" ref="AG812" si="2559">IF($W$17=$AF$8,AH812*1.23,AF812*1.21)</f>
        <v>0</v>
      </c>
      <c r="AH812" s="650">
        <f t="shared" ref="AH812" si="2560">IFERROR(IF(Y812=AB812,H812*I812*Y812,0),0)</f>
        <v>0</v>
      </c>
      <c r="AI812" s="645">
        <f t="shared" ref="AI812" si="2561">IFERROR(IF(Y812=AB812,(P812*Y812)/1000,1),0)</f>
        <v>0</v>
      </c>
      <c r="AJ812" s="645">
        <f t="shared" ref="AJ812" si="2562">IFERROR(IF(Y812=AB812,N812*Y812,0.1),0)</f>
        <v>0</v>
      </c>
      <c r="AK812" s="645" t="str">
        <f t="shared" ref="AK812" si="2563">IFERROR(IF(Y812=AB812,IF(M812="1.1G",(O812/1000)*Y812,""),""),0)</f>
        <v/>
      </c>
      <c r="AL812" s="645">
        <f t="shared" ref="AL812" si="2564">IFERROR(IF(Y812=AB812,IF(M812="1.3G",(O812/1000)*AB812,""),""),0)</f>
        <v>0</v>
      </c>
      <c r="AM812" s="645" t="str">
        <f t="shared" ref="AM812" si="2565">IFERROR(IF(Y812=AB812,IF(M812="1.4G",(O812/1000)*AB812,""),""),0)</f>
        <v/>
      </c>
      <c r="AN812" s="651">
        <f t="shared" ref="AN812" si="2566">SUM(AK812:AM812)</f>
        <v>0</v>
      </c>
      <c r="AO812" s="623"/>
      <c r="AP812" s="625" t="str">
        <f t="shared" si="2517"/>
        <v/>
      </c>
      <c r="AQ812" s="625" t="str">
        <f>IF(AC812=$V$3,IF(VLOOKUP(C812,[1]List1!$A:$E,5,FALSE)=0,1,VLOOKUP(C812,[1]List1!$A:$E,5,FALSE)),"")</f>
        <v/>
      </c>
      <c r="AR812" s="629" t="str">
        <f t="shared" si="2518"/>
        <v/>
      </c>
      <c r="AS812" s="630" t="str">
        <f t="shared" si="2519"/>
        <v/>
      </c>
      <c r="AT812" s="625" t="str">
        <f t="shared" si="2520"/>
        <v/>
      </c>
      <c r="AU812" s="625" t="e">
        <f t="shared" si="2521"/>
        <v>#N/A</v>
      </c>
      <c r="AV812" s="625" t="e">
        <f t="shared" si="2522"/>
        <v>#N/A</v>
      </c>
      <c r="AW812" s="631"/>
      <c r="AX812" s="631">
        <f>IF(AND('General price list'!$J812="F4",'General price list'!$AB812+0&gt;0),1,0)</f>
        <v>0</v>
      </c>
      <c r="AY812" s="631">
        <f t="shared" si="2523"/>
        <v>1</v>
      </c>
      <c r="AZ812" s="631">
        <f t="shared" si="2524"/>
        <v>0</v>
      </c>
    </row>
    <row r="813" spans="1:52" ht="15" customHeight="1">
      <c r="A813" s="751" t="str">
        <f>Kat.!C813</f>
        <v xml:space="preserve">           Baterie 24 ran, 20 + 24 + 30 + 40 mm moždíř – 1.3G</v>
      </c>
      <c r="B813" s="751"/>
      <c r="C813" s="751"/>
      <c r="D813" s="751"/>
      <c r="E813" s="751"/>
      <c r="F813" s="751"/>
      <c r="G813" s="751"/>
      <c r="H813" s="751"/>
      <c r="I813" s="752"/>
      <c r="J813" s="752"/>
      <c r="K813" s="752" t="s">
        <v>20</v>
      </c>
      <c r="L813" s="753" t="s">
        <v>20</v>
      </c>
      <c r="M813" s="752"/>
      <c r="N813" s="752"/>
      <c r="O813" s="752"/>
      <c r="P813" s="752"/>
      <c r="Q813" s="752"/>
      <c r="R813" s="752"/>
      <c r="S813" s="752"/>
      <c r="T813" s="752"/>
      <c r="U813" s="752"/>
      <c r="V813" s="752"/>
      <c r="W813" s="752"/>
      <c r="X813" s="752"/>
      <c r="Y813" s="752"/>
      <c r="Z813" s="752" t="s">
        <v>20</v>
      </c>
      <c r="AA813" s="752"/>
      <c r="AB813" s="752"/>
      <c r="AC813" s="754"/>
      <c r="AD813" s="752"/>
      <c r="AE813" s="752"/>
      <c r="AF813" s="752"/>
      <c r="AG813" s="752"/>
      <c r="AH813" s="752"/>
      <c r="AI813" s="752"/>
      <c r="AJ813" s="752"/>
      <c r="AK813" s="752"/>
      <c r="AL813" s="752"/>
      <c r="AM813" s="752"/>
      <c r="AN813" s="752"/>
      <c r="AO813" s="623"/>
      <c r="AP813" s="632" t="str">
        <f t="shared" si="2517"/>
        <v/>
      </c>
      <c r="AQ813" s="633" t="str">
        <f>IF(AC813=$V$3,IF(VLOOKUP(C813,[1]List1!$A:$E,5,FALSE)=0,1,VLOOKUP(C813,[1]List1!$A:$E,5,FALSE)),"")</f>
        <v/>
      </c>
      <c r="AR813" s="625" t="str">
        <f t="shared" si="2518"/>
        <v/>
      </c>
      <c r="AS813" s="634" t="str">
        <f t="shared" si="2519"/>
        <v/>
      </c>
      <c r="AT813" s="625" t="str">
        <f t="shared" si="2520"/>
        <v/>
      </c>
      <c r="AU813" s="638" t="e">
        <f t="shared" si="2521"/>
        <v>#N/A</v>
      </c>
      <c r="AV813" s="625" t="e">
        <f t="shared" si="2522"/>
        <v>#N/A</v>
      </c>
      <c r="AX813" s="625">
        <f>IF(AND('General price list'!$J813="F4",'General price list'!$AB813+0&gt;0),1,0)</f>
        <v>0</v>
      </c>
      <c r="AY813" s="625">
        <f t="shared" si="2523"/>
        <v>0</v>
      </c>
      <c r="AZ813" s="625">
        <f t="shared" si="2524"/>
        <v>0</v>
      </c>
    </row>
    <row r="814" spans="1:52" ht="15" customHeight="1">
      <c r="A814" s="639" t="str">
        <f>Kat.!C814</f>
        <v/>
      </c>
      <c r="B814" s="640">
        <f>IF(AND('General price list'!$J814="F4",$AI$1=FALSE),0,IF(AC814="SKLADEM",1,IF(AC814=$V$3,1,0)))</f>
        <v>1</v>
      </c>
      <c r="C814" s="641" t="s">
        <v>1447</v>
      </c>
      <c r="D814" s="642" t="s">
        <v>1448</v>
      </c>
      <c r="E814" s="643" t="s">
        <v>12678</v>
      </c>
      <c r="F814" s="773">
        <f>IFERROR(VLOOKUP(C814,[2]List1!$A:$D,3,FALSE),"NEUVEDENO!")</f>
        <v>499</v>
      </c>
      <c r="G814" s="770">
        <f t="shared" ref="G814" si="2567">IF($W$17=$AF$8,ROUND((F814)/$F$17,2),(F814)*$B$19)</f>
        <v>499</v>
      </c>
      <c r="H814" s="767">
        <f t="shared" ref="H814" si="2568">IF($W$17=$AF$8,G814*$B$19,G814/$F$17)</f>
        <v>21.196790321689967</v>
      </c>
      <c r="I814" s="644">
        <f>IFERROR(VLOOKUP(C814,[2]List1!$A:$D,4,FALSE),"NEUVEDENO!")</f>
        <v>8</v>
      </c>
      <c r="J814" s="733" t="s">
        <v>113</v>
      </c>
      <c r="K814" s="645" t="s">
        <v>20</v>
      </c>
      <c r="L814" s="645" t="s">
        <v>20</v>
      </c>
      <c r="M814" s="645" t="s">
        <v>114</v>
      </c>
      <c r="N814" s="645">
        <f>IFERROR(VLOOKUP(C814,[3]List1!$A:$D,4,FALSE),"N/A!")</f>
        <v>4.9202999999999997E-2</v>
      </c>
      <c r="O814" s="645">
        <f>IFERROR(VLOOKUP(C814,[3]List1!$A:$D,3,FALSE),"N/A!")</f>
        <v>2856</v>
      </c>
      <c r="P814" s="645">
        <f>IFERROR(VLOOKUP(C814,[3]List1!$A:$D,2,FALSE),"N/A!")</f>
        <v>20156</v>
      </c>
      <c r="Q814" s="645" t="s">
        <v>11247</v>
      </c>
      <c r="R814" s="645"/>
      <c r="S814" s="645" t="str">
        <f>IF($W$17=$AF$1,"design",IFERROR(VLOOKUP("design",Jazyky_ceník!$A:$Q,MATCH($W$17,Jazyky_ceník!$A$1:$Q$1,0),FALSE),"!!!"))</f>
        <v>design</v>
      </c>
      <c r="T814" s="645">
        <v>30</v>
      </c>
      <c r="U814" s="645" t="s">
        <v>10760</v>
      </c>
      <c r="V814" s="645" t="s">
        <v>10761</v>
      </c>
      <c r="W814" s="645" t="str">
        <f>IFERROR(IF(AND($AB814&gt;=0.1*$AA814,MOD($AB814,$AA814)&gt;=($AA814-(0.1*$AA814))),IF($W$17=$AF$1,"Zvažte možnost doobjednání ještě "&amp;Tabulka1[[#This Row],[VKPAL]]-MOD(AB814,AA814)&amp;" VK do plné palety.",VLOOKUP("Zvažte možnost doobjednání ještě ",Jazyky_ceník!A:Q,MATCH($W$17,Jazyky_ceník!$A$1:$Q$1,0),FALSE)&amp;Tabulka1[[#This Row],[VKPAL]]-MOD(AB814,AA814)&amp;VLOOKUP(" VK do plné palety.",Jazyky_ceník!A:Q,MATCH($W$17,Jazyky_ceník!$A$1:$Q$1,0),FALSE)),IFERROR(IF(AND(NOT(MOD($AB814,$AA814)=0),$AB814&gt;=0.9*$AA814,MOD($AB814,$AA814)&lt;=0.1*$AA814),IF($W$17=$AF$1,"Zvažte možnost optimalizace objednaného množství podle počtu VK na paletě ==&gt;",VLOOKUP("Zvažte možnost optimalizace objednaného množství podle počtu VK na paletě ==&gt;",Jazyky_ceník!A:Q,MATCH($W$17,Jazyky_ceník!$A$1:$Q$1,0),FALSE)),VLOOKUP('General price list'!$C814,Popisy!A:M,MATCH($W$17,Popisy!$A$7:$M$7,0),FALSE)),"---------------")),IFERROR(VLOOKUP('General price list'!$C814,Popisy!A:M,MATCH($W$17,Popisy!$A$7:$M$7,0),FALSE),"---------------"))</f>
        <v>11 různobarevných efektů</v>
      </c>
      <c r="X814" s="645" t="str">
        <f t="shared" ref="X814" si="2569">IF(AB814&lt;0.0001,"",AB814)</f>
        <v/>
      </c>
      <c r="Y814" s="645" t="str">
        <f t="shared" ref="Y814" si="2570">IF($AL$3=2,IF(OR(AB814&lt;&gt;"",AB814&lt;&gt;0),AU814,""),IF(C814="","",IF(AB814&lt;0.0001,"",IF(B814=0,"",IF(AQ814&lt;AB814,"",AB814)))))</f>
        <v/>
      </c>
      <c r="Z814" s="645" t="str">
        <f>HYPERLINK("https://www.klasekpyrotechnics.cz/c24mh")</f>
        <v>https://www.klasekpyrotechnics.cz/c24mh</v>
      </c>
      <c r="AA814" s="645">
        <f>IFERROR(IF(VLOOKUP(C814,[4]List1!$A:$D,4,FALSE)=0,"",VLOOKUP(C814,[4]List1!$A:$D,4,FALSE)),"")</f>
        <v>28</v>
      </c>
      <c r="AB814" s="646"/>
      <c r="AC814" s="647" t="str">
        <f>IFERROR(IF(VLOOKUP(C814,[1]List1!$A:$D,2,FALSE)="VYPRODÁNO",$V$9,IF(VLOOKUP(C814,[1]List1!$A:$D,2,FALSE)="DOCHÁZÍ",$V$3,VLOOKUP(C814,[1]List1!$A:$D,2,FALSE))),"OFFLINE!")</f>
        <v>SKLADEM</v>
      </c>
      <c r="AD814" s="647" t="str">
        <f ca="1">IF(AP814="NE",$V$10,IF(AC814=$V$3,IF(AQ814&lt;1,$V$8,$V$2&amp;" "&amp;AQ814&amp;" "&amp;$V$1),IF(AC814="SKLADEM",$V$6,IFERROR(IF(OR(AC814-TODAY()&gt;45,VLOOKUP(C814,[1]List1!$A:$E,4,FALSE)=0),AC814,DAY(AC814)&amp;"."&amp;MONTH(AC814)&amp;"."&amp;YEAR(AC814)&amp;" "&amp;$V$4&amp;VLOOKUP(C814,[1]List1!$A:$E,4,FALSE)&amp;" "&amp;$V$1),AC814))))</f>
        <v>SKLADEM</v>
      </c>
      <c r="AE814" s="645" t="str">
        <f t="shared" ref="AE814" ca="1" si="2571">IFERROR(IF(AV814&lt;&gt;"",AV814,AD814),AD814)</f>
        <v>SKLADEM</v>
      </c>
      <c r="AF814" s="648">
        <f t="shared" ref="AF814" si="2572">IFERROR(IF(AB814=Y814,G814*I814*Y814,0),0)</f>
        <v>0</v>
      </c>
      <c r="AG814" s="649">
        <f t="shared" ref="AG814" si="2573">IF($W$17=$AF$8,AH814*1.23,AF814*1.21)</f>
        <v>0</v>
      </c>
      <c r="AH814" s="650">
        <f t="shared" ref="AH814" si="2574">IFERROR(IF(Y814=AB814,H814*I814*Y814,0),0)</f>
        <v>0</v>
      </c>
      <c r="AI814" s="645">
        <f t="shared" ref="AI814" si="2575">IFERROR(IF(Y814=AB814,(P814*Y814)/1000,1),0)</f>
        <v>0</v>
      </c>
      <c r="AJ814" s="645">
        <f t="shared" ref="AJ814" si="2576">IFERROR(IF(Y814=AB814,N814*Y814,0.1),0)</f>
        <v>0</v>
      </c>
      <c r="AK814" s="645" t="str">
        <f t="shared" ref="AK814" si="2577">IFERROR(IF(Y814=AB814,IF(M814="1.1G",(O814/1000)*Y814,""),""),0)</f>
        <v/>
      </c>
      <c r="AL814" s="645">
        <f t="shared" ref="AL814" si="2578">IFERROR(IF(Y814=AB814,IF(M814="1.3G",(O814/1000)*AB814,""),""),0)</f>
        <v>0</v>
      </c>
      <c r="AM814" s="645" t="str">
        <f t="shared" ref="AM814" si="2579">IFERROR(IF(Y814=AB814,IF(M814="1.4G",(O814/1000)*AB814,""),""),0)</f>
        <v/>
      </c>
      <c r="AN814" s="651">
        <f t="shared" ref="AN814" si="2580">SUM(AK814:AM814)</f>
        <v>0</v>
      </c>
      <c r="AO814" s="623"/>
      <c r="AP814" s="632" t="str">
        <f t="shared" si="2517"/>
        <v/>
      </c>
      <c r="AQ814" s="633" t="str">
        <f>IF(AC814=$V$3,IF(VLOOKUP(C814,[1]List1!$A:$E,5,FALSE)=0,1,VLOOKUP(C814,[1]List1!$A:$E,5,FALSE)),"")</f>
        <v/>
      </c>
      <c r="AR814" s="625" t="str">
        <f t="shared" si="2518"/>
        <v/>
      </c>
      <c r="AS814" s="634" t="str">
        <f t="shared" si="2519"/>
        <v/>
      </c>
      <c r="AT814" s="625" t="str">
        <f t="shared" si="2520"/>
        <v/>
      </c>
      <c r="AU814" s="638" t="e">
        <f t="shared" si="2521"/>
        <v>#N/A</v>
      </c>
      <c r="AV814" s="625" t="e">
        <f t="shared" si="2522"/>
        <v>#N/A</v>
      </c>
      <c r="AX814" s="625">
        <f>IF(AND('General price list'!$J814="F4",'General price list'!$AB814+0&gt;0),1,0)</f>
        <v>0</v>
      </c>
      <c r="AY814" s="625">
        <f t="shared" si="2523"/>
        <v>1</v>
      </c>
      <c r="AZ814" s="625">
        <f t="shared" si="2524"/>
        <v>0</v>
      </c>
    </row>
    <row r="815" spans="1:52" ht="15" customHeight="1">
      <c r="A815" s="751" t="str">
        <f>Kat.!C815</f>
        <v xml:space="preserve">           Baterie 36 ran, 36 + 50 mm moždíř – 1.3G</v>
      </c>
      <c r="B815" s="751"/>
      <c r="C815" s="751"/>
      <c r="D815" s="751"/>
      <c r="E815" s="751"/>
      <c r="F815" s="751"/>
      <c r="G815" s="751"/>
      <c r="H815" s="751"/>
      <c r="I815" s="752"/>
      <c r="J815" s="752"/>
      <c r="K815" s="752" t="s">
        <v>20</v>
      </c>
      <c r="L815" s="753" t="s">
        <v>20</v>
      </c>
      <c r="M815" s="752"/>
      <c r="N815" s="752"/>
      <c r="O815" s="752"/>
      <c r="P815" s="752"/>
      <c r="Q815" s="752"/>
      <c r="R815" s="752"/>
      <c r="S815" s="752"/>
      <c r="T815" s="752"/>
      <c r="U815" s="752"/>
      <c r="V815" s="752"/>
      <c r="W815" s="752"/>
      <c r="X815" s="752"/>
      <c r="Y815" s="752"/>
      <c r="Z815" s="752" t="s">
        <v>20</v>
      </c>
      <c r="AA815" s="752"/>
      <c r="AB815" s="752"/>
      <c r="AC815" s="754"/>
      <c r="AD815" s="752"/>
      <c r="AE815" s="752"/>
      <c r="AF815" s="752"/>
      <c r="AG815" s="752"/>
      <c r="AH815" s="752"/>
      <c r="AI815" s="752"/>
      <c r="AJ815" s="752"/>
      <c r="AK815" s="752"/>
      <c r="AL815" s="752"/>
      <c r="AM815" s="752"/>
      <c r="AN815" s="752"/>
      <c r="AO815" s="623"/>
      <c r="AP815" s="632" t="str">
        <f t="shared" si="2517"/>
        <v/>
      </c>
      <c r="AQ815" s="633" t="str">
        <f>IF(AC815=$V$3,IF(VLOOKUP(C815,[1]List1!$A:$E,5,FALSE)=0,1,VLOOKUP(C815,[1]List1!$A:$E,5,FALSE)),"")</f>
        <v/>
      </c>
      <c r="AR815" s="625" t="str">
        <f t="shared" si="2518"/>
        <v/>
      </c>
      <c r="AS815" s="634" t="str">
        <f t="shared" si="2519"/>
        <v/>
      </c>
      <c r="AT815" s="625" t="str">
        <f t="shared" si="2520"/>
        <v/>
      </c>
      <c r="AU815" s="638" t="e">
        <f t="shared" si="2521"/>
        <v>#N/A</v>
      </c>
      <c r="AV815" s="625" t="e">
        <f t="shared" si="2522"/>
        <v>#N/A</v>
      </c>
      <c r="AX815" s="625">
        <f>IF(AND('General price list'!$J815="F4",'General price list'!$AB815+0&gt;0),1,0)</f>
        <v>0</v>
      </c>
      <c r="AY815" s="625">
        <f t="shared" si="2523"/>
        <v>0</v>
      </c>
      <c r="AZ815" s="625">
        <f t="shared" si="2524"/>
        <v>0</v>
      </c>
    </row>
    <row r="816" spans="1:52" ht="15" customHeight="1">
      <c r="A816" s="639" t="str">
        <f>Kat.!C816</f>
        <v/>
      </c>
      <c r="B816" s="640">
        <f>IF(AND('General price list'!$J816="F4",$AI$1=FALSE),0,IF(AC816="SKLADEM",1,IF(AC816=$V$3,1,0)))</f>
        <v>1</v>
      </c>
      <c r="C816" s="641" t="s">
        <v>1449</v>
      </c>
      <c r="D816" s="642" t="s">
        <v>11740</v>
      </c>
      <c r="E816" s="643" t="s">
        <v>12745</v>
      </c>
      <c r="F816" s="773">
        <f>IFERROR(VLOOKUP(C816,[2]List1!$A:$D,3,FALSE),"NEUVEDENO!")</f>
        <v>1674</v>
      </c>
      <c r="G816" s="770">
        <f t="shared" ref="G816" si="2581">IF($W$17=$AF$8,ROUND((F816)/$F$17,2),(F816)*$B$19)</f>
        <v>1674</v>
      </c>
      <c r="H816" s="767">
        <f t="shared" ref="H816" si="2582">IF($W$17=$AF$8,G816*$B$19,G816/$F$17)</f>
        <v>71.109072141300615</v>
      </c>
      <c r="I816" s="644">
        <f>IFERROR(VLOOKUP(C816,[2]List1!$A:$D,4,FALSE),"NEUVEDENO!")</f>
        <v>3</v>
      </c>
      <c r="J816" s="733" t="s">
        <v>113</v>
      </c>
      <c r="K816" s="645" t="s">
        <v>20</v>
      </c>
      <c r="L816" s="645" t="s">
        <v>20</v>
      </c>
      <c r="M816" s="645" t="s">
        <v>114</v>
      </c>
      <c r="N816" s="645">
        <f>IFERROR(VLOOKUP(C816,[3]List1!$A:$D,4,FALSE),"N/A!")</f>
        <v>8.5319999999999993E-2</v>
      </c>
      <c r="O816" s="645">
        <f>IFERROR(VLOOKUP(C816,[3]List1!$A:$D,3,FALSE),"N/A!")</f>
        <v>2976</v>
      </c>
      <c r="P816" s="645">
        <f>IFERROR(VLOOKUP(C816,[3]List1!$A:$D,2,FALSE),"N/A!")</f>
        <v>28000</v>
      </c>
      <c r="Q816" s="645" t="s">
        <v>11336</v>
      </c>
      <c r="R816" s="645"/>
      <c r="S816" s="645" t="str">
        <f>IF($W$17=$AF$1,"design",IFERROR(VLOOKUP("design",Jazyky_ceník!$A:$Q,MATCH($W$17,Jazyky_ceník!$A$1:$Q$1,0),FALSE),"!!!"))</f>
        <v>design</v>
      </c>
      <c r="T816" s="645">
        <v>40</v>
      </c>
      <c r="U816" s="645" t="s">
        <v>10762</v>
      </c>
      <c r="V816" s="645" t="s">
        <v>10763</v>
      </c>
      <c r="W816" s="645" t="str">
        <f>IFERROR(IF(AND($AB816&gt;=0.1*$AA816,MOD($AB816,$AA816)&gt;=($AA816-(0.1*$AA816))),IF($W$17=$AF$1,"Zvažte možnost doobjednání ještě "&amp;Tabulka1[[#This Row],[VKPAL]]-MOD(AB816,AA816)&amp;" VK do plné palety.",VLOOKUP("Zvažte možnost doobjednání ještě ",Jazyky_ceník!A:Q,MATCH($W$17,Jazyky_ceník!$A$1:$Q$1,0),FALSE)&amp;Tabulka1[[#This Row],[VKPAL]]-MOD(AB816,AA816)&amp;VLOOKUP(" VK do plné palety.",Jazyky_ceník!A:Q,MATCH($W$17,Jazyky_ceník!$A$1:$Q$1,0),FALSE)),IFERROR(IF(AND(NOT(MOD($AB816,$AA816)=0),$AB816&gt;=0.9*$AA816,MOD($AB816,$AA816)&lt;=0.1*$AA816),IF($W$17=$AF$1,"Zvažte možnost optimalizace objednaného množství podle počtu VK na paletě ==&gt;",VLOOKUP("Zvažte možnost optimalizace objednaného množství podle počtu VK na paletě ==&gt;",Jazyky_ceník!A:Q,MATCH($W$17,Jazyky_ceník!$A$1:$Q$1,0),FALSE)),VLOOKUP('General price list'!$C816,Popisy!A:M,MATCH($W$17,Popisy!$A$7:$M$7,0),FALSE)),"---------------")),IFERROR(VLOOKUP('General price list'!$C816,Popisy!A:M,MATCH($W$17,Popisy!$A$7:$M$7,0),FALSE),"---------------"))</f>
        <v>8 různobarevných efektů</v>
      </c>
      <c r="X816" s="645" t="str">
        <f t="shared" ref="X816" si="2583">IF(AB816&lt;0.0001,"",AB816)</f>
        <v/>
      </c>
      <c r="Y816" s="645" t="str">
        <f t="shared" ref="Y816" si="2584">IF($AL$3=2,IF(OR(AB816&lt;&gt;"",AB816&lt;&gt;0),AU816,""),IF(C816="","",IF(AB816&lt;0.0001,"",IF(B816=0,"",IF(AQ816&lt;AB816,"",AB816)))))</f>
        <v/>
      </c>
      <c r="Z816" s="645" t="str">
        <f>HYPERLINK("https://www.klasekpyrotechnics.cz/c36mh")</f>
        <v>https://www.klasekpyrotechnics.cz/c36mh</v>
      </c>
      <c r="AA816" s="645">
        <f>IFERROR(IF(VLOOKUP(C816,[4]List1!$A:$D,4,FALSE)=0,"",VLOOKUP(C816,[4]List1!$A:$D,4,FALSE)),"")</f>
        <v>15</v>
      </c>
      <c r="AB816" s="646"/>
      <c r="AC816" s="647" t="str">
        <f>IFERROR(IF(VLOOKUP(C816,[1]List1!$A:$D,2,FALSE)="VYPRODÁNO",$V$9,IF(VLOOKUP(C816,[1]List1!$A:$D,2,FALSE)="DOCHÁZÍ",$V$3,VLOOKUP(C816,[1]List1!$A:$D,2,FALSE))),"OFFLINE!")</f>
        <v>SKLADEM</v>
      </c>
      <c r="AD816" s="647" t="str">
        <f ca="1">IF(AP816="NE",$V$10,IF(AC816=$V$3,IF(AQ816&lt;1,$V$8,$V$2&amp;" "&amp;AQ816&amp;" "&amp;$V$1),IF(AC816="SKLADEM",$V$6,IFERROR(IF(OR(AC816-TODAY()&gt;45,VLOOKUP(C816,[1]List1!$A:$E,4,FALSE)=0),AC816,DAY(AC816)&amp;"."&amp;MONTH(AC816)&amp;"."&amp;YEAR(AC816)&amp;" "&amp;$V$4&amp;VLOOKUP(C816,[1]List1!$A:$E,4,FALSE)&amp;" "&amp;$V$1),AC816))))</f>
        <v>SKLADEM</v>
      </c>
      <c r="AE816" s="645" t="str">
        <f t="shared" ref="AE816" ca="1" si="2585">IFERROR(IF(AV816&lt;&gt;"",AV816,AD816),AD816)</f>
        <v>SKLADEM</v>
      </c>
      <c r="AF816" s="648">
        <f t="shared" ref="AF816" si="2586">IFERROR(IF(AB816=Y816,G816*I816*Y816,0),0)</f>
        <v>0</v>
      </c>
      <c r="AG816" s="649">
        <f t="shared" ref="AG816" si="2587">IF($W$17=$AF$8,AH816*1.23,AF816*1.21)</f>
        <v>0</v>
      </c>
      <c r="AH816" s="650">
        <f t="shared" ref="AH816" si="2588">IFERROR(IF(Y816=AB816,H816*I816*Y816,0),0)</f>
        <v>0</v>
      </c>
      <c r="AI816" s="645">
        <f t="shared" ref="AI816" si="2589">IFERROR(IF(Y816=AB816,(P816*Y816)/1000,1),0)</f>
        <v>0</v>
      </c>
      <c r="AJ816" s="645">
        <f t="shared" ref="AJ816" si="2590">IFERROR(IF(Y816=AB816,N816*Y816,0.1),0)</f>
        <v>0</v>
      </c>
      <c r="AK816" s="645" t="str">
        <f t="shared" ref="AK816" si="2591">IFERROR(IF(Y816=AB816,IF(M816="1.1G",(O816/1000)*Y816,""),""),0)</f>
        <v/>
      </c>
      <c r="AL816" s="645">
        <f t="shared" ref="AL816" si="2592">IFERROR(IF(Y816=AB816,IF(M816="1.3G",(O816/1000)*AB816,""),""),0)</f>
        <v>0</v>
      </c>
      <c r="AM816" s="645" t="str">
        <f t="shared" ref="AM816" si="2593">IFERROR(IF(Y816=AB816,IF(M816="1.4G",(O816/1000)*AB816,""),""),0)</f>
        <v/>
      </c>
      <c r="AN816" s="651">
        <f t="shared" ref="AN816" si="2594">SUM(AK816:AM816)</f>
        <v>0</v>
      </c>
      <c r="AO816" s="623"/>
      <c r="AP816" s="632" t="str">
        <f t="shared" si="2517"/>
        <v/>
      </c>
      <c r="AQ816" s="633" t="str">
        <f>IF(AC816=$V$3,IF(VLOOKUP(C816,[1]List1!$A:$E,5,FALSE)=0,1,VLOOKUP(C816,[1]List1!$A:$E,5,FALSE)),"")</f>
        <v/>
      </c>
      <c r="AR816" s="625" t="str">
        <f t="shared" si="2518"/>
        <v/>
      </c>
      <c r="AS816" s="634" t="str">
        <f t="shared" si="2519"/>
        <v/>
      </c>
      <c r="AT816" s="625" t="str">
        <f t="shared" si="2520"/>
        <v/>
      </c>
      <c r="AU816" s="638" t="e">
        <f t="shared" si="2521"/>
        <v>#N/A</v>
      </c>
      <c r="AV816" s="625" t="e">
        <f t="shared" si="2522"/>
        <v>#N/A</v>
      </c>
      <c r="AX816" s="625">
        <f>IF(AND('General price list'!$J816="F4",'General price list'!$AB816+0&gt;0),1,0)</f>
        <v>0</v>
      </c>
      <c r="AY816" s="625">
        <f t="shared" si="2523"/>
        <v>1</v>
      </c>
      <c r="AZ816" s="625">
        <f t="shared" si="2524"/>
        <v>0</v>
      </c>
    </row>
    <row r="817" spans="1:52" ht="15" customHeight="1">
      <c r="A817" s="751" t="str">
        <f>Kat.!C817</f>
        <v xml:space="preserve">           Baterie 42 ran, 25 + 40 mm rovný + šikmý moždíř – 1.3G</v>
      </c>
      <c r="B817" s="751"/>
      <c r="C817" s="751"/>
      <c r="D817" s="751"/>
      <c r="E817" s="751"/>
      <c r="F817" s="751"/>
      <c r="G817" s="751"/>
      <c r="H817" s="751"/>
      <c r="I817" s="752"/>
      <c r="J817" s="752"/>
      <c r="K817" s="752" t="s">
        <v>20</v>
      </c>
      <c r="L817" s="753" t="s">
        <v>20</v>
      </c>
      <c r="M817" s="752"/>
      <c r="N817" s="752"/>
      <c r="O817" s="752"/>
      <c r="P817" s="752"/>
      <c r="Q817" s="752"/>
      <c r="R817" s="752"/>
      <c r="S817" s="752"/>
      <c r="T817" s="752"/>
      <c r="U817" s="752"/>
      <c r="V817" s="752"/>
      <c r="W817" s="752"/>
      <c r="X817" s="752"/>
      <c r="Y817" s="752"/>
      <c r="Z817" s="752" t="s">
        <v>20</v>
      </c>
      <c r="AA817" s="752"/>
      <c r="AB817" s="752"/>
      <c r="AC817" s="754"/>
      <c r="AD817" s="752"/>
      <c r="AE817" s="752"/>
      <c r="AF817" s="752"/>
      <c r="AG817" s="752"/>
      <c r="AH817" s="752"/>
      <c r="AI817" s="752"/>
      <c r="AJ817" s="752"/>
      <c r="AK817" s="752"/>
      <c r="AL817" s="752"/>
      <c r="AM817" s="752"/>
      <c r="AN817" s="752"/>
      <c r="AO817" s="623"/>
      <c r="AP817" s="632" t="str">
        <f t="shared" si="2517"/>
        <v/>
      </c>
      <c r="AQ817" s="633" t="str">
        <f>IF(AC817=$V$3,IF(VLOOKUP(C817,[1]List1!$A:$E,5,FALSE)=0,1,VLOOKUP(C817,[1]List1!$A:$E,5,FALSE)),"")</f>
        <v/>
      </c>
      <c r="AR817" s="625" t="str">
        <f t="shared" si="2518"/>
        <v/>
      </c>
      <c r="AS817" s="634" t="str">
        <f t="shared" si="2519"/>
        <v/>
      </c>
      <c r="AT817" s="625" t="str">
        <f t="shared" si="2520"/>
        <v/>
      </c>
      <c r="AU817" s="638" t="e">
        <f t="shared" si="2521"/>
        <v>#N/A</v>
      </c>
      <c r="AV817" s="625" t="e">
        <f t="shared" si="2522"/>
        <v>#N/A</v>
      </c>
      <c r="AX817" s="625">
        <f>IF(AND('General price list'!$J817="F4",'General price list'!$AB817+0&gt;0),1,0)</f>
        <v>0</v>
      </c>
      <c r="AY817" s="625">
        <f t="shared" si="2523"/>
        <v>0</v>
      </c>
      <c r="AZ817" s="625">
        <f t="shared" si="2524"/>
        <v>0</v>
      </c>
    </row>
    <row r="818" spans="1:52" ht="15" customHeight="1">
      <c r="A818" s="639" t="str">
        <f>Kat.!C818</f>
        <v/>
      </c>
      <c r="B818" s="640">
        <f>IF(AND('General price list'!$J818="F4",$AI$1=FALSE),0,IF(AC818="SKLADEM",1,IF(AC818=$V$3,1,0)))</f>
        <v>1</v>
      </c>
      <c r="C818" s="641" t="s">
        <v>1460</v>
      </c>
      <c r="D818" s="642" t="s">
        <v>1461</v>
      </c>
      <c r="E818" s="643" t="s">
        <v>12651</v>
      </c>
      <c r="F818" s="773">
        <f>IFERROR(VLOOKUP(C818,[2]List1!$A:$D,3,FALSE),"NEUVEDENO!")</f>
        <v>1031</v>
      </c>
      <c r="G818" s="770">
        <f t="shared" ref="G818" si="2595">IF($W$17=$AF$8,ROUND((F818)/$F$17,2),(F818)*$B$19)</f>
        <v>1031</v>
      </c>
      <c r="H818" s="767">
        <f t="shared" ref="H818" si="2596">IF($W$17=$AF$8,G818*$B$19,G818/$F$17)</f>
        <v>43.795372388100915</v>
      </c>
      <c r="I818" s="644">
        <f>IFERROR(VLOOKUP(C818,[2]List1!$A:$D,4,FALSE),"NEUVEDENO!")</f>
        <v>4</v>
      </c>
      <c r="J818" s="733" t="s">
        <v>113</v>
      </c>
      <c r="K818" s="645" t="s">
        <v>20</v>
      </c>
      <c r="L818" s="645" t="s">
        <v>20</v>
      </c>
      <c r="M818" s="645" t="s">
        <v>114</v>
      </c>
      <c r="N818" s="645">
        <f>IFERROR(VLOOKUP(C818,[3]List1!$A:$D,4,FALSE),"N/A!")</f>
        <v>5.2336500000000001E-2</v>
      </c>
      <c r="O818" s="645">
        <f>IFERROR(VLOOKUP(C818,[3]List1!$A:$D,3,FALSE),"N/A!")</f>
        <v>2624</v>
      </c>
      <c r="P818" s="645">
        <f>IFERROR(VLOOKUP(C818,[3]List1!$A:$D,2,FALSE),"N/A!")</f>
        <v>19600</v>
      </c>
      <c r="Q818" s="645" t="s">
        <v>11801</v>
      </c>
      <c r="R818" s="645"/>
      <c r="S818" s="645" t="str">
        <f>IF($W$17=$AF$1,"design",IFERROR(VLOOKUP("design",Jazyky_ceník!$A:$Q,MATCH($W$17,Jazyky_ceník!$A$1:$Q$1,0),FALSE),"!!!"))</f>
        <v>design</v>
      </c>
      <c r="T818" s="645">
        <v>40</v>
      </c>
      <c r="U818" s="645" t="s">
        <v>11865</v>
      </c>
      <c r="V818" s="645" t="s">
        <v>11866</v>
      </c>
      <c r="W818" s="645" t="str">
        <f>IFERROR(IF(AND($AB818&gt;=0.1*$AA818,MOD($AB818,$AA818)&gt;=($AA818-(0.1*$AA818))),IF($W$17=$AF$1,"Zvažte možnost doobjednání ještě "&amp;Tabulka1[[#This Row],[VKPAL]]-MOD(AB818,AA818)&amp;" VK do plné palety.",VLOOKUP("Zvažte možnost doobjednání ještě ",Jazyky_ceník!A:Q,MATCH($W$17,Jazyky_ceník!$A$1:$Q$1,0),FALSE)&amp;Tabulka1[[#This Row],[VKPAL]]-MOD(AB818,AA818)&amp;VLOOKUP(" VK do plné palety.",Jazyky_ceník!A:Q,MATCH($W$17,Jazyky_ceník!$A$1:$Q$1,0),FALSE)),IFERROR(IF(AND(NOT(MOD($AB818,$AA818)=0),$AB818&gt;=0.9*$AA818,MOD($AB818,$AA818)&lt;=0.1*$AA818),IF($W$17=$AF$1,"Zvažte možnost optimalizace objednaného množství podle počtu VK na paletě ==&gt;",VLOOKUP("Zvažte možnost optimalizace objednaného množství podle počtu VK na paletě ==&gt;",Jazyky_ceník!A:Q,MATCH($W$17,Jazyky_ceník!$A$1:$Q$1,0),FALSE)),VLOOKUP('General price list'!$C818,Popisy!A:M,MATCH($W$17,Popisy!$A$7:$M$7,0),FALSE)),"---------------")),IFERROR(VLOOKUP('General price list'!$C818,Popisy!A:M,MATCH($W$17,Popisy!$A$7:$M$7,0),FALSE),"---------------"))</f>
        <v>15 různobarevných efektů</v>
      </c>
      <c r="X818" s="645" t="str">
        <f t="shared" ref="X818" si="2597">IF(AB818&lt;0.0001,"",AB818)</f>
        <v/>
      </c>
      <c r="Y818" s="645" t="str">
        <f t="shared" ref="Y818" si="2598">IF($AL$3=2,IF(OR(AB818&lt;&gt;"",AB818&lt;&gt;0),AU818,""),IF(C818="","",IF(AB818&lt;0.0001,"",IF(B818=0,"",IF(AQ818&lt;AB818,"",AB818)))))</f>
        <v/>
      </c>
      <c r="Z818" s="645" t="str">
        <f>HYPERLINK("https://www.klasekpyrotechnics.cz/c42mm")</f>
        <v>https://www.klasekpyrotechnics.cz/c42mm</v>
      </c>
      <c r="AA818" s="645">
        <f>IFERROR(IF(VLOOKUP(C818,[4]List1!$A:$D,4,FALSE)=0,"",VLOOKUP(C818,[4]List1!$A:$D,4,FALSE)),"")</f>
        <v>24</v>
      </c>
      <c r="AB818" s="646"/>
      <c r="AC818" s="647" t="str">
        <f>IFERROR(IF(VLOOKUP(C818,[1]List1!$A:$D,2,FALSE)="VYPRODÁNO",$V$9,IF(VLOOKUP(C818,[1]List1!$A:$D,2,FALSE)="DOCHÁZÍ",$V$3,VLOOKUP(C818,[1]List1!$A:$D,2,FALSE))),"OFFLINE!")</f>
        <v>SKLADEM</v>
      </c>
      <c r="AD818" s="647" t="str">
        <f ca="1">IF(AP818="NE",$V$10,IF(AC818=$V$3,IF(AQ818&lt;1,$V$8,$V$2&amp;" "&amp;AQ818&amp;" "&amp;$V$1),IF(AC818="SKLADEM",$V$6,IFERROR(IF(OR(AC818-TODAY()&gt;45,VLOOKUP(C818,[1]List1!$A:$E,4,FALSE)=0),AC818,DAY(AC818)&amp;"."&amp;MONTH(AC818)&amp;"."&amp;YEAR(AC818)&amp;" "&amp;$V$4&amp;VLOOKUP(C818,[1]List1!$A:$E,4,FALSE)&amp;" "&amp;$V$1),AC818))))</f>
        <v>SKLADEM</v>
      </c>
      <c r="AE818" s="645" t="str">
        <f t="shared" ref="AE818" ca="1" si="2599">IFERROR(IF(AV818&lt;&gt;"",AV818,AD818),AD818)</f>
        <v>SKLADEM</v>
      </c>
      <c r="AF818" s="648">
        <f t="shared" ref="AF818" si="2600">IFERROR(IF(AB818=Y818,G818*I818*Y818,0),0)</f>
        <v>0</v>
      </c>
      <c r="AG818" s="649">
        <f t="shared" ref="AG818" si="2601">IF($W$17=$AF$8,AH818*1.23,AF818*1.21)</f>
        <v>0</v>
      </c>
      <c r="AH818" s="650">
        <f t="shared" ref="AH818" si="2602">IFERROR(IF(Y818=AB818,H818*I818*Y818,0),0)</f>
        <v>0</v>
      </c>
      <c r="AI818" s="645">
        <f t="shared" ref="AI818" si="2603">IFERROR(IF(Y818=AB818,(P818*Y818)/1000,1),0)</f>
        <v>0</v>
      </c>
      <c r="AJ818" s="645">
        <f t="shared" ref="AJ818" si="2604">IFERROR(IF(Y818=AB818,N818*Y818,0.1),0)</f>
        <v>0</v>
      </c>
      <c r="AK818" s="645" t="str">
        <f t="shared" ref="AK818" si="2605">IFERROR(IF(Y818=AB818,IF(M818="1.1G",(O818/1000)*Y818,""),""),0)</f>
        <v/>
      </c>
      <c r="AL818" s="645">
        <f t="shared" ref="AL818" si="2606">IFERROR(IF(Y818=AB818,IF(M818="1.3G",(O818/1000)*AB818,""),""),0)</f>
        <v>0</v>
      </c>
      <c r="AM818" s="645" t="str">
        <f t="shared" ref="AM818" si="2607">IFERROR(IF(Y818=AB818,IF(M818="1.4G",(O818/1000)*AB818,""),""),0)</f>
        <v/>
      </c>
      <c r="AN818" s="651">
        <f t="shared" ref="AN818" si="2608">SUM(AK818:AM818)</f>
        <v>0</v>
      </c>
      <c r="AO818" s="623"/>
      <c r="AP818" s="632" t="str">
        <f t="shared" si="2517"/>
        <v/>
      </c>
      <c r="AQ818" s="633" t="str">
        <f>IF(AC818=$V$3,IF(VLOOKUP(C818,[1]List1!$A:$E,5,FALSE)=0,1,VLOOKUP(C818,[1]List1!$A:$E,5,FALSE)),"")</f>
        <v/>
      </c>
      <c r="AR818" s="625" t="str">
        <f t="shared" si="2518"/>
        <v/>
      </c>
      <c r="AS818" s="634" t="str">
        <f t="shared" si="2519"/>
        <v/>
      </c>
      <c r="AT818" s="625" t="str">
        <f t="shared" si="2520"/>
        <v/>
      </c>
      <c r="AU818" s="638" t="e">
        <f t="shared" si="2521"/>
        <v>#N/A</v>
      </c>
      <c r="AV818" s="625" t="e">
        <f t="shared" si="2522"/>
        <v>#N/A</v>
      </c>
      <c r="AX818" s="625">
        <f>IF(AND('General price list'!$J818="F4",'General price list'!$AB818+0&gt;0),1,0)</f>
        <v>0</v>
      </c>
      <c r="AY818" s="625">
        <f t="shared" si="2523"/>
        <v>1</v>
      </c>
      <c r="AZ818" s="625">
        <f t="shared" si="2524"/>
        <v>0</v>
      </c>
    </row>
    <row r="819" spans="1:52" ht="15" customHeight="1">
      <c r="A819" s="751" t="str">
        <f>Kat.!C819</f>
        <v xml:space="preserve">           Baterie 47 ran, 30 + 50 mm rovný + šikmý moždíř – 1.3G</v>
      </c>
      <c r="B819" s="751"/>
      <c r="C819" s="751"/>
      <c r="D819" s="751"/>
      <c r="E819" s="751"/>
      <c r="F819" s="751"/>
      <c r="G819" s="751"/>
      <c r="H819" s="751"/>
      <c r="I819" s="752"/>
      <c r="J819" s="752"/>
      <c r="K819" s="752" t="s">
        <v>20</v>
      </c>
      <c r="L819" s="753" t="s">
        <v>20</v>
      </c>
      <c r="M819" s="752"/>
      <c r="N819" s="752"/>
      <c r="O819" s="752"/>
      <c r="P819" s="752"/>
      <c r="Q819" s="752"/>
      <c r="R819" s="752"/>
      <c r="S819" s="752"/>
      <c r="T819" s="752"/>
      <c r="U819" s="752"/>
      <c r="V819" s="752"/>
      <c r="W819" s="752"/>
      <c r="X819" s="752"/>
      <c r="Y819" s="752"/>
      <c r="Z819" s="752" t="s">
        <v>20</v>
      </c>
      <c r="AA819" s="752"/>
      <c r="AB819" s="752"/>
      <c r="AC819" s="754"/>
      <c r="AD819" s="752"/>
      <c r="AE819" s="752"/>
      <c r="AF819" s="752"/>
      <c r="AG819" s="752"/>
      <c r="AH819" s="752"/>
      <c r="AI819" s="752"/>
      <c r="AJ819" s="752"/>
      <c r="AK819" s="752"/>
      <c r="AL819" s="752"/>
      <c r="AM819" s="752"/>
      <c r="AN819" s="752"/>
      <c r="AO819" s="623"/>
      <c r="AP819" s="632" t="str">
        <f t="shared" si="2517"/>
        <v/>
      </c>
      <c r="AQ819" s="633" t="str">
        <f>IF(AC819=$V$3,IF(VLOOKUP(C819,[1]List1!$A:$E,5,FALSE)=0,1,VLOOKUP(C819,[1]List1!$A:$E,5,FALSE)),"")</f>
        <v/>
      </c>
      <c r="AR819" s="625" t="str">
        <f t="shared" si="2518"/>
        <v/>
      </c>
      <c r="AS819" s="634" t="str">
        <f t="shared" si="2519"/>
        <v/>
      </c>
      <c r="AT819" s="625" t="str">
        <f t="shared" si="2520"/>
        <v/>
      </c>
      <c r="AU819" s="638" t="e">
        <f t="shared" si="2521"/>
        <v>#N/A</v>
      </c>
      <c r="AV819" s="625" t="e">
        <f t="shared" si="2522"/>
        <v>#N/A</v>
      </c>
      <c r="AX819" s="625">
        <f>IF(AND('General price list'!$J819="F4",'General price list'!$AB819+0&gt;0),1,0)</f>
        <v>0</v>
      </c>
      <c r="AY819" s="625">
        <f t="shared" si="2523"/>
        <v>0</v>
      </c>
      <c r="AZ819" s="625">
        <f t="shared" si="2524"/>
        <v>0</v>
      </c>
    </row>
    <row r="820" spans="1:52" ht="15.75" customHeight="1">
      <c r="A820" s="639" t="str">
        <f>Kat.!C820</f>
        <v/>
      </c>
      <c r="B820" s="640">
        <f>IF(AND('General price list'!$J820="F4",$AI$1=FALSE),0,IF(AC820="SKLADEM",1,IF(AC820=$V$3,1,0)))</f>
        <v>1</v>
      </c>
      <c r="C820" s="641" t="s">
        <v>1462</v>
      </c>
      <c r="D820" s="642" t="s">
        <v>1463</v>
      </c>
      <c r="E820" s="643" t="s">
        <v>12747</v>
      </c>
      <c r="F820" s="773">
        <f>IFERROR(VLOOKUP(C820,[2]List1!$A:$D,3,FALSE),"NEUVEDENO!")</f>
        <v>1622</v>
      </c>
      <c r="G820" s="770">
        <f t="shared" ref="G820" si="2609">IF($W$17=$AF$8,ROUND((F820)/$F$17,2),(F820)*$B$19)</f>
        <v>1622</v>
      </c>
      <c r="H820" s="767">
        <f t="shared" ref="H820" si="2610">IF($W$17=$AF$8,G820*$B$19,G820/$F$17)</f>
        <v>68.900188179922097</v>
      </c>
      <c r="I820" s="644">
        <f>IFERROR(VLOOKUP(C820,[2]List1!$A:$D,4,FALSE),"NEUVEDENO!")</f>
        <v>2</v>
      </c>
      <c r="J820" s="733" t="s">
        <v>113</v>
      </c>
      <c r="K820" s="645" t="s">
        <v>20</v>
      </c>
      <c r="L820" s="645" t="s">
        <v>20</v>
      </c>
      <c r="M820" s="645" t="s">
        <v>114</v>
      </c>
      <c r="N820" s="645">
        <f>IFERROR(VLOOKUP(C820,[3]List1!$A:$D,4,FALSE),"N/A!")</f>
        <v>4.6149749999999996E-2</v>
      </c>
      <c r="O820" s="645">
        <f>IFERROR(VLOOKUP(C820,[3]List1!$A:$D,3,FALSE),"N/A!")</f>
        <v>1980</v>
      </c>
      <c r="P820" s="645">
        <f>IFERROR(VLOOKUP(C820,[3]List1!$A:$D,2,FALSE),"N/A!")</f>
        <v>15500</v>
      </c>
      <c r="Q820" s="645" t="s">
        <v>11802</v>
      </c>
      <c r="R820" s="645"/>
      <c r="S820" s="645" t="str">
        <f>IF($W$17=$AF$1,"červená fólie",IFERROR(VLOOKUP("červená fólie",Jazyky_ceník!$A:$Q,MATCH($W$17,Jazyky_ceník!$A$1:$Q$1,0),FALSE),"!!!"))</f>
        <v>červená fólie</v>
      </c>
      <c r="T820" s="645">
        <v>55</v>
      </c>
      <c r="U820" s="645" t="s">
        <v>10758</v>
      </c>
      <c r="V820" s="645" t="s">
        <v>10759</v>
      </c>
      <c r="W820" s="645" t="str">
        <f>IFERROR(IF(AND($AB820&gt;=0.1*$AA820,MOD($AB820,$AA820)&gt;=($AA820-(0.1*$AA820))),IF($W$17=$AF$1,"Zvažte možnost doobjednání ještě "&amp;Tabulka1[[#This Row],[VKPAL]]-MOD(AB820,AA820)&amp;" VK do plné palety.",VLOOKUP("Zvažte možnost doobjednání ještě ",Jazyky_ceník!A:Q,MATCH($W$17,Jazyky_ceník!$A$1:$Q$1,0),FALSE)&amp;Tabulka1[[#This Row],[VKPAL]]-MOD(AB820,AA820)&amp;VLOOKUP(" VK do plné palety.",Jazyky_ceník!A:Q,MATCH($W$17,Jazyky_ceník!$A$1:$Q$1,0),FALSE)),IFERROR(IF(AND(NOT(MOD($AB820,$AA820)=0),$AB820&gt;=0.9*$AA820,MOD($AB820,$AA820)&lt;=0.1*$AA820),IF($W$17=$AF$1,"Zvažte možnost optimalizace objednaného množství podle počtu VK na paletě ==&gt;",VLOOKUP("Zvažte možnost optimalizace objednaného množství podle počtu VK na paletě ==&gt;",Jazyky_ceník!A:Q,MATCH($W$17,Jazyky_ceník!$A$1:$Q$1,0),FALSE)),VLOOKUP('General price list'!$C820,Popisy!A:M,MATCH($W$17,Popisy!$A$7:$M$7,0),FALSE)),"---------------")),IFERROR(VLOOKUP('General price list'!$C820,Popisy!A:M,MATCH($W$17,Popisy!$A$7:$M$7,0),FALSE),"---------------"))</f>
        <v>11 různobarevných efektů</v>
      </c>
      <c r="X820" s="645" t="str">
        <f t="shared" ref="X820" si="2611">IF(AB820&lt;0.0001,"",AB820)</f>
        <v/>
      </c>
      <c r="Y820" s="645" t="str">
        <f t="shared" ref="Y820" si="2612">IF($AL$3=2,IF(OR(AB820&lt;&gt;"",AB820&lt;&gt;0),AU820,""),IF(C820="","",IF(AB820&lt;0.0001,"",IF(B820=0,"",IF(AQ820&lt;AB820,"",AB820)))))</f>
        <v/>
      </c>
      <c r="Z820" s="645" t="str">
        <f>HYPERLINK("https://www.klasekpyrotechnics.cz/c47mb")</f>
        <v>https://www.klasekpyrotechnics.cz/c47mb</v>
      </c>
      <c r="AA820" s="645">
        <f>IFERROR(IF(VLOOKUP(C820,[4]List1!$A:$D,4,FALSE)=0,"",VLOOKUP(C820,[4]List1!$A:$D,4,FALSE)),"")</f>
        <v>30</v>
      </c>
      <c r="AB820" s="646"/>
      <c r="AC820" s="647" t="str">
        <f>IFERROR(IF(VLOOKUP(C820,[1]List1!$A:$D,2,FALSE)="VYPRODÁNO",$V$9,IF(VLOOKUP(C820,[1]List1!$A:$D,2,FALSE)="DOCHÁZÍ",$V$3,VLOOKUP(C820,[1]List1!$A:$D,2,FALSE))),"OFFLINE!")</f>
        <v>SKLADEM</v>
      </c>
      <c r="AD820" s="647" t="str">
        <f ca="1">IF(AP820="NE",$V$10,IF(AC820=$V$3,IF(AQ820&lt;1,$V$8,$V$2&amp;" "&amp;AQ820&amp;" "&amp;$V$1),IF(AC820="SKLADEM",$V$6,IFERROR(IF(OR(AC820-TODAY()&gt;45,VLOOKUP(C820,[1]List1!$A:$E,4,FALSE)=0),AC820,DAY(AC820)&amp;"."&amp;MONTH(AC820)&amp;"."&amp;YEAR(AC820)&amp;" "&amp;$V$4&amp;VLOOKUP(C820,[1]List1!$A:$E,4,FALSE)&amp;" "&amp;$V$1),AC820))))</f>
        <v>SKLADEM</v>
      </c>
      <c r="AE820" s="645" t="str">
        <f t="shared" ref="AE820" ca="1" si="2613">IFERROR(IF(AV820&lt;&gt;"",AV820,AD820),AD820)</f>
        <v>SKLADEM</v>
      </c>
      <c r="AF820" s="648">
        <f t="shared" ref="AF820" si="2614">IFERROR(IF(AB820=Y820,G820*I820*Y820,0),0)</f>
        <v>0</v>
      </c>
      <c r="AG820" s="649">
        <f t="shared" ref="AG820" si="2615">IF($W$17=$AF$8,AH820*1.23,AF820*1.21)</f>
        <v>0</v>
      </c>
      <c r="AH820" s="650">
        <f t="shared" ref="AH820" si="2616">IFERROR(IF(Y820=AB820,H820*I820*Y820,0),0)</f>
        <v>0</v>
      </c>
      <c r="AI820" s="645">
        <f t="shared" ref="AI820" si="2617">IFERROR(IF(Y820=AB820,(P820*Y820)/1000,1),0)</f>
        <v>0</v>
      </c>
      <c r="AJ820" s="645">
        <f t="shared" ref="AJ820" si="2618">IFERROR(IF(Y820=AB820,N820*Y820,0.1),0)</f>
        <v>0</v>
      </c>
      <c r="AK820" s="645" t="str">
        <f t="shared" ref="AK820" si="2619">IFERROR(IF(Y820=AB820,IF(M820="1.1G",(O820/1000)*Y820,""),""),0)</f>
        <v/>
      </c>
      <c r="AL820" s="645">
        <f t="shared" ref="AL820" si="2620">IFERROR(IF(Y820=AB820,IF(M820="1.3G",(O820/1000)*AB820,""),""),0)</f>
        <v>0</v>
      </c>
      <c r="AM820" s="645" t="str">
        <f t="shared" ref="AM820" si="2621">IFERROR(IF(Y820=AB820,IF(M820="1.4G",(O820/1000)*AB820,""),""),0)</f>
        <v/>
      </c>
      <c r="AN820" s="651">
        <f t="shared" ref="AN820" si="2622">SUM(AK820:AM820)</f>
        <v>0</v>
      </c>
      <c r="AO820" s="623"/>
      <c r="AP820" s="625" t="str">
        <f t="shared" si="2517"/>
        <v/>
      </c>
      <c r="AQ820" s="625" t="str">
        <f>IF(AC820=$V$3,IF(VLOOKUP(C820,[1]List1!$A:$E,5,FALSE)=0,1,VLOOKUP(C820,[1]List1!$A:$E,5,FALSE)),"")</f>
        <v/>
      </c>
      <c r="AR820" s="629" t="str">
        <f t="shared" si="2518"/>
        <v/>
      </c>
      <c r="AS820" s="630" t="str">
        <f t="shared" si="2519"/>
        <v/>
      </c>
      <c r="AT820" s="625" t="str">
        <f t="shared" si="2520"/>
        <v/>
      </c>
      <c r="AU820" s="625" t="e">
        <f t="shared" si="2521"/>
        <v>#N/A</v>
      </c>
      <c r="AV820" s="625" t="e">
        <f t="shared" si="2522"/>
        <v>#N/A</v>
      </c>
      <c r="AW820" s="631"/>
      <c r="AX820" s="631">
        <f>IF(AND('General price list'!$J820="F4",'General price list'!$AB820+0&gt;0),1,0)</f>
        <v>0</v>
      </c>
      <c r="AY820" s="631">
        <f t="shared" si="2523"/>
        <v>1</v>
      </c>
      <c r="AZ820" s="631">
        <f t="shared" si="2524"/>
        <v>0</v>
      </c>
    </row>
    <row r="821" spans="1:52" ht="15.75" customHeight="1">
      <c r="A821" s="639" t="str">
        <f>Kat.!C821</f>
        <v/>
      </c>
      <c r="B821" s="640">
        <f>IF(AND('General price list'!$J821="F4",$AI$1=FALSE),0,IF(AC821="SKLADEM",1,IF(AC821=$V$3,1,0)))</f>
        <v>1</v>
      </c>
      <c r="C821" s="641" t="s">
        <v>1466</v>
      </c>
      <c r="D821" s="642" t="s">
        <v>1465</v>
      </c>
      <c r="E821" s="643" t="s">
        <v>12747</v>
      </c>
      <c r="F821" s="773">
        <f>IFERROR(VLOOKUP(C821,[2]List1!$A:$D,3,FALSE),"NEUVEDENO!")</f>
        <v>1771</v>
      </c>
      <c r="G821" s="770">
        <f t="shared" ref="G821" si="2623">IF($W$17=$AF$8,ROUND((F821)/$F$17,2),(F821)*$B$19)</f>
        <v>1771</v>
      </c>
      <c r="H821" s="767">
        <f t="shared" ref="H821" si="2624">IF($W$17=$AF$8,G821*$B$19,G821/$F$17)</f>
        <v>75.229490300025915</v>
      </c>
      <c r="I821" s="644">
        <f>IFERROR(VLOOKUP(C821,[2]List1!$A:$D,4,FALSE),"NEUVEDENO!")</f>
        <v>2</v>
      </c>
      <c r="J821" s="733" t="s">
        <v>113</v>
      </c>
      <c r="K821" s="645" t="s">
        <v>20</v>
      </c>
      <c r="L821" s="645" t="s">
        <v>20</v>
      </c>
      <c r="M821" s="645" t="s">
        <v>114</v>
      </c>
      <c r="N821" s="645">
        <f>IFERROR(VLOOKUP(C821,[3]List1!$A:$D,4,FALSE),"N/A!")</f>
        <v>5.6069999999999995E-2</v>
      </c>
      <c r="O821" s="645">
        <f>IFERROR(VLOOKUP(C821,[3]List1!$A:$D,3,FALSE),"N/A!")</f>
        <v>1996</v>
      </c>
      <c r="P821" s="645">
        <f>IFERROR(VLOOKUP(C821,[3]List1!$A:$D,2,FALSE),"N/A!")</f>
        <v>18000</v>
      </c>
      <c r="Q821" s="645" t="s">
        <v>11337</v>
      </c>
      <c r="R821" s="645"/>
      <c r="S821" s="645" t="str">
        <f>IF($W$17=$AF$1,"design",IFERROR(VLOOKUP("design",Jazyky_ceník!$A:$Q,MATCH($W$17,Jazyky_ceník!$A$1:$Q$1,0),FALSE),"!!!"))</f>
        <v>design</v>
      </c>
      <c r="T821" s="645">
        <v>45</v>
      </c>
      <c r="U821" s="645" t="s">
        <v>10758</v>
      </c>
      <c r="V821" s="645" t="s">
        <v>10759</v>
      </c>
      <c r="W821" s="645" t="str">
        <f>IFERROR(IF(AND($AB821&gt;=0.1*$AA821,MOD($AB821,$AA821)&gt;=($AA821-(0.1*$AA821))),IF($W$17=$AF$1,"Zvažte možnost doobjednání ještě "&amp;Tabulka1[[#This Row],[VKPAL]]-MOD(AB821,AA821)&amp;" VK do plné palety.",VLOOKUP("Zvažte možnost doobjednání ještě ",Jazyky_ceník!A:Q,MATCH($W$17,Jazyky_ceník!$A$1:$Q$1,0),FALSE)&amp;Tabulka1[[#This Row],[VKPAL]]-MOD(AB821,AA821)&amp;VLOOKUP(" VK do plné palety.",Jazyky_ceník!A:Q,MATCH($W$17,Jazyky_ceník!$A$1:$Q$1,0),FALSE)),IFERROR(IF(AND(NOT(MOD($AB821,$AA821)=0),$AB821&gt;=0.9*$AA821,MOD($AB821,$AA821)&lt;=0.1*$AA821),IF($W$17=$AF$1,"Zvažte možnost optimalizace objednaného množství podle počtu VK na paletě ==&gt;",VLOOKUP("Zvažte možnost optimalizace objednaného množství podle počtu VK na paletě ==&gt;",Jazyky_ceník!A:Q,MATCH($W$17,Jazyky_ceník!$A$1:$Q$1,0),FALSE)),VLOOKUP('General price list'!$C821,Popisy!A:M,MATCH($W$17,Popisy!$A$7:$M$7,0),FALSE)),"---------------")),IFERROR(VLOOKUP('General price list'!$C821,Popisy!A:M,MATCH($W$17,Popisy!$A$7:$M$7,0),FALSE),"---------------"))</f>
        <v>5 různobarevných efektů</v>
      </c>
      <c r="X821" s="645" t="str">
        <f t="shared" ref="X821" si="2625">IF(AB821&lt;0.0001,"",AB821)</f>
        <v/>
      </c>
      <c r="Y821" s="645" t="str">
        <f t="shared" ref="Y821" si="2626">IF($AL$3=2,IF(OR(AB821&lt;&gt;"",AB821&lt;&gt;0),AU821,""),IF(C821="","",IF(AB821&lt;0.0001,"",IF(B821=0,"",IF(AQ821&lt;AB821,"",AB821)))))</f>
        <v/>
      </c>
      <c r="Z821" s="645" t="str">
        <f>HYPERLINK("https://www.klasekpyrotechnics.cz/c47xmt")</f>
        <v>https://www.klasekpyrotechnics.cz/c47xmt</v>
      </c>
      <c r="AA821" s="645">
        <f>IFERROR(IF(VLOOKUP(C821,[4]List1!$A:$D,4,FALSE)=0,"",VLOOKUP(C821,[4]List1!$A:$D,4,FALSE)),"")</f>
        <v>10</v>
      </c>
      <c r="AB821" s="646"/>
      <c r="AC821" s="647" t="str">
        <f>IFERROR(IF(VLOOKUP(C821,[1]List1!$A:$D,2,FALSE)="VYPRODÁNO",$V$9,IF(VLOOKUP(C821,[1]List1!$A:$D,2,FALSE)="DOCHÁZÍ",$V$3,VLOOKUP(C821,[1]List1!$A:$D,2,FALSE))),"OFFLINE!")</f>
        <v>SKLADEM</v>
      </c>
      <c r="AD821" s="647" t="str">
        <f ca="1">IF(AP821="NE",$V$10,IF(AC821=$V$3,IF(AQ821&lt;1,$V$8,$V$2&amp;" "&amp;AQ821&amp;" "&amp;$V$1),IF(AC821="SKLADEM",$V$6,IFERROR(IF(OR(AC821-TODAY()&gt;45,VLOOKUP(C821,[1]List1!$A:$E,4,FALSE)=0),AC821,DAY(AC821)&amp;"."&amp;MONTH(AC821)&amp;"."&amp;YEAR(AC821)&amp;" "&amp;$V$4&amp;VLOOKUP(C821,[1]List1!$A:$E,4,FALSE)&amp;" "&amp;$V$1),AC821))))</f>
        <v>SKLADEM</v>
      </c>
      <c r="AE821" s="645" t="str">
        <f t="shared" ref="AE821" ca="1" si="2627">IFERROR(IF(AV821&lt;&gt;"",AV821,AD821),AD821)</f>
        <v>SKLADEM</v>
      </c>
      <c r="AF821" s="648">
        <f t="shared" ref="AF821" si="2628">IFERROR(IF(AB821=Y821,G821*I821*Y821,0),0)</f>
        <v>0</v>
      </c>
      <c r="AG821" s="649">
        <f t="shared" ref="AG821" si="2629">IF($W$17=$AF$8,AH821*1.23,AF821*1.21)</f>
        <v>0</v>
      </c>
      <c r="AH821" s="650">
        <f t="shared" ref="AH821" si="2630">IFERROR(IF(Y821=AB821,H821*I821*Y821,0),0)</f>
        <v>0</v>
      </c>
      <c r="AI821" s="645">
        <f t="shared" ref="AI821" si="2631">IFERROR(IF(Y821=AB821,(P821*Y821)/1000,1),0)</f>
        <v>0</v>
      </c>
      <c r="AJ821" s="645">
        <f t="shared" ref="AJ821" si="2632">IFERROR(IF(Y821=AB821,N821*Y821,0.1),0)</f>
        <v>0</v>
      </c>
      <c r="AK821" s="645" t="str">
        <f t="shared" ref="AK821" si="2633">IFERROR(IF(Y821=AB821,IF(M821="1.1G",(O821/1000)*Y821,""),""),0)</f>
        <v/>
      </c>
      <c r="AL821" s="645">
        <f t="shared" ref="AL821" si="2634">IFERROR(IF(Y821=AB821,IF(M821="1.3G",(O821/1000)*AB821,""),""),0)</f>
        <v>0</v>
      </c>
      <c r="AM821" s="645" t="str">
        <f t="shared" ref="AM821" si="2635">IFERROR(IF(Y821=AB821,IF(M821="1.4G",(O821/1000)*AB821,""),""),0)</f>
        <v/>
      </c>
      <c r="AN821" s="651">
        <f t="shared" ref="AN821" si="2636">SUM(AK821:AM821)</f>
        <v>0</v>
      </c>
      <c r="AO821" s="623"/>
      <c r="AP821" s="625" t="str">
        <f t="shared" si="2517"/>
        <v/>
      </c>
      <c r="AQ821" s="625" t="str">
        <f>IF(AC821=$V$3,IF(VLOOKUP(C821,[1]List1!$A:$E,5,FALSE)=0,1,VLOOKUP(C821,[1]List1!$A:$E,5,FALSE)),"")</f>
        <v/>
      </c>
      <c r="AR821" s="629" t="str">
        <f t="shared" si="2518"/>
        <v/>
      </c>
      <c r="AS821" s="630" t="str">
        <f t="shared" si="2519"/>
        <v/>
      </c>
      <c r="AT821" s="625" t="str">
        <f t="shared" si="2520"/>
        <v/>
      </c>
      <c r="AU821" s="625" t="e">
        <f t="shared" si="2521"/>
        <v>#N/A</v>
      </c>
      <c r="AV821" s="625" t="e">
        <f t="shared" si="2522"/>
        <v>#N/A</v>
      </c>
      <c r="AW821" s="631"/>
      <c r="AX821" s="631">
        <f>IF(AND('General price list'!$J821="F4",'General price list'!$AB821+0&gt;0),1,0)</f>
        <v>0</v>
      </c>
      <c r="AY821" s="631">
        <f t="shared" si="2523"/>
        <v>1</v>
      </c>
      <c r="AZ821" s="631">
        <f t="shared" si="2524"/>
        <v>0</v>
      </c>
    </row>
    <row r="822" spans="1:52" ht="15" customHeight="1">
      <c r="A822" s="751" t="str">
        <f>Kat.!C822</f>
        <v xml:space="preserve">           Baterie 63 ran, 25 + 45 mm rovný + šikmý moždíř – 1.3G</v>
      </c>
      <c r="B822" s="751"/>
      <c r="C822" s="751"/>
      <c r="D822" s="751"/>
      <c r="E822" s="751"/>
      <c r="F822" s="751"/>
      <c r="G822" s="751"/>
      <c r="H822" s="751"/>
      <c r="I822" s="752"/>
      <c r="J822" s="752"/>
      <c r="K822" s="752" t="s">
        <v>20</v>
      </c>
      <c r="L822" s="753" t="s">
        <v>20</v>
      </c>
      <c r="M822" s="752"/>
      <c r="N822" s="752"/>
      <c r="O822" s="752"/>
      <c r="P822" s="752"/>
      <c r="Q822" s="752"/>
      <c r="R822" s="752"/>
      <c r="S822" s="752"/>
      <c r="T822" s="752"/>
      <c r="U822" s="752"/>
      <c r="V822" s="752"/>
      <c r="W822" s="752"/>
      <c r="X822" s="752"/>
      <c r="Y822" s="752"/>
      <c r="Z822" s="752" t="s">
        <v>20</v>
      </c>
      <c r="AA822" s="752"/>
      <c r="AB822" s="752"/>
      <c r="AC822" s="754"/>
      <c r="AD822" s="752"/>
      <c r="AE822" s="752"/>
      <c r="AF822" s="752"/>
      <c r="AG822" s="752"/>
      <c r="AH822" s="752"/>
      <c r="AI822" s="752"/>
      <c r="AJ822" s="752"/>
      <c r="AK822" s="752"/>
      <c r="AL822" s="752"/>
      <c r="AM822" s="752"/>
      <c r="AN822" s="752"/>
      <c r="AO822" s="623"/>
      <c r="AP822" s="632" t="str">
        <f t="shared" si="2517"/>
        <v/>
      </c>
      <c r="AQ822" s="633" t="str">
        <f>IF(AC822=$V$3,IF(VLOOKUP(C822,[1]List1!$A:$E,5,FALSE)=0,1,VLOOKUP(C822,[1]List1!$A:$E,5,FALSE)),"")</f>
        <v/>
      </c>
      <c r="AR822" s="625" t="str">
        <f t="shared" si="2518"/>
        <v/>
      </c>
      <c r="AS822" s="634" t="str">
        <f t="shared" si="2519"/>
        <v/>
      </c>
      <c r="AT822" s="625" t="str">
        <f t="shared" si="2520"/>
        <v/>
      </c>
      <c r="AU822" s="638" t="e">
        <f t="shared" si="2521"/>
        <v>#N/A</v>
      </c>
      <c r="AV822" s="625" t="e">
        <f t="shared" si="2522"/>
        <v>#N/A</v>
      </c>
      <c r="AX822" s="625">
        <f>IF(AND('General price list'!$J822="F4",'General price list'!$AB822+0&gt;0),1,0)</f>
        <v>0</v>
      </c>
      <c r="AY822" s="625">
        <f t="shared" si="2523"/>
        <v>0</v>
      </c>
      <c r="AZ822" s="625">
        <f t="shared" si="2524"/>
        <v>0</v>
      </c>
    </row>
    <row r="823" spans="1:52" ht="15" customHeight="1">
      <c r="A823" s="639" t="str">
        <f>Kat.!C823</f>
        <v/>
      </c>
      <c r="B823" s="640">
        <f>IF(AND('General price list'!$J823="F4",$AI$1=FALSE),0,IF(AC823="SKLADEM",1,IF(AC823=$V$3,1,0)))</f>
        <v>1</v>
      </c>
      <c r="C823" s="641" t="s">
        <v>1475</v>
      </c>
      <c r="D823" s="642" t="s">
        <v>1476</v>
      </c>
      <c r="E823" s="643" t="s">
        <v>12745</v>
      </c>
      <c r="F823" s="773">
        <f>IFERROR(VLOOKUP(C823,[2]List1!$A:$D,3,FALSE),"NEUVEDENO!")</f>
        <v>1617</v>
      </c>
      <c r="G823" s="770">
        <f t="shared" ref="G823" si="2637">IF($W$17=$AF$8,ROUND((F823)/$F$17,2),(F823)*$B$19)</f>
        <v>1617</v>
      </c>
      <c r="H823" s="767">
        <f t="shared" ref="H823" si="2638">IF($W$17=$AF$8,G823*$B$19,G823/$F$17)</f>
        <v>68.687795491328004</v>
      </c>
      <c r="I823" s="644">
        <f>IFERROR(VLOOKUP(C823,[2]List1!$A:$D,4,FALSE),"NEUVEDENO!")</f>
        <v>3</v>
      </c>
      <c r="J823" s="733" t="s">
        <v>113</v>
      </c>
      <c r="K823" s="645" t="s">
        <v>20</v>
      </c>
      <c r="L823" s="645" t="s">
        <v>20</v>
      </c>
      <c r="M823" s="645" t="s">
        <v>114</v>
      </c>
      <c r="N823" s="645">
        <f>IFERROR(VLOOKUP(C823,[3]List1!$A:$D,4,FALSE),"N/A!")</f>
        <v>6.3652500000000001E-2</v>
      </c>
      <c r="O823" s="645">
        <f>IFERROR(VLOOKUP(C823,[3]List1!$A:$D,3,FALSE),"N/A!")</f>
        <v>2994</v>
      </c>
      <c r="P823" s="645">
        <f>IFERROR(VLOOKUP(C823,[3]List1!$A:$D,2,FALSE),"N/A!")</f>
        <v>24400</v>
      </c>
      <c r="Q823" s="645" t="s">
        <v>11338</v>
      </c>
      <c r="R823" s="645"/>
      <c r="S823" s="645" t="str">
        <f>IF($W$17=$AF$1,"červená fólie",IFERROR(VLOOKUP("červená fólie",Jazyky_ceník!$A:$Q,MATCH($W$17,Jazyky_ceník!$A$1:$Q$1,0),FALSE),"!!!"))</f>
        <v>červená fólie</v>
      </c>
      <c r="T823" s="645">
        <v>55</v>
      </c>
      <c r="U823" s="645" t="s">
        <v>10766</v>
      </c>
      <c r="V823" s="645" t="s">
        <v>10767</v>
      </c>
      <c r="W823" s="645" t="str">
        <f>IFERROR(IF(AND($AB823&gt;=0.1*$AA823,MOD($AB823,$AA823)&gt;=($AA823-(0.1*$AA823))),IF($W$17=$AF$1,"Zvažte možnost doobjednání ještě "&amp;Tabulka1[[#This Row],[VKPAL]]-MOD(AB823,AA823)&amp;" VK do plné palety.",VLOOKUP("Zvažte možnost doobjednání ještě ",Jazyky_ceník!A:Q,MATCH($W$17,Jazyky_ceník!$A$1:$Q$1,0),FALSE)&amp;Tabulka1[[#This Row],[VKPAL]]-MOD(AB823,AA823)&amp;VLOOKUP(" VK do plné palety.",Jazyky_ceník!A:Q,MATCH($W$17,Jazyky_ceník!$A$1:$Q$1,0),FALSE)),IFERROR(IF(AND(NOT(MOD($AB823,$AA823)=0),$AB823&gt;=0.9*$AA823,MOD($AB823,$AA823)&lt;=0.1*$AA823),IF($W$17=$AF$1,"Zvažte možnost optimalizace objednaného množství podle počtu VK na paletě ==&gt;",VLOOKUP("Zvažte možnost optimalizace objednaného množství podle počtu VK na paletě ==&gt;",Jazyky_ceník!A:Q,MATCH($W$17,Jazyky_ceník!$A$1:$Q$1,0),FALSE)),VLOOKUP('General price list'!$C823,Popisy!A:M,MATCH($W$17,Popisy!$A$7:$M$7,0),FALSE)),"---------------")),IFERROR(VLOOKUP('General price list'!$C823,Popisy!A:M,MATCH($W$17,Popisy!$A$7:$M$7,0),FALSE),"---------------"))</f>
        <v>13 různobarevných efektů</v>
      </c>
      <c r="X823" s="645" t="str">
        <f t="shared" ref="X823" si="2639">IF(AB823&lt;0.0001,"",AB823)</f>
        <v/>
      </c>
      <c r="Y823" s="645" t="str">
        <f t="shared" ref="Y823" si="2640">IF($AL$3=2,IF(OR(AB823&lt;&gt;"",AB823&lt;&gt;0),AU823,""),IF(C823="","",IF(AB823&lt;0.0001,"",IF(B823=0,"",IF(AQ823&lt;AB823,"",AB823)))))</f>
        <v/>
      </c>
      <c r="Z823" s="645" t="str">
        <f>HYPERLINK("https://www.klasekpyrotechnics.cz/c63mm")</f>
        <v>https://www.klasekpyrotechnics.cz/c63mm</v>
      </c>
      <c r="AA823" s="645">
        <f>IFERROR(IF(VLOOKUP(C823,[4]List1!$A:$D,4,FALSE)=0,"",VLOOKUP(C823,[4]List1!$A:$D,4,FALSE)),"")</f>
        <v>21</v>
      </c>
      <c r="AB823" s="646"/>
      <c r="AC823" s="647" t="str">
        <f>IFERROR(IF(VLOOKUP(C823,[1]List1!$A:$D,2,FALSE)="VYPRODÁNO",$V$9,IF(VLOOKUP(C823,[1]List1!$A:$D,2,FALSE)="DOCHÁZÍ",$V$3,VLOOKUP(C823,[1]List1!$A:$D,2,FALSE))),"OFFLINE!")</f>
        <v>SKLADEM</v>
      </c>
      <c r="AD823" s="647" t="str">
        <f ca="1">IF(AP823="NE",$V$10,IF(AC823=$V$3,IF(AQ823&lt;1,$V$8,$V$2&amp;" "&amp;AQ823&amp;" "&amp;$V$1),IF(AC823="SKLADEM",$V$6,IFERROR(IF(OR(AC823-TODAY()&gt;45,VLOOKUP(C823,[1]List1!$A:$E,4,FALSE)=0),AC823,DAY(AC823)&amp;"."&amp;MONTH(AC823)&amp;"."&amp;YEAR(AC823)&amp;" "&amp;$V$4&amp;VLOOKUP(C823,[1]List1!$A:$E,4,FALSE)&amp;" "&amp;$V$1),AC823))))</f>
        <v>SKLADEM</v>
      </c>
      <c r="AE823" s="645" t="str">
        <f t="shared" ref="AE823" ca="1" si="2641">IFERROR(IF(AV823&lt;&gt;"",AV823,AD823),AD823)</f>
        <v>SKLADEM</v>
      </c>
      <c r="AF823" s="648">
        <f t="shared" ref="AF823" si="2642">IFERROR(IF(AB823=Y823,G823*I823*Y823,0),0)</f>
        <v>0</v>
      </c>
      <c r="AG823" s="649">
        <f t="shared" ref="AG823" si="2643">IF($W$17=$AF$8,AH823*1.23,AF823*1.21)</f>
        <v>0</v>
      </c>
      <c r="AH823" s="650">
        <f t="shared" ref="AH823" si="2644">IFERROR(IF(Y823=AB823,H823*I823*Y823,0),0)</f>
        <v>0</v>
      </c>
      <c r="AI823" s="645">
        <f t="shared" ref="AI823" si="2645">IFERROR(IF(Y823=AB823,(P823*Y823)/1000,1),0)</f>
        <v>0</v>
      </c>
      <c r="AJ823" s="645">
        <f t="shared" ref="AJ823" si="2646">IFERROR(IF(Y823=AB823,N823*Y823,0.1),0)</f>
        <v>0</v>
      </c>
      <c r="AK823" s="645" t="str">
        <f t="shared" ref="AK823" si="2647">IFERROR(IF(Y823=AB823,IF(M823="1.1G",(O823/1000)*Y823,""),""),0)</f>
        <v/>
      </c>
      <c r="AL823" s="645">
        <f t="shared" ref="AL823" si="2648">IFERROR(IF(Y823=AB823,IF(M823="1.3G",(O823/1000)*AB823,""),""),0)</f>
        <v>0</v>
      </c>
      <c r="AM823" s="645" t="str">
        <f t="shared" ref="AM823" si="2649">IFERROR(IF(Y823=AB823,IF(M823="1.4G",(O823/1000)*AB823,""),""),0)</f>
        <v/>
      </c>
      <c r="AN823" s="651">
        <f t="shared" ref="AN823" si="2650">SUM(AK823:AM823)</f>
        <v>0</v>
      </c>
      <c r="AO823" s="623"/>
      <c r="AP823" s="632" t="str">
        <f t="shared" si="2517"/>
        <v/>
      </c>
      <c r="AQ823" s="633" t="str">
        <f>IF(AC823=$V$3,IF(VLOOKUP(C823,[1]List1!$A:$E,5,FALSE)=0,1,VLOOKUP(C823,[1]List1!$A:$E,5,FALSE)),"")</f>
        <v/>
      </c>
      <c r="AR823" s="625" t="str">
        <f t="shared" si="2518"/>
        <v/>
      </c>
      <c r="AS823" s="634" t="str">
        <f t="shared" si="2519"/>
        <v/>
      </c>
      <c r="AT823" s="625" t="str">
        <f t="shared" si="2520"/>
        <v/>
      </c>
      <c r="AU823" s="638" t="e">
        <f t="shared" si="2521"/>
        <v>#N/A</v>
      </c>
      <c r="AV823" s="625" t="e">
        <f t="shared" si="2522"/>
        <v>#N/A</v>
      </c>
      <c r="AX823" s="625">
        <f>IF(AND('General price list'!$J823="F4",'General price list'!$AB823+0&gt;0),1,0)</f>
        <v>0</v>
      </c>
      <c r="AY823" s="625">
        <f t="shared" si="2523"/>
        <v>1</v>
      </c>
      <c r="AZ823" s="625">
        <f t="shared" si="2524"/>
        <v>0</v>
      </c>
    </row>
    <row r="824" spans="1:52" ht="15" customHeight="1">
      <c r="A824" s="751" t="str">
        <f>Kat.!C824</f>
        <v xml:space="preserve">           Baterie 66 ran, 20 + 25 + 30 + 48 mm moždíř – 1.3G</v>
      </c>
      <c r="B824" s="751"/>
      <c r="C824" s="751"/>
      <c r="D824" s="751"/>
      <c r="E824" s="751"/>
      <c r="F824" s="751"/>
      <c r="G824" s="751"/>
      <c r="H824" s="751"/>
      <c r="I824" s="752"/>
      <c r="J824" s="752"/>
      <c r="K824" s="752" t="s">
        <v>20</v>
      </c>
      <c r="L824" s="753" t="s">
        <v>20</v>
      </c>
      <c r="M824" s="752"/>
      <c r="N824" s="752"/>
      <c r="O824" s="752"/>
      <c r="P824" s="752"/>
      <c r="Q824" s="752"/>
      <c r="R824" s="752"/>
      <c r="S824" s="752"/>
      <c r="T824" s="752"/>
      <c r="U824" s="752"/>
      <c r="V824" s="752"/>
      <c r="W824" s="752"/>
      <c r="X824" s="752"/>
      <c r="Y824" s="752"/>
      <c r="Z824" s="752" t="s">
        <v>20</v>
      </c>
      <c r="AA824" s="752"/>
      <c r="AB824" s="752"/>
      <c r="AC824" s="754"/>
      <c r="AD824" s="752"/>
      <c r="AE824" s="752"/>
      <c r="AF824" s="752"/>
      <c r="AG824" s="752"/>
      <c r="AH824" s="752"/>
      <c r="AI824" s="752"/>
      <c r="AJ824" s="752"/>
      <c r="AK824" s="752"/>
      <c r="AL824" s="752"/>
      <c r="AM824" s="752"/>
      <c r="AN824" s="752"/>
      <c r="AO824" s="623"/>
      <c r="AP824" s="632" t="str">
        <f t="shared" si="2517"/>
        <v/>
      </c>
      <c r="AQ824" s="633" t="str">
        <f>IF(AC824=$V$3,IF(VLOOKUP(C824,[1]List1!$A:$E,5,FALSE)=0,1,VLOOKUP(C824,[1]List1!$A:$E,5,FALSE)),"")</f>
        <v/>
      </c>
      <c r="AR824" s="625" t="str">
        <f t="shared" si="2518"/>
        <v/>
      </c>
      <c r="AS824" s="634" t="str">
        <f t="shared" si="2519"/>
        <v/>
      </c>
      <c r="AT824" s="625" t="str">
        <f t="shared" si="2520"/>
        <v/>
      </c>
      <c r="AU824" s="638" t="e">
        <f t="shared" si="2521"/>
        <v>#N/A</v>
      </c>
      <c r="AV824" s="625" t="e">
        <f t="shared" si="2522"/>
        <v>#N/A</v>
      </c>
      <c r="AX824" s="625">
        <f>IF(AND('General price list'!$J824="F4",'General price list'!$AB824+0&gt;0),1,0)</f>
        <v>0</v>
      </c>
      <c r="AY824" s="625">
        <f t="shared" si="2523"/>
        <v>0</v>
      </c>
      <c r="AZ824" s="625">
        <f t="shared" si="2524"/>
        <v>0</v>
      </c>
    </row>
    <row r="825" spans="1:52" ht="15" customHeight="1">
      <c r="A825" s="639" t="str">
        <f>Kat.!C825</f>
        <v/>
      </c>
      <c r="B825" s="640">
        <f>IF(AND('General price list'!$J825="F4",$AI$1=FALSE),0,IF(AC825="SKLADEM",1,IF(AC825=$V$3,1,0)))</f>
        <v>1</v>
      </c>
      <c r="C825" s="641" t="s">
        <v>1482</v>
      </c>
      <c r="D825" s="642" t="s">
        <v>1483</v>
      </c>
      <c r="E825" s="643" t="s">
        <v>12747</v>
      </c>
      <c r="F825" s="773">
        <f>IFERROR(VLOOKUP(C825,[2]List1!$A:$D,3,FALSE),"NEUVEDENO!")</f>
        <v>1885</v>
      </c>
      <c r="G825" s="770">
        <f t="shared" ref="G825" si="2651">IF($W$17=$AF$8,ROUND((F825)/$F$17,2),(F825)*$B$19)</f>
        <v>1885</v>
      </c>
      <c r="H825" s="767">
        <f t="shared" ref="H825" si="2652">IF($W$17=$AF$8,G825*$B$19,G825/$F$17)</f>
        <v>80.07204359997111</v>
      </c>
      <c r="I825" s="644">
        <f>IFERROR(VLOOKUP(C825,[2]List1!$A:$D,4,FALSE),"NEUVEDENO!")</f>
        <v>2</v>
      </c>
      <c r="J825" s="733" t="s">
        <v>113</v>
      </c>
      <c r="K825" s="645" t="s">
        <v>20</v>
      </c>
      <c r="L825" s="645" t="s">
        <v>20</v>
      </c>
      <c r="M825" s="645" t="s">
        <v>114</v>
      </c>
      <c r="N825" s="645">
        <f>IFERROR(VLOOKUP(C825,[3]List1!$A:$D,4,FALSE),"N/A!")</f>
        <v>5.1749999999999997E-2</v>
      </c>
      <c r="O825" s="645">
        <f>IFERROR(VLOOKUP(C825,[3]List1!$A:$D,3,FALSE),"N/A!")</f>
        <v>1978</v>
      </c>
      <c r="P825" s="645">
        <f>IFERROR(VLOOKUP(C825,[3]List1!$A:$D,2,FALSE),"N/A!")</f>
        <v>16000</v>
      </c>
      <c r="Q825" s="645" t="s">
        <v>11800</v>
      </c>
      <c r="R825" s="645"/>
      <c r="S825" s="645" t="str">
        <f>IF($W$17=$AF$1,"design",IFERROR(VLOOKUP("design",Jazyky_ceník!$A:$Q,MATCH($W$17,Jazyky_ceník!$A$1:$Q$1,0),FALSE),"!!!"))</f>
        <v>design</v>
      </c>
      <c r="T825" s="645">
        <v>70</v>
      </c>
      <c r="U825" s="645" t="s">
        <v>10764</v>
      </c>
      <c r="V825" s="645" t="s">
        <v>10765</v>
      </c>
      <c r="W825" s="645" t="str">
        <f>IFERROR(IF(AND($AB825&gt;=0.1*$AA825,MOD($AB825,$AA825)&gt;=($AA825-(0.1*$AA825))),IF($W$17=$AF$1,"Zvažte možnost doobjednání ještě "&amp;Tabulka1[[#This Row],[VKPAL]]-MOD(AB825,AA825)&amp;" VK do plné palety.",VLOOKUP("Zvažte možnost doobjednání ještě ",Jazyky_ceník!A:Q,MATCH($W$17,Jazyky_ceník!$A$1:$Q$1,0),FALSE)&amp;Tabulka1[[#This Row],[VKPAL]]-MOD(AB825,AA825)&amp;VLOOKUP(" VK do plné palety.",Jazyky_ceník!A:Q,MATCH($W$17,Jazyky_ceník!$A$1:$Q$1,0),FALSE)),IFERROR(IF(AND(NOT(MOD($AB825,$AA825)=0),$AB825&gt;=0.9*$AA825,MOD($AB825,$AA825)&lt;=0.1*$AA825),IF($W$17=$AF$1,"Zvažte možnost optimalizace objednaného množství podle počtu VK na paletě ==&gt;",VLOOKUP("Zvažte možnost optimalizace objednaného množství podle počtu VK na paletě ==&gt;",Jazyky_ceník!A:Q,MATCH($W$17,Jazyky_ceník!$A$1:$Q$1,0),FALSE)),VLOOKUP('General price list'!$C825,Popisy!A:M,MATCH($W$17,Popisy!$A$7:$M$7,0),FALSE)),"---------------")),IFERROR(VLOOKUP('General price list'!$C825,Popisy!A:M,MATCH($W$17,Popisy!$A$7:$M$7,0),FALSE),"---------------"))</f>
        <v>10 různobarevných efektů</v>
      </c>
      <c r="X825" s="645" t="str">
        <f t="shared" ref="X825" si="2653">IF(AB825&lt;0.0001,"",AB825)</f>
        <v/>
      </c>
      <c r="Y825" s="645" t="str">
        <f t="shared" ref="Y825" si="2654">IF($AL$3=2,IF(OR(AB825&lt;&gt;"",AB825&lt;&gt;0),AU825,""),IF(C825="","",IF(AB825&lt;0.0001,"",IF(B825=0,"",IF(AQ825&lt;AB825,"",AB825)))))</f>
        <v/>
      </c>
      <c r="Z825" s="645" t="str">
        <f>HYPERLINK("https://www.klasekpyrotechnics.cz/c66smmo")</f>
        <v>https://www.klasekpyrotechnics.cz/c66smmo</v>
      </c>
      <c r="AA825" s="645">
        <f>IFERROR(IF(VLOOKUP(C825,[4]List1!$A:$D,4,FALSE)=0,"",VLOOKUP(C825,[4]List1!$A:$D,4,FALSE)),"")</f>
        <v>20</v>
      </c>
      <c r="AB825" s="646"/>
      <c r="AC825" s="647" t="str">
        <f>IFERROR(IF(VLOOKUP(C825,[1]List1!$A:$D,2,FALSE)="VYPRODÁNO",$V$9,IF(VLOOKUP(C825,[1]List1!$A:$D,2,FALSE)="DOCHÁZÍ",$V$3,VLOOKUP(C825,[1]List1!$A:$D,2,FALSE))),"OFFLINE!")</f>
        <v>SKLADEM</v>
      </c>
      <c r="AD825" s="647" t="str">
        <f ca="1">IF(AP825="NE",$V$10,IF(AC825=$V$3,IF(AQ825&lt;1,$V$8,$V$2&amp;" "&amp;AQ825&amp;" "&amp;$V$1),IF(AC825="SKLADEM",$V$6,IFERROR(IF(OR(AC825-TODAY()&gt;45,VLOOKUP(C825,[1]List1!$A:$E,4,FALSE)=0),AC825,DAY(AC825)&amp;"."&amp;MONTH(AC825)&amp;"."&amp;YEAR(AC825)&amp;" "&amp;$V$4&amp;VLOOKUP(C825,[1]List1!$A:$E,4,FALSE)&amp;" "&amp;$V$1),AC825))))</f>
        <v>SKLADEM</v>
      </c>
      <c r="AE825" s="645" t="str">
        <f t="shared" ref="AE825" ca="1" si="2655">IFERROR(IF(AV825&lt;&gt;"",AV825,AD825),AD825)</f>
        <v>SKLADEM</v>
      </c>
      <c r="AF825" s="648">
        <f t="shared" ref="AF825" si="2656">IFERROR(IF(AB825=Y825,G825*I825*Y825,0),0)</f>
        <v>0</v>
      </c>
      <c r="AG825" s="649">
        <f t="shared" ref="AG825" si="2657">IF($W$17=$AF$8,AH825*1.23,AF825*1.21)</f>
        <v>0</v>
      </c>
      <c r="AH825" s="650">
        <f t="shared" ref="AH825" si="2658">IFERROR(IF(Y825=AB825,H825*I825*Y825,0),0)</f>
        <v>0</v>
      </c>
      <c r="AI825" s="645">
        <f t="shared" ref="AI825" si="2659">IFERROR(IF(Y825=AB825,(P825*Y825)/1000,1),0)</f>
        <v>0</v>
      </c>
      <c r="AJ825" s="645">
        <f t="shared" ref="AJ825" si="2660">IFERROR(IF(Y825=AB825,N825*Y825,0.1),0)</f>
        <v>0</v>
      </c>
      <c r="AK825" s="645" t="str">
        <f t="shared" ref="AK825" si="2661">IFERROR(IF(Y825=AB825,IF(M825="1.1G",(O825/1000)*Y825,""),""),0)</f>
        <v/>
      </c>
      <c r="AL825" s="645">
        <f t="shared" ref="AL825" si="2662">IFERROR(IF(Y825=AB825,IF(M825="1.3G",(O825/1000)*AB825,""),""),0)</f>
        <v>0</v>
      </c>
      <c r="AM825" s="645" t="str">
        <f t="shared" ref="AM825" si="2663">IFERROR(IF(Y825=AB825,IF(M825="1.4G",(O825/1000)*AB825,""),""),0)</f>
        <v/>
      </c>
      <c r="AN825" s="651">
        <f t="shared" ref="AN825" si="2664">SUM(AK825:AM825)</f>
        <v>0</v>
      </c>
      <c r="AO825" s="623"/>
      <c r="AP825" s="632" t="str">
        <f t="shared" si="2517"/>
        <v/>
      </c>
      <c r="AQ825" s="633" t="str">
        <f>IF(AC825=$V$3,IF(VLOOKUP(C825,[1]List1!$A:$E,5,FALSE)=0,1,VLOOKUP(C825,[1]List1!$A:$E,5,FALSE)),"")</f>
        <v/>
      </c>
      <c r="AR825" s="625" t="str">
        <f t="shared" si="2518"/>
        <v/>
      </c>
      <c r="AS825" s="634" t="str">
        <f t="shared" si="2519"/>
        <v/>
      </c>
      <c r="AT825" s="625" t="str">
        <f t="shared" si="2520"/>
        <v/>
      </c>
      <c r="AU825" s="638" t="e">
        <f t="shared" si="2521"/>
        <v>#N/A</v>
      </c>
      <c r="AV825" s="625" t="e">
        <f t="shared" si="2522"/>
        <v>#N/A</v>
      </c>
      <c r="AX825" s="625">
        <f>IF(AND('General price list'!$J825="F4",'General price list'!$AB825+0&gt;0),1,0)</f>
        <v>0</v>
      </c>
      <c r="AY825" s="625">
        <f t="shared" si="2523"/>
        <v>1</v>
      </c>
      <c r="AZ825" s="625">
        <f t="shared" si="2524"/>
        <v>0</v>
      </c>
    </row>
    <row r="826" spans="1:52" ht="15" customHeight="1">
      <c r="A826" s="751" t="str">
        <f>Kat.!C826</f>
        <v xml:space="preserve">           Složený ohňostroj, multikaliber (30–50 mm) F3 – 1.3G</v>
      </c>
      <c r="B826" s="751"/>
      <c r="C826" s="751"/>
      <c r="D826" s="751"/>
      <c r="E826" s="751"/>
      <c r="F826" s="751"/>
      <c r="G826" s="751"/>
      <c r="H826" s="751"/>
      <c r="I826" s="752"/>
      <c r="J826" s="752"/>
      <c r="K826" s="752" t="s">
        <v>20</v>
      </c>
      <c r="L826" s="753" t="s">
        <v>20</v>
      </c>
      <c r="M826" s="752"/>
      <c r="N826" s="752"/>
      <c r="O826" s="752"/>
      <c r="P826" s="752"/>
      <c r="Q826" s="752"/>
      <c r="R826" s="752"/>
      <c r="S826" s="752"/>
      <c r="T826" s="752"/>
      <c r="U826" s="752"/>
      <c r="V826" s="752"/>
      <c r="W826" s="752"/>
      <c r="X826" s="752"/>
      <c r="Y826" s="752"/>
      <c r="Z826" s="752" t="s">
        <v>20</v>
      </c>
      <c r="AA826" s="752"/>
      <c r="AB826" s="752"/>
      <c r="AC826" s="754"/>
      <c r="AD826" s="752"/>
      <c r="AE826" s="752"/>
      <c r="AF826" s="752"/>
      <c r="AG826" s="752"/>
      <c r="AH826" s="752"/>
      <c r="AI826" s="752"/>
      <c r="AJ826" s="752"/>
      <c r="AK826" s="752"/>
      <c r="AL826" s="752"/>
      <c r="AM826" s="752"/>
      <c r="AN826" s="752"/>
      <c r="AO826" s="623"/>
      <c r="AP826" s="632" t="str">
        <f t="shared" si="2517"/>
        <v/>
      </c>
      <c r="AQ826" s="633" t="str">
        <f>IF(AC826=$V$3,IF(VLOOKUP(C826,[1]List1!$A:$E,5,FALSE)=0,1,VLOOKUP(C826,[1]List1!$A:$E,5,FALSE)),"")</f>
        <v/>
      </c>
      <c r="AR826" s="625" t="str">
        <f t="shared" si="2518"/>
        <v/>
      </c>
      <c r="AS826" s="634" t="str">
        <f t="shared" si="2519"/>
        <v/>
      </c>
      <c r="AT826" s="625" t="str">
        <f t="shared" si="2520"/>
        <v/>
      </c>
      <c r="AU826" s="638" t="e">
        <f t="shared" si="2521"/>
        <v>#N/A</v>
      </c>
      <c r="AV826" s="625" t="e">
        <f t="shared" si="2522"/>
        <v>#N/A</v>
      </c>
      <c r="AX826" s="625">
        <f>IF(AND('General price list'!$J826="F4",'General price list'!$AB826+0&gt;0),1,0)</f>
        <v>0</v>
      </c>
      <c r="AY826" s="625">
        <f t="shared" si="2523"/>
        <v>0</v>
      </c>
      <c r="AZ826" s="625">
        <f t="shared" si="2524"/>
        <v>0</v>
      </c>
    </row>
    <row r="827" spans="1:52" ht="15" customHeight="1">
      <c r="A827" s="639" t="str">
        <f>Kat.!C827</f>
        <v/>
      </c>
      <c r="B827" s="640">
        <f>IF(AND('General price list'!$J827="F4",$AI$1=FALSE),0,IF(AC827="SKLADEM",1,IF(AC827=$V$3,1,0)))</f>
        <v>1</v>
      </c>
      <c r="C827" s="641" t="s">
        <v>2339</v>
      </c>
      <c r="D827" s="642" t="s">
        <v>2340</v>
      </c>
      <c r="E827" s="643" t="s">
        <v>12663</v>
      </c>
      <c r="F827" s="771">
        <f>IFERROR(VLOOKUP(C827,[2]List1!$A:$D,3,FALSE),"NEUVEDENO!")</f>
        <v>3186</v>
      </c>
      <c r="G827" s="768">
        <f t="shared" ref="G827:G831" si="2665">IF($W$17=$AF$8,ROUND((F827)/$F$17,2),(F827)*$B$19)</f>
        <v>3186</v>
      </c>
      <c r="H827" s="765">
        <f t="shared" ref="H827:H831" si="2666">IF($W$17=$AF$8,G827*$B$19,G827/$F$17)</f>
        <v>135.33662117215277</v>
      </c>
      <c r="I827" s="644">
        <f>IFERROR(VLOOKUP(C827,[2]List1!$A:$D,4,FALSE),"NEUVEDENO!")</f>
        <v>1</v>
      </c>
      <c r="J827" s="733" t="s">
        <v>113</v>
      </c>
      <c r="K827" s="645" t="s">
        <v>20</v>
      </c>
      <c r="L827" s="645" t="s">
        <v>20</v>
      </c>
      <c r="M827" s="645" t="s">
        <v>114</v>
      </c>
      <c r="N827" s="645">
        <f>IFERROR(VLOOKUP(C827,[3]List1!$A:$D,4,FALSE),"N/A!")</f>
        <v>3.6477999999999997E-2</v>
      </c>
      <c r="O827" s="645">
        <f>IFERROR(VLOOKUP(C827,[3]List1!$A:$D,3,FALSE),"N/A!")</f>
        <v>1900</v>
      </c>
      <c r="P827" s="645">
        <f>IFERROR(VLOOKUP(C827,[3]List1!$A:$D,2,FALSE),"N/A!")</f>
        <v>14500</v>
      </c>
      <c r="Q827" s="645" t="s">
        <v>11238</v>
      </c>
      <c r="R827" s="645"/>
      <c r="S827" s="645" t="str">
        <f>IF($W$17=$AF$1,"design",IFERROR(VLOOKUP("design",Jazyky_ceník!$A:$Q,MATCH($W$17,Jazyky_ceník!$A$1:$Q$1,0),FALSE),"!!!"))</f>
        <v>design</v>
      </c>
      <c r="T827" s="645">
        <v>80</v>
      </c>
      <c r="U827" s="645" t="s">
        <v>10758</v>
      </c>
      <c r="V827" s="645" t="s">
        <v>10759</v>
      </c>
      <c r="W827" s="645" t="str">
        <f>IFERROR(IF(AND($AB827&gt;=0.1*$AA827,MOD($AB827,$AA827)&gt;=($AA827-(0.1*$AA827))),IF($W$17=$AF$1,"Zvažte možnost doobjednání ještě "&amp;Tabulka1[[#This Row],[VKPAL]]-MOD(AB827,AA827)&amp;" VK do plné palety.",VLOOKUP("Zvažte možnost doobjednání ještě ",Jazyky_ceník!A:Q,MATCH($W$17,Jazyky_ceník!$A$1:$Q$1,0),FALSE)&amp;Tabulka1[[#This Row],[VKPAL]]-MOD(AB827,AA827)&amp;VLOOKUP(" VK do plné palety.",Jazyky_ceník!A:Q,MATCH($W$17,Jazyky_ceník!$A$1:$Q$1,0),FALSE)),IFERROR(IF(AND(NOT(MOD($AB827,$AA827)=0),$AB827&gt;=0.9*$AA827,MOD($AB827,$AA827)&lt;=0.1*$AA827),IF($W$17=$AF$1,"Zvažte možnost optimalizace objednaného množství podle počtu VK na paletě ==&gt;",VLOOKUP("Zvažte možnost optimalizace objednaného množství podle počtu VK na paletě ==&gt;",Jazyky_ceník!A:Q,MATCH($W$17,Jazyky_ceník!$A$1:$Q$1,0),FALSE)),VLOOKUP('General price list'!$C827,Popisy!A:M,MATCH($W$17,Popisy!$A$7:$M$7,0),FALSE)),"---------------")),IFERROR(VLOOKUP('General price list'!$C827,Popisy!A:M,MATCH($W$17,Popisy!$A$7:$M$7,0),FALSE),"---------------"))</f>
        <v>16 různobarevných efektů</v>
      </c>
      <c r="X827" s="645" t="str">
        <f t="shared" ref="X827:X831" si="2667">IF(AB827&lt;0.0001,"",AB827)</f>
        <v/>
      </c>
      <c r="Y827" s="645" t="str">
        <f t="shared" ref="Y827:Y831" si="2668">IF($AL$3=2,IF(OR(AB827&lt;&gt;"",AB827&lt;&gt;0),AU827,""),IF(C827="","",IF(AB827&lt;0.0001,"",IF(B827=0,"",IF(AQ827&lt;AB827,"",AB827)))))</f>
        <v/>
      </c>
      <c r="Z827" s="645" t="str">
        <f>HYPERLINK("https://www.klasekpyrotechnics.cz/c84m12f-c")</f>
        <v>https://www.klasekpyrotechnics.cz/c84m12f-c</v>
      </c>
      <c r="AA827" s="645">
        <f>IFERROR(IF(VLOOKUP(C827,[4]List1!$A:$D,4,FALSE)=0,"",VLOOKUP(C827,[4]List1!$A:$D,4,FALSE)),"")</f>
        <v>30</v>
      </c>
      <c r="AB827" s="646"/>
      <c r="AC827" s="647" t="str">
        <f>IFERROR(IF(VLOOKUP(C827,[1]List1!$A:$D,2,FALSE)="VYPRODÁNO",$V$9,IF(VLOOKUP(C827,[1]List1!$A:$D,2,FALSE)="DOCHÁZÍ",$V$3,VLOOKUP(C827,[1]List1!$A:$D,2,FALSE))),"OFFLINE!")</f>
        <v>SKLADEM</v>
      </c>
      <c r="AD827" s="647" t="str">
        <f ca="1">IF(AP827="NE",$V$10,IF(AC827=$V$3,IF(AQ827&lt;1,$V$8,$V$2&amp;" "&amp;AQ827&amp;" "&amp;$V$1),IF(AC827="SKLADEM",$V$6,IFERROR(IF(OR(AC827-TODAY()&gt;45,VLOOKUP(C827,[1]List1!$A:$E,4,FALSE)=0),AC827,DAY(AC827)&amp;"."&amp;MONTH(AC827)&amp;"."&amp;YEAR(AC827)&amp;" "&amp;$V$4&amp;VLOOKUP(C827,[1]List1!$A:$E,4,FALSE)&amp;" "&amp;$V$1),AC827))))</f>
        <v>SKLADEM</v>
      </c>
      <c r="AE827" s="645" t="str">
        <f t="shared" ref="AE827:AE831" ca="1" si="2669">IFERROR(IF(AV827&lt;&gt;"",AV827,AD827),AD827)</f>
        <v>SKLADEM</v>
      </c>
      <c r="AF827" s="648">
        <f t="shared" ref="AF827:AF831" si="2670">IFERROR(IF(AB827=Y827,G827*I827*Y827,0),0)</f>
        <v>0</v>
      </c>
      <c r="AG827" s="649">
        <f t="shared" ref="AG827:AG831" si="2671">IF($W$17=$AF$8,AH827*1.23,AF827*1.21)</f>
        <v>0</v>
      </c>
      <c r="AH827" s="650">
        <f t="shared" ref="AH827:AH831" si="2672">IFERROR(IF(Y827=AB827,H827*I827*Y827,0),0)</f>
        <v>0</v>
      </c>
      <c r="AI827" s="645">
        <f t="shared" ref="AI827:AI831" si="2673">IFERROR(IF(Y827=AB827,(P827*Y827)/1000,1),0)</f>
        <v>0</v>
      </c>
      <c r="AJ827" s="645">
        <f t="shared" ref="AJ827:AJ831" si="2674">IFERROR(IF(Y827=AB827,N827*Y827,0.1),0)</f>
        <v>0</v>
      </c>
      <c r="AK827" s="645" t="str">
        <f t="shared" ref="AK827:AK831" si="2675">IFERROR(IF(Y827=AB827,IF(M827="1.1G",(O827/1000)*Y827,""),""),0)</f>
        <v/>
      </c>
      <c r="AL827" s="645">
        <f t="shared" ref="AL827:AL831" si="2676">IFERROR(IF(Y827=AB827,IF(M827="1.3G",(O827/1000)*AB827,""),""),0)</f>
        <v>0</v>
      </c>
      <c r="AM827" s="645" t="str">
        <f t="shared" ref="AM827:AM831" si="2677">IFERROR(IF(Y827=AB827,IF(M827="1.4G",(O827/1000)*AB827,""),""),0)</f>
        <v/>
      </c>
      <c r="AN827" s="651">
        <f t="shared" ref="AN827:AN831" si="2678">SUM(AK827:AM827)</f>
        <v>0</v>
      </c>
      <c r="AO827" s="623"/>
      <c r="AP827" s="632" t="str">
        <f t="shared" si="2517"/>
        <v/>
      </c>
      <c r="AQ827" s="633" t="str">
        <f>IF(AC827=$V$3,IF(VLOOKUP(C827,[1]List1!$A:$E,5,FALSE)=0,1,VLOOKUP(C827,[1]List1!$A:$E,5,FALSE)),"")</f>
        <v/>
      </c>
      <c r="AR827" s="625" t="str">
        <f t="shared" si="2518"/>
        <v/>
      </c>
      <c r="AS827" s="634" t="str">
        <f t="shared" si="2519"/>
        <v/>
      </c>
      <c r="AT827" s="625" t="str">
        <f t="shared" si="2520"/>
        <v/>
      </c>
      <c r="AU827" s="638" t="e">
        <f t="shared" si="2521"/>
        <v>#N/A</v>
      </c>
      <c r="AV827" s="625" t="e">
        <f t="shared" si="2522"/>
        <v>#N/A</v>
      </c>
      <c r="AX827" s="625">
        <f>IF(AND('General price list'!$J827="F4",'General price list'!$AB827+0&gt;0),1,0)</f>
        <v>0</v>
      </c>
      <c r="AY827" s="625">
        <f t="shared" si="2523"/>
        <v>1</v>
      </c>
      <c r="AZ827" s="625">
        <f t="shared" si="2524"/>
        <v>0</v>
      </c>
    </row>
    <row r="828" spans="1:52" ht="15.75" customHeight="1">
      <c r="A828" s="621" t="str">
        <f>Kat.!C828</f>
        <v/>
      </c>
      <c r="B828" s="566">
        <f>IF(AND('General price list'!$J828="F4",$AI$1=FALSE),0,IF(AC828="SKLADEM",1,IF(AC828=$V$3,1,0)))</f>
        <v>1</v>
      </c>
      <c r="C828" s="567" t="s">
        <v>1512</v>
      </c>
      <c r="D828" s="568" t="s">
        <v>12572</v>
      </c>
      <c r="E828" s="763" t="s">
        <v>12663</v>
      </c>
      <c r="F828" s="772">
        <f>IFERROR(VLOOKUP(C828,[2]List1!$A:$D,3,FALSE),"NEUVEDENO!")</f>
        <v>3899</v>
      </c>
      <c r="G828" s="769">
        <f t="shared" si="2665"/>
        <v>3899</v>
      </c>
      <c r="H828" s="766">
        <f t="shared" si="2666"/>
        <v>165.62381856566969</v>
      </c>
      <c r="I828" s="764">
        <f>IFERROR(VLOOKUP(C828,[2]List1!$A:$D,4,FALSE),"NEUVEDENO!")</f>
        <v>1</v>
      </c>
      <c r="J828" s="732" t="s">
        <v>113</v>
      </c>
      <c r="K828" s="569" t="s">
        <v>20</v>
      </c>
      <c r="L828" s="569" t="s">
        <v>20</v>
      </c>
      <c r="M828" s="569" t="s">
        <v>114</v>
      </c>
      <c r="N828" s="569">
        <f>IFERROR(VLOOKUP(C828,[3]List1!$A:$D,4,FALSE),"N/A!")</f>
        <v>4.5589499999999998E-2</v>
      </c>
      <c r="O828" s="569">
        <f>IFERROR(VLOOKUP(C828,[3]List1!$A:$D,3,FALSE),"N/A!")</f>
        <v>1998</v>
      </c>
      <c r="P828" s="569">
        <f>IFERROR(VLOOKUP(C828,[3]List1!$A:$D,2,FALSE),"N/A!")</f>
        <v>16000</v>
      </c>
      <c r="Q828" s="569" t="s">
        <v>11339</v>
      </c>
      <c r="R828" s="569" t="s">
        <v>20</v>
      </c>
      <c r="S828" s="569" t="str">
        <f>IF($W$17=$AF$1,"červená fólie",IFERROR(VLOOKUP("červená fólie",Jazyky_ceník!$A:$Q,MATCH($W$17,Jazyky_ceník!$A$1:$Q$1,0),FALSE),"!!!"))</f>
        <v>červená fólie</v>
      </c>
      <c r="T828" s="569">
        <v>80</v>
      </c>
      <c r="U828" s="569" t="s">
        <v>10758</v>
      </c>
      <c r="V828" s="569" t="s">
        <v>10759</v>
      </c>
      <c r="W828" s="569" t="str">
        <f>IFERROR(IF(AND($AB828&gt;=0.1*$AA828,MOD($AB828,$AA828)&gt;=($AA828-(0.1*$AA828))),IF($W$17=$AF$1,"Zvažte možnost doobjednání ještě "&amp;Tabulka1[[#This Row],[VKPAL]]-MOD(AB828,AA828)&amp;" VK do plné palety.",VLOOKUP("Zvažte možnost doobjednání ještě ",Jazyky_ceník!A:Q,MATCH($W$17,Jazyky_ceník!$A$1:$Q$1,0),FALSE)&amp;Tabulka1[[#This Row],[VKPAL]]-MOD(AB828,AA828)&amp;VLOOKUP(" VK do plné palety.",Jazyky_ceník!A:Q,MATCH($W$17,Jazyky_ceník!$A$1:$Q$1,0),FALSE)),IFERROR(IF(AND(NOT(MOD($AB828,$AA828)=0),$AB828&gt;=0.9*$AA828,MOD($AB828,$AA828)&lt;=0.1*$AA828),IF($W$17=$AF$1,"Zvažte možnost optimalizace objednaného množství podle počtu VK na paletě ==&gt;",VLOOKUP("Zvažte možnost optimalizace objednaného množství podle počtu VK na paletě ==&gt;",Jazyky_ceník!A:Q,MATCH($W$17,Jazyky_ceník!$A$1:$Q$1,0),FALSE)),VLOOKUP('General price list'!$C828,Popisy!A:M,MATCH($W$17,Popisy!$A$7:$M$7,0),FALSE)),"---------------")),IFERROR(VLOOKUP('General price list'!$C828,Popisy!A:M,MATCH($W$17,Popisy!$A$7:$M$7,0),FALSE),"---------------"))</f>
        <v>16 různobarevných efektů</v>
      </c>
      <c r="X828" s="569" t="str">
        <f t="shared" si="2667"/>
        <v/>
      </c>
      <c r="Y828" s="569" t="str">
        <f t="shared" si="2668"/>
        <v/>
      </c>
      <c r="Z828" s="569" t="str">
        <f>HYPERLINK("https://www.klasekpyrotechnics.cz/c84mc-c")</f>
        <v>https://www.klasekpyrotechnics.cz/c84mc-c</v>
      </c>
      <c r="AA828" s="569">
        <f>IFERROR(IF(VLOOKUP(C828,[4]List1!$A:$D,4,FALSE)=0,"",VLOOKUP(C828,[4]List1!$A:$D,4,FALSE)),"")</f>
        <v>24</v>
      </c>
      <c r="AB828" s="565"/>
      <c r="AC828" s="570" t="str">
        <f>IFERROR(IF(VLOOKUP(C828,[1]List1!$A:$D,2,FALSE)="VYPRODÁNO",$V$9,IF(VLOOKUP(C828,[1]List1!$A:$D,2,FALSE)="DOCHÁZÍ",$V$3,VLOOKUP(C828,[1]List1!$A:$D,2,FALSE))),"OFFLINE!")</f>
        <v>DOCHÁZÍ</v>
      </c>
      <c r="AD828" s="570" t="str">
        <f ca="1">IF(AP828="NE",$V$10,IF(AC828=$V$3,IF(AQ828&lt;1,$V$8,$V$2&amp;" "&amp;AQ828&amp;" "&amp;$V$1),IF(AC828="SKLADEM",$V$6,IFERROR(IF(OR(AC828-TODAY()&gt;45,VLOOKUP(C828,[1]List1!$A:$E,4,FALSE)=0),AC828,DAY(AC828)&amp;"."&amp;MONTH(AC828)&amp;"."&amp;YEAR(AC828)&amp;" "&amp;$V$4&amp;VLOOKUP(C828,[1]List1!$A:$E,4,FALSE)&amp;" "&amp;$V$1),AC828))))</f>
        <v>POSLEDNÍCH 17 VK</v>
      </c>
      <c r="AE828" s="581" t="str">
        <f t="shared" ca="1" si="2669"/>
        <v>POSLEDNÍCH 17 VK</v>
      </c>
      <c r="AF828" s="584">
        <f t="shared" si="2670"/>
        <v>0</v>
      </c>
      <c r="AG828" s="585">
        <f t="shared" si="2671"/>
        <v>0</v>
      </c>
      <c r="AH828" s="583">
        <f t="shared" si="2672"/>
        <v>0</v>
      </c>
      <c r="AI828" s="582">
        <f t="shared" si="2673"/>
        <v>0</v>
      </c>
      <c r="AJ828" s="569">
        <f t="shared" si="2674"/>
        <v>0</v>
      </c>
      <c r="AK828" s="569" t="str">
        <f t="shared" si="2675"/>
        <v/>
      </c>
      <c r="AL828" s="569">
        <f t="shared" si="2676"/>
        <v>0</v>
      </c>
      <c r="AM828" s="569" t="str">
        <f t="shared" si="2677"/>
        <v/>
      </c>
      <c r="AN828" s="581">
        <f t="shared" si="2678"/>
        <v>0</v>
      </c>
      <c r="AO828" s="623"/>
      <c r="AP828" s="625" t="str">
        <f t="shared" si="2517"/>
        <v/>
      </c>
      <c r="AQ828" s="625">
        <f>IF(AC828=$V$3,IF(VLOOKUP(C828,[1]List1!$A:$E,5,FALSE)=0,1,VLOOKUP(C828,[1]List1!$A:$E,5,FALSE)),"")</f>
        <v>17</v>
      </c>
      <c r="AR828" s="629" t="str">
        <f t="shared" si="2518"/>
        <v/>
      </c>
      <c r="AS828" s="630" t="str">
        <f t="shared" si="2519"/>
        <v/>
      </c>
      <c r="AT828" s="625" t="str">
        <f t="shared" si="2520"/>
        <v/>
      </c>
      <c r="AU828" s="625" t="e">
        <f t="shared" si="2521"/>
        <v>#N/A</v>
      </c>
      <c r="AV828" s="625" t="e">
        <f t="shared" si="2522"/>
        <v>#N/A</v>
      </c>
      <c r="AW828" s="631"/>
      <c r="AX828" s="631">
        <f>IF(AND('General price list'!$J828="F4",'General price list'!$AB828+0&gt;0),1,0)</f>
        <v>0</v>
      </c>
      <c r="AY828" s="631">
        <f t="shared" si="2523"/>
        <v>1</v>
      </c>
      <c r="AZ828" s="631">
        <f t="shared" si="2524"/>
        <v>0</v>
      </c>
    </row>
    <row r="829" spans="1:52" ht="15.75" customHeight="1">
      <c r="A829" s="639" t="str">
        <f>Kat.!C829</f>
        <v/>
      </c>
      <c r="B829" s="640">
        <f>IF(AND('General price list'!$J829="F4",$AI$1=FALSE),0,IF(AC829="SKLADEM",1,IF(AC829=$V$3,1,0)))</f>
        <v>1</v>
      </c>
      <c r="C829" s="641" t="s">
        <v>1516</v>
      </c>
      <c r="D829" s="642" t="s">
        <v>11741</v>
      </c>
      <c r="E829" s="643" t="s">
        <v>12663</v>
      </c>
      <c r="F829" s="771">
        <f>IFERROR(VLOOKUP(C829,[2]List1!$A:$D,3,FALSE),"NEUVEDENO!")</f>
        <v>6543</v>
      </c>
      <c r="G829" s="768">
        <f t="shared" si="2665"/>
        <v>6543</v>
      </c>
      <c r="H829" s="765">
        <f t="shared" si="2666"/>
        <v>277.93707229422336</v>
      </c>
      <c r="I829" s="644">
        <f>IFERROR(VLOOKUP(C829,[2]List1!$A:$D,4,FALSE),"NEUVEDENO!")</f>
        <v>1</v>
      </c>
      <c r="J829" s="733" t="s">
        <v>113</v>
      </c>
      <c r="K829" s="645" t="s">
        <v>20</v>
      </c>
      <c r="L829" s="645" t="s">
        <v>20</v>
      </c>
      <c r="M829" s="645" t="s">
        <v>114</v>
      </c>
      <c r="N829" s="645">
        <f>IFERROR(VLOOKUP(C829,[3]List1!$A:$D,4,FALSE),"N/A!")</f>
        <v>9.8549999999999999E-2</v>
      </c>
      <c r="O829" s="645">
        <f>IFERROR(VLOOKUP(C829,[3]List1!$A:$D,3,FALSE),"N/A!")</f>
        <v>2998</v>
      </c>
      <c r="P829" s="645">
        <f>IFERROR(VLOOKUP(C829,[3]List1!$A:$D,2,FALSE),"N/A!")</f>
        <v>28600</v>
      </c>
      <c r="Q829" s="645" t="s">
        <v>11340</v>
      </c>
      <c r="R829" s="645"/>
      <c r="S829" s="645" t="str">
        <f>IF($W$17=$AF$1,"červená fólie",IFERROR(VLOOKUP("červená fólie",Jazyky_ceník!$A:$Q,MATCH($W$17,Jazyky_ceník!$A$1:$Q$1,0),FALSE),"!!!"))</f>
        <v>červená fólie</v>
      </c>
      <c r="T829" s="645">
        <v>135</v>
      </c>
      <c r="U829" s="645" t="s">
        <v>10768</v>
      </c>
      <c r="V829" s="645" t="s">
        <v>10769</v>
      </c>
      <c r="W829" s="645" t="str">
        <f>IFERROR(IF(AND($AB829&gt;=0.1*$AA829,MOD($AB829,$AA829)&gt;=($AA829-(0.1*$AA829))),IF($W$17=$AF$1,"Zvažte možnost doobjednání ještě "&amp;Tabulka1[[#This Row],[VKPAL]]-MOD(AB829,AA829)&amp;" VK do plné palety.",VLOOKUP("Zvažte možnost doobjednání ještě ",Jazyky_ceník!A:Q,MATCH($W$17,Jazyky_ceník!$A$1:$Q$1,0),FALSE)&amp;Tabulka1[[#This Row],[VKPAL]]-MOD(AB829,AA829)&amp;VLOOKUP(" VK do plné palety.",Jazyky_ceník!A:Q,MATCH($W$17,Jazyky_ceník!$A$1:$Q$1,0),FALSE)),IFERROR(IF(AND(NOT(MOD($AB829,$AA829)=0),$AB829&gt;=0.9*$AA829,MOD($AB829,$AA829)&lt;=0.1*$AA829),IF($W$17=$AF$1,"Zvažte možnost optimalizace objednaného množství podle počtu VK na paletě ==&gt;",VLOOKUP("Zvažte možnost optimalizace objednaného množství podle počtu VK na paletě ==&gt;",Jazyky_ceník!A:Q,MATCH($W$17,Jazyky_ceník!$A$1:$Q$1,0),FALSE)),VLOOKUP('General price list'!$C829,Popisy!A:M,MATCH($W$17,Popisy!$A$7:$M$7,0),FALSE)),"---------------")),IFERROR(VLOOKUP('General price list'!$C829,Popisy!A:M,MATCH($W$17,Popisy!$A$7:$M$7,0),FALSE),"---------------"))</f>
        <v>21 různobarevných efektů</v>
      </c>
      <c r="X829" s="645" t="str">
        <f t="shared" si="2667"/>
        <v/>
      </c>
      <c r="Y829" s="645" t="str">
        <f t="shared" si="2668"/>
        <v/>
      </c>
      <c r="Z829" s="645" t="str">
        <f>HYPERLINK("https://www.klasekpyrotechnics.cz/c175msig-c")</f>
        <v>https://www.klasekpyrotechnics.cz/c175msig-c</v>
      </c>
      <c r="AA829" s="645" t="str">
        <f>IFERROR(IF(VLOOKUP(C829,[4]List1!$A:$D,4,FALSE)=0,"",VLOOKUP(C829,[4]List1!$A:$D,4,FALSE)),"")</f>
        <v>15</v>
      </c>
      <c r="AB829" s="646"/>
      <c r="AC829" s="647" t="str">
        <f>IFERROR(IF(VLOOKUP(C829,[1]List1!$A:$D,2,FALSE)="VYPRODÁNO",$V$9,IF(VLOOKUP(C829,[1]List1!$A:$D,2,FALSE)="DOCHÁZÍ",$V$3,VLOOKUP(C829,[1]List1!$A:$D,2,FALSE))),"OFFLINE!")</f>
        <v>SKLADEM</v>
      </c>
      <c r="AD829" s="647" t="str">
        <f ca="1">IF(AP829="NE",$V$10,IF(AC829=$V$3,IF(AQ829&lt;1,$V$8,$V$2&amp;" "&amp;AQ829&amp;" "&amp;$V$1),IF(AC829="SKLADEM",$V$6,IFERROR(IF(OR(AC829-TODAY()&gt;45,VLOOKUP(C829,[1]List1!$A:$E,4,FALSE)=0),AC829,DAY(AC829)&amp;"."&amp;MONTH(AC829)&amp;"."&amp;YEAR(AC829)&amp;" "&amp;$V$4&amp;VLOOKUP(C829,[1]List1!$A:$E,4,FALSE)&amp;" "&amp;$V$1),AC829))))</f>
        <v>SKLADEM</v>
      </c>
      <c r="AE829" s="645" t="str">
        <f t="shared" ca="1" si="2669"/>
        <v>SKLADEM</v>
      </c>
      <c r="AF829" s="648">
        <f t="shared" si="2670"/>
        <v>0</v>
      </c>
      <c r="AG829" s="649">
        <f t="shared" si="2671"/>
        <v>0</v>
      </c>
      <c r="AH829" s="650">
        <f t="shared" si="2672"/>
        <v>0</v>
      </c>
      <c r="AI829" s="645">
        <f t="shared" si="2673"/>
        <v>0</v>
      </c>
      <c r="AJ829" s="645">
        <f t="shared" si="2674"/>
        <v>0</v>
      </c>
      <c r="AK829" s="645" t="str">
        <f t="shared" si="2675"/>
        <v/>
      </c>
      <c r="AL829" s="645">
        <f t="shared" si="2676"/>
        <v>0</v>
      </c>
      <c r="AM829" s="645" t="str">
        <f t="shared" si="2677"/>
        <v/>
      </c>
      <c r="AN829" s="651">
        <f t="shared" si="2678"/>
        <v>0</v>
      </c>
      <c r="AO829" s="623"/>
      <c r="AP829" s="625" t="str">
        <f t="shared" si="2517"/>
        <v/>
      </c>
      <c r="AQ829" s="625" t="str">
        <f>IF(AC829=$V$3,IF(VLOOKUP(C829,[1]List1!$A:$E,5,FALSE)=0,1,VLOOKUP(C829,[1]List1!$A:$E,5,FALSE)),"")</f>
        <v/>
      </c>
      <c r="AR829" s="629" t="str">
        <f t="shared" si="2518"/>
        <v/>
      </c>
      <c r="AS829" s="630" t="str">
        <f t="shared" si="2519"/>
        <v/>
      </c>
      <c r="AT829" s="625" t="str">
        <f t="shared" si="2520"/>
        <v/>
      </c>
      <c r="AU829" s="625" t="e">
        <f t="shared" si="2521"/>
        <v>#N/A</v>
      </c>
      <c r="AV829" s="625" t="e">
        <f t="shared" si="2522"/>
        <v>#N/A</v>
      </c>
      <c r="AW829" s="631"/>
      <c r="AX829" s="631">
        <f>IF(AND('General price list'!$J829="F4",'General price list'!$AB829+0&gt;0),1,0)</f>
        <v>0</v>
      </c>
      <c r="AY829" s="631">
        <f t="shared" si="2523"/>
        <v>1</v>
      </c>
      <c r="AZ829" s="631">
        <f t="shared" si="2524"/>
        <v>0</v>
      </c>
    </row>
    <row r="830" spans="1:52" ht="15.75" customHeight="1">
      <c r="A830" s="621" t="str">
        <f>Kat.!C830</f>
        <v>×</v>
      </c>
      <c r="B830" s="566">
        <f>IF(AND('General price list'!$J830="F4",$AI$1=FALSE),0,IF(AC830="SKLADEM",1,IF(AC830=$V$3,1,0)))</f>
        <v>1</v>
      </c>
      <c r="C830" s="567" t="s">
        <v>2342</v>
      </c>
      <c r="D830" s="568" t="s">
        <v>12433</v>
      </c>
      <c r="E830" s="763" t="s">
        <v>12663</v>
      </c>
      <c r="F830" s="772">
        <f>IFERROR(VLOOKUP(C830,[2]List1!$A:$D,3,FALSE),"NEUVEDENO!")</f>
        <v>7999</v>
      </c>
      <c r="G830" s="769">
        <f t="shared" si="2665"/>
        <v>7999</v>
      </c>
      <c r="H830" s="766">
        <f t="shared" si="2666"/>
        <v>339.78582321282175</v>
      </c>
      <c r="I830" s="764">
        <f>IFERROR(VLOOKUP(C830,[2]List1!$A:$D,4,FALSE),"NEUVEDENO!")</f>
        <v>1</v>
      </c>
      <c r="J830" s="732" t="s">
        <v>113</v>
      </c>
      <c r="K830" s="569" t="s">
        <v>20</v>
      </c>
      <c r="L830" s="569" t="s">
        <v>20</v>
      </c>
      <c r="M830" s="569" t="s">
        <v>114</v>
      </c>
      <c r="N830" s="569">
        <f>IFERROR(VLOOKUP(C830,[3]List1!$A:$D,4,FALSE),"N/A!")</f>
        <v>0.13120380000000001</v>
      </c>
      <c r="O830" s="569">
        <f>IFERROR(VLOOKUP(C830,[3]List1!$A:$D,3,FALSE),"N/A!")</f>
        <v>3999</v>
      </c>
      <c r="P830" s="569">
        <f>IFERROR(VLOOKUP(C830,[3]List1!$A:$D,2,FALSE),"N/A!")</f>
        <v>37900</v>
      </c>
      <c r="Q830" s="569" t="s">
        <v>11341</v>
      </c>
      <c r="R830" s="569" t="s">
        <v>20</v>
      </c>
      <c r="S830" s="569" t="str">
        <f>IF($W$17=$AF$1,"červená fólie",IFERROR(VLOOKUP("červená fólie",Jazyky_ceník!$A:$Q,MATCH($W$17,Jazyky_ceník!$A$1:$Q$1,0),FALSE),"!!!"))</f>
        <v>červená fólie</v>
      </c>
      <c r="T830" s="569">
        <v>160</v>
      </c>
      <c r="U830" s="569" t="s">
        <v>10758</v>
      </c>
      <c r="V830" s="569" t="s">
        <v>10770</v>
      </c>
      <c r="W830" s="569" t="str">
        <f>IFERROR(IF(AND($AB830&gt;=0.1*$AA830,MOD($AB830,$AA830)&gt;=($AA830-(0.1*$AA830))),IF($W$17=$AF$1,"Zvažte možnost doobjednání ještě "&amp;Tabulka1[[#This Row],[VKPAL]]-MOD(AB830,AA830)&amp;" VK do plné palety.",VLOOKUP("Zvažte možnost doobjednání ještě ",Jazyky_ceník!A:Q,MATCH($W$17,Jazyky_ceník!$A$1:$Q$1,0),FALSE)&amp;Tabulka1[[#This Row],[VKPAL]]-MOD(AB830,AA830)&amp;VLOOKUP(" VK do plné palety.",Jazyky_ceník!A:Q,MATCH($W$17,Jazyky_ceník!$A$1:$Q$1,0),FALSE)),IFERROR(IF(AND(NOT(MOD($AB830,$AA830)=0),$AB830&gt;=0.9*$AA830,MOD($AB830,$AA830)&lt;=0.1*$AA830),IF($W$17=$AF$1,"Zvažte možnost optimalizace objednaného množství podle počtu VK na paletě ==&gt;",VLOOKUP("Zvažte možnost optimalizace objednaného množství podle počtu VK na paletě ==&gt;",Jazyky_ceník!A:Q,MATCH($W$17,Jazyky_ceník!$A$1:$Q$1,0),FALSE)),VLOOKUP('General price list'!$C830,Popisy!A:M,MATCH($W$17,Popisy!$A$7:$M$7,0),FALSE)),"---------------")),IFERROR(VLOOKUP('General price list'!$C830,Popisy!A:M,MATCH($W$17,Popisy!$A$7:$M$7,0),FALSE),"---------------"))</f>
        <v>26 různobarevných efektů</v>
      </c>
      <c r="X830" s="569" t="str">
        <f t="shared" si="2667"/>
        <v/>
      </c>
      <c r="Y830" s="569" t="str">
        <f t="shared" si="2668"/>
        <v/>
      </c>
      <c r="Z830" s="569" t="str">
        <f>HYPERLINK("https://www.klasekpyrotechnics.cz/c222mnpt-c")</f>
        <v>https://www.klasekpyrotechnics.cz/c222mnpt-c</v>
      </c>
      <c r="AA830" s="569">
        <f>IFERROR(IF(VLOOKUP(C830,[4]List1!$A:$D,4,FALSE)=0,"",VLOOKUP(C830,[4]List1!$A:$D,4,FALSE)),"")</f>
        <v>6</v>
      </c>
      <c r="AB830" s="565"/>
      <c r="AC830" s="570" t="str">
        <f>IFERROR(IF(VLOOKUP(C830,[1]List1!$A:$D,2,FALSE)="VYPRODÁNO",$V$9,IF(VLOOKUP(C830,[1]List1!$A:$D,2,FALSE)="DOCHÁZÍ",$V$3,VLOOKUP(C830,[1]List1!$A:$D,2,FALSE))),"OFFLINE!")</f>
        <v>SKLADEM</v>
      </c>
      <c r="AD830" s="570" t="str">
        <f ca="1">IF(AP830="NE",$V$10,IF(AC830=$V$3,IF(AQ830&lt;1,$V$8,$V$2&amp;" "&amp;AQ830&amp;" "&amp;$V$1),IF(AC830="SKLADEM",$V$6,IFERROR(IF(OR(AC830-TODAY()&gt;45,VLOOKUP(C830,[1]List1!$A:$E,4,FALSE)=0),AC830,DAY(AC830)&amp;"."&amp;MONTH(AC830)&amp;"."&amp;YEAR(AC830)&amp;" "&amp;$V$4&amp;VLOOKUP(C830,[1]List1!$A:$E,4,FALSE)&amp;" "&amp;$V$1),AC830))))</f>
        <v>SKLADEM</v>
      </c>
      <c r="AE830" s="581" t="str">
        <f t="shared" ca="1" si="2669"/>
        <v>SKLADEM</v>
      </c>
      <c r="AF830" s="584">
        <f t="shared" si="2670"/>
        <v>0</v>
      </c>
      <c r="AG830" s="585">
        <f t="shared" si="2671"/>
        <v>0</v>
      </c>
      <c r="AH830" s="583">
        <f t="shared" si="2672"/>
        <v>0</v>
      </c>
      <c r="AI830" s="582">
        <f t="shared" si="2673"/>
        <v>0</v>
      </c>
      <c r="AJ830" s="569">
        <f t="shared" si="2674"/>
        <v>0</v>
      </c>
      <c r="AK830" s="569" t="str">
        <f t="shared" si="2675"/>
        <v/>
      </c>
      <c r="AL830" s="569">
        <f t="shared" si="2676"/>
        <v>0</v>
      </c>
      <c r="AM830" s="569" t="str">
        <f t="shared" si="2677"/>
        <v/>
      </c>
      <c r="AN830" s="581">
        <f t="shared" si="2678"/>
        <v>0</v>
      </c>
      <c r="AO830" s="623"/>
      <c r="AP830" s="625" t="str">
        <f t="shared" si="2517"/>
        <v/>
      </c>
      <c r="AQ830" s="625" t="str">
        <f>IF(AC830=$V$3,IF(VLOOKUP(C830,[1]List1!$A:$E,5,FALSE)=0,1,VLOOKUP(C830,[1]List1!$A:$E,5,FALSE)),"")</f>
        <v/>
      </c>
      <c r="AR830" s="629" t="str">
        <f t="shared" si="2518"/>
        <v/>
      </c>
      <c r="AS830" s="630" t="str">
        <f t="shared" si="2519"/>
        <v/>
      </c>
      <c r="AT830" s="625" t="str">
        <f t="shared" si="2520"/>
        <v/>
      </c>
      <c r="AU830" s="625" t="e">
        <f t="shared" si="2521"/>
        <v>#N/A</v>
      </c>
      <c r="AV830" s="625" t="e">
        <f t="shared" si="2522"/>
        <v>#N/A</v>
      </c>
      <c r="AW830" s="631"/>
      <c r="AX830" s="631">
        <f>IF(AND('General price list'!$J830="F4",'General price list'!$AB830+0&gt;0),1,0)</f>
        <v>0</v>
      </c>
      <c r="AY830" s="631">
        <f t="shared" si="2523"/>
        <v>1</v>
      </c>
      <c r="AZ830" s="631">
        <f t="shared" si="2524"/>
        <v>0</v>
      </c>
    </row>
    <row r="831" spans="1:52" ht="15" customHeight="1">
      <c r="A831" s="639" t="str">
        <f>Kat.!C831</f>
        <v/>
      </c>
      <c r="B831" s="640">
        <f>IF(AND('General price list'!$J831="F4",$AI$1=FALSE),0,IF(AC831="SKLADEM",1,IF(AC831=$V$3,1,0)))</f>
        <v>1</v>
      </c>
      <c r="C831" s="641" t="s">
        <v>1517</v>
      </c>
      <c r="D831" s="642" t="s">
        <v>11219</v>
      </c>
      <c r="E831" s="643" t="s">
        <v>12663</v>
      </c>
      <c r="F831" s="773">
        <f>IFERROR(VLOOKUP(C831,[2]List1!$A:$D,3,FALSE),"NEUVEDENO!")</f>
        <v>7799</v>
      </c>
      <c r="G831" s="770">
        <f t="shared" si="2665"/>
        <v>7799</v>
      </c>
      <c r="H831" s="767">
        <f t="shared" si="2666"/>
        <v>331.2901156690582</v>
      </c>
      <c r="I831" s="644">
        <f>IFERROR(VLOOKUP(C831,[2]List1!$A:$D,4,FALSE),"NEUVEDENO!")</f>
        <v>1</v>
      </c>
      <c r="J831" s="733" t="s">
        <v>113</v>
      </c>
      <c r="K831" s="645" t="s">
        <v>20</v>
      </c>
      <c r="L831" s="645" t="s">
        <v>20</v>
      </c>
      <c r="M831" s="645" t="s">
        <v>114</v>
      </c>
      <c r="N831" s="645">
        <f>IFERROR(VLOOKUP(C831,[3]List1!$A:$D,4,FALSE),"N/A!")</f>
        <v>0.13120380000000001</v>
      </c>
      <c r="O831" s="645">
        <f>IFERROR(VLOOKUP(C831,[3]List1!$A:$D,3,FALSE),"N/A!")</f>
        <v>3999</v>
      </c>
      <c r="P831" s="645">
        <f>IFERROR(VLOOKUP(C831,[3]List1!$A:$D,2,FALSE),"N/A!")</f>
        <v>39000</v>
      </c>
      <c r="Q831" s="645" t="s">
        <v>11341</v>
      </c>
      <c r="R831" s="645"/>
      <c r="S831" s="645" t="str">
        <f>IF($W$17=$AF$1,"červená fólie",IFERROR(VLOOKUP("červená fólie",Jazyky_ceník!$A:$Q,MATCH($W$17,Jazyky_ceník!$A$1:$Q$1,0),FALSE),"!!!"))</f>
        <v>červená fólie</v>
      </c>
      <c r="T831" s="645">
        <v>180</v>
      </c>
      <c r="U831" s="645" t="s">
        <v>10758</v>
      </c>
      <c r="V831" s="645" t="s">
        <v>10759</v>
      </c>
      <c r="W831" s="645" t="str">
        <f>IFERROR(IF(AND($AB831&gt;=0.1*$AA831,MOD($AB831,$AA831)&gt;=($AA831-(0.1*$AA831))),IF($W$17=$AF$1,"Zvažte možnost doobjednání ještě "&amp;Tabulka1[[#This Row],[VKPAL]]-MOD(AB831,AA831)&amp;" VK do plné palety.",VLOOKUP("Zvažte možnost doobjednání ještě ",Jazyky_ceník!A:Q,MATCH($W$17,Jazyky_ceník!$A$1:$Q$1,0),FALSE)&amp;Tabulka1[[#This Row],[VKPAL]]-MOD(AB831,AA831)&amp;VLOOKUP(" VK do plné palety.",Jazyky_ceník!A:Q,MATCH($W$17,Jazyky_ceník!$A$1:$Q$1,0),FALSE)),IFERROR(IF(AND(NOT(MOD($AB831,$AA831)=0),$AB831&gt;=0.9*$AA831,MOD($AB831,$AA831)&lt;=0.1*$AA831),IF($W$17=$AF$1,"Zvažte možnost optimalizace objednaného množství podle počtu VK na paletě ==&gt;",VLOOKUP("Zvažte možnost optimalizace objednaného množství podle počtu VK na paletě ==&gt;",Jazyky_ceník!A:Q,MATCH($W$17,Jazyky_ceník!$A$1:$Q$1,0),FALSE)),VLOOKUP('General price list'!$C831,Popisy!A:M,MATCH($W$17,Popisy!$A$7:$M$7,0),FALSE)),"---------------")),IFERROR(VLOOKUP('General price list'!$C831,Popisy!A:M,MATCH($W$17,Popisy!$A$7:$M$7,0),FALSE),"---------------"))</f>
        <v>26 různobarevných efektů</v>
      </c>
      <c r="X831" s="645" t="str">
        <f t="shared" si="2667"/>
        <v/>
      </c>
      <c r="Y831" s="645" t="str">
        <f t="shared" si="2668"/>
        <v/>
      </c>
      <c r="Z831" s="645" t="str">
        <f>HYPERLINK("https://www.klasekpyrotechnics.cz/c222mf-c")</f>
        <v>https://www.klasekpyrotechnics.cz/c222mf-c</v>
      </c>
      <c r="AA831" s="645">
        <f>IFERROR(IF(VLOOKUP(C831,[4]List1!$A:$D,4,FALSE)=0,"",VLOOKUP(C831,[4]List1!$A:$D,4,FALSE)),"")</f>
        <v>6</v>
      </c>
      <c r="AB831" s="646"/>
      <c r="AC831" s="647" t="str">
        <f>IFERROR(IF(VLOOKUP(C831,[1]List1!$A:$D,2,FALSE)="VYPRODÁNO",$V$9,IF(VLOOKUP(C831,[1]List1!$A:$D,2,FALSE)="DOCHÁZÍ",$V$3,VLOOKUP(C831,[1]List1!$A:$D,2,FALSE))),"OFFLINE!")</f>
        <v>SKLADEM</v>
      </c>
      <c r="AD831" s="647" t="str">
        <f ca="1">IF(AP831="NE",$V$10,IF(AC831=$V$3,IF(AQ831&lt;1,$V$8,$V$2&amp;" "&amp;AQ831&amp;" "&amp;$V$1),IF(AC831="SKLADEM",$V$6,IFERROR(IF(OR(AC831-TODAY()&gt;45,VLOOKUP(C831,[1]List1!$A:$E,4,FALSE)=0),AC831,DAY(AC831)&amp;"."&amp;MONTH(AC831)&amp;"."&amp;YEAR(AC831)&amp;" "&amp;$V$4&amp;VLOOKUP(C831,[1]List1!$A:$E,4,FALSE)&amp;" "&amp;$V$1),AC831))))</f>
        <v>SKLADEM</v>
      </c>
      <c r="AE831" s="645" t="str">
        <f t="shared" ca="1" si="2669"/>
        <v>SKLADEM</v>
      </c>
      <c r="AF831" s="648">
        <f t="shared" si="2670"/>
        <v>0</v>
      </c>
      <c r="AG831" s="649">
        <f t="shared" si="2671"/>
        <v>0</v>
      </c>
      <c r="AH831" s="650">
        <f t="shared" si="2672"/>
        <v>0</v>
      </c>
      <c r="AI831" s="645">
        <f t="shared" si="2673"/>
        <v>0</v>
      </c>
      <c r="AJ831" s="645">
        <f t="shared" si="2674"/>
        <v>0</v>
      </c>
      <c r="AK831" s="645" t="str">
        <f t="shared" si="2675"/>
        <v/>
      </c>
      <c r="AL831" s="645">
        <f t="shared" si="2676"/>
        <v>0</v>
      </c>
      <c r="AM831" s="645" t="str">
        <f t="shared" si="2677"/>
        <v/>
      </c>
      <c r="AN831" s="651">
        <f t="shared" si="2678"/>
        <v>0</v>
      </c>
      <c r="AO831" s="623"/>
      <c r="AP831" s="632" t="str">
        <f t="shared" si="2517"/>
        <v/>
      </c>
      <c r="AQ831" s="633" t="str">
        <f>IF(AC831=$V$3,IF(VLOOKUP(C831,[1]List1!$A:$E,5,FALSE)=0,1,VLOOKUP(C831,[1]List1!$A:$E,5,FALSE)),"")</f>
        <v/>
      </c>
      <c r="AR831" s="625" t="str">
        <f t="shared" si="2518"/>
        <v/>
      </c>
      <c r="AS831" s="634" t="str">
        <f t="shared" si="2519"/>
        <v/>
      </c>
      <c r="AT831" s="625" t="str">
        <f t="shared" si="2520"/>
        <v/>
      </c>
      <c r="AU831" s="638" t="e">
        <f t="shared" si="2521"/>
        <v>#N/A</v>
      </c>
      <c r="AV831" s="625" t="e">
        <f t="shared" si="2522"/>
        <v>#N/A</v>
      </c>
      <c r="AX831" s="625">
        <f>IF(AND('General price list'!$J831="F4",'General price list'!$AB831+0&gt;0),1,0)</f>
        <v>0</v>
      </c>
      <c r="AY831" s="625">
        <f t="shared" si="2523"/>
        <v>1</v>
      </c>
      <c r="AZ831" s="625">
        <f t="shared" si="2524"/>
        <v>0</v>
      </c>
    </row>
    <row r="832" spans="1:52" ht="15" customHeight="1">
      <c r="A832" s="751" t="str">
        <f>Kat.!C832</f>
        <v xml:space="preserve">           Baterie multikaliberní (více průměrů moždířů + různé úhly moždířů) F4 – 1.3G</v>
      </c>
      <c r="B832" s="751"/>
      <c r="C832" s="751"/>
      <c r="D832" s="751"/>
      <c r="E832" s="751"/>
      <c r="F832" s="751"/>
      <c r="G832" s="751"/>
      <c r="H832" s="751"/>
      <c r="I832" s="752"/>
      <c r="J832" s="752"/>
      <c r="K832" s="752" t="s">
        <v>20</v>
      </c>
      <c r="L832" s="753" t="s">
        <v>20</v>
      </c>
      <c r="M832" s="752"/>
      <c r="N832" s="752"/>
      <c r="O832" s="752"/>
      <c r="P832" s="752"/>
      <c r="Q832" s="752"/>
      <c r="R832" s="752"/>
      <c r="S832" s="752"/>
      <c r="T832" s="752"/>
      <c r="U832" s="752"/>
      <c r="V832" s="752"/>
      <c r="W832" s="752"/>
      <c r="X832" s="752"/>
      <c r="Y832" s="752"/>
      <c r="Z832" s="752" t="s">
        <v>20</v>
      </c>
      <c r="AA832" s="752"/>
      <c r="AB832" s="752"/>
      <c r="AC832" s="754"/>
      <c r="AD832" s="752"/>
      <c r="AE832" s="752"/>
      <c r="AF832" s="752"/>
      <c r="AG832" s="752"/>
      <c r="AH832" s="752"/>
      <c r="AI832" s="752"/>
      <c r="AJ832" s="752"/>
      <c r="AK832" s="752"/>
      <c r="AL832" s="752"/>
      <c r="AM832" s="752"/>
      <c r="AN832" s="752"/>
      <c r="AO832" s="623"/>
      <c r="AP832" s="632" t="str">
        <f t="shared" ref="AP832:AP884" si="2679">IF($AL$3=1,IF(Y832=AB832,"","NE"),IF(AR832=$V$10,"NE",""))</f>
        <v/>
      </c>
      <c r="AQ832" s="633" t="str">
        <f>IF(AC832=$V$3,IF(VLOOKUP(C832,[1]List1!$A:$E,5,FALSE)=0,1,VLOOKUP(C832,[1]List1!$A:$E,5,FALSE)),"")</f>
        <v/>
      </c>
      <c r="AR832" s="625" t="str">
        <f t="shared" ref="AR832:AR884" si="2680">IF($AL$3=1,"",IF(OR(AB832&lt;&gt;"",AB832&lt;&gt;0),IF(OR(AC832=$V$6,AC832=$V$3,AC832=$V$9),$V$10,""),""))</f>
        <v/>
      </c>
      <c r="AS832" s="634" t="str">
        <f t="shared" ref="AS832:AS874" si="2681">IF(AT832&lt;&gt;"","X","")</f>
        <v/>
      </c>
      <c r="AT832" s="625" t="str">
        <f t="shared" ref="AT832:AT884" si="2682">IF(AND($AL$3=2,AR832="",AB832&lt;&gt;""),AD832,"")</f>
        <v/>
      </c>
      <c r="AU832" s="638" t="e">
        <f t="shared" ref="AU832:AU884" si="2683">IF(AT832=$AS$21,AB832,"")</f>
        <v>#N/A</v>
      </c>
      <c r="AV832" s="625" t="e">
        <f t="shared" ref="AV832:AV884" si="2684">IF(OR(AB832="",AND(AT832&lt;&gt;"",AU832&lt;&gt;"")),"",$V$10)</f>
        <v>#N/A</v>
      </c>
      <c r="AX832" s="625">
        <f>IF(AND('General price list'!$J832="F4",'General price list'!$AB832+0&gt;0),1,0)</f>
        <v>0</v>
      </c>
      <c r="AY832" s="625">
        <f t="shared" ref="AY832:AY884" si="2685">IFERROR(FIND(VLOOKUP($AC$7,$AD$1:$AE$12,2,FALSE),Q832,1),0)</f>
        <v>0</v>
      </c>
      <c r="AZ832" s="625">
        <f t="shared" ref="AZ832:AZ884" si="2686">IFERROR(FIND(VLOOKUP($AC$7,$AD$1:$AE$12,2,FALSE),R832,1),0)</f>
        <v>0</v>
      </c>
    </row>
    <row r="833" spans="1:52" ht="15" customHeight="1">
      <c r="A833" s="639" t="str">
        <f>Kat.!C833</f>
        <v/>
      </c>
      <c r="B833" s="640">
        <f>IF(AND('General price list'!$J833="F4",$AI$1=FALSE),0,IF(AC833="SKLADEM",1,IF(AC833=$V$3,1,0)))</f>
        <v>0</v>
      </c>
      <c r="C833" s="641" t="s">
        <v>1523</v>
      </c>
      <c r="D833" s="642" t="s">
        <v>11742</v>
      </c>
      <c r="E833" s="643" t="s">
        <v>12663</v>
      </c>
      <c r="F833" s="771">
        <f>IFERROR(VLOOKUP(C833,[2]List1!$A:$D,3,FALSE),"NEUVEDENO!")</f>
        <v>6999</v>
      </c>
      <c r="G833" s="768">
        <f t="shared" ref="G833:G834" si="2687">IF($W$17=$AF$8,ROUND((F833)/$F$17,2),(F833)*$B$19)</f>
        <v>6999</v>
      </c>
      <c r="H833" s="765">
        <f t="shared" ref="H833:H834" si="2688">IF($W$17=$AF$8,G833*$B$19,G833/$F$17)</f>
        <v>297.30728549400413</v>
      </c>
      <c r="I833" s="644">
        <f>IFERROR(VLOOKUP(C833,[2]List1!$A:$D,4,FALSE),"NEUVEDENO!")</f>
        <v>1</v>
      </c>
      <c r="J833" s="733" t="s">
        <v>614</v>
      </c>
      <c r="K833" s="645" t="s">
        <v>20</v>
      </c>
      <c r="L833" s="645" t="s">
        <v>20</v>
      </c>
      <c r="M833" s="645" t="s">
        <v>114</v>
      </c>
      <c r="N833" s="645">
        <f>IFERROR(VLOOKUP(C833,[3]List1!$A:$D,4,FALSE),"N/A!")</f>
        <v>7.9849000000000003E-2</v>
      </c>
      <c r="O833" s="645">
        <f>IFERROR(VLOOKUP(C833,[3]List1!$A:$D,3,FALSE),"N/A!")</f>
        <v>3185</v>
      </c>
      <c r="P833" s="645">
        <f>IFERROR(VLOOKUP(C833,[3]List1!$A:$D,2,FALSE),"N/A!")</f>
        <v>23500</v>
      </c>
      <c r="Q833" s="645" t="s">
        <v>11342</v>
      </c>
      <c r="R833" s="645" t="s">
        <v>20</v>
      </c>
      <c r="S833" s="645" t="str">
        <f>IF($W$17=$AF$1,"červená fólie",IFERROR(VLOOKUP("červená fólie",Jazyky_ceník!$A:$Q,MATCH($W$17,Jazyky_ceník!$A$1:$Q$1,0),FALSE),"!!!"))</f>
        <v>červená fólie</v>
      </c>
      <c r="T833" s="645">
        <v>120</v>
      </c>
      <c r="U833" s="645" t="s">
        <v>10771</v>
      </c>
      <c r="V833" s="645" t="s">
        <v>10772</v>
      </c>
      <c r="W833" s="645" t="str">
        <f>IFERROR(IF(AND($AB833&gt;=0.1*$AA833,MOD($AB833,$AA833)&gt;=($AA833-(0.1*$AA833))),IF($W$17=$AF$1,"Zvažte možnost doobjednání ještě "&amp;Tabulka1[[#This Row],[VKPAL]]-MOD(AB833,AA833)&amp;" VK do plné palety.",VLOOKUP("Zvažte možnost doobjednání ještě ",Jazyky_ceník!A:Q,MATCH($W$17,Jazyky_ceník!$A$1:$Q$1,0),FALSE)&amp;Tabulka1[[#This Row],[VKPAL]]-MOD(AB833,AA833)&amp;VLOOKUP(" VK do plné palety.",Jazyky_ceník!A:Q,MATCH($W$17,Jazyky_ceník!$A$1:$Q$1,0),FALSE)),IFERROR(IF(AND(NOT(MOD($AB833,$AA833)=0),$AB833&gt;=0.9*$AA833,MOD($AB833,$AA833)&lt;=0.1*$AA833),IF($W$17=$AF$1,"Zvažte možnost optimalizace objednaného množství podle počtu VK na paletě ==&gt;",VLOOKUP("Zvažte možnost optimalizace objednaného množství podle počtu VK na paletě ==&gt;",Jazyky_ceník!A:Q,MATCH($W$17,Jazyky_ceník!$A$1:$Q$1,0),FALSE)),VLOOKUP('General price list'!$C833,Popisy!A:M,MATCH($W$17,Popisy!$A$7:$M$7,0),FALSE)),"---------------")),IFERROR(VLOOKUP('General price list'!$C833,Popisy!A:M,MATCH($W$17,Popisy!$A$7:$M$7,0),FALSE),"---------------"))</f>
        <v>17 různobarevné efekty</v>
      </c>
      <c r="X833" s="645" t="str">
        <f t="shared" ref="X833:X834" si="2689">IF(AB833&lt;0.0001,"",AB833)</f>
        <v/>
      </c>
      <c r="Y833" s="645" t="str">
        <f t="shared" ref="Y833:Y834" si="2690">IF($AL$3=2,IF(OR(AB833&lt;&gt;"",AB833&lt;&gt;0),AU833,""),IF(C833="","",IF(AB833&lt;0.0001,"",IF(B833=0,"",IF(AQ833&lt;AB833,"",AB833)))))</f>
        <v/>
      </c>
      <c r="Z833" s="645" t="str">
        <f>HYPERLINK("https://www.klasekpyrotechnics.cz/c96mb")</f>
        <v>https://www.klasekpyrotechnics.cz/c96mb</v>
      </c>
      <c r="AA833" s="645">
        <f>IFERROR(IF(VLOOKUP(C833,[4]List1!$A:$D,4,FALSE)=0,"",VLOOKUP(C833,[4]List1!$A:$D,4,FALSE)),"")</f>
        <v>20</v>
      </c>
      <c r="AB833" s="646"/>
      <c r="AC833" s="647" t="str">
        <f>IFERROR(IF(VLOOKUP(C833,[1]List1!$A:$D,2,FALSE)="VYPRODÁNO",$V$9,IF(VLOOKUP(C833,[1]List1!$A:$D,2,FALSE)="DOCHÁZÍ",$V$3,VLOOKUP(C833,[1]List1!$A:$D,2,FALSE))),"OFFLINE!")</f>
        <v>SKLADEM</v>
      </c>
      <c r="AD833" s="647" t="str">
        <f ca="1">IF(AP833="NE",$V$10,IF(AC833=$V$3,IF(AQ833&lt;1,$V$8,$V$2&amp;" "&amp;AQ833&amp;" "&amp;$V$1),IF(AC833="SKLADEM",$V$6,IFERROR(IF(OR(AC833-TODAY()&gt;45,VLOOKUP(C833,[1]List1!$A:$E,4,FALSE)=0),AC833,DAY(AC833)&amp;"."&amp;MONTH(AC833)&amp;"."&amp;YEAR(AC833)&amp;" "&amp;$V$4&amp;VLOOKUP(C833,[1]List1!$A:$E,4,FALSE)&amp;" "&amp;$V$1),AC833))))</f>
        <v>SKLADEM</v>
      </c>
      <c r="AE833" s="645" t="str">
        <f t="shared" ref="AE833:AE834" ca="1" si="2691">IFERROR(IF(AV833&lt;&gt;"",AV833,AD833),AD833)</f>
        <v>SKLADEM</v>
      </c>
      <c r="AF833" s="648">
        <f t="shared" ref="AF833:AF834" si="2692">IFERROR(IF(AB833=Y833,G833*I833*Y833,0),0)</f>
        <v>0</v>
      </c>
      <c r="AG833" s="649">
        <f t="shared" ref="AG833:AG834" si="2693">IF($W$17=$AF$8,AH833*1.23,AF833*1.21)</f>
        <v>0</v>
      </c>
      <c r="AH833" s="650">
        <f t="shared" ref="AH833:AH834" si="2694">IFERROR(IF(Y833=AB833,H833*I833*Y833,0),0)</f>
        <v>0</v>
      </c>
      <c r="AI833" s="645">
        <f t="shared" ref="AI833:AI834" si="2695">IFERROR(IF(Y833=AB833,(P833*Y833)/1000,1),0)</f>
        <v>0</v>
      </c>
      <c r="AJ833" s="645">
        <f t="shared" ref="AJ833:AJ834" si="2696">IFERROR(IF(Y833=AB833,N833*Y833,0.1),0)</f>
        <v>0</v>
      </c>
      <c r="AK833" s="645" t="str">
        <f t="shared" ref="AK833:AK834" si="2697">IFERROR(IF(Y833=AB833,IF(M833="1.1G",(O833/1000)*Y833,""),""),0)</f>
        <v/>
      </c>
      <c r="AL833" s="645">
        <f t="shared" ref="AL833:AL834" si="2698">IFERROR(IF(Y833=AB833,IF(M833="1.3G",(O833/1000)*AB833,""),""),0)</f>
        <v>0</v>
      </c>
      <c r="AM833" s="645" t="str">
        <f t="shared" ref="AM833:AM834" si="2699">IFERROR(IF(Y833=AB833,IF(M833="1.4G",(O833/1000)*AB833,""),""),0)</f>
        <v/>
      </c>
      <c r="AN833" s="651">
        <f t="shared" ref="AN833:AN834" si="2700">SUM(AK833:AM833)</f>
        <v>0</v>
      </c>
      <c r="AO833" s="623"/>
      <c r="AP833" s="632" t="str">
        <f t="shared" si="2679"/>
        <v/>
      </c>
      <c r="AQ833" s="633" t="str">
        <f>IF(AC833=$V$3,IF(VLOOKUP(C833,[1]List1!$A:$E,5,FALSE)=0,1,VLOOKUP(C833,[1]List1!$A:$E,5,FALSE)),"")</f>
        <v/>
      </c>
      <c r="AR833" s="625" t="str">
        <f t="shared" si="2680"/>
        <v/>
      </c>
      <c r="AS833" s="634" t="str">
        <f t="shared" si="2681"/>
        <v/>
      </c>
      <c r="AT833" s="625" t="str">
        <f t="shared" si="2682"/>
        <v/>
      </c>
      <c r="AU833" s="638" t="e">
        <f t="shared" si="2683"/>
        <v>#N/A</v>
      </c>
      <c r="AV833" s="625" t="e">
        <f t="shared" si="2684"/>
        <v>#N/A</v>
      </c>
      <c r="AX833" s="625">
        <f>IF(AND('General price list'!$J833="F4",'General price list'!$AB833+0&gt;0),1,0)</f>
        <v>0</v>
      </c>
      <c r="AY833" s="625">
        <f t="shared" si="2685"/>
        <v>1</v>
      </c>
      <c r="AZ833" s="625">
        <f t="shared" si="2686"/>
        <v>0</v>
      </c>
    </row>
    <row r="834" spans="1:52" ht="15.75" customHeight="1">
      <c r="A834" s="621" t="str">
        <f>Kat.!C834</f>
        <v>×</v>
      </c>
      <c r="B834" s="566">
        <f>IF(AND('General price list'!$J834="F4",$AI$1=FALSE),0,IF(AC834="SKLADEM",1,IF(AC834=$V$3,1,0)))</f>
        <v>0</v>
      </c>
      <c r="C834" s="567" t="s">
        <v>1528</v>
      </c>
      <c r="D834" s="568" t="s">
        <v>1529</v>
      </c>
      <c r="E834" s="763" t="s">
        <v>12663</v>
      </c>
      <c r="F834" s="772">
        <f>IFERROR(VLOOKUP(C834,[2]List1!$A:$D,3,FALSE),"NEUVEDENO!")</f>
        <v>14999</v>
      </c>
      <c r="G834" s="769">
        <f t="shared" si="2687"/>
        <v>14999</v>
      </c>
      <c r="H834" s="766">
        <f t="shared" si="2688"/>
        <v>637.13558724454469</v>
      </c>
      <c r="I834" s="764">
        <f>IFERROR(VLOOKUP(C834,[2]List1!$A:$D,4,FALSE),"NEUVEDENO!")</f>
        <v>1</v>
      </c>
      <c r="J834" s="732" t="s">
        <v>614</v>
      </c>
      <c r="K834" s="569" t="s">
        <v>20</v>
      </c>
      <c r="L834" s="569" t="s">
        <v>20</v>
      </c>
      <c r="M834" s="569" t="s">
        <v>114</v>
      </c>
      <c r="N834" s="569">
        <f>IFERROR(VLOOKUP(C834,[3]List1!$A:$D,4,FALSE),"N/A!")</f>
        <v>0.18307699999999999</v>
      </c>
      <c r="O834" s="569">
        <f>IFERROR(VLOOKUP(C834,[3]List1!$A:$D,3,FALSE),"N/A!")</f>
        <v>7880</v>
      </c>
      <c r="P834" s="569">
        <f>IFERROR(VLOOKUP(C834,[3]List1!$A:$D,2,FALSE),"N/A!")</f>
        <v>68500</v>
      </c>
      <c r="Q834" s="569" t="s">
        <v>11325</v>
      </c>
      <c r="R834" s="569" t="s">
        <v>20</v>
      </c>
      <c r="S834" s="569" t="str">
        <f>IF($W$17=$AF$1,"červená fólie",IFERROR(VLOOKUP("červená fólie",Jazyky_ceník!$A:$Q,MATCH($W$17,Jazyky_ceník!$A$1:$Q$1,0),FALSE),"!!!"))</f>
        <v>červená fólie</v>
      </c>
      <c r="T834" s="569">
        <v>180</v>
      </c>
      <c r="U834" s="569" t="s">
        <v>10758</v>
      </c>
      <c r="V834" s="569" t="s">
        <v>10759</v>
      </c>
      <c r="W834" s="569" t="str">
        <f>IFERROR(IF(AND($AB834&gt;=0.1*$AA834,MOD($AB834,$AA834)&gt;=($AA834-(0.1*$AA834))),IF($W$17=$AF$1,"Zvažte možnost doobjednání ještě "&amp;Tabulka1[[#This Row],[VKPAL]]-MOD(AB834,AA834)&amp;" VK do plné palety.",VLOOKUP("Zvažte možnost doobjednání ještě ",Jazyky_ceník!A:Q,MATCH($W$17,Jazyky_ceník!$A$1:$Q$1,0),FALSE)&amp;Tabulka1[[#This Row],[VKPAL]]-MOD(AB834,AA834)&amp;VLOOKUP(" VK do plné palety.",Jazyky_ceník!A:Q,MATCH($W$17,Jazyky_ceník!$A$1:$Q$1,0),FALSE)),IFERROR(IF(AND(NOT(MOD($AB834,$AA834)=0),$AB834&gt;=0.9*$AA834,MOD($AB834,$AA834)&lt;=0.1*$AA834),IF($W$17=$AF$1,"Zvažte možnost optimalizace objednaného množství podle počtu VK na paletě ==&gt;",VLOOKUP("Zvažte možnost optimalizace objednaného množství podle počtu VK na paletě ==&gt;",Jazyky_ceník!A:Q,MATCH($W$17,Jazyky_ceník!$A$1:$Q$1,0),FALSE)),VLOOKUP('General price list'!$C834,Popisy!A:M,MATCH($W$17,Popisy!$A$7:$M$7,0),FALSE)),"---------------")),IFERROR(VLOOKUP('General price list'!$C834,Popisy!A:M,MATCH($W$17,Popisy!$A$7:$M$7,0),FALSE),"---------------"))</f>
        <v>40 různobarevné efekty</v>
      </c>
      <c r="X834" s="569" t="str">
        <f t="shared" si="2689"/>
        <v/>
      </c>
      <c r="Y834" s="569" t="str">
        <f t="shared" si="2690"/>
        <v/>
      </c>
      <c r="Z834" s="569" t="str">
        <f>HYPERLINK("https://www.klasekpyrotechnics.cz/c304mk")</f>
        <v>https://www.klasekpyrotechnics.cz/c304mk</v>
      </c>
      <c r="AA834" s="569">
        <f>IFERROR(IF(VLOOKUP(C834,[4]List1!$A:$D,4,FALSE)=0,"",VLOOKUP(C834,[4]List1!$A:$D,4,FALSE)),"")</f>
        <v>6</v>
      </c>
      <c r="AB834" s="565"/>
      <c r="AC834" s="570" t="str">
        <f>IFERROR(IF(VLOOKUP(C834,[1]List1!$A:$D,2,FALSE)="VYPRODÁNO",$V$9,IF(VLOOKUP(C834,[1]List1!$A:$D,2,FALSE)="DOCHÁZÍ",$V$3,VLOOKUP(C834,[1]List1!$A:$D,2,FALSE))),"OFFLINE!")</f>
        <v>SKLADEM</v>
      </c>
      <c r="AD834" s="570" t="str">
        <f ca="1">IF(AP834="NE",$V$10,IF(AC834=$V$3,IF(AQ834&lt;1,$V$8,$V$2&amp;" "&amp;AQ834&amp;" "&amp;$V$1),IF(AC834="SKLADEM",$V$6,IFERROR(IF(OR(AC834-TODAY()&gt;45,VLOOKUP(C834,[1]List1!$A:$E,4,FALSE)=0),AC834,DAY(AC834)&amp;"."&amp;MONTH(AC834)&amp;"."&amp;YEAR(AC834)&amp;" "&amp;$V$4&amp;VLOOKUP(C834,[1]List1!$A:$E,4,FALSE)&amp;" "&amp;$V$1),AC834))))</f>
        <v>SKLADEM</v>
      </c>
      <c r="AE834" s="581" t="str">
        <f t="shared" ca="1" si="2691"/>
        <v>SKLADEM</v>
      </c>
      <c r="AF834" s="584">
        <f t="shared" si="2692"/>
        <v>0</v>
      </c>
      <c r="AG834" s="585">
        <f t="shared" si="2693"/>
        <v>0</v>
      </c>
      <c r="AH834" s="583">
        <f t="shared" si="2694"/>
        <v>0</v>
      </c>
      <c r="AI834" s="582">
        <f t="shared" si="2695"/>
        <v>0</v>
      </c>
      <c r="AJ834" s="569">
        <f t="shared" si="2696"/>
        <v>0</v>
      </c>
      <c r="AK834" s="569" t="str">
        <f t="shared" si="2697"/>
        <v/>
      </c>
      <c r="AL834" s="569">
        <f t="shared" si="2698"/>
        <v>0</v>
      </c>
      <c r="AM834" s="569" t="str">
        <f t="shared" si="2699"/>
        <v/>
      </c>
      <c r="AN834" s="581">
        <f t="shared" si="2700"/>
        <v>0</v>
      </c>
      <c r="AO834" s="623"/>
      <c r="AP834" s="625" t="str">
        <f t="shared" si="2679"/>
        <v/>
      </c>
      <c r="AQ834" s="625" t="str">
        <f>IF(AC834=$V$3,IF(VLOOKUP(C834,[1]List1!$A:$E,5,FALSE)=0,1,VLOOKUP(C834,[1]List1!$A:$E,5,FALSE)),"")</f>
        <v/>
      </c>
      <c r="AR834" s="629" t="str">
        <f t="shared" si="2680"/>
        <v/>
      </c>
      <c r="AS834" s="630" t="str">
        <f t="shared" si="2681"/>
        <v/>
      </c>
      <c r="AT834" s="625" t="str">
        <f t="shared" si="2682"/>
        <v/>
      </c>
      <c r="AU834" s="625" t="e">
        <f t="shared" si="2683"/>
        <v>#N/A</v>
      </c>
      <c r="AV834" s="625" t="e">
        <f t="shared" si="2684"/>
        <v>#N/A</v>
      </c>
      <c r="AW834" s="631"/>
      <c r="AX834" s="631">
        <f>IF(AND('General price list'!$J834="F4",'General price list'!$AB834+0&gt;0),1,0)</f>
        <v>0</v>
      </c>
      <c r="AY834" s="631">
        <f t="shared" si="2685"/>
        <v>1</v>
      </c>
      <c r="AZ834" s="631">
        <f t="shared" si="2686"/>
        <v>0</v>
      </c>
    </row>
    <row r="835" spans="1:52" ht="15" customHeight="1">
      <c r="A835" s="751" t="str">
        <f>Kat.!C835</f>
        <v xml:space="preserve">           Riakeo baterie</v>
      </c>
      <c r="B835" s="751"/>
      <c r="C835" s="751"/>
      <c r="D835" s="751"/>
      <c r="E835" s="751"/>
      <c r="F835" s="751"/>
      <c r="G835" s="751"/>
      <c r="H835" s="751"/>
      <c r="I835" s="752"/>
      <c r="J835" s="752"/>
      <c r="K835" s="752" t="s">
        <v>20</v>
      </c>
      <c r="L835" s="753" t="s">
        <v>20</v>
      </c>
      <c r="M835" s="752"/>
      <c r="N835" s="752"/>
      <c r="O835" s="752"/>
      <c r="P835" s="752"/>
      <c r="Q835" s="752"/>
      <c r="R835" s="752"/>
      <c r="S835" s="752"/>
      <c r="T835" s="752"/>
      <c r="U835" s="752"/>
      <c r="V835" s="752"/>
      <c r="W835" s="752"/>
      <c r="X835" s="752"/>
      <c r="Y835" s="752"/>
      <c r="Z835" s="752" t="s">
        <v>20</v>
      </c>
      <c r="AA835" s="752"/>
      <c r="AB835" s="752"/>
      <c r="AC835" s="754"/>
      <c r="AD835" s="752"/>
      <c r="AE835" s="752"/>
      <c r="AF835" s="752"/>
      <c r="AG835" s="752"/>
      <c r="AH835" s="752"/>
      <c r="AI835" s="752"/>
      <c r="AJ835" s="752"/>
      <c r="AK835" s="752"/>
      <c r="AL835" s="752"/>
      <c r="AM835" s="752"/>
      <c r="AN835" s="752"/>
      <c r="AO835" s="623"/>
      <c r="AP835" s="632" t="str">
        <f t="shared" si="2679"/>
        <v/>
      </c>
      <c r="AQ835" s="633" t="str">
        <f>IF(AC835=$V$3,IF(VLOOKUP(C835,[1]List1!$A:$E,5,FALSE)=0,1,VLOOKUP(C835,[1]List1!$A:$E,5,FALSE)),"")</f>
        <v/>
      </c>
      <c r="AR835" s="625" t="str">
        <f t="shared" si="2680"/>
        <v/>
      </c>
      <c r="AS835" s="634" t="str">
        <f t="shared" si="2681"/>
        <v/>
      </c>
      <c r="AT835" s="625" t="str">
        <f t="shared" si="2682"/>
        <v/>
      </c>
      <c r="AU835" s="638" t="e">
        <f t="shared" si="2683"/>
        <v>#N/A</v>
      </c>
      <c r="AV835" s="625" t="e">
        <f t="shared" si="2684"/>
        <v>#N/A</v>
      </c>
      <c r="AX835" s="625">
        <f>IF(AND('General price list'!$J835="F4",'General price list'!$AB835+0&gt;0),1,0)</f>
        <v>0</v>
      </c>
      <c r="AY835" s="625">
        <f t="shared" si="2685"/>
        <v>0</v>
      </c>
      <c r="AZ835" s="625">
        <f t="shared" si="2686"/>
        <v>0</v>
      </c>
    </row>
    <row r="836" spans="1:52" ht="15" customHeight="1">
      <c r="A836" s="639" t="str">
        <f>Kat.!C836</f>
        <v/>
      </c>
      <c r="B836" s="640">
        <f>IF(AND('General price list'!$J836="F4",$AI$1=FALSE),0,IF(AC836="SKLADEM",1,IF(AC836=$V$3,1,0)))</f>
        <v>0</v>
      </c>
      <c r="C836" s="641" t="s">
        <v>12472</v>
      </c>
      <c r="D836" s="642" t="s">
        <v>12573</v>
      </c>
      <c r="E836" s="643" t="s">
        <v>12678</v>
      </c>
      <c r="F836" s="791">
        <f>IFERROR(VLOOKUP(C836,[2]List1!$A:$D,3,FALSE),"NEUVEDENO!")</f>
        <v>410</v>
      </c>
      <c r="G836" s="768">
        <f t="shared" ref="G836:G844" si="2701">IF($W$17=$AF$8,ROUND((F836)/$F$17,2),(F836)*$B$19)</f>
        <v>410</v>
      </c>
      <c r="H836" s="765">
        <f t="shared" ref="H836:H844" si="2702">IF($W$17=$AF$8,G836*$B$19,G836/$F$17)</f>
        <v>17.416200464715203</v>
      </c>
      <c r="I836" s="644">
        <f>IFERROR(VLOOKUP(C836,[2]List1!$A:$D,4,FALSE),"NEUVEDENO!")</f>
        <v>8</v>
      </c>
      <c r="J836" s="733" t="s">
        <v>39</v>
      </c>
      <c r="K836" s="645" t="s">
        <v>13032</v>
      </c>
      <c r="L836" s="645"/>
      <c r="M836" s="645" t="s">
        <v>21</v>
      </c>
      <c r="N836" s="645">
        <f>IFERROR(VLOOKUP(C836,[3]List1!$A:$D,4,FALSE),"N/A!")</f>
        <v>0</v>
      </c>
      <c r="O836" s="645">
        <f>IFERROR(VLOOKUP(C836,[3]List1!$A:$D,3,FALSE),"N/A!")</f>
        <v>0</v>
      </c>
      <c r="P836" s="645">
        <f>IFERROR(VLOOKUP(C836,[3]List1!$A:$D,2,FALSE),"N/A!")</f>
        <v>14000</v>
      </c>
      <c r="Q836" s="645"/>
      <c r="R836" s="645"/>
      <c r="S836" s="645" t="str">
        <f>IF($W$17=$AF$1,"design",IFERROR(VLOOKUP("design",Jazyky_ceník!$A:$Q,MATCH($W$17,Jazyky_ceník!$A$1:$Q$1,0),FALSE),"!!!"))</f>
        <v>design</v>
      </c>
      <c r="T836" s="645">
        <v>35</v>
      </c>
      <c r="U836" s="645"/>
      <c r="V836" s="645"/>
      <c r="W836" s="645" t="str">
        <f>IFERROR(IF(AND($AB836&gt;=0.1*$AA836,MOD($AB836,$AA836)&gt;=($AA836-(0.1*$AA836))),IF($W$17=$AF$1,"Zvažte možnost doobjednání ještě "&amp;Tabulka1[[#This Row],[VKPAL]]-MOD(AB836,AA836)&amp;" VK do plné palety.",VLOOKUP("Zvažte možnost doobjednání ještě ",Jazyky_ceník!A:Q,MATCH($W$17,Jazyky_ceník!$A$1:$Q$1,0),FALSE)&amp;Tabulka1[[#This Row],[VKPAL]]-MOD(AB836,AA836)&amp;VLOOKUP(" VK do plné palety.",Jazyky_ceník!A:Q,MATCH($W$17,Jazyky_ceník!$A$1:$Q$1,0),FALSE)),IFERROR(IF(AND(NOT(MOD($AB836,$AA836)=0),$AB836&gt;=0.9*$AA836,MOD($AB836,$AA836)&lt;=0.1*$AA836),IF($W$17=$AF$1,"Zvažte možnost optimalizace objednaného množství podle počtu VK na paletě ==&gt;",VLOOKUP("Zvažte možnost optimalizace objednaného množství podle počtu VK na paletě ==&gt;",Jazyky_ceník!A:Q,MATCH($W$17,Jazyky_ceník!$A$1:$Q$1,0),FALSE)),VLOOKUP('General price list'!$C836,Popisy!A:M,MATCH($W$17,Popisy!$A$7:$M$7,0),FALSE)),"---------------")),IFERROR(VLOOKUP('General price list'!$C836,Popisy!A:M,MATCH($W$17,Popisy!$A$7:$M$7,0),FALSE),"---------------"))</f>
        <v>4 různobarevných efektů</v>
      </c>
      <c r="X836" s="645" t="str">
        <f t="shared" ref="X836:X844" si="2703">IF(AB836&lt;0.0001,"",AB836)</f>
        <v/>
      </c>
      <c r="Y836" s="645" t="str">
        <f t="shared" ref="Y836:Y844" si="2704">IF($AL$3=2,IF(OR(AB836&lt;&gt;"",AB836&lt;&gt;0),AU836,""),IF(C836="","",IF(AB836&lt;0.0001,"",IF(B836=0,"",IF(AQ836&lt;AB836,"",AB836)))))</f>
        <v/>
      </c>
      <c r="Z836" s="645" t="str">
        <f>HYPERLINK("https://www.klasekpyrotechnics.cz/hf26001")</f>
        <v>https://www.klasekpyrotechnics.cz/hf26001</v>
      </c>
      <c r="AA836" s="645" t="str">
        <f>IFERROR(IF(VLOOKUP(C836,[4]List1!$A:$D,4,FALSE)=0,"",VLOOKUP(C836,[4]List1!$A:$D,4,FALSE)),"")</f>
        <v/>
      </c>
      <c r="AB836" s="646"/>
      <c r="AC836" s="647" t="str">
        <f>IFERROR(IF(VLOOKUP(C836,[1]List1!$A:$D,2,FALSE)="VYPRODÁNO",$V$9,IF(VLOOKUP(C836,[1]List1!$A:$D,2,FALSE)="DOCHÁZÍ",$V$3,VLOOKUP(C836,[1]List1!$A:$D,2,FALSE))),"OFFLINE!")</f>
        <v>31.08.2026</v>
      </c>
      <c r="AD836" s="647" t="str">
        <f ca="1">IF(AP836="NE",$V$10,IF(AC836=$V$3,IF(AQ836&lt;1,$V$8,$V$2&amp;" "&amp;AQ836&amp;" "&amp;$V$1),IF(AC836="SKLADEM",$V$6,IFERROR(IF(OR(AC836-TODAY()&gt;45,VLOOKUP(C836,[1]List1!$A:$E,4,FALSE)=0),AC836,DAY(AC836)&amp;"."&amp;MONTH(AC836)&amp;"."&amp;YEAR(AC836)&amp;" "&amp;$V$4&amp;VLOOKUP(C836,[1]List1!$A:$E,4,FALSE)&amp;" "&amp;$V$1),AC836))))</f>
        <v>31.08.2026</v>
      </c>
      <c r="AE836" s="645" t="str">
        <f t="shared" ref="AE836:AE844" ca="1" si="2705">IFERROR(IF(AV836&lt;&gt;"",AV836,AD836),AD836)</f>
        <v>31.08.2026</v>
      </c>
      <c r="AF836" s="648">
        <f t="shared" ref="AF836:AF844" si="2706">IFERROR(IF(AB836=Y836,G836*I836*Y836,0),0)</f>
        <v>0</v>
      </c>
      <c r="AG836" s="649">
        <f t="shared" ref="AG836:AG844" si="2707">IF($W$17=$AF$8,AH836*1.23,AF836*1.21)</f>
        <v>0</v>
      </c>
      <c r="AH836" s="650">
        <f t="shared" ref="AH836:AH844" si="2708">IFERROR(IF(Y836=AB836,H836*I836*Y836,0),0)</f>
        <v>0</v>
      </c>
      <c r="AI836" s="645">
        <f t="shared" ref="AI836:AI844" si="2709">IFERROR(IF(Y836=AB836,(P836*Y836)/1000,1),0)</f>
        <v>0</v>
      </c>
      <c r="AJ836" s="645">
        <f t="shared" ref="AJ836:AJ844" si="2710">IFERROR(IF(Y836=AB836,N836*Y836,0.1),0)</f>
        <v>0</v>
      </c>
      <c r="AK836" s="645" t="str">
        <f t="shared" ref="AK836:AK844" si="2711">IFERROR(IF(Y836=AB836,IF(M836="1.1G",(O836/1000)*Y836,""),""),0)</f>
        <v/>
      </c>
      <c r="AL836" s="645" t="str">
        <f t="shared" ref="AL836:AL844" si="2712">IFERROR(IF(Y836=AB836,IF(M836="1.3G",(O836/1000)*AB836,""),""),0)</f>
        <v/>
      </c>
      <c r="AM836" s="645">
        <f t="shared" ref="AM836:AM844" si="2713">IFERROR(IF(Y836=AB836,IF(M836="1.4G",(O836/1000)*AB836,""),""),0)</f>
        <v>0</v>
      </c>
      <c r="AN836" s="651">
        <f t="shared" ref="AN836:AN844" si="2714">SUM(AK836:AM836)</f>
        <v>0</v>
      </c>
      <c r="AO836" s="623"/>
      <c r="AP836" s="632" t="str">
        <f t="shared" si="2679"/>
        <v/>
      </c>
      <c r="AQ836" s="633" t="str">
        <f>IF(AC836=$V$3,IF(VLOOKUP(C836,[1]List1!$A:$E,5,FALSE)=0,1,VLOOKUP(C836,[1]List1!$A:$E,5,FALSE)),"")</f>
        <v/>
      </c>
      <c r="AR836" s="625" t="str">
        <f t="shared" si="2680"/>
        <v/>
      </c>
      <c r="AS836" s="634" t="str">
        <f t="shared" si="2681"/>
        <v/>
      </c>
      <c r="AT836" s="625" t="str">
        <f t="shared" si="2682"/>
        <v/>
      </c>
      <c r="AU836" s="638" t="e">
        <f t="shared" si="2683"/>
        <v>#N/A</v>
      </c>
      <c r="AV836" s="625" t="e">
        <f t="shared" si="2684"/>
        <v>#N/A</v>
      </c>
      <c r="AX836" s="625">
        <f>IF(AND('General price list'!$J836="F4",'General price list'!$AB836+0&gt;0),1,0)</f>
        <v>0</v>
      </c>
      <c r="AY836" s="625">
        <f t="shared" si="2685"/>
        <v>0</v>
      </c>
      <c r="AZ836" s="625">
        <f t="shared" si="2686"/>
        <v>0</v>
      </c>
    </row>
    <row r="837" spans="1:52" ht="15.75" customHeight="1">
      <c r="A837" s="621" t="str">
        <f>Kat.!C837</f>
        <v/>
      </c>
      <c r="B837" s="566">
        <f>IF(AND('General price list'!$J837="F4",$AI$1=FALSE),0,IF(AC837="SKLADEM",1,IF(AC837=$V$3,1,0)))</f>
        <v>0</v>
      </c>
      <c r="C837" s="641" t="s">
        <v>12473</v>
      </c>
      <c r="D837" s="568" t="s">
        <v>12574</v>
      </c>
      <c r="E837" s="763" t="s">
        <v>12651</v>
      </c>
      <c r="F837" s="791">
        <f>IFERROR(VLOOKUP(C837,[2]List1!$A:$D,3,FALSE),"NEUVEDENO!")</f>
        <v>720</v>
      </c>
      <c r="G837" s="769">
        <f t="shared" si="2701"/>
        <v>720</v>
      </c>
      <c r="H837" s="766">
        <f t="shared" si="2702"/>
        <v>30.584547157548648</v>
      </c>
      <c r="I837" s="764">
        <f>IFERROR(VLOOKUP(C837,[2]List1!$A:$D,4,FALSE),"NEUVEDENO!")</f>
        <v>4</v>
      </c>
      <c r="J837" s="732" t="s">
        <v>39</v>
      </c>
      <c r="K837" s="569" t="s">
        <v>13032</v>
      </c>
      <c r="L837" s="569"/>
      <c r="M837" s="569" t="s">
        <v>114</v>
      </c>
      <c r="N837" s="569">
        <f>IFERROR(VLOOKUP(C837,[3]List1!$A:$D,4,FALSE),"N/A!")</f>
        <v>0</v>
      </c>
      <c r="O837" s="569">
        <f>IFERROR(VLOOKUP(C837,[3]List1!$A:$D,3,FALSE),"N/A!")</f>
        <v>0</v>
      </c>
      <c r="P837" s="569">
        <f>IFERROR(VLOOKUP(C837,[3]List1!$A:$D,2,FALSE),"N/A!")</f>
        <v>14000</v>
      </c>
      <c r="Q837" s="569"/>
      <c r="R837" s="569"/>
      <c r="S837" s="569" t="str">
        <f>IF($W$17=$AF$1,"design",IFERROR(VLOOKUP("design",Jazyky_ceník!$A:$Q,MATCH($W$17,Jazyky_ceník!$A$1:$Q$1,0),FALSE),"!!!"))</f>
        <v>design</v>
      </c>
      <c r="T837" s="569">
        <v>30</v>
      </c>
      <c r="U837" s="569"/>
      <c r="V837" s="569"/>
      <c r="W837" s="569" t="str">
        <f>IFERROR(IF(AND($AB837&gt;=0.1*$AA837,MOD($AB837,$AA837)&gt;=($AA837-(0.1*$AA837))),IF($W$17=$AF$1,"Zvažte možnost doobjednání ještě "&amp;Tabulka1[[#This Row],[VKPAL]]-MOD(AB837,AA837)&amp;" VK do plné palety.",VLOOKUP("Zvažte možnost doobjednání ještě ",Jazyky_ceník!A:Q,MATCH($W$17,Jazyky_ceník!$A$1:$Q$1,0),FALSE)&amp;Tabulka1[[#This Row],[VKPAL]]-MOD(AB837,AA837)&amp;VLOOKUP(" VK do plné palety.",Jazyky_ceník!A:Q,MATCH($W$17,Jazyky_ceník!$A$1:$Q$1,0),FALSE)),IFERROR(IF(AND(NOT(MOD($AB837,$AA837)=0),$AB837&gt;=0.9*$AA837,MOD($AB837,$AA837)&lt;=0.1*$AA837),IF($W$17=$AF$1,"Zvažte možnost optimalizace objednaného množství podle počtu VK na paletě ==&gt;",VLOOKUP("Zvažte možnost optimalizace objednaného množství podle počtu VK na paletě ==&gt;",Jazyky_ceník!A:Q,MATCH($W$17,Jazyky_ceník!$A$1:$Q$1,0),FALSE)),VLOOKUP('General price list'!$C837,Popisy!A:M,MATCH($W$17,Popisy!$A$7:$M$7,0),FALSE)),"---------------")),IFERROR(VLOOKUP('General price list'!$C837,Popisy!A:M,MATCH($W$17,Popisy!$A$7:$M$7,0),FALSE),"---------------"))</f>
        <v>4 různobarevných efektů</v>
      </c>
      <c r="X837" s="569" t="str">
        <f t="shared" si="2703"/>
        <v/>
      </c>
      <c r="Y837" s="569" t="str">
        <f t="shared" si="2704"/>
        <v/>
      </c>
      <c r="Z837" s="569" t="str">
        <f>HYPERLINK("https://www.klasekpyrotechnics.cz/hf26009")</f>
        <v>https://www.klasekpyrotechnics.cz/hf26009</v>
      </c>
      <c r="AA837" s="569" t="str">
        <f>IFERROR(IF(VLOOKUP(C837,[4]List1!$A:$D,4,FALSE)=0,"",VLOOKUP(C837,[4]List1!$A:$D,4,FALSE)),"")</f>
        <v/>
      </c>
      <c r="AB837" s="565"/>
      <c r="AC837" s="570" t="str">
        <f>IFERROR(IF(VLOOKUP(C837,[1]List1!$A:$D,2,FALSE)="VYPRODÁNO",$V$9,IF(VLOOKUP(C837,[1]List1!$A:$D,2,FALSE)="DOCHÁZÍ",$V$3,VLOOKUP(C837,[1]List1!$A:$D,2,FALSE))),"OFFLINE!")</f>
        <v>31.08.2026</v>
      </c>
      <c r="AD837" s="570" t="str">
        <f ca="1">IF(AP837="NE",$V$10,IF(AC837=$V$3,IF(AQ837&lt;1,$V$8,$V$2&amp;" "&amp;AQ837&amp;" "&amp;$V$1),IF(AC837="SKLADEM",$V$6,IFERROR(IF(OR(AC837-TODAY()&gt;45,VLOOKUP(C837,[1]List1!$A:$E,4,FALSE)=0),AC837,DAY(AC837)&amp;"."&amp;MONTH(AC837)&amp;"."&amp;YEAR(AC837)&amp;" "&amp;$V$4&amp;VLOOKUP(C837,[1]List1!$A:$E,4,FALSE)&amp;" "&amp;$V$1),AC837))))</f>
        <v>31.08.2026</v>
      </c>
      <c r="AE837" s="581" t="str">
        <f t="shared" ca="1" si="2705"/>
        <v>31.08.2026</v>
      </c>
      <c r="AF837" s="584">
        <f t="shared" si="2706"/>
        <v>0</v>
      </c>
      <c r="AG837" s="585">
        <f t="shared" si="2707"/>
        <v>0</v>
      </c>
      <c r="AH837" s="583">
        <f t="shared" si="2708"/>
        <v>0</v>
      </c>
      <c r="AI837" s="582">
        <f t="shared" si="2709"/>
        <v>0</v>
      </c>
      <c r="AJ837" s="569">
        <f t="shared" si="2710"/>
        <v>0</v>
      </c>
      <c r="AK837" s="569" t="str">
        <f t="shared" si="2711"/>
        <v/>
      </c>
      <c r="AL837" s="569">
        <f t="shared" si="2712"/>
        <v>0</v>
      </c>
      <c r="AM837" s="569" t="str">
        <f t="shared" si="2713"/>
        <v/>
      </c>
      <c r="AN837" s="581">
        <f t="shared" si="2714"/>
        <v>0</v>
      </c>
      <c r="AO837" s="623"/>
      <c r="AP837" s="625" t="str">
        <f t="shared" si="2679"/>
        <v/>
      </c>
      <c r="AQ837" s="625" t="str">
        <f>IF(AC837=$V$3,IF(VLOOKUP(C837,[1]List1!$A:$E,5,FALSE)=0,1,VLOOKUP(C837,[1]List1!$A:$E,5,FALSE)),"")</f>
        <v/>
      </c>
      <c r="AR837" s="629" t="str">
        <f t="shared" si="2680"/>
        <v/>
      </c>
      <c r="AS837" s="630" t="str">
        <f t="shared" si="2681"/>
        <v/>
      </c>
      <c r="AT837" s="625" t="str">
        <f t="shared" si="2682"/>
        <v/>
      </c>
      <c r="AU837" s="625" t="e">
        <f t="shared" si="2683"/>
        <v>#N/A</v>
      </c>
      <c r="AV837" s="625" t="e">
        <f t="shared" si="2684"/>
        <v>#N/A</v>
      </c>
      <c r="AW837" s="631"/>
      <c r="AX837" s="631">
        <f>IF(AND('General price list'!$J837="F4",'General price list'!$AB837+0&gt;0),1,0)</f>
        <v>0</v>
      </c>
      <c r="AY837" s="631">
        <f t="shared" si="2685"/>
        <v>0</v>
      </c>
      <c r="AZ837" s="631">
        <f t="shared" si="2686"/>
        <v>0</v>
      </c>
    </row>
    <row r="838" spans="1:52" ht="15" customHeight="1">
      <c r="A838" s="639" t="str">
        <f>Kat.!C838</f>
        <v/>
      </c>
      <c r="B838" s="640">
        <f>IF(AND('General price list'!$J838="F4",$AI$1=FALSE),0,IF(AC838="SKLADEM",1,IF(AC838=$V$3,1,0)))</f>
        <v>0</v>
      </c>
      <c r="C838" s="641" t="s">
        <v>12474</v>
      </c>
      <c r="D838" s="642" t="s">
        <v>12575</v>
      </c>
      <c r="E838" s="643" t="s">
        <v>12746</v>
      </c>
      <c r="F838" s="791">
        <f>IFERROR(VLOOKUP(C838,[2]List1!$A:$D,3,FALSE),"NEUVEDENO!")</f>
        <v>560</v>
      </c>
      <c r="G838" s="768">
        <f t="shared" si="2701"/>
        <v>560</v>
      </c>
      <c r="H838" s="765">
        <f t="shared" si="2702"/>
        <v>23.78798112253784</v>
      </c>
      <c r="I838" s="644">
        <f>IFERROR(VLOOKUP(C838,[2]List1!$A:$D,4,FALSE),"NEUVEDENO!")</f>
        <v>6</v>
      </c>
      <c r="J838" s="733" t="s">
        <v>39</v>
      </c>
      <c r="K838" s="645" t="s">
        <v>13032</v>
      </c>
      <c r="L838" s="645"/>
      <c r="M838" s="645" t="s">
        <v>21</v>
      </c>
      <c r="N838" s="645">
        <f>IFERROR(VLOOKUP(C838,[3]List1!$A:$D,4,FALSE),"N/A!")</f>
        <v>0</v>
      </c>
      <c r="O838" s="645">
        <f>IFERROR(VLOOKUP(C838,[3]List1!$A:$D,3,FALSE),"N/A!")</f>
        <v>0</v>
      </c>
      <c r="P838" s="645">
        <f>IFERROR(VLOOKUP(C838,[3]List1!$A:$D,2,FALSE),"N/A!")</f>
        <v>14000</v>
      </c>
      <c r="Q838" s="645"/>
      <c r="R838" s="645"/>
      <c r="S838" s="645" t="str">
        <f>IF($W$17=$AF$1,"design",IFERROR(VLOOKUP("design",Jazyky_ceník!$A:$Q,MATCH($W$17,Jazyky_ceník!$A$1:$Q$1,0),FALSE),"!!!"))</f>
        <v>design</v>
      </c>
      <c r="T838" s="645">
        <v>40</v>
      </c>
      <c r="U838" s="645"/>
      <c r="V838" s="645"/>
      <c r="W838" s="645" t="str">
        <f>IFERROR(IF(AND($AB838&gt;=0.1*$AA838,MOD($AB838,$AA838)&gt;=($AA838-(0.1*$AA838))),IF($W$17=$AF$1,"Zvažte možnost doobjednání ještě "&amp;Tabulka1[[#This Row],[VKPAL]]-MOD(AB838,AA838)&amp;" VK do plné palety.",VLOOKUP("Zvažte možnost doobjednání ještě ",Jazyky_ceník!A:Q,MATCH($W$17,Jazyky_ceník!$A$1:$Q$1,0),FALSE)&amp;Tabulka1[[#This Row],[VKPAL]]-MOD(AB838,AA838)&amp;VLOOKUP(" VK do plné palety.",Jazyky_ceník!A:Q,MATCH($W$17,Jazyky_ceník!$A$1:$Q$1,0),FALSE)),IFERROR(IF(AND(NOT(MOD($AB838,$AA838)=0),$AB838&gt;=0.9*$AA838,MOD($AB838,$AA838)&lt;=0.1*$AA838),IF($W$17=$AF$1,"Zvažte možnost optimalizace objednaného množství podle počtu VK na paletě ==&gt;",VLOOKUP("Zvažte možnost optimalizace objednaného množství podle počtu VK na paletě ==&gt;",Jazyky_ceník!A:Q,MATCH($W$17,Jazyky_ceník!$A$1:$Q$1,0),FALSE)),VLOOKUP('General price list'!$C838,Popisy!A:M,MATCH($W$17,Popisy!$A$7:$M$7,0),FALSE)),"---------------")),IFERROR(VLOOKUP('General price list'!$C838,Popisy!A:M,MATCH($W$17,Popisy!$A$7:$M$7,0),FALSE),"---------------"))</f>
        <v>4 různobarevných efektů</v>
      </c>
      <c r="X838" s="645" t="str">
        <f t="shared" si="2703"/>
        <v/>
      </c>
      <c r="Y838" s="645" t="str">
        <f t="shared" si="2704"/>
        <v/>
      </c>
      <c r="Z838" s="645" t="str">
        <f>HYPERLINK("https://www.klasekpyrotechnics.cz/hf26012")</f>
        <v>https://www.klasekpyrotechnics.cz/hf26012</v>
      </c>
      <c r="AA838" s="645" t="str">
        <f>IFERROR(IF(VLOOKUP(C838,[4]List1!$A:$D,4,FALSE)=0,"",VLOOKUP(C838,[4]List1!$A:$D,4,FALSE)),"")</f>
        <v/>
      </c>
      <c r="AB838" s="646"/>
      <c r="AC838" s="647" t="str">
        <f>IFERROR(IF(VLOOKUP(C838,[1]List1!$A:$D,2,FALSE)="VYPRODÁNO",$V$9,IF(VLOOKUP(C838,[1]List1!$A:$D,2,FALSE)="DOCHÁZÍ",$V$3,VLOOKUP(C838,[1]List1!$A:$D,2,FALSE))),"OFFLINE!")</f>
        <v>31.08.2026</v>
      </c>
      <c r="AD838" s="647" t="str">
        <f ca="1">IF(AP838="NE",$V$10,IF(AC838=$V$3,IF(AQ838&lt;1,$V$8,$V$2&amp;" "&amp;AQ838&amp;" "&amp;$V$1),IF(AC838="SKLADEM",$V$6,IFERROR(IF(OR(AC838-TODAY()&gt;45,VLOOKUP(C838,[1]List1!$A:$E,4,FALSE)=0),AC838,DAY(AC838)&amp;"."&amp;MONTH(AC838)&amp;"."&amp;YEAR(AC838)&amp;" "&amp;$V$4&amp;VLOOKUP(C838,[1]List1!$A:$E,4,FALSE)&amp;" "&amp;$V$1),AC838))))</f>
        <v>31.08.2026</v>
      </c>
      <c r="AE838" s="645" t="str">
        <f t="shared" ca="1" si="2705"/>
        <v>31.08.2026</v>
      </c>
      <c r="AF838" s="648">
        <f t="shared" si="2706"/>
        <v>0</v>
      </c>
      <c r="AG838" s="649">
        <f t="shared" si="2707"/>
        <v>0</v>
      </c>
      <c r="AH838" s="650">
        <f t="shared" si="2708"/>
        <v>0</v>
      </c>
      <c r="AI838" s="645">
        <f t="shared" si="2709"/>
        <v>0</v>
      </c>
      <c r="AJ838" s="645">
        <f t="shared" si="2710"/>
        <v>0</v>
      </c>
      <c r="AK838" s="645" t="str">
        <f t="shared" si="2711"/>
        <v/>
      </c>
      <c r="AL838" s="645" t="str">
        <f t="shared" si="2712"/>
        <v/>
      </c>
      <c r="AM838" s="645">
        <f t="shared" si="2713"/>
        <v>0</v>
      </c>
      <c r="AN838" s="651">
        <f t="shared" si="2714"/>
        <v>0</v>
      </c>
      <c r="AO838" s="623"/>
      <c r="AP838" s="632" t="str">
        <f t="shared" si="2679"/>
        <v/>
      </c>
      <c r="AQ838" s="633" t="str">
        <f>IF(AC838=$V$3,IF(VLOOKUP(C838,[1]List1!$A:$E,5,FALSE)=0,1,VLOOKUP(C838,[1]List1!$A:$E,5,FALSE)),"")</f>
        <v/>
      </c>
      <c r="AR838" s="625" t="str">
        <f t="shared" si="2680"/>
        <v/>
      </c>
      <c r="AS838" s="634" t="str">
        <f t="shared" si="2681"/>
        <v/>
      </c>
      <c r="AT838" s="625" t="str">
        <f t="shared" si="2682"/>
        <v/>
      </c>
      <c r="AU838" s="638" t="e">
        <f t="shared" si="2683"/>
        <v>#N/A</v>
      </c>
      <c r="AV838" s="625" t="e">
        <f t="shared" si="2684"/>
        <v>#N/A</v>
      </c>
      <c r="AX838" s="625">
        <f>IF(AND('General price list'!$J838="F4",'General price list'!$AB838+0&gt;0),1,0)</f>
        <v>0</v>
      </c>
      <c r="AY838" s="625">
        <f t="shared" si="2685"/>
        <v>0</v>
      </c>
      <c r="AZ838" s="625">
        <f t="shared" si="2686"/>
        <v>0</v>
      </c>
    </row>
    <row r="839" spans="1:52" ht="15.75" customHeight="1">
      <c r="A839" s="621" t="str">
        <f>Kat.!C839</f>
        <v/>
      </c>
      <c r="B839" s="566">
        <f>IF(AND('General price list'!$J839="F4",$AI$1=FALSE),0,IF(AC839="SKLADEM",1,IF(AC839=$V$3,1,0)))</f>
        <v>0</v>
      </c>
      <c r="C839" s="641" t="s">
        <v>12475</v>
      </c>
      <c r="D839" s="568" t="s">
        <v>12576</v>
      </c>
      <c r="E839" s="763" t="s">
        <v>12651</v>
      </c>
      <c r="F839" s="791">
        <f>IFERROR(VLOOKUP(C839,[2]List1!$A:$D,3,FALSE),"NEUVEDENO!")</f>
        <v>720</v>
      </c>
      <c r="G839" s="769">
        <f t="shared" si="2701"/>
        <v>720</v>
      </c>
      <c r="H839" s="766">
        <f t="shared" si="2702"/>
        <v>30.584547157548648</v>
      </c>
      <c r="I839" s="764">
        <f>IFERROR(VLOOKUP(C839,[2]List1!$A:$D,4,FALSE),"NEUVEDENO!")</f>
        <v>4</v>
      </c>
      <c r="J839" s="732" t="s">
        <v>39</v>
      </c>
      <c r="K839" s="569" t="s">
        <v>13032</v>
      </c>
      <c r="L839" s="569"/>
      <c r="M839" s="569" t="s">
        <v>114</v>
      </c>
      <c r="N839" s="569">
        <f>IFERROR(VLOOKUP(C839,[3]List1!$A:$D,4,FALSE),"N/A!")</f>
        <v>0</v>
      </c>
      <c r="O839" s="569">
        <f>IFERROR(VLOOKUP(C839,[3]List1!$A:$D,3,FALSE),"N/A!")</f>
        <v>0</v>
      </c>
      <c r="P839" s="569">
        <f>IFERROR(VLOOKUP(C839,[3]List1!$A:$D,2,FALSE),"N/A!")</f>
        <v>13000</v>
      </c>
      <c r="Q839" s="569"/>
      <c r="R839" s="569"/>
      <c r="S839" s="569" t="str">
        <f>IF($W$17=$AF$1,"design",IFERROR(VLOOKUP("design",Jazyky_ceník!$A:$Q,MATCH($W$17,Jazyky_ceník!$A$1:$Q$1,0),FALSE),"!!!"))</f>
        <v>design</v>
      </c>
      <c r="T839" s="569">
        <v>50</v>
      </c>
      <c r="U839" s="569"/>
      <c r="V839" s="569"/>
      <c r="W839" s="569" t="str">
        <f>IFERROR(IF(AND($AB839&gt;=0.1*$AA839,MOD($AB839,$AA839)&gt;=($AA839-(0.1*$AA839))),IF($W$17=$AF$1,"Zvažte možnost doobjednání ještě "&amp;Tabulka1[[#This Row],[VKPAL]]-MOD(AB839,AA839)&amp;" VK do plné palety.",VLOOKUP("Zvažte možnost doobjednání ještě ",Jazyky_ceník!A:Q,MATCH($W$17,Jazyky_ceník!$A$1:$Q$1,0),FALSE)&amp;Tabulka1[[#This Row],[VKPAL]]-MOD(AB839,AA839)&amp;VLOOKUP(" VK do plné palety.",Jazyky_ceník!A:Q,MATCH($W$17,Jazyky_ceník!$A$1:$Q$1,0),FALSE)),IFERROR(IF(AND(NOT(MOD($AB839,$AA839)=0),$AB839&gt;=0.9*$AA839,MOD($AB839,$AA839)&lt;=0.1*$AA839),IF($W$17=$AF$1,"Zvažte možnost optimalizace objednaného množství podle počtu VK na paletě ==&gt;",VLOOKUP("Zvažte možnost optimalizace objednaného množství podle počtu VK na paletě ==&gt;",Jazyky_ceník!A:Q,MATCH($W$17,Jazyky_ceník!$A$1:$Q$1,0),FALSE)),VLOOKUP('General price list'!$C839,Popisy!A:M,MATCH($W$17,Popisy!$A$7:$M$7,0),FALSE)),"---------------")),IFERROR(VLOOKUP('General price list'!$C839,Popisy!A:M,MATCH($W$17,Popisy!$A$7:$M$7,0),FALSE),"---------------"))</f>
        <v>4 různobarevných efektů</v>
      </c>
      <c r="X839" s="569" t="str">
        <f t="shared" si="2703"/>
        <v/>
      </c>
      <c r="Y839" s="569" t="str">
        <f t="shared" si="2704"/>
        <v/>
      </c>
      <c r="Z839" s="569" t="str">
        <f>HYPERLINK("https://www.klasekpyrotechnics.cz/hf26015")</f>
        <v>https://www.klasekpyrotechnics.cz/hf26015</v>
      </c>
      <c r="AA839" s="569" t="str">
        <f>IFERROR(IF(VLOOKUP(C839,[4]List1!$A:$D,4,FALSE)=0,"",VLOOKUP(C839,[4]List1!$A:$D,4,FALSE)),"")</f>
        <v/>
      </c>
      <c r="AB839" s="565"/>
      <c r="AC839" s="570" t="str">
        <f>IFERROR(IF(VLOOKUP(C839,[1]List1!$A:$D,2,FALSE)="VYPRODÁNO",$V$9,IF(VLOOKUP(C839,[1]List1!$A:$D,2,FALSE)="DOCHÁZÍ",$V$3,VLOOKUP(C839,[1]List1!$A:$D,2,FALSE))),"OFFLINE!")</f>
        <v>31.08.2026</v>
      </c>
      <c r="AD839" s="570" t="str">
        <f ca="1">IF(AP839="NE",$V$10,IF(AC839=$V$3,IF(AQ839&lt;1,$V$8,$V$2&amp;" "&amp;AQ839&amp;" "&amp;$V$1),IF(AC839="SKLADEM",$V$6,IFERROR(IF(OR(AC839-TODAY()&gt;45,VLOOKUP(C839,[1]List1!$A:$E,4,FALSE)=0),AC839,DAY(AC839)&amp;"."&amp;MONTH(AC839)&amp;"."&amp;YEAR(AC839)&amp;" "&amp;$V$4&amp;VLOOKUP(C839,[1]List1!$A:$E,4,FALSE)&amp;" "&amp;$V$1),AC839))))</f>
        <v>31.08.2026</v>
      </c>
      <c r="AE839" s="581" t="str">
        <f t="shared" ca="1" si="2705"/>
        <v>31.08.2026</v>
      </c>
      <c r="AF839" s="584">
        <f t="shared" si="2706"/>
        <v>0</v>
      </c>
      <c r="AG839" s="585">
        <f t="shared" si="2707"/>
        <v>0</v>
      </c>
      <c r="AH839" s="583">
        <f t="shared" si="2708"/>
        <v>0</v>
      </c>
      <c r="AI839" s="582">
        <f t="shared" si="2709"/>
        <v>0</v>
      </c>
      <c r="AJ839" s="569">
        <f t="shared" si="2710"/>
        <v>0</v>
      </c>
      <c r="AK839" s="569" t="str">
        <f t="shared" si="2711"/>
        <v/>
      </c>
      <c r="AL839" s="569">
        <f t="shared" si="2712"/>
        <v>0</v>
      </c>
      <c r="AM839" s="569" t="str">
        <f t="shared" si="2713"/>
        <v/>
      </c>
      <c r="AN839" s="581">
        <f t="shared" si="2714"/>
        <v>0</v>
      </c>
      <c r="AO839" s="623"/>
      <c r="AP839" s="625" t="str">
        <f t="shared" si="2679"/>
        <v/>
      </c>
      <c r="AQ839" s="625" t="str">
        <f>IF(AC839=$V$3,IF(VLOOKUP(C839,[1]List1!$A:$E,5,FALSE)=0,1,VLOOKUP(C839,[1]List1!$A:$E,5,FALSE)),"")</f>
        <v/>
      </c>
      <c r="AR839" s="629" t="str">
        <f t="shared" si="2680"/>
        <v/>
      </c>
      <c r="AS839" s="630" t="str">
        <f t="shared" si="2681"/>
        <v/>
      </c>
      <c r="AT839" s="625" t="str">
        <f t="shared" si="2682"/>
        <v/>
      </c>
      <c r="AU839" s="625" t="e">
        <f t="shared" si="2683"/>
        <v>#N/A</v>
      </c>
      <c r="AV839" s="625" t="e">
        <f t="shared" si="2684"/>
        <v>#N/A</v>
      </c>
      <c r="AW839" s="631"/>
      <c r="AX839" s="631">
        <f>IF(AND('General price list'!$J839="F4",'General price list'!$AB839+0&gt;0),1,0)</f>
        <v>0</v>
      </c>
      <c r="AY839" s="631">
        <f t="shared" si="2685"/>
        <v>0</v>
      </c>
      <c r="AZ839" s="631">
        <f t="shared" si="2686"/>
        <v>0</v>
      </c>
    </row>
    <row r="840" spans="1:52" ht="15.75" customHeight="1">
      <c r="A840" s="639" t="str">
        <f>Kat.!C840</f>
        <v/>
      </c>
      <c r="B840" s="640">
        <f>IF(AND('General price list'!$J840="F4",$AI$1=FALSE),0,IF(AC840="SKLADEM",1,IF(AC840=$V$3,1,0)))</f>
        <v>0</v>
      </c>
      <c r="C840" s="641" t="s">
        <v>12476</v>
      </c>
      <c r="D840" s="642" t="s">
        <v>12577</v>
      </c>
      <c r="E840" s="643" t="s">
        <v>12651</v>
      </c>
      <c r="F840" s="791">
        <f>IFERROR(VLOOKUP(C840,[2]List1!$A:$D,3,FALSE),"NEUVEDENO!")</f>
        <v>677</v>
      </c>
      <c r="G840" s="768">
        <f t="shared" si="2701"/>
        <v>677</v>
      </c>
      <c r="H840" s="765">
        <f t="shared" si="2702"/>
        <v>28.757970035639495</v>
      </c>
      <c r="I840" s="644">
        <f>IFERROR(VLOOKUP(C840,[2]List1!$A:$D,4,FALSE),"NEUVEDENO!")</f>
        <v>4</v>
      </c>
      <c r="J840" s="733" t="s">
        <v>39</v>
      </c>
      <c r="K840" s="645" t="s">
        <v>13032</v>
      </c>
      <c r="L840" s="645"/>
      <c r="M840" s="645" t="s">
        <v>21</v>
      </c>
      <c r="N840" s="645">
        <f>IFERROR(VLOOKUP(C840,[3]List1!$A:$D,4,FALSE),"N/A!")</f>
        <v>0</v>
      </c>
      <c r="O840" s="645">
        <f>IFERROR(VLOOKUP(C840,[3]List1!$A:$D,3,FALSE),"N/A!")</f>
        <v>0</v>
      </c>
      <c r="P840" s="645">
        <f>IFERROR(VLOOKUP(C840,[3]List1!$A:$D,2,FALSE),"N/A!")</f>
        <v>13000</v>
      </c>
      <c r="Q840" s="645"/>
      <c r="R840" s="645"/>
      <c r="S840" s="645" t="str">
        <f>IF($W$17=$AF$1,"design",IFERROR(VLOOKUP("design",Jazyky_ceník!$A:$Q,MATCH($W$17,Jazyky_ceník!$A$1:$Q$1,0),FALSE),"!!!"))</f>
        <v>design</v>
      </c>
      <c r="T840" s="645">
        <v>45</v>
      </c>
      <c r="U840" s="645"/>
      <c r="V840" s="645"/>
      <c r="W840" s="645" t="str">
        <f>IFERROR(IF(AND($AB840&gt;=0.1*$AA840,MOD($AB840,$AA840)&gt;=($AA840-(0.1*$AA840))),IF($W$17=$AF$1,"Zvažte možnost doobjednání ještě "&amp;Tabulka1[[#This Row],[VKPAL]]-MOD(AB840,AA840)&amp;" VK do plné palety.",VLOOKUP("Zvažte možnost doobjednání ještě ",Jazyky_ceník!A:Q,MATCH($W$17,Jazyky_ceník!$A$1:$Q$1,0),FALSE)&amp;Tabulka1[[#This Row],[VKPAL]]-MOD(AB840,AA840)&amp;VLOOKUP(" VK do plné palety.",Jazyky_ceník!A:Q,MATCH($W$17,Jazyky_ceník!$A$1:$Q$1,0),FALSE)),IFERROR(IF(AND(NOT(MOD($AB840,$AA840)=0),$AB840&gt;=0.9*$AA840,MOD($AB840,$AA840)&lt;=0.1*$AA840),IF($W$17=$AF$1,"Zvažte možnost optimalizace objednaného množství podle počtu VK na paletě ==&gt;",VLOOKUP("Zvažte možnost optimalizace objednaného množství podle počtu VK na paletě ==&gt;",Jazyky_ceník!A:Q,MATCH($W$17,Jazyky_ceník!$A$1:$Q$1,0),FALSE)),VLOOKUP('General price list'!$C840,Popisy!A:M,MATCH($W$17,Popisy!$A$7:$M$7,0),FALSE)),"---------------")),IFERROR(VLOOKUP('General price list'!$C840,Popisy!A:M,MATCH($W$17,Popisy!$A$7:$M$7,0),FALSE),"---------------"))</f>
        <v>4 různobarevných efektů</v>
      </c>
      <c r="X840" s="645" t="str">
        <f t="shared" si="2703"/>
        <v/>
      </c>
      <c r="Y840" s="645" t="str">
        <f t="shared" si="2704"/>
        <v/>
      </c>
      <c r="Z840" s="645" t="str">
        <f>HYPERLINK("https://www.klasekpyrotechnics.cz/hf26016")</f>
        <v>https://www.klasekpyrotechnics.cz/hf26016</v>
      </c>
      <c r="AA840" s="645" t="str">
        <f>IFERROR(IF(VLOOKUP(C840,[4]List1!$A:$D,4,FALSE)=0,"",VLOOKUP(C840,[4]List1!$A:$D,4,FALSE)),"")</f>
        <v/>
      </c>
      <c r="AB840" s="646"/>
      <c r="AC840" s="647" t="str">
        <f>IFERROR(IF(VLOOKUP(C840,[1]List1!$A:$D,2,FALSE)="VYPRODÁNO",$V$9,IF(VLOOKUP(C840,[1]List1!$A:$D,2,FALSE)="DOCHÁZÍ",$V$3,VLOOKUP(C840,[1]List1!$A:$D,2,FALSE))),"OFFLINE!")</f>
        <v>31.08.2026</v>
      </c>
      <c r="AD840" s="647" t="str">
        <f ca="1">IF(AP840="NE",$V$10,IF(AC840=$V$3,IF(AQ840&lt;1,$V$8,$V$2&amp;" "&amp;AQ840&amp;" "&amp;$V$1),IF(AC840="SKLADEM",$V$6,IFERROR(IF(OR(AC840-TODAY()&gt;45,VLOOKUP(C840,[1]List1!$A:$E,4,FALSE)=0),AC840,DAY(AC840)&amp;"."&amp;MONTH(AC840)&amp;"."&amp;YEAR(AC840)&amp;" "&amp;$V$4&amp;VLOOKUP(C840,[1]List1!$A:$E,4,FALSE)&amp;" "&amp;$V$1),AC840))))</f>
        <v>31.08.2026</v>
      </c>
      <c r="AE840" s="645" t="str">
        <f t="shared" ca="1" si="2705"/>
        <v>31.08.2026</v>
      </c>
      <c r="AF840" s="648">
        <f t="shared" si="2706"/>
        <v>0</v>
      </c>
      <c r="AG840" s="649">
        <f t="shared" si="2707"/>
        <v>0</v>
      </c>
      <c r="AH840" s="650">
        <f t="shared" si="2708"/>
        <v>0</v>
      </c>
      <c r="AI840" s="645">
        <f t="shared" si="2709"/>
        <v>0</v>
      </c>
      <c r="AJ840" s="645">
        <f t="shared" si="2710"/>
        <v>0</v>
      </c>
      <c r="AK840" s="645" t="str">
        <f t="shared" si="2711"/>
        <v/>
      </c>
      <c r="AL840" s="645" t="str">
        <f t="shared" si="2712"/>
        <v/>
      </c>
      <c r="AM840" s="645">
        <f t="shared" si="2713"/>
        <v>0</v>
      </c>
      <c r="AN840" s="651">
        <f t="shared" si="2714"/>
        <v>0</v>
      </c>
      <c r="AO840" s="623"/>
      <c r="AP840" s="625" t="str">
        <f t="shared" si="2679"/>
        <v/>
      </c>
      <c r="AQ840" s="625" t="str">
        <f>IF(AC840=$V$3,IF(VLOOKUP(C840,[1]List1!$A:$E,5,FALSE)=0,1,VLOOKUP(C840,[1]List1!$A:$E,5,FALSE)),"")</f>
        <v/>
      </c>
      <c r="AR840" s="629" t="str">
        <f t="shared" si="2680"/>
        <v/>
      </c>
      <c r="AS840" s="630" t="str">
        <f t="shared" si="2681"/>
        <v/>
      </c>
      <c r="AT840" s="625" t="str">
        <f t="shared" si="2682"/>
        <v/>
      </c>
      <c r="AU840" s="625" t="e">
        <f t="shared" si="2683"/>
        <v>#N/A</v>
      </c>
      <c r="AV840" s="625" t="e">
        <f t="shared" si="2684"/>
        <v>#N/A</v>
      </c>
      <c r="AW840" s="631"/>
      <c r="AX840" s="631">
        <f>IF(AND('General price list'!$J840="F4",'General price list'!$AB840+0&gt;0),1,0)</f>
        <v>0</v>
      </c>
      <c r="AY840" s="631">
        <f t="shared" si="2685"/>
        <v>0</v>
      </c>
      <c r="AZ840" s="631">
        <f t="shared" si="2686"/>
        <v>0</v>
      </c>
    </row>
    <row r="841" spans="1:52" ht="15" customHeight="1">
      <c r="A841" s="621" t="str">
        <f>Kat.!C841</f>
        <v/>
      </c>
      <c r="B841" s="566">
        <f>IF(AND('General price list'!$J841="F4",$AI$1=FALSE),0,IF(AC841="SKLADEM",1,IF(AC841=$V$3,1,0)))</f>
        <v>0</v>
      </c>
      <c r="C841" s="641" t="s">
        <v>12477</v>
      </c>
      <c r="D841" s="568" t="s">
        <v>12578</v>
      </c>
      <c r="E841" s="763" t="s">
        <v>12746</v>
      </c>
      <c r="F841" s="791">
        <f>IFERROR(VLOOKUP(C841,[2]List1!$A:$D,3,FALSE),"NEUVEDENO!")</f>
        <v>720</v>
      </c>
      <c r="G841" s="769">
        <f t="shared" si="2701"/>
        <v>720</v>
      </c>
      <c r="H841" s="766">
        <f t="shared" si="2702"/>
        <v>30.584547157548648</v>
      </c>
      <c r="I841" s="764">
        <f>IFERROR(VLOOKUP(C841,[2]List1!$A:$D,4,FALSE),"NEUVEDENO!")</f>
        <v>6</v>
      </c>
      <c r="J841" s="732" t="s">
        <v>39</v>
      </c>
      <c r="K841" s="569" t="s">
        <v>13032</v>
      </c>
      <c r="L841" s="569"/>
      <c r="M841" s="569" t="s">
        <v>21</v>
      </c>
      <c r="N841" s="569">
        <f>IFERROR(VLOOKUP(C841,[3]List1!$A:$D,4,FALSE),"N/A!")</f>
        <v>0</v>
      </c>
      <c r="O841" s="569">
        <f>IFERROR(VLOOKUP(C841,[3]List1!$A:$D,3,FALSE),"N/A!")</f>
        <v>2580</v>
      </c>
      <c r="P841" s="569">
        <f>IFERROR(VLOOKUP(C841,[3]List1!$A:$D,2,FALSE),"N/A!")</f>
        <v>17000</v>
      </c>
      <c r="Q841" s="569"/>
      <c r="R841" s="569"/>
      <c r="S841" s="569" t="str">
        <f>IF($W$17=$AF$1,"design",IFERROR(VLOOKUP("design",Jazyky_ceník!$A:$Q,MATCH($W$17,Jazyky_ceník!$A$1:$Q$1,0),FALSE),"!!!"))</f>
        <v>design</v>
      </c>
      <c r="T841" s="569">
        <v>20</v>
      </c>
      <c r="U841" s="569"/>
      <c r="V841" s="569"/>
      <c r="W841" s="569" t="str">
        <f>IFERROR(IF(AND($AB841&gt;=0.1*$AA841,MOD($AB841,$AA841)&gt;=($AA841-(0.1*$AA841))),IF($W$17=$AF$1,"Zvažte možnost doobjednání ještě "&amp;Tabulka1[[#This Row],[VKPAL]]-MOD(AB841,AA841)&amp;" VK do plné palety.",VLOOKUP("Zvažte možnost doobjednání ještě ",Jazyky_ceník!A:Q,MATCH($W$17,Jazyky_ceník!$A$1:$Q$1,0),FALSE)&amp;Tabulka1[[#This Row],[VKPAL]]-MOD(AB841,AA841)&amp;VLOOKUP(" VK do plné palety.",Jazyky_ceník!A:Q,MATCH($W$17,Jazyky_ceník!$A$1:$Q$1,0),FALSE)),IFERROR(IF(AND(NOT(MOD($AB841,$AA841)=0),$AB841&gt;=0.9*$AA841,MOD($AB841,$AA841)&lt;=0.1*$AA841),IF($W$17=$AF$1,"Zvažte možnost optimalizace objednaného množství podle počtu VK na paletě ==&gt;",VLOOKUP("Zvažte možnost optimalizace objednaného množství podle počtu VK na paletě ==&gt;",Jazyky_ceník!A:Q,MATCH($W$17,Jazyky_ceník!$A$1:$Q$1,0),FALSE)),VLOOKUP('General price list'!$C841,Popisy!A:M,MATCH($W$17,Popisy!$A$7:$M$7,0),FALSE)),"---------------")),IFERROR(VLOOKUP('General price list'!$C841,Popisy!A:M,MATCH($W$17,Popisy!$A$7:$M$7,0),FALSE),"---------------"))</f>
        <v>5 různobarevných efektu</v>
      </c>
      <c r="X841" s="569" t="str">
        <f t="shared" si="2703"/>
        <v/>
      </c>
      <c r="Y841" s="569" t="str">
        <f t="shared" si="2704"/>
        <v/>
      </c>
      <c r="Z841" s="569" t="str">
        <f>HYPERLINK("https://www.klasekpyrotechnics.cz/hf2387s")</f>
        <v>https://www.klasekpyrotechnics.cz/hf2387s</v>
      </c>
      <c r="AA841" s="569" t="str">
        <f>IFERROR(IF(VLOOKUP(C841,[4]List1!$A:$D,4,FALSE)=0,"",VLOOKUP(C841,[4]List1!$A:$D,4,FALSE)),"")</f>
        <v/>
      </c>
      <c r="AB841" s="565"/>
      <c r="AC841" s="570" t="str">
        <f>IFERROR(IF(VLOOKUP(C841,[1]List1!$A:$D,2,FALSE)="VYPRODÁNO",$V$9,IF(VLOOKUP(C841,[1]List1!$A:$D,2,FALSE)="DOCHÁZÍ",$V$3,VLOOKUP(C841,[1]List1!$A:$D,2,FALSE))),"OFFLINE!")</f>
        <v>31.08.2026</v>
      </c>
      <c r="AD841" s="570" t="str">
        <f ca="1">IF(AP841="NE",$V$10,IF(AC841=$V$3,IF(AQ841&lt;1,$V$8,$V$2&amp;" "&amp;AQ841&amp;" "&amp;$V$1),IF(AC841="SKLADEM",$V$6,IFERROR(IF(OR(AC841-TODAY()&gt;45,VLOOKUP(C841,[1]List1!$A:$E,4,FALSE)=0),AC841,DAY(AC841)&amp;"."&amp;MONTH(AC841)&amp;"."&amp;YEAR(AC841)&amp;" "&amp;$V$4&amp;VLOOKUP(C841,[1]List1!$A:$E,4,FALSE)&amp;" "&amp;$V$1),AC841))))</f>
        <v>31.08.2026</v>
      </c>
      <c r="AE841" s="581" t="str">
        <f t="shared" ca="1" si="2705"/>
        <v>31.08.2026</v>
      </c>
      <c r="AF841" s="584">
        <f t="shared" si="2706"/>
        <v>0</v>
      </c>
      <c r="AG841" s="585">
        <f t="shared" si="2707"/>
        <v>0</v>
      </c>
      <c r="AH841" s="583">
        <f t="shared" si="2708"/>
        <v>0</v>
      </c>
      <c r="AI841" s="582">
        <f t="shared" si="2709"/>
        <v>0</v>
      </c>
      <c r="AJ841" s="569">
        <f t="shared" si="2710"/>
        <v>0</v>
      </c>
      <c r="AK841" s="569" t="str">
        <f t="shared" si="2711"/>
        <v/>
      </c>
      <c r="AL841" s="569" t="str">
        <f t="shared" si="2712"/>
        <v/>
      </c>
      <c r="AM841" s="569">
        <f t="shared" si="2713"/>
        <v>0</v>
      </c>
      <c r="AN841" s="581">
        <f t="shared" si="2714"/>
        <v>0</v>
      </c>
      <c r="AO841" s="623"/>
      <c r="AP841" s="632" t="str">
        <f t="shared" si="2679"/>
        <v/>
      </c>
      <c r="AQ841" s="633" t="str">
        <f>IF(AC841=$V$3,IF(VLOOKUP(C841,[1]List1!$A:$E,5,FALSE)=0,1,VLOOKUP(C841,[1]List1!$A:$E,5,FALSE)),"")</f>
        <v/>
      </c>
      <c r="AR841" s="625" t="str">
        <f t="shared" si="2680"/>
        <v/>
      </c>
      <c r="AS841" s="634" t="str">
        <f t="shared" si="2681"/>
        <v/>
      </c>
      <c r="AT841" s="625" t="str">
        <f t="shared" si="2682"/>
        <v/>
      </c>
      <c r="AU841" s="638" t="e">
        <f t="shared" si="2683"/>
        <v>#N/A</v>
      </c>
      <c r="AV841" s="625" t="e">
        <f t="shared" si="2684"/>
        <v>#N/A</v>
      </c>
      <c r="AX841" s="625">
        <f>IF(AND('General price list'!$J841="F4",'General price list'!$AB841+0&gt;0),1,0)</f>
        <v>0</v>
      </c>
      <c r="AY841" s="625">
        <f t="shared" si="2685"/>
        <v>0</v>
      </c>
      <c r="AZ841" s="625">
        <f t="shared" si="2686"/>
        <v>0</v>
      </c>
    </row>
    <row r="842" spans="1:52" ht="15.75" customHeight="1">
      <c r="A842" s="639" t="str">
        <f>Kat.!C842</f>
        <v/>
      </c>
      <c r="B842" s="640">
        <f>IF(AND('General price list'!$J842="F4",$AI$1=FALSE),0,IF(AC842="SKLADEM",1,IF(AC842=$V$3,1,0)))</f>
        <v>0</v>
      </c>
      <c r="C842" s="641" t="s">
        <v>12478</v>
      </c>
      <c r="D842" s="642" t="s">
        <v>12579</v>
      </c>
      <c r="E842" s="643" t="s">
        <v>12651</v>
      </c>
      <c r="F842" s="791">
        <f>IFERROR(VLOOKUP(C842,[2]List1!$A:$D,3,FALSE),"NEUVEDENO!")</f>
        <v>796</v>
      </c>
      <c r="G842" s="768">
        <f t="shared" si="2701"/>
        <v>796</v>
      </c>
      <c r="H842" s="765">
        <f t="shared" si="2702"/>
        <v>33.812916024178783</v>
      </c>
      <c r="I842" s="644">
        <f>IFERROR(VLOOKUP(C842,[2]List1!$A:$D,4,FALSE),"NEUVEDENO!")</f>
        <v>4</v>
      </c>
      <c r="J842" s="733" t="s">
        <v>39</v>
      </c>
      <c r="K842" s="645" t="s">
        <v>13032</v>
      </c>
      <c r="L842" s="645"/>
      <c r="M842" s="645" t="s">
        <v>21</v>
      </c>
      <c r="N842" s="645">
        <f>IFERROR(VLOOKUP(C842,[3]List1!$A:$D,4,FALSE),"N/A!")</f>
        <v>0</v>
      </c>
      <c r="O842" s="645">
        <f>IFERROR(VLOOKUP(C842,[3]List1!$A:$D,3,FALSE),"N/A!")</f>
        <v>0</v>
      </c>
      <c r="P842" s="645">
        <f>IFERROR(VLOOKUP(C842,[3]List1!$A:$D,2,FALSE),"N/A!")</f>
        <v>12000</v>
      </c>
      <c r="Q842" s="645"/>
      <c r="R842" s="645"/>
      <c r="S842" s="645" t="str">
        <f>IF($W$17=$AF$1,"design",IFERROR(VLOOKUP("design",Jazyky_ceník!$A:$Q,MATCH($W$17,Jazyky_ceník!$A$1:$Q$1,0),FALSE),"!!!"))</f>
        <v>design</v>
      </c>
      <c r="T842" s="645">
        <v>30</v>
      </c>
      <c r="U842" s="645"/>
      <c r="V842" s="645"/>
      <c r="W842" s="645" t="str">
        <f>IFERROR(IF(AND($AB842&gt;=0.1*$AA842,MOD($AB842,$AA842)&gt;=($AA842-(0.1*$AA842))),IF($W$17=$AF$1,"Zvažte možnost doobjednání ještě "&amp;Tabulka1[[#This Row],[VKPAL]]-MOD(AB842,AA842)&amp;" VK do plné palety.",VLOOKUP("Zvažte možnost doobjednání ještě ",Jazyky_ceník!A:Q,MATCH($W$17,Jazyky_ceník!$A$1:$Q$1,0),FALSE)&amp;Tabulka1[[#This Row],[VKPAL]]-MOD(AB842,AA842)&amp;VLOOKUP(" VK do plné palety.",Jazyky_ceník!A:Q,MATCH($W$17,Jazyky_ceník!$A$1:$Q$1,0),FALSE)),IFERROR(IF(AND(NOT(MOD($AB842,$AA842)=0),$AB842&gt;=0.9*$AA842,MOD($AB842,$AA842)&lt;=0.1*$AA842),IF($W$17=$AF$1,"Zvažte možnost optimalizace objednaného množství podle počtu VK na paletě ==&gt;",VLOOKUP("Zvažte možnost optimalizace objednaného množství podle počtu VK na paletě ==&gt;",Jazyky_ceník!A:Q,MATCH($W$17,Jazyky_ceník!$A$1:$Q$1,0),FALSE)),VLOOKUP('General price list'!$C842,Popisy!A:M,MATCH($W$17,Popisy!$A$7:$M$7,0),FALSE)),"---------------")),IFERROR(VLOOKUP('General price list'!$C842,Popisy!A:M,MATCH($W$17,Popisy!$A$7:$M$7,0),FALSE),"---------------"))</f>
        <v>6  různobarevných efektů</v>
      </c>
      <c r="X842" s="645" t="str">
        <f t="shared" si="2703"/>
        <v/>
      </c>
      <c r="Y842" s="645" t="str">
        <f t="shared" si="2704"/>
        <v/>
      </c>
      <c r="Z842" s="645" t="str">
        <f>HYPERLINK("https://www.klasekpyrotechnics.cz/hf24090q")</f>
        <v>https://www.klasekpyrotechnics.cz/hf24090q</v>
      </c>
      <c r="AA842" s="645" t="str">
        <f>IFERROR(IF(VLOOKUP(C842,[4]List1!$A:$D,4,FALSE)=0,"",VLOOKUP(C842,[4]List1!$A:$D,4,FALSE)),"")</f>
        <v/>
      </c>
      <c r="AB842" s="646"/>
      <c r="AC842" s="647" t="str">
        <f>IFERROR(IF(VLOOKUP(C842,[1]List1!$A:$D,2,FALSE)="VYPRODÁNO",$V$9,IF(VLOOKUP(C842,[1]List1!$A:$D,2,FALSE)="DOCHÁZÍ",$V$3,VLOOKUP(C842,[1]List1!$A:$D,2,FALSE))),"OFFLINE!")</f>
        <v>31.08.2026</v>
      </c>
      <c r="AD842" s="647" t="str">
        <f ca="1">IF(AP842="NE",$V$10,IF(AC842=$V$3,IF(AQ842&lt;1,$V$8,$V$2&amp;" "&amp;AQ842&amp;" "&amp;$V$1),IF(AC842="SKLADEM",$V$6,IFERROR(IF(OR(AC842-TODAY()&gt;45,VLOOKUP(C842,[1]List1!$A:$E,4,FALSE)=0),AC842,DAY(AC842)&amp;"."&amp;MONTH(AC842)&amp;"."&amp;YEAR(AC842)&amp;" "&amp;$V$4&amp;VLOOKUP(C842,[1]List1!$A:$E,4,FALSE)&amp;" "&amp;$V$1),AC842))))</f>
        <v>31.08.2026</v>
      </c>
      <c r="AE842" s="645" t="str">
        <f t="shared" ca="1" si="2705"/>
        <v>31.08.2026</v>
      </c>
      <c r="AF842" s="648">
        <f t="shared" si="2706"/>
        <v>0</v>
      </c>
      <c r="AG842" s="649">
        <f t="shared" si="2707"/>
        <v>0</v>
      </c>
      <c r="AH842" s="650">
        <f t="shared" si="2708"/>
        <v>0</v>
      </c>
      <c r="AI842" s="645">
        <f t="shared" si="2709"/>
        <v>0</v>
      </c>
      <c r="AJ842" s="645">
        <f t="shared" si="2710"/>
        <v>0</v>
      </c>
      <c r="AK842" s="645" t="str">
        <f t="shared" si="2711"/>
        <v/>
      </c>
      <c r="AL842" s="645" t="str">
        <f t="shared" si="2712"/>
        <v/>
      </c>
      <c r="AM842" s="645">
        <f t="shared" si="2713"/>
        <v>0</v>
      </c>
      <c r="AN842" s="651">
        <f t="shared" si="2714"/>
        <v>0</v>
      </c>
      <c r="AO842" s="623"/>
      <c r="AP842" s="625" t="str">
        <f t="shared" si="2679"/>
        <v/>
      </c>
      <c r="AQ842" s="625" t="str">
        <f>IF(AC842=$V$3,IF(VLOOKUP(C842,[1]List1!$A:$E,5,FALSE)=0,1,VLOOKUP(C842,[1]List1!$A:$E,5,FALSE)),"")</f>
        <v/>
      </c>
      <c r="AR842" s="629" t="str">
        <f t="shared" si="2680"/>
        <v/>
      </c>
      <c r="AS842" s="630" t="str">
        <f t="shared" si="2681"/>
        <v/>
      </c>
      <c r="AT842" s="625" t="str">
        <f t="shared" si="2682"/>
        <v/>
      </c>
      <c r="AU842" s="625" t="e">
        <f t="shared" si="2683"/>
        <v>#N/A</v>
      </c>
      <c r="AV842" s="625" t="e">
        <f t="shared" si="2684"/>
        <v>#N/A</v>
      </c>
      <c r="AW842" s="631"/>
      <c r="AX842" s="631">
        <f>IF(AND('General price list'!$J842="F4",'General price list'!$AB842+0&gt;0),1,0)</f>
        <v>0</v>
      </c>
      <c r="AY842" s="631">
        <f t="shared" si="2685"/>
        <v>0</v>
      </c>
      <c r="AZ842" s="631">
        <f t="shared" si="2686"/>
        <v>0</v>
      </c>
    </row>
    <row r="843" spans="1:52" ht="15" customHeight="1">
      <c r="A843" s="621" t="str">
        <f>Kat.!C843</f>
        <v/>
      </c>
      <c r="B843" s="566">
        <f>IF(AND('General price list'!$J843="F4",$AI$1=FALSE),0,IF(AC843="SKLADEM",1,IF(AC843=$V$3,1,0)))</f>
        <v>1</v>
      </c>
      <c r="C843" s="567" t="s">
        <v>11220</v>
      </c>
      <c r="D843" s="568" t="s">
        <v>12580</v>
      </c>
      <c r="E843" s="763" t="s">
        <v>12651</v>
      </c>
      <c r="F843" s="791">
        <f>IFERROR(VLOOKUP(C843,[2]List1!$A:$D,3,FALSE),"NEUVEDENO!")</f>
        <v>802</v>
      </c>
      <c r="G843" s="769">
        <f t="shared" si="2701"/>
        <v>802</v>
      </c>
      <c r="H843" s="766">
        <f t="shared" si="2702"/>
        <v>34.067787250491691</v>
      </c>
      <c r="I843" s="764">
        <f>IFERROR(VLOOKUP(C843,[2]List1!$A:$D,4,FALSE),"NEUVEDENO!")</f>
        <v>4</v>
      </c>
      <c r="J843" s="732" t="s">
        <v>39</v>
      </c>
      <c r="K843" s="569" t="s">
        <v>11100</v>
      </c>
      <c r="L843" s="569"/>
      <c r="M843" s="569" t="s">
        <v>114</v>
      </c>
      <c r="N843" s="569">
        <f>IFERROR(VLOOKUP(C843,[3]List1!$A:$D,4,FALSE),"N/A!")</f>
        <v>3.542E-2</v>
      </c>
      <c r="O843" s="569">
        <f>IFERROR(VLOOKUP(C843,[3]List1!$A:$D,3,FALSE),"N/A!")</f>
        <v>1920</v>
      </c>
      <c r="P843" s="569">
        <f>IFERROR(VLOOKUP(C843,[3]List1!$A:$D,2,FALSE),"N/A!")</f>
        <v>12350</v>
      </c>
      <c r="Q843" s="569" t="s">
        <v>11238</v>
      </c>
      <c r="R843" s="569"/>
      <c r="S843" s="569" t="str">
        <f>IF($W$17=$AF$1,"design",IFERROR(VLOOKUP("design",Jazyky_ceník!$A:$Q,MATCH($W$17,Jazyky_ceník!$A$1:$Q$1,0),FALSE),"!!!"))</f>
        <v>design</v>
      </c>
      <c r="T843" s="569">
        <v>33</v>
      </c>
      <c r="U843" s="569"/>
      <c r="V843" s="569"/>
      <c r="W843" s="569" t="str">
        <f>IFERROR(IF(AND($AB843&gt;=0.1*$AA843,MOD($AB843,$AA843)&gt;=($AA843-(0.1*$AA843))),IF($W$17=$AF$1,"Zvažte možnost doobjednání ještě "&amp;Tabulka1[[#This Row],[VKPAL]]-MOD(AB843,AA843)&amp;" VK do plné palety.",VLOOKUP("Zvažte možnost doobjednání ještě ",Jazyky_ceník!A:Q,MATCH($W$17,Jazyky_ceník!$A$1:$Q$1,0),FALSE)&amp;Tabulka1[[#This Row],[VKPAL]]-MOD(AB843,AA843)&amp;VLOOKUP(" VK do plné palety.",Jazyky_ceník!A:Q,MATCH($W$17,Jazyky_ceník!$A$1:$Q$1,0),FALSE)),IFERROR(IF(AND(NOT(MOD($AB843,$AA843)=0),$AB843&gt;=0.9*$AA843,MOD($AB843,$AA843)&lt;=0.1*$AA843),IF($W$17=$AF$1,"Zvažte možnost optimalizace objednaného množství podle počtu VK na paletě ==&gt;",VLOOKUP("Zvažte možnost optimalizace objednaného množství podle počtu VK na paletě ==&gt;",Jazyky_ceník!A:Q,MATCH($W$17,Jazyky_ceník!$A$1:$Q$1,0),FALSE)),VLOOKUP('General price list'!$C843,Popisy!A:M,MATCH($W$17,Popisy!$A$7:$M$7,0),FALSE)),"---------------")),IFERROR(VLOOKUP('General price list'!$C843,Popisy!A:M,MATCH($W$17,Popisy!$A$7:$M$7,0),FALSE),"---------------"))</f>
        <v>8  různobarevných efektů</v>
      </c>
      <c r="X843" s="569" t="str">
        <f t="shared" si="2703"/>
        <v/>
      </c>
      <c r="Y843" s="569" t="str">
        <f t="shared" si="2704"/>
        <v/>
      </c>
      <c r="Z843" s="569" t="str">
        <f>HYPERLINK("https://www.klasekpyrotechnics.cz/hf2244")</f>
        <v>https://www.klasekpyrotechnics.cz/hf2244</v>
      </c>
      <c r="AA843" s="569">
        <f>IFERROR(IF(VLOOKUP(C843,[4]List1!$A:$D,4,FALSE)=0,"",VLOOKUP(C843,[4]List1!$A:$D,4,FALSE)),"")</f>
        <v>36</v>
      </c>
      <c r="AB843" s="565"/>
      <c r="AC843" s="570" t="str">
        <f>IFERROR(IF(VLOOKUP(C843,[1]List1!$A:$D,2,FALSE)="VYPRODÁNO",$V$9,IF(VLOOKUP(C843,[1]List1!$A:$D,2,FALSE)="DOCHÁZÍ",$V$3,VLOOKUP(C843,[1]List1!$A:$D,2,FALSE))),"OFFLINE!")</f>
        <v>SKLADEM</v>
      </c>
      <c r="AD843" s="570" t="str">
        <f ca="1">IF(AP843="NE",$V$10,IF(AC843=$V$3,IF(AQ843&lt;1,$V$8,$V$2&amp;" "&amp;AQ843&amp;" "&amp;$V$1),IF(AC843="SKLADEM",$V$6,IFERROR(IF(OR(AC843-TODAY()&gt;45,VLOOKUP(C843,[1]List1!$A:$E,4,FALSE)=0),AC843,DAY(AC843)&amp;"."&amp;MONTH(AC843)&amp;"."&amp;YEAR(AC843)&amp;" "&amp;$V$4&amp;VLOOKUP(C843,[1]List1!$A:$E,4,FALSE)&amp;" "&amp;$V$1),AC843))))</f>
        <v>SKLADEM</v>
      </c>
      <c r="AE843" s="581" t="str">
        <f t="shared" ca="1" si="2705"/>
        <v>SKLADEM</v>
      </c>
      <c r="AF843" s="584">
        <f t="shared" si="2706"/>
        <v>0</v>
      </c>
      <c r="AG843" s="585">
        <f t="shared" si="2707"/>
        <v>0</v>
      </c>
      <c r="AH843" s="583">
        <f t="shared" si="2708"/>
        <v>0</v>
      </c>
      <c r="AI843" s="582">
        <f t="shared" si="2709"/>
        <v>0</v>
      </c>
      <c r="AJ843" s="569">
        <f t="shared" si="2710"/>
        <v>0</v>
      </c>
      <c r="AK843" s="569" t="str">
        <f t="shared" si="2711"/>
        <v/>
      </c>
      <c r="AL843" s="569">
        <f t="shared" si="2712"/>
        <v>0</v>
      </c>
      <c r="AM843" s="569" t="str">
        <f t="shared" si="2713"/>
        <v/>
      </c>
      <c r="AN843" s="581">
        <f t="shared" si="2714"/>
        <v>0</v>
      </c>
      <c r="AO843" s="623"/>
      <c r="AP843" s="632" t="str">
        <f t="shared" si="2679"/>
        <v/>
      </c>
      <c r="AQ843" s="633" t="str">
        <f>IF(AC843=$V$3,IF(VLOOKUP(C843,[1]List1!$A:$E,5,FALSE)=0,1,VLOOKUP(C843,[1]List1!$A:$E,5,FALSE)),"")</f>
        <v/>
      </c>
      <c r="AR843" s="625" t="str">
        <f t="shared" si="2680"/>
        <v/>
      </c>
      <c r="AS843" s="634" t="str">
        <f t="shared" si="2681"/>
        <v/>
      </c>
      <c r="AT843" s="625" t="str">
        <f t="shared" si="2682"/>
        <v/>
      </c>
      <c r="AU843" s="638" t="e">
        <f t="shared" si="2683"/>
        <v>#N/A</v>
      </c>
      <c r="AV843" s="625" t="e">
        <f t="shared" si="2684"/>
        <v>#N/A</v>
      </c>
      <c r="AX843" s="625">
        <f>IF(AND('General price list'!$J843="F4",'General price list'!$AB843+0&gt;0),1,0)</f>
        <v>0</v>
      </c>
      <c r="AY843" s="625">
        <f t="shared" si="2685"/>
        <v>1</v>
      </c>
      <c r="AZ843" s="625">
        <f t="shared" si="2686"/>
        <v>0</v>
      </c>
    </row>
    <row r="844" spans="1:52" ht="15" customHeight="1">
      <c r="A844" s="639" t="str">
        <f>Kat.!C844</f>
        <v/>
      </c>
      <c r="B844" s="640">
        <f>IF(AND('General price list'!$J844="F4",$AI$1=FALSE),0,IF(AC844="SKLADEM",1,IF(AC844=$V$3,1,0)))</f>
        <v>1</v>
      </c>
      <c r="C844" s="641" t="s">
        <v>11221</v>
      </c>
      <c r="D844" s="642" t="s">
        <v>12581</v>
      </c>
      <c r="E844" s="643" t="s">
        <v>12651</v>
      </c>
      <c r="F844" s="791">
        <f>IFERROR(VLOOKUP(C844,[2]List1!$A:$D,3,FALSE),"NEUVEDENO!")</f>
        <v>830</v>
      </c>
      <c r="G844" s="770">
        <f t="shared" si="2701"/>
        <v>830</v>
      </c>
      <c r="H844" s="767">
        <f t="shared" si="2702"/>
        <v>35.257186306618578</v>
      </c>
      <c r="I844" s="644">
        <f>IFERROR(VLOOKUP(C844,[2]List1!$A:$D,4,FALSE),"NEUVEDENO!")</f>
        <v>4</v>
      </c>
      <c r="J844" s="733" t="s">
        <v>39</v>
      </c>
      <c r="K844" s="645" t="s">
        <v>11100</v>
      </c>
      <c r="L844" s="645"/>
      <c r="M844" s="645" t="s">
        <v>114</v>
      </c>
      <c r="N844" s="645">
        <f>IFERROR(VLOOKUP(C844,[3]List1!$A:$D,4,FALSE),"N/A!")</f>
        <v>3.61E-2</v>
      </c>
      <c r="O844" s="645">
        <f>IFERROR(VLOOKUP(C844,[3]List1!$A:$D,3,FALSE),"N/A!")</f>
        <v>2000</v>
      </c>
      <c r="P844" s="645">
        <f>IFERROR(VLOOKUP(C844,[3]List1!$A:$D,2,FALSE),"N/A!")</f>
        <v>14450</v>
      </c>
      <c r="Q844" s="645" t="s">
        <v>11299</v>
      </c>
      <c r="R844" s="645"/>
      <c r="S844" s="645" t="str">
        <f>IF($W$17=$AF$1,"design",IFERROR(VLOOKUP("design",Jazyky_ceník!$A:$Q,MATCH($W$17,Jazyky_ceník!$A$1:$Q$1,0),FALSE),"!!!"))</f>
        <v>design</v>
      </c>
      <c r="T844" s="645">
        <v>33</v>
      </c>
      <c r="U844" s="645"/>
      <c r="V844" s="645"/>
      <c r="W844" s="645" t="str">
        <f>IFERROR(IF(AND($AB844&gt;=0.1*$AA844,MOD($AB844,$AA844)&gt;=($AA844-(0.1*$AA844))),IF($W$17=$AF$1,"Zvažte možnost doobjednání ještě "&amp;Tabulka1[[#This Row],[VKPAL]]-MOD(AB844,AA844)&amp;" VK do plné palety.",VLOOKUP("Zvažte možnost doobjednání ještě ",Jazyky_ceník!A:Q,MATCH($W$17,Jazyky_ceník!$A$1:$Q$1,0),FALSE)&amp;Tabulka1[[#This Row],[VKPAL]]-MOD(AB844,AA844)&amp;VLOOKUP(" VK do plné palety.",Jazyky_ceník!A:Q,MATCH($W$17,Jazyky_ceník!$A$1:$Q$1,0),FALSE)),IFERROR(IF(AND(NOT(MOD($AB844,$AA844)=0),$AB844&gt;=0.9*$AA844,MOD($AB844,$AA844)&lt;=0.1*$AA844),IF($W$17=$AF$1,"Zvažte možnost optimalizace objednaného množství podle počtu VK na paletě ==&gt;",VLOOKUP("Zvažte možnost optimalizace objednaného množství podle počtu VK na paletě ==&gt;",Jazyky_ceník!A:Q,MATCH($W$17,Jazyky_ceník!$A$1:$Q$1,0),FALSE)),VLOOKUP('General price list'!$C844,Popisy!A:M,MATCH($W$17,Popisy!$A$7:$M$7,0),FALSE)),"---------------")),IFERROR(VLOOKUP('General price list'!$C844,Popisy!A:M,MATCH($W$17,Popisy!$A$7:$M$7,0),FALSE),"---------------"))</f>
        <v>6  různobarevných efektů</v>
      </c>
      <c r="X844" s="645" t="str">
        <f t="shared" si="2703"/>
        <v/>
      </c>
      <c r="Y844" s="645" t="str">
        <f t="shared" si="2704"/>
        <v/>
      </c>
      <c r="Z844" s="645" t="str">
        <f>HYPERLINK("https://www.klasekpyrotechnics.cz/hf2243")</f>
        <v>https://www.klasekpyrotechnics.cz/hf2243</v>
      </c>
      <c r="AA844" s="645">
        <f>IFERROR(IF(VLOOKUP(C844,[4]List1!$A:$D,4,FALSE)=0,"",VLOOKUP(C844,[4]List1!$A:$D,4,FALSE)),"")</f>
        <v>36</v>
      </c>
      <c r="AB844" s="646"/>
      <c r="AC844" s="647" t="str">
        <f>IFERROR(IF(VLOOKUP(C844,[1]List1!$A:$D,2,FALSE)="VYPRODÁNO",$V$9,IF(VLOOKUP(C844,[1]List1!$A:$D,2,FALSE)="DOCHÁZÍ",$V$3,VLOOKUP(C844,[1]List1!$A:$D,2,FALSE))),"OFFLINE!")</f>
        <v>SKLADEM</v>
      </c>
      <c r="AD844" s="647" t="str">
        <f ca="1">IF(AP844="NE",$V$10,IF(AC844=$V$3,IF(AQ844&lt;1,$V$8,$V$2&amp;" "&amp;AQ844&amp;" "&amp;$V$1),IF(AC844="SKLADEM",$V$6,IFERROR(IF(OR(AC844-TODAY()&gt;45,VLOOKUP(C844,[1]List1!$A:$E,4,FALSE)=0),AC844,DAY(AC844)&amp;"."&amp;MONTH(AC844)&amp;"."&amp;YEAR(AC844)&amp;" "&amp;$V$4&amp;VLOOKUP(C844,[1]List1!$A:$E,4,FALSE)&amp;" "&amp;$V$1),AC844))))</f>
        <v>SKLADEM</v>
      </c>
      <c r="AE844" s="645" t="str">
        <f t="shared" ca="1" si="2705"/>
        <v>SKLADEM</v>
      </c>
      <c r="AF844" s="648">
        <f t="shared" si="2706"/>
        <v>0</v>
      </c>
      <c r="AG844" s="649">
        <f t="shared" si="2707"/>
        <v>0</v>
      </c>
      <c r="AH844" s="650">
        <f t="shared" si="2708"/>
        <v>0</v>
      </c>
      <c r="AI844" s="645">
        <f t="shared" si="2709"/>
        <v>0</v>
      </c>
      <c r="AJ844" s="645">
        <f t="shared" si="2710"/>
        <v>0</v>
      </c>
      <c r="AK844" s="645" t="str">
        <f t="shared" si="2711"/>
        <v/>
      </c>
      <c r="AL844" s="645">
        <f t="shared" si="2712"/>
        <v>0</v>
      </c>
      <c r="AM844" s="645" t="str">
        <f t="shared" si="2713"/>
        <v/>
      </c>
      <c r="AN844" s="651">
        <f t="shared" si="2714"/>
        <v>0</v>
      </c>
      <c r="AO844" s="623"/>
      <c r="AP844" s="632" t="str">
        <f t="shared" si="2679"/>
        <v/>
      </c>
      <c r="AQ844" s="633" t="str">
        <f>IF(AC844=$V$3,IF(VLOOKUP(C844,[1]List1!$A:$E,5,FALSE)=0,1,VLOOKUP(C844,[1]List1!$A:$E,5,FALSE)),"")</f>
        <v/>
      </c>
      <c r="AR844" s="625" t="str">
        <f t="shared" si="2680"/>
        <v/>
      </c>
      <c r="AS844" s="634" t="str">
        <f t="shared" si="2681"/>
        <v/>
      </c>
      <c r="AT844" s="625" t="str">
        <f t="shared" si="2682"/>
        <v/>
      </c>
      <c r="AU844" s="638" t="e">
        <f t="shared" si="2683"/>
        <v>#N/A</v>
      </c>
      <c r="AV844" s="625" t="e">
        <f t="shared" si="2684"/>
        <v>#N/A</v>
      </c>
      <c r="AX844" s="625">
        <f>IF(AND('General price list'!$J844="F4",'General price list'!$AB844+0&gt;0),1,0)</f>
        <v>0</v>
      </c>
      <c r="AY844" s="625">
        <f t="shared" si="2685"/>
        <v>1</v>
      </c>
      <c r="AZ844" s="625">
        <f t="shared" si="2686"/>
        <v>0</v>
      </c>
    </row>
    <row r="845" spans="1:52" ht="15" customHeight="1">
      <c r="A845" s="751" t="str">
        <f>Kat.!C845</f>
        <v xml:space="preserve">           Riakeo složené ohňostroje</v>
      </c>
      <c r="B845" s="751"/>
      <c r="C845" s="751"/>
      <c r="D845" s="751"/>
      <c r="E845" s="751"/>
      <c r="F845" s="751"/>
      <c r="G845" s="751"/>
      <c r="H845" s="751"/>
      <c r="I845" s="752"/>
      <c r="J845" s="752"/>
      <c r="K845" s="752" t="s">
        <v>20</v>
      </c>
      <c r="L845" s="753" t="s">
        <v>20</v>
      </c>
      <c r="M845" s="752"/>
      <c r="N845" s="752"/>
      <c r="O845" s="752"/>
      <c r="P845" s="752"/>
      <c r="Q845" s="752"/>
      <c r="R845" s="752"/>
      <c r="S845" s="752"/>
      <c r="T845" s="752"/>
      <c r="U845" s="752"/>
      <c r="V845" s="752"/>
      <c r="W845" s="752"/>
      <c r="X845" s="752"/>
      <c r="Y845" s="752"/>
      <c r="Z845" s="752" t="s">
        <v>20</v>
      </c>
      <c r="AA845" s="752"/>
      <c r="AB845" s="752"/>
      <c r="AC845" s="754"/>
      <c r="AD845" s="752"/>
      <c r="AE845" s="752"/>
      <c r="AF845" s="752"/>
      <c r="AG845" s="752"/>
      <c r="AH845" s="752"/>
      <c r="AI845" s="752"/>
      <c r="AJ845" s="752"/>
      <c r="AK845" s="752"/>
      <c r="AL845" s="752"/>
      <c r="AM845" s="752"/>
      <c r="AN845" s="752"/>
      <c r="AO845" s="623"/>
      <c r="AP845" s="632" t="str">
        <f t="shared" si="2679"/>
        <v/>
      </c>
      <c r="AQ845" s="633" t="str">
        <f>IF(AC845=$V$3,IF(VLOOKUP(C845,[1]List1!$A:$E,5,FALSE)=0,1,VLOOKUP(C845,[1]List1!$A:$E,5,FALSE)),"")</f>
        <v/>
      </c>
      <c r="AR845" s="625" t="str">
        <f t="shared" si="2680"/>
        <v/>
      </c>
      <c r="AS845" s="634" t="str">
        <f t="shared" si="2681"/>
        <v/>
      </c>
      <c r="AT845" s="625" t="str">
        <f t="shared" si="2682"/>
        <v/>
      </c>
      <c r="AU845" s="638" t="e">
        <f t="shared" si="2683"/>
        <v>#N/A</v>
      </c>
      <c r="AV845" s="625" t="e">
        <f t="shared" si="2684"/>
        <v>#N/A</v>
      </c>
      <c r="AX845" s="625">
        <f>IF(AND('General price list'!$J845="F4",'General price list'!$AB845+0&gt;0),1,0)</f>
        <v>0</v>
      </c>
      <c r="AY845" s="625">
        <f t="shared" si="2685"/>
        <v>0</v>
      </c>
      <c r="AZ845" s="625">
        <f t="shared" si="2686"/>
        <v>0</v>
      </c>
    </row>
    <row r="846" spans="1:52" ht="15" customHeight="1">
      <c r="A846" s="639" t="str">
        <f>Kat.!C846</f>
        <v/>
      </c>
      <c r="B846" s="640">
        <f>IF(AND('General price list'!$J846="F4",$AI$1=FALSE),0,IF(AC846="SKLADEM",1,IF(AC846=$V$3,1,0)))</f>
        <v>0</v>
      </c>
      <c r="C846" s="641" t="s">
        <v>12479</v>
      </c>
      <c r="D846" s="642" t="s">
        <v>12582</v>
      </c>
      <c r="E846" s="643" t="s">
        <v>12663</v>
      </c>
      <c r="F846" s="791">
        <f>IFERROR(VLOOKUP(C846,[2]List1!$A:$D,3,FALSE),"NEUVEDENO!")</f>
        <v>1929</v>
      </c>
      <c r="G846" s="768">
        <f t="shared" ref="G846:G864" si="2715">IF($W$17=$AF$8,ROUND((F846)/$F$17,2),(F846)*$B$19)</f>
        <v>1929</v>
      </c>
      <c r="H846" s="765">
        <f t="shared" ref="H846:H864" si="2716">IF($W$17=$AF$8,G846*$B$19,G846/$F$17)</f>
        <v>81.941099259599085</v>
      </c>
      <c r="I846" s="644">
        <f>IFERROR(VLOOKUP(C846,[2]List1!$A:$D,4,FALSE),"NEUVEDENO!")</f>
        <v>1</v>
      </c>
      <c r="J846" s="733" t="s">
        <v>39</v>
      </c>
      <c r="K846" s="645" t="s">
        <v>13032</v>
      </c>
      <c r="L846" s="645"/>
      <c r="M846" s="645" t="s">
        <v>21</v>
      </c>
      <c r="N846" s="645">
        <f>IFERROR(VLOOKUP(C846,[3]List1!$A:$D,4,FALSE),"N/A!")</f>
        <v>1.8216E-2</v>
      </c>
      <c r="O846" s="645">
        <f>IFERROR(VLOOKUP(C846,[3]List1!$A:$D,3,FALSE),"N/A!")</f>
        <v>1000</v>
      </c>
      <c r="P846" s="645">
        <f>IFERROR(VLOOKUP(C846,[3]List1!$A:$D,2,FALSE),"N/A!")</f>
        <v>8000</v>
      </c>
      <c r="Q846" s="645"/>
      <c r="R846" s="645"/>
      <c r="S846" s="645" t="str">
        <f>IF($W$17=$AF$1,"červená fólie",IFERROR(VLOOKUP("červená fólie",Jazyky_ceník!$A:$Q,MATCH($W$17,Jazyky_ceník!$A$1:$Q$1,0),FALSE),"!!!"))</f>
        <v>červená fólie</v>
      </c>
      <c r="T846" s="645">
        <v>40</v>
      </c>
      <c r="U846" s="645"/>
      <c r="V846" s="645"/>
      <c r="W846" s="645" t="str">
        <f>IFERROR(IF(AND($AB846&gt;=0.1*$AA846,MOD($AB846,$AA846)&gt;=($AA846-(0.1*$AA846))),IF($W$17=$AF$1,"Zvažte možnost doobjednání ještě "&amp;Tabulka1[[#This Row],[VKPAL]]-MOD(AB846,AA846)&amp;" VK do plné palety.",VLOOKUP("Zvažte možnost doobjednání ještě ",Jazyky_ceník!A:Q,MATCH($W$17,Jazyky_ceník!$A$1:$Q$1,0),FALSE)&amp;Tabulka1[[#This Row],[VKPAL]]-MOD(AB846,AA846)&amp;VLOOKUP(" VK do plné palety.",Jazyky_ceník!A:Q,MATCH($W$17,Jazyky_ceník!$A$1:$Q$1,0),FALSE)),IFERROR(IF(AND(NOT(MOD($AB846,$AA846)=0),$AB846&gt;=0.9*$AA846,MOD($AB846,$AA846)&lt;=0.1*$AA846),IF($W$17=$AF$1,"Zvažte možnost optimalizace objednaného množství podle počtu VK na paletě ==&gt;",VLOOKUP("Zvažte možnost optimalizace objednaného množství podle počtu VK na paletě ==&gt;",Jazyky_ceník!A:Q,MATCH($W$17,Jazyky_ceník!$A$1:$Q$1,0),FALSE)),VLOOKUP('General price list'!$C846,Popisy!A:M,MATCH($W$17,Popisy!$A$7:$M$7,0),FALSE)),"---------------")),IFERROR(VLOOKUP('General price list'!$C846,Popisy!A:M,MATCH($W$17,Popisy!$A$7:$M$7,0),FALSE),"---------------"))</f>
        <v>6  různobarevných efektů</v>
      </c>
      <c r="X846" s="645" t="str">
        <f t="shared" ref="X846:X864" si="2717">IF(AB846&lt;0.0001,"",AB846)</f>
        <v/>
      </c>
      <c r="Y846" s="645" t="str">
        <f t="shared" ref="Y846:Y864" si="2718">IF($AL$3=2,IF(OR(AB846&lt;&gt;"",AB846&lt;&gt;0),AU846,""),IF(C846="","",IF(AB846&lt;0.0001,"",IF(B846=0,"",IF(AQ846&lt;AB846,"",AB846)))))</f>
        <v/>
      </c>
      <c r="Z846" s="645" t="str">
        <f>HYPERLINK("https://www.klasekpyrotechnics.cz/hf-45-2309")</f>
        <v>https://www.klasekpyrotechnics.cz/hf-45-2309</v>
      </c>
      <c r="AA846" s="645" t="str">
        <f>IFERROR(IF(VLOOKUP(C846,[4]List1!$A:$D,4,FALSE)=0,"",VLOOKUP(C846,[4]List1!$A:$D,4,FALSE)),"")</f>
        <v/>
      </c>
      <c r="AB846" s="646"/>
      <c r="AC846" s="647" t="str">
        <f>IFERROR(IF(VLOOKUP(C846,[1]List1!$A:$D,2,FALSE)="VYPRODÁNO",$V$9,IF(VLOOKUP(C846,[1]List1!$A:$D,2,FALSE)="DOCHÁZÍ",$V$3,VLOOKUP(C846,[1]List1!$A:$D,2,FALSE))),"OFFLINE!")</f>
        <v>31.08.2026</v>
      </c>
      <c r="AD846" s="647" t="str">
        <f ca="1">IF(AP846="NE",$V$10,IF(AC846=$V$3,IF(AQ846&lt;1,$V$8,$V$2&amp;" "&amp;AQ846&amp;" "&amp;$V$1),IF(AC846="SKLADEM",$V$6,IFERROR(IF(OR(AC846-TODAY()&gt;45,VLOOKUP(C846,[1]List1!$A:$E,4,FALSE)=0),AC846,DAY(AC846)&amp;"."&amp;MONTH(AC846)&amp;"."&amp;YEAR(AC846)&amp;" "&amp;$V$4&amp;VLOOKUP(C846,[1]List1!$A:$E,4,FALSE)&amp;" "&amp;$V$1),AC846))))</f>
        <v>31.08.2026</v>
      </c>
      <c r="AE846" s="645" t="str">
        <f t="shared" ref="AE846:AE864" ca="1" si="2719">IFERROR(IF(AV846&lt;&gt;"",AV846,AD846),AD846)</f>
        <v>31.08.2026</v>
      </c>
      <c r="AF846" s="648">
        <f t="shared" ref="AF846:AF864" si="2720">IFERROR(IF(AB846=Y846,G846*I846*Y846,0),0)</f>
        <v>0</v>
      </c>
      <c r="AG846" s="649">
        <f t="shared" ref="AG846:AG864" si="2721">IF($W$17=$AF$8,AH846*1.23,AF846*1.21)</f>
        <v>0</v>
      </c>
      <c r="AH846" s="650">
        <f t="shared" ref="AH846:AH864" si="2722">IFERROR(IF(Y846=AB846,H846*I846*Y846,0),0)</f>
        <v>0</v>
      </c>
      <c r="AI846" s="645">
        <f t="shared" ref="AI846:AI864" si="2723">IFERROR(IF(Y846=AB846,(P846*Y846)/1000,1),0)</f>
        <v>0</v>
      </c>
      <c r="AJ846" s="645">
        <f t="shared" ref="AJ846:AJ864" si="2724">IFERROR(IF(Y846=AB846,N846*Y846,0.1),0)</f>
        <v>0</v>
      </c>
      <c r="AK846" s="645" t="str">
        <f t="shared" ref="AK846:AK864" si="2725">IFERROR(IF(Y846=AB846,IF(M846="1.1G",(O846/1000)*Y846,""),""),0)</f>
        <v/>
      </c>
      <c r="AL846" s="645" t="str">
        <f t="shared" ref="AL846:AL864" si="2726">IFERROR(IF(Y846=AB846,IF(M846="1.3G",(O846/1000)*AB846,""),""),0)</f>
        <v/>
      </c>
      <c r="AM846" s="645">
        <f t="shared" ref="AM846:AM864" si="2727">IFERROR(IF(Y846=AB846,IF(M846="1.4G",(O846/1000)*AB846,""),""),0)</f>
        <v>0</v>
      </c>
      <c r="AN846" s="651">
        <f t="shared" ref="AN846:AN864" si="2728">SUM(AK846:AM846)</f>
        <v>0</v>
      </c>
      <c r="AO846" s="623"/>
      <c r="AP846" s="632" t="str">
        <f t="shared" si="2679"/>
        <v/>
      </c>
      <c r="AQ846" s="633" t="str">
        <f>IF(AC846=$V$3,IF(VLOOKUP(C846,[1]List1!$A:$E,5,FALSE)=0,1,VLOOKUP(C846,[1]List1!$A:$E,5,FALSE)),"")</f>
        <v/>
      </c>
      <c r="AR846" s="625" t="str">
        <f t="shared" si="2680"/>
        <v/>
      </c>
      <c r="AS846" s="634" t="str">
        <f t="shared" si="2681"/>
        <v/>
      </c>
      <c r="AT846" s="625" t="str">
        <f t="shared" si="2682"/>
        <v/>
      </c>
      <c r="AU846" s="638" t="e">
        <f t="shared" si="2683"/>
        <v>#N/A</v>
      </c>
      <c r="AV846" s="625" t="e">
        <f t="shared" si="2684"/>
        <v>#N/A</v>
      </c>
      <c r="AX846" s="625">
        <f>IF(AND('General price list'!$J846="F4",'General price list'!$AB846+0&gt;0),1,0)</f>
        <v>0</v>
      </c>
      <c r="AY846" s="625">
        <f t="shared" si="2685"/>
        <v>0</v>
      </c>
      <c r="AZ846" s="625">
        <f t="shared" si="2686"/>
        <v>0</v>
      </c>
    </row>
    <row r="847" spans="1:52" ht="15.75" customHeight="1">
      <c r="A847" s="621" t="str">
        <f>Kat.!C847</f>
        <v/>
      </c>
      <c r="B847" s="566">
        <f>IF(AND('General price list'!$J847="F4",$AI$1=FALSE),0,IF(AC847="SKLADEM",1,IF(AC847=$V$3,1,0)))</f>
        <v>1</v>
      </c>
      <c r="C847" s="567" t="s">
        <v>11974</v>
      </c>
      <c r="D847" s="568" t="s">
        <v>12583</v>
      </c>
      <c r="E847" s="763" t="s">
        <v>12663</v>
      </c>
      <c r="F847" s="791">
        <f>IFERROR(VLOOKUP(C847,[2]List1!$A:$D,3,FALSE),"NEUVEDENO!")</f>
        <v>2017</v>
      </c>
      <c r="G847" s="769">
        <f t="shared" si="2715"/>
        <v>2017</v>
      </c>
      <c r="H847" s="766">
        <f t="shared" si="2716"/>
        <v>85.679210578855034</v>
      </c>
      <c r="I847" s="764">
        <f>IFERROR(VLOOKUP(C847,[2]List1!$A:$D,4,FALSE),"NEUVEDENO!")</f>
        <v>1</v>
      </c>
      <c r="J847" s="732" t="s">
        <v>39</v>
      </c>
      <c r="K847" s="569" t="s">
        <v>11100</v>
      </c>
      <c r="L847" s="569" t="s">
        <v>15088</v>
      </c>
      <c r="M847" s="569" t="s">
        <v>21</v>
      </c>
      <c r="N847" s="569">
        <f>IFERROR(VLOOKUP(C847,[3]List1!$A:$D,4,FALSE),"N/A!")</f>
        <v>2.3625E-2</v>
      </c>
      <c r="O847" s="569">
        <f>IFERROR(VLOOKUP(C847,[3]List1!$A:$D,3,FALSE),"N/A!")</f>
        <v>962</v>
      </c>
      <c r="P847" s="569">
        <f>IFERROR(VLOOKUP(C847,[3]List1!$A:$D,2,FALSE),"N/A!")</f>
        <v>7600</v>
      </c>
      <c r="Q847" s="569" t="s">
        <v>12785</v>
      </c>
      <c r="R847" s="569"/>
      <c r="S847" s="569" t="str">
        <f>IF($W$17=$AF$1,"červená fólie",IFERROR(VLOOKUP("červená fólie",Jazyky_ceník!$A:$Q,MATCH($W$17,Jazyky_ceník!$A$1:$Q$1,0),FALSE),"!!!"))</f>
        <v>červená fólie</v>
      </c>
      <c r="T847" s="569">
        <v>45</v>
      </c>
      <c r="U847" s="569"/>
      <c r="V847" s="569"/>
      <c r="W847" s="569" t="str">
        <f>IFERROR(IF(AND($AB847&gt;=0.1*$AA847,MOD($AB847,$AA847)&gt;=($AA847-(0.1*$AA847))),IF($W$17=$AF$1,"Zvažte možnost doobjednání ještě "&amp;Tabulka1[[#This Row],[VKPAL]]-MOD(AB847,AA847)&amp;" VK do plné palety.",VLOOKUP("Zvažte možnost doobjednání ještě ",Jazyky_ceník!A:Q,MATCH($W$17,Jazyky_ceník!$A$1:$Q$1,0),FALSE)&amp;Tabulka1[[#This Row],[VKPAL]]-MOD(AB847,AA847)&amp;VLOOKUP(" VK do plné palety.",Jazyky_ceník!A:Q,MATCH($W$17,Jazyky_ceník!$A$1:$Q$1,0),FALSE)),IFERROR(IF(AND(NOT(MOD($AB847,$AA847)=0),$AB847&gt;=0.9*$AA847,MOD($AB847,$AA847)&lt;=0.1*$AA847),IF($W$17=$AF$1,"Zvažte možnost optimalizace objednaného množství podle počtu VK na paletě ==&gt;",VLOOKUP("Zvažte možnost optimalizace objednaného množství podle počtu VK na paletě ==&gt;",Jazyky_ceník!A:Q,MATCH($W$17,Jazyky_ceník!$A$1:$Q$1,0),FALSE)),VLOOKUP('General price list'!$C847,Popisy!A:M,MATCH($W$17,Popisy!$A$7:$M$7,0),FALSE)),"---------------")),IFERROR(VLOOKUP('General price list'!$C847,Popisy!A:M,MATCH($W$17,Popisy!$A$7:$M$7,0),FALSE),"---------------"))</f>
        <v>8  různobarevných efektů</v>
      </c>
      <c r="X847" s="569" t="str">
        <f t="shared" si="2717"/>
        <v/>
      </c>
      <c r="Y847" s="569" t="str">
        <f t="shared" si="2718"/>
        <v/>
      </c>
      <c r="Z847" s="569" t="str">
        <f>HYPERLINK("https://www.klasekpyrotechnics.cz/hf-51-2227")</f>
        <v>https://www.klasekpyrotechnics.cz/hf-51-2227</v>
      </c>
      <c r="AA847" s="569">
        <f>IFERROR(IF(VLOOKUP(C847,[4]List1!$A:$D,4,FALSE)=0,"",VLOOKUP(C847,[4]List1!$A:$D,4,FALSE)),"")</f>
        <v>56</v>
      </c>
      <c r="AB847" s="565"/>
      <c r="AC847" s="570" t="str">
        <f>IFERROR(IF(VLOOKUP(C847,[1]List1!$A:$D,2,FALSE)="VYPRODÁNO",$V$9,IF(VLOOKUP(C847,[1]List1!$A:$D,2,FALSE)="DOCHÁZÍ",$V$3,VLOOKUP(C847,[1]List1!$A:$D,2,FALSE))),"OFFLINE!")</f>
        <v>SKLADEM</v>
      </c>
      <c r="AD847" s="570" t="str">
        <f ca="1">IF(AP847="NE",$V$10,IF(AC847=$V$3,IF(AQ847&lt;1,$V$8,$V$2&amp;" "&amp;AQ847&amp;" "&amp;$V$1),IF(AC847="SKLADEM",$V$6,IFERROR(IF(OR(AC847-TODAY()&gt;45,VLOOKUP(C847,[1]List1!$A:$E,4,FALSE)=0),AC847,DAY(AC847)&amp;"."&amp;MONTH(AC847)&amp;"."&amp;YEAR(AC847)&amp;" "&amp;$V$4&amp;VLOOKUP(C847,[1]List1!$A:$E,4,FALSE)&amp;" "&amp;$V$1),AC847))))</f>
        <v>SKLADEM</v>
      </c>
      <c r="AE847" s="581" t="str">
        <f t="shared" ca="1" si="2719"/>
        <v>SKLADEM</v>
      </c>
      <c r="AF847" s="584">
        <f t="shared" si="2720"/>
        <v>0</v>
      </c>
      <c r="AG847" s="585">
        <f t="shared" si="2721"/>
        <v>0</v>
      </c>
      <c r="AH847" s="583">
        <f t="shared" si="2722"/>
        <v>0</v>
      </c>
      <c r="AI847" s="582">
        <f t="shared" si="2723"/>
        <v>0</v>
      </c>
      <c r="AJ847" s="569">
        <f t="shared" si="2724"/>
        <v>0</v>
      </c>
      <c r="AK847" s="569" t="str">
        <f t="shared" si="2725"/>
        <v/>
      </c>
      <c r="AL847" s="569" t="str">
        <f t="shared" si="2726"/>
        <v/>
      </c>
      <c r="AM847" s="569">
        <f t="shared" si="2727"/>
        <v>0</v>
      </c>
      <c r="AN847" s="581">
        <f t="shared" si="2728"/>
        <v>0</v>
      </c>
      <c r="AO847" s="623"/>
      <c r="AP847" s="625" t="str">
        <f t="shared" si="2679"/>
        <v/>
      </c>
      <c r="AQ847" s="625" t="str">
        <f>IF(AC847=$V$3,IF(VLOOKUP(C847,[1]List1!$A:$E,5,FALSE)=0,1,VLOOKUP(C847,[1]List1!$A:$E,5,FALSE)),"")</f>
        <v/>
      </c>
      <c r="AR847" s="629" t="str">
        <f t="shared" si="2680"/>
        <v/>
      </c>
      <c r="AS847" s="630" t="str">
        <f t="shared" si="2681"/>
        <v/>
      </c>
      <c r="AT847" s="625" t="str">
        <f t="shared" si="2682"/>
        <v/>
      </c>
      <c r="AU847" s="625" t="e">
        <f t="shared" si="2683"/>
        <v>#N/A</v>
      </c>
      <c r="AV847" s="625" t="e">
        <f t="shared" si="2684"/>
        <v>#N/A</v>
      </c>
      <c r="AW847" s="631"/>
      <c r="AX847" s="631">
        <f>IF(AND('General price list'!$J847="F4",'General price list'!$AB847+0&gt;0),1,0)</f>
        <v>0</v>
      </c>
      <c r="AY847" s="631">
        <f t="shared" si="2685"/>
        <v>1</v>
      </c>
      <c r="AZ847" s="631">
        <f t="shared" si="2686"/>
        <v>0</v>
      </c>
    </row>
    <row r="848" spans="1:52" ht="15.75" customHeight="1">
      <c r="A848" s="639" t="str">
        <f>Kat.!C848</f>
        <v/>
      </c>
      <c r="B848" s="640">
        <f>IF(AND('General price list'!$J848="F4",$AI$1=FALSE),0,IF(AC848="SKLADEM",1,IF(AC848=$V$3,1,0)))</f>
        <v>0</v>
      </c>
      <c r="C848" s="641" t="s">
        <v>12480</v>
      </c>
      <c r="D848" s="642" t="s">
        <v>12584</v>
      </c>
      <c r="E848" s="643" t="s">
        <v>12663</v>
      </c>
      <c r="F848" s="791">
        <f>IFERROR(VLOOKUP(C848,[2]List1!$A:$D,3,FALSE),"NEUVEDENO!")</f>
        <v>2719</v>
      </c>
      <c r="G848" s="768">
        <f t="shared" si="2715"/>
        <v>2719</v>
      </c>
      <c r="H848" s="765">
        <f t="shared" si="2716"/>
        <v>115.49914405746497</v>
      </c>
      <c r="I848" s="644">
        <f>IFERROR(VLOOKUP(C848,[2]List1!$A:$D,4,FALSE),"NEUVEDENO!")</f>
        <v>1</v>
      </c>
      <c r="J848" s="733" t="s">
        <v>39</v>
      </c>
      <c r="K848" s="645" t="s">
        <v>13032</v>
      </c>
      <c r="L848" s="645"/>
      <c r="M848" s="645" t="s">
        <v>114</v>
      </c>
      <c r="N848" s="645">
        <f>IFERROR(VLOOKUP(C848,[3]List1!$A:$D,4,FALSE),"N/A!")</f>
        <v>2.5096679999999996E-2</v>
      </c>
      <c r="O848" s="645">
        <f>IFERROR(VLOOKUP(C848,[3]List1!$A:$D,3,FALSE),"N/A!")</f>
        <v>1411</v>
      </c>
      <c r="P848" s="645">
        <f>IFERROR(VLOOKUP(C848,[3]List1!$A:$D,2,FALSE),"N/A!")</f>
        <v>11000</v>
      </c>
      <c r="Q848" s="645"/>
      <c r="R848" s="645"/>
      <c r="S848" s="645"/>
      <c r="T848" s="645">
        <v>50</v>
      </c>
      <c r="U848" s="645"/>
      <c r="V848" s="645"/>
      <c r="W848" s="645" t="str">
        <f>IFERROR(IF(AND($AB848&gt;=0.1*$AA848,MOD($AB848,$AA848)&gt;=($AA848-(0.1*$AA848))),IF($W$17=$AF$1,"Zvažte možnost doobjednání ještě "&amp;Tabulka1[[#This Row],[VKPAL]]-MOD(AB848,AA848)&amp;" VK do plné palety.",VLOOKUP("Zvažte možnost doobjednání ještě ",Jazyky_ceník!A:Q,MATCH($W$17,Jazyky_ceník!$A$1:$Q$1,0),FALSE)&amp;Tabulka1[[#This Row],[VKPAL]]-MOD(AB848,AA848)&amp;VLOOKUP(" VK do plné palety.",Jazyky_ceník!A:Q,MATCH($W$17,Jazyky_ceník!$A$1:$Q$1,0),FALSE)),IFERROR(IF(AND(NOT(MOD($AB848,$AA848)=0),$AB848&gt;=0.9*$AA848,MOD($AB848,$AA848)&lt;=0.1*$AA848),IF($W$17=$AF$1,"Zvažte možnost optimalizace objednaného množství podle počtu VK na paletě ==&gt;",VLOOKUP("Zvažte možnost optimalizace objednaného množství podle počtu VK na paletě ==&gt;",Jazyky_ceník!A:Q,MATCH($W$17,Jazyky_ceník!$A$1:$Q$1,0),FALSE)),VLOOKUP('General price list'!$C848,Popisy!A:M,MATCH($W$17,Popisy!$A$7:$M$7,0),FALSE)),"---------------")),IFERROR(VLOOKUP('General price list'!$C848,Popisy!A:M,MATCH($W$17,Popisy!$A$7:$M$7,0),FALSE),"---------------"))</f>
        <v>8  různobarevných efektů</v>
      </c>
      <c r="X848" s="645" t="str">
        <f t="shared" si="2717"/>
        <v/>
      </c>
      <c r="Y848" s="645" t="str">
        <f t="shared" si="2718"/>
        <v/>
      </c>
      <c r="Z848" s="645" t="str">
        <f>HYPERLINK("https://www.klasekpyrotechnics.cz/hf-66-2502s")</f>
        <v>https://www.klasekpyrotechnics.cz/hf-66-2502s</v>
      </c>
      <c r="AA848" s="645" t="str">
        <f>IFERROR(IF(VLOOKUP(C848,[4]List1!$A:$D,4,FALSE)=0,"",VLOOKUP(C848,[4]List1!$A:$D,4,FALSE)),"")</f>
        <v/>
      </c>
      <c r="AB848" s="646"/>
      <c r="AC848" s="647" t="str">
        <f>IFERROR(IF(VLOOKUP(C848,[1]List1!$A:$D,2,FALSE)="VYPRODÁNO",$V$9,IF(VLOOKUP(C848,[1]List1!$A:$D,2,FALSE)="DOCHÁZÍ",$V$3,VLOOKUP(C848,[1]List1!$A:$D,2,FALSE))),"OFFLINE!")</f>
        <v>31.08.2026</v>
      </c>
      <c r="AD848" s="647" t="str">
        <f ca="1">IF(AP848="NE",$V$10,IF(AC848=$V$3,IF(AQ848&lt;1,$V$8,$V$2&amp;" "&amp;AQ848&amp;" "&amp;$V$1),IF(AC848="SKLADEM",$V$6,IFERROR(IF(OR(AC848-TODAY()&gt;45,VLOOKUP(C848,[1]List1!$A:$E,4,FALSE)=0),AC848,DAY(AC848)&amp;"."&amp;MONTH(AC848)&amp;"."&amp;YEAR(AC848)&amp;" "&amp;$V$4&amp;VLOOKUP(C848,[1]List1!$A:$E,4,FALSE)&amp;" "&amp;$V$1),AC848))))</f>
        <v>31.08.2026</v>
      </c>
      <c r="AE848" s="645" t="str">
        <f t="shared" ca="1" si="2719"/>
        <v>31.08.2026</v>
      </c>
      <c r="AF848" s="648">
        <f t="shared" si="2720"/>
        <v>0</v>
      </c>
      <c r="AG848" s="649">
        <f t="shared" si="2721"/>
        <v>0</v>
      </c>
      <c r="AH848" s="650">
        <f t="shared" si="2722"/>
        <v>0</v>
      </c>
      <c r="AI848" s="645">
        <f t="shared" si="2723"/>
        <v>0</v>
      </c>
      <c r="AJ848" s="645">
        <f t="shared" si="2724"/>
        <v>0</v>
      </c>
      <c r="AK848" s="645" t="str">
        <f t="shared" si="2725"/>
        <v/>
      </c>
      <c r="AL848" s="645">
        <f t="shared" si="2726"/>
        <v>0</v>
      </c>
      <c r="AM848" s="645" t="str">
        <f t="shared" si="2727"/>
        <v/>
      </c>
      <c r="AN848" s="651">
        <f t="shared" si="2728"/>
        <v>0</v>
      </c>
      <c r="AO848" s="623"/>
      <c r="AP848" s="625" t="str">
        <f t="shared" si="2679"/>
        <v/>
      </c>
      <c r="AQ848" s="625" t="str">
        <f>IF(AC848=$V$3,IF(VLOOKUP(C848,[1]List1!$A:$E,5,FALSE)=0,1,VLOOKUP(C848,[1]List1!$A:$E,5,FALSE)),"")</f>
        <v/>
      </c>
      <c r="AR848" s="629" t="str">
        <f t="shared" si="2680"/>
        <v/>
      </c>
      <c r="AS848" s="630" t="str">
        <f t="shared" si="2681"/>
        <v/>
      </c>
      <c r="AT848" s="625" t="str">
        <f t="shared" si="2682"/>
        <v/>
      </c>
      <c r="AU848" s="625" t="e">
        <f t="shared" si="2683"/>
        <v>#N/A</v>
      </c>
      <c r="AV848" s="625" t="e">
        <f t="shared" si="2684"/>
        <v>#N/A</v>
      </c>
      <c r="AW848" s="631"/>
      <c r="AX848" s="631">
        <f>IF(AND('General price list'!$J848="F4",'General price list'!$AB848+0&gt;0),1,0)</f>
        <v>0</v>
      </c>
      <c r="AY848" s="631">
        <f t="shared" si="2685"/>
        <v>0</v>
      </c>
      <c r="AZ848" s="631">
        <f t="shared" si="2686"/>
        <v>0</v>
      </c>
    </row>
    <row r="849" spans="1:52" ht="15" customHeight="1">
      <c r="A849" s="621" t="str">
        <f>Kat.!C849</f>
        <v/>
      </c>
      <c r="B849" s="566">
        <f>IF(AND('General price list'!$J849="F4",$AI$1=FALSE),0,IF(AC849="SKLADEM",1,IF(AC849=$V$3,1,0)))</f>
        <v>0</v>
      </c>
      <c r="C849" s="641" t="s">
        <v>12481</v>
      </c>
      <c r="D849" s="568" t="s">
        <v>12585</v>
      </c>
      <c r="E849" s="763" t="s">
        <v>12663</v>
      </c>
      <c r="F849" s="791">
        <f>IFERROR(VLOOKUP(C849,[2]List1!$A:$D,3,FALSE),"NEUVEDENO!")</f>
        <v>1967</v>
      </c>
      <c r="G849" s="769">
        <f t="shared" si="2715"/>
        <v>1967</v>
      </c>
      <c r="H849" s="766">
        <f t="shared" si="2716"/>
        <v>83.555283692914159</v>
      </c>
      <c r="I849" s="764">
        <f>IFERROR(VLOOKUP(C849,[2]List1!$A:$D,4,FALSE),"NEUVEDENO!")</f>
        <v>1</v>
      </c>
      <c r="J849" s="732" t="s">
        <v>39</v>
      </c>
      <c r="K849" s="569" t="s">
        <v>13032</v>
      </c>
      <c r="L849" s="569"/>
      <c r="M849" s="569" t="s">
        <v>21</v>
      </c>
      <c r="N849" s="569">
        <f>IFERROR(VLOOKUP(C849,[3]List1!$A:$D,4,FALSE),"N/A!")</f>
        <v>0</v>
      </c>
      <c r="O849" s="569">
        <f>IFERROR(VLOOKUP(C849,[3]List1!$A:$D,3,FALSE),"N/A!")</f>
        <v>955</v>
      </c>
      <c r="P849" s="569">
        <f>IFERROR(VLOOKUP(C849,[3]List1!$A:$D,2,FALSE),"N/A!")</f>
        <v>7000</v>
      </c>
      <c r="Q849" s="569"/>
      <c r="R849" s="569"/>
      <c r="S849" s="569" t="str">
        <f>IF($W$17=$AF$1,"červená fólie",IFERROR(VLOOKUP("červená fólie",Jazyky_ceník!$A:$Q,MATCH($W$17,Jazyky_ceník!$A$1:$Q$1,0),FALSE),"!!!"))</f>
        <v>červená fólie</v>
      </c>
      <c r="T849" s="569">
        <v>40</v>
      </c>
      <c r="U849" s="569"/>
      <c r="V849" s="569"/>
      <c r="W849" s="569" t="str">
        <f>IFERROR(IF(AND($AB849&gt;=0.1*$AA849,MOD($AB849,$AA849)&gt;=($AA849-(0.1*$AA849))),IF($W$17=$AF$1,"Zvažte možnost doobjednání ještě "&amp;Tabulka1[[#This Row],[VKPAL]]-MOD(AB849,AA849)&amp;" VK do plné palety.",VLOOKUP("Zvažte možnost doobjednání ještě ",Jazyky_ceník!A:Q,MATCH($W$17,Jazyky_ceník!$A$1:$Q$1,0),FALSE)&amp;Tabulka1[[#This Row],[VKPAL]]-MOD(AB849,AA849)&amp;VLOOKUP(" VK do plné palety.",Jazyky_ceník!A:Q,MATCH($W$17,Jazyky_ceník!$A$1:$Q$1,0),FALSE)),IFERROR(IF(AND(NOT(MOD($AB849,$AA849)=0),$AB849&gt;=0.9*$AA849,MOD($AB849,$AA849)&lt;=0.1*$AA849),IF($W$17=$AF$1,"Zvažte možnost optimalizace objednaného množství podle počtu VK na paletě ==&gt;",VLOOKUP("Zvažte možnost optimalizace objednaného množství podle počtu VK na paletě ==&gt;",Jazyky_ceník!A:Q,MATCH($W$17,Jazyky_ceník!$A$1:$Q$1,0),FALSE)),VLOOKUP('General price list'!$C849,Popisy!A:M,MATCH($W$17,Popisy!$A$7:$M$7,0),FALSE)),"---------------")),IFERROR(VLOOKUP('General price list'!$C849,Popisy!A:M,MATCH($W$17,Popisy!$A$7:$M$7,0),FALSE),"---------------"))</f>
        <v>8  různobarevných efektů</v>
      </c>
      <c r="X849" s="569" t="str">
        <f t="shared" si="2717"/>
        <v/>
      </c>
      <c r="Y849" s="569" t="str">
        <f t="shared" si="2718"/>
        <v/>
      </c>
      <c r="Z849" s="569" t="str">
        <f>HYPERLINK("https://www.klasekpyrotechnics.cz/hf-75-2310")</f>
        <v>https://www.klasekpyrotechnics.cz/hf-75-2310</v>
      </c>
      <c r="AA849" s="569" t="str">
        <f>IFERROR(IF(VLOOKUP(C849,[4]List1!$A:$D,4,FALSE)=0,"",VLOOKUP(C849,[4]List1!$A:$D,4,FALSE)),"")</f>
        <v/>
      </c>
      <c r="AB849" s="565"/>
      <c r="AC849" s="570" t="str">
        <f>IFERROR(IF(VLOOKUP(C849,[1]List1!$A:$D,2,FALSE)="VYPRODÁNO",$V$9,IF(VLOOKUP(C849,[1]List1!$A:$D,2,FALSE)="DOCHÁZÍ",$V$3,VLOOKUP(C849,[1]List1!$A:$D,2,FALSE))),"OFFLINE!")</f>
        <v>31.08.2026</v>
      </c>
      <c r="AD849" s="570" t="str">
        <f ca="1">IF(AP849="NE",$V$10,IF(AC849=$V$3,IF(AQ849&lt;1,$V$8,$V$2&amp;" "&amp;AQ849&amp;" "&amp;$V$1),IF(AC849="SKLADEM",$V$6,IFERROR(IF(OR(AC849-TODAY()&gt;45,VLOOKUP(C849,[1]List1!$A:$E,4,FALSE)=0),AC849,DAY(AC849)&amp;"."&amp;MONTH(AC849)&amp;"."&amp;YEAR(AC849)&amp;" "&amp;$V$4&amp;VLOOKUP(C849,[1]List1!$A:$E,4,FALSE)&amp;" "&amp;$V$1),AC849))))</f>
        <v>31.08.2026</v>
      </c>
      <c r="AE849" s="581" t="str">
        <f t="shared" ca="1" si="2719"/>
        <v>31.08.2026</v>
      </c>
      <c r="AF849" s="584">
        <f t="shared" si="2720"/>
        <v>0</v>
      </c>
      <c r="AG849" s="585">
        <f t="shared" si="2721"/>
        <v>0</v>
      </c>
      <c r="AH849" s="583">
        <f t="shared" si="2722"/>
        <v>0</v>
      </c>
      <c r="AI849" s="582">
        <f t="shared" si="2723"/>
        <v>0</v>
      </c>
      <c r="AJ849" s="569">
        <f t="shared" si="2724"/>
        <v>0</v>
      </c>
      <c r="AK849" s="569" t="str">
        <f t="shared" si="2725"/>
        <v/>
      </c>
      <c r="AL849" s="569" t="str">
        <f t="shared" si="2726"/>
        <v/>
      </c>
      <c r="AM849" s="569">
        <f t="shared" si="2727"/>
        <v>0</v>
      </c>
      <c r="AN849" s="581">
        <f t="shared" si="2728"/>
        <v>0</v>
      </c>
      <c r="AO849" s="623"/>
      <c r="AP849" s="632" t="str">
        <f t="shared" si="2679"/>
        <v/>
      </c>
      <c r="AQ849" s="633" t="str">
        <f>IF(AC849=$V$3,IF(VLOOKUP(C849,[1]List1!$A:$E,5,FALSE)=0,1,VLOOKUP(C849,[1]List1!$A:$E,5,FALSE)),"")</f>
        <v/>
      </c>
      <c r="AR849" s="625" t="str">
        <f t="shared" si="2680"/>
        <v/>
      </c>
      <c r="AS849" s="634" t="str">
        <f t="shared" si="2681"/>
        <v/>
      </c>
      <c r="AT849" s="625" t="str">
        <f t="shared" si="2682"/>
        <v/>
      </c>
      <c r="AU849" s="638" t="e">
        <f t="shared" si="2683"/>
        <v>#N/A</v>
      </c>
      <c r="AV849" s="625" t="e">
        <f t="shared" si="2684"/>
        <v>#N/A</v>
      </c>
      <c r="AX849" s="625">
        <f>IF(AND('General price list'!$J849="F4",'General price list'!$AB849+0&gt;0),1,0)</f>
        <v>0</v>
      </c>
      <c r="AY849" s="625">
        <f t="shared" si="2685"/>
        <v>0</v>
      </c>
      <c r="AZ849" s="625">
        <f t="shared" si="2686"/>
        <v>0</v>
      </c>
    </row>
    <row r="850" spans="1:52" ht="15.75" customHeight="1">
      <c r="A850" s="639" t="str">
        <f>Kat.!C850</f>
        <v/>
      </c>
      <c r="B850" s="640">
        <f>IF(AND('General price list'!$J850="F4",$AI$1=FALSE),0,IF(AC850="SKLADEM",1,IF(AC850=$V$3,1,0)))</f>
        <v>0</v>
      </c>
      <c r="C850" s="641" t="s">
        <v>12482</v>
      </c>
      <c r="D850" s="642" t="s">
        <v>12586</v>
      </c>
      <c r="E850" s="643" t="s">
        <v>12663</v>
      </c>
      <c r="F850" s="791">
        <f>IFERROR(VLOOKUP(C850,[2]List1!$A:$D,3,FALSE),"NEUVEDENO!")</f>
        <v>2243</v>
      </c>
      <c r="G850" s="768">
        <f t="shared" si="2715"/>
        <v>2243</v>
      </c>
      <c r="H850" s="765">
        <f t="shared" si="2716"/>
        <v>95.279360103307809</v>
      </c>
      <c r="I850" s="644">
        <f>IFERROR(VLOOKUP(C850,[2]List1!$A:$D,4,FALSE),"NEUVEDENO!")</f>
        <v>1</v>
      </c>
      <c r="J850" s="733" t="s">
        <v>39</v>
      </c>
      <c r="K850" s="645" t="s">
        <v>13032</v>
      </c>
      <c r="L850" s="645"/>
      <c r="M850" s="645" t="s">
        <v>21</v>
      </c>
      <c r="N850" s="645">
        <f>IFERROR(VLOOKUP(C850,[3]List1!$A:$D,4,FALSE),"N/A!")</f>
        <v>2.0937999999999998E-2</v>
      </c>
      <c r="O850" s="645">
        <f>IFERROR(VLOOKUP(C850,[3]List1!$A:$D,3,FALSE),"N/A!")</f>
        <v>0</v>
      </c>
      <c r="P850" s="645">
        <f>IFERROR(VLOOKUP(C850,[3]List1!$A:$D,2,FALSE),"N/A!")</f>
        <v>12000</v>
      </c>
      <c r="Q850" s="645"/>
      <c r="R850" s="645"/>
      <c r="S850" s="645" t="str">
        <f>IF($W$17=$AF$1,"červená fólie",IFERROR(VLOOKUP("červená fólie",Jazyky_ceník!$A:$Q,MATCH($W$17,Jazyky_ceník!$A$1:$Q$1,0),FALSE),"!!!"))</f>
        <v>červená fólie</v>
      </c>
      <c r="T850" s="645"/>
      <c r="U850" s="645"/>
      <c r="V850" s="645"/>
      <c r="W850" s="645" t="str">
        <f>IFERROR(IF(AND($AB850&gt;=0.1*$AA850,MOD($AB850,$AA850)&gt;=($AA850-(0.1*$AA850))),IF($W$17=$AF$1,"Zvažte možnost doobjednání ještě "&amp;Tabulka1[[#This Row],[VKPAL]]-MOD(AB850,AA850)&amp;" VK do plné palety.",VLOOKUP("Zvažte možnost doobjednání ještě ",Jazyky_ceník!A:Q,MATCH($W$17,Jazyky_ceník!$A$1:$Q$1,0),FALSE)&amp;Tabulka1[[#This Row],[VKPAL]]-MOD(AB850,AA850)&amp;VLOOKUP(" VK do plné palety.",Jazyky_ceník!A:Q,MATCH($W$17,Jazyky_ceník!$A$1:$Q$1,0),FALSE)),IFERROR(IF(AND(NOT(MOD($AB850,$AA850)=0),$AB850&gt;=0.9*$AA850,MOD($AB850,$AA850)&lt;=0.1*$AA850),IF($W$17=$AF$1,"Zvažte možnost optimalizace objednaného množství podle počtu VK na paletě ==&gt;",VLOOKUP("Zvažte možnost optimalizace objednaného množství podle počtu VK na paletě ==&gt;",Jazyky_ceník!A:Q,MATCH($W$17,Jazyky_ceník!$A$1:$Q$1,0),FALSE)),VLOOKUP('General price list'!$C850,Popisy!A:M,MATCH($W$17,Popisy!$A$7:$M$7,0),FALSE)),"---------------")),IFERROR(VLOOKUP('General price list'!$C850,Popisy!A:M,MATCH($W$17,Popisy!$A$7:$M$7,0),FALSE),"---------------"))</f>
        <v>8  různobarevných efektů</v>
      </c>
      <c r="X850" s="645" t="str">
        <f t="shared" si="2717"/>
        <v/>
      </c>
      <c r="Y850" s="645" t="str">
        <f t="shared" si="2718"/>
        <v/>
      </c>
      <c r="Z850" s="645" t="str">
        <f>HYPERLINK("https://www.klasekpyrotechnics.cz/hf-108-2603")</f>
        <v>https://www.klasekpyrotechnics.cz/hf-108-2603</v>
      </c>
      <c r="AA850" s="645" t="str">
        <f>IFERROR(IF(VLOOKUP(C850,[4]List1!$A:$D,4,FALSE)=0,"",VLOOKUP(C850,[4]List1!$A:$D,4,FALSE)),"")</f>
        <v/>
      </c>
      <c r="AB850" s="646"/>
      <c r="AC850" s="647" t="str">
        <f>IFERROR(IF(VLOOKUP(C850,[1]List1!$A:$D,2,FALSE)="VYPRODÁNO",$V$9,IF(VLOOKUP(C850,[1]List1!$A:$D,2,FALSE)="DOCHÁZÍ",$V$3,VLOOKUP(C850,[1]List1!$A:$D,2,FALSE))),"OFFLINE!")</f>
        <v>31.08.2026</v>
      </c>
      <c r="AD850" s="647" t="str">
        <f ca="1">IF(AP850="NE",$V$10,IF(AC850=$V$3,IF(AQ850&lt;1,$V$8,$V$2&amp;" "&amp;AQ850&amp;" "&amp;$V$1),IF(AC850="SKLADEM",$V$6,IFERROR(IF(OR(AC850-TODAY()&gt;45,VLOOKUP(C850,[1]List1!$A:$E,4,FALSE)=0),AC850,DAY(AC850)&amp;"."&amp;MONTH(AC850)&amp;"."&amp;YEAR(AC850)&amp;" "&amp;$V$4&amp;VLOOKUP(C850,[1]List1!$A:$E,4,FALSE)&amp;" "&amp;$V$1),AC850))))</f>
        <v>31.08.2026</v>
      </c>
      <c r="AE850" s="645" t="str">
        <f t="shared" ca="1" si="2719"/>
        <v>31.08.2026</v>
      </c>
      <c r="AF850" s="648">
        <f t="shared" si="2720"/>
        <v>0</v>
      </c>
      <c r="AG850" s="649">
        <f t="shared" si="2721"/>
        <v>0</v>
      </c>
      <c r="AH850" s="650">
        <f t="shared" si="2722"/>
        <v>0</v>
      </c>
      <c r="AI850" s="645">
        <f t="shared" si="2723"/>
        <v>0</v>
      </c>
      <c r="AJ850" s="645">
        <f t="shared" si="2724"/>
        <v>0</v>
      </c>
      <c r="AK850" s="645" t="str">
        <f t="shared" si="2725"/>
        <v/>
      </c>
      <c r="AL850" s="645" t="str">
        <f t="shared" si="2726"/>
        <v/>
      </c>
      <c r="AM850" s="645">
        <f t="shared" si="2727"/>
        <v>0</v>
      </c>
      <c r="AN850" s="651">
        <f t="shared" si="2728"/>
        <v>0</v>
      </c>
      <c r="AO850" s="623"/>
      <c r="AP850" s="625" t="str">
        <f t="shared" si="2679"/>
        <v/>
      </c>
      <c r="AQ850" s="625" t="str">
        <f>IF(AC850=$V$3,IF(VLOOKUP(C850,[1]List1!$A:$E,5,FALSE)=0,1,VLOOKUP(C850,[1]List1!$A:$E,5,FALSE)),"")</f>
        <v/>
      </c>
      <c r="AR850" s="629" t="str">
        <f t="shared" si="2680"/>
        <v/>
      </c>
      <c r="AS850" s="630" t="str">
        <f t="shared" si="2681"/>
        <v/>
      </c>
      <c r="AT850" s="625" t="str">
        <f t="shared" si="2682"/>
        <v/>
      </c>
      <c r="AU850" s="625" t="e">
        <f t="shared" si="2683"/>
        <v>#N/A</v>
      </c>
      <c r="AV850" s="625" t="e">
        <f t="shared" si="2684"/>
        <v>#N/A</v>
      </c>
      <c r="AW850" s="631"/>
      <c r="AX850" s="631">
        <f>IF(AND('General price list'!$J850="F4",'General price list'!$AB850+0&gt;0),1,0)</f>
        <v>0</v>
      </c>
      <c r="AY850" s="631">
        <f t="shared" si="2685"/>
        <v>0</v>
      </c>
      <c r="AZ850" s="631">
        <f t="shared" si="2686"/>
        <v>0</v>
      </c>
    </row>
    <row r="851" spans="1:52" ht="15" customHeight="1">
      <c r="A851" s="621" t="str">
        <f>Kat.!C851</f>
        <v/>
      </c>
      <c r="B851" s="566">
        <f>IF(AND('General price list'!$J851="F4",$AI$1=FALSE),0,IF(AC851="SKLADEM",1,IF(AC851=$V$3,1,0)))</f>
        <v>0</v>
      </c>
      <c r="C851" s="641" t="s">
        <v>12483</v>
      </c>
      <c r="D851" s="568" t="s">
        <v>12587</v>
      </c>
      <c r="E851" s="763" t="s">
        <v>12663</v>
      </c>
      <c r="F851" s="791">
        <f>IFERROR(VLOOKUP(C851,[2]List1!$A:$D,3,FALSE),"NEUVEDENO!")</f>
        <v>3044</v>
      </c>
      <c r="G851" s="769">
        <f t="shared" si="2715"/>
        <v>3044</v>
      </c>
      <c r="H851" s="766">
        <f t="shared" si="2716"/>
        <v>129.30466881608066</v>
      </c>
      <c r="I851" s="764">
        <f>IFERROR(VLOOKUP(C851,[2]List1!$A:$D,4,FALSE),"NEUVEDENO!")</f>
        <v>1</v>
      </c>
      <c r="J851" s="732" t="s">
        <v>39</v>
      </c>
      <c r="K851" s="569" t="s">
        <v>13032</v>
      </c>
      <c r="L851" s="569"/>
      <c r="M851" s="569" t="s">
        <v>114</v>
      </c>
      <c r="N851" s="569">
        <f>IFERROR(VLOOKUP(C851,[3]List1!$A:$D,4,FALSE),"N/A!")</f>
        <v>2.8879999999999999E-2</v>
      </c>
      <c r="O851" s="569">
        <f>IFERROR(VLOOKUP(C851,[3]List1!$A:$D,3,FALSE),"N/A!")</f>
        <v>0</v>
      </c>
      <c r="P851" s="569">
        <f>IFERROR(VLOOKUP(C851,[3]List1!$A:$D,2,FALSE),"N/A!")</f>
        <v>15000</v>
      </c>
      <c r="Q851" s="569"/>
      <c r="R851" s="569"/>
      <c r="S851" s="569" t="str">
        <f>IF($W$17=$AF$1,"červená fólie",IFERROR(VLOOKUP("červená fólie",Jazyky_ceník!$A:$Q,MATCH($W$17,Jazyky_ceník!$A$1:$Q$1,0),FALSE),"!!!"))</f>
        <v>červená fólie</v>
      </c>
      <c r="T851" s="569"/>
      <c r="U851" s="569"/>
      <c r="V851" s="569"/>
      <c r="W851" s="569" t="str">
        <f>IFERROR(IF(AND($AB851&gt;=0.1*$AA851,MOD($AB851,$AA851)&gt;=($AA851-(0.1*$AA851))),IF($W$17=$AF$1,"Zvažte možnost doobjednání ještě "&amp;Tabulka1[[#This Row],[VKPAL]]-MOD(AB851,AA851)&amp;" VK do plné palety.",VLOOKUP("Zvažte možnost doobjednání ještě ",Jazyky_ceník!A:Q,MATCH($W$17,Jazyky_ceník!$A$1:$Q$1,0),FALSE)&amp;Tabulka1[[#This Row],[VKPAL]]-MOD(AB851,AA851)&amp;VLOOKUP(" VK do plné palety.",Jazyky_ceník!A:Q,MATCH($W$17,Jazyky_ceník!$A$1:$Q$1,0),FALSE)),IFERROR(IF(AND(NOT(MOD($AB851,$AA851)=0),$AB851&gt;=0.9*$AA851,MOD($AB851,$AA851)&lt;=0.1*$AA851),IF($W$17=$AF$1,"Zvažte možnost optimalizace objednaného množství podle počtu VK na paletě ==&gt;",VLOOKUP("Zvažte možnost optimalizace objednaného množství podle počtu VK na paletě ==&gt;",Jazyky_ceník!A:Q,MATCH($W$17,Jazyky_ceník!$A$1:$Q$1,0),FALSE)),VLOOKUP('General price list'!$C851,Popisy!A:M,MATCH($W$17,Popisy!$A$7:$M$7,0),FALSE)),"---------------")),IFERROR(VLOOKUP('General price list'!$C851,Popisy!A:M,MATCH($W$17,Popisy!$A$7:$M$7,0),FALSE),"---------------"))</f>
        <v>8  různobarevných efektů</v>
      </c>
      <c r="X851" s="569" t="str">
        <f t="shared" si="2717"/>
        <v/>
      </c>
      <c r="Y851" s="569" t="str">
        <f t="shared" si="2718"/>
        <v/>
      </c>
      <c r="Z851" s="569" t="str">
        <f>HYPERLINK("https://www.klasekpyrotechnics.cz/hf-144-2605")</f>
        <v>https://www.klasekpyrotechnics.cz/hf-144-2605</v>
      </c>
      <c r="AA851" s="569" t="str">
        <f>IFERROR(IF(VLOOKUP(C851,[4]List1!$A:$D,4,FALSE)=0,"",VLOOKUP(C851,[4]List1!$A:$D,4,FALSE)),"")</f>
        <v/>
      </c>
      <c r="AB851" s="565"/>
      <c r="AC851" s="570" t="str">
        <f>IFERROR(IF(VLOOKUP(C851,[1]List1!$A:$D,2,FALSE)="VYPRODÁNO",$V$9,IF(VLOOKUP(C851,[1]List1!$A:$D,2,FALSE)="DOCHÁZÍ",$V$3,VLOOKUP(C851,[1]List1!$A:$D,2,FALSE))),"OFFLINE!")</f>
        <v>31.08.2026</v>
      </c>
      <c r="AD851" s="570" t="str">
        <f ca="1">IF(AP851="NE",$V$10,IF(AC851=$V$3,IF(AQ851&lt;1,$V$8,$V$2&amp;" "&amp;AQ851&amp;" "&amp;$V$1),IF(AC851="SKLADEM",$V$6,IFERROR(IF(OR(AC851-TODAY()&gt;45,VLOOKUP(C851,[1]List1!$A:$E,4,FALSE)=0),AC851,DAY(AC851)&amp;"."&amp;MONTH(AC851)&amp;"."&amp;YEAR(AC851)&amp;" "&amp;$V$4&amp;VLOOKUP(C851,[1]List1!$A:$E,4,FALSE)&amp;" "&amp;$V$1),AC851))))</f>
        <v>31.08.2026</v>
      </c>
      <c r="AE851" s="581" t="str">
        <f t="shared" ca="1" si="2719"/>
        <v>31.08.2026</v>
      </c>
      <c r="AF851" s="584">
        <f t="shared" si="2720"/>
        <v>0</v>
      </c>
      <c r="AG851" s="585">
        <f t="shared" si="2721"/>
        <v>0</v>
      </c>
      <c r="AH851" s="583">
        <f t="shared" si="2722"/>
        <v>0</v>
      </c>
      <c r="AI851" s="582">
        <f t="shared" si="2723"/>
        <v>0</v>
      </c>
      <c r="AJ851" s="569">
        <f t="shared" si="2724"/>
        <v>0</v>
      </c>
      <c r="AK851" s="569" t="str">
        <f t="shared" si="2725"/>
        <v/>
      </c>
      <c r="AL851" s="569">
        <f t="shared" si="2726"/>
        <v>0</v>
      </c>
      <c r="AM851" s="569" t="str">
        <f t="shared" si="2727"/>
        <v/>
      </c>
      <c r="AN851" s="581">
        <f t="shared" si="2728"/>
        <v>0</v>
      </c>
      <c r="AO851" s="623"/>
      <c r="AP851" s="632" t="str">
        <f t="shared" si="2679"/>
        <v/>
      </c>
      <c r="AQ851" s="633" t="str">
        <f>IF(AC851=$V$3,IF(VLOOKUP(C851,[1]List1!$A:$E,5,FALSE)=0,1,VLOOKUP(C851,[1]List1!$A:$E,5,FALSE)),"")</f>
        <v/>
      </c>
      <c r="AR851" s="625" t="str">
        <f t="shared" si="2680"/>
        <v/>
      </c>
      <c r="AS851" s="634" t="str">
        <f t="shared" si="2681"/>
        <v/>
      </c>
      <c r="AT851" s="625" t="str">
        <f t="shared" si="2682"/>
        <v/>
      </c>
      <c r="AU851" s="638" t="e">
        <f t="shared" si="2683"/>
        <v>#N/A</v>
      </c>
      <c r="AV851" s="625" t="e">
        <f t="shared" si="2684"/>
        <v>#N/A</v>
      </c>
      <c r="AX851" s="625">
        <f>IF(AND('General price list'!$J851="F4",'General price list'!$AB851+0&gt;0),1,0)</f>
        <v>0</v>
      </c>
      <c r="AY851" s="625">
        <f t="shared" si="2685"/>
        <v>0</v>
      </c>
      <c r="AZ851" s="625">
        <f t="shared" si="2686"/>
        <v>0</v>
      </c>
    </row>
    <row r="852" spans="1:52" ht="15" customHeight="1">
      <c r="A852" s="639" t="str">
        <f>Kat.!C852</f>
        <v/>
      </c>
      <c r="B852" s="640">
        <f>IF(AND('General price list'!$J852="F4",$AI$1=FALSE),0,IF(AC852="SKLADEM",1,IF(AC852=$V$3,1,0)))</f>
        <v>0</v>
      </c>
      <c r="C852" s="641" t="s">
        <v>12484</v>
      </c>
      <c r="D852" s="642" t="s">
        <v>12588</v>
      </c>
      <c r="E852" s="643" t="s">
        <v>12663</v>
      </c>
      <c r="F852" s="791">
        <f>IFERROR(VLOOKUP(C852,[2]List1!$A:$D,3,FALSE),"NEUVEDENO!")</f>
        <v>2293</v>
      </c>
      <c r="G852" s="768">
        <f t="shared" si="2715"/>
        <v>2293</v>
      </c>
      <c r="H852" s="765">
        <f t="shared" si="2716"/>
        <v>97.403286989248684</v>
      </c>
      <c r="I852" s="644">
        <f>IFERROR(VLOOKUP(C852,[2]List1!$A:$D,4,FALSE),"NEUVEDENO!")</f>
        <v>1</v>
      </c>
      <c r="J852" s="733" t="s">
        <v>39</v>
      </c>
      <c r="K852" s="645" t="s">
        <v>13032</v>
      </c>
      <c r="L852" s="645"/>
      <c r="M852" s="645" t="s">
        <v>21</v>
      </c>
      <c r="N852" s="645">
        <f>IFERROR(VLOOKUP(C852,[3]List1!$A:$D,4,FALSE),"N/A!")</f>
        <v>2.7999999999999997E-2</v>
      </c>
      <c r="O852" s="645">
        <f>IFERROR(VLOOKUP(C852,[3]List1!$A:$D,3,FALSE),"N/A!")</f>
        <v>0</v>
      </c>
      <c r="P852" s="645">
        <f>IFERROR(VLOOKUP(C852,[3]List1!$A:$D,2,FALSE),"N/A!")</f>
        <v>11000</v>
      </c>
      <c r="Q852" s="645"/>
      <c r="R852" s="645"/>
      <c r="S852" s="645" t="str">
        <f>IF($W$17=$AF$1,"červená fólie",IFERROR(VLOOKUP("červená fólie",Jazyky_ceník!$A:$Q,MATCH($W$17,Jazyky_ceník!$A$1:$Q$1,0),FALSE),"!!!"))</f>
        <v>červená fólie</v>
      </c>
      <c r="T852" s="645"/>
      <c r="U852" s="645"/>
      <c r="V852" s="645"/>
      <c r="W852" s="645" t="str">
        <f>IFERROR(IF(AND($AB852&gt;=0.1*$AA852,MOD($AB852,$AA852)&gt;=($AA852-(0.1*$AA852))),IF($W$17=$AF$1,"Zvažte možnost doobjednání ještě "&amp;Tabulka1[[#This Row],[VKPAL]]-MOD(AB852,AA852)&amp;" VK do plné palety.",VLOOKUP("Zvažte možnost doobjednání ještě ",Jazyky_ceník!A:Q,MATCH($W$17,Jazyky_ceník!$A$1:$Q$1,0),FALSE)&amp;Tabulka1[[#This Row],[VKPAL]]-MOD(AB852,AA852)&amp;VLOOKUP(" VK do plné palety.",Jazyky_ceník!A:Q,MATCH($W$17,Jazyky_ceník!$A$1:$Q$1,0),FALSE)),IFERROR(IF(AND(NOT(MOD($AB852,$AA852)=0),$AB852&gt;=0.9*$AA852,MOD($AB852,$AA852)&lt;=0.1*$AA852),IF($W$17=$AF$1,"Zvažte možnost optimalizace objednaného množství podle počtu VK na paletě ==&gt;",VLOOKUP("Zvažte možnost optimalizace objednaného množství podle počtu VK na paletě ==&gt;",Jazyky_ceník!A:Q,MATCH($W$17,Jazyky_ceník!$A$1:$Q$1,0),FALSE)),VLOOKUP('General price list'!$C852,Popisy!A:M,MATCH($W$17,Popisy!$A$7:$M$7,0),FALSE)),"---------------")),IFERROR(VLOOKUP('General price list'!$C852,Popisy!A:M,MATCH($W$17,Popisy!$A$7:$M$7,0),FALSE),"---------------"))</f>
        <v>8  různobarevných efektů</v>
      </c>
      <c r="X852" s="645" t="str">
        <f t="shared" si="2717"/>
        <v/>
      </c>
      <c r="Y852" s="645" t="str">
        <f t="shared" si="2718"/>
        <v/>
      </c>
      <c r="Z852" s="645" t="str">
        <f>HYPERLINK("https://www.klasekpyrotechnics.cz/hf-75-2608")</f>
        <v>https://www.klasekpyrotechnics.cz/hf-75-2608</v>
      </c>
      <c r="AA852" s="645" t="str">
        <f>IFERROR(IF(VLOOKUP(C852,[4]List1!$A:$D,4,FALSE)=0,"",VLOOKUP(C852,[4]List1!$A:$D,4,FALSE)),"")</f>
        <v/>
      </c>
      <c r="AB852" s="646"/>
      <c r="AC852" s="647" t="str">
        <f>IFERROR(IF(VLOOKUP(C852,[1]List1!$A:$D,2,FALSE)="VYPRODÁNO",$V$9,IF(VLOOKUP(C852,[1]List1!$A:$D,2,FALSE)="DOCHÁZÍ",$V$3,VLOOKUP(C852,[1]List1!$A:$D,2,FALSE))),"OFFLINE!")</f>
        <v>31.08.2026</v>
      </c>
      <c r="AD852" s="647" t="str">
        <f ca="1">IF(AP852="NE",$V$10,IF(AC852=$V$3,IF(AQ852&lt;1,$V$8,$V$2&amp;" "&amp;AQ852&amp;" "&amp;$V$1),IF(AC852="SKLADEM",$V$6,IFERROR(IF(OR(AC852-TODAY()&gt;45,VLOOKUP(C852,[1]List1!$A:$E,4,FALSE)=0),AC852,DAY(AC852)&amp;"."&amp;MONTH(AC852)&amp;"."&amp;YEAR(AC852)&amp;" "&amp;$V$4&amp;VLOOKUP(C852,[1]List1!$A:$E,4,FALSE)&amp;" "&amp;$V$1),AC852))))</f>
        <v>31.08.2026</v>
      </c>
      <c r="AE852" s="645" t="str">
        <f t="shared" ca="1" si="2719"/>
        <v>31.08.2026</v>
      </c>
      <c r="AF852" s="648">
        <f t="shared" si="2720"/>
        <v>0</v>
      </c>
      <c r="AG852" s="649">
        <f t="shared" si="2721"/>
        <v>0</v>
      </c>
      <c r="AH852" s="650">
        <f t="shared" si="2722"/>
        <v>0</v>
      </c>
      <c r="AI852" s="645">
        <f t="shared" si="2723"/>
        <v>0</v>
      </c>
      <c r="AJ852" s="645">
        <f t="shared" si="2724"/>
        <v>0</v>
      </c>
      <c r="AK852" s="645" t="str">
        <f t="shared" si="2725"/>
        <v/>
      </c>
      <c r="AL852" s="645" t="str">
        <f t="shared" si="2726"/>
        <v/>
      </c>
      <c r="AM852" s="645">
        <f t="shared" si="2727"/>
        <v>0</v>
      </c>
      <c r="AN852" s="651">
        <f t="shared" si="2728"/>
        <v>0</v>
      </c>
      <c r="AO852" s="623"/>
      <c r="AP852" s="632" t="str">
        <f t="shared" si="2679"/>
        <v/>
      </c>
      <c r="AQ852" s="633" t="str">
        <f>IF(AC852=$V$3,IF(VLOOKUP(C852,[1]List1!$A:$E,5,FALSE)=0,1,VLOOKUP(C852,[1]List1!$A:$E,5,FALSE)),"")</f>
        <v/>
      </c>
      <c r="AR852" s="625" t="str">
        <f t="shared" si="2680"/>
        <v/>
      </c>
      <c r="AS852" s="634" t="str">
        <f t="shared" si="2681"/>
        <v/>
      </c>
      <c r="AT852" s="625" t="str">
        <f t="shared" si="2682"/>
        <v/>
      </c>
      <c r="AU852" s="638" t="e">
        <f t="shared" si="2683"/>
        <v>#N/A</v>
      </c>
      <c r="AV852" s="625" t="e">
        <f t="shared" si="2684"/>
        <v>#N/A</v>
      </c>
      <c r="AX852" s="625">
        <f>IF(AND('General price list'!$J852="F4",'General price list'!$AB852+0&gt;0),1,0)</f>
        <v>0</v>
      </c>
      <c r="AY852" s="625">
        <f t="shared" si="2685"/>
        <v>0</v>
      </c>
      <c r="AZ852" s="625">
        <f t="shared" si="2686"/>
        <v>0</v>
      </c>
    </row>
    <row r="853" spans="1:52" ht="15" customHeight="1">
      <c r="A853" s="621" t="str">
        <f>Kat.!C853</f>
        <v/>
      </c>
      <c r="B853" s="566">
        <f>IF(AND('General price list'!$J853="F4",$AI$1=FALSE),0,IF(AC853="SKLADEM",1,IF(AC853=$V$3,1,0)))</f>
        <v>0</v>
      </c>
      <c r="C853" s="641" t="s">
        <v>12485</v>
      </c>
      <c r="D853" s="568" t="s">
        <v>12589</v>
      </c>
      <c r="E853" s="763" t="s">
        <v>12663</v>
      </c>
      <c r="F853" s="791">
        <f>IFERROR(VLOOKUP(C853,[2]List1!$A:$D,3,FALSE),"NEUVEDENO!")</f>
        <v>3934</v>
      </c>
      <c r="G853" s="769">
        <f t="shared" si="2715"/>
        <v>3934</v>
      </c>
      <c r="H853" s="766">
        <f t="shared" si="2716"/>
        <v>167.11056738582832</v>
      </c>
      <c r="I853" s="764">
        <f>IFERROR(VLOOKUP(C853,[2]List1!$A:$D,4,FALSE),"NEUVEDENO!")</f>
        <v>1</v>
      </c>
      <c r="J853" s="732" t="s">
        <v>39</v>
      </c>
      <c r="K853" s="569" t="s">
        <v>13032</v>
      </c>
      <c r="L853" s="569"/>
      <c r="M853" s="569" t="s">
        <v>114</v>
      </c>
      <c r="N853" s="569">
        <f>IFERROR(VLOOKUP(C853,[3]List1!$A:$D,4,FALSE),"N/A!")</f>
        <v>4.8299999999999996E-2</v>
      </c>
      <c r="O853" s="569">
        <f>IFERROR(VLOOKUP(C853,[3]List1!$A:$D,3,FALSE),"N/A!")</f>
        <v>1991</v>
      </c>
      <c r="P853" s="569">
        <f>IFERROR(VLOOKUP(C853,[3]List1!$A:$D,2,FALSE),"N/A!")</f>
        <v>16000</v>
      </c>
      <c r="Q853" s="569"/>
      <c r="R853" s="569"/>
      <c r="S853" s="569" t="str">
        <f>IF($W$17=$AF$1,"červená fólie",IFERROR(VLOOKUP("červená fólie",Jazyky_ceník!$A:$Q,MATCH($W$17,Jazyky_ceník!$A$1:$Q$1,0),FALSE),"!!!"))</f>
        <v>červená fólie</v>
      </c>
      <c r="T853" s="569">
        <v>65</v>
      </c>
      <c r="U853" s="569"/>
      <c r="V853" s="569"/>
      <c r="W853" s="569" t="str">
        <f>IFERROR(IF(AND($AB853&gt;=0.1*$AA853,MOD($AB853,$AA853)&gt;=($AA853-(0.1*$AA853))),IF($W$17=$AF$1,"Zvažte možnost doobjednání ještě "&amp;Tabulka1[[#This Row],[VKPAL]]-MOD(AB853,AA853)&amp;" VK do plné palety.",VLOOKUP("Zvažte možnost doobjednání ještě ",Jazyky_ceník!A:Q,MATCH($W$17,Jazyky_ceník!$A$1:$Q$1,0),FALSE)&amp;Tabulka1[[#This Row],[VKPAL]]-MOD(AB853,AA853)&amp;VLOOKUP(" VK do plné palety.",Jazyky_ceník!A:Q,MATCH($W$17,Jazyky_ceník!$A$1:$Q$1,0),FALSE)),IFERROR(IF(AND(NOT(MOD($AB853,$AA853)=0),$AB853&gt;=0.9*$AA853,MOD($AB853,$AA853)&lt;=0.1*$AA853),IF($W$17=$AF$1,"Zvažte možnost optimalizace objednaného množství podle počtu VK na paletě ==&gt;",VLOOKUP("Zvažte možnost optimalizace objednaného množství podle počtu VK na paletě ==&gt;",Jazyky_ceník!A:Q,MATCH($W$17,Jazyky_ceník!$A$1:$Q$1,0),FALSE)),VLOOKUP('General price list'!$C853,Popisy!A:M,MATCH($W$17,Popisy!$A$7:$M$7,0),FALSE)),"---------------")),IFERROR(VLOOKUP('General price list'!$C853,Popisy!A:M,MATCH($W$17,Popisy!$A$7:$M$7,0),FALSE),"---------------"))</f>
        <v>10  různobarevných efektů</v>
      </c>
      <c r="X853" s="569" t="str">
        <f t="shared" si="2717"/>
        <v/>
      </c>
      <c r="Y853" s="569" t="str">
        <f t="shared" si="2718"/>
        <v/>
      </c>
      <c r="Z853" s="569" t="str">
        <f>HYPERLINK("https://www.klasekpyrotechnics.cz/rk-98-2555")</f>
        <v>https://www.klasekpyrotechnics.cz/rk-98-2555</v>
      </c>
      <c r="AA853" s="569" t="str">
        <f>IFERROR(IF(VLOOKUP(C853,[4]List1!$A:$D,4,FALSE)=0,"",VLOOKUP(C853,[4]List1!$A:$D,4,FALSE)),"")</f>
        <v/>
      </c>
      <c r="AB853" s="565"/>
      <c r="AC853" s="570" t="str">
        <f>IFERROR(IF(VLOOKUP(C853,[1]List1!$A:$D,2,FALSE)="VYPRODÁNO",$V$9,IF(VLOOKUP(C853,[1]List1!$A:$D,2,FALSE)="DOCHÁZÍ",$V$3,VLOOKUP(C853,[1]List1!$A:$D,2,FALSE))),"OFFLINE!")</f>
        <v>31.08.2026</v>
      </c>
      <c r="AD853" s="570" t="str">
        <f ca="1">IF(AP853="NE",$V$10,IF(AC853=$V$3,IF(AQ853&lt;1,$V$8,$V$2&amp;" "&amp;AQ853&amp;" "&amp;$V$1),IF(AC853="SKLADEM",$V$6,IFERROR(IF(OR(AC853-TODAY()&gt;45,VLOOKUP(C853,[1]List1!$A:$E,4,FALSE)=0),AC853,DAY(AC853)&amp;"."&amp;MONTH(AC853)&amp;"."&amp;YEAR(AC853)&amp;" "&amp;$V$4&amp;VLOOKUP(C853,[1]List1!$A:$E,4,FALSE)&amp;" "&amp;$V$1),AC853))))</f>
        <v>31.08.2026</v>
      </c>
      <c r="AE853" s="581" t="str">
        <f t="shared" ca="1" si="2719"/>
        <v>31.08.2026</v>
      </c>
      <c r="AF853" s="584">
        <f t="shared" si="2720"/>
        <v>0</v>
      </c>
      <c r="AG853" s="585">
        <f t="shared" si="2721"/>
        <v>0</v>
      </c>
      <c r="AH853" s="583">
        <f t="shared" si="2722"/>
        <v>0</v>
      </c>
      <c r="AI853" s="582">
        <f t="shared" si="2723"/>
        <v>0</v>
      </c>
      <c r="AJ853" s="569">
        <f t="shared" si="2724"/>
        <v>0</v>
      </c>
      <c r="AK853" s="569" t="str">
        <f t="shared" si="2725"/>
        <v/>
      </c>
      <c r="AL853" s="569">
        <f t="shared" si="2726"/>
        <v>0</v>
      </c>
      <c r="AM853" s="569" t="str">
        <f t="shared" si="2727"/>
        <v/>
      </c>
      <c r="AN853" s="581">
        <f t="shared" si="2728"/>
        <v>0</v>
      </c>
      <c r="AO853" s="623"/>
      <c r="AP853" s="632" t="str">
        <f t="shared" si="2679"/>
        <v/>
      </c>
      <c r="AQ853" s="633" t="str">
        <f>IF(AC853=$V$3,IF(VLOOKUP(C853,[1]List1!$A:$E,5,FALSE)=0,1,VLOOKUP(C853,[1]List1!$A:$E,5,FALSE)),"")</f>
        <v/>
      </c>
      <c r="AR853" s="625" t="str">
        <f t="shared" si="2680"/>
        <v/>
      </c>
      <c r="AS853" s="634" t="str">
        <f t="shared" si="2681"/>
        <v/>
      </c>
      <c r="AT853" s="625" t="str">
        <f t="shared" si="2682"/>
        <v/>
      </c>
      <c r="AU853" s="638" t="e">
        <f t="shared" si="2683"/>
        <v>#N/A</v>
      </c>
      <c r="AV853" s="625" t="e">
        <f t="shared" si="2684"/>
        <v>#N/A</v>
      </c>
      <c r="AX853" s="625">
        <f>IF(AND('General price list'!$J853="F4",'General price list'!$AB853+0&gt;0),1,0)</f>
        <v>0</v>
      </c>
      <c r="AY853" s="625">
        <f t="shared" si="2685"/>
        <v>0</v>
      </c>
      <c r="AZ853" s="625">
        <f t="shared" si="2686"/>
        <v>0</v>
      </c>
    </row>
    <row r="854" spans="1:52" ht="15" customHeight="1">
      <c r="A854" s="639" t="str">
        <f>Kat.!C854</f>
        <v/>
      </c>
      <c r="B854" s="640">
        <f>IF(AND('General price list'!$J854="F4",$AI$1=FALSE),0,IF(AC854="SKLADEM",1,IF(AC854=$V$3,1,0)))</f>
        <v>1</v>
      </c>
      <c r="C854" s="641" t="s">
        <v>11222</v>
      </c>
      <c r="D854" s="642" t="s">
        <v>12590</v>
      </c>
      <c r="E854" s="643" t="s">
        <v>12663</v>
      </c>
      <c r="F854" s="791">
        <f>IFERROR(VLOOKUP(C854,[2]List1!$A:$D,3,FALSE),"NEUVEDENO!")</f>
        <v>4197</v>
      </c>
      <c r="G854" s="768">
        <f t="shared" si="2715"/>
        <v>4197</v>
      </c>
      <c r="H854" s="765">
        <f t="shared" si="2716"/>
        <v>178.28242280587733</v>
      </c>
      <c r="I854" s="644">
        <f>IFERROR(VLOOKUP(C854,[2]List1!$A:$D,4,FALSE),"NEUVEDENO!")</f>
        <v>1</v>
      </c>
      <c r="J854" s="733" t="s">
        <v>39</v>
      </c>
      <c r="K854" s="645" t="s">
        <v>11100</v>
      </c>
      <c r="L854" s="645" t="s">
        <v>15088</v>
      </c>
      <c r="M854" s="645" t="s">
        <v>21</v>
      </c>
      <c r="N854" s="645">
        <f>IFERROR(VLOOKUP(C854,[3]List1!$A:$D,4,FALSE),"N/A!")</f>
        <v>5.5079999999999997E-2</v>
      </c>
      <c r="O854" s="645">
        <f>IFERROR(VLOOKUP(C854,[3]List1!$A:$D,3,FALSE),"N/A!")</f>
        <v>2000</v>
      </c>
      <c r="P854" s="645">
        <f>IFERROR(VLOOKUP(C854,[3]List1!$A:$D,2,FALSE),"N/A!")</f>
        <v>14400</v>
      </c>
      <c r="Q854" s="645" t="s">
        <v>11302</v>
      </c>
      <c r="R854" s="645"/>
      <c r="S854" s="645" t="str">
        <f>IF($W$17=$AF$1,"červená fólie",IFERROR(VLOOKUP("červená fólie",Jazyky_ceník!$A:$Q,MATCH($W$17,Jazyky_ceník!$A$1:$Q$1,0),FALSE),"!!!"))</f>
        <v>červená fólie</v>
      </c>
      <c r="T854" s="645">
        <v>43</v>
      </c>
      <c r="U854" s="645"/>
      <c r="V854" s="645"/>
      <c r="W854" s="645" t="str">
        <f>IFERROR(IF(AND($AB854&gt;=0.1*$AA854,MOD($AB854,$AA854)&gt;=($AA854-(0.1*$AA854))),IF($W$17=$AF$1,"Zvažte možnost doobjednání ještě "&amp;Tabulka1[[#This Row],[VKPAL]]-MOD(AB854,AA854)&amp;" VK do plné palety.",VLOOKUP("Zvažte možnost doobjednání ještě ",Jazyky_ceník!A:Q,MATCH($W$17,Jazyky_ceník!$A$1:$Q$1,0),FALSE)&amp;Tabulka1[[#This Row],[VKPAL]]-MOD(AB854,AA854)&amp;VLOOKUP(" VK do plné palety.",Jazyky_ceník!A:Q,MATCH($W$17,Jazyky_ceník!$A$1:$Q$1,0),FALSE)),IFERROR(IF(AND(NOT(MOD($AB854,$AA854)=0),$AB854&gt;=0.9*$AA854,MOD($AB854,$AA854)&lt;=0.1*$AA854),IF($W$17=$AF$1,"Zvažte možnost optimalizace objednaného množství podle počtu VK na paletě ==&gt;",VLOOKUP("Zvažte možnost optimalizace objednaného množství podle počtu VK na paletě ==&gt;",Jazyky_ceník!A:Q,MATCH($W$17,Jazyky_ceník!$A$1:$Q$1,0),FALSE)),VLOOKUP('General price list'!$C854,Popisy!A:M,MATCH($W$17,Popisy!$A$7:$M$7,0),FALSE)),"---------------")),IFERROR(VLOOKUP('General price list'!$C854,Popisy!A:M,MATCH($W$17,Popisy!$A$7:$M$7,0),FALSE),"---------------"))</f>
        <v>10  různobarevných efektů</v>
      </c>
      <c r="X854" s="645" t="str">
        <f t="shared" si="2717"/>
        <v/>
      </c>
      <c r="Y854" s="645" t="str">
        <f t="shared" si="2718"/>
        <v/>
      </c>
      <c r="Z854" s="645" t="str">
        <f>HYPERLINK("https://www.klasekpyrotechnics.cz/hf-96-2362s")</f>
        <v>https://www.klasekpyrotechnics.cz/hf-96-2362s</v>
      </c>
      <c r="AA854" s="645">
        <f>IFERROR(IF(VLOOKUP(C854,[4]List1!$A:$D,4,FALSE)=0,"",VLOOKUP(C854,[4]List1!$A:$D,4,FALSE)),"")</f>
        <v>14</v>
      </c>
      <c r="AB854" s="646"/>
      <c r="AC854" s="647" t="str">
        <f>IFERROR(IF(VLOOKUP(C854,[1]List1!$A:$D,2,FALSE)="VYPRODÁNO",$V$9,IF(VLOOKUP(C854,[1]List1!$A:$D,2,FALSE)="DOCHÁZÍ",$V$3,VLOOKUP(C854,[1]List1!$A:$D,2,FALSE))),"OFFLINE!")</f>
        <v>SKLADEM</v>
      </c>
      <c r="AD854" s="647" t="str">
        <f ca="1">IF(AP854="NE",$V$10,IF(AC854=$V$3,IF(AQ854&lt;1,$V$8,$V$2&amp;" "&amp;AQ854&amp;" "&amp;$V$1),IF(AC854="SKLADEM",$V$6,IFERROR(IF(OR(AC854-TODAY()&gt;45,VLOOKUP(C854,[1]List1!$A:$E,4,FALSE)=0),AC854,DAY(AC854)&amp;"."&amp;MONTH(AC854)&amp;"."&amp;YEAR(AC854)&amp;" "&amp;$V$4&amp;VLOOKUP(C854,[1]List1!$A:$E,4,FALSE)&amp;" "&amp;$V$1),AC854))))</f>
        <v>SKLADEM</v>
      </c>
      <c r="AE854" s="645" t="str">
        <f t="shared" ca="1" si="2719"/>
        <v>SKLADEM</v>
      </c>
      <c r="AF854" s="648">
        <f t="shared" si="2720"/>
        <v>0</v>
      </c>
      <c r="AG854" s="649">
        <f t="shared" si="2721"/>
        <v>0</v>
      </c>
      <c r="AH854" s="650">
        <f t="shared" si="2722"/>
        <v>0</v>
      </c>
      <c r="AI854" s="645">
        <f t="shared" si="2723"/>
        <v>0</v>
      </c>
      <c r="AJ854" s="645">
        <f t="shared" si="2724"/>
        <v>0</v>
      </c>
      <c r="AK854" s="645" t="str">
        <f t="shared" si="2725"/>
        <v/>
      </c>
      <c r="AL854" s="645" t="str">
        <f t="shared" si="2726"/>
        <v/>
      </c>
      <c r="AM854" s="645">
        <f t="shared" si="2727"/>
        <v>0</v>
      </c>
      <c r="AN854" s="651">
        <f t="shared" si="2728"/>
        <v>0</v>
      </c>
      <c r="AO854" s="623"/>
      <c r="AP854" s="632" t="str">
        <f t="shared" si="2679"/>
        <v/>
      </c>
      <c r="AQ854" s="633" t="str">
        <f>IF(AC854=$V$3,IF(VLOOKUP(C854,[1]List1!$A:$E,5,FALSE)=0,1,VLOOKUP(C854,[1]List1!$A:$E,5,FALSE)),"")</f>
        <v/>
      </c>
      <c r="AR854" s="625" t="str">
        <f t="shared" si="2680"/>
        <v/>
      </c>
      <c r="AS854" s="634" t="str">
        <f t="shared" si="2681"/>
        <v/>
      </c>
      <c r="AT854" s="625" t="str">
        <f t="shared" si="2682"/>
        <v/>
      </c>
      <c r="AU854" s="638" t="e">
        <f t="shared" si="2683"/>
        <v>#N/A</v>
      </c>
      <c r="AV854" s="625" t="e">
        <f t="shared" si="2684"/>
        <v>#N/A</v>
      </c>
      <c r="AX854" s="625">
        <f>IF(AND('General price list'!$J854="F4",'General price list'!$AB854+0&gt;0),1,0)</f>
        <v>0</v>
      </c>
      <c r="AY854" s="625">
        <f t="shared" si="2685"/>
        <v>1</v>
      </c>
      <c r="AZ854" s="625">
        <f t="shared" si="2686"/>
        <v>0</v>
      </c>
    </row>
    <row r="855" spans="1:52" ht="15" customHeight="1">
      <c r="A855" s="621" t="str">
        <f>Kat.!C855</f>
        <v/>
      </c>
      <c r="B855" s="566">
        <f>IF(AND('General price list'!$J855="F4",$AI$1=FALSE),0,IF(AC855="SKLADEM",1,IF(AC855=$V$3,1,0)))</f>
        <v>1</v>
      </c>
      <c r="C855" s="567" t="s">
        <v>11223</v>
      </c>
      <c r="D855" s="568" t="s">
        <v>12591</v>
      </c>
      <c r="E855" s="763" t="s">
        <v>12663</v>
      </c>
      <c r="F855" s="791">
        <f>IFERROR(VLOOKUP(C855,[2]List1!$A:$D,3,FALSE),"NEUVEDENO!")</f>
        <v>3057</v>
      </c>
      <c r="G855" s="769">
        <f t="shared" si="2715"/>
        <v>3057</v>
      </c>
      <c r="H855" s="766">
        <f t="shared" si="2716"/>
        <v>129.8568898064253</v>
      </c>
      <c r="I855" s="764">
        <f>IFERROR(VLOOKUP(C855,[2]List1!$A:$D,4,FALSE),"NEUVEDENO!")</f>
        <v>1</v>
      </c>
      <c r="J855" s="732" t="s">
        <v>39</v>
      </c>
      <c r="K855" s="569" t="s">
        <v>11100</v>
      </c>
      <c r="L855" s="569"/>
      <c r="M855" s="569" t="s">
        <v>114</v>
      </c>
      <c r="N855" s="569">
        <f>IFERROR(VLOOKUP(C855,[3]List1!$A:$D,4,FALSE),"N/A!")</f>
        <v>3.4470750000000001E-2</v>
      </c>
      <c r="O855" s="569">
        <f>IFERROR(VLOOKUP(C855,[3]List1!$A:$D,3,FALSE),"N/A!")</f>
        <v>1683</v>
      </c>
      <c r="P855" s="569">
        <f>IFERROR(VLOOKUP(C855,[3]List1!$A:$D,2,FALSE),"N/A!")</f>
        <v>11650</v>
      </c>
      <c r="Q855" s="569" t="s">
        <v>11302</v>
      </c>
      <c r="R855" s="569"/>
      <c r="S855" s="569" t="str">
        <f>IF($W$17=$AF$1,"červená fólie",IFERROR(VLOOKUP("červená fólie",Jazyky_ceník!$A:$Q,MATCH($W$17,Jazyky_ceník!$A$1:$Q$1,0),FALSE),"!!!"))</f>
        <v>červená fólie</v>
      </c>
      <c r="T855" s="569">
        <v>60</v>
      </c>
      <c r="U855" s="569"/>
      <c r="V855" s="569"/>
      <c r="W855" s="569" t="str">
        <f>IFERROR(IF(AND($AB855&gt;=0.1*$AA855,MOD($AB855,$AA855)&gt;=($AA855-(0.1*$AA855))),IF($W$17=$AF$1,"Zvažte možnost doobjednání ještě "&amp;Tabulka1[[#This Row],[VKPAL]]-MOD(AB855,AA855)&amp;" VK do plné palety.",VLOOKUP("Zvažte možnost doobjednání ještě ",Jazyky_ceník!A:Q,MATCH($W$17,Jazyky_ceník!$A$1:$Q$1,0),FALSE)&amp;Tabulka1[[#This Row],[VKPAL]]-MOD(AB855,AA855)&amp;VLOOKUP(" VK do plné palety.",Jazyky_ceník!A:Q,MATCH($W$17,Jazyky_ceník!$A$1:$Q$1,0),FALSE)),IFERROR(IF(AND(NOT(MOD($AB855,$AA855)=0),$AB855&gt;=0.9*$AA855,MOD($AB855,$AA855)&lt;=0.1*$AA855),IF($W$17=$AF$1,"Zvažte možnost optimalizace objednaného množství podle počtu VK na paletě ==&gt;",VLOOKUP("Zvažte možnost optimalizace objednaného množství podle počtu VK na paletě ==&gt;",Jazyky_ceník!A:Q,MATCH($W$17,Jazyky_ceník!$A$1:$Q$1,0),FALSE)),VLOOKUP('General price list'!$C855,Popisy!A:M,MATCH($W$17,Popisy!$A$7:$M$7,0),FALSE)),"---------------")),IFERROR(VLOOKUP('General price list'!$C855,Popisy!A:M,MATCH($W$17,Popisy!$A$7:$M$7,0),FALSE),"---------------"))</f>
        <v>11  různobarevných efektů</v>
      </c>
      <c r="X855" s="569" t="str">
        <f t="shared" si="2717"/>
        <v/>
      </c>
      <c r="Y855" s="569" t="str">
        <f t="shared" si="2718"/>
        <v/>
      </c>
      <c r="Z855" s="569" t="str">
        <f>HYPERLINK("https://www.klasekpyrotechnics.cz/hf-102-2214")</f>
        <v>https://www.klasekpyrotechnics.cz/hf-102-2214</v>
      </c>
      <c r="AA855" s="569">
        <f>IFERROR(IF(VLOOKUP(C855,[4]List1!$A:$D,4,FALSE)=0,"",VLOOKUP(C855,[4]List1!$A:$D,4,FALSE)),"")</f>
        <v>32</v>
      </c>
      <c r="AB855" s="565"/>
      <c r="AC855" s="570" t="str">
        <f>IFERROR(IF(VLOOKUP(C855,[1]List1!$A:$D,2,FALSE)="VYPRODÁNO",$V$9,IF(VLOOKUP(C855,[1]List1!$A:$D,2,FALSE)="DOCHÁZÍ",$V$3,VLOOKUP(C855,[1]List1!$A:$D,2,FALSE))),"OFFLINE!")</f>
        <v>SKLADEM</v>
      </c>
      <c r="AD855" s="570" t="str">
        <f ca="1">IF(AP855="NE",$V$10,IF(AC855=$V$3,IF(AQ855&lt;1,$V$8,$V$2&amp;" "&amp;AQ855&amp;" "&amp;$V$1),IF(AC855="SKLADEM",$V$6,IFERROR(IF(OR(AC855-TODAY()&gt;45,VLOOKUP(C855,[1]List1!$A:$E,4,FALSE)=0),AC855,DAY(AC855)&amp;"."&amp;MONTH(AC855)&amp;"."&amp;YEAR(AC855)&amp;" "&amp;$V$4&amp;VLOOKUP(C855,[1]List1!$A:$E,4,FALSE)&amp;" "&amp;$V$1),AC855))))</f>
        <v>SKLADEM</v>
      </c>
      <c r="AE855" s="581" t="str">
        <f t="shared" ca="1" si="2719"/>
        <v>SKLADEM</v>
      </c>
      <c r="AF855" s="584">
        <f t="shared" si="2720"/>
        <v>0</v>
      </c>
      <c r="AG855" s="585">
        <f t="shared" si="2721"/>
        <v>0</v>
      </c>
      <c r="AH855" s="583">
        <f t="shared" si="2722"/>
        <v>0</v>
      </c>
      <c r="AI855" s="582">
        <f t="shared" si="2723"/>
        <v>0</v>
      </c>
      <c r="AJ855" s="569">
        <f t="shared" si="2724"/>
        <v>0</v>
      </c>
      <c r="AK855" s="569" t="str">
        <f t="shared" si="2725"/>
        <v/>
      </c>
      <c r="AL855" s="569">
        <f t="shared" si="2726"/>
        <v>0</v>
      </c>
      <c r="AM855" s="569" t="str">
        <f t="shared" si="2727"/>
        <v/>
      </c>
      <c r="AN855" s="581">
        <f t="shared" si="2728"/>
        <v>0</v>
      </c>
      <c r="AO855" s="623"/>
      <c r="AP855" s="632" t="str">
        <f t="shared" si="2679"/>
        <v/>
      </c>
      <c r="AQ855" s="633" t="str">
        <f>IF(AC855=$V$3,IF(VLOOKUP(C855,[1]List1!$A:$E,5,FALSE)=0,1,VLOOKUP(C855,[1]List1!$A:$E,5,FALSE)),"")</f>
        <v/>
      </c>
      <c r="AR855" s="625" t="str">
        <f t="shared" si="2680"/>
        <v/>
      </c>
      <c r="AS855" s="634" t="str">
        <f t="shared" si="2681"/>
        <v/>
      </c>
      <c r="AT855" s="625" t="str">
        <f t="shared" si="2682"/>
        <v/>
      </c>
      <c r="AU855" s="638" t="e">
        <f t="shared" si="2683"/>
        <v>#N/A</v>
      </c>
      <c r="AV855" s="625" t="e">
        <f t="shared" si="2684"/>
        <v>#N/A</v>
      </c>
      <c r="AX855" s="625">
        <f>IF(AND('General price list'!$J855="F4",'General price list'!$AB855+0&gt;0),1,0)</f>
        <v>0</v>
      </c>
      <c r="AY855" s="625">
        <f t="shared" si="2685"/>
        <v>1</v>
      </c>
      <c r="AZ855" s="625">
        <f t="shared" si="2686"/>
        <v>0</v>
      </c>
    </row>
    <row r="856" spans="1:52" ht="15" customHeight="1">
      <c r="A856" s="639" t="str">
        <f>Kat.!C856</f>
        <v/>
      </c>
      <c r="B856" s="640">
        <f>IF(AND('General price list'!$J856="F4",$AI$1=FALSE),0,IF(AC856="SKLADEM",1,IF(AC856=$V$3,1,0)))</f>
        <v>1</v>
      </c>
      <c r="C856" s="641" t="s">
        <v>11224</v>
      </c>
      <c r="D856" s="642" t="s">
        <v>12592</v>
      </c>
      <c r="E856" s="643" t="s">
        <v>12663</v>
      </c>
      <c r="F856" s="791">
        <f>IFERROR(VLOOKUP(C856,[2]List1!$A:$D,3,FALSE),"NEUVEDENO!")</f>
        <v>3358</v>
      </c>
      <c r="G856" s="768">
        <f t="shared" si="2715"/>
        <v>3358</v>
      </c>
      <c r="H856" s="765">
        <f t="shared" si="2716"/>
        <v>142.64292965978939</v>
      </c>
      <c r="I856" s="644">
        <f>IFERROR(VLOOKUP(C856,[2]List1!$A:$D,4,FALSE),"NEUVEDENO!")</f>
        <v>1</v>
      </c>
      <c r="J856" s="733" t="s">
        <v>39</v>
      </c>
      <c r="K856" s="645" t="s">
        <v>11100</v>
      </c>
      <c r="L856" s="645"/>
      <c r="M856" s="645" t="s">
        <v>114</v>
      </c>
      <c r="N856" s="645">
        <f>IFERROR(VLOOKUP(C856,[3]List1!$A:$D,4,FALSE),"N/A!")</f>
        <v>3.7207499999999998E-2</v>
      </c>
      <c r="O856" s="645">
        <f>IFERROR(VLOOKUP(C856,[3]List1!$A:$D,3,FALSE),"N/A!")</f>
        <v>1973</v>
      </c>
      <c r="P856" s="645">
        <f>IFERROR(VLOOKUP(C856,[3]List1!$A:$D,2,FALSE),"N/A!")</f>
        <v>13400</v>
      </c>
      <c r="Q856" s="645" t="s">
        <v>11302</v>
      </c>
      <c r="R856" s="645"/>
      <c r="S856" s="645" t="str">
        <f>IF($W$17=$AF$1,"červená fólie",IFERROR(VLOOKUP("červená fólie",Jazyky_ceník!$A:$Q,MATCH($W$17,Jazyky_ceník!$A$1:$Q$1,0),FALSE),"!!!"))</f>
        <v>červená fólie</v>
      </c>
      <c r="T856" s="645">
        <v>60</v>
      </c>
      <c r="U856" s="645"/>
      <c r="V856" s="645"/>
      <c r="W856" s="645" t="str">
        <f>IFERROR(IF(AND($AB856&gt;=0.1*$AA856,MOD($AB856,$AA856)&gt;=($AA856-(0.1*$AA856))),IF($W$17=$AF$1,"Zvažte možnost doobjednání ještě "&amp;Tabulka1[[#This Row],[VKPAL]]-MOD(AB856,AA856)&amp;" VK do plné palety.",VLOOKUP("Zvažte možnost doobjednání ještě ",Jazyky_ceník!A:Q,MATCH($W$17,Jazyky_ceník!$A$1:$Q$1,0),FALSE)&amp;Tabulka1[[#This Row],[VKPAL]]-MOD(AB856,AA856)&amp;VLOOKUP(" VK do plné palety.",Jazyky_ceník!A:Q,MATCH($W$17,Jazyky_ceník!$A$1:$Q$1,0),FALSE)),IFERROR(IF(AND(NOT(MOD($AB856,$AA856)=0),$AB856&gt;=0.9*$AA856,MOD($AB856,$AA856)&lt;=0.1*$AA856),IF($W$17=$AF$1,"Zvažte možnost optimalizace objednaného množství podle počtu VK na paletě ==&gt;",VLOOKUP("Zvažte možnost optimalizace objednaného množství podle počtu VK na paletě ==&gt;",Jazyky_ceník!A:Q,MATCH($W$17,Jazyky_ceník!$A$1:$Q$1,0),FALSE)),VLOOKUP('General price list'!$C856,Popisy!A:M,MATCH($W$17,Popisy!$A$7:$M$7,0),FALSE)),"---------------")),IFERROR(VLOOKUP('General price list'!$C856,Popisy!A:M,MATCH($W$17,Popisy!$A$7:$M$7,0),FALSE),"---------------"))</f>
        <v>16  různobarevných efektů</v>
      </c>
      <c r="X856" s="645" t="str">
        <f t="shared" si="2717"/>
        <v/>
      </c>
      <c r="Y856" s="645" t="str">
        <f t="shared" si="2718"/>
        <v/>
      </c>
      <c r="Z856" s="645" t="str">
        <f>HYPERLINK("https://www.klasekpyrotechnics.cz/hf-101-2216")</f>
        <v>https://www.klasekpyrotechnics.cz/hf-101-2216</v>
      </c>
      <c r="AA856" s="645">
        <f>IFERROR(IF(VLOOKUP(C856,[4]List1!$A:$D,4,FALSE)=0,"",VLOOKUP(C856,[4]List1!$A:$D,4,FALSE)),"")</f>
        <v>32</v>
      </c>
      <c r="AB856" s="646"/>
      <c r="AC856" s="647" t="str">
        <f>IFERROR(IF(VLOOKUP(C856,[1]List1!$A:$D,2,FALSE)="VYPRODÁNO",$V$9,IF(VLOOKUP(C856,[1]List1!$A:$D,2,FALSE)="DOCHÁZÍ",$V$3,VLOOKUP(C856,[1]List1!$A:$D,2,FALSE))),"OFFLINE!")</f>
        <v>SKLADEM</v>
      </c>
      <c r="AD856" s="647" t="str">
        <f ca="1">IF(AP856="NE",$V$10,IF(AC856=$V$3,IF(AQ856&lt;1,$V$8,$V$2&amp;" "&amp;AQ856&amp;" "&amp;$V$1),IF(AC856="SKLADEM",$V$6,IFERROR(IF(OR(AC856-TODAY()&gt;45,VLOOKUP(C856,[1]List1!$A:$E,4,FALSE)=0),AC856,DAY(AC856)&amp;"."&amp;MONTH(AC856)&amp;"."&amp;YEAR(AC856)&amp;" "&amp;$V$4&amp;VLOOKUP(C856,[1]List1!$A:$E,4,FALSE)&amp;" "&amp;$V$1),AC856))))</f>
        <v>SKLADEM</v>
      </c>
      <c r="AE856" s="645" t="str">
        <f t="shared" ca="1" si="2719"/>
        <v>SKLADEM</v>
      </c>
      <c r="AF856" s="648">
        <f t="shared" si="2720"/>
        <v>0</v>
      </c>
      <c r="AG856" s="649">
        <f t="shared" si="2721"/>
        <v>0</v>
      </c>
      <c r="AH856" s="650">
        <f t="shared" si="2722"/>
        <v>0</v>
      </c>
      <c r="AI856" s="645">
        <f t="shared" si="2723"/>
        <v>0</v>
      </c>
      <c r="AJ856" s="645">
        <f t="shared" si="2724"/>
        <v>0</v>
      </c>
      <c r="AK856" s="645" t="str">
        <f t="shared" si="2725"/>
        <v/>
      </c>
      <c r="AL856" s="645">
        <f t="shared" si="2726"/>
        <v>0</v>
      </c>
      <c r="AM856" s="645" t="str">
        <f t="shared" si="2727"/>
        <v/>
      </c>
      <c r="AN856" s="651">
        <f t="shared" si="2728"/>
        <v>0</v>
      </c>
      <c r="AO856" s="623"/>
      <c r="AP856" s="632" t="str">
        <f t="shared" si="2679"/>
        <v/>
      </c>
      <c r="AQ856" s="633" t="str">
        <f>IF(AC856=$V$3,IF(VLOOKUP(C856,[1]List1!$A:$E,5,FALSE)=0,1,VLOOKUP(C856,[1]List1!$A:$E,5,FALSE)),"")</f>
        <v/>
      </c>
      <c r="AR856" s="625" t="str">
        <f t="shared" si="2680"/>
        <v/>
      </c>
      <c r="AS856" s="634" t="str">
        <f t="shared" si="2681"/>
        <v/>
      </c>
      <c r="AT856" s="625" t="str">
        <f t="shared" si="2682"/>
        <v/>
      </c>
      <c r="AU856" s="638" t="e">
        <f t="shared" si="2683"/>
        <v>#N/A</v>
      </c>
      <c r="AV856" s="625" t="e">
        <f t="shared" si="2684"/>
        <v>#N/A</v>
      </c>
      <c r="AX856" s="625">
        <f>IF(AND('General price list'!$J856="F4",'General price list'!$AB856+0&gt;0),1,0)</f>
        <v>0</v>
      </c>
      <c r="AY856" s="625">
        <f t="shared" si="2685"/>
        <v>1</v>
      </c>
      <c r="AZ856" s="625">
        <f t="shared" si="2686"/>
        <v>0</v>
      </c>
    </row>
    <row r="857" spans="1:52" ht="15" customHeight="1">
      <c r="A857" s="621" t="str">
        <f>Kat.!C857</f>
        <v/>
      </c>
      <c r="B857" s="566">
        <f>IF(AND('General price list'!$J857="F4",$AI$1=FALSE),0,IF(AC857="SKLADEM",1,IF(AC857=$V$3,1,0)))</f>
        <v>1</v>
      </c>
      <c r="C857" s="567" t="s">
        <v>11225</v>
      </c>
      <c r="D857" s="568" t="s">
        <v>12593</v>
      </c>
      <c r="E857" s="763" t="s">
        <v>12663</v>
      </c>
      <c r="F857" s="791">
        <f>IFERROR(VLOOKUP(C857,[2]List1!$A:$D,3,FALSE),"NEUVEDENO!")</f>
        <v>3470</v>
      </c>
      <c r="G857" s="769">
        <f t="shared" si="2715"/>
        <v>3470</v>
      </c>
      <c r="H857" s="766">
        <f t="shared" si="2716"/>
        <v>147.40052588429697</v>
      </c>
      <c r="I857" s="764">
        <f>IFERROR(VLOOKUP(C857,[2]List1!$A:$D,4,FALSE),"NEUVEDENO!")</f>
        <v>1</v>
      </c>
      <c r="J857" s="732" t="s">
        <v>39</v>
      </c>
      <c r="K857" s="569" t="s">
        <v>11100</v>
      </c>
      <c r="L857" s="569"/>
      <c r="M857" s="569" t="s">
        <v>114</v>
      </c>
      <c r="N857" s="569">
        <f>IFERROR(VLOOKUP(C857,[3]List1!$A:$D,4,FALSE),"N/A!")</f>
        <v>3.7402249999999998E-2</v>
      </c>
      <c r="O857" s="569">
        <f>IFERROR(VLOOKUP(C857,[3]List1!$A:$D,3,FALSE),"N/A!")</f>
        <v>1875</v>
      </c>
      <c r="P857" s="569">
        <f>IFERROR(VLOOKUP(C857,[3]List1!$A:$D,2,FALSE),"N/A!")</f>
        <v>13000</v>
      </c>
      <c r="Q857" s="569" t="s">
        <v>11803</v>
      </c>
      <c r="R857" s="569"/>
      <c r="S857" s="569" t="str">
        <f>IF($W$17=$AF$1,"červená fólie",IFERROR(VLOOKUP("červená fólie",Jazyky_ceník!$A:$Q,MATCH($W$17,Jazyky_ceník!$A$1:$Q$1,0),FALSE),"!!!"))</f>
        <v>červená fólie</v>
      </c>
      <c r="T857" s="569">
        <v>45</v>
      </c>
      <c r="U857" s="569"/>
      <c r="V857" s="569"/>
      <c r="W857" s="569" t="str">
        <f>IFERROR(IF(AND($AB857&gt;=0.1*$AA857,MOD($AB857,$AA857)&gt;=($AA857-(0.1*$AA857))),IF($W$17=$AF$1,"Zvažte možnost doobjednání ještě "&amp;Tabulka1[[#This Row],[VKPAL]]-MOD(AB857,AA857)&amp;" VK do plné palety.",VLOOKUP("Zvažte možnost doobjednání ještě ",Jazyky_ceník!A:Q,MATCH($W$17,Jazyky_ceník!$A$1:$Q$1,0),FALSE)&amp;Tabulka1[[#This Row],[VKPAL]]-MOD(AB857,AA857)&amp;VLOOKUP(" VK do plné palety.",Jazyky_ceník!A:Q,MATCH($W$17,Jazyky_ceník!$A$1:$Q$1,0),FALSE)),IFERROR(IF(AND(NOT(MOD($AB857,$AA857)=0),$AB857&gt;=0.9*$AA857,MOD($AB857,$AA857)&lt;=0.1*$AA857),IF($W$17=$AF$1,"Zvažte možnost optimalizace objednaného množství podle počtu VK na paletě ==&gt;",VLOOKUP("Zvažte možnost optimalizace objednaného množství podle počtu VK na paletě ==&gt;",Jazyky_ceník!A:Q,MATCH($W$17,Jazyky_ceník!$A$1:$Q$1,0),FALSE)),VLOOKUP('General price list'!$C857,Popisy!A:M,MATCH($W$17,Popisy!$A$7:$M$7,0),FALSE)),"---------------")),IFERROR(VLOOKUP('General price list'!$C857,Popisy!A:M,MATCH($W$17,Popisy!$A$7:$M$7,0),FALSE),"---------------"))</f>
        <v>8  různobarevných efektů</v>
      </c>
      <c r="X857" s="569" t="str">
        <f t="shared" si="2717"/>
        <v/>
      </c>
      <c r="Y857" s="569" t="str">
        <f t="shared" si="2718"/>
        <v/>
      </c>
      <c r="Z857" s="569" t="str">
        <f>HYPERLINK("https://www.klasekpyrotechnics.cz/hf-108-2315")</f>
        <v>https://www.klasekpyrotechnics.cz/hf-108-2315</v>
      </c>
      <c r="AA857" s="569">
        <f>IFERROR(IF(VLOOKUP(C857,[4]List1!$A:$D,4,FALSE)=0,"",VLOOKUP(C857,[4]List1!$A:$D,4,FALSE)),"")</f>
        <v>38</v>
      </c>
      <c r="AB857" s="565"/>
      <c r="AC857" s="570" t="str">
        <f>IFERROR(IF(VLOOKUP(C857,[1]List1!$A:$D,2,FALSE)="VYPRODÁNO",$V$9,IF(VLOOKUP(C857,[1]List1!$A:$D,2,FALSE)="DOCHÁZÍ",$V$3,VLOOKUP(C857,[1]List1!$A:$D,2,FALSE))),"OFFLINE!")</f>
        <v>SKLADEM</v>
      </c>
      <c r="AD857" s="570" t="str">
        <f ca="1">IF(AP857="NE",$V$10,IF(AC857=$V$3,IF(AQ857&lt;1,$V$8,$V$2&amp;" "&amp;AQ857&amp;" "&amp;$V$1),IF(AC857="SKLADEM",$V$6,IFERROR(IF(OR(AC857-TODAY()&gt;45,VLOOKUP(C857,[1]List1!$A:$E,4,FALSE)=0),AC857,DAY(AC857)&amp;"."&amp;MONTH(AC857)&amp;"."&amp;YEAR(AC857)&amp;" "&amp;$V$4&amp;VLOOKUP(C857,[1]List1!$A:$E,4,FALSE)&amp;" "&amp;$V$1),AC857))))</f>
        <v>SKLADEM</v>
      </c>
      <c r="AE857" s="581" t="str">
        <f t="shared" ca="1" si="2719"/>
        <v>SKLADEM</v>
      </c>
      <c r="AF857" s="584">
        <f t="shared" si="2720"/>
        <v>0</v>
      </c>
      <c r="AG857" s="585">
        <f t="shared" si="2721"/>
        <v>0</v>
      </c>
      <c r="AH857" s="583">
        <f t="shared" si="2722"/>
        <v>0</v>
      </c>
      <c r="AI857" s="582">
        <f t="shared" si="2723"/>
        <v>0</v>
      </c>
      <c r="AJ857" s="569">
        <f t="shared" si="2724"/>
        <v>0</v>
      </c>
      <c r="AK857" s="569" t="str">
        <f t="shared" si="2725"/>
        <v/>
      </c>
      <c r="AL857" s="569">
        <f t="shared" si="2726"/>
        <v>0</v>
      </c>
      <c r="AM857" s="569" t="str">
        <f t="shared" si="2727"/>
        <v/>
      </c>
      <c r="AN857" s="581">
        <f t="shared" si="2728"/>
        <v>0</v>
      </c>
      <c r="AO857" s="623"/>
      <c r="AP857" s="632" t="str">
        <f t="shared" si="2679"/>
        <v/>
      </c>
      <c r="AQ857" s="633" t="str">
        <f>IF(AC857=$V$3,IF(VLOOKUP(C857,[1]List1!$A:$E,5,FALSE)=0,1,VLOOKUP(C857,[1]List1!$A:$E,5,FALSE)),"")</f>
        <v/>
      </c>
      <c r="AR857" s="625" t="str">
        <f t="shared" si="2680"/>
        <v/>
      </c>
      <c r="AS857" s="634" t="str">
        <f t="shared" si="2681"/>
        <v/>
      </c>
      <c r="AT857" s="625" t="str">
        <f t="shared" si="2682"/>
        <v/>
      </c>
      <c r="AU857" s="638" t="e">
        <f t="shared" si="2683"/>
        <v>#N/A</v>
      </c>
      <c r="AV857" s="625" t="e">
        <f t="shared" si="2684"/>
        <v>#N/A</v>
      </c>
      <c r="AX857" s="625">
        <f>IF(AND('General price list'!$J857="F4",'General price list'!$AB857+0&gt;0),1,0)</f>
        <v>0</v>
      </c>
      <c r="AY857" s="625">
        <f t="shared" si="2685"/>
        <v>1</v>
      </c>
      <c r="AZ857" s="625">
        <f t="shared" si="2686"/>
        <v>0</v>
      </c>
    </row>
    <row r="858" spans="1:52" ht="15" customHeight="1">
      <c r="A858" s="639" t="str">
        <f>Kat.!C858</f>
        <v/>
      </c>
      <c r="B858" s="640">
        <f>IF(AND('General price list'!$J858="F4",$AI$1=FALSE),0,IF(AC858="SKLADEM",1,IF(AC858=$V$3,1,0)))</f>
        <v>1</v>
      </c>
      <c r="C858" s="641" t="s">
        <v>12068</v>
      </c>
      <c r="D858" s="642" t="s">
        <v>12594</v>
      </c>
      <c r="E858" s="643" t="s">
        <v>12663</v>
      </c>
      <c r="F858" s="791">
        <f>IFERROR(VLOOKUP(C858,[2]List1!$A:$D,3,FALSE),"NEUVEDENO!")</f>
        <v>2982</v>
      </c>
      <c r="G858" s="768">
        <f t="shared" si="2715"/>
        <v>2982</v>
      </c>
      <c r="H858" s="765">
        <f t="shared" si="2716"/>
        <v>126.67099947751399</v>
      </c>
      <c r="I858" s="644">
        <f>IFERROR(VLOOKUP(C858,[2]List1!$A:$D,4,FALSE),"NEUVEDENO!")</f>
        <v>1</v>
      </c>
      <c r="J858" s="733" t="s">
        <v>39</v>
      </c>
      <c r="K858" s="645" t="s">
        <v>11100</v>
      </c>
      <c r="L858" s="645"/>
      <c r="M858" s="645" t="s">
        <v>114</v>
      </c>
      <c r="N858" s="645">
        <f>IFERROR(VLOOKUP(C858,[3]List1!$A:$D,4,FALSE),"N/A!")</f>
        <v>3.1762499999999999E-2</v>
      </c>
      <c r="O858" s="645">
        <f>IFERROR(VLOOKUP(C858,[3]List1!$A:$D,3,FALSE),"N/A!")</f>
        <v>1281</v>
      </c>
      <c r="P858" s="645">
        <f>IFERROR(VLOOKUP(C858,[3]List1!$A:$D,2,FALSE),"N/A!")</f>
        <v>10500</v>
      </c>
      <c r="Q858" s="645" t="s">
        <v>11302</v>
      </c>
      <c r="R858" s="645"/>
      <c r="S858" s="645" t="str">
        <f>IF($W$17=$AF$1,"červená fólie",IFERROR(VLOOKUP("červená fólie",Jazyky_ceník!$A:$Q,MATCH($W$17,Jazyky_ceník!$A$1:$Q$1,0),FALSE),"!!!"))</f>
        <v>červená fólie</v>
      </c>
      <c r="T858" s="645">
        <v>70</v>
      </c>
      <c r="U858" s="645"/>
      <c r="V858" s="645"/>
      <c r="W858" s="645" t="str">
        <f>IFERROR(IF(AND($AB858&gt;=0.1*$AA858,MOD($AB858,$AA858)&gt;=($AA858-(0.1*$AA858))),IF($W$17=$AF$1,"Zvažte možnost doobjednání ještě "&amp;Tabulka1[[#This Row],[VKPAL]]-MOD(AB858,AA858)&amp;" VK do plné palety.",VLOOKUP("Zvažte možnost doobjednání ještě ",Jazyky_ceník!A:Q,MATCH($W$17,Jazyky_ceník!$A$1:$Q$1,0),FALSE)&amp;Tabulka1[[#This Row],[VKPAL]]-MOD(AB858,AA858)&amp;VLOOKUP(" VK do plné palety.",Jazyky_ceník!A:Q,MATCH($W$17,Jazyky_ceník!$A$1:$Q$1,0),FALSE)),IFERROR(IF(AND(NOT(MOD($AB858,$AA858)=0),$AB858&gt;=0.9*$AA858,MOD($AB858,$AA858)&lt;=0.1*$AA858),IF($W$17=$AF$1,"Zvažte možnost optimalizace objednaného množství podle počtu VK na paletě ==&gt;",VLOOKUP("Zvažte možnost optimalizace objednaného množství podle počtu VK na paletě ==&gt;",Jazyky_ceník!A:Q,MATCH($W$17,Jazyky_ceník!$A$1:$Q$1,0),FALSE)),VLOOKUP('General price list'!$C858,Popisy!A:M,MATCH($W$17,Popisy!$A$7:$M$7,0),FALSE)),"---------------")),IFERROR(VLOOKUP('General price list'!$C858,Popisy!A:M,MATCH($W$17,Popisy!$A$7:$M$7,0),FALSE),"---------------"))</f>
        <v>12 různobarevných efektů</v>
      </c>
      <c r="X858" s="645" t="str">
        <f t="shared" si="2717"/>
        <v/>
      </c>
      <c r="Y858" s="645" t="str">
        <f t="shared" si="2718"/>
        <v/>
      </c>
      <c r="Z858" s="645" t="str">
        <f>HYPERLINK("https://www.klasekpyrotechnics.cz/hf-83-2207p")</f>
        <v>https://www.klasekpyrotechnics.cz/hf-83-2207p</v>
      </c>
      <c r="AA858" s="645" t="str">
        <f>IFERROR(IF(VLOOKUP(C858,[4]List1!$A:$D,4,FALSE)=0,"",VLOOKUP(C858,[4]List1!$A:$D,4,FALSE)),"")</f>
        <v/>
      </c>
      <c r="AB858" s="646"/>
      <c r="AC858" s="647" t="str">
        <f>IFERROR(IF(VLOOKUP(C858,[1]List1!$A:$D,2,FALSE)="VYPRODÁNO",$V$9,IF(VLOOKUP(C858,[1]List1!$A:$D,2,FALSE)="DOCHÁZÍ",$V$3,VLOOKUP(C858,[1]List1!$A:$D,2,FALSE))),"OFFLINE!")</f>
        <v>SKLADEM</v>
      </c>
      <c r="AD858" s="647" t="str">
        <f ca="1">IF(AP858="NE",$V$10,IF(AC858=$V$3,IF(AQ858&lt;1,$V$8,$V$2&amp;" "&amp;AQ858&amp;" "&amp;$V$1),IF(AC858="SKLADEM",$V$6,IFERROR(IF(OR(AC858-TODAY()&gt;45,VLOOKUP(C858,[1]List1!$A:$E,4,FALSE)=0),AC858,DAY(AC858)&amp;"."&amp;MONTH(AC858)&amp;"."&amp;YEAR(AC858)&amp;" "&amp;$V$4&amp;VLOOKUP(C858,[1]List1!$A:$E,4,FALSE)&amp;" "&amp;$V$1),AC858))))</f>
        <v>SKLADEM</v>
      </c>
      <c r="AE858" s="645" t="str">
        <f t="shared" ca="1" si="2719"/>
        <v>SKLADEM</v>
      </c>
      <c r="AF858" s="648">
        <f t="shared" si="2720"/>
        <v>0</v>
      </c>
      <c r="AG858" s="649">
        <f t="shared" si="2721"/>
        <v>0</v>
      </c>
      <c r="AH858" s="650">
        <f t="shared" si="2722"/>
        <v>0</v>
      </c>
      <c r="AI858" s="645">
        <f t="shared" si="2723"/>
        <v>0</v>
      </c>
      <c r="AJ858" s="645">
        <f t="shared" si="2724"/>
        <v>0</v>
      </c>
      <c r="AK858" s="645" t="str">
        <f t="shared" si="2725"/>
        <v/>
      </c>
      <c r="AL858" s="645">
        <f t="shared" si="2726"/>
        <v>0</v>
      </c>
      <c r="AM858" s="645" t="str">
        <f t="shared" si="2727"/>
        <v/>
      </c>
      <c r="AN858" s="651">
        <f t="shared" si="2728"/>
        <v>0</v>
      </c>
      <c r="AO858" s="623"/>
      <c r="AP858" s="632" t="str">
        <f t="shared" si="2679"/>
        <v/>
      </c>
      <c r="AQ858" s="633" t="str">
        <f>IF(AC858=$V$3,IF(VLOOKUP(C858,[1]List1!$A:$E,5,FALSE)=0,1,VLOOKUP(C858,[1]List1!$A:$E,5,FALSE)),"")</f>
        <v/>
      </c>
      <c r="AR858" s="625" t="str">
        <f t="shared" si="2680"/>
        <v/>
      </c>
      <c r="AS858" s="634" t="str">
        <f t="shared" si="2681"/>
        <v/>
      </c>
      <c r="AT858" s="625" t="str">
        <f t="shared" si="2682"/>
        <v/>
      </c>
      <c r="AU858" s="638" t="e">
        <f t="shared" si="2683"/>
        <v>#N/A</v>
      </c>
      <c r="AV858" s="625" t="e">
        <f t="shared" si="2684"/>
        <v>#N/A</v>
      </c>
      <c r="AX858" s="625">
        <f>IF(AND('General price list'!$J858="F4",'General price list'!$AB858+0&gt;0),1,0)</f>
        <v>0</v>
      </c>
      <c r="AY858" s="625">
        <f t="shared" si="2685"/>
        <v>1</v>
      </c>
      <c r="AZ858" s="625">
        <f t="shared" si="2686"/>
        <v>0</v>
      </c>
    </row>
    <row r="859" spans="1:52" ht="15.75" customHeight="1">
      <c r="A859" s="621" t="str">
        <f>Kat.!C859</f>
        <v/>
      </c>
      <c r="B859" s="566">
        <f>IF(AND('General price list'!$J859="F4",$AI$1=FALSE),0,IF(AC859="SKLADEM",1,IF(AC859=$V$3,1,0)))</f>
        <v>1</v>
      </c>
      <c r="C859" s="567" t="s">
        <v>11637</v>
      </c>
      <c r="D859" s="568" t="s">
        <v>12595</v>
      </c>
      <c r="E859" s="763" t="s">
        <v>12663</v>
      </c>
      <c r="F859" s="791">
        <f>IFERROR(VLOOKUP(C859,[2]List1!$A:$D,3,FALSE),"NEUVEDENO!")</f>
        <v>3445</v>
      </c>
      <c r="G859" s="769">
        <f t="shared" si="2715"/>
        <v>3445</v>
      </c>
      <c r="H859" s="766">
        <f t="shared" si="2716"/>
        <v>146.33856244132653</v>
      </c>
      <c r="I859" s="764">
        <f>IFERROR(VLOOKUP(C859,[2]List1!$A:$D,4,FALSE),"NEUVEDENO!")</f>
        <v>1</v>
      </c>
      <c r="J859" s="732" t="s">
        <v>39</v>
      </c>
      <c r="K859" s="569" t="s">
        <v>11100</v>
      </c>
      <c r="L859" s="569"/>
      <c r="M859" s="569" t="s">
        <v>114</v>
      </c>
      <c r="N859" s="569">
        <f>IFERROR(VLOOKUP(C859,[3]List1!$A:$D,4,FALSE),"N/A!")</f>
        <v>3.7202374999999996E-2</v>
      </c>
      <c r="O859" s="569">
        <f>IFERROR(VLOOKUP(C859,[3]List1!$A:$D,3,FALSE),"N/A!")</f>
        <v>1960</v>
      </c>
      <c r="P859" s="569">
        <f>IFERROR(VLOOKUP(C859,[3]List1!$A:$D,2,FALSE),"N/A!")</f>
        <v>13000</v>
      </c>
      <c r="Q859" s="569" t="s">
        <v>11238</v>
      </c>
      <c r="R859" s="569"/>
      <c r="S859" s="569" t="str">
        <f>IF($W$17=$AF$1,"červená fólie",IFERROR(VLOOKUP("červená fólie",Jazyky_ceník!$A:$Q,MATCH($W$17,Jazyky_ceník!$A$1:$Q$1,0),FALSE),"!!!"))</f>
        <v>červená fólie</v>
      </c>
      <c r="T859" s="569">
        <v>90</v>
      </c>
      <c r="U859" s="569"/>
      <c r="V859" s="569"/>
      <c r="W859" s="569" t="str">
        <f>IFERROR(IF(AND($AB859&gt;=0.1*$AA859,MOD($AB859,$AA859)&gt;=($AA859-(0.1*$AA859))),IF($W$17=$AF$1,"Zvažte možnost doobjednání ještě "&amp;Tabulka1[[#This Row],[VKPAL]]-MOD(AB859,AA859)&amp;" VK do plné palety.",VLOOKUP("Zvažte možnost doobjednání ještě ",Jazyky_ceník!A:Q,MATCH($W$17,Jazyky_ceník!$A$1:$Q$1,0),FALSE)&amp;Tabulka1[[#This Row],[VKPAL]]-MOD(AB859,AA859)&amp;VLOOKUP(" VK do plné palety.",Jazyky_ceník!A:Q,MATCH($W$17,Jazyky_ceník!$A$1:$Q$1,0),FALSE)),IFERROR(IF(AND(NOT(MOD($AB859,$AA859)=0),$AB859&gt;=0.9*$AA859,MOD($AB859,$AA859)&lt;=0.1*$AA859),IF($W$17=$AF$1,"Zvažte možnost optimalizace objednaného množství podle počtu VK na paletě ==&gt;",VLOOKUP("Zvažte možnost optimalizace objednaného množství podle počtu VK na paletě ==&gt;",Jazyky_ceník!A:Q,MATCH($W$17,Jazyky_ceník!$A$1:$Q$1,0),FALSE)),VLOOKUP('General price list'!$C859,Popisy!A:M,MATCH($W$17,Popisy!$A$7:$M$7,0),FALSE)),"---------------")),IFERROR(VLOOKUP('General price list'!$C859,Popisy!A:M,MATCH($W$17,Popisy!$A$7:$M$7,0),FALSE),"---------------"))</f>
        <v>15 různobarevných efektů</v>
      </c>
      <c r="X859" s="569" t="str">
        <f t="shared" si="2717"/>
        <v/>
      </c>
      <c r="Y859" s="569" t="str">
        <f t="shared" si="2718"/>
        <v/>
      </c>
      <c r="Z859" s="569" t="str">
        <f>HYPERLINK("https://www.klasekpyrotechnics.cz/hf-98-2212")</f>
        <v>https://www.klasekpyrotechnics.cz/hf-98-2212</v>
      </c>
      <c r="AA859" s="569">
        <f>IFERROR(IF(VLOOKUP(C859,[4]List1!$A:$D,4,FALSE)=0,"",VLOOKUP(C859,[4]List1!$A:$D,4,FALSE)),"")</f>
        <v>32</v>
      </c>
      <c r="AB859" s="565"/>
      <c r="AC859" s="570" t="str">
        <f>IFERROR(IF(VLOOKUP(C859,[1]List1!$A:$D,2,FALSE)="VYPRODÁNO",$V$9,IF(VLOOKUP(C859,[1]List1!$A:$D,2,FALSE)="DOCHÁZÍ",$V$3,VLOOKUP(C859,[1]List1!$A:$D,2,FALSE))),"OFFLINE!")</f>
        <v>SKLADEM</v>
      </c>
      <c r="AD859" s="570" t="str">
        <f ca="1">IF(AP859="NE",$V$10,IF(AC859=$V$3,IF(AQ859&lt;1,$V$8,$V$2&amp;" "&amp;AQ859&amp;" "&amp;$V$1),IF(AC859="SKLADEM",$V$6,IFERROR(IF(OR(AC859-TODAY()&gt;45,VLOOKUP(C859,[1]List1!$A:$E,4,FALSE)=0),AC859,DAY(AC859)&amp;"."&amp;MONTH(AC859)&amp;"."&amp;YEAR(AC859)&amp;" "&amp;$V$4&amp;VLOOKUP(C859,[1]List1!$A:$E,4,FALSE)&amp;" "&amp;$V$1),AC859))))</f>
        <v>SKLADEM</v>
      </c>
      <c r="AE859" s="581" t="str">
        <f t="shared" ca="1" si="2719"/>
        <v>SKLADEM</v>
      </c>
      <c r="AF859" s="584">
        <f t="shared" si="2720"/>
        <v>0</v>
      </c>
      <c r="AG859" s="585">
        <f t="shared" si="2721"/>
        <v>0</v>
      </c>
      <c r="AH859" s="583">
        <f t="shared" si="2722"/>
        <v>0</v>
      </c>
      <c r="AI859" s="582">
        <f t="shared" si="2723"/>
        <v>0</v>
      </c>
      <c r="AJ859" s="569">
        <f t="shared" si="2724"/>
        <v>0</v>
      </c>
      <c r="AK859" s="569" t="str">
        <f t="shared" si="2725"/>
        <v/>
      </c>
      <c r="AL859" s="569">
        <f t="shared" si="2726"/>
        <v>0</v>
      </c>
      <c r="AM859" s="569" t="str">
        <f t="shared" si="2727"/>
        <v/>
      </c>
      <c r="AN859" s="581">
        <f t="shared" si="2728"/>
        <v>0</v>
      </c>
      <c r="AO859" s="623"/>
      <c r="AP859" s="625" t="str">
        <f t="shared" si="2679"/>
        <v/>
      </c>
      <c r="AQ859" s="625" t="str">
        <f>IF(AC859=$V$3,IF(VLOOKUP(C859,[1]List1!$A:$E,5,FALSE)=0,1,VLOOKUP(C859,[1]List1!$A:$E,5,FALSE)),"")</f>
        <v/>
      </c>
      <c r="AR859" s="629" t="str">
        <f t="shared" si="2680"/>
        <v/>
      </c>
      <c r="AS859" s="630" t="str">
        <f t="shared" si="2681"/>
        <v/>
      </c>
      <c r="AT859" s="625" t="str">
        <f t="shared" si="2682"/>
        <v/>
      </c>
      <c r="AU859" s="625" t="e">
        <f t="shared" si="2683"/>
        <v>#N/A</v>
      </c>
      <c r="AV859" s="625" t="e">
        <f t="shared" si="2684"/>
        <v>#N/A</v>
      </c>
      <c r="AW859" s="631"/>
      <c r="AX859" s="631">
        <f>IF(AND('General price list'!$J859="F4",'General price list'!$AB859+0&gt;0),1,0)</f>
        <v>0</v>
      </c>
      <c r="AY859" s="631">
        <f t="shared" si="2685"/>
        <v>1</v>
      </c>
      <c r="AZ859" s="631">
        <f t="shared" si="2686"/>
        <v>0</v>
      </c>
    </row>
    <row r="860" spans="1:52" ht="15" customHeight="1">
      <c r="A860" s="639" t="str">
        <f>Kat.!C860</f>
        <v/>
      </c>
      <c r="B860" s="640">
        <f>IF(AND('General price list'!$J860="F4",$AI$1=FALSE),0,IF(AC860="SKLADEM",1,IF(AC860=$V$3,1,0)))</f>
        <v>1</v>
      </c>
      <c r="C860" s="641" t="s">
        <v>11638</v>
      </c>
      <c r="D860" s="642" t="s">
        <v>12596</v>
      </c>
      <c r="E860" s="643" t="s">
        <v>12663</v>
      </c>
      <c r="F860" s="791">
        <f>IFERROR(VLOOKUP(C860,[2]List1!$A:$D,3,FALSE),"NEUVEDENO!")</f>
        <v>4134</v>
      </c>
      <c r="G860" s="768">
        <f t="shared" si="2715"/>
        <v>4134</v>
      </c>
      <c r="H860" s="765">
        <f t="shared" si="2716"/>
        <v>175.60627492959182</v>
      </c>
      <c r="I860" s="644">
        <f>IFERROR(VLOOKUP(C860,[2]List1!$A:$D,4,FALSE),"NEUVEDENO!")</f>
        <v>1</v>
      </c>
      <c r="J860" s="733" t="s">
        <v>39</v>
      </c>
      <c r="K860" s="645" t="s">
        <v>11100</v>
      </c>
      <c r="L860" s="645" t="s">
        <v>15088</v>
      </c>
      <c r="M860" s="645" t="s">
        <v>21</v>
      </c>
      <c r="N860" s="645">
        <f>IFERROR(VLOOKUP(C860,[3]List1!$A:$D,4,FALSE),"N/A!")</f>
        <v>5.8751999999999999E-2</v>
      </c>
      <c r="O860" s="645">
        <f>IFERROR(VLOOKUP(C860,[3]List1!$A:$D,3,FALSE),"N/A!")</f>
        <v>1878</v>
      </c>
      <c r="P860" s="645">
        <f>IFERROR(VLOOKUP(C860,[3]List1!$A:$D,2,FALSE),"N/A!")</f>
        <v>15700</v>
      </c>
      <c r="Q860" s="645"/>
      <c r="R860" s="645"/>
      <c r="S860" s="645" t="str">
        <f>IF($W$17=$AF$1,"červená fólie",IFERROR(VLOOKUP("červená fólie",Jazyky_ceník!$A:$Q,MATCH($W$17,Jazyky_ceník!$A$1:$Q$1,0),FALSE),"!!!"))</f>
        <v>červená fólie</v>
      </c>
      <c r="T860" s="645">
        <v>75</v>
      </c>
      <c r="U860" s="645"/>
      <c r="V860" s="645"/>
      <c r="W860" s="645" t="str">
        <f>IFERROR(IF(AND($AB860&gt;=0.1*$AA860,MOD($AB860,$AA860)&gt;=($AA860-(0.1*$AA860))),IF($W$17=$AF$1,"Zvažte možnost doobjednání ještě "&amp;Tabulka1[[#This Row],[VKPAL]]-MOD(AB860,AA860)&amp;" VK do plné palety.",VLOOKUP("Zvažte možnost doobjednání ještě ",Jazyky_ceník!A:Q,MATCH($W$17,Jazyky_ceník!$A$1:$Q$1,0),FALSE)&amp;Tabulka1[[#This Row],[VKPAL]]-MOD(AB860,AA860)&amp;VLOOKUP(" VK do plné palety.",Jazyky_ceník!A:Q,MATCH($W$17,Jazyky_ceník!$A$1:$Q$1,0),FALSE)),IFERROR(IF(AND(NOT(MOD($AB860,$AA860)=0),$AB860&gt;=0.9*$AA860,MOD($AB860,$AA860)&lt;=0.1*$AA860),IF($W$17=$AF$1,"Zvažte možnost optimalizace objednaného množství podle počtu VK na paletě ==&gt;",VLOOKUP("Zvažte možnost optimalizace objednaného množství podle počtu VK na paletě ==&gt;",Jazyky_ceník!A:Q,MATCH($W$17,Jazyky_ceník!$A$1:$Q$1,0),FALSE)),VLOOKUP('General price list'!$C860,Popisy!A:M,MATCH($W$17,Popisy!$A$7:$M$7,0),FALSE)),"---------------")),IFERROR(VLOOKUP('General price list'!$C860,Popisy!A:M,MATCH($W$17,Popisy!$A$7:$M$7,0),FALSE),"---------------"))</f>
        <v>17 různobarevných efektů</v>
      </c>
      <c r="X860" s="645" t="str">
        <f t="shared" si="2717"/>
        <v/>
      </c>
      <c r="Y860" s="645" t="str">
        <f t="shared" si="2718"/>
        <v/>
      </c>
      <c r="Z860" s="645" t="str">
        <f>HYPERLINK("https://www.klasekpyrotechnics.cz/hf-127-2411s")</f>
        <v>https://www.klasekpyrotechnics.cz/hf-127-2411s</v>
      </c>
      <c r="AA860" s="645">
        <f>IFERROR(IF(VLOOKUP(C860,[4]List1!$A:$D,4,FALSE)=0,"",VLOOKUP(C860,[4]List1!$A:$D,4,FALSE)),"")</f>
        <v>21</v>
      </c>
      <c r="AB860" s="646"/>
      <c r="AC860" s="647" t="str">
        <f>IFERROR(IF(VLOOKUP(C860,[1]List1!$A:$D,2,FALSE)="VYPRODÁNO",$V$9,IF(VLOOKUP(C860,[1]List1!$A:$D,2,FALSE)="DOCHÁZÍ",$V$3,VLOOKUP(C860,[1]List1!$A:$D,2,FALSE))),"OFFLINE!")</f>
        <v>SKLADEM</v>
      </c>
      <c r="AD860" s="647" t="str">
        <f ca="1">IF(AP860="NE",$V$10,IF(AC860=$V$3,IF(AQ860&lt;1,$V$8,$V$2&amp;" "&amp;AQ860&amp;" "&amp;$V$1),IF(AC860="SKLADEM",$V$6,IFERROR(IF(OR(AC860-TODAY()&gt;45,VLOOKUP(C860,[1]List1!$A:$E,4,FALSE)=0),AC860,DAY(AC860)&amp;"."&amp;MONTH(AC860)&amp;"."&amp;YEAR(AC860)&amp;" "&amp;$V$4&amp;VLOOKUP(C860,[1]List1!$A:$E,4,FALSE)&amp;" "&amp;$V$1),AC860))))</f>
        <v>SKLADEM</v>
      </c>
      <c r="AE860" s="645" t="str">
        <f t="shared" ca="1" si="2719"/>
        <v>SKLADEM</v>
      </c>
      <c r="AF860" s="648">
        <f t="shared" si="2720"/>
        <v>0</v>
      </c>
      <c r="AG860" s="649">
        <f t="shared" si="2721"/>
        <v>0</v>
      </c>
      <c r="AH860" s="650">
        <f t="shared" si="2722"/>
        <v>0</v>
      </c>
      <c r="AI860" s="645">
        <f t="shared" si="2723"/>
        <v>0</v>
      </c>
      <c r="AJ860" s="645">
        <f t="shared" si="2724"/>
        <v>0</v>
      </c>
      <c r="AK860" s="645" t="str">
        <f t="shared" si="2725"/>
        <v/>
      </c>
      <c r="AL860" s="645" t="str">
        <f t="shared" si="2726"/>
        <v/>
      </c>
      <c r="AM860" s="645">
        <f t="shared" si="2727"/>
        <v>0</v>
      </c>
      <c r="AN860" s="651">
        <f t="shared" si="2728"/>
        <v>0</v>
      </c>
      <c r="AO860" s="623"/>
      <c r="AP860" s="632" t="str">
        <f t="shared" si="2679"/>
        <v/>
      </c>
      <c r="AQ860" s="633" t="str">
        <f>IF(AC860=$V$3,IF(VLOOKUP(C860,[1]List1!$A:$E,5,FALSE)=0,1,VLOOKUP(C860,[1]List1!$A:$E,5,FALSE)),"")</f>
        <v/>
      </c>
      <c r="AR860" s="625" t="str">
        <f t="shared" si="2680"/>
        <v/>
      </c>
      <c r="AS860" s="634" t="str">
        <f t="shared" si="2681"/>
        <v/>
      </c>
      <c r="AT860" s="625" t="str">
        <f t="shared" si="2682"/>
        <v/>
      </c>
      <c r="AU860" s="638" t="e">
        <f t="shared" si="2683"/>
        <v>#N/A</v>
      </c>
      <c r="AV860" s="625" t="e">
        <f t="shared" si="2684"/>
        <v>#N/A</v>
      </c>
      <c r="AX860" s="625">
        <f>IF(AND('General price list'!$J860="F4",'General price list'!$AB860+0&gt;0),1,0)</f>
        <v>0</v>
      </c>
      <c r="AY860" s="625">
        <f t="shared" si="2685"/>
        <v>0</v>
      </c>
      <c r="AZ860" s="625">
        <f t="shared" si="2686"/>
        <v>0</v>
      </c>
    </row>
    <row r="861" spans="1:52" ht="15.75" customHeight="1">
      <c r="A861" s="621" t="str">
        <f>Kat.!C861</f>
        <v/>
      </c>
      <c r="B861" s="566">
        <f>IF(AND('General price list'!$J861="F4",$AI$1=FALSE),0,IF(AC861="SKLADEM",1,IF(AC861=$V$3,1,0)))</f>
        <v>1</v>
      </c>
      <c r="C861" s="567" t="s">
        <v>11639</v>
      </c>
      <c r="D861" s="568" t="s">
        <v>12597</v>
      </c>
      <c r="E861" s="763" t="s">
        <v>12663</v>
      </c>
      <c r="F861" s="791">
        <f>IFERROR(VLOOKUP(C861,[2]List1!$A:$D,3,FALSE),"NEUVEDENO!")</f>
        <v>3571</v>
      </c>
      <c r="G861" s="769">
        <f t="shared" si="2715"/>
        <v>3571</v>
      </c>
      <c r="H861" s="766">
        <f t="shared" si="2716"/>
        <v>151.69085819389753</v>
      </c>
      <c r="I861" s="764">
        <f>IFERROR(VLOOKUP(C861,[2]List1!$A:$D,4,FALSE),"NEUVEDENO!")</f>
        <v>1</v>
      </c>
      <c r="J861" s="732" t="s">
        <v>39</v>
      </c>
      <c r="K861" s="569" t="s">
        <v>11100</v>
      </c>
      <c r="L861" s="569"/>
      <c r="M861" s="569" t="s">
        <v>114</v>
      </c>
      <c r="N861" s="569">
        <f>IFERROR(VLOOKUP(C861,[3]List1!$A:$D,4,FALSE),"N/A!")</f>
        <v>4.2281249999999999E-2</v>
      </c>
      <c r="O861" s="569">
        <f>IFERROR(VLOOKUP(C861,[3]List1!$A:$D,3,FALSE),"N/A!")</f>
        <v>1871</v>
      </c>
      <c r="P861" s="569">
        <f>IFERROR(VLOOKUP(C861,[3]List1!$A:$D,2,FALSE),"N/A!")</f>
        <v>12650</v>
      </c>
      <c r="Q861" s="569" t="s">
        <v>11238</v>
      </c>
      <c r="R861" s="569"/>
      <c r="S861" s="569" t="str">
        <f>IF($W$17=$AF$1,"červená fólie",IFERROR(VLOOKUP("červená fólie",Jazyky_ceník!$A:$Q,MATCH($W$17,Jazyky_ceník!$A$1:$Q$1,0),FALSE),"!!!"))</f>
        <v>červená fólie</v>
      </c>
      <c r="T861" s="569">
        <v>100</v>
      </c>
      <c r="U861" s="569"/>
      <c r="V861" s="569"/>
      <c r="W861" s="569" t="str">
        <f>IFERROR(IF(AND($AB861&gt;=0.1*$AA861,MOD($AB861,$AA861)&gt;=($AA861-(0.1*$AA861))),IF($W$17=$AF$1,"Zvažte možnost doobjednání ještě "&amp;Tabulka1[[#This Row],[VKPAL]]-MOD(AB861,AA861)&amp;" VK do plné palety.",VLOOKUP("Zvažte možnost doobjednání ještě ",Jazyky_ceník!A:Q,MATCH($W$17,Jazyky_ceník!$A$1:$Q$1,0),FALSE)&amp;Tabulka1[[#This Row],[VKPAL]]-MOD(AB861,AA861)&amp;VLOOKUP(" VK do plné palety.",Jazyky_ceník!A:Q,MATCH($W$17,Jazyky_ceník!$A$1:$Q$1,0),FALSE)),IFERROR(IF(AND(NOT(MOD($AB861,$AA861)=0),$AB861&gt;=0.9*$AA861,MOD($AB861,$AA861)&lt;=0.1*$AA861),IF($W$17=$AF$1,"Zvažte možnost optimalizace objednaného množství podle počtu VK na paletě ==&gt;",VLOOKUP("Zvažte možnost optimalizace objednaného množství podle počtu VK na paletě ==&gt;",Jazyky_ceník!A:Q,MATCH($W$17,Jazyky_ceník!$A$1:$Q$1,0),FALSE)),VLOOKUP('General price list'!$C861,Popisy!A:M,MATCH($W$17,Popisy!$A$7:$M$7,0),FALSE)),"---------------")),IFERROR(VLOOKUP('General price list'!$C861,Popisy!A:M,MATCH($W$17,Popisy!$A$7:$M$7,0),FALSE),"---------------"))</f>
        <v>21 různobarevných efektů</v>
      </c>
      <c r="X861" s="569" t="str">
        <f t="shared" si="2717"/>
        <v/>
      </c>
      <c r="Y861" s="569" t="str">
        <f t="shared" si="2718"/>
        <v/>
      </c>
      <c r="Z861" s="569" t="str">
        <f>HYPERLINK("https://www.klasekpyrotechnics.cz/hf-142-2211")</f>
        <v>https://www.klasekpyrotechnics.cz/hf-142-2211</v>
      </c>
      <c r="AA861" s="569">
        <f>IFERROR(IF(VLOOKUP(C861,[4]List1!$A:$D,4,FALSE)=0,"",VLOOKUP(C861,[4]List1!$A:$D,4,FALSE)),"")</f>
        <v>32</v>
      </c>
      <c r="AB861" s="565"/>
      <c r="AC861" s="570" t="str">
        <f>IFERROR(IF(VLOOKUP(C861,[1]List1!$A:$D,2,FALSE)="VYPRODÁNO",$V$9,IF(VLOOKUP(C861,[1]List1!$A:$D,2,FALSE)="DOCHÁZÍ",$V$3,VLOOKUP(C861,[1]List1!$A:$D,2,FALSE))),"OFFLINE!")</f>
        <v>SKLADEM</v>
      </c>
      <c r="AD861" s="570" t="str">
        <f ca="1">IF(AP861="NE",$V$10,IF(AC861=$V$3,IF(AQ861&lt;1,$V$8,$V$2&amp;" "&amp;AQ861&amp;" "&amp;$V$1),IF(AC861="SKLADEM",$V$6,IFERROR(IF(OR(AC861-TODAY()&gt;45,VLOOKUP(C861,[1]List1!$A:$E,4,FALSE)=0),AC861,DAY(AC861)&amp;"."&amp;MONTH(AC861)&amp;"."&amp;YEAR(AC861)&amp;" "&amp;$V$4&amp;VLOOKUP(C861,[1]List1!$A:$E,4,FALSE)&amp;" "&amp;$V$1),AC861))))</f>
        <v>SKLADEM</v>
      </c>
      <c r="AE861" s="581" t="str">
        <f t="shared" ca="1" si="2719"/>
        <v>SKLADEM</v>
      </c>
      <c r="AF861" s="584">
        <f t="shared" si="2720"/>
        <v>0</v>
      </c>
      <c r="AG861" s="585">
        <f t="shared" si="2721"/>
        <v>0</v>
      </c>
      <c r="AH861" s="583">
        <f t="shared" si="2722"/>
        <v>0</v>
      </c>
      <c r="AI861" s="582">
        <f t="shared" si="2723"/>
        <v>0</v>
      </c>
      <c r="AJ861" s="569">
        <f t="shared" si="2724"/>
        <v>0</v>
      </c>
      <c r="AK861" s="569" t="str">
        <f t="shared" si="2725"/>
        <v/>
      </c>
      <c r="AL861" s="569">
        <f t="shared" si="2726"/>
        <v>0</v>
      </c>
      <c r="AM861" s="569" t="str">
        <f t="shared" si="2727"/>
        <v/>
      </c>
      <c r="AN861" s="581">
        <f t="shared" si="2728"/>
        <v>0</v>
      </c>
      <c r="AO861" s="623"/>
      <c r="AP861" s="625" t="str">
        <f t="shared" si="2679"/>
        <v/>
      </c>
      <c r="AQ861" s="625" t="str">
        <f>IF(AC861=$V$3,IF(VLOOKUP(C861,[1]List1!$A:$E,5,FALSE)=0,1,VLOOKUP(C861,[1]List1!$A:$E,5,FALSE)),"")</f>
        <v/>
      </c>
      <c r="AR861" s="629" t="str">
        <f t="shared" si="2680"/>
        <v/>
      </c>
      <c r="AS861" s="630" t="str">
        <f t="shared" si="2681"/>
        <v/>
      </c>
      <c r="AT861" s="625" t="str">
        <f t="shared" si="2682"/>
        <v/>
      </c>
      <c r="AU861" s="625" t="e">
        <f t="shared" si="2683"/>
        <v>#N/A</v>
      </c>
      <c r="AV861" s="625" t="e">
        <f t="shared" si="2684"/>
        <v>#N/A</v>
      </c>
      <c r="AW861" s="631"/>
      <c r="AX861" s="631">
        <f>IF(AND('General price list'!$J861="F4",'General price list'!$AB861+0&gt;0),1,0)</f>
        <v>0</v>
      </c>
      <c r="AY861" s="631">
        <f t="shared" si="2685"/>
        <v>1</v>
      </c>
      <c r="AZ861" s="631">
        <f t="shared" si="2686"/>
        <v>0</v>
      </c>
    </row>
    <row r="862" spans="1:52" ht="15" customHeight="1">
      <c r="A862" s="639" t="str">
        <f>Kat.!C862</f>
        <v/>
      </c>
      <c r="B862" s="640">
        <f>IF(AND('General price list'!$J862="F4",$AI$1=FALSE),0,IF(AC862="SKLADEM",1,IF(AC862=$V$3,1,0)))</f>
        <v>1</v>
      </c>
      <c r="C862" s="641" t="s">
        <v>11640</v>
      </c>
      <c r="D862" s="642" t="s">
        <v>12598</v>
      </c>
      <c r="E862" s="643" t="s">
        <v>12663</v>
      </c>
      <c r="F862" s="791">
        <f>IFERROR(VLOOKUP(C862,[2]List1!$A:$D,3,FALSE),"NEUVEDENO!")</f>
        <v>3633</v>
      </c>
      <c r="G862" s="768">
        <f t="shared" si="2715"/>
        <v>3633</v>
      </c>
      <c r="H862" s="765">
        <f t="shared" si="2716"/>
        <v>154.32452753246423</v>
      </c>
      <c r="I862" s="644">
        <f>IFERROR(VLOOKUP(C862,[2]List1!$A:$D,4,FALSE),"NEUVEDENO!")</f>
        <v>1</v>
      </c>
      <c r="J862" s="733" t="s">
        <v>39</v>
      </c>
      <c r="K862" s="645" t="s">
        <v>11100</v>
      </c>
      <c r="L862" s="645"/>
      <c r="M862" s="645" t="s">
        <v>114</v>
      </c>
      <c r="N862" s="645">
        <f>IFERROR(VLOOKUP(C862,[3]List1!$A:$D,4,FALSE),"N/A!")</f>
        <v>3.8437499999999999E-2</v>
      </c>
      <c r="O862" s="645">
        <f>IFERROR(VLOOKUP(C862,[3]List1!$A:$D,3,FALSE),"N/A!")</f>
        <v>1831</v>
      </c>
      <c r="P862" s="645">
        <f>IFERROR(VLOOKUP(C862,[3]List1!$A:$D,2,FALSE),"N/A!")</f>
        <v>11700</v>
      </c>
      <c r="Q862" s="645" t="s">
        <v>11238</v>
      </c>
      <c r="R862" s="645"/>
      <c r="S862" s="645" t="str">
        <f>IF($W$17=$AF$1,"červená fólie",IFERROR(VLOOKUP("červená fólie",Jazyky_ceník!$A:$Q,MATCH($W$17,Jazyky_ceník!$A$1:$Q$1,0),FALSE),"!!!"))</f>
        <v>červená fólie</v>
      </c>
      <c r="T862" s="645">
        <v>75</v>
      </c>
      <c r="U862" s="645"/>
      <c r="V862" s="645"/>
      <c r="W862" s="645" t="str">
        <f>IFERROR(IF(AND($AB862&gt;=0.1*$AA862,MOD($AB862,$AA862)&gt;=($AA862-(0.1*$AA862))),IF($W$17=$AF$1,"Zvažte možnost doobjednání ještě "&amp;Tabulka1[[#This Row],[VKPAL]]-MOD(AB862,AA862)&amp;" VK do plné palety.",VLOOKUP("Zvažte možnost doobjednání ještě ",Jazyky_ceník!A:Q,MATCH($W$17,Jazyky_ceník!$A$1:$Q$1,0),FALSE)&amp;Tabulka1[[#This Row],[VKPAL]]-MOD(AB862,AA862)&amp;VLOOKUP(" VK do plné palety.",Jazyky_ceník!A:Q,MATCH($W$17,Jazyky_ceník!$A$1:$Q$1,0),FALSE)),IFERROR(IF(AND(NOT(MOD($AB862,$AA862)=0),$AB862&gt;=0.9*$AA862,MOD($AB862,$AA862)&lt;=0.1*$AA862),IF($W$17=$AF$1,"Zvažte možnost optimalizace objednaného množství podle počtu VK na paletě ==&gt;",VLOOKUP("Zvažte možnost optimalizace objednaného množství podle počtu VK na paletě ==&gt;",Jazyky_ceník!A:Q,MATCH($W$17,Jazyky_ceník!$A$1:$Q$1,0),FALSE)),VLOOKUP('General price list'!$C862,Popisy!A:M,MATCH($W$17,Popisy!$A$7:$M$7,0),FALSE)),"---------------")),IFERROR(VLOOKUP('General price list'!$C862,Popisy!A:M,MATCH($W$17,Popisy!$A$7:$M$7,0),FALSE),"---------------"))</f>
        <v>14 různobarevných efektů</v>
      </c>
      <c r="X862" s="645" t="str">
        <f t="shared" si="2717"/>
        <v/>
      </c>
      <c r="Y862" s="645" t="str">
        <f t="shared" si="2718"/>
        <v/>
      </c>
      <c r="Z862" s="645" t="str">
        <f>HYPERLINK("https://www.klasekpyrotechnics.cz/hf-148-2217")</f>
        <v>https://www.klasekpyrotechnics.cz/hf-148-2217</v>
      </c>
      <c r="AA862" s="645">
        <f>IFERROR(IF(VLOOKUP(C862,[4]List1!$A:$D,4,FALSE)=0,"",VLOOKUP(C862,[4]List1!$A:$D,4,FALSE)),"")</f>
        <v>38</v>
      </c>
      <c r="AB862" s="646"/>
      <c r="AC862" s="647" t="str">
        <f>IFERROR(IF(VLOOKUP(C862,[1]List1!$A:$D,2,FALSE)="VYPRODÁNO",$V$9,IF(VLOOKUP(C862,[1]List1!$A:$D,2,FALSE)="DOCHÁZÍ",$V$3,VLOOKUP(C862,[1]List1!$A:$D,2,FALSE))),"OFFLINE!")</f>
        <v>SKLADEM</v>
      </c>
      <c r="AD862" s="647" t="str">
        <f ca="1">IF(AP862="NE",$V$10,IF(AC862=$V$3,IF(AQ862&lt;1,$V$8,$V$2&amp;" "&amp;AQ862&amp;" "&amp;$V$1),IF(AC862="SKLADEM",$V$6,IFERROR(IF(OR(AC862-TODAY()&gt;45,VLOOKUP(C862,[1]List1!$A:$E,4,FALSE)=0),AC862,DAY(AC862)&amp;"."&amp;MONTH(AC862)&amp;"."&amp;YEAR(AC862)&amp;" "&amp;$V$4&amp;VLOOKUP(C862,[1]List1!$A:$E,4,FALSE)&amp;" "&amp;$V$1),AC862))))</f>
        <v>SKLADEM</v>
      </c>
      <c r="AE862" s="645" t="str">
        <f t="shared" ca="1" si="2719"/>
        <v>SKLADEM</v>
      </c>
      <c r="AF862" s="648">
        <f t="shared" si="2720"/>
        <v>0</v>
      </c>
      <c r="AG862" s="649">
        <f t="shared" si="2721"/>
        <v>0</v>
      </c>
      <c r="AH862" s="650">
        <f t="shared" si="2722"/>
        <v>0</v>
      </c>
      <c r="AI862" s="645">
        <f t="shared" si="2723"/>
        <v>0</v>
      </c>
      <c r="AJ862" s="645">
        <f t="shared" si="2724"/>
        <v>0</v>
      </c>
      <c r="AK862" s="645" t="str">
        <f t="shared" si="2725"/>
        <v/>
      </c>
      <c r="AL862" s="645">
        <f t="shared" si="2726"/>
        <v>0</v>
      </c>
      <c r="AM862" s="645" t="str">
        <f t="shared" si="2727"/>
        <v/>
      </c>
      <c r="AN862" s="651">
        <f t="shared" si="2728"/>
        <v>0</v>
      </c>
      <c r="AO862" s="623"/>
      <c r="AP862" s="632" t="str">
        <f t="shared" si="2679"/>
        <v/>
      </c>
      <c r="AQ862" s="633" t="str">
        <f>IF(AC862=$V$3,IF(VLOOKUP(C862,[1]List1!$A:$E,5,FALSE)=0,1,VLOOKUP(C862,[1]List1!$A:$E,5,FALSE)),"")</f>
        <v/>
      </c>
      <c r="AR862" s="625" t="str">
        <f t="shared" si="2680"/>
        <v/>
      </c>
      <c r="AS862" s="634" t="str">
        <f t="shared" si="2681"/>
        <v/>
      </c>
      <c r="AT862" s="625" t="str">
        <f t="shared" si="2682"/>
        <v/>
      </c>
      <c r="AU862" s="638" t="e">
        <f t="shared" si="2683"/>
        <v>#N/A</v>
      </c>
      <c r="AV862" s="625" t="e">
        <f t="shared" si="2684"/>
        <v>#N/A</v>
      </c>
      <c r="AX862" s="625">
        <f>IF(AND('General price list'!$J862="F4",'General price list'!$AB862+0&gt;0),1,0)</f>
        <v>0</v>
      </c>
      <c r="AY862" s="625">
        <f t="shared" si="2685"/>
        <v>1</v>
      </c>
      <c r="AZ862" s="625">
        <f t="shared" si="2686"/>
        <v>0</v>
      </c>
    </row>
    <row r="863" spans="1:52" ht="15.75" customHeight="1">
      <c r="A863" s="621" t="str">
        <f>Kat.!C863</f>
        <v/>
      </c>
      <c r="B863" s="566">
        <f>IF(AND('General price list'!$J863="F4",$AI$1=FALSE),0,IF(AC863="SKLADEM",1,IF(AC863=$V$3,1,0)))</f>
        <v>0</v>
      </c>
      <c r="C863" s="567" t="s">
        <v>11226</v>
      </c>
      <c r="D863" s="568" t="s">
        <v>12599</v>
      </c>
      <c r="E863" s="763" t="s">
        <v>12663</v>
      </c>
      <c r="F863" s="791">
        <f>IFERROR(VLOOKUP(C863,[2]List1!$A:$D,3,FALSE),"NEUVEDENO!")</f>
        <v>19457</v>
      </c>
      <c r="G863" s="769">
        <f t="shared" si="2715"/>
        <v>19457</v>
      </c>
      <c r="H863" s="766">
        <f t="shared" si="2716"/>
        <v>826.50490839503345</v>
      </c>
      <c r="I863" s="764">
        <f>IFERROR(VLOOKUP(C863,[2]List1!$A:$D,4,FALSE),"NEUVEDENO!")</f>
        <v>1</v>
      </c>
      <c r="J863" s="732" t="s">
        <v>614</v>
      </c>
      <c r="K863" s="569" t="s">
        <v>11100</v>
      </c>
      <c r="L863" s="569"/>
      <c r="M863" s="569" t="s">
        <v>114</v>
      </c>
      <c r="N863" s="569">
        <f>IFERROR(VLOOKUP(C863,[3]List1!$A:$D,4,FALSE),"N/A!")</f>
        <v>0.23844681000000001</v>
      </c>
      <c r="O863" s="569">
        <f>IFERROR(VLOOKUP(C863,[3]List1!$A:$D,3,FALSE),"N/A!")</f>
        <v>10432</v>
      </c>
      <c r="P863" s="569">
        <f>IFERROR(VLOOKUP(C863,[3]List1!$A:$D,2,FALSE),"N/A!")</f>
        <v>63000</v>
      </c>
      <c r="Q863" s="569" t="s">
        <v>12270</v>
      </c>
      <c r="R863" s="569"/>
      <c r="S863" s="569" t="str">
        <f>IF($W$17=$AF$1,"červená fólie",IFERROR(VLOOKUP("červená fólie",Jazyky_ceník!$A:$Q,MATCH($W$17,Jazyky_ceník!$A$1:$Q$1,0),FALSE),"!!!"))</f>
        <v>červená fólie</v>
      </c>
      <c r="T863" s="569">
        <v>130</v>
      </c>
      <c r="U863" s="569"/>
      <c r="V863" s="569"/>
      <c r="W863" s="569" t="str">
        <f>IFERROR(IF(AND($AB863&gt;=0.1*$AA863,MOD($AB863,$AA863)&gt;=($AA863-(0.1*$AA863))),IF($W$17=$AF$1,"Zvažte možnost doobjednání ještě "&amp;Tabulka1[[#This Row],[VKPAL]]-MOD(AB863,AA863)&amp;" VK do plné palety.",VLOOKUP("Zvažte možnost doobjednání ještě ",Jazyky_ceník!A:Q,MATCH($W$17,Jazyky_ceník!$A$1:$Q$1,0),FALSE)&amp;Tabulka1[[#This Row],[VKPAL]]-MOD(AB863,AA863)&amp;VLOOKUP(" VK do plné palety.",Jazyky_ceník!A:Q,MATCH($W$17,Jazyky_ceník!$A$1:$Q$1,0),FALSE)),IFERROR(IF(AND(NOT(MOD($AB863,$AA863)=0),$AB863&gt;=0.9*$AA863,MOD($AB863,$AA863)&lt;=0.1*$AA863),IF($W$17=$AF$1,"Zvažte možnost optimalizace objednaného množství podle počtu VK na paletě ==&gt;",VLOOKUP("Zvažte možnost optimalizace objednaného množství podle počtu VK na paletě ==&gt;",Jazyky_ceník!A:Q,MATCH($W$17,Jazyky_ceník!$A$1:$Q$1,0),FALSE)),VLOOKUP('General price list'!$C863,Popisy!A:M,MATCH($W$17,Popisy!$A$7:$M$7,0),FALSE)),"---------------")),IFERROR(VLOOKUP('General price list'!$C863,Popisy!A:M,MATCH($W$17,Popisy!$A$7:$M$7,0),FALSE),"---------------"))</f>
        <v>23  různobarevných efektů</v>
      </c>
      <c r="X863" s="569" t="str">
        <f t="shared" si="2717"/>
        <v/>
      </c>
      <c r="Y863" s="569" t="str">
        <f t="shared" si="2718"/>
        <v/>
      </c>
      <c r="Z863" s="569" t="str">
        <f>HYPERLINK("https://www.klasekpyrotechnics.cz/rkd-24018")</f>
        <v>https://www.klasekpyrotechnics.cz/rkd-24018</v>
      </c>
      <c r="AA863" s="569">
        <f>IFERROR(IF(VLOOKUP(C863,[4]List1!$A:$D,4,FALSE)=0,"",VLOOKUP(C863,[4]List1!$A:$D,4,FALSE)),"")</f>
        <v>6</v>
      </c>
      <c r="AB863" s="565"/>
      <c r="AC863" s="570" t="str">
        <f>IFERROR(IF(VLOOKUP(C863,[1]List1!$A:$D,2,FALSE)="VYPRODÁNO",$V$9,IF(VLOOKUP(C863,[1]List1!$A:$D,2,FALSE)="DOCHÁZÍ",$V$3,VLOOKUP(C863,[1]List1!$A:$D,2,FALSE))),"OFFLINE!")</f>
        <v>SKLADEM</v>
      </c>
      <c r="AD863" s="570" t="str">
        <f ca="1">IF(AP863="NE",$V$10,IF(AC863=$V$3,IF(AQ863&lt;1,$V$8,$V$2&amp;" "&amp;AQ863&amp;" "&amp;$V$1),IF(AC863="SKLADEM",$V$6,IFERROR(IF(OR(AC863-TODAY()&gt;45,VLOOKUP(C863,[1]List1!$A:$E,4,FALSE)=0),AC863,DAY(AC863)&amp;"."&amp;MONTH(AC863)&amp;"."&amp;YEAR(AC863)&amp;" "&amp;$V$4&amp;VLOOKUP(C863,[1]List1!$A:$E,4,FALSE)&amp;" "&amp;$V$1),AC863))))</f>
        <v>SKLADEM</v>
      </c>
      <c r="AE863" s="581" t="str">
        <f t="shared" ca="1" si="2719"/>
        <v>SKLADEM</v>
      </c>
      <c r="AF863" s="584">
        <f t="shared" si="2720"/>
        <v>0</v>
      </c>
      <c r="AG863" s="585">
        <f t="shared" si="2721"/>
        <v>0</v>
      </c>
      <c r="AH863" s="583">
        <f t="shared" si="2722"/>
        <v>0</v>
      </c>
      <c r="AI863" s="582">
        <f t="shared" si="2723"/>
        <v>0</v>
      </c>
      <c r="AJ863" s="569">
        <f t="shared" si="2724"/>
        <v>0</v>
      </c>
      <c r="AK863" s="569" t="str">
        <f t="shared" si="2725"/>
        <v/>
      </c>
      <c r="AL863" s="569">
        <f t="shared" si="2726"/>
        <v>0</v>
      </c>
      <c r="AM863" s="569" t="str">
        <f t="shared" si="2727"/>
        <v/>
      </c>
      <c r="AN863" s="581">
        <f t="shared" si="2728"/>
        <v>0</v>
      </c>
      <c r="AO863" s="623"/>
      <c r="AP863" s="625" t="str">
        <f t="shared" si="2679"/>
        <v/>
      </c>
      <c r="AQ863" s="625" t="str">
        <f>IF(AC863=$V$3,IF(VLOOKUP(C863,[1]List1!$A:$E,5,FALSE)=0,1,VLOOKUP(C863,[1]List1!$A:$E,5,FALSE)),"")</f>
        <v/>
      </c>
      <c r="AR863" s="629" t="str">
        <f t="shared" si="2680"/>
        <v/>
      </c>
      <c r="AS863" s="630" t="str">
        <f t="shared" si="2681"/>
        <v/>
      </c>
      <c r="AT863" s="625" t="str">
        <f t="shared" si="2682"/>
        <v/>
      </c>
      <c r="AU863" s="625" t="e">
        <f t="shared" si="2683"/>
        <v>#N/A</v>
      </c>
      <c r="AV863" s="625" t="e">
        <f t="shared" si="2684"/>
        <v>#N/A</v>
      </c>
      <c r="AW863" s="631"/>
      <c r="AX863" s="631">
        <f>IF(AND('General price list'!$J863="F4",'General price list'!$AB863+0&gt;0),1,0)</f>
        <v>0</v>
      </c>
      <c r="AY863" s="631">
        <f t="shared" si="2685"/>
        <v>1</v>
      </c>
      <c r="AZ863" s="631">
        <f t="shared" si="2686"/>
        <v>0</v>
      </c>
    </row>
    <row r="864" spans="1:52" ht="15" customHeight="1">
      <c r="A864" s="639" t="str">
        <f>Kat.!C864</f>
        <v/>
      </c>
      <c r="B864" s="640">
        <f>IF(AND('General price list'!$J864="F4",$AI$1=FALSE),0,IF(AC864="SKLADEM",1,IF(AC864=$V$3,1,0)))</f>
        <v>0</v>
      </c>
      <c r="C864" s="641" t="s">
        <v>11227</v>
      </c>
      <c r="D864" s="642" t="s">
        <v>12600</v>
      </c>
      <c r="E864" s="643" t="s">
        <v>12663</v>
      </c>
      <c r="F864" s="791">
        <f>IFERROR(VLOOKUP(C864,[2]List1!$A:$D,3,FALSE),"NEUVEDENO!")</f>
        <v>24399</v>
      </c>
      <c r="G864" s="770">
        <f t="shared" si="2715"/>
        <v>24399</v>
      </c>
      <c r="H864" s="767">
        <f t="shared" si="2716"/>
        <v>1036.4338418014299</v>
      </c>
      <c r="I864" s="644">
        <f>IFERROR(VLOOKUP(C864,[2]List1!$A:$D,4,FALSE),"NEUVEDENO!")</f>
        <v>1</v>
      </c>
      <c r="J864" s="733" t="s">
        <v>614</v>
      </c>
      <c r="K864" s="645" t="s">
        <v>11100</v>
      </c>
      <c r="L864" s="645"/>
      <c r="M864" s="645" t="s">
        <v>114</v>
      </c>
      <c r="N864" s="645">
        <f>IFERROR(VLOOKUP(C864,[3]List1!$A:$D,4,FALSE),"N/A!")</f>
        <v>0.30038909999999996</v>
      </c>
      <c r="O864" s="645">
        <f>IFERROR(VLOOKUP(C864,[3]List1!$A:$D,3,FALSE),"N/A!")</f>
        <v>12436</v>
      </c>
      <c r="P864" s="645">
        <f>IFERROR(VLOOKUP(C864,[3]List1!$A:$D,2,FALSE),"N/A!")</f>
        <v>76000</v>
      </c>
      <c r="Q864" s="645" t="s">
        <v>12270</v>
      </c>
      <c r="R864" s="645"/>
      <c r="S864" s="645" t="str">
        <f>IF($W$17=$AF$1,"červená fólie",IFERROR(VLOOKUP("červená fólie",Jazyky_ceník!$A:$Q,MATCH($W$17,Jazyky_ceník!$A$1:$Q$1,0),FALSE),"!!!"))</f>
        <v>červená fólie</v>
      </c>
      <c r="T864" s="645">
        <v>160</v>
      </c>
      <c r="U864" s="645"/>
      <c r="V864" s="645"/>
      <c r="W864" s="645" t="str">
        <f>IFERROR(IF(AND($AB864&gt;=0.1*$AA864,MOD($AB864,$AA864)&gt;=($AA864-(0.1*$AA864))),IF($W$17=$AF$1,"Zvažte možnost doobjednání ještě "&amp;Tabulka1[[#This Row],[VKPAL]]-MOD(AB864,AA864)&amp;" VK do plné palety.",VLOOKUP("Zvažte možnost doobjednání ještě ",Jazyky_ceník!A:Q,MATCH($W$17,Jazyky_ceník!$A$1:$Q$1,0),FALSE)&amp;Tabulka1[[#This Row],[VKPAL]]-MOD(AB864,AA864)&amp;VLOOKUP(" VK do plné palety.",Jazyky_ceník!A:Q,MATCH($W$17,Jazyky_ceník!$A$1:$Q$1,0),FALSE)),IFERROR(IF(AND(NOT(MOD($AB864,$AA864)=0),$AB864&gt;=0.9*$AA864,MOD($AB864,$AA864)&lt;=0.1*$AA864),IF($W$17=$AF$1,"Zvažte možnost optimalizace objednaného množství podle počtu VK na paletě ==&gt;",VLOOKUP("Zvažte možnost optimalizace objednaného množství podle počtu VK na paletě ==&gt;",Jazyky_ceník!A:Q,MATCH($W$17,Jazyky_ceník!$A$1:$Q$1,0),FALSE)),VLOOKUP('General price list'!$C864,Popisy!A:M,MATCH($W$17,Popisy!$A$7:$M$7,0),FALSE)),"---------------")),IFERROR(VLOOKUP('General price list'!$C864,Popisy!A:M,MATCH($W$17,Popisy!$A$7:$M$7,0),FALSE),"---------------"))</f>
        <v>29  různobarevných efektů</v>
      </c>
      <c r="X864" s="645" t="str">
        <f t="shared" si="2717"/>
        <v/>
      </c>
      <c r="Y864" s="645" t="str">
        <f t="shared" si="2718"/>
        <v/>
      </c>
      <c r="Z864" s="645" t="str">
        <f>HYPERLINK("https://www.klasekpyrotechnics.cz/rkd-24019")</f>
        <v>https://www.klasekpyrotechnics.cz/rkd-24019</v>
      </c>
      <c r="AA864" s="645">
        <f>IFERROR(IF(VLOOKUP(C864,[4]List1!$A:$D,4,FALSE)=0,"",VLOOKUP(C864,[4]List1!$A:$D,4,FALSE)),"")</f>
        <v>6</v>
      </c>
      <c r="AB864" s="646"/>
      <c r="AC864" s="647" t="str">
        <f>IFERROR(IF(VLOOKUP(C864,[1]List1!$A:$D,2,FALSE)="VYPRODÁNO",$V$9,IF(VLOOKUP(C864,[1]List1!$A:$D,2,FALSE)="DOCHÁZÍ",$V$3,VLOOKUP(C864,[1]List1!$A:$D,2,FALSE))),"OFFLINE!")</f>
        <v>SKLADEM</v>
      </c>
      <c r="AD864" s="647" t="str">
        <f ca="1">IF(AP864="NE",$V$10,IF(AC864=$V$3,IF(AQ864&lt;1,$V$8,$V$2&amp;" "&amp;AQ864&amp;" "&amp;$V$1),IF(AC864="SKLADEM",$V$6,IFERROR(IF(OR(AC864-TODAY()&gt;45,VLOOKUP(C864,[1]List1!$A:$E,4,FALSE)=0),AC864,DAY(AC864)&amp;"."&amp;MONTH(AC864)&amp;"."&amp;YEAR(AC864)&amp;" "&amp;$V$4&amp;VLOOKUP(C864,[1]List1!$A:$E,4,FALSE)&amp;" "&amp;$V$1),AC864))))</f>
        <v>SKLADEM</v>
      </c>
      <c r="AE864" s="645" t="str">
        <f t="shared" ca="1" si="2719"/>
        <v>SKLADEM</v>
      </c>
      <c r="AF864" s="648">
        <f t="shared" si="2720"/>
        <v>0</v>
      </c>
      <c r="AG864" s="649">
        <f t="shared" si="2721"/>
        <v>0</v>
      </c>
      <c r="AH864" s="650">
        <f t="shared" si="2722"/>
        <v>0</v>
      </c>
      <c r="AI864" s="645">
        <f t="shared" si="2723"/>
        <v>0</v>
      </c>
      <c r="AJ864" s="645">
        <f t="shared" si="2724"/>
        <v>0</v>
      </c>
      <c r="AK864" s="645" t="str">
        <f t="shared" si="2725"/>
        <v/>
      </c>
      <c r="AL864" s="645">
        <f t="shared" si="2726"/>
        <v>0</v>
      </c>
      <c r="AM864" s="645" t="str">
        <f t="shared" si="2727"/>
        <v/>
      </c>
      <c r="AN864" s="651">
        <f t="shared" si="2728"/>
        <v>0</v>
      </c>
      <c r="AO864" s="623"/>
      <c r="AP864" s="632" t="str">
        <f t="shared" si="2679"/>
        <v/>
      </c>
      <c r="AQ864" s="633" t="str">
        <f>IF(AC864=$V$3,IF(VLOOKUP(C864,[1]List1!$A:$E,5,FALSE)=0,1,VLOOKUP(C864,[1]List1!$A:$E,5,FALSE)),"")</f>
        <v/>
      </c>
      <c r="AR864" s="625" t="str">
        <f t="shared" si="2680"/>
        <v/>
      </c>
      <c r="AS864" s="634" t="str">
        <f t="shared" si="2681"/>
        <v/>
      </c>
      <c r="AT864" s="625" t="str">
        <f t="shared" si="2682"/>
        <v/>
      </c>
      <c r="AU864" s="638" t="e">
        <f t="shared" si="2683"/>
        <v>#N/A</v>
      </c>
      <c r="AV864" s="625" t="e">
        <f t="shared" si="2684"/>
        <v>#N/A</v>
      </c>
      <c r="AX864" s="625">
        <f>IF(AND('General price list'!$J864="F4",'General price list'!$AB864+0&gt;0),1,0)</f>
        <v>0</v>
      </c>
      <c r="AY864" s="625">
        <f t="shared" si="2685"/>
        <v>1</v>
      </c>
      <c r="AZ864" s="625">
        <f t="shared" si="2686"/>
        <v>0</v>
      </c>
    </row>
    <row r="865" spans="1:52" ht="15" customHeight="1">
      <c r="A865" s="751" t="str">
        <f>Kat.!C865</f>
        <v xml:space="preserve">           Riakeo dvojité složené ohňostroje</v>
      </c>
      <c r="B865" s="751"/>
      <c r="C865" s="751"/>
      <c r="D865" s="751"/>
      <c r="E865" s="751"/>
      <c r="F865" s="751"/>
      <c r="G865" s="751"/>
      <c r="H865" s="751"/>
      <c r="I865" s="752"/>
      <c r="J865" s="752"/>
      <c r="K865" s="752" t="s">
        <v>20</v>
      </c>
      <c r="L865" s="753" t="s">
        <v>20</v>
      </c>
      <c r="M865" s="752"/>
      <c r="N865" s="752"/>
      <c r="O865" s="752"/>
      <c r="P865" s="752"/>
      <c r="Q865" s="752"/>
      <c r="R865" s="752"/>
      <c r="S865" s="752"/>
      <c r="T865" s="752"/>
      <c r="U865" s="752"/>
      <c r="V865" s="752"/>
      <c r="W865" s="752"/>
      <c r="X865" s="752"/>
      <c r="Y865" s="752"/>
      <c r="Z865" s="752" t="s">
        <v>20</v>
      </c>
      <c r="AA865" s="752"/>
      <c r="AB865" s="752"/>
      <c r="AC865" s="754"/>
      <c r="AD865" s="752"/>
      <c r="AE865" s="752"/>
      <c r="AF865" s="752"/>
      <c r="AG865" s="752"/>
      <c r="AH865" s="752"/>
      <c r="AI865" s="752"/>
      <c r="AJ865" s="752"/>
      <c r="AK865" s="752"/>
      <c r="AL865" s="752"/>
      <c r="AM865" s="752"/>
      <c r="AN865" s="752"/>
      <c r="AO865" s="623"/>
      <c r="AP865" s="632" t="str">
        <f t="shared" si="2679"/>
        <v/>
      </c>
      <c r="AQ865" s="633" t="str">
        <f>IF(AC865=$V$3,IF(VLOOKUP(C865,[1]List1!$A:$E,5,FALSE)=0,1,VLOOKUP(C865,[1]List1!$A:$E,5,FALSE)),"")</f>
        <v/>
      </c>
      <c r="AR865" s="625" t="str">
        <f t="shared" si="2680"/>
        <v/>
      </c>
      <c r="AS865" s="634" t="str">
        <f t="shared" si="2681"/>
        <v/>
      </c>
      <c r="AT865" s="625" t="str">
        <f t="shared" si="2682"/>
        <v/>
      </c>
      <c r="AU865" s="638" t="e">
        <f t="shared" si="2683"/>
        <v>#N/A</v>
      </c>
      <c r="AV865" s="625" t="e">
        <f t="shared" si="2684"/>
        <v>#N/A</v>
      </c>
      <c r="AX865" s="625">
        <f>IF(AND('General price list'!$J865="F4",'General price list'!$AB865+0&gt;0),1,0)</f>
        <v>0</v>
      </c>
      <c r="AY865" s="625">
        <f t="shared" si="2685"/>
        <v>0</v>
      </c>
      <c r="AZ865" s="625">
        <f t="shared" si="2686"/>
        <v>0</v>
      </c>
    </row>
    <row r="866" spans="1:52" ht="15" customHeight="1">
      <c r="A866" s="639" t="str">
        <f>Kat.!C866</f>
        <v/>
      </c>
      <c r="B866" s="640">
        <f>IF(AND('General price list'!$J866="F4",$AI$1=FALSE),0,IF(AC866="SKLADEM",1,IF(AC866=$V$3,1,0)))</f>
        <v>1</v>
      </c>
      <c r="C866" s="641" t="s">
        <v>11624</v>
      </c>
      <c r="D866" s="642" t="s">
        <v>12601</v>
      </c>
      <c r="E866" s="643" t="s">
        <v>12663</v>
      </c>
      <c r="F866" s="791">
        <f>IFERROR(VLOOKUP(C866,[2]List1!$A:$D,3,FALSE),"NEUVEDENO!")</f>
        <v>7304</v>
      </c>
      <c r="G866" s="768">
        <f t="shared" ref="G866:G874" si="2729">IF($W$17=$AF$8,ROUND((F866)/$F$17,2),(F866)*$B$19)</f>
        <v>7304</v>
      </c>
      <c r="H866" s="765">
        <f t="shared" ref="H866:H874" si="2730">IF($W$17=$AF$8,G866*$B$19,G866/$F$17)</f>
        <v>310.26323949824354</v>
      </c>
      <c r="I866" s="644">
        <f>IFERROR(VLOOKUP(C866,[2]List1!$A:$D,4,FALSE),"NEUVEDENO!")</f>
        <v>1</v>
      </c>
      <c r="J866" s="733" t="s">
        <v>39</v>
      </c>
      <c r="K866" s="645" t="s">
        <v>11100</v>
      </c>
      <c r="L866" s="645"/>
      <c r="M866" s="645" t="s">
        <v>114</v>
      </c>
      <c r="N866" s="645">
        <f>IFERROR(VLOOKUP(C866,[3]List1!$A:$D,4,FALSE),"N/A!")</f>
        <v>9.9812249999999991E-2</v>
      </c>
      <c r="O866" s="645">
        <f>IFERROR(VLOOKUP(C866,[3]List1!$A:$D,3,FALSE),"N/A!")</f>
        <v>3746</v>
      </c>
      <c r="P866" s="645">
        <f>IFERROR(VLOOKUP(C866,[3]List1!$A:$D,2,FALSE),"N/A!")</f>
        <v>27650</v>
      </c>
      <c r="Q866" s="645" t="s">
        <v>11302</v>
      </c>
      <c r="R866" s="645"/>
      <c r="S866" s="645" t="str">
        <f>IF($W$17=$AF$1,"červená fólie",IFERROR(VLOOKUP("červená fólie",Jazyky_ceník!$A:$Q,MATCH($W$17,Jazyky_ceník!$A$1:$Q$1,0),FALSE),"!!!"))</f>
        <v>červená fólie</v>
      </c>
      <c r="T866" s="645">
        <v>105</v>
      </c>
      <c r="U866" s="645"/>
      <c r="V866" s="645"/>
      <c r="W866" s="645" t="str">
        <f>IFERROR(IF(AND($AB866&gt;=0.1*$AA866,MOD($AB866,$AA866)&gt;=($AA866-(0.1*$AA866))),IF($W$17=$AF$1,"Zvažte možnost doobjednání ještě "&amp;Tabulka1[[#This Row],[VKPAL]]-MOD(AB866,AA866)&amp;" VK do plné palety.",VLOOKUP("Zvažte možnost doobjednání ještě ",Jazyky_ceník!A:Q,MATCH($W$17,Jazyky_ceník!$A$1:$Q$1,0),FALSE)&amp;Tabulka1[[#This Row],[VKPAL]]-MOD(AB866,AA866)&amp;VLOOKUP(" VK do plné palety.",Jazyky_ceník!A:Q,MATCH($W$17,Jazyky_ceník!$A$1:$Q$1,0),FALSE)),IFERROR(IF(AND(NOT(MOD($AB866,$AA866)=0),$AB866&gt;=0.9*$AA866,MOD($AB866,$AA866)&lt;=0.1*$AA866),IF($W$17=$AF$1,"Zvažte možnost optimalizace objednaného množství podle počtu VK na paletě ==&gt;",VLOOKUP("Zvažte možnost optimalizace objednaného množství podle počtu VK na paletě ==&gt;",Jazyky_ceník!A:Q,MATCH($W$17,Jazyky_ceník!$A$1:$Q$1,0),FALSE)),VLOOKUP('General price list'!$C866,Popisy!A:M,MATCH($W$17,Popisy!$A$7:$M$7,0),FALSE)),"---------------")),IFERROR(VLOOKUP('General price list'!$C866,Popisy!A:M,MATCH($W$17,Popisy!$A$7:$M$7,0),FALSE),"---------------"))</f>
        <v>20  různobarevných efektů</v>
      </c>
      <c r="X866" s="645" t="str">
        <f t="shared" ref="X866:X874" si="2731">IF(AB866&lt;0.0001,"",AB866)</f>
        <v/>
      </c>
      <c r="Y866" s="645" t="str">
        <f t="shared" ref="Y866:Y874" si="2732">IF($AL$3=2,IF(OR(AB866&lt;&gt;"",AB866&lt;&gt;0),AU866,""),IF(C866="","",IF(AB866&lt;0.0001,"",IF(B866=0,"",IF(AQ866&lt;AB866,"",AB866)))))</f>
        <v/>
      </c>
      <c r="Z866" s="645" t="str">
        <f>HYPERLINK("https://www.klasekpyrotechnics.cz/hf-90-2402+hf-90-2403")</f>
        <v>https://www.klasekpyrotechnics.cz/hf-90-2402+hf-90-2403</v>
      </c>
      <c r="AA866" s="645">
        <f>IFERROR(IF(VLOOKUP(C866,[4]List1!$A:$D,4,FALSE)=0,"",VLOOKUP(C866,[4]List1!$A:$D,4,FALSE)),"")</f>
        <v>10</v>
      </c>
      <c r="AB866" s="646"/>
      <c r="AC866" s="647" t="str">
        <f>IFERROR(IF(VLOOKUP(C866,[1]List1!$A:$D,2,FALSE)="VYPRODÁNO",$V$9,IF(VLOOKUP(C866,[1]List1!$A:$D,2,FALSE)="DOCHÁZÍ",$V$3,VLOOKUP(C866,[1]List1!$A:$D,2,FALSE))),"OFFLINE!")</f>
        <v>SKLADEM</v>
      </c>
      <c r="AD866" s="647" t="str">
        <f ca="1">IF(AP866="NE",$V$10,IF(AC866=$V$3,IF(AQ866&lt;1,$V$8,$V$2&amp;" "&amp;AQ866&amp;" "&amp;$V$1),IF(AC866="SKLADEM",$V$6,IFERROR(IF(OR(AC866-TODAY()&gt;45,VLOOKUP(C866,[1]List1!$A:$E,4,FALSE)=0),AC866,DAY(AC866)&amp;"."&amp;MONTH(AC866)&amp;"."&amp;YEAR(AC866)&amp;" "&amp;$V$4&amp;VLOOKUP(C866,[1]List1!$A:$E,4,FALSE)&amp;" "&amp;$V$1),AC866))))</f>
        <v>SKLADEM</v>
      </c>
      <c r="AE866" s="645" t="str">
        <f t="shared" ref="AE866:AE874" ca="1" si="2733">IFERROR(IF(AV866&lt;&gt;"",AV866,AD866),AD866)</f>
        <v>SKLADEM</v>
      </c>
      <c r="AF866" s="648">
        <f t="shared" ref="AF866:AF874" si="2734">IFERROR(IF(AB866=Y866,G866*I866*Y866,0),0)</f>
        <v>0</v>
      </c>
      <c r="AG866" s="649">
        <f t="shared" ref="AG866:AG874" si="2735">IF($W$17=$AF$8,AH866*1.23,AF866*1.21)</f>
        <v>0</v>
      </c>
      <c r="AH866" s="650">
        <f t="shared" ref="AH866:AH874" si="2736">IFERROR(IF(Y866=AB866,H866*I866*Y866,0),0)</f>
        <v>0</v>
      </c>
      <c r="AI866" s="645">
        <f t="shared" ref="AI866:AI874" si="2737">IFERROR(IF(Y866=AB866,(P866*Y866)/1000,1),0)</f>
        <v>0</v>
      </c>
      <c r="AJ866" s="645">
        <f t="shared" ref="AJ866:AJ874" si="2738">IFERROR(IF(Y866=AB866,N866*Y866,0.1),0)</f>
        <v>0</v>
      </c>
      <c r="AK866" s="645" t="str">
        <f t="shared" ref="AK866:AK874" si="2739">IFERROR(IF(Y866=AB866,IF(M866="1.1G",(O866/1000)*Y866,""),""),0)</f>
        <v/>
      </c>
      <c r="AL866" s="645">
        <f t="shared" ref="AL866:AL874" si="2740">IFERROR(IF(Y866=AB866,IF(M866="1.3G",(O866/1000)*AB866,""),""),0)</f>
        <v>0</v>
      </c>
      <c r="AM866" s="645" t="str">
        <f t="shared" ref="AM866:AM874" si="2741">IFERROR(IF(Y866=AB866,IF(M866="1.4G",(O866/1000)*AB866,""),""),0)</f>
        <v/>
      </c>
      <c r="AN866" s="651">
        <f t="shared" ref="AN866:AN874" si="2742">SUM(AK866:AM866)</f>
        <v>0</v>
      </c>
      <c r="AO866" s="623"/>
      <c r="AP866" s="632" t="str">
        <f t="shared" si="2679"/>
        <v/>
      </c>
      <c r="AQ866" s="633" t="str">
        <f>IF(AC866=$V$3,IF(VLOOKUP(C866,[1]List1!$A:$E,5,FALSE)=0,1,VLOOKUP(C866,[1]List1!$A:$E,5,FALSE)),"")</f>
        <v/>
      </c>
      <c r="AR866" s="625" t="str">
        <f t="shared" si="2680"/>
        <v/>
      </c>
      <c r="AS866" s="634" t="str">
        <f t="shared" si="2681"/>
        <v/>
      </c>
      <c r="AT866" s="625" t="str">
        <f t="shared" si="2682"/>
        <v/>
      </c>
      <c r="AU866" s="638" t="e">
        <f t="shared" si="2683"/>
        <v>#N/A</v>
      </c>
      <c r="AV866" s="625" t="e">
        <f t="shared" si="2684"/>
        <v>#N/A</v>
      </c>
      <c r="AX866" s="625">
        <f>IF(AND('General price list'!$J866="F4",'General price list'!$AB866+0&gt;0),1,0)</f>
        <v>0</v>
      </c>
      <c r="AY866" s="625">
        <f t="shared" si="2685"/>
        <v>1</v>
      </c>
      <c r="AZ866" s="625">
        <f t="shared" si="2686"/>
        <v>0</v>
      </c>
    </row>
    <row r="867" spans="1:52" ht="15.75" customHeight="1">
      <c r="A867" s="621" t="str">
        <f>Kat.!C867</f>
        <v/>
      </c>
      <c r="B867" s="566">
        <f>IF(AND('General price list'!$J867="F4",$AI$1=FALSE),0,IF(AC867="SKLADEM",1,IF(AC867=$V$3,1,0)))</f>
        <v>1</v>
      </c>
      <c r="C867" s="567" t="s">
        <v>11625</v>
      </c>
      <c r="D867" s="568" t="s">
        <v>12602</v>
      </c>
      <c r="E867" s="763" t="s">
        <v>12663</v>
      </c>
      <c r="F867" s="791">
        <f>IFERROR(VLOOKUP(C867,[2]List1!$A:$D,3,FALSE),"NEUVEDENO!")</f>
        <v>7517</v>
      </c>
      <c r="G867" s="769">
        <f t="shared" si="2729"/>
        <v>7517</v>
      </c>
      <c r="H867" s="766">
        <f t="shared" si="2730"/>
        <v>319.31116803235165</v>
      </c>
      <c r="I867" s="764">
        <f>IFERROR(VLOOKUP(C867,[2]List1!$A:$D,4,FALSE),"NEUVEDENO!")</f>
        <v>1</v>
      </c>
      <c r="J867" s="732" t="s">
        <v>39</v>
      </c>
      <c r="K867" s="569" t="s">
        <v>11100</v>
      </c>
      <c r="L867" s="569"/>
      <c r="M867" s="569" t="s">
        <v>114</v>
      </c>
      <c r="N867" s="569">
        <f>IFERROR(VLOOKUP(C867,[3]List1!$A:$D,4,FALSE),"N/A!")</f>
        <v>0.10532699999999999</v>
      </c>
      <c r="O867" s="569">
        <f>IFERROR(VLOOKUP(C867,[3]List1!$A:$D,3,FALSE),"N/A!")</f>
        <v>3530</v>
      </c>
      <c r="P867" s="569">
        <f>IFERROR(VLOOKUP(C867,[3]List1!$A:$D,2,FALSE),"N/A!")</f>
        <v>28000</v>
      </c>
      <c r="Q867" s="569" t="s">
        <v>11302</v>
      </c>
      <c r="R867" s="569"/>
      <c r="S867" s="569" t="str">
        <f>IF($W$17=$AF$1,"červená fólie",IFERROR(VLOOKUP("červená fólie",Jazyky_ceník!$A:$Q,MATCH($W$17,Jazyky_ceník!$A$1:$Q$1,0),FALSE),"!!!"))</f>
        <v>červená fólie</v>
      </c>
      <c r="T867" s="569">
        <v>100</v>
      </c>
      <c r="U867" s="569"/>
      <c r="V867" s="569"/>
      <c r="W867" s="569" t="str">
        <f>IFERROR(IF(AND($AB867&gt;=0.1*$AA867,MOD($AB867,$AA867)&gt;=($AA867-(0.1*$AA867))),IF($W$17=$AF$1,"Zvažte možnost doobjednání ještě "&amp;Tabulka1[[#This Row],[VKPAL]]-MOD(AB867,AA867)&amp;" VK do plné palety.",VLOOKUP("Zvažte možnost doobjednání ještě ",Jazyky_ceník!A:Q,MATCH($W$17,Jazyky_ceník!$A$1:$Q$1,0),FALSE)&amp;Tabulka1[[#This Row],[VKPAL]]-MOD(AB867,AA867)&amp;VLOOKUP(" VK do plné palety.",Jazyky_ceník!A:Q,MATCH($W$17,Jazyky_ceník!$A$1:$Q$1,0),FALSE)),IFERROR(IF(AND(NOT(MOD($AB867,$AA867)=0),$AB867&gt;=0.9*$AA867,MOD($AB867,$AA867)&lt;=0.1*$AA867),IF($W$17=$AF$1,"Zvažte možnost optimalizace objednaného množství podle počtu VK na paletě ==&gt;",VLOOKUP("Zvažte možnost optimalizace objednaného množství podle počtu VK na paletě ==&gt;",Jazyky_ceník!A:Q,MATCH($W$17,Jazyky_ceník!$A$1:$Q$1,0),FALSE)),VLOOKUP('General price list'!$C867,Popisy!A:M,MATCH($W$17,Popisy!$A$7:$M$7,0),FALSE)),"---------------")),IFERROR(VLOOKUP('General price list'!$C867,Popisy!A:M,MATCH($W$17,Popisy!$A$7:$M$7,0),FALSE),"---------------"))</f>
        <v>24  různobarevných efektů</v>
      </c>
      <c r="X867" s="569" t="str">
        <f t="shared" si="2731"/>
        <v/>
      </c>
      <c r="Y867" s="569" t="str">
        <f t="shared" si="2732"/>
        <v/>
      </c>
      <c r="Z867" s="569" t="str">
        <f>HYPERLINK("https://www.klasektrading.cz/detail/peking-opera-3")</f>
        <v>https://www.klasektrading.cz/detail/peking-opera-3</v>
      </c>
      <c r="AA867" s="569">
        <f>IFERROR(IF(VLOOKUP(C867,[4]List1!$A:$D,4,FALSE)=0,"",VLOOKUP(C867,[4]List1!$A:$D,4,FALSE)),"")</f>
        <v>6</v>
      </c>
      <c r="AB867" s="565"/>
      <c r="AC867" s="570" t="str">
        <f>IFERROR(IF(VLOOKUP(C867,[1]List1!$A:$D,2,FALSE)="VYPRODÁNO",$V$9,IF(VLOOKUP(C867,[1]List1!$A:$D,2,FALSE)="DOCHÁZÍ",$V$3,VLOOKUP(C867,[1]List1!$A:$D,2,FALSE))),"OFFLINE!")</f>
        <v>SKLADEM</v>
      </c>
      <c r="AD867" s="570" t="str">
        <f ca="1">IF(AP867="NE",$V$10,IF(AC867=$V$3,IF(AQ867&lt;1,$V$8,$V$2&amp;" "&amp;AQ867&amp;" "&amp;$V$1),IF(AC867="SKLADEM",$V$6,IFERROR(IF(OR(AC867-TODAY()&gt;45,VLOOKUP(C867,[1]List1!$A:$E,4,FALSE)=0),AC867,DAY(AC867)&amp;"."&amp;MONTH(AC867)&amp;"."&amp;YEAR(AC867)&amp;" "&amp;$V$4&amp;VLOOKUP(C867,[1]List1!$A:$E,4,FALSE)&amp;" "&amp;$V$1),AC867))))</f>
        <v>SKLADEM</v>
      </c>
      <c r="AE867" s="581" t="str">
        <f t="shared" ca="1" si="2733"/>
        <v>SKLADEM</v>
      </c>
      <c r="AF867" s="584">
        <f t="shared" si="2734"/>
        <v>0</v>
      </c>
      <c r="AG867" s="585">
        <f t="shared" si="2735"/>
        <v>0</v>
      </c>
      <c r="AH867" s="583">
        <f t="shared" si="2736"/>
        <v>0</v>
      </c>
      <c r="AI867" s="582">
        <f t="shared" si="2737"/>
        <v>0</v>
      </c>
      <c r="AJ867" s="569">
        <f t="shared" si="2738"/>
        <v>0</v>
      </c>
      <c r="AK867" s="569" t="str">
        <f t="shared" si="2739"/>
        <v/>
      </c>
      <c r="AL867" s="569">
        <f t="shared" si="2740"/>
        <v>0</v>
      </c>
      <c r="AM867" s="569" t="str">
        <f t="shared" si="2741"/>
        <v/>
      </c>
      <c r="AN867" s="581">
        <f t="shared" si="2742"/>
        <v>0</v>
      </c>
      <c r="AO867" s="623"/>
      <c r="AP867" s="625" t="str">
        <f t="shared" si="2679"/>
        <v/>
      </c>
      <c r="AQ867" s="625" t="str">
        <f>IF(AC867=$V$3,IF(VLOOKUP(C867,[1]List1!$A:$E,5,FALSE)=0,1,VLOOKUP(C867,[1]List1!$A:$E,5,FALSE)),"")</f>
        <v/>
      </c>
      <c r="AR867" s="629" t="str">
        <f t="shared" si="2680"/>
        <v/>
      </c>
      <c r="AS867" s="630" t="str">
        <f t="shared" si="2681"/>
        <v/>
      </c>
      <c r="AT867" s="625" t="str">
        <f t="shared" si="2682"/>
        <v/>
      </c>
      <c r="AU867" s="625" t="e">
        <f t="shared" si="2683"/>
        <v>#N/A</v>
      </c>
      <c r="AV867" s="625" t="e">
        <f t="shared" si="2684"/>
        <v>#N/A</v>
      </c>
      <c r="AW867" s="631"/>
      <c r="AX867" s="631">
        <f>IF(AND('General price list'!$J867="F4",'General price list'!$AB867+0&gt;0),1,0)</f>
        <v>0</v>
      </c>
      <c r="AY867" s="631">
        <f t="shared" si="2685"/>
        <v>1</v>
      </c>
      <c r="AZ867" s="631">
        <f t="shared" si="2686"/>
        <v>0</v>
      </c>
    </row>
    <row r="868" spans="1:52" ht="15.75" customHeight="1">
      <c r="A868" s="639" t="str">
        <f>Kat.!C868</f>
        <v/>
      </c>
      <c r="B868" s="640">
        <f>IF(AND('General price list'!$J868="F4",$AI$1=FALSE),0,IF(AC868="SKLADEM",1,IF(AC868=$V$3,1,0)))</f>
        <v>1</v>
      </c>
      <c r="C868" s="641" t="s">
        <v>11626</v>
      </c>
      <c r="D868" s="642" t="s">
        <v>12603</v>
      </c>
      <c r="E868" s="643" t="s">
        <v>12663</v>
      </c>
      <c r="F868" s="791">
        <f>IFERROR(VLOOKUP(C868,[2]List1!$A:$D,3,FALSE),"NEUVEDENO!")</f>
        <v>6502</v>
      </c>
      <c r="G868" s="768">
        <f t="shared" si="2729"/>
        <v>6502</v>
      </c>
      <c r="H868" s="765">
        <f t="shared" si="2730"/>
        <v>276.1954522477518</v>
      </c>
      <c r="I868" s="644">
        <f>IFERROR(VLOOKUP(C868,[2]List1!$A:$D,4,FALSE),"NEUVEDENO!")</f>
        <v>1</v>
      </c>
      <c r="J868" s="733" t="s">
        <v>39</v>
      </c>
      <c r="K868" s="645" t="s">
        <v>11100</v>
      </c>
      <c r="L868" s="645"/>
      <c r="M868" s="645" t="s">
        <v>114</v>
      </c>
      <c r="N868" s="645">
        <f>IFERROR(VLOOKUP(C868,[3]List1!$A:$D,4,FALSE),"N/A!")</f>
        <v>7.7281749999999996E-2</v>
      </c>
      <c r="O868" s="645">
        <f>IFERROR(VLOOKUP(C868,[3]List1!$A:$D,3,FALSE),"N/A!")</f>
        <v>3662</v>
      </c>
      <c r="P868" s="645">
        <f>IFERROR(VLOOKUP(C868,[3]List1!$A:$D,2,FALSE),"N/A!")</f>
        <v>25000</v>
      </c>
      <c r="Q868" s="645" t="s">
        <v>11302</v>
      </c>
      <c r="R868" s="645"/>
      <c r="S868" s="645" t="str">
        <f>IF($W$17=$AF$1,"červená fólie",IFERROR(VLOOKUP("červená fólie",Jazyky_ceník!$A:$Q,MATCH($W$17,Jazyky_ceník!$A$1:$Q$1,0),FALSE),"!!!"))</f>
        <v>červená fólie</v>
      </c>
      <c r="T868" s="645">
        <v>100</v>
      </c>
      <c r="U868" s="645"/>
      <c r="V868" s="645"/>
      <c r="W868" s="645" t="str">
        <f>IFERROR(IF(AND($AB868&gt;=0.1*$AA868,MOD($AB868,$AA868)&gt;=($AA868-(0.1*$AA868))),IF($W$17=$AF$1,"Zvažte možnost doobjednání ještě "&amp;Tabulka1[[#This Row],[VKPAL]]-MOD(AB868,AA868)&amp;" VK do plné palety.",VLOOKUP("Zvažte možnost doobjednání ještě ",Jazyky_ceník!A:Q,MATCH($W$17,Jazyky_ceník!$A$1:$Q$1,0),FALSE)&amp;Tabulka1[[#This Row],[VKPAL]]-MOD(AB868,AA868)&amp;VLOOKUP(" VK do plné palety.",Jazyky_ceník!A:Q,MATCH($W$17,Jazyky_ceník!$A$1:$Q$1,0),FALSE)),IFERROR(IF(AND(NOT(MOD($AB868,$AA868)=0),$AB868&gt;=0.9*$AA868,MOD($AB868,$AA868)&lt;=0.1*$AA868),IF($W$17=$AF$1,"Zvažte možnost optimalizace objednaného množství podle počtu VK na paletě ==&gt;",VLOOKUP("Zvažte možnost optimalizace objednaného množství podle počtu VK na paletě ==&gt;",Jazyky_ceník!A:Q,MATCH($W$17,Jazyky_ceník!$A$1:$Q$1,0),FALSE)),VLOOKUP('General price list'!$C868,Popisy!A:M,MATCH($W$17,Popisy!$A$7:$M$7,0),FALSE)),"---------------")),IFERROR(VLOOKUP('General price list'!$C868,Popisy!A:M,MATCH($W$17,Popisy!$A$7:$M$7,0),FALSE),"---------------"))</f>
        <v>21  různobarevných efektů</v>
      </c>
      <c r="X868" s="645" t="str">
        <f t="shared" si="2731"/>
        <v/>
      </c>
      <c r="Y868" s="645" t="str">
        <f t="shared" si="2732"/>
        <v/>
      </c>
      <c r="Z868" s="645" t="str">
        <f>HYPERLINK("https://www.klasektrading.cz/detail/tsunami")</f>
        <v>https://www.klasektrading.cz/detail/tsunami</v>
      </c>
      <c r="AA868" s="645">
        <f>IFERROR(IF(VLOOKUP(C868,[4]List1!$A:$D,4,FALSE)=0,"",VLOOKUP(C868,[4]List1!$A:$D,4,FALSE)),"")</f>
        <v>14</v>
      </c>
      <c r="AB868" s="646"/>
      <c r="AC868" s="647" t="str">
        <f>IFERROR(IF(VLOOKUP(C868,[1]List1!$A:$D,2,FALSE)="VYPRODÁNO",$V$9,IF(VLOOKUP(C868,[1]List1!$A:$D,2,FALSE)="DOCHÁZÍ",$V$3,VLOOKUP(C868,[1]List1!$A:$D,2,FALSE))),"OFFLINE!")</f>
        <v>SKLADEM</v>
      </c>
      <c r="AD868" s="647" t="str">
        <f ca="1">IF(AP868="NE",$V$10,IF(AC868=$V$3,IF(AQ868&lt;1,$V$8,$V$2&amp;" "&amp;AQ868&amp;" "&amp;$V$1),IF(AC868="SKLADEM",$V$6,IFERROR(IF(OR(AC868-TODAY()&gt;45,VLOOKUP(C868,[1]List1!$A:$E,4,FALSE)=0),AC868,DAY(AC868)&amp;"."&amp;MONTH(AC868)&amp;"."&amp;YEAR(AC868)&amp;" "&amp;$V$4&amp;VLOOKUP(C868,[1]List1!$A:$E,4,FALSE)&amp;" "&amp;$V$1),AC868))))</f>
        <v>SKLADEM</v>
      </c>
      <c r="AE868" s="645" t="str">
        <f t="shared" ca="1" si="2733"/>
        <v>SKLADEM</v>
      </c>
      <c r="AF868" s="648">
        <f t="shared" si="2734"/>
        <v>0</v>
      </c>
      <c r="AG868" s="649">
        <f t="shared" si="2735"/>
        <v>0</v>
      </c>
      <c r="AH868" s="650">
        <f t="shared" si="2736"/>
        <v>0</v>
      </c>
      <c r="AI868" s="645">
        <f t="shared" si="2737"/>
        <v>0</v>
      </c>
      <c r="AJ868" s="645">
        <f t="shared" si="2738"/>
        <v>0</v>
      </c>
      <c r="AK868" s="645" t="str">
        <f t="shared" si="2739"/>
        <v/>
      </c>
      <c r="AL868" s="645">
        <f t="shared" si="2740"/>
        <v>0</v>
      </c>
      <c r="AM868" s="645" t="str">
        <f t="shared" si="2741"/>
        <v/>
      </c>
      <c r="AN868" s="651">
        <f t="shared" si="2742"/>
        <v>0</v>
      </c>
      <c r="AO868" s="623"/>
      <c r="AP868" s="625" t="str">
        <f t="shared" si="2679"/>
        <v/>
      </c>
      <c r="AQ868" s="625" t="str">
        <f>IF(AC868=$V$3,IF(VLOOKUP(C868,[1]List1!$A:$E,5,FALSE)=0,1,VLOOKUP(C868,[1]List1!$A:$E,5,FALSE)),"")</f>
        <v/>
      </c>
      <c r="AR868" s="629" t="str">
        <f t="shared" si="2680"/>
        <v/>
      </c>
      <c r="AS868" s="630" t="str">
        <f t="shared" si="2681"/>
        <v/>
      </c>
      <c r="AT868" s="625" t="str">
        <f t="shared" si="2682"/>
        <v/>
      </c>
      <c r="AU868" s="625" t="e">
        <f t="shared" si="2683"/>
        <v>#N/A</v>
      </c>
      <c r="AV868" s="625" t="e">
        <f t="shared" si="2684"/>
        <v>#N/A</v>
      </c>
      <c r="AW868" s="631"/>
      <c r="AX868" s="631">
        <f>IF(AND('General price list'!$J868="F4",'General price list'!$AB868+0&gt;0),1,0)</f>
        <v>0</v>
      </c>
      <c r="AY868" s="631">
        <f t="shared" si="2685"/>
        <v>1</v>
      </c>
      <c r="AZ868" s="631">
        <f t="shared" si="2686"/>
        <v>0</v>
      </c>
    </row>
    <row r="869" spans="1:52" ht="15.75" customHeight="1">
      <c r="A869" s="621" t="str">
        <f>Kat.!C869</f>
        <v/>
      </c>
      <c r="B869" s="566">
        <f>IF(AND('General price list'!$J869="F4",$AI$1=FALSE),0,IF(AC869="SKLADEM",1,IF(AC869=$V$3,1,0)))</f>
        <v>1</v>
      </c>
      <c r="C869" s="567" t="s">
        <v>11641</v>
      </c>
      <c r="D869" s="568" t="s">
        <v>12604</v>
      </c>
      <c r="E869" s="763" t="s">
        <v>12663</v>
      </c>
      <c r="F869" s="791">
        <f>IFERROR(VLOOKUP(C869,[2]List1!$A:$D,3,FALSE),"NEUVEDENO!")</f>
        <v>5951</v>
      </c>
      <c r="G869" s="769">
        <f t="shared" si="2729"/>
        <v>5951</v>
      </c>
      <c r="H869" s="766">
        <f t="shared" si="2730"/>
        <v>252.78977796468334</v>
      </c>
      <c r="I869" s="764">
        <f>IFERROR(VLOOKUP(C869,[2]List1!$A:$D,4,FALSE),"NEUVEDENO!")</f>
        <v>1</v>
      </c>
      <c r="J869" s="732" t="s">
        <v>39</v>
      </c>
      <c r="K869" s="569" t="s">
        <v>11100</v>
      </c>
      <c r="L869" s="569"/>
      <c r="M869" s="569" t="s">
        <v>114</v>
      </c>
      <c r="N869" s="569">
        <f>IFERROR(VLOOKUP(C869,[3]List1!$A:$D,4,FALSE),"N/A!")</f>
        <v>7.0199999999999999E-2</v>
      </c>
      <c r="O869" s="569">
        <f>IFERROR(VLOOKUP(C869,[3]List1!$A:$D,3,FALSE),"N/A!")</f>
        <v>3408</v>
      </c>
      <c r="P869" s="569">
        <f>IFERROR(VLOOKUP(C869,[3]List1!$A:$D,2,FALSE),"N/A!")</f>
        <v>22850</v>
      </c>
      <c r="Q869" s="569" t="s">
        <v>11252</v>
      </c>
      <c r="R869" s="569"/>
      <c r="S869" s="569" t="str">
        <f>IF($W$17=$AF$1,"červená fólie",IFERROR(VLOOKUP("červená fólie",Jazyky_ceník!$A:$Q,MATCH($W$17,Jazyky_ceník!$A$1:$Q$1,0),FALSE),"!!!"))</f>
        <v>červená fólie</v>
      </c>
      <c r="T869" s="569">
        <v>120</v>
      </c>
      <c r="U869" s="569"/>
      <c r="V869" s="569"/>
      <c r="W869" s="569" t="str">
        <f>IFERROR(IF(AND($AB869&gt;=0.1*$AA869,MOD($AB869,$AA869)&gt;=($AA869-(0.1*$AA869))),IF($W$17=$AF$1,"Zvažte možnost doobjednání ještě "&amp;Tabulka1[[#This Row],[VKPAL]]-MOD(AB869,AA869)&amp;" VK do plné palety.",VLOOKUP("Zvažte možnost doobjednání ještě ",Jazyky_ceník!A:Q,MATCH($W$17,Jazyky_ceník!$A$1:$Q$1,0),FALSE)&amp;Tabulka1[[#This Row],[VKPAL]]-MOD(AB869,AA869)&amp;VLOOKUP(" VK do plné palety.",Jazyky_ceník!A:Q,MATCH($W$17,Jazyky_ceník!$A$1:$Q$1,0),FALSE)),IFERROR(IF(AND(NOT(MOD($AB869,$AA869)=0),$AB869&gt;=0.9*$AA869,MOD($AB869,$AA869)&lt;=0.1*$AA869),IF($W$17=$AF$1,"Zvažte možnost optimalizace objednaného množství podle počtu VK na paletě ==&gt;",VLOOKUP("Zvažte možnost optimalizace objednaného množství podle počtu VK na paletě ==&gt;",Jazyky_ceník!A:Q,MATCH($W$17,Jazyky_ceník!$A$1:$Q$1,0),FALSE)),VLOOKUP('General price list'!$C869,Popisy!A:M,MATCH($W$17,Popisy!$A$7:$M$7,0),FALSE)),"---------------")),IFERROR(VLOOKUP('General price list'!$C869,Popisy!A:M,MATCH($W$17,Popisy!$A$7:$M$7,0),FALSE),"---------------"))</f>
        <v>26 různobarevných efektů</v>
      </c>
      <c r="X869" s="569" t="str">
        <f t="shared" si="2731"/>
        <v/>
      </c>
      <c r="Y869" s="569" t="str">
        <f t="shared" si="2732"/>
        <v/>
      </c>
      <c r="Z869" s="569" t="str">
        <f>HYPERLINK("https://www.klasekpyrotechnics.cz/hf-78-2423-hf-78-2424")</f>
        <v>https://www.klasekpyrotechnics.cz/hf-78-2423-hf-78-2424</v>
      </c>
      <c r="AA869" s="569">
        <f>IFERROR(IF(VLOOKUP(C869,[4]List1!$A:$D,4,FALSE)=0,"",VLOOKUP(C869,[4]List1!$A:$D,4,FALSE)),"")</f>
        <v>20</v>
      </c>
      <c r="AB869" s="565"/>
      <c r="AC869" s="570" t="str">
        <f>IFERROR(IF(VLOOKUP(C869,[1]List1!$A:$D,2,FALSE)="VYPRODÁNO",$V$9,IF(VLOOKUP(C869,[1]List1!$A:$D,2,FALSE)="DOCHÁZÍ",$V$3,VLOOKUP(C869,[1]List1!$A:$D,2,FALSE))),"OFFLINE!")</f>
        <v>SKLADEM</v>
      </c>
      <c r="AD869" s="570" t="str">
        <f ca="1">IF(AP869="NE",$V$10,IF(AC869=$V$3,IF(AQ869&lt;1,$V$8,$V$2&amp;" "&amp;AQ869&amp;" "&amp;$V$1),IF(AC869="SKLADEM",$V$6,IFERROR(IF(OR(AC869-TODAY()&gt;45,VLOOKUP(C869,[1]List1!$A:$E,4,FALSE)=0),AC869,DAY(AC869)&amp;"."&amp;MONTH(AC869)&amp;"."&amp;YEAR(AC869)&amp;" "&amp;$V$4&amp;VLOOKUP(C869,[1]List1!$A:$E,4,FALSE)&amp;" "&amp;$V$1),AC869))))</f>
        <v>SKLADEM</v>
      </c>
      <c r="AE869" s="581" t="str">
        <f t="shared" ca="1" si="2733"/>
        <v>SKLADEM</v>
      </c>
      <c r="AF869" s="584">
        <f t="shared" si="2734"/>
        <v>0</v>
      </c>
      <c r="AG869" s="585">
        <f t="shared" si="2735"/>
        <v>0</v>
      </c>
      <c r="AH869" s="583">
        <f t="shared" si="2736"/>
        <v>0</v>
      </c>
      <c r="AI869" s="582">
        <f t="shared" si="2737"/>
        <v>0</v>
      </c>
      <c r="AJ869" s="569">
        <f t="shared" si="2738"/>
        <v>0</v>
      </c>
      <c r="AK869" s="569" t="str">
        <f t="shared" si="2739"/>
        <v/>
      </c>
      <c r="AL869" s="569">
        <f t="shared" si="2740"/>
        <v>0</v>
      </c>
      <c r="AM869" s="569" t="str">
        <f t="shared" si="2741"/>
        <v/>
      </c>
      <c r="AN869" s="581">
        <f t="shared" si="2742"/>
        <v>0</v>
      </c>
      <c r="AO869" s="623"/>
      <c r="AP869" s="625" t="str">
        <f t="shared" si="2679"/>
        <v/>
      </c>
      <c r="AQ869" s="625" t="str">
        <f>IF(AC869=$V$3,IF(VLOOKUP(C869,[1]List1!$A:$E,5,FALSE)=0,1,VLOOKUP(C869,[1]List1!$A:$E,5,FALSE)),"")</f>
        <v/>
      </c>
      <c r="AR869" s="629" t="str">
        <f t="shared" si="2680"/>
        <v/>
      </c>
      <c r="AS869" s="630" t="str">
        <f t="shared" si="2681"/>
        <v/>
      </c>
      <c r="AT869" s="625" t="str">
        <f t="shared" si="2682"/>
        <v/>
      </c>
      <c r="AU869" s="625" t="e">
        <f t="shared" si="2683"/>
        <v>#N/A</v>
      </c>
      <c r="AV869" s="625" t="e">
        <f t="shared" si="2684"/>
        <v>#N/A</v>
      </c>
      <c r="AW869" s="631"/>
      <c r="AX869" s="631">
        <f>IF(AND('General price list'!$J869="F4",'General price list'!$AB869+0&gt;0),1,0)</f>
        <v>0</v>
      </c>
      <c r="AY869" s="631">
        <f t="shared" si="2685"/>
        <v>1</v>
      </c>
      <c r="AZ869" s="631">
        <f t="shared" si="2686"/>
        <v>0</v>
      </c>
    </row>
    <row r="870" spans="1:52" ht="15.75" customHeight="1">
      <c r="A870" s="639" t="str">
        <f>Kat.!C870</f>
        <v/>
      </c>
      <c r="B870" s="640">
        <f>IF(AND('General price list'!$J870="F4",$AI$1=FALSE),0,IF(AC870="SKLADEM",1,IF(AC870=$V$3,1,0)))</f>
        <v>1</v>
      </c>
      <c r="C870" s="641" t="s">
        <v>12201</v>
      </c>
      <c r="D870" s="642" t="s">
        <v>12605</v>
      </c>
      <c r="E870" s="643" t="s">
        <v>12663</v>
      </c>
      <c r="F870" s="791">
        <f>IFERROR(VLOOKUP(C870,[2]List1!$A:$D,3,FALSE),"NEUVEDENO!")</f>
        <v>7329</v>
      </c>
      <c r="G870" s="768">
        <f t="shared" si="2729"/>
        <v>7329</v>
      </c>
      <c r="H870" s="765">
        <f t="shared" si="2730"/>
        <v>311.32520294121394</v>
      </c>
      <c r="I870" s="644">
        <f>IFERROR(VLOOKUP(C870,[2]List1!$A:$D,4,FALSE),"NEUVEDENO!")</f>
        <v>1</v>
      </c>
      <c r="J870" s="733" t="s">
        <v>39</v>
      </c>
      <c r="K870" s="645" t="s">
        <v>11100</v>
      </c>
      <c r="L870" s="645"/>
      <c r="M870" s="645" t="s">
        <v>21</v>
      </c>
      <c r="N870" s="645">
        <f>IFERROR(VLOOKUP(C870,[3]List1!$A:$D,4,FALSE),"N/A!")</f>
        <v>9.9427999999999989E-2</v>
      </c>
      <c r="O870" s="645">
        <f>IFERROR(VLOOKUP(C870,[3]List1!$A:$D,3,FALSE),"N/A!")</f>
        <v>3299</v>
      </c>
      <c r="P870" s="645">
        <f>IFERROR(VLOOKUP(C870,[3]List1!$A:$D,2,FALSE),"N/A!")</f>
        <v>25000</v>
      </c>
      <c r="Q870" s="645" t="s">
        <v>11302</v>
      </c>
      <c r="R870" s="645"/>
      <c r="S870" s="645" t="str">
        <f>IF($W$17=$AF$1,"červená fólie",IFERROR(VLOOKUP("červená fólie",Jazyky_ceník!$A:$Q,MATCH($W$17,Jazyky_ceník!$A$1:$Q$1,0),FALSE),"!!!"))</f>
        <v>červená fólie</v>
      </c>
      <c r="T870" s="645">
        <v>85</v>
      </c>
      <c r="U870" s="645"/>
      <c r="V870" s="645"/>
      <c r="W870" s="645" t="str">
        <f>IFERROR(IF(AND($AB870&gt;=0.1*$AA870,MOD($AB870,$AA870)&gt;=($AA870-(0.1*$AA870))),IF($W$17=$AF$1,"Zvažte možnost doobjednání ještě "&amp;Tabulka1[[#This Row],[VKPAL]]-MOD(AB870,AA870)&amp;" VK do plné palety.",VLOOKUP("Zvažte možnost doobjednání ještě ",Jazyky_ceník!A:Q,MATCH($W$17,Jazyky_ceník!$A$1:$Q$1,0),FALSE)&amp;Tabulka1[[#This Row],[VKPAL]]-MOD(AB870,AA870)&amp;VLOOKUP(" VK do plné palety.",Jazyky_ceník!A:Q,MATCH($W$17,Jazyky_ceník!$A$1:$Q$1,0),FALSE)),IFERROR(IF(AND(NOT(MOD($AB870,$AA870)=0),$AB870&gt;=0.9*$AA870,MOD($AB870,$AA870)&lt;=0.1*$AA870),IF($W$17=$AF$1,"Zvažte možnost optimalizace objednaného množství podle počtu VK na paletě ==&gt;",VLOOKUP("Zvažte možnost optimalizace objednaného množství podle počtu VK na paletě ==&gt;",Jazyky_ceník!A:Q,MATCH($W$17,Jazyky_ceník!$A$1:$Q$1,0),FALSE)),VLOOKUP('General price list'!$C870,Popisy!A:M,MATCH($W$17,Popisy!$A$7:$M$7,0),FALSE)),"---------------")),IFERROR(VLOOKUP('General price list'!$C870,Popisy!A:M,MATCH($W$17,Popisy!$A$7:$M$7,0),FALSE),"---------------"))</f>
        <v>20 různobarevných efektů</v>
      </c>
      <c r="X870" s="645" t="str">
        <f t="shared" si="2731"/>
        <v/>
      </c>
      <c r="Y870" s="645" t="str">
        <f t="shared" si="2732"/>
        <v/>
      </c>
      <c r="Z870" s="645" t="str">
        <f>HYPERLINK("https://www.klasekpyrotechnics.cz/hf-80-2366s-hf-80-2")</f>
        <v>https://www.klasekpyrotechnics.cz/hf-80-2366s-hf-80-2</v>
      </c>
      <c r="AA870" s="645">
        <f>IFERROR(IF(VLOOKUP(C870,[4]List1!$A:$D,4,FALSE)=0,"",VLOOKUP(C870,[4]List1!$A:$D,4,FALSE)),"")</f>
        <v>14</v>
      </c>
      <c r="AB870" s="646"/>
      <c r="AC870" s="647" t="str">
        <f>IFERROR(IF(VLOOKUP(C870,[1]List1!$A:$D,2,FALSE)="VYPRODÁNO",$V$9,IF(VLOOKUP(C870,[1]List1!$A:$D,2,FALSE)="DOCHÁZÍ",$V$3,VLOOKUP(C870,[1]List1!$A:$D,2,FALSE))),"OFFLINE!")</f>
        <v>SKLADEM</v>
      </c>
      <c r="AD870" s="647" t="str">
        <f ca="1">IF(AP870="NE",$V$10,IF(AC870=$V$3,IF(AQ870&lt;1,$V$8,$V$2&amp;" "&amp;AQ870&amp;" "&amp;$V$1),IF(AC870="SKLADEM",$V$6,IFERROR(IF(OR(AC870-TODAY()&gt;45,VLOOKUP(C870,[1]List1!$A:$E,4,FALSE)=0),AC870,DAY(AC870)&amp;"."&amp;MONTH(AC870)&amp;"."&amp;YEAR(AC870)&amp;" "&amp;$V$4&amp;VLOOKUP(C870,[1]List1!$A:$E,4,FALSE)&amp;" "&amp;$V$1),AC870))))</f>
        <v>SKLADEM</v>
      </c>
      <c r="AE870" s="645" t="str">
        <f t="shared" ca="1" si="2733"/>
        <v>SKLADEM</v>
      </c>
      <c r="AF870" s="648">
        <f t="shared" si="2734"/>
        <v>0</v>
      </c>
      <c r="AG870" s="649">
        <f t="shared" si="2735"/>
        <v>0</v>
      </c>
      <c r="AH870" s="650">
        <f t="shared" si="2736"/>
        <v>0</v>
      </c>
      <c r="AI870" s="645">
        <f t="shared" si="2737"/>
        <v>0</v>
      </c>
      <c r="AJ870" s="645">
        <f t="shared" si="2738"/>
        <v>0</v>
      </c>
      <c r="AK870" s="645" t="str">
        <f t="shared" si="2739"/>
        <v/>
      </c>
      <c r="AL870" s="645" t="str">
        <f t="shared" si="2740"/>
        <v/>
      </c>
      <c r="AM870" s="645">
        <f t="shared" si="2741"/>
        <v>0</v>
      </c>
      <c r="AN870" s="651">
        <f t="shared" si="2742"/>
        <v>0</v>
      </c>
      <c r="AO870" s="623"/>
      <c r="AP870" s="625" t="str">
        <f t="shared" si="2679"/>
        <v/>
      </c>
      <c r="AQ870" s="625" t="str">
        <f>IF(AC870=$V$3,IF(VLOOKUP(C870,[1]List1!$A:$E,5,FALSE)=0,1,VLOOKUP(C870,[1]List1!$A:$E,5,FALSE)),"")</f>
        <v/>
      </c>
      <c r="AR870" s="629" t="str">
        <f t="shared" si="2680"/>
        <v/>
      </c>
      <c r="AS870" s="630" t="str">
        <f t="shared" si="2681"/>
        <v/>
      </c>
      <c r="AT870" s="625" t="str">
        <f t="shared" si="2682"/>
        <v/>
      </c>
      <c r="AU870" s="625" t="e">
        <f t="shared" si="2683"/>
        <v>#N/A</v>
      </c>
      <c r="AV870" s="625" t="e">
        <f t="shared" si="2684"/>
        <v>#N/A</v>
      </c>
      <c r="AW870" s="631"/>
      <c r="AX870" s="631">
        <f>IF(AND('General price list'!$J870="F4",'General price list'!$AB870+0&gt;0),1,0)</f>
        <v>0</v>
      </c>
      <c r="AY870" s="631">
        <f t="shared" si="2685"/>
        <v>1</v>
      </c>
      <c r="AZ870" s="631">
        <f t="shared" si="2686"/>
        <v>0</v>
      </c>
    </row>
    <row r="871" spans="1:52" ht="15" customHeight="1">
      <c r="A871" s="621" t="str">
        <f>Kat.!C871</f>
        <v/>
      </c>
      <c r="B871" s="566">
        <f>IF(AND('General price list'!$J871="F4",$AI$1=FALSE),0,IF(AC871="SKLADEM",1,IF(AC871=$V$3,1,0)))</f>
        <v>0</v>
      </c>
      <c r="C871" s="641" t="s">
        <v>12486</v>
      </c>
      <c r="D871" s="568" t="s">
        <v>12606</v>
      </c>
      <c r="E871" s="763" t="s">
        <v>12663</v>
      </c>
      <c r="F871" s="791">
        <f>IFERROR(VLOOKUP(C871,[2]List1!$A:$D,3,FALSE),"NEUVEDENO!")</f>
        <v>7630</v>
      </c>
      <c r="G871" s="769">
        <f t="shared" si="2729"/>
        <v>7630</v>
      </c>
      <c r="H871" s="766">
        <f t="shared" si="2730"/>
        <v>324.11124279457806</v>
      </c>
      <c r="I871" s="764">
        <f>IFERROR(VLOOKUP(C871,[2]List1!$A:$D,4,FALSE),"NEUVEDENO!")</f>
        <v>1</v>
      </c>
      <c r="J871" s="732" t="s">
        <v>39</v>
      </c>
      <c r="K871" s="569" t="s">
        <v>13032</v>
      </c>
      <c r="L871" s="569"/>
      <c r="M871" s="569" t="s">
        <v>114</v>
      </c>
      <c r="N871" s="569">
        <f>IFERROR(VLOOKUP(C871,[3]List1!$A:$D,4,FALSE),"N/A!")</f>
        <v>7.0057750000000002E-2</v>
      </c>
      <c r="O871" s="569">
        <f>IFERROR(VLOOKUP(C871,[3]List1!$A:$D,3,FALSE),"N/A!")</f>
        <v>0</v>
      </c>
      <c r="P871" s="569" t="str">
        <f>IFERROR(VLOOKUP(C871,[3]List1!$A:$D,2,FALSE),"N/A!")</f>
        <v/>
      </c>
      <c r="Q871" s="569"/>
      <c r="R871" s="569"/>
      <c r="S871" s="569" t="str">
        <f>IF($W$17=$AF$1,"červená fólie",IFERROR(VLOOKUP("červená fólie",Jazyky_ceník!$A:$Q,MATCH($W$17,Jazyky_ceník!$A$1:$Q$1,0),FALSE),"!!!"))</f>
        <v>červená fólie</v>
      </c>
      <c r="T871" s="569">
        <v>80</v>
      </c>
      <c r="U871" s="569"/>
      <c r="V871" s="569"/>
      <c r="W871" s="569" t="str">
        <f>IFERROR(IF(AND($AB871&gt;=0.1*$AA871,MOD($AB871,$AA871)&gt;=($AA871-(0.1*$AA871))),IF($W$17=$AF$1,"Zvažte možnost doobjednání ještě "&amp;Tabulka1[[#This Row],[VKPAL]]-MOD(AB871,AA871)&amp;" VK do plné palety.",VLOOKUP("Zvažte možnost doobjednání ještě ",Jazyky_ceník!A:Q,MATCH($W$17,Jazyky_ceník!$A$1:$Q$1,0),FALSE)&amp;Tabulka1[[#This Row],[VKPAL]]-MOD(AB871,AA871)&amp;VLOOKUP(" VK do plné palety.",Jazyky_ceník!A:Q,MATCH($W$17,Jazyky_ceník!$A$1:$Q$1,0),FALSE)),IFERROR(IF(AND(NOT(MOD($AB871,$AA871)=0),$AB871&gt;=0.9*$AA871,MOD($AB871,$AA871)&lt;=0.1*$AA871),IF($W$17=$AF$1,"Zvažte možnost optimalizace objednaného množství podle počtu VK na paletě ==&gt;",VLOOKUP("Zvažte možnost optimalizace objednaného množství podle počtu VK na paletě ==&gt;",Jazyky_ceník!A:Q,MATCH($W$17,Jazyky_ceník!$A$1:$Q$1,0),FALSE)),VLOOKUP('General price list'!$C871,Popisy!A:M,MATCH($W$17,Popisy!$A$7:$M$7,0),FALSE)),"---------------")),IFERROR(VLOOKUP('General price list'!$C871,Popisy!A:M,MATCH($W$17,Popisy!$A$7:$M$7,0),FALSE),"---------------"))</f>
        <v>20 různobarevných efektů</v>
      </c>
      <c r="X871" s="569" t="str">
        <f t="shared" si="2731"/>
        <v/>
      </c>
      <c r="Y871" s="569" t="str">
        <f t="shared" si="2732"/>
        <v/>
      </c>
      <c r="Z871" s="806" t="str">
        <f>HYPERLINK("https://www.klasekpyrotechnics.cz/rk-92-2565rk-96-2566")</f>
        <v>https://www.klasekpyrotechnics.cz/rk-92-2565rk-96-2566</v>
      </c>
      <c r="AA871" s="569" t="str">
        <f>IFERROR(IF(VLOOKUP(C871,[4]List1!$A:$D,4,FALSE)=0,"",VLOOKUP(C871,[4]List1!$A:$D,4,FALSE)),"")</f>
        <v/>
      </c>
      <c r="AB871" s="565"/>
      <c r="AC871" s="570" t="str">
        <f>IFERROR(IF(VLOOKUP(C871,[1]List1!$A:$D,2,FALSE)="VYPRODÁNO",$V$9,IF(VLOOKUP(C871,[1]List1!$A:$D,2,FALSE)="DOCHÁZÍ",$V$3,VLOOKUP(C871,[1]List1!$A:$D,2,FALSE))),"OFFLINE!")</f>
        <v>31.08.2026</v>
      </c>
      <c r="AD871" s="570" t="str">
        <f ca="1">IF(AP871="NE",$V$10,IF(AC871=$V$3,IF(AQ871&lt;1,$V$8,$V$2&amp;" "&amp;AQ871&amp;" "&amp;$V$1),IF(AC871="SKLADEM",$V$6,IFERROR(IF(OR(AC871-TODAY()&gt;45,VLOOKUP(C871,[1]List1!$A:$E,4,FALSE)=0),AC871,DAY(AC871)&amp;"."&amp;MONTH(AC871)&amp;"."&amp;YEAR(AC871)&amp;" "&amp;$V$4&amp;VLOOKUP(C871,[1]List1!$A:$E,4,FALSE)&amp;" "&amp;$V$1),AC871))))</f>
        <v>31.08.2026</v>
      </c>
      <c r="AE871" s="581" t="str">
        <f t="shared" ca="1" si="2733"/>
        <v>31.08.2026</v>
      </c>
      <c r="AF871" s="584">
        <f t="shared" si="2734"/>
        <v>0</v>
      </c>
      <c r="AG871" s="585">
        <f t="shared" si="2735"/>
        <v>0</v>
      </c>
      <c r="AH871" s="583">
        <f t="shared" si="2736"/>
        <v>0</v>
      </c>
      <c r="AI871" s="582">
        <f t="shared" si="2737"/>
        <v>0</v>
      </c>
      <c r="AJ871" s="569">
        <f t="shared" si="2738"/>
        <v>0</v>
      </c>
      <c r="AK871" s="569" t="str">
        <f t="shared" si="2739"/>
        <v/>
      </c>
      <c r="AL871" s="569">
        <f t="shared" si="2740"/>
        <v>0</v>
      </c>
      <c r="AM871" s="569" t="str">
        <f t="shared" si="2741"/>
        <v/>
      </c>
      <c r="AN871" s="581">
        <f t="shared" si="2742"/>
        <v>0</v>
      </c>
      <c r="AO871" s="623"/>
      <c r="AP871" s="632" t="str">
        <f t="shared" si="2679"/>
        <v/>
      </c>
      <c r="AQ871" s="633" t="str">
        <f>IF(AC871=$V$3,IF(VLOOKUP(C871,[1]List1!$A:$E,5,FALSE)=0,1,VLOOKUP(C871,[1]List1!$A:$E,5,FALSE)),"")</f>
        <v/>
      </c>
      <c r="AR871" s="625" t="str">
        <f t="shared" si="2680"/>
        <v/>
      </c>
      <c r="AS871" s="634" t="str">
        <f t="shared" si="2681"/>
        <v/>
      </c>
      <c r="AT871" s="625" t="str">
        <f t="shared" si="2682"/>
        <v/>
      </c>
      <c r="AU871" s="638" t="e">
        <f t="shared" si="2683"/>
        <v>#N/A</v>
      </c>
      <c r="AV871" s="625" t="e">
        <f t="shared" si="2684"/>
        <v>#N/A</v>
      </c>
      <c r="AX871" s="625">
        <f>IF(AND('General price list'!$J871="F4",'General price list'!$AB871+0&gt;0),1,0)</f>
        <v>0</v>
      </c>
      <c r="AY871" s="625">
        <f t="shared" si="2685"/>
        <v>0</v>
      </c>
      <c r="AZ871" s="625">
        <f t="shared" si="2686"/>
        <v>0</v>
      </c>
    </row>
    <row r="872" spans="1:52" ht="15" customHeight="1">
      <c r="A872" s="639" t="str">
        <f>Kat.!C872</f>
        <v/>
      </c>
      <c r="B872" s="640">
        <f>IF(AND('General price list'!$J872="F4",$AI$1=FALSE),0,IF(AC872="SKLADEM",1,IF(AC872=$V$3,1,0)))</f>
        <v>0</v>
      </c>
      <c r="C872" s="641" t="s">
        <v>12487</v>
      </c>
      <c r="D872" s="642" t="s">
        <v>12607</v>
      </c>
      <c r="E872" s="643" t="s">
        <v>12663</v>
      </c>
      <c r="F872" s="791">
        <f>IFERROR(VLOOKUP(C872,[2]List1!$A:$D,3,FALSE),"NEUVEDENO!")</f>
        <v>7768</v>
      </c>
      <c r="G872" s="768">
        <f t="shared" si="2729"/>
        <v>7768</v>
      </c>
      <c r="H872" s="765">
        <f t="shared" si="2730"/>
        <v>329.97328099977489</v>
      </c>
      <c r="I872" s="644">
        <f>IFERROR(VLOOKUP(C872,[2]List1!$A:$D,4,FALSE),"NEUVEDENO!")</f>
        <v>1</v>
      </c>
      <c r="J872" s="733" t="s">
        <v>39</v>
      </c>
      <c r="K872" s="645" t="s">
        <v>13032</v>
      </c>
      <c r="L872" s="645"/>
      <c r="M872" s="645" t="s">
        <v>114</v>
      </c>
      <c r="N872" s="645">
        <f>IFERROR(VLOOKUP(C872,[3]List1!$A:$D,4,FALSE),"N/A!")</f>
        <v>7.9119999999999996E-2</v>
      </c>
      <c r="O872" s="645">
        <f>IFERROR(VLOOKUP(C872,[3]List1!$A:$D,3,FALSE),"N/A!")</f>
        <v>0</v>
      </c>
      <c r="P872" s="645" t="str">
        <f>IFERROR(VLOOKUP(C872,[3]List1!$A:$D,2,FALSE),"N/A!")</f>
        <v/>
      </c>
      <c r="Q872" s="645"/>
      <c r="R872" s="645"/>
      <c r="S872" s="645" t="str">
        <f>IF($W$17=$AF$1,"červená fólie",IFERROR(VLOOKUP("červená fólie",Jazyky_ceník!$A:$Q,MATCH($W$17,Jazyky_ceník!$A$1:$Q$1,0),FALSE),"!!!"))</f>
        <v>červená fólie</v>
      </c>
      <c r="T872" s="645">
        <v>90</v>
      </c>
      <c r="U872" s="645"/>
      <c r="V872" s="645"/>
      <c r="W872" s="645" t="str">
        <f>IFERROR(IF(AND($AB872&gt;=0.1*$AA872,MOD($AB872,$AA872)&gt;=($AA872-(0.1*$AA872))),IF($W$17=$AF$1,"Zvažte možnost doobjednání ještě "&amp;Tabulka1[[#This Row],[VKPAL]]-MOD(AB872,AA872)&amp;" VK do plné palety.",VLOOKUP("Zvažte možnost doobjednání ještě ",Jazyky_ceník!A:Q,MATCH($W$17,Jazyky_ceník!$A$1:$Q$1,0),FALSE)&amp;Tabulka1[[#This Row],[VKPAL]]-MOD(AB872,AA872)&amp;VLOOKUP(" VK do plné palety.",Jazyky_ceník!A:Q,MATCH($W$17,Jazyky_ceník!$A$1:$Q$1,0),FALSE)),IFERROR(IF(AND(NOT(MOD($AB872,$AA872)=0),$AB872&gt;=0.9*$AA872,MOD($AB872,$AA872)&lt;=0.1*$AA872),IF($W$17=$AF$1,"Zvažte možnost optimalizace objednaného množství podle počtu VK na paletě ==&gt;",VLOOKUP("Zvažte možnost optimalizace objednaného množství podle počtu VK na paletě ==&gt;",Jazyky_ceník!A:Q,MATCH($W$17,Jazyky_ceník!$A$1:$Q$1,0),FALSE)),VLOOKUP('General price list'!$C872,Popisy!A:M,MATCH($W$17,Popisy!$A$7:$M$7,0),FALSE)),"---------------")),IFERROR(VLOOKUP('General price list'!$C872,Popisy!A:M,MATCH($W$17,Popisy!$A$7:$M$7,0),FALSE),"---------------"))</f>
        <v>20 různobarevných efektů</v>
      </c>
      <c r="X872" s="645" t="str">
        <f t="shared" si="2731"/>
        <v/>
      </c>
      <c r="Y872" s="645" t="str">
        <f t="shared" si="2732"/>
        <v/>
      </c>
      <c r="Z872" s="807" t="str">
        <f>HYPERLINK("https://www.klasekpyrotechnics.cz/hf-96-2418-hf-96-2419")</f>
        <v>https://www.klasekpyrotechnics.cz/hf-96-2418-hf-96-2419</v>
      </c>
      <c r="AA872" s="645" t="str">
        <f>IFERROR(IF(VLOOKUP(C872,[4]List1!$A:$D,4,FALSE)=0,"",VLOOKUP(C872,[4]List1!$A:$D,4,FALSE)),"")</f>
        <v/>
      </c>
      <c r="AB872" s="646"/>
      <c r="AC872" s="647" t="str">
        <f>IFERROR(IF(VLOOKUP(C872,[1]List1!$A:$D,2,FALSE)="VYPRODÁNO",$V$9,IF(VLOOKUP(C872,[1]List1!$A:$D,2,FALSE)="DOCHÁZÍ",$V$3,VLOOKUP(C872,[1]List1!$A:$D,2,FALSE))),"OFFLINE!")</f>
        <v>31.08.2026</v>
      </c>
      <c r="AD872" s="647" t="str">
        <f ca="1">IF(AP872="NE",$V$10,IF(AC872=$V$3,IF(AQ872&lt;1,$V$8,$V$2&amp;" "&amp;AQ872&amp;" "&amp;$V$1),IF(AC872="SKLADEM",$V$6,IFERROR(IF(OR(AC872-TODAY()&gt;45,VLOOKUP(C872,[1]List1!$A:$E,4,FALSE)=0),AC872,DAY(AC872)&amp;"."&amp;MONTH(AC872)&amp;"."&amp;YEAR(AC872)&amp;" "&amp;$V$4&amp;VLOOKUP(C872,[1]List1!$A:$E,4,FALSE)&amp;" "&amp;$V$1),AC872))))</f>
        <v>31.08.2026</v>
      </c>
      <c r="AE872" s="645" t="str">
        <f t="shared" ca="1" si="2733"/>
        <v>31.08.2026</v>
      </c>
      <c r="AF872" s="648">
        <f t="shared" si="2734"/>
        <v>0</v>
      </c>
      <c r="AG872" s="649">
        <f t="shared" si="2735"/>
        <v>0</v>
      </c>
      <c r="AH872" s="650">
        <f t="shared" si="2736"/>
        <v>0</v>
      </c>
      <c r="AI872" s="645">
        <f t="shared" si="2737"/>
        <v>0</v>
      </c>
      <c r="AJ872" s="645">
        <f t="shared" si="2738"/>
        <v>0</v>
      </c>
      <c r="AK872" s="645" t="str">
        <f t="shared" si="2739"/>
        <v/>
      </c>
      <c r="AL872" s="645">
        <f t="shared" si="2740"/>
        <v>0</v>
      </c>
      <c r="AM872" s="645" t="str">
        <f t="shared" si="2741"/>
        <v/>
      </c>
      <c r="AN872" s="651">
        <f t="shared" si="2742"/>
        <v>0</v>
      </c>
      <c r="AO872" s="623"/>
      <c r="AP872" s="632" t="str">
        <f t="shared" si="2679"/>
        <v/>
      </c>
      <c r="AQ872" s="633" t="str">
        <f>IF(AC872=$V$3,IF(VLOOKUP(C872,[1]List1!$A:$E,5,FALSE)=0,1,VLOOKUP(C872,[1]List1!$A:$E,5,FALSE)),"")</f>
        <v/>
      </c>
      <c r="AR872" s="625" t="str">
        <f t="shared" si="2680"/>
        <v/>
      </c>
      <c r="AS872" s="634" t="str">
        <f t="shared" si="2681"/>
        <v/>
      </c>
      <c r="AT872" s="625" t="str">
        <f t="shared" si="2682"/>
        <v/>
      </c>
      <c r="AU872" s="638" t="e">
        <f t="shared" si="2683"/>
        <v>#N/A</v>
      </c>
      <c r="AV872" s="625" t="e">
        <f t="shared" si="2684"/>
        <v>#N/A</v>
      </c>
      <c r="AX872" s="625">
        <f>IF(AND('General price list'!$J872="F4",'General price list'!$AB872+0&gt;0),1,0)</f>
        <v>0</v>
      </c>
      <c r="AY872" s="625">
        <f t="shared" si="2685"/>
        <v>0</v>
      </c>
      <c r="AZ872" s="625">
        <f t="shared" si="2686"/>
        <v>0</v>
      </c>
    </row>
    <row r="873" spans="1:52" ht="15" customHeight="1">
      <c r="A873" s="621" t="str">
        <f>Kat.!C873</f>
        <v/>
      </c>
      <c r="B873" s="566">
        <f>IF(AND('General price list'!$J873="F4",$AI$1=FALSE),0,IF(AC873="SKLADEM",1,IF(AC873=$V$3,1,0)))</f>
        <v>1</v>
      </c>
      <c r="C873" s="567" t="s">
        <v>11642</v>
      </c>
      <c r="D873" s="568" t="s">
        <v>12608</v>
      </c>
      <c r="E873" s="763" t="s">
        <v>12663</v>
      </c>
      <c r="F873" s="791">
        <f>IFERROR(VLOOKUP(C873,[2]List1!$A:$D,3,FALSE),"NEUVEDENO!")</f>
        <v>9271</v>
      </c>
      <c r="G873" s="769">
        <f t="shared" si="2729"/>
        <v>9271</v>
      </c>
      <c r="H873" s="766">
        <f t="shared" si="2730"/>
        <v>393.81852319115768</v>
      </c>
      <c r="I873" s="764">
        <f>IFERROR(VLOOKUP(C873,[2]List1!$A:$D,4,FALSE),"NEUVEDENO!")</f>
        <v>1</v>
      </c>
      <c r="J873" s="732" t="s">
        <v>39</v>
      </c>
      <c r="K873" s="569" t="s">
        <v>11100</v>
      </c>
      <c r="L873" s="569"/>
      <c r="M873" s="569" t="s">
        <v>114</v>
      </c>
      <c r="N873" s="569">
        <f>IFERROR(VLOOKUP(C873,[3]List1!$A:$D,4,FALSE),"N/A!")</f>
        <v>0.10832849999999999</v>
      </c>
      <c r="O873" s="569">
        <f>IFERROR(VLOOKUP(C873,[3]List1!$A:$D,3,FALSE),"N/A!")</f>
        <v>3540</v>
      </c>
      <c r="P873" s="569">
        <f>IFERROR(VLOOKUP(C873,[3]List1!$A:$D,2,FALSE),"N/A!")</f>
        <v>28000</v>
      </c>
      <c r="Q873" s="569" t="s">
        <v>12271</v>
      </c>
      <c r="R873" s="569"/>
      <c r="S873" s="569" t="str">
        <f>IF($W$17=$AF$1,"červená fólie",IFERROR(VLOOKUP("červená fólie",Jazyky_ceník!$A:$Q,MATCH($W$17,Jazyky_ceník!$A$1:$Q$1,0),FALSE),"!!!"))</f>
        <v>červená fólie</v>
      </c>
      <c r="T873" s="569">
        <v>70</v>
      </c>
      <c r="U873" s="569"/>
      <c r="V873" s="569"/>
      <c r="W873" s="569" t="str">
        <f>IFERROR(IF(AND($AB873&gt;=0.1*$AA873,MOD($AB873,$AA873)&gt;=($AA873-(0.1*$AA873))),IF($W$17=$AF$1,"Zvažte možnost doobjednání ještě "&amp;Tabulka1[[#This Row],[VKPAL]]-MOD(AB873,AA873)&amp;" VK do plné palety.",VLOOKUP("Zvažte možnost doobjednání ještě ",Jazyky_ceník!A:Q,MATCH($W$17,Jazyky_ceník!$A$1:$Q$1,0),FALSE)&amp;Tabulka1[[#This Row],[VKPAL]]-MOD(AB873,AA873)&amp;VLOOKUP(" VK do plné palety.",Jazyky_ceník!A:Q,MATCH($W$17,Jazyky_ceník!$A$1:$Q$1,0),FALSE)),IFERROR(IF(AND(NOT(MOD($AB873,$AA873)=0),$AB873&gt;=0.9*$AA873,MOD($AB873,$AA873)&lt;=0.1*$AA873),IF($W$17=$AF$1,"Zvažte možnost optimalizace objednaného množství podle počtu VK na paletě ==&gt;",VLOOKUP("Zvažte možnost optimalizace objednaného množství podle počtu VK na paletě ==&gt;",Jazyky_ceník!A:Q,MATCH($W$17,Jazyky_ceník!$A$1:$Q$1,0),FALSE)),VLOOKUP('General price list'!$C873,Popisy!A:M,MATCH($W$17,Popisy!$A$7:$M$7,0),FALSE)),"---------------")),IFERROR(VLOOKUP('General price list'!$C873,Popisy!A:M,MATCH($W$17,Popisy!$A$7:$M$7,0),FALSE),"---------------"))</f>
        <v>20 různobarevných efektů</v>
      </c>
      <c r="X873" s="569" t="str">
        <f t="shared" si="2731"/>
        <v/>
      </c>
      <c r="Y873" s="569" t="str">
        <f t="shared" si="2732"/>
        <v/>
      </c>
      <c r="Z873" s="569" t="str">
        <f>HYPERLINK("https://www.klasekpyrotechnics.cz/hf-88-2487-hf-116-2488")</f>
        <v>https://www.klasekpyrotechnics.cz/hf-88-2487-hf-116-2488</v>
      </c>
      <c r="AA873" s="569" t="str">
        <f>IFERROR(IF(VLOOKUP(C873,[4]List1!$A:$D,4,FALSE)=0,"",VLOOKUP(C873,[4]List1!$A:$D,4,FALSE)),"")</f>
        <v/>
      </c>
      <c r="AB873" s="565"/>
      <c r="AC873" s="570" t="str">
        <f>IFERROR(IF(VLOOKUP(C873,[1]List1!$A:$D,2,FALSE)="VYPRODÁNO",$V$9,IF(VLOOKUP(C873,[1]List1!$A:$D,2,FALSE)="DOCHÁZÍ",$V$3,VLOOKUP(C873,[1]List1!$A:$D,2,FALSE))),"OFFLINE!")</f>
        <v>SKLADEM</v>
      </c>
      <c r="AD873" s="570" t="str">
        <f ca="1">IF(AP873="NE",$V$10,IF(AC873=$V$3,IF(AQ873&lt;1,$V$8,$V$2&amp;" "&amp;AQ873&amp;" "&amp;$V$1),IF(AC873="SKLADEM",$V$6,IFERROR(IF(OR(AC873-TODAY()&gt;45,VLOOKUP(C873,[1]List1!$A:$E,4,FALSE)=0),AC873,DAY(AC873)&amp;"."&amp;MONTH(AC873)&amp;"."&amp;YEAR(AC873)&amp;" "&amp;$V$4&amp;VLOOKUP(C873,[1]List1!$A:$E,4,FALSE)&amp;" "&amp;$V$1),AC873))))</f>
        <v>SKLADEM</v>
      </c>
      <c r="AE873" s="581" t="str">
        <f t="shared" ca="1" si="2733"/>
        <v>SKLADEM</v>
      </c>
      <c r="AF873" s="584">
        <f t="shared" si="2734"/>
        <v>0</v>
      </c>
      <c r="AG873" s="585">
        <f t="shared" si="2735"/>
        <v>0</v>
      </c>
      <c r="AH873" s="583">
        <f t="shared" si="2736"/>
        <v>0</v>
      </c>
      <c r="AI873" s="582">
        <f t="shared" si="2737"/>
        <v>0</v>
      </c>
      <c r="AJ873" s="569">
        <f t="shared" si="2738"/>
        <v>0</v>
      </c>
      <c r="AK873" s="569" t="str">
        <f t="shared" si="2739"/>
        <v/>
      </c>
      <c r="AL873" s="569">
        <f t="shared" si="2740"/>
        <v>0</v>
      </c>
      <c r="AM873" s="569" t="str">
        <f t="shared" si="2741"/>
        <v/>
      </c>
      <c r="AN873" s="581">
        <f t="shared" si="2742"/>
        <v>0</v>
      </c>
      <c r="AO873" s="623"/>
      <c r="AP873" s="632" t="str">
        <f t="shared" si="2679"/>
        <v/>
      </c>
      <c r="AQ873" s="633" t="str">
        <f>IF(AC873=$V$3,IF(VLOOKUP(C873,[1]List1!$A:$E,5,FALSE)=0,1,VLOOKUP(C873,[1]List1!$A:$E,5,FALSE)),"")</f>
        <v/>
      </c>
      <c r="AR873" s="625" t="str">
        <f t="shared" si="2680"/>
        <v/>
      </c>
      <c r="AS873" s="634" t="str">
        <f t="shared" si="2681"/>
        <v/>
      </c>
      <c r="AT873" s="625" t="str">
        <f t="shared" si="2682"/>
        <v/>
      </c>
      <c r="AU873" s="638" t="e">
        <f t="shared" si="2683"/>
        <v>#N/A</v>
      </c>
      <c r="AV873" s="625" t="e">
        <f t="shared" si="2684"/>
        <v>#N/A</v>
      </c>
      <c r="AX873" s="625">
        <f>IF(AND('General price list'!$J873="F4",'General price list'!$AB873+0&gt;0),1,0)</f>
        <v>0</v>
      </c>
      <c r="AY873" s="625">
        <f t="shared" si="2685"/>
        <v>1</v>
      </c>
      <c r="AZ873" s="625">
        <f t="shared" si="2686"/>
        <v>0</v>
      </c>
    </row>
    <row r="874" spans="1:52" ht="15" customHeight="1">
      <c r="A874" s="639" t="str">
        <f>Kat.!C874</f>
        <v/>
      </c>
      <c r="B874" s="640">
        <f>IF(AND('General price list'!$J874="F4",$AI$1=FALSE),0,IF(AC874="SKLADEM",1,IF(AC874=$V$3,1,0)))</f>
        <v>1</v>
      </c>
      <c r="C874" s="641" t="s">
        <v>11643</v>
      </c>
      <c r="D874" s="642" t="s">
        <v>12609</v>
      </c>
      <c r="E874" s="643" t="s">
        <v>12663</v>
      </c>
      <c r="F874" s="791">
        <f>IFERROR(VLOOKUP(C874,[2]List1!$A:$D,3,FALSE),"NEUVEDENO!")</f>
        <v>18399</v>
      </c>
      <c r="G874" s="770">
        <f t="shared" si="2729"/>
        <v>18399</v>
      </c>
      <c r="H874" s="767">
        <f t="shared" si="2730"/>
        <v>781.56261548852444</v>
      </c>
      <c r="I874" s="644">
        <f>IFERROR(VLOOKUP(C874,[2]List1!$A:$D,4,FALSE),"NEUVEDENO!")</f>
        <v>1</v>
      </c>
      <c r="J874" s="733" t="s">
        <v>39</v>
      </c>
      <c r="K874" s="645" t="s">
        <v>11100</v>
      </c>
      <c r="L874" s="645"/>
      <c r="M874" s="645" t="s">
        <v>114</v>
      </c>
      <c r="N874" s="645">
        <f>IFERROR(VLOOKUP(C874,[3]List1!$A:$D,4,FALSE),"N/A!")</f>
        <v>0.211641</v>
      </c>
      <c r="O874" s="645">
        <f>IFERROR(VLOOKUP(C874,[3]List1!$A:$D,3,FALSE),"N/A!")</f>
        <v>7890</v>
      </c>
      <c r="P874" s="645">
        <f>IFERROR(VLOOKUP(C874,[3]List1!$A:$D,2,FALSE),"N/A!")</f>
        <v>58600</v>
      </c>
      <c r="Q874" s="645" t="s">
        <v>12272</v>
      </c>
      <c r="R874" s="645"/>
      <c r="S874" s="645" t="str">
        <f>IF($W$17=$AF$1,"červená fólie",IFERROR(VLOOKUP("červená fólie",Jazyky_ceník!$A:$Q,MATCH($W$17,Jazyky_ceník!$A$1:$Q$1,0),FALSE),"!!!"))</f>
        <v>červená fólie</v>
      </c>
      <c r="T874" s="645">
        <v>160</v>
      </c>
      <c r="U874" s="645"/>
      <c r="V874" s="645"/>
      <c r="W874" s="645" t="str">
        <f>IFERROR(IF(AND($AB874&gt;=0.1*$AA874,MOD($AB874,$AA874)&gt;=($AA874-(0.1*$AA874))),IF($W$17=$AF$1,"Zvažte možnost doobjednání ještě "&amp;Tabulka1[[#This Row],[VKPAL]]-MOD(AB874,AA874)&amp;" VK do plné palety.",VLOOKUP("Zvažte možnost doobjednání ještě ",Jazyky_ceník!A:Q,MATCH($W$17,Jazyky_ceník!$A$1:$Q$1,0),FALSE)&amp;Tabulka1[[#This Row],[VKPAL]]-MOD(AB874,AA874)&amp;VLOOKUP(" VK do plné palety.",Jazyky_ceník!A:Q,MATCH($W$17,Jazyky_ceník!$A$1:$Q$1,0),FALSE)),IFERROR(IF(AND(NOT(MOD($AB874,$AA874)=0),$AB874&gt;=0.9*$AA874,MOD($AB874,$AA874)&lt;=0.1*$AA874),IF($W$17=$AF$1,"Zvažte možnost optimalizace objednaného množství podle počtu VK na paletě ==&gt;",VLOOKUP("Zvažte možnost optimalizace objednaného množství podle počtu VK na paletě ==&gt;",Jazyky_ceník!A:Q,MATCH($W$17,Jazyky_ceník!$A$1:$Q$1,0),FALSE)),VLOOKUP('General price list'!$C874,Popisy!A:M,MATCH($W$17,Popisy!$A$7:$M$7,0),FALSE)),"---------------")),IFERROR(VLOOKUP('General price list'!$C874,Popisy!A:M,MATCH($W$17,Popisy!$A$7:$M$7,0),FALSE),"---------------"))</f>
        <v>39 různobarevných efektů</v>
      </c>
      <c r="X874" s="645" t="str">
        <f t="shared" si="2731"/>
        <v/>
      </c>
      <c r="Y874" s="645" t="str">
        <f t="shared" si="2732"/>
        <v/>
      </c>
      <c r="Z874" s="645" t="str">
        <f>HYPERLINK("https://www.klasekpyrotechnics.cz/hf-98-24103-hf-96-24104-h")</f>
        <v>https://www.klasekpyrotechnics.cz/hf-98-24103-hf-96-24104-h</v>
      </c>
      <c r="AA874" s="645" t="str">
        <f>IFERROR(IF(VLOOKUP(C874,[4]List1!$A:$D,4,FALSE)=0,"",VLOOKUP(C874,[4]List1!$A:$D,4,FALSE)),"")</f>
        <v/>
      </c>
      <c r="AB874" s="646"/>
      <c r="AC874" s="647" t="str">
        <f>IFERROR(IF(VLOOKUP(C874,[1]List1!$A:$D,2,FALSE)="VYPRODÁNO",$V$9,IF(VLOOKUP(C874,[1]List1!$A:$D,2,FALSE)="DOCHÁZÍ",$V$3,VLOOKUP(C874,[1]List1!$A:$D,2,FALSE))),"OFFLINE!")</f>
        <v>SKLADEM</v>
      </c>
      <c r="AD874" s="647" t="str">
        <f ca="1">IF(AP874="NE",$V$10,IF(AC874=$V$3,IF(AQ874&lt;1,$V$8,$V$2&amp;" "&amp;AQ874&amp;" "&amp;$V$1),IF(AC874="SKLADEM",$V$6,IFERROR(IF(OR(AC874-TODAY()&gt;45,VLOOKUP(C874,[1]List1!$A:$E,4,FALSE)=0),AC874,DAY(AC874)&amp;"."&amp;MONTH(AC874)&amp;"."&amp;YEAR(AC874)&amp;" "&amp;$V$4&amp;VLOOKUP(C874,[1]List1!$A:$E,4,FALSE)&amp;" "&amp;$V$1),AC874))))</f>
        <v>SKLADEM</v>
      </c>
      <c r="AE874" s="645" t="str">
        <f t="shared" ca="1" si="2733"/>
        <v>SKLADEM</v>
      </c>
      <c r="AF874" s="648">
        <f t="shared" si="2734"/>
        <v>0</v>
      </c>
      <c r="AG874" s="649">
        <f t="shared" si="2735"/>
        <v>0</v>
      </c>
      <c r="AH874" s="650">
        <f t="shared" si="2736"/>
        <v>0</v>
      </c>
      <c r="AI874" s="645">
        <f t="shared" si="2737"/>
        <v>0</v>
      </c>
      <c r="AJ874" s="645">
        <f t="shared" si="2738"/>
        <v>0</v>
      </c>
      <c r="AK874" s="645" t="str">
        <f t="shared" si="2739"/>
        <v/>
      </c>
      <c r="AL874" s="645">
        <f t="shared" si="2740"/>
        <v>0</v>
      </c>
      <c r="AM874" s="645" t="str">
        <f t="shared" si="2741"/>
        <v/>
      </c>
      <c r="AN874" s="651">
        <f t="shared" si="2742"/>
        <v>0</v>
      </c>
      <c r="AO874" s="623"/>
      <c r="AP874" s="632" t="str">
        <f t="shared" si="2679"/>
        <v/>
      </c>
      <c r="AQ874" s="633" t="str">
        <f>IF(AC874=$V$3,IF(VLOOKUP(C874,[1]List1!$A:$E,5,FALSE)=0,1,VLOOKUP(C874,[1]List1!$A:$E,5,FALSE)),"")</f>
        <v/>
      </c>
      <c r="AR874" s="625" t="str">
        <f t="shared" si="2680"/>
        <v/>
      </c>
      <c r="AS874" s="634" t="str">
        <f t="shared" si="2681"/>
        <v/>
      </c>
      <c r="AT874" s="625" t="str">
        <f t="shared" si="2682"/>
        <v/>
      </c>
      <c r="AU874" s="638" t="e">
        <f t="shared" si="2683"/>
        <v>#N/A</v>
      </c>
      <c r="AV874" s="625" t="e">
        <f t="shared" si="2684"/>
        <v>#N/A</v>
      </c>
      <c r="AX874" s="625">
        <f>IF(AND('General price list'!$J874="F4",'General price list'!$AB874+0&gt;0),1,0)</f>
        <v>0</v>
      </c>
      <c r="AY874" s="625">
        <f t="shared" si="2685"/>
        <v>1</v>
      </c>
      <c r="AZ874" s="625">
        <f t="shared" si="2686"/>
        <v>0</v>
      </c>
    </row>
    <row r="875" spans="1:52" ht="15" customHeight="1">
      <c r="A875" s="751" t="str">
        <f>Kat.!C875</f>
        <v xml:space="preserve">           Baterie 135 ran, 20 mm šikmý moždíř</v>
      </c>
      <c r="B875" s="751"/>
      <c r="C875" s="751"/>
      <c r="D875" s="751"/>
      <c r="E875" s="751"/>
      <c r="F875" s="751"/>
      <c r="G875" s="751"/>
      <c r="H875" s="751"/>
      <c r="I875" s="752"/>
      <c r="J875" s="752"/>
      <c r="K875" s="752"/>
      <c r="L875" s="753" t="s">
        <v>20</v>
      </c>
      <c r="M875" s="752"/>
      <c r="N875" s="752"/>
      <c r="O875" s="752"/>
      <c r="P875" s="752"/>
      <c r="Q875" s="752"/>
      <c r="R875" s="752"/>
      <c r="S875" s="752"/>
      <c r="T875" s="752"/>
      <c r="U875" s="752"/>
      <c r="V875" s="752"/>
      <c r="W875" s="752"/>
      <c r="X875" s="752"/>
      <c r="Y875" s="752"/>
      <c r="Z875" s="752" t="s">
        <v>20</v>
      </c>
      <c r="AA875" s="752"/>
      <c r="AB875" s="752"/>
      <c r="AC875" s="754"/>
      <c r="AD875" s="752"/>
      <c r="AE875" s="752"/>
      <c r="AF875" s="752"/>
      <c r="AG875" s="752"/>
      <c r="AH875" s="752"/>
      <c r="AI875" s="752"/>
      <c r="AJ875" s="752"/>
      <c r="AK875" s="752"/>
      <c r="AL875" s="752"/>
      <c r="AM875" s="752"/>
      <c r="AN875" s="752"/>
      <c r="AO875" s="623"/>
      <c r="AP875" s="632" t="str">
        <f t="shared" si="2679"/>
        <v/>
      </c>
      <c r="AQ875" s="633" t="str">
        <f>IF(AC875=$V$3,IF(VLOOKUP(C875,[1]List1!$A:$E,5,FALSE)=0,1,VLOOKUP(C875,[1]List1!$A:$E,5,FALSE)),"")</f>
        <v/>
      </c>
      <c r="AR875" s="625" t="str">
        <f t="shared" si="2680"/>
        <v/>
      </c>
      <c r="AS875" s="634" t="str">
        <f t="shared" ref="AS875:AS916" si="2743">IF(AT875&lt;&gt;"","X","")</f>
        <v/>
      </c>
      <c r="AT875" s="625" t="str">
        <f t="shared" si="2682"/>
        <v/>
      </c>
      <c r="AU875" s="638" t="e">
        <f t="shared" si="2683"/>
        <v>#N/A</v>
      </c>
      <c r="AV875" s="625" t="e">
        <f t="shared" si="2684"/>
        <v>#N/A</v>
      </c>
      <c r="AX875" s="625">
        <f>IF(AND('General price list'!$J875="F4",'General price list'!$AB875+0&gt;0),1,0)</f>
        <v>0</v>
      </c>
      <c r="AY875" s="625">
        <f t="shared" si="2685"/>
        <v>0</v>
      </c>
      <c r="AZ875" s="625">
        <f t="shared" si="2686"/>
        <v>0</v>
      </c>
    </row>
    <row r="876" spans="1:52" ht="15" customHeight="1">
      <c r="A876" s="639" t="str">
        <f>Kat.!C876</f>
        <v/>
      </c>
      <c r="B876" s="640">
        <f>IF(AND('General price list'!$J876="F4",$AI$1=FALSE),0,IF(AC876="SKLADEM",1,IF(AC876=$V$3,1,0)))</f>
        <v>1</v>
      </c>
      <c r="C876" s="641" t="s">
        <v>1554</v>
      </c>
      <c r="D876" s="642" t="s">
        <v>1552</v>
      </c>
      <c r="E876" s="643" t="s">
        <v>12747</v>
      </c>
      <c r="F876" s="771">
        <f>IFERROR(VLOOKUP(C876,[2]List1!$A:$D,3,FALSE),"NEUVEDENO!")</f>
        <v>1617</v>
      </c>
      <c r="G876" s="768">
        <f t="shared" ref="G876:G881" si="2744">IF($W$17=$AF$8,ROUND((F876)/$F$17,2),(F876)*$B$19)</f>
        <v>1617</v>
      </c>
      <c r="H876" s="765">
        <f t="shared" ref="H876:H881" si="2745">IF($W$17=$AF$8,G876*$B$19,G876/$F$17)</f>
        <v>68.687795491328004</v>
      </c>
      <c r="I876" s="644">
        <f>IFERROR(VLOOKUP(C876,[2]List1!$A:$D,4,FALSE),"NEUVEDENO!")</f>
        <v>2</v>
      </c>
      <c r="J876" s="733" t="s">
        <v>113</v>
      </c>
      <c r="K876" s="645" t="s">
        <v>20</v>
      </c>
      <c r="L876" s="645" t="s">
        <v>20</v>
      </c>
      <c r="M876" s="645" t="s">
        <v>114</v>
      </c>
      <c r="N876" s="645">
        <f>IFERROR(VLOOKUP(C876,[3]List1!$A:$D,4,FALSE),"N/A!")</f>
        <v>4.9821749999999998E-2</v>
      </c>
      <c r="O876" s="645">
        <f>IFERROR(VLOOKUP(C876,[3]List1!$A:$D,3,FALSE),"N/A!")</f>
        <v>2000</v>
      </c>
      <c r="P876" s="645">
        <f>IFERROR(VLOOKUP(C876,[3]List1!$A:$D,2,FALSE),"N/A!")</f>
        <v>14800</v>
      </c>
      <c r="Q876" s="645" t="s">
        <v>11804</v>
      </c>
      <c r="R876" s="645"/>
      <c r="S876" s="645" t="str">
        <f>IF($W$17=$AF$1,"design",IFERROR(VLOOKUP("design",Jazyky_ceník!$A:$Q,MATCH($W$17,Jazyky_ceník!$A$1:$Q$1,0),FALSE),"!!!"))</f>
        <v>design</v>
      </c>
      <c r="T876" s="645">
        <v>10</v>
      </c>
      <c r="U876" s="645">
        <v>25</v>
      </c>
      <c r="V876" s="645">
        <v>16</v>
      </c>
      <c r="W876" s="645" t="str">
        <f>IFERROR(IF(AND($AB876&gt;=0.1*$AA876,MOD($AB876,$AA876)&gt;=($AA876-(0.1*$AA876))),IF($W$17=$AF$1,"Zvažte možnost doobjednání ještě "&amp;Tabulka1[[#This Row],[VKPAL]]-MOD(AB876,AA876)&amp;" VK do plné palety.",VLOOKUP("Zvažte možnost doobjednání ještě ",Jazyky_ceník!A:Q,MATCH($W$17,Jazyky_ceník!$A$1:$Q$1,0),FALSE)&amp;Tabulka1[[#This Row],[VKPAL]]-MOD(AB876,AA876)&amp;VLOOKUP(" VK do plné palety.",Jazyky_ceník!A:Q,MATCH($W$17,Jazyky_ceník!$A$1:$Q$1,0),FALSE)),IFERROR(IF(AND(NOT(MOD($AB876,$AA876)=0),$AB876&gt;=0.9*$AA876,MOD($AB876,$AA876)&lt;=0.1*$AA876),IF($W$17=$AF$1,"Zvažte možnost optimalizace objednaného množství podle počtu VK na paletě ==&gt;",VLOOKUP("Zvažte možnost optimalizace objednaného množství podle počtu VK na paletě ==&gt;",Jazyky_ceník!A:Q,MATCH($W$17,Jazyky_ceník!$A$1:$Q$1,0),FALSE)),VLOOKUP('General price list'!$C876,Popisy!A:M,MATCH($W$17,Popisy!$A$7:$M$7,0),FALSE)),"---------------")),IFERROR(VLOOKUP('General price list'!$C876,Popisy!A:M,MATCH($W$17,Popisy!$A$7:$M$7,0),FALSE),"---------------"))</f>
        <v>red tail up to white glitter+green tail up to white glitter</v>
      </c>
      <c r="X876" s="645" t="str">
        <f t="shared" ref="X876:X881" si="2746">IF(AB876&lt;0.0001,"",AB876)</f>
        <v/>
      </c>
      <c r="Y876" s="645" t="str">
        <f t="shared" ref="Y876:Y881" si="2747">IF($AL$3=2,IF(OR(AB876&lt;&gt;"",AB876&lt;&gt;0),AU876,""),IF(C876="","",IF(AB876&lt;0.0001,"",IF(B876=0,"",IF(AQ876&lt;AB876,"",AB876)))))</f>
        <v/>
      </c>
      <c r="Z876" s="645" t="str">
        <f>HYPERLINK("https://www.klasekpyrotechnics.cz/cx1352x2")</f>
        <v>https://www.klasekpyrotechnics.cz/cx1352x2</v>
      </c>
      <c r="AA876" s="645">
        <f>IFERROR(IF(VLOOKUP(C876,[4]List1!$A:$D,4,FALSE)=0,"",VLOOKUP(C876,[4]List1!$A:$D,4,FALSE)),"")</f>
        <v>20</v>
      </c>
      <c r="AB876" s="646"/>
      <c r="AC876" s="647" t="str">
        <f>IFERROR(IF(VLOOKUP(C876,[1]List1!$A:$D,2,FALSE)="VYPRODÁNO",$V$9,IF(VLOOKUP(C876,[1]List1!$A:$D,2,FALSE)="DOCHÁZÍ",$V$3,VLOOKUP(C876,[1]List1!$A:$D,2,FALSE))),"OFFLINE!")</f>
        <v>SKLADEM</v>
      </c>
      <c r="AD876" s="647" t="str">
        <f ca="1">IF(AP876="NE",$V$10,IF(AC876=$V$3,IF(AQ876&lt;1,$V$8,$V$2&amp;" "&amp;AQ876&amp;" "&amp;$V$1),IF(AC876="SKLADEM",$V$6,IFERROR(IF(OR(AC876-TODAY()&gt;45,VLOOKUP(C876,[1]List1!$A:$E,4,FALSE)=0),AC876,DAY(AC876)&amp;"."&amp;MONTH(AC876)&amp;"."&amp;YEAR(AC876)&amp;" "&amp;$V$4&amp;VLOOKUP(C876,[1]List1!$A:$E,4,FALSE)&amp;" "&amp;$V$1),AC876))))</f>
        <v>SKLADEM</v>
      </c>
      <c r="AE876" s="645" t="str">
        <f t="shared" ref="AE876:AE881" ca="1" si="2748">IFERROR(IF(AV876&lt;&gt;"",AV876,AD876),AD876)</f>
        <v>SKLADEM</v>
      </c>
      <c r="AF876" s="648">
        <f t="shared" ref="AF876:AF881" si="2749">IFERROR(IF(AB876=Y876,G876*I876*Y876,0),0)</f>
        <v>0</v>
      </c>
      <c r="AG876" s="649">
        <f t="shared" ref="AG876:AG881" si="2750">IF($W$17=$AF$8,AH876*1.23,AF876*1.21)</f>
        <v>0</v>
      </c>
      <c r="AH876" s="650">
        <f t="shared" ref="AH876:AH881" si="2751">IFERROR(IF(Y876=AB876,H876*I876*Y876,0),0)</f>
        <v>0</v>
      </c>
      <c r="AI876" s="645">
        <f t="shared" ref="AI876:AI881" si="2752">IFERROR(IF(Y876=AB876,(P876*Y876)/1000,1),0)</f>
        <v>0</v>
      </c>
      <c r="AJ876" s="645">
        <f t="shared" ref="AJ876:AJ881" si="2753">IFERROR(IF(Y876=AB876,N876*Y876,0.1),0)</f>
        <v>0</v>
      </c>
      <c r="AK876" s="645" t="str">
        <f t="shared" ref="AK876:AK881" si="2754">IFERROR(IF(Y876=AB876,IF(M876="1.1G",(O876/1000)*Y876,""),""),0)</f>
        <v/>
      </c>
      <c r="AL876" s="645">
        <f t="shared" ref="AL876:AL881" si="2755">IFERROR(IF(Y876=AB876,IF(M876="1.3G",(O876/1000)*AB876,""),""),0)</f>
        <v>0</v>
      </c>
      <c r="AM876" s="645" t="str">
        <f t="shared" ref="AM876:AM881" si="2756">IFERROR(IF(Y876=AB876,IF(M876="1.4G",(O876/1000)*AB876,""),""),0)</f>
        <v/>
      </c>
      <c r="AN876" s="651">
        <f t="shared" ref="AN876:AN881" si="2757">SUM(AK876:AM876)</f>
        <v>0</v>
      </c>
      <c r="AO876" s="623"/>
      <c r="AP876" s="632" t="str">
        <f t="shared" si="2679"/>
        <v/>
      </c>
      <c r="AQ876" s="633" t="str">
        <f>IF(AC876=$V$3,IF(VLOOKUP(C876,[1]List1!$A:$E,5,FALSE)=0,1,VLOOKUP(C876,[1]List1!$A:$E,5,FALSE)),"")</f>
        <v/>
      </c>
      <c r="AR876" s="625" t="str">
        <f t="shared" si="2680"/>
        <v/>
      </c>
      <c r="AS876" s="634" t="str">
        <f t="shared" si="2743"/>
        <v/>
      </c>
      <c r="AT876" s="625" t="str">
        <f t="shared" si="2682"/>
        <v/>
      </c>
      <c r="AU876" s="638" t="e">
        <f t="shared" si="2683"/>
        <v>#N/A</v>
      </c>
      <c r="AV876" s="625" t="e">
        <f t="shared" si="2684"/>
        <v>#N/A</v>
      </c>
      <c r="AX876" s="625">
        <f>IF(AND('General price list'!$J876="F4",'General price list'!$AB876+0&gt;0),1,0)</f>
        <v>0</v>
      </c>
      <c r="AY876" s="625">
        <f t="shared" si="2685"/>
        <v>1</v>
      </c>
      <c r="AZ876" s="625">
        <f t="shared" si="2686"/>
        <v>0</v>
      </c>
    </row>
    <row r="877" spans="1:52" ht="15" customHeight="1">
      <c r="A877" s="621" t="str">
        <f>Kat.!C877</f>
        <v/>
      </c>
      <c r="B877" s="566">
        <f>IF(AND('General price list'!$J877="F4",$AI$1=FALSE),0,IF(AC877="SKLADEM",1,IF(AC877=$V$3,1,0)))</f>
        <v>1</v>
      </c>
      <c r="C877" s="567" t="s">
        <v>1559</v>
      </c>
      <c r="D877" s="568" t="s">
        <v>1560</v>
      </c>
      <c r="E877" s="763" t="s">
        <v>12747</v>
      </c>
      <c r="F877" s="772">
        <f>IFERROR(VLOOKUP(C877,[2]List1!$A:$D,3,FALSE),"NEUVEDENO!")</f>
        <v>1617</v>
      </c>
      <c r="G877" s="769">
        <f t="shared" si="2744"/>
        <v>1617</v>
      </c>
      <c r="H877" s="766">
        <f t="shared" si="2745"/>
        <v>68.687795491328004</v>
      </c>
      <c r="I877" s="764">
        <f>IFERROR(VLOOKUP(C877,[2]List1!$A:$D,4,FALSE),"NEUVEDENO!")</f>
        <v>2</v>
      </c>
      <c r="J877" s="732" t="s">
        <v>113</v>
      </c>
      <c r="K877" s="569" t="s">
        <v>20</v>
      </c>
      <c r="L877" s="569" t="s">
        <v>20</v>
      </c>
      <c r="M877" s="569" t="s">
        <v>21</v>
      </c>
      <c r="N877" s="569">
        <f>IFERROR(VLOOKUP(C877,[3]List1!$A:$D,4,FALSE),"N/A!")</f>
        <v>4.9821749999999998E-2</v>
      </c>
      <c r="O877" s="569">
        <f>IFERROR(VLOOKUP(C877,[3]List1!$A:$D,3,FALSE),"N/A!")</f>
        <v>2000</v>
      </c>
      <c r="P877" s="569">
        <f>IFERROR(VLOOKUP(C877,[3]List1!$A:$D,2,FALSE),"N/A!")</f>
        <v>12800</v>
      </c>
      <c r="Q877" s="569" t="s">
        <v>11804</v>
      </c>
      <c r="R877" s="569"/>
      <c r="S877" s="569" t="str">
        <f>IF($W$17=$AF$1,"design",IFERROR(VLOOKUP("design",Jazyky_ceník!$A:$Q,MATCH($W$17,Jazyky_ceník!$A$1:$Q$1,0),FALSE),"!!!"))</f>
        <v>design</v>
      </c>
      <c r="T877" s="569">
        <v>8</v>
      </c>
      <c r="U877" s="569">
        <v>25</v>
      </c>
      <c r="V877" s="569">
        <v>16</v>
      </c>
      <c r="W877" s="569" t="str">
        <f>IFERROR(IF(AND($AB877&gt;=0.1*$AA877,MOD($AB877,$AA877)&gt;=($AA877-(0.1*$AA877))),IF($W$17=$AF$1,"Zvažte možnost doobjednání ještě "&amp;Tabulka1[[#This Row],[VKPAL]]-MOD(AB877,AA877)&amp;" VK do plné palety.",VLOOKUP("Zvažte možnost doobjednání ještě ",Jazyky_ceník!A:Q,MATCH($W$17,Jazyky_ceník!$A$1:$Q$1,0),FALSE)&amp;Tabulka1[[#This Row],[VKPAL]]-MOD(AB877,AA877)&amp;VLOOKUP(" VK do plné palety.",Jazyky_ceník!A:Q,MATCH($W$17,Jazyky_ceník!$A$1:$Q$1,0),FALSE)),IFERROR(IF(AND(NOT(MOD($AB877,$AA877)=0),$AB877&gt;=0.9*$AA877,MOD($AB877,$AA877)&lt;=0.1*$AA877),IF($W$17=$AF$1,"Zvažte možnost optimalizace objednaného množství podle počtu VK na paletě ==&gt;",VLOOKUP("Zvažte možnost optimalizace objednaného množství podle počtu VK na paletě ==&gt;",Jazyky_ceník!A:Q,MATCH($W$17,Jazyky_ceník!$A$1:$Q$1,0),FALSE)),VLOOKUP('General price list'!$C877,Popisy!A:M,MATCH($W$17,Popisy!$A$7:$M$7,0),FALSE)),"---------------")),IFERROR(VLOOKUP('General price list'!$C877,Popisy!A:M,MATCH($W$17,Popisy!$A$7:$M$7,0),FALSE),"---------------"))</f>
        <v>red tail up to delay cracker</v>
      </c>
      <c r="X877" s="569" t="str">
        <f t="shared" si="2746"/>
        <v/>
      </c>
      <c r="Y877" s="569" t="str">
        <f t="shared" si="2747"/>
        <v/>
      </c>
      <c r="Z877" s="569" t="str">
        <f>HYPERLINK("https://www.klasekpyrotechnics.cz/cf1352x6")</f>
        <v>https://www.klasekpyrotechnics.cz/cf1352x6</v>
      </c>
      <c r="AA877" s="569">
        <f>IFERROR(IF(VLOOKUP(C877,[4]List1!$A:$D,4,FALSE)=0,"",VLOOKUP(C877,[4]List1!$A:$D,4,FALSE)),"")</f>
        <v>20</v>
      </c>
      <c r="AB877" s="565"/>
      <c r="AC877" s="570" t="str">
        <f>IFERROR(IF(VLOOKUP(C877,[1]List1!$A:$D,2,FALSE)="VYPRODÁNO",$V$9,IF(VLOOKUP(C877,[1]List1!$A:$D,2,FALSE)="DOCHÁZÍ",$V$3,VLOOKUP(C877,[1]List1!$A:$D,2,FALSE))),"OFFLINE!")</f>
        <v>SKLADEM</v>
      </c>
      <c r="AD877" s="570" t="str">
        <f ca="1">IF(AP877="NE",$V$10,IF(AC877=$V$3,IF(AQ877&lt;1,$V$8,$V$2&amp;" "&amp;AQ877&amp;" "&amp;$V$1),IF(AC877="SKLADEM",$V$6,IFERROR(IF(OR(AC877-TODAY()&gt;45,VLOOKUP(C877,[1]List1!$A:$E,4,FALSE)=0),AC877,DAY(AC877)&amp;"."&amp;MONTH(AC877)&amp;"."&amp;YEAR(AC877)&amp;" "&amp;$V$4&amp;VLOOKUP(C877,[1]List1!$A:$E,4,FALSE)&amp;" "&amp;$V$1),AC877))))</f>
        <v>SKLADEM</v>
      </c>
      <c r="AE877" s="581" t="str">
        <f t="shared" ca="1" si="2748"/>
        <v>SKLADEM</v>
      </c>
      <c r="AF877" s="584">
        <f t="shared" si="2749"/>
        <v>0</v>
      </c>
      <c r="AG877" s="585">
        <f t="shared" si="2750"/>
        <v>0</v>
      </c>
      <c r="AH877" s="583">
        <f t="shared" si="2751"/>
        <v>0</v>
      </c>
      <c r="AI877" s="582">
        <f t="shared" si="2752"/>
        <v>0</v>
      </c>
      <c r="AJ877" s="569">
        <f t="shared" si="2753"/>
        <v>0</v>
      </c>
      <c r="AK877" s="569" t="str">
        <f t="shared" si="2754"/>
        <v/>
      </c>
      <c r="AL877" s="569" t="str">
        <f t="shared" si="2755"/>
        <v/>
      </c>
      <c r="AM877" s="569">
        <f t="shared" si="2756"/>
        <v>0</v>
      </c>
      <c r="AN877" s="581">
        <f t="shared" si="2757"/>
        <v>0</v>
      </c>
      <c r="AO877" s="623"/>
      <c r="AP877" s="632" t="str">
        <f t="shared" si="2679"/>
        <v/>
      </c>
      <c r="AQ877" s="633" t="str">
        <f>IF(AC877=$V$3,IF(VLOOKUP(C877,[1]List1!$A:$E,5,FALSE)=0,1,VLOOKUP(C877,[1]List1!$A:$E,5,FALSE)),"")</f>
        <v/>
      </c>
      <c r="AR877" s="625" t="str">
        <f t="shared" si="2680"/>
        <v/>
      </c>
      <c r="AS877" s="634" t="str">
        <f t="shared" si="2743"/>
        <v/>
      </c>
      <c r="AT877" s="625" t="str">
        <f t="shared" si="2682"/>
        <v/>
      </c>
      <c r="AU877" s="638" t="e">
        <f t="shared" si="2683"/>
        <v>#N/A</v>
      </c>
      <c r="AV877" s="625" t="e">
        <f t="shared" si="2684"/>
        <v>#N/A</v>
      </c>
      <c r="AX877" s="625">
        <f>IF(AND('General price list'!$J877="F4",'General price list'!$AB877+0&gt;0),1,0)</f>
        <v>0</v>
      </c>
      <c r="AY877" s="625">
        <f t="shared" si="2685"/>
        <v>1</v>
      </c>
      <c r="AZ877" s="625">
        <f t="shared" si="2686"/>
        <v>0</v>
      </c>
    </row>
    <row r="878" spans="1:52" ht="15" customHeight="1">
      <c r="A878" s="639" t="str">
        <f>Kat.!C878</f>
        <v/>
      </c>
      <c r="B878" s="640">
        <f>IF(AND('General price list'!$J878="F4",$AI$1=FALSE),0,IF(AC878="SKLADEM",1,IF(AC878=$V$3,1,0)))</f>
        <v>1</v>
      </c>
      <c r="C878" s="641" t="s">
        <v>1564</v>
      </c>
      <c r="D878" s="642" t="s">
        <v>1556</v>
      </c>
      <c r="E878" s="643" t="s">
        <v>12747</v>
      </c>
      <c r="F878" s="771">
        <f>IFERROR(VLOOKUP(C878,[2]List1!$A:$D,3,FALSE),"NEUVEDENO!")</f>
        <v>1617</v>
      </c>
      <c r="G878" s="768">
        <f t="shared" si="2744"/>
        <v>1617</v>
      </c>
      <c r="H878" s="765">
        <f t="shared" si="2745"/>
        <v>68.687795491328004</v>
      </c>
      <c r="I878" s="644">
        <f>IFERROR(VLOOKUP(C878,[2]List1!$A:$D,4,FALSE),"NEUVEDENO!")</f>
        <v>2</v>
      </c>
      <c r="J878" s="733" t="s">
        <v>113</v>
      </c>
      <c r="K878" s="645" t="s">
        <v>20</v>
      </c>
      <c r="L878" s="645" t="s">
        <v>20</v>
      </c>
      <c r="M878" s="645" t="s">
        <v>21</v>
      </c>
      <c r="N878" s="645">
        <f>IFERROR(VLOOKUP(C878,[3]List1!$A:$D,4,FALSE),"N/A!")</f>
        <v>4.9821749999999998E-2</v>
      </c>
      <c r="O878" s="645">
        <f>IFERROR(VLOOKUP(C878,[3]List1!$A:$D,3,FALSE),"N/A!")</f>
        <v>2000</v>
      </c>
      <c r="P878" s="645">
        <f>IFERROR(VLOOKUP(C878,[3]List1!$A:$D,2,FALSE),"N/A!")</f>
        <v>13500</v>
      </c>
      <c r="Q878" s="645" t="s">
        <v>11804</v>
      </c>
      <c r="R878" s="645"/>
      <c r="S878" s="645" t="str">
        <f>IF($W$17=$AF$1,"design",IFERROR(VLOOKUP("design",Jazyky_ceník!$A:$Q,MATCH($W$17,Jazyky_ceník!$A$1:$Q$1,0),FALSE),"!!!"))</f>
        <v>design</v>
      </c>
      <c r="T878" s="645">
        <v>5</v>
      </c>
      <c r="U878" s="645">
        <v>25</v>
      </c>
      <c r="V878" s="645">
        <v>16</v>
      </c>
      <c r="W878" s="645" t="str">
        <f>IFERROR(IF(AND($AB878&gt;=0.1*$AA878,MOD($AB878,$AA878)&gt;=($AA878-(0.1*$AA878))),IF($W$17=$AF$1,"Zvažte možnost doobjednání ještě "&amp;Tabulka1[[#This Row],[VKPAL]]-MOD(AB878,AA878)&amp;" VK do plné palety.",VLOOKUP("Zvažte možnost doobjednání ještě ",Jazyky_ceník!A:Q,MATCH($W$17,Jazyky_ceník!$A$1:$Q$1,0),FALSE)&amp;Tabulka1[[#This Row],[VKPAL]]-MOD(AB878,AA878)&amp;VLOOKUP(" VK do plné palety.",Jazyky_ceník!A:Q,MATCH($W$17,Jazyky_ceník!$A$1:$Q$1,0),FALSE)),IFERROR(IF(AND(NOT(MOD($AB878,$AA878)=0),$AB878&gt;=0.9*$AA878,MOD($AB878,$AA878)&lt;=0.1*$AA878),IF($W$17=$AF$1,"Zvažte možnost optimalizace objednaného množství podle počtu VK na paletě ==&gt;",VLOOKUP("Zvažte možnost optimalizace objednaného množství podle počtu VK na paletě ==&gt;",Jazyky_ceník!A:Q,MATCH($W$17,Jazyky_ceník!$A$1:$Q$1,0),FALSE)),VLOOKUP('General price list'!$C878,Popisy!A:M,MATCH($W$17,Popisy!$A$7:$M$7,0),FALSE)),"---------------")),IFERROR(VLOOKUP('General price list'!$C878,Popisy!A:M,MATCH($W$17,Popisy!$A$7:$M$7,0),FALSE),"---------------"))</f>
        <v>white strobe mine red/green/blue/purple/lemon tail</v>
      </c>
      <c r="X878" s="645" t="str">
        <f t="shared" si="2746"/>
        <v/>
      </c>
      <c r="Y878" s="645" t="str">
        <f t="shared" si="2747"/>
        <v/>
      </c>
      <c r="Z878" s="645" t="str">
        <f>HYPERLINK("https://www.klasekpyrotechnics.cz/cs1352x9")</f>
        <v>https://www.klasekpyrotechnics.cz/cs1352x9</v>
      </c>
      <c r="AA878" s="645">
        <f>IFERROR(IF(VLOOKUP(C878,[4]List1!$A:$D,4,FALSE)=0,"",VLOOKUP(C878,[4]List1!$A:$D,4,FALSE)),"")</f>
        <v>20</v>
      </c>
      <c r="AB878" s="646"/>
      <c r="AC878" s="647" t="str">
        <f>IFERROR(IF(VLOOKUP(C878,[1]List1!$A:$D,2,FALSE)="VYPRODÁNO",$V$9,IF(VLOOKUP(C878,[1]List1!$A:$D,2,FALSE)="DOCHÁZÍ",$V$3,VLOOKUP(C878,[1]List1!$A:$D,2,FALSE))),"OFFLINE!")</f>
        <v>SKLADEM</v>
      </c>
      <c r="AD878" s="647" t="str">
        <f ca="1">IF(AP878="NE",$V$10,IF(AC878=$V$3,IF(AQ878&lt;1,$V$8,$V$2&amp;" "&amp;AQ878&amp;" "&amp;$V$1),IF(AC878="SKLADEM",$V$6,IFERROR(IF(OR(AC878-TODAY()&gt;45,VLOOKUP(C878,[1]List1!$A:$E,4,FALSE)=0),AC878,DAY(AC878)&amp;"."&amp;MONTH(AC878)&amp;"."&amp;YEAR(AC878)&amp;" "&amp;$V$4&amp;VLOOKUP(C878,[1]List1!$A:$E,4,FALSE)&amp;" "&amp;$V$1),AC878))))</f>
        <v>SKLADEM</v>
      </c>
      <c r="AE878" s="645" t="str">
        <f t="shared" ca="1" si="2748"/>
        <v>SKLADEM</v>
      </c>
      <c r="AF878" s="648">
        <f t="shared" si="2749"/>
        <v>0</v>
      </c>
      <c r="AG878" s="649">
        <f t="shared" si="2750"/>
        <v>0</v>
      </c>
      <c r="AH878" s="650">
        <f t="shared" si="2751"/>
        <v>0</v>
      </c>
      <c r="AI878" s="645">
        <f t="shared" si="2752"/>
        <v>0</v>
      </c>
      <c r="AJ878" s="645">
        <f t="shared" si="2753"/>
        <v>0</v>
      </c>
      <c r="AK878" s="645" t="str">
        <f t="shared" si="2754"/>
        <v/>
      </c>
      <c r="AL878" s="645" t="str">
        <f t="shared" si="2755"/>
        <v/>
      </c>
      <c r="AM878" s="645">
        <f t="shared" si="2756"/>
        <v>0</v>
      </c>
      <c r="AN878" s="651">
        <f t="shared" si="2757"/>
        <v>0</v>
      </c>
      <c r="AO878" s="623"/>
      <c r="AP878" s="632" t="str">
        <f t="shared" si="2679"/>
        <v/>
      </c>
      <c r="AQ878" s="633" t="str">
        <f>IF(AC878=$V$3,IF(VLOOKUP(C878,[1]List1!$A:$E,5,FALSE)=0,1,VLOOKUP(C878,[1]List1!$A:$E,5,FALSE)),"")</f>
        <v/>
      </c>
      <c r="AR878" s="625" t="str">
        <f t="shared" si="2680"/>
        <v/>
      </c>
      <c r="AS878" s="634" t="str">
        <f t="shared" si="2743"/>
        <v/>
      </c>
      <c r="AT878" s="625" t="str">
        <f t="shared" si="2682"/>
        <v/>
      </c>
      <c r="AU878" s="638" t="e">
        <f t="shared" si="2683"/>
        <v>#N/A</v>
      </c>
      <c r="AV878" s="625" t="e">
        <f t="shared" si="2684"/>
        <v>#N/A</v>
      </c>
      <c r="AX878" s="625">
        <f>IF(AND('General price list'!$J878="F4",'General price list'!$AB878+0&gt;0),1,0)</f>
        <v>0</v>
      </c>
      <c r="AY878" s="625">
        <f t="shared" si="2685"/>
        <v>1</v>
      </c>
      <c r="AZ878" s="625">
        <f t="shared" si="2686"/>
        <v>0</v>
      </c>
    </row>
    <row r="879" spans="1:52" ht="15" customHeight="1">
      <c r="A879" s="621" t="str">
        <f>Kat.!C879</f>
        <v/>
      </c>
      <c r="B879" s="566">
        <f>IF(AND('General price list'!$J879="F4",$AI$1=FALSE),0,IF(AC879="SKLADEM",1,IF(AC879=$V$3,1,0)))</f>
        <v>0</v>
      </c>
      <c r="C879" s="567" t="s">
        <v>1566</v>
      </c>
      <c r="D879" s="568" t="s">
        <v>1556</v>
      </c>
      <c r="E879" s="763" t="s">
        <v>12747</v>
      </c>
      <c r="F879" s="772">
        <f>IFERROR(VLOOKUP(C879,[2]List1!$A:$D,3,FALSE),"NEUVEDENO!")</f>
        <v>1617</v>
      </c>
      <c r="G879" s="769">
        <f t="shared" si="2744"/>
        <v>1617</v>
      </c>
      <c r="H879" s="766">
        <f t="shared" si="2745"/>
        <v>68.687795491328004</v>
      </c>
      <c r="I879" s="764">
        <f>IFERROR(VLOOKUP(C879,[2]List1!$A:$D,4,FALSE),"NEUVEDENO!")</f>
        <v>2</v>
      </c>
      <c r="J879" s="732" t="s">
        <v>113</v>
      </c>
      <c r="K879" s="569" t="s">
        <v>20</v>
      </c>
      <c r="L879" s="569" t="s">
        <v>20</v>
      </c>
      <c r="M879" s="569" t="s">
        <v>21</v>
      </c>
      <c r="N879" s="569">
        <f>IFERROR(VLOOKUP(C879,[3]List1!$A:$D,4,FALSE),"N/A!")</f>
        <v>4.9821749999999998E-2</v>
      </c>
      <c r="O879" s="569">
        <f>IFERROR(VLOOKUP(C879,[3]List1!$A:$D,3,FALSE),"N/A!")</f>
        <v>2000</v>
      </c>
      <c r="P879" s="569">
        <f>IFERROR(VLOOKUP(C879,[3]List1!$A:$D,2,FALSE),"N/A!")</f>
        <v>13000</v>
      </c>
      <c r="Q879" s="569" t="s">
        <v>11804</v>
      </c>
      <c r="R879" s="569" t="s">
        <v>20</v>
      </c>
      <c r="S879" s="569" t="str">
        <f>IF($W$17=$AF$1,"design",IFERROR(VLOOKUP("design",Jazyky_ceník!$A:$Q,MATCH($W$17,Jazyky_ceník!$A$1:$Q$1,0),FALSE),"!!!"))</f>
        <v>design</v>
      </c>
      <c r="T879" s="569">
        <v>5</v>
      </c>
      <c r="U879" s="569">
        <v>25</v>
      </c>
      <c r="V879" s="569">
        <v>16</v>
      </c>
      <c r="W879" s="569" t="str">
        <f>IFERROR(IF(AND($AB879&gt;=0.1*$AA879,MOD($AB879,$AA879)&gt;=($AA879-(0.1*$AA879))),IF($W$17=$AF$1,"Zvažte možnost doobjednání ještě "&amp;Tabulka1[[#This Row],[VKPAL]]-MOD(AB879,AA879)&amp;" VK do plné palety.",VLOOKUP("Zvažte možnost doobjednání ještě ",Jazyky_ceník!A:Q,MATCH($W$17,Jazyky_ceník!$A$1:$Q$1,0),FALSE)&amp;Tabulka1[[#This Row],[VKPAL]]-MOD(AB879,AA879)&amp;VLOOKUP(" VK do plné palety.",Jazyky_ceník!A:Q,MATCH($W$17,Jazyky_ceník!$A$1:$Q$1,0),FALSE)),IFERROR(IF(AND(NOT(MOD($AB879,$AA879)=0),$AB879&gt;=0.9*$AA879,MOD($AB879,$AA879)&lt;=0.1*$AA879),IF($W$17=$AF$1,"Zvažte možnost optimalizace objednaného množství podle počtu VK na paletě ==&gt;",VLOOKUP("Zvažte možnost optimalizace objednaného množství podle počtu VK na paletě ==&gt;",Jazyky_ceník!A:Q,MATCH($W$17,Jazyky_ceník!$A$1:$Q$1,0),FALSE)),VLOOKUP('General price list'!$C879,Popisy!A:M,MATCH($W$17,Popisy!$A$7:$M$7,0),FALSE)),"---------------")),IFERROR(VLOOKUP('General price list'!$C879,Popisy!A:M,MATCH($W$17,Popisy!$A$7:$M$7,0),FALSE),"---------------"))</f>
        <v>white strobe tail to purple tip</v>
      </c>
      <c r="X879" s="569" t="str">
        <f t="shared" si="2746"/>
        <v/>
      </c>
      <c r="Y879" s="569" t="str">
        <f t="shared" si="2747"/>
        <v/>
      </c>
      <c r="Z879" s="569" t="str">
        <f>HYPERLINK("https://www.klasekpyrotechnics.cz/cs1352x10")</f>
        <v>https://www.klasekpyrotechnics.cz/cs1352x10</v>
      </c>
      <c r="AA879" s="569">
        <f>IFERROR(IF(VLOOKUP(C879,[4]List1!$A:$D,4,FALSE)=0,"",VLOOKUP(C879,[4]List1!$A:$D,4,FALSE)),"")</f>
        <v>20</v>
      </c>
      <c r="AB879" s="565"/>
      <c r="AC879" s="570" t="str">
        <f>IFERROR(IF(VLOOKUP(C879,[1]List1!$A:$D,2,FALSE)="VYPRODÁNO",$V$9,IF(VLOOKUP(C879,[1]List1!$A:$D,2,FALSE)="DOCHÁZÍ",$V$3,VLOOKUP(C879,[1]List1!$A:$D,2,FALSE))),"OFFLINE!")</f>
        <v>31.08.2026</v>
      </c>
      <c r="AD879" s="570" t="str">
        <f ca="1">IF(AP879="NE",$V$10,IF(AC879=$V$3,IF(AQ879&lt;1,$V$8,$V$2&amp;" "&amp;AQ879&amp;" "&amp;$V$1),IF(AC879="SKLADEM",$V$6,IFERROR(IF(OR(AC879-TODAY()&gt;45,VLOOKUP(C879,[1]List1!$A:$E,4,FALSE)=0),AC879,DAY(AC879)&amp;"."&amp;MONTH(AC879)&amp;"."&amp;YEAR(AC879)&amp;" "&amp;$V$4&amp;VLOOKUP(C879,[1]List1!$A:$E,4,FALSE)&amp;" "&amp;$V$1),AC879))))</f>
        <v>31.08.2026</v>
      </c>
      <c r="AE879" s="581" t="str">
        <f t="shared" ca="1" si="2748"/>
        <v>31.08.2026</v>
      </c>
      <c r="AF879" s="584">
        <f t="shared" si="2749"/>
        <v>0</v>
      </c>
      <c r="AG879" s="585">
        <f t="shared" si="2750"/>
        <v>0</v>
      </c>
      <c r="AH879" s="583">
        <f t="shared" si="2751"/>
        <v>0</v>
      </c>
      <c r="AI879" s="582">
        <f t="shared" si="2752"/>
        <v>0</v>
      </c>
      <c r="AJ879" s="569">
        <f t="shared" si="2753"/>
        <v>0</v>
      </c>
      <c r="AK879" s="569" t="str">
        <f t="shared" si="2754"/>
        <v/>
      </c>
      <c r="AL879" s="569" t="str">
        <f t="shared" si="2755"/>
        <v/>
      </c>
      <c r="AM879" s="569">
        <f t="shared" si="2756"/>
        <v>0</v>
      </c>
      <c r="AN879" s="581">
        <f t="shared" si="2757"/>
        <v>0</v>
      </c>
      <c r="AO879" s="623"/>
      <c r="AP879" s="632" t="str">
        <f t="shared" si="2679"/>
        <v/>
      </c>
      <c r="AQ879" s="633" t="str">
        <f>IF(AC879=$V$3,IF(VLOOKUP(C879,[1]List1!$A:$E,5,FALSE)=0,1,VLOOKUP(C879,[1]List1!$A:$E,5,FALSE)),"")</f>
        <v/>
      </c>
      <c r="AR879" s="625" t="str">
        <f t="shared" si="2680"/>
        <v/>
      </c>
      <c r="AS879" s="634" t="str">
        <f t="shared" si="2743"/>
        <v/>
      </c>
      <c r="AT879" s="625" t="str">
        <f t="shared" si="2682"/>
        <v/>
      </c>
      <c r="AU879" s="638" t="e">
        <f t="shared" si="2683"/>
        <v>#N/A</v>
      </c>
      <c r="AV879" s="625" t="e">
        <f t="shared" si="2684"/>
        <v>#N/A</v>
      </c>
      <c r="AX879" s="625">
        <f>IF(AND('General price list'!$J879="F4",'General price list'!$AB879+0&gt;0),1,0)</f>
        <v>0</v>
      </c>
      <c r="AY879" s="625">
        <f t="shared" si="2685"/>
        <v>1</v>
      </c>
      <c r="AZ879" s="625">
        <f t="shared" si="2686"/>
        <v>0</v>
      </c>
    </row>
    <row r="880" spans="1:52" ht="15.75" customHeight="1">
      <c r="A880" s="639" t="str">
        <f>Kat.!C880</f>
        <v/>
      </c>
      <c r="B880" s="640">
        <f>IF(AND('General price list'!$J880="F4",$AI$1=FALSE),0,IF(AC880="SKLADEM",1,IF(AC880=$V$3,1,0)))</f>
        <v>0</v>
      </c>
      <c r="C880" s="641" t="s">
        <v>1568</v>
      </c>
      <c r="D880" s="642" t="s">
        <v>1552</v>
      </c>
      <c r="E880" s="643" t="s">
        <v>12747</v>
      </c>
      <c r="F880" s="771">
        <f>IFERROR(VLOOKUP(C880,[2]List1!$A:$D,3,FALSE),"NEUVEDENO!")</f>
        <v>1617</v>
      </c>
      <c r="G880" s="768">
        <f t="shared" si="2744"/>
        <v>1617</v>
      </c>
      <c r="H880" s="765">
        <f t="shared" si="2745"/>
        <v>68.687795491328004</v>
      </c>
      <c r="I880" s="644">
        <f>IFERROR(VLOOKUP(C880,[2]List1!$A:$D,4,FALSE),"NEUVEDENO!")</f>
        <v>2</v>
      </c>
      <c r="J880" s="733" t="s">
        <v>113</v>
      </c>
      <c r="K880" s="645" t="s">
        <v>20</v>
      </c>
      <c r="L880" s="645"/>
      <c r="M880" s="645" t="s">
        <v>21</v>
      </c>
      <c r="N880" s="645">
        <f>IFERROR(VLOOKUP(C880,[3]List1!$A:$D,4,FALSE),"N/A!")</f>
        <v>4.9821749999999998E-2</v>
      </c>
      <c r="O880" s="645">
        <f>IFERROR(VLOOKUP(C880,[3]List1!$A:$D,3,FALSE),"N/A!")</f>
        <v>2000</v>
      </c>
      <c r="P880" s="645">
        <f>IFERROR(VLOOKUP(C880,[3]List1!$A:$D,2,FALSE),"N/A!")</f>
        <v>12600</v>
      </c>
      <c r="Q880" s="645" t="s">
        <v>11804</v>
      </c>
      <c r="R880" s="645" t="s">
        <v>20</v>
      </c>
      <c r="S880" s="645" t="str">
        <f>IF($W$17=$AF$1,"design",IFERROR(VLOOKUP("design",Jazyky_ceník!$A:$Q,MATCH($W$17,Jazyky_ceník!$A$1:$Q$1,0),FALSE),"!!!"))</f>
        <v>design</v>
      </c>
      <c r="T880" s="645">
        <v>5</v>
      </c>
      <c r="U880" s="645">
        <v>25</v>
      </c>
      <c r="V880" s="645">
        <v>16</v>
      </c>
      <c r="W880" s="645" t="str">
        <f>IFERROR(IF(AND($AB880&gt;=0.1*$AA880,MOD($AB880,$AA880)&gt;=($AA880-(0.1*$AA880))),IF($W$17=$AF$1,"Zvažte možnost doobjednání ještě "&amp;Tabulka1[[#This Row],[VKPAL]]-MOD(AB880,AA880)&amp;" VK do plné palety.",VLOOKUP("Zvažte možnost doobjednání ještě ",Jazyky_ceník!A:Q,MATCH($W$17,Jazyky_ceník!$A$1:$Q$1,0),FALSE)&amp;Tabulka1[[#This Row],[VKPAL]]-MOD(AB880,AA880)&amp;VLOOKUP(" VK do plné palety.",Jazyky_ceník!A:Q,MATCH($W$17,Jazyky_ceník!$A$1:$Q$1,0),FALSE)),IFERROR(IF(AND(NOT(MOD($AB880,$AA880)=0),$AB880&gt;=0.9*$AA880,MOD($AB880,$AA880)&lt;=0.1*$AA880),IF($W$17=$AF$1,"Zvažte možnost optimalizace objednaného množství podle počtu VK na paletě ==&gt;",VLOOKUP("Zvažte možnost optimalizace objednaného množství podle počtu VK na paletě ==&gt;",Jazyky_ceník!A:Q,MATCH($W$17,Jazyky_ceník!$A$1:$Q$1,0),FALSE)),VLOOKUP('General price list'!$C880,Popisy!A:M,MATCH($W$17,Popisy!$A$7:$M$7,0),FALSE)),"---------------")),IFERROR(VLOOKUP('General price list'!$C880,Popisy!A:M,MATCH($W$17,Popisy!$A$7:$M$7,0),FALSE),"---------------"))</f>
        <v>red&amp;green time rain+comet</v>
      </c>
      <c r="X880" s="645" t="str">
        <f t="shared" si="2746"/>
        <v/>
      </c>
      <c r="Y880" s="645" t="str">
        <f t="shared" si="2747"/>
        <v/>
      </c>
      <c r="Z880" s="645" t="str">
        <f>HYPERLINK("https://www.klasekpyrotechnics.cz/cx1352x11")</f>
        <v>https://www.klasekpyrotechnics.cz/cx1352x11</v>
      </c>
      <c r="AA880" s="645">
        <f>IFERROR(IF(VLOOKUP(C880,[4]List1!$A:$D,4,FALSE)=0,"",VLOOKUP(C880,[4]List1!$A:$D,4,FALSE)),"")</f>
        <v>20</v>
      </c>
      <c r="AB880" s="646"/>
      <c r="AC880" s="647" t="str">
        <f>IFERROR(IF(VLOOKUP(C880,[1]List1!$A:$D,2,FALSE)="VYPRODÁNO",$V$9,IF(VLOOKUP(C880,[1]List1!$A:$D,2,FALSE)="DOCHÁZÍ",$V$3,VLOOKUP(C880,[1]List1!$A:$D,2,FALSE))),"OFFLINE!")</f>
        <v>31.08.2026</v>
      </c>
      <c r="AD880" s="647" t="str">
        <f ca="1">IF(AP880="NE",$V$10,IF(AC880=$V$3,IF(AQ880&lt;1,$V$8,$V$2&amp;" "&amp;AQ880&amp;" "&amp;$V$1),IF(AC880="SKLADEM",$V$6,IFERROR(IF(OR(AC880-TODAY()&gt;45,VLOOKUP(C880,[1]List1!$A:$E,4,FALSE)=0),AC880,DAY(AC880)&amp;"."&amp;MONTH(AC880)&amp;"."&amp;YEAR(AC880)&amp;" "&amp;$V$4&amp;VLOOKUP(C880,[1]List1!$A:$E,4,FALSE)&amp;" "&amp;$V$1),AC880))))</f>
        <v>31.08.2026</v>
      </c>
      <c r="AE880" s="645" t="str">
        <f t="shared" ca="1" si="2748"/>
        <v>31.08.2026</v>
      </c>
      <c r="AF880" s="648">
        <f t="shared" si="2749"/>
        <v>0</v>
      </c>
      <c r="AG880" s="649">
        <f t="shared" si="2750"/>
        <v>0</v>
      </c>
      <c r="AH880" s="650">
        <f t="shared" si="2751"/>
        <v>0</v>
      </c>
      <c r="AI880" s="645">
        <f t="shared" si="2752"/>
        <v>0</v>
      </c>
      <c r="AJ880" s="645">
        <f t="shared" si="2753"/>
        <v>0</v>
      </c>
      <c r="AK880" s="645" t="str">
        <f t="shared" si="2754"/>
        <v/>
      </c>
      <c r="AL880" s="645" t="str">
        <f t="shared" si="2755"/>
        <v/>
      </c>
      <c r="AM880" s="645">
        <f t="shared" si="2756"/>
        <v>0</v>
      </c>
      <c r="AN880" s="651">
        <f t="shared" si="2757"/>
        <v>0</v>
      </c>
      <c r="AO880" s="623"/>
      <c r="AP880" s="625" t="str">
        <f t="shared" si="2679"/>
        <v/>
      </c>
      <c r="AQ880" s="625" t="str">
        <f>IF(AC880=$V$3,IF(VLOOKUP(C880,[1]List1!$A:$E,5,FALSE)=0,1,VLOOKUP(C880,[1]List1!$A:$E,5,FALSE)),"")</f>
        <v/>
      </c>
      <c r="AR880" s="629" t="str">
        <f t="shared" si="2680"/>
        <v/>
      </c>
      <c r="AS880" s="630" t="str">
        <f t="shared" si="2743"/>
        <v/>
      </c>
      <c r="AT880" s="625" t="str">
        <f t="shared" si="2682"/>
        <v/>
      </c>
      <c r="AU880" s="625" t="e">
        <f t="shared" si="2683"/>
        <v>#N/A</v>
      </c>
      <c r="AV880" s="625" t="e">
        <f t="shared" si="2684"/>
        <v>#N/A</v>
      </c>
      <c r="AW880" s="631"/>
      <c r="AX880" s="631">
        <f>IF(AND('General price list'!$J880="F4",'General price list'!$AB880+0&gt;0),1,0)</f>
        <v>0</v>
      </c>
      <c r="AY880" s="631">
        <f t="shared" si="2685"/>
        <v>1</v>
      </c>
      <c r="AZ880" s="631">
        <f t="shared" si="2686"/>
        <v>0</v>
      </c>
    </row>
    <row r="881" spans="1:52" ht="15" customHeight="1">
      <c r="A881" s="621" t="str">
        <f>Kat.!C881</f>
        <v/>
      </c>
      <c r="B881" s="566">
        <f>IF(AND('General price list'!$J881="F4",$AI$1=FALSE),0,IF(AC881="SKLADEM",1,IF(AC881=$V$3,1,0)))</f>
        <v>1</v>
      </c>
      <c r="C881" s="567" t="s">
        <v>1572</v>
      </c>
      <c r="D881" s="568" t="s">
        <v>1556</v>
      </c>
      <c r="E881" s="763" t="s">
        <v>12747</v>
      </c>
      <c r="F881" s="772">
        <f>IFERROR(VLOOKUP(C881,[2]List1!$A:$D,3,FALSE),"NEUVEDENO!")</f>
        <v>1617</v>
      </c>
      <c r="G881" s="769">
        <f t="shared" si="2744"/>
        <v>1617</v>
      </c>
      <c r="H881" s="766">
        <f t="shared" si="2745"/>
        <v>68.687795491328004</v>
      </c>
      <c r="I881" s="764">
        <f>IFERROR(VLOOKUP(C881,[2]List1!$A:$D,4,FALSE),"NEUVEDENO!")</f>
        <v>2</v>
      </c>
      <c r="J881" s="732" t="s">
        <v>113</v>
      </c>
      <c r="K881" s="569" t="s">
        <v>20</v>
      </c>
      <c r="L881" s="569" t="s">
        <v>20</v>
      </c>
      <c r="M881" s="569" t="s">
        <v>114</v>
      </c>
      <c r="N881" s="569">
        <f>IFERROR(VLOOKUP(C881,[3]List1!$A:$D,4,FALSE),"N/A!")</f>
        <v>4.9821749999999998E-2</v>
      </c>
      <c r="O881" s="569">
        <f>IFERROR(VLOOKUP(C881,[3]List1!$A:$D,3,FALSE),"N/A!")</f>
        <v>2000</v>
      </c>
      <c r="P881" s="569">
        <f>IFERROR(VLOOKUP(C881,[3]List1!$A:$D,2,FALSE),"N/A!")</f>
        <v>13500</v>
      </c>
      <c r="Q881" s="569" t="s">
        <v>11805</v>
      </c>
      <c r="R881" s="569"/>
      <c r="S881" s="569" t="str">
        <f>IF($W$17=$AF$1,"design",IFERROR(VLOOKUP("design",Jazyky_ceník!$A:$Q,MATCH($W$17,Jazyky_ceník!$A$1:$Q$1,0),FALSE),"!!!"))</f>
        <v>design</v>
      </c>
      <c r="T881" s="569">
        <v>6</v>
      </c>
      <c r="U881" s="569">
        <v>25</v>
      </c>
      <c r="V881" s="569">
        <v>16</v>
      </c>
      <c r="W881" s="569" t="str">
        <f>IFERROR(IF(AND($AB881&gt;=0.1*$AA881,MOD($AB881,$AA881)&gt;=($AA881-(0.1*$AA881))),IF($W$17=$AF$1,"Zvažte možnost doobjednání ještě "&amp;Tabulka1[[#This Row],[VKPAL]]-MOD(AB881,AA881)&amp;" VK do plné palety.",VLOOKUP("Zvažte možnost doobjednání ještě ",Jazyky_ceník!A:Q,MATCH($W$17,Jazyky_ceník!$A$1:$Q$1,0),FALSE)&amp;Tabulka1[[#This Row],[VKPAL]]-MOD(AB881,AA881)&amp;VLOOKUP(" VK do plné palety.",Jazyky_ceník!A:Q,MATCH($W$17,Jazyky_ceník!$A$1:$Q$1,0),FALSE)),IFERROR(IF(AND(NOT(MOD($AB881,$AA881)=0),$AB881&gt;=0.9*$AA881,MOD($AB881,$AA881)&lt;=0.1*$AA881),IF($W$17=$AF$1,"Zvažte možnost optimalizace objednaného množství podle počtu VK na paletě ==&gt;",VLOOKUP("Zvažte možnost optimalizace objednaného množství podle počtu VK na paletě ==&gt;",Jazyky_ceník!A:Q,MATCH($W$17,Jazyky_ceník!$A$1:$Q$1,0),FALSE)),VLOOKUP('General price list'!$C881,Popisy!A:M,MATCH($W$17,Popisy!$A$7:$M$7,0),FALSE)),"---------------")),IFERROR(VLOOKUP('General price list'!$C881,Popisy!A:M,MATCH($W$17,Popisy!$A$7:$M$7,0),FALSE),"---------------"))</f>
        <v>big gold palm comet +blue pearl</v>
      </c>
      <c r="X881" s="569" t="str">
        <f t="shared" si="2746"/>
        <v/>
      </c>
      <c r="Y881" s="569" t="str">
        <f t="shared" si="2747"/>
        <v/>
      </c>
      <c r="Z881" s="569" t="str">
        <f>HYPERLINK("https://www.klasekpyrotechnics.cz/cs1352x14")</f>
        <v>https://www.klasekpyrotechnics.cz/cs1352x14</v>
      </c>
      <c r="AA881" s="569">
        <f>IFERROR(IF(VLOOKUP(C881,[4]List1!$A:$D,4,FALSE)=0,"",VLOOKUP(C881,[4]List1!$A:$D,4,FALSE)),"")</f>
        <v>20</v>
      </c>
      <c r="AB881" s="565"/>
      <c r="AC881" s="570" t="str">
        <f>IFERROR(IF(VLOOKUP(C881,[1]List1!$A:$D,2,FALSE)="VYPRODÁNO",$V$9,IF(VLOOKUP(C881,[1]List1!$A:$D,2,FALSE)="DOCHÁZÍ",$V$3,VLOOKUP(C881,[1]List1!$A:$D,2,FALSE))),"OFFLINE!")</f>
        <v>SKLADEM</v>
      </c>
      <c r="AD881" s="570" t="str">
        <f ca="1">IF(AP881="NE",$V$10,IF(AC881=$V$3,IF(AQ881&lt;1,$V$8,$V$2&amp;" "&amp;AQ881&amp;" "&amp;$V$1),IF(AC881="SKLADEM",$V$6,IFERROR(IF(OR(AC881-TODAY()&gt;45,VLOOKUP(C881,[1]List1!$A:$E,4,FALSE)=0),AC881,DAY(AC881)&amp;"."&amp;MONTH(AC881)&amp;"."&amp;YEAR(AC881)&amp;" "&amp;$V$4&amp;VLOOKUP(C881,[1]List1!$A:$E,4,FALSE)&amp;" "&amp;$V$1),AC881))))</f>
        <v>SKLADEM</v>
      </c>
      <c r="AE881" s="581" t="str">
        <f t="shared" ca="1" si="2748"/>
        <v>SKLADEM</v>
      </c>
      <c r="AF881" s="584">
        <f t="shared" si="2749"/>
        <v>0</v>
      </c>
      <c r="AG881" s="585">
        <f t="shared" si="2750"/>
        <v>0</v>
      </c>
      <c r="AH881" s="583">
        <f t="shared" si="2751"/>
        <v>0</v>
      </c>
      <c r="AI881" s="582">
        <f t="shared" si="2752"/>
        <v>0</v>
      </c>
      <c r="AJ881" s="569">
        <f t="shared" si="2753"/>
        <v>0</v>
      </c>
      <c r="AK881" s="569" t="str">
        <f t="shared" si="2754"/>
        <v/>
      </c>
      <c r="AL881" s="569">
        <f t="shared" si="2755"/>
        <v>0</v>
      </c>
      <c r="AM881" s="569" t="str">
        <f t="shared" si="2756"/>
        <v/>
      </c>
      <c r="AN881" s="581">
        <f t="shared" si="2757"/>
        <v>0</v>
      </c>
      <c r="AO881" s="623"/>
      <c r="AP881" s="632" t="str">
        <f t="shared" si="2679"/>
        <v/>
      </c>
      <c r="AQ881" s="633" t="str">
        <f>IF(AC881=$V$3,IF(VLOOKUP(C881,[1]List1!$A:$E,5,FALSE)=0,1,VLOOKUP(C881,[1]List1!$A:$E,5,FALSE)),"")</f>
        <v/>
      </c>
      <c r="AR881" s="625" t="str">
        <f t="shared" si="2680"/>
        <v/>
      </c>
      <c r="AS881" s="634" t="str">
        <f t="shared" si="2743"/>
        <v/>
      </c>
      <c r="AT881" s="625" t="str">
        <f t="shared" si="2682"/>
        <v/>
      </c>
      <c r="AU881" s="638" t="e">
        <f t="shared" si="2683"/>
        <v>#N/A</v>
      </c>
      <c r="AV881" s="625" t="e">
        <f t="shared" si="2684"/>
        <v>#N/A</v>
      </c>
      <c r="AX881" s="625">
        <f>IF(AND('General price list'!$J881="F4",'General price list'!$AB881+0&gt;0),1,0)</f>
        <v>0</v>
      </c>
      <c r="AY881" s="625">
        <f t="shared" si="2685"/>
        <v>1</v>
      </c>
      <c r="AZ881" s="625">
        <f t="shared" si="2686"/>
        <v>0</v>
      </c>
    </row>
    <row r="882" spans="1:52" ht="15" customHeight="1">
      <c r="A882" s="751" t="str">
        <f>Kat.!C882</f>
        <v xml:space="preserve">           Baterie 25 ran, 30 mm moždíř</v>
      </c>
      <c r="B882" s="751"/>
      <c r="C882" s="751"/>
      <c r="D882" s="751"/>
      <c r="E882" s="751"/>
      <c r="F882" s="751"/>
      <c r="G882" s="751"/>
      <c r="H882" s="751"/>
      <c r="I882" s="752"/>
      <c r="J882" s="752"/>
      <c r="K882" s="752" t="s">
        <v>20</v>
      </c>
      <c r="L882" s="753" t="s">
        <v>20</v>
      </c>
      <c r="M882" s="752"/>
      <c r="N882" s="752"/>
      <c r="O882" s="752"/>
      <c r="P882" s="752"/>
      <c r="Q882" s="752"/>
      <c r="R882" s="752"/>
      <c r="S882" s="752"/>
      <c r="T882" s="752"/>
      <c r="U882" s="752"/>
      <c r="V882" s="752"/>
      <c r="W882" s="752"/>
      <c r="X882" s="752"/>
      <c r="Y882" s="752"/>
      <c r="Z882" s="752" t="s">
        <v>20</v>
      </c>
      <c r="AA882" s="752"/>
      <c r="AB882" s="752"/>
      <c r="AC882" s="754"/>
      <c r="AD882" s="752"/>
      <c r="AE882" s="752"/>
      <c r="AF882" s="752"/>
      <c r="AG882" s="752"/>
      <c r="AH882" s="752"/>
      <c r="AI882" s="752"/>
      <c r="AJ882" s="752"/>
      <c r="AK882" s="752"/>
      <c r="AL882" s="752"/>
      <c r="AM882" s="752"/>
      <c r="AN882" s="752"/>
      <c r="AO882" s="623"/>
      <c r="AP882" s="632" t="str">
        <f t="shared" si="2679"/>
        <v/>
      </c>
      <c r="AQ882" s="633" t="str">
        <f>IF(AC882=$V$3,IF(VLOOKUP(C882,[1]List1!$A:$E,5,FALSE)=0,1,VLOOKUP(C882,[1]List1!$A:$E,5,FALSE)),"")</f>
        <v/>
      </c>
      <c r="AR882" s="625" t="str">
        <f t="shared" si="2680"/>
        <v/>
      </c>
      <c r="AS882" s="634" t="str">
        <f t="shared" si="2743"/>
        <v/>
      </c>
      <c r="AT882" s="625" t="str">
        <f t="shared" si="2682"/>
        <v/>
      </c>
      <c r="AU882" s="638" t="e">
        <f t="shared" si="2683"/>
        <v>#N/A</v>
      </c>
      <c r="AV882" s="625" t="e">
        <f t="shared" si="2684"/>
        <v>#N/A</v>
      </c>
      <c r="AX882" s="625">
        <f>IF(AND('General price list'!$J882="F4",'General price list'!$AB882+0&gt;0),1,0)</f>
        <v>0</v>
      </c>
      <c r="AY882" s="625">
        <f t="shared" si="2685"/>
        <v>0</v>
      </c>
      <c r="AZ882" s="625">
        <f t="shared" si="2686"/>
        <v>0</v>
      </c>
    </row>
    <row r="883" spans="1:52" ht="15" customHeight="1">
      <c r="A883" s="639" t="str">
        <f>Kat.!C883</f>
        <v/>
      </c>
      <c r="B883" s="640">
        <f>IF(AND('General price list'!$J883="F4",$AI$1=FALSE),0,IF(AC883="SKLADEM",1,IF(AC883=$V$3,1,0)))</f>
        <v>1</v>
      </c>
      <c r="C883" s="641" t="s">
        <v>1574</v>
      </c>
      <c r="D883" s="642" t="s">
        <v>1575</v>
      </c>
      <c r="E883" s="643" t="s">
        <v>12746</v>
      </c>
      <c r="F883" s="771">
        <f>IFERROR(VLOOKUP(C883,[2]List1!$A:$D,3,FALSE),"NEUVEDENO!")</f>
        <v>535</v>
      </c>
      <c r="G883" s="768">
        <f t="shared" ref="G883:G884" si="2758">IF($W$17=$AF$8,ROUND((F883)/$F$17,2),(F883)*$B$19)</f>
        <v>535</v>
      </c>
      <c r="H883" s="765">
        <f t="shared" ref="H883:H884" si="2759">IF($W$17=$AF$8,G883*$B$19,G883/$F$17)</f>
        <v>22.726017679567398</v>
      </c>
      <c r="I883" s="644">
        <f>IFERROR(VLOOKUP(C883,[2]List1!$A:$D,4,FALSE),"NEUVEDENO!")</f>
        <v>6</v>
      </c>
      <c r="J883" s="733" t="s">
        <v>113</v>
      </c>
      <c r="K883" s="645" t="s">
        <v>20</v>
      </c>
      <c r="L883" s="645"/>
      <c r="M883" s="645" t="s">
        <v>21</v>
      </c>
      <c r="N883" s="645">
        <f>IFERROR(VLOOKUP(C883,[3]List1!$A:$D,4,FALSE),"N/A!")</f>
        <v>4.6815999999999997E-2</v>
      </c>
      <c r="O883" s="645">
        <f>IFERROR(VLOOKUP(C883,[3]List1!$A:$D,3,FALSE),"N/A!")</f>
        <v>2850</v>
      </c>
      <c r="P883" s="645">
        <f>IFERROR(VLOOKUP(C883,[3]List1!$A:$D,2,FALSE),"N/A!")</f>
        <v>16500</v>
      </c>
      <c r="Q883" s="645" t="s">
        <v>11786</v>
      </c>
      <c r="R883" s="645" t="s">
        <v>20</v>
      </c>
      <c r="S883" s="645" t="str">
        <f>IF($W$17=$AF$1,"design",IFERROR(VLOOKUP("design",Jazyky_ceník!$A:$Q,MATCH($W$17,Jazyky_ceník!$A$1:$Q$1,0),FALSE),"!!!"))</f>
        <v>design</v>
      </c>
      <c r="T883" s="645">
        <v>20</v>
      </c>
      <c r="U883" s="645">
        <v>40</v>
      </c>
      <c r="V883" s="645">
        <v>30</v>
      </c>
      <c r="W883" s="645" t="str">
        <f>IFERROR(IF(AND($AB883&gt;=0.1*$AA883,MOD($AB883,$AA883)&gt;=($AA883-(0.1*$AA883))),IF($W$17=$AF$1,"Zvažte možnost doobjednání ještě "&amp;Tabulka1[[#This Row],[VKPAL]]-MOD(AB883,AA883)&amp;" VK do plné palety.",VLOOKUP("Zvažte možnost doobjednání ještě ",Jazyky_ceník!A:Q,MATCH($W$17,Jazyky_ceník!$A$1:$Q$1,0),FALSE)&amp;Tabulka1[[#This Row],[VKPAL]]-MOD(AB883,AA883)&amp;VLOOKUP(" VK do plné palety.",Jazyky_ceník!A:Q,MATCH($W$17,Jazyky_ceník!$A$1:$Q$1,0),FALSE)),IFERROR(IF(AND(NOT(MOD($AB883,$AA883)=0),$AB883&gt;=0.9*$AA883,MOD($AB883,$AA883)&lt;=0.1*$AA883),IF($W$17=$AF$1,"Zvažte možnost optimalizace objednaného množství podle počtu VK na paletě ==&gt;",VLOOKUP("Zvažte možnost optimalizace objednaného množství podle počtu VK na paletě ==&gt;",Jazyky_ceník!A:Q,MATCH($W$17,Jazyky_ceník!$A$1:$Q$1,0),FALSE)),VLOOKUP('General price list'!$C883,Popisy!A:M,MATCH($W$17,Popisy!$A$7:$M$7,0),FALSE)),"---------------")),IFERROR(VLOOKUP('General price list'!$C883,Popisy!A:M,MATCH($W$17,Popisy!$A$7:$M$7,0),FALSE),"---------------"))</f>
        <v>white flashing fountain</v>
      </c>
      <c r="X883" s="645" t="str">
        <f t="shared" ref="X883:X884" si="2760">IF(AB883&lt;0.0001,"",AB883)</f>
        <v/>
      </c>
      <c r="Y883" s="645" t="str">
        <f t="shared" ref="Y883:Y884" si="2761">IF($AL$3=2,IF(OR(AB883&lt;&gt;"",AB883&lt;&gt;0),AU883,""),IF(C883="","",IF(AB883&lt;0.0001,"",IF(B883=0,"",IF(AQ883&lt;AB883,"",AB883)))))</f>
        <v/>
      </c>
      <c r="Z883" s="645" t="str">
        <f>HYPERLINK("https://www.klasekpyrotechnics.cz/c253ch")</f>
        <v>https://www.klasekpyrotechnics.cz/c253ch</v>
      </c>
      <c r="AA883" s="645" t="str">
        <f>IFERROR(IF(VLOOKUP(C883,[4]List1!$A:$D,4,FALSE)=0,"",VLOOKUP(C883,[4]List1!$A:$D,4,FALSE)),"")</f>
        <v>28</v>
      </c>
      <c r="AB883" s="646"/>
      <c r="AC883" s="647" t="str">
        <f>IFERROR(IF(VLOOKUP(C883,[1]List1!$A:$D,2,FALSE)="VYPRODÁNO",$V$9,IF(VLOOKUP(C883,[1]List1!$A:$D,2,FALSE)="DOCHÁZÍ",$V$3,VLOOKUP(C883,[1]List1!$A:$D,2,FALSE))),"OFFLINE!")</f>
        <v>DOCHÁZÍ</v>
      </c>
      <c r="AD883" s="647" t="str">
        <f ca="1">IF(AP883="NE",$V$10,IF(AC883=$V$3,IF(AQ883&lt;1,$V$8,$V$2&amp;" "&amp;AQ883&amp;" "&amp;$V$1),IF(AC883="SKLADEM",$V$6,IFERROR(IF(OR(AC883-TODAY()&gt;45,VLOOKUP(C883,[1]List1!$A:$E,4,FALSE)=0),AC883,DAY(AC883)&amp;"."&amp;MONTH(AC883)&amp;"."&amp;YEAR(AC883)&amp;" "&amp;$V$4&amp;VLOOKUP(C883,[1]List1!$A:$E,4,FALSE)&amp;" "&amp;$V$1),AC883))))</f>
        <v>POSLEDNÍCH 1 VK</v>
      </c>
      <c r="AE883" s="645" t="str">
        <f t="shared" ref="AE883:AE884" ca="1" si="2762">IFERROR(IF(AV883&lt;&gt;"",AV883,AD883),AD883)</f>
        <v>POSLEDNÍCH 1 VK</v>
      </c>
      <c r="AF883" s="648">
        <f t="shared" ref="AF883:AF884" si="2763">IFERROR(IF(AB883=Y883,G883*I883*Y883,0),0)</f>
        <v>0</v>
      </c>
      <c r="AG883" s="649">
        <f t="shared" ref="AG883:AG884" si="2764">IF($W$17=$AF$8,AH883*1.23,AF883*1.21)</f>
        <v>0</v>
      </c>
      <c r="AH883" s="650">
        <f t="shared" ref="AH883:AH884" si="2765">IFERROR(IF(Y883=AB883,H883*I883*Y883,0),0)</f>
        <v>0</v>
      </c>
      <c r="AI883" s="645">
        <f t="shared" ref="AI883:AI884" si="2766">IFERROR(IF(Y883=AB883,(P883*Y883)/1000,1),0)</f>
        <v>0</v>
      </c>
      <c r="AJ883" s="645">
        <f t="shared" ref="AJ883:AJ884" si="2767">IFERROR(IF(Y883=AB883,N883*Y883,0.1),0)</f>
        <v>0</v>
      </c>
      <c r="AK883" s="645" t="str">
        <f t="shared" ref="AK883:AK884" si="2768">IFERROR(IF(Y883=AB883,IF(M883="1.1G",(O883/1000)*Y883,""),""),0)</f>
        <v/>
      </c>
      <c r="AL883" s="645" t="str">
        <f t="shared" ref="AL883:AL884" si="2769">IFERROR(IF(Y883=AB883,IF(M883="1.3G",(O883/1000)*AB883,""),""),0)</f>
        <v/>
      </c>
      <c r="AM883" s="645">
        <f t="shared" ref="AM883:AM884" si="2770">IFERROR(IF(Y883=AB883,IF(M883="1.4G",(O883/1000)*AB883,""),""),0)</f>
        <v>0</v>
      </c>
      <c r="AN883" s="651">
        <f t="shared" ref="AN883:AN884" si="2771">SUM(AK883:AM883)</f>
        <v>0</v>
      </c>
      <c r="AO883" s="623"/>
      <c r="AP883" s="632" t="str">
        <f t="shared" si="2679"/>
        <v/>
      </c>
      <c r="AQ883" s="633">
        <f>IF(AC883=$V$3,IF(VLOOKUP(C883,[1]List1!$A:$E,5,FALSE)=0,1,VLOOKUP(C883,[1]List1!$A:$E,5,FALSE)),"")</f>
        <v>1</v>
      </c>
      <c r="AR883" s="625" t="str">
        <f t="shared" si="2680"/>
        <v/>
      </c>
      <c r="AS883" s="634" t="str">
        <f t="shared" si="2743"/>
        <v/>
      </c>
      <c r="AT883" s="625" t="str">
        <f t="shared" si="2682"/>
        <v/>
      </c>
      <c r="AU883" s="638" t="e">
        <f t="shared" si="2683"/>
        <v>#N/A</v>
      </c>
      <c r="AV883" s="625" t="e">
        <f t="shared" si="2684"/>
        <v>#N/A</v>
      </c>
      <c r="AX883" s="625">
        <f>IF(AND('General price list'!$J883="F4",'General price list'!$AB883+0&gt;0),1,0)</f>
        <v>0</v>
      </c>
      <c r="AY883" s="625">
        <f t="shared" si="2685"/>
        <v>1</v>
      </c>
      <c r="AZ883" s="625">
        <f t="shared" si="2686"/>
        <v>0</v>
      </c>
    </row>
    <row r="884" spans="1:52" ht="15.75" customHeight="1">
      <c r="A884" s="621" t="str">
        <f>Kat.!C884</f>
        <v/>
      </c>
      <c r="B884" s="566">
        <f>IF(AND('General price list'!$J884="F4",$AI$1=FALSE),0,IF(AC884="SKLADEM",1,IF(AC884=$V$3,1,0)))</f>
        <v>1</v>
      </c>
      <c r="C884" s="567" t="s">
        <v>1577</v>
      </c>
      <c r="D884" s="568" t="s">
        <v>1575</v>
      </c>
      <c r="E884" s="763" t="s">
        <v>12746</v>
      </c>
      <c r="F884" s="772">
        <f>IFERROR(VLOOKUP(C884,[2]List1!$A:$D,3,FALSE),"NEUVEDENO!")</f>
        <v>535</v>
      </c>
      <c r="G884" s="769">
        <f t="shared" si="2758"/>
        <v>535</v>
      </c>
      <c r="H884" s="766">
        <f t="shared" si="2759"/>
        <v>22.726017679567398</v>
      </c>
      <c r="I884" s="764">
        <f>IFERROR(VLOOKUP(C884,[2]List1!$A:$D,4,FALSE),"NEUVEDENO!")</f>
        <v>6</v>
      </c>
      <c r="J884" s="732" t="s">
        <v>113</v>
      </c>
      <c r="K884" s="569" t="s">
        <v>20</v>
      </c>
      <c r="L884" s="569"/>
      <c r="M884" s="569" t="s">
        <v>114</v>
      </c>
      <c r="N884" s="569">
        <f>IFERROR(VLOOKUP(C884,[3]List1!$A:$D,4,FALSE),"N/A!")</f>
        <v>4.6815999999999997E-2</v>
      </c>
      <c r="O884" s="569">
        <f>IFERROR(VLOOKUP(C884,[3]List1!$A:$D,3,FALSE),"N/A!")</f>
        <v>2850</v>
      </c>
      <c r="P884" s="569">
        <f>IFERROR(VLOOKUP(C884,[3]List1!$A:$D,2,FALSE),"N/A!")</f>
        <v>18500</v>
      </c>
      <c r="Q884" s="569" t="s">
        <v>11786</v>
      </c>
      <c r="R884" s="569"/>
      <c r="S884" s="569" t="str">
        <f>IF($W$17=$AF$1,"design",IFERROR(VLOOKUP("design",Jazyky_ceník!$A:$Q,MATCH($W$17,Jazyky_ceník!$A$1:$Q$1,0),FALSE),"!!!"))</f>
        <v>design</v>
      </c>
      <c r="T884" s="569">
        <v>25</v>
      </c>
      <c r="U884" s="569">
        <v>40</v>
      </c>
      <c r="V884" s="569">
        <v>30</v>
      </c>
      <c r="W884" s="569" t="str">
        <f>IFERROR(IF(AND($AB884&gt;=0.1*$AA884,MOD($AB884,$AA884)&gt;=($AA884-(0.1*$AA884))),IF($W$17=$AF$1,"Zvažte možnost doobjednání ještě "&amp;Tabulka1[[#This Row],[VKPAL]]-MOD(AB884,AA884)&amp;" VK do plné palety.",VLOOKUP("Zvažte možnost doobjednání ještě ",Jazyky_ceník!A:Q,MATCH($W$17,Jazyky_ceník!$A$1:$Q$1,0),FALSE)&amp;Tabulka1[[#This Row],[VKPAL]]-MOD(AB884,AA884)&amp;VLOOKUP(" VK do plné palety.",Jazyky_ceník!A:Q,MATCH($W$17,Jazyky_ceník!$A$1:$Q$1,0),FALSE)),IFERROR(IF(AND(NOT(MOD($AB884,$AA884)=0),$AB884&gt;=0.9*$AA884,MOD($AB884,$AA884)&lt;=0.1*$AA884),IF($W$17=$AF$1,"Zvažte možnost optimalizace objednaného množství podle počtu VK na paletě ==&gt;",VLOOKUP("Zvažte možnost optimalizace objednaného množství podle počtu VK na paletě ==&gt;",Jazyky_ceník!A:Q,MATCH($W$17,Jazyky_ceník!$A$1:$Q$1,0),FALSE)),VLOOKUP('General price list'!$C884,Popisy!A:M,MATCH($W$17,Popisy!$A$7:$M$7,0),FALSE)),"---------------")),IFERROR(VLOOKUP('General price list'!$C884,Popisy!A:M,MATCH($W$17,Popisy!$A$7:$M$7,0),FALSE),"---------------"))</f>
        <v>golden crown w.golden shining pistil</v>
      </c>
      <c r="X884" s="569" t="str">
        <f t="shared" si="2760"/>
        <v/>
      </c>
      <c r="Y884" s="569" t="str">
        <f t="shared" si="2761"/>
        <v/>
      </c>
      <c r="Z884" s="569" t="str">
        <f>HYPERLINK("https://www.klasekpyrotechnics.cz/c253o")</f>
        <v>https://www.klasekpyrotechnics.cz/c253o</v>
      </c>
      <c r="AA884" s="569" t="str">
        <f>IFERROR(IF(VLOOKUP(C884,[4]List1!$A:$D,4,FALSE)=0,"",VLOOKUP(C884,[4]List1!$A:$D,4,FALSE)),"")</f>
        <v>28</v>
      </c>
      <c r="AB884" s="565"/>
      <c r="AC884" s="570" t="str">
        <f>IFERROR(IF(VLOOKUP(C884,[1]List1!$A:$D,2,FALSE)="VYPRODÁNO",$V$9,IF(VLOOKUP(C884,[1]List1!$A:$D,2,FALSE)="DOCHÁZÍ",$V$3,VLOOKUP(C884,[1]List1!$A:$D,2,FALSE))),"OFFLINE!")</f>
        <v>SKLADEM</v>
      </c>
      <c r="AD884" s="570" t="str">
        <f ca="1">IF(AP884="NE",$V$10,IF(AC884=$V$3,IF(AQ884&lt;1,$V$8,$V$2&amp;" "&amp;AQ884&amp;" "&amp;$V$1),IF(AC884="SKLADEM",$V$6,IFERROR(IF(OR(AC884-TODAY()&gt;45,VLOOKUP(C884,[1]List1!$A:$E,4,FALSE)=0),AC884,DAY(AC884)&amp;"."&amp;MONTH(AC884)&amp;"."&amp;YEAR(AC884)&amp;" "&amp;$V$4&amp;VLOOKUP(C884,[1]List1!$A:$E,4,FALSE)&amp;" "&amp;$V$1),AC884))))</f>
        <v>SKLADEM</v>
      </c>
      <c r="AE884" s="581" t="str">
        <f t="shared" ca="1" si="2762"/>
        <v>SKLADEM</v>
      </c>
      <c r="AF884" s="584">
        <f t="shared" si="2763"/>
        <v>0</v>
      </c>
      <c r="AG884" s="585">
        <f t="shared" si="2764"/>
        <v>0</v>
      </c>
      <c r="AH884" s="583">
        <f t="shared" si="2765"/>
        <v>0</v>
      </c>
      <c r="AI884" s="582">
        <f t="shared" si="2766"/>
        <v>0</v>
      </c>
      <c r="AJ884" s="569">
        <f t="shared" si="2767"/>
        <v>0</v>
      </c>
      <c r="AK884" s="569" t="str">
        <f t="shared" si="2768"/>
        <v/>
      </c>
      <c r="AL884" s="569">
        <f t="shared" si="2769"/>
        <v>0</v>
      </c>
      <c r="AM884" s="569" t="str">
        <f t="shared" si="2770"/>
        <v/>
      </c>
      <c r="AN884" s="581">
        <f t="shared" si="2771"/>
        <v>0</v>
      </c>
      <c r="AO884" s="623"/>
      <c r="AP884" s="625" t="str">
        <f t="shared" si="2679"/>
        <v/>
      </c>
      <c r="AQ884" s="625" t="str">
        <f>IF(AC884=$V$3,IF(VLOOKUP(C884,[1]List1!$A:$E,5,FALSE)=0,1,VLOOKUP(C884,[1]List1!$A:$E,5,FALSE)),"")</f>
        <v/>
      </c>
      <c r="AR884" s="629" t="str">
        <f t="shared" si="2680"/>
        <v/>
      </c>
      <c r="AS884" s="630" t="str">
        <f t="shared" si="2743"/>
        <v/>
      </c>
      <c r="AT884" s="625" t="str">
        <f t="shared" si="2682"/>
        <v/>
      </c>
      <c r="AU884" s="625" t="e">
        <f t="shared" si="2683"/>
        <v>#N/A</v>
      </c>
      <c r="AV884" s="625" t="e">
        <f t="shared" si="2684"/>
        <v>#N/A</v>
      </c>
      <c r="AW884" s="631"/>
      <c r="AX884" s="631">
        <f>IF(AND('General price list'!$J884="F4",'General price list'!$AB884+0&gt;0),1,0)</f>
        <v>0</v>
      </c>
      <c r="AY884" s="631">
        <f t="shared" si="2685"/>
        <v>1</v>
      </c>
      <c r="AZ884" s="631">
        <f t="shared" si="2686"/>
        <v>0</v>
      </c>
    </row>
    <row r="885" spans="1:52" ht="15.75" customHeight="1">
      <c r="A885" s="751" t="str">
        <f>Kat.!C885</f>
        <v xml:space="preserve">           Baterie 50 ran, 30 mm šikmý moždíř</v>
      </c>
      <c r="B885" s="751"/>
      <c r="C885" s="751"/>
      <c r="D885" s="751"/>
      <c r="E885" s="751"/>
      <c r="F885" s="751"/>
      <c r="G885" s="751"/>
      <c r="H885" s="751"/>
      <c r="I885" s="752"/>
      <c r="J885" s="752"/>
      <c r="K885" s="752" t="s">
        <v>20</v>
      </c>
      <c r="L885" s="753" t="s">
        <v>20</v>
      </c>
      <c r="M885" s="752"/>
      <c r="N885" s="752"/>
      <c r="O885" s="752"/>
      <c r="P885" s="752"/>
      <c r="Q885" s="752"/>
      <c r="R885" s="752"/>
      <c r="S885" s="752"/>
      <c r="T885" s="752"/>
      <c r="U885" s="752"/>
      <c r="V885" s="752"/>
      <c r="W885" s="752"/>
      <c r="X885" s="752"/>
      <c r="Y885" s="752"/>
      <c r="Z885" s="752" t="s">
        <v>20</v>
      </c>
      <c r="AA885" s="752"/>
      <c r="AB885" s="752"/>
      <c r="AC885" s="754"/>
      <c r="AD885" s="752"/>
      <c r="AE885" s="752"/>
      <c r="AF885" s="752"/>
      <c r="AG885" s="752"/>
      <c r="AH885" s="752"/>
      <c r="AI885" s="752"/>
      <c r="AJ885" s="752"/>
      <c r="AK885" s="752"/>
      <c r="AL885" s="752"/>
      <c r="AM885" s="752"/>
      <c r="AN885" s="752"/>
      <c r="AO885" s="623"/>
      <c r="AP885" s="625" t="str">
        <f t="shared" ref="AP885:AP916" si="2772">IF($AL$3=1,IF(Y885=AB885,"","NE"),IF(AR885=$V$10,"NE",""))</f>
        <v/>
      </c>
      <c r="AQ885" s="625" t="str">
        <f>IF(AC885=$V$3,IF(VLOOKUP(C885,[1]List1!$A:$E,5,FALSE)=0,1,VLOOKUP(C885,[1]List1!$A:$E,5,FALSE)),"")</f>
        <v/>
      </c>
      <c r="AR885" s="629" t="str">
        <f t="shared" ref="AR885:AR916" si="2773">IF($AL$3=1,"",IF(OR(AB885&lt;&gt;"",AB885&lt;&gt;0),IF(OR(AC885=$V$6,AC885=$V$3,AC885=$V$9),$V$10,""),""))</f>
        <v/>
      </c>
      <c r="AS885" s="630" t="str">
        <f t="shared" si="2743"/>
        <v/>
      </c>
      <c r="AT885" s="625" t="str">
        <f t="shared" ref="AT885:AT916" si="2774">IF(AND($AL$3=2,AR885="",AB885&lt;&gt;""),AD885,"")</f>
        <v/>
      </c>
      <c r="AU885" s="625" t="e">
        <f t="shared" ref="AU885:AU916" si="2775">IF(AT885=$AS$21,AB885,"")</f>
        <v>#N/A</v>
      </c>
      <c r="AV885" s="625" t="e">
        <f t="shared" ref="AV885:AV916" si="2776">IF(OR(AB885="",AND(AT885&lt;&gt;"",AU885&lt;&gt;"")),"",$V$10)</f>
        <v>#N/A</v>
      </c>
      <c r="AW885" s="631"/>
      <c r="AX885" s="631">
        <f>IF(AND('General price list'!$J885="F4",'General price list'!$AB885+0&gt;0),1,0)</f>
        <v>0</v>
      </c>
      <c r="AY885" s="631">
        <f t="shared" ref="AY885:AY916" si="2777">IFERROR(FIND(VLOOKUP($AC$7,$AD$1:$AE$12,2,FALSE),Q885,1),0)</f>
        <v>0</v>
      </c>
      <c r="AZ885" s="631">
        <f t="shared" ref="AZ885:AZ916" si="2778">IFERROR(FIND(VLOOKUP($AC$7,$AD$1:$AE$12,2,FALSE),R885,1),0)</f>
        <v>0</v>
      </c>
    </row>
    <row r="886" spans="1:52" ht="15" customHeight="1">
      <c r="A886" s="639" t="str">
        <f>Kat.!C886</f>
        <v/>
      </c>
      <c r="B886" s="640">
        <f>IF(AND('General price list'!$J886="F4",$AI$1=FALSE),0,IF(AC886="SKLADEM",1,IF(AC886=$V$3,1,0)))</f>
        <v>1</v>
      </c>
      <c r="C886" s="641" t="s">
        <v>1595</v>
      </c>
      <c r="D886" s="642" t="s">
        <v>1080</v>
      </c>
      <c r="E886" s="643" t="s">
        <v>12747</v>
      </c>
      <c r="F886" s="792">
        <f>IFERROR(VLOOKUP(C886,[2]List1!$A:$D,3,FALSE),"NEUVEDENO!")</f>
        <v>1499</v>
      </c>
      <c r="G886" s="768">
        <f t="shared" ref="G886:G897" si="2779">IF($W$17=$AF$8,ROUND((F886)/$F$17,2),(F886)*$B$19)</f>
        <v>1499</v>
      </c>
      <c r="H886" s="765">
        <f t="shared" ref="H886:H897" si="2780">IF($W$17=$AF$8,G886*$B$19,G886/$F$17)</f>
        <v>63.675328040507537</v>
      </c>
      <c r="I886" s="644">
        <f>IFERROR(VLOOKUP(C886,[2]List1!$A:$D,4,FALSE),"NEUVEDENO!")</f>
        <v>2</v>
      </c>
      <c r="J886" s="733" t="s">
        <v>113</v>
      </c>
      <c r="K886" s="645"/>
      <c r="L886" s="645" t="s">
        <v>20</v>
      </c>
      <c r="M886" s="645" t="s">
        <v>114</v>
      </c>
      <c r="N886" s="645">
        <f>IFERROR(VLOOKUP(C886,[3]List1!$A:$D,4,FALSE),"N/A!")</f>
        <v>5.6629124999999995E-2</v>
      </c>
      <c r="O886" s="645">
        <f>IFERROR(VLOOKUP(C886,[3]List1!$A:$D,3,FALSE),"N/A!")</f>
        <v>1900</v>
      </c>
      <c r="P886" s="645">
        <f>IFERROR(VLOOKUP(C886,[3]List1!$A:$D,2,FALSE),"N/A!")</f>
        <v>15400</v>
      </c>
      <c r="Q886" s="645" t="s">
        <v>11343</v>
      </c>
      <c r="R886" s="645" t="s">
        <v>20</v>
      </c>
      <c r="S886" s="645" t="str">
        <f>IF($W$17=$AF$1,"design",IFERROR(VLOOKUP("design",Jazyky_ceník!$A:$Q,MATCH($W$17,Jazyky_ceník!$A$1:$Q$1,0),FALSE),"!!!"))</f>
        <v>design</v>
      </c>
      <c r="T886" s="645">
        <v>15</v>
      </c>
      <c r="U886" s="645">
        <v>40</v>
      </c>
      <c r="V886" s="645">
        <v>30</v>
      </c>
      <c r="W886" s="645" t="str">
        <f>IFERROR(IF(AND($AB886&gt;=0.1*$AA886,MOD($AB886,$AA886)&gt;=($AA886-(0.1*$AA886))),IF($W$17=$AF$1,"Zvažte možnost doobjednání ještě "&amp;Tabulka1[[#This Row],[VKPAL]]-MOD(AB886,AA886)&amp;" VK do plné palety.",VLOOKUP("Zvažte možnost doobjednání ještě ",Jazyky_ceník!A:Q,MATCH($W$17,Jazyky_ceník!$A$1:$Q$1,0),FALSE)&amp;Tabulka1[[#This Row],[VKPAL]]-MOD(AB886,AA886)&amp;VLOOKUP(" VK do plné palety.",Jazyky_ceník!A:Q,MATCH($W$17,Jazyky_ceník!$A$1:$Q$1,0),FALSE)),IFERROR(IF(AND(NOT(MOD($AB886,$AA886)=0),$AB886&gt;=0.9*$AA886,MOD($AB886,$AA886)&lt;=0.1*$AA886),IF($W$17=$AF$1,"Zvažte možnost optimalizace objednaného množství podle počtu VK na paletě ==&gt;",VLOOKUP("Zvažte možnost optimalizace objednaného množství podle počtu VK na paletě ==&gt;",Jazyky_ceník!A:Q,MATCH($W$17,Jazyky_ceník!$A$1:$Q$1,0),FALSE)),VLOOKUP('General price list'!$C886,Popisy!A:M,MATCH($W$17,Popisy!$A$7:$M$7,0),FALSE)),"---------------")),IFERROR(VLOOKUP('General price list'!$C886,Popisy!A:M,MATCH($W$17,Popisy!$A$7:$M$7,0),FALSE),"---------------"))</f>
        <v>red tail up to brocade crown+blue- salvo 10sh together</v>
      </c>
      <c r="X886" s="645" t="str">
        <f t="shared" ref="X886:X897" si="2781">IF(AB886&lt;0.0001,"",AB886)</f>
        <v/>
      </c>
      <c r="Y886" s="645" t="str">
        <f t="shared" ref="Y886:Y897" si="2782">IF($AL$3=2,IF(OR(AB886&lt;&gt;"",AB886&lt;&gt;0),AU886,""),IF(C886="","",IF(AB886&lt;0.0001,"",IF(B886=0,"",IF(AQ886&lt;AB886,"",AB886)))))</f>
        <v/>
      </c>
      <c r="Z886" s="645" t="str">
        <f>HYPERLINK("https://www.klasekpyrotechnics.cz/cf503x3")</f>
        <v>https://www.klasekpyrotechnics.cz/cf503x3</v>
      </c>
      <c r="AA886" s="645">
        <f>IFERROR(IF(VLOOKUP(C886,[4]List1!$A:$D,4,FALSE)=0,"",VLOOKUP(C886,[4]List1!$A:$D,4,FALSE)),"")</f>
        <v>28</v>
      </c>
      <c r="AB886" s="646"/>
      <c r="AC886" s="647" t="str">
        <f>IFERROR(IF(VLOOKUP(C886,[1]List1!$A:$D,2,FALSE)="VYPRODÁNO",$V$9,IF(VLOOKUP(C886,[1]List1!$A:$D,2,FALSE)="DOCHÁZÍ",$V$3,VLOOKUP(C886,[1]List1!$A:$D,2,FALSE))),"OFFLINE!")</f>
        <v>SKLADEM</v>
      </c>
      <c r="AD886" s="647" t="str">
        <f ca="1">IF(AP886="NE",$V$10,IF(AC886=$V$3,IF(AQ886&lt;1,$V$8,$V$2&amp;" "&amp;AQ886&amp;" "&amp;$V$1),IF(AC886="SKLADEM",$V$6,IFERROR(IF(OR(AC886-TODAY()&gt;45,VLOOKUP(C886,[1]List1!$A:$E,4,FALSE)=0),AC886,DAY(AC886)&amp;"."&amp;MONTH(AC886)&amp;"."&amp;YEAR(AC886)&amp;" "&amp;$V$4&amp;VLOOKUP(C886,[1]List1!$A:$E,4,FALSE)&amp;" "&amp;$V$1),AC886))))</f>
        <v>SKLADEM</v>
      </c>
      <c r="AE886" s="645" t="str">
        <f t="shared" ref="AE886:AE897" ca="1" si="2783">IFERROR(IF(AV886&lt;&gt;"",AV886,AD886),AD886)</f>
        <v>SKLADEM</v>
      </c>
      <c r="AF886" s="648">
        <f t="shared" ref="AF886:AF897" si="2784">IFERROR(IF(AB886=Y886,G886*I886*Y886,0),0)</f>
        <v>0</v>
      </c>
      <c r="AG886" s="649">
        <f t="shared" ref="AG886:AG897" si="2785">IF($W$17=$AF$8,AH886*1.23,AF886*1.21)</f>
        <v>0</v>
      </c>
      <c r="AH886" s="650">
        <f t="shared" ref="AH886:AH897" si="2786">IFERROR(IF(Y886=AB886,H886*I886*Y886,0),0)</f>
        <v>0</v>
      </c>
      <c r="AI886" s="645">
        <f t="shared" ref="AI886:AI897" si="2787">IFERROR(IF(Y886=AB886,(P886*Y886)/1000,1),0)</f>
        <v>0</v>
      </c>
      <c r="AJ886" s="645">
        <f t="shared" ref="AJ886:AJ897" si="2788">IFERROR(IF(Y886=AB886,N886*Y886,0.1),0)</f>
        <v>0</v>
      </c>
      <c r="AK886" s="645" t="str">
        <f t="shared" ref="AK886:AK897" si="2789">IFERROR(IF(Y886=AB886,IF(M886="1.1G",(O886/1000)*Y886,""),""),0)</f>
        <v/>
      </c>
      <c r="AL886" s="645">
        <f t="shared" ref="AL886:AL897" si="2790">IFERROR(IF(Y886=AB886,IF(M886="1.3G",(O886/1000)*AB886,""),""),0)</f>
        <v>0</v>
      </c>
      <c r="AM886" s="645" t="str">
        <f t="shared" ref="AM886:AM897" si="2791">IFERROR(IF(Y886=AB886,IF(M886="1.4G",(O886/1000)*AB886,""),""),0)</f>
        <v/>
      </c>
      <c r="AN886" s="651">
        <f t="shared" ref="AN886:AN897" si="2792">SUM(AK886:AM886)</f>
        <v>0</v>
      </c>
      <c r="AO886" s="623"/>
      <c r="AP886" s="632" t="str">
        <f t="shared" si="2772"/>
        <v/>
      </c>
      <c r="AQ886" s="633" t="str">
        <f>IF(AC886=$V$3,IF(VLOOKUP(C886,[1]List1!$A:$E,5,FALSE)=0,1,VLOOKUP(C886,[1]List1!$A:$E,5,FALSE)),"")</f>
        <v/>
      </c>
      <c r="AR886" s="625" t="str">
        <f t="shared" si="2773"/>
        <v/>
      </c>
      <c r="AS886" s="634" t="str">
        <f t="shared" si="2743"/>
        <v/>
      </c>
      <c r="AT886" s="625" t="str">
        <f t="shared" si="2774"/>
        <v/>
      </c>
      <c r="AU886" s="638" t="e">
        <f t="shared" si="2775"/>
        <v>#N/A</v>
      </c>
      <c r="AV886" s="625" t="e">
        <f t="shared" si="2776"/>
        <v>#N/A</v>
      </c>
      <c r="AX886" s="625">
        <f>IF(AND('General price list'!$J886="F4",'General price list'!$AB886+0&gt;0),1,0)</f>
        <v>0</v>
      </c>
      <c r="AY886" s="625">
        <f t="shared" si="2777"/>
        <v>1</v>
      </c>
      <c r="AZ886" s="625">
        <f t="shared" si="2778"/>
        <v>0</v>
      </c>
    </row>
    <row r="887" spans="1:52" ht="15" customHeight="1">
      <c r="A887" s="621" t="str">
        <f>Kat.!C887</f>
        <v/>
      </c>
      <c r="B887" s="566">
        <f>IF(AND('General price list'!$J887="F4",$AI$1=FALSE),0,IF(AC887="SKLADEM",1,IF(AC887=$V$3,1,0)))</f>
        <v>1</v>
      </c>
      <c r="C887" s="567" t="s">
        <v>1597</v>
      </c>
      <c r="D887" s="568" t="s">
        <v>1080</v>
      </c>
      <c r="E887" s="763" t="s">
        <v>12747</v>
      </c>
      <c r="F887" s="792">
        <f>IFERROR(VLOOKUP(C887,[2]List1!$A:$D,3,FALSE),"NEUVEDENO!")</f>
        <v>1499</v>
      </c>
      <c r="G887" s="769">
        <f t="shared" si="2779"/>
        <v>1499</v>
      </c>
      <c r="H887" s="766">
        <f t="shared" si="2780"/>
        <v>63.675328040507537</v>
      </c>
      <c r="I887" s="764">
        <f>IFERROR(VLOOKUP(C887,[2]List1!$A:$D,4,FALSE),"NEUVEDENO!")</f>
        <v>2</v>
      </c>
      <c r="J887" s="732" t="s">
        <v>113</v>
      </c>
      <c r="K887" s="569"/>
      <c r="L887" s="569" t="s">
        <v>20</v>
      </c>
      <c r="M887" s="569" t="s">
        <v>114</v>
      </c>
      <c r="N887" s="569">
        <f>IFERROR(VLOOKUP(C887,[3]List1!$A:$D,4,FALSE),"N/A!")</f>
        <v>5.6629124999999995E-2</v>
      </c>
      <c r="O887" s="569">
        <f>IFERROR(VLOOKUP(C887,[3]List1!$A:$D,3,FALSE),"N/A!")</f>
        <v>1900</v>
      </c>
      <c r="P887" s="569">
        <f>IFERROR(VLOOKUP(C887,[3]List1!$A:$D,2,FALSE),"N/A!")</f>
        <v>13900</v>
      </c>
      <c r="Q887" s="569" t="s">
        <v>11343</v>
      </c>
      <c r="R887" s="569"/>
      <c r="S887" s="569" t="str">
        <f>IF($W$17=$AF$1,"design",IFERROR(VLOOKUP("design",Jazyky_ceník!$A:$Q,MATCH($W$17,Jazyky_ceník!$A$1:$Q$1,0),FALSE),"!!!"))</f>
        <v>design</v>
      </c>
      <c r="T887" s="569">
        <v>20</v>
      </c>
      <c r="U887" s="569">
        <v>40</v>
      </c>
      <c r="V887" s="569">
        <v>30</v>
      </c>
      <c r="W887" s="569" t="str">
        <f>IFERROR(IF(AND($AB887&gt;=0.1*$AA887,MOD($AB887,$AA887)&gt;=($AA887-(0.1*$AA887))),IF($W$17=$AF$1,"Zvažte možnost doobjednání ještě "&amp;Tabulka1[[#This Row],[VKPAL]]-MOD(AB887,AA887)&amp;" VK do plné palety.",VLOOKUP("Zvažte možnost doobjednání ještě ",Jazyky_ceník!A:Q,MATCH($W$17,Jazyky_ceník!$A$1:$Q$1,0),FALSE)&amp;Tabulka1[[#This Row],[VKPAL]]-MOD(AB887,AA887)&amp;VLOOKUP(" VK do plné palety.",Jazyky_ceník!A:Q,MATCH($W$17,Jazyky_ceník!$A$1:$Q$1,0),FALSE)),IFERROR(IF(AND(NOT(MOD($AB887,$AA887)=0),$AB887&gt;=0.9*$AA887,MOD($AB887,$AA887)&lt;=0.1*$AA887),IF($W$17=$AF$1,"Zvažte možnost optimalizace objednaného množství podle počtu VK na paletě ==&gt;",VLOOKUP("Zvažte možnost optimalizace objednaného množství podle počtu VK na paletě ==&gt;",Jazyky_ceník!A:Q,MATCH($W$17,Jazyky_ceník!$A$1:$Q$1,0),FALSE)),VLOOKUP('General price list'!$C887,Popisy!A:M,MATCH($W$17,Popisy!$A$7:$M$7,0),FALSE)),"---------------")),IFERROR(VLOOKUP('General price list'!$C887,Popisy!A:M,MATCH($W$17,Popisy!$A$7:$M$7,0),FALSE),"---------------"))</f>
        <v>two side: star middle: gold willow+crackling chry- salvo 10sh together</v>
      </c>
      <c r="X887" s="569" t="str">
        <f t="shared" si="2781"/>
        <v/>
      </c>
      <c r="Y887" s="569" t="str">
        <f t="shared" si="2782"/>
        <v/>
      </c>
      <c r="Z887" s="569" t="str">
        <f>HYPERLINK("https://www.klasekpyrotechnics.cz/cf503x4")</f>
        <v>https://www.klasekpyrotechnics.cz/cf503x4</v>
      </c>
      <c r="AA887" s="569">
        <f>IFERROR(IF(VLOOKUP(C887,[4]List1!$A:$D,4,FALSE)=0,"",VLOOKUP(C887,[4]List1!$A:$D,4,FALSE)),"")</f>
        <v>28</v>
      </c>
      <c r="AB887" s="565"/>
      <c r="AC887" s="570" t="str">
        <f>IFERROR(IF(VLOOKUP(C887,[1]List1!$A:$D,2,FALSE)="VYPRODÁNO",$V$9,IF(VLOOKUP(C887,[1]List1!$A:$D,2,FALSE)="DOCHÁZÍ",$V$3,VLOOKUP(C887,[1]List1!$A:$D,2,FALSE))),"OFFLINE!")</f>
        <v>SKLADEM</v>
      </c>
      <c r="AD887" s="570" t="str">
        <f ca="1">IF(AP887="NE",$V$10,IF(AC887=$V$3,IF(AQ887&lt;1,$V$8,$V$2&amp;" "&amp;AQ887&amp;" "&amp;$V$1),IF(AC887="SKLADEM",$V$6,IFERROR(IF(OR(AC887-TODAY()&gt;45,VLOOKUP(C887,[1]List1!$A:$E,4,FALSE)=0),AC887,DAY(AC887)&amp;"."&amp;MONTH(AC887)&amp;"."&amp;YEAR(AC887)&amp;" "&amp;$V$4&amp;VLOOKUP(C887,[1]List1!$A:$E,4,FALSE)&amp;" "&amp;$V$1),AC887))))</f>
        <v>SKLADEM</v>
      </c>
      <c r="AE887" s="581" t="str">
        <f t="shared" ca="1" si="2783"/>
        <v>SKLADEM</v>
      </c>
      <c r="AF887" s="584">
        <f t="shared" si="2784"/>
        <v>0</v>
      </c>
      <c r="AG887" s="585">
        <f t="shared" si="2785"/>
        <v>0</v>
      </c>
      <c r="AH887" s="583">
        <f t="shared" si="2786"/>
        <v>0</v>
      </c>
      <c r="AI887" s="582">
        <f t="shared" si="2787"/>
        <v>0</v>
      </c>
      <c r="AJ887" s="569">
        <f t="shared" si="2788"/>
        <v>0</v>
      </c>
      <c r="AK887" s="569" t="str">
        <f t="shared" si="2789"/>
        <v/>
      </c>
      <c r="AL887" s="569">
        <f t="shared" si="2790"/>
        <v>0</v>
      </c>
      <c r="AM887" s="569" t="str">
        <f t="shared" si="2791"/>
        <v/>
      </c>
      <c r="AN887" s="581">
        <f t="shared" si="2792"/>
        <v>0</v>
      </c>
      <c r="AO887" s="623"/>
      <c r="AP887" s="632" t="str">
        <f t="shared" si="2772"/>
        <v/>
      </c>
      <c r="AQ887" s="633" t="str">
        <f>IF(AC887=$V$3,IF(VLOOKUP(C887,[1]List1!$A:$E,5,FALSE)=0,1,VLOOKUP(C887,[1]List1!$A:$E,5,FALSE)),"")</f>
        <v/>
      </c>
      <c r="AR887" s="625" t="str">
        <f t="shared" si="2773"/>
        <v/>
      </c>
      <c r="AS887" s="634" t="str">
        <f t="shared" si="2743"/>
        <v/>
      </c>
      <c r="AT887" s="625" t="str">
        <f t="shared" si="2774"/>
        <v/>
      </c>
      <c r="AU887" s="638" t="e">
        <f t="shared" si="2775"/>
        <v>#N/A</v>
      </c>
      <c r="AV887" s="625" t="e">
        <f t="shared" si="2776"/>
        <v>#N/A</v>
      </c>
      <c r="AX887" s="625">
        <f>IF(AND('General price list'!$J887="F4",'General price list'!$AB887+0&gt;0),1,0)</f>
        <v>0</v>
      </c>
      <c r="AY887" s="625">
        <f t="shared" si="2777"/>
        <v>1</v>
      </c>
      <c r="AZ887" s="625">
        <f t="shared" si="2778"/>
        <v>0</v>
      </c>
    </row>
    <row r="888" spans="1:52" ht="15.75" customHeight="1">
      <c r="A888" s="639" t="str">
        <f>Kat.!C888</f>
        <v/>
      </c>
      <c r="B888" s="640">
        <f>IF(AND('General price list'!$J888="F4",$AI$1=FALSE),0,IF(AC888="SKLADEM",1,IF(AC888=$V$3,1,0)))</f>
        <v>1</v>
      </c>
      <c r="C888" s="641" t="s">
        <v>1599</v>
      </c>
      <c r="D888" s="642" t="s">
        <v>1080</v>
      </c>
      <c r="E888" s="643" t="s">
        <v>12747</v>
      </c>
      <c r="F888" s="771">
        <f>IFERROR(VLOOKUP(C888,[2]List1!$A:$D,3,FALSE),"NEUVEDENO!")</f>
        <v>1499</v>
      </c>
      <c r="G888" s="768">
        <f t="shared" si="2779"/>
        <v>1499</v>
      </c>
      <c r="H888" s="765">
        <f t="shared" si="2780"/>
        <v>63.675328040507537</v>
      </c>
      <c r="I888" s="644">
        <f>IFERROR(VLOOKUP(C888,[2]List1!$A:$D,4,FALSE),"NEUVEDENO!")</f>
        <v>2</v>
      </c>
      <c r="J888" s="733" t="s">
        <v>113</v>
      </c>
      <c r="K888" s="645" t="s">
        <v>20</v>
      </c>
      <c r="L888" s="645" t="s">
        <v>20</v>
      </c>
      <c r="M888" s="645" t="s">
        <v>114</v>
      </c>
      <c r="N888" s="645">
        <f>IFERROR(VLOOKUP(C888,[3]List1!$A:$D,4,FALSE),"N/A!")</f>
        <v>5.6629124999999995E-2</v>
      </c>
      <c r="O888" s="645">
        <f>IFERROR(VLOOKUP(C888,[3]List1!$A:$D,3,FALSE),"N/A!")</f>
        <v>1900</v>
      </c>
      <c r="P888" s="645">
        <f>IFERROR(VLOOKUP(C888,[3]List1!$A:$D,2,FALSE),"N/A!")</f>
        <v>13000</v>
      </c>
      <c r="Q888" s="645" t="s">
        <v>11343</v>
      </c>
      <c r="R888" s="645" t="s">
        <v>20</v>
      </c>
      <c r="S888" s="645" t="str">
        <f>IF($W$17=$AF$1,"design",IFERROR(VLOOKUP("design",Jazyky_ceník!$A:$Q,MATCH($W$17,Jazyky_ceník!$A$1:$Q$1,0),FALSE),"!!!"))</f>
        <v>design</v>
      </c>
      <c r="T888" s="645">
        <v>20</v>
      </c>
      <c r="U888" s="645">
        <v>40</v>
      </c>
      <c r="V888" s="645">
        <v>30</v>
      </c>
      <c r="W888" s="645" t="str">
        <f>IFERROR(IF(AND($AB888&gt;=0.1*$AA888,MOD($AB888,$AA888)&gt;=($AA888-(0.1*$AA888))),IF($W$17=$AF$1,"Zvažte možnost doobjednání ještě "&amp;Tabulka1[[#This Row],[VKPAL]]-MOD(AB888,AA888)&amp;" VK do plné palety.",VLOOKUP("Zvažte možnost doobjednání ještě ",Jazyky_ceník!A:Q,MATCH($W$17,Jazyky_ceník!$A$1:$Q$1,0),FALSE)&amp;Tabulka1[[#This Row],[VKPAL]]-MOD(AB888,AA888)&amp;VLOOKUP(" VK do plné palety.",Jazyky_ceník!A:Q,MATCH($W$17,Jazyky_ceník!$A$1:$Q$1,0),FALSE)),IFERROR(IF(AND(NOT(MOD($AB888,$AA888)=0),$AB888&gt;=0.9*$AA888,MOD($AB888,$AA888)&lt;=0.1*$AA888),IF($W$17=$AF$1,"Zvažte možnost optimalizace objednaného množství podle počtu VK na paletě ==&gt;",VLOOKUP("Zvažte možnost optimalizace objednaného množství podle počtu VK na paletě ==&gt;",Jazyky_ceník!A:Q,MATCH($W$17,Jazyky_ceník!$A$1:$Q$1,0),FALSE)),VLOOKUP('General price list'!$C888,Popisy!A:M,MATCH($W$17,Popisy!$A$7:$M$7,0),FALSE)),"---------------")),IFERROR(VLOOKUP('General price list'!$C888,Popisy!A:M,MATCH($W$17,Popisy!$A$7:$M$7,0),FALSE),"---------------"))</f>
        <v>two sides:silver, middle:silver palm to orange+brocade willow flower star- salvo 10sh together</v>
      </c>
      <c r="X888" s="645" t="str">
        <f t="shared" si="2781"/>
        <v/>
      </c>
      <c r="Y888" s="645" t="str">
        <f t="shared" si="2782"/>
        <v/>
      </c>
      <c r="Z888" s="645" t="str">
        <f>HYPERLINK("https://www.klasekpyrotechnics.cz/cf503x5")</f>
        <v>https://www.klasekpyrotechnics.cz/cf503x5</v>
      </c>
      <c r="AA888" s="645">
        <f>IFERROR(IF(VLOOKUP(C888,[4]List1!$A:$D,4,FALSE)=0,"",VLOOKUP(C888,[4]List1!$A:$D,4,FALSE)),"")</f>
        <v>28</v>
      </c>
      <c r="AB888" s="646"/>
      <c r="AC888" s="647" t="str">
        <f>IFERROR(IF(VLOOKUP(C888,[1]List1!$A:$D,2,FALSE)="VYPRODÁNO",$V$9,IF(VLOOKUP(C888,[1]List1!$A:$D,2,FALSE)="DOCHÁZÍ",$V$3,VLOOKUP(C888,[1]List1!$A:$D,2,FALSE))),"OFFLINE!")</f>
        <v>SKLADEM</v>
      </c>
      <c r="AD888" s="647" t="str">
        <f ca="1">IF(AP888="NE",$V$10,IF(AC888=$V$3,IF(AQ888&lt;1,$V$8,$V$2&amp;" "&amp;AQ888&amp;" "&amp;$V$1),IF(AC888="SKLADEM",$V$6,IFERROR(IF(OR(AC888-TODAY()&gt;45,VLOOKUP(C888,[1]List1!$A:$E,4,FALSE)=0),AC888,DAY(AC888)&amp;"."&amp;MONTH(AC888)&amp;"."&amp;YEAR(AC888)&amp;" "&amp;$V$4&amp;VLOOKUP(C888,[1]List1!$A:$E,4,FALSE)&amp;" "&amp;$V$1),AC888))))</f>
        <v>SKLADEM</v>
      </c>
      <c r="AE888" s="645" t="str">
        <f t="shared" ca="1" si="2783"/>
        <v>SKLADEM</v>
      </c>
      <c r="AF888" s="648">
        <f t="shared" si="2784"/>
        <v>0</v>
      </c>
      <c r="AG888" s="649">
        <f t="shared" si="2785"/>
        <v>0</v>
      </c>
      <c r="AH888" s="650">
        <f t="shared" si="2786"/>
        <v>0</v>
      </c>
      <c r="AI888" s="645">
        <f t="shared" si="2787"/>
        <v>0</v>
      </c>
      <c r="AJ888" s="645">
        <f t="shared" si="2788"/>
        <v>0</v>
      </c>
      <c r="AK888" s="645" t="str">
        <f t="shared" si="2789"/>
        <v/>
      </c>
      <c r="AL888" s="645">
        <f t="shared" si="2790"/>
        <v>0</v>
      </c>
      <c r="AM888" s="645" t="str">
        <f t="shared" si="2791"/>
        <v/>
      </c>
      <c r="AN888" s="651">
        <f t="shared" si="2792"/>
        <v>0</v>
      </c>
      <c r="AO888" s="623"/>
      <c r="AP888" s="625" t="str">
        <f t="shared" si="2772"/>
        <v/>
      </c>
      <c r="AQ888" s="625" t="str">
        <f>IF(AC888=$V$3,IF(VLOOKUP(C888,[1]List1!$A:$E,5,FALSE)=0,1,VLOOKUP(C888,[1]List1!$A:$E,5,FALSE)),"")</f>
        <v/>
      </c>
      <c r="AR888" s="629" t="str">
        <f t="shared" si="2773"/>
        <v/>
      </c>
      <c r="AS888" s="630" t="str">
        <f t="shared" si="2743"/>
        <v/>
      </c>
      <c r="AT888" s="625" t="str">
        <f t="shared" si="2774"/>
        <v/>
      </c>
      <c r="AU888" s="625" t="e">
        <f t="shared" si="2775"/>
        <v>#N/A</v>
      </c>
      <c r="AV888" s="625" t="e">
        <f t="shared" si="2776"/>
        <v>#N/A</v>
      </c>
      <c r="AW888" s="631"/>
      <c r="AX888" s="631">
        <f>IF(AND('General price list'!$J888="F4",'General price list'!$AB888+0&gt;0),1,0)</f>
        <v>0</v>
      </c>
      <c r="AY888" s="631">
        <f t="shared" si="2777"/>
        <v>1</v>
      </c>
      <c r="AZ888" s="631">
        <f t="shared" si="2778"/>
        <v>0</v>
      </c>
    </row>
    <row r="889" spans="1:52" ht="15.75" customHeight="1">
      <c r="A889" s="621" t="str">
        <f>Kat.!C889</f>
        <v/>
      </c>
      <c r="B889" s="566">
        <f>IF(AND('General price list'!$J889="F4",$AI$1=FALSE),0,IF(AC889="SKLADEM",1,IF(AC889=$V$3,1,0)))</f>
        <v>1</v>
      </c>
      <c r="C889" s="567" t="s">
        <v>1602</v>
      </c>
      <c r="D889" s="568" t="s">
        <v>1080</v>
      </c>
      <c r="E889" s="763" t="s">
        <v>12747</v>
      </c>
      <c r="F889" s="772">
        <f>IFERROR(VLOOKUP(C889,[2]List1!$A:$D,3,FALSE),"NEUVEDENO!")</f>
        <v>1499</v>
      </c>
      <c r="G889" s="769">
        <f t="shared" si="2779"/>
        <v>1499</v>
      </c>
      <c r="H889" s="766">
        <f t="shared" si="2780"/>
        <v>63.675328040507537</v>
      </c>
      <c r="I889" s="764">
        <f>IFERROR(VLOOKUP(C889,[2]List1!$A:$D,4,FALSE),"NEUVEDENO!")</f>
        <v>2</v>
      </c>
      <c r="J889" s="732" t="s">
        <v>113</v>
      </c>
      <c r="K889" s="569" t="s">
        <v>20</v>
      </c>
      <c r="L889" s="569" t="s">
        <v>20</v>
      </c>
      <c r="M889" s="569" t="s">
        <v>114</v>
      </c>
      <c r="N889" s="569">
        <f>IFERROR(VLOOKUP(C889,[3]List1!$A:$D,4,FALSE),"N/A!")</f>
        <v>5.6629124999999995E-2</v>
      </c>
      <c r="O889" s="569">
        <f>IFERROR(VLOOKUP(C889,[3]List1!$A:$D,3,FALSE),"N/A!")</f>
        <v>1900</v>
      </c>
      <c r="P889" s="569">
        <f>IFERROR(VLOOKUP(C889,[3]List1!$A:$D,2,FALSE),"N/A!")</f>
        <v>14700</v>
      </c>
      <c r="Q889" s="569" t="s">
        <v>11343</v>
      </c>
      <c r="R889" s="569" t="s">
        <v>20</v>
      </c>
      <c r="S889" s="569" t="str">
        <f>IF($W$17=$AF$1,"design",IFERROR(VLOOKUP("design",Jazyky_ceník!$A:$Q,MATCH($W$17,Jazyky_ceník!$A$1:$Q$1,0),FALSE),"!!!"))</f>
        <v>design</v>
      </c>
      <c r="T889" s="569">
        <v>20</v>
      </c>
      <c r="U889" s="569">
        <v>40</v>
      </c>
      <c r="V889" s="569">
        <v>30</v>
      </c>
      <c r="W889" s="569" t="str">
        <f>IFERROR(IF(AND($AB889&gt;=0.1*$AA889,MOD($AB889,$AA889)&gt;=($AA889-(0.1*$AA889))),IF($W$17=$AF$1,"Zvažte možnost doobjednání ještě "&amp;Tabulka1[[#This Row],[VKPAL]]-MOD(AB889,AA889)&amp;" VK do plné palety.",VLOOKUP("Zvažte možnost doobjednání ještě ",Jazyky_ceník!A:Q,MATCH($W$17,Jazyky_ceník!$A$1:$Q$1,0),FALSE)&amp;Tabulka1[[#This Row],[VKPAL]]-MOD(AB889,AA889)&amp;VLOOKUP(" VK do plné palety.",Jazyky_ceník!A:Q,MATCH($W$17,Jazyky_ceník!$A$1:$Q$1,0),FALSE)),IFERROR(IF(AND(NOT(MOD($AB889,$AA889)=0),$AB889&gt;=0.9*$AA889,MOD($AB889,$AA889)&lt;=0.1*$AA889),IF($W$17=$AF$1,"Zvažte možnost optimalizace objednaného množství podle počtu VK na paletě ==&gt;",VLOOKUP("Zvažte možnost optimalizace objednaného množství podle počtu VK na paletě ==&gt;",Jazyky_ceník!A:Q,MATCH($W$17,Jazyky_ceník!$A$1:$Q$1,0),FALSE)),VLOOKUP('General price list'!$C889,Popisy!A:M,MATCH($W$17,Popisy!$A$7:$M$7,0),FALSE)),"---------------")),IFERROR(VLOOKUP('General price list'!$C889,Popisy!A:M,MATCH($W$17,Popisy!$A$7:$M$7,0),FALSE),"---------------"))</f>
        <v>crackling tail up to red tail red dahlia with chrysanthemum- salvo 10sh together</v>
      </c>
      <c r="X889" s="569" t="str">
        <f t="shared" si="2781"/>
        <v/>
      </c>
      <c r="Y889" s="569" t="str">
        <f t="shared" si="2782"/>
        <v/>
      </c>
      <c r="Z889" s="569" t="str">
        <f>HYPERLINK("https://www.klasekpyrotechnics.cz/cf503x7")</f>
        <v>https://www.klasekpyrotechnics.cz/cf503x7</v>
      </c>
      <c r="AA889" s="569">
        <f>IFERROR(IF(VLOOKUP(C889,[4]List1!$A:$D,4,FALSE)=0,"",VLOOKUP(C889,[4]List1!$A:$D,4,FALSE)),"")</f>
        <v>28</v>
      </c>
      <c r="AB889" s="565"/>
      <c r="AC889" s="570" t="str">
        <f>IFERROR(IF(VLOOKUP(C889,[1]List1!$A:$D,2,FALSE)="VYPRODÁNO",$V$9,IF(VLOOKUP(C889,[1]List1!$A:$D,2,FALSE)="DOCHÁZÍ",$V$3,VLOOKUP(C889,[1]List1!$A:$D,2,FALSE))),"OFFLINE!")</f>
        <v>SKLADEM</v>
      </c>
      <c r="AD889" s="570" t="str">
        <f ca="1">IF(AP889="NE",$V$10,IF(AC889=$V$3,IF(AQ889&lt;1,$V$8,$V$2&amp;" "&amp;AQ889&amp;" "&amp;$V$1),IF(AC889="SKLADEM",$V$6,IFERROR(IF(OR(AC889-TODAY()&gt;45,VLOOKUP(C889,[1]List1!$A:$E,4,FALSE)=0),AC889,DAY(AC889)&amp;"."&amp;MONTH(AC889)&amp;"."&amp;YEAR(AC889)&amp;" "&amp;$V$4&amp;VLOOKUP(C889,[1]List1!$A:$E,4,FALSE)&amp;" "&amp;$V$1),AC889))))</f>
        <v>SKLADEM</v>
      </c>
      <c r="AE889" s="581" t="str">
        <f t="shared" ca="1" si="2783"/>
        <v>SKLADEM</v>
      </c>
      <c r="AF889" s="584">
        <f t="shared" si="2784"/>
        <v>0</v>
      </c>
      <c r="AG889" s="585">
        <f t="shared" si="2785"/>
        <v>0</v>
      </c>
      <c r="AH889" s="583">
        <f t="shared" si="2786"/>
        <v>0</v>
      </c>
      <c r="AI889" s="582">
        <f t="shared" si="2787"/>
        <v>0</v>
      </c>
      <c r="AJ889" s="569">
        <f t="shared" si="2788"/>
        <v>0</v>
      </c>
      <c r="AK889" s="569" t="str">
        <f t="shared" si="2789"/>
        <v/>
      </c>
      <c r="AL889" s="569">
        <f t="shared" si="2790"/>
        <v>0</v>
      </c>
      <c r="AM889" s="569" t="str">
        <f t="shared" si="2791"/>
        <v/>
      </c>
      <c r="AN889" s="581">
        <f t="shared" si="2792"/>
        <v>0</v>
      </c>
      <c r="AO889" s="623"/>
      <c r="AP889" s="625" t="str">
        <f t="shared" si="2772"/>
        <v/>
      </c>
      <c r="AQ889" s="625" t="str">
        <f>IF(AC889=$V$3,IF(VLOOKUP(C889,[1]List1!$A:$E,5,FALSE)=0,1,VLOOKUP(C889,[1]List1!$A:$E,5,FALSE)),"")</f>
        <v/>
      </c>
      <c r="AR889" s="629" t="str">
        <f t="shared" si="2773"/>
        <v/>
      </c>
      <c r="AS889" s="630" t="str">
        <f t="shared" si="2743"/>
        <v/>
      </c>
      <c r="AT889" s="625" t="str">
        <f t="shared" si="2774"/>
        <v/>
      </c>
      <c r="AU889" s="625" t="e">
        <f t="shared" si="2775"/>
        <v>#N/A</v>
      </c>
      <c r="AV889" s="625" t="e">
        <f t="shared" si="2776"/>
        <v>#N/A</v>
      </c>
      <c r="AW889" s="631"/>
      <c r="AX889" s="631">
        <f>IF(AND('General price list'!$J889="F4",'General price list'!$AB889+0&gt;0),1,0)</f>
        <v>0</v>
      </c>
      <c r="AY889" s="631">
        <f t="shared" si="2777"/>
        <v>1</v>
      </c>
      <c r="AZ889" s="631">
        <f t="shared" si="2778"/>
        <v>0</v>
      </c>
    </row>
    <row r="890" spans="1:52" ht="15" customHeight="1">
      <c r="A890" s="639" t="str">
        <f>Kat.!C890</f>
        <v/>
      </c>
      <c r="B890" s="640">
        <f>IF(AND('General price list'!$J890="F4",$AI$1=FALSE),0,IF(AC890="SKLADEM",1,IF(AC890=$V$3,1,0)))</f>
        <v>1</v>
      </c>
      <c r="C890" s="641" t="s">
        <v>1604</v>
      </c>
      <c r="D890" s="642" t="s">
        <v>1080</v>
      </c>
      <c r="E890" s="643" t="s">
        <v>12747</v>
      </c>
      <c r="F890" s="771">
        <f>IFERROR(VLOOKUP(C890,[2]List1!$A:$D,3,FALSE),"NEUVEDENO!")</f>
        <v>1499</v>
      </c>
      <c r="G890" s="768">
        <f t="shared" si="2779"/>
        <v>1499</v>
      </c>
      <c r="H890" s="765">
        <f t="shared" si="2780"/>
        <v>63.675328040507537</v>
      </c>
      <c r="I890" s="644">
        <f>IFERROR(VLOOKUP(C890,[2]List1!$A:$D,4,FALSE),"NEUVEDENO!")</f>
        <v>2</v>
      </c>
      <c r="J890" s="733" t="s">
        <v>113</v>
      </c>
      <c r="K890" s="645" t="s">
        <v>20</v>
      </c>
      <c r="L890" s="645"/>
      <c r="M890" s="645" t="s">
        <v>114</v>
      </c>
      <c r="N890" s="645">
        <f>IFERROR(VLOOKUP(C890,[3]List1!$A:$D,4,FALSE),"N/A!")</f>
        <v>5.6629124999999995E-2</v>
      </c>
      <c r="O890" s="645">
        <f>IFERROR(VLOOKUP(C890,[3]List1!$A:$D,3,FALSE),"N/A!")</f>
        <v>1900</v>
      </c>
      <c r="P890" s="645">
        <f>IFERROR(VLOOKUP(C890,[3]List1!$A:$D,2,FALSE),"N/A!")</f>
        <v>14800</v>
      </c>
      <c r="Q890" s="645" t="s">
        <v>11343</v>
      </c>
      <c r="R890" s="645"/>
      <c r="S890" s="645" t="str">
        <f>IF($W$17=$AF$1,"design",IFERROR(VLOOKUP("design",Jazyky_ceník!$A:$Q,MATCH($W$17,Jazyky_ceník!$A$1:$Q$1,0),FALSE),"!!!"))</f>
        <v>design</v>
      </c>
      <c r="T890" s="645">
        <v>15</v>
      </c>
      <c r="U890" s="645">
        <v>40</v>
      </c>
      <c r="V890" s="645">
        <v>30</v>
      </c>
      <c r="W890" s="645" t="str">
        <f>IFERROR(IF(AND($AB890&gt;=0.1*$AA890,MOD($AB890,$AA890)&gt;=($AA890-(0.1*$AA890))),IF($W$17=$AF$1,"Zvažte možnost doobjednání ještě "&amp;Tabulka1[[#This Row],[VKPAL]]-MOD(AB890,AA890)&amp;" VK do plné palety.",VLOOKUP("Zvažte možnost doobjednání ještě ",Jazyky_ceník!A:Q,MATCH($W$17,Jazyky_ceník!$A$1:$Q$1,0),FALSE)&amp;Tabulka1[[#This Row],[VKPAL]]-MOD(AB890,AA890)&amp;VLOOKUP(" VK do plné palety.",Jazyky_ceník!A:Q,MATCH($W$17,Jazyky_ceník!$A$1:$Q$1,0),FALSE)),IFERROR(IF(AND(NOT(MOD($AB890,$AA890)=0),$AB890&gt;=0.9*$AA890,MOD($AB890,$AA890)&lt;=0.1*$AA890),IF($W$17=$AF$1,"Zvažte možnost optimalizace objednaného množství podle počtu VK na paletě ==&gt;",VLOOKUP("Zvažte možnost optimalizace objednaného množství podle počtu VK na paletě ==&gt;",Jazyky_ceník!A:Q,MATCH($W$17,Jazyky_ceník!$A$1:$Q$1,0),FALSE)),VLOOKUP('General price list'!$C890,Popisy!A:M,MATCH($W$17,Popisy!$A$7:$M$7,0),FALSE)),"---------------")),IFERROR(VLOOKUP('General price list'!$C890,Popisy!A:M,MATCH($W$17,Popisy!$A$7:$M$7,0),FALSE),"---------------"))</f>
        <v>blue tail up to flower crown- salvo 10sh together</v>
      </c>
      <c r="X890" s="645" t="str">
        <f t="shared" si="2781"/>
        <v/>
      </c>
      <c r="Y890" s="645" t="str">
        <f t="shared" si="2782"/>
        <v/>
      </c>
      <c r="Z890" s="645" t="str">
        <f>HYPERLINK("https://www.klasekpyrotechnics.cz/cf503x8")</f>
        <v>https://www.klasekpyrotechnics.cz/cf503x8</v>
      </c>
      <c r="AA890" s="645">
        <f>IFERROR(IF(VLOOKUP(C890,[4]List1!$A:$D,4,FALSE)=0,"",VLOOKUP(C890,[4]List1!$A:$D,4,FALSE)),"")</f>
        <v>28</v>
      </c>
      <c r="AB890" s="646"/>
      <c r="AC890" s="647" t="str">
        <f>IFERROR(IF(VLOOKUP(C890,[1]List1!$A:$D,2,FALSE)="VYPRODÁNO",$V$9,IF(VLOOKUP(C890,[1]List1!$A:$D,2,FALSE)="DOCHÁZÍ",$V$3,VLOOKUP(C890,[1]List1!$A:$D,2,FALSE))),"OFFLINE!")</f>
        <v>SKLADEM</v>
      </c>
      <c r="AD890" s="647" t="str">
        <f ca="1">IF(AP890="NE",$V$10,IF(AC890=$V$3,IF(AQ890&lt;1,$V$8,$V$2&amp;" "&amp;AQ890&amp;" "&amp;$V$1),IF(AC890="SKLADEM",$V$6,IFERROR(IF(OR(AC890-TODAY()&gt;45,VLOOKUP(C890,[1]List1!$A:$E,4,FALSE)=0),AC890,DAY(AC890)&amp;"."&amp;MONTH(AC890)&amp;"."&amp;YEAR(AC890)&amp;" "&amp;$V$4&amp;VLOOKUP(C890,[1]List1!$A:$E,4,FALSE)&amp;" "&amp;$V$1),AC890))))</f>
        <v>SKLADEM</v>
      </c>
      <c r="AE890" s="645" t="str">
        <f t="shared" ca="1" si="2783"/>
        <v>SKLADEM</v>
      </c>
      <c r="AF890" s="648">
        <f t="shared" si="2784"/>
        <v>0</v>
      </c>
      <c r="AG890" s="649">
        <f t="shared" si="2785"/>
        <v>0</v>
      </c>
      <c r="AH890" s="650">
        <f t="shared" si="2786"/>
        <v>0</v>
      </c>
      <c r="AI890" s="645">
        <f t="shared" si="2787"/>
        <v>0</v>
      </c>
      <c r="AJ890" s="645">
        <f t="shared" si="2788"/>
        <v>0</v>
      </c>
      <c r="AK890" s="645" t="str">
        <f t="shared" si="2789"/>
        <v/>
      </c>
      <c r="AL890" s="645">
        <f t="shared" si="2790"/>
        <v>0</v>
      </c>
      <c r="AM890" s="645" t="str">
        <f t="shared" si="2791"/>
        <v/>
      </c>
      <c r="AN890" s="651">
        <f t="shared" si="2792"/>
        <v>0</v>
      </c>
      <c r="AO890" s="623"/>
      <c r="AP890" s="632" t="str">
        <f t="shared" si="2772"/>
        <v/>
      </c>
      <c r="AQ890" s="633" t="str">
        <f>IF(AC890=$V$3,IF(VLOOKUP(C890,[1]List1!$A:$E,5,FALSE)=0,1,VLOOKUP(C890,[1]List1!$A:$E,5,FALSE)),"")</f>
        <v/>
      </c>
      <c r="AR890" s="625" t="str">
        <f t="shared" si="2773"/>
        <v/>
      </c>
      <c r="AS890" s="634" t="str">
        <f t="shared" si="2743"/>
        <v/>
      </c>
      <c r="AT890" s="625" t="str">
        <f t="shared" si="2774"/>
        <v/>
      </c>
      <c r="AU890" s="638" t="e">
        <f t="shared" si="2775"/>
        <v>#N/A</v>
      </c>
      <c r="AV890" s="625" t="e">
        <f t="shared" si="2776"/>
        <v>#N/A</v>
      </c>
      <c r="AX890" s="625">
        <f>IF(AND('General price list'!$J890="F4",'General price list'!$AB890+0&gt;0),1,0)</f>
        <v>0</v>
      </c>
      <c r="AY890" s="625">
        <f t="shared" si="2777"/>
        <v>1</v>
      </c>
      <c r="AZ890" s="625">
        <f t="shared" si="2778"/>
        <v>0</v>
      </c>
    </row>
    <row r="891" spans="1:52" ht="15.75" customHeight="1">
      <c r="A891" s="621" t="str">
        <f>Kat.!C891</f>
        <v/>
      </c>
      <c r="B891" s="566">
        <f>IF(AND('General price list'!$J891="F4",$AI$1=FALSE),0,IF(AC891="SKLADEM",1,IF(AC891=$V$3,1,0)))</f>
        <v>1</v>
      </c>
      <c r="C891" s="567" t="s">
        <v>1608</v>
      </c>
      <c r="D891" s="568" t="s">
        <v>1080</v>
      </c>
      <c r="E891" s="763" t="s">
        <v>12747</v>
      </c>
      <c r="F891" s="772">
        <f>IFERROR(VLOOKUP(C891,[2]List1!$A:$D,3,FALSE),"NEUVEDENO!")</f>
        <v>1499</v>
      </c>
      <c r="G891" s="769">
        <f t="shared" si="2779"/>
        <v>1499</v>
      </c>
      <c r="H891" s="766">
        <f t="shared" si="2780"/>
        <v>63.675328040507537</v>
      </c>
      <c r="I891" s="764">
        <f>IFERROR(VLOOKUP(C891,[2]List1!$A:$D,4,FALSE),"NEUVEDENO!")</f>
        <v>2</v>
      </c>
      <c r="J891" s="732" t="s">
        <v>113</v>
      </c>
      <c r="K891" s="569" t="s">
        <v>20</v>
      </c>
      <c r="L891" s="569"/>
      <c r="M891" s="569" t="s">
        <v>114</v>
      </c>
      <c r="N891" s="569">
        <f>IFERROR(VLOOKUP(C891,[3]List1!$A:$D,4,FALSE),"N/A!")</f>
        <v>5.6629124999999995E-2</v>
      </c>
      <c r="O891" s="569">
        <f>IFERROR(VLOOKUP(C891,[3]List1!$A:$D,3,FALSE),"N/A!")</f>
        <v>1900</v>
      </c>
      <c r="P891" s="569">
        <f>IFERROR(VLOOKUP(C891,[3]List1!$A:$D,2,FALSE),"N/A!")</f>
        <v>15400</v>
      </c>
      <c r="Q891" s="569" t="s">
        <v>11343</v>
      </c>
      <c r="R891" s="569" t="s">
        <v>20</v>
      </c>
      <c r="S891" s="569" t="str">
        <f>IF($W$17=$AF$1,"design",IFERROR(VLOOKUP("design",Jazyky_ceník!$A:$Q,MATCH($W$17,Jazyky_ceník!$A$1:$Q$1,0),FALSE),"!!!"))</f>
        <v>design</v>
      </c>
      <c r="T891" s="569">
        <v>15</v>
      </c>
      <c r="U891" s="569">
        <v>40</v>
      </c>
      <c r="V891" s="569">
        <v>30</v>
      </c>
      <c r="W891" s="569" t="str">
        <f>IFERROR(IF(AND($AB891&gt;=0.1*$AA891,MOD($AB891,$AA891)&gt;=($AA891-(0.1*$AA891))),IF($W$17=$AF$1,"Zvažte možnost doobjednání ještě "&amp;Tabulka1[[#This Row],[VKPAL]]-MOD(AB891,AA891)&amp;" VK do plné palety.",VLOOKUP("Zvažte možnost doobjednání ještě ",Jazyky_ceník!A:Q,MATCH($W$17,Jazyky_ceník!$A$1:$Q$1,0),FALSE)&amp;Tabulka1[[#This Row],[VKPAL]]-MOD(AB891,AA891)&amp;VLOOKUP(" VK do plné palety.",Jazyky_ceník!A:Q,MATCH($W$17,Jazyky_ceník!$A$1:$Q$1,0),FALSE)),IFERROR(IF(AND(NOT(MOD($AB891,$AA891)=0),$AB891&gt;=0.9*$AA891,MOD($AB891,$AA891)&lt;=0.1*$AA891),IF($W$17=$AF$1,"Zvažte možnost optimalizace objednaného množství podle počtu VK na paletě ==&gt;",VLOOKUP("Zvažte možnost optimalizace objednaného množství podle počtu VK na paletě ==&gt;",Jazyky_ceník!A:Q,MATCH($W$17,Jazyky_ceník!$A$1:$Q$1,0),FALSE)),VLOOKUP('General price list'!$C891,Popisy!A:M,MATCH($W$17,Popisy!$A$7:$M$7,0),FALSE)),"---------------")),IFERROR(VLOOKUP('General price list'!$C891,Popisy!A:M,MATCH($W$17,Popisy!$A$7:$M$7,0),FALSE),"---------------"))</f>
        <v>blue+red glitter mine up to chrysanthemum- salvo 10sh together</v>
      </c>
      <c r="X891" s="569" t="str">
        <f t="shared" si="2781"/>
        <v/>
      </c>
      <c r="Y891" s="569" t="str">
        <f t="shared" si="2782"/>
        <v/>
      </c>
      <c r="Z891" s="569" t="str">
        <f>HYPERLINK("https://www.klasekpyrotechnics.cz/cf503x12")</f>
        <v>https://www.klasekpyrotechnics.cz/cf503x12</v>
      </c>
      <c r="AA891" s="569">
        <f>IFERROR(IF(VLOOKUP(C891,[4]List1!$A:$D,4,FALSE)=0,"",VLOOKUP(C891,[4]List1!$A:$D,4,FALSE)),"")</f>
        <v>28</v>
      </c>
      <c r="AB891" s="565"/>
      <c r="AC891" s="570" t="str">
        <f>IFERROR(IF(VLOOKUP(C891,[1]List1!$A:$D,2,FALSE)="VYPRODÁNO",$V$9,IF(VLOOKUP(C891,[1]List1!$A:$D,2,FALSE)="DOCHÁZÍ",$V$3,VLOOKUP(C891,[1]List1!$A:$D,2,FALSE))),"OFFLINE!")</f>
        <v>SKLADEM</v>
      </c>
      <c r="AD891" s="570" t="str">
        <f ca="1">IF(AP891="NE",$V$10,IF(AC891=$V$3,IF(AQ891&lt;1,$V$8,$V$2&amp;" "&amp;AQ891&amp;" "&amp;$V$1),IF(AC891="SKLADEM",$V$6,IFERROR(IF(OR(AC891-TODAY()&gt;45,VLOOKUP(C891,[1]List1!$A:$E,4,FALSE)=0),AC891,DAY(AC891)&amp;"."&amp;MONTH(AC891)&amp;"."&amp;YEAR(AC891)&amp;" "&amp;$V$4&amp;VLOOKUP(C891,[1]List1!$A:$E,4,FALSE)&amp;" "&amp;$V$1),AC891))))</f>
        <v>SKLADEM</v>
      </c>
      <c r="AE891" s="581" t="str">
        <f t="shared" ca="1" si="2783"/>
        <v>SKLADEM</v>
      </c>
      <c r="AF891" s="584">
        <f t="shared" si="2784"/>
        <v>0</v>
      </c>
      <c r="AG891" s="585">
        <f t="shared" si="2785"/>
        <v>0</v>
      </c>
      <c r="AH891" s="583">
        <f t="shared" si="2786"/>
        <v>0</v>
      </c>
      <c r="AI891" s="582">
        <f t="shared" si="2787"/>
        <v>0</v>
      </c>
      <c r="AJ891" s="569">
        <f t="shared" si="2788"/>
        <v>0</v>
      </c>
      <c r="AK891" s="569" t="str">
        <f t="shared" si="2789"/>
        <v/>
      </c>
      <c r="AL891" s="569">
        <f t="shared" si="2790"/>
        <v>0</v>
      </c>
      <c r="AM891" s="569" t="str">
        <f t="shared" si="2791"/>
        <v/>
      </c>
      <c r="AN891" s="581">
        <f t="shared" si="2792"/>
        <v>0</v>
      </c>
      <c r="AO891" s="623"/>
      <c r="AP891" s="625" t="str">
        <f t="shared" si="2772"/>
        <v/>
      </c>
      <c r="AQ891" s="625" t="str">
        <f>IF(AC891=$V$3,IF(VLOOKUP(C891,[1]List1!$A:$E,5,FALSE)=0,1,VLOOKUP(C891,[1]List1!$A:$E,5,FALSE)),"")</f>
        <v/>
      </c>
      <c r="AR891" s="629" t="str">
        <f t="shared" si="2773"/>
        <v/>
      </c>
      <c r="AS891" s="630" t="str">
        <f t="shared" si="2743"/>
        <v/>
      </c>
      <c r="AT891" s="625" t="str">
        <f t="shared" si="2774"/>
        <v/>
      </c>
      <c r="AU891" s="625" t="e">
        <f t="shared" si="2775"/>
        <v>#N/A</v>
      </c>
      <c r="AV891" s="625" t="e">
        <f t="shared" si="2776"/>
        <v>#N/A</v>
      </c>
      <c r="AW891" s="631"/>
      <c r="AX891" s="631">
        <f>IF(AND('General price list'!$J891="F4",'General price list'!$AB891+0&gt;0),1,0)</f>
        <v>0</v>
      </c>
      <c r="AY891" s="631">
        <f t="shared" si="2777"/>
        <v>1</v>
      </c>
      <c r="AZ891" s="631">
        <f t="shared" si="2778"/>
        <v>0</v>
      </c>
    </row>
    <row r="892" spans="1:52" ht="15" customHeight="1">
      <c r="A892" s="639" t="str">
        <f>Kat.!C892</f>
        <v/>
      </c>
      <c r="B892" s="640">
        <f>IF(AND('General price list'!$J892="F4",$AI$1=FALSE),0,IF(AC892="SKLADEM",1,IF(AC892=$V$3,1,0)))</f>
        <v>1</v>
      </c>
      <c r="C892" s="641" t="s">
        <v>1612</v>
      </c>
      <c r="D892" s="642" t="s">
        <v>1080</v>
      </c>
      <c r="E892" s="643" t="s">
        <v>12747</v>
      </c>
      <c r="F892" s="771">
        <f>IFERROR(VLOOKUP(C892,[2]List1!$A:$D,3,FALSE),"NEUVEDENO!")</f>
        <v>1499</v>
      </c>
      <c r="G892" s="768">
        <f t="shared" si="2779"/>
        <v>1499</v>
      </c>
      <c r="H892" s="765">
        <f t="shared" si="2780"/>
        <v>63.675328040507537</v>
      </c>
      <c r="I892" s="644">
        <f>IFERROR(VLOOKUP(C892,[2]List1!$A:$D,4,FALSE),"NEUVEDENO!")</f>
        <v>2</v>
      </c>
      <c r="J892" s="733" t="s">
        <v>113</v>
      </c>
      <c r="K892" s="645" t="s">
        <v>20</v>
      </c>
      <c r="L892" s="645" t="s">
        <v>20</v>
      </c>
      <c r="M892" s="645" t="s">
        <v>21</v>
      </c>
      <c r="N892" s="645">
        <f>IFERROR(VLOOKUP(C892,[3]List1!$A:$D,4,FALSE),"N/A!")</f>
        <v>5.6629124999999995E-2</v>
      </c>
      <c r="O892" s="645">
        <f>IFERROR(VLOOKUP(C892,[3]List1!$A:$D,3,FALSE),"N/A!")</f>
        <v>1900</v>
      </c>
      <c r="P892" s="645">
        <f>IFERROR(VLOOKUP(C892,[3]List1!$A:$D,2,FALSE),"N/A!")</f>
        <v>13300</v>
      </c>
      <c r="Q892" s="645" t="s">
        <v>11343</v>
      </c>
      <c r="R892" s="645" t="s">
        <v>20</v>
      </c>
      <c r="S892" s="645" t="str">
        <f>IF($W$17=$AF$1,"design",IFERROR(VLOOKUP("design",Jazyky_ceník!$A:$Q,MATCH($W$17,Jazyky_ceník!$A$1:$Q$1,0),FALSE),"!!!"))</f>
        <v>design</v>
      </c>
      <c r="T892" s="645">
        <v>15</v>
      </c>
      <c r="U892" s="645">
        <v>40</v>
      </c>
      <c r="V892" s="645"/>
      <c r="W892" s="645" t="str">
        <f>IFERROR(IF(AND($AB892&gt;=0.1*$AA892,MOD($AB892,$AA892)&gt;=($AA892-(0.1*$AA892))),IF($W$17=$AF$1,"Zvažte možnost doobjednání ještě "&amp;Tabulka1[[#This Row],[VKPAL]]-MOD(AB892,AA892)&amp;" VK do plné palety.",VLOOKUP("Zvažte možnost doobjednání ještě ",Jazyky_ceník!A:Q,MATCH($W$17,Jazyky_ceník!$A$1:$Q$1,0),FALSE)&amp;Tabulka1[[#This Row],[VKPAL]]-MOD(AB892,AA892)&amp;VLOOKUP(" VK do plné palety.",Jazyky_ceník!A:Q,MATCH($W$17,Jazyky_ceník!$A$1:$Q$1,0),FALSE)),IFERROR(IF(AND(NOT(MOD($AB892,$AA892)=0),$AB892&gt;=0.9*$AA892,MOD($AB892,$AA892)&lt;=0.1*$AA892),IF($W$17=$AF$1,"Zvažte možnost optimalizace objednaného množství podle počtu VK na paletě ==&gt;",VLOOKUP("Zvažte možnost optimalizace objednaného množství podle počtu VK na paletě ==&gt;",Jazyky_ceník!A:Q,MATCH($W$17,Jazyky_ceník!$A$1:$Q$1,0),FALSE)),VLOOKUP('General price list'!$C892,Popisy!A:M,MATCH($W$17,Popisy!$A$7:$M$7,0),FALSE)),"---------------")),IFERROR(VLOOKUP('General price list'!$C892,Popisy!A:M,MATCH($W$17,Popisy!$A$7:$M$7,0),FALSE),"---------------"))</f>
        <v>blue tail up to eject horse tail- salvo 10sh together</v>
      </c>
      <c r="X892" s="645" t="str">
        <f t="shared" si="2781"/>
        <v/>
      </c>
      <c r="Y892" s="645" t="str">
        <f t="shared" si="2782"/>
        <v/>
      </c>
      <c r="Z892" s="645" t="str">
        <f>HYPERLINK("https://www.klasekpyrotechnics.cz/cf503x14")</f>
        <v>https://www.klasekpyrotechnics.cz/cf503x14</v>
      </c>
      <c r="AA892" s="645">
        <f>IFERROR(IF(VLOOKUP(C892,[4]List1!$A:$D,4,FALSE)=0,"",VLOOKUP(C892,[4]List1!$A:$D,4,FALSE)),"")</f>
        <v>28</v>
      </c>
      <c r="AB892" s="646"/>
      <c r="AC892" s="647" t="str">
        <f>IFERROR(IF(VLOOKUP(C892,[1]List1!$A:$D,2,FALSE)="VYPRODÁNO",$V$9,IF(VLOOKUP(C892,[1]List1!$A:$D,2,FALSE)="DOCHÁZÍ",$V$3,VLOOKUP(C892,[1]List1!$A:$D,2,FALSE))),"OFFLINE!")</f>
        <v>SKLADEM</v>
      </c>
      <c r="AD892" s="647" t="str">
        <f ca="1">IF(AP892="NE",$V$10,IF(AC892=$V$3,IF(AQ892&lt;1,$V$8,$V$2&amp;" "&amp;AQ892&amp;" "&amp;$V$1),IF(AC892="SKLADEM",$V$6,IFERROR(IF(OR(AC892-TODAY()&gt;45,VLOOKUP(C892,[1]List1!$A:$E,4,FALSE)=0),AC892,DAY(AC892)&amp;"."&amp;MONTH(AC892)&amp;"."&amp;YEAR(AC892)&amp;" "&amp;$V$4&amp;VLOOKUP(C892,[1]List1!$A:$E,4,FALSE)&amp;" "&amp;$V$1),AC892))))</f>
        <v>SKLADEM</v>
      </c>
      <c r="AE892" s="645" t="str">
        <f t="shared" ca="1" si="2783"/>
        <v>SKLADEM</v>
      </c>
      <c r="AF892" s="648">
        <f t="shared" si="2784"/>
        <v>0</v>
      </c>
      <c r="AG892" s="649">
        <f t="shared" si="2785"/>
        <v>0</v>
      </c>
      <c r="AH892" s="650">
        <f t="shared" si="2786"/>
        <v>0</v>
      </c>
      <c r="AI892" s="645">
        <f t="shared" si="2787"/>
        <v>0</v>
      </c>
      <c r="AJ892" s="645">
        <f t="shared" si="2788"/>
        <v>0</v>
      </c>
      <c r="AK892" s="645" t="str">
        <f t="shared" si="2789"/>
        <v/>
      </c>
      <c r="AL892" s="645" t="str">
        <f t="shared" si="2790"/>
        <v/>
      </c>
      <c r="AM892" s="645">
        <f t="shared" si="2791"/>
        <v>0</v>
      </c>
      <c r="AN892" s="651">
        <f t="shared" si="2792"/>
        <v>0</v>
      </c>
      <c r="AO892" s="623"/>
      <c r="AP892" s="632" t="str">
        <f t="shared" si="2772"/>
        <v/>
      </c>
      <c r="AQ892" s="633" t="str">
        <f>IF(AC892=$V$3,IF(VLOOKUP(C892,[1]List1!$A:$E,5,FALSE)=0,1,VLOOKUP(C892,[1]List1!$A:$E,5,FALSE)),"")</f>
        <v/>
      </c>
      <c r="AR892" s="625" t="str">
        <f t="shared" si="2773"/>
        <v/>
      </c>
      <c r="AS892" s="634" t="str">
        <f t="shared" si="2743"/>
        <v/>
      </c>
      <c r="AT892" s="625" t="str">
        <f t="shared" si="2774"/>
        <v/>
      </c>
      <c r="AU892" s="638" t="e">
        <f t="shared" si="2775"/>
        <v>#N/A</v>
      </c>
      <c r="AV892" s="625" t="e">
        <f t="shared" si="2776"/>
        <v>#N/A</v>
      </c>
      <c r="AX892" s="625">
        <f>IF(AND('General price list'!$J892="F4",'General price list'!$AB892+0&gt;0),1,0)</f>
        <v>0</v>
      </c>
      <c r="AY892" s="625">
        <f t="shared" si="2777"/>
        <v>1</v>
      </c>
      <c r="AZ892" s="625">
        <f t="shared" si="2778"/>
        <v>0</v>
      </c>
    </row>
    <row r="893" spans="1:52" ht="15.75" customHeight="1">
      <c r="A893" s="621" t="str">
        <f>Kat.!C893</f>
        <v/>
      </c>
      <c r="B893" s="566">
        <f>IF(AND('General price list'!$J893="F4",$AI$1=FALSE),0,IF(AC893="SKLADEM",1,IF(AC893=$V$3,1,0)))</f>
        <v>1</v>
      </c>
      <c r="C893" s="567" t="s">
        <v>1614</v>
      </c>
      <c r="D893" s="568" t="s">
        <v>1080</v>
      </c>
      <c r="E893" s="763" t="s">
        <v>12747</v>
      </c>
      <c r="F893" s="772">
        <f>IFERROR(VLOOKUP(C893,[2]List1!$A:$D,3,FALSE),"NEUVEDENO!")</f>
        <v>1499</v>
      </c>
      <c r="G893" s="769">
        <f t="shared" si="2779"/>
        <v>1499</v>
      </c>
      <c r="H893" s="766">
        <f t="shared" si="2780"/>
        <v>63.675328040507537</v>
      </c>
      <c r="I893" s="764">
        <f>IFERROR(VLOOKUP(C893,[2]List1!$A:$D,4,FALSE),"NEUVEDENO!")</f>
        <v>2</v>
      </c>
      <c r="J893" s="732" t="s">
        <v>113</v>
      </c>
      <c r="K893" s="569" t="s">
        <v>20</v>
      </c>
      <c r="L893" s="569" t="s">
        <v>20</v>
      </c>
      <c r="M893" s="569" t="s">
        <v>21</v>
      </c>
      <c r="N893" s="569">
        <f>IFERROR(VLOOKUP(C893,[3]List1!$A:$D,4,FALSE),"N/A!")</f>
        <v>5.6629124999999995E-2</v>
      </c>
      <c r="O893" s="569">
        <f>IFERROR(VLOOKUP(C893,[3]List1!$A:$D,3,FALSE),"N/A!")</f>
        <v>1900</v>
      </c>
      <c r="P893" s="569">
        <f>IFERROR(VLOOKUP(C893,[3]List1!$A:$D,2,FALSE),"N/A!")</f>
        <v>15000</v>
      </c>
      <c r="Q893" s="569" t="s">
        <v>11343</v>
      </c>
      <c r="R893" s="569"/>
      <c r="S893" s="569" t="str">
        <f>IF($W$17=$AF$1,"design",IFERROR(VLOOKUP("design",Jazyky_ceník!$A:$Q,MATCH($W$17,Jazyky_ceník!$A$1:$Q$1,0),FALSE),"!!!"))</f>
        <v>design</v>
      </c>
      <c r="T893" s="569">
        <v>15</v>
      </c>
      <c r="U893" s="569">
        <v>40</v>
      </c>
      <c r="V893" s="569">
        <v>30</v>
      </c>
      <c r="W893" s="569" t="str">
        <f>IFERROR(IF(AND($AB893&gt;=0.1*$AA893,MOD($AB893,$AA893)&gt;=($AA893-(0.1*$AA893))),IF($W$17=$AF$1,"Zvažte možnost doobjednání ještě "&amp;Tabulka1[[#This Row],[VKPAL]]-MOD(AB893,AA893)&amp;" VK do plné palety.",VLOOKUP("Zvažte možnost doobjednání ještě ",Jazyky_ceník!A:Q,MATCH($W$17,Jazyky_ceník!$A$1:$Q$1,0),FALSE)&amp;Tabulka1[[#This Row],[VKPAL]]-MOD(AB893,AA893)&amp;VLOOKUP(" VK do plné palety.",Jazyky_ceník!A:Q,MATCH($W$17,Jazyky_ceník!$A$1:$Q$1,0),FALSE)),IFERROR(IF(AND(NOT(MOD($AB893,$AA893)=0),$AB893&gt;=0.9*$AA893,MOD($AB893,$AA893)&lt;=0.1*$AA893),IF($W$17=$AF$1,"Zvažte možnost optimalizace objednaného množství podle počtu VK na paletě ==&gt;",VLOOKUP("Zvažte možnost optimalizace objednaného množství podle počtu VK na paletě ==&gt;",Jazyky_ceník!A:Q,MATCH($W$17,Jazyky_ceník!$A$1:$Q$1,0),FALSE)),VLOOKUP('General price list'!$C893,Popisy!A:M,MATCH($W$17,Popisy!$A$7:$M$7,0),FALSE)),"---------------")),IFERROR(VLOOKUP('General price list'!$C893,Popisy!A:M,MATCH($W$17,Popisy!$A$7:$M$7,0),FALSE),"---------------"))</f>
        <v>silver glitter bouquet up to eject silver glitter- salvo 10sh together</v>
      </c>
      <c r="X893" s="569" t="str">
        <f t="shared" si="2781"/>
        <v/>
      </c>
      <c r="Y893" s="569" t="str">
        <f t="shared" si="2782"/>
        <v/>
      </c>
      <c r="Z893" s="569" t="str">
        <f>HYPERLINK("https://www.klasekpyrotechnics.cz/cf503x15")</f>
        <v>https://www.klasekpyrotechnics.cz/cf503x15</v>
      </c>
      <c r="AA893" s="569">
        <f>IFERROR(IF(VLOOKUP(C893,[4]List1!$A:$D,4,FALSE)=0,"",VLOOKUP(C893,[4]List1!$A:$D,4,FALSE)),"")</f>
        <v>28</v>
      </c>
      <c r="AB893" s="565"/>
      <c r="AC893" s="570" t="str">
        <f>IFERROR(IF(VLOOKUP(C893,[1]List1!$A:$D,2,FALSE)="VYPRODÁNO",$V$9,IF(VLOOKUP(C893,[1]List1!$A:$D,2,FALSE)="DOCHÁZÍ",$V$3,VLOOKUP(C893,[1]List1!$A:$D,2,FALSE))),"OFFLINE!")</f>
        <v>SKLADEM</v>
      </c>
      <c r="AD893" s="570" t="str">
        <f ca="1">IF(AP893="NE",$V$10,IF(AC893=$V$3,IF(AQ893&lt;1,$V$8,$V$2&amp;" "&amp;AQ893&amp;" "&amp;$V$1),IF(AC893="SKLADEM",$V$6,IFERROR(IF(OR(AC893-TODAY()&gt;45,VLOOKUP(C893,[1]List1!$A:$E,4,FALSE)=0),AC893,DAY(AC893)&amp;"."&amp;MONTH(AC893)&amp;"."&amp;YEAR(AC893)&amp;" "&amp;$V$4&amp;VLOOKUP(C893,[1]List1!$A:$E,4,FALSE)&amp;" "&amp;$V$1),AC893))))</f>
        <v>SKLADEM</v>
      </c>
      <c r="AE893" s="581" t="str">
        <f t="shared" ca="1" si="2783"/>
        <v>SKLADEM</v>
      </c>
      <c r="AF893" s="584">
        <f t="shared" si="2784"/>
        <v>0</v>
      </c>
      <c r="AG893" s="585">
        <f t="shared" si="2785"/>
        <v>0</v>
      </c>
      <c r="AH893" s="583">
        <f t="shared" si="2786"/>
        <v>0</v>
      </c>
      <c r="AI893" s="582">
        <f t="shared" si="2787"/>
        <v>0</v>
      </c>
      <c r="AJ893" s="569">
        <f t="shared" si="2788"/>
        <v>0</v>
      </c>
      <c r="AK893" s="569" t="str">
        <f t="shared" si="2789"/>
        <v/>
      </c>
      <c r="AL893" s="569" t="str">
        <f t="shared" si="2790"/>
        <v/>
      </c>
      <c r="AM893" s="569">
        <f t="shared" si="2791"/>
        <v>0</v>
      </c>
      <c r="AN893" s="581">
        <f t="shared" si="2792"/>
        <v>0</v>
      </c>
      <c r="AO893" s="623"/>
      <c r="AP893" s="625" t="str">
        <f t="shared" si="2772"/>
        <v/>
      </c>
      <c r="AQ893" s="625" t="str">
        <f>IF(AC893=$V$3,IF(VLOOKUP(C893,[1]List1!$A:$E,5,FALSE)=0,1,VLOOKUP(C893,[1]List1!$A:$E,5,FALSE)),"")</f>
        <v/>
      </c>
      <c r="AR893" s="629" t="str">
        <f t="shared" si="2773"/>
        <v/>
      </c>
      <c r="AS893" s="630" t="str">
        <f t="shared" si="2743"/>
        <v/>
      </c>
      <c r="AT893" s="625" t="str">
        <f t="shared" si="2774"/>
        <v/>
      </c>
      <c r="AU893" s="625" t="e">
        <f t="shared" si="2775"/>
        <v>#N/A</v>
      </c>
      <c r="AV893" s="625" t="e">
        <f t="shared" si="2776"/>
        <v>#N/A</v>
      </c>
      <c r="AW893" s="631"/>
      <c r="AX893" s="631">
        <f>IF(AND('General price list'!$J893="F4",'General price list'!$AB893+0&gt;0),1,0)</f>
        <v>0</v>
      </c>
      <c r="AY893" s="631">
        <f t="shared" si="2777"/>
        <v>1</v>
      </c>
      <c r="AZ893" s="631">
        <f t="shared" si="2778"/>
        <v>0</v>
      </c>
    </row>
    <row r="894" spans="1:52" ht="15" customHeight="1">
      <c r="A894" s="639" t="str">
        <f>Kat.!C894</f>
        <v>×</v>
      </c>
      <c r="B894" s="640">
        <f>IF(AND('General price list'!$J894="F4",$AI$1=FALSE),0,IF(AC894="SKLADEM",1,IF(AC894=$V$3,1,0)))</f>
        <v>1</v>
      </c>
      <c r="C894" s="641" t="s">
        <v>1619</v>
      </c>
      <c r="D894" s="642" t="s">
        <v>1080</v>
      </c>
      <c r="E894" s="643" t="s">
        <v>12747</v>
      </c>
      <c r="F894" s="792">
        <f>IFERROR(VLOOKUP(C894,[2]List1!$A:$D,3,FALSE),"NEUVEDENO!")</f>
        <v>1499</v>
      </c>
      <c r="G894" s="768">
        <f t="shared" si="2779"/>
        <v>1499</v>
      </c>
      <c r="H894" s="765">
        <f t="shared" si="2780"/>
        <v>63.675328040507537</v>
      </c>
      <c r="I894" s="644">
        <f>IFERROR(VLOOKUP(C894,[2]List1!$A:$D,4,FALSE),"NEUVEDENO!")</f>
        <v>2</v>
      </c>
      <c r="J894" s="733" t="s">
        <v>113</v>
      </c>
      <c r="K894" s="645"/>
      <c r="L894" s="645"/>
      <c r="M894" s="645" t="s">
        <v>114</v>
      </c>
      <c r="N894" s="645">
        <f>IFERROR(VLOOKUP(C894,[3]List1!$A:$D,4,FALSE),"N/A!")</f>
        <v>5.6629124999999995E-2</v>
      </c>
      <c r="O894" s="645">
        <f>IFERROR(VLOOKUP(C894,[3]List1!$A:$D,3,FALSE),"N/A!")</f>
        <v>1900</v>
      </c>
      <c r="P894" s="645">
        <f>IFERROR(VLOOKUP(C894,[3]List1!$A:$D,2,FALSE),"N/A!")</f>
        <v>14700</v>
      </c>
      <c r="Q894" s="645" t="s">
        <v>12104</v>
      </c>
      <c r="R894" s="645" t="s">
        <v>20</v>
      </c>
      <c r="S894" s="645" t="str">
        <f>IF($W$17=$AF$1,"design",IFERROR(VLOOKUP("design",Jazyky_ceník!$A:$Q,MATCH($W$17,Jazyky_ceník!$A$1:$Q$1,0),FALSE),"!!!"))</f>
        <v>design</v>
      </c>
      <c r="T894" s="645">
        <v>15</v>
      </c>
      <c r="U894" s="645">
        <v>40</v>
      </c>
      <c r="V894" s="645">
        <v>30</v>
      </c>
      <c r="W894" s="645" t="str">
        <f>IFERROR(IF(AND($AB894&gt;=0.1*$AA894,MOD($AB894,$AA894)&gt;=($AA894-(0.1*$AA894))),IF($W$17=$AF$1,"Zvažte možnost doobjednání ještě "&amp;Tabulka1[[#This Row],[VKPAL]]-MOD(AB894,AA894)&amp;" VK do plné palety.",VLOOKUP("Zvažte možnost doobjednání ještě ",Jazyky_ceník!A:Q,MATCH($W$17,Jazyky_ceník!$A$1:$Q$1,0),FALSE)&amp;Tabulka1[[#This Row],[VKPAL]]-MOD(AB894,AA894)&amp;VLOOKUP(" VK do plné palety.",Jazyky_ceník!A:Q,MATCH($W$17,Jazyky_ceník!$A$1:$Q$1,0),FALSE)),IFERROR(IF(AND(NOT(MOD($AB894,$AA894)=0),$AB894&gt;=0.9*$AA894,MOD($AB894,$AA894)&lt;=0.1*$AA894),IF($W$17=$AF$1,"Zvažte možnost optimalizace objednaného množství podle počtu VK na paletě ==&gt;",VLOOKUP("Zvažte možnost optimalizace objednaného množství podle počtu VK na paletě ==&gt;",Jazyky_ceník!A:Q,MATCH($W$17,Jazyky_ceník!$A$1:$Q$1,0),FALSE)),VLOOKUP('General price list'!$C894,Popisy!A:M,MATCH($W$17,Popisy!$A$7:$M$7,0),FALSE)),"---------------")),IFERROR(VLOOKUP('General price list'!$C894,Popisy!A:M,MATCH($W$17,Popisy!$A$7:$M$7,0),FALSE),"---------------"))</f>
        <v>red tip crackling willow - salvo 10sh together</v>
      </c>
      <c r="X894" s="645" t="str">
        <f t="shared" si="2781"/>
        <v/>
      </c>
      <c r="Y894" s="645" t="str">
        <f t="shared" si="2782"/>
        <v/>
      </c>
      <c r="Z894" s="645" t="str">
        <f>HYPERLINK("https://www.klasekpyrotechnics.cz/cf503x17")</f>
        <v>https://www.klasekpyrotechnics.cz/cf503x17</v>
      </c>
      <c r="AA894" s="645">
        <f>IFERROR(IF(VLOOKUP(C894,[4]List1!$A:$D,4,FALSE)=0,"",VLOOKUP(C894,[4]List1!$A:$D,4,FALSE)),"")</f>
        <v>28</v>
      </c>
      <c r="AB894" s="646"/>
      <c r="AC894" s="647" t="str">
        <f>IFERROR(IF(VLOOKUP(C894,[1]List1!$A:$D,2,FALSE)="VYPRODÁNO",$V$9,IF(VLOOKUP(C894,[1]List1!$A:$D,2,FALSE)="DOCHÁZÍ",$V$3,VLOOKUP(C894,[1]List1!$A:$D,2,FALSE))),"OFFLINE!")</f>
        <v>SKLADEM</v>
      </c>
      <c r="AD894" s="647" t="str">
        <f ca="1">IF(AP894="NE",$V$10,IF(AC894=$V$3,IF(AQ894&lt;1,$V$8,$V$2&amp;" "&amp;AQ894&amp;" "&amp;$V$1),IF(AC894="SKLADEM",$V$6,IFERROR(IF(OR(AC894-TODAY()&gt;45,VLOOKUP(C894,[1]List1!$A:$E,4,FALSE)=0),AC894,DAY(AC894)&amp;"."&amp;MONTH(AC894)&amp;"."&amp;YEAR(AC894)&amp;" "&amp;$V$4&amp;VLOOKUP(C894,[1]List1!$A:$E,4,FALSE)&amp;" "&amp;$V$1),AC894))))</f>
        <v>SKLADEM</v>
      </c>
      <c r="AE894" s="645" t="str">
        <f t="shared" ca="1" si="2783"/>
        <v>SKLADEM</v>
      </c>
      <c r="AF894" s="648">
        <f t="shared" si="2784"/>
        <v>0</v>
      </c>
      <c r="AG894" s="649">
        <f t="shared" si="2785"/>
        <v>0</v>
      </c>
      <c r="AH894" s="650">
        <f t="shared" si="2786"/>
        <v>0</v>
      </c>
      <c r="AI894" s="645">
        <f t="shared" si="2787"/>
        <v>0</v>
      </c>
      <c r="AJ894" s="645">
        <f t="shared" si="2788"/>
        <v>0</v>
      </c>
      <c r="AK894" s="645" t="str">
        <f t="shared" si="2789"/>
        <v/>
      </c>
      <c r="AL894" s="645">
        <f t="shared" si="2790"/>
        <v>0</v>
      </c>
      <c r="AM894" s="645" t="str">
        <f t="shared" si="2791"/>
        <v/>
      </c>
      <c r="AN894" s="651">
        <f t="shared" si="2792"/>
        <v>0</v>
      </c>
      <c r="AO894" s="623"/>
      <c r="AP894" s="632" t="str">
        <f t="shared" si="2772"/>
        <v/>
      </c>
      <c r="AQ894" s="633" t="str">
        <f>IF(AC894=$V$3,IF(VLOOKUP(C894,[1]List1!$A:$E,5,FALSE)=0,1,VLOOKUP(C894,[1]List1!$A:$E,5,FALSE)),"")</f>
        <v/>
      </c>
      <c r="AR894" s="625" t="str">
        <f t="shared" si="2773"/>
        <v/>
      </c>
      <c r="AS894" s="634" t="str">
        <f t="shared" si="2743"/>
        <v/>
      </c>
      <c r="AT894" s="625" t="str">
        <f t="shared" si="2774"/>
        <v/>
      </c>
      <c r="AU894" s="638" t="e">
        <f t="shared" si="2775"/>
        <v>#N/A</v>
      </c>
      <c r="AV894" s="625" t="e">
        <f t="shared" si="2776"/>
        <v>#N/A</v>
      </c>
      <c r="AX894" s="625">
        <f>IF(AND('General price list'!$J894="F4",'General price list'!$AB894+0&gt;0),1,0)</f>
        <v>0</v>
      </c>
      <c r="AY894" s="625">
        <f t="shared" si="2777"/>
        <v>1</v>
      </c>
      <c r="AZ894" s="625">
        <f t="shared" si="2778"/>
        <v>0</v>
      </c>
    </row>
    <row r="895" spans="1:52" ht="15" customHeight="1">
      <c r="A895" s="621" t="str">
        <f>Kat.!C895</f>
        <v>×</v>
      </c>
      <c r="B895" s="566">
        <f>IF(AND('General price list'!$J895="F4",$AI$1=FALSE),0,IF(AC895="SKLADEM",1,IF(AC895=$V$3,1,0)))</f>
        <v>1</v>
      </c>
      <c r="C895" s="567" t="s">
        <v>1643</v>
      </c>
      <c r="D895" s="568" t="s">
        <v>1080</v>
      </c>
      <c r="E895" s="763" t="s">
        <v>12747</v>
      </c>
      <c r="F895" s="792">
        <f>IFERROR(VLOOKUP(C895,[2]List1!$A:$D,3,FALSE),"NEUVEDENO!")</f>
        <v>1499</v>
      </c>
      <c r="G895" s="769">
        <f t="shared" si="2779"/>
        <v>1499</v>
      </c>
      <c r="H895" s="766">
        <f t="shared" si="2780"/>
        <v>63.675328040507537</v>
      </c>
      <c r="I895" s="764">
        <f>IFERROR(VLOOKUP(C895,[2]List1!$A:$D,4,FALSE),"NEUVEDENO!")</f>
        <v>2</v>
      </c>
      <c r="J895" s="732" t="s">
        <v>113</v>
      </c>
      <c r="K895" s="569"/>
      <c r="L895" s="569" t="s">
        <v>20</v>
      </c>
      <c r="M895" s="569" t="s">
        <v>114</v>
      </c>
      <c r="N895" s="569">
        <f>IFERROR(VLOOKUP(C895,[3]List1!$A:$D,4,FALSE),"N/A!")</f>
        <v>5.6629124999999995E-2</v>
      </c>
      <c r="O895" s="569">
        <f>IFERROR(VLOOKUP(C895,[3]List1!$A:$D,3,FALSE),"N/A!")</f>
        <v>1900</v>
      </c>
      <c r="P895" s="569">
        <f>IFERROR(VLOOKUP(C895,[3]List1!$A:$D,2,FALSE),"N/A!")</f>
        <v>14800</v>
      </c>
      <c r="Q895" s="569" t="s">
        <v>12104</v>
      </c>
      <c r="R895" s="569" t="s">
        <v>20</v>
      </c>
      <c r="S895" s="569" t="str">
        <f>IF($W$17=$AF$1,"design",IFERROR(VLOOKUP("design",Jazyky_ceník!$A:$Q,MATCH($W$17,Jazyky_ceník!$A$1:$Q$1,0),FALSE),"!!!"))</f>
        <v>design</v>
      </c>
      <c r="T895" s="569">
        <v>15</v>
      </c>
      <c r="U895" s="569">
        <v>40</v>
      </c>
      <c r="V895" s="569">
        <v>30</v>
      </c>
      <c r="W895" s="569" t="str">
        <f>IFERROR(IF(AND($AB895&gt;=0.1*$AA895,MOD($AB895,$AA895)&gt;=($AA895-(0.1*$AA895))),IF($W$17=$AF$1,"Zvažte možnost doobjednání ještě "&amp;Tabulka1[[#This Row],[VKPAL]]-MOD(AB895,AA895)&amp;" VK do plné palety.",VLOOKUP("Zvažte možnost doobjednání ještě ",Jazyky_ceník!A:Q,MATCH($W$17,Jazyky_ceník!$A$1:$Q$1,0),FALSE)&amp;Tabulka1[[#This Row],[VKPAL]]-MOD(AB895,AA895)&amp;VLOOKUP(" VK do plné palety.",Jazyky_ceník!A:Q,MATCH($W$17,Jazyky_ceník!$A$1:$Q$1,0),FALSE)),IFERROR(IF(AND(NOT(MOD($AB895,$AA895)=0),$AB895&gt;=0.9*$AA895,MOD($AB895,$AA895)&lt;=0.1*$AA895),IF($W$17=$AF$1,"Zvažte možnost optimalizace objednaného množství podle počtu VK na paletě ==&gt;",VLOOKUP("Zvažte možnost optimalizace objednaného množství podle počtu VK na paletě ==&gt;",Jazyky_ceník!A:Q,MATCH($W$17,Jazyky_ceník!$A$1:$Q$1,0),FALSE)),VLOOKUP('General price list'!$C895,Popisy!A:M,MATCH($W$17,Popisy!$A$7:$M$7,0),FALSE)),"---------------")),IFERROR(VLOOKUP('General price list'!$C895,Popisy!A:M,MATCH($W$17,Popisy!$A$7:$M$7,0),FALSE),"---------------"))</f>
        <v>king brocade + orange pearl- salvo 10sh together</v>
      </c>
      <c r="X895" s="569" t="str">
        <f t="shared" si="2781"/>
        <v/>
      </c>
      <c r="Y895" s="569" t="str">
        <f t="shared" si="2782"/>
        <v/>
      </c>
      <c r="Z895" s="569" t="str">
        <f>HYPERLINK("https://www.klasekpyrotechnics.cz/cf503x29")</f>
        <v>https://www.klasekpyrotechnics.cz/cf503x29</v>
      </c>
      <c r="AA895" s="569">
        <f>IFERROR(IF(VLOOKUP(C895,[4]List1!$A:$D,4,FALSE)=0,"",VLOOKUP(C895,[4]List1!$A:$D,4,FALSE)),"")</f>
        <v>28</v>
      </c>
      <c r="AB895" s="565"/>
      <c r="AC895" s="570" t="str">
        <f>IFERROR(IF(VLOOKUP(C895,[1]List1!$A:$D,2,FALSE)="VYPRODÁNO",$V$9,IF(VLOOKUP(C895,[1]List1!$A:$D,2,FALSE)="DOCHÁZÍ",$V$3,VLOOKUP(C895,[1]List1!$A:$D,2,FALSE))),"OFFLINE!")</f>
        <v>SKLADEM</v>
      </c>
      <c r="AD895" s="570" t="str">
        <f ca="1">IF(AP895="NE",$V$10,IF(AC895=$V$3,IF(AQ895&lt;1,$V$8,$V$2&amp;" "&amp;AQ895&amp;" "&amp;$V$1),IF(AC895="SKLADEM",$V$6,IFERROR(IF(OR(AC895-TODAY()&gt;45,VLOOKUP(C895,[1]List1!$A:$E,4,FALSE)=0),AC895,DAY(AC895)&amp;"."&amp;MONTH(AC895)&amp;"."&amp;YEAR(AC895)&amp;" "&amp;$V$4&amp;VLOOKUP(C895,[1]List1!$A:$E,4,FALSE)&amp;" "&amp;$V$1),AC895))))</f>
        <v>SKLADEM</v>
      </c>
      <c r="AE895" s="581" t="str">
        <f t="shared" ca="1" si="2783"/>
        <v>SKLADEM</v>
      </c>
      <c r="AF895" s="584">
        <f t="shared" si="2784"/>
        <v>0</v>
      </c>
      <c r="AG895" s="585">
        <f t="shared" si="2785"/>
        <v>0</v>
      </c>
      <c r="AH895" s="583">
        <f t="shared" si="2786"/>
        <v>0</v>
      </c>
      <c r="AI895" s="582">
        <f t="shared" si="2787"/>
        <v>0</v>
      </c>
      <c r="AJ895" s="569">
        <f t="shared" si="2788"/>
        <v>0</v>
      </c>
      <c r="AK895" s="569" t="str">
        <f t="shared" si="2789"/>
        <v/>
      </c>
      <c r="AL895" s="569">
        <f t="shared" si="2790"/>
        <v>0</v>
      </c>
      <c r="AM895" s="569" t="str">
        <f t="shared" si="2791"/>
        <v/>
      </c>
      <c r="AN895" s="581">
        <f t="shared" si="2792"/>
        <v>0</v>
      </c>
      <c r="AO895" s="623"/>
      <c r="AP895" s="632" t="str">
        <f t="shared" si="2772"/>
        <v/>
      </c>
      <c r="AQ895" s="633" t="str">
        <f>IF(AC895=$V$3,IF(VLOOKUP(C895,[1]List1!$A:$E,5,FALSE)=0,1,VLOOKUP(C895,[1]List1!$A:$E,5,FALSE)),"")</f>
        <v/>
      </c>
      <c r="AR895" s="625" t="str">
        <f t="shared" si="2773"/>
        <v/>
      </c>
      <c r="AS895" s="634" t="str">
        <f t="shared" si="2743"/>
        <v/>
      </c>
      <c r="AT895" s="625" t="str">
        <f t="shared" si="2774"/>
        <v/>
      </c>
      <c r="AU895" s="638" t="e">
        <f t="shared" si="2775"/>
        <v>#N/A</v>
      </c>
      <c r="AV895" s="625" t="e">
        <f t="shared" si="2776"/>
        <v>#N/A</v>
      </c>
      <c r="AX895" s="625">
        <f>IF(AND('General price list'!$J895="F4",'General price list'!$AB895+0&gt;0),1,0)</f>
        <v>0</v>
      </c>
      <c r="AY895" s="625">
        <f t="shared" si="2777"/>
        <v>1</v>
      </c>
      <c r="AZ895" s="625">
        <f t="shared" si="2778"/>
        <v>0</v>
      </c>
    </row>
    <row r="896" spans="1:52" ht="15.75" customHeight="1">
      <c r="A896" s="639" t="str">
        <f>Kat.!C896</f>
        <v/>
      </c>
      <c r="B896" s="640">
        <f>IF(AND('General price list'!$J896="F4",$AI$1=FALSE),0,IF(AC896="SKLADEM",1,IF(AC896=$V$3,1,0)))</f>
        <v>1</v>
      </c>
      <c r="C896" s="641" t="s">
        <v>1651</v>
      </c>
      <c r="D896" s="642" t="s">
        <v>1080</v>
      </c>
      <c r="E896" s="643" t="s">
        <v>12747</v>
      </c>
      <c r="F896" s="771">
        <f>IFERROR(VLOOKUP(C896,[2]List1!$A:$D,3,FALSE),"NEUVEDENO!")</f>
        <v>1499</v>
      </c>
      <c r="G896" s="768">
        <f t="shared" si="2779"/>
        <v>1499</v>
      </c>
      <c r="H896" s="765">
        <f t="shared" si="2780"/>
        <v>63.675328040507537</v>
      </c>
      <c r="I896" s="644">
        <f>IFERROR(VLOOKUP(C896,[2]List1!$A:$D,4,FALSE),"NEUVEDENO!")</f>
        <v>2</v>
      </c>
      <c r="J896" s="733" t="s">
        <v>113</v>
      </c>
      <c r="K896" s="645" t="s">
        <v>20</v>
      </c>
      <c r="L896" s="645"/>
      <c r="M896" s="645" t="s">
        <v>114</v>
      </c>
      <c r="N896" s="645">
        <f>IFERROR(VLOOKUP(C896,[3]List1!$A:$D,4,FALSE),"N/A!")</f>
        <v>5.6629124999999995E-2</v>
      </c>
      <c r="O896" s="645">
        <f>IFERROR(VLOOKUP(C896,[3]List1!$A:$D,3,FALSE),"N/A!")</f>
        <v>1900</v>
      </c>
      <c r="P896" s="645">
        <f>IFERROR(VLOOKUP(C896,[3]List1!$A:$D,2,FALSE),"N/A!")</f>
        <v>14500</v>
      </c>
      <c r="Q896" s="645" t="s">
        <v>11343</v>
      </c>
      <c r="R896" s="645" t="s">
        <v>20</v>
      </c>
      <c r="S896" s="645" t="str">
        <f>IF($W$17=$AF$1,"design",IFERROR(VLOOKUP("design",Jazyky_ceník!$A:$Q,MATCH($W$17,Jazyky_ceník!$A$1:$Q$1,0),FALSE),"!!!"))</f>
        <v>design</v>
      </c>
      <c r="T896" s="645">
        <v>15</v>
      </c>
      <c r="U896" s="645">
        <v>40</v>
      </c>
      <c r="V896" s="645">
        <v>30</v>
      </c>
      <c r="W896" s="645" t="str">
        <f>IFERROR(IF(AND($AB896&gt;=0.1*$AA896,MOD($AB896,$AA896)&gt;=($AA896-(0.1*$AA896))),IF($W$17=$AF$1,"Zvažte možnost doobjednání ještě "&amp;Tabulka1[[#This Row],[VKPAL]]-MOD(AB896,AA896)&amp;" VK do plné palety.",VLOOKUP("Zvažte možnost doobjednání ještě ",Jazyky_ceník!A:Q,MATCH($W$17,Jazyky_ceník!$A$1:$Q$1,0),FALSE)&amp;Tabulka1[[#This Row],[VKPAL]]-MOD(AB896,AA896)&amp;VLOOKUP(" VK do plné palety.",Jazyky_ceník!A:Q,MATCH($W$17,Jazyky_ceník!$A$1:$Q$1,0),FALSE)),IFERROR(IF(AND(NOT(MOD($AB896,$AA896)=0),$AB896&gt;=0.9*$AA896,MOD($AB896,$AA896)&lt;=0.1*$AA896),IF($W$17=$AF$1,"Zvažte možnost optimalizace objednaného množství podle počtu VK na paletě ==&gt;",VLOOKUP("Zvažte možnost optimalizace objednaného množství podle počtu VK na paletě ==&gt;",Jazyky_ceník!A:Q,MATCH($W$17,Jazyky_ceník!$A$1:$Q$1,0),FALSE)),VLOOKUP('General price list'!$C896,Popisy!A:M,MATCH($W$17,Popisy!$A$7:$M$7,0),FALSE)),"---------------")),IFERROR(VLOOKUP('General price list'!$C896,Popisy!A:M,MATCH($W$17,Popisy!$A$7:$M$7,0),FALSE),"---------------"))</f>
        <v>purple crossette + and purple tail to brocade crown with purple dahlia - salvo 10sh together</v>
      </c>
      <c r="X896" s="645" t="str">
        <f t="shared" si="2781"/>
        <v/>
      </c>
      <c r="Y896" s="645" t="str">
        <f t="shared" si="2782"/>
        <v/>
      </c>
      <c r="Z896" s="645" t="str">
        <f>HYPERLINK("https://www.klasekpyrotechnics.cz/cf503x48")</f>
        <v>https://www.klasekpyrotechnics.cz/cf503x48</v>
      </c>
      <c r="AA896" s="645">
        <f>IFERROR(IF(VLOOKUP(C896,[4]List1!$A:$D,4,FALSE)=0,"",VLOOKUP(C896,[4]List1!$A:$D,4,FALSE)),"")</f>
        <v>28</v>
      </c>
      <c r="AB896" s="646"/>
      <c r="AC896" s="647" t="str">
        <f>IFERROR(IF(VLOOKUP(C896,[1]List1!$A:$D,2,FALSE)="VYPRODÁNO",$V$9,IF(VLOOKUP(C896,[1]List1!$A:$D,2,FALSE)="DOCHÁZÍ",$V$3,VLOOKUP(C896,[1]List1!$A:$D,2,FALSE))),"OFFLINE!")</f>
        <v>SKLADEM</v>
      </c>
      <c r="AD896" s="647" t="str">
        <f ca="1">IF(AP896="NE",$V$10,IF(AC896=$V$3,IF(AQ896&lt;1,$V$8,$V$2&amp;" "&amp;AQ896&amp;" "&amp;$V$1),IF(AC896="SKLADEM",$V$6,IFERROR(IF(OR(AC896-TODAY()&gt;45,VLOOKUP(C896,[1]List1!$A:$E,4,FALSE)=0),AC896,DAY(AC896)&amp;"."&amp;MONTH(AC896)&amp;"."&amp;YEAR(AC896)&amp;" "&amp;$V$4&amp;VLOOKUP(C896,[1]List1!$A:$E,4,FALSE)&amp;" "&amp;$V$1),AC896))))</f>
        <v>SKLADEM</v>
      </c>
      <c r="AE896" s="645" t="str">
        <f t="shared" ca="1" si="2783"/>
        <v>SKLADEM</v>
      </c>
      <c r="AF896" s="648">
        <f t="shared" si="2784"/>
        <v>0</v>
      </c>
      <c r="AG896" s="649">
        <f t="shared" si="2785"/>
        <v>0</v>
      </c>
      <c r="AH896" s="650">
        <f t="shared" si="2786"/>
        <v>0</v>
      </c>
      <c r="AI896" s="645">
        <f t="shared" si="2787"/>
        <v>0</v>
      </c>
      <c r="AJ896" s="645">
        <f t="shared" si="2788"/>
        <v>0</v>
      </c>
      <c r="AK896" s="645" t="str">
        <f t="shared" si="2789"/>
        <v/>
      </c>
      <c r="AL896" s="645">
        <f t="shared" si="2790"/>
        <v>0</v>
      </c>
      <c r="AM896" s="645" t="str">
        <f t="shared" si="2791"/>
        <v/>
      </c>
      <c r="AN896" s="651">
        <f t="shared" si="2792"/>
        <v>0</v>
      </c>
      <c r="AO896" s="623"/>
      <c r="AP896" s="625" t="str">
        <f t="shared" si="2772"/>
        <v/>
      </c>
      <c r="AQ896" s="625" t="str">
        <f>IF(AC896=$V$3,IF(VLOOKUP(C896,[1]List1!$A:$E,5,FALSE)=0,1,VLOOKUP(C896,[1]List1!$A:$E,5,FALSE)),"")</f>
        <v/>
      </c>
      <c r="AR896" s="629" t="str">
        <f t="shared" si="2773"/>
        <v/>
      </c>
      <c r="AS896" s="630" t="str">
        <f t="shared" si="2743"/>
        <v/>
      </c>
      <c r="AT896" s="625" t="str">
        <f t="shared" si="2774"/>
        <v/>
      </c>
      <c r="AU896" s="625" t="e">
        <f t="shared" si="2775"/>
        <v>#N/A</v>
      </c>
      <c r="AV896" s="625" t="e">
        <f t="shared" si="2776"/>
        <v>#N/A</v>
      </c>
      <c r="AW896" s="631"/>
      <c r="AX896" s="631">
        <f>IF(AND('General price list'!$J896="F4",'General price list'!$AB896+0&gt;0),1,0)</f>
        <v>0</v>
      </c>
      <c r="AY896" s="631">
        <f t="shared" si="2777"/>
        <v>1</v>
      </c>
      <c r="AZ896" s="631">
        <f t="shared" si="2778"/>
        <v>0</v>
      </c>
    </row>
    <row r="897" spans="1:52" ht="15" customHeight="1">
      <c r="A897" s="621" t="str">
        <f>Kat.!C897</f>
        <v/>
      </c>
      <c r="B897" s="566">
        <f>IF(AND('General price list'!$J897="F4",$AI$1=FALSE),0,IF(AC897="SKLADEM",1,IF(AC897=$V$3,1,0)))</f>
        <v>1</v>
      </c>
      <c r="C897" s="567" t="s">
        <v>1653</v>
      </c>
      <c r="D897" s="568" t="s">
        <v>1080</v>
      </c>
      <c r="E897" s="763" t="s">
        <v>12747</v>
      </c>
      <c r="F897" s="772">
        <f>IFERROR(VLOOKUP(C897,[2]List1!$A:$D,3,FALSE),"NEUVEDENO!")</f>
        <v>1953</v>
      </c>
      <c r="G897" s="769">
        <f t="shared" si="2779"/>
        <v>1953</v>
      </c>
      <c r="H897" s="766">
        <f t="shared" si="2780"/>
        <v>82.960584164850715</v>
      </c>
      <c r="I897" s="764">
        <f>IFERROR(VLOOKUP(C897,[2]List1!$A:$D,4,FALSE),"NEUVEDENO!")</f>
        <v>2</v>
      </c>
      <c r="J897" s="732" t="s">
        <v>113</v>
      </c>
      <c r="K897" s="569" t="s">
        <v>20</v>
      </c>
      <c r="L897" s="569" t="s">
        <v>20</v>
      </c>
      <c r="M897" s="569" t="s">
        <v>21</v>
      </c>
      <c r="N897" s="569">
        <f>IFERROR(VLOOKUP(C897,[3]List1!$A:$D,4,FALSE),"N/A!")</f>
        <v>5.6629124999999995E-2</v>
      </c>
      <c r="O897" s="569">
        <f>IFERROR(VLOOKUP(C897,[3]List1!$A:$D,3,FALSE),"N/A!")</f>
        <v>1900</v>
      </c>
      <c r="P897" s="569">
        <f>IFERROR(VLOOKUP(C897,[3]List1!$A:$D,2,FALSE),"N/A!")</f>
        <v>14500</v>
      </c>
      <c r="Q897" s="569" t="s">
        <v>11343</v>
      </c>
      <c r="R897" s="569" t="s">
        <v>20</v>
      </c>
      <c r="S897" s="569" t="str">
        <f>IF($W$17=$AF$1,"design",IFERROR(VLOOKUP("design",Jazyky_ceník!$A:$Q,MATCH($W$17,Jazyky_ceník!$A$1:$Q$1,0),FALSE),"!!!"))</f>
        <v>design</v>
      </c>
      <c r="T897" s="569">
        <v>15</v>
      </c>
      <c r="U897" s="569">
        <v>40</v>
      </c>
      <c r="V897" s="569"/>
      <c r="W897" s="569" t="str">
        <f>IFERROR(IF(AND($AB897&gt;=0.1*$AA897,MOD($AB897,$AA897)&gt;=($AA897-(0.1*$AA897))),IF($W$17=$AF$1,"Zvažte možnost doobjednání ještě "&amp;Tabulka1[[#This Row],[VKPAL]]-MOD(AB897,AA897)&amp;" VK do plné palety.",VLOOKUP("Zvažte možnost doobjednání ještě ",Jazyky_ceník!A:Q,MATCH($W$17,Jazyky_ceník!$A$1:$Q$1,0),FALSE)&amp;Tabulka1[[#This Row],[VKPAL]]-MOD(AB897,AA897)&amp;VLOOKUP(" VK do plné palety.",Jazyky_ceník!A:Q,MATCH($W$17,Jazyky_ceník!$A$1:$Q$1,0),FALSE)),IFERROR(IF(AND(NOT(MOD($AB897,$AA897)=0),$AB897&gt;=0.9*$AA897,MOD($AB897,$AA897)&lt;=0.1*$AA897),IF($W$17=$AF$1,"Zvažte možnost optimalizace objednaného množství podle počtu VK na paletě ==&gt;",VLOOKUP("Zvažte možnost optimalizace objednaného množství podle počtu VK na paletě ==&gt;",Jazyky_ceník!A:Q,MATCH($W$17,Jazyky_ceník!$A$1:$Q$1,0),FALSE)),VLOOKUP('General price list'!$C897,Popisy!A:M,MATCH($W$17,Popisy!$A$7:$M$7,0),FALSE)),"---------------")),IFERROR(VLOOKUP('General price list'!$C897,Popisy!A:M,MATCH($W$17,Popisy!$A$7:$M$7,0),FALSE),"---------------"))</f>
        <v>purple tail to purple crossette(C type-open on midlle)</v>
      </c>
      <c r="X897" s="569" t="str">
        <f t="shared" si="2781"/>
        <v/>
      </c>
      <c r="Y897" s="569" t="str">
        <f t="shared" si="2782"/>
        <v/>
      </c>
      <c r="Z897" s="569" t="str">
        <f>HYPERLINK("https://www.klasekpyrotechnics.cz/cf503x54")</f>
        <v>https://www.klasekpyrotechnics.cz/cf503x54</v>
      </c>
      <c r="AA897" s="569">
        <f>IFERROR(IF(VLOOKUP(C897,[4]List1!$A:$D,4,FALSE)=0,"",VLOOKUP(C897,[4]List1!$A:$D,4,FALSE)),"")</f>
        <v>28</v>
      </c>
      <c r="AB897" s="565"/>
      <c r="AC897" s="570" t="str">
        <f>IFERROR(IF(VLOOKUP(C897,[1]List1!$A:$D,2,FALSE)="VYPRODÁNO",$V$9,IF(VLOOKUP(C897,[1]List1!$A:$D,2,FALSE)="DOCHÁZÍ",$V$3,VLOOKUP(C897,[1]List1!$A:$D,2,FALSE))),"OFFLINE!")</f>
        <v>SKLADEM</v>
      </c>
      <c r="AD897" s="570" t="str">
        <f ca="1">IF(AP897="NE",$V$10,IF(AC897=$V$3,IF(AQ897&lt;1,$V$8,$V$2&amp;" "&amp;AQ897&amp;" "&amp;$V$1),IF(AC897="SKLADEM",$V$6,IFERROR(IF(OR(AC897-TODAY()&gt;45,VLOOKUP(C897,[1]List1!$A:$E,4,FALSE)=0),AC897,DAY(AC897)&amp;"."&amp;MONTH(AC897)&amp;"."&amp;YEAR(AC897)&amp;" "&amp;$V$4&amp;VLOOKUP(C897,[1]List1!$A:$E,4,FALSE)&amp;" "&amp;$V$1),AC897))))</f>
        <v>SKLADEM</v>
      </c>
      <c r="AE897" s="581" t="str">
        <f t="shared" ca="1" si="2783"/>
        <v>SKLADEM</v>
      </c>
      <c r="AF897" s="584">
        <f t="shared" si="2784"/>
        <v>0</v>
      </c>
      <c r="AG897" s="585">
        <f t="shared" si="2785"/>
        <v>0</v>
      </c>
      <c r="AH897" s="583">
        <f t="shared" si="2786"/>
        <v>0</v>
      </c>
      <c r="AI897" s="582">
        <f t="shared" si="2787"/>
        <v>0</v>
      </c>
      <c r="AJ897" s="569">
        <f t="shared" si="2788"/>
        <v>0</v>
      </c>
      <c r="AK897" s="569" t="str">
        <f t="shared" si="2789"/>
        <v/>
      </c>
      <c r="AL897" s="569" t="str">
        <f t="shared" si="2790"/>
        <v/>
      </c>
      <c r="AM897" s="569">
        <f t="shared" si="2791"/>
        <v>0</v>
      </c>
      <c r="AN897" s="581">
        <f t="shared" si="2792"/>
        <v>0</v>
      </c>
      <c r="AO897" s="623"/>
      <c r="AP897" s="632" t="str">
        <f t="shared" si="2772"/>
        <v/>
      </c>
      <c r="AQ897" s="633" t="str">
        <f>IF(AC897=$V$3,IF(VLOOKUP(C897,[1]List1!$A:$E,5,FALSE)=0,1,VLOOKUP(C897,[1]List1!$A:$E,5,FALSE)),"")</f>
        <v/>
      </c>
      <c r="AR897" s="625" t="str">
        <f t="shared" si="2773"/>
        <v/>
      </c>
      <c r="AS897" s="634" t="str">
        <f t="shared" si="2743"/>
        <v/>
      </c>
      <c r="AT897" s="625" t="str">
        <f t="shared" si="2774"/>
        <v/>
      </c>
      <c r="AU897" s="638" t="e">
        <f t="shared" si="2775"/>
        <v>#N/A</v>
      </c>
      <c r="AV897" s="625" t="e">
        <f t="shared" si="2776"/>
        <v>#N/A</v>
      </c>
      <c r="AX897" s="625">
        <f>IF(AND('General price list'!$J897="F4",'General price list'!$AB897+0&gt;0),1,0)</f>
        <v>0</v>
      </c>
      <c r="AY897" s="625">
        <f t="shared" si="2777"/>
        <v>1</v>
      </c>
      <c r="AZ897" s="625">
        <f t="shared" si="2778"/>
        <v>0</v>
      </c>
    </row>
    <row r="898" spans="1:52" ht="15.75" customHeight="1">
      <c r="A898" s="751" t="str">
        <f>Kat.!C898</f>
        <v xml:space="preserve">           Baterie 50 ran, 30 mm S moždíř</v>
      </c>
      <c r="B898" s="751"/>
      <c r="C898" s="751"/>
      <c r="D898" s="751"/>
      <c r="E898" s="751"/>
      <c r="F898" s="751"/>
      <c r="G898" s="751"/>
      <c r="H898" s="751"/>
      <c r="I898" s="752"/>
      <c r="J898" s="752"/>
      <c r="K898" s="752" t="s">
        <v>20</v>
      </c>
      <c r="L898" s="753" t="s">
        <v>20</v>
      </c>
      <c r="M898" s="752"/>
      <c r="N898" s="752"/>
      <c r="O898" s="752"/>
      <c r="P898" s="752"/>
      <c r="Q898" s="752"/>
      <c r="R898" s="752"/>
      <c r="S898" s="752"/>
      <c r="T898" s="752"/>
      <c r="U898" s="752"/>
      <c r="V898" s="752"/>
      <c r="W898" s="752"/>
      <c r="X898" s="752"/>
      <c r="Y898" s="752"/>
      <c r="Z898" s="752" t="s">
        <v>20</v>
      </c>
      <c r="AA898" s="752"/>
      <c r="AB898" s="752"/>
      <c r="AC898" s="754"/>
      <c r="AD898" s="752"/>
      <c r="AE898" s="752"/>
      <c r="AF898" s="752"/>
      <c r="AG898" s="752"/>
      <c r="AH898" s="752"/>
      <c r="AI898" s="752"/>
      <c r="AJ898" s="752"/>
      <c r="AK898" s="752"/>
      <c r="AL898" s="752"/>
      <c r="AM898" s="752"/>
      <c r="AN898" s="752"/>
      <c r="AO898" s="623"/>
      <c r="AP898" s="625" t="str">
        <f t="shared" si="2772"/>
        <v/>
      </c>
      <c r="AQ898" s="625" t="str">
        <f>IF(AC898=$V$3,IF(VLOOKUP(C898,[1]List1!$A:$E,5,FALSE)=0,1,VLOOKUP(C898,[1]List1!$A:$E,5,FALSE)),"")</f>
        <v/>
      </c>
      <c r="AR898" s="629" t="str">
        <f t="shared" si="2773"/>
        <v/>
      </c>
      <c r="AS898" s="630" t="str">
        <f t="shared" si="2743"/>
        <v/>
      </c>
      <c r="AT898" s="625" t="str">
        <f t="shared" si="2774"/>
        <v/>
      </c>
      <c r="AU898" s="625" t="e">
        <f t="shared" si="2775"/>
        <v>#N/A</v>
      </c>
      <c r="AV898" s="625" t="e">
        <f t="shared" si="2776"/>
        <v>#N/A</v>
      </c>
      <c r="AW898" s="631"/>
      <c r="AX898" s="631">
        <f>IF(AND('General price list'!$J898="F4",'General price list'!$AB898+0&gt;0),1,0)</f>
        <v>0</v>
      </c>
      <c r="AY898" s="631">
        <f t="shared" si="2777"/>
        <v>0</v>
      </c>
      <c r="AZ898" s="631">
        <f t="shared" si="2778"/>
        <v>0</v>
      </c>
    </row>
    <row r="899" spans="1:52" ht="15" customHeight="1">
      <c r="A899" s="639" t="str">
        <f>Kat.!C899</f>
        <v/>
      </c>
      <c r="B899" s="640">
        <f>IF(AND('General price list'!$J899="F4",$AI$1=FALSE),0,IF(AC899="SKLADEM",1,IF(AC899=$V$3,1,0)))</f>
        <v>1</v>
      </c>
      <c r="C899" s="641" t="s">
        <v>1655</v>
      </c>
      <c r="D899" s="642" t="s">
        <v>1080</v>
      </c>
      <c r="E899" s="643" t="s">
        <v>12747</v>
      </c>
      <c r="F899" s="771">
        <f>IFERROR(VLOOKUP(C899,[2]List1!$A:$D,3,FALSE),"NEUVEDENO!")</f>
        <v>1499</v>
      </c>
      <c r="G899" s="768">
        <f t="shared" ref="G899:G907" si="2793">IF($W$17=$AF$8,ROUND((F899)/$F$17,2),(F899)*$B$19)</f>
        <v>1499</v>
      </c>
      <c r="H899" s="765">
        <f t="shared" ref="H899:H907" si="2794">IF($W$17=$AF$8,G899*$B$19,G899/$F$17)</f>
        <v>63.675328040507537</v>
      </c>
      <c r="I899" s="644">
        <f>IFERROR(VLOOKUP(C899,[2]List1!$A:$D,4,FALSE),"NEUVEDENO!")</f>
        <v>2</v>
      </c>
      <c r="J899" s="733" t="s">
        <v>113</v>
      </c>
      <c r="K899" s="645" t="s">
        <v>20</v>
      </c>
      <c r="L899" s="645" t="s">
        <v>20</v>
      </c>
      <c r="M899" s="645" t="s">
        <v>114</v>
      </c>
      <c r="N899" s="645">
        <f>IFERROR(VLOOKUP(C899,[3]List1!$A:$D,4,FALSE),"N/A!")</f>
        <v>5.6629124999999995E-2</v>
      </c>
      <c r="O899" s="645">
        <f>IFERROR(VLOOKUP(C899,[3]List1!$A:$D,3,FALSE),"N/A!")</f>
        <v>1900</v>
      </c>
      <c r="P899" s="645">
        <f>IFERROR(VLOOKUP(C899,[3]List1!$A:$D,2,FALSE),"N/A!")</f>
        <v>14200</v>
      </c>
      <c r="Q899" s="645" t="s">
        <v>11806</v>
      </c>
      <c r="R899" s="645"/>
      <c r="S899" s="645" t="str">
        <f>IF($W$17=$AF$1,"design",IFERROR(VLOOKUP("design",Jazyky_ceník!$A:$Q,MATCH($W$17,Jazyky_ceník!$A$1:$Q$1,0),FALSE),"!!!"))</f>
        <v>design</v>
      </c>
      <c r="T899" s="645">
        <v>10</v>
      </c>
      <c r="U899" s="645">
        <v>40</v>
      </c>
      <c r="V899" s="645">
        <v>30</v>
      </c>
      <c r="W899" s="645" t="str">
        <f>IFERROR(IF(AND($AB899&gt;=0.1*$AA899,MOD($AB899,$AA899)&gt;=($AA899-(0.1*$AA899))),IF($W$17=$AF$1,"Zvažte možnost doobjednání ještě "&amp;Tabulka1[[#This Row],[VKPAL]]-MOD(AB899,AA899)&amp;" VK do plné palety.",VLOOKUP("Zvažte možnost doobjednání ještě ",Jazyky_ceník!A:Q,MATCH($W$17,Jazyky_ceník!$A$1:$Q$1,0),FALSE)&amp;Tabulka1[[#This Row],[VKPAL]]-MOD(AB899,AA899)&amp;VLOOKUP(" VK do plné palety.",Jazyky_ceník!A:Q,MATCH($W$17,Jazyky_ceník!$A$1:$Q$1,0),FALSE)),IFERROR(IF(AND(NOT(MOD($AB899,$AA899)=0),$AB899&gt;=0.9*$AA899,MOD($AB899,$AA899)&lt;=0.1*$AA899),IF($W$17=$AF$1,"Zvažte možnost optimalizace objednaného množství podle počtu VK na paletě ==&gt;",VLOOKUP("Zvažte možnost optimalizace objednaného množství podle počtu VK na paletě ==&gt;",Jazyky_ceník!A:Q,MATCH($W$17,Jazyky_ceník!$A$1:$Q$1,0),FALSE)),VLOOKUP('General price list'!$C899,Popisy!A:M,MATCH($W$17,Popisy!$A$7:$M$7,0),FALSE)),"---------------")),IFERROR(VLOOKUP('General price list'!$C899,Popisy!A:M,MATCH($W$17,Popisy!$A$7:$M$7,0),FALSE),"---------------"))</f>
        <v>blue tail up to flower crown</v>
      </c>
      <c r="X899" s="645" t="str">
        <f t="shared" ref="X899:X907" si="2795">IF(AB899&lt;0.0001,"",AB899)</f>
        <v/>
      </c>
      <c r="Y899" s="645" t="str">
        <f t="shared" ref="Y899:Y907" si="2796">IF($AL$3=2,IF(OR(AB899&lt;&gt;"",AB899&lt;&gt;0),AU899,""),IF(C899="","",IF(AB899&lt;0.0001,"",IF(B899=0,"",IF(AQ899&lt;AB899,"",AB899)))))</f>
        <v/>
      </c>
      <c r="Z899" s="645" t="str">
        <f>HYPERLINK("https://www.klasekpyrotechnics.cz/cs503x8")</f>
        <v>https://www.klasekpyrotechnics.cz/cs503x8</v>
      </c>
      <c r="AA899" s="645">
        <f>IFERROR(IF(VLOOKUP(C899,[4]List1!$A:$D,4,FALSE)=0,"",VLOOKUP(C899,[4]List1!$A:$D,4,FALSE)),"")</f>
        <v>28</v>
      </c>
      <c r="AB899" s="646"/>
      <c r="AC899" s="647" t="str">
        <f>IFERROR(IF(VLOOKUP(C899,[1]List1!$A:$D,2,FALSE)="VYPRODÁNO",$V$9,IF(VLOOKUP(C899,[1]List1!$A:$D,2,FALSE)="DOCHÁZÍ",$V$3,VLOOKUP(C899,[1]List1!$A:$D,2,FALSE))),"OFFLINE!")</f>
        <v>SKLADEM</v>
      </c>
      <c r="AD899" s="647" t="str">
        <f ca="1">IF(AP899="NE",$V$10,IF(AC899=$V$3,IF(AQ899&lt;1,$V$8,$V$2&amp;" "&amp;AQ899&amp;" "&amp;$V$1),IF(AC899="SKLADEM",$V$6,IFERROR(IF(OR(AC899-TODAY()&gt;45,VLOOKUP(C899,[1]List1!$A:$E,4,FALSE)=0),AC899,DAY(AC899)&amp;"."&amp;MONTH(AC899)&amp;"."&amp;YEAR(AC899)&amp;" "&amp;$V$4&amp;VLOOKUP(C899,[1]List1!$A:$E,4,FALSE)&amp;" "&amp;$V$1),AC899))))</f>
        <v>SKLADEM</v>
      </c>
      <c r="AE899" s="645" t="str">
        <f t="shared" ref="AE899:AE907" ca="1" si="2797">IFERROR(IF(AV899&lt;&gt;"",AV899,AD899),AD899)</f>
        <v>SKLADEM</v>
      </c>
      <c r="AF899" s="648">
        <f t="shared" ref="AF899:AF907" si="2798">IFERROR(IF(AB899=Y899,G899*I899*Y899,0),0)</f>
        <v>0</v>
      </c>
      <c r="AG899" s="649">
        <f t="shared" ref="AG899:AG907" si="2799">IF($W$17=$AF$8,AH899*1.23,AF899*1.21)</f>
        <v>0</v>
      </c>
      <c r="AH899" s="650">
        <f t="shared" ref="AH899:AH907" si="2800">IFERROR(IF(Y899=AB899,H899*I899*Y899,0),0)</f>
        <v>0</v>
      </c>
      <c r="AI899" s="645">
        <f t="shared" ref="AI899:AI907" si="2801">IFERROR(IF(Y899=AB899,(P899*Y899)/1000,1),0)</f>
        <v>0</v>
      </c>
      <c r="AJ899" s="645">
        <f t="shared" ref="AJ899:AJ907" si="2802">IFERROR(IF(Y899=AB899,N899*Y899,0.1),0)</f>
        <v>0</v>
      </c>
      <c r="AK899" s="645" t="str">
        <f t="shared" ref="AK899:AK907" si="2803">IFERROR(IF(Y899=AB899,IF(M899="1.1G",(O899/1000)*Y899,""),""),0)</f>
        <v/>
      </c>
      <c r="AL899" s="645">
        <f t="shared" ref="AL899:AL907" si="2804">IFERROR(IF(Y899=AB899,IF(M899="1.3G",(O899/1000)*AB899,""),""),0)</f>
        <v>0</v>
      </c>
      <c r="AM899" s="645" t="str">
        <f t="shared" ref="AM899:AM907" si="2805">IFERROR(IF(Y899=AB899,IF(M899="1.4G",(O899/1000)*AB899,""),""),0)</f>
        <v/>
      </c>
      <c r="AN899" s="651">
        <f t="shared" ref="AN899:AN907" si="2806">SUM(AK899:AM899)</f>
        <v>0</v>
      </c>
      <c r="AO899" s="623"/>
      <c r="AP899" s="632" t="str">
        <f t="shared" si="2772"/>
        <v/>
      </c>
      <c r="AQ899" s="633" t="str">
        <f>IF(AC899=$V$3,IF(VLOOKUP(C899,[1]List1!$A:$E,5,FALSE)=0,1,VLOOKUP(C899,[1]List1!$A:$E,5,FALSE)),"")</f>
        <v/>
      </c>
      <c r="AR899" s="625" t="str">
        <f t="shared" si="2773"/>
        <v/>
      </c>
      <c r="AS899" s="634" t="str">
        <f t="shared" si="2743"/>
        <v/>
      </c>
      <c r="AT899" s="625" t="str">
        <f t="shared" si="2774"/>
        <v/>
      </c>
      <c r="AU899" s="638" t="e">
        <f t="shared" si="2775"/>
        <v>#N/A</v>
      </c>
      <c r="AV899" s="625" t="e">
        <f t="shared" si="2776"/>
        <v>#N/A</v>
      </c>
      <c r="AX899" s="625">
        <f>IF(AND('General price list'!$J899="F4",'General price list'!$AB899+0&gt;0),1,0)</f>
        <v>0</v>
      </c>
      <c r="AY899" s="625">
        <f t="shared" si="2777"/>
        <v>1</v>
      </c>
      <c r="AZ899" s="625">
        <f t="shared" si="2778"/>
        <v>0</v>
      </c>
    </row>
    <row r="900" spans="1:52" ht="15.75" customHeight="1">
      <c r="A900" s="621" t="str">
        <f>Kat.!C900</f>
        <v/>
      </c>
      <c r="B900" s="566">
        <f>IF(AND('General price list'!$J900="F4",$AI$1=FALSE),0,IF(AC900="SKLADEM",1,IF(AC900=$V$3,1,0)))</f>
        <v>1</v>
      </c>
      <c r="C900" s="567" t="s">
        <v>1657</v>
      </c>
      <c r="D900" s="568" t="s">
        <v>1080</v>
      </c>
      <c r="E900" s="763" t="s">
        <v>12747</v>
      </c>
      <c r="F900" s="772">
        <f>IFERROR(VLOOKUP(C900,[2]List1!$A:$D,3,FALSE),"NEUVEDENO!")</f>
        <v>1499</v>
      </c>
      <c r="G900" s="769">
        <f t="shared" si="2793"/>
        <v>1499</v>
      </c>
      <c r="H900" s="766">
        <f t="shared" si="2794"/>
        <v>63.675328040507537</v>
      </c>
      <c r="I900" s="764">
        <f>IFERROR(VLOOKUP(C900,[2]List1!$A:$D,4,FALSE),"NEUVEDENO!")</f>
        <v>2</v>
      </c>
      <c r="J900" s="732" t="s">
        <v>113</v>
      </c>
      <c r="K900" s="569" t="s">
        <v>20</v>
      </c>
      <c r="L900" s="569" t="s">
        <v>20</v>
      </c>
      <c r="M900" s="569" t="s">
        <v>114</v>
      </c>
      <c r="N900" s="569">
        <f>IFERROR(VLOOKUP(C900,[3]List1!$A:$D,4,FALSE),"N/A!")</f>
        <v>5.6629124999999995E-2</v>
      </c>
      <c r="O900" s="569">
        <f>IFERROR(VLOOKUP(C900,[3]List1!$A:$D,3,FALSE),"N/A!")</f>
        <v>1900</v>
      </c>
      <c r="P900" s="569">
        <f>IFERROR(VLOOKUP(C900,[3]List1!$A:$D,2,FALSE),"N/A!")</f>
        <v>15500</v>
      </c>
      <c r="Q900" s="569" t="s">
        <v>11343</v>
      </c>
      <c r="R900" s="569" t="s">
        <v>20</v>
      </c>
      <c r="S900" s="569" t="str">
        <f>IF($W$17=$AF$1,"design",IFERROR(VLOOKUP("design",Jazyky_ceník!$A:$Q,MATCH($W$17,Jazyky_ceník!$A$1:$Q$1,0),FALSE),"!!!"))</f>
        <v>design</v>
      </c>
      <c r="T900" s="569">
        <v>10</v>
      </c>
      <c r="U900" s="569">
        <v>40</v>
      </c>
      <c r="V900" s="569">
        <v>30</v>
      </c>
      <c r="W900" s="569" t="str">
        <f>IFERROR(IF(AND($AB900&gt;=0.1*$AA900,MOD($AB900,$AA900)&gt;=($AA900-(0.1*$AA900))),IF($W$17=$AF$1,"Zvažte možnost doobjednání ještě "&amp;Tabulka1[[#This Row],[VKPAL]]-MOD(AB900,AA900)&amp;" VK do plné palety.",VLOOKUP("Zvažte možnost doobjednání ještě ",Jazyky_ceník!A:Q,MATCH($W$17,Jazyky_ceník!$A$1:$Q$1,0),FALSE)&amp;Tabulka1[[#This Row],[VKPAL]]-MOD(AB900,AA900)&amp;VLOOKUP(" VK do plné palety.",Jazyky_ceník!A:Q,MATCH($W$17,Jazyky_ceník!$A$1:$Q$1,0),FALSE)),IFERROR(IF(AND(NOT(MOD($AB900,$AA900)=0),$AB900&gt;=0.9*$AA900,MOD($AB900,$AA900)&lt;=0.1*$AA900),IF($W$17=$AF$1,"Zvažte možnost optimalizace objednaného množství podle počtu VK na paletě ==&gt;",VLOOKUP("Zvažte možnost optimalizace objednaného množství podle počtu VK na paletě ==&gt;",Jazyky_ceník!A:Q,MATCH($W$17,Jazyky_ceník!$A$1:$Q$1,0),FALSE)),VLOOKUP('General price list'!$C900,Popisy!A:M,MATCH($W$17,Popisy!$A$7:$M$7,0),FALSE)),"---------------")),IFERROR(VLOOKUP('General price list'!$C900,Popisy!A:M,MATCH($W$17,Popisy!$A$7:$M$7,0),FALSE),"---------------"))</f>
        <v>cracking chry+blue mine tail up to gold comet</v>
      </c>
      <c r="X900" s="569" t="str">
        <f t="shared" si="2795"/>
        <v/>
      </c>
      <c r="Y900" s="569" t="str">
        <f t="shared" si="2796"/>
        <v/>
      </c>
      <c r="Z900" s="569" t="str">
        <f>HYPERLINK("https://www.klasekpyrotechnics.cz/cs503x9")</f>
        <v>https://www.klasekpyrotechnics.cz/cs503x9</v>
      </c>
      <c r="AA900" s="569">
        <f>IFERROR(IF(VLOOKUP(C900,[4]List1!$A:$D,4,FALSE)=0,"",VLOOKUP(C900,[4]List1!$A:$D,4,FALSE)),"")</f>
        <v>28</v>
      </c>
      <c r="AB900" s="565"/>
      <c r="AC900" s="570" t="str">
        <f>IFERROR(IF(VLOOKUP(C900,[1]List1!$A:$D,2,FALSE)="VYPRODÁNO",$V$9,IF(VLOOKUP(C900,[1]List1!$A:$D,2,FALSE)="DOCHÁZÍ",$V$3,VLOOKUP(C900,[1]List1!$A:$D,2,FALSE))),"OFFLINE!")</f>
        <v>SKLADEM</v>
      </c>
      <c r="AD900" s="570" t="str">
        <f ca="1">IF(AP900="NE",$V$10,IF(AC900=$V$3,IF(AQ900&lt;1,$V$8,$V$2&amp;" "&amp;AQ900&amp;" "&amp;$V$1),IF(AC900="SKLADEM",$V$6,IFERROR(IF(OR(AC900-TODAY()&gt;45,VLOOKUP(C900,[1]List1!$A:$E,4,FALSE)=0),AC900,DAY(AC900)&amp;"."&amp;MONTH(AC900)&amp;"."&amp;YEAR(AC900)&amp;" "&amp;$V$4&amp;VLOOKUP(C900,[1]List1!$A:$E,4,FALSE)&amp;" "&amp;$V$1),AC900))))</f>
        <v>SKLADEM</v>
      </c>
      <c r="AE900" s="581" t="str">
        <f t="shared" ca="1" si="2797"/>
        <v>SKLADEM</v>
      </c>
      <c r="AF900" s="584">
        <f t="shared" si="2798"/>
        <v>0</v>
      </c>
      <c r="AG900" s="585">
        <f t="shared" si="2799"/>
        <v>0</v>
      </c>
      <c r="AH900" s="583">
        <f t="shared" si="2800"/>
        <v>0</v>
      </c>
      <c r="AI900" s="582">
        <f t="shared" si="2801"/>
        <v>0</v>
      </c>
      <c r="AJ900" s="569">
        <f t="shared" si="2802"/>
        <v>0</v>
      </c>
      <c r="AK900" s="569" t="str">
        <f t="shared" si="2803"/>
        <v/>
      </c>
      <c r="AL900" s="569">
        <f t="shared" si="2804"/>
        <v>0</v>
      </c>
      <c r="AM900" s="569" t="str">
        <f t="shared" si="2805"/>
        <v/>
      </c>
      <c r="AN900" s="581">
        <f t="shared" si="2806"/>
        <v>0</v>
      </c>
      <c r="AO900" s="623"/>
      <c r="AP900" s="625" t="str">
        <f t="shared" si="2772"/>
        <v/>
      </c>
      <c r="AQ900" s="625" t="str">
        <f>IF(AC900=$V$3,IF(VLOOKUP(C900,[1]List1!$A:$E,5,FALSE)=0,1,VLOOKUP(C900,[1]List1!$A:$E,5,FALSE)),"")</f>
        <v/>
      </c>
      <c r="AR900" s="629" t="str">
        <f t="shared" si="2773"/>
        <v/>
      </c>
      <c r="AS900" s="630" t="str">
        <f t="shared" si="2743"/>
        <v/>
      </c>
      <c r="AT900" s="625" t="str">
        <f t="shared" si="2774"/>
        <v/>
      </c>
      <c r="AU900" s="625" t="e">
        <f t="shared" si="2775"/>
        <v>#N/A</v>
      </c>
      <c r="AV900" s="625" t="e">
        <f t="shared" si="2776"/>
        <v>#N/A</v>
      </c>
      <c r="AW900" s="631"/>
      <c r="AX900" s="631">
        <f>IF(AND('General price list'!$J900="F4",'General price list'!$AB900+0&gt;0),1,0)</f>
        <v>0</v>
      </c>
      <c r="AY900" s="631">
        <f t="shared" si="2777"/>
        <v>1</v>
      </c>
      <c r="AZ900" s="631">
        <f t="shared" si="2778"/>
        <v>0</v>
      </c>
    </row>
    <row r="901" spans="1:52" ht="15" customHeight="1">
      <c r="A901" s="639" t="str">
        <f>Kat.!C901</f>
        <v/>
      </c>
      <c r="B901" s="640">
        <f>IF(AND('General price list'!$J901="F4",$AI$1=FALSE),0,IF(AC901="SKLADEM",1,IF(AC901=$V$3,1,0)))</f>
        <v>1</v>
      </c>
      <c r="C901" s="641" t="s">
        <v>1662</v>
      </c>
      <c r="D901" s="642" t="s">
        <v>1080</v>
      </c>
      <c r="E901" s="643" t="s">
        <v>12747</v>
      </c>
      <c r="F901" s="771">
        <f>IFERROR(VLOOKUP(C901,[2]List1!$A:$D,3,FALSE),"NEUVEDENO!")</f>
        <v>1499</v>
      </c>
      <c r="G901" s="768">
        <f t="shared" si="2793"/>
        <v>1499</v>
      </c>
      <c r="H901" s="765">
        <f t="shared" si="2794"/>
        <v>63.675328040507537</v>
      </c>
      <c r="I901" s="644">
        <f>IFERROR(VLOOKUP(C901,[2]List1!$A:$D,4,FALSE),"NEUVEDENO!")</f>
        <v>2</v>
      </c>
      <c r="J901" s="733" t="s">
        <v>113</v>
      </c>
      <c r="K901" s="645" t="s">
        <v>20</v>
      </c>
      <c r="L901" s="645" t="s">
        <v>20</v>
      </c>
      <c r="M901" s="645" t="s">
        <v>114</v>
      </c>
      <c r="N901" s="645">
        <f>IFERROR(VLOOKUP(C901,[3]List1!$A:$D,4,FALSE),"N/A!")</f>
        <v>5.6629124999999995E-2</v>
      </c>
      <c r="O901" s="645">
        <f>IFERROR(VLOOKUP(C901,[3]List1!$A:$D,3,FALSE),"N/A!")</f>
        <v>1900</v>
      </c>
      <c r="P901" s="645">
        <f>IFERROR(VLOOKUP(C901,[3]List1!$A:$D,2,FALSE),"N/A!")</f>
        <v>14900</v>
      </c>
      <c r="Q901" s="645" t="s">
        <v>11343</v>
      </c>
      <c r="R901" s="645" t="s">
        <v>20</v>
      </c>
      <c r="S901" s="645" t="str">
        <f>IF($W$17=$AF$1,"design",IFERROR(VLOOKUP("design",Jazyky_ceník!$A:$Q,MATCH($W$17,Jazyky_ceník!$A$1:$Q$1,0),FALSE),"!!!"))</f>
        <v>design</v>
      </c>
      <c r="T901" s="645">
        <v>10</v>
      </c>
      <c r="U901" s="645">
        <v>40</v>
      </c>
      <c r="V901" s="645">
        <v>30</v>
      </c>
      <c r="W901" s="645" t="str">
        <f>IFERROR(IF(AND($AB901&gt;=0.1*$AA901,MOD($AB901,$AA901)&gt;=($AA901-(0.1*$AA901))),IF($W$17=$AF$1,"Zvažte možnost doobjednání ještě "&amp;Tabulka1[[#This Row],[VKPAL]]-MOD(AB901,AA901)&amp;" VK do plné palety.",VLOOKUP("Zvažte možnost doobjednání ještě ",Jazyky_ceník!A:Q,MATCH($W$17,Jazyky_ceník!$A$1:$Q$1,0),FALSE)&amp;Tabulka1[[#This Row],[VKPAL]]-MOD(AB901,AA901)&amp;VLOOKUP(" VK do plné palety.",Jazyky_ceník!A:Q,MATCH($W$17,Jazyky_ceník!$A$1:$Q$1,0),FALSE)),IFERROR(IF(AND(NOT(MOD($AB901,$AA901)=0),$AB901&gt;=0.9*$AA901,MOD($AB901,$AA901)&lt;=0.1*$AA901),IF($W$17=$AF$1,"Zvažte možnost optimalizace objednaného množství podle počtu VK na paletě ==&gt;",VLOOKUP("Zvažte možnost optimalizace objednaného množství podle počtu VK na paletě ==&gt;",Jazyky_ceník!A:Q,MATCH($W$17,Jazyky_ceník!$A$1:$Q$1,0),FALSE)),VLOOKUP('General price list'!$C901,Popisy!A:M,MATCH($W$17,Popisy!$A$7:$M$7,0),FALSE)),"---------------")),IFERROR(VLOOKUP('General price list'!$C901,Popisy!A:M,MATCH($W$17,Popisy!$A$7:$M$7,0),FALSE),"---------------"))</f>
        <v>crackling chry. mine tail up to brocade crown +glitter star</v>
      </c>
      <c r="X901" s="645" t="str">
        <f t="shared" si="2795"/>
        <v/>
      </c>
      <c r="Y901" s="645" t="str">
        <f t="shared" si="2796"/>
        <v/>
      </c>
      <c r="Z901" s="645" t="str">
        <f>HYPERLINK("https://www.klasekpyrotechnics.cz/cs503x11")</f>
        <v>https://www.klasekpyrotechnics.cz/cs503x11</v>
      </c>
      <c r="AA901" s="645">
        <f>IFERROR(IF(VLOOKUP(C901,[4]List1!$A:$D,4,FALSE)=0,"",VLOOKUP(C901,[4]List1!$A:$D,4,FALSE)),"")</f>
        <v>28</v>
      </c>
      <c r="AB901" s="646"/>
      <c r="AC901" s="647" t="str">
        <f>IFERROR(IF(VLOOKUP(C901,[1]List1!$A:$D,2,FALSE)="VYPRODÁNO",$V$9,IF(VLOOKUP(C901,[1]List1!$A:$D,2,FALSE)="DOCHÁZÍ",$V$3,VLOOKUP(C901,[1]List1!$A:$D,2,FALSE))),"OFFLINE!")</f>
        <v>SKLADEM</v>
      </c>
      <c r="AD901" s="647" t="str">
        <f ca="1">IF(AP901="NE",$V$10,IF(AC901=$V$3,IF(AQ901&lt;1,$V$8,$V$2&amp;" "&amp;AQ901&amp;" "&amp;$V$1),IF(AC901="SKLADEM",$V$6,IFERROR(IF(OR(AC901-TODAY()&gt;45,VLOOKUP(C901,[1]List1!$A:$E,4,FALSE)=0),AC901,DAY(AC901)&amp;"."&amp;MONTH(AC901)&amp;"."&amp;YEAR(AC901)&amp;" "&amp;$V$4&amp;VLOOKUP(C901,[1]List1!$A:$E,4,FALSE)&amp;" "&amp;$V$1),AC901))))</f>
        <v>SKLADEM</v>
      </c>
      <c r="AE901" s="645" t="str">
        <f t="shared" ca="1" si="2797"/>
        <v>SKLADEM</v>
      </c>
      <c r="AF901" s="648">
        <f t="shared" si="2798"/>
        <v>0</v>
      </c>
      <c r="AG901" s="649">
        <f t="shared" si="2799"/>
        <v>0</v>
      </c>
      <c r="AH901" s="650">
        <f t="shared" si="2800"/>
        <v>0</v>
      </c>
      <c r="AI901" s="645">
        <f t="shared" si="2801"/>
        <v>0</v>
      </c>
      <c r="AJ901" s="645">
        <f t="shared" si="2802"/>
        <v>0</v>
      </c>
      <c r="AK901" s="645" t="str">
        <f t="shared" si="2803"/>
        <v/>
      </c>
      <c r="AL901" s="645">
        <f t="shared" si="2804"/>
        <v>0</v>
      </c>
      <c r="AM901" s="645" t="str">
        <f t="shared" si="2805"/>
        <v/>
      </c>
      <c r="AN901" s="651">
        <f t="shared" si="2806"/>
        <v>0</v>
      </c>
      <c r="AO901" s="623"/>
      <c r="AP901" s="632" t="str">
        <f t="shared" si="2772"/>
        <v/>
      </c>
      <c r="AQ901" s="633" t="str">
        <f>IF(AC901=$V$3,IF(VLOOKUP(C901,[1]List1!$A:$E,5,FALSE)=0,1,VLOOKUP(C901,[1]List1!$A:$E,5,FALSE)),"")</f>
        <v/>
      </c>
      <c r="AR901" s="625" t="str">
        <f t="shared" si="2773"/>
        <v/>
      </c>
      <c r="AS901" s="634" t="str">
        <f t="shared" si="2743"/>
        <v/>
      </c>
      <c r="AT901" s="625" t="str">
        <f t="shared" si="2774"/>
        <v/>
      </c>
      <c r="AU901" s="638" t="e">
        <f t="shared" si="2775"/>
        <v>#N/A</v>
      </c>
      <c r="AV901" s="625" t="e">
        <f t="shared" si="2776"/>
        <v>#N/A</v>
      </c>
      <c r="AX901" s="625">
        <f>IF(AND('General price list'!$J901="F4",'General price list'!$AB901+0&gt;0),1,0)</f>
        <v>0</v>
      </c>
      <c r="AY901" s="625">
        <f t="shared" si="2777"/>
        <v>1</v>
      </c>
      <c r="AZ901" s="625">
        <f t="shared" si="2778"/>
        <v>0</v>
      </c>
    </row>
    <row r="902" spans="1:52" ht="15.75" customHeight="1">
      <c r="A902" s="621" t="str">
        <f>Kat.!C902</f>
        <v/>
      </c>
      <c r="B902" s="566">
        <f>IF(AND('General price list'!$J902="F4",$AI$1=FALSE),0,IF(AC902="SKLADEM",1,IF(AC902=$V$3,1,0)))</f>
        <v>1</v>
      </c>
      <c r="C902" s="567" t="s">
        <v>1668</v>
      </c>
      <c r="D902" s="568" t="s">
        <v>1080</v>
      </c>
      <c r="E902" s="763" t="s">
        <v>12747</v>
      </c>
      <c r="F902" s="772">
        <f>IFERROR(VLOOKUP(C902,[2]List1!$A:$D,3,FALSE),"NEUVEDENO!")</f>
        <v>1499</v>
      </c>
      <c r="G902" s="769">
        <f t="shared" si="2793"/>
        <v>1499</v>
      </c>
      <c r="H902" s="766">
        <f t="shared" si="2794"/>
        <v>63.675328040507537</v>
      </c>
      <c r="I902" s="764">
        <f>IFERROR(VLOOKUP(C902,[2]List1!$A:$D,4,FALSE),"NEUVEDENO!")</f>
        <v>2</v>
      </c>
      <c r="J902" s="732" t="s">
        <v>113</v>
      </c>
      <c r="K902" s="569" t="s">
        <v>20</v>
      </c>
      <c r="L902" s="569" t="s">
        <v>20</v>
      </c>
      <c r="M902" s="569" t="s">
        <v>21</v>
      </c>
      <c r="N902" s="569">
        <f>IFERROR(VLOOKUP(C902,[3]List1!$A:$D,4,FALSE),"N/A!")</f>
        <v>5.6629124999999995E-2</v>
      </c>
      <c r="O902" s="569">
        <f>IFERROR(VLOOKUP(C902,[3]List1!$A:$D,3,FALSE),"N/A!")</f>
        <v>1900</v>
      </c>
      <c r="P902" s="569">
        <f>IFERROR(VLOOKUP(C902,[3]List1!$A:$D,2,FALSE),"N/A!")</f>
        <v>14500</v>
      </c>
      <c r="Q902" s="569" t="s">
        <v>11806</v>
      </c>
      <c r="R902" s="569"/>
      <c r="S902" s="569" t="str">
        <f>IF($W$17=$AF$1,"design",IFERROR(VLOOKUP("design",Jazyky_ceník!$A:$Q,MATCH($W$17,Jazyky_ceník!$A$1:$Q$1,0),FALSE),"!!!"))</f>
        <v>design</v>
      </c>
      <c r="T902" s="569">
        <v>10</v>
      </c>
      <c r="U902" s="569">
        <v>40</v>
      </c>
      <c r="V902" s="569"/>
      <c r="W902" s="569" t="str">
        <f>IFERROR(IF(AND($AB902&gt;=0.1*$AA902,MOD($AB902,$AA902)&gt;=($AA902-(0.1*$AA902))),IF($W$17=$AF$1,"Zvažte možnost doobjednání ještě "&amp;Tabulka1[[#This Row],[VKPAL]]-MOD(AB902,AA902)&amp;" VK do plné palety.",VLOOKUP("Zvažte možnost doobjednání ještě ",Jazyky_ceník!A:Q,MATCH($W$17,Jazyky_ceník!$A$1:$Q$1,0),FALSE)&amp;Tabulka1[[#This Row],[VKPAL]]-MOD(AB902,AA902)&amp;VLOOKUP(" VK do plné palety.",Jazyky_ceník!A:Q,MATCH($W$17,Jazyky_ceník!$A$1:$Q$1,0),FALSE)),IFERROR(IF(AND(NOT(MOD($AB902,$AA902)=0),$AB902&gt;=0.9*$AA902,MOD($AB902,$AA902)&lt;=0.1*$AA902),IF($W$17=$AF$1,"Zvažte možnost optimalizace objednaného množství podle počtu VK na paletě ==&gt;",VLOOKUP("Zvažte možnost optimalizace objednaného množství podle počtu VK na paletě ==&gt;",Jazyky_ceník!A:Q,MATCH($W$17,Jazyky_ceník!$A$1:$Q$1,0),FALSE)),VLOOKUP('General price list'!$C902,Popisy!A:M,MATCH($W$17,Popisy!$A$7:$M$7,0),FALSE)),"---------------")),IFERROR(VLOOKUP('General price list'!$C902,Popisy!A:M,MATCH($W$17,Popisy!$A$7:$M$7,0),FALSE),"---------------"))</f>
        <v>blue tail up to eject horse tail</v>
      </c>
      <c r="X902" s="569" t="str">
        <f t="shared" si="2795"/>
        <v/>
      </c>
      <c r="Y902" s="569" t="str">
        <f t="shared" si="2796"/>
        <v/>
      </c>
      <c r="Z902" s="569" t="str">
        <f>HYPERLINK("https://www.klasekpyrotechnics.cz/cs503x14")</f>
        <v>https://www.klasekpyrotechnics.cz/cs503x14</v>
      </c>
      <c r="AA902" s="569">
        <f>IFERROR(IF(VLOOKUP(C902,[4]List1!$A:$D,4,FALSE)=0,"",VLOOKUP(C902,[4]List1!$A:$D,4,FALSE)),"")</f>
        <v>28</v>
      </c>
      <c r="AB902" s="565"/>
      <c r="AC902" s="570" t="str">
        <f>IFERROR(IF(VLOOKUP(C902,[1]List1!$A:$D,2,FALSE)="VYPRODÁNO",$V$9,IF(VLOOKUP(C902,[1]List1!$A:$D,2,FALSE)="DOCHÁZÍ",$V$3,VLOOKUP(C902,[1]List1!$A:$D,2,FALSE))),"OFFLINE!")</f>
        <v>SKLADEM</v>
      </c>
      <c r="AD902" s="570" t="str">
        <f ca="1">IF(AP902="NE",$V$10,IF(AC902=$V$3,IF(AQ902&lt;1,$V$8,$V$2&amp;" "&amp;AQ902&amp;" "&amp;$V$1),IF(AC902="SKLADEM",$V$6,IFERROR(IF(OR(AC902-TODAY()&gt;45,VLOOKUP(C902,[1]List1!$A:$E,4,FALSE)=0),AC902,DAY(AC902)&amp;"."&amp;MONTH(AC902)&amp;"."&amp;YEAR(AC902)&amp;" "&amp;$V$4&amp;VLOOKUP(C902,[1]List1!$A:$E,4,FALSE)&amp;" "&amp;$V$1),AC902))))</f>
        <v>SKLADEM</v>
      </c>
      <c r="AE902" s="581" t="str">
        <f t="shared" ca="1" si="2797"/>
        <v>SKLADEM</v>
      </c>
      <c r="AF902" s="584">
        <f t="shared" si="2798"/>
        <v>0</v>
      </c>
      <c r="AG902" s="585">
        <f t="shared" si="2799"/>
        <v>0</v>
      </c>
      <c r="AH902" s="583">
        <f t="shared" si="2800"/>
        <v>0</v>
      </c>
      <c r="AI902" s="582">
        <f t="shared" si="2801"/>
        <v>0</v>
      </c>
      <c r="AJ902" s="569">
        <f t="shared" si="2802"/>
        <v>0</v>
      </c>
      <c r="AK902" s="569" t="str">
        <f t="shared" si="2803"/>
        <v/>
      </c>
      <c r="AL902" s="569" t="str">
        <f t="shared" si="2804"/>
        <v/>
      </c>
      <c r="AM902" s="569">
        <f t="shared" si="2805"/>
        <v>0</v>
      </c>
      <c r="AN902" s="581">
        <f t="shared" si="2806"/>
        <v>0</v>
      </c>
      <c r="AO902" s="623"/>
      <c r="AP902" s="625" t="str">
        <f t="shared" si="2772"/>
        <v/>
      </c>
      <c r="AQ902" s="625" t="str">
        <f>IF(AC902=$V$3,IF(VLOOKUP(C902,[1]List1!$A:$E,5,FALSE)=0,1,VLOOKUP(C902,[1]List1!$A:$E,5,FALSE)),"")</f>
        <v/>
      </c>
      <c r="AR902" s="629" t="str">
        <f t="shared" si="2773"/>
        <v/>
      </c>
      <c r="AS902" s="630" t="str">
        <f t="shared" si="2743"/>
        <v/>
      </c>
      <c r="AT902" s="625" t="str">
        <f t="shared" si="2774"/>
        <v/>
      </c>
      <c r="AU902" s="625" t="e">
        <f t="shared" si="2775"/>
        <v>#N/A</v>
      </c>
      <c r="AV902" s="625" t="e">
        <f t="shared" si="2776"/>
        <v>#N/A</v>
      </c>
      <c r="AW902" s="631"/>
      <c r="AX902" s="631">
        <f>IF(AND('General price list'!$J902="F4",'General price list'!$AB902+0&gt;0),1,0)</f>
        <v>0</v>
      </c>
      <c r="AY902" s="631">
        <f t="shared" si="2777"/>
        <v>1</v>
      </c>
      <c r="AZ902" s="631">
        <f t="shared" si="2778"/>
        <v>0</v>
      </c>
    </row>
    <row r="903" spans="1:52" ht="15.75" customHeight="1">
      <c r="A903" s="639" t="str">
        <f>Kat.!C903</f>
        <v/>
      </c>
      <c r="B903" s="640">
        <f>IF(AND('General price list'!$J903="F4",$AI$1=FALSE),0,IF(AC903="SKLADEM",1,IF(AC903=$V$3,1,0)))</f>
        <v>1</v>
      </c>
      <c r="C903" s="641" t="s">
        <v>1670</v>
      </c>
      <c r="D903" s="642" t="s">
        <v>1080</v>
      </c>
      <c r="E903" s="643" t="s">
        <v>12747</v>
      </c>
      <c r="F903" s="771">
        <f>IFERROR(VLOOKUP(C903,[2]List1!$A:$D,3,FALSE),"NEUVEDENO!")</f>
        <v>1499</v>
      </c>
      <c r="G903" s="768">
        <f t="shared" si="2793"/>
        <v>1499</v>
      </c>
      <c r="H903" s="765">
        <f t="shared" si="2794"/>
        <v>63.675328040507537</v>
      </c>
      <c r="I903" s="644">
        <f>IFERROR(VLOOKUP(C903,[2]List1!$A:$D,4,FALSE),"NEUVEDENO!")</f>
        <v>2</v>
      </c>
      <c r="J903" s="733" t="s">
        <v>113</v>
      </c>
      <c r="K903" s="645" t="s">
        <v>20</v>
      </c>
      <c r="L903" s="645" t="s">
        <v>20</v>
      </c>
      <c r="M903" s="645" t="s">
        <v>21</v>
      </c>
      <c r="N903" s="645">
        <f>IFERROR(VLOOKUP(C903,[3]List1!$A:$D,4,FALSE),"N/A!")</f>
        <v>5.6629124999999995E-2</v>
      </c>
      <c r="O903" s="645">
        <f>IFERROR(VLOOKUP(C903,[3]List1!$A:$D,3,FALSE),"N/A!")</f>
        <v>1900</v>
      </c>
      <c r="P903" s="645">
        <f>IFERROR(VLOOKUP(C903,[3]List1!$A:$D,2,FALSE),"N/A!")</f>
        <v>14100</v>
      </c>
      <c r="Q903" s="645" t="s">
        <v>11343</v>
      </c>
      <c r="R903" s="645" t="s">
        <v>20</v>
      </c>
      <c r="S903" s="645" t="str">
        <f>IF($W$17=$AF$1,"design",IFERROR(VLOOKUP("design",Jazyky_ceník!$A:$Q,MATCH($W$17,Jazyky_ceník!$A$1:$Q$1,0),FALSE),"!!!"))</f>
        <v>design</v>
      </c>
      <c r="T903" s="645">
        <v>20</v>
      </c>
      <c r="U903" s="645">
        <v>40</v>
      </c>
      <c r="V903" s="645"/>
      <c r="W903" s="645" t="str">
        <f>IFERROR(IF(AND($AB903&gt;=0.1*$AA903,MOD($AB903,$AA903)&gt;=($AA903-(0.1*$AA903))),IF($W$17=$AF$1,"Zvažte možnost doobjednání ještě "&amp;Tabulka1[[#This Row],[VKPAL]]-MOD(AB903,AA903)&amp;" VK do plné palety.",VLOOKUP("Zvažte možnost doobjednání ještě ",Jazyky_ceník!A:Q,MATCH($W$17,Jazyky_ceník!$A$1:$Q$1,0),FALSE)&amp;Tabulka1[[#This Row],[VKPAL]]-MOD(AB903,AA903)&amp;VLOOKUP(" VK do plné palety.",Jazyky_ceník!A:Q,MATCH($W$17,Jazyky_ceník!$A$1:$Q$1,0),FALSE)),IFERROR(IF(AND(NOT(MOD($AB903,$AA903)=0),$AB903&gt;=0.9*$AA903,MOD($AB903,$AA903)&lt;=0.1*$AA903),IF($W$17=$AF$1,"Zvažte možnost optimalizace objednaného množství podle počtu VK na paletě ==&gt;",VLOOKUP("Zvažte možnost optimalizace objednaného množství podle počtu VK na paletě ==&gt;",Jazyky_ceník!A:Q,MATCH($W$17,Jazyky_ceník!$A$1:$Q$1,0),FALSE)),VLOOKUP('General price list'!$C903,Popisy!A:M,MATCH($W$17,Popisy!$A$7:$M$7,0),FALSE)),"---------------")),IFERROR(VLOOKUP('General price list'!$C903,Popisy!A:M,MATCH($W$17,Popisy!$A$7:$M$7,0),FALSE),"---------------"))</f>
        <v>silver glitter bouquet up to eject silver glitter</v>
      </c>
      <c r="X903" s="645" t="str">
        <f t="shared" si="2795"/>
        <v/>
      </c>
      <c r="Y903" s="645" t="str">
        <f t="shared" si="2796"/>
        <v/>
      </c>
      <c r="Z903" s="645" t="str">
        <f>HYPERLINK("https://www.klasekpyrotechnics.cz/cs503x15")</f>
        <v>https://www.klasekpyrotechnics.cz/cs503x15</v>
      </c>
      <c r="AA903" s="645">
        <f>IFERROR(IF(VLOOKUP(C903,[4]List1!$A:$D,4,FALSE)=0,"",VLOOKUP(C903,[4]List1!$A:$D,4,FALSE)),"")</f>
        <v>28</v>
      </c>
      <c r="AB903" s="646"/>
      <c r="AC903" s="647" t="str">
        <f>IFERROR(IF(VLOOKUP(C903,[1]List1!$A:$D,2,FALSE)="VYPRODÁNO",$V$9,IF(VLOOKUP(C903,[1]List1!$A:$D,2,FALSE)="DOCHÁZÍ",$V$3,VLOOKUP(C903,[1]List1!$A:$D,2,FALSE))),"OFFLINE!")</f>
        <v>SKLADEM</v>
      </c>
      <c r="AD903" s="647" t="str">
        <f ca="1">IF(AP903="NE",$V$10,IF(AC903=$V$3,IF(AQ903&lt;1,$V$8,$V$2&amp;" "&amp;AQ903&amp;" "&amp;$V$1),IF(AC903="SKLADEM",$V$6,IFERROR(IF(OR(AC903-TODAY()&gt;45,VLOOKUP(C903,[1]List1!$A:$E,4,FALSE)=0),AC903,DAY(AC903)&amp;"."&amp;MONTH(AC903)&amp;"."&amp;YEAR(AC903)&amp;" "&amp;$V$4&amp;VLOOKUP(C903,[1]List1!$A:$E,4,FALSE)&amp;" "&amp;$V$1),AC903))))</f>
        <v>SKLADEM</v>
      </c>
      <c r="AE903" s="645" t="str">
        <f t="shared" ca="1" si="2797"/>
        <v>SKLADEM</v>
      </c>
      <c r="AF903" s="648">
        <f t="shared" si="2798"/>
        <v>0</v>
      </c>
      <c r="AG903" s="649">
        <f t="shared" si="2799"/>
        <v>0</v>
      </c>
      <c r="AH903" s="650">
        <f t="shared" si="2800"/>
        <v>0</v>
      </c>
      <c r="AI903" s="645">
        <f t="shared" si="2801"/>
        <v>0</v>
      </c>
      <c r="AJ903" s="645">
        <f t="shared" si="2802"/>
        <v>0</v>
      </c>
      <c r="AK903" s="645" t="str">
        <f t="shared" si="2803"/>
        <v/>
      </c>
      <c r="AL903" s="645" t="str">
        <f t="shared" si="2804"/>
        <v/>
      </c>
      <c r="AM903" s="645">
        <f t="shared" si="2805"/>
        <v>0</v>
      </c>
      <c r="AN903" s="651">
        <f t="shared" si="2806"/>
        <v>0</v>
      </c>
      <c r="AO903" s="623"/>
      <c r="AP903" s="625" t="str">
        <f t="shared" si="2772"/>
        <v/>
      </c>
      <c r="AQ903" s="625" t="str">
        <f>IF(AC903=$V$3,IF(VLOOKUP(C903,[1]List1!$A:$E,5,FALSE)=0,1,VLOOKUP(C903,[1]List1!$A:$E,5,FALSE)),"")</f>
        <v/>
      </c>
      <c r="AR903" s="629" t="str">
        <f t="shared" si="2773"/>
        <v/>
      </c>
      <c r="AS903" s="630" t="str">
        <f t="shared" si="2743"/>
        <v/>
      </c>
      <c r="AT903" s="625" t="str">
        <f t="shared" si="2774"/>
        <v/>
      </c>
      <c r="AU903" s="625" t="e">
        <f t="shared" si="2775"/>
        <v>#N/A</v>
      </c>
      <c r="AV903" s="625" t="e">
        <f t="shared" si="2776"/>
        <v>#N/A</v>
      </c>
      <c r="AW903" s="631"/>
      <c r="AX903" s="631">
        <f>IF(AND('General price list'!$J903="F4",'General price list'!$AB903+0&gt;0),1,0)</f>
        <v>0</v>
      </c>
      <c r="AY903" s="631">
        <f t="shared" si="2777"/>
        <v>1</v>
      </c>
      <c r="AZ903" s="631">
        <f t="shared" si="2778"/>
        <v>0</v>
      </c>
    </row>
    <row r="904" spans="1:52" ht="15" customHeight="1">
      <c r="A904" s="621" t="str">
        <f>Kat.!C904</f>
        <v>×</v>
      </c>
      <c r="B904" s="566">
        <f>IF(AND('General price list'!$J904="F4",$AI$1=FALSE),0,IF(AC904="SKLADEM",1,IF(AC904=$V$3,1,0)))</f>
        <v>1</v>
      </c>
      <c r="C904" s="567" t="s">
        <v>1680</v>
      </c>
      <c r="D904" s="568" t="s">
        <v>1080</v>
      </c>
      <c r="E904" s="763" t="s">
        <v>12747</v>
      </c>
      <c r="F904" s="772">
        <f>IFERROR(VLOOKUP(C904,[2]List1!$A:$D,3,FALSE),"NEUVEDENO!")</f>
        <v>1499</v>
      </c>
      <c r="G904" s="769">
        <f t="shared" si="2793"/>
        <v>1499</v>
      </c>
      <c r="H904" s="766">
        <f t="shared" si="2794"/>
        <v>63.675328040507537</v>
      </c>
      <c r="I904" s="764">
        <f>IFERROR(VLOOKUP(C904,[2]List1!$A:$D,4,FALSE),"NEUVEDENO!")</f>
        <v>2</v>
      </c>
      <c r="J904" s="732" t="s">
        <v>113</v>
      </c>
      <c r="K904" s="569" t="s">
        <v>20</v>
      </c>
      <c r="L904" s="569" t="s">
        <v>20</v>
      </c>
      <c r="M904" s="569" t="s">
        <v>114</v>
      </c>
      <c r="N904" s="569">
        <f>IFERROR(VLOOKUP(C904,[3]List1!$A:$D,4,FALSE),"N/A!")</f>
        <v>5.6629124999999995E-2</v>
      </c>
      <c r="O904" s="569">
        <f>IFERROR(VLOOKUP(C904,[3]List1!$A:$D,3,FALSE),"N/A!")</f>
        <v>1900</v>
      </c>
      <c r="P904" s="569">
        <f>IFERROR(VLOOKUP(C904,[3]List1!$A:$D,2,FALSE),"N/A!")</f>
        <v>14500</v>
      </c>
      <c r="Q904" s="569" t="s">
        <v>12104</v>
      </c>
      <c r="R904" s="569" t="s">
        <v>20</v>
      </c>
      <c r="S904" s="569" t="str">
        <f>IF($W$17=$AF$1,"design",IFERROR(VLOOKUP("design",Jazyky_ceník!$A:$Q,MATCH($W$17,Jazyky_ceník!$A$1:$Q$1,0),FALSE),"!!!"))</f>
        <v>design</v>
      </c>
      <c r="T904" s="569">
        <v>10</v>
      </c>
      <c r="U904" s="569">
        <v>40</v>
      </c>
      <c r="V904" s="569">
        <v>30</v>
      </c>
      <c r="W904" s="569" t="str">
        <f>IFERROR(IF(AND($AB904&gt;=0.1*$AA904,MOD($AB904,$AA904)&gt;=($AA904-(0.1*$AA904))),IF($W$17=$AF$1,"Zvažte možnost doobjednání ještě "&amp;Tabulka1[[#This Row],[VKPAL]]-MOD(AB904,AA904)&amp;" VK do plné palety.",VLOOKUP("Zvažte možnost doobjednání ještě ",Jazyky_ceník!A:Q,MATCH($W$17,Jazyky_ceník!$A$1:$Q$1,0),FALSE)&amp;Tabulka1[[#This Row],[VKPAL]]-MOD(AB904,AA904)&amp;VLOOKUP(" VK do plné palety.",Jazyky_ceník!A:Q,MATCH($W$17,Jazyky_ceník!$A$1:$Q$1,0),FALSE)),IFERROR(IF(AND(NOT(MOD($AB904,$AA904)=0),$AB904&gt;=0.9*$AA904,MOD($AB904,$AA904)&lt;=0.1*$AA904),IF($W$17=$AF$1,"Zvažte možnost optimalizace objednaného množství podle počtu VK na paletě ==&gt;",VLOOKUP("Zvažte možnost optimalizace objednaného množství podle počtu VK na paletě ==&gt;",Jazyky_ceník!A:Q,MATCH($W$17,Jazyky_ceník!$A$1:$Q$1,0),FALSE)),VLOOKUP('General price list'!$C904,Popisy!A:M,MATCH($W$17,Popisy!$A$7:$M$7,0),FALSE)),"---------------")),IFERROR(VLOOKUP('General price list'!$C904,Popisy!A:M,MATCH($W$17,Popisy!$A$7:$M$7,0),FALSE),"---------------"))</f>
        <v xml:space="preserve">red crackling coconut+white strobe </v>
      </c>
      <c r="X904" s="569" t="str">
        <f t="shared" si="2795"/>
        <v/>
      </c>
      <c r="Y904" s="569" t="str">
        <f t="shared" si="2796"/>
        <v/>
      </c>
      <c r="Z904" s="569" t="str">
        <f>HYPERLINK("https://www.klasekpyrotechnics.cz/cs503x19")</f>
        <v>https://www.klasekpyrotechnics.cz/cs503x19</v>
      </c>
      <c r="AA904" s="569">
        <f>IFERROR(IF(VLOOKUP(C904,[4]List1!$A:$D,4,FALSE)=0,"",VLOOKUP(C904,[4]List1!$A:$D,4,FALSE)),"")</f>
        <v>28</v>
      </c>
      <c r="AB904" s="565"/>
      <c r="AC904" s="570" t="str">
        <f>IFERROR(IF(VLOOKUP(C904,[1]List1!$A:$D,2,FALSE)="VYPRODÁNO",$V$9,IF(VLOOKUP(C904,[1]List1!$A:$D,2,FALSE)="DOCHÁZÍ",$V$3,VLOOKUP(C904,[1]List1!$A:$D,2,FALSE))),"OFFLINE!")</f>
        <v>SKLADEM</v>
      </c>
      <c r="AD904" s="570" t="str">
        <f ca="1">IF(AP904="NE",$V$10,IF(AC904=$V$3,IF(AQ904&lt;1,$V$8,$V$2&amp;" "&amp;AQ904&amp;" "&amp;$V$1),IF(AC904="SKLADEM",$V$6,IFERROR(IF(OR(AC904-TODAY()&gt;45,VLOOKUP(C904,[1]List1!$A:$E,4,FALSE)=0),AC904,DAY(AC904)&amp;"."&amp;MONTH(AC904)&amp;"."&amp;YEAR(AC904)&amp;" "&amp;$V$4&amp;VLOOKUP(C904,[1]List1!$A:$E,4,FALSE)&amp;" "&amp;$V$1),AC904))))</f>
        <v>SKLADEM</v>
      </c>
      <c r="AE904" s="581" t="str">
        <f t="shared" ca="1" si="2797"/>
        <v>SKLADEM</v>
      </c>
      <c r="AF904" s="584">
        <f t="shared" si="2798"/>
        <v>0</v>
      </c>
      <c r="AG904" s="585">
        <f t="shared" si="2799"/>
        <v>0</v>
      </c>
      <c r="AH904" s="583">
        <f t="shared" si="2800"/>
        <v>0</v>
      </c>
      <c r="AI904" s="582">
        <f t="shared" si="2801"/>
        <v>0</v>
      </c>
      <c r="AJ904" s="569">
        <f t="shared" si="2802"/>
        <v>0</v>
      </c>
      <c r="AK904" s="569" t="str">
        <f t="shared" si="2803"/>
        <v/>
      </c>
      <c r="AL904" s="569">
        <f t="shared" si="2804"/>
        <v>0</v>
      </c>
      <c r="AM904" s="569" t="str">
        <f t="shared" si="2805"/>
        <v/>
      </c>
      <c r="AN904" s="581">
        <f t="shared" si="2806"/>
        <v>0</v>
      </c>
      <c r="AO904" s="623"/>
      <c r="AP904" s="632" t="str">
        <f t="shared" si="2772"/>
        <v/>
      </c>
      <c r="AQ904" s="633" t="str">
        <f>IF(AC904=$V$3,IF(VLOOKUP(C904,[1]List1!$A:$E,5,FALSE)=0,1,VLOOKUP(C904,[1]List1!$A:$E,5,FALSE)),"")</f>
        <v/>
      </c>
      <c r="AR904" s="625" t="str">
        <f t="shared" si="2773"/>
        <v/>
      </c>
      <c r="AS904" s="634" t="str">
        <f t="shared" si="2743"/>
        <v/>
      </c>
      <c r="AT904" s="625" t="str">
        <f t="shared" si="2774"/>
        <v/>
      </c>
      <c r="AU904" s="638" t="e">
        <f t="shared" si="2775"/>
        <v>#N/A</v>
      </c>
      <c r="AV904" s="625" t="e">
        <f t="shared" si="2776"/>
        <v>#N/A</v>
      </c>
      <c r="AX904" s="625">
        <f>IF(AND('General price list'!$J904="F4",'General price list'!$AB904+0&gt;0),1,0)</f>
        <v>0</v>
      </c>
      <c r="AY904" s="625">
        <f t="shared" si="2777"/>
        <v>1</v>
      </c>
      <c r="AZ904" s="625">
        <f t="shared" si="2778"/>
        <v>0</v>
      </c>
    </row>
    <row r="905" spans="1:52" ht="15.75" customHeight="1">
      <c r="A905" s="639" t="str">
        <f>Kat.!C905</f>
        <v>×</v>
      </c>
      <c r="B905" s="640">
        <f>IF(AND('General price list'!$J905="F4",$AI$1=FALSE),0,IF(AC905="SKLADEM",1,IF(AC905=$V$3,1,0)))</f>
        <v>1</v>
      </c>
      <c r="C905" s="641" t="s">
        <v>1696</v>
      </c>
      <c r="D905" s="642" t="s">
        <v>1080</v>
      </c>
      <c r="E905" s="643" t="s">
        <v>12747</v>
      </c>
      <c r="F905" s="771">
        <f>IFERROR(VLOOKUP(C905,[2]List1!$A:$D,3,FALSE),"NEUVEDENO!")</f>
        <v>1499</v>
      </c>
      <c r="G905" s="768">
        <f t="shared" si="2793"/>
        <v>1499</v>
      </c>
      <c r="H905" s="765">
        <f t="shared" si="2794"/>
        <v>63.675328040507537</v>
      </c>
      <c r="I905" s="644">
        <f>IFERROR(VLOOKUP(C905,[2]List1!$A:$D,4,FALSE),"NEUVEDENO!")</f>
        <v>2</v>
      </c>
      <c r="J905" s="733" t="s">
        <v>113</v>
      </c>
      <c r="K905" s="645" t="s">
        <v>20</v>
      </c>
      <c r="L905" s="645"/>
      <c r="M905" s="645" t="s">
        <v>114</v>
      </c>
      <c r="N905" s="645">
        <f>IFERROR(VLOOKUP(C905,[3]List1!$A:$D,4,FALSE),"N/A!")</f>
        <v>5.6629124999999995E-2</v>
      </c>
      <c r="O905" s="645">
        <f>IFERROR(VLOOKUP(C905,[3]List1!$A:$D,3,FALSE),"N/A!")</f>
        <v>1900</v>
      </c>
      <c r="P905" s="645">
        <f>IFERROR(VLOOKUP(C905,[3]List1!$A:$D,2,FALSE),"N/A!")</f>
        <v>14900</v>
      </c>
      <c r="Q905" s="645" t="s">
        <v>12104</v>
      </c>
      <c r="R905" s="645" t="s">
        <v>20</v>
      </c>
      <c r="S905" s="645" t="str">
        <f>IF($W$17=$AF$1,"design",IFERROR(VLOOKUP("design",Jazyky_ceník!$A:$Q,MATCH($W$17,Jazyky_ceník!$A$1:$Q$1,0),FALSE),"!!!"))</f>
        <v>design</v>
      </c>
      <c r="T905" s="645">
        <v>10</v>
      </c>
      <c r="U905" s="645">
        <v>40</v>
      </c>
      <c r="V905" s="645">
        <v>30</v>
      </c>
      <c r="W905" s="645" t="str">
        <f>IFERROR(IF(AND($AB905&gt;=0.1*$AA905,MOD($AB905,$AA905)&gt;=($AA905-(0.1*$AA905))),IF($W$17=$AF$1,"Zvažte možnost doobjednání ještě "&amp;Tabulka1[[#This Row],[VKPAL]]-MOD(AB905,AA905)&amp;" VK do plné palety.",VLOOKUP("Zvažte možnost doobjednání ještě ",Jazyky_ceník!A:Q,MATCH($W$17,Jazyky_ceník!$A$1:$Q$1,0),FALSE)&amp;Tabulka1[[#This Row],[VKPAL]]-MOD(AB905,AA905)&amp;VLOOKUP(" VK do plné palety.",Jazyky_ceník!A:Q,MATCH($W$17,Jazyky_ceník!$A$1:$Q$1,0),FALSE)),IFERROR(IF(AND(NOT(MOD($AB905,$AA905)=0),$AB905&gt;=0.9*$AA905,MOD($AB905,$AA905)&lt;=0.1*$AA905),IF($W$17=$AF$1,"Zvažte možnost optimalizace objednaného množství podle počtu VK na paletě ==&gt;",VLOOKUP("Zvažte možnost optimalizace objednaného množství podle počtu VK na paletě ==&gt;",Jazyky_ceník!A:Q,MATCH($W$17,Jazyky_ceník!$A$1:$Q$1,0),FALSE)),VLOOKUP('General price list'!$C905,Popisy!A:M,MATCH($W$17,Popisy!$A$7:$M$7,0),FALSE)),"---------------")),IFERROR(VLOOKUP('General price list'!$C905,Popisy!A:M,MATCH($W$17,Popisy!$A$7:$M$7,0),FALSE),"---------------"))</f>
        <v xml:space="preserve">pink+time rain </v>
      </c>
      <c r="X905" s="645" t="str">
        <f t="shared" si="2795"/>
        <v/>
      </c>
      <c r="Y905" s="645" t="str">
        <f t="shared" si="2796"/>
        <v/>
      </c>
      <c r="Z905" s="645" t="str">
        <f>HYPERLINK("https://www.klasekpyrotechnics.cz/cs503x26")</f>
        <v>https://www.klasekpyrotechnics.cz/cs503x26</v>
      </c>
      <c r="AA905" s="645">
        <f>IFERROR(IF(VLOOKUP(C905,[4]List1!$A:$D,4,FALSE)=0,"",VLOOKUP(C905,[4]List1!$A:$D,4,FALSE)),"")</f>
        <v>28</v>
      </c>
      <c r="AB905" s="646"/>
      <c r="AC905" s="647" t="str">
        <f>IFERROR(IF(VLOOKUP(C905,[1]List1!$A:$D,2,FALSE)="VYPRODÁNO",$V$9,IF(VLOOKUP(C905,[1]List1!$A:$D,2,FALSE)="DOCHÁZÍ",$V$3,VLOOKUP(C905,[1]List1!$A:$D,2,FALSE))),"OFFLINE!")</f>
        <v>SKLADEM</v>
      </c>
      <c r="AD905" s="647" t="str">
        <f ca="1">IF(AP905="NE",$V$10,IF(AC905=$V$3,IF(AQ905&lt;1,$V$8,$V$2&amp;" "&amp;AQ905&amp;" "&amp;$V$1),IF(AC905="SKLADEM",$V$6,IFERROR(IF(OR(AC905-TODAY()&gt;45,VLOOKUP(C905,[1]List1!$A:$E,4,FALSE)=0),AC905,DAY(AC905)&amp;"."&amp;MONTH(AC905)&amp;"."&amp;YEAR(AC905)&amp;" "&amp;$V$4&amp;VLOOKUP(C905,[1]List1!$A:$E,4,FALSE)&amp;" "&amp;$V$1),AC905))))</f>
        <v>SKLADEM</v>
      </c>
      <c r="AE905" s="645" t="str">
        <f t="shared" ca="1" si="2797"/>
        <v>SKLADEM</v>
      </c>
      <c r="AF905" s="648">
        <f t="shared" si="2798"/>
        <v>0</v>
      </c>
      <c r="AG905" s="649">
        <f t="shared" si="2799"/>
        <v>0</v>
      </c>
      <c r="AH905" s="650">
        <f t="shared" si="2800"/>
        <v>0</v>
      </c>
      <c r="AI905" s="645">
        <f t="shared" si="2801"/>
        <v>0</v>
      </c>
      <c r="AJ905" s="645">
        <f t="shared" si="2802"/>
        <v>0</v>
      </c>
      <c r="AK905" s="645" t="str">
        <f t="shared" si="2803"/>
        <v/>
      </c>
      <c r="AL905" s="645">
        <f t="shared" si="2804"/>
        <v>0</v>
      </c>
      <c r="AM905" s="645" t="str">
        <f t="shared" si="2805"/>
        <v/>
      </c>
      <c r="AN905" s="651">
        <f t="shared" si="2806"/>
        <v>0</v>
      </c>
      <c r="AO905" s="623"/>
      <c r="AP905" s="625" t="str">
        <f t="shared" si="2772"/>
        <v/>
      </c>
      <c r="AQ905" s="625" t="str">
        <f>IF(AC905=$V$3,IF(VLOOKUP(C905,[1]List1!$A:$E,5,FALSE)=0,1,VLOOKUP(C905,[1]List1!$A:$E,5,FALSE)),"")</f>
        <v/>
      </c>
      <c r="AR905" s="629" t="str">
        <f t="shared" si="2773"/>
        <v/>
      </c>
      <c r="AS905" s="630" t="str">
        <f t="shared" si="2743"/>
        <v/>
      </c>
      <c r="AT905" s="625" t="str">
        <f t="shared" si="2774"/>
        <v/>
      </c>
      <c r="AU905" s="625" t="e">
        <f t="shared" si="2775"/>
        <v>#N/A</v>
      </c>
      <c r="AV905" s="625" t="e">
        <f t="shared" si="2776"/>
        <v>#N/A</v>
      </c>
      <c r="AW905" s="631"/>
      <c r="AX905" s="631">
        <f>IF(AND('General price list'!$J905="F4",'General price list'!$AB905+0&gt;0),1,0)</f>
        <v>0</v>
      </c>
      <c r="AY905" s="631">
        <f t="shared" si="2777"/>
        <v>1</v>
      </c>
      <c r="AZ905" s="631">
        <f t="shared" si="2778"/>
        <v>0</v>
      </c>
    </row>
    <row r="906" spans="1:52" ht="15" customHeight="1">
      <c r="A906" s="621" t="str">
        <f>Kat.!C906</f>
        <v/>
      </c>
      <c r="B906" s="566">
        <f>IF(AND('General price list'!$J906="F4",$AI$1=FALSE),0,IF(AC906="SKLADEM",1,IF(AC906=$V$3,1,0)))</f>
        <v>1</v>
      </c>
      <c r="C906" s="567" t="s">
        <v>1708</v>
      </c>
      <c r="D906" s="568" t="s">
        <v>1080</v>
      </c>
      <c r="E906" s="763" t="s">
        <v>12747</v>
      </c>
      <c r="F906" s="772">
        <f>IFERROR(VLOOKUP(C906,[2]List1!$A:$D,3,FALSE),"NEUVEDENO!")</f>
        <v>1499</v>
      </c>
      <c r="G906" s="769">
        <f t="shared" si="2793"/>
        <v>1499</v>
      </c>
      <c r="H906" s="766">
        <f t="shared" si="2794"/>
        <v>63.675328040507537</v>
      </c>
      <c r="I906" s="764">
        <f>IFERROR(VLOOKUP(C906,[2]List1!$A:$D,4,FALSE),"NEUVEDENO!")</f>
        <v>2</v>
      </c>
      <c r="J906" s="732" t="s">
        <v>113</v>
      </c>
      <c r="K906" s="569" t="s">
        <v>20</v>
      </c>
      <c r="L906" s="569"/>
      <c r="M906" s="569" t="s">
        <v>21</v>
      </c>
      <c r="N906" s="569">
        <f>IFERROR(VLOOKUP(C906,[3]List1!$A:$D,4,FALSE),"N/A!")</f>
        <v>5.6629124999999995E-2</v>
      </c>
      <c r="O906" s="569">
        <f>IFERROR(VLOOKUP(C906,[3]List1!$A:$D,3,FALSE),"N/A!")</f>
        <v>1900</v>
      </c>
      <c r="P906" s="569">
        <f>IFERROR(VLOOKUP(C906,[3]List1!$A:$D,2,FALSE),"N/A!")</f>
        <v>14100</v>
      </c>
      <c r="Q906" s="569" t="s">
        <v>11806</v>
      </c>
      <c r="R906" s="569"/>
      <c r="S906" s="569" t="str">
        <f>IF($W$17=$AF$1,"design",IFERROR(VLOOKUP("design",Jazyky_ceník!$A:$Q,MATCH($W$17,Jazyky_ceník!$A$1:$Q$1,0),FALSE),"!!!"))</f>
        <v>design</v>
      </c>
      <c r="T906" s="569">
        <v>10</v>
      </c>
      <c r="U906" s="569">
        <v>40</v>
      </c>
      <c r="V906" s="569">
        <v>30</v>
      </c>
      <c r="W906" s="569" t="str">
        <f>IFERROR(IF(AND($AB906&gt;=0.1*$AA906,MOD($AB906,$AA906)&gt;=($AA906-(0.1*$AA906))),IF($W$17=$AF$1,"Zvažte možnost doobjednání ještě "&amp;Tabulka1[[#This Row],[VKPAL]]-MOD(AB906,AA906)&amp;" VK do plné palety.",VLOOKUP("Zvažte možnost doobjednání ještě ",Jazyky_ceník!A:Q,MATCH($W$17,Jazyky_ceník!$A$1:$Q$1,0),FALSE)&amp;Tabulka1[[#This Row],[VKPAL]]-MOD(AB906,AA906)&amp;VLOOKUP(" VK do plné palety.",Jazyky_ceník!A:Q,MATCH($W$17,Jazyky_ceník!$A$1:$Q$1,0),FALSE)),IFERROR(IF(AND(NOT(MOD($AB906,$AA906)=0),$AB906&gt;=0.9*$AA906,MOD($AB906,$AA906)&lt;=0.1*$AA906),IF($W$17=$AF$1,"Zvažte možnost optimalizace objednaného množství podle počtu VK na paletě ==&gt;",VLOOKUP("Zvažte možnost optimalizace objednaného množství podle počtu VK na paletě ==&gt;",Jazyky_ceník!A:Q,MATCH($W$17,Jazyky_ceník!$A$1:$Q$1,0),FALSE)),VLOOKUP('General price list'!$C906,Popisy!A:M,MATCH($W$17,Popisy!$A$7:$M$7,0),FALSE)),"---------------")),IFERROR(VLOOKUP('General price list'!$C906,Popisy!A:M,MATCH($W$17,Popisy!$A$7:$M$7,0),FALSE),"---------------"))</f>
        <v>blue mine tail up to red comet star</v>
      </c>
      <c r="X906" s="569" t="str">
        <f t="shared" si="2795"/>
        <v/>
      </c>
      <c r="Y906" s="569" t="str">
        <f t="shared" si="2796"/>
        <v/>
      </c>
      <c r="Z906" s="569" t="str">
        <f>HYPERLINK("https://www.klasekpyrotechnics.cz/cs503x33")</f>
        <v>https://www.klasekpyrotechnics.cz/cs503x33</v>
      </c>
      <c r="AA906" s="569">
        <f>IFERROR(IF(VLOOKUP(C906,[4]List1!$A:$D,4,FALSE)=0,"",VLOOKUP(C906,[4]List1!$A:$D,4,FALSE)),"")</f>
        <v>28</v>
      </c>
      <c r="AB906" s="565"/>
      <c r="AC906" s="570" t="str">
        <f>IFERROR(IF(VLOOKUP(C906,[1]List1!$A:$D,2,FALSE)="VYPRODÁNO",$V$9,IF(VLOOKUP(C906,[1]List1!$A:$D,2,FALSE)="DOCHÁZÍ",$V$3,VLOOKUP(C906,[1]List1!$A:$D,2,FALSE))),"OFFLINE!")</f>
        <v>SKLADEM</v>
      </c>
      <c r="AD906" s="570" t="str">
        <f ca="1">IF(AP906="NE",$V$10,IF(AC906=$V$3,IF(AQ906&lt;1,$V$8,$V$2&amp;" "&amp;AQ906&amp;" "&amp;$V$1),IF(AC906="SKLADEM",$V$6,IFERROR(IF(OR(AC906-TODAY()&gt;45,VLOOKUP(C906,[1]List1!$A:$E,4,FALSE)=0),AC906,DAY(AC906)&amp;"."&amp;MONTH(AC906)&amp;"."&amp;YEAR(AC906)&amp;" "&amp;$V$4&amp;VLOOKUP(C906,[1]List1!$A:$E,4,FALSE)&amp;" "&amp;$V$1),AC906))))</f>
        <v>SKLADEM</v>
      </c>
      <c r="AE906" s="581" t="str">
        <f t="shared" ca="1" si="2797"/>
        <v>SKLADEM</v>
      </c>
      <c r="AF906" s="584">
        <f t="shared" si="2798"/>
        <v>0</v>
      </c>
      <c r="AG906" s="585">
        <f t="shared" si="2799"/>
        <v>0</v>
      </c>
      <c r="AH906" s="583">
        <f t="shared" si="2800"/>
        <v>0</v>
      </c>
      <c r="AI906" s="582">
        <f t="shared" si="2801"/>
        <v>0</v>
      </c>
      <c r="AJ906" s="569">
        <f t="shared" si="2802"/>
        <v>0</v>
      </c>
      <c r="AK906" s="569" t="str">
        <f t="shared" si="2803"/>
        <v/>
      </c>
      <c r="AL906" s="569" t="str">
        <f t="shared" si="2804"/>
        <v/>
      </c>
      <c r="AM906" s="569">
        <f t="shared" si="2805"/>
        <v>0</v>
      </c>
      <c r="AN906" s="581">
        <f t="shared" si="2806"/>
        <v>0</v>
      </c>
      <c r="AO906" s="623"/>
      <c r="AP906" s="632" t="str">
        <f t="shared" si="2772"/>
        <v/>
      </c>
      <c r="AQ906" s="633" t="str">
        <f>IF(AC906=$V$3,IF(VLOOKUP(C906,[1]List1!$A:$E,5,FALSE)=0,1,VLOOKUP(C906,[1]List1!$A:$E,5,FALSE)),"")</f>
        <v/>
      </c>
      <c r="AR906" s="625" t="str">
        <f t="shared" si="2773"/>
        <v/>
      </c>
      <c r="AS906" s="634" t="str">
        <f t="shared" si="2743"/>
        <v/>
      </c>
      <c r="AT906" s="625" t="str">
        <f t="shared" si="2774"/>
        <v/>
      </c>
      <c r="AU906" s="638" t="e">
        <f t="shared" si="2775"/>
        <v>#N/A</v>
      </c>
      <c r="AV906" s="625" t="e">
        <f t="shared" si="2776"/>
        <v>#N/A</v>
      </c>
      <c r="AX906" s="625">
        <f>IF(AND('General price list'!$J906="F4",'General price list'!$AB906+0&gt;0),1,0)</f>
        <v>0</v>
      </c>
      <c r="AY906" s="625">
        <f t="shared" si="2777"/>
        <v>1</v>
      </c>
      <c r="AZ906" s="625">
        <f t="shared" si="2778"/>
        <v>0</v>
      </c>
    </row>
    <row r="907" spans="1:52" ht="15" customHeight="1">
      <c r="A907" s="639" t="str">
        <f>Kat.!C907</f>
        <v/>
      </c>
      <c r="B907" s="640">
        <f>IF(AND('General price list'!$J907="F4",$AI$1=FALSE),0,IF(AC907="SKLADEM",1,IF(AC907=$V$3,1,0)))</f>
        <v>1</v>
      </c>
      <c r="C907" s="641" t="s">
        <v>1716</v>
      </c>
      <c r="D907" s="642" t="s">
        <v>1080</v>
      </c>
      <c r="E907" s="643" t="s">
        <v>12747</v>
      </c>
      <c r="F907" s="773">
        <f>IFERROR(VLOOKUP(C907,[2]List1!$A:$D,3,FALSE),"NEUVEDENO!")</f>
        <v>1499</v>
      </c>
      <c r="G907" s="770">
        <f t="shared" si="2793"/>
        <v>1499</v>
      </c>
      <c r="H907" s="767">
        <f t="shared" si="2794"/>
        <v>63.675328040507537</v>
      </c>
      <c r="I907" s="644">
        <f>IFERROR(VLOOKUP(C907,[2]List1!$A:$D,4,FALSE),"NEUVEDENO!")</f>
        <v>2</v>
      </c>
      <c r="J907" s="733" t="s">
        <v>113</v>
      </c>
      <c r="K907" s="645" t="s">
        <v>20</v>
      </c>
      <c r="L907" s="645"/>
      <c r="M907" s="645" t="s">
        <v>114</v>
      </c>
      <c r="N907" s="645">
        <f>IFERROR(VLOOKUP(C907,[3]List1!$A:$D,4,FALSE),"N/A!")</f>
        <v>5.6629124999999995E-2</v>
      </c>
      <c r="O907" s="645">
        <f>IFERROR(VLOOKUP(C907,[3]List1!$A:$D,3,FALSE),"N/A!")</f>
        <v>1900</v>
      </c>
      <c r="P907" s="645">
        <f>IFERROR(VLOOKUP(C907,[3]List1!$A:$D,2,FALSE),"N/A!")</f>
        <v>14100</v>
      </c>
      <c r="Q907" s="645" t="s">
        <v>11806</v>
      </c>
      <c r="R907" s="645"/>
      <c r="S907" s="645" t="str">
        <f>IF($W$17=$AF$1,"design",IFERROR(VLOOKUP("design",Jazyky_ceník!$A:$Q,MATCH($W$17,Jazyky_ceník!$A$1:$Q$1,0),FALSE),"!!!"))</f>
        <v>design</v>
      </c>
      <c r="T907" s="645">
        <v>10</v>
      </c>
      <c r="U907" s="645">
        <v>40</v>
      </c>
      <c r="V907" s="645">
        <v>30</v>
      </c>
      <c r="W907" s="645" t="str">
        <f>IFERROR(IF(AND($AB907&gt;=0.1*$AA907,MOD($AB907,$AA907)&gt;=($AA907-(0.1*$AA907))),IF($W$17=$AF$1,"Zvažte možnost doobjednání ještě "&amp;Tabulka1[[#This Row],[VKPAL]]-MOD(AB907,AA907)&amp;" VK do plné palety.",VLOOKUP("Zvažte možnost doobjednání ještě ",Jazyky_ceník!A:Q,MATCH($W$17,Jazyky_ceník!$A$1:$Q$1,0),FALSE)&amp;Tabulka1[[#This Row],[VKPAL]]-MOD(AB907,AA907)&amp;VLOOKUP(" VK do plné palety.",Jazyky_ceník!A:Q,MATCH($W$17,Jazyky_ceník!$A$1:$Q$1,0),FALSE)),IFERROR(IF(AND(NOT(MOD($AB907,$AA907)=0),$AB907&gt;=0.9*$AA907,MOD($AB907,$AA907)&lt;=0.1*$AA907),IF($W$17=$AF$1,"Zvažte možnost optimalizace objednaného množství podle počtu VK na paletě ==&gt;",VLOOKUP("Zvažte možnost optimalizace objednaného množství podle počtu VK na paletě ==&gt;",Jazyky_ceník!A:Q,MATCH($W$17,Jazyky_ceník!$A$1:$Q$1,0),FALSE)),VLOOKUP('General price list'!$C907,Popisy!A:M,MATCH($W$17,Popisy!$A$7:$M$7,0),FALSE)),"---------------")),IFERROR(VLOOKUP('General price list'!$C907,Popisy!A:M,MATCH($W$17,Popisy!$A$7:$M$7,0),FALSE),"---------------"))</f>
        <v>brocade crown bouquet tup to brocade crown king</v>
      </c>
      <c r="X907" s="645" t="str">
        <f t="shared" si="2795"/>
        <v/>
      </c>
      <c r="Y907" s="645" t="str">
        <f t="shared" si="2796"/>
        <v/>
      </c>
      <c r="Z907" s="645" t="str">
        <f>HYPERLINK("https://www.klasekpyrotechnics.cz/cs503x38")</f>
        <v>https://www.klasekpyrotechnics.cz/cs503x38</v>
      </c>
      <c r="AA907" s="645">
        <f>IFERROR(IF(VLOOKUP(C907,[4]List1!$A:$D,4,FALSE)=0,"",VLOOKUP(C907,[4]List1!$A:$D,4,FALSE)),"")</f>
        <v>28</v>
      </c>
      <c r="AB907" s="646"/>
      <c r="AC907" s="647" t="str">
        <f>IFERROR(IF(VLOOKUP(C907,[1]List1!$A:$D,2,FALSE)="VYPRODÁNO",$V$9,IF(VLOOKUP(C907,[1]List1!$A:$D,2,FALSE)="DOCHÁZÍ",$V$3,VLOOKUP(C907,[1]List1!$A:$D,2,FALSE))),"OFFLINE!")</f>
        <v>SKLADEM</v>
      </c>
      <c r="AD907" s="647" t="str">
        <f ca="1">IF(AP907="NE",$V$10,IF(AC907=$V$3,IF(AQ907&lt;1,$V$8,$V$2&amp;" "&amp;AQ907&amp;" "&amp;$V$1),IF(AC907="SKLADEM",$V$6,IFERROR(IF(OR(AC907-TODAY()&gt;45,VLOOKUP(C907,[1]List1!$A:$E,4,FALSE)=0),AC907,DAY(AC907)&amp;"."&amp;MONTH(AC907)&amp;"."&amp;YEAR(AC907)&amp;" "&amp;$V$4&amp;VLOOKUP(C907,[1]List1!$A:$E,4,FALSE)&amp;" "&amp;$V$1),AC907))))</f>
        <v>SKLADEM</v>
      </c>
      <c r="AE907" s="645" t="str">
        <f t="shared" ca="1" si="2797"/>
        <v>SKLADEM</v>
      </c>
      <c r="AF907" s="648">
        <f t="shared" si="2798"/>
        <v>0</v>
      </c>
      <c r="AG907" s="649">
        <f t="shared" si="2799"/>
        <v>0</v>
      </c>
      <c r="AH907" s="650">
        <f t="shared" si="2800"/>
        <v>0</v>
      </c>
      <c r="AI907" s="645">
        <f t="shared" si="2801"/>
        <v>0</v>
      </c>
      <c r="AJ907" s="645">
        <f t="shared" si="2802"/>
        <v>0</v>
      </c>
      <c r="AK907" s="645" t="str">
        <f t="shared" si="2803"/>
        <v/>
      </c>
      <c r="AL907" s="645">
        <f t="shared" si="2804"/>
        <v>0</v>
      </c>
      <c r="AM907" s="645" t="str">
        <f t="shared" si="2805"/>
        <v/>
      </c>
      <c r="AN907" s="651">
        <f t="shared" si="2806"/>
        <v>0</v>
      </c>
      <c r="AO907" s="623"/>
      <c r="AP907" s="632" t="str">
        <f t="shared" si="2772"/>
        <v/>
      </c>
      <c r="AQ907" s="633" t="str">
        <f>IF(AC907=$V$3,IF(VLOOKUP(C907,[1]List1!$A:$E,5,FALSE)=0,1,VLOOKUP(C907,[1]List1!$A:$E,5,FALSE)),"")</f>
        <v/>
      </c>
      <c r="AR907" s="625" t="str">
        <f t="shared" si="2773"/>
        <v/>
      </c>
      <c r="AS907" s="634" t="str">
        <f t="shared" si="2743"/>
        <v/>
      </c>
      <c r="AT907" s="625" t="str">
        <f t="shared" si="2774"/>
        <v/>
      </c>
      <c r="AU907" s="638" t="e">
        <f t="shared" si="2775"/>
        <v>#N/A</v>
      </c>
      <c r="AV907" s="625" t="e">
        <f t="shared" si="2776"/>
        <v>#N/A</v>
      </c>
      <c r="AX907" s="625">
        <f>IF(AND('General price list'!$J907="F4",'General price list'!$AB907+0&gt;0),1,0)</f>
        <v>0</v>
      </c>
      <c r="AY907" s="625">
        <f t="shared" si="2777"/>
        <v>1</v>
      </c>
      <c r="AZ907" s="625">
        <f t="shared" si="2778"/>
        <v>0</v>
      </c>
    </row>
    <row r="908" spans="1:52" ht="15" customHeight="1">
      <c r="A908" s="751" t="str">
        <f>Kat.!C908</f>
        <v xml:space="preserve">           Kulové pumy 50 mm</v>
      </c>
      <c r="B908" s="751"/>
      <c r="C908" s="751"/>
      <c r="D908" s="751"/>
      <c r="E908" s="751"/>
      <c r="F908" s="751"/>
      <c r="G908" s="751"/>
      <c r="H908" s="751"/>
      <c r="I908" s="752"/>
      <c r="J908" s="752"/>
      <c r="K908" s="752" t="s">
        <v>20</v>
      </c>
      <c r="L908" s="753" t="s">
        <v>2818</v>
      </c>
      <c r="M908" s="752"/>
      <c r="N908" s="752"/>
      <c r="O908" s="752"/>
      <c r="P908" s="752"/>
      <c r="Q908" s="752"/>
      <c r="R908" s="752"/>
      <c r="S908" s="752"/>
      <c r="T908" s="752"/>
      <c r="U908" s="752"/>
      <c r="V908" s="752"/>
      <c r="W908" s="752"/>
      <c r="X908" s="752"/>
      <c r="Y908" s="752"/>
      <c r="Z908" s="752" t="s">
        <v>20</v>
      </c>
      <c r="AA908" s="752"/>
      <c r="AB908" s="752"/>
      <c r="AC908" s="754"/>
      <c r="AD908" s="752"/>
      <c r="AE908" s="752"/>
      <c r="AF908" s="752"/>
      <c r="AG908" s="752"/>
      <c r="AH908" s="752"/>
      <c r="AI908" s="752"/>
      <c r="AJ908" s="752"/>
      <c r="AK908" s="752"/>
      <c r="AL908" s="752"/>
      <c r="AM908" s="752"/>
      <c r="AN908" s="752"/>
      <c r="AO908" s="623"/>
      <c r="AP908" s="632" t="str">
        <f t="shared" si="2772"/>
        <v/>
      </c>
      <c r="AQ908" s="633" t="str">
        <f>IF(AC908=$V$3,IF(VLOOKUP(C908,[1]List1!$A:$E,5,FALSE)=0,1,VLOOKUP(C908,[1]List1!$A:$E,5,FALSE)),"")</f>
        <v/>
      </c>
      <c r="AR908" s="625" t="str">
        <f t="shared" si="2773"/>
        <v/>
      </c>
      <c r="AS908" s="634" t="str">
        <f t="shared" si="2743"/>
        <v/>
      </c>
      <c r="AT908" s="625" t="str">
        <f t="shared" si="2774"/>
        <v/>
      </c>
      <c r="AU908" s="638" t="e">
        <f t="shared" si="2775"/>
        <v>#N/A</v>
      </c>
      <c r="AV908" s="625" t="e">
        <f t="shared" si="2776"/>
        <v>#N/A</v>
      </c>
      <c r="AX908" s="625">
        <f>IF(AND('General price list'!$J908="F4",'General price list'!$AB908+0&gt;0),1,0)</f>
        <v>0</v>
      </c>
      <c r="AY908" s="625">
        <f t="shared" si="2777"/>
        <v>0</v>
      </c>
      <c r="AZ908" s="625">
        <f t="shared" si="2778"/>
        <v>0</v>
      </c>
    </row>
    <row r="909" spans="1:52" ht="15.75" customHeight="1">
      <c r="A909" s="639" t="str">
        <f>Kat.!C909</f>
        <v/>
      </c>
      <c r="B909" s="640">
        <f>IF(AND('General price list'!$J909="F4",$AI$1=FALSE),0,IF(AC909="SKLADEM",1,IF(AC909=$V$3,1,0)))</f>
        <v>0</v>
      </c>
      <c r="C909" s="641" t="s">
        <v>1812</v>
      </c>
      <c r="D909" s="642" t="s">
        <v>1813</v>
      </c>
      <c r="E909" s="643" t="s">
        <v>12733</v>
      </c>
      <c r="F909" s="773">
        <f>IFERROR(VLOOKUP(C909,[2]List1!$A:$D,3,FALSE),"NEUVEDENO!")</f>
        <v>1024</v>
      </c>
      <c r="G909" s="770">
        <f t="shared" ref="G909" si="2807">IF($W$17=$AF$8,ROUND((F909)/$F$17,2),(F909)*$B$19)</f>
        <v>1024</v>
      </c>
      <c r="H909" s="767">
        <f t="shared" ref="H909" si="2808">IF($W$17=$AF$8,G909*$B$19,G909/$F$17)</f>
        <v>43.498022624069186</v>
      </c>
      <c r="I909" s="644">
        <f>IFERROR(VLOOKUP(C909,[2]List1!$A:$D,4,FALSE),"NEUVEDENO!")</f>
        <v>12</v>
      </c>
      <c r="J909" s="733" t="s">
        <v>614</v>
      </c>
      <c r="K909" s="645" t="s">
        <v>20</v>
      </c>
      <c r="L909" s="645" t="s">
        <v>10999</v>
      </c>
      <c r="M909" s="645" t="s">
        <v>114</v>
      </c>
      <c r="N909" s="645">
        <f>IFERROR(VLOOKUP(C909,[3]List1!$A:$D,4,FALSE),"N/A!")</f>
        <v>4.0500000000000001E-2</v>
      </c>
      <c r="O909" s="645">
        <f>IFERROR(VLOOKUP(C909,[3]List1!$A:$D,3,FALSE),"N/A!")</f>
        <v>7200</v>
      </c>
      <c r="P909" s="645">
        <f>IFERROR(VLOOKUP(C909,[3]List1!$A:$D,2,FALSE),"N/A!")</f>
        <v>12000</v>
      </c>
      <c r="Q909" s="645" t="s">
        <v>11236</v>
      </c>
      <c r="R909" s="645" t="s">
        <v>15</v>
      </c>
      <c r="S909" s="645"/>
      <c r="T909" s="645"/>
      <c r="U909" s="645">
        <v>60</v>
      </c>
      <c r="V909" s="645">
        <v>40</v>
      </c>
      <c r="W909" s="645" t="str">
        <f>IFERROR(IF(AND($AB909&gt;=0.1*$AA909,MOD($AB909,$AA909)&gt;=($AA909-(0.1*$AA909))),IF($W$17=$AF$1,"Zvažte možnost doobjednání ještě "&amp;Tabulka1[[#This Row],[VKPAL]]-MOD(AB909,AA909)&amp;" VK do plné palety.",VLOOKUP("Zvažte možnost doobjednání ještě ",Jazyky_ceník!A:Q,MATCH($W$17,Jazyky_ceník!$A$1:$Q$1,0),FALSE)&amp;Tabulka1[[#This Row],[VKPAL]]-MOD(AB909,AA909)&amp;VLOOKUP(" VK do plné palety.",Jazyky_ceník!A:Q,MATCH($W$17,Jazyky_ceník!$A$1:$Q$1,0),FALSE)),IFERROR(IF(AND(NOT(MOD($AB909,$AA909)=0),$AB909&gt;=0.9*$AA909,MOD($AB909,$AA909)&lt;=0.1*$AA909),IF($W$17=$AF$1,"Zvažte možnost optimalizace objednaného množství podle počtu VK na paletě ==&gt;",VLOOKUP("Zvažte možnost optimalizace objednaného množství podle počtu VK na paletě ==&gt;",Jazyky_ceník!A:Q,MATCH($W$17,Jazyky_ceník!$A$1:$Q$1,0),FALSE)),VLOOKUP('General price list'!$C909,Popisy!A:M,MATCH($W$17,Popisy!$A$7:$M$7,0),FALSE)),"---------------")),IFERROR(VLOOKUP('General price list'!$C909,Popisy!A:M,MATCH($W$17,Popisy!$A$7:$M$7,0),FALSE),"---------------"))</f>
        <v>Mixed carton contains 1pack of S2A,B,D,E,F,G,H,CH,J,L,N,O</v>
      </c>
      <c r="X909" s="645" t="str">
        <f t="shared" ref="X909" si="2809">IF(AB909&lt;0.0001,"",AB909)</f>
        <v/>
      </c>
      <c r="Y909" s="645" t="str">
        <f t="shared" ref="Y909" si="2810">IF($AL$3=2,IF(OR(AB909&lt;&gt;"",AB909&lt;&gt;0),AU909,""),IF(C909="","",IF(AB909&lt;0.0001,"",IF(B909=0,"",IF(AQ909&lt;AB909,"",AB909)))))</f>
        <v/>
      </c>
      <c r="Z909" s="645" t="str">
        <f>HYPERLINK("https://www.klasekpyrotechnics.cz/s2m")</f>
        <v>https://www.klasekpyrotechnics.cz/s2m</v>
      </c>
      <c r="AA909" s="645" t="str">
        <f>IFERROR(IF(VLOOKUP(C909,[4]List1!$A:$D,4,FALSE)=0,"",VLOOKUP(C909,[4]List1!$A:$D,4,FALSE)),"")</f>
        <v>23</v>
      </c>
      <c r="AB909" s="646"/>
      <c r="AC909" s="647" t="str">
        <f>IFERROR(IF(VLOOKUP(C909,[1]List1!$A:$D,2,FALSE)="VYPRODÁNO",$V$9,IF(VLOOKUP(C909,[1]List1!$A:$D,2,FALSE)="DOCHÁZÍ",$V$3,VLOOKUP(C909,[1]List1!$A:$D,2,FALSE))),"OFFLINE!")</f>
        <v>SKLADEM</v>
      </c>
      <c r="AD909" s="647" t="str">
        <f ca="1">IF(AP909="NE",$V$10,IF(AC909=$V$3,IF(AQ909&lt;1,$V$8,$V$2&amp;" "&amp;AQ909&amp;" "&amp;$V$1),IF(AC909="SKLADEM",$V$6,IFERROR(IF(OR(AC909-TODAY()&gt;45,VLOOKUP(C909,[1]List1!$A:$E,4,FALSE)=0),AC909,DAY(AC909)&amp;"."&amp;MONTH(AC909)&amp;"."&amp;YEAR(AC909)&amp;" "&amp;$V$4&amp;VLOOKUP(C909,[1]List1!$A:$E,4,FALSE)&amp;" "&amp;$V$1),AC909))))</f>
        <v>SKLADEM</v>
      </c>
      <c r="AE909" s="645" t="str">
        <f t="shared" ref="AE909" ca="1" si="2811">IFERROR(IF(AV909&lt;&gt;"",AV909,AD909),AD909)</f>
        <v>SKLADEM</v>
      </c>
      <c r="AF909" s="648">
        <f t="shared" ref="AF909" si="2812">IFERROR(IF(AB909=Y909,G909*I909*Y909,0),0)</f>
        <v>0</v>
      </c>
      <c r="AG909" s="649">
        <f t="shared" ref="AG909" si="2813">IF($W$17=$AF$8,AH909*1.23,AF909*1.21)</f>
        <v>0</v>
      </c>
      <c r="AH909" s="650">
        <f t="shared" ref="AH909" si="2814">IFERROR(IF(Y909=AB909,H909*I909*Y909,0),0)</f>
        <v>0</v>
      </c>
      <c r="AI909" s="645">
        <f t="shared" ref="AI909" si="2815">IFERROR(IF(Y909=AB909,(P909*Y909)/1000,1),0)</f>
        <v>0</v>
      </c>
      <c r="AJ909" s="645">
        <f t="shared" ref="AJ909" si="2816">IFERROR(IF(Y909=AB909,N909*Y909,0.1),0)</f>
        <v>0</v>
      </c>
      <c r="AK909" s="645" t="str">
        <f t="shared" ref="AK909" si="2817">IFERROR(IF(Y909=AB909,IF(M909="1.1G",(O909/1000)*Y909,""),""),0)</f>
        <v/>
      </c>
      <c r="AL909" s="645">
        <f t="shared" ref="AL909" si="2818">IFERROR(IF(Y909=AB909,IF(M909="1.3G",(O909/1000)*AB909,""),""),0)</f>
        <v>0</v>
      </c>
      <c r="AM909" s="645" t="str">
        <f t="shared" ref="AM909" si="2819">IFERROR(IF(Y909=AB909,IF(M909="1.4G",(O909/1000)*AB909,""),""),0)</f>
        <v/>
      </c>
      <c r="AN909" s="651">
        <f t="shared" ref="AN909" si="2820">SUM(AK909:AM909)</f>
        <v>0</v>
      </c>
      <c r="AO909" s="623"/>
      <c r="AP909" s="625" t="str">
        <f t="shared" si="2772"/>
        <v/>
      </c>
      <c r="AQ909" s="625" t="str">
        <f>IF(AC909=$V$3,IF(VLOOKUP(C909,[1]List1!$A:$E,5,FALSE)=0,1,VLOOKUP(C909,[1]List1!$A:$E,5,FALSE)),"")</f>
        <v/>
      </c>
      <c r="AR909" s="629" t="str">
        <f t="shared" si="2773"/>
        <v/>
      </c>
      <c r="AS909" s="630" t="str">
        <f t="shared" si="2743"/>
        <v/>
      </c>
      <c r="AT909" s="625" t="str">
        <f t="shared" si="2774"/>
        <v/>
      </c>
      <c r="AU909" s="625" t="e">
        <f t="shared" si="2775"/>
        <v>#N/A</v>
      </c>
      <c r="AV909" s="625" t="e">
        <f t="shared" si="2776"/>
        <v>#N/A</v>
      </c>
      <c r="AW909" s="631"/>
      <c r="AX909" s="631">
        <f>IF(AND('General price list'!$J909="F4",'General price list'!$AB909+0&gt;0),1,0)</f>
        <v>0</v>
      </c>
      <c r="AY909" s="631">
        <f t="shared" si="2777"/>
        <v>1</v>
      </c>
      <c r="AZ909" s="631">
        <f t="shared" si="2778"/>
        <v>1</v>
      </c>
    </row>
    <row r="910" spans="1:52" ht="15" customHeight="1">
      <c r="A910" s="751" t="str">
        <f>Kat.!C910</f>
        <v xml:space="preserve">           Kulové pumy 75 mm, prémiová kvalita</v>
      </c>
      <c r="B910" s="751"/>
      <c r="C910" s="751"/>
      <c r="D910" s="751"/>
      <c r="E910" s="751"/>
      <c r="F910" s="751"/>
      <c r="G910" s="751"/>
      <c r="H910" s="751"/>
      <c r="I910" s="752"/>
      <c r="J910" s="752"/>
      <c r="K910" s="752" t="s">
        <v>20</v>
      </c>
      <c r="L910" s="753" t="s">
        <v>2818</v>
      </c>
      <c r="M910" s="752"/>
      <c r="N910" s="752"/>
      <c r="O910" s="752"/>
      <c r="P910" s="752"/>
      <c r="Q910" s="752"/>
      <c r="R910" s="752"/>
      <c r="S910" s="752"/>
      <c r="T910" s="752"/>
      <c r="U910" s="752"/>
      <c r="V910" s="752"/>
      <c r="W910" s="752"/>
      <c r="X910" s="752"/>
      <c r="Y910" s="752"/>
      <c r="Z910" s="752" t="s">
        <v>20</v>
      </c>
      <c r="AA910" s="752"/>
      <c r="AB910" s="752"/>
      <c r="AC910" s="754"/>
      <c r="AD910" s="752"/>
      <c r="AE910" s="752"/>
      <c r="AF910" s="752"/>
      <c r="AG910" s="752"/>
      <c r="AH910" s="752"/>
      <c r="AI910" s="752"/>
      <c r="AJ910" s="752"/>
      <c r="AK910" s="752"/>
      <c r="AL910" s="752"/>
      <c r="AM910" s="752"/>
      <c r="AN910" s="752"/>
      <c r="AO910" s="623"/>
      <c r="AP910" s="632" t="str">
        <f t="shared" si="2772"/>
        <v/>
      </c>
      <c r="AQ910" s="633" t="str">
        <f>IF(AC910=$V$3,IF(VLOOKUP(C910,[1]List1!$A:$E,5,FALSE)=0,1,VLOOKUP(C910,[1]List1!$A:$E,5,FALSE)),"")</f>
        <v/>
      </c>
      <c r="AR910" s="625" t="str">
        <f t="shared" si="2773"/>
        <v/>
      </c>
      <c r="AS910" s="634" t="str">
        <f t="shared" si="2743"/>
        <v/>
      </c>
      <c r="AT910" s="625" t="str">
        <f t="shared" si="2774"/>
        <v/>
      </c>
      <c r="AU910" s="638" t="e">
        <f t="shared" si="2775"/>
        <v>#N/A</v>
      </c>
      <c r="AV910" s="625" t="e">
        <f t="shared" si="2776"/>
        <v>#N/A</v>
      </c>
      <c r="AX910" s="625">
        <f>IF(AND('General price list'!$J910="F4",'General price list'!$AB910+0&gt;0),1,0)</f>
        <v>0</v>
      </c>
      <c r="AY910" s="625">
        <f t="shared" si="2777"/>
        <v>0</v>
      </c>
      <c r="AZ910" s="625">
        <f t="shared" si="2778"/>
        <v>0</v>
      </c>
    </row>
    <row r="911" spans="1:52" ht="15.75" customHeight="1">
      <c r="A911" s="639" t="str">
        <f>Kat.!C911</f>
        <v/>
      </c>
      <c r="B911" s="640">
        <f>IF(AND('General price list'!$J911="F4",$AI$1=FALSE),0,IF(AC911="SKLADEM",1,IF(AC911=$V$3,1,0)))</f>
        <v>0</v>
      </c>
      <c r="C911" s="641" t="s">
        <v>1842</v>
      </c>
      <c r="D911" s="642" t="s">
        <v>1817</v>
      </c>
      <c r="E911" s="643" t="s">
        <v>12748</v>
      </c>
      <c r="F911" s="771">
        <f>IFERROR(VLOOKUP(C911,[2]List1!$A:$D,3,FALSE),"NEUVEDENO!")</f>
        <v>940</v>
      </c>
      <c r="G911" s="768">
        <f t="shared" ref="G911:G916" si="2821">IF($W$17=$AF$8,ROUND((F911)/$F$17,2),(F911)*$B$19)</f>
        <v>940</v>
      </c>
      <c r="H911" s="765">
        <f t="shared" ref="H911:H916" si="2822">IF($W$17=$AF$8,G911*$B$19,G911/$F$17)</f>
        <v>39.929825455688515</v>
      </c>
      <c r="I911" s="644">
        <f>IFERROR(VLOOKUP(C911,[2]List1!$A:$D,4,FALSE),"NEUVEDENO!")</f>
        <v>12</v>
      </c>
      <c r="J911" s="733" t="s">
        <v>614</v>
      </c>
      <c r="K911" s="645" t="s">
        <v>20</v>
      </c>
      <c r="L911" s="645" t="s">
        <v>10999</v>
      </c>
      <c r="M911" s="645" t="s">
        <v>114</v>
      </c>
      <c r="N911" s="645">
        <f>IFERROR(VLOOKUP(C911,[3]List1!$A:$D,4,FALSE),"N/A!")</f>
        <v>5.0624999999999996E-2</v>
      </c>
      <c r="O911" s="645">
        <f>IFERROR(VLOOKUP(C911,[3]List1!$A:$D,3,FALSE),"N/A!")</f>
        <v>10800</v>
      </c>
      <c r="P911" s="645">
        <f>IFERROR(VLOOKUP(C911,[3]List1!$A:$D,2,FALSE),"N/A!")</f>
        <v>15500</v>
      </c>
      <c r="Q911" s="645" t="s">
        <v>11236</v>
      </c>
      <c r="R911" s="645" t="s">
        <v>15</v>
      </c>
      <c r="S911" s="645"/>
      <c r="T911" s="645"/>
      <c r="U911" s="645">
        <v>90</v>
      </c>
      <c r="V911" s="645">
        <v>55</v>
      </c>
      <c r="W911" s="645" t="str">
        <f>IFERROR(IF(AND($AB911&gt;=0.1*$AA911,MOD($AB911,$AA911)&gt;=($AA911-(0.1*$AA911))),IF($W$17=$AF$1,"Zvažte možnost doobjednání ještě "&amp;Tabulka1[[#This Row],[VKPAL]]-MOD(AB911,AA911)&amp;" VK do plné palety.",VLOOKUP("Zvažte možnost doobjednání ještě ",Jazyky_ceník!A:Q,MATCH($W$17,Jazyky_ceník!$A$1:$Q$1,0),FALSE)&amp;Tabulka1[[#This Row],[VKPAL]]-MOD(AB911,AA911)&amp;VLOOKUP(" VK do plné palety.",Jazyky_ceník!A:Q,MATCH($W$17,Jazyky_ceník!$A$1:$Q$1,0),FALSE)),IFERROR(IF(AND(NOT(MOD($AB911,$AA911)=0),$AB911&gt;=0.9*$AA911,MOD($AB911,$AA911)&lt;=0.1*$AA911),IF($W$17=$AF$1,"Zvažte možnost optimalizace objednaného množství podle počtu VK na paletě ==&gt;",VLOOKUP("Zvažte možnost optimalizace objednaného množství podle počtu VK na paletě ==&gt;",Jazyky_ceník!A:Q,MATCH($W$17,Jazyky_ceník!$A$1:$Q$1,0),FALSE)),VLOOKUP('General price list'!$C911,Popisy!A:M,MATCH($W$17,Popisy!$A$7:$M$7,0),FALSE)),"---------------")),IFERROR(VLOOKUP('General price list'!$C911,Popisy!A:M,MATCH($W$17,Popisy!$A$7:$M$7,0),FALSE),"---------------"))</f>
        <v>delay cracker willow</v>
      </c>
      <c r="X911" s="645" t="str">
        <f t="shared" ref="X911:X916" si="2823">IF(AB911&lt;0.0001,"",AB911)</f>
        <v/>
      </c>
      <c r="Y911" s="645" t="str">
        <f t="shared" ref="Y911:Y916" si="2824">IF($AL$3=2,IF(OR(AB911&lt;&gt;"",AB911&lt;&gt;0),AU911,""),IF(C911="","",IF(AB911&lt;0.0001,"",IF(B911=0,"",IF(AQ911&lt;AB911,"",AB911)))))</f>
        <v/>
      </c>
      <c r="Z911" s="645" t="str">
        <f>HYPERLINK("https://www.klasekpyrotechnics.cz/s3f-p")</f>
        <v>https://www.klasekpyrotechnics.cz/s3f-p</v>
      </c>
      <c r="AA911" s="645" t="str">
        <f>IFERROR(IF(VLOOKUP(C911,[4]List1!$A:$D,4,FALSE)=0,"",VLOOKUP(C911,[4]List1!$A:$D,4,FALSE)),"")</f>
        <v>21</v>
      </c>
      <c r="AB911" s="646"/>
      <c r="AC911" s="647" t="str">
        <f>IFERROR(IF(VLOOKUP(C911,[1]List1!$A:$D,2,FALSE)="VYPRODÁNO",$V$9,IF(VLOOKUP(C911,[1]List1!$A:$D,2,FALSE)="DOCHÁZÍ",$V$3,VLOOKUP(C911,[1]List1!$A:$D,2,FALSE))),"OFFLINE!")</f>
        <v>31.08.2026</v>
      </c>
      <c r="AD911" s="647" t="str">
        <f ca="1">IF(AP911="NE",$V$10,IF(AC911=$V$3,IF(AQ911&lt;1,$V$8,$V$2&amp;" "&amp;AQ911&amp;" "&amp;$V$1),IF(AC911="SKLADEM",$V$6,IFERROR(IF(OR(AC911-TODAY()&gt;45,VLOOKUP(C911,[1]List1!$A:$E,4,FALSE)=0),AC911,DAY(AC911)&amp;"."&amp;MONTH(AC911)&amp;"."&amp;YEAR(AC911)&amp;" "&amp;$V$4&amp;VLOOKUP(C911,[1]List1!$A:$E,4,FALSE)&amp;" "&amp;$V$1),AC911))))</f>
        <v>31.08.2026</v>
      </c>
      <c r="AE911" s="645" t="str">
        <f t="shared" ref="AE911:AE916" ca="1" si="2825">IFERROR(IF(AV911&lt;&gt;"",AV911,AD911),AD911)</f>
        <v>31.08.2026</v>
      </c>
      <c r="AF911" s="648">
        <f t="shared" ref="AF911:AF916" si="2826">IFERROR(IF(AB911=Y911,G911*I911*Y911,0),0)</f>
        <v>0</v>
      </c>
      <c r="AG911" s="649">
        <f t="shared" ref="AG911:AG916" si="2827">IF($W$17=$AF$8,AH911*1.23,AF911*1.21)</f>
        <v>0</v>
      </c>
      <c r="AH911" s="650">
        <f t="shared" ref="AH911:AH916" si="2828">IFERROR(IF(Y911=AB911,H911*I911*Y911,0),0)</f>
        <v>0</v>
      </c>
      <c r="AI911" s="645">
        <f t="shared" ref="AI911:AI916" si="2829">IFERROR(IF(Y911=AB911,(P911*Y911)/1000,1),0)</f>
        <v>0</v>
      </c>
      <c r="AJ911" s="645">
        <f t="shared" ref="AJ911:AJ916" si="2830">IFERROR(IF(Y911=AB911,N911*Y911,0.1),0)</f>
        <v>0</v>
      </c>
      <c r="AK911" s="645" t="str">
        <f t="shared" ref="AK911:AK916" si="2831">IFERROR(IF(Y911=AB911,IF(M911="1.1G",(O911/1000)*Y911,""),""),0)</f>
        <v/>
      </c>
      <c r="AL911" s="645">
        <f t="shared" ref="AL911:AL916" si="2832">IFERROR(IF(Y911=AB911,IF(M911="1.3G",(O911/1000)*AB911,""),""),0)</f>
        <v>0</v>
      </c>
      <c r="AM911" s="645" t="str">
        <f t="shared" ref="AM911:AM916" si="2833">IFERROR(IF(Y911=AB911,IF(M911="1.4G",(O911/1000)*AB911,""),""),0)</f>
        <v/>
      </c>
      <c r="AN911" s="651">
        <f t="shared" ref="AN911:AN916" si="2834">SUM(AK911:AM911)</f>
        <v>0</v>
      </c>
      <c r="AO911" s="623"/>
      <c r="AP911" s="625" t="str">
        <f t="shared" si="2772"/>
        <v/>
      </c>
      <c r="AQ911" s="625" t="str">
        <f>IF(AC911=$V$3,IF(VLOOKUP(C911,[1]List1!$A:$E,5,FALSE)=0,1,VLOOKUP(C911,[1]List1!$A:$E,5,FALSE)),"")</f>
        <v/>
      </c>
      <c r="AR911" s="629" t="str">
        <f t="shared" si="2773"/>
        <v/>
      </c>
      <c r="AS911" s="630" t="str">
        <f t="shared" si="2743"/>
        <v/>
      </c>
      <c r="AT911" s="625" t="str">
        <f t="shared" si="2774"/>
        <v/>
      </c>
      <c r="AU911" s="625" t="e">
        <f t="shared" si="2775"/>
        <v>#N/A</v>
      </c>
      <c r="AV911" s="625" t="e">
        <f t="shared" si="2776"/>
        <v>#N/A</v>
      </c>
      <c r="AW911" s="631"/>
      <c r="AX911" s="631">
        <f>IF(AND('General price list'!$J911="F4",'General price list'!$AB911+0&gt;0),1,0)</f>
        <v>0</v>
      </c>
      <c r="AY911" s="631">
        <f t="shared" si="2777"/>
        <v>1</v>
      </c>
      <c r="AZ911" s="631">
        <f t="shared" si="2778"/>
        <v>1</v>
      </c>
    </row>
    <row r="912" spans="1:52" ht="15" customHeight="1">
      <c r="A912" s="621" t="str">
        <f>Kat.!C912</f>
        <v/>
      </c>
      <c r="B912" s="566">
        <f>IF(AND('General price list'!$J912="F4",$AI$1=FALSE),0,IF(AC912="SKLADEM",1,IF(AC912=$V$3,1,0)))</f>
        <v>0</v>
      </c>
      <c r="C912" s="567" t="s">
        <v>1845</v>
      </c>
      <c r="D912" s="568" t="s">
        <v>1820</v>
      </c>
      <c r="E912" s="763" t="s">
        <v>12748</v>
      </c>
      <c r="F912" s="772">
        <f>IFERROR(VLOOKUP(C912,[2]List1!$A:$D,3,FALSE),"NEUVEDENO!")</f>
        <v>940</v>
      </c>
      <c r="G912" s="769">
        <f t="shared" si="2821"/>
        <v>940</v>
      </c>
      <c r="H912" s="766">
        <f t="shared" si="2822"/>
        <v>39.929825455688515</v>
      </c>
      <c r="I912" s="764">
        <f>IFERROR(VLOOKUP(C912,[2]List1!$A:$D,4,FALSE),"NEUVEDENO!")</f>
        <v>12</v>
      </c>
      <c r="J912" s="732" t="s">
        <v>614</v>
      </c>
      <c r="K912" s="569" t="s">
        <v>20</v>
      </c>
      <c r="L912" s="569" t="s">
        <v>10999</v>
      </c>
      <c r="M912" s="569" t="s">
        <v>114</v>
      </c>
      <c r="N912" s="569">
        <f>IFERROR(VLOOKUP(C912,[3]List1!$A:$D,4,FALSE),"N/A!")</f>
        <v>5.0624999999999996E-2</v>
      </c>
      <c r="O912" s="569">
        <f>IFERROR(VLOOKUP(C912,[3]List1!$A:$D,3,FALSE),"N/A!")</f>
        <v>10800</v>
      </c>
      <c r="P912" s="569">
        <f>IFERROR(VLOOKUP(C912,[3]List1!$A:$D,2,FALSE),"N/A!")</f>
        <v>15100</v>
      </c>
      <c r="Q912" s="569" t="s">
        <v>11236</v>
      </c>
      <c r="R912" s="569" t="s">
        <v>15</v>
      </c>
      <c r="S912" s="569"/>
      <c r="T912" s="569"/>
      <c r="U912" s="569">
        <v>90</v>
      </c>
      <c r="V912" s="569">
        <v>55</v>
      </c>
      <c r="W912" s="569" t="str">
        <f>IFERROR(IF(AND($AB912&gt;=0.1*$AA912,MOD($AB912,$AA912)&gt;=($AA912-(0.1*$AA912))),IF($W$17=$AF$1,"Zvažte možnost doobjednání ještě "&amp;Tabulka1[[#This Row],[VKPAL]]-MOD(AB912,AA912)&amp;" VK do plné palety.",VLOOKUP("Zvažte možnost doobjednání ještě ",Jazyky_ceník!A:Q,MATCH($W$17,Jazyky_ceník!$A$1:$Q$1,0),FALSE)&amp;Tabulka1[[#This Row],[VKPAL]]-MOD(AB912,AA912)&amp;VLOOKUP(" VK do plné palety.",Jazyky_ceník!A:Q,MATCH($W$17,Jazyky_ceník!$A$1:$Q$1,0),FALSE)),IFERROR(IF(AND(NOT(MOD($AB912,$AA912)=0),$AB912&gt;=0.9*$AA912,MOD($AB912,$AA912)&lt;=0.1*$AA912),IF($W$17=$AF$1,"Zvažte možnost optimalizace objednaného množství podle počtu VK na paletě ==&gt;",VLOOKUP("Zvažte možnost optimalizace objednaného množství podle počtu VK na paletě ==&gt;",Jazyky_ceník!A:Q,MATCH($W$17,Jazyky_ceník!$A$1:$Q$1,0),FALSE)),VLOOKUP('General price list'!$C912,Popisy!A:M,MATCH($W$17,Popisy!$A$7:$M$7,0),FALSE)),"---------------")),IFERROR(VLOOKUP('General price list'!$C912,Popisy!A:M,MATCH($W$17,Popisy!$A$7:$M$7,0),FALSE),"---------------"))</f>
        <v>golden Ti-willow</v>
      </c>
      <c r="X912" s="569" t="str">
        <f t="shared" si="2823"/>
        <v/>
      </c>
      <c r="Y912" s="569" t="str">
        <f t="shared" si="2824"/>
        <v/>
      </c>
      <c r="Z912" s="569" t="str">
        <f>HYPERLINK("https://www.klasekpyrotechnics.cz/s3ia-p")</f>
        <v>https://www.klasekpyrotechnics.cz/s3ia-p</v>
      </c>
      <c r="AA912" s="569" t="str">
        <f>IFERROR(IF(VLOOKUP(C912,[4]List1!$A:$D,4,FALSE)=0,"",VLOOKUP(C912,[4]List1!$A:$D,4,FALSE)),"")</f>
        <v>21</v>
      </c>
      <c r="AB912" s="565"/>
      <c r="AC912" s="570" t="str">
        <f>IFERROR(IF(VLOOKUP(C912,[1]List1!$A:$D,2,FALSE)="VYPRODÁNO",$V$9,IF(VLOOKUP(C912,[1]List1!$A:$D,2,FALSE)="DOCHÁZÍ",$V$3,VLOOKUP(C912,[1]List1!$A:$D,2,FALSE))),"OFFLINE!")</f>
        <v>SKLADEM</v>
      </c>
      <c r="AD912" s="570" t="str">
        <f ca="1">IF(AP912="NE",$V$10,IF(AC912=$V$3,IF(AQ912&lt;1,$V$8,$V$2&amp;" "&amp;AQ912&amp;" "&amp;$V$1),IF(AC912="SKLADEM",$V$6,IFERROR(IF(OR(AC912-TODAY()&gt;45,VLOOKUP(C912,[1]List1!$A:$E,4,FALSE)=0),AC912,DAY(AC912)&amp;"."&amp;MONTH(AC912)&amp;"."&amp;YEAR(AC912)&amp;" "&amp;$V$4&amp;VLOOKUP(C912,[1]List1!$A:$E,4,FALSE)&amp;" "&amp;$V$1),AC912))))</f>
        <v>SKLADEM</v>
      </c>
      <c r="AE912" s="581" t="str">
        <f t="shared" ca="1" si="2825"/>
        <v>SKLADEM</v>
      </c>
      <c r="AF912" s="584">
        <f t="shared" si="2826"/>
        <v>0</v>
      </c>
      <c r="AG912" s="585">
        <f t="shared" si="2827"/>
        <v>0</v>
      </c>
      <c r="AH912" s="583">
        <f t="shared" si="2828"/>
        <v>0</v>
      </c>
      <c r="AI912" s="582">
        <f t="shared" si="2829"/>
        <v>0</v>
      </c>
      <c r="AJ912" s="569">
        <f t="shared" si="2830"/>
        <v>0</v>
      </c>
      <c r="AK912" s="569" t="str">
        <f t="shared" si="2831"/>
        <v/>
      </c>
      <c r="AL912" s="569">
        <f t="shared" si="2832"/>
        <v>0</v>
      </c>
      <c r="AM912" s="569" t="str">
        <f t="shared" si="2833"/>
        <v/>
      </c>
      <c r="AN912" s="581">
        <f t="shared" si="2834"/>
        <v>0</v>
      </c>
      <c r="AO912" s="623"/>
      <c r="AP912" s="632" t="str">
        <f t="shared" si="2772"/>
        <v/>
      </c>
      <c r="AQ912" s="633" t="str">
        <f>IF(AC912=$V$3,IF(VLOOKUP(C912,[1]List1!$A:$E,5,FALSE)=0,1,VLOOKUP(C912,[1]List1!$A:$E,5,FALSE)),"")</f>
        <v/>
      </c>
      <c r="AR912" s="625" t="str">
        <f t="shared" si="2773"/>
        <v/>
      </c>
      <c r="AS912" s="634" t="str">
        <f t="shared" si="2743"/>
        <v/>
      </c>
      <c r="AT912" s="625" t="str">
        <f t="shared" si="2774"/>
        <v/>
      </c>
      <c r="AU912" s="638" t="e">
        <f t="shared" si="2775"/>
        <v>#N/A</v>
      </c>
      <c r="AV912" s="625" t="e">
        <f t="shared" si="2776"/>
        <v>#N/A</v>
      </c>
      <c r="AX912" s="625">
        <f>IF(AND('General price list'!$J912="F4",'General price list'!$AB912+0&gt;0),1,0)</f>
        <v>0</v>
      </c>
      <c r="AY912" s="625">
        <f t="shared" si="2777"/>
        <v>1</v>
      </c>
      <c r="AZ912" s="625">
        <f t="shared" si="2778"/>
        <v>1</v>
      </c>
    </row>
    <row r="913" spans="1:52" ht="15.75" customHeight="1">
      <c r="A913" s="639" t="str">
        <f>Kat.!C913</f>
        <v/>
      </c>
      <c r="B913" s="640">
        <f>IF(AND('General price list'!$J913="F4",$AI$1=FALSE),0,IF(AC913="SKLADEM",1,IF(AC913=$V$3,1,0)))</f>
        <v>0</v>
      </c>
      <c r="C913" s="641" t="s">
        <v>1846</v>
      </c>
      <c r="D913" s="642" t="s">
        <v>1821</v>
      </c>
      <c r="E913" s="643" t="s">
        <v>12748</v>
      </c>
      <c r="F913" s="771">
        <f>IFERROR(VLOOKUP(C913,[2]List1!$A:$D,3,FALSE),"NEUVEDENO!")</f>
        <v>940</v>
      </c>
      <c r="G913" s="768">
        <f t="shared" si="2821"/>
        <v>940</v>
      </c>
      <c r="H913" s="765">
        <f t="shared" si="2822"/>
        <v>39.929825455688515</v>
      </c>
      <c r="I913" s="644">
        <f>IFERROR(VLOOKUP(C913,[2]List1!$A:$D,4,FALSE),"NEUVEDENO!")</f>
        <v>12</v>
      </c>
      <c r="J913" s="733" t="s">
        <v>614</v>
      </c>
      <c r="K913" s="645" t="s">
        <v>20</v>
      </c>
      <c r="L913" s="645" t="s">
        <v>10999</v>
      </c>
      <c r="M913" s="645" t="s">
        <v>114</v>
      </c>
      <c r="N913" s="645">
        <f>IFERROR(VLOOKUP(C913,[3]List1!$A:$D,4,FALSE),"N/A!")</f>
        <v>5.0624999999999996E-2</v>
      </c>
      <c r="O913" s="645">
        <f>IFERROR(VLOOKUP(C913,[3]List1!$A:$D,3,FALSE),"N/A!")</f>
        <v>10800</v>
      </c>
      <c r="P913" s="645">
        <f>IFERROR(VLOOKUP(C913,[3]List1!$A:$D,2,FALSE),"N/A!")</f>
        <v>15000</v>
      </c>
      <c r="Q913" s="645" t="s">
        <v>11236</v>
      </c>
      <c r="R913" s="645" t="s">
        <v>15</v>
      </c>
      <c r="S913" s="645"/>
      <c r="T913" s="645"/>
      <c r="U913" s="645">
        <v>90</v>
      </c>
      <c r="V913" s="645">
        <v>55</v>
      </c>
      <c r="W913" s="645" t="str">
        <f>IFERROR(IF(AND($AB913&gt;=0.1*$AA913,MOD($AB913,$AA913)&gt;=($AA913-(0.1*$AA913))),IF($W$17=$AF$1,"Zvažte možnost doobjednání ještě "&amp;Tabulka1[[#This Row],[VKPAL]]-MOD(AB913,AA913)&amp;" VK do plné palety.",VLOOKUP("Zvažte možnost doobjednání ještě ",Jazyky_ceník!A:Q,MATCH($W$17,Jazyky_ceník!$A$1:$Q$1,0),FALSE)&amp;Tabulka1[[#This Row],[VKPAL]]-MOD(AB913,AA913)&amp;VLOOKUP(" VK do plné palety.",Jazyky_ceník!A:Q,MATCH($W$17,Jazyky_ceník!$A$1:$Q$1,0),FALSE)),IFERROR(IF(AND(NOT(MOD($AB913,$AA913)=0),$AB913&gt;=0.9*$AA913,MOD($AB913,$AA913)&lt;=0.1*$AA913),IF($W$17=$AF$1,"Zvažte možnost optimalizace objednaného množství podle počtu VK na paletě ==&gt;",VLOOKUP("Zvažte možnost optimalizace objednaného množství podle počtu VK na paletě ==&gt;",Jazyky_ceník!A:Q,MATCH($W$17,Jazyky_ceník!$A$1:$Q$1,0),FALSE)),VLOOKUP('General price list'!$C913,Popisy!A:M,MATCH($W$17,Popisy!$A$7:$M$7,0),FALSE)),"---------------")),IFERROR(VLOOKUP('General price list'!$C913,Popisy!A:M,MATCH($W$17,Popisy!$A$7:$M$7,0),FALSE),"---------------"))</f>
        <v>brocade crown crossette</v>
      </c>
      <c r="X913" s="645" t="str">
        <f t="shared" si="2823"/>
        <v/>
      </c>
      <c r="Y913" s="645" t="str">
        <f t="shared" si="2824"/>
        <v/>
      </c>
      <c r="Z913" s="645" t="str">
        <f>HYPERLINK("https://www.klasekpyrotechnics.cz/s3j-p")</f>
        <v>https://www.klasekpyrotechnics.cz/s3j-p</v>
      </c>
      <c r="AA913" s="645" t="str">
        <f>IFERROR(IF(VLOOKUP(C913,[4]List1!$A:$D,4,FALSE)=0,"",VLOOKUP(C913,[4]List1!$A:$D,4,FALSE)),"")</f>
        <v>21</v>
      </c>
      <c r="AB913" s="646"/>
      <c r="AC913" s="647" t="str">
        <f>IFERROR(IF(VLOOKUP(C913,[1]List1!$A:$D,2,FALSE)="VYPRODÁNO",$V$9,IF(VLOOKUP(C913,[1]List1!$A:$D,2,FALSE)="DOCHÁZÍ",$V$3,VLOOKUP(C913,[1]List1!$A:$D,2,FALSE))),"OFFLINE!")</f>
        <v>31.08.2026</v>
      </c>
      <c r="AD913" s="647" t="str">
        <f ca="1">IF(AP913="NE",$V$10,IF(AC913=$V$3,IF(AQ913&lt;1,$V$8,$V$2&amp;" "&amp;AQ913&amp;" "&amp;$V$1),IF(AC913="SKLADEM",$V$6,IFERROR(IF(OR(AC913-TODAY()&gt;45,VLOOKUP(C913,[1]List1!$A:$E,4,FALSE)=0),AC913,DAY(AC913)&amp;"."&amp;MONTH(AC913)&amp;"."&amp;YEAR(AC913)&amp;" "&amp;$V$4&amp;VLOOKUP(C913,[1]List1!$A:$E,4,FALSE)&amp;" "&amp;$V$1),AC913))))</f>
        <v>31.08.2026</v>
      </c>
      <c r="AE913" s="645" t="str">
        <f t="shared" ca="1" si="2825"/>
        <v>31.08.2026</v>
      </c>
      <c r="AF913" s="648">
        <f t="shared" si="2826"/>
        <v>0</v>
      </c>
      <c r="AG913" s="649">
        <f t="shared" si="2827"/>
        <v>0</v>
      </c>
      <c r="AH913" s="650">
        <f t="shared" si="2828"/>
        <v>0</v>
      </c>
      <c r="AI913" s="645">
        <f t="shared" si="2829"/>
        <v>0</v>
      </c>
      <c r="AJ913" s="645">
        <f t="shared" si="2830"/>
        <v>0</v>
      </c>
      <c r="AK913" s="645" t="str">
        <f t="shared" si="2831"/>
        <v/>
      </c>
      <c r="AL913" s="645">
        <f t="shared" si="2832"/>
        <v>0</v>
      </c>
      <c r="AM913" s="645" t="str">
        <f t="shared" si="2833"/>
        <v/>
      </c>
      <c r="AN913" s="651">
        <f t="shared" si="2834"/>
        <v>0</v>
      </c>
      <c r="AO913" s="623"/>
      <c r="AP913" s="625" t="str">
        <f t="shared" si="2772"/>
        <v/>
      </c>
      <c r="AQ913" s="625" t="str">
        <f>IF(AC913=$V$3,IF(VLOOKUP(C913,[1]List1!$A:$E,5,FALSE)=0,1,VLOOKUP(C913,[1]List1!$A:$E,5,FALSE)),"")</f>
        <v/>
      </c>
      <c r="AR913" s="629" t="str">
        <f t="shared" si="2773"/>
        <v/>
      </c>
      <c r="AS913" s="630" t="str">
        <f t="shared" si="2743"/>
        <v/>
      </c>
      <c r="AT913" s="625" t="str">
        <f t="shared" si="2774"/>
        <v/>
      </c>
      <c r="AU913" s="625" t="e">
        <f t="shared" si="2775"/>
        <v>#N/A</v>
      </c>
      <c r="AV913" s="625" t="e">
        <f t="shared" si="2776"/>
        <v>#N/A</v>
      </c>
      <c r="AW913" s="631"/>
      <c r="AX913" s="631">
        <f>IF(AND('General price list'!$J913="F4",'General price list'!$AB913+0&gt;0),1,0)</f>
        <v>0</v>
      </c>
      <c r="AY913" s="631">
        <f t="shared" si="2777"/>
        <v>1</v>
      </c>
      <c r="AZ913" s="631">
        <f t="shared" si="2778"/>
        <v>1</v>
      </c>
    </row>
    <row r="914" spans="1:52" ht="15" customHeight="1">
      <c r="A914" s="621" t="str">
        <f>Kat.!C914</f>
        <v/>
      </c>
      <c r="B914" s="566">
        <f>IF(AND('General price list'!$J914="F4",$AI$1=FALSE),0,IF(AC914="SKLADEM",1,IF(AC914=$V$3,1,0)))</f>
        <v>0</v>
      </c>
      <c r="C914" s="567" t="s">
        <v>1852</v>
      </c>
      <c r="D914" s="568" t="s">
        <v>1828</v>
      </c>
      <c r="E914" s="763" t="s">
        <v>12748</v>
      </c>
      <c r="F914" s="772">
        <f>IFERROR(VLOOKUP(C914,[2]List1!$A:$D,3,FALSE),"NEUVEDENO!")</f>
        <v>940</v>
      </c>
      <c r="G914" s="769">
        <f t="shared" si="2821"/>
        <v>940</v>
      </c>
      <c r="H914" s="766">
        <f t="shared" si="2822"/>
        <v>39.929825455688515</v>
      </c>
      <c r="I914" s="764">
        <f>IFERROR(VLOOKUP(C914,[2]List1!$A:$D,4,FALSE),"NEUVEDENO!")</f>
        <v>12</v>
      </c>
      <c r="J914" s="732" t="s">
        <v>614</v>
      </c>
      <c r="K914" s="569" t="s">
        <v>20</v>
      </c>
      <c r="L914" s="569" t="s">
        <v>10999</v>
      </c>
      <c r="M914" s="569" t="s">
        <v>114</v>
      </c>
      <c r="N914" s="569">
        <f>IFERROR(VLOOKUP(C914,[3]List1!$A:$D,4,FALSE),"N/A!")</f>
        <v>5.0624999999999996E-2</v>
      </c>
      <c r="O914" s="569">
        <f>IFERROR(VLOOKUP(C914,[3]List1!$A:$D,3,FALSE),"N/A!")</f>
        <v>10800</v>
      </c>
      <c r="P914" s="569">
        <f>IFERROR(VLOOKUP(C914,[3]List1!$A:$D,2,FALSE),"N/A!")</f>
        <v>16000</v>
      </c>
      <c r="Q914" s="569" t="s">
        <v>11236</v>
      </c>
      <c r="R914" s="569" t="s">
        <v>15</v>
      </c>
      <c r="S914" s="569"/>
      <c r="T914" s="569"/>
      <c r="U914" s="569">
        <v>90</v>
      </c>
      <c r="V914" s="569">
        <v>55</v>
      </c>
      <c r="W914" s="569" t="str">
        <f>IFERROR(IF(AND($AB914&gt;=0.1*$AA914,MOD($AB914,$AA914)&gt;=($AA914-(0.1*$AA914))),IF($W$17=$AF$1,"Zvažte možnost doobjednání ještě "&amp;Tabulka1[[#This Row],[VKPAL]]-MOD(AB914,AA914)&amp;" VK do plné palety.",VLOOKUP("Zvažte možnost doobjednání ještě ",Jazyky_ceník!A:Q,MATCH($W$17,Jazyky_ceník!$A$1:$Q$1,0),FALSE)&amp;Tabulka1[[#This Row],[VKPAL]]-MOD(AB914,AA914)&amp;VLOOKUP(" VK do plné palety.",Jazyky_ceník!A:Q,MATCH($W$17,Jazyky_ceník!$A$1:$Q$1,0),FALSE)),IFERROR(IF(AND(NOT(MOD($AB914,$AA914)=0),$AB914&gt;=0.9*$AA914,MOD($AB914,$AA914)&lt;=0.1*$AA914),IF($W$17=$AF$1,"Zvažte možnost optimalizace objednaného množství podle počtu VK na paletě ==&gt;",VLOOKUP("Zvažte možnost optimalizace objednaného množství podle počtu VK na paletě ==&gt;",Jazyky_ceník!A:Q,MATCH($W$17,Jazyky_ceník!$A$1:$Q$1,0),FALSE)),VLOOKUP('General price list'!$C914,Popisy!A:M,MATCH($W$17,Popisy!$A$7:$M$7,0),FALSE)),"---------------")),IFERROR(VLOOKUP('General price list'!$C914,Popisy!A:M,MATCH($W$17,Popisy!$A$7:$M$7,0),FALSE),"---------------"))</f>
        <v>blood red + silver strobe</v>
      </c>
      <c r="X914" s="569" t="str">
        <f t="shared" si="2823"/>
        <v/>
      </c>
      <c r="Y914" s="569" t="str">
        <f t="shared" si="2824"/>
        <v/>
      </c>
      <c r="Z914" s="569" t="str">
        <f>HYPERLINK("https://www.klasekpyrotechnics.cz/s3s-p")</f>
        <v>https://www.klasekpyrotechnics.cz/s3s-p</v>
      </c>
      <c r="AA914" s="569" t="str">
        <f>IFERROR(IF(VLOOKUP(C914,[4]List1!$A:$D,4,FALSE)=0,"",VLOOKUP(C914,[4]List1!$A:$D,4,FALSE)),"")</f>
        <v>21</v>
      </c>
      <c r="AB914" s="565"/>
      <c r="AC914" s="570" t="str">
        <f>IFERROR(IF(VLOOKUP(C914,[1]List1!$A:$D,2,FALSE)="VYPRODÁNO",$V$9,IF(VLOOKUP(C914,[1]List1!$A:$D,2,FALSE)="DOCHÁZÍ",$V$3,VLOOKUP(C914,[1]List1!$A:$D,2,FALSE))),"OFFLINE!")</f>
        <v>31.07.2026</v>
      </c>
      <c r="AD914" s="570" t="str">
        <f ca="1">IF(AP914="NE",$V$10,IF(AC914=$V$3,IF(AQ914&lt;1,$V$8,$V$2&amp;" "&amp;AQ914&amp;" "&amp;$V$1),IF(AC914="SKLADEM",$V$6,IFERROR(IF(OR(AC914-TODAY()&gt;45,VLOOKUP(C914,[1]List1!$A:$E,4,FALSE)=0),AC914,DAY(AC914)&amp;"."&amp;MONTH(AC914)&amp;"."&amp;YEAR(AC914)&amp;" "&amp;$V$4&amp;VLOOKUP(C914,[1]List1!$A:$E,4,FALSE)&amp;" "&amp;$V$1),AC914))))</f>
        <v>31.07.2026</v>
      </c>
      <c r="AE914" s="581" t="str">
        <f t="shared" ca="1" si="2825"/>
        <v>31.07.2026</v>
      </c>
      <c r="AF914" s="584">
        <f t="shared" si="2826"/>
        <v>0</v>
      </c>
      <c r="AG914" s="585">
        <f t="shared" si="2827"/>
        <v>0</v>
      </c>
      <c r="AH914" s="583">
        <f t="shared" si="2828"/>
        <v>0</v>
      </c>
      <c r="AI914" s="582">
        <f t="shared" si="2829"/>
        <v>0</v>
      </c>
      <c r="AJ914" s="569">
        <f t="shared" si="2830"/>
        <v>0</v>
      </c>
      <c r="AK914" s="569" t="str">
        <f t="shared" si="2831"/>
        <v/>
      </c>
      <c r="AL914" s="569">
        <f t="shared" si="2832"/>
        <v>0</v>
      </c>
      <c r="AM914" s="569" t="str">
        <f t="shared" si="2833"/>
        <v/>
      </c>
      <c r="AN914" s="581">
        <f t="shared" si="2834"/>
        <v>0</v>
      </c>
      <c r="AO914" s="623"/>
      <c r="AP914" s="632" t="str">
        <f t="shared" si="2772"/>
        <v/>
      </c>
      <c r="AQ914" s="633" t="str">
        <f>IF(AC914=$V$3,IF(VLOOKUP(C914,[1]List1!$A:$E,5,FALSE)=0,1,VLOOKUP(C914,[1]List1!$A:$E,5,FALSE)),"")</f>
        <v/>
      </c>
      <c r="AR914" s="625" t="str">
        <f t="shared" si="2773"/>
        <v/>
      </c>
      <c r="AS914" s="634" t="str">
        <f t="shared" si="2743"/>
        <v/>
      </c>
      <c r="AT914" s="625" t="str">
        <f t="shared" si="2774"/>
        <v/>
      </c>
      <c r="AU914" s="638" t="e">
        <f t="shared" si="2775"/>
        <v>#N/A</v>
      </c>
      <c r="AV914" s="625" t="e">
        <f t="shared" si="2776"/>
        <v>#N/A</v>
      </c>
      <c r="AX914" s="625">
        <f>IF(AND('General price list'!$J914="F4",'General price list'!$AB914+0&gt;0),1,0)</f>
        <v>0</v>
      </c>
      <c r="AY914" s="625">
        <f t="shared" si="2777"/>
        <v>1</v>
      </c>
      <c r="AZ914" s="625">
        <f t="shared" si="2778"/>
        <v>1</v>
      </c>
    </row>
    <row r="915" spans="1:52" ht="15.75" customHeight="1">
      <c r="A915" s="639" t="str">
        <f>Kat.!C915</f>
        <v/>
      </c>
      <c r="B915" s="640">
        <f>IF(AND('General price list'!$J915="F4",$AI$1=FALSE),0,IF(AC915="SKLADEM",1,IF(AC915=$V$3,1,0)))</f>
        <v>0</v>
      </c>
      <c r="C915" s="641" t="s">
        <v>1835</v>
      </c>
      <c r="D915" s="642" t="s">
        <v>12610</v>
      </c>
      <c r="E915" s="643" t="s">
        <v>12748</v>
      </c>
      <c r="F915" s="771">
        <f>IFERROR(VLOOKUP(C915,[2]List1!$A:$D,3,FALSE),"NEUVEDENO!")</f>
        <v>1100</v>
      </c>
      <c r="G915" s="768">
        <f t="shared" si="2821"/>
        <v>1100</v>
      </c>
      <c r="H915" s="765">
        <f t="shared" si="2822"/>
        <v>46.726391490699328</v>
      </c>
      <c r="I915" s="644">
        <f>IFERROR(VLOOKUP(C915,[2]List1!$A:$D,4,FALSE),"NEUVEDENO!")</f>
        <v>12</v>
      </c>
      <c r="J915" s="733" t="s">
        <v>614</v>
      </c>
      <c r="K915" s="645">
        <v>4</v>
      </c>
      <c r="L915" s="645" t="s">
        <v>10999</v>
      </c>
      <c r="M915" s="645" t="s">
        <v>114</v>
      </c>
      <c r="N915" s="645">
        <f>IFERROR(VLOOKUP(C915,[3]List1!$A:$D,4,FALSE),"N/A!")</f>
        <v>5.0624999999999996E-2</v>
      </c>
      <c r="O915" s="645">
        <f>IFERROR(VLOOKUP(C915,[3]List1!$A:$D,3,FALSE),"N/A!")</f>
        <v>10800</v>
      </c>
      <c r="P915" s="645">
        <f>IFERROR(VLOOKUP(C915,[3]List1!$A:$D,2,FALSE),"N/A!")</f>
        <v>15700</v>
      </c>
      <c r="Q915" s="645" t="s">
        <v>11236</v>
      </c>
      <c r="R915" s="645" t="s">
        <v>15</v>
      </c>
      <c r="S915" s="645"/>
      <c r="T915" s="645"/>
      <c r="U915" s="645">
        <v>90</v>
      </c>
      <c r="V915" s="645"/>
      <c r="W915" s="645" t="str">
        <f>IFERROR(IF(AND($AB915&gt;=0.1*$AA915,MOD($AB915,$AA915)&gt;=($AA915-(0.1*$AA915))),IF($W$17=$AF$1,"Zvažte možnost doobjednání ještě "&amp;Tabulka1[[#This Row],[VKPAL]]-MOD(AB915,AA915)&amp;" VK do plné palety.",VLOOKUP("Zvažte možnost doobjednání ještě ",Jazyky_ceník!A:Q,MATCH($W$17,Jazyky_ceník!$A$1:$Q$1,0),FALSE)&amp;Tabulka1[[#This Row],[VKPAL]]-MOD(AB915,AA915)&amp;VLOOKUP(" VK do plné palety.",Jazyky_ceník!A:Q,MATCH($W$17,Jazyky_ceník!$A$1:$Q$1,0),FALSE)),IFERROR(IF(AND(NOT(MOD($AB915,$AA915)=0),$AB915&gt;=0.9*$AA915,MOD($AB915,$AA915)&lt;=0.1*$AA915),IF($W$17=$AF$1,"Zvažte možnost optimalizace objednaného množství podle počtu VK na paletě ==&gt;",VLOOKUP("Zvažte možnost optimalizace objednaného množství podle počtu VK na paletě ==&gt;",Jazyky_ceník!A:Q,MATCH($W$17,Jazyky_ceník!$A$1:$Q$1,0),FALSE)),VLOOKUP('General price list'!$C915,Popisy!A:M,MATCH($W$17,Popisy!$A$7:$M$7,0),FALSE)),"---------------")),IFERROR(VLOOKUP('General price list'!$C915,Popisy!A:M,MATCH($W$17,Popisy!$A$7:$M$7,0),FALSE),"---------------"))</f>
        <v>silver tail to titanium salute</v>
      </c>
      <c r="X915" s="645" t="str">
        <f t="shared" si="2823"/>
        <v/>
      </c>
      <c r="Y915" s="645" t="str">
        <f t="shared" si="2824"/>
        <v/>
      </c>
      <c r="Z915" s="645" t="str">
        <f>HYPERLINK("https://www.klasekpyrotechnics.cz/s3t")</f>
        <v>https://www.klasekpyrotechnics.cz/s3t</v>
      </c>
      <c r="AA915" s="645">
        <f>IFERROR(IF(VLOOKUP(C915,[4]List1!$A:$D,4,FALSE)=0,"",VLOOKUP(C915,[4]List1!$A:$D,4,FALSE)),"")</f>
        <v>21</v>
      </c>
      <c r="AB915" s="646"/>
      <c r="AC915" s="647" t="str">
        <f>IFERROR(IF(VLOOKUP(C915,[1]List1!$A:$D,2,FALSE)="VYPRODÁNO",$V$9,IF(VLOOKUP(C915,[1]List1!$A:$D,2,FALSE)="DOCHÁZÍ",$V$3,VLOOKUP(C915,[1]List1!$A:$D,2,FALSE))),"OFFLINE!")</f>
        <v>31.08.2026</v>
      </c>
      <c r="AD915" s="647" t="str">
        <f ca="1">IF(AP915="NE",$V$10,IF(AC915=$V$3,IF(AQ915&lt;1,$V$8,$V$2&amp;" "&amp;AQ915&amp;" "&amp;$V$1),IF(AC915="SKLADEM",$V$6,IFERROR(IF(OR(AC915-TODAY()&gt;45,VLOOKUP(C915,[1]List1!$A:$E,4,FALSE)=0),AC915,DAY(AC915)&amp;"."&amp;MONTH(AC915)&amp;"."&amp;YEAR(AC915)&amp;" "&amp;$V$4&amp;VLOOKUP(C915,[1]List1!$A:$E,4,FALSE)&amp;" "&amp;$V$1),AC915))))</f>
        <v>31.08.2026</v>
      </c>
      <c r="AE915" s="645" t="str">
        <f t="shared" ca="1" si="2825"/>
        <v>31.08.2026</v>
      </c>
      <c r="AF915" s="648">
        <f t="shared" si="2826"/>
        <v>0</v>
      </c>
      <c r="AG915" s="649">
        <f t="shared" si="2827"/>
        <v>0</v>
      </c>
      <c r="AH915" s="650">
        <f t="shared" si="2828"/>
        <v>0</v>
      </c>
      <c r="AI915" s="645">
        <f t="shared" si="2829"/>
        <v>0</v>
      </c>
      <c r="AJ915" s="645">
        <f t="shared" si="2830"/>
        <v>0</v>
      </c>
      <c r="AK915" s="645" t="str">
        <f t="shared" si="2831"/>
        <v/>
      </c>
      <c r="AL915" s="645">
        <f t="shared" si="2832"/>
        <v>0</v>
      </c>
      <c r="AM915" s="645" t="str">
        <f t="shared" si="2833"/>
        <v/>
      </c>
      <c r="AN915" s="651">
        <f t="shared" si="2834"/>
        <v>0</v>
      </c>
      <c r="AO915" s="623"/>
      <c r="AP915" s="625" t="str">
        <f t="shared" si="2772"/>
        <v/>
      </c>
      <c r="AQ915" s="625" t="str">
        <f>IF(AC915=$V$3,IF(VLOOKUP(C915,[1]List1!$A:$E,5,FALSE)=0,1,VLOOKUP(C915,[1]List1!$A:$E,5,FALSE)),"")</f>
        <v/>
      </c>
      <c r="AR915" s="629" t="str">
        <f t="shared" si="2773"/>
        <v/>
      </c>
      <c r="AS915" s="630" t="str">
        <f t="shared" si="2743"/>
        <v/>
      </c>
      <c r="AT915" s="625" t="str">
        <f t="shared" si="2774"/>
        <v/>
      </c>
      <c r="AU915" s="625" t="e">
        <f t="shared" si="2775"/>
        <v>#N/A</v>
      </c>
      <c r="AV915" s="625" t="e">
        <f t="shared" si="2776"/>
        <v>#N/A</v>
      </c>
      <c r="AW915" s="631"/>
      <c r="AX915" s="631">
        <f>IF(AND('General price list'!$J915="F4",'General price list'!$AB915+0&gt;0),1,0)</f>
        <v>0</v>
      </c>
      <c r="AY915" s="631">
        <f t="shared" si="2777"/>
        <v>1</v>
      </c>
      <c r="AZ915" s="631">
        <f t="shared" si="2778"/>
        <v>1</v>
      </c>
    </row>
    <row r="916" spans="1:52" ht="15" customHeight="1">
      <c r="A916" s="621" t="str">
        <f>Kat.!C916</f>
        <v/>
      </c>
      <c r="B916" s="566">
        <f>IF(AND('General price list'!$J916="F4",$AI$1=FALSE),0,IF(AC916="SKLADEM",1,IF(AC916=$V$3,1,0)))</f>
        <v>0</v>
      </c>
      <c r="C916" s="567" t="s">
        <v>1857</v>
      </c>
      <c r="D916" s="568" t="s">
        <v>1858</v>
      </c>
      <c r="E916" s="763" t="s">
        <v>12748</v>
      </c>
      <c r="F916" s="772">
        <f>IFERROR(VLOOKUP(C916,[2]List1!$A:$D,3,FALSE),"NEUVEDENO!")</f>
        <v>940</v>
      </c>
      <c r="G916" s="769">
        <f t="shared" si="2821"/>
        <v>940</v>
      </c>
      <c r="H916" s="766">
        <f t="shared" si="2822"/>
        <v>39.929825455688515</v>
      </c>
      <c r="I916" s="764">
        <f>IFERROR(VLOOKUP(C916,[2]List1!$A:$D,4,FALSE),"NEUVEDENO!")</f>
        <v>12</v>
      </c>
      <c r="J916" s="732" t="s">
        <v>614</v>
      </c>
      <c r="K916" s="569" t="s">
        <v>20</v>
      </c>
      <c r="L916" s="569" t="s">
        <v>10999</v>
      </c>
      <c r="M916" s="569" t="s">
        <v>114</v>
      </c>
      <c r="N916" s="569">
        <f>IFERROR(VLOOKUP(C916,[3]List1!$A:$D,4,FALSE),"N/A!")</f>
        <v>5.0624999999999996E-2</v>
      </c>
      <c r="O916" s="569">
        <f>IFERROR(VLOOKUP(C916,[3]List1!$A:$D,3,FALSE),"N/A!")</f>
        <v>10800</v>
      </c>
      <c r="P916" s="569">
        <f>IFERROR(VLOOKUP(C916,[3]List1!$A:$D,2,FALSE),"N/A!")</f>
        <v>15600</v>
      </c>
      <c r="Q916" s="569" t="s">
        <v>11236</v>
      </c>
      <c r="R916" s="569" t="s">
        <v>15</v>
      </c>
      <c r="S916" s="569"/>
      <c r="T916" s="569"/>
      <c r="U916" s="569">
        <v>90</v>
      </c>
      <c r="V916" s="569">
        <v>55</v>
      </c>
      <c r="W916" s="569" t="str">
        <f>IFERROR(IF(AND($AB916&gt;=0.1*$AA916,MOD($AB916,$AA916)&gt;=($AA916-(0.1*$AA916))),IF($W$17=$AF$1,"Zvažte možnost doobjednání ještě "&amp;Tabulka1[[#This Row],[VKPAL]]-MOD(AB916,AA916)&amp;" VK do plné palety.",VLOOKUP("Zvažte možnost doobjednání ještě ",Jazyky_ceník!A:Q,MATCH($W$17,Jazyky_ceník!$A$1:$Q$1,0),FALSE)&amp;Tabulka1[[#This Row],[VKPAL]]-MOD(AB916,AA916)&amp;VLOOKUP(" VK do plné palety.",Jazyky_ceník!A:Q,MATCH($W$17,Jazyky_ceník!$A$1:$Q$1,0),FALSE)),IFERROR(IF(AND(NOT(MOD($AB916,$AA916)=0),$AB916&gt;=0.9*$AA916,MOD($AB916,$AA916)&lt;=0.1*$AA916),IF($W$17=$AF$1,"Zvažte možnost optimalizace objednaného množství podle počtu VK na paletě ==&gt;",VLOOKUP("Zvažte možnost optimalizace objednaného množství podle počtu VK na paletě ==&gt;",Jazyky_ceník!A:Q,MATCH($W$17,Jazyky_ceník!$A$1:$Q$1,0),FALSE)),VLOOKUP('General price list'!$C916,Popisy!A:M,MATCH($W$17,Popisy!$A$7:$M$7,0),FALSE)),"---------------")),IFERROR(VLOOKUP('General price list'!$C916,Popisy!A:M,MATCH($W$17,Popisy!$A$7:$M$7,0),FALSE),"---------------"))</f>
        <v>Mixed carton contains-premiun quality(each box including: silver tail to red wave w.crackling, flower crown chrysant.to blue, silver tail to silver strobe, delay cracker willow, golden ti willow, silver tail to silver palm tree)</v>
      </c>
      <c r="X916" s="569" t="str">
        <f t="shared" si="2823"/>
        <v/>
      </c>
      <c r="Y916" s="569" t="str">
        <f t="shared" si="2824"/>
        <v/>
      </c>
      <c r="Z916" s="569" t="str">
        <f>HYPERLINK("https://www.klasekpyrotechnics.cz/s3m-p")</f>
        <v>https://www.klasekpyrotechnics.cz/s3m-p</v>
      </c>
      <c r="AA916" s="569" t="str">
        <f>IFERROR(IF(VLOOKUP(C916,[4]List1!$A:$D,4,FALSE)=0,"",VLOOKUP(C916,[4]List1!$A:$D,4,FALSE)),"")</f>
        <v>21</v>
      </c>
      <c r="AB916" s="565"/>
      <c r="AC916" s="570" t="str">
        <f>IFERROR(IF(VLOOKUP(C916,[1]List1!$A:$D,2,FALSE)="VYPRODÁNO",$V$9,IF(VLOOKUP(C916,[1]List1!$A:$D,2,FALSE)="DOCHÁZÍ",$V$3,VLOOKUP(C916,[1]List1!$A:$D,2,FALSE))),"OFFLINE!")</f>
        <v>14.04.2026</v>
      </c>
      <c r="AD916" s="570" t="str">
        <f ca="1">IF(AP916="NE",$V$10,IF(AC916=$V$3,IF(AQ916&lt;1,$V$8,$V$2&amp;" "&amp;AQ916&amp;" "&amp;$V$1),IF(AC916="SKLADEM",$V$6,IFERROR(IF(OR(AC916-TODAY()&gt;45,VLOOKUP(C916,[1]List1!$A:$E,4,FALSE)=0),AC916,DAY(AC916)&amp;"."&amp;MONTH(AC916)&amp;"."&amp;YEAR(AC916)&amp;" "&amp;$V$4&amp;VLOOKUP(C916,[1]List1!$A:$E,4,FALSE)&amp;" "&amp;$V$1),AC916))))</f>
        <v>14.4.2026 DORAZÍ 100+ VK</v>
      </c>
      <c r="AE916" s="581" t="str">
        <f t="shared" ca="1" si="2825"/>
        <v>14.4.2026 DORAZÍ 100+ VK</v>
      </c>
      <c r="AF916" s="584">
        <f t="shared" si="2826"/>
        <v>0</v>
      </c>
      <c r="AG916" s="585">
        <f t="shared" si="2827"/>
        <v>0</v>
      </c>
      <c r="AH916" s="583">
        <f t="shared" si="2828"/>
        <v>0</v>
      </c>
      <c r="AI916" s="582">
        <f t="shared" si="2829"/>
        <v>0</v>
      </c>
      <c r="AJ916" s="569">
        <f t="shared" si="2830"/>
        <v>0</v>
      </c>
      <c r="AK916" s="569" t="str">
        <f t="shared" si="2831"/>
        <v/>
      </c>
      <c r="AL916" s="569">
        <f t="shared" si="2832"/>
        <v>0</v>
      </c>
      <c r="AM916" s="569" t="str">
        <f t="shared" si="2833"/>
        <v/>
      </c>
      <c r="AN916" s="581">
        <f t="shared" si="2834"/>
        <v>0</v>
      </c>
      <c r="AO916" s="623"/>
      <c r="AP916" s="632" t="str">
        <f t="shared" si="2772"/>
        <v/>
      </c>
      <c r="AQ916" s="633" t="str">
        <f>IF(AC916=$V$3,IF(VLOOKUP(C916,[1]List1!$A:$E,5,FALSE)=0,1,VLOOKUP(C916,[1]List1!$A:$E,5,FALSE)),"")</f>
        <v/>
      </c>
      <c r="AR916" s="625" t="str">
        <f t="shared" si="2773"/>
        <v/>
      </c>
      <c r="AS916" s="634" t="str">
        <f t="shared" si="2743"/>
        <v/>
      </c>
      <c r="AT916" s="625" t="str">
        <f t="shared" si="2774"/>
        <v/>
      </c>
      <c r="AU916" s="638" t="e">
        <f t="shared" si="2775"/>
        <v>#N/A</v>
      </c>
      <c r="AV916" s="625" t="e">
        <f t="shared" si="2776"/>
        <v>#N/A</v>
      </c>
      <c r="AX916" s="625">
        <f>IF(AND('General price list'!$J916="F4",'General price list'!$AB916+0&gt;0),1,0)</f>
        <v>0</v>
      </c>
      <c r="AY916" s="625">
        <f t="shared" si="2777"/>
        <v>1</v>
      </c>
      <c r="AZ916" s="625">
        <f t="shared" si="2778"/>
        <v>1</v>
      </c>
    </row>
    <row r="917" spans="1:52" ht="15.75" customHeight="1">
      <c r="A917" s="751" t="str">
        <f>Kat.!C917</f>
        <v xml:space="preserve">           Kulové pumy 100 mm</v>
      </c>
      <c r="B917" s="751"/>
      <c r="C917" s="751"/>
      <c r="D917" s="751"/>
      <c r="E917" s="751"/>
      <c r="F917" s="751"/>
      <c r="G917" s="751"/>
      <c r="H917" s="751"/>
      <c r="I917" s="752"/>
      <c r="J917" s="752"/>
      <c r="K917" s="752" t="s">
        <v>20</v>
      </c>
      <c r="L917" s="753" t="s">
        <v>2818</v>
      </c>
      <c r="M917" s="752"/>
      <c r="N917" s="752"/>
      <c r="O917" s="752"/>
      <c r="P917" s="752"/>
      <c r="Q917" s="752"/>
      <c r="R917" s="752"/>
      <c r="S917" s="752"/>
      <c r="T917" s="752"/>
      <c r="U917" s="752"/>
      <c r="V917" s="752"/>
      <c r="W917" s="752"/>
      <c r="X917" s="752"/>
      <c r="Y917" s="752"/>
      <c r="Z917" s="752" t="s">
        <v>20</v>
      </c>
      <c r="AA917" s="752"/>
      <c r="AB917" s="752"/>
      <c r="AC917" s="754"/>
      <c r="AD917" s="752"/>
      <c r="AE917" s="752"/>
      <c r="AF917" s="752"/>
      <c r="AG917" s="752"/>
      <c r="AH917" s="752"/>
      <c r="AI917" s="752"/>
      <c r="AJ917" s="752"/>
      <c r="AK917" s="752"/>
      <c r="AL917" s="752"/>
      <c r="AM917" s="752"/>
      <c r="AN917" s="752"/>
      <c r="AO917" s="623"/>
      <c r="AP917" s="625" t="str">
        <f t="shared" ref="AP917:AP982" si="2835">IF($AL$3=1,IF(Y917=AB917,"","NE"),IF(AR917=$V$10,"NE",""))</f>
        <v/>
      </c>
      <c r="AQ917" s="625" t="str">
        <f>IF(AC917=$V$3,IF(VLOOKUP(C917,[1]List1!$A:$E,5,FALSE)=0,1,VLOOKUP(C917,[1]List1!$A:$E,5,FALSE)),"")</f>
        <v/>
      </c>
      <c r="AR917" s="629" t="str">
        <f t="shared" ref="AR917:AR982" si="2836">IF($AL$3=1,"",IF(OR(AB917&lt;&gt;"",AB917&lt;&gt;0),IF(OR(AC917=$V$6,AC917=$V$3,AC917=$V$9),$V$10,""),""))</f>
        <v/>
      </c>
      <c r="AS917" s="630" t="str">
        <f t="shared" ref="AS917:AS982" si="2837">IF(AT917&lt;&gt;"","X","")</f>
        <v/>
      </c>
      <c r="AT917" s="625" t="str">
        <f t="shared" ref="AT917:AT982" si="2838">IF(AND($AL$3=2,AR917="",AB917&lt;&gt;""),AD917,"")</f>
        <v/>
      </c>
      <c r="AU917" s="625" t="e">
        <f t="shared" ref="AU917:AU982" si="2839">IF(AT917=$AS$21,AB917,"")</f>
        <v>#N/A</v>
      </c>
      <c r="AV917" s="625" t="e">
        <f t="shared" ref="AV917:AV982" si="2840">IF(OR(AB917="",AND(AT917&lt;&gt;"",AU917&lt;&gt;"")),"",$V$10)</f>
        <v>#N/A</v>
      </c>
      <c r="AW917" s="631"/>
      <c r="AX917" s="631">
        <f>IF(AND('General price list'!$J917="F4",'General price list'!$AB917+0&gt;0),1,0)</f>
        <v>0</v>
      </c>
      <c r="AY917" s="631">
        <f t="shared" ref="AY917:AY982" si="2841">IFERROR(FIND(VLOOKUP($AC$7,$AD$1:$AE$12,2,FALSE),Q917,1),0)</f>
        <v>0</v>
      </c>
      <c r="AZ917" s="631">
        <f t="shared" ref="AZ917:AZ982" si="2842">IFERROR(FIND(VLOOKUP($AC$7,$AD$1:$AE$12,2,FALSE),R917,1),0)</f>
        <v>0</v>
      </c>
    </row>
    <row r="918" spans="1:52" ht="15" customHeight="1">
      <c r="A918" s="639" t="str">
        <f>Kat.!C918</f>
        <v/>
      </c>
      <c r="B918" s="640">
        <f>IF(AND('General price list'!$J918="F4",$AI$1=FALSE),0,IF(AC918="SKLADEM",1,IF(AC918=$V$3,1,0)))</f>
        <v>0</v>
      </c>
      <c r="C918" s="641" t="s">
        <v>1898</v>
      </c>
      <c r="D918" s="642" t="s">
        <v>1899</v>
      </c>
      <c r="E918" s="643" t="s">
        <v>12701</v>
      </c>
      <c r="F918" s="773">
        <f>IFERROR(VLOOKUP(C918,[2]List1!$A:$D,3,FALSE),"NEUVEDENO!")</f>
        <v>1300</v>
      </c>
      <c r="G918" s="770">
        <f t="shared" ref="G918" si="2843">IF($W$17=$AF$8,ROUND((F918)/$F$17,2),(F918)*$B$19)</f>
        <v>1300</v>
      </c>
      <c r="H918" s="767">
        <f t="shared" ref="H918" si="2844">IF($W$17=$AF$8,G918*$B$19,G918/$F$17)</f>
        <v>55.222099034462836</v>
      </c>
      <c r="I918" s="644">
        <f>IFERROR(VLOOKUP(C918,[2]List1!$A:$D,4,FALSE),"NEUVEDENO!")</f>
        <v>9</v>
      </c>
      <c r="J918" s="733" t="s">
        <v>614</v>
      </c>
      <c r="K918" s="645" t="s">
        <v>20</v>
      </c>
      <c r="L918" s="645" t="s">
        <v>10999</v>
      </c>
      <c r="M918" s="645" t="s">
        <v>114</v>
      </c>
      <c r="N918" s="645">
        <f>IFERROR(VLOOKUP(C918,[3]List1!$A:$D,4,FALSE),"N/A!")</f>
        <v>5.0591999999999998E-2</v>
      </c>
      <c r="O918" s="645">
        <f>IFERROR(VLOOKUP(C918,[3]List1!$A:$D,3,FALSE),"N/A!")</f>
        <v>10800</v>
      </c>
      <c r="P918" s="645">
        <f>IFERROR(VLOOKUP(C918,[3]List1!$A:$D,2,FALSE),"N/A!")</f>
        <v>13600</v>
      </c>
      <c r="Q918" s="645" t="s">
        <v>11236</v>
      </c>
      <c r="R918" s="645" t="s">
        <v>15</v>
      </c>
      <c r="S918" s="645"/>
      <c r="T918" s="645"/>
      <c r="U918" s="645">
        <v>120</v>
      </c>
      <c r="V918" s="645"/>
      <c r="W918" s="645" t="str">
        <f>IFERROR(IF(AND($AB918&gt;=0.1*$AA918,MOD($AB918,$AA918)&gt;=($AA918-(0.1*$AA918))),IF($W$17=$AF$1,"Zvažte možnost doobjednání ještě "&amp;Tabulka1[[#This Row],[VKPAL]]-MOD(AB918,AA918)&amp;" VK do plné palety.",VLOOKUP("Zvažte možnost doobjednání ještě ",Jazyky_ceník!A:Q,MATCH($W$17,Jazyky_ceník!$A$1:$Q$1,0),FALSE)&amp;Tabulka1[[#This Row],[VKPAL]]-MOD(AB918,AA918)&amp;VLOOKUP(" VK do plné palety.",Jazyky_ceník!A:Q,MATCH($W$17,Jazyky_ceník!$A$1:$Q$1,0),FALSE)),IFERROR(IF(AND(NOT(MOD($AB918,$AA918)=0),$AB918&gt;=0.9*$AA918,MOD($AB918,$AA918)&lt;=0.1*$AA918),IF($W$17=$AF$1,"Zvažte možnost optimalizace objednaného množství podle počtu VK na paletě ==&gt;",VLOOKUP("Zvažte možnost optimalizace objednaného množství podle počtu VK na paletě ==&gt;",Jazyky_ceník!A:Q,MATCH($W$17,Jazyky_ceník!$A$1:$Q$1,0),FALSE)),VLOOKUP('General price list'!$C918,Popisy!A:M,MATCH($W$17,Popisy!$A$7:$M$7,0),FALSE)),"---------------")),IFERROR(VLOOKUP('General price list'!$C918,Popisy!A:M,MATCH($W$17,Popisy!$A$7:$M$7,0),FALSE),"---------------"))</f>
        <v>silver tail to titanium salute</v>
      </c>
      <c r="X918" s="645" t="str">
        <f t="shared" ref="X918" si="2845">IF(AB918&lt;0.0001,"",AB918)</f>
        <v/>
      </c>
      <c r="Y918" s="645" t="str">
        <f t="shared" ref="Y918" si="2846">IF($AL$3=2,IF(OR(AB918&lt;&gt;"",AB918&lt;&gt;0),AU918,""),IF(C918="","",IF(AB918&lt;0.0001,"",IF(B918=0,"",IF(AQ918&lt;AB918,"",AB918)))))</f>
        <v/>
      </c>
      <c r="Z918" s="645" t="str">
        <f>HYPERLINK("https://www.klasekpyrotechnics.cz/s4t")</f>
        <v>https://www.klasekpyrotechnics.cz/s4t</v>
      </c>
      <c r="AA918" s="645" t="str">
        <f>IFERROR(IF(VLOOKUP(C918,[4]List1!$A:$D,4,FALSE)=0,"",VLOOKUP(C918,[4]List1!$A:$D,4,FALSE)),"")</f>
        <v>24</v>
      </c>
      <c r="AB918" s="646"/>
      <c r="AC918" s="647" t="str">
        <f>IFERROR(IF(VLOOKUP(C918,[1]List1!$A:$D,2,FALSE)="VYPRODÁNO",$V$9,IF(VLOOKUP(C918,[1]List1!$A:$D,2,FALSE)="DOCHÁZÍ",$V$3,VLOOKUP(C918,[1]List1!$A:$D,2,FALSE))),"OFFLINE!")</f>
        <v>31.08.2026</v>
      </c>
      <c r="AD918" s="647" t="str">
        <f ca="1">IF(AP918="NE",$V$10,IF(AC918=$V$3,IF(AQ918&lt;1,$V$8,$V$2&amp;" "&amp;AQ918&amp;" "&amp;$V$1),IF(AC918="SKLADEM",$V$6,IFERROR(IF(OR(AC918-TODAY()&gt;45,VLOOKUP(C918,[1]List1!$A:$E,4,FALSE)=0),AC918,DAY(AC918)&amp;"."&amp;MONTH(AC918)&amp;"."&amp;YEAR(AC918)&amp;" "&amp;$V$4&amp;VLOOKUP(C918,[1]List1!$A:$E,4,FALSE)&amp;" "&amp;$V$1),AC918))))</f>
        <v>31.08.2026</v>
      </c>
      <c r="AE918" s="645" t="str">
        <f t="shared" ref="AE918" ca="1" si="2847">IFERROR(IF(AV918&lt;&gt;"",AV918,AD918),AD918)</f>
        <v>31.08.2026</v>
      </c>
      <c r="AF918" s="648">
        <f t="shared" ref="AF918" si="2848">IFERROR(IF(AB918=Y918,G918*I918*Y918,0),0)</f>
        <v>0</v>
      </c>
      <c r="AG918" s="649">
        <f t="shared" ref="AG918" si="2849">IF($W$17=$AF$8,AH918*1.23,AF918*1.21)</f>
        <v>0</v>
      </c>
      <c r="AH918" s="650">
        <f t="shared" ref="AH918" si="2850">IFERROR(IF(Y918=AB918,H918*I918*Y918,0),0)</f>
        <v>0</v>
      </c>
      <c r="AI918" s="645">
        <f t="shared" ref="AI918" si="2851">IFERROR(IF(Y918=AB918,(P918*Y918)/1000,1),0)</f>
        <v>0</v>
      </c>
      <c r="AJ918" s="645">
        <f t="shared" ref="AJ918" si="2852">IFERROR(IF(Y918=AB918,N918*Y918,0.1),0)</f>
        <v>0</v>
      </c>
      <c r="AK918" s="645" t="str">
        <f t="shared" ref="AK918" si="2853">IFERROR(IF(Y918=AB918,IF(M918="1.1G",(O918/1000)*Y918,""),""),0)</f>
        <v/>
      </c>
      <c r="AL918" s="645">
        <f t="shared" ref="AL918" si="2854">IFERROR(IF(Y918=AB918,IF(M918="1.3G",(O918/1000)*AB918,""),""),0)</f>
        <v>0</v>
      </c>
      <c r="AM918" s="645" t="str">
        <f t="shared" ref="AM918" si="2855">IFERROR(IF(Y918=AB918,IF(M918="1.4G",(O918/1000)*AB918,""),""),0)</f>
        <v/>
      </c>
      <c r="AN918" s="651">
        <f t="shared" ref="AN918" si="2856">SUM(AK918:AM918)</f>
        <v>0</v>
      </c>
      <c r="AO918" s="623"/>
      <c r="AP918" s="632" t="str">
        <f t="shared" si="2835"/>
        <v/>
      </c>
      <c r="AQ918" s="633" t="str">
        <f>IF(AC918=$V$3,IF(VLOOKUP(C918,[1]List1!$A:$E,5,FALSE)=0,1,VLOOKUP(C918,[1]List1!$A:$E,5,FALSE)),"")</f>
        <v/>
      </c>
      <c r="AR918" s="625" t="str">
        <f t="shared" si="2836"/>
        <v/>
      </c>
      <c r="AS918" s="634" t="str">
        <f t="shared" si="2837"/>
        <v/>
      </c>
      <c r="AT918" s="625" t="str">
        <f t="shared" si="2838"/>
        <v/>
      </c>
      <c r="AU918" s="638" t="e">
        <f t="shared" si="2839"/>
        <v>#N/A</v>
      </c>
      <c r="AV918" s="625" t="e">
        <f t="shared" si="2840"/>
        <v>#N/A</v>
      </c>
      <c r="AX918" s="625">
        <f>IF(AND('General price list'!$J918="F4",'General price list'!$AB918+0&gt;0),1,0)</f>
        <v>0</v>
      </c>
      <c r="AY918" s="625">
        <f t="shared" si="2841"/>
        <v>1</v>
      </c>
      <c r="AZ918" s="625">
        <f t="shared" si="2842"/>
        <v>1</v>
      </c>
    </row>
    <row r="919" spans="1:52" ht="15.75" customHeight="1">
      <c r="A919" s="751" t="str">
        <f>Kat.!C919</f>
        <v xml:space="preserve">           Kulové pumy 100 mm, prémiová kvalita</v>
      </c>
      <c r="B919" s="751"/>
      <c r="C919" s="751"/>
      <c r="D919" s="751"/>
      <c r="E919" s="751"/>
      <c r="F919" s="751"/>
      <c r="G919" s="751"/>
      <c r="H919" s="751"/>
      <c r="I919" s="752"/>
      <c r="J919" s="752"/>
      <c r="K919" s="752" t="s">
        <v>20</v>
      </c>
      <c r="L919" s="753" t="s">
        <v>2818</v>
      </c>
      <c r="M919" s="752"/>
      <c r="N919" s="752"/>
      <c r="O919" s="752"/>
      <c r="P919" s="752"/>
      <c r="Q919" s="752"/>
      <c r="R919" s="752"/>
      <c r="S919" s="752"/>
      <c r="T919" s="752"/>
      <c r="U919" s="752"/>
      <c r="V919" s="752"/>
      <c r="W919" s="752"/>
      <c r="X919" s="752"/>
      <c r="Y919" s="752"/>
      <c r="Z919" s="752" t="s">
        <v>20</v>
      </c>
      <c r="AA919" s="752"/>
      <c r="AB919" s="752"/>
      <c r="AC919" s="754"/>
      <c r="AD919" s="752"/>
      <c r="AE919" s="752"/>
      <c r="AF919" s="752"/>
      <c r="AG919" s="752"/>
      <c r="AH919" s="752"/>
      <c r="AI919" s="752"/>
      <c r="AJ919" s="752"/>
      <c r="AK919" s="752"/>
      <c r="AL919" s="752"/>
      <c r="AM919" s="752"/>
      <c r="AN919" s="752"/>
      <c r="AO919" s="623"/>
      <c r="AP919" s="625" t="str">
        <f t="shared" si="2835"/>
        <v/>
      </c>
      <c r="AQ919" s="625" t="str">
        <f>IF(AC919=$V$3,IF(VLOOKUP(C919,[1]List1!$A:$E,5,FALSE)=0,1,VLOOKUP(C919,[1]List1!$A:$E,5,FALSE)),"")</f>
        <v/>
      </c>
      <c r="AR919" s="629" t="str">
        <f t="shared" si="2836"/>
        <v/>
      </c>
      <c r="AS919" s="630" t="str">
        <f t="shared" si="2837"/>
        <v/>
      </c>
      <c r="AT919" s="625" t="str">
        <f t="shared" si="2838"/>
        <v/>
      </c>
      <c r="AU919" s="625" t="e">
        <f t="shared" si="2839"/>
        <v>#N/A</v>
      </c>
      <c r="AV919" s="625" t="e">
        <f t="shared" si="2840"/>
        <v>#N/A</v>
      </c>
      <c r="AW919" s="631"/>
      <c r="AX919" s="631">
        <f>IF(AND('General price list'!$J919="F4",'General price list'!$AB919+0&gt;0),1,0)</f>
        <v>0</v>
      </c>
      <c r="AY919" s="631">
        <f t="shared" si="2841"/>
        <v>0</v>
      </c>
      <c r="AZ919" s="631">
        <f t="shared" si="2842"/>
        <v>0</v>
      </c>
    </row>
    <row r="920" spans="1:52" ht="15.75" customHeight="1">
      <c r="A920" s="639" t="str">
        <f>Kat.!C920</f>
        <v/>
      </c>
      <c r="B920" s="640">
        <f>IF(AND('General price list'!$J920="F4",$AI$1=FALSE),0,IF(AC920="SKLADEM",1,IF(AC920=$V$3,1,0)))</f>
        <v>0</v>
      </c>
      <c r="C920" s="641" t="s">
        <v>1904</v>
      </c>
      <c r="D920" s="642" t="s">
        <v>1862</v>
      </c>
      <c r="E920" s="643" t="s">
        <v>12701</v>
      </c>
      <c r="F920" s="771">
        <f>IFERROR(VLOOKUP(C920,[2]List1!$A:$D,3,FALSE),"NEUVEDENO!")</f>
        <v>1160</v>
      </c>
      <c r="G920" s="768">
        <f t="shared" ref="G920:G934" si="2857">IF($W$17=$AF$8,ROUND((F920)/$F$17,2),(F920)*$B$19)</f>
        <v>1160</v>
      </c>
      <c r="H920" s="765">
        <f t="shared" ref="H920:H934" si="2858">IF($W$17=$AF$8,G920*$B$19,G920/$F$17)</f>
        <v>49.275103753828375</v>
      </c>
      <c r="I920" s="644">
        <f>IFERROR(VLOOKUP(C920,[2]List1!$A:$D,4,FALSE),"NEUVEDENO!")</f>
        <v>9</v>
      </c>
      <c r="J920" s="733" t="s">
        <v>614</v>
      </c>
      <c r="K920" s="645" t="s">
        <v>20</v>
      </c>
      <c r="L920" s="645" t="s">
        <v>10999</v>
      </c>
      <c r="M920" s="645" t="s">
        <v>114</v>
      </c>
      <c r="N920" s="645">
        <f>IFERROR(VLOOKUP(C920,[3]List1!$A:$D,4,FALSE),"N/A!")</f>
        <v>5.0591999999999998E-2</v>
      </c>
      <c r="O920" s="645">
        <f>IFERROR(VLOOKUP(C920,[3]List1!$A:$D,3,FALSE),"N/A!")</f>
        <v>10800</v>
      </c>
      <c r="P920" s="645">
        <f>IFERROR(VLOOKUP(C920,[3]List1!$A:$D,2,FALSE),"N/A!")</f>
        <v>15700</v>
      </c>
      <c r="Q920" s="645" t="s">
        <v>11236</v>
      </c>
      <c r="R920" s="645" t="s">
        <v>15</v>
      </c>
      <c r="S920" s="645"/>
      <c r="T920" s="645"/>
      <c r="U920" s="645">
        <v>120</v>
      </c>
      <c r="V920" s="645">
        <v>70</v>
      </c>
      <c r="W920" s="645" t="str">
        <f>IFERROR(IF(AND($AB920&gt;=0.1*$AA920,MOD($AB920,$AA920)&gt;=($AA920-(0.1*$AA920))),IF($W$17=$AF$1,"Zvažte možnost doobjednání ještě "&amp;Tabulka1[[#This Row],[VKPAL]]-MOD(AB920,AA920)&amp;" VK do plné palety.",VLOOKUP("Zvažte možnost doobjednání ještě ",Jazyky_ceník!A:Q,MATCH($W$17,Jazyky_ceník!$A$1:$Q$1,0),FALSE)&amp;Tabulka1[[#This Row],[VKPAL]]-MOD(AB920,AA920)&amp;VLOOKUP(" VK do plné palety.",Jazyky_ceník!A:Q,MATCH($W$17,Jazyky_ceník!$A$1:$Q$1,0),FALSE)),IFERROR(IF(AND(NOT(MOD($AB920,$AA920)=0),$AB920&gt;=0.9*$AA920,MOD($AB920,$AA920)&lt;=0.1*$AA920),IF($W$17=$AF$1,"Zvažte možnost optimalizace objednaného množství podle počtu VK na paletě ==&gt;",VLOOKUP("Zvažte možnost optimalizace objednaného množství podle počtu VK na paletě ==&gt;",Jazyky_ceník!A:Q,MATCH($W$17,Jazyky_ceník!$A$1:$Q$1,0),FALSE)),VLOOKUP('General price list'!$C920,Popisy!A:M,MATCH($W$17,Popisy!$A$7:$M$7,0),FALSE)),"---------------")),IFERROR(VLOOKUP('General price list'!$C920,Popisy!A:M,MATCH($W$17,Popisy!$A$7:$M$7,0),FALSE),"---------------"))</f>
        <v>glitter.palm tree</v>
      </c>
      <c r="X920" s="645" t="str">
        <f t="shared" ref="X920:X934" si="2859">IF(AB920&lt;0.0001,"",AB920)</f>
        <v/>
      </c>
      <c r="Y920" s="645" t="str">
        <f t="shared" ref="Y920:Y934" si="2860">IF($AL$3=2,IF(OR(AB920&lt;&gt;"",AB920&lt;&gt;0),AU920,""),IF(C920="","",IF(AB920&lt;0.0001,"",IF(B920=0,"",IF(AQ920&lt;AB920,"",AB920)))))</f>
        <v/>
      </c>
      <c r="Z920" s="645" t="str">
        <f>HYPERLINK("https://www.klasekpyrotechnics.cz/s4c-p")</f>
        <v>https://www.klasekpyrotechnics.cz/s4c-p</v>
      </c>
      <c r="AA920" s="645" t="str">
        <f>IFERROR(IF(VLOOKUP(C920,[4]List1!$A:$D,4,FALSE)=0,"",VLOOKUP(C920,[4]List1!$A:$D,4,FALSE)),"")</f>
        <v>24</v>
      </c>
      <c r="AB920" s="646"/>
      <c r="AC920" s="647" t="str">
        <f>IFERROR(IF(VLOOKUP(C920,[1]List1!$A:$D,2,FALSE)="VYPRODÁNO",$V$9,IF(VLOOKUP(C920,[1]List1!$A:$D,2,FALSE)="DOCHÁZÍ",$V$3,VLOOKUP(C920,[1]List1!$A:$D,2,FALSE))),"OFFLINE!")</f>
        <v>SKLADEM</v>
      </c>
      <c r="AD920" s="647" t="str">
        <f ca="1">IF(AP920="NE",$V$10,IF(AC920=$V$3,IF(AQ920&lt;1,$V$8,$V$2&amp;" "&amp;AQ920&amp;" "&amp;$V$1),IF(AC920="SKLADEM",$V$6,IFERROR(IF(OR(AC920-TODAY()&gt;45,VLOOKUP(C920,[1]List1!$A:$E,4,FALSE)=0),AC920,DAY(AC920)&amp;"."&amp;MONTH(AC920)&amp;"."&amp;YEAR(AC920)&amp;" "&amp;$V$4&amp;VLOOKUP(C920,[1]List1!$A:$E,4,FALSE)&amp;" "&amp;$V$1),AC920))))</f>
        <v>SKLADEM</v>
      </c>
      <c r="AE920" s="645" t="str">
        <f t="shared" ref="AE920:AE934" ca="1" si="2861">IFERROR(IF(AV920&lt;&gt;"",AV920,AD920),AD920)</f>
        <v>SKLADEM</v>
      </c>
      <c r="AF920" s="648">
        <f t="shared" ref="AF920:AF934" si="2862">IFERROR(IF(AB920=Y920,G920*I920*Y920,0),0)</f>
        <v>0</v>
      </c>
      <c r="AG920" s="649">
        <f t="shared" ref="AG920:AG934" si="2863">IF($W$17=$AF$8,AH920*1.23,AF920*1.21)</f>
        <v>0</v>
      </c>
      <c r="AH920" s="650">
        <f t="shared" ref="AH920:AH934" si="2864">IFERROR(IF(Y920=AB920,H920*I920*Y920,0),0)</f>
        <v>0</v>
      </c>
      <c r="AI920" s="645">
        <f t="shared" ref="AI920:AI934" si="2865">IFERROR(IF(Y920=AB920,(P920*Y920)/1000,1),0)</f>
        <v>0</v>
      </c>
      <c r="AJ920" s="645">
        <f t="shared" ref="AJ920:AJ934" si="2866">IFERROR(IF(Y920=AB920,N920*Y920,0.1),0)</f>
        <v>0</v>
      </c>
      <c r="AK920" s="645" t="str">
        <f t="shared" ref="AK920:AK934" si="2867">IFERROR(IF(Y920=AB920,IF(M920="1.1G",(O920/1000)*Y920,""),""),0)</f>
        <v/>
      </c>
      <c r="AL920" s="645">
        <f t="shared" ref="AL920:AL934" si="2868">IFERROR(IF(Y920=AB920,IF(M920="1.3G",(O920/1000)*AB920,""),""),0)</f>
        <v>0</v>
      </c>
      <c r="AM920" s="645" t="str">
        <f t="shared" ref="AM920:AM934" si="2869">IFERROR(IF(Y920=AB920,IF(M920="1.4G",(O920/1000)*AB920,""),""),0)</f>
        <v/>
      </c>
      <c r="AN920" s="651">
        <f t="shared" ref="AN920:AN934" si="2870">SUM(AK920:AM920)</f>
        <v>0</v>
      </c>
      <c r="AO920" s="623"/>
      <c r="AP920" s="625" t="str">
        <f t="shared" si="2835"/>
        <v/>
      </c>
      <c r="AQ920" s="625" t="str">
        <f>IF(AC920=$V$3,IF(VLOOKUP(C920,[1]List1!$A:$E,5,FALSE)=0,1,VLOOKUP(C920,[1]List1!$A:$E,5,FALSE)),"")</f>
        <v/>
      </c>
      <c r="AR920" s="629" t="str">
        <f t="shared" si="2836"/>
        <v/>
      </c>
      <c r="AS920" s="630" t="str">
        <f t="shared" si="2837"/>
        <v/>
      </c>
      <c r="AT920" s="625" t="str">
        <f t="shared" si="2838"/>
        <v/>
      </c>
      <c r="AU920" s="625" t="e">
        <f t="shared" si="2839"/>
        <v>#N/A</v>
      </c>
      <c r="AV920" s="625" t="e">
        <f t="shared" si="2840"/>
        <v>#N/A</v>
      </c>
      <c r="AW920" s="631"/>
      <c r="AX920" s="631">
        <f>IF(AND('General price list'!$J920="F4",'General price list'!$AB920+0&gt;0),1,0)</f>
        <v>0</v>
      </c>
      <c r="AY920" s="631">
        <f t="shared" si="2841"/>
        <v>1</v>
      </c>
      <c r="AZ920" s="631">
        <f t="shared" si="2842"/>
        <v>1</v>
      </c>
    </row>
    <row r="921" spans="1:52" ht="15.75" customHeight="1">
      <c r="A921" s="621" t="str">
        <f>Kat.!C921</f>
        <v/>
      </c>
      <c r="B921" s="566">
        <f>IF(AND('General price list'!$J921="F4",$AI$1=FALSE),0,IF(AC921="SKLADEM",1,IF(AC921=$V$3,1,0)))</f>
        <v>0</v>
      </c>
      <c r="C921" s="567" t="s">
        <v>1911</v>
      </c>
      <c r="D921" s="568" t="s">
        <v>1868</v>
      </c>
      <c r="E921" s="763" t="s">
        <v>12701</v>
      </c>
      <c r="F921" s="772">
        <f>IFERROR(VLOOKUP(C921,[2]List1!$A:$D,3,FALSE),"NEUVEDENO!")</f>
        <v>1160</v>
      </c>
      <c r="G921" s="769">
        <f t="shared" si="2857"/>
        <v>1160</v>
      </c>
      <c r="H921" s="766">
        <f t="shared" si="2858"/>
        <v>49.275103753828375</v>
      </c>
      <c r="I921" s="764">
        <f>IFERROR(VLOOKUP(C921,[2]List1!$A:$D,4,FALSE),"NEUVEDENO!")</f>
        <v>9</v>
      </c>
      <c r="J921" s="732" t="s">
        <v>614</v>
      </c>
      <c r="K921" s="569" t="s">
        <v>20</v>
      </c>
      <c r="L921" s="569" t="s">
        <v>10999</v>
      </c>
      <c r="M921" s="569" t="s">
        <v>114</v>
      </c>
      <c r="N921" s="569">
        <f>IFERROR(VLOOKUP(C921,[3]List1!$A:$D,4,FALSE),"N/A!")</f>
        <v>5.0591999999999998E-2</v>
      </c>
      <c r="O921" s="569">
        <f>IFERROR(VLOOKUP(C921,[3]List1!$A:$D,3,FALSE),"N/A!")</f>
        <v>10800</v>
      </c>
      <c r="P921" s="569">
        <f>IFERROR(VLOOKUP(C921,[3]List1!$A:$D,2,FALSE),"N/A!")</f>
        <v>16500</v>
      </c>
      <c r="Q921" s="569" t="s">
        <v>11236</v>
      </c>
      <c r="R921" s="569" t="s">
        <v>15</v>
      </c>
      <c r="S921" s="569"/>
      <c r="T921" s="569"/>
      <c r="U921" s="569">
        <v>120</v>
      </c>
      <c r="V921" s="569">
        <v>70</v>
      </c>
      <c r="W921" s="569" t="str">
        <f>IFERROR(IF(AND($AB921&gt;=0.1*$AA921,MOD($AB921,$AA921)&gt;=($AA921-(0.1*$AA921))),IF($W$17=$AF$1,"Zvažte možnost doobjednání ještě "&amp;Tabulka1[[#This Row],[VKPAL]]-MOD(AB921,AA921)&amp;" VK do plné palety.",VLOOKUP("Zvažte možnost doobjednání ještě ",Jazyky_ceník!A:Q,MATCH($W$17,Jazyky_ceník!$A$1:$Q$1,0),FALSE)&amp;Tabulka1[[#This Row],[VKPAL]]-MOD(AB921,AA921)&amp;VLOOKUP(" VK do plné palety.",Jazyky_ceník!A:Q,MATCH($W$17,Jazyky_ceník!$A$1:$Q$1,0),FALSE)),IFERROR(IF(AND(NOT(MOD($AB921,$AA921)=0),$AB921&gt;=0.9*$AA921,MOD($AB921,$AA921)&lt;=0.1*$AA921),IF($W$17=$AF$1,"Zvažte možnost optimalizace objednaného množství podle počtu VK na paletě ==&gt;",VLOOKUP("Zvažte možnost optimalizace objednaného množství podle počtu VK na paletě ==&gt;",Jazyky_ceník!A:Q,MATCH($W$17,Jazyky_ceník!$A$1:$Q$1,0),FALSE)),VLOOKUP('General price list'!$C921,Popisy!A:M,MATCH($W$17,Popisy!$A$7:$M$7,0),FALSE)),"---------------")),IFERROR(VLOOKUP('General price list'!$C921,Popisy!A:M,MATCH($W$17,Popisy!$A$7:$M$7,0),FALSE),"---------------"))</f>
        <v>crackling nishiki kamuro</v>
      </c>
      <c r="X921" s="569" t="str">
        <f t="shared" si="2859"/>
        <v/>
      </c>
      <c r="Y921" s="569" t="str">
        <f t="shared" si="2860"/>
        <v/>
      </c>
      <c r="Z921" s="569" t="str">
        <f>HYPERLINK("https://www.klasekpyrotechnics.cz/s4j-p")</f>
        <v>https://www.klasekpyrotechnics.cz/s4j-p</v>
      </c>
      <c r="AA921" s="569" t="str">
        <f>IFERROR(IF(VLOOKUP(C921,[4]List1!$A:$D,4,FALSE)=0,"",VLOOKUP(C921,[4]List1!$A:$D,4,FALSE)),"")</f>
        <v>24</v>
      </c>
      <c r="AB921" s="565"/>
      <c r="AC921" s="570" t="str">
        <f>IFERROR(IF(VLOOKUP(C921,[1]List1!$A:$D,2,FALSE)="VYPRODÁNO",$V$9,IF(VLOOKUP(C921,[1]List1!$A:$D,2,FALSE)="DOCHÁZÍ",$V$3,VLOOKUP(C921,[1]List1!$A:$D,2,FALSE))),"OFFLINE!")</f>
        <v>SKLADEM</v>
      </c>
      <c r="AD921" s="570" t="str">
        <f ca="1">IF(AP921="NE",$V$10,IF(AC921=$V$3,IF(AQ921&lt;1,$V$8,$V$2&amp;" "&amp;AQ921&amp;" "&amp;$V$1),IF(AC921="SKLADEM",$V$6,IFERROR(IF(OR(AC921-TODAY()&gt;45,VLOOKUP(C921,[1]List1!$A:$E,4,FALSE)=0),AC921,DAY(AC921)&amp;"."&amp;MONTH(AC921)&amp;"."&amp;YEAR(AC921)&amp;" "&amp;$V$4&amp;VLOOKUP(C921,[1]List1!$A:$E,4,FALSE)&amp;" "&amp;$V$1),AC921))))</f>
        <v>SKLADEM</v>
      </c>
      <c r="AE921" s="581" t="str">
        <f t="shared" ca="1" si="2861"/>
        <v>SKLADEM</v>
      </c>
      <c r="AF921" s="584">
        <f t="shared" si="2862"/>
        <v>0</v>
      </c>
      <c r="AG921" s="585">
        <f t="shared" si="2863"/>
        <v>0</v>
      </c>
      <c r="AH921" s="583">
        <f t="shared" si="2864"/>
        <v>0</v>
      </c>
      <c r="AI921" s="582">
        <f t="shared" si="2865"/>
        <v>0</v>
      </c>
      <c r="AJ921" s="569">
        <f t="shared" si="2866"/>
        <v>0</v>
      </c>
      <c r="AK921" s="569" t="str">
        <f t="shared" si="2867"/>
        <v/>
      </c>
      <c r="AL921" s="569">
        <f t="shared" si="2868"/>
        <v>0</v>
      </c>
      <c r="AM921" s="569" t="str">
        <f t="shared" si="2869"/>
        <v/>
      </c>
      <c r="AN921" s="581">
        <f t="shared" si="2870"/>
        <v>0</v>
      </c>
      <c r="AO921" s="623"/>
      <c r="AP921" s="625" t="str">
        <f t="shared" si="2835"/>
        <v/>
      </c>
      <c r="AQ921" s="625" t="str">
        <f>IF(AC921=$V$3,IF(VLOOKUP(C921,[1]List1!$A:$E,5,FALSE)=0,1,VLOOKUP(C921,[1]List1!$A:$E,5,FALSE)),"")</f>
        <v/>
      </c>
      <c r="AR921" s="629" t="str">
        <f t="shared" si="2836"/>
        <v/>
      </c>
      <c r="AS921" s="630" t="str">
        <f t="shared" si="2837"/>
        <v/>
      </c>
      <c r="AT921" s="625" t="str">
        <f t="shared" si="2838"/>
        <v/>
      </c>
      <c r="AU921" s="625" t="e">
        <f t="shared" si="2839"/>
        <v>#N/A</v>
      </c>
      <c r="AV921" s="625" t="e">
        <f t="shared" si="2840"/>
        <v>#N/A</v>
      </c>
      <c r="AW921" s="631"/>
      <c r="AX921" s="631">
        <f>IF(AND('General price list'!$J921="F4",'General price list'!$AB921+0&gt;0),1,0)</f>
        <v>0</v>
      </c>
      <c r="AY921" s="631">
        <f t="shared" si="2841"/>
        <v>1</v>
      </c>
      <c r="AZ921" s="631">
        <f t="shared" si="2842"/>
        <v>1</v>
      </c>
    </row>
    <row r="922" spans="1:52" ht="15.75" customHeight="1">
      <c r="A922" s="639" t="str">
        <f>Kat.!C922</f>
        <v/>
      </c>
      <c r="B922" s="640">
        <f>IF(AND('General price list'!$J922="F4",$AI$1=FALSE),0,IF(AC922="SKLADEM",1,IF(AC922=$V$3,1,0)))</f>
        <v>0</v>
      </c>
      <c r="C922" s="641" t="s">
        <v>1912</v>
      </c>
      <c r="D922" s="642" t="s">
        <v>1870</v>
      </c>
      <c r="E922" s="643" t="s">
        <v>12701</v>
      </c>
      <c r="F922" s="771">
        <f>IFERROR(VLOOKUP(C922,[2]List1!$A:$D,3,FALSE),"NEUVEDENO!")</f>
        <v>1160</v>
      </c>
      <c r="G922" s="768">
        <f t="shared" si="2857"/>
        <v>1160</v>
      </c>
      <c r="H922" s="765">
        <f t="shared" si="2858"/>
        <v>49.275103753828375</v>
      </c>
      <c r="I922" s="644">
        <f>IFERROR(VLOOKUP(C922,[2]List1!$A:$D,4,FALSE),"NEUVEDENO!")</f>
        <v>9</v>
      </c>
      <c r="J922" s="733" t="s">
        <v>614</v>
      </c>
      <c r="K922" s="645" t="s">
        <v>20</v>
      </c>
      <c r="L922" s="645" t="s">
        <v>10999</v>
      </c>
      <c r="M922" s="645" t="s">
        <v>114</v>
      </c>
      <c r="N922" s="645">
        <f>IFERROR(VLOOKUP(C922,[3]List1!$A:$D,4,FALSE),"N/A!")</f>
        <v>5.0591999999999998E-2</v>
      </c>
      <c r="O922" s="645">
        <f>IFERROR(VLOOKUP(C922,[3]List1!$A:$D,3,FALSE),"N/A!")</f>
        <v>10800</v>
      </c>
      <c r="P922" s="645">
        <f>IFERROR(VLOOKUP(C922,[3]List1!$A:$D,2,FALSE),"N/A!")</f>
        <v>17600</v>
      </c>
      <c r="Q922" s="645" t="s">
        <v>11236</v>
      </c>
      <c r="R922" s="645" t="s">
        <v>15</v>
      </c>
      <c r="S922" s="645"/>
      <c r="T922" s="645"/>
      <c r="U922" s="645">
        <v>120</v>
      </c>
      <c r="V922" s="645">
        <v>70</v>
      </c>
      <c r="W922" s="645" t="str">
        <f>IFERROR(IF(AND($AB922&gt;=0.1*$AA922,MOD($AB922,$AA922)&gt;=($AA922-(0.1*$AA922))),IF($W$17=$AF$1,"Zvažte možnost doobjednání ještě "&amp;Tabulka1[[#This Row],[VKPAL]]-MOD(AB922,AA922)&amp;" VK do plné palety.",VLOOKUP("Zvažte možnost doobjednání ještě ",Jazyky_ceník!A:Q,MATCH($W$17,Jazyky_ceník!$A$1:$Q$1,0),FALSE)&amp;Tabulka1[[#This Row],[VKPAL]]-MOD(AB922,AA922)&amp;VLOOKUP(" VK do plné palety.",Jazyky_ceník!A:Q,MATCH($W$17,Jazyky_ceník!$A$1:$Q$1,0),FALSE)),IFERROR(IF(AND(NOT(MOD($AB922,$AA922)=0),$AB922&gt;=0.9*$AA922,MOD($AB922,$AA922)&lt;=0.1*$AA922),IF($W$17=$AF$1,"Zvažte možnost optimalizace objednaného množství podle počtu VK na paletě ==&gt;",VLOOKUP("Zvažte možnost optimalizace objednaného množství podle počtu VK na paletě ==&gt;",Jazyky_ceník!A:Q,MATCH($W$17,Jazyky_ceník!$A$1:$Q$1,0),FALSE)),VLOOKUP('General price list'!$C922,Popisy!A:M,MATCH($W$17,Popisy!$A$7:$M$7,0),FALSE)),"---------------")),IFERROR(VLOOKUP('General price list'!$C922,Popisy!A:M,MATCH($W$17,Popisy!$A$7:$M$7,0),FALSE),"---------------"))</f>
        <v>silver crown w.red pistil</v>
      </c>
      <c r="X922" s="645" t="str">
        <f t="shared" si="2859"/>
        <v/>
      </c>
      <c r="Y922" s="645" t="str">
        <f t="shared" si="2860"/>
        <v/>
      </c>
      <c r="Z922" s="645" t="str">
        <f>HYPERLINK("https://www.klasekpyrotechnics.cz/s4k-p")</f>
        <v>https://www.klasekpyrotechnics.cz/s4k-p</v>
      </c>
      <c r="AA922" s="645" t="str">
        <f>IFERROR(IF(VLOOKUP(C922,[4]List1!$A:$D,4,FALSE)=0,"",VLOOKUP(C922,[4]List1!$A:$D,4,FALSE)),"")</f>
        <v>24</v>
      </c>
      <c r="AB922" s="646"/>
      <c r="AC922" s="647" t="str">
        <f>IFERROR(IF(VLOOKUP(C922,[1]List1!$A:$D,2,FALSE)="VYPRODÁNO",$V$9,IF(VLOOKUP(C922,[1]List1!$A:$D,2,FALSE)="DOCHÁZÍ",$V$3,VLOOKUP(C922,[1]List1!$A:$D,2,FALSE))),"OFFLINE!")</f>
        <v>SKLADEM</v>
      </c>
      <c r="AD922" s="647" t="str">
        <f ca="1">IF(AP922="NE",$V$10,IF(AC922=$V$3,IF(AQ922&lt;1,$V$8,$V$2&amp;" "&amp;AQ922&amp;" "&amp;$V$1),IF(AC922="SKLADEM",$V$6,IFERROR(IF(OR(AC922-TODAY()&gt;45,VLOOKUP(C922,[1]List1!$A:$E,4,FALSE)=0),AC922,DAY(AC922)&amp;"."&amp;MONTH(AC922)&amp;"."&amp;YEAR(AC922)&amp;" "&amp;$V$4&amp;VLOOKUP(C922,[1]List1!$A:$E,4,FALSE)&amp;" "&amp;$V$1),AC922))))</f>
        <v>SKLADEM</v>
      </c>
      <c r="AE922" s="645" t="str">
        <f t="shared" ca="1" si="2861"/>
        <v>SKLADEM</v>
      </c>
      <c r="AF922" s="648">
        <f t="shared" si="2862"/>
        <v>0</v>
      </c>
      <c r="AG922" s="649">
        <f t="shared" si="2863"/>
        <v>0</v>
      </c>
      <c r="AH922" s="650">
        <f t="shared" si="2864"/>
        <v>0</v>
      </c>
      <c r="AI922" s="645">
        <f t="shared" si="2865"/>
        <v>0</v>
      </c>
      <c r="AJ922" s="645">
        <f t="shared" si="2866"/>
        <v>0</v>
      </c>
      <c r="AK922" s="645" t="str">
        <f t="shared" si="2867"/>
        <v/>
      </c>
      <c r="AL922" s="645">
        <f t="shared" si="2868"/>
        <v>0</v>
      </c>
      <c r="AM922" s="645" t="str">
        <f t="shared" si="2869"/>
        <v/>
      </c>
      <c r="AN922" s="651">
        <f t="shared" si="2870"/>
        <v>0</v>
      </c>
      <c r="AO922" s="623"/>
      <c r="AP922" s="625" t="str">
        <f t="shared" si="2835"/>
        <v/>
      </c>
      <c r="AQ922" s="625" t="str">
        <f>IF(AC922=$V$3,IF(VLOOKUP(C922,[1]List1!$A:$E,5,FALSE)=0,1,VLOOKUP(C922,[1]List1!$A:$E,5,FALSE)),"")</f>
        <v/>
      </c>
      <c r="AR922" s="629" t="str">
        <f t="shared" si="2836"/>
        <v/>
      </c>
      <c r="AS922" s="630" t="str">
        <f t="shared" si="2837"/>
        <v/>
      </c>
      <c r="AT922" s="625" t="str">
        <f t="shared" si="2838"/>
        <v/>
      </c>
      <c r="AU922" s="625" t="e">
        <f t="shared" si="2839"/>
        <v>#N/A</v>
      </c>
      <c r="AV922" s="625" t="e">
        <f t="shared" si="2840"/>
        <v>#N/A</v>
      </c>
      <c r="AW922" s="631"/>
      <c r="AX922" s="631">
        <f>IF(AND('General price list'!$J922="F4",'General price list'!$AB922+0&gt;0),1,0)</f>
        <v>0</v>
      </c>
      <c r="AY922" s="631">
        <f t="shared" si="2841"/>
        <v>1</v>
      </c>
      <c r="AZ922" s="631">
        <f t="shared" si="2842"/>
        <v>1</v>
      </c>
    </row>
    <row r="923" spans="1:52" ht="15" customHeight="1">
      <c r="A923" s="621" t="str">
        <f>Kat.!C923</f>
        <v/>
      </c>
      <c r="B923" s="566">
        <f>IF(AND('General price list'!$J923="F4",$AI$1=FALSE),0,IF(AC923="SKLADEM",1,IF(AC923=$V$3,1,0)))</f>
        <v>0</v>
      </c>
      <c r="C923" s="567" t="s">
        <v>1913</v>
      </c>
      <c r="D923" s="568" t="s">
        <v>1872</v>
      </c>
      <c r="E923" s="763" t="s">
        <v>12701</v>
      </c>
      <c r="F923" s="772">
        <f>IFERROR(VLOOKUP(C923,[2]List1!$A:$D,3,FALSE),"NEUVEDENO!")</f>
        <v>1160</v>
      </c>
      <c r="G923" s="769">
        <f t="shared" si="2857"/>
        <v>1160</v>
      </c>
      <c r="H923" s="766">
        <f t="shared" si="2858"/>
        <v>49.275103753828375</v>
      </c>
      <c r="I923" s="764">
        <f>IFERROR(VLOOKUP(C923,[2]List1!$A:$D,4,FALSE),"NEUVEDENO!")</f>
        <v>9</v>
      </c>
      <c r="J923" s="732" t="s">
        <v>614</v>
      </c>
      <c r="K923" s="569" t="s">
        <v>20</v>
      </c>
      <c r="L923" s="569" t="s">
        <v>10999</v>
      </c>
      <c r="M923" s="569" t="s">
        <v>114</v>
      </c>
      <c r="N923" s="569">
        <f>IFERROR(VLOOKUP(C923,[3]List1!$A:$D,4,FALSE),"N/A!")</f>
        <v>5.0591999999999998E-2</v>
      </c>
      <c r="O923" s="569">
        <f>IFERROR(VLOOKUP(C923,[3]List1!$A:$D,3,FALSE),"N/A!")</f>
        <v>10800</v>
      </c>
      <c r="P923" s="569">
        <f>IFERROR(VLOOKUP(C923,[3]List1!$A:$D,2,FALSE),"N/A!")</f>
        <v>17300</v>
      </c>
      <c r="Q923" s="569" t="s">
        <v>11236</v>
      </c>
      <c r="R923" s="569" t="s">
        <v>15</v>
      </c>
      <c r="S923" s="569"/>
      <c r="T923" s="569"/>
      <c r="U923" s="569">
        <v>120</v>
      </c>
      <c r="V923" s="569">
        <v>70</v>
      </c>
      <c r="W923" s="569" t="str">
        <f>IFERROR(IF(AND($AB923&gt;=0.1*$AA923,MOD($AB923,$AA923)&gt;=($AA923-(0.1*$AA923))),IF($W$17=$AF$1,"Zvažte možnost doobjednání ještě "&amp;Tabulka1[[#This Row],[VKPAL]]-MOD(AB923,AA923)&amp;" VK do plné palety.",VLOOKUP("Zvažte možnost doobjednání ještě ",Jazyky_ceník!A:Q,MATCH($W$17,Jazyky_ceník!$A$1:$Q$1,0),FALSE)&amp;Tabulka1[[#This Row],[VKPAL]]-MOD(AB923,AA923)&amp;VLOOKUP(" VK do plné palety.",Jazyky_ceník!A:Q,MATCH($W$17,Jazyky_ceník!$A$1:$Q$1,0),FALSE)),IFERROR(IF(AND(NOT(MOD($AB923,$AA923)=0),$AB923&gt;=0.9*$AA923,MOD($AB923,$AA923)&lt;=0.1*$AA923),IF($W$17=$AF$1,"Zvažte možnost optimalizace objednaného množství podle počtu VK na paletě ==&gt;",VLOOKUP("Zvažte možnost optimalizace objednaného množství podle počtu VK na paletě ==&gt;",Jazyky_ceník!A:Q,MATCH($W$17,Jazyky_ceník!$A$1:$Q$1,0),FALSE)),VLOOKUP('General price list'!$C923,Popisy!A:M,MATCH($W$17,Popisy!$A$7:$M$7,0),FALSE)),"---------------")),IFERROR(VLOOKUP('General price list'!$C923,Popisy!A:M,MATCH($W$17,Popisy!$A$7:$M$7,0),FALSE),"---------------"))</f>
        <v>blood red+silver strobe</v>
      </c>
      <c r="X923" s="569" t="str">
        <f t="shared" si="2859"/>
        <v/>
      </c>
      <c r="Y923" s="569" t="str">
        <f t="shared" si="2860"/>
        <v/>
      </c>
      <c r="Z923" s="569" t="str">
        <f>HYPERLINK("https://www.klasekpyrotechnics.cz/s4l-p")</f>
        <v>https://www.klasekpyrotechnics.cz/s4l-p</v>
      </c>
      <c r="AA923" s="569" t="str">
        <f>IFERROR(IF(VLOOKUP(C923,[4]List1!$A:$D,4,FALSE)=0,"",VLOOKUP(C923,[4]List1!$A:$D,4,FALSE)),"")</f>
        <v>24</v>
      </c>
      <c r="AB923" s="565"/>
      <c r="AC923" s="570" t="str">
        <f>IFERROR(IF(VLOOKUP(C923,[1]List1!$A:$D,2,FALSE)="VYPRODÁNO",$V$9,IF(VLOOKUP(C923,[1]List1!$A:$D,2,FALSE)="DOCHÁZÍ",$V$3,VLOOKUP(C923,[1]List1!$A:$D,2,FALSE))),"OFFLINE!")</f>
        <v>SKLADEM</v>
      </c>
      <c r="AD923" s="570" t="str">
        <f ca="1">IF(AP923="NE",$V$10,IF(AC923=$V$3,IF(AQ923&lt;1,$V$8,$V$2&amp;" "&amp;AQ923&amp;" "&amp;$V$1),IF(AC923="SKLADEM",$V$6,IFERROR(IF(OR(AC923-TODAY()&gt;45,VLOOKUP(C923,[1]List1!$A:$E,4,FALSE)=0),AC923,DAY(AC923)&amp;"."&amp;MONTH(AC923)&amp;"."&amp;YEAR(AC923)&amp;" "&amp;$V$4&amp;VLOOKUP(C923,[1]List1!$A:$E,4,FALSE)&amp;" "&amp;$V$1),AC923))))</f>
        <v>SKLADEM</v>
      </c>
      <c r="AE923" s="581" t="str">
        <f t="shared" ca="1" si="2861"/>
        <v>SKLADEM</v>
      </c>
      <c r="AF923" s="584">
        <f t="shared" si="2862"/>
        <v>0</v>
      </c>
      <c r="AG923" s="585">
        <f t="shared" si="2863"/>
        <v>0</v>
      </c>
      <c r="AH923" s="583">
        <f t="shared" si="2864"/>
        <v>0</v>
      </c>
      <c r="AI923" s="582">
        <f t="shared" si="2865"/>
        <v>0</v>
      </c>
      <c r="AJ923" s="569">
        <f t="shared" si="2866"/>
        <v>0</v>
      </c>
      <c r="AK923" s="569" t="str">
        <f t="shared" si="2867"/>
        <v/>
      </c>
      <c r="AL923" s="569">
        <f t="shared" si="2868"/>
        <v>0</v>
      </c>
      <c r="AM923" s="569" t="str">
        <f t="shared" si="2869"/>
        <v/>
      </c>
      <c r="AN923" s="581">
        <f t="shared" si="2870"/>
        <v>0</v>
      </c>
      <c r="AO923" s="623"/>
      <c r="AP923" s="632" t="str">
        <f t="shared" si="2835"/>
        <v/>
      </c>
      <c r="AQ923" s="633" t="str">
        <f>IF(AC923=$V$3,IF(VLOOKUP(C923,[1]List1!$A:$E,5,FALSE)=0,1,VLOOKUP(C923,[1]List1!$A:$E,5,FALSE)),"")</f>
        <v/>
      </c>
      <c r="AR923" s="625" t="str">
        <f t="shared" si="2836"/>
        <v/>
      </c>
      <c r="AS923" s="634" t="str">
        <f t="shared" si="2837"/>
        <v/>
      </c>
      <c r="AT923" s="625" t="str">
        <f t="shared" si="2838"/>
        <v/>
      </c>
      <c r="AU923" s="638" t="e">
        <f t="shared" si="2839"/>
        <v>#N/A</v>
      </c>
      <c r="AV923" s="625" t="e">
        <f t="shared" si="2840"/>
        <v>#N/A</v>
      </c>
      <c r="AX923" s="625">
        <f>IF(AND('General price list'!$J923="F4",'General price list'!$AB923+0&gt;0),1,0)</f>
        <v>0</v>
      </c>
      <c r="AY923" s="625">
        <f t="shared" si="2841"/>
        <v>1</v>
      </c>
      <c r="AZ923" s="625">
        <f t="shared" si="2842"/>
        <v>1</v>
      </c>
    </row>
    <row r="924" spans="1:52" ht="15" customHeight="1">
      <c r="A924" s="639" t="str">
        <f>Kat.!C924</f>
        <v/>
      </c>
      <c r="B924" s="640">
        <f>IF(AND('General price list'!$J924="F4",$AI$1=FALSE),0,IF(AC924="SKLADEM",1,IF(AC924=$V$3,1,0)))</f>
        <v>0</v>
      </c>
      <c r="C924" s="641" t="s">
        <v>1914</v>
      </c>
      <c r="D924" s="642" t="s">
        <v>1873</v>
      </c>
      <c r="E924" s="643" t="s">
        <v>12701</v>
      </c>
      <c r="F924" s="771">
        <f>IFERROR(VLOOKUP(C924,[2]List1!$A:$D,3,FALSE),"NEUVEDENO!")</f>
        <v>1160</v>
      </c>
      <c r="G924" s="768">
        <f t="shared" si="2857"/>
        <v>1160</v>
      </c>
      <c r="H924" s="765">
        <f t="shared" si="2858"/>
        <v>49.275103753828375</v>
      </c>
      <c r="I924" s="644">
        <f>IFERROR(VLOOKUP(C924,[2]List1!$A:$D,4,FALSE),"NEUVEDENO!")</f>
        <v>9</v>
      </c>
      <c r="J924" s="733" t="s">
        <v>614</v>
      </c>
      <c r="K924" s="645" t="s">
        <v>20</v>
      </c>
      <c r="L924" s="645" t="s">
        <v>10999</v>
      </c>
      <c r="M924" s="645" t="s">
        <v>114</v>
      </c>
      <c r="N924" s="645">
        <f>IFERROR(VLOOKUP(C924,[3]List1!$A:$D,4,FALSE),"N/A!")</f>
        <v>5.0591999999999998E-2</v>
      </c>
      <c r="O924" s="645">
        <f>IFERROR(VLOOKUP(C924,[3]List1!$A:$D,3,FALSE),"N/A!")</f>
        <v>10800</v>
      </c>
      <c r="P924" s="645">
        <f>IFERROR(VLOOKUP(C924,[3]List1!$A:$D,2,FALSE),"N/A!")</f>
        <v>15200</v>
      </c>
      <c r="Q924" s="645" t="s">
        <v>11236</v>
      </c>
      <c r="R924" s="645" t="s">
        <v>15</v>
      </c>
      <c r="S924" s="645"/>
      <c r="T924" s="645"/>
      <c r="U924" s="645">
        <v>120</v>
      </c>
      <c r="V924" s="645">
        <v>70</v>
      </c>
      <c r="W924" s="645" t="str">
        <f>IFERROR(IF(AND($AB924&gt;=0.1*$AA924,MOD($AB924,$AA924)&gt;=($AA924-(0.1*$AA924))),IF($W$17=$AF$1,"Zvažte možnost doobjednání ještě "&amp;Tabulka1[[#This Row],[VKPAL]]-MOD(AB924,AA924)&amp;" VK do plné palety.",VLOOKUP("Zvažte možnost doobjednání ještě ",Jazyky_ceník!A:Q,MATCH($W$17,Jazyky_ceník!$A$1:$Q$1,0),FALSE)&amp;Tabulka1[[#This Row],[VKPAL]]-MOD(AB924,AA924)&amp;VLOOKUP(" VK do plné palety.",Jazyky_ceník!A:Q,MATCH($W$17,Jazyky_ceník!$A$1:$Q$1,0),FALSE)),IFERROR(IF(AND(NOT(MOD($AB924,$AA924)=0),$AB924&gt;=0.9*$AA924,MOD($AB924,$AA924)&lt;=0.1*$AA924),IF($W$17=$AF$1,"Zvažte možnost optimalizace objednaného množství podle počtu VK na paletě ==&gt;",VLOOKUP("Zvažte možnost optimalizace objednaného množství podle počtu VK na paletě ==&gt;",Jazyky_ceník!A:Q,MATCH($W$17,Jazyky_ceník!$A$1:$Q$1,0),FALSE)),VLOOKUP('General price list'!$C924,Popisy!A:M,MATCH($W$17,Popisy!$A$7:$M$7,0),FALSE)),"---------------")),IFERROR(VLOOKUP('General price list'!$C924,Popisy!A:M,MATCH($W$17,Popisy!$A$7:$M$7,0),FALSE),"---------------"))</f>
        <v>golden Ti-willow</v>
      </c>
      <c r="X924" s="645" t="str">
        <f t="shared" si="2859"/>
        <v/>
      </c>
      <c r="Y924" s="645" t="str">
        <f t="shared" si="2860"/>
        <v/>
      </c>
      <c r="Z924" s="645" t="str">
        <f>HYPERLINK("https://www.klasekpyrotechnics.cz/s4na-p")</f>
        <v>https://www.klasekpyrotechnics.cz/s4na-p</v>
      </c>
      <c r="AA924" s="645" t="str">
        <f>IFERROR(IF(VLOOKUP(C924,[4]List1!$A:$D,4,FALSE)=0,"",VLOOKUP(C924,[4]List1!$A:$D,4,FALSE)),"")</f>
        <v>24</v>
      </c>
      <c r="AB924" s="646"/>
      <c r="AC924" s="647" t="str">
        <f>IFERROR(IF(VLOOKUP(C924,[1]List1!$A:$D,2,FALSE)="VYPRODÁNO",$V$9,IF(VLOOKUP(C924,[1]List1!$A:$D,2,FALSE)="DOCHÁZÍ",$V$3,VLOOKUP(C924,[1]List1!$A:$D,2,FALSE))),"OFFLINE!")</f>
        <v>SKLADEM</v>
      </c>
      <c r="AD924" s="647" t="str">
        <f ca="1">IF(AP924="NE",$V$10,IF(AC924=$V$3,IF(AQ924&lt;1,$V$8,$V$2&amp;" "&amp;AQ924&amp;" "&amp;$V$1),IF(AC924="SKLADEM",$V$6,IFERROR(IF(OR(AC924-TODAY()&gt;45,VLOOKUP(C924,[1]List1!$A:$E,4,FALSE)=0),AC924,DAY(AC924)&amp;"."&amp;MONTH(AC924)&amp;"."&amp;YEAR(AC924)&amp;" "&amp;$V$4&amp;VLOOKUP(C924,[1]List1!$A:$E,4,FALSE)&amp;" "&amp;$V$1),AC924))))</f>
        <v>SKLADEM</v>
      </c>
      <c r="AE924" s="645" t="str">
        <f t="shared" ca="1" si="2861"/>
        <v>SKLADEM</v>
      </c>
      <c r="AF924" s="648">
        <f t="shared" si="2862"/>
        <v>0</v>
      </c>
      <c r="AG924" s="649">
        <f t="shared" si="2863"/>
        <v>0</v>
      </c>
      <c r="AH924" s="650">
        <f t="shared" si="2864"/>
        <v>0</v>
      </c>
      <c r="AI924" s="645">
        <f t="shared" si="2865"/>
        <v>0</v>
      </c>
      <c r="AJ924" s="645">
        <f t="shared" si="2866"/>
        <v>0</v>
      </c>
      <c r="AK924" s="645" t="str">
        <f t="shared" si="2867"/>
        <v/>
      </c>
      <c r="AL924" s="645">
        <f t="shared" si="2868"/>
        <v>0</v>
      </c>
      <c r="AM924" s="645" t="str">
        <f t="shared" si="2869"/>
        <v/>
      </c>
      <c r="AN924" s="651">
        <f t="shared" si="2870"/>
        <v>0</v>
      </c>
      <c r="AO924" s="623"/>
      <c r="AP924" s="632" t="str">
        <f t="shared" si="2835"/>
        <v/>
      </c>
      <c r="AQ924" s="633" t="str">
        <f>IF(AC924=$V$3,IF(VLOOKUP(C924,[1]List1!$A:$E,5,FALSE)=0,1,VLOOKUP(C924,[1]List1!$A:$E,5,FALSE)),"")</f>
        <v/>
      </c>
      <c r="AR924" s="625" t="str">
        <f t="shared" si="2836"/>
        <v/>
      </c>
      <c r="AS924" s="634" t="str">
        <f t="shared" si="2837"/>
        <v/>
      </c>
      <c r="AT924" s="625" t="str">
        <f t="shared" si="2838"/>
        <v/>
      </c>
      <c r="AU924" s="638" t="e">
        <f t="shared" si="2839"/>
        <v>#N/A</v>
      </c>
      <c r="AV924" s="625" t="e">
        <f t="shared" si="2840"/>
        <v>#N/A</v>
      </c>
      <c r="AX924" s="625">
        <f>IF(AND('General price list'!$J924="F4",'General price list'!$AB924+0&gt;0),1,0)</f>
        <v>0</v>
      </c>
      <c r="AY924" s="625">
        <f t="shared" si="2841"/>
        <v>1</v>
      </c>
      <c r="AZ924" s="625">
        <f t="shared" si="2842"/>
        <v>1</v>
      </c>
    </row>
    <row r="925" spans="1:52" ht="15.75" customHeight="1">
      <c r="A925" s="621" t="str">
        <f>Kat.!C925</f>
        <v/>
      </c>
      <c r="B925" s="566">
        <f>IF(AND('General price list'!$J925="F4",$AI$1=FALSE),0,IF(AC925="SKLADEM",1,IF(AC925=$V$3,1,0)))</f>
        <v>0</v>
      </c>
      <c r="C925" s="567" t="s">
        <v>1915</v>
      </c>
      <c r="D925" s="568" t="s">
        <v>1874</v>
      </c>
      <c r="E925" s="763" t="s">
        <v>12701</v>
      </c>
      <c r="F925" s="772">
        <f>IFERROR(VLOOKUP(C925,[2]List1!$A:$D,3,FALSE),"NEUVEDENO!")</f>
        <v>1160</v>
      </c>
      <c r="G925" s="769">
        <f t="shared" si="2857"/>
        <v>1160</v>
      </c>
      <c r="H925" s="766">
        <f t="shared" si="2858"/>
        <v>49.275103753828375</v>
      </c>
      <c r="I925" s="764">
        <f>IFERROR(VLOOKUP(C925,[2]List1!$A:$D,4,FALSE),"NEUVEDENO!")</f>
        <v>9</v>
      </c>
      <c r="J925" s="732" t="s">
        <v>614</v>
      </c>
      <c r="K925" s="569" t="s">
        <v>20</v>
      </c>
      <c r="L925" s="569" t="s">
        <v>10999</v>
      </c>
      <c r="M925" s="569" t="s">
        <v>114</v>
      </c>
      <c r="N925" s="569">
        <f>IFERROR(VLOOKUP(C925,[3]List1!$A:$D,4,FALSE),"N/A!")</f>
        <v>5.0591999999999998E-2</v>
      </c>
      <c r="O925" s="569">
        <f>IFERROR(VLOOKUP(C925,[3]List1!$A:$D,3,FALSE),"N/A!")</f>
        <v>10800</v>
      </c>
      <c r="P925" s="569">
        <f>IFERROR(VLOOKUP(C925,[3]List1!$A:$D,2,FALSE),"N/A!")</f>
        <v>16500</v>
      </c>
      <c r="Q925" s="569" t="s">
        <v>11236</v>
      </c>
      <c r="R925" s="569" t="s">
        <v>15</v>
      </c>
      <c r="S925" s="569"/>
      <c r="T925" s="569"/>
      <c r="U925" s="569">
        <v>120</v>
      </c>
      <c r="V925" s="569">
        <v>70</v>
      </c>
      <c r="W925" s="569" t="str">
        <f>IFERROR(IF(AND($AB925&gt;=0.1*$AA925,MOD($AB925,$AA925)&gt;=($AA925-(0.1*$AA925))),IF($W$17=$AF$1,"Zvažte možnost doobjednání ještě "&amp;Tabulka1[[#This Row],[VKPAL]]-MOD(AB925,AA925)&amp;" VK do plné palety.",VLOOKUP("Zvažte možnost doobjednání ještě ",Jazyky_ceník!A:Q,MATCH($W$17,Jazyky_ceník!$A$1:$Q$1,0),FALSE)&amp;Tabulka1[[#This Row],[VKPAL]]-MOD(AB925,AA925)&amp;VLOOKUP(" VK do plné palety.",Jazyky_ceník!A:Q,MATCH($W$17,Jazyky_ceník!$A$1:$Q$1,0),FALSE)),IFERROR(IF(AND(NOT(MOD($AB925,$AA925)=0),$AB925&gt;=0.9*$AA925,MOD($AB925,$AA925)&lt;=0.1*$AA925),IF($W$17=$AF$1,"Zvažte možnost optimalizace objednaného množství podle počtu VK na paletě ==&gt;",VLOOKUP("Zvažte možnost optimalizace objednaného množství podle počtu VK na paletě ==&gt;",Jazyky_ceník!A:Q,MATCH($W$17,Jazyky_ceník!$A$1:$Q$1,0),FALSE)),VLOOKUP('General price list'!$C925,Popisy!A:M,MATCH($W$17,Popisy!$A$7:$M$7,0),FALSE)),"---------------")),IFERROR(VLOOKUP('General price list'!$C925,Popisy!A:M,MATCH($W$17,Popisy!$A$7:$M$7,0),FALSE),"---------------"))</f>
        <v>silver strobe</v>
      </c>
      <c r="X925" s="569" t="str">
        <f t="shared" si="2859"/>
        <v/>
      </c>
      <c r="Y925" s="569" t="str">
        <f t="shared" si="2860"/>
        <v/>
      </c>
      <c r="Z925" s="569" t="str">
        <f>HYPERLINK("https://www.klasekpyrotechnics.cz/s4o-p")</f>
        <v>https://www.klasekpyrotechnics.cz/s4o-p</v>
      </c>
      <c r="AA925" s="569" t="str">
        <f>IFERROR(IF(VLOOKUP(C925,[4]List1!$A:$D,4,FALSE)=0,"",VLOOKUP(C925,[4]List1!$A:$D,4,FALSE)),"")</f>
        <v>24</v>
      </c>
      <c r="AB925" s="565"/>
      <c r="AC925" s="570" t="str">
        <f>IFERROR(IF(VLOOKUP(C925,[1]List1!$A:$D,2,FALSE)="VYPRODÁNO",$V$9,IF(VLOOKUP(C925,[1]List1!$A:$D,2,FALSE)="DOCHÁZÍ",$V$3,VLOOKUP(C925,[1]List1!$A:$D,2,FALSE))),"OFFLINE!")</f>
        <v>31.08.2026</v>
      </c>
      <c r="AD925" s="570" t="str">
        <f ca="1">IF(AP925="NE",$V$10,IF(AC925=$V$3,IF(AQ925&lt;1,$V$8,$V$2&amp;" "&amp;AQ925&amp;" "&amp;$V$1),IF(AC925="SKLADEM",$V$6,IFERROR(IF(OR(AC925-TODAY()&gt;45,VLOOKUP(C925,[1]List1!$A:$E,4,FALSE)=0),AC925,DAY(AC925)&amp;"."&amp;MONTH(AC925)&amp;"."&amp;YEAR(AC925)&amp;" "&amp;$V$4&amp;VLOOKUP(C925,[1]List1!$A:$E,4,FALSE)&amp;" "&amp;$V$1),AC925))))</f>
        <v>31.08.2026</v>
      </c>
      <c r="AE925" s="581" t="str">
        <f t="shared" ca="1" si="2861"/>
        <v>31.08.2026</v>
      </c>
      <c r="AF925" s="584">
        <f t="shared" si="2862"/>
        <v>0</v>
      </c>
      <c r="AG925" s="585">
        <f t="shared" si="2863"/>
        <v>0</v>
      </c>
      <c r="AH925" s="583">
        <f t="shared" si="2864"/>
        <v>0</v>
      </c>
      <c r="AI925" s="582">
        <f t="shared" si="2865"/>
        <v>0</v>
      </c>
      <c r="AJ925" s="569">
        <f t="shared" si="2866"/>
        <v>0</v>
      </c>
      <c r="AK925" s="569" t="str">
        <f t="shared" si="2867"/>
        <v/>
      </c>
      <c r="AL925" s="569">
        <f t="shared" si="2868"/>
        <v>0</v>
      </c>
      <c r="AM925" s="569" t="str">
        <f t="shared" si="2869"/>
        <v/>
      </c>
      <c r="AN925" s="581">
        <f t="shared" si="2870"/>
        <v>0</v>
      </c>
      <c r="AO925" s="623"/>
      <c r="AP925" s="625" t="str">
        <f t="shared" si="2835"/>
        <v/>
      </c>
      <c r="AQ925" s="625" t="str">
        <f>IF(AC925=$V$3,IF(VLOOKUP(C925,[1]List1!$A:$E,5,FALSE)=0,1,VLOOKUP(C925,[1]List1!$A:$E,5,FALSE)),"")</f>
        <v/>
      </c>
      <c r="AR925" s="629" t="str">
        <f t="shared" si="2836"/>
        <v/>
      </c>
      <c r="AS925" s="630" t="str">
        <f t="shared" si="2837"/>
        <v/>
      </c>
      <c r="AT925" s="625" t="str">
        <f t="shared" si="2838"/>
        <v/>
      </c>
      <c r="AU925" s="625" t="e">
        <f t="shared" si="2839"/>
        <v>#N/A</v>
      </c>
      <c r="AV925" s="625" t="e">
        <f t="shared" si="2840"/>
        <v>#N/A</v>
      </c>
      <c r="AW925" s="631"/>
      <c r="AX925" s="631">
        <f>IF(AND('General price list'!$J925="F4",'General price list'!$AB925+0&gt;0),1,0)</f>
        <v>0</v>
      </c>
      <c r="AY925" s="631">
        <f t="shared" si="2841"/>
        <v>1</v>
      </c>
      <c r="AZ925" s="631">
        <f t="shared" si="2842"/>
        <v>1</v>
      </c>
    </row>
    <row r="926" spans="1:52" ht="15" customHeight="1">
      <c r="A926" s="639" t="str">
        <f>Kat.!C926</f>
        <v/>
      </c>
      <c r="B926" s="640">
        <f>IF(AND('General price list'!$J926="F4",$AI$1=FALSE),0,IF(AC926="SKLADEM",1,IF(AC926=$V$3,1,0)))</f>
        <v>0</v>
      </c>
      <c r="C926" s="641" t="s">
        <v>1916</v>
      </c>
      <c r="D926" s="642" t="s">
        <v>1876</v>
      </c>
      <c r="E926" s="643" t="s">
        <v>12701</v>
      </c>
      <c r="F926" s="771">
        <f>IFERROR(VLOOKUP(C926,[2]List1!$A:$D,3,FALSE),"NEUVEDENO!")</f>
        <v>1160</v>
      </c>
      <c r="G926" s="768">
        <f t="shared" si="2857"/>
        <v>1160</v>
      </c>
      <c r="H926" s="765">
        <f t="shared" si="2858"/>
        <v>49.275103753828375</v>
      </c>
      <c r="I926" s="644">
        <f>IFERROR(VLOOKUP(C926,[2]List1!$A:$D,4,FALSE),"NEUVEDENO!")</f>
        <v>9</v>
      </c>
      <c r="J926" s="733" t="s">
        <v>614</v>
      </c>
      <c r="K926" s="645" t="s">
        <v>20</v>
      </c>
      <c r="L926" s="645" t="s">
        <v>10999</v>
      </c>
      <c r="M926" s="645" t="s">
        <v>114</v>
      </c>
      <c r="N926" s="645">
        <f>IFERROR(VLOOKUP(C926,[3]List1!$A:$D,4,FALSE),"N/A!")</f>
        <v>5.0591999999999998E-2</v>
      </c>
      <c r="O926" s="645">
        <f>IFERROR(VLOOKUP(C926,[3]List1!$A:$D,3,FALSE),"N/A!")</f>
        <v>10800</v>
      </c>
      <c r="P926" s="645">
        <f>IFERROR(VLOOKUP(C926,[3]List1!$A:$D,2,FALSE),"N/A!")</f>
        <v>16700</v>
      </c>
      <c r="Q926" s="645" t="s">
        <v>11236</v>
      </c>
      <c r="R926" s="645" t="s">
        <v>15</v>
      </c>
      <c r="S926" s="645"/>
      <c r="T926" s="645"/>
      <c r="U926" s="645">
        <v>120</v>
      </c>
      <c r="V926" s="645">
        <v>70</v>
      </c>
      <c r="W926" s="645" t="str">
        <f>IFERROR(IF(AND($AB926&gt;=0.1*$AA926,MOD($AB926,$AA926)&gt;=($AA926-(0.1*$AA926))),IF($W$17=$AF$1,"Zvažte možnost doobjednání ještě "&amp;Tabulka1[[#This Row],[VKPAL]]-MOD(AB926,AA926)&amp;" VK do plné palety.",VLOOKUP("Zvažte možnost doobjednání ještě ",Jazyky_ceník!A:Q,MATCH($W$17,Jazyky_ceník!$A$1:$Q$1,0),FALSE)&amp;Tabulka1[[#This Row],[VKPAL]]-MOD(AB926,AA926)&amp;VLOOKUP(" VK do plné palety.",Jazyky_ceník!A:Q,MATCH($W$17,Jazyky_ceník!$A$1:$Q$1,0),FALSE)),IFERROR(IF(AND(NOT(MOD($AB926,$AA926)=0),$AB926&gt;=0.9*$AA926,MOD($AB926,$AA926)&lt;=0.1*$AA926),IF($W$17=$AF$1,"Zvažte možnost optimalizace objednaného množství podle počtu VK na paletě ==&gt;",VLOOKUP("Zvažte možnost optimalizace objednaného množství podle počtu VK na paletě ==&gt;",Jazyky_ceník!A:Q,MATCH($W$17,Jazyky_ceník!$A$1:$Q$1,0),FALSE)),VLOOKUP('General price list'!$C926,Popisy!A:M,MATCH($W$17,Popisy!$A$7:$M$7,0),FALSE)),"---------------")),IFERROR(VLOOKUP('General price list'!$C926,Popisy!A:M,MATCH($W$17,Popisy!$A$7:$M$7,0),FALSE),"---------------"))</f>
        <v>silver tail to silver palm tree</v>
      </c>
      <c r="X926" s="645" t="str">
        <f t="shared" si="2859"/>
        <v/>
      </c>
      <c r="Y926" s="645" t="str">
        <f t="shared" si="2860"/>
        <v/>
      </c>
      <c r="Z926" s="645" t="str">
        <f>HYPERLINK("https://www.klasekpyrotechnics.cz/s4p-p")</f>
        <v>https://www.klasekpyrotechnics.cz/s4p-p</v>
      </c>
      <c r="AA926" s="645" t="str">
        <f>IFERROR(IF(VLOOKUP(C926,[4]List1!$A:$D,4,FALSE)=0,"",VLOOKUP(C926,[4]List1!$A:$D,4,FALSE)),"")</f>
        <v>24</v>
      </c>
      <c r="AB926" s="646"/>
      <c r="AC926" s="647" t="str">
        <f>IFERROR(IF(VLOOKUP(C926,[1]List1!$A:$D,2,FALSE)="VYPRODÁNO",$V$9,IF(VLOOKUP(C926,[1]List1!$A:$D,2,FALSE)="DOCHÁZÍ",$V$3,VLOOKUP(C926,[1]List1!$A:$D,2,FALSE))),"OFFLINE!")</f>
        <v>SKLADEM</v>
      </c>
      <c r="AD926" s="647" t="str">
        <f ca="1">IF(AP926="NE",$V$10,IF(AC926=$V$3,IF(AQ926&lt;1,$V$8,$V$2&amp;" "&amp;AQ926&amp;" "&amp;$V$1),IF(AC926="SKLADEM",$V$6,IFERROR(IF(OR(AC926-TODAY()&gt;45,VLOOKUP(C926,[1]List1!$A:$E,4,FALSE)=0),AC926,DAY(AC926)&amp;"."&amp;MONTH(AC926)&amp;"."&amp;YEAR(AC926)&amp;" "&amp;$V$4&amp;VLOOKUP(C926,[1]List1!$A:$E,4,FALSE)&amp;" "&amp;$V$1),AC926))))</f>
        <v>SKLADEM</v>
      </c>
      <c r="AE926" s="645" t="str">
        <f t="shared" ca="1" si="2861"/>
        <v>SKLADEM</v>
      </c>
      <c r="AF926" s="648">
        <f t="shared" si="2862"/>
        <v>0</v>
      </c>
      <c r="AG926" s="649">
        <f t="shared" si="2863"/>
        <v>0</v>
      </c>
      <c r="AH926" s="650">
        <f t="shared" si="2864"/>
        <v>0</v>
      </c>
      <c r="AI926" s="645">
        <f t="shared" si="2865"/>
        <v>0</v>
      </c>
      <c r="AJ926" s="645">
        <f t="shared" si="2866"/>
        <v>0</v>
      </c>
      <c r="AK926" s="645" t="str">
        <f t="shared" si="2867"/>
        <v/>
      </c>
      <c r="AL926" s="645">
        <f t="shared" si="2868"/>
        <v>0</v>
      </c>
      <c r="AM926" s="645" t="str">
        <f t="shared" si="2869"/>
        <v/>
      </c>
      <c r="AN926" s="651">
        <f t="shared" si="2870"/>
        <v>0</v>
      </c>
      <c r="AO926" s="623"/>
      <c r="AP926" s="632" t="str">
        <f t="shared" si="2835"/>
        <v/>
      </c>
      <c r="AQ926" s="633" t="str">
        <f>IF(AC926=$V$3,IF(VLOOKUP(C926,[1]List1!$A:$E,5,FALSE)=0,1,VLOOKUP(C926,[1]List1!$A:$E,5,FALSE)),"")</f>
        <v/>
      </c>
      <c r="AR926" s="625" t="str">
        <f t="shared" si="2836"/>
        <v/>
      </c>
      <c r="AS926" s="634" t="str">
        <f t="shared" si="2837"/>
        <v/>
      </c>
      <c r="AT926" s="625" t="str">
        <f t="shared" si="2838"/>
        <v/>
      </c>
      <c r="AU926" s="638" t="e">
        <f t="shared" si="2839"/>
        <v>#N/A</v>
      </c>
      <c r="AV926" s="625" t="e">
        <f t="shared" si="2840"/>
        <v>#N/A</v>
      </c>
      <c r="AX926" s="625">
        <f>IF(AND('General price list'!$J926="F4",'General price list'!$AB926+0&gt;0),1,0)</f>
        <v>0</v>
      </c>
      <c r="AY926" s="625">
        <f t="shared" si="2841"/>
        <v>1</v>
      </c>
      <c r="AZ926" s="625">
        <f t="shared" si="2842"/>
        <v>1</v>
      </c>
    </row>
    <row r="927" spans="1:52" ht="15" customHeight="1">
      <c r="A927" s="621" t="str">
        <f>Kat.!C927</f>
        <v/>
      </c>
      <c r="B927" s="566">
        <f>IF(AND('General price list'!$J927="F4",$AI$1=FALSE),0,IF(AC927="SKLADEM",1,IF(AC927=$V$3,1,0)))</f>
        <v>0</v>
      </c>
      <c r="C927" s="567" t="s">
        <v>1917</v>
      </c>
      <c r="D927" s="568" t="s">
        <v>1877</v>
      </c>
      <c r="E927" s="763" t="s">
        <v>12701</v>
      </c>
      <c r="F927" s="772">
        <f>IFERROR(VLOOKUP(C927,[2]List1!$A:$D,3,FALSE),"NEUVEDENO!")</f>
        <v>1220</v>
      </c>
      <c r="G927" s="769">
        <f t="shared" si="2857"/>
        <v>1220</v>
      </c>
      <c r="H927" s="766">
        <f t="shared" si="2858"/>
        <v>51.82381601695743</v>
      </c>
      <c r="I927" s="764">
        <f>IFERROR(VLOOKUP(C927,[2]List1!$A:$D,4,FALSE),"NEUVEDENO!")</f>
        <v>9</v>
      </c>
      <c r="J927" s="732" t="s">
        <v>614</v>
      </c>
      <c r="K927" s="569" t="s">
        <v>20</v>
      </c>
      <c r="L927" s="569" t="s">
        <v>10999</v>
      </c>
      <c r="M927" s="569" t="s">
        <v>114</v>
      </c>
      <c r="N927" s="569">
        <f>IFERROR(VLOOKUP(C927,[3]List1!$A:$D,4,FALSE),"N/A!")</f>
        <v>5.0591999999999998E-2</v>
      </c>
      <c r="O927" s="569">
        <f>IFERROR(VLOOKUP(C927,[3]List1!$A:$D,3,FALSE),"N/A!")</f>
        <v>10800</v>
      </c>
      <c r="P927" s="569">
        <f>IFERROR(VLOOKUP(C927,[3]List1!$A:$D,2,FALSE),"N/A!")</f>
        <v>15000</v>
      </c>
      <c r="Q927" s="569" t="s">
        <v>11236</v>
      </c>
      <c r="R927" s="569" t="s">
        <v>15</v>
      </c>
      <c r="S927" s="569"/>
      <c r="T927" s="569"/>
      <c r="U927" s="569">
        <v>120</v>
      </c>
      <c r="V927" s="569">
        <v>70</v>
      </c>
      <c r="W927" s="569" t="str">
        <f>IFERROR(IF(AND($AB927&gt;=0.1*$AA927,MOD($AB927,$AA927)&gt;=($AA927-(0.1*$AA927))),IF($W$17=$AF$1,"Zvažte možnost doobjednání ještě "&amp;Tabulka1[[#This Row],[VKPAL]]-MOD(AB927,AA927)&amp;" VK do plné palety.",VLOOKUP("Zvažte možnost doobjednání ještě ",Jazyky_ceník!A:Q,MATCH($W$17,Jazyky_ceník!$A$1:$Q$1,0),FALSE)&amp;Tabulka1[[#This Row],[VKPAL]]-MOD(AB927,AA927)&amp;VLOOKUP(" VK do plné palety.",Jazyky_ceník!A:Q,MATCH($W$17,Jazyky_ceník!$A$1:$Q$1,0),FALSE)),IFERROR(IF(AND(NOT(MOD($AB927,$AA927)=0),$AB927&gt;=0.9*$AA927,MOD($AB927,$AA927)&lt;=0.1*$AA927),IF($W$17=$AF$1,"Zvažte možnost optimalizace objednaného množství podle počtu VK na paletě ==&gt;",VLOOKUP("Zvažte možnost optimalizace objednaného množství podle počtu VK na paletě ==&gt;",Jazyky_ceník!A:Q,MATCH($W$17,Jazyky_ceník!$A$1:$Q$1,0),FALSE)),VLOOKUP('General price list'!$C927,Popisy!A:M,MATCH($W$17,Popisy!$A$7:$M$7,0),FALSE)),"---------------")),IFERROR(VLOOKUP('General price list'!$C927,Popisy!A:M,MATCH($W$17,Popisy!$A$7:$M$7,0),FALSE),"---------------"))</f>
        <v>special strobe red</v>
      </c>
      <c r="X927" s="569" t="str">
        <f t="shared" si="2859"/>
        <v/>
      </c>
      <c r="Y927" s="569" t="str">
        <f t="shared" si="2860"/>
        <v/>
      </c>
      <c r="Z927" s="569" t="str">
        <f>HYPERLINK("https://www.klasekpyrotechnics.cz/s4q-p")</f>
        <v>https://www.klasekpyrotechnics.cz/s4q-p</v>
      </c>
      <c r="AA927" s="569" t="str">
        <f>IFERROR(IF(VLOOKUP(C927,[4]List1!$A:$D,4,FALSE)=0,"",VLOOKUP(C927,[4]List1!$A:$D,4,FALSE)),"")</f>
        <v>24</v>
      </c>
      <c r="AB927" s="565"/>
      <c r="AC927" s="570" t="str">
        <f>IFERROR(IF(VLOOKUP(C927,[1]List1!$A:$D,2,FALSE)="VYPRODÁNO",$V$9,IF(VLOOKUP(C927,[1]List1!$A:$D,2,FALSE)="DOCHÁZÍ",$V$3,VLOOKUP(C927,[1]List1!$A:$D,2,FALSE))),"OFFLINE!")</f>
        <v>SKLADEM</v>
      </c>
      <c r="AD927" s="570" t="str">
        <f ca="1">IF(AP927="NE",$V$10,IF(AC927=$V$3,IF(AQ927&lt;1,$V$8,$V$2&amp;" "&amp;AQ927&amp;" "&amp;$V$1),IF(AC927="SKLADEM",$V$6,IFERROR(IF(OR(AC927-TODAY()&gt;45,VLOOKUP(C927,[1]List1!$A:$E,4,FALSE)=0),AC927,DAY(AC927)&amp;"."&amp;MONTH(AC927)&amp;"."&amp;YEAR(AC927)&amp;" "&amp;$V$4&amp;VLOOKUP(C927,[1]List1!$A:$E,4,FALSE)&amp;" "&amp;$V$1),AC927))))</f>
        <v>SKLADEM</v>
      </c>
      <c r="AE927" s="581" t="str">
        <f t="shared" ca="1" si="2861"/>
        <v>SKLADEM</v>
      </c>
      <c r="AF927" s="584">
        <f t="shared" si="2862"/>
        <v>0</v>
      </c>
      <c r="AG927" s="585">
        <f t="shared" si="2863"/>
        <v>0</v>
      </c>
      <c r="AH927" s="583">
        <f t="shared" si="2864"/>
        <v>0</v>
      </c>
      <c r="AI927" s="582">
        <f t="shared" si="2865"/>
        <v>0</v>
      </c>
      <c r="AJ927" s="569">
        <f t="shared" si="2866"/>
        <v>0</v>
      </c>
      <c r="AK927" s="569" t="str">
        <f t="shared" si="2867"/>
        <v/>
      </c>
      <c r="AL927" s="569">
        <f t="shared" si="2868"/>
        <v>0</v>
      </c>
      <c r="AM927" s="569" t="str">
        <f t="shared" si="2869"/>
        <v/>
      </c>
      <c r="AN927" s="581">
        <f t="shared" si="2870"/>
        <v>0</v>
      </c>
      <c r="AO927" s="623"/>
      <c r="AP927" s="632" t="str">
        <f t="shared" si="2835"/>
        <v/>
      </c>
      <c r="AQ927" s="633" t="str">
        <f>IF(AC927=$V$3,IF(VLOOKUP(C927,[1]List1!$A:$E,5,FALSE)=0,1,VLOOKUP(C927,[1]List1!$A:$E,5,FALSE)),"")</f>
        <v/>
      </c>
      <c r="AR927" s="625" t="str">
        <f t="shared" si="2836"/>
        <v/>
      </c>
      <c r="AS927" s="634" t="str">
        <f t="shared" si="2837"/>
        <v/>
      </c>
      <c r="AT927" s="625" t="str">
        <f t="shared" si="2838"/>
        <v/>
      </c>
      <c r="AU927" s="638" t="e">
        <f t="shared" si="2839"/>
        <v>#N/A</v>
      </c>
      <c r="AV927" s="625" t="e">
        <f t="shared" si="2840"/>
        <v>#N/A</v>
      </c>
      <c r="AX927" s="625">
        <f>IF(AND('General price list'!$J927="F4",'General price list'!$AB927+0&gt;0),1,0)</f>
        <v>0</v>
      </c>
      <c r="AY927" s="625">
        <f t="shared" si="2841"/>
        <v>1</v>
      </c>
      <c r="AZ927" s="625">
        <f t="shared" si="2842"/>
        <v>1</v>
      </c>
    </row>
    <row r="928" spans="1:52" ht="15" customHeight="1">
      <c r="A928" s="639" t="str">
        <f>Kat.!C928</f>
        <v/>
      </c>
      <c r="B928" s="640">
        <f>IF(AND('General price list'!$J928="F4",$AI$1=FALSE),0,IF(AC928="SKLADEM",1,IF(AC928=$V$3,1,0)))</f>
        <v>0</v>
      </c>
      <c r="C928" s="641" t="s">
        <v>1919</v>
      </c>
      <c r="D928" s="642" t="s">
        <v>1880</v>
      </c>
      <c r="E928" s="643" t="s">
        <v>12701</v>
      </c>
      <c r="F928" s="771">
        <f>IFERROR(VLOOKUP(C928,[2]List1!$A:$D,3,FALSE),"NEUVEDENO!")</f>
        <v>1160</v>
      </c>
      <c r="G928" s="768">
        <f t="shared" si="2857"/>
        <v>1160</v>
      </c>
      <c r="H928" s="765">
        <f t="shared" si="2858"/>
        <v>49.275103753828375</v>
      </c>
      <c r="I928" s="644">
        <f>IFERROR(VLOOKUP(C928,[2]List1!$A:$D,4,FALSE),"NEUVEDENO!")</f>
        <v>9</v>
      </c>
      <c r="J928" s="733" t="s">
        <v>614</v>
      </c>
      <c r="K928" s="645" t="s">
        <v>20</v>
      </c>
      <c r="L928" s="645" t="s">
        <v>10999</v>
      </c>
      <c r="M928" s="645" t="s">
        <v>114</v>
      </c>
      <c r="N928" s="645">
        <f>IFERROR(VLOOKUP(C928,[3]List1!$A:$D,4,FALSE),"N/A!")</f>
        <v>5.0591999999999998E-2</v>
      </c>
      <c r="O928" s="645">
        <f>IFERROR(VLOOKUP(C928,[3]List1!$A:$D,3,FALSE),"N/A!")</f>
        <v>10800</v>
      </c>
      <c r="P928" s="645">
        <f>IFERROR(VLOOKUP(C928,[3]List1!$A:$D,2,FALSE),"N/A!")</f>
        <v>18400</v>
      </c>
      <c r="Q928" s="645" t="s">
        <v>11236</v>
      </c>
      <c r="R928" s="645" t="s">
        <v>15</v>
      </c>
      <c r="S928" s="645"/>
      <c r="T928" s="645"/>
      <c r="U928" s="645">
        <v>120</v>
      </c>
      <c r="V928" s="645">
        <v>70</v>
      </c>
      <c r="W928" s="645" t="str">
        <f>IFERROR(IF(AND($AB928&gt;=0.1*$AA928,MOD($AB928,$AA928)&gt;=($AA928-(0.1*$AA928))),IF($W$17=$AF$1,"Zvažte možnost doobjednání ještě "&amp;Tabulka1[[#This Row],[VKPAL]]-MOD(AB928,AA928)&amp;" VK do plné palety.",VLOOKUP("Zvažte možnost doobjednání ještě ",Jazyky_ceník!A:Q,MATCH($W$17,Jazyky_ceník!$A$1:$Q$1,0),FALSE)&amp;Tabulka1[[#This Row],[VKPAL]]-MOD(AB928,AA928)&amp;VLOOKUP(" VK do plné palety.",Jazyky_ceník!A:Q,MATCH($W$17,Jazyky_ceník!$A$1:$Q$1,0),FALSE)),IFERROR(IF(AND(NOT(MOD($AB928,$AA928)=0),$AB928&gt;=0.9*$AA928,MOD($AB928,$AA928)&lt;=0.1*$AA928),IF($W$17=$AF$1,"Zvažte možnost optimalizace objednaného množství podle počtu VK na paletě ==&gt;",VLOOKUP("Zvažte možnost optimalizace objednaného množství podle počtu VK na paletě ==&gt;",Jazyky_ceník!A:Q,MATCH($W$17,Jazyky_ceník!$A$1:$Q$1,0),FALSE)),VLOOKUP('General price list'!$C928,Popisy!A:M,MATCH($W$17,Popisy!$A$7:$M$7,0),FALSE)),"---------------")),IFERROR(VLOOKUP('General price list'!$C928,Popisy!A:M,MATCH($W$17,Popisy!$A$7:$M$7,0),FALSE),"---------------"))</f>
        <v>silver wave to blue w.crackling</v>
      </c>
      <c r="X928" s="645" t="str">
        <f t="shared" si="2859"/>
        <v/>
      </c>
      <c r="Y928" s="645" t="str">
        <f t="shared" si="2860"/>
        <v/>
      </c>
      <c r="Z928" s="645" t="str">
        <f>HYPERLINK("https://www.klasekpyrotechnics.cz/s4s-p")</f>
        <v>https://www.klasekpyrotechnics.cz/s4s-p</v>
      </c>
      <c r="AA928" s="645" t="str">
        <f>IFERROR(IF(VLOOKUP(C928,[4]List1!$A:$D,4,FALSE)=0,"",VLOOKUP(C928,[4]List1!$A:$D,4,FALSE)),"")</f>
        <v>24</v>
      </c>
      <c r="AB928" s="646"/>
      <c r="AC928" s="647" t="str">
        <f>IFERROR(IF(VLOOKUP(C928,[1]List1!$A:$D,2,FALSE)="VYPRODÁNO",$V$9,IF(VLOOKUP(C928,[1]List1!$A:$D,2,FALSE)="DOCHÁZÍ",$V$3,VLOOKUP(C928,[1]List1!$A:$D,2,FALSE))),"OFFLINE!")</f>
        <v>DOCHÁZÍ</v>
      </c>
      <c r="AD928" s="647" t="str">
        <f ca="1">IF(AP928="NE",$V$10,IF(AC928=$V$3,IF(AQ928&lt;1,$V$8,$V$2&amp;" "&amp;AQ928&amp;" "&amp;$V$1),IF(AC928="SKLADEM",$V$6,IFERROR(IF(OR(AC928-TODAY()&gt;45,VLOOKUP(C928,[1]List1!$A:$E,4,FALSE)=0),AC928,DAY(AC928)&amp;"."&amp;MONTH(AC928)&amp;"."&amp;YEAR(AC928)&amp;" "&amp;$V$4&amp;VLOOKUP(C928,[1]List1!$A:$E,4,FALSE)&amp;" "&amp;$V$1),AC928))))</f>
        <v>POSLEDNÍCH 2 VK</v>
      </c>
      <c r="AE928" s="645" t="str">
        <f t="shared" ca="1" si="2861"/>
        <v>POSLEDNÍCH 2 VK</v>
      </c>
      <c r="AF928" s="648">
        <f t="shared" si="2862"/>
        <v>0</v>
      </c>
      <c r="AG928" s="649">
        <f t="shared" si="2863"/>
        <v>0</v>
      </c>
      <c r="AH928" s="650">
        <f t="shared" si="2864"/>
        <v>0</v>
      </c>
      <c r="AI928" s="645">
        <f t="shared" si="2865"/>
        <v>0</v>
      </c>
      <c r="AJ928" s="645">
        <f t="shared" si="2866"/>
        <v>0</v>
      </c>
      <c r="AK928" s="645" t="str">
        <f t="shared" si="2867"/>
        <v/>
      </c>
      <c r="AL928" s="645">
        <f t="shared" si="2868"/>
        <v>0</v>
      </c>
      <c r="AM928" s="645" t="str">
        <f t="shared" si="2869"/>
        <v/>
      </c>
      <c r="AN928" s="651">
        <f t="shared" si="2870"/>
        <v>0</v>
      </c>
      <c r="AO928" s="623"/>
      <c r="AP928" s="632" t="str">
        <f t="shared" si="2835"/>
        <v/>
      </c>
      <c r="AQ928" s="633">
        <f>IF(AC928=$V$3,IF(VLOOKUP(C928,[1]List1!$A:$E,5,FALSE)=0,1,VLOOKUP(C928,[1]List1!$A:$E,5,FALSE)),"")</f>
        <v>2</v>
      </c>
      <c r="AR928" s="625" t="str">
        <f t="shared" si="2836"/>
        <v/>
      </c>
      <c r="AS928" s="634" t="str">
        <f t="shared" si="2837"/>
        <v/>
      </c>
      <c r="AT928" s="625" t="str">
        <f t="shared" si="2838"/>
        <v/>
      </c>
      <c r="AU928" s="638" t="e">
        <f t="shared" si="2839"/>
        <v>#N/A</v>
      </c>
      <c r="AV928" s="625" t="e">
        <f t="shared" si="2840"/>
        <v>#N/A</v>
      </c>
      <c r="AX928" s="625">
        <f>IF(AND('General price list'!$J928="F4",'General price list'!$AB928+0&gt;0),1,0)</f>
        <v>0</v>
      </c>
      <c r="AY928" s="625">
        <f t="shared" si="2841"/>
        <v>1</v>
      </c>
      <c r="AZ928" s="625">
        <f t="shared" si="2842"/>
        <v>1</v>
      </c>
    </row>
    <row r="929" spans="1:52" ht="15" customHeight="1">
      <c r="A929" s="621" t="str">
        <f>Kat.!C929</f>
        <v/>
      </c>
      <c r="B929" s="566">
        <f>IF(AND('General price list'!$J929="F4",$AI$1=FALSE),0,IF(AC929="SKLADEM",1,IF(AC929=$V$3,1,0)))</f>
        <v>0</v>
      </c>
      <c r="C929" s="567" t="s">
        <v>1922</v>
      </c>
      <c r="D929" s="568" t="s">
        <v>1883</v>
      </c>
      <c r="E929" s="763" t="s">
        <v>12701</v>
      </c>
      <c r="F929" s="772">
        <f>IFERROR(VLOOKUP(C929,[2]List1!$A:$D,3,FALSE),"NEUVEDENO!")</f>
        <v>1160</v>
      </c>
      <c r="G929" s="769">
        <f t="shared" si="2857"/>
        <v>1160</v>
      </c>
      <c r="H929" s="766">
        <f t="shared" si="2858"/>
        <v>49.275103753828375</v>
      </c>
      <c r="I929" s="764">
        <f>IFERROR(VLOOKUP(C929,[2]List1!$A:$D,4,FALSE),"NEUVEDENO!")</f>
        <v>9</v>
      </c>
      <c r="J929" s="732" t="s">
        <v>614</v>
      </c>
      <c r="K929" s="569" t="s">
        <v>20</v>
      </c>
      <c r="L929" s="569" t="s">
        <v>10999</v>
      </c>
      <c r="M929" s="569" t="s">
        <v>114</v>
      </c>
      <c r="N929" s="569">
        <f>IFERROR(VLOOKUP(C929,[3]List1!$A:$D,4,FALSE),"N/A!")</f>
        <v>5.0591999999999998E-2</v>
      </c>
      <c r="O929" s="569">
        <f>IFERROR(VLOOKUP(C929,[3]List1!$A:$D,3,FALSE),"N/A!")</f>
        <v>10800</v>
      </c>
      <c r="P929" s="569">
        <f>IFERROR(VLOOKUP(C929,[3]List1!$A:$D,2,FALSE),"N/A!")</f>
        <v>16500</v>
      </c>
      <c r="Q929" s="569" t="s">
        <v>11236</v>
      </c>
      <c r="R929" s="569" t="s">
        <v>15</v>
      </c>
      <c r="S929" s="569"/>
      <c r="T929" s="569"/>
      <c r="U929" s="569">
        <v>120</v>
      </c>
      <c r="V929" s="569">
        <v>70</v>
      </c>
      <c r="W929" s="569" t="str">
        <f>IFERROR(IF(AND($AB929&gt;=0.1*$AA929,MOD($AB929,$AA929)&gt;=($AA929-(0.1*$AA929))),IF($W$17=$AF$1,"Zvažte možnost doobjednání ještě "&amp;Tabulka1[[#This Row],[VKPAL]]-MOD(AB929,AA929)&amp;" VK do plné palety.",VLOOKUP("Zvažte možnost doobjednání ještě ",Jazyky_ceník!A:Q,MATCH($W$17,Jazyky_ceník!$A$1:$Q$1,0),FALSE)&amp;Tabulka1[[#This Row],[VKPAL]]-MOD(AB929,AA929)&amp;VLOOKUP(" VK do plné palety.",Jazyky_ceník!A:Q,MATCH($W$17,Jazyky_ceník!$A$1:$Q$1,0),FALSE)),IFERROR(IF(AND(NOT(MOD($AB929,$AA929)=0),$AB929&gt;=0.9*$AA929,MOD($AB929,$AA929)&lt;=0.1*$AA929),IF($W$17=$AF$1,"Zvažte možnost optimalizace objednaného množství podle počtu VK na paletě ==&gt;",VLOOKUP("Zvažte možnost optimalizace objednaného množství podle počtu VK na paletě ==&gt;",Jazyky_ceník!A:Q,MATCH($W$17,Jazyky_ceník!$A$1:$Q$1,0),FALSE)),VLOOKUP('General price list'!$C929,Popisy!A:M,MATCH($W$17,Popisy!$A$7:$M$7,0),FALSE)),"---------------")),IFERROR(VLOOKUP('General price list'!$C929,Popisy!A:M,MATCH($W$17,Popisy!$A$7:$M$7,0),FALSE),"---------------"))</f>
        <v>golden wave to red</v>
      </c>
      <c r="X929" s="569" t="str">
        <f t="shared" si="2859"/>
        <v/>
      </c>
      <c r="Y929" s="569" t="str">
        <f t="shared" si="2860"/>
        <v/>
      </c>
      <c r="Z929" s="569" t="str">
        <f>HYPERLINK("https://www.klasekpyrotechnics.cz/s4w-p")</f>
        <v>https://www.klasekpyrotechnics.cz/s4w-p</v>
      </c>
      <c r="AA929" s="569" t="str">
        <f>IFERROR(IF(VLOOKUP(C929,[4]List1!$A:$D,4,FALSE)=0,"",VLOOKUP(C929,[4]List1!$A:$D,4,FALSE)),"")</f>
        <v>24</v>
      </c>
      <c r="AB929" s="565"/>
      <c r="AC929" s="570" t="str">
        <f>IFERROR(IF(VLOOKUP(C929,[1]List1!$A:$D,2,FALSE)="VYPRODÁNO",$V$9,IF(VLOOKUP(C929,[1]List1!$A:$D,2,FALSE)="DOCHÁZÍ",$V$3,VLOOKUP(C929,[1]List1!$A:$D,2,FALSE))),"OFFLINE!")</f>
        <v>SKLADEM</v>
      </c>
      <c r="AD929" s="570" t="str">
        <f ca="1">IF(AP929="NE",$V$10,IF(AC929=$V$3,IF(AQ929&lt;1,$V$8,$V$2&amp;" "&amp;AQ929&amp;" "&amp;$V$1),IF(AC929="SKLADEM",$V$6,IFERROR(IF(OR(AC929-TODAY()&gt;45,VLOOKUP(C929,[1]List1!$A:$E,4,FALSE)=0),AC929,DAY(AC929)&amp;"."&amp;MONTH(AC929)&amp;"."&amp;YEAR(AC929)&amp;" "&amp;$V$4&amp;VLOOKUP(C929,[1]List1!$A:$E,4,FALSE)&amp;" "&amp;$V$1),AC929))))</f>
        <v>SKLADEM</v>
      </c>
      <c r="AE929" s="581" t="str">
        <f t="shared" ca="1" si="2861"/>
        <v>SKLADEM</v>
      </c>
      <c r="AF929" s="584">
        <f t="shared" si="2862"/>
        <v>0</v>
      </c>
      <c r="AG929" s="585">
        <f t="shared" si="2863"/>
        <v>0</v>
      </c>
      <c r="AH929" s="583">
        <f t="shared" si="2864"/>
        <v>0</v>
      </c>
      <c r="AI929" s="582">
        <f t="shared" si="2865"/>
        <v>0</v>
      </c>
      <c r="AJ929" s="569">
        <f t="shared" si="2866"/>
        <v>0</v>
      </c>
      <c r="AK929" s="569" t="str">
        <f t="shared" si="2867"/>
        <v/>
      </c>
      <c r="AL929" s="569">
        <f t="shared" si="2868"/>
        <v>0</v>
      </c>
      <c r="AM929" s="569" t="str">
        <f t="shared" si="2869"/>
        <v/>
      </c>
      <c r="AN929" s="581">
        <f t="shared" si="2870"/>
        <v>0</v>
      </c>
      <c r="AO929" s="623"/>
      <c r="AP929" s="632" t="str">
        <f t="shared" si="2835"/>
        <v/>
      </c>
      <c r="AQ929" s="633" t="str">
        <f>IF(AC929=$V$3,IF(VLOOKUP(C929,[1]List1!$A:$E,5,FALSE)=0,1,VLOOKUP(C929,[1]List1!$A:$E,5,FALSE)),"")</f>
        <v/>
      </c>
      <c r="AR929" s="625" t="str">
        <f t="shared" si="2836"/>
        <v/>
      </c>
      <c r="AS929" s="634" t="str">
        <f t="shared" si="2837"/>
        <v/>
      </c>
      <c r="AT929" s="625" t="str">
        <f t="shared" si="2838"/>
        <v/>
      </c>
      <c r="AU929" s="638" t="e">
        <f t="shared" si="2839"/>
        <v>#N/A</v>
      </c>
      <c r="AV929" s="625" t="e">
        <f t="shared" si="2840"/>
        <v>#N/A</v>
      </c>
      <c r="AX929" s="625">
        <f>IF(AND('General price list'!$J929="F4",'General price list'!$AB929+0&gt;0),1,0)</f>
        <v>0</v>
      </c>
      <c r="AY929" s="625">
        <f t="shared" si="2841"/>
        <v>1</v>
      </c>
      <c r="AZ929" s="625">
        <f t="shared" si="2842"/>
        <v>1</v>
      </c>
    </row>
    <row r="930" spans="1:52" ht="15" customHeight="1">
      <c r="A930" s="639" t="str">
        <f>Kat.!C930</f>
        <v/>
      </c>
      <c r="B930" s="640">
        <f>IF(AND('General price list'!$J930="F4",$AI$1=FALSE),0,IF(AC930="SKLADEM",1,IF(AC930=$V$3,1,0)))</f>
        <v>0</v>
      </c>
      <c r="C930" s="641" t="s">
        <v>1930</v>
      </c>
      <c r="D930" s="642" t="s">
        <v>1891</v>
      </c>
      <c r="E930" s="643" t="s">
        <v>12701</v>
      </c>
      <c r="F930" s="771">
        <f>IFERROR(VLOOKUP(C930,[2]List1!$A:$D,3,FALSE),"NEUVEDENO!")</f>
        <v>1160</v>
      </c>
      <c r="G930" s="768">
        <f t="shared" si="2857"/>
        <v>1160</v>
      </c>
      <c r="H930" s="765">
        <f t="shared" si="2858"/>
        <v>49.275103753828375</v>
      </c>
      <c r="I930" s="644">
        <f>IFERROR(VLOOKUP(C930,[2]List1!$A:$D,4,FALSE),"NEUVEDENO!")</f>
        <v>9</v>
      </c>
      <c r="J930" s="733" t="s">
        <v>614</v>
      </c>
      <c r="K930" s="645" t="s">
        <v>20</v>
      </c>
      <c r="L930" s="645" t="s">
        <v>10999</v>
      </c>
      <c r="M930" s="645" t="s">
        <v>114</v>
      </c>
      <c r="N930" s="645">
        <f>IFERROR(VLOOKUP(C930,[3]List1!$A:$D,4,FALSE),"N/A!")</f>
        <v>5.0591999999999998E-2</v>
      </c>
      <c r="O930" s="645">
        <f>IFERROR(VLOOKUP(C930,[3]List1!$A:$D,3,FALSE),"N/A!")</f>
        <v>10800</v>
      </c>
      <c r="P930" s="645">
        <f>IFERROR(VLOOKUP(C930,[3]List1!$A:$D,2,FALSE),"N/A!")</f>
        <v>15000</v>
      </c>
      <c r="Q930" s="645" t="s">
        <v>11236</v>
      </c>
      <c r="R930" s="645" t="s">
        <v>15</v>
      </c>
      <c r="S930" s="645"/>
      <c r="T930" s="645"/>
      <c r="U930" s="645">
        <v>120</v>
      </c>
      <c r="V930" s="645">
        <v>70</v>
      </c>
      <c r="W930" s="645" t="str">
        <f>IFERROR(IF(AND($AB930&gt;=0.1*$AA930,MOD($AB930,$AA930)&gt;=($AA930-(0.1*$AA930))),IF($W$17=$AF$1,"Zvažte možnost doobjednání ještě "&amp;Tabulka1[[#This Row],[VKPAL]]-MOD(AB930,AA930)&amp;" VK do plné palety.",VLOOKUP("Zvažte možnost doobjednání ještě ",Jazyky_ceník!A:Q,MATCH($W$17,Jazyky_ceník!$A$1:$Q$1,0),FALSE)&amp;Tabulka1[[#This Row],[VKPAL]]-MOD(AB930,AA930)&amp;VLOOKUP(" VK do plné palety.",Jazyky_ceník!A:Q,MATCH($W$17,Jazyky_ceník!$A$1:$Q$1,0),FALSE)),IFERROR(IF(AND(NOT(MOD($AB930,$AA930)=0),$AB930&gt;=0.9*$AA930,MOD($AB930,$AA930)&lt;=0.1*$AA930),IF($W$17=$AF$1,"Zvažte možnost optimalizace objednaného množství podle počtu VK na paletě ==&gt;",VLOOKUP("Zvažte možnost optimalizace objednaného množství podle počtu VK na paletě ==&gt;",Jazyky_ceník!A:Q,MATCH($W$17,Jazyky_ceník!$A$1:$Q$1,0),FALSE)),VLOOKUP('General price list'!$C930,Popisy!A:M,MATCH($W$17,Popisy!$A$7:$M$7,0),FALSE)),"---------------")),IFERROR(VLOOKUP('General price list'!$C930,Popisy!A:M,MATCH($W$17,Popisy!$A$7:$M$7,0),FALSE),"---------------"))</f>
        <v>red strobe willow</v>
      </c>
      <c r="X930" s="645" t="str">
        <f t="shared" si="2859"/>
        <v/>
      </c>
      <c r="Y930" s="645" t="str">
        <f t="shared" si="2860"/>
        <v/>
      </c>
      <c r="Z930" s="645" t="str">
        <f>HYPERLINK("https://www.klasekpyrotechnics.cz/s4z5-p")</f>
        <v>https://www.klasekpyrotechnics.cz/s4z5-p</v>
      </c>
      <c r="AA930" s="645" t="str">
        <f>IFERROR(IF(VLOOKUP(C930,[4]List1!$A:$D,4,FALSE)=0,"",VLOOKUP(C930,[4]List1!$A:$D,4,FALSE)),"")</f>
        <v>24</v>
      </c>
      <c r="AB930" s="646"/>
      <c r="AC930" s="647" t="str">
        <f>IFERROR(IF(VLOOKUP(C930,[1]List1!$A:$D,2,FALSE)="VYPRODÁNO",$V$9,IF(VLOOKUP(C930,[1]List1!$A:$D,2,FALSE)="DOCHÁZÍ",$V$3,VLOOKUP(C930,[1]List1!$A:$D,2,FALSE))),"OFFLINE!")</f>
        <v>14.04.2026</v>
      </c>
      <c r="AD930" s="647" t="str">
        <f ca="1">IF(AP930="NE",$V$10,IF(AC930=$V$3,IF(AQ930&lt;1,$V$8,$V$2&amp;" "&amp;AQ930&amp;" "&amp;$V$1),IF(AC930="SKLADEM",$V$6,IFERROR(IF(OR(AC930-TODAY()&gt;45,VLOOKUP(C930,[1]List1!$A:$E,4,FALSE)=0),AC930,DAY(AC930)&amp;"."&amp;MONTH(AC930)&amp;"."&amp;YEAR(AC930)&amp;" "&amp;$V$4&amp;VLOOKUP(C930,[1]List1!$A:$E,4,FALSE)&amp;" "&amp;$V$1),AC930))))</f>
        <v>14.4.2026 DORAZÍ 20 VK</v>
      </c>
      <c r="AE930" s="645" t="str">
        <f t="shared" ca="1" si="2861"/>
        <v>14.4.2026 DORAZÍ 20 VK</v>
      </c>
      <c r="AF930" s="648">
        <f t="shared" si="2862"/>
        <v>0</v>
      </c>
      <c r="AG930" s="649">
        <f t="shared" si="2863"/>
        <v>0</v>
      </c>
      <c r="AH930" s="650">
        <f t="shared" si="2864"/>
        <v>0</v>
      </c>
      <c r="AI930" s="645">
        <f t="shared" si="2865"/>
        <v>0</v>
      </c>
      <c r="AJ930" s="645">
        <f t="shared" si="2866"/>
        <v>0</v>
      </c>
      <c r="AK930" s="645" t="str">
        <f t="shared" si="2867"/>
        <v/>
      </c>
      <c r="AL930" s="645">
        <f t="shared" si="2868"/>
        <v>0</v>
      </c>
      <c r="AM930" s="645" t="str">
        <f t="shared" si="2869"/>
        <v/>
      </c>
      <c r="AN930" s="651">
        <f t="shared" si="2870"/>
        <v>0</v>
      </c>
      <c r="AO930" s="623"/>
      <c r="AP930" s="632" t="str">
        <f t="shared" si="2835"/>
        <v/>
      </c>
      <c r="AQ930" s="633" t="str">
        <f>IF(AC930=$V$3,IF(VLOOKUP(C930,[1]List1!$A:$E,5,FALSE)=0,1,VLOOKUP(C930,[1]List1!$A:$E,5,FALSE)),"")</f>
        <v/>
      </c>
      <c r="AR930" s="625" t="str">
        <f t="shared" si="2836"/>
        <v/>
      </c>
      <c r="AS930" s="634" t="str">
        <f t="shared" si="2837"/>
        <v/>
      </c>
      <c r="AT930" s="625" t="str">
        <f t="shared" si="2838"/>
        <v/>
      </c>
      <c r="AU930" s="638" t="e">
        <f t="shared" si="2839"/>
        <v>#N/A</v>
      </c>
      <c r="AV930" s="625" t="e">
        <f t="shared" si="2840"/>
        <v>#N/A</v>
      </c>
      <c r="AX930" s="625">
        <f>IF(AND('General price list'!$J930="F4",'General price list'!$AB930+0&gt;0),1,0)</f>
        <v>0</v>
      </c>
      <c r="AY930" s="625">
        <f t="shared" si="2841"/>
        <v>1</v>
      </c>
      <c r="AZ930" s="625">
        <f t="shared" si="2842"/>
        <v>1</v>
      </c>
    </row>
    <row r="931" spans="1:52" ht="15.75" customHeight="1">
      <c r="A931" s="621" t="str">
        <f>Kat.!C931</f>
        <v/>
      </c>
      <c r="B931" s="566">
        <f>IF(AND('General price list'!$J931="F4",$AI$1=FALSE),0,IF(AC931="SKLADEM",1,IF(AC931=$V$3,1,0)))</f>
        <v>0</v>
      </c>
      <c r="C931" s="567" t="s">
        <v>1931</v>
      </c>
      <c r="D931" s="568" t="s">
        <v>1893</v>
      </c>
      <c r="E931" s="763" t="s">
        <v>12701</v>
      </c>
      <c r="F931" s="772">
        <f>IFERROR(VLOOKUP(C931,[2]List1!$A:$D,3,FALSE),"NEUVEDENO!")</f>
        <v>1160</v>
      </c>
      <c r="G931" s="769">
        <f t="shared" si="2857"/>
        <v>1160</v>
      </c>
      <c r="H931" s="766">
        <f t="shared" si="2858"/>
        <v>49.275103753828375</v>
      </c>
      <c r="I931" s="764">
        <f>IFERROR(VLOOKUP(C931,[2]List1!$A:$D,4,FALSE),"NEUVEDENO!")</f>
        <v>9</v>
      </c>
      <c r="J931" s="732" t="s">
        <v>614</v>
      </c>
      <c r="K931" s="569" t="s">
        <v>20</v>
      </c>
      <c r="L931" s="569" t="s">
        <v>10999</v>
      </c>
      <c r="M931" s="569" t="s">
        <v>114</v>
      </c>
      <c r="N931" s="569">
        <f>IFERROR(VLOOKUP(C931,[3]List1!$A:$D,4,FALSE),"N/A!")</f>
        <v>5.0591999999999998E-2</v>
      </c>
      <c r="O931" s="569">
        <f>IFERROR(VLOOKUP(C931,[3]List1!$A:$D,3,FALSE),"N/A!")</f>
        <v>10800</v>
      </c>
      <c r="P931" s="569">
        <f>IFERROR(VLOOKUP(C931,[3]List1!$A:$D,2,FALSE),"N/A!")</f>
        <v>15000</v>
      </c>
      <c r="Q931" s="569" t="s">
        <v>11236</v>
      </c>
      <c r="R931" s="569" t="s">
        <v>15</v>
      </c>
      <c r="S931" s="569"/>
      <c r="T931" s="569"/>
      <c r="U931" s="569">
        <v>120</v>
      </c>
      <c r="V931" s="569">
        <v>70</v>
      </c>
      <c r="W931" s="569" t="str">
        <f>IFERROR(IF(AND($AB931&gt;=0.1*$AA931,MOD($AB931,$AA931)&gt;=($AA931-(0.1*$AA931))),IF($W$17=$AF$1,"Zvažte možnost doobjednání ještě "&amp;Tabulka1[[#This Row],[VKPAL]]-MOD(AB931,AA931)&amp;" VK do plné palety.",VLOOKUP("Zvažte možnost doobjednání ještě ",Jazyky_ceník!A:Q,MATCH($W$17,Jazyky_ceník!$A$1:$Q$1,0),FALSE)&amp;Tabulka1[[#This Row],[VKPAL]]-MOD(AB931,AA931)&amp;VLOOKUP(" VK do plné palety.",Jazyky_ceník!A:Q,MATCH($W$17,Jazyky_ceník!$A$1:$Q$1,0),FALSE)),IFERROR(IF(AND(NOT(MOD($AB931,$AA931)=0),$AB931&gt;=0.9*$AA931,MOD($AB931,$AA931)&lt;=0.1*$AA931),IF($W$17=$AF$1,"Zvažte možnost optimalizace objednaného množství podle počtu VK na paletě ==&gt;",VLOOKUP("Zvažte možnost optimalizace objednaného množství podle počtu VK na paletě ==&gt;",Jazyky_ceník!A:Q,MATCH($W$17,Jazyky_ceník!$A$1:$Q$1,0),FALSE)),VLOOKUP('General price list'!$C931,Popisy!A:M,MATCH($W$17,Popisy!$A$7:$M$7,0),FALSE)),"---------------")),IFERROR(VLOOKUP('General price list'!$C931,Popisy!A:M,MATCH($W$17,Popisy!$A$7:$M$7,0),FALSE),"---------------"))</f>
        <v>red three swords man</v>
      </c>
      <c r="X931" s="569" t="str">
        <f t="shared" si="2859"/>
        <v/>
      </c>
      <c r="Y931" s="569" t="str">
        <f t="shared" si="2860"/>
        <v/>
      </c>
      <c r="Z931" s="569" t="str">
        <f>HYPERLINK("https://www.klasekpyrotechnics.cz/s4z6-p")</f>
        <v>https://www.klasekpyrotechnics.cz/s4z6-p</v>
      </c>
      <c r="AA931" s="569" t="str">
        <f>IFERROR(IF(VLOOKUP(C931,[4]List1!$A:$D,4,FALSE)=0,"",VLOOKUP(C931,[4]List1!$A:$D,4,FALSE)),"")</f>
        <v>24</v>
      </c>
      <c r="AB931" s="565"/>
      <c r="AC931" s="570" t="str">
        <f>IFERROR(IF(VLOOKUP(C931,[1]List1!$A:$D,2,FALSE)="VYPRODÁNO",$V$9,IF(VLOOKUP(C931,[1]List1!$A:$D,2,FALSE)="DOCHÁZÍ",$V$3,VLOOKUP(C931,[1]List1!$A:$D,2,FALSE))),"OFFLINE!")</f>
        <v>14.04.2026</v>
      </c>
      <c r="AD931" s="570" t="str">
        <f ca="1">IF(AP931="NE",$V$10,IF(AC931=$V$3,IF(AQ931&lt;1,$V$8,$V$2&amp;" "&amp;AQ931&amp;" "&amp;$V$1),IF(AC931="SKLADEM",$V$6,IFERROR(IF(OR(AC931-TODAY()&gt;45,VLOOKUP(C931,[1]List1!$A:$E,4,FALSE)=0),AC931,DAY(AC931)&amp;"."&amp;MONTH(AC931)&amp;"."&amp;YEAR(AC931)&amp;" "&amp;$V$4&amp;VLOOKUP(C931,[1]List1!$A:$E,4,FALSE)&amp;" "&amp;$V$1),AC931))))</f>
        <v>14.4.2026 DORAZÍ 20 VK</v>
      </c>
      <c r="AE931" s="581" t="str">
        <f t="shared" ca="1" si="2861"/>
        <v>14.4.2026 DORAZÍ 20 VK</v>
      </c>
      <c r="AF931" s="584">
        <f t="shared" si="2862"/>
        <v>0</v>
      </c>
      <c r="AG931" s="585">
        <f t="shared" si="2863"/>
        <v>0</v>
      </c>
      <c r="AH931" s="583">
        <f t="shared" si="2864"/>
        <v>0</v>
      </c>
      <c r="AI931" s="582">
        <f t="shared" si="2865"/>
        <v>0</v>
      </c>
      <c r="AJ931" s="569">
        <f t="shared" si="2866"/>
        <v>0</v>
      </c>
      <c r="AK931" s="569" t="str">
        <f t="shared" si="2867"/>
        <v/>
      </c>
      <c r="AL931" s="569">
        <f t="shared" si="2868"/>
        <v>0</v>
      </c>
      <c r="AM931" s="569" t="str">
        <f t="shared" si="2869"/>
        <v/>
      </c>
      <c r="AN931" s="581">
        <f t="shared" si="2870"/>
        <v>0</v>
      </c>
      <c r="AO931" s="623"/>
      <c r="AP931" s="625" t="str">
        <f t="shared" si="2835"/>
        <v/>
      </c>
      <c r="AQ931" s="625" t="str">
        <f>IF(AC931=$V$3,IF(VLOOKUP(C931,[1]List1!$A:$E,5,FALSE)=0,1,VLOOKUP(C931,[1]List1!$A:$E,5,FALSE)),"")</f>
        <v/>
      </c>
      <c r="AR931" s="629" t="str">
        <f t="shared" si="2836"/>
        <v/>
      </c>
      <c r="AS931" s="630" t="str">
        <f t="shared" si="2837"/>
        <v/>
      </c>
      <c r="AT931" s="625" t="str">
        <f t="shared" si="2838"/>
        <v/>
      </c>
      <c r="AU931" s="625" t="e">
        <f t="shared" si="2839"/>
        <v>#N/A</v>
      </c>
      <c r="AV931" s="625" t="e">
        <f t="shared" si="2840"/>
        <v>#N/A</v>
      </c>
      <c r="AW931" s="631"/>
      <c r="AX931" s="631">
        <f>IF(AND('General price list'!$J931="F4",'General price list'!$AB931+0&gt;0),1,0)</f>
        <v>0</v>
      </c>
      <c r="AY931" s="631">
        <f t="shared" si="2841"/>
        <v>1</v>
      </c>
      <c r="AZ931" s="631">
        <f t="shared" si="2842"/>
        <v>1</v>
      </c>
    </row>
    <row r="932" spans="1:52" ht="15.75" customHeight="1">
      <c r="A932" s="639" t="str">
        <f>Kat.!C932</f>
        <v/>
      </c>
      <c r="B932" s="640">
        <f>IF(AND('General price list'!$J932="F4",$AI$1=FALSE),0,IF(AC932="SKLADEM",1,IF(AC932=$V$3,1,0)))</f>
        <v>0</v>
      </c>
      <c r="C932" s="641" t="s">
        <v>1933</v>
      </c>
      <c r="D932" s="642" t="s">
        <v>1896</v>
      </c>
      <c r="E932" s="643" t="s">
        <v>12701</v>
      </c>
      <c r="F932" s="771">
        <f>IFERROR(VLOOKUP(C932,[2]List1!$A:$D,3,FALSE),"NEUVEDENO!")</f>
        <v>1160</v>
      </c>
      <c r="G932" s="768">
        <f t="shared" si="2857"/>
        <v>1160</v>
      </c>
      <c r="H932" s="765">
        <f t="shared" si="2858"/>
        <v>49.275103753828375</v>
      </c>
      <c r="I932" s="644">
        <f>IFERROR(VLOOKUP(C932,[2]List1!$A:$D,4,FALSE),"NEUVEDENO!")</f>
        <v>9</v>
      </c>
      <c r="J932" s="733" t="s">
        <v>614</v>
      </c>
      <c r="K932" s="645" t="s">
        <v>20</v>
      </c>
      <c r="L932" s="645" t="s">
        <v>10999</v>
      </c>
      <c r="M932" s="645" t="s">
        <v>114</v>
      </c>
      <c r="N932" s="645">
        <f>IFERROR(VLOOKUP(C932,[3]List1!$A:$D,4,FALSE),"N/A!")</f>
        <v>5.0591999999999998E-2</v>
      </c>
      <c r="O932" s="645">
        <f>IFERROR(VLOOKUP(C932,[3]List1!$A:$D,3,FALSE),"N/A!")</f>
        <v>10800</v>
      </c>
      <c r="P932" s="645">
        <f>IFERROR(VLOOKUP(C932,[3]List1!$A:$D,2,FALSE),"N/A!")</f>
        <v>17000</v>
      </c>
      <c r="Q932" s="645" t="s">
        <v>11236</v>
      </c>
      <c r="R932" s="645" t="s">
        <v>15</v>
      </c>
      <c r="S932" s="645"/>
      <c r="T932" s="645"/>
      <c r="U932" s="645">
        <v>120</v>
      </c>
      <c r="V932" s="645">
        <v>70</v>
      </c>
      <c r="W932" s="645" t="str">
        <f>IFERROR(IF(AND($AB932&gt;=0.1*$AA932,MOD($AB932,$AA932)&gt;=($AA932-(0.1*$AA932))),IF($W$17=$AF$1,"Zvažte možnost doobjednání ještě "&amp;Tabulka1[[#This Row],[VKPAL]]-MOD(AB932,AA932)&amp;" VK do plné palety.",VLOOKUP("Zvažte možnost doobjednání ještě ",Jazyky_ceník!A:Q,MATCH($W$17,Jazyky_ceník!$A$1:$Q$1,0),FALSE)&amp;Tabulka1[[#This Row],[VKPAL]]-MOD(AB932,AA932)&amp;VLOOKUP(" VK do plné palety.",Jazyky_ceník!A:Q,MATCH($W$17,Jazyky_ceník!$A$1:$Q$1,0),FALSE)),IFERROR(IF(AND(NOT(MOD($AB932,$AA932)=0),$AB932&gt;=0.9*$AA932,MOD($AB932,$AA932)&lt;=0.1*$AA932),IF($W$17=$AF$1,"Zvažte možnost optimalizace objednaného množství podle počtu VK na paletě ==&gt;",VLOOKUP("Zvažte možnost optimalizace objednaného množství podle počtu VK na paletě ==&gt;",Jazyky_ceník!A:Q,MATCH($W$17,Jazyky_ceník!$A$1:$Q$1,0),FALSE)),VLOOKUP('General price list'!$C932,Popisy!A:M,MATCH($W$17,Popisy!$A$7:$M$7,0),FALSE)),"---------------")),IFERROR(VLOOKUP('General price list'!$C932,Popisy!A:M,MATCH($W$17,Popisy!$A$7:$M$7,0),FALSE),"---------------"))</f>
        <v>brocade crown to color</v>
      </c>
      <c r="X932" s="645" t="str">
        <f t="shared" si="2859"/>
        <v/>
      </c>
      <c r="Y932" s="645" t="str">
        <f t="shared" si="2860"/>
        <v/>
      </c>
      <c r="Z932" s="645" t="str">
        <f>HYPERLINK("https://www.klasekpyrotechnics.cz/s4z8-p")</f>
        <v>https://www.klasekpyrotechnics.cz/s4z8-p</v>
      </c>
      <c r="AA932" s="645" t="str">
        <f>IFERROR(IF(VLOOKUP(C932,[4]List1!$A:$D,4,FALSE)=0,"",VLOOKUP(C932,[4]List1!$A:$D,4,FALSE)),"")</f>
        <v>24</v>
      </c>
      <c r="AB932" s="646"/>
      <c r="AC932" s="647" t="str">
        <f>IFERROR(IF(VLOOKUP(C932,[1]List1!$A:$D,2,FALSE)="VYPRODÁNO",$V$9,IF(VLOOKUP(C932,[1]List1!$A:$D,2,FALSE)="DOCHÁZÍ",$V$3,VLOOKUP(C932,[1]List1!$A:$D,2,FALSE))),"OFFLINE!")</f>
        <v>SKLADEM</v>
      </c>
      <c r="AD932" s="647" t="str">
        <f ca="1">IF(AP932="NE",$V$10,IF(AC932=$V$3,IF(AQ932&lt;1,$V$8,$V$2&amp;" "&amp;AQ932&amp;" "&amp;$V$1),IF(AC932="SKLADEM",$V$6,IFERROR(IF(OR(AC932-TODAY()&gt;45,VLOOKUP(C932,[1]List1!$A:$E,4,FALSE)=0),AC932,DAY(AC932)&amp;"."&amp;MONTH(AC932)&amp;"."&amp;YEAR(AC932)&amp;" "&amp;$V$4&amp;VLOOKUP(C932,[1]List1!$A:$E,4,FALSE)&amp;" "&amp;$V$1),AC932))))</f>
        <v>SKLADEM</v>
      </c>
      <c r="AE932" s="645" t="str">
        <f t="shared" ca="1" si="2861"/>
        <v>SKLADEM</v>
      </c>
      <c r="AF932" s="648">
        <f t="shared" si="2862"/>
        <v>0</v>
      </c>
      <c r="AG932" s="649">
        <f t="shared" si="2863"/>
        <v>0</v>
      </c>
      <c r="AH932" s="650">
        <f t="shared" si="2864"/>
        <v>0</v>
      </c>
      <c r="AI932" s="645">
        <f t="shared" si="2865"/>
        <v>0</v>
      </c>
      <c r="AJ932" s="645">
        <f t="shared" si="2866"/>
        <v>0</v>
      </c>
      <c r="AK932" s="645" t="str">
        <f t="shared" si="2867"/>
        <v/>
      </c>
      <c r="AL932" s="645">
        <f t="shared" si="2868"/>
        <v>0</v>
      </c>
      <c r="AM932" s="645" t="str">
        <f t="shared" si="2869"/>
        <v/>
      </c>
      <c r="AN932" s="651">
        <f t="shared" si="2870"/>
        <v>0</v>
      </c>
      <c r="AO932" s="623"/>
      <c r="AP932" s="625" t="str">
        <f t="shared" si="2835"/>
        <v/>
      </c>
      <c r="AQ932" s="625" t="str">
        <f>IF(AC932=$V$3,IF(VLOOKUP(C932,[1]List1!$A:$E,5,FALSE)=0,1,VLOOKUP(C932,[1]List1!$A:$E,5,FALSE)),"")</f>
        <v/>
      </c>
      <c r="AR932" s="629" t="str">
        <f t="shared" si="2836"/>
        <v/>
      </c>
      <c r="AS932" s="630" t="str">
        <f t="shared" si="2837"/>
        <v/>
      </c>
      <c r="AT932" s="625" t="str">
        <f t="shared" si="2838"/>
        <v/>
      </c>
      <c r="AU932" s="625" t="e">
        <f t="shared" si="2839"/>
        <v>#N/A</v>
      </c>
      <c r="AV932" s="625" t="e">
        <f t="shared" si="2840"/>
        <v>#N/A</v>
      </c>
      <c r="AW932" s="631"/>
      <c r="AX932" s="631">
        <f>IF(AND('General price list'!$J932="F4",'General price list'!$AB932+0&gt;0),1,0)</f>
        <v>0</v>
      </c>
      <c r="AY932" s="631">
        <f t="shared" si="2841"/>
        <v>1</v>
      </c>
      <c r="AZ932" s="631">
        <f t="shared" si="2842"/>
        <v>1</v>
      </c>
    </row>
    <row r="933" spans="1:52" ht="15" customHeight="1">
      <c r="A933" s="621" t="str">
        <f>Kat.!C933</f>
        <v/>
      </c>
      <c r="B933" s="566">
        <f>IF(AND('General price list'!$J933="F4",$AI$1=FALSE),0,IF(AC933="SKLADEM",1,IF(AC933=$V$3,1,0)))</f>
        <v>0</v>
      </c>
      <c r="C933" s="567" t="s">
        <v>2351</v>
      </c>
      <c r="D933" s="568" t="s">
        <v>2352</v>
      </c>
      <c r="E933" s="763" t="s">
        <v>12701</v>
      </c>
      <c r="F933" s="772">
        <f>IFERROR(VLOOKUP(C933,[2]List1!$A:$D,3,FALSE),"NEUVEDENO!")</f>
        <v>1160</v>
      </c>
      <c r="G933" s="769">
        <f t="shared" si="2857"/>
        <v>1160</v>
      </c>
      <c r="H933" s="766">
        <f t="shared" si="2858"/>
        <v>49.275103753828375</v>
      </c>
      <c r="I933" s="764">
        <f>IFERROR(VLOOKUP(C933,[2]List1!$A:$D,4,FALSE),"NEUVEDENO!")</f>
        <v>9</v>
      </c>
      <c r="J933" s="732" t="s">
        <v>614</v>
      </c>
      <c r="K933" s="569" t="s">
        <v>20</v>
      </c>
      <c r="L933" s="569" t="s">
        <v>20</v>
      </c>
      <c r="M933" s="569" t="s">
        <v>114</v>
      </c>
      <c r="N933" s="569">
        <f>IFERROR(VLOOKUP(C933,[3]List1!$A:$D,4,FALSE),"N/A!")</f>
        <v>5.0591999999999998E-2</v>
      </c>
      <c r="O933" s="569">
        <f>IFERROR(VLOOKUP(C933,[3]List1!$A:$D,3,FALSE),"N/A!")</f>
        <v>10800</v>
      </c>
      <c r="P933" s="569">
        <f>IFERROR(VLOOKUP(C933,[3]List1!$A:$D,2,FALSE),"N/A!")</f>
        <v>16600</v>
      </c>
      <c r="Q933" s="569" t="s">
        <v>11236</v>
      </c>
      <c r="R933" s="569" t="s">
        <v>15</v>
      </c>
      <c r="S933" s="569"/>
      <c r="T933" s="569"/>
      <c r="U933" s="569">
        <v>120</v>
      </c>
      <c r="V933" s="569">
        <v>70</v>
      </c>
      <c r="W933" s="569" t="str">
        <f>IFERROR(IF(AND($AB933&gt;=0.1*$AA933,MOD($AB933,$AA933)&gt;=($AA933-(0.1*$AA933))),IF($W$17=$AF$1,"Zvažte možnost doobjednání ještě "&amp;Tabulka1[[#This Row],[VKPAL]]-MOD(AB933,AA933)&amp;" VK do plné palety.",VLOOKUP("Zvažte možnost doobjednání ještě ",Jazyky_ceník!A:Q,MATCH($W$17,Jazyky_ceník!$A$1:$Q$1,0),FALSE)&amp;Tabulka1[[#This Row],[VKPAL]]-MOD(AB933,AA933)&amp;VLOOKUP(" VK do plné palety.",Jazyky_ceník!A:Q,MATCH($W$17,Jazyky_ceník!$A$1:$Q$1,0),FALSE)),IFERROR(IF(AND(NOT(MOD($AB933,$AA933)=0),$AB933&gt;=0.9*$AA933,MOD($AB933,$AA933)&lt;=0.1*$AA933),IF($W$17=$AF$1,"Zvažte možnost optimalizace objednaného množství podle počtu VK na paletě ==&gt;",VLOOKUP("Zvažte možnost optimalizace objednaného množství podle počtu VK na paletě ==&gt;",Jazyky_ceník!A:Q,MATCH($W$17,Jazyky_ceník!$A$1:$Q$1,0),FALSE)),VLOOKUP('General price list'!$C933,Popisy!A:M,MATCH($W$17,Popisy!$A$7:$M$7,0),FALSE)),"---------------")),IFERROR(VLOOKUP('General price list'!$C933,Popisy!A:M,MATCH($W$17,Popisy!$A$7:$M$7,0),FALSE),"---------------"))</f>
        <v>crackling waterfall</v>
      </c>
      <c r="X933" s="569" t="str">
        <f t="shared" si="2859"/>
        <v/>
      </c>
      <c r="Y933" s="569" t="str">
        <f t="shared" si="2860"/>
        <v/>
      </c>
      <c r="Z933" s="569" t="str">
        <f>HYPERLINK("https://www.klasekpyrotechnics.cz/s4z11-p")</f>
        <v>https://www.klasekpyrotechnics.cz/s4z11-p</v>
      </c>
      <c r="AA933" s="569" t="str">
        <f>IFERROR(IF(VLOOKUP(C933,[4]List1!$A:$D,4,FALSE)=0,"",VLOOKUP(C933,[4]List1!$A:$D,4,FALSE)),"")</f>
        <v>24</v>
      </c>
      <c r="AB933" s="565"/>
      <c r="AC933" s="570" t="str">
        <f>IFERROR(IF(VLOOKUP(C933,[1]List1!$A:$D,2,FALSE)="VYPRODÁNO",$V$9,IF(VLOOKUP(C933,[1]List1!$A:$D,2,FALSE)="DOCHÁZÍ",$V$3,VLOOKUP(C933,[1]List1!$A:$D,2,FALSE))),"OFFLINE!")</f>
        <v>SKLADEM</v>
      </c>
      <c r="AD933" s="570" t="str">
        <f ca="1">IF(AP933="NE",$V$10,IF(AC933=$V$3,IF(AQ933&lt;1,$V$8,$V$2&amp;" "&amp;AQ933&amp;" "&amp;$V$1),IF(AC933="SKLADEM",$V$6,IFERROR(IF(OR(AC933-TODAY()&gt;45,VLOOKUP(C933,[1]List1!$A:$E,4,FALSE)=0),AC933,DAY(AC933)&amp;"."&amp;MONTH(AC933)&amp;"."&amp;YEAR(AC933)&amp;" "&amp;$V$4&amp;VLOOKUP(C933,[1]List1!$A:$E,4,FALSE)&amp;" "&amp;$V$1),AC933))))</f>
        <v>SKLADEM</v>
      </c>
      <c r="AE933" s="581" t="str">
        <f t="shared" ca="1" si="2861"/>
        <v>SKLADEM</v>
      </c>
      <c r="AF933" s="584">
        <f t="shared" si="2862"/>
        <v>0</v>
      </c>
      <c r="AG933" s="585">
        <f t="shared" si="2863"/>
        <v>0</v>
      </c>
      <c r="AH933" s="583">
        <f t="shared" si="2864"/>
        <v>0</v>
      </c>
      <c r="AI933" s="582">
        <f t="shared" si="2865"/>
        <v>0</v>
      </c>
      <c r="AJ933" s="569">
        <f t="shared" si="2866"/>
        <v>0</v>
      </c>
      <c r="AK933" s="569" t="str">
        <f t="shared" si="2867"/>
        <v/>
      </c>
      <c r="AL933" s="569">
        <f t="shared" si="2868"/>
        <v>0</v>
      </c>
      <c r="AM933" s="569" t="str">
        <f t="shared" si="2869"/>
        <v/>
      </c>
      <c r="AN933" s="581">
        <f t="shared" si="2870"/>
        <v>0</v>
      </c>
      <c r="AO933" s="623"/>
      <c r="AP933" s="632" t="str">
        <f t="shared" si="2835"/>
        <v/>
      </c>
      <c r="AQ933" s="633" t="str">
        <f>IF(AC933=$V$3,IF(VLOOKUP(C933,[1]List1!$A:$E,5,FALSE)=0,1,VLOOKUP(C933,[1]List1!$A:$E,5,FALSE)),"")</f>
        <v/>
      </c>
      <c r="AR933" s="625" t="str">
        <f t="shared" si="2836"/>
        <v/>
      </c>
      <c r="AS933" s="634" t="str">
        <f t="shared" si="2837"/>
        <v/>
      </c>
      <c r="AT933" s="625" t="str">
        <f t="shared" si="2838"/>
        <v/>
      </c>
      <c r="AU933" s="638" t="e">
        <f t="shared" si="2839"/>
        <v>#N/A</v>
      </c>
      <c r="AV933" s="625" t="e">
        <f t="shared" si="2840"/>
        <v>#N/A</v>
      </c>
      <c r="AX933" s="625">
        <f>IF(AND('General price list'!$J933="F4",'General price list'!$AB933+0&gt;0),1,0)</f>
        <v>0</v>
      </c>
      <c r="AY933" s="625">
        <f t="shared" si="2841"/>
        <v>1</v>
      </c>
      <c r="AZ933" s="625">
        <f t="shared" si="2842"/>
        <v>1</v>
      </c>
    </row>
    <row r="934" spans="1:52" ht="15.75" customHeight="1">
      <c r="A934" s="639" t="str">
        <f>Kat.!C934</f>
        <v/>
      </c>
      <c r="B934" s="640">
        <f>IF(AND('General price list'!$J934="F4",$AI$1=FALSE),0,IF(AC934="SKLADEM",1,IF(AC934=$V$3,1,0)))</f>
        <v>0</v>
      </c>
      <c r="C934" s="641" t="s">
        <v>1934</v>
      </c>
      <c r="D934" s="642" t="s">
        <v>1935</v>
      </c>
      <c r="E934" s="643" t="s">
        <v>12701</v>
      </c>
      <c r="F934" s="773">
        <f>IFERROR(VLOOKUP(C934,[2]List1!$A:$D,3,FALSE),"NEUVEDENO!")</f>
        <v>1232</v>
      </c>
      <c r="G934" s="770">
        <f t="shared" si="2857"/>
        <v>1232</v>
      </c>
      <c r="H934" s="767">
        <f t="shared" si="2858"/>
        <v>52.333558469583245</v>
      </c>
      <c r="I934" s="644">
        <f>IFERROR(VLOOKUP(C934,[2]List1!$A:$D,4,FALSE),"NEUVEDENO!")</f>
        <v>9</v>
      </c>
      <c r="J934" s="733" t="s">
        <v>614</v>
      </c>
      <c r="K934" s="645" t="s">
        <v>20</v>
      </c>
      <c r="L934" s="645" t="s">
        <v>10999</v>
      </c>
      <c r="M934" s="645" t="s">
        <v>114</v>
      </c>
      <c r="N934" s="645">
        <f>IFERROR(VLOOKUP(C934,[3]List1!$A:$D,4,FALSE),"N/A!")</f>
        <v>5.0591999999999998E-2</v>
      </c>
      <c r="O934" s="645">
        <f>IFERROR(VLOOKUP(C934,[3]List1!$A:$D,3,FALSE),"N/A!")</f>
        <v>10800</v>
      </c>
      <c r="P934" s="645">
        <f>IFERROR(VLOOKUP(C934,[3]List1!$A:$D,2,FALSE),"N/A!")</f>
        <v>17500</v>
      </c>
      <c r="Q934" s="645" t="s">
        <v>11236</v>
      </c>
      <c r="R934" s="645" t="s">
        <v>15</v>
      </c>
      <c r="S934" s="645"/>
      <c r="T934" s="645"/>
      <c r="U934" s="645">
        <v>120</v>
      </c>
      <c r="V934" s="645">
        <v>70</v>
      </c>
      <c r="W934" s="645" t="str">
        <f>IFERROR(IF(AND($AB934&gt;=0.1*$AA934,MOD($AB934,$AA934)&gt;=($AA934-(0.1*$AA934))),IF($W$17=$AF$1,"Zvažte možnost doobjednání ještě "&amp;Tabulka1[[#This Row],[VKPAL]]-MOD(AB934,AA934)&amp;" VK do plné palety.",VLOOKUP("Zvažte možnost doobjednání ještě ",Jazyky_ceník!A:Q,MATCH($W$17,Jazyky_ceník!$A$1:$Q$1,0),FALSE)&amp;Tabulka1[[#This Row],[VKPAL]]-MOD(AB934,AA934)&amp;VLOOKUP(" VK do plné palety.",Jazyky_ceník!A:Q,MATCH($W$17,Jazyky_ceník!$A$1:$Q$1,0),FALSE)),IFERROR(IF(AND(NOT(MOD($AB934,$AA934)=0),$AB934&gt;=0.9*$AA934,MOD($AB934,$AA934)&lt;=0.1*$AA934),IF($W$17=$AF$1,"Zvažte možnost optimalizace objednaného množství podle počtu VK na paletě ==&gt;",VLOOKUP("Zvažte možnost optimalizace objednaného množství podle počtu VK na paletě ==&gt;",Jazyky_ceník!A:Q,MATCH($W$17,Jazyky_ceník!$A$1:$Q$1,0),FALSE)),VLOOKUP('General price list'!$C934,Popisy!A:M,MATCH($W$17,Popisy!$A$7:$M$7,0),FALSE)),"---------------")),IFERROR(VLOOKUP('General price list'!$C934,Popisy!A:M,MATCH($W$17,Popisy!$A$7:$M$7,0),FALSE),"---------------"))</f>
        <v>Mixed carton contains-premium quality-each box including: S4L blood red+silver strobe, S4CH flower crown with red glitter pistil, S4Z/8 brocade crown to color, S4Z/7 orange wave to green</v>
      </c>
      <c r="X934" s="645" t="str">
        <f t="shared" si="2859"/>
        <v/>
      </c>
      <c r="Y934" s="645" t="str">
        <f t="shared" si="2860"/>
        <v/>
      </c>
      <c r="Z934" s="645" t="str">
        <f>HYPERLINK("https://www.klasekpyrotechnics.cz/s4m-p")</f>
        <v>https://www.klasekpyrotechnics.cz/s4m-p</v>
      </c>
      <c r="AA934" s="645" t="str">
        <f>IFERROR(IF(VLOOKUP(C934,[4]List1!$A:$D,4,FALSE)=0,"",VLOOKUP(C934,[4]List1!$A:$D,4,FALSE)),"")</f>
        <v>24</v>
      </c>
      <c r="AB934" s="646"/>
      <c r="AC934" s="647" t="str">
        <f>IFERROR(IF(VLOOKUP(C934,[1]List1!$A:$D,2,FALSE)="VYPRODÁNO",$V$9,IF(VLOOKUP(C934,[1]List1!$A:$D,2,FALSE)="DOCHÁZÍ",$V$3,VLOOKUP(C934,[1]List1!$A:$D,2,FALSE))),"OFFLINE!")</f>
        <v>31.08.2026</v>
      </c>
      <c r="AD934" s="647" t="str">
        <f ca="1">IF(AP934="NE",$V$10,IF(AC934=$V$3,IF(AQ934&lt;1,$V$8,$V$2&amp;" "&amp;AQ934&amp;" "&amp;$V$1),IF(AC934="SKLADEM",$V$6,IFERROR(IF(OR(AC934-TODAY()&gt;45,VLOOKUP(C934,[1]List1!$A:$E,4,FALSE)=0),AC934,DAY(AC934)&amp;"."&amp;MONTH(AC934)&amp;"."&amp;YEAR(AC934)&amp;" "&amp;$V$4&amp;VLOOKUP(C934,[1]List1!$A:$E,4,FALSE)&amp;" "&amp;$V$1),AC934))))</f>
        <v>31.08.2026</v>
      </c>
      <c r="AE934" s="645" t="str">
        <f t="shared" ca="1" si="2861"/>
        <v>31.08.2026</v>
      </c>
      <c r="AF934" s="648">
        <f t="shared" si="2862"/>
        <v>0</v>
      </c>
      <c r="AG934" s="649">
        <f t="shared" si="2863"/>
        <v>0</v>
      </c>
      <c r="AH934" s="650">
        <f t="shared" si="2864"/>
        <v>0</v>
      </c>
      <c r="AI934" s="645">
        <f t="shared" si="2865"/>
        <v>0</v>
      </c>
      <c r="AJ934" s="645">
        <f t="shared" si="2866"/>
        <v>0</v>
      </c>
      <c r="AK934" s="645" t="str">
        <f t="shared" si="2867"/>
        <v/>
      </c>
      <c r="AL934" s="645">
        <f t="shared" si="2868"/>
        <v>0</v>
      </c>
      <c r="AM934" s="645" t="str">
        <f t="shared" si="2869"/>
        <v/>
      </c>
      <c r="AN934" s="651">
        <f t="shared" si="2870"/>
        <v>0</v>
      </c>
      <c r="AO934" s="623"/>
      <c r="AP934" s="625" t="str">
        <f t="shared" si="2835"/>
        <v/>
      </c>
      <c r="AQ934" s="625" t="str">
        <f>IF(AC934=$V$3,IF(VLOOKUP(C934,[1]List1!$A:$E,5,FALSE)=0,1,VLOOKUP(C934,[1]List1!$A:$E,5,FALSE)),"")</f>
        <v/>
      </c>
      <c r="AR934" s="629" t="str">
        <f t="shared" si="2836"/>
        <v/>
      </c>
      <c r="AS934" s="630" t="str">
        <f t="shared" si="2837"/>
        <v/>
      </c>
      <c r="AT934" s="625" t="str">
        <f t="shared" si="2838"/>
        <v/>
      </c>
      <c r="AU934" s="625" t="e">
        <f t="shared" si="2839"/>
        <v>#N/A</v>
      </c>
      <c r="AV934" s="625" t="e">
        <f t="shared" si="2840"/>
        <v>#N/A</v>
      </c>
      <c r="AW934" s="631"/>
      <c r="AX934" s="631">
        <f>IF(AND('General price list'!$J934="F4",'General price list'!$AB934+0&gt;0),1,0)</f>
        <v>0</v>
      </c>
      <c r="AY934" s="631">
        <f t="shared" si="2841"/>
        <v>1</v>
      </c>
      <c r="AZ934" s="631">
        <f t="shared" si="2842"/>
        <v>1</v>
      </c>
    </row>
    <row r="935" spans="1:52" ht="15" customHeight="1">
      <c r="A935" s="751" t="str">
        <f>Kat.!C935</f>
        <v xml:space="preserve">           Kulové pumy 125 mm, prémiová kvalita</v>
      </c>
      <c r="B935" s="751"/>
      <c r="C935" s="751"/>
      <c r="D935" s="751"/>
      <c r="E935" s="751"/>
      <c r="F935" s="751"/>
      <c r="G935" s="751"/>
      <c r="H935" s="751"/>
      <c r="I935" s="752"/>
      <c r="J935" s="752"/>
      <c r="K935" s="752" t="s">
        <v>20</v>
      </c>
      <c r="L935" s="753" t="s">
        <v>2818</v>
      </c>
      <c r="M935" s="752"/>
      <c r="N935" s="752"/>
      <c r="O935" s="752"/>
      <c r="P935" s="752"/>
      <c r="Q935" s="752"/>
      <c r="R935" s="752"/>
      <c r="S935" s="752"/>
      <c r="T935" s="752"/>
      <c r="U935" s="752"/>
      <c r="V935" s="752"/>
      <c r="W935" s="752"/>
      <c r="X935" s="752"/>
      <c r="Y935" s="752"/>
      <c r="Z935" s="752" t="s">
        <v>20</v>
      </c>
      <c r="AA935" s="752"/>
      <c r="AB935" s="752"/>
      <c r="AC935" s="754"/>
      <c r="AD935" s="752"/>
      <c r="AE935" s="752"/>
      <c r="AF935" s="752"/>
      <c r="AG935" s="752"/>
      <c r="AH935" s="752"/>
      <c r="AI935" s="752"/>
      <c r="AJ935" s="752"/>
      <c r="AK935" s="752"/>
      <c r="AL935" s="752"/>
      <c r="AM935" s="752"/>
      <c r="AN935" s="752"/>
      <c r="AO935" s="623"/>
      <c r="AP935" s="632" t="str">
        <f t="shared" ref="AP935:AP939" si="2871">IF($AL$3=1,IF(Y935=AB935,"","NE"),IF(AR935=$V$10,"NE",""))</f>
        <v/>
      </c>
      <c r="AQ935" s="633" t="str">
        <f>IF(AC935=$V$3,IF(VLOOKUP(C935,[1]List1!$A:$E,5,FALSE)=0,1,VLOOKUP(C935,[1]List1!$A:$E,5,FALSE)),"")</f>
        <v/>
      </c>
      <c r="AR935" s="625" t="str">
        <f t="shared" ref="AR935:AR939" si="2872">IF($AL$3=1,"",IF(OR(AB935&lt;&gt;"",AB935&lt;&gt;0),IF(OR(AC935=$V$6,AC935=$V$3,AC935=$V$9),$V$10,""),""))</f>
        <v/>
      </c>
      <c r="AS935" s="634" t="str">
        <f t="shared" ref="AS935:AS939" si="2873">IF(AT935&lt;&gt;"","X","")</f>
        <v/>
      </c>
      <c r="AT935" s="625" t="str">
        <f t="shared" ref="AT935:AT939" si="2874">IF(AND($AL$3=2,AR935="",AB935&lt;&gt;""),AD935,"")</f>
        <v/>
      </c>
      <c r="AU935" s="638" t="e">
        <f t="shared" ref="AU935:AU939" si="2875">IF(AT935=$AS$21,AB935,"")</f>
        <v>#N/A</v>
      </c>
      <c r="AV935" s="625" t="e">
        <f t="shared" ref="AV935:AV939" si="2876">IF(OR(AB935="",AND(AT935&lt;&gt;"",AU935&lt;&gt;"")),"",$V$10)</f>
        <v>#N/A</v>
      </c>
      <c r="AX935" s="625">
        <f>IF(AND('General price list'!$J935="F4",'General price list'!$AB935+0&gt;0),1,0)</f>
        <v>0</v>
      </c>
      <c r="AY935" s="625">
        <f t="shared" ref="AY935:AY939" si="2877">IFERROR(FIND(VLOOKUP($AC$7,$AD$1:$AE$12,2,FALSE),Q935,1),0)</f>
        <v>0</v>
      </c>
      <c r="AZ935" s="625">
        <f t="shared" ref="AZ935:AZ939" si="2878">IFERROR(FIND(VLOOKUP($AC$7,$AD$1:$AE$12,2,FALSE),R935,1),0)</f>
        <v>0</v>
      </c>
    </row>
    <row r="936" spans="1:52" ht="15.75" customHeight="1">
      <c r="A936" s="639" t="str">
        <f>Kat.!C936</f>
        <v/>
      </c>
      <c r="B936" s="640">
        <f>IF(AND('General price list'!$J936="F4",$AI$1=FALSE),0,IF(AC936="SKLADEM",1,IF(AC936=$V$3,1,0)))</f>
        <v>0</v>
      </c>
      <c r="C936" s="641" t="s">
        <v>1947</v>
      </c>
      <c r="D936" s="642" t="s">
        <v>12611</v>
      </c>
      <c r="E936" s="643" t="s">
        <v>12724</v>
      </c>
      <c r="F936" s="771">
        <f>IFERROR(VLOOKUP(C936,[2]List1!$A:$D,3,FALSE),"NEUVEDENO!")</f>
        <v>530</v>
      </c>
      <c r="G936" s="768">
        <f t="shared" ref="G936:G939" si="2879">IF($W$17=$AF$8,ROUND((F936)/$F$17,2),(F936)*$B$19)</f>
        <v>530</v>
      </c>
      <c r="H936" s="765">
        <f t="shared" ref="H936:H939" si="2880">IF($W$17=$AF$8,G936*$B$19,G936/$F$17)</f>
        <v>22.513624990973312</v>
      </c>
      <c r="I936" s="644">
        <f>IFERROR(VLOOKUP(C936,[2]List1!$A:$D,4,FALSE),"NEUVEDENO!")</f>
        <v>16</v>
      </c>
      <c r="J936" s="733" t="s">
        <v>614</v>
      </c>
      <c r="K936" s="645" t="s">
        <v>20</v>
      </c>
      <c r="L936" s="645" t="s">
        <v>10999</v>
      </c>
      <c r="M936" s="645" t="s">
        <v>114</v>
      </c>
      <c r="N936" s="645">
        <f>IFERROR(VLOOKUP(C936,[3]List1!$A:$D,4,FALSE),"N/A!")</f>
        <v>4.3217999999999999E-2</v>
      </c>
      <c r="O936" s="645">
        <f>IFERROR(VLOOKUP(C936,[3]List1!$A:$D,3,FALSE),"N/A!")</f>
        <v>9600</v>
      </c>
      <c r="P936" s="645">
        <f>IFERROR(VLOOKUP(C936,[3]List1!$A:$D,2,FALSE),"N/A!")</f>
        <v>12600</v>
      </c>
      <c r="Q936" s="645" t="s">
        <v>11236</v>
      </c>
      <c r="R936" s="645" t="s">
        <v>15</v>
      </c>
      <c r="S936" s="645"/>
      <c r="T936" s="645"/>
      <c r="U936" s="645">
        <v>160</v>
      </c>
      <c r="V936" s="645">
        <v>85</v>
      </c>
      <c r="W936" s="645" t="str">
        <f>IFERROR(IF(AND($AB936&gt;=0.1*$AA936,MOD($AB936,$AA936)&gt;=($AA936-(0.1*$AA936))),IF($W$17=$AF$1,"Zvažte možnost doobjednání ještě "&amp;Tabulka1[[#This Row],[VKPAL]]-MOD(AB936,AA936)&amp;" VK do plné palety.",VLOOKUP("Zvažte možnost doobjednání ještě ",Jazyky_ceník!A:Q,MATCH($W$17,Jazyky_ceník!$A$1:$Q$1,0),FALSE)&amp;Tabulka1[[#This Row],[VKPAL]]-MOD(AB936,AA936)&amp;VLOOKUP(" VK do plné palety.",Jazyky_ceník!A:Q,MATCH($W$17,Jazyky_ceník!$A$1:$Q$1,0),FALSE)),IFERROR(IF(AND(NOT(MOD($AB936,$AA936)=0),$AB936&gt;=0.9*$AA936,MOD($AB936,$AA936)&lt;=0.1*$AA936),IF($W$17=$AF$1,"Zvažte možnost optimalizace objednaného množství podle počtu VK na paletě ==&gt;",VLOOKUP("Zvažte možnost optimalizace objednaného množství podle počtu VK na paletě ==&gt;",Jazyky_ceník!A:Q,MATCH($W$17,Jazyky_ceník!$A$1:$Q$1,0),FALSE)),VLOOKUP('General price list'!$C936,Popisy!A:M,MATCH($W$17,Popisy!$A$7:$M$7,0),FALSE)),"---------------")),IFERROR(VLOOKUP('General price list'!$C936,Popisy!A:M,MATCH($W$17,Popisy!$A$7:$M$7,0),FALSE),"---------------"))</f>
        <v xml:space="preserve">silver glittering red coco crossette </v>
      </c>
      <c r="X936" s="645" t="str">
        <f t="shared" ref="X936:X939" si="2881">IF(AB936&lt;0.0001,"",AB936)</f>
        <v/>
      </c>
      <c r="Y936" s="645" t="str">
        <f t="shared" ref="Y936:Y939" si="2882">IF($AL$3=2,IF(OR(AB936&lt;&gt;"",AB936&lt;&gt;0),AU936,""),IF(C936="","",IF(AB936&lt;0.0001,"",IF(B936=0,"",IF(AQ936&lt;AB936,"",AB936)))))</f>
        <v/>
      </c>
      <c r="Z936" s="645" t="str">
        <f>HYPERLINK("https://www.klasekpyrotechnics.cz/s5e-p")</f>
        <v>https://www.klasekpyrotechnics.cz/s5e-p</v>
      </c>
      <c r="AA936" s="645">
        <f>IFERROR(IF(VLOOKUP(C936,[4]List1!$A:$D,4,FALSE)=0,"",VLOOKUP(C936,[4]List1!$A:$D,4,FALSE)),"")</f>
        <v>24</v>
      </c>
      <c r="AB936" s="646"/>
      <c r="AC936" s="647" t="str">
        <f>IFERROR(IF(VLOOKUP(C936,[1]List1!$A:$D,2,FALSE)="VYPRODÁNO",$V$9,IF(VLOOKUP(C936,[1]List1!$A:$D,2,FALSE)="DOCHÁZÍ",$V$3,VLOOKUP(C936,[1]List1!$A:$D,2,FALSE))),"OFFLINE!")</f>
        <v>SKLADEM</v>
      </c>
      <c r="AD936" s="647" t="str">
        <f ca="1">IF(AP936="NE",$V$10,IF(AC936=$V$3,IF(AQ936&lt;1,$V$8,$V$2&amp;" "&amp;AQ936&amp;" "&amp;$V$1),IF(AC936="SKLADEM",$V$6,IFERROR(IF(OR(AC936-TODAY()&gt;45,VLOOKUP(C936,[1]List1!$A:$E,4,FALSE)=0),AC936,DAY(AC936)&amp;"."&amp;MONTH(AC936)&amp;"."&amp;YEAR(AC936)&amp;" "&amp;$V$4&amp;VLOOKUP(C936,[1]List1!$A:$E,4,FALSE)&amp;" "&amp;$V$1),AC936))))</f>
        <v>SKLADEM</v>
      </c>
      <c r="AE936" s="645" t="str">
        <f t="shared" ref="AE936:AE939" ca="1" si="2883">IFERROR(IF(AV936&lt;&gt;"",AV936,AD936),AD936)</f>
        <v>SKLADEM</v>
      </c>
      <c r="AF936" s="648">
        <f t="shared" ref="AF936:AF939" si="2884">IFERROR(IF(AB936=Y936,G936*I936*Y936,0),0)</f>
        <v>0</v>
      </c>
      <c r="AG936" s="649">
        <f t="shared" ref="AG936:AG939" si="2885">IF($W$17=$AF$8,AH936*1.23,AF936*1.21)</f>
        <v>0</v>
      </c>
      <c r="AH936" s="650">
        <f t="shared" ref="AH936:AH939" si="2886">IFERROR(IF(Y936=AB936,H936*I936*Y936,0),0)</f>
        <v>0</v>
      </c>
      <c r="AI936" s="645">
        <f t="shared" ref="AI936:AI939" si="2887">IFERROR(IF(Y936=AB936,(P936*Y936)/1000,1),0)</f>
        <v>0</v>
      </c>
      <c r="AJ936" s="645">
        <f t="shared" ref="AJ936:AJ939" si="2888">IFERROR(IF(Y936=AB936,N936*Y936,0.1),0)</f>
        <v>0</v>
      </c>
      <c r="AK936" s="645" t="str">
        <f t="shared" ref="AK936:AK939" si="2889">IFERROR(IF(Y936=AB936,IF(M936="1.1G",(O936/1000)*Y936,""),""),0)</f>
        <v/>
      </c>
      <c r="AL936" s="645">
        <f t="shared" ref="AL936:AL939" si="2890">IFERROR(IF(Y936=AB936,IF(M936="1.3G",(O936/1000)*AB936,""),""),0)</f>
        <v>0</v>
      </c>
      <c r="AM936" s="645" t="str">
        <f t="shared" ref="AM936:AM939" si="2891">IFERROR(IF(Y936=AB936,IF(M936="1.4G",(O936/1000)*AB936,""),""),0)</f>
        <v/>
      </c>
      <c r="AN936" s="651">
        <f t="shared" ref="AN936:AN939" si="2892">SUM(AK936:AM936)</f>
        <v>0</v>
      </c>
      <c r="AO936" s="623"/>
      <c r="AP936" s="625" t="str">
        <f t="shared" si="2871"/>
        <v/>
      </c>
      <c r="AQ936" s="625" t="str">
        <f>IF(AC936=$V$3,IF(VLOOKUP(C936,[1]List1!$A:$E,5,FALSE)=0,1,VLOOKUP(C936,[1]List1!$A:$E,5,FALSE)),"")</f>
        <v/>
      </c>
      <c r="AR936" s="629" t="str">
        <f t="shared" si="2872"/>
        <v/>
      </c>
      <c r="AS936" s="630" t="str">
        <f t="shared" si="2873"/>
        <v/>
      </c>
      <c r="AT936" s="625" t="str">
        <f t="shared" si="2874"/>
        <v/>
      </c>
      <c r="AU936" s="625" t="e">
        <f t="shared" si="2875"/>
        <v>#N/A</v>
      </c>
      <c r="AV936" s="625" t="e">
        <f t="shared" si="2876"/>
        <v>#N/A</v>
      </c>
      <c r="AW936" s="631"/>
      <c r="AX936" s="631">
        <f>IF(AND('General price list'!$J936="F4",'General price list'!$AB936+0&gt;0),1,0)</f>
        <v>0</v>
      </c>
      <c r="AY936" s="631">
        <f t="shared" si="2877"/>
        <v>1</v>
      </c>
      <c r="AZ936" s="631">
        <f t="shared" si="2878"/>
        <v>1</v>
      </c>
    </row>
    <row r="937" spans="1:52" ht="15" customHeight="1">
      <c r="A937" s="621" t="str">
        <f>Kat.!C937</f>
        <v/>
      </c>
      <c r="B937" s="566">
        <f>IF(AND('General price list'!$J937="F4",$AI$1=FALSE),0,IF(AC937="SKLADEM",1,IF(AC937=$V$3,1,0)))</f>
        <v>0</v>
      </c>
      <c r="C937" s="567" t="s">
        <v>1949</v>
      </c>
      <c r="D937" s="568" t="s">
        <v>12612</v>
      </c>
      <c r="E937" s="763" t="s">
        <v>12724</v>
      </c>
      <c r="F937" s="772">
        <f>IFERROR(VLOOKUP(C937,[2]List1!$A:$D,3,FALSE),"NEUVEDENO!")</f>
        <v>500</v>
      </c>
      <c r="G937" s="769">
        <f t="shared" si="2879"/>
        <v>500</v>
      </c>
      <c r="H937" s="766">
        <f t="shared" si="2880"/>
        <v>21.239268859408785</v>
      </c>
      <c r="I937" s="764">
        <f>IFERROR(VLOOKUP(C937,[2]List1!$A:$D,4,FALSE),"NEUVEDENO!")</f>
        <v>16</v>
      </c>
      <c r="J937" s="732" t="s">
        <v>614</v>
      </c>
      <c r="K937" s="569" t="s">
        <v>20</v>
      </c>
      <c r="L937" s="569" t="s">
        <v>10999</v>
      </c>
      <c r="M937" s="569" t="s">
        <v>114</v>
      </c>
      <c r="N937" s="569">
        <f>IFERROR(VLOOKUP(C937,[3]List1!$A:$D,4,FALSE),"N/A!")</f>
        <v>4.3217999999999999E-2</v>
      </c>
      <c r="O937" s="569">
        <f>IFERROR(VLOOKUP(C937,[3]List1!$A:$D,3,FALSE),"N/A!")</f>
        <v>9600</v>
      </c>
      <c r="P937" s="569">
        <f>IFERROR(VLOOKUP(C937,[3]List1!$A:$D,2,FALSE),"N/A!")</f>
        <v>13500</v>
      </c>
      <c r="Q937" s="569" t="s">
        <v>11236</v>
      </c>
      <c r="R937" s="569" t="s">
        <v>15</v>
      </c>
      <c r="S937" s="569"/>
      <c r="T937" s="569"/>
      <c r="U937" s="569">
        <v>160</v>
      </c>
      <c r="V937" s="569">
        <v>85</v>
      </c>
      <c r="W937" s="569" t="str">
        <f>IFERROR(IF(AND($AB937&gt;=0.1*$AA937,MOD($AB937,$AA937)&gt;=($AA937-(0.1*$AA937))),IF($W$17=$AF$1,"Zvažte možnost doobjednání ještě "&amp;Tabulka1[[#This Row],[VKPAL]]-MOD(AB937,AA937)&amp;" VK do plné palety.",VLOOKUP("Zvažte možnost doobjednání ještě ",Jazyky_ceník!A:Q,MATCH($W$17,Jazyky_ceník!$A$1:$Q$1,0),FALSE)&amp;Tabulka1[[#This Row],[VKPAL]]-MOD(AB937,AA937)&amp;VLOOKUP(" VK do plné palety.",Jazyky_ceník!A:Q,MATCH($W$17,Jazyky_ceník!$A$1:$Q$1,0),FALSE)),IFERROR(IF(AND(NOT(MOD($AB937,$AA937)=0),$AB937&gt;=0.9*$AA937,MOD($AB937,$AA937)&lt;=0.1*$AA937),IF($W$17=$AF$1,"Zvažte možnost optimalizace objednaného množství podle počtu VK na paletě ==&gt;",VLOOKUP("Zvažte možnost optimalizace objednaného množství podle počtu VK na paletě ==&gt;",Jazyky_ceník!A:Q,MATCH($W$17,Jazyky_ceník!$A$1:$Q$1,0),FALSE)),VLOOKUP('General price list'!$C937,Popisy!A:M,MATCH($W$17,Popisy!$A$7:$M$7,0),FALSE)),"---------------")),IFERROR(VLOOKUP('General price list'!$C937,Popisy!A:M,MATCH($W$17,Popisy!$A$7:$M$7,0),FALSE),"---------------"))</f>
        <v xml:space="preserve">golden Ti-willow </v>
      </c>
      <c r="X937" s="569" t="str">
        <f t="shared" si="2881"/>
        <v/>
      </c>
      <c r="Y937" s="569" t="str">
        <f t="shared" si="2882"/>
        <v/>
      </c>
      <c r="Z937" s="569" t="str">
        <f>HYPERLINK("https://www.klasekpyrotechnics.cz/s5f-p")</f>
        <v>https://www.klasekpyrotechnics.cz/s5f-p</v>
      </c>
      <c r="AA937" s="569">
        <f>IFERROR(IF(VLOOKUP(C937,[4]List1!$A:$D,4,FALSE)=0,"",VLOOKUP(C937,[4]List1!$A:$D,4,FALSE)),"")</f>
        <v>24</v>
      </c>
      <c r="AB937" s="565"/>
      <c r="AC937" s="570" t="str">
        <f>IFERROR(IF(VLOOKUP(C937,[1]List1!$A:$D,2,FALSE)="VYPRODÁNO",$V$9,IF(VLOOKUP(C937,[1]List1!$A:$D,2,FALSE)="DOCHÁZÍ",$V$3,VLOOKUP(C937,[1]List1!$A:$D,2,FALSE))),"OFFLINE!")</f>
        <v>SKLADEM</v>
      </c>
      <c r="AD937" s="570" t="str">
        <f ca="1">IF(AP937="NE",$V$10,IF(AC937=$V$3,IF(AQ937&lt;1,$V$8,$V$2&amp;" "&amp;AQ937&amp;" "&amp;$V$1),IF(AC937="SKLADEM",$V$6,IFERROR(IF(OR(AC937-TODAY()&gt;45,VLOOKUP(C937,[1]List1!$A:$E,4,FALSE)=0),AC937,DAY(AC937)&amp;"."&amp;MONTH(AC937)&amp;"."&amp;YEAR(AC937)&amp;" "&amp;$V$4&amp;VLOOKUP(C937,[1]List1!$A:$E,4,FALSE)&amp;" "&amp;$V$1),AC937))))</f>
        <v>SKLADEM</v>
      </c>
      <c r="AE937" s="581" t="str">
        <f t="shared" ca="1" si="2883"/>
        <v>SKLADEM</v>
      </c>
      <c r="AF937" s="584">
        <f t="shared" si="2884"/>
        <v>0</v>
      </c>
      <c r="AG937" s="585">
        <f t="shared" si="2885"/>
        <v>0</v>
      </c>
      <c r="AH937" s="583">
        <f t="shared" si="2886"/>
        <v>0</v>
      </c>
      <c r="AI937" s="582">
        <f t="shared" si="2887"/>
        <v>0</v>
      </c>
      <c r="AJ937" s="569">
        <f t="shared" si="2888"/>
        <v>0</v>
      </c>
      <c r="AK937" s="569" t="str">
        <f t="shared" si="2889"/>
        <v/>
      </c>
      <c r="AL937" s="569">
        <f t="shared" si="2890"/>
        <v>0</v>
      </c>
      <c r="AM937" s="569" t="str">
        <f t="shared" si="2891"/>
        <v/>
      </c>
      <c r="AN937" s="581">
        <f t="shared" si="2892"/>
        <v>0</v>
      </c>
      <c r="AO937" s="623"/>
      <c r="AP937" s="632" t="str">
        <f t="shared" si="2871"/>
        <v/>
      </c>
      <c r="AQ937" s="633" t="str">
        <f>IF(AC937=$V$3,IF(VLOOKUP(C937,[1]List1!$A:$E,5,FALSE)=0,1,VLOOKUP(C937,[1]List1!$A:$E,5,FALSE)),"")</f>
        <v/>
      </c>
      <c r="AR937" s="625" t="str">
        <f t="shared" si="2872"/>
        <v/>
      </c>
      <c r="AS937" s="634" t="str">
        <f t="shared" si="2873"/>
        <v/>
      </c>
      <c r="AT937" s="625" t="str">
        <f t="shared" si="2874"/>
        <v/>
      </c>
      <c r="AU937" s="638" t="e">
        <f t="shared" si="2875"/>
        <v>#N/A</v>
      </c>
      <c r="AV937" s="625" t="e">
        <f t="shared" si="2876"/>
        <v>#N/A</v>
      </c>
      <c r="AX937" s="625">
        <f>IF(AND('General price list'!$J937="F4",'General price list'!$AB937+0&gt;0),1,0)</f>
        <v>0</v>
      </c>
      <c r="AY937" s="625">
        <f t="shared" si="2877"/>
        <v>1</v>
      </c>
      <c r="AZ937" s="625">
        <f t="shared" si="2878"/>
        <v>1</v>
      </c>
    </row>
    <row r="938" spans="1:52" ht="15.75" customHeight="1">
      <c r="A938" s="639" t="str">
        <f>Kat.!C938</f>
        <v/>
      </c>
      <c r="B938" s="640">
        <f>IF(AND('General price list'!$J938="F4",$AI$1=FALSE),0,IF(AC938="SKLADEM",1,IF(AC938=$V$3,1,0)))</f>
        <v>0</v>
      </c>
      <c r="C938" s="641" t="s">
        <v>1952</v>
      </c>
      <c r="D938" s="642" t="s">
        <v>1940</v>
      </c>
      <c r="E938" s="643" t="s">
        <v>12724</v>
      </c>
      <c r="F938" s="771">
        <f>IFERROR(VLOOKUP(C938,[2]List1!$A:$D,3,FALSE),"NEUVEDENO!")</f>
        <v>500</v>
      </c>
      <c r="G938" s="768">
        <f t="shared" si="2879"/>
        <v>500</v>
      </c>
      <c r="H938" s="765">
        <f t="shared" si="2880"/>
        <v>21.239268859408785</v>
      </c>
      <c r="I938" s="644">
        <f>IFERROR(VLOOKUP(C938,[2]List1!$A:$D,4,FALSE),"NEUVEDENO!")</f>
        <v>16</v>
      </c>
      <c r="J938" s="733" t="s">
        <v>614</v>
      </c>
      <c r="K938" s="645" t="s">
        <v>20</v>
      </c>
      <c r="L938" s="645" t="s">
        <v>10999</v>
      </c>
      <c r="M938" s="645" t="s">
        <v>114</v>
      </c>
      <c r="N938" s="645">
        <f>IFERROR(VLOOKUP(C938,[3]List1!$A:$D,4,FALSE),"N/A!")</f>
        <v>4.3217999999999999E-2</v>
      </c>
      <c r="O938" s="645">
        <f>IFERROR(VLOOKUP(C938,[3]List1!$A:$D,3,FALSE),"N/A!")</f>
        <v>9600</v>
      </c>
      <c r="P938" s="645">
        <f>IFERROR(VLOOKUP(C938,[3]List1!$A:$D,2,FALSE),"N/A!")</f>
        <v>14800</v>
      </c>
      <c r="Q938" s="645" t="s">
        <v>11236</v>
      </c>
      <c r="R938" s="645" t="s">
        <v>15</v>
      </c>
      <c r="S938" s="645"/>
      <c r="T938" s="645"/>
      <c r="U938" s="645">
        <v>160</v>
      </c>
      <c r="V938" s="645">
        <v>85</v>
      </c>
      <c r="W938" s="645" t="str">
        <f>IFERROR(IF(AND($AB938&gt;=0.1*$AA938,MOD($AB938,$AA938)&gt;=($AA938-(0.1*$AA938))),IF($W$17=$AF$1,"Zvažte možnost doobjednání ještě "&amp;Tabulka1[[#This Row],[VKPAL]]-MOD(AB938,AA938)&amp;" VK do plné palety.",VLOOKUP("Zvažte možnost doobjednání ještě ",Jazyky_ceník!A:Q,MATCH($W$17,Jazyky_ceník!$A$1:$Q$1,0),FALSE)&amp;Tabulka1[[#This Row],[VKPAL]]-MOD(AB938,AA938)&amp;VLOOKUP(" VK do plné palety.",Jazyky_ceník!A:Q,MATCH($W$17,Jazyky_ceník!$A$1:$Q$1,0),FALSE)),IFERROR(IF(AND(NOT(MOD($AB938,$AA938)=0),$AB938&gt;=0.9*$AA938,MOD($AB938,$AA938)&lt;=0.1*$AA938),IF($W$17=$AF$1,"Zvažte možnost optimalizace objednaného množství podle počtu VK na paletě ==&gt;",VLOOKUP("Zvažte možnost optimalizace objednaného množství podle počtu VK na paletě ==&gt;",Jazyky_ceník!A:Q,MATCH($W$17,Jazyky_ceník!$A$1:$Q$1,0),FALSE)),VLOOKUP('General price list'!$C938,Popisy!A:M,MATCH($W$17,Popisy!$A$7:$M$7,0),FALSE)),"---------------")),IFERROR(VLOOKUP('General price list'!$C938,Popisy!A:M,MATCH($W$17,Popisy!$A$7:$M$7,0),FALSE),"---------------"))</f>
        <v>brocade crown</v>
      </c>
      <c r="X938" s="645" t="str">
        <f t="shared" si="2881"/>
        <v/>
      </c>
      <c r="Y938" s="645" t="str">
        <f t="shared" si="2882"/>
        <v/>
      </c>
      <c r="Z938" s="645" t="str">
        <f>HYPERLINK("https://www.klasekpyrotechnics.cz/s5k-p")</f>
        <v>https://www.klasekpyrotechnics.cz/s5k-p</v>
      </c>
      <c r="AA938" s="645">
        <f>IFERROR(IF(VLOOKUP(C938,[4]List1!$A:$D,4,FALSE)=0,"",VLOOKUP(C938,[4]List1!$A:$D,4,FALSE)),"")</f>
        <v>24</v>
      </c>
      <c r="AB938" s="646"/>
      <c r="AC938" s="647" t="str">
        <f>IFERROR(IF(VLOOKUP(C938,[1]List1!$A:$D,2,FALSE)="VYPRODÁNO",$V$9,IF(VLOOKUP(C938,[1]List1!$A:$D,2,FALSE)="DOCHÁZÍ",$V$3,VLOOKUP(C938,[1]List1!$A:$D,2,FALSE))),"OFFLINE!")</f>
        <v>SKLADEM</v>
      </c>
      <c r="AD938" s="647" t="str">
        <f ca="1">IF(AP938="NE",$V$10,IF(AC938=$V$3,IF(AQ938&lt;1,$V$8,$V$2&amp;" "&amp;AQ938&amp;" "&amp;$V$1),IF(AC938="SKLADEM",$V$6,IFERROR(IF(OR(AC938-TODAY()&gt;45,VLOOKUP(C938,[1]List1!$A:$E,4,FALSE)=0),AC938,DAY(AC938)&amp;"."&amp;MONTH(AC938)&amp;"."&amp;YEAR(AC938)&amp;" "&amp;$V$4&amp;VLOOKUP(C938,[1]List1!$A:$E,4,FALSE)&amp;" "&amp;$V$1),AC938))))</f>
        <v>SKLADEM</v>
      </c>
      <c r="AE938" s="645" t="str">
        <f t="shared" ca="1" si="2883"/>
        <v>SKLADEM</v>
      </c>
      <c r="AF938" s="648">
        <f t="shared" si="2884"/>
        <v>0</v>
      </c>
      <c r="AG938" s="649">
        <f t="shared" si="2885"/>
        <v>0</v>
      </c>
      <c r="AH938" s="650">
        <f t="shared" si="2886"/>
        <v>0</v>
      </c>
      <c r="AI938" s="645">
        <f t="shared" si="2887"/>
        <v>0</v>
      </c>
      <c r="AJ938" s="645">
        <f t="shared" si="2888"/>
        <v>0</v>
      </c>
      <c r="AK938" s="645" t="str">
        <f t="shared" si="2889"/>
        <v/>
      </c>
      <c r="AL938" s="645">
        <f t="shared" si="2890"/>
        <v>0</v>
      </c>
      <c r="AM938" s="645" t="str">
        <f t="shared" si="2891"/>
        <v/>
      </c>
      <c r="AN938" s="651">
        <f t="shared" si="2892"/>
        <v>0</v>
      </c>
      <c r="AO938" s="623"/>
      <c r="AP938" s="625" t="str">
        <f t="shared" si="2871"/>
        <v/>
      </c>
      <c r="AQ938" s="625" t="str">
        <f>IF(AC938=$V$3,IF(VLOOKUP(C938,[1]List1!$A:$E,5,FALSE)=0,1,VLOOKUP(C938,[1]List1!$A:$E,5,FALSE)),"")</f>
        <v/>
      </c>
      <c r="AR938" s="629" t="str">
        <f t="shared" si="2872"/>
        <v/>
      </c>
      <c r="AS938" s="630" t="str">
        <f t="shared" si="2873"/>
        <v/>
      </c>
      <c r="AT938" s="625" t="str">
        <f t="shared" si="2874"/>
        <v/>
      </c>
      <c r="AU938" s="625" t="e">
        <f t="shared" si="2875"/>
        <v>#N/A</v>
      </c>
      <c r="AV938" s="625" t="e">
        <f t="shared" si="2876"/>
        <v>#N/A</v>
      </c>
      <c r="AW938" s="631"/>
      <c r="AX938" s="631">
        <f>IF(AND('General price list'!$J938="F4",'General price list'!$AB938+0&gt;0),1,0)</f>
        <v>0</v>
      </c>
      <c r="AY938" s="631">
        <f t="shared" si="2877"/>
        <v>1</v>
      </c>
      <c r="AZ938" s="631">
        <f t="shared" si="2878"/>
        <v>1</v>
      </c>
    </row>
    <row r="939" spans="1:52" ht="15" customHeight="1">
      <c r="A939" s="621" t="str">
        <f>Kat.!C939</f>
        <v/>
      </c>
      <c r="B939" s="566">
        <f>IF(AND('General price list'!$J939="F4",$AI$1=FALSE),0,IF(AC939="SKLADEM",1,IF(AC939=$V$3,1,0)))</f>
        <v>0</v>
      </c>
      <c r="C939" s="567" t="s">
        <v>1955</v>
      </c>
      <c r="D939" s="568" t="s">
        <v>1956</v>
      </c>
      <c r="E939" s="763" t="s">
        <v>12724</v>
      </c>
      <c r="F939" s="772">
        <f>IFERROR(VLOOKUP(C939,[2]List1!$A:$D,3,FALSE),"NEUVEDENO!")</f>
        <v>500</v>
      </c>
      <c r="G939" s="769">
        <f t="shared" si="2879"/>
        <v>500</v>
      </c>
      <c r="H939" s="766">
        <f t="shared" si="2880"/>
        <v>21.239268859408785</v>
      </c>
      <c r="I939" s="764">
        <f>IFERROR(VLOOKUP(C939,[2]List1!$A:$D,4,FALSE),"NEUVEDENO!")</f>
        <v>16</v>
      </c>
      <c r="J939" s="732" t="s">
        <v>614</v>
      </c>
      <c r="K939" s="569" t="s">
        <v>20</v>
      </c>
      <c r="L939" s="569" t="s">
        <v>10999</v>
      </c>
      <c r="M939" s="569" t="s">
        <v>114</v>
      </c>
      <c r="N939" s="569">
        <f>IFERROR(VLOOKUP(C939,[3]List1!$A:$D,4,FALSE),"N/A!")</f>
        <v>4.3217999999999999E-2</v>
      </c>
      <c r="O939" s="569">
        <f>IFERROR(VLOOKUP(C939,[3]List1!$A:$D,3,FALSE),"N/A!")</f>
        <v>9600</v>
      </c>
      <c r="P939" s="569">
        <f>IFERROR(VLOOKUP(C939,[3]List1!$A:$D,2,FALSE),"N/A!")</f>
        <v>14000</v>
      </c>
      <c r="Q939" s="569" t="s">
        <v>11236</v>
      </c>
      <c r="R939" s="569" t="s">
        <v>15</v>
      </c>
      <c r="S939" s="569"/>
      <c r="T939" s="569"/>
      <c r="U939" s="569">
        <v>160</v>
      </c>
      <c r="V939" s="569">
        <v>85</v>
      </c>
      <c r="W939" s="569" t="str">
        <f>IFERROR(IF(AND($AB939&gt;=0.1*$AA939,MOD($AB939,$AA939)&gt;=($AA939-(0.1*$AA939))),IF($W$17=$AF$1,"Zvažte možnost doobjednání ještě "&amp;Tabulka1[[#This Row],[VKPAL]]-MOD(AB939,AA939)&amp;" VK do plné palety.",VLOOKUP("Zvažte možnost doobjednání ještě ",Jazyky_ceník!A:Q,MATCH($W$17,Jazyky_ceník!$A$1:$Q$1,0),FALSE)&amp;Tabulka1[[#This Row],[VKPAL]]-MOD(AB939,AA939)&amp;VLOOKUP(" VK do plné palety.",Jazyky_ceník!A:Q,MATCH($W$17,Jazyky_ceník!$A$1:$Q$1,0),FALSE)),IFERROR(IF(AND(NOT(MOD($AB939,$AA939)=0),$AB939&gt;=0.9*$AA939,MOD($AB939,$AA939)&lt;=0.1*$AA939),IF($W$17=$AF$1,"Zvažte možnost optimalizace objednaného množství podle počtu VK na paletě ==&gt;",VLOOKUP("Zvažte možnost optimalizace objednaného množství podle počtu VK na paletě ==&gt;",Jazyky_ceník!A:Q,MATCH($W$17,Jazyky_ceník!$A$1:$Q$1,0),FALSE)),VLOOKUP('General price list'!$C939,Popisy!A:M,MATCH($W$17,Popisy!$A$7:$M$7,0),FALSE)),"---------------")),IFERROR(VLOOKUP('General price list'!$C939,Popisy!A:M,MATCH($W$17,Popisy!$A$7:$M$7,0),FALSE),"---------------"))</f>
        <v>Mixed carton contains: S5K brocade crown(3pc), S5Q brocade crown with eight angle chrysanthemum(3pc), S5N blue pistil silver ring to brocade crown with ring chrysanthemum pistil(3pc), S5O brocade delay cracker to blue with green glitter pistil(3pc), S5P silver to red swimming stars w/blue pistil (2pc), S5B Crackling crosette(2pc)</v>
      </c>
      <c r="X939" s="569" t="str">
        <f t="shared" si="2881"/>
        <v/>
      </c>
      <c r="Y939" s="569" t="str">
        <f t="shared" si="2882"/>
        <v/>
      </c>
      <c r="Z939" s="569" t="str">
        <f>HYPERLINK("https://www.klasekpyrotechnics.cz/s5m-p")</f>
        <v>https://www.klasekpyrotechnics.cz/s5m-p</v>
      </c>
      <c r="AA939" s="569">
        <f>IFERROR(IF(VLOOKUP(C939,[4]List1!$A:$D,4,FALSE)=0,"",VLOOKUP(C939,[4]List1!$A:$D,4,FALSE)),"")</f>
        <v>24</v>
      </c>
      <c r="AB939" s="565"/>
      <c r="AC939" s="570" t="str">
        <f>IFERROR(IF(VLOOKUP(C939,[1]List1!$A:$D,2,FALSE)="VYPRODÁNO",$V$9,IF(VLOOKUP(C939,[1]List1!$A:$D,2,FALSE)="DOCHÁZÍ",$V$3,VLOOKUP(C939,[1]List1!$A:$D,2,FALSE))),"OFFLINE!")</f>
        <v>31.07.2026</v>
      </c>
      <c r="AD939" s="570" t="str">
        <f ca="1">IF(AP939="NE",$V$10,IF(AC939=$V$3,IF(AQ939&lt;1,$V$8,$V$2&amp;" "&amp;AQ939&amp;" "&amp;$V$1),IF(AC939="SKLADEM",$V$6,IFERROR(IF(OR(AC939-TODAY()&gt;45,VLOOKUP(C939,[1]List1!$A:$E,4,FALSE)=0),AC939,DAY(AC939)&amp;"."&amp;MONTH(AC939)&amp;"."&amp;YEAR(AC939)&amp;" "&amp;$V$4&amp;VLOOKUP(C939,[1]List1!$A:$E,4,FALSE)&amp;" "&amp;$V$1),AC939))))</f>
        <v>31.07.2026</v>
      </c>
      <c r="AE939" s="581" t="str">
        <f t="shared" ca="1" si="2883"/>
        <v>31.07.2026</v>
      </c>
      <c r="AF939" s="584">
        <f t="shared" si="2884"/>
        <v>0</v>
      </c>
      <c r="AG939" s="585">
        <f t="shared" si="2885"/>
        <v>0</v>
      </c>
      <c r="AH939" s="583">
        <f t="shared" si="2886"/>
        <v>0</v>
      </c>
      <c r="AI939" s="582">
        <f t="shared" si="2887"/>
        <v>0</v>
      </c>
      <c r="AJ939" s="569">
        <f t="shared" si="2888"/>
        <v>0</v>
      </c>
      <c r="AK939" s="569" t="str">
        <f t="shared" si="2889"/>
        <v/>
      </c>
      <c r="AL939" s="569">
        <f t="shared" si="2890"/>
        <v>0</v>
      </c>
      <c r="AM939" s="569" t="str">
        <f t="shared" si="2891"/>
        <v/>
      </c>
      <c r="AN939" s="581">
        <f t="shared" si="2892"/>
        <v>0</v>
      </c>
      <c r="AO939" s="623"/>
      <c r="AP939" s="632" t="str">
        <f t="shared" si="2871"/>
        <v/>
      </c>
      <c r="AQ939" s="633" t="str">
        <f>IF(AC939=$V$3,IF(VLOOKUP(C939,[1]List1!$A:$E,5,FALSE)=0,1,VLOOKUP(C939,[1]List1!$A:$E,5,FALSE)),"")</f>
        <v/>
      </c>
      <c r="AR939" s="625" t="str">
        <f t="shared" si="2872"/>
        <v/>
      </c>
      <c r="AS939" s="634" t="str">
        <f t="shared" si="2873"/>
        <v/>
      </c>
      <c r="AT939" s="625" t="str">
        <f t="shared" si="2874"/>
        <v/>
      </c>
      <c r="AU939" s="638" t="e">
        <f t="shared" si="2875"/>
        <v>#N/A</v>
      </c>
      <c r="AV939" s="625" t="e">
        <f t="shared" si="2876"/>
        <v>#N/A</v>
      </c>
      <c r="AX939" s="625">
        <f>IF(AND('General price list'!$J939="F4",'General price list'!$AB939+0&gt;0),1,0)</f>
        <v>0</v>
      </c>
      <c r="AY939" s="625">
        <f t="shared" si="2877"/>
        <v>1</v>
      </c>
      <c r="AZ939" s="625">
        <f t="shared" si="2878"/>
        <v>1</v>
      </c>
    </row>
    <row r="940" spans="1:52" ht="15.75" customHeight="1">
      <c r="A940" s="751" t="str">
        <f>Kat.!C940</f>
        <v xml:space="preserve">           Kulové pumy 150 mm</v>
      </c>
      <c r="B940" s="751"/>
      <c r="C940" s="751"/>
      <c r="D940" s="751"/>
      <c r="E940" s="751"/>
      <c r="F940" s="751"/>
      <c r="G940" s="751"/>
      <c r="H940" s="751"/>
      <c r="I940" s="752"/>
      <c r="J940" s="752"/>
      <c r="K940" s="752" t="s">
        <v>20</v>
      </c>
      <c r="L940" s="753" t="s">
        <v>2818</v>
      </c>
      <c r="M940" s="752"/>
      <c r="N940" s="752"/>
      <c r="O940" s="752"/>
      <c r="P940" s="752"/>
      <c r="Q940" s="752"/>
      <c r="R940" s="752"/>
      <c r="S940" s="752"/>
      <c r="T940" s="752"/>
      <c r="U940" s="752"/>
      <c r="V940" s="752"/>
      <c r="W940" s="752"/>
      <c r="X940" s="752"/>
      <c r="Y940" s="752"/>
      <c r="Z940" s="752" t="s">
        <v>20</v>
      </c>
      <c r="AA940" s="752"/>
      <c r="AB940" s="752"/>
      <c r="AC940" s="754"/>
      <c r="AD940" s="752"/>
      <c r="AE940" s="752"/>
      <c r="AF940" s="752"/>
      <c r="AG940" s="752"/>
      <c r="AH940" s="752"/>
      <c r="AI940" s="752"/>
      <c r="AJ940" s="752"/>
      <c r="AK940" s="752"/>
      <c r="AL940" s="752"/>
      <c r="AM940" s="752"/>
      <c r="AN940" s="752"/>
      <c r="AO940" s="623"/>
      <c r="AR940" s="629"/>
      <c r="AS940" s="630"/>
      <c r="AW940" s="631"/>
      <c r="AX940" s="631"/>
      <c r="AY940" s="631"/>
      <c r="AZ940" s="631"/>
    </row>
    <row r="941" spans="1:52" ht="15" customHeight="1">
      <c r="A941" s="639" t="str">
        <f>Kat.!C941</f>
        <v/>
      </c>
      <c r="B941" s="640">
        <f>IF(AND('General price list'!$J941="F4",$AI$1=FALSE),0,IF(AC941="SKLADEM",1,IF(AC941=$V$3,1,0)))</f>
        <v>0</v>
      </c>
      <c r="C941" s="641" t="s">
        <v>2357</v>
      </c>
      <c r="D941" s="642" t="s">
        <v>1972</v>
      </c>
      <c r="E941" s="643" t="s">
        <v>12749</v>
      </c>
      <c r="F941" s="791">
        <f>IFERROR(VLOOKUP(C941,[2]List1!$A:$D,3,FALSE),"NEUVEDENO!")</f>
        <v>817</v>
      </c>
      <c r="G941" s="770">
        <f t="shared" ref="G941" si="2893">IF($W$17=$AF$8,ROUND((F941)/$F$17,2),(F941)*$B$19)</f>
        <v>817</v>
      </c>
      <c r="H941" s="767">
        <f t="shared" ref="H941" si="2894">IF($W$17=$AF$8,G941*$B$19,G941/$F$17)</f>
        <v>34.704965316273956</v>
      </c>
      <c r="I941" s="644">
        <f>IFERROR(VLOOKUP(C941,[2]List1!$A:$D,4,FALSE),"NEUVEDENO!")</f>
        <v>9</v>
      </c>
      <c r="J941" s="733" t="s">
        <v>614</v>
      </c>
      <c r="K941" s="645" t="s">
        <v>11100</v>
      </c>
      <c r="L941" s="645" t="s">
        <v>10999</v>
      </c>
      <c r="M941" s="645" t="s">
        <v>114</v>
      </c>
      <c r="N941" s="645">
        <f>IFERROR(VLOOKUP(C941,[3]List1!$A:$D,4,FALSE),"N/A!")</f>
        <v>4.6574999999999998E-2</v>
      </c>
      <c r="O941" s="645">
        <f>IFERROR(VLOOKUP(C941,[3]List1!$A:$D,3,FALSE),"N/A!")</f>
        <v>9000</v>
      </c>
      <c r="P941" s="645">
        <f>IFERROR(VLOOKUP(C941,[3]List1!$A:$D,2,FALSE),"N/A!")</f>
        <v>13700</v>
      </c>
      <c r="Q941" s="645" t="s">
        <v>11236</v>
      </c>
      <c r="R941" s="645" t="s">
        <v>15</v>
      </c>
      <c r="S941" s="645"/>
      <c r="T941" s="645"/>
      <c r="U941" s="645">
        <v>200</v>
      </c>
      <c r="V941" s="645">
        <v>100</v>
      </c>
      <c r="W941" s="645" t="str">
        <f>IFERROR(IF(AND($AB941&gt;=0.1*$AA941,MOD($AB941,$AA941)&gt;=($AA941-(0.1*$AA941))),IF($W$17=$AF$1,"Zvažte možnost doobjednání ještě "&amp;Tabulka1[[#This Row],[VKPAL]]-MOD(AB941,AA941)&amp;" VK do plné palety.",VLOOKUP("Zvažte možnost doobjednání ještě ",Jazyky_ceník!A:Q,MATCH($W$17,Jazyky_ceník!$A$1:$Q$1,0),FALSE)&amp;Tabulka1[[#This Row],[VKPAL]]-MOD(AB941,AA941)&amp;VLOOKUP(" VK do plné palety.",Jazyky_ceník!A:Q,MATCH($W$17,Jazyky_ceník!$A$1:$Q$1,0),FALSE)),IFERROR(IF(AND(NOT(MOD($AB941,$AA941)=0),$AB941&gt;=0.9*$AA941,MOD($AB941,$AA941)&lt;=0.1*$AA941),IF($W$17=$AF$1,"Zvažte možnost optimalizace objednaného množství podle počtu VK na paletě ==&gt;",VLOOKUP("Zvažte možnost optimalizace objednaného množství podle počtu VK na paletě ==&gt;",Jazyky_ceník!A:Q,MATCH($W$17,Jazyky_ceník!$A$1:$Q$1,0),FALSE)),VLOOKUP('General price list'!$C941,Popisy!A:M,MATCH($W$17,Popisy!$A$7:$M$7,0),FALSE)),"---------------")),IFERROR(VLOOKUP('General price list'!$C941,Popisy!A:M,MATCH($W$17,Popisy!$A$7:$M$7,0),FALSE),"---------------"))</f>
        <v>Mixed carton contains: S6CH gold wave w.purple peony double rings to special orange strobing pistil(2pc), S6H color chrysanthemum(2pc), S6S silver tail to silver palm(2pc), S6O colorfull dahlia(1pc), S6K red glitter w.brocade crown(2pc)</v>
      </c>
      <c r="X941" s="645" t="str">
        <f t="shared" ref="X941" si="2895">IF(AB941&lt;0.0001,"",AB941)</f>
        <v/>
      </c>
      <c r="Y941" s="645" t="str">
        <f t="shared" ref="Y941" si="2896">IF($AL$3=2,IF(OR(AB941&lt;&gt;"",AB941&lt;&gt;0),AU941,""),IF(C941="","",IF(AB941&lt;0.0001,"",IF(B941=0,"",IF(AQ941&lt;AB941,"",AB941)))))</f>
        <v/>
      </c>
      <c r="Z941" s="645" t="str">
        <f>HYPERLINK("https://www.klasekpyrotechnics.cz/s6m")</f>
        <v>https://www.klasekpyrotechnics.cz/s6m</v>
      </c>
      <c r="AA941" s="645" t="str">
        <f>IFERROR(IF(VLOOKUP(C941,[4]List1!$A:$D,4,FALSE)=0,"",VLOOKUP(C941,[4]List1!$A:$D,4,FALSE)),"")</f>
        <v>24</v>
      </c>
      <c r="AB941" s="646"/>
      <c r="AC941" s="647" t="str">
        <f>IFERROR(IF(VLOOKUP(C941,[1]List1!$A:$D,2,FALSE)="VYPRODÁNO",$V$9,IF(VLOOKUP(C941,[1]List1!$A:$D,2,FALSE)="DOCHÁZÍ",$V$3,VLOOKUP(C941,[1]List1!$A:$D,2,FALSE))),"OFFLINE!")</f>
        <v>SKLADEM</v>
      </c>
      <c r="AD941" s="647" t="str">
        <f ca="1">IF(AP941="NE",$V$10,IF(AC941=$V$3,IF(AQ941&lt;1,$V$8,$V$2&amp;" "&amp;AQ941&amp;" "&amp;$V$1),IF(AC941="SKLADEM",$V$6,IFERROR(IF(OR(AC941-TODAY()&gt;45,VLOOKUP(C941,[1]List1!$A:$E,4,FALSE)=0),AC941,DAY(AC941)&amp;"."&amp;MONTH(AC941)&amp;"."&amp;YEAR(AC941)&amp;" "&amp;$V$4&amp;VLOOKUP(C941,[1]List1!$A:$E,4,FALSE)&amp;" "&amp;$V$1),AC941))))</f>
        <v>SKLADEM</v>
      </c>
      <c r="AE941" s="645" t="str">
        <f t="shared" ref="AE941" ca="1" si="2897">IFERROR(IF(AV941&lt;&gt;"",AV941,AD941),AD941)</f>
        <v>SKLADEM</v>
      </c>
      <c r="AF941" s="648">
        <f t="shared" ref="AF941" si="2898">IFERROR(IF(AB941=Y941,G941*I941*Y941,0),0)</f>
        <v>0</v>
      </c>
      <c r="AG941" s="649">
        <f t="shared" ref="AG941" si="2899">IF($W$17=$AF$8,AH941*1.23,AF941*1.21)</f>
        <v>0</v>
      </c>
      <c r="AH941" s="650">
        <f t="shared" ref="AH941" si="2900">IFERROR(IF(Y941=AB941,H941*I941*Y941,0),0)</f>
        <v>0</v>
      </c>
      <c r="AI941" s="645">
        <f t="shared" ref="AI941" si="2901">IFERROR(IF(Y941=AB941,(P941*Y941)/1000,1),0)</f>
        <v>0</v>
      </c>
      <c r="AJ941" s="645">
        <f t="shared" ref="AJ941" si="2902">IFERROR(IF(Y941=AB941,N941*Y941,0.1),0)</f>
        <v>0</v>
      </c>
      <c r="AK941" s="645" t="str">
        <f t="shared" ref="AK941" si="2903">IFERROR(IF(Y941=AB941,IF(M941="1.1G",(O941/1000)*Y941,""),""),0)</f>
        <v/>
      </c>
      <c r="AL941" s="645">
        <f t="shared" ref="AL941" si="2904">IFERROR(IF(Y941=AB941,IF(M941="1.3G",(O941/1000)*AB941,""),""),0)</f>
        <v>0</v>
      </c>
      <c r="AM941" s="645" t="str">
        <f t="shared" ref="AM941" si="2905">IFERROR(IF(Y941=AB941,IF(M941="1.4G",(O941/1000)*AB941,""),""),0)</f>
        <v/>
      </c>
      <c r="AN941" s="651">
        <f t="shared" ref="AN941" si="2906">SUM(AK941:AM941)</f>
        <v>0</v>
      </c>
      <c r="AO941" s="623"/>
      <c r="AP941" s="632" t="str">
        <f t="shared" ref="AP941" si="2907">IF($AL$3=1,IF(Y941=AB941,"","NE"),IF(AR941=$V$10,"NE",""))</f>
        <v/>
      </c>
      <c r="AQ941" s="633" t="str">
        <f>IF(AC941=$V$3,IF(VLOOKUP(C941,[1]List1!$A:$E,5,FALSE)=0,1,VLOOKUP(C941,[1]List1!$A:$E,5,FALSE)),"")</f>
        <v/>
      </c>
      <c r="AR941" s="625" t="str">
        <f t="shared" ref="AR941" si="2908">IF($AL$3=1,"",IF(OR(AB941&lt;&gt;"",AB941&lt;&gt;0),IF(OR(AC941=$V$6,AC941=$V$3,AC941=$V$9),$V$10,""),""))</f>
        <v/>
      </c>
      <c r="AS941" s="634" t="str">
        <f t="shared" ref="AS941" si="2909">IF(AT941&lt;&gt;"","X","")</f>
        <v/>
      </c>
      <c r="AT941" s="625" t="str">
        <f t="shared" ref="AT941" si="2910">IF(AND($AL$3=2,AR941="",AB941&lt;&gt;""),AD941,"")</f>
        <v/>
      </c>
      <c r="AU941" s="638" t="e">
        <f t="shared" ref="AU941" si="2911">IF(AT941=$AS$21,AB941,"")</f>
        <v>#N/A</v>
      </c>
      <c r="AV941" s="625" t="e">
        <f t="shared" ref="AV941" si="2912">IF(OR(AB941="",AND(AT941&lt;&gt;"",AU941&lt;&gt;"")),"",$V$10)</f>
        <v>#N/A</v>
      </c>
      <c r="AX941" s="625">
        <f>IF(AND('General price list'!$J941="F4",'General price list'!$AB941+0&gt;0),1,0)</f>
        <v>0</v>
      </c>
      <c r="AY941" s="625">
        <f t="shared" ref="AY941" si="2913">IFERROR(FIND(VLOOKUP($AC$7,$AD$1:$AE$12,2,FALSE),Q941,1),0)</f>
        <v>1</v>
      </c>
      <c r="AZ941" s="625">
        <f t="shared" ref="AZ941" si="2914">IFERROR(FIND(VLOOKUP($AC$7,$AD$1:$AE$12,2,FALSE),R941,1),0)</f>
        <v>1</v>
      </c>
    </row>
    <row r="942" spans="1:52" ht="15.75" customHeight="1">
      <c r="A942" s="751" t="str">
        <f>Kat.!C942</f>
        <v xml:space="preserve">           Kulové pumy 150 mm, prémiová kvalita</v>
      </c>
      <c r="B942" s="751"/>
      <c r="C942" s="751"/>
      <c r="D942" s="751"/>
      <c r="E942" s="751"/>
      <c r="F942" s="751"/>
      <c r="G942" s="751"/>
      <c r="H942" s="751"/>
      <c r="I942" s="752"/>
      <c r="J942" s="752"/>
      <c r="K942" s="752" t="s">
        <v>20</v>
      </c>
      <c r="L942" s="753" t="s">
        <v>2818</v>
      </c>
      <c r="M942" s="752"/>
      <c r="N942" s="752"/>
      <c r="O942" s="752"/>
      <c r="P942" s="752"/>
      <c r="Q942" s="752"/>
      <c r="R942" s="752"/>
      <c r="S942" s="752"/>
      <c r="T942" s="752"/>
      <c r="U942" s="752"/>
      <c r="V942" s="752"/>
      <c r="W942" s="752"/>
      <c r="X942" s="752"/>
      <c r="Y942" s="752"/>
      <c r="Z942" s="752" t="s">
        <v>20</v>
      </c>
      <c r="AA942" s="752"/>
      <c r="AB942" s="752"/>
      <c r="AC942" s="754"/>
      <c r="AD942" s="752"/>
      <c r="AE942" s="752"/>
      <c r="AF942" s="752"/>
      <c r="AG942" s="752"/>
      <c r="AH942" s="752"/>
      <c r="AI942" s="752"/>
      <c r="AJ942" s="752"/>
      <c r="AK942" s="752"/>
      <c r="AL942" s="752"/>
      <c r="AM942" s="752"/>
      <c r="AN942" s="752"/>
      <c r="AO942" s="623"/>
      <c r="AR942" s="629"/>
      <c r="AS942" s="630"/>
      <c r="AW942" s="631"/>
      <c r="AX942" s="631"/>
      <c r="AY942" s="631"/>
      <c r="AZ942" s="631"/>
    </row>
    <row r="943" spans="1:52" ht="15" customHeight="1">
      <c r="A943" s="639" t="str">
        <f>Kat.!C943</f>
        <v/>
      </c>
      <c r="B943" s="640">
        <f>IF(AND('General price list'!$J943="F4",$AI$1=FALSE),0,IF(AC943="SKLADEM",1,IF(AC943=$V$3,1,0)))</f>
        <v>0</v>
      </c>
      <c r="C943" s="641" t="s">
        <v>2359</v>
      </c>
      <c r="D943" s="642" t="s">
        <v>1962</v>
      </c>
      <c r="E943" s="643" t="s">
        <v>12749</v>
      </c>
      <c r="F943" s="771">
        <f>IFERROR(VLOOKUP(C943,[2]List1!$A:$D,3,FALSE),"NEUVEDENO!")</f>
        <v>835</v>
      </c>
      <c r="G943" s="768">
        <f t="shared" ref="G943:G946" si="2915">IF($W$17=$AF$8,ROUND((F943)/$F$17,2),(F943)*$B$19)</f>
        <v>835</v>
      </c>
      <c r="H943" s="765">
        <f t="shared" ref="H943:H946" si="2916">IF($W$17=$AF$8,G943*$B$19,G943/$F$17)</f>
        <v>35.469578995212672</v>
      </c>
      <c r="I943" s="644">
        <f>IFERROR(VLOOKUP(C943,[2]List1!$A:$D,4,FALSE),"NEUVEDENO!")</f>
        <v>9</v>
      </c>
      <c r="J943" s="733" t="s">
        <v>614</v>
      </c>
      <c r="K943" s="645" t="s">
        <v>20</v>
      </c>
      <c r="L943" s="645" t="s">
        <v>10999</v>
      </c>
      <c r="M943" s="645" t="s">
        <v>114</v>
      </c>
      <c r="N943" s="645">
        <f>IFERROR(VLOOKUP(C943,[3]List1!$A:$D,4,FALSE),"N/A!")</f>
        <v>4.6574999999999998E-2</v>
      </c>
      <c r="O943" s="645">
        <f>IFERROR(VLOOKUP(C943,[3]List1!$A:$D,3,FALSE),"N/A!")</f>
        <v>9000</v>
      </c>
      <c r="P943" s="645">
        <f>IFERROR(VLOOKUP(C943,[3]List1!$A:$D,2,FALSE),"N/A!")</f>
        <v>12000</v>
      </c>
      <c r="Q943" s="645" t="s">
        <v>11236</v>
      </c>
      <c r="R943" s="645" t="s">
        <v>15</v>
      </c>
      <c r="S943" s="645"/>
      <c r="T943" s="645"/>
      <c r="U943" s="645">
        <v>200</v>
      </c>
      <c r="V943" s="645">
        <v>100</v>
      </c>
      <c r="W943" s="645" t="str">
        <f>IFERROR(IF(AND($AB943&gt;=0.1*$AA943,MOD($AB943,$AA943)&gt;=($AA943-(0.1*$AA943))),IF($W$17=$AF$1,"Zvažte možnost doobjednání ještě "&amp;Tabulka1[[#This Row],[VKPAL]]-MOD(AB943,AA943)&amp;" VK do plné palety.",VLOOKUP("Zvažte možnost doobjednání ještě ",Jazyky_ceník!A:Q,MATCH($W$17,Jazyky_ceník!$A$1:$Q$1,0),FALSE)&amp;Tabulka1[[#This Row],[VKPAL]]-MOD(AB943,AA943)&amp;VLOOKUP(" VK do plné palety.",Jazyky_ceník!A:Q,MATCH($W$17,Jazyky_ceník!$A$1:$Q$1,0),FALSE)),IFERROR(IF(AND(NOT(MOD($AB943,$AA943)=0),$AB943&gt;=0.9*$AA943,MOD($AB943,$AA943)&lt;=0.1*$AA943),IF($W$17=$AF$1,"Zvažte možnost optimalizace objednaného množství podle počtu VK na paletě ==&gt;",VLOOKUP("Zvažte možnost optimalizace objednaného množství podle počtu VK na paletě ==&gt;",Jazyky_ceník!A:Q,MATCH($W$17,Jazyky_ceník!$A$1:$Q$1,0),FALSE)),VLOOKUP('General price list'!$C943,Popisy!A:M,MATCH($W$17,Popisy!$A$7:$M$7,0),FALSE)),"---------------")),IFERROR(VLOOKUP('General price list'!$C943,Popisy!A:M,MATCH($W$17,Popisy!$A$7:$M$7,0),FALSE),"---------------"))</f>
        <v>ghost silver to red</v>
      </c>
      <c r="X943" s="645" t="str">
        <f t="shared" ref="X943:X946" si="2917">IF(AB943&lt;0.0001,"",AB943)</f>
        <v/>
      </c>
      <c r="Y943" s="645" t="str">
        <f t="shared" ref="Y943:Y946" si="2918">IF($AL$3=2,IF(OR(AB943&lt;&gt;"",AB943&lt;&gt;0),AU943,""),IF(C943="","",IF(AB943&lt;0.0001,"",IF(B943=0,"",IF(AQ943&lt;AB943,"",AB943)))))</f>
        <v/>
      </c>
      <c r="Z943" s="645" t="str">
        <f>HYPERLINK("https://www.klasekpyrotechnics.cz/s6f-p_9")</f>
        <v>https://www.klasekpyrotechnics.cz/s6f-p_9</v>
      </c>
      <c r="AA943" s="645" t="str">
        <f>IFERROR(IF(VLOOKUP(C943,[4]List1!$A:$D,4,FALSE)=0,"",VLOOKUP(C943,[4]List1!$A:$D,4,FALSE)),"")</f>
        <v>24</v>
      </c>
      <c r="AB943" s="646"/>
      <c r="AC943" s="647" t="str">
        <f>IFERROR(IF(VLOOKUP(C943,[1]List1!$A:$D,2,FALSE)="VYPRODÁNO",$V$9,IF(VLOOKUP(C943,[1]List1!$A:$D,2,FALSE)="DOCHÁZÍ",$V$3,VLOOKUP(C943,[1]List1!$A:$D,2,FALSE))),"OFFLINE!")</f>
        <v>31.08.2026</v>
      </c>
      <c r="AD943" s="647" t="str">
        <f ca="1">IF(AP943="NE",$V$10,IF(AC943=$V$3,IF(AQ943&lt;1,$V$8,$V$2&amp;" "&amp;AQ943&amp;" "&amp;$V$1),IF(AC943="SKLADEM",$V$6,IFERROR(IF(OR(AC943-TODAY()&gt;45,VLOOKUP(C943,[1]List1!$A:$E,4,FALSE)=0),AC943,DAY(AC943)&amp;"."&amp;MONTH(AC943)&amp;"."&amp;YEAR(AC943)&amp;" "&amp;$V$4&amp;VLOOKUP(C943,[1]List1!$A:$E,4,FALSE)&amp;" "&amp;$V$1),AC943))))</f>
        <v>31.08.2026</v>
      </c>
      <c r="AE943" s="645" t="str">
        <f t="shared" ref="AE943:AE946" ca="1" si="2919">IFERROR(IF(AV943&lt;&gt;"",AV943,AD943),AD943)</f>
        <v>31.08.2026</v>
      </c>
      <c r="AF943" s="648">
        <f t="shared" ref="AF943:AF946" si="2920">IFERROR(IF(AB943=Y943,G943*I943*Y943,0),0)</f>
        <v>0</v>
      </c>
      <c r="AG943" s="649">
        <f t="shared" ref="AG943:AG946" si="2921">IF($W$17=$AF$8,AH943*1.23,AF943*1.21)</f>
        <v>0</v>
      </c>
      <c r="AH943" s="650">
        <f t="shared" ref="AH943:AH946" si="2922">IFERROR(IF(Y943=AB943,H943*I943*Y943,0),0)</f>
        <v>0</v>
      </c>
      <c r="AI943" s="645">
        <f t="shared" ref="AI943:AI946" si="2923">IFERROR(IF(Y943=AB943,(P943*Y943)/1000,1),0)</f>
        <v>0</v>
      </c>
      <c r="AJ943" s="645">
        <f t="shared" ref="AJ943:AJ946" si="2924">IFERROR(IF(Y943=AB943,N943*Y943,0.1),0)</f>
        <v>0</v>
      </c>
      <c r="AK943" s="645" t="str">
        <f t="shared" ref="AK943:AK946" si="2925">IFERROR(IF(Y943=AB943,IF(M943="1.1G",(O943/1000)*Y943,""),""),0)</f>
        <v/>
      </c>
      <c r="AL943" s="645">
        <f t="shared" ref="AL943:AL946" si="2926">IFERROR(IF(Y943=AB943,IF(M943="1.3G",(O943/1000)*AB943,""),""),0)</f>
        <v>0</v>
      </c>
      <c r="AM943" s="645" t="str">
        <f t="shared" ref="AM943:AM946" si="2927">IFERROR(IF(Y943=AB943,IF(M943="1.4G",(O943/1000)*AB943,""),""),0)</f>
        <v/>
      </c>
      <c r="AN943" s="651">
        <f t="shared" ref="AN943:AN946" si="2928">SUM(AK943:AM943)</f>
        <v>0</v>
      </c>
      <c r="AO943" s="623"/>
      <c r="AP943" s="632" t="str">
        <f t="shared" ref="AP943:AP946" si="2929">IF($AL$3=1,IF(Y943=AB943,"","NE"),IF(AR943=$V$10,"NE",""))</f>
        <v/>
      </c>
      <c r="AQ943" s="633" t="str">
        <f>IF(AC943=$V$3,IF(VLOOKUP(C943,[1]List1!$A:$E,5,FALSE)=0,1,VLOOKUP(C943,[1]List1!$A:$E,5,FALSE)),"")</f>
        <v/>
      </c>
      <c r="AR943" s="625" t="str">
        <f t="shared" ref="AR943:AR946" si="2930">IF($AL$3=1,"",IF(OR(AB943&lt;&gt;"",AB943&lt;&gt;0),IF(OR(AC943=$V$6,AC943=$V$3,AC943=$V$9),$V$10,""),""))</f>
        <v/>
      </c>
      <c r="AS943" s="634" t="str">
        <f t="shared" ref="AS943:AS946" si="2931">IF(AT943&lt;&gt;"","X","")</f>
        <v/>
      </c>
      <c r="AT943" s="625" t="str">
        <f t="shared" ref="AT943:AT946" si="2932">IF(AND($AL$3=2,AR943="",AB943&lt;&gt;""),AD943,"")</f>
        <v/>
      </c>
      <c r="AU943" s="638" t="e">
        <f t="shared" ref="AU943:AU946" si="2933">IF(AT943=$AS$21,AB943,"")</f>
        <v>#N/A</v>
      </c>
      <c r="AV943" s="625" t="e">
        <f t="shared" ref="AV943:AV946" si="2934">IF(OR(AB943="",AND(AT943&lt;&gt;"",AU943&lt;&gt;"")),"",$V$10)</f>
        <v>#N/A</v>
      </c>
      <c r="AX943" s="625">
        <f>IF(AND('General price list'!$J943="F4",'General price list'!$AB943+0&gt;0),1,0)</f>
        <v>0</v>
      </c>
      <c r="AY943" s="625">
        <f t="shared" ref="AY943:AY946" si="2935">IFERROR(FIND(VLOOKUP($AC$7,$AD$1:$AE$12,2,FALSE),Q943,1),0)</f>
        <v>1</v>
      </c>
      <c r="AZ943" s="625">
        <f t="shared" ref="AZ943:AZ946" si="2936">IFERROR(FIND(VLOOKUP($AC$7,$AD$1:$AE$12,2,FALSE),R943,1),0)</f>
        <v>1</v>
      </c>
    </row>
    <row r="944" spans="1:52" ht="15.75" customHeight="1">
      <c r="A944" s="621" t="str">
        <f>Kat.!C944</f>
        <v/>
      </c>
      <c r="B944" s="566">
        <f>IF(AND('General price list'!$J944="F4",$AI$1=FALSE),0,IF(AC944="SKLADEM",1,IF(AC944=$V$3,1,0)))</f>
        <v>0</v>
      </c>
      <c r="C944" s="567" t="s">
        <v>1985</v>
      </c>
      <c r="D944" s="568" t="s">
        <v>1965</v>
      </c>
      <c r="E944" s="763" t="s">
        <v>12749</v>
      </c>
      <c r="F944" s="772">
        <f>IFERROR(VLOOKUP(C944,[2]List1!$A:$D,3,FALSE),"NEUVEDENO!")</f>
        <v>884</v>
      </c>
      <c r="G944" s="769">
        <f t="shared" si="2915"/>
        <v>884</v>
      </c>
      <c r="H944" s="766">
        <f t="shared" si="2916"/>
        <v>37.551027343434733</v>
      </c>
      <c r="I944" s="764">
        <f>IFERROR(VLOOKUP(C944,[2]List1!$A:$D,4,FALSE),"NEUVEDENO!")</f>
        <v>9</v>
      </c>
      <c r="J944" s="732" t="s">
        <v>614</v>
      </c>
      <c r="K944" s="569" t="s">
        <v>20</v>
      </c>
      <c r="L944" s="569" t="s">
        <v>10999</v>
      </c>
      <c r="M944" s="569" t="s">
        <v>114</v>
      </c>
      <c r="N944" s="569">
        <f>IFERROR(VLOOKUP(C944,[3]List1!$A:$D,4,FALSE),"N/A!")</f>
        <v>4.6574999999999998E-2</v>
      </c>
      <c r="O944" s="569">
        <f>IFERROR(VLOOKUP(C944,[3]List1!$A:$D,3,FALSE),"N/A!")</f>
        <v>9000</v>
      </c>
      <c r="P944" s="569">
        <f>IFERROR(VLOOKUP(C944,[3]List1!$A:$D,2,FALSE),"N/A!")</f>
        <v>12000</v>
      </c>
      <c r="Q944" s="569" t="s">
        <v>11236</v>
      </c>
      <c r="R944" s="569" t="s">
        <v>15</v>
      </c>
      <c r="S944" s="569"/>
      <c r="T944" s="569"/>
      <c r="U944" s="569">
        <v>200</v>
      </c>
      <c r="V944" s="569">
        <v>100</v>
      </c>
      <c r="W944" s="569" t="str">
        <f>IFERROR(IF(AND($AB944&gt;=0.1*$AA944,MOD($AB944,$AA944)&gt;=($AA944-(0.1*$AA944))),IF($W$17=$AF$1,"Zvažte možnost doobjednání ještě "&amp;Tabulka1[[#This Row],[VKPAL]]-MOD(AB944,AA944)&amp;" VK do plné palety.",VLOOKUP("Zvažte možnost doobjednání ještě ",Jazyky_ceník!A:Q,MATCH($W$17,Jazyky_ceník!$A$1:$Q$1,0),FALSE)&amp;Tabulka1[[#This Row],[VKPAL]]-MOD(AB944,AA944)&amp;VLOOKUP(" VK do plné palety.",Jazyky_ceník!A:Q,MATCH($W$17,Jazyky_ceník!$A$1:$Q$1,0),FALSE)),IFERROR(IF(AND(NOT(MOD($AB944,$AA944)=0),$AB944&gt;=0.9*$AA944,MOD($AB944,$AA944)&lt;=0.1*$AA944),IF($W$17=$AF$1,"Zvažte možnost optimalizace objednaného množství podle počtu VK na paletě ==&gt;",VLOOKUP("Zvažte možnost optimalizace objednaného množství podle počtu VK na paletě ==&gt;",Jazyky_ceník!A:Q,MATCH($W$17,Jazyky_ceník!$A$1:$Q$1,0),FALSE)),VLOOKUP('General price list'!$C944,Popisy!A:M,MATCH($W$17,Popisy!$A$7:$M$7,0),FALSE)),"---------------")),IFERROR(VLOOKUP('General price list'!$C944,Popisy!A:M,MATCH($W$17,Popisy!$A$7:$M$7,0),FALSE),"---------------"))</f>
        <v>golden Ti-willow</v>
      </c>
      <c r="X944" s="569" t="str">
        <f t="shared" si="2917"/>
        <v/>
      </c>
      <c r="Y944" s="569" t="str">
        <f t="shared" si="2918"/>
        <v/>
      </c>
      <c r="Z944" s="569" t="str">
        <f>HYPERLINK("https://www.klasekpyrotechnics.cz/s6i-p_9")</f>
        <v>https://www.klasekpyrotechnics.cz/s6i-p_9</v>
      </c>
      <c r="AA944" s="569" t="str">
        <f>IFERROR(IF(VLOOKUP(C944,[4]List1!$A:$D,4,FALSE)=0,"",VLOOKUP(C944,[4]List1!$A:$D,4,FALSE)),"")</f>
        <v>24</v>
      </c>
      <c r="AB944" s="565"/>
      <c r="AC944" s="570" t="str">
        <f>IFERROR(IF(VLOOKUP(C944,[1]List1!$A:$D,2,FALSE)="VYPRODÁNO",$V$9,IF(VLOOKUP(C944,[1]List1!$A:$D,2,FALSE)="DOCHÁZÍ",$V$3,VLOOKUP(C944,[1]List1!$A:$D,2,FALSE))),"OFFLINE!")</f>
        <v>SKLADEM</v>
      </c>
      <c r="AD944" s="570" t="str">
        <f ca="1">IF(AP944="NE",$V$10,IF(AC944=$V$3,IF(AQ944&lt;1,$V$8,$V$2&amp;" "&amp;AQ944&amp;" "&amp;$V$1),IF(AC944="SKLADEM",$V$6,IFERROR(IF(OR(AC944-TODAY()&gt;45,VLOOKUP(C944,[1]List1!$A:$E,4,FALSE)=0),AC944,DAY(AC944)&amp;"."&amp;MONTH(AC944)&amp;"."&amp;YEAR(AC944)&amp;" "&amp;$V$4&amp;VLOOKUP(C944,[1]List1!$A:$E,4,FALSE)&amp;" "&amp;$V$1),AC944))))</f>
        <v>SKLADEM</v>
      </c>
      <c r="AE944" s="581" t="str">
        <f t="shared" ca="1" si="2919"/>
        <v>SKLADEM</v>
      </c>
      <c r="AF944" s="584">
        <f t="shared" si="2920"/>
        <v>0</v>
      </c>
      <c r="AG944" s="585">
        <f t="shared" si="2921"/>
        <v>0</v>
      </c>
      <c r="AH944" s="583">
        <f t="shared" si="2922"/>
        <v>0</v>
      </c>
      <c r="AI944" s="582">
        <f t="shared" si="2923"/>
        <v>0</v>
      </c>
      <c r="AJ944" s="569">
        <f t="shared" si="2924"/>
        <v>0</v>
      </c>
      <c r="AK944" s="569" t="str">
        <f t="shared" si="2925"/>
        <v/>
      </c>
      <c r="AL944" s="569">
        <f t="shared" si="2926"/>
        <v>0</v>
      </c>
      <c r="AM944" s="569" t="str">
        <f t="shared" si="2927"/>
        <v/>
      </c>
      <c r="AN944" s="581">
        <f t="shared" si="2928"/>
        <v>0</v>
      </c>
      <c r="AO944" s="623"/>
      <c r="AP944" s="625" t="str">
        <f t="shared" si="2929"/>
        <v/>
      </c>
      <c r="AQ944" s="625" t="str">
        <f>IF(AC944=$V$3,IF(VLOOKUP(C944,[1]List1!$A:$E,5,FALSE)=0,1,VLOOKUP(C944,[1]List1!$A:$E,5,FALSE)),"")</f>
        <v/>
      </c>
      <c r="AR944" s="629" t="str">
        <f t="shared" si="2930"/>
        <v/>
      </c>
      <c r="AS944" s="630" t="str">
        <f t="shared" si="2931"/>
        <v/>
      </c>
      <c r="AT944" s="625" t="str">
        <f t="shared" si="2932"/>
        <v/>
      </c>
      <c r="AU944" s="625" t="e">
        <f t="shared" si="2933"/>
        <v>#N/A</v>
      </c>
      <c r="AV944" s="625" t="e">
        <f t="shared" si="2934"/>
        <v>#N/A</v>
      </c>
      <c r="AW944" s="631"/>
      <c r="AX944" s="631">
        <f>IF(AND('General price list'!$J944="F4",'General price list'!$AB944+0&gt;0),1,0)</f>
        <v>0</v>
      </c>
      <c r="AY944" s="631">
        <f t="shared" si="2935"/>
        <v>1</v>
      </c>
      <c r="AZ944" s="631">
        <f t="shared" si="2936"/>
        <v>1</v>
      </c>
    </row>
    <row r="945" spans="1:52" ht="15" customHeight="1">
      <c r="A945" s="639" t="str">
        <f>Kat.!C945</f>
        <v/>
      </c>
      <c r="B945" s="640">
        <f>IF(AND('General price list'!$J945="F4",$AI$1=FALSE),0,IF(AC945="SKLADEM",1,IF(AC945=$V$3,1,0)))</f>
        <v>0</v>
      </c>
      <c r="C945" s="641" t="s">
        <v>1986</v>
      </c>
      <c r="D945" s="642" t="s">
        <v>1968</v>
      </c>
      <c r="E945" s="643" t="s">
        <v>12749</v>
      </c>
      <c r="F945" s="771">
        <f>IFERROR(VLOOKUP(C945,[2]List1!$A:$D,3,FALSE),"NEUVEDENO!")</f>
        <v>934</v>
      </c>
      <c r="G945" s="768">
        <f t="shared" si="2915"/>
        <v>934</v>
      </c>
      <c r="H945" s="765">
        <f t="shared" si="2916"/>
        <v>39.674954229375608</v>
      </c>
      <c r="I945" s="644">
        <f>IFERROR(VLOOKUP(C945,[2]List1!$A:$D,4,FALSE),"NEUVEDENO!")</f>
        <v>9</v>
      </c>
      <c r="J945" s="733" t="s">
        <v>614</v>
      </c>
      <c r="K945" s="645" t="s">
        <v>20</v>
      </c>
      <c r="L945" s="645" t="s">
        <v>10999</v>
      </c>
      <c r="M945" s="645" t="s">
        <v>114</v>
      </c>
      <c r="N945" s="645">
        <f>IFERROR(VLOOKUP(C945,[3]List1!$A:$D,4,FALSE),"N/A!")</f>
        <v>4.6574999999999998E-2</v>
      </c>
      <c r="O945" s="645">
        <f>IFERROR(VLOOKUP(C945,[3]List1!$A:$D,3,FALSE),"N/A!")</f>
        <v>9000</v>
      </c>
      <c r="P945" s="645">
        <f>IFERROR(VLOOKUP(C945,[3]List1!$A:$D,2,FALSE),"N/A!")</f>
        <v>12000</v>
      </c>
      <c r="Q945" s="645" t="s">
        <v>11236</v>
      </c>
      <c r="R945" s="645" t="s">
        <v>15</v>
      </c>
      <c r="S945" s="645"/>
      <c r="T945" s="645"/>
      <c r="U945" s="645">
        <v>200</v>
      </c>
      <c r="V945" s="645">
        <v>100</v>
      </c>
      <c r="W945" s="645" t="str">
        <f>IFERROR(IF(AND($AB945&gt;=0.1*$AA945,MOD($AB945,$AA945)&gt;=($AA945-(0.1*$AA945))),IF($W$17=$AF$1,"Zvažte možnost doobjednání ještě "&amp;Tabulka1[[#This Row],[VKPAL]]-MOD(AB945,AA945)&amp;" VK do plné palety.",VLOOKUP("Zvažte možnost doobjednání ještě ",Jazyky_ceník!A:Q,MATCH($W$17,Jazyky_ceník!$A$1:$Q$1,0),FALSE)&amp;Tabulka1[[#This Row],[VKPAL]]-MOD(AB945,AA945)&amp;VLOOKUP(" VK do plné palety.",Jazyky_ceník!A:Q,MATCH($W$17,Jazyky_ceník!$A$1:$Q$1,0),FALSE)),IFERROR(IF(AND(NOT(MOD($AB945,$AA945)=0),$AB945&gt;=0.9*$AA945,MOD($AB945,$AA945)&lt;=0.1*$AA945),IF($W$17=$AF$1,"Zvažte možnost optimalizace objednaného množství podle počtu VK na paletě ==&gt;",VLOOKUP("Zvažte možnost optimalizace objednaného množství podle počtu VK na paletě ==&gt;",Jazyky_ceník!A:Q,MATCH($W$17,Jazyky_ceník!$A$1:$Q$1,0),FALSE)),VLOOKUP('General price list'!$C945,Popisy!A:M,MATCH($W$17,Popisy!$A$7:$M$7,0),FALSE)),"---------------")),IFERROR(VLOOKUP('General price list'!$C945,Popisy!A:M,MATCH($W$17,Popisy!$A$7:$M$7,0),FALSE),"---------------"))</f>
        <v>silver glittering red coco crossettte</v>
      </c>
      <c r="X945" s="645" t="str">
        <f t="shared" si="2917"/>
        <v/>
      </c>
      <c r="Y945" s="645" t="str">
        <f t="shared" si="2918"/>
        <v/>
      </c>
      <c r="Z945" s="645" t="str">
        <f>HYPERLINK("https://www.klasekpyrotechnics.cz/s6r-p_9")</f>
        <v>https://www.klasekpyrotechnics.cz/s6r-p_9</v>
      </c>
      <c r="AA945" s="645" t="str">
        <f>IFERROR(IF(VLOOKUP(C945,[4]List1!$A:$D,4,FALSE)=0,"",VLOOKUP(C945,[4]List1!$A:$D,4,FALSE)),"")</f>
        <v>24</v>
      </c>
      <c r="AB945" s="646"/>
      <c r="AC945" s="647" t="str">
        <f>IFERROR(IF(VLOOKUP(C945,[1]List1!$A:$D,2,FALSE)="VYPRODÁNO",$V$9,IF(VLOOKUP(C945,[1]List1!$A:$D,2,FALSE)="DOCHÁZÍ",$V$3,VLOOKUP(C945,[1]List1!$A:$D,2,FALSE))),"OFFLINE!")</f>
        <v>SKLADEM</v>
      </c>
      <c r="AD945" s="647" t="str">
        <f ca="1">IF(AP945="NE",$V$10,IF(AC945=$V$3,IF(AQ945&lt;1,$V$8,$V$2&amp;" "&amp;AQ945&amp;" "&amp;$V$1),IF(AC945="SKLADEM",$V$6,IFERROR(IF(OR(AC945-TODAY()&gt;45,VLOOKUP(C945,[1]List1!$A:$E,4,FALSE)=0),AC945,DAY(AC945)&amp;"."&amp;MONTH(AC945)&amp;"."&amp;YEAR(AC945)&amp;" "&amp;$V$4&amp;VLOOKUP(C945,[1]List1!$A:$E,4,FALSE)&amp;" "&amp;$V$1),AC945))))</f>
        <v>SKLADEM</v>
      </c>
      <c r="AE945" s="645" t="str">
        <f t="shared" ca="1" si="2919"/>
        <v>SKLADEM</v>
      </c>
      <c r="AF945" s="648">
        <f t="shared" si="2920"/>
        <v>0</v>
      </c>
      <c r="AG945" s="649">
        <f t="shared" si="2921"/>
        <v>0</v>
      </c>
      <c r="AH945" s="650">
        <f t="shared" si="2922"/>
        <v>0</v>
      </c>
      <c r="AI945" s="645">
        <f t="shared" si="2923"/>
        <v>0</v>
      </c>
      <c r="AJ945" s="645">
        <f t="shared" si="2924"/>
        <v>0</v>
      </c>
      <c r="AK945" s="645" t="str">
        <f t="shared" si="2925"/>
        <v/>
      </c>
      <c r="AL945" s="645">
        <f t="shared" si="2926"/>
        <v>0</v>
      </c>
      <c r="AM945" s="645" t="str">
        <f t="shared" si="2927"/>
        <v/>
      </c>
      <c r="AN945" s="651">
        <f t="shared" si="2928"/>
        <v>0</v>
      </c>
      <c r="AO945" s="623"/>
      <c r="AP945" s="632" t="str">
        <f t="shared" si="2929"/>
        <v/>
      </c>
      <c r="AQ945" s="633" t="str">
        <f>IF(AC945=$V$3,IF(VLOOKUP(C945,[1]List1!$A:$E,5,FALSE)=0,1,VLOOKUP(C945,[1]List1!$A:$E,5,FALSE)),"")</f>
        <v/>
      </c>
      <c r="AR945" s="625" t="str">
        <f t="shared" si="2930"/>
        <v/>
      </c>
      <c r="AS945" s="634" t="str">
        <f t="shared" si="2931"/>
        <v/>
      </c>
      <c r="AT945" s="625" t="str">
        <f t="shared" si="2932"/>
        <v/>
      </c>
      <c r="AU945" s="638" t="e">
        <f t="shared" si="2933"/>
        <v>#N/A</v>
      </c>
      <c r="AV945" s="625" t="e">
        <f t="shared" si="2934"/>
        <v>#N/A</v>
      </c>
      <c r="AX945" s="625">
        <f>IF(AND('General price list'!$J945="F4",'General price list'!$AB945+0&gt;0),1,0)</f>
        <v>0</v>
      </c>
      <c r="AY945" s="625">
        <f t="shared" si="2935"/>
        <v>1</v>
      </c>
      <c r="AZ945" s="625">
        <f t="shared" si="2936"/>
        <v>1</v>
      </c>
    </row>
    <row r="946" spans="1:52" ht="15.75" customHeight="1">
      <c r="A946" s="621" t="str">
        <f>Kat.!C946</f>
        <v/>
      </c>
      <c r="B946" s="566">
        <f>IF(AND('General price list'!$J946="F4",$AI$1=FALSE),0,IF(AC946="SKLADEM",1,IF(AC946=$V$3,1,0)))</f>
        <v>0</v>
      </c>
      <c r="C946" s="567" t="s">
        <v>2365</v>
      </c>
      <c r="D946" s="568" t="s">
        <v>11060</v>
      </c>
      <c r="E946" s="763" t="s">
        <v>12749</v>
      </c>
      <c r="F946" s="772">
        <f>IFERROR(VLOOKUP(C946,[2]List1!$A:$D,3,FALSE),"NEUVEDENO!")</f>
        <v>835</v>
      </c>
      <c r="G946" s="769">
        <f t="shared" si="2915"/>
        <v>835</v>
      </c>
      <c r="H946" s="766">
        <f t="shared" si="2916"/>
        <v>35.469578995212672</v>
      </c>
      <c r="I946" s="764">
        <f>IFERROR(VLOOKUP(C946,[2]List1!$A:$D,4,FALSE),"NEUVEDENO!")</f>
        <v>9</v>
      </c>
      <c r="J946" s="732" t="s">
        <v>614</v>
      </c>
      <c r="K946" s="569" t="s">
        <v>20</v>
      </c>
      <c r="L946" s="569" t="s">
        <v>20</v>
      </c>
      <c r="M946" s="569" t="s">
        <v>114</v>
      </c>
      <c r="N946" s="569">
        <f>IFERROR(VLOOKUP(C946,[3]List1!$A:$D,4,FALSE),"N/A!")</f>
        <v>4.6574999999999998E-2</v>
      </c>
      <c r="O946" s="569">
        <f>IFERROR(VLOOKUP(C946,[3]List1!$A:$D,3,FALSE),"N/A!")</f>
        <v>9000</v>
      </c>
      <c r="P946" s="569">
        <f>IFERROR(VLOOKUP(C946,[3]List1!$A:$D,2,FALSE),"N/A!")</f>
        <v>12000</v>
      </c>
      <c r="Q946" s="569" t="s">
        <v>11236</v>
      </c>
      <c r="R946" s="569" t="s">
        <v>15</v>
      </c>
      <c r="S946" s="569"/>
      <c r="T946" s="569"/>
      <c r="U946" s="569">
        <v>200</v>
      </c>
      <c r="V946" s="569">
        <v>100</v>
      </c>
      <c r="W946" s="569" t="str">
        <f>IFERROR(IF(AND($AB946&gt;=0.1*$AA946,MOD($AB946,$AA946)&gt;=($AA946-(0.1*$AA946))),IF($W$17=$AF$1,"Zvažte možnost doobjednání ještě "&amp;Tabulka1[[#This Row],[VKPAL]]-MOD(AB946,AA946)&amp;" VK do plné palety.",VLOOKUP("Zvažte možnost doobjednání ještě ",Jazyky_ceník!A:Q,MATCH($W$17,Jazyky_ceník!$A$1:$Q$1,0),FALSE)&amp;Tabulka1[[#This Row],[VKPAL]]-MOD(AB946,AA946)&amp;VLOOKUP(" VK do plné palety.",Jazyky_ceník!A:Q,MATCH($W$17,Jazyky_ceník!$A$1:$Q$1,0),FALSE)),IFERROR(IF(AND(NOT(MOD($AB946,$AA946)=0),$AB946&gt;=0.9*$AA946,MOD($AB946,$AA946)&lt;=0.1*$AA946),IF($W$17=$AF$1,"Zvažte možnost optimalizace objednaného množství podle počtu VK na paletě ==&gt;",VLOOKUP("Zvažte možnost optimalizace objednaného množství podle počtu VK na paletě ==&gt;",Jazyky_ceník!A:Q,MATCH($W$17,Jazyky_ceník!$A$1:$Q$1,0),FALSE)),VLOOKUP('General price list'!$C946,Popisy!A:M,MATCH($W$17,Popisy!$A$7:$M$7,0),FALSE)),"---------------")),IFERROR(VLOOKUP('General price list'!$C946,Popisy!A:M,MATCH($W$17,Popisy!$A$7:$M$7,0),FALSE),"---------------"))</f>
        <v>brocade crown to blue to red strobe w/red strobe pistil</v>
      </c>
      <c r="X946" s="569" t="str">
        <f t="shared" si="2917"/>
        <v/>
      </c>
      <c r="Y946" s="569" t="str">
        <f t="shared" si="2918"/>
        <v/>
      </c>
      <c r="Z946" s="569" t="str">
        <f>HYPERLINK("https://www.klasekpyrotechnics.cz/s6z3-p_9")</f>
        <v>https://www.klasekpyrotechnics.cz/s6z3-p_9</v>
      </c>
      <c r="AA946" s="569" t="str">
        <f>IFERROR(IF(VLOOKUP(C946,[4]List1!$A:$D,4,FALSE)=0,"",VLOOKUP(C946,[4]List1!$A:$D,4,FALSE)),"")</f>
        <v>24</v>
      </c>
      <c r="AB946" s="565"/>
      <c r="AC946" s="570" t="str">
        <f>IFERROR(IF(VLOOKUP(C946,[1]List1!$A:$D,2,FALSE)="VYPRODÁNO",$V$9,IF(VLOOKUP(C946,[1]List1!$A:$D,2,FALSE)="DOCHÁZÍ",$V$3,VLOOKUP(C946,[1]List1!$A:$D,2,FALSE))),"OFFLINE!")</f>
        <v>31.08.2026</v>
      </c>
      <c r="AD946" s="570" t="str">
        <f ca="1">IF(AP946="NE",$V$10,IF(AC946=$V$3,IF(AQ946&lt;1,$V$8,$V$2&amp;" "&amp;AQ946&amp;" "&amp;$V$1),IF(AC946="SKLADEM",$V$6,IFERROR(IF(OR(AC946-TODAY()&gt;45,VLOOKUP(C946,[1]List1!$A:$E,4,FALSE)=0),AC946,DAY(AC946)&amp;"."&amp;MONTH(AC946)&amp;"."&amp;YEAR(AC946)&amp;" "&amp;$V$4&amp;VLOOKUP(C946,[1]List1!$A:$E,4,FALSE)&amp;" "&amp;$V$1),AC946))))</f>
        <v>31.08.2026</v>
      </c>
      <c r="AE946" s="581" t="str">
        <f t="shared" ca="1" si="2919"/>
        <v>31.08.2026</v>
      </c>
      <c r="AF946" s="584">
        <f t="shared" si="2920"/>
        <v>0</v>
      </c>
      <c r="AG946" s="585">
        <f t="shared" si="2921"/>
        <v>0</v>
      </c>
      <c r="AH946" s="583">
        <f t="shared" si="2922"/>
        <v>0</v>
      </c>
      <c r="AI946" s="582">
        <f t="shared" si="2923"/>
        <v>0</v>
      </c>
      <c r="AJ946" s="569">
        <f t="shared" si="2924"/>
        <v>0</v>
      </c>
      <c r="AK946" s="569" t="str">
        <f t="shared" si="2925"/>
        <v/>
      </c>
      <c r="AL946" s="569">
        <f t="shared" si="2926"/>
        <v>0</v>
      </c>
      <c r="AM946" s="569" t="str">
        <f t="shared" si="2927"/>
        <v/>
      </c>
      <c r="AN946" s="581">
        <f t="shared" si="2928"/>
        <v>0</v>
      </c>
      <c r="AO946" s="623"/>
      <c r="AP946" s="625" t="str">
        <f t="shared" si="2929"/>
        <v/>
      </c>
      <c r="AQ946" s="625" t="str">
        <f>IF(AC946=$V$3,IF(VLOOKUP(C946,[1]List1!$A:$E,5,FALSE)=0,1,VLOOKUP(C946,[1]List1!$A:$E,5,FALSE)),"")</f>
        <v/>
      </c>
      <c r="AR946" s="629" t="str">
        <f t="shared" si="2930"/>
        <v/>
      </c>
      <c r="AS946" s="630" t="str">
        <f t="shared" si="2931"/>
        <v/>
      </c>
      <c r="AT946" s="625" t="str">
        <f t="shared" si="2932"/>
        <v/>
      </c>
      <c r="AU946" s="625" t="e">
        <f t="shared" si="2933"/>
        <v>#N/A</v>
      </c>
      <c r="AV946" s="625" t="e">
        <f t="shared" si="2934"/>
        <v>#N/A</v>
      </c>
      <c r="AW946" s="631"/>
      <c r="AX946" s="631">
        <f>IF(AND('General price list'!$J946="F4",'General price list'!$AB946+0&gt;0),1,0)</f>
        <v>0</v>
      </c>
      <c r="AY946" s="631">
        <f t="shared" si="2935"/>
        <v>1</v>
      </c>
      <c r="AZ946" s="631">
        <f t="shared" si="2936"/>
        <v>1</v>
      </c>
    </row>
    <row r="947" spans="1:52" ht="15" customHeight="1">
      <c r="A947" s="751" t="str">
        <f>Kat.!C947</f>
        <v xml:space="preserve">           Riakeo kulové pumy</v>
      </c>
      <c r="B947" s="751"/>
      <c r="C947" s="751"/>
      <c r="D947" s="751"/>
      <c r="E947" s="751"/>
      <c r="F947" s="751"/>
      <c r="G947" s="751"/>
      <c r="H947" s="751"/>
      <c r="I947" s="752"/>
      <c r="J947" s="752"/>
      <c r="K947" s="752" t="s">
        <v>20</v>
      </c>
      <c r="L947" s="753" t="s">
        <v>20</v>
      </c>
      <c r="M947" s="752"/>
      <c r="N947" s="752"/>
      <c r="O947" s="752"/>
      <c r="P947" s="752"/>
      <c r="Q947" s="752"/>
      <c r="R947" s="752"/>
      <c r="S947" s="752"/>
      <c r="T947" s="752"/>
      <c r="U947" s="752"/>
      <c r="V947" s="752"/>
      <c r="W947" s="752"/>
      <c r="X947" s="752"/>
      <c r="Y947" s="752"/>
      <c r="Z947" s="752" t="s">
        <v>20</v>
      </c>
      <c r="AA947" s="752"/>
      <c r="AB947" s="752"/>
      <c r="AC947" s="754"/>
      <c r="AD947" s="752"/>
      <c r="AE947" s="752"/>
      <c r="AF947" s="752"/>
      <c r="AG947" s="752"/>
      <c r="AH947" s="752"/>
      <c r="AI947" s="752"/>
      <c r="AJ947" s="752"/>
      <c r="AK947" s="752"/>
      <c r="AL947" s="752"/>
      <c r="AM947" s="752"/>
      <c r="AN947" s="752"/>
      <c r="AO947" s="623"/>
      <c r="AP947" s="632" t="str">
        <f t="shared" ref="AP947:AP966" si="2937">IF($AL$3=1,IF(Y947=AB947,"","NE"),IF(AR947=$V$10,"NE",""))</f>
        <v/>
      </c>
      <c r="AQ947" s="633" t="str">
        <f>IF(AC947=$V$3,IF(VLOOKUP(C947,[1]List1!$A:$E,5,FALSE)=0,1,VLOOKUP(C947,[1]List1!$A:$E,5,FALSE)),"")</f>
        <v/>
      </c>
      <c r="AR947" s="625" t="str">
        <f t="shared" ref="AR947:AR966" si="2938">IF($AL$3=1,"",IF(OR(AB947&lt;&gt;"",AB947&lt;&gt;0),IF(OR(AC947=$V$6,AC947=$V$3,AC947=$V$9),$V$10,""),""))</f>
        <v/>
      </c>
      <c r="AS947" s="634" t="str">
        <f t="shared" ref="AS947:AS966" si="2939">IF(AT947&lt;&gt;"","X","")</f>
        <v/>
      </c>
      <c r="AT947" s="625" t="str">
        <f t="shared" ref="AT947:AT966" si="2940">IF(AND($AL$3=2,AR947="",AB947&lt;&gt;""),AD947,"")</f>
        <v/>
      </c>
      <c r="AU947" s="638" t="e">
        <f t="shared" ref="AU947:AU966" si="2941">IF(AT947=$AS$21,AB947,"")</f>
        <v>#N/A</v>
      </c>
      <c r="AV947" s="625" t="e">
        <f t="shared" ref="AV947:AV966" si="2942">IF(OR(AB947="",AND(AT947&lt;&gt;"",AU947&lt;&gt;"")),"",$V$10)</f>
        <v>#N/A</v>
      </c>
      <c r="AX947" s="625">
        <f>IF(AND('General price list'!$J947="F4",'General price list'!$AB947+0&gt;0),1,0)</f>
        <v>0</v>
      </c>
      <c r="AY947" s="625">
        <f t="shared" ref="AY947:AY966" si="2943">IFERROR(FIND(VLOOKUP($AC$7,$AD$1:$AE$12,2,FALSE),Q947,1),0)</f>
        <v>0</v>
      </c>
      <c r="AZ947" s="625">
        <f t="shared" ref="AZ947:AZ966" si="2944">IFERROR(FIND(VLOOKUP($AC$7,$AD$1:$AE$12,2,FALSE),R947,1),0)</f>
        <v>0</v>
      </c>
    </row>
    <row r="948" spans="1:52" ht="15.75" customHeight="1">
      <c r="A948" s="639" t="str">
        <f>Kat.!C948</f>
        <v/>
      </c>
      <c r="B948" s="640">
        <f>IF(AND('General price list'!$J948="F4",$AI$1=FALSE),0,IF(AC948="SKLADEM",1,IF(AC948=$V$3,1,0)))</f>
        <v>0</v>
      </c>
      <c r="C948" s="641" t="s">
        <v>11644</v>
      </c>
      <c r="D948" s="642" t="s">
        <v>12613</v>
      </c>
      <c r="E948" s="643" t="s">
        <v>12652</v>
      </c>
      <c r="F948" s="771">
        <f>IFERROR(VLOOKUP(C948,[2]List1!$A:$D,3,FALSE),"NEUVEDENO!")</f>
        <v>347</v>
      </c>
      <c r="G948" s="768">
        <f t="shared" ref="G948:G966" si="2945">IF($W$17=$AF$8,ROUND((F948)/$F$17,2),(F948)*$B$19)</f>
        <v>347</v>
      </c>
      <c r="H948" s="765">
        <f t="shared" ref="H948:H966" si="2946">IF($W$17=$AF$8,G948*$B$19,G948/$F$17)</f>
        <v>14.740052588429696</v>
      </c>
      <c r="I948" s="644">
        <f>IFERROR(VLOOKUP(C948,[2]List1!$A:$D,4,FALSE),"NEUVEDENO!")</f>
        <v>30</v>
      </c>
      <c r="J948" s="733" t="s">
        <v>614</v>
      </c>
      <c r="K948" s="645" t="s">
        <v>20</v>
      </c>
      <c r="L948" s="645"/>
      <c r="M948" s="645" t="s">
        <v>114</v>
      </c>
      <c r="N948" s="645">
        <f>IFERROR(VLOOKUP(C948,[3]List1!$A:$D,4,FALSE),"N/A!")</f>
        <v>4.2623999999999995E-2</v>
      </c>
      <c r="O948" s="645">
        <f>IFERROR(VLOOKUP(C948,[3]List1!$A:$D,3,FALSE),"N/A!")</f>
        <v>7950</v>
      </c>
      <c r="P948" s="645">
        <f>IFERROR(VLOOKUP(C948,[3]List1!$A:$D,2,FALSE),"N/A!")</f>
        <v>17000</v>
      </c>
      <c r="Q948" s="645" t="s">
        <v>11236</v>
      </c>
      <c r="R948" s="645"/>
      <c r="S948" s="645"/>
      <c r="T948" s="645"/>
      <c r="U948" s="645">
        <v>120</v>
      </c>
      <c r="V948" s="645">
        <v>75</v>
      </c>
      <c r="W948" s="645" t="str">
        <f>IFERROR(IF(AND($AB948&gt;=0.1*$AA948,MOD($AB948,$AA948)&gt;=($AA948-(0.1*$AA948))),IF($W$17=$AF$1,"Zvažte možnost doobjednání ještě "&amp;Tabulka1[[#This Row],[VKPAL]]-MOD(AB948,AA948)&amp;" VK do plné palety.",VLOOKUP("Zvažte možnost doobjednání ještě ",Jazyky_ceník!A:Q,MATCH($W$17,Jazyky_ceník!$A$1:$Q$1,0),FALSE)&amp;Tabulka1[[#This Row],[VKPAL]]-MOD(AB948,AA948)&amp;VLOOKUP(" VK do plné palety.",Jazyky_ceník!A:Q,MATCH($W$17,Jazyky_ceník!$A$1:$Q$1,0),FALSE)),IFERROR(IF(AND(NOT(MOD($AB948,$AA948)=0),$AB948&gt;=0.9*$AA948,MOD($AB948,$AA948)&lt;=0.1*$AA948),IF($W$17=$AF$1,"Zvažte možnost optimalizace objednaného množství podle počtu VK na paletě ==&gt;",VLOOKUP("Zvažte možnost optimalizace objednaného množství podle počtu VK na paletě ==&gt;",Jazyky_ceník!A:Q,MATCH($W$17,Jazyky_ceník!$A$1:$Q$1,0),FALSE)),VLOOKUP('General price list'!$C948,Popisy!A:M,MATCH($W$17,Popisy!$A$7:$M$7,0),FALSE)),"---------------")),IFERROR(VLOOKUP('General price list'!$C948,Popisy!A:M,MATCH($W$17,Popisy!$A$7:$M$7,0),FALSE),"---------------"))</f>
        <v>75mm Red star with whistle</v>
      </c>
      <c r="X948" s="645" t="str">
        <f t="shared" ref="X948:X966" si="2947">IF(AB948&lt;0.0001,"",AB948)</f>
        <v/>
      </c>
      <c r="Y948" s="645" t="str">
        <f t="shared" ref="Y948:Y966" si="2948">IF($AL$3=2,IF(OR(AB948&lt;&gt;"",AB948&lt;&gt;0),AU948,""),IF(C948="","",IF(AB948&lt;0.0001,"",IF(B948=0,"",IF(AQ948&lt;AB948,"",AB948)))))</f>
        <v/>
      </c>
      <c r="Z948" s="645" t="str">
        <f>HYPERLINK("https://www.klasekpyrotechnics.cz/rkd-s03-01")</f>
        <v>https://www.klasekpyrotechnics.cz/rkd-s03-01</v>
      </c>
      <c r="AA948" s="645" t="str">
        <f>IFERROR(IF(VLOOKUP(C948,[4]List1!$A:$D,4,FALSE)=0,"",VLOOKUP(C948,[4]List1!$A:$D,4,FALSE)),"")</f>
        <v/>
      </c>
      <c r="AB948" s="646"/>
      <c r="AC948" s="647" t="str">
        <f>IFERROR(IF(VLOOKUP(C948,[1]List1!$A:$D,2,FALSE)="VYPRODÁNO",$V$9,IF(VLOOKUP(C948,[1]List1!$A:$D,2,FALSE)="DOCHÁZÍ",$V$3,VLOOKUP(C948,[1]List1!$A:$D,2,FALSE))),"OFFLINE!")</f>
        <v>SKLADEM</v>
      </c>
      <c r="AD948" s="647" t="str">
        <f ca="1">IF(AP948="NE",$V$10,IF(AC948=$V$3,IF(AQ948&lt;1,$V$8,$V$2&amp;" "&amp;AQ948&amp;" "&amp;$V$1),IF(AC948="SKLADEM",$V$6,IFERROR(IF(OR(AC948-TODAY()&gt;45,VLOOKUP(C948,[1]List1!$A:$E,4,FALSE)=0),AC948,DAY(AC948)&amp;"."&amp;MONTH(AC948)&amp;"."&amp;YEAR(AC948)&amp;" "&amp;$V$4&amp;VLOOKUP(C948,[1]List1!$A:$E,4,FALSE)&amp;" "&amp;$V$1),AC948))))</f>
        <v>SKLADEM</v>
      </c>
      <c r="AE948" s="645" t="str">
        <f t="shared" ref="AE948:AE966" ca="1" si="2949">IFERROR(IF(AV948&lt;&gt;"",AV948,AD948),AD948)</f>
        <v>SKLADEM</v>
      </c>
      <c r="AF948" s="648">
        <f t="shared" ref="AF948:AF966" si="2950">IFERROR(IF(AB948=Y948,G948*I948*Y948,0),0)</f>
        <v>0</v>
      </c>
      <c r="AG948" s="649">
        <f t="shared" ref="AG948:AG966" si="2951">IF($W$17=$AF$8,AH948*1.23,AF948*1.21)</f>
        <v>0</v>
      </c>
      <c r="AH948" s="650">
        <f t="shared" ref="AH948:AH966" si="2952">IFERROR(IF(Y948=AB948,H948*I948*Y948,0),0)</f>
        <v>0</v>
      </c>
      <c r="AI948" s="645">
        <f t="shared" ref="AI948:AI966" si="2953">IFERROR(IF(Y948=AB948,(P948*Y948)/1000,1),0)</f>
        <v>0</v>
      </c>
      <c r="AJ948" s="645">
        <f t="shared" ref="AJ948:AJ966" si="2954">IFERROR(IF(Y948=AB948,N948*Y948,0.1),0)</f>
        <v>0</v>
      </c>
      <c r="AK948" s="645" t="str">
        <f t="shared" ref="AK948:AK966" si="2955">IFERROR(IF(Y948=AB948,IF(M948="1.1G",(O948/1000)*Y948,""),""),0)</f>
        <v/>
      </c>
      <c r="AL948" s="645">
        <f t="shared" ref="AL948:AL966" si="2956">IFERROR(IF(Y948=AB948,IF(M948="1.3G",(O948/1000)*AB948,""),""),0)</f>
        <v>0</v>
      </c>
      <c r="AM948" s="645" t="str">
        <f t="shared" ref="AM948:AM966" si="2957">IFERROR(IF(Y948=AB948,IF(M948="1.4G",(O948/1000)*AB948,""),""),0)</f>
        <v/>
      </c>
      <c r="AN948" s="651">
        <f t="shared" ref="AN948:AN966" si="2958">SUM(AK948:AM948)</f>
        <v>0</v>
      </c>
      <c r="AO948" s="623"/>
      <c r="AP948" s="625" t="str">
        <f t="shared" si="2937"/>
        <v/>
      </c>
      <c r="AQ948" s="625" t="str">
        <f>IF(AC948=$V$3,IF(VLOOKUP(C948,[1]List1!$A:$E,5,FALSE)=0,1,VLOOKUP(C948,[1]List1!$A:$E,5,FALSE)),"")</f>
        <v/>
      </c>
      <c r="AR948" s="629" t="str">
        <f t="shared" si="2938"/>
        <v/>
      </c>
      <c r="AS948" s="630" t="str">
        <f t="shared" si="2939"/>
        <v/>
      </c>
      <c r="AT948" s="625" t="str">
        <f t="shared" si="2940"/>
        <v/>
      </c>
      <c r="AU948" s="625" t="e">
        <f t="shared" si="2941"/>
        <v>#N/A</v>
      </c>
      <c r="AV948" s="625" t="e">
        <f t="shared" si="2942"/>
        <v>#N/A</v>
      </c>
      <c r="AW948" s="631"/>
      <c r="AX948" s="631">
        <f>IF(AND('General price list'!$J948="F4",'General price list'!$AB948+0&gt;0),1,0)</f>
        <v>0</v>
      </c>
      <c r="AY948" s="631">
        <f t="shared" si="2943"/>
        <v>1</v>
      </c>
      <c r="AZ948" s="631">
        <f t="shared" si="2944"/>
        <v>0</v>
      </c>
    </row>
    <row r="949" spans="1:52" ht="15" customHeight="1">
      <c r="A949" s="621" t="str">
        <f>Kat.!C949</f>
        <v/>
      </c>
      <c r="B949" s="566">
        <f>IF(AND('General price list'!$J949="F4",$AI$1=FALSE),0,IF(AC949="SKLADEM",1,IF(AC949=$V$3,1,0)))</f>
        <v>0</v>
      </c>
      <c r="C949" s="567" t="s">
        <v>11645</v>
      </c>
      <c r="D949" s="568" t="s">
        <v>11668</v>
      </c>
      <c r="E949" s="763" t="s">
        <v>12748</v>
      </c>
      <c r="F949" s="772">
        <f>IFERROR(VLOOKUP(C949,[2]List1!$A:$D,3,FALSE),"NEUVEDENO!")</f>
        <v>1242</v>
      </c>
      <c r="G949" s="769">
        <f t="shared" si="2945"/>
        <v>1242</v>
      </c>
      <c r="H949" s="766">
        <f t="shared" si="2946"/>
        <v>52.758343846771417</v>
      </c>
      <c r="I949" s="764">
        <f>IFERROR(VLOOKUP(C949,[2]List1!$A:$D,4,FALSE),"NEUVEDENO!")</f>
        <v>12</v>
      </c>
      <c r="J949" s="732" t="s">
        <v>614</v>
      </c>
      <c r="K949" s="569" t="s">
        <v>20</v>
      </c>
      <c r="L949" s="569"/>
      <c r="M949" s="569" t="s">
        <v>114</v>
      </c>
      <c r="N949" s="569">
        <f>IFERROR(VLOOKUP(C949,[3]List1!$A:$D,4,FALSE),"N/A!")</f>
        <v>5.2899999999999996E-2</v>
      </c>
      <c r="O949" s="569">
        <f>IFERROR(VLOOKUP(C949,[3]List1!$A:$D,3,FALSE),"N/A!")</f>
        <v>10152</v>
      </c>
      <c r="P949" s="569">
        <f>IFERROR(VLOOKUP(C949,[3]List1!$A:$D,2,FALSE),"N/A!")</f>
        <v>17000</v>
      </c>
      <c r="Q949" s="569" t="s">
        <v>11236</v>
      </c>
      <c r="R949" s="569"/>
      <c r="S949" s="569"/>
      <c r="T949" s="569"/>
      <c r="U949" s="569">
        <v>120</v>
      </c>
      <c r="V949" s="569">
        <v>75</v>
      </c>
      <c r="W949" s="569" t="str">
        <f>IFERROR(IF(AND($AB949&gt;=0.1*$AA949,MOD($AB949,$AA949)&gt;=($AA949-(0.1*$AA949))),IF($W$17=$AF$1,"Zvažte možnost doobjednání ještě "&amp;Tabulka1[[#This Row],[VKPAL]]-MOD(AB949,AA949)&amp;" VK do plné palety.",VLOOKUP("Zvažte možnost doobjednání ještě ",Jazyky_ceník!A:Q,MATCH($W$17,Jazyky_ceník!$A$1:$Q$1,0),FALSE)&amp;Tabulka1[[#This Row],[VKPAL]]-MOD(AB949,AA949)&amp;VLOOKUP(" VK do plné palety.",Jazyky_ceník!A:Q,MATCH($W$17,Jazyky_ceník!$A$1:$Q$1,0),FALSE)),IFERROR(IF(AND(NOT(MOD($AB949,$AA949)=0),$AB949&gt;=0.9*$AA949,MOD($AB949,$AA949)&lt;=0.1*$AA949),IF($W$17=$AF$1,"Zvažte možnost optimalizace objednaného množství podle počtu VK na paletě ==&gt;",VLOOKUP("Zvažte možnost optimalizace objednaného množství podle počtu VK na paletě ==&gt;",Jazyky_ceník!A:Q,MATCH($W$17,Jazyky_ceník!$A$1:$Q$1,0),FALSE)),VLOOKUP('General price list'!$C949,Popisy!A:M,MATCH($W$17,Popisy!$A$7:$M$7,0),FALSE)),"---------------")),IFERROR(VLOOKUP('General price list'!$C949,Popisy!A:M,MATCH($W$17,Popisy!$A$7:$M$7,0),FALSE),"---------------"))</f>
        <v>75mm Nishiki Willow</v>
      </c>
      <c r="X949" s="569" t="str">
        <f t="shared" si="2947"/>
        <v/>
      </c>
      <c r="Y949" s="569" t="str">
        <f t="shared" si="2948"/>
        <v/>
      </c>
      <c r="Z949" s="569" t="str">
        <f>HYPERLINK("https://www.klasekpyrotechnics.cz/rkd-s03-02")</f>
        <v>https://www.klasekpyrotechnics.cz/rkd-s03-02</v>
      </c>
      <c r="AA949" s="569">
        <f>IFERROR(IF(VLOOKUP(C949,[4]List1!$A:$D,4,FALSE)=0,"",VLOOKUP(C949,[4]List1!$A:$D,4,FALSE)),"")</f>
        <v>10</v>
      </c>
      <c r="AB949" s="565"/>
      <c r="AC949" s="570" t="str">
        <f>IFERROR(IF(VLOOKUP(C949,[1]List1!$A:$D,2,FALSE)="VYPRODÁNO",$V$9,IF(VLOOKUP(C949,[1]List1!$A:$D,2,FALSE)="DOCHÁZÍ",$V$3,VLOOKUP(C949,[1]List1!$A:$D,2,FALSE))),"OFFLINE!")</f>
        <v>SKLADEM</v>
      </c>
      <c r="AD949" s="570" t="str">
        <f ca="1">IF(AP949="NE",$V$10,IF(AC949=$V$3,IF(AQ949&lt;1,$V$8,$V$2&amp;" "&amp;AQ949&amp;" "&amp;$V$1),IF(AC949="SKLADEM",$V$6,IFERROR(IF(OR(AC949-TODAY()&gt;45,VLOOKUP(C949,[1]List1!$A:$E,4,FALSE)=0),AC949,DAY(AC949)&amp;"."&amp;MONTH(AC949)&amp;"."&amp;YEAR(AC949)&amp;" "&amp;$V$4&amp;VLOOKUP(C949,[1]List1!$A:$E,4,FALSE)&amp;" "&amp;$V$1),AC949))))</f>
        <v>SKLADEM</v>
      </c>
      <c r="AE949" s="581" t="str">
        <f t="shared" ca="1" si="2949"/>
        <v>SKLADEM</v>
      </c>
      <c r="AF949" s="584">
        <f t="shared" si="2950"/>
        <v>0</v>
      </c>
      <c r="AG949" s="585">
        <f t="shared" si="2951"/>
        <v>0</v>
      </c>
      <c r="AH949" s="583">
        <f t="shared" si="2952"/>
        <v>0</v>
      </c>
      <c r="AI949" s="582">
        <f t="shared" si="2953"/>
        <v>0</v>
      </c>
      <c r="AJ949" s="569">
        <f t="shared" si="2954"/>
        <v>0</v>
      </c>
      <c r="AK949" s="569" t="str">
        <f t="shared" si="2955"/>
        <v/>
      </c>
      <c r="AL949" s="569">
        <f t="shared" si="2956"/>
        <v>0</v>
      </c>
      <c r="AM949" s="569" t="str">
        <f t="shared" si="2957"/>
        <v/>
      </c>
      <c r="AN949" s="581">
        <f t="shared" si="2958"/>
        <v>0</v>
      </c>
      <c r="AO949" s="623"/>
      <c r="AP949" s="632" t="str">
        <f t="shared" si="2937"/>
        <v/>
      </c>
      <c r="AQ949" s="633" t="str">
        <f>IF(AC949=$V$3,IF(VLOOKUP(C949,[1]List1!$A:$E,5,FALSE)=0,1,VLOOKUP(C949,[1]List1!$A:$E,5,FALSE)),"")</f>
        <v/>
      </c>
      <c r="AR949" s="625" t="str">
        <f t="shared" si="2938"/>
        <v/>
      </c>
      <c r="AS949" s="634" t="str">
        <f t="shared" si="2939"/>
        <v/>
      </c>
      <c r="AT949" s="625" t="str">
        <f t="shared" si="2940"/>
        <v/>
      </c>
      <c r="AU949" s="638" t="e">
        <f t="shared" si="2941"/>
        <v>#N/A</v>
      </c>
      <c r="AV949" s="625" t="e">
        <f t="shared" si="2942"/>
        <v>#N/A</v>
      </c>
      <c r="AX949" s="625">
        <f>IF(AND('General price list'!$J949="F4",'General price list'!$AB949+0&gt;0),1,0)</f>
        <v>0</v>
      </c>
      <c r="AY949" s="625">
        <f t="shared" si="2943"/>
        <v>1</v>
      </c>
      <c r="AZ949" s="625">
        <f t="shared" si="2944"/>
        <v>0</v>
      </c>
    </row>
    <row r="950" spans="1:52" ht="15.75" customHeight="1">
      <c r="A950" s="639" t="str">
        <f>Kat.!C950</f>
        <v/>
      </c>
      <c r="B950" s="640">
        <f>IF(AND('General price list'!$J950="F4",$AI$1=FALSE),0,IF(AC950="SKLADEM",1,IF(AC950=$V$3,1,0)))</f>
        <v>0</v>
      </c>
      <c r="C950" s="641" t="s">
        <v>11646</v>
      </c>
      <c r="D950" s="642" t="s">
        <v>11669</v>
      </c>
      <c r="E950" s="643" t="s">
        <v>12748</v>
      </c>
      <c r="F950" s="771">
        <f>IFERROR(VLOOKUP(C950,[2]List1!$A:$D,3,FALSE),"NEUVEDENO!")</f>
        <v>1242</v>
      </c>
      <c r="G950" s="768">
        <f t="shared" si="2945"/>
        <v>1242</v>
      </c>
      <c r="H950" s="765">
        <f t="shared" si="2946"/>
        <v>52.758343846771417</v>
      </c>
      <c r="I950" s="644">
        <f>IFERROR(VLOOKUP(C950,[2]List1!$A:$D,4,FALSE),"NEUVEDENO!")</f>
        <v>12</v>
      </c>
      <c r="J950" s="733" t="s">
        <v>614</v>
      </c>
      <c r="K950" s="645" t="s">
        <v>20</v>
      </c>
      <c r="L950" s="645"/>
      <c r="M950" s="645" t="s">
        <v>114</v>
      </c>
      <c r="N950" s="645">
        <f>IFERROR(VLOOKUP(C950,[3]List1!$A:$D,4,FALSE),"N/A!")</f>
        <v>5.2899999999999996E-2</v>
      </c>
      <c r="O950" s="645">
        <f>IFERROR(VLOOKUP(C950,[3]List1!$A:$D,3,FALSE),"N/A!")</f>
        <v>10224</v>
      </c>
      <c r="P950" s="645">
        <f>IFERROR(VLOOKUP(C950,[3]List1!$A:$D,2,FALSE),"N/A!")</f>
        <v>17000</v>
      </c>
      <c r="Q950" s="645" t="s">
        <v>11236</v>
      </c>
      <c r="R950" s="645"/>
      <c r="S950" s="645"/>
      <c r="T950" s="645"/>
      <c r="U950" s="645">
        <v>120</v>
      </c>
      <c r="V950" s="645">
        <v>75</v>
      </c>
      <c r="W950" s="645" t="str">
        <f>IFERROR(IF(AND($AB950&gt;=0.1*$AA950,MOD($AB950,$AA950)&gt;=($AA950-(0.1*$AA950))),IF($W$17=$AF$1,"Zvažte možnost doobjednání ještě "&amp;Tabulka1[[#This Row],[VKPAL]]-MOD(AB950,AA950)&amp;" VK do plné palety.",VLOOKUP("Zvažte možnost doobjednání ještě ",Jazyky_ceník!A:Q,MATCH($W$17,Jazyky_ceník!$A$1:$Q$1,0),FALSE)&amp;Tabulka1[[#This Row],[VKPAL]]-MOD(AB950,AA950)&amp;VLOOKUP(" VK do plné palety.",Jazyky_ceník!A:Q,MATCH($W$17,Jazyky_ceník!$A$1:$Q$1,0),FALSE)),IFERROR(IF(AND(NOT(MOD($AB950,$AA950)=0),$AB950&gt;=0.9*$AA950,MOD($AB950,$AA950)&lt;=0.1*$AA950),IF($W$17=$AF$1,"Zvažte možnost optimalizace objednaného množství podle počtu VK na paletě ==&gt;",VLOOKUP("Zvažte možnost optimalizace objednaného množství podle počtu VK na paletě ==&gt;",Jazyky_ceník!A:Q,MATCH($W$17,Jazyky_ceník!$A$1:$Q$1,0),FALSE)),VLOOKUP('General price list'!$C950,Popisy!A:M,MATCH($W$17,Popisy!$A$7:$M$7,0),FALSE)),"---------------")),IFERROR(VLOOKUP('General price list'!$C950,Popisy!A:M,MATCH($W$17,Popisy!$A$7:$M$7,0),FALSE),"---------------"))</f>
        <v>75mm Gold shinning</v>
      </c>
      <c r="X950" s="645" t="str">
        <f t="shared" si="2947"/>
        <v/>
      </c>
      <c r="Y950" s="645" t="str">
        <f t="shared" si="2948"/>
        <v/>
      </c>
      <c r="Z950" s="645" t="str">
        <f>HYPERLINK("https://www.klasekpyrotechnics.cz/rkd-s03-03")</f>
        <v>https://www.klasekpyrotechnics.cz/rkd-s03-03</v>
      </c>
      <c r="AA950" s="645">
        <f>IFERROR(IF(VLOOKUP(C950,[4]List1!$A:$D,4,FALSE)=0,"",VLOOKUP(C950,[4]List1!$A:$D,4,FALSE)),"")</f>
        <v>11</v>
      </c>
      <c r="AB950" s="646"/>
      <c r="AC950" s="647" t="str">
        <f>IFERROR(IF(VLOOKUP(C950,[1]List1!$A:$D,2,FALSE)="VYPRODÁNO",$V$9,IF(VLOOKUP(C950,[1]List1!$A:$D,2,FALSE)="DOCHÁZÍ",$V$3,VLOOKUP(C950,[1]List1!$A:$D,2,FALSE))),"OFFLINE!")</f>
        <v>SKLADEM</v>
      </c>
      <c r="AD950" s="647" t="str">
        <f ca="1">IF(AP950="NE",$V$10,IF(AC950=$V$3,IF(AQ950&lt;1,$V$8,$V$2&amp;" "&amp;AQ950&amp;" "&amp;$V$1),IF(AC950="SKLADEM",$V$6,IFERROR(IF(OR(AC950-TODAY()&gt;45,VLOOKUP(C950,[1]List1!$A:$E,4,FALSE)=0),AC950,DAY(AC950)&amp;"."&amp;MONTH(AC950)&amp;"."&amp;YEAR(AC950)&amp;" "&amp;$V$4&amp;VLOOKUP(C950,[1]List1!$A:$E,4,FALSE)&amp;" "&amp;$V$1),AC950))))</f>
        <v>SKLADEM</v>
      </c>
      <c r="AE950" s="645" t="str">
        <f t="shared" ca="1" si="2949"/>
        <v>SKLADEM</v>
      </c>
      <c r="AF950" s="648">
        <f t="shared" si="2950"/>
        <v>0</v>
      </c>
      <c r="AG950" s="649">
        <f t="shared" si="2951"/>
        <v>0</v>
      </c>
      <c r="AH950" s="650">
        <f t="shared" si="2952"/>
        <v>0</v>
      </c>
      <c r="AI950" s="645">
        <f t="shared" si="2953"/>
        <v>0</v>
      </c>
      <c r="AJ950" s="645">
        <f t="shared" si="2954"/>
        <v>0</v>
      </c>
      <c r="AK950" s="645" t="str">
        <f t="shared" si="2955"/>
        <v/>
      </c>
      <c r="AL950" s="645">
        <f t="shared" si="2956"/>
        <v>0</v>
      </c>
      <c r="AM950" s="645" t="str">
        <f t="shared" si="2957"/>
        <v/>
      </c>
      <c r="AN950" s="651">
        <f t="shared" si="2958"/>
        <v>0</v>
      </c>
      <c r="AO950" s="623"/>
      <c r="AP950" s="625" t="str">
        <f t="shared" si="2937"/>
        <v/>
      </c>
      <c r="AQ950" s="625" t="str">
        <f>IF(AC950=$V$3,IF(VLOOKUP(C950,[1]List1!$A:$E,5,FALSE)=0,1,VLOOKUP(C950,[1]List1!$A:$E,5,FALSE)),"")</f>
        <v/>
      </c>
      <c r="AR950" s="629" t="str">
        <f t="shared" si="2938"/>
        <v/>
      </c>
      <c r="AS950" s="630" t="str">
        <f t="shared" si="2939"/>
        <v/>
      </c>
      <c r="AT950" s="625" t="str">
        <f t="shared" si="2940"/>
        <v/>
      </c>
      <c r="AU950" s="625" t="e">
        <f t="shared" si="2941"/>
        <v>#N/A</v>
      </c>
      <c r="AV950" s="625" t="e">
        <f t="shared" si="2942"/>
        <v>#N/A</v>
      </c>
      <c r="AW950" s="631"/>
      <c r="AX950" s="631">
        <f>IF(AND('General price list'!$J950="F4",'General price list'!$AB950+0&gt;0),1,0)</f>
        <v>0</v>
      </c>
      <c r="AY950" s="631">
        <f t="shared" si="2943"/>
        <v>1</v>
      </c>
      <c r="AZ950" s="631">
        <f t="shared" si="2944"/>
        <v>0</v>
      </c>
    </row>
    <row r="951" spans="1:52" ht="15" customHeight="1">
      <c r="A951" s="621" t="str">
        <f>Kat.!C951</f>
        <v/>
      </c>
      <c r="B951" s="566">
        <f>IF(AND('General price list'!$J951="F4",$AI$1=FALSE),0,IF(AC951="SKLADEM",1,IF(AC951=$V$3,1,0)))</f>
        <v>0</v>
      </c>
      <c r="C951" s="567" t="s">
        <v>11647</v>
      </c>
      <c r="D951" s="568" t="s">
        <v>11670</v>
      </c>
      <c r="E951" s="763" t="s">
        <v>12701</v>
      </c>
      <c r="F951" s="772">
        <f>IFERROR(VLOOKUP(C951,[2]List1!$A:$D,3,FALSE),"NEUVEDENO!")</f>
        <v>1585</v>
      </c>
      <c r="G951" s="769">
        <f t="shared" si="2945"/>
        <v>1585</v>
      </c>
      <c r="H951" s="766">
        <f t="shared" si="2946"/>
        <v>67.328482284325844</v>
      </c>
      <c r="I951" s="764">
        <f>IFERROR(VLOOKUP(C951,[2]List1!$A:$D,4,FALSE),"NEUVEDENO!")</f>
        <v>9</v>
      </c>
      <c r="J951" s="732" t="s">
        <v>614</v>
      </c>
      <c r="K951" s="569" t="s">
        <v>20</v>
      </c>
      <c r="L951" s="569"/>
      <c r="M951" s="569" t="s">
        <v>114</v>
      </c>
      <c r="N951" s="569">
        <f>IFERROR(VLOOKUP(C951,[3]List1!$A:$D,4,FALSE),"N/A!")</f>
        <v>5.3792E-2</v>
      </c>
      <c r="O951" s="569">
        <f>IFERROR(VLOOKUP(C951,[3]List1!$A:$D,3,FALSE),"N/A!")</f>
        <v>11376</v>
      </c>
      <c r="P951" s="569">
        <f>IFERROR(VLOOKUP(C951,[3]List1!$A:$D,2,FALSE),"N/A!")</f>
        <v>19000</v>
      </c>
      <c r="Q951" s="569" t="s">
        <v>11236</v>
      </c>
      <c r="R951" s="569"/>
      <c r="S951" s="569"/>
      <c r="T951" s="569"/>
      <c r="U951" s="569">
        <v>170</v>
      </c>
      <c r="V951" s="569">
        <v>90</v>
      </c>
      <c r="W951" s="569" t="str">
        <f>IFERROR(IF(AND($AB951&gt;=0.1*$AA951,MOD($AB951,$AA951)&gt;=($AA951-(0.1*$AA951))),IF($W$17=$AF$1,"Zvažte možnost doobjednání ještě "&amp;Tabulka1[[#This Row],[VKPAL]]-MOD(AB951,AA951)&amp;" VK do plné palety.",VLOOKUP("Zvažte možnost doobjednání ještě ",Jazyky_ceník!A:Q,MATCH($W$17,Jazyky_ceník!$A$1:$Q$1,0),FALSE)&amp;Tabulka1[[#This Row],[VKPAL]]-MOD(AB951,AA951)&amp;VLOOKUP(" VK do plné palety.",Jazyky_ceník!A:Q,MATCH($W$17,Jazyky_ceník!$A$1:$Q$1,0),FALSE)),IFERROR(IF(AND(NOT(MOD($AB951,$AA951)=0),$AB951&gt;=0.9*$AA951,MOD($AB951,$AA951)&lt;=0.1*$AA951),IF($W$17=$AF$1,"Zvažte možnost optimalizace objednaného množství podle počtu VK na paletě ==&gt;",VLOOKUP("Zvažte možnost optimalizace objednaného množství podle počtu VK na paletě ==&gt;",Jazyky_ceník!A:Q,MATCH($W$17,Jazyky_ceník!$A$1:$Q$1,0),FALSE)),VLOOKUP('General price list'!$C951,Popisy!A:M,MATCH($W$17,Popisy!$A$7:$M$7,0),FALSE)),"---------------")),IFERROR(VLOOKUP('General price list'!$C951,Popisy!A:M,MATCH($W$17,Popisy!$A$7:$M$7,0),FALSE),"---------------"))</f>
        <v>100mm Nishiki Willow</v>
      </c>
      <c r="X951" s="569" t="str">
        <f t="shared" si="2947"/>
        <v/>
      </c>
      <c r="Y951" s="569" t="str">
        <f t="shared" si="2948"/>
        <v/>
      </c>
      <c r="Z951" s="569" t="str">
        <f>HYPERLINK("https://www.klasekpyrotechnics.cz/rkd-s04-01")</f>
        <v>https://www.klasekpyrotechnics.cz/rkd-s04-01</v>
      </c>
      <c r="AA951" s="569">
        <f>IFERROR(IF(VLOOKUP(C951,[4]List1!$A:$D,4,FALSE)=0,"",VLOOKUP(C951,[4]List1!$A:$D,4,FALSE)),"")</f>
        <v>20</v>
      </c>
      <c r="AB951" s="565"/>
      <c r="AC951" s="570" t="str">
        <f>IFERROR(IF(VLOOKUP(C951,[1]List1!$A:$D,2,FALSE)="VYPRODÁNO",$V$9,IF(VLOOKUP(C951,[1]List1!$A:$D,2,FALSE)="DOCHÁZÍ",$V$3,VLOOKUP(C951,[1]List1!$A:$D,2,FALSE))),"OFFLINE!")</f>
        <v>SKLADEM</v>
      </c>
      <c r="AD951" s="570" t="str">
        <f ca="1">IF(AP951="NE",$V$10,IF(AC951=$V$3,IF(AQ951&lt;1,$V$8,$V$2&amp;" "&amp;AQ951&amp;" "&amp;$V$1),IF(AC951="SKLADEM",$V$6,IFERROR(IF(OR(AC951-TODAY()&gt;45,VLOOKUP(C951,[1]List1!$A:$E,4,FALSE)=0),AC951,DAY(AC951)&amp;"."&amp;MONTH(AC951)&amp;"."&amp;YEAR(AC951)&amp;" "&amp;$V$4&amp;VLOOKUP(C951,[1]List1!$A:$E,4,FALSE)&amp;" "&amp;$V$1),AC951))))</f>
        <v>SKLADEM</v>
      </c>
      <c r="AE951" s="581" t="str">
        <f t="shared" ca="1" si="2949"/>
        <v>SKLADEM</v>
      </c>
      <c r="AF951" s="584">
        <f t="shared" si="2950"/>
        <v>0</v>
      </c>
      <c r="AG951" s="585">
        <f t="shared" si="2951"/>
        <v>0</v>
      </c>
      <c r="AH951" s="583">
        <f t="shared" si="2952"/>
        <v>0</v>
      </c>
      <c r="AI951" s="582">
        <f t="shared" si="2953"/>
        <v>0</v>
      </c>
      <c r="AJ951" s="569">
        <f t="shared" si="2954"/>
        <v>0</v>
      </c>
      <c r="AK951" s="569" t="str">
        <f t="shared" si="2955"/>
        <v/>
      </c>
      <c r="AL951" s="569">
        <f t="shared" si="2956"/>
        <v>0</v>
      </c>
      <c r="AM951" s="569" t="str">
        <f t="shared" si="2957"/>
        <v/>
      </c>
      <c r="AN951" s="581">
        <f t="shared" si="2958"/>
        <v>0</v>
      </c>
      <c r="AO951" s="623"/>
      <c r="AP951" s="632" t="str">
        <f t="shared" si="2937"/>
        <v/>
      </c>
      <c r="AQ951" s="633" t="str">
        <f>IF(AC951=$V$3,IF(VLOOKUP(C951,[1]List1!$A:$E,5,FALSE)=0,1,VLOOKUP(C951,[1]List1!$A:$E,5,FALSE)),"")</f>
        <v/>
      </c>
      <c r="AR951" s="625" t="str">
        <f t="shared" si="2938"/>
        <v/>
      </c>
      <c r="AS951" s="634" t="str">
        <f t="shared" si="2939"/>
        <v/>
      </c>
      <c r="AT951" s="625" t="str">
        <f t="shared" si="2940"/>
        <v/>
      </c>
      <c r="AU951" s="638" t="e">
        <f t="shared" si="2941"/>
        <v>#N/A</v>
      </c>
      <c r="AV951" s="625" t="e">
        <f t="shared" si="2942"/>
        <v>#N/A</v>
      </c>
      <c r="AX951" s="625">
        <f>IF(AND('General price list'!$J951="F4",'General price list'!$AB951+0&gt;0),1,0)</f>
        <v>0</v>
      </c>
      <c r="AY951" s="625">
        <f t="shared" si="2943"/>
        <v>1</v>
      </c>
      <c r="AZ951" s="625">
        <f t="shared" si="2944"/>
        <v>0</v>
      </c>
    </row>
    <row r="952" spans="1:52" ht="15.75" customHeight="1">
      <c r="A952" s="639" t="str">
        <f>Kat.!C952</f>
        <v/>
      </c>
      <c r="B952" s="640">
        <f>IF(AND('General price list'!$J952="F4",$AI$1=FALSE),0,IF(AC952="SKLADEM",1,IF(AC952=$V$3,1,0)))</f>
        <v>0</v>
      </c>
      <c r="C952" s="641" t="s">
        <v>11648</v>
      </c>
      <c r="D952" s="642" t="s">
        <v>11671</v>
      </c>
      <c r="E952" s="643" t="s">
        <v>12701</v>
      </c>
      <c r="F952" s="771">
        <f>IFERROR(VLOOKUP(C952,[2]List1!$A:$D,3,FALSE),"NEUVEDENO!")</f>
        <v>1838</v>
      </c>
      <c r="G952" s="768">
        <f t="shared" si="2945"/>
        <v>1838</v>
      </c>
      <c r="H952" s="765">
        <f t="shared" si="2946"/>
        <v>78.075552327186685</v>
      </c>
      <c r="I952" s="644">
        <f>IFERROR(VLOOKUP(C952,[2]List1!$A:$D,4,FALSE),"NEUVEDENO!")</f>
        <v>9</v>
      </c>
      <c r="J952" s="733" t="s">
        <v>614</v>
      </c>
      <c r="K952" s="645" t="s">
        <v>20</v>
      </c>
      <c r="L952" s="645"/>
      <c r="M952" s="645" t="s">
        <v>114</v>
      </c>
      <c r="N952" s="645">
        <f>IFERROR(VLOOKUP(C952,[3]List1!$A:$D,4,FALSE),"N/A!")</f>
        <v>5.3792E-2</v>
      </c>
      <c r="O952" s="645">
        <f>IFERROR(VLOOKUP(C952,[3]List1!$A:$D,3,FALSE),"N/A!")</f>
        <v>12276</v>
      </c>
      <c r="P952" s="645">
        <f>IFERROR(VLOOKUP(C952,[3]List1!$A:$D,2,FALSE),"N/A!")</f>
        <v>19000</v>
      </c>
      <c r="Q952" s="645" t="s">
        <v>11236</v>
      </c>
      <c r="R952" s="645"/>
      <c r="S952" s="645"/>
      <c r="T952" s="645"/>
      <c r="U952" s="645">
        <v>170</v>
      </c>
      <c r="V952" s="645">
        <v>90</v>
      </c>
      <c r="W952" s="645" t="str">
        <f>IFERROR(IF(AND($AB952&gt;=0.1*$AA952,MOD($AB952,$AA952)&gt;=($AA952-(0.1*$AA952))),IF($W$17=$AF$1,"Zvažte možnost doobjednání ještě "&amp;Tabulka1[[#This Row],[VKPAL]]-MOD(AB952,AA952)&amp;" VK do plné palety.",VLOOKUP("Zvažte možnost doobjednání ještě ",Jazyky_ceník!A:Q,MATCH($W$17,Jazyky_ceník!$A$1:$Q$1,0),FALSE)&amp;Tabulka1[[#This Row],[VKPAL]]-MOD(AB952,AA952)&amp;VLOOKUP(" VK do plné palety.",Jazyky_ceník!A:Q,MATCH($W$17,Jazyky_ceník!$A$1:$Q$1,0),FALSE)),IFERROR(IF(AND(NOT(MOD($AB952,$AA952)=0),$AB952&gt;=0.9*$AA952,MOD($AB952,$AA952)&lt;=0.1*$AA952),IF($W$17=$AF$1,"Zvažte možnost optimalizace objednaného množství podle počtu VK na paletě ==&gt;",VLOOKUP("Zvažte možnost optimalizace objednaného množství podle počtu VK na paletě ==&gt;",Jazyky_ceník!A:Q,MATCH($W$17,Jazyky_ceník!$A$1:$Q$1,0),FALSE)),VLOOKUP('General price list'!$C952,Popisy!A:M,MATCH($W$17,Popisy!$A$7:$M$7,0),FALSE)),"---------------")),IFERROR(VLOOKUP('General price list'!$C952,Popisy!A:M,MATCH($W$17,Popisy!$A$7:$M$7,0),FALSE),"---------------"))</f>
        <v>100mm Lemon strobe</v>
      </c>
      <c r="X952" s="645" t="str">
        <f t="shared" si="2947"/>
        <v/>
      </c>
      <c r="Y952" s="645" t="str">
        <f t="shared" si="2948"/>
        <v/>
      </c>
      <c r="Z952" s="645" t="str">
        <f>HYPERLINK("https://www.klasekpyrotechnics.cz/rkd-s04-04")</f>
        <v>https://www.klasekpyrotechnics.cz/rkd-s04-04</v>
      </c>
      <c r="AA952" s="645">
        <f>IFERROR(IF(VLOOKUP(C952,[4]List1!$A:$D,4,FALSE)=0,"",VLOOKUP(C952,[4]List1!$A:$D,4,FALSE)),"")</f>
        <v>20</v>
      </c>
      <c r="AB952" s="646"/>
      <c r="AC952" s="647" t="str">
        <f>IFERROR(IF(VLOOKUP(C952,[1]List1!$A:$D,2,FALSE)="VYPRODÁNO",$V$9,IF(VLOOKUP(C952,[1]List1!$A:$D,2,FALSE)="DOCHÁZÍ",$V$3,VLOOKUP(C952,[1]List1!$A:$D,2,FALSE))),"OFFLINE!")</f>
        <v>SKLADEM</v>
      </c>
      <c r="AD952" s="647" t="str">
        <f ca="1">IF(AP952="NE",$V$10,IF(AC952=$V$3,IF(AQ952&lt;1,$V$8,$V$2&amp;" "&amp;AQ952&amp;" "&amp;$V$1),IF(AC952="SKLADEM",$V$6,IFERROR(IF(OR(AC952-TODAY()&gt;45,VLOOKUP(C952,[1]List1!$A:$E,4,FALSE)=0),AC952,DAY(AC952)&amp;"."&amp;MONTH(AC952)&amp;"."&amp;YEAR(AC952)&amp;" "&amp;$V$4&amp;VLOOKUP(C952,[1]List1!$A:$E,4,FALSE)&amp;" "&amp;$V$1),AC952))))</f>
        <v>SKLADEM</v>
      </c>
      <c r="AE952" s="645" t="str">
        <f t="shared" ca="1" si="2949"/>
        <v>SKLADEM</v>
      </c>
      <c r="AF952" s="648">
        <f t="shared" si="2950"/>
        <v>0</v>
      </c>
      <c r="AG952" s="649">
        <f t="shared" si="2951"/>
        <v>0</v>
      </c>
      <c r="AH952" s="650">
        <f t="shared" si="2952"/>
        <v>0</v>
      </c>
      <c r="AI952" s="645">
        <f t="shared" si="2953"/>
        <v>0</v>
      </c>
      <c r="AJ952" s="645">
        <f t="shared" si="2954"/>
        <v>0</v>
      </c>
      <c r="AK952" s="645" t="str">
        <f t="shared" si="2955"/>
        <v/>
      </c>
      <c r="AL952" s="645">
        <f t="shared" si="2956"/>
        <v>0</v>
      </c>
      <c r="AM952" s="645" t="str">
        <f t="shared" si="2957"/>
        <v/>
      </c>
      <c r="AN952" s="651">
        <f t="shared" si="2958"/>
        <v>0</v>
      </c>
      <c r="AO952" s="623"/>
      <c r="AP952" s="625" t="str">
        <f t="shared" si="2937"/>
        <v/>
      </c>
      <c r="AQ952" s="625" t="str">
        <f>IF(AC952=$V$3,IF(VLOOKUP(C952,[1]List1!$A:$E,5,FALSE)=0,1,VLOOKUP(C952,[1]List1!$A:$E,5,FALSE)),"")</f>
        <v/>
      </c>
      <c r="AR952" s="629" t="str">
        <f t="shared" si="2938"/>
        <v/>
      </c>
      <c r="AS952" s="630" t="str">
        <f t="shared" si="2939"/>
        <v/>
      </c>
      <c r="AT952" s="625" t="str">
        <f t="shared" si="2940"/>
        <v/>
      </c>
      <c r="AU952" s="625" t="e">
        <f t="shared" si="2941"/>
        <v>#N/A</v>
      </c>
      <c r="AV952" s="625" t="e">
        <f t="shared" si="2942"/>
        <v>#N/A</v>
      </c>
      <c r="AW952" s="631"/>
      <c r="AX952" s="631">
        <f>IF(AND('General price list'!$J952="F4",'General price list'!$AB952+0&gt;0),1,0)</f>
        <v>0</v>
      </c>
      <c r="AY952" s="631">
        <f t="shared" si="2943"/>
        <v>1</v>
      </c>
      <c r="AZ952" s="631">
        <f t="shared" si="2944"/>
        <v>0</v>
      </c>
    </row>
    <row r="953" spans="1:52" ht="15" customHeight="1">
      <c r="A953" s="621" t="str">
        <f>Kat.!C953</f>
        <v/>
      </c>
      <c r="B953" s="566">
        <f>IF(AND('General price list'!$J953="F4",$AI$1=FALSE),0,IF(AC953="SKLADEM",1,IF(AC953=$V$3,1,0)))</f>
        <v>0</v>
      </c>
      <c r="C953" s="567" t="s">
        <v>11649</v>
      </c>
      <c r="D953" s="568" t="s">
        <v>11672</v>
      </c>
      <c r="E953" s="763" t="s">
        <v>12681</v>
      </c>
      <c r="F953" s="772">
        <f>IFERROR(VLOOKUP(C953,[2]List1!$A:$D,3,FALSE),"NEUVEDENO!")</f>
        <v>855</v>
      </c>
      <c r="G953" s="769">
        <f t="shared" si="2945"/>
        <v>855</v>
      </c>
      <c r="H953" s="766">
        <f t="shared" si="2946"/>
        <v>36.319149749589023</v>
      </c>
      <c r="I953" s="764">
        <f>IFERROR(VLOOKUP(C953,[2]List1!$A:$D,4,FALSE),"NEUVEDENO!")</f>
        <v>24</v>
      </c>
      <c r="J953" s="732" t="s">
        <v>614</v>
      </c>
      <c r="K953" s="569" t="s">
        <v>20</v>
      </c>
      <c r="L953" s="569"/>
      <c r="M953" s="569" t="s">
        <v>114</v>
      </c>
      <c r="N953" s="569">
        <f>IFERROR(VLOOKUP(C953,[3]List1!$A:$D,4,FALSE),"N/A!")</f>
        <v>6.4599999999999991E-2</v>
      </c>
      <c r="O953" s="569">
        <f>IFERROR(VLOOKUP(C953,[3]List1!$A:$D,3,FALSE),"N/A!")</f>
        <v>10560</v>
      </c>
      <c r="P953" s="569">
        <f>IFERROR(VLOOKUP(C953,[3]List1!$A:$D,2,FALSE),"N/A!")</f>
        <v>24000</v>
      </c>
      <c r="Q953" s="569" t="s">
        <v>11236</v>
      </c>
      <c r="R953" s="569"/>
      <c r="S953" s="569"/>
      <c r="T953" s="569"/>
      <c r="U953" s="569">
        <v>210</v>
      </c>
      <c r="V953" s="569">
        <v>105</v>
      </c>
      <c r="W953" s="569" t="str">
        <f>IFERROR(IF(AND($AB953&gt;=0.1*$AA953,MOD($AB953,$AA953)&gt;=($AA953-(0.1*$AA953))),IF($W$17=$AF$1,"Zvažte možnost doobjednání ještě "&amp;Tabulka1[[#This Row],[VKPAL]]-MOD(AB953,AA953)&amp;" VK do plné palety.",VLOOKUP("Zvažte možnost doobjednání ještě ",Jazyky_ceník!A:Q,MATCH($W$17,Jazyky_ceník!$A$1:$Q$1,0),FALSE)&amp;Tabulka1[[#This Row],[VKPAL]]-MOD(AB953,AA953)&amp;VLOOKUP(" VK do plné palety.",Jazyky_ceník!A:Q,MATCH($W$17,Jazyky_ceník!$A$1:$Q$1,0),FALSE)),IFERROR(IF(AND(NOT(MOD($AB953,$AA953)=0),$AB953&gt;=0.9*$AA953,MOD($AB953,$AA953)&lt;=0.1*$AA953),IF($W$17=$AF$1,"Zvažte možnost optimalizace objednaného množství podle počtu VK na paletě ==&gt;",VLOOKUP("Zvažte možnost optimalizace objednaného množství podle počtu VK na paletě ==&gt;",Jazyky_ceník!A:Q,MATCH($W$17,Jazyky_ceník!$A$1:$Q$1,0),FALSE)),VLOOKUP('General price list'!$C953,Popisy!A:M,MATCH($W$17,Popisy!$A$7:$M$7,0),FALSE)),"---------------")),IFERROR(VLOOKUP('General price list'!$C953,Popisy!A:M,MATCH($W$17,Popisy!$A$7:$M$7,0),FALSE),"---------------"))</f>
        <v>125mm Gold glittering willow waterfall</v>
      </c>
      <c r="X953" s="569" t="str">
        <f t="shared" si="2947"/>
        <v/>
      </c>
      <c r="Y953" s="569" t="str">
        <f t="shared" si="2948"/>
        <v/>
      </c>
      <c r="Z953" s="569" t="str">
        <f>HYPERLINK("https://www.klasekpyrotechnics.cz/rkd-s05-01")</f>
        <v>https://www.klasekpyrotechnics.cz/rkd-s05-01</v>
      </c>
      <c r="AA953" s="569">
        <f>IFERROR(IF(VLOOKUP(C953,[4]List1!$A:$D,4,FALSE)=0,"",VLOOKUP(C953,[4]List1!$A:$D,4,FALSE)),"")</f>
        <v>20</v>
      </c>
      <c r="AB953" s="565"/>
      <c r="AC953" s="570" t="str">
        <f>IFERROR(IF(VLOOKUP(C953,[1]List1!$A:$D,2,FALSE)="VYPRODÁNO",$V$9,IF(VLOOKUP(C953,[1]List1!$A:$D,2,FALSE)="DOCHÁZÍ",$V$3,VLOOKUP(C953,[1]List1!$A:$D,2,FALSE))),"OFFLINE!")</f>
        <v>SKLADEM</v>
      </c>
      <c r="AD953" s="570" t="str">
        <f ca="1">IF(AP953="NE",$V$10,IF(AC953=$V$3,IF(AQ953&lt;1,$V$8,$V$2&amp;" "&amp;AQ953&amp;" "&amp;$V$1),IF(AC953="SKLADEM",$V$6,IFERROR(IF(OR(AC953-TODAY()&gt;45,VLOOKUP(C953,[1]List1!$A:$E,4,FALSE)=0),AC953,DAY(AC953)&amp;"."&amp;MONTH(AC953)&amp;"."&amp;YEAR(AC953)&amp;" "&amp;$V$4&amp;VLOOKUP(C953,[1]List1!$A:$E,4,FALSE)&amp;" "&amp;$V$1),AC953))))</f>
        <v>SKLADEM</v>
      </c>
      <c r="AE953" s="581" t="str">
        <f t="shared" ca="1" si="2949"/>
        <v>SKLADEM</v>
      </c>
      <c r="AF953" s="584">
        <f t="shared" si="2950"/>
        <v>0</v>
      </c>
      <c r="AG953" s="585">
        <f t="shared" si="2951"/>
        <v>0</v>
      </c>
      <c r="AH953" s="583">
        <f t="shared" si="2952"/>
        <v>0</v>
      </c>
      <c r="AI953" s="582">
        <f t="shared" si="2953"/>
        <v>0</v>
      </c>
      <c r="AJ953" s="569">
        <f t="shared" si="2954"/>
        <v>0</v>
      </c>
      <c r="AK953" s="569" t="str">
        <f t="shared" si="2955"/>
        <v/>
      </c>
      <c r="AL953" s="569">
        <f t="shared" si="2956"/>
        <v>0</v>
      </c>
      <c r="AM953" s="569" t="str">
        <f t="shared" si="2957"/>
        <v/>
      </c>
      <c r="AN953" s="581">
        <f t="shared" si="2958"/>
        <v>0</v>
      </c>
      <c r="AO953" s="623"/>
      <c r="AP953" s="632" t="str">
        <f t="shared" si="2937"/>
        <v/>
      </c>
      <c r="AQ953" s="633" t="str">
        <f>IF(AC953=$V$3,IF(VLOOKUP(C953,[1]List1!$A:$E,5,FALSE)=0,1,VLOOKUP(C953,[1]List1!$A:$E,5,FALSE)),"")</f>
        <v/>
      </c>
      <c r="AR953" s="625" t="str">
        <f t="shared" si="2938"/>
        <v/>
      </c>
      <c r="AS953" s="634" t="str">
        <f t="shared" si="2939"/>
        <v/>
      </c>
      <c r="AT953" s="625" t="str">
        <f t="shared" si="2940"/>
        <v/>
      </c>
      <c r="AU953" s="638" t="e">
        <f t="shared" si="2941"/>
        <v>#N/A</v>
      </c>
      <c r="AV953" s="625" t="e">
        <f t="shared" si="2942"/>
        <v>#N/A</v>
      </c>
      <c r="AX953" s="625">
        <f>IF(AND('General price list'!$J953="F4",'General price list'!$AB953+0&gt;0),1,0)</f>
        <v>0</v>
      </c>
      <c r="AY953" s="625">
        <f t="shared" si="2943"/>
        <v>1</v>
      </c>
      <c r="AZ953" s="625">
        <f t="shared" si="2944"/>
        <v>0</v>
      </c>
    </row>
    <row r="954" spans="1:52" ht="15.75" customHeight="1">
      <c r="A954" s="639" t="str">
        <f>Kat.!C954</f>
        <v/>
      </c>
      <c r="B954" s="640">
        <f>IF(AND('General price list'!$J954="F4",$AI$1=FALSE),0,IF(AC954="SKLADEM",1,IF(AC954=$V$3,1,0)))</f>
        <v>0</v>
      </c>
      <c r="C954" s="641" t="s">
        <v>11650</v>
      </c>
      <c r="D954" s="642" t="s">
        <v>11673</v>
      </c>
      <c r="E954" s="643" t="s">
        <v>12681</v>
      </c>
      <c r="F954" s="771">
        <f>IFERROR(VLOOKUP(C954,[2]List1!$A:$D,3,FALSE),"NEUVEDENO!")</f>
        <v>745</v>
      </c>
      <c r="G954" s="768">
        <f t="shared" si="2945"/>
        <v>745</v>
      </c>
      <c r="H954" s="765">
        <f t="shared" si="2946"/>
        <v>31.64651060051909</v>
      </c>
      <c r="I954" s="644">
        <f>IFERROR(VLOOKUP(C954,[2]List1!$A:$D,4,FALSE),"NEUVEDENO!")</f>
        <v>24</v>
      </c>
      <c r="J954" s="733" t="s">
        <v>614</v>
      </c>
      <c r="K954" s="645" t="s">
        <v>20</v>
      </c>
      <c r="L954" s="645"/>
      <c r="M954" s="645" t="s">
        <v>114</v>
      </c>
      <c r="N954" s="645">
        <f>IFERROR(VLOOKUP(C954,[3]List1!$A:$D,4,FALSE),"N/A!")</f>
        <v>6.4599999999999991E-2</v>
      </c>
      <c r="O954" s="645">
        <f>IFERROR(VLOOKUP(C954,[3]List1!$A:$D,3,FALSE),"N/A!")</f>
        <v>15480</v>
      </c>
      <c r="P954" s="645">
        <f>IFERROR(VLOOKUP(C954,[3]List1!$A:$D,2,FALSE),"N/A!")</f>
        <v>24000</v>
      </c>
      <c r="Q954" s="645" t="s">
        <v>11236</v>
      </c>
      <c r="R954" s="645"/>
      <c r="S954" s="645"/>
      <c r="T954" s="645"/>
      <c r="U954" s="645">
        <v>210</v>
      </c>
      <c r="V954" s="645">
        <v>105</v>
      </c>
      <c r="W954" s="645" t="str">
        <f>IFERROR(IF(AND($AB954&gt;=0.1*$AA954,MOD($AB954,$AA954)&gt;=($AA954-(0.1*$AA954))),IF($W$17=$AF$1,"Zvažte možnost doobjednání ještě "&amp;Tabulka1[[#This Row],[VKPAL]]-MOD(AB954,AA954)&amp;" VK do plné palety.",VLOOKUP("Zvažte možnost doobjednání ještě ",Jazyky_ceník!A:Q,MATCH($W$17,Jazyky_ceník!$A$1:$Q$1,0),FALSE)&amp;Tabulka1[[#This Row],[VKPAL]]-MOD(AB954,AA954)&amp;VLOOKUP(" VK do plné palety.",Jazyky_ceník!A:Q,MATCH($W$17,Jazyky_ceník!$A$1:$Q$1,0),FALSE)),IFERROR(IF(AND(NOT(MOD($AB954,$AA954)=0),$AB954&gt;=0.9*$AA954,MOD($AB954,$AA954)&lt;=0.1*$AA954),IF($W$17=$AF$1,"Zvažte možnost optimalizace objednaného množství podle počtu VK na paletě ==&gt;",VLOOKUP("Zvažte možnost optimalizace objednaného množství podle počtu VK na paletě ==&gt;",Jazyky_ceník!A:Q,MATCH($W$17,Jazyky_ceník!$A$1:$Q$1,0),FALSE)),VLOOKUP('General price list'!$C954,Popisy!A:M,MATCH($W$17,Popisy!$A$7:$M$7,0),FALSE)),"---------------")),IFERROR(VLOOKUP('General price list'!$C954,Popisy!A:M,MATCH($W$17,Popisy!$A$7:$M$7,0),FALSE),"---------------"))</f>
        <v>125mm Red glittering willow</v>
      </c>
      <c r="X954" s="645" t="str">
        <f t="shared" si="2947"/>
        <v/>
      </c>
      <c r="Y954" s="645" t="str">
        <f t="shared" si="2948"/>
        <v/>
      </c>
      <c r="Z954" s="645" t="str">
        <f>HYPERLINK("https://www.klasekpyrotechnics.cz/rkd-s05-02")</f>
        <v>https://www.klasekpyrotechnics.cz/rkd-s05-02</v>
      </c>
      <c r="AA954" s="645">
        <f>IFERROR(IF(VLOOKUP(C954,[4]List1!$A:$D,4,FALSE)=0,"",VLOOKUP(C954,[4]List1!$A:$D,4,FALSE)),"")</f>
        <v>20</v>
      </c>
      <c r="AB954" s="646"/>
      <c r="AC954" s="647" t="str">
        <f>IFERROR(IF(VLOOKUP(C954,[1]List1!$A:$D,2,FALSE)="VYPRODÁNO",$V$9,IF(VLOOKUP(C954,[1]List1!$A:$D,2,FALSE)="DOCHÁZÍ",$V$3,VLOOKUP(C954,[1]List1!$A:$D,2,FALSE))),"OFFLINE!")</f>
        <v>SKLADEM</v>
      </c>
      <c r="AD954" s="647" t="str">
        <f ca="1">IF(AP954="NE",$V$10,IF(AC954=$V$3,IF(AQ954&lt;1,$V$8,$V$2&amp;" "&amp;AQ954&amp;" "&amp;$V$1),IF(AC954="SKLADEM",$V$6,IFERROR(IF(OR(AC954-TODAY()&gt;45,VLOOKUP(C954,[1]List1!$A:$E,4,FALSE)=0),AC954,DAY(AC954)&amp;"."&amp;MONTH(AC954)&amp;"."&amp;YEAR(AC954)&amp;" "&amp;$V$4&amp;VLOOKUP(C954,[1]List1!$A:$E,4,FALSE)&amp;" "&amp;$V$1),AC954))))</f>
        <v>SKLADEM</v>
      </c>
      <c r="AE954" s="645" t="str">
        <f t="shared" ca="1" si="2949"/>
        <v>SKLADEM</v>
      </c>
      <c r="AF954" s="648">
        <f t="shared" si="2950"/>
        <v>0</v>
      </c>
      <c r="AG954" s="649">
        <f t="shared" si="2951"/>
        <v>0</v>
      </c>
      <c r="AH954" s="650">
        <f t="shared" si="2952"/>
        <v>0</v>
      </c>
      <c r="AI954" s="645">
        <f t="shared" si="2953"/>
        <v>0</v>
      </c>
      <c r="AJ954" s="645">
        <f t="shared" si="2954"/>
        <v>0</v>
      </c>
      <c r="AK954" s="645" t="str">
        <f t="shared" si="2955"/>
        <v/>
      </c>
      <c r="AL954" s="645">
        <f t="shared" si="2956"/>
        <v>0</v>
      </c>
      <c r="AM954" s="645" t="str">
        <f t="shared" si="2957"/>
        <v/>
      </c>
      <c r="AN954" s="651">
        <f t="shared" si="2958"/>
        <v>0</v>
      </c>
      <c r="AO954" s="623"/>
      <c r="AP954" s="625" t="str">
        <f t="shared" si="2937"/>
        <v/>
      </c>
      <c r="AQ954" s="625" t="str">
        <f>IF(AC954=$V$3,IF(VLOOKUP(C954,[1]List1!$A:$E,5,FALSE)=0,1,VLOOKUP(C954,[1]List1!$A:$E,5,FALSE)),"")</f>
        <v/>
      </c>
      <c r="AR954" s="629" t="str">
        <f t="shared" si="2938"/>
        <v/>
      </c>
      <c r="AS954" s="630" t="str">
        <f t="shared" si="2939"/>
        <v/>
      </c>
      <c r="AT954" s="625" t="str">
        <f t="shared" si="2940"/>
        <v/>
      </c>
      <c r="AU954" s="625" t="e">
        <f t="shared" si="2941"/>
        <v>#N/A</v>
      </c>
      <c r="AV954" s="625" t="e">
        <f t="shared" si="2942"/>
        <v>#N/A</v>
      </c>
      <c r="AW954" s="631"/>
      <c r="AX954" s="631">
        <f>IF(AND('General price list'!$J954="F4",'General price list'!$AB954+0&gt;0),1,0)</f>
        <v>0</v>
      </c>
      <c r="AY954" s="631">
        <f t="shared" si="2943"/>
        <v>1</v>
      </c>
      <c r="AZ954" s="631">
        <f t="shared" si="2944"/>
        <v>0</v>
      </c>
    </row>
    <row r="955" spans="1:52" ht="15" customHeight="1">
      <c r="A955" s="621" t="str">
        <f>Kat.!C955</f>
        <v/>
      </c>
      <c r="B955" s="566">
        <f>IF(AND('General price list'!$J955="F4",$AI$1=FALSE),0,IF(AC955="SKLADEM",1,IF(AC955=$V$3,1,0)))</f>
        <v>0</v>
      </c>
      <c r="C955" s="567" t="s">
        <v>11651</v>
      </c>
      <c r="D955" s="568" t="s">
        <v>11674</v>
      </c>
      <c r="E955" s="763" t="s">
        <v>12681</v>
      </c>
      <c r="F955" s="772">
        <f>IFERROR(VLOOKUP(C955,[2]List1!$A:$D,3,FALSE),"NEUVEDENO!")</f>
        <v>745</v>
      </c>
      <c r="G955" s="769">
        <f t="shared" si="2945"/>
        <v>745</v>
      </c>
      <c r="H955" s="766">
        <f t="shared" si="2946"/>
        <v>31.64651060051909</v>
      </c>
      <c r="I955" s="764">
        <f>IFERROR(VLOOKUP(C955,[2]List1!$A:$D,4,FALSE),"NEUVEDENO!")</f>
        <v>24</v>
      </c>
      <c r="J955" s="732" t="s">
        <v>614</v>
      </c>
      <c r="K955" s="569" t="s">
        <v>20</v>
      </c>
      <c r="L955" s="569"/>
      <c r="M955" s="569" t="s">
        <v>114</v>
      </c>
      <c r="N955" s="569">
        <f>IFERROR(VLOOKUP(C955,[3]List1!$A:$D,4,FALSE),"N/A!")</f>
        <v>6.4599999999999991E-2</v>
      </c>
      <c r="O955" s="569">
        <f>IFERROR(VLOOKUP(C955,[3]List1!$A:$D,3,FALSE),"N/A!")</f>
        <v>15120</v>
      </c>
      <c r="P955" s="569">
        <f>IFERROR(VLOOKUP(C955,[3]List1!$A:$D,2,FALSE),"N/A!")</f>
        <v>24000</v>
      </c>
      <c r="Q955" s="569" t="s">
        <v>11236</v>
      </c>
      <c r="R955" s="569"/>
      <c r="S955" s="569"/>
      <c r="T955" s="569"/>
      <c r="U955" s="569">
        <v>210</v>
      </c>
      <c r="V955" s="569">
        <v>105</v>
      </c>
      <c r="W955" s="569" t="str">
        <f>IFERROR(IF(AND($AB955&gt;=0.1*$AA955,MOD($AB955,$AA955)&gt;=($AA955-(0.1*$AA955))),IF($W$17=$AF$1,"Zvažte možnost doobjednání ještě "&amp;Tabulka1[[#This Row],[VKPAL]]-MOD(AB955,AA955)&amp;" VK do plné palety.",VLOOKUP("Zvažte možnost doobjednání ještě ",Jazyky_ceník!A:Q,MATCH($W$17,Jazyky_ceník!$A$1:$Q$1,0),FALSE)&amp;Tabulka1[[#This Row],[VKPAL]]-MOD(AB955,AA955)&amp;VLOOKUP(" VK do plné palety.",Jazyky_ceník!A:Q,MATCH($W$17,Jazyky_ceník!$A$1:$Q$1,0),FALSE)),IFERROR(IF(AND(NOT(MOD($AB955,$AA955)=0),$AB955&gt;=0.9*$AA955,MOD($AB955,$AA955)&lt;=0.1*$AA955),IF($W$17=$AF$1,"Zvažte možnost optimalizace objednaného množství podle počtu VK na paletě ==&gt;",VLOOKUP("Zvažte možnost optimalizace objednaného množství podle počtu VK na paletě ==&gt;",Jazyky_ceník!A:Q,MATCH($W$17,Jazyky_ceník!$A$1:$Q$1,0),FALSE)),VLOOKUP('General price list'!$C955,Popisy!A:M,MATCH($W$17,Popisy!$A$7:$M$7,0),FALSE)),"---------------")),IFERROR(VLOOKUP('General price list'!$C955,Popisy!A:M,MATCH($W$17,Popisy!$A$7:$M$7,0),FALSE),"---------------"))</f>
        <v>125mm Nishiki Willow</v>
      </c>
      <c r="X955" s="569" t="str">
        <f t="shared" si="2947"/>
        <v/>
      </c>
      <c r="Y955" s="569" t="str">
        <f t="shared" si="2948"/>
        <v/>
      </c>
      <c r="Z955" s="569" t="str">
        <f>HYPERLINK("https://www.klasekpyrotechnics.cz/rkd-s05-03")</f>
        <v>https://www.klasekpyrotechnics.cz/rkd-s05-03</v>
      </c>
      <c r="AA955" s="569">
        <f>IFERROR(IF(VLOOKUP(C955,[4]List1!$A:$D,4,FALSE)=0,"",VLOOKUP(C955,[4]List1!$A:$D,4,FALSE)),"")</f>
        <v>20</v>
      </c>
      <c r="AB955" s="565"/>
      <c r="AC955" s="570" t="str">
        <f>IFERROR(IF(VLOOKUP(C955,[1]List1!$A:$D,2,FALSE)="VYPRODÁNO",$V$9,IF(VLOOKUP(C955,[1]List1!$A:$D,2,FALSE)="DOCHÁZÍ",$V$3,VLOOKUP(C955,[1]List1!$A:$D,2,FALSE))),"OFFLINE!")</f>
        <v>SKLADEM</v>
      </c>
      <c r="AD955" s="570" t="str">
        <f ca="1">IF(AP955="NE",$V$10,IF(AC955=$V$3,IF(AQ955&lt;1,$V$8,$V$2&amp;" "&amp;AQ955&amp;" "&amp;$V$1),IF(AC955="SKLADEM",$V$6,IFERROR(IF(OR(AC955-TODAY()&gt;45,VLOOKUP(C955,[1]List1!$A:$E,4,FALSE)=0),AC955,DAY(AC955)&amp;"."&amp;MONTH(AC955)&amp;"."&amp;YEAR(AC955)&amp;" "&amp;$V$4&amp;VLOOKUP(C955,[1]List1!$A:$E,4,FALSE)&amp;" "&amp;$V$1),AC955))))</f>
        <v>SKLADEM</v>
      </c>
      <c r="AE955" s="581" t="str">
        <f t="shared" ca="1" si="2949"/>
        <v>SKLADEM</v>
      </c>
      <c r="AF955" s="584">
        <f t="shared" si="2950"/>
        <v>0</v>
      </c>
      <c r="AG955" s="585">
        <f t="shared" si="2951"/>
        <v>0</v>
      </c>
      <c r="AH955" s="583">
        <f t="shared" si="2952"/>
        <v>0</v>
      </c>
      <c r="AI955" s="582">
        <f t="shared" si="2953"/>
        <v>0</v>
      </c>
      <c r="AJ955" s="569">
        <f t="shared" si="2954"/>
        <v>0</v>
      </c>
      <c r="AK955" s="569" t="str">
        <f t="shared" si="2955"/>
        <v/>
      </c>
      <c r="AL955" s="569">
        <f t="shared" si="2956"/>
        <v>0</v>
      </c>
      <c r="AM955" s="569" t="str">
        <f t="shared" si="2957"/>
        <v/>
      </c>
      <c r="AN955" s="581">
        <f t="shared" si="2958"/>
        <v>0</v>
      </c>
      <c r="AO955" s="623"/>
      <c r="AP955" s="632" t="str">
        <f t="shared" si="2937"/>
        <v/>
      </c>
      <c r="AQ955" s="633" t="str">
        <f>IF(AC955=$V$3,IF(VLOOKUP(C955,[1]List1!$A:$E,5,FALSE)=0,1,VLOOKUP(C955,[1]List1!$A:$E,5,FALSE)),"")</f>
        <v/>
      </c>
      <c r="AR955" s="625" t="str">
        <f t="shared" si="2938"/>
        <v/>
      </c>
      <c r="AS955" s="634" t="str">
        <f t="shared" si="2939"/>
        <v/>
      </c>
      <c r="AT955" s="625" t="str">
        <f t="shared" si="2940"/>
        <v/>
      </c>
      <c r="AU955" s="638" t="e">
        <f t="shared" si="2941"/>
        <v>#N/A</v>
      </c>
      <c r="AV955" s="625" t="e">
        <f t="shared" si="2942"/>
        <v>#N/A</v>
      </c>
      <c r="AX955" s="625">
        <f>IF(AND('General price list'!$J955="F4",'General price list'!$AB955+0&gt;0),1,0)</f>
        <v>0</v>
      </c>
      <c r="AY955" s="625">
        <f t="shared" si="2943"/>
        <v>1</v>
      </c>
      <c r="AZ955" s="625">
        <f t="shared" si="2944"/>
        <v>0</v>
      </c>
    </row>
    <row r="956" spans="1:52" ht="15" customHeight="1">
      <c r="A956" s="639" t="str">
        <f>Kat.!C956</f>
        <v/>
      </c>
      <c r="B956" s="640">
        <f>IF(AND('General price list'!$J956="F4",$AI$1=FALSE),0,IF(AC956="SKLADEM",1,IF(AC956=$V$3,1,0)))</f>
        <v>0</v>
      </c>
      <c r="C956" s="641" t="s">
        <v>11652</v>
      </c>
      <c r="D956" s="642" t="s">
        <v>12614</v>
      </c>
      <c r="E956" s="643" t="s">
        <v>12681</v>
      </c>
      <c r="F956" s="771">
        <f>IFERROR(VLOOKUP(C956,[2]List1!$A:$D,3,FALSE),"NEUVEDENO!")</f>
        <v>855</v>
      </c>
      <c r="G956" s="768">
        <f t="shared" si="2945"/>
        <v>855</v>
      </c>
      <c r="H956" s="765">
        <f t="shared" si="2946"/>
        <v>36.319149749589023</v>
      </c>
      <c r="I956" s="644">
        <f>IFERROR(VLOOKUP(C956,[2]List1!$A:$D,4,FALSE),"NEUVEDENO!")</f>
        <v>24</v>
      </c>
      <c r="J956" s="733" t="s">
        <v>614</v>
      </c>
      <c r="K956" s="645" t="s">
        <v>20</v>
      </c>
      <c r="L956" s="645"/>
      <c r="M956" s="645" t="s">
        <v>114</v>
      </c>
      <c r="N956" s="645">
        <f>IFERROR(VLOOKUP(C956,[3]List1!$A:$D,4,FALSE),"N/A!")</f>
        <v>6.4599999999999991E-2</v>
      </c>
      <c r="O956" s="645">
        <f>IFERROR(VLOOKUP(C956,[3]List1!$A:$D,3,FALSE),"N/A!")</f>
        <v>14640</v>
      </c>
      <c r="P956" s="645">
        <f>IFERROR(VLOOKUP(C956,[3]List1!$A:$D,2,FALSE),"N/A!")</f>
        <v>24000</v>
      </c>
      <c r="Q956" s="645" t="s">
        <v>11236</v>
      </c>
      <c r="R956" s="645"/>
      <c r="S956" s="645"/>
      <c r="T956" s="645"/>
      <c r="U956" s="645">
        <v>210</v>
      </c>
      <c r="V956" s="645">
        <v>105</v>
      </c>
      <c r="W956" s="645" t="str">
        <f>IFERROR(IF(AND($AB956&gt;=0.1*$AA956,MOD($AB956,$AA956)&gt;=($AA956-(0.1*$AA956))),IF($W$17=$AF$1,"Zvažte možnost doobjednání ještě "&amp;Tabulka1[[#This Row],[VKPAL]]-MOD(AB956,AA956)&amp;" VK do plné palety.",VLOOKUP("Zvažte možnost doobjednání ještě ",Jazyky_ceník!A:Q,MATCH($W$17,Jazyky_ceník!$A$1:$Q$1,0),FALSE)&amp;Tabulka1[[#This Row],[VKPAL]]-MOD(AB956,AA956)&amp;VLOOKUP(" VK do plné palety.",Jazyky_ceník!A:Q,MATCH($W$17,Jazyky_ceník!$A$1:$Q$1,0),FALSE)),IFERROR(IF(AND(NOT(MOD($AB956,$AA956)=0),$AB956&gt;=0.9*$AA956,MOD($AB956,$AA956)&lt;=0.1*$AA956),IF($W$17=$AF$1,"Zvažte možnost optimalizace objednaného množství podle počtu VK na paletě ==&gt;",VLOOKUP("Zvažte možnost optimalizace objednaného množství podle počtu VK na paletě ==&gt;",Jazyky_ceník!A:Q,MATCH($W$17,Jazyky_ceník!$A$1:$Q$1,0),FALSE)),VLOOKUP('General price list'!$C956,Popisy!A:M,MATCH($W$17,Popisy!$A$7:$M$7,0),FALSE)),"---------------")),IFERROR(VLOOKUP('General price list'!$C956,Popisy!A:M,MATCH($W$17,Popisy!$A$7:$M$7,0),FALSE),"---------------"))</f>
        <v>125mm Gold willow to red  wandering star</v>
      </c>
      <c r="X956" s="645" t="str">
        <f t="shared" si="2947"/>
        <v/>
      </c>
      <c r="Y956" s="645" t="str">
        <f t="shared" si="2948"/>
        <v/>
      </c>
      <c r="Z956" s="645" t="str">
        <f>HYPERLINK("https://www.klasekpyrotechnics.cz/rkd-s05-04")</f>
        <v>https://www.klasekpyrotechnics.cz/rkd-s05-04</v>
      </c>
      <c r="AA956" s="645">
        <f>IFERROR(IF(VLOOKUP(C956,[4]List1!$A:$D,4,FALSE)=0,"",VLOOKUP(C956,[4]List1!$A:$D,4,FALSE)),"")</f>
        <v>20</v>
      </c>
      <c r="AB956" s="646"/>
      <c r="AC956" s="647" t="str">
        <f>IFERROR(IF(VLOOKUP(C956,[1]List1!$A:$D,2,FALSE)="VYPRODÁNO",$V$9,IF(VLOOKUP(C956,[1]List1!$A:$D,2,FALSE)="DOCHÁZÍ",$V$3,VLOOKUP(C956,[1]List1!$A:$D,2,FALSE))),"OFFLINE!")</f>
        <v>SKLADEM</v>
      </c>
      <c r="AD956" s="647" t="str">
        <f ca="1">IF(AP956="NE",$V$10,IF(AC956=$V$3,IF(AQ956&lt;1,$V$8,$V$2&amp;" "&amp;AQ956&amp;" "&amp;$V$1),IF(AC956="SKLADEM",$V$6,IFERROR(IF(OR(AC956-TODAY()&gt;45,VLOOKUP(C956,[1]List1!$A:$E,4,FALSE)=0),AC956,DAY(AC956)&amp;"."&amp;MONTH(AC956)&amp;"."&amp;YEAR(AC956)&amp;" "&amp;$V$4&amp;VLOOKUP(C956,[1]List1!$A:$E,4,FALSE)&amp;" "&amp;$V$1),AC956))))</f>
        <v>SKLADEM</v>
      </c>
      <c r="AE956" s="645" t="str">
        <f t="shared" ca="1" si="2949"/>
        <v>SKLADEM</v>
      </c>
      <c r="AF956" s="648">
        <f t="shared" si="2950"/>
        <v>0</v>
      </c>
      <c r="AG956" s="649">
        <f t="shared" si="2951"/>
        <v>0</v>
      </c>
      <c r="AH956" s="650">
        <f t="shared" si="2952"/>
        <v>0</v>
      </c>
      <c r="AI956" s="645">
        <f t="shared" si="2953"/>
        <v>0</v>
      </c>
      <c r="AJ956" s="645">
        <f t="shared" si="2954"/>
        <v>0</v>
      </c>
      <c r="AK956" s="645" t="str">
        <f t="shared" si="2955"/>
        <v/>
      </c>
      <c r="AL956" s="645">
        <f t="shared" si="2956"/>
        <v>0</v>
      </c>
      <c r="AM956" s="645" t="str">
        <f t="shared" si="2957"/>
        <v/>
      </c>
      <c r="AN956" s="651">
        <f t="shared" si="2958"/>
        <v>0</v>
      </c>
      <c r="AO956" s="623"/>
      <c r="AP956" s="632" t="str">
        <f t="shared" si="2937"/>
        <v/>
      </c>
      <c r="AQ956" s="633" t="str">
        <f>IF(AC956=$V$3,IF(VLOOKUP(C956,[1]List1!$A:$E,5,FALSE)=0,1,VLOOKUP(C956,[1]List1!$A:$E,5,FALSE)),"")</f>
        <v/>
      </c>
      <c r="AR956" s="625" t="str">
        <f t="shared" si="2938"/>
        <v/>
      </c>
      <c r="AS956" s="634" t="str">
        <f t="shared" si="2939"/>
        <v/>
      </c>
      <c r="AT956" s="625" t="str">
        <f t="shared" si="2940"/>
        <v/>
      </c>
      <c r="AU956" s="638" t="e">
        <f t="shared" si="2941"/>
        <v>#N/A</v>
      </c>
      <c r="AV956" s="625" t="e">
        <f t="shared" si="2942"/>
        <v>#N/A</v>
      </c>
      <c r="AX956" s="625">
        <f>IF(AND('General price list'!$J956="F4",'General price list'!$AB956+0&gt;0),1,0)</f>
        <v>0</v>
      </c>
      <c r="AY956" s="625">
        <f t="shared" si="2943"/>
        <v>1</v>
      </c>
      <c r="AZ956" s="625">
        <f t="shared" si="2944"/>
        <v>0</v>
      </c>
    </row>
    <row r="957" spans="1:52" ht="15" customHeight="1">
      <c r="A957" s="621" t="str">
        <f>Kat.!C957</f>
        <v/>
      </c>
      <c r="B957" s="566">
        <f>IF(AND('General price list'!$J957="F4",$AI$1=FALSE),0,IF(AC957="SKLADEM",1,IF(AC957=$V$3,1,0)))</f>
        <v>0</v>
      </c>
      <c r="C957" s="567" t="s">
        <v>11653</v>
      </c>
      <c r="D957" s="568" t="s">
        <v>11676</v>
      </c>
      <c r="E957" s="763" t="s">
        <v>12681</v>
      </c>
      <c r="F957" s="772">
        <f>IFERROR(VLOOKUP(C957,[2]List1!$A:$D,3,FALSE),"NEUVEDENO!")</f>
        <v>690</v>
      </c>
      <c r="G957" s="769">
        <f t="shared" si="2945"/>
        <v>690</v>
      </c>
      <c r="H957" s="766">
        <f t="shared" si="2946"/>
        <v>29.310191025984121</v>
      </c>
      <c r="I957" s="764">
        <f>IFERROR(VLOOKUP(C957,[2]List1!$A:$D,4,FALSE),"NEUVEDENO!")</f>
        <v>24</v>
      </c>
      <c r="J957" s="732" t="s">
        <v>614</v>
      </c>
      <c r="K957" s="569" t="s">
        <v>20</v>
      </c>
      <c r="L957" s="569"/>
      <c r="M957" s="569" t="s">
        <v>114</v>
      </c>
      <c r="N957" s="569">
        <f>IFERROR(VLOOKUP(C957,[3]List1!$A:$D,4,FALSE),"N/A!")</f>
        <v>6.4599999999999991E-2</v>
      </c>
      <c r="O957" s="569">
        <f>IFERROR(VLOOKUP(C957,[3]List1!$A:$D,3,FALSE),"N/A!")</f>
        <v>15360</v>
      </c>
      <c r="P957" s="569">
        <f>IFERROR(VLOOKUP(C957,[3]List1!$A:$D,2,FALSE),"N/A!")</f>
        <v>24000</v>
      </c>
      <c r="Q957" s="569" t="s">
        <v>11236</v>
      </c>
      <c r="R957" s="569"/>
      <c r="S957" s="569"/>
      <c r="T957" s="569"/>
      <c r="U957" s="569">
        <v>210</v>
      </c>
      <c r="V957" s="569">
        <v>105</v>
      </c>
      <c r="W957" s="569" t="str">
        <f>IFERROR(IF(AND($AB957&gt;=0.1*$AA957,MOD($AB957,$AA957)&gt;=($AA957-(0.1*$AA957))),IF($W$17=$AF$1,"Zvažte možnost doobjednání ještě "&amp;Tabulka1[[#This Row],[VKPAL]]-MOD(AB957,AA957)&amp;" VK do plné palety.",VLOOKUP("Zvažte možnost doobjednání ještě ",Jazyky_ceník!A:Q,MATCH($W$17,Jazyky_ceník!$A$1:$Q$1,0),FALSE)&amp;Tabulka1[[#This Row],[VKPAL]]-MOD(AB957,AA957)&amp;VLOOKUP(" VK do plné palety.",Jazyky_ceník!A:Q,MATCH($W$17,Jazyky_ceník!$A$1:$Q$1,0),FALSE)),IFERROR(IF(AND(NOT(MOD($AB957,$AA957)=0),$AB957&gt;=0.9*$AA957,MOD($AB957,$AA957)&lt;=0.1*$AA957),IF($W$17=$AF$1,"Zvažte možnost optimalizace objednaného množství podle počtu VK na paletě ==&gt;",VLOOKUP("Zvažte možnost optimalizace objednaného množství podle počtu VK na paletě ==&gt;",Jazyky_ceník!A:Q,MATCH($W$17,Jazyky_ceník!$A$1:$Q$1,0),FALSE)),VLOOKUP('General price list'!$C957,Popisy!A:M,MATCH($W$17,Popisy!$A$7:$M$7,0),FALSE)),"---------------")),IFERROR(VLOOKUP('General price list'!$C957,Popisy!A:M,MATCH($W$17,Popisy!$A$7:$M$7,0),FALSE),"---------------"))</f>
        <v>125mm Blue jellyfish</v>
      </c>
      <c r="X957" s="569" t="str">
        <f t="shared" si="2947"/>
        <v/>
      </c>
      <c r="Y957" s="569" t="str">
        <f t="shared" si="2948"/>
        <v/>
      </c>
      <c r="Z957" s="569" t="str">
        <f>HYPERLINK("https://www.klasekpyrotechnics.cz/rkd-s05-05")</f>
        <v>https://www.klasekpyrotechnics.cz/rkd-s05-05</v>
      </c>
      <c r="AA957" s="569">
        <f>IFERROR(IF(VLOOKUP(C957,[4]List1!$A:$D,4,FALSE)=0,"",VLOOKUP(C957,[4]List1!$A:$D,4,FALSE)),"")</f>
        <v>20</v>
      </c>
      <c r="AB957" s="565"/>
      <c r="AC957" s="570" t="str">
        <f>IFERROR(IF(VLOOKUP(C957,[1]List1!$A:$D,2,FALSE)="VYPRODÁNO",$V$9,IF(VLOOKUP(C957,[1]List1!$A:$D,2,FALSE)="DOCHÁZÍ",$V$3,VLOOKUP(C957,[1]List1!$A:$D,2,FALSE))),"OFFLINE!")</f>
        <v>SKLADEM</v>
      </c>
      <c r="AD957" s="570" t="str">
        <f ca="1">IF(AP957="NE",$V$10,IF(AC957=$V$3,IF(AQ957&lt;1,$V$8,$V$2&amp;" "&amp;AQ957&amp;" "&amp;$V$1),IF(AC957="SKLADEM",$V$6,IFERROR(IF(OR(AC957-TODAY()&gt;45,VLOOKUP(C957,[1]List1!$A:$E,4,FALSE)=0),AC957,DAY(AC957)&amp;"."&amp;MONTH(AC957)&amp;"."&amp;YEAR(AC957)&amp;" "&amp;$V$4&amp;VLOOKUP(C957,[1]List1!$A:$E,4,FALSE)&amp;" "&amp;$V$1),AC957))))</f>
        <v>SKLADEM</v>
      </c>
      <c r="AE957" s="581" t="str">
        <f t="shared" ca="1" si="2949"/>
        <v>SKLADEM</v>
      </c>
      <c r="AF957" s="584">
        <f t="shared" si="2950"/>
        <v>0</v>
      </c>
      <c r="AG957" s="585">
        <f t="shared" si="2951"/>
        <v>0</v>
      </c>
      <c r="AH957" s="583">
        <f t="shared" si="2952"/>
        <v>0</v>
      </c>
      <c r="AI957" s="582">
        <f t="shared" si="2953"/>
        <v>0</v>
      </c>
      <c r="AJ957" s="569">
        <f t="shared" si="2954"/>
        <v>0</v>
      </c>
      <c r="AK957" s="569" t="str">
        <f t="shared" si="2955"/>
        <v/>
      </c>
      <c r="AL957" s="569">
        <f t="shared" si="2956"/>
        <v>0</v>
      </c>
      <c r="AM957" s="569" t="str">
        <f t="shared" si="2957"/>
        <v/>
      </c>
      <c r="AN957" s="581">
        <f t="shared" si="2958"/>
        <v>0</v>
      </c>
      <c r="AO957" s="623"/>
      <c r="AP957" s="632" t="str">
        <f t="shared" si="2937"/>
        <v/>
      </c>
      <c r="AQ957" s="633" t="str">
        <f>IF(AC957=$V$3,IF(VLOOKUP(C957,[1]List1!$A:$E,5,FALSE)=0,1,VLOOKUP(C957,[1]List1!$A:$E,5,FALSE)),"")</f>
        <v/>
      </c>
      <c r="AR957" s="625" t="str">
        <f t="shared" si="2938"/>
        <v/>
      </c>
      <c r="AS957" s="634" t="str">
        <f t="shared" si="2939"/>
        <v/>
      </c>
      <c r="AT957" s="625" t="str">
        <f t="shared" si="2940"/>
        <v/>
      </c>
      <c r="AU957" s="638" t="e">
        <f t="shared" si="2941"/>
        <v>#N/A</v>
      </c>
      <c r="AV957" s="625" t="e">
        <f t="shared" si="2942"/>
        <v>#N/A</v>
      </c>
      <c r="AX957" s="625">
        <f>IF(AND('General price list'!$J957="F4",'General price list'!$AB957+0&gt;0),1,0)</f>
        <v>0</v>
      </c>
      <c r="AY957" s="625">
        <f t="shared" si="2943"/>
        <v>1</v>
      </c>
      <c r="AZ957" s="625">
        <f t="shared" si="2944"/>
        <v>0</v>
      </c>
    </row>
    <row r="958" spans="1:52" ht="15" customHeight="1">
      <c r="A958" s="639" t="str">
        <f>Kat.!C958</f>
        <v/>
      </c>
      <c r="B958" s="640">
        <f>IF(AND('General price list'!$J958="F4",$AI$1=FALSE),0,IF(AC958="SKLADEM",1,IF(AC958=$V$3,1,0)))</f>
        <v>0</v>
      </c>
      <c r="C958" s="641" t="s">
        <v>11654</v>
      </c>
      <c r="D958" s="642" t="s">
        <v>11677</v>
      </c>
      <c r="E958" s="643" t="s">
        <v>12681</v>
      </c>
      <c r="F958" s="771">
        <f>IFERROR(VLOOKUP(C958,[2]List1!$A:$D,3,FALSE),"NEUVEDENO!")</f>
        <v>745</v>
      </c>
      <c r="G958" s="768">
        <f t="shared" si="2945"/>
        <v>745</v>
      </c>
      <c r="H958" s="765">
        <f t="shared" si="2946"/>
        <v>31.64651060051909</v>
      </c>
      <c r="I958" s="644">
        <f>IFERROR(VLOOKUP(C958,[2]List1!$A:$D,4,FALSE),"NEUVEDENO!")</f>
        <v>24</v>
      </c>
      <c r="J958" s="733" t="s">
        <v>614</v>
      </c>
      <c r="K958" s="645" t="s">
        <v>20</v>
      </c>
      <c r="L958" s="645"/>
      <c r="M958" s="645" t="s">
        <v>114</v>
      </c>
      <c r="N958" s="645">
        <f>IFERROR(VLOOKUP(C958,[3]List1!$A:$D,4,FALSE),"N/A!")</f>
        <v>6.4599999999999991E-2</v>
      </c>
      <c r="O958" s="645">
        <f>IFERROR(VLOOKUP(C958,[3]List1!$A:$D,3,FALSE),"N/A!")</f>
        <v>14976</v>
      </c>
      <c r="P958" s="645">
        <f>IFERROR(VLOOKUP(C958,[3]List1!$A:$D,2,FALSE),"N/A!")</f>
        <v>24000</v>
      </c>
      <c r="Q958" s="645" t="s">
        <v>11236</v>
      </c>
      <c r="R958" s="645"/>
      <c r="S958" s="645"/>
      <c r="T958" s="645"/>
      <c r="U958" s="645">
        <v>210</v>
      </c>
      <c r="V958" s="645">
        <v>105</v>
      </c>
      <c r="W958" s="645" t="str">
        <f>IFERROR(IF(AND($AB958&gt;=0.1*$AA958,MOD($AB958,$AA958)&gt;=($AA958-(0.1*$AA958))),IF($W$17=$AF$1,"Zvažte možnost doobjednání ještě "&amp;Tabulka1[[#This Row],[VKPAL]]-MOD(AB958,AA958)&amp;" VK do plné palety.",VLOOKUP("Zvažte možnost doobjednání ještě ",Jazyky_ceník!A:Q,MATCH($W$17,Jazyky_ceník!$A$1:$Q$1,0),FALSE)&amp;Tabulka1[[#This Row],[VKPAL]]-MOD(AB958,AA958)&amp;VLOOKUP(" VK do plné palety.",Jazyky_ceník!A:Q,MATCH($W$17,Jazyky_ceník!$A$1:$Q$1,0),FALSE)),IFERROR(IF(AND(NOT(MOD($AB958,$AA958)=0),$AB958&gt;=0.9*$AA958,MOD($AB958,$AA958)&lt;=0.1*$AA958),IF($W$17=$AF$1,"Zvažte možnost optimalizace objednaného množství podle počtu VK na paletě ==&gt;",VLOOKUP("Zvažte možnost optimalizace objednaného množství podle počtu VK na paletě ==&gt;",Jazyky_ceník!A:Q,MATCH($W$17,Jazyky_ceník!$A$1:$Q$1,0),FALSE)),VLOOKUP('General price list'!$C958,Popisy!A:M,MATCH($W$17,Popisy!$A$7:$M$7,0),FALSE)),"---------------")),IFERROR(VLOOKUP('General price list'!$C958,Popisy!A:M,MATCH($W$17,Popisy!$A$7:$M$7,0),FALSE),"---------------"))</f>
        <v>125mm Gold willow to chrys.with chrys.pistil</v>
      </c>
      <c r="X958" s="645" t="str">
        <f t="shared" si="2947"/>
        <v/>
      </c>
      <c r="Y958" s="645" t="str">
        <f t="shared" si="2948"/>
        <v/>
      </c>
      <c r="Z958" s="645" t="str">
        <f>HYPERLINK("https://www.klasekpyrotechnics.cz/rkd-s05-09")</f>
        <v>https://www.klasekpyrotechnics.cz/rkd-s05-09</v>
      </c>
      <c r="AA958" s="645">
        <f>IFERROR(IF(VLOOKUP(C958,[4]List1!$A:$D,4,FALSE)=0,"",VLOOKUP(C958,[4]List1!$A:$D,4,FALSE)),"")</f>
        <v>20</v>
      </c>
      <c r="AB958" s="646"/>
      <c r="AC958" s="647" t="str">
        <f>IFERROR(IF(VLOOKUP(C958,[1]List1!$A:$D,2,FALSE)="VYPRODÁNO",$V$9,IF(VLOOKUP(C958,[1]List1!$A:$D,2,FALSE)="DOCHÁZÍ",$V$3,VLOOKUP(C958,[1]List1!$A:$D,2,FALSE))),"OFFLINE!")</f>
        <v>SKLADEM</v>
      </c>
      <c r="AD958" s="647" t="str">
        <f ca="1">IF(AP958="NE",$V$10,IF(AC958=$V$3,IF(AQ958&lt;1,$V$8,$V$2&amp;" "&amp;AQ958&amp;" "&amp;$V$1),IF(AC958="SKLADEM",$V$6,IFERROR(IF(OR(AC958-TODAY()&gt;45,VLOOKUP(C958,[1]List1!$A:$E,4,FALSE)=0),AC958,DAY(AC958)&amp;"."&amp;MONTH(AC958)&amp;"."&amp;YEAR(AC958)&amp;" "&amp;$V$4&amp;VLOOKUP(C958,[1]List1!$A:$E,4,FALSE)&amp;" "&amp;$V$1),AC958))))</f>
        <v>SKLADEM</v>
      </c>
      <c r="AE958" s="645" t="str">
        <f t="shared" ca="1" si="2949"/>
        <v>SKLADEM</v>
      </c>
      <c r="AF958" s="648">
        <f t="shared" si="2950"/>
        <v>0</v>
      </c>
      <c r="AG958" s="649">
        <f t="shared" si="2951"/>
        <v>0</v>
      </c>
      <c r="AH958" s="650">
        <f t="shared" si="2952"/>
        <v>0</v>
      </c>
      <c r="AI958" s="645">
        <f t="shared" si="2953"/>
        <v>0</v>
      </c>
      <c r="AJ958" s="645">
        <f t="shared" si="2954"/>
        <v>0</v>
      </c>
      <c r="AK958" s="645" t="str">
        <f t="shared" si="2955"/>
        <v/>
      </c>
      <c r="AL958" s="645">
        <f t="shared" si="2956"/>
        <v>0</v>
      </c>
      <c r="AM958" s="645" t="str">
        <f t="shared" si="2957"/>
        <v/>
      </c>
      <c r="AN958" s="651">
        <f t="shared" si="2958"/>
        <v>0</v>
      </c>
      <c r="AO958" s="623"/>
      <c r="AP958" s="632" t="str">
        <f t="shared" si="2937"/>
        <v/>
      </c>
      <c r="AQ958" s="633" t="str">
        <f>IF(AC958=$V$3,IF(VLOOKUP(C958,[1]List1!$A:$E,5,FALSE)=0,1,VLOOKUP(C958,[1]List1!$A:$E,5,FALSE)),"")</f>
        <v/>
      </c>
      <c r="AR958" s="625" t="str">
        <f t="shared" si="2938"/>
        <v/>
      </c>
      <c r="AS958" s="634" t="str">
        <f t="shared" si="2939"/>
        <v/>
      </c>
      <c r="AT958" s="625" t="str">
        <f t="shared" si="2940"/>
        <v/>
      </c>
      <c r="AU958" s="638" t="e">
        <f t="shared" si="2941"/>
        <v>#N/A</v>
      </c>
      <c r="AV958" s="625" t="e">
        <f t="shared" si="2942"/>
        <v>#N/A</v>
      </c>
      <c r="AX958" s="625">
        <f>IF(AND('General price list'!$J958="F4",'General price list'!$AB958+0&gt;0),1,0)</f>
        <v>0</v>
      </c>
      <c r="AY958" s="625">
        <f t="shared" si="2943"/>
        <v>1</v>
      </c>
      <c r="AZ958" s="625">
        <f t="shared" si="2944"/>
        <v>0</v>
      </c>
    </row>
    <row r="959" spans="1:52" ht="15" customHeight="1">
      <c r="A959" s="621" t="str">
        <f>Kat.!C959</f>
        <v/>
      </c>
      <c r="B959" s="566">
        <f>IF(AND('General price list'!$J959="F4",$AI$1=FALSE),0,IF(AC959="SKLADEM",1,IF(AC959=$V$3,1,0)))</f>
        <v>0</v>
      </c>
      <c r="C959" s="567" t="s">
        <v>11655</v>
      </c>
      <c r="D959" s="568" t="s">
        <v>11678</v>
      </c>
      <c r="E959" s="763" t="s">
        <v>12681</v>
      </c>
      <c r="F959" s="772">
        <f>IFERROR(VLOOKUP(C959,[2]List1!$A:$D,3,FALSE),"NEUVEDENO!")</f>
        <v>745</v>
      </c>
      <c r="G959" s="769">
        <f t="shared" si="2945"/>
        <v>745</v>
      </c>
      <c r="H959" s="766">
        <f t="shared" si="2946"/>
        <v>31.64651060051909</v>
      </c>
      <c r="I959" s="764">
        <f>IFERROR(VLOOKUP(C959,[2]List1!$A:$D,4,FALSE),"NEUVEDENO!")</f>
        <v>24</v>
      </c>
      <c r="J959" s="732" t="s">
        <v>614</v>
      </c>
      <c r="K959" s="569" t="s">
        <v>20</v>
      </c>
      <c r="L959" s="569"/>
      <c r="M959" s="569" t="s">
        <v>114</v>
      </c>
      <c r="N959" s="569">
        <f>IFERROR(VLOOKUP(C959,[3]List1!$A:$D,4,FALSE),"N/A!")</f>
        <v>6.4599999999999991E-2</v>
      </c>
      <c r="O959" s="569">
        <f>IFERROR(VLOOKUP(C959,[3]List1!$A:$D,3,FALSE),"N/A!")</f>
        <v>15480</v>
      </c>
      <c r="P959" s="569">
        <f>IFERROR(VLOOKUP(C959,[3]List1!$A:$D,2,FALSE),"N/A!")</f>
        <v>24000</v>
      </c>
      <c r="Q959" s="569" t="s">
        <v>11236</v>
      </c>
      <c r="R959" s="569"/>
      <c r="S959" s="569"/>
      <c r="T959" s="569"/>
      <c r="U959" s="569">
        <v>210</v>
      </c>
      <c r="V959" s="569">
        <v>105</v>
      </c>
      <c r="W959" s="569" t="str">
        <f>IFERROR(IF(AND($AB959&gt;=0.1*$AA959,MOD($AB959,$AA959)&gt;=($AA959-(0.1*$AA959))),IF($W$17=$AF$1,"Zvažte možnost doobjednání ještě "&amp;Tabulka1[[#This Row],[VKPAL]]-MOD(AB959,AA959)&amp;" VK do plné palety.",VLOOKUP("Zvažte možnost doobjednání ještě ",Jazyky_ceník!A:Q,MATCH($W$17,Jazyky_ceník!$A$1:$Q$1,0),FALSE)&amp;Tabulka1[[#This Row],[VKPAL]]-MOD(AB959,AA959)&amp;VLOOKUP(" VK do plné palety.",Jazyky_ceník!A:Q,MATCH($W$17,Jazyky_ceník!$A$1:$Q$1,0),FALSE)),IFERROR(IF(AND(NOT(MOD($AB959,$AA959)=0),$AB959&gt;=0.9*$AA959,MOD($AB959,$AA959)&lt;=0.1*$AA959),IF($W$17=$AF$1,"Zvažte možnost optimalizace objednaného množství podle počtu VK na paletě ==&gt;",VLOOKUP("Zvažte možnost optimalizace objednaného množství podle počtu VK na paletě ==&gt;",Jazyky_ceník!A:Q,MATCH($W$17,Jazyky_ceník!$A$1:$Q$1,0),FALSE)),VLOOKUP('General price list'!$C959,Popisy!A:M,MATCH($W$17,Popisy!$A$7:$M$7,0),FALSE)),"---------------")),IFERROR(VLOOKUP('General price list'!$C959,Popisy!A:M,MATCH($W$17,Popisy!$A$7:$M$7,0),FALSE),"---------------"))</f>
        <v>125mm Gold glittering willow</v>
      </c>
      <c r="X959" s="569" t="str">
        <f t="shared" si="2947"/>
        <v/>
      </c>
      <c r="Y959" s="569" t="str">
        <f t="shared" si="2948"/>
        <v/>
      </c>
      <c r="Z959" s="569" t="str">
        <f>HYPERLINK("https://www.klasekpyrotechnics.cz/rkd-s05-11")</f>
        <v>https://www.klasekpyrotechnics.cz/rkd-s05-11</v>
      </c>
      <c r="AA959" s="569">
        <f>IFERROR(IF(VLOOKUP(C959,[4]List1!$A:$D,4,FALSE)=0,"",VLOOKUP(C959,[4]List1!$A:$D,4,FALSE)),"")</f>
        <v>20</v>
      </c>
      <c r="AB959" s="565"/>
      <c r="AC959" s="570" t="str">
        <f>IFERROR(IF(VLOOKUP(C959,[1]List1!$A:$D,2,FALSE)="VYPRODÁNO",$V$9,IF(VLOOKUP(C959,[1]List1!$A:$D,2,FALSE)="DOCHÁZÍ",$V$3,VLOOKUP(C959,[1]List1!$A:$D,2,FALSE))),"OFFLINE!")</f>
        <v>SKLADEM</v>
      </c>
      <c r="AD959" s="570" t="str">
        <f ca="1">IF(AP959="NE",$V$10,IF(AC959=$V$3,IF(AQ959&lt;1,$V$8,$V$2&amp;" "&amp;AQ959&amp;" "&amp;$V$1),IF(AC959="SKLADEM",$V$6,IFERROR(IF(OR(AC959-TODAY()&gt;45,VLOOKUP(C959,[1]List1!$A:$E,4,FALSE)=0),AC959,DAY(AC959)&amp;"."&amp;MONTH(AC959)&amp;"."&amp;YEAR(AC959)&amp;" "&amp;$V$4&amp;VLOOKUP(C959,[1]List1!$A:$E,4,FALSE)&amp;" "&amp;$V$1),AC959))))</f>
        <v>SKLADEM</v>
      </c>
      <c r="AE959" s="581" t="str">
        <f t="shared" ca="1" si="2949"/>
        <v>SKLADEM</v>
      </c>
      <c r="AF959" s="584">
        <f t="shared" si="2950"/>
        <v>0</v>
      </c>
      <c r="AG959" s="585">
        <f t="shared" si="2951"/>
        <v>0</v>
      </c>
      <c r="AH959" s="583">
        <f t="shared" si="2952"/>
        <v>0</v>
      </c>
      <c r="AI959" s="582">
        <f t="shared" si="2953"/>
        <v>0</v>
      </c>
      <c r="AJ959" s="569">
        <f t="shared" si="2954"/>
        <v>0</v>
      </c>
      <c r="AK959" s="569" t="str">
        <f t="shared" si="2955"/>
        <v/>
      </c>
      <c r="AL959" s="569">
        <f t="shared" si="2956"/>
        <v>0</v>
      </c>
      <c r="AM959" s="569" t="str">
        <f t="shared" si="2957"/>
        <v/>
      </c>
      <c r="AN959" s="581">
        <f t="shared" si="2958"/>
        <v>0</v>
      </c>
      <c r="AO959" s="623"/>
      <c r="AP959" s="632" t="str">
        <f t="shared" si="2937"/>
        <v/>
      </c>
      <c r="AQ959" s="633" t="str">
        <f>IF(AC959=$V$3,IF(VLOOKUP(C959,[1]List1!$A:$E,5,FALSE)=0,1,VLOOKUP(C959,[1]List1!$A:$E,5,FALSE)),"")</f>
        <v/>
      </c>
      <c r="AR959" s="625" t="str">
        <f t="shared" si="2938"/>
        <v/>
      </c>
      <c r="AS959" s="634" t="str">
        <f t="shared" si="2939"/>
        <v/>
      </c>
      <c r="AT959" s="625" t="str">
        <f t="shared" si="2940"/>
        <v/>
      </c>
      <c r="AU959" s="638" t="e">
        <f t="shared" si="2941"/>
        <v>#N/A</v>
      </c>
      <c r="AV959" s="625" t="e">
        <f t="shared" si="2942"/>
        <v>#N/A</v>
      </c>
      <c r="AX959" s="625">
        <f>IF(AND('General price list'!$J959="F4",'General price list'!$AB959+0&gt;0),1,0)</f>
        <v>0</v>
      </c>
      <c r="AY959" s="625">
        <f t="shared" si="2943"/>
        <v>1</v>
      </c>
      <c r="AZ959" s="625">
        <f t="shared" si="2944"/>
        <v>0</v>
      </c>
    </row>
    <row r="960" spans="1:52" ht="15" customHeight="1">
      <c r="A960" s="639" t="str">
        <f>Kat.!C960</f>
        <v/>
      </c>
      <c r="B960" s="640">
        <f>IF(AND('General price list'!$J960="F4",$AI$1=FALSE),0,IF(AC960="SKLADEM",1,IF(AC960=$V$3,1,0)))</f>
        <v>0</v>
      </c>
      <c r="C960" s="641" t="s">
        <v>11656</v>
      </c>
      <c r="D960" s="642" t="s">
        <v>11679</v>
      </c>
      <c r="E960" s="643" t="s">
        <v>12681</v>
      </c>
      <c r="F960" s="771">
        <f>IFERROR(VLOOKUP(C960,[2]List1!$A:$D,3,FALSE),"NEUVEDENO!")</f>
        <v>745</v>
      </c>
      <c r="G960" s="768">
        <f t="shared" si="2945"/>
        <v>745</v>
      </c>
      <c r="H960" s="765">
        <f t="shared" si="2946"/>
        <v>31.64651060051909</v>
      </c>
      <c r="I960" s="644">
        <f>IFERROR(VLOOKUP(C960,[2]List1!$A:$D,4,FALSE),"NEUVEDENO!")</f>
        <v>24</v>
      </c>
      <c r="J960" s="733" t="s">
        <v>614</v>
      </c>
      <c r="K960" s="645" t="s">
        <v>20</v>
      </c>
      <c r="L960" s="645"/>
      <c r="M960" s="645" t="s">
        <v>114</v>
      </c>
      <c r="N960" s="645">
        <f>IFERROR(VLOOKUP(C960,[3]List1!$A:$D,4,FALSE),"N/A!")</f>
        <v>6.4599999999999991E-2</v>
      </c>
      <c r="O960" s="645">
        <f>IFERROR(VLOOKUP(C960,[3]List1!$A:$D,3,FALSE),"N/A!")</f>
        <v>15480</v>
      </c>
      <c r="P960" s="645">
        <f>IFERROR(VLOOKUP(C960,[3]List1!$A:$D,2,FALSE),"N/A!")</f>
        <v>24000</v>
      </c>
      <c r="Q960" s="645" t="s">
        <v>11236</v>
      </c>
      <c r="R960" s="645"/>
      <c r="S960" s="645"/>
      <c r="T960" s="645"/>
      <c r="U960" s="645">
        <v>210</v>
      </c>
      <c r="V960" s="645">
        <v>105</v>
      </c>
      <c r="W960" s="645" t="str">
        <f>IFERROR(IF(AND($AB960&gt;=0.1*$AA960,MOD($AB960,$AA960)&gt;=($AA960-(0.1*$AA960))),IF($W$17=$AF$1,"Zvažte možnost doobjednání ještě "&amp;Tabulka1[[#This Row],[VKPAL]]-MOD(AB960,AA960)&amp;" VK do plné palety.",VLOOKUP("Zvažte možnost doobjednání ještě ",Jazyky_ceník!A:Q,MATCH($W$17,Jazyky_ceník!$A$1:$Q$1,0),FALSE)&amp;Tabulka1[[#This Row],[VKPAL]]-MOD(AB960,AA960)&amp;VLOOKUP(" VK do plné palety.",Jazyky_ceník!A:Q,MATCH($W$17,Jazyky_ceník!$A$1:$Q$1,0),FALSE)),IFERROR(IF(AND(NOT(MOD($AB960,$AA960)=0),$AB960&gt;=0.9*$AA960,MOD($AB960,$AA960)&lt;=0.1*$AA960),IF($W$17=$AF$1,"Zvažte možnost optimalizace objednaného množství podle počtu VK na paletě ==&gt;",VLOOKUP("Zvažte možnost optimalizace objednaného množství podle počtu VK na paletě ==&gt;",Jazyky_ceník!A:Q,MATCH($W$17,Jazyky_ceník!$A$1:$Q$1,0),FALSE)),VLOOKUP('General price list'!$C960,Popisy!A:M,MATCH($W$17,Popisy!$A$7:$M$7,0),FALSE)),"---------------")),IFERROR(VLOOKUP('General price list'!$C960,Popisy!A:M,MATCH($W$17,Popisy!$A$7:$M$7,0),FALSE),"---------------"))</f>
        <v>125mm Nishiki Willow with white strobe tip</v>
      </c>
      <c r="X960" s="645" t="str">
        <f t="shared" si="2947"/>
        <v/>
      </c>
      <c r="Y960" s="645" t="str">
        <f t="shared" si="2948"/>
        <v/>
      </c>
      <c r="Z960" s="645" t="str">
        <f>HYPERLINK("https://www.klasekpyrotechnics.cz/rkd-s05-12")</f>
        <v>https://www.klasekpyrotechnics.cz/rkd-s05-12</v>
      </c>
      <c r="AA960" s="645">
        <f>IFERROR(IF(VLOOKUP(C960,[4]List1!$A:$D,4,FALSE)=0,"",VLOOKUP(C960,[4]List1!$A:$D,4,FALSE)),"")</f>
        <v>20</v>
      </c>
      <c r="AB960" s="646"/>
      <c r="AC960" s="647" t="str">
        <f>IFERROR(IF(VLOOKUP(C960,[1]List1!$A:$D,2,FALSE)="VYPRODÁNO",$V$9,IF(VLOOKUP(C960,[1]List1!$A:$D,2,FALSE)="DOCHÁZÍ",$V$3,VLOOKUP(C960,[1]List1!$A:$D,2,FALSE))),"OFFLINE!")</f>
        <v>SKLADEM</v>
      </c>
      <c r="AD960" s="647" t="str">
        <f ca="1">IF(AP960="NE",$V$10,IF(AC960=$V$3,IF(AQ960&lt;1,$V$8,$V$2&amp;" "&amp;AQ960&amp;" "&amp;$V$1),IF(AC960="SKLADEM",$V$6,IFERROR(IF(OR(AC960-TODAY()&gt;45,VLOOKUP(C960,[1]List1!$A:$E,4,FALSE)=0),AC960,DAY(AC960)&amp;"."&amp;MONTH(AC960)&amp;"."&amp;YEAR(AC960)&amp;" "&amp;$V$4&amp;VLOOKUP(C960,[1]List1!$A:$E,4,FALSE)&amp;" "&amp;$V$1),AC960))))</f>
        <v>SKLADEM</v>
      </c>
      <c r="AE960" s="645" t="str">
        <f t="shared" ca="1" si="2949"/>
        <v>SKLADEM</v>
      </c>
      <c r="AF960" s="648">
        <f t="shared" si="2950"/>
        <v>0</v>
      </c>
      <c r="AG960" s="649">
        <f t="shared" si="2951"/>
        <v>0</v>
      </c>
      <c r="AH960" s="650">
        <f t="shared" si="2952"/>
        <v>0</v>
      </c>
      <c r="AI960" s="645">
        <f t="shared" si="2953"/>
        <v>0</v>
      </c>
      <c r="AJ960" s="645">
        <f t="shared" si="2954"/>
        <v>0</v>
      </c>
      <c r="AK960" s="645" t="str">
        <f t="shared" si="2955"/>
        <v/>
      </c>
      <c r="AL960" s="645">
        <f t="shared" si="2956"/>
        <v>0</v>
      </c>
      <c r="AM960" s="645" t="str">
        <f t="shared" si="2957"/>
        <v/>
      </c>
      <c r="AN960" s="651">
        <f t="shared" si="2958"/>
        <v>0</v>
      </c>
      <c r="AO960" s="623"/>
      <c r="AP960" s="632" t="str">
        <f t="shared" si="2937"/>
        <v/>
      </c>
      <c r="AQ960" s="633" t="str">
        <f>IF(AC960=$V$3,IF(VLOOKUP(C960,[1]List1!$A:$E,5,FALSE)=0,1,VLOOKUP(C960,[1]List1!$A:$E,5,FALSE)),"")</f>
        <v/>
      </c>
      <c r="AR960" s="625" t="str">
        <f t="shared" si="2938"/>
        <v/>
      </c>
      <c r="AS960" s="634" t="str">
        <f t="shared" si="2939"/>
        <v/>
      </c>
      <c r="AT960" s="625" t="str">
        <f t="shared" si="2940"/>
        <v/>
      </c>
      <c r="AU960" s="638" t="e">
        <f t="shared" si="2941"/>
        <v>#N/A</v>
      </c>
      <c r="AV960" s="625" t="e">
        <f t="shared" si="2942"/>
        <v>#N/A</v>
      </c>
      <c r="AX960" s="625">
        <f>IF(AND('General price list'!$J960="F4",'General price list'!$AB960+0&gt;0),1,0)</f>
        <v>0</v>
      </c>
      <c r="AY960" s="625">
        <f t="shared" si="2943"/>
        <v>1</v>
      </c>
      <c r="AZ960" s="625">
        <f t="shared" si="2944"/>
        <v>0</v>
      </c>
    </row>
    <row r="961" spans="1:52" ht="15" customHeight="1">
      <c r="A961" s="621" t="str">
        <f>Kat.!C961</f>
        <v/>
      </c>
      <c r="B961" s="566">
        <f>IF(AND('General price list'!$J961="F4",$AI$1=FALSE),0,IF(AC961="SKLADEM",1,IF(AC961=$V$3,1,0)))</f>
        <v>0</v>
      </c>
      <c r="C961" s="567" t="s">
        <v>11657</v>
      </c>
      <c r="D961" s="568" t="s">
        <v>11680</v>
      </c>
      <c r="E961" s="763" t="s">
        <v>12749</v>
      </c>
      <c r="F961" s="772">
        <f>IFERROR(VLOOKUP(C961,[2]List1!$A:$D,3,FALSE),"NEUVEDENO!")</f>
        <v>1281</v>
      </c>
      <c r="G961" s="769">
        <f t="shared" si="2945"/>
        <v>1281</v>
      </c>
      <c r="H961" s="766">
        <f t="shared" si="2946"/>
        <v>54.415006817805306</v>
      </c>
      <c r="I961" s="764">
        <f>IFERROR(VLOOKUP(C961,[2]List1!$A:$D,4,FALSE),"NEUVEDENO!")</f>
        <v>9</v>
      </c>
      <c r="J961" s="732" t="s">
        <v>614</v>
      </c>
      <c r="K961" s="569" t="s">
        <v>20</v>
      </c>
      <c r="L961" s="569"/>
      <c r="M961" s="569" t="s">
        <v>114</v>
      </c>
      <c r="N961" s="569">
        <f>IFERROR(VLOOKUP(C961,[3]List1!$A:$D,4,FALSE),"N/A!")</f>
        <v>8.2417999999999991E-2</v>
      </c>
      <c r="O961" s="569">
        <f>IFERROR(VLOOKUP(C961,[3]List1!$A:$D,3,FALSE),"N/A!")</f>
        <v>9288</v>
      </c>
      <c r="P961" s="569">
        <f>IFERROR(VLOOKUP(C961,[3]List1!$A:$D,2,FALSE),"N/A!")</f>
        <v>17000</v>
      </c>
      <c r="Q961" s="569" t="s">
        <v>11236</v>
      </c>
      <c r="R961" s="569"/>
      <c r="S961" s="569"/>
      <c r="T961" s="569"/>
      <c r="U961" s="569">
        <v>230</v>
      </c>
      <c r="V961" s="569">
        <v>130</v>
      </c>
      <c r="W961" s="569" t="str">
        <f>IFERROR(IF(AND($AB961&gt;=0.1*$AA961,MOD($AB961,$AA961)&gt;=($AA961-(0.1*$AA961))),IF($W$17=$AF$1,"Zvažte možnost doobjednání ještě "&amp;Tabulka1[[#This Row],[VKPAL]]-MOD(AB961,AA961)&amp;" VK do plné palety.",VLOOKUP("Zvažte možnost doobjednání ještě ",Jazyky_ceník!A:Q,MATCH($W$17,Jazyky_ceník!$A$1:$Q$1,0),FALSE)&amp;Tabulka1[[#This Row],[VKPAL]]-MOD(AB961,AA961)&amp;VLOOKUP(" VK do plné palety.",Jazyky_ceník!A:Q,MATCH($W$17,Jazyky_ceník!$A$1:$Q$1,0),FALSE)),IFERROR(IF(AND(NOT(MOD($AB961,$AA961)=0),$AB961&gt;=0.9*$AA961,MOD($AB961,$AA961)&lt;=0.1*$AA961),IF($W$17=$AF$1,"Zvažte možnost optimalizace objednaného množství podle počtu VK na paletě ==&gt;",VLOOKUP("Zvažte možnost optimalizace objednaného množství podle počtu VK na paletě ==&gt;",Jazyky_ceník!A:Q,MATCH($W$17,Jazyky_ceník!$A$1:$Q$1,0),FALSE)),VLOOKUP('General price list'!$C961,Popisy!A:M,MATCH($W$17,Popisy!$A$7:$M$7,0),FALSE)),"---------------")),IFERROR(VLOOKUP('General price list'!$C961,Popisy!A:M,MATCH($W$17,Popisy!$A$7:$M$7,0),FALSE),"---------------"))</f>
        <v>150mm Gold glittering willow</v>
      </c>
      <c r="X961" s="569" t="str">
        <f t="shared" si="2947"/>
        <v/>
      </c>
      <c r="Y961" s="569" t="str">
        <f t="shared" si="2948"/>
        <v/>
      </c>
      <c r="Z961" s="569" t="str">
        <f>HYPERLINK("https://www.klasekpyrotechnics.cz/rkd-s06-01")</f>
        <v>https://www.klasekpyrotechnics.cz/rkd-s06-01</v>
      </c>
      <c r="AA961" s="569">
        <f>IFERROR(IF(VLOOKUP(C961,[4]List1!$A:$D,4,FALSE)=0,"",VLOOKUP(C961,[4]List1!$A:$D,4,FALSE)),"")</f>
        <v>14</v>
      </c>
      <c r="AB961" s="565"/>
      <c r="AC961" s="570" t="str">
        <f>IFERROR(IF(VLOOKUP(C961,[1]List1!$A:$D,2,FALSE)="VYPRODÁNO",$V$9,IF(VLOOKUP(C961,[1]List1!$A:$D,2,FALSE)="DOCHÁZÍ",$V$3,VLOOKUP(C961,[1]List1!$A:$D,2,FALSE))),"OFFLINE!")</f>
        <v>SKLADEM</v>
      </c>
      <c r="AD961" s="570" t="str">
        <f ca="1">IF(AP961="NE",$V$10,IF(AC961=$V$3,IF(AQ961&lt;1,$V$8,$V$2&amp;" "&amp;AQ961&amp;" "&amp;$V$1),IF(AC961="SKLADEM",$V$6,IFERROR(IF(OR(AC961-TODAY()&gt;45,VLOOKUP(C961,[1]List1!$A:$E,4,FALSE)=0),AC961,DAY(AC961)&amp;"."&amp;MONTH(AC961)&amp;"."&amp;YEAR(AC961)&amp;" "&amp;$V$4&amp;VLOOKUP(C961,[1]List1!$A:$E,4,FALSE)&amp;" "&amp;$V$1),AC961))))</f>
        <v>SKLADEM</v>
      </c>
      <c r="AE961" s="581" t="str">
        <f t="shared" ca="1" si="2949"/>
        <v>SKLADEM</v>
      </c>
      <c r="AF961" s="584">
        <f t="shared" si="2950"/>
        <v>0</v>
      </c>
      <c r="AG961" s="585">
        <f t="shared" si="2951"/>
        <v>0</v>
      </c>
      <c r="AH961" s="583">
        <f t="shared" si="2952"/>
        <v>0</v>
      </c>
      <c r="AI961" s="582">
        <f t="shared" si="2953"/>
        <v>0</v>
      </c>
      <c r="AJ961" s="569">
        <f t="shared" si="2954"/>
        <v>0</v>
      </c>
      <c r="AK961" s="569" t="str">
        <f t="shared" si="2955"/>
        <v/>
      </c>
      <c r="AL961" s="569">
        <f t="shared" si="2956"/>
        <v>0</v>
      </c>
      <c r="AM961" s="569" t="str">
        <f t="shared" si="2957"/>
        <v/>
      </c>
      <c r="AN961" s="581">
        <f t="shared" si="2958"/>
        <v>0</v>
      </c>
      <c r="AO961" s="623"/>
      <c r="AP961" s="632" t="str">
        <f t="shared" si="2937"/>
        <v/>
      </c>
      <c r="AQ961" s="633" t="str">
        <f>IF(AC961=$V$3,IF(VLOOKUP(C961,[1]List1!$A:$E,5,FALSE)=0,1,VLOOKUP(C961,[1]List1!$A:$E,5,FALSE)),"")</f>
        <v/>
      </c>
      <c r="AR961" s="625" t="str">
        <f t="shared" si="2938"/>
        <v/>
      </c>
      <c r="AS961" s="634" t="str">
        <f t="shared" si="2939"/>
        <v/>
      </c>
      <c r="AT961" s="625" t="str">
        <f t="shared" si="2940"/>
        <v/>
      </c>
      <c r="AU961" s="638" t="e">
        <f t="shared" si="2941"/>
        <v>#N/A</v>
      </c>
      <c r="AV961" s="625" t="e">
        <f t="shared" si="2942"/>
        <v>#N/A</v>
      </c>
      <c r="AX961" s="625">
        <f>IF(AND('General price list'!$J961="F4",'General price list'!$AB961+0&gt;0),1,0)</f>
        <v>0</v>
      </c>
      <c r="AY961" s="625">
        <f t="shared" si="2943"/>
        <v>1</v>
      </c>
      <c r="AZ961" s="625">
        <f t="shared" si="2944"/>
        <v>0</v>
      </c>
    </row>
    <row r="962" spans="1:52" ht="15" customHeight="1">
      <c r="A962" s="639" t="str">
        <f>Kat.!C962</f>
        <v/>
      </c>
      <c r="B962" s="640">
        <f>IF(AND('General price list'!$J962="F4",$AI$1=FALSE),0,IF(AC962="SKLADEM",1,IF(AC962=$V$3,1,0)))</f>
        <v>0</v>
      </c>
      <c r="C962" s="641" t="s">
        <v>11658</v>
      </c>
      <c r="D962" s="642" t="s">
        <v>11681</v>
      </c>
      <c r="E962" s="643" t="s">
        <v>12749</v>
      </c>
      <c r="F962" s="771">
        <f>IFERROR(VLOOKUP(C962,[2]List1!$A:$D,3,FALSE),"NEUVEDENO!")</f>
        <v>1193</v>
      </c>
      <c r="G962" s="768">
        <f t="shared" si="2945"/>
        <v>1193</v>
      </c>
      <c r="H962" s="765">
        <f t="shared" si="2946"/>
        <v>50.676895498549356</v>
      </c>
      <c r="I962" s="644">
        <f>IFERROR(VLOOKUP(C962,[2]List1!$A:$D,4,FALSE),"NEUVEDENO!")</f>
        <v>9</v>
      </c>
      <c r="J962" s="733" t="s">
        <v>614</v>
      </c>
      <c r="K962" s="645" t="s">
        <v>20</v>
      </c>
      <c r="L962" s="645"/>
      <c r="M962" s="645" t="s">
        <v>114</v>
      </c>
      <c r="N962" s="645">
        <f>IFERROR(VLOOKUP(C962,[3]List1!$A:$D,4,FALSE),"N/A!")</f>
        <v>8.2417999999999991E-2</v>
      </c>
      <c r="O962" s="645">
        <f>IFERROR(VLOOKUP(C962,[3]List1!$A:$D,3,FALSE),"N/A!")</f>
        <v>9288</v>
      </c>
      <c r="P962" s="645">
        <f>IFERROR(VLOOKUP(C962,[3]List1!$A:$D,2,FALSE),"N/A!")</f>
        <v>17000</v>
      </c>
      <c r="Q962" s="645" t="s">
        <v>11236</v>
      </c>
      <c r="R962" s="645"/>
      <c r="S962" s="645"/>
      <c r="T962" s="645"/>
      <c r="U962" s="645">
        <v>230</v>
      </c>
      <c r="V962" s="645">
        <v>130</v>
      </c>
      <c r="W962" s="645" t="str">
        <f>IFERROR(IF(AND($AB962&gt;=0.1*$AA962,MOD($AB962,$AA962)&gt;=($AA962-(0.1*$AA962))),IF($W$17=$AF$1,"Zvažte možnost doobjednání ještě "&amp;Tabulka1[[#This Row],[VKPAL]]-MOD(AB962,AA962)&amp;" VK do plné palety.",VLOOKUP("Zvažte možnost doobjednání ještě ",Jazyky_ceník!A:Q,MATCH($W$17,Jazyky_ceník!$A$1:$Q$1,0),FALSE)&amp;Tabulka1[[#This Row],[VKPAL]]-MOD(AB962,AA962)&amp;VLOOKUP(" VK do plné palety.",Jazyky_ceník!A:Q,MATCH($W$17,Jazyky_ceník!$A$1:$Q$1,0),FALSE)),IFERROR(IF(AND(NOT(MOD($AB962,$AA962)=0),$AB962&gt;=0.9*$AA962,MOD($AB962,$AA962)&lt;=0.1*$AA962),IF($W$17=$AF$1,"Zvažte možnost optimalizace objednaného množství podle počtu VK na paletě ==&gt;",VLOOKUP("Zvažte možnost optimalizace objednaného množství podle počtu VK na paletě ==&gt;",Jazyky_ceník!A:Q,MATCH($W$17,Jazyky_ceník!$A$1:$Q$1,0),FALSE)),VLOOKUP('General price list'!$C962,Popisy!A:M,MATCH($W$17,Popisy!$A$7:$M$7,0),FALSE)),"---------------")),IFERROR(VLOOKUP('General price list'!$C962,Popisy!A:M,MATCH($W$17,Popisy!$A$7:$M$7,0),FALSE),"---------------"))</f>
        <v>150mm White glittering willow</v>
      </c>
      <c r="X962" s="645" t="str">
        <f t="shared" si="2947"/>
        <v/>
      </c>
      <c r="Y962" s="645" t="str">
        <f t="shared" si="2948"/>
        <v/>
      </c>
      <c r="Z962" s="645" t="str">
        <f>HYPERLINK("https://www.klasekpyrotechnics.cz/rkd-s06-02")</f>
        <v>https://www.klasekpyrotechnics.cz/rkd-s06-02</v>
      </c>
      <c r="AA962" s="645">
        <f>IFERROR(IF(VLOOKUP(C962,[4]List1!$A:$D,4,FALSE)=0,"",VLOOKUP(C962,[4]List1!$A:$D,4,FALSE)),"")</f>
        <v>14</v>
      </c>
      <c r="AB962" s="646"/>
      <c r="AC962" s="647" t="str">
        <f>IFERROR(IF(VLOOKUP(C962,[1]List1!$A:$D,2,FALSE)="VYPRODÁNO",$V$9,IF(VLOOKUP(C962,[1]List1!$A:$D,2,FALSE)="DOCHÁZÍ",$V$3,VLOOKUP(C962,[1]List1!$A:$D,2,FALSE))),"OFFLINE!")</f>
        <v>SKLADEM</v>
      </c>
      <c r="AD962" s="647" t="str">
        <f ca="1">IF(AP962="NE",$V$10,IF(AC962=$V$3,IF(AQ962&lt;1,$V$8,$V$2&amp;" "&amp;AQ962&amp;" "&amp;$V$1),IF(AC962="SKLADEM",$V$6,IFERROR(IF(OR(AC962-TODAY()&gt;45,VLOOKUP(C962,[1]List1!$A:$E,4,FALSE)=0),AC962,DAY(AC962)&amp;"."&amp;MONTH(AC962)&amp;"."&amp;YEAR(AC962)&amp;" "&amp;$V$4&amp;VLOOKUP(C962,[1]List1!$A:$E,4,FALSE)&amp;" "&amp;$V$1),AC962))))</f>
        <v>SKLADEM</v>
      </c>
      <c r="AE962" s="645" t="str">
        <f t="shared" ca="1" si="2949"/>
        <v>SKLADEM</v>
      </c>
      <c r="AF962" s="648">
        <f t="shared" si="2950"/>
        <v>0</v>
      </c>
      <c r="AG962" s="649">
        <f t="shared" si="2951"/>
        <v>0</v>
      </c>
      <c r="AH962" s="650">
        <f t="shared" si="2952"/>
        <v>0</v>
      </c>
      <c r="AI962" s="645">
        <f t="shared" si="2953"/>
        <v>0</v>
      </c>
      <c r="AJ962" s="645">
        <f t="shared" si="2954"/>
        <v>0</v>
      </c>
      <c r="AK962" s="645" t="str">
        <f t="shared" si="2955"/>
        <v/>
      </c>
      <c r="AL962" s="645">
        <f t="shared" si="2956"/>
        <v>0</v>
      </c>
      <c r="AM962" s="645" t="str">
        <f t="shared" si="2957"/>
        <v/>
      </c>
      <c r="AN962" s="651">
        <f t="shared" si="2958"/>
        <v>0</v>
      </c>
      <c r="AO962" s="623"/>
      <c r="AP962" s="632" t="str">
        <f t="shared" si="2937"/>
        <v/>
      </c>
      <c r="AQ962" s="633" t="str">
        <f>IF(AC962=$V$3,IF(VLOOKUP(C962,[1]List1!$A:$E,5,FALSE)=0,1,VLOOKUP(C962,[1]List1!$A:$E,5,FALSE)),"")</f>
        <v/>
      </c>
      <c r="AR962" s="625" t="str">
        <f t="shared" si="2938"/>
        <v/>
      </c>
      <c r="AS962" s="634" t="str">
        <f t="shared" si="2939"/>
        <v/>
      </c>
      <c r="AT962" s="625" t="str">
        <f t="shared" si="2940"/>
        <v/>
      </c>
      <c r="AU962" s="638" t="e">
        <f t="shared" si="2941"/>
        <v>#N/A</v>
      </c>
      <c r="AV962" s="625" t="e">
        <f t="shared" si="2942"/>
        <v>#N/A</v>
      </c>
      <c r="AX962" s="625">
        <f>IF(AND('General price list'!$J962="F4",'General price list'!$AB962+0&gt;0),1,0)</f>
        <v>0</v>
      </c>
      <c r="AY962" s="625">
        <f t="shared" si="2943"/>
        <v>1</v>
      </c>
      <c r="AZ962" s="625">
        <f t="shared" si="2944"/>
        <v>0</v>
      </c>
    </row>
    <row r="963" spans="1:52" ht="15" customHeight="1">
      <c r="A963" s="621" t="str">
        <f>Kat.!C963</f>
        <v/>
      </c>
      <c r="B963" s="566">
        <f>IF(AND('General price list'!$J963="F4",$AI$1=FALSE),0,IF(AC963="SKLADEM",1,IF(AC963=$V$3,1,0)))</f>
        <v>0</v>
      </c>
      <c r="C963" s="567" t="s">
        <v>11659</v>
      </c>
      <c r="D963" s="568" t="s">
        <v>11682</v>
      </c>
      <c r="E963" s="763" t="s">
        <v>12749</v>
      </c>
      <c r="F963" s="772">
        <f>IFERROR(VLOOKUP(C963,[2]List1!$A:$D,3,FALSE),"NEUVEDENO!")</f>
        <v>1718</v>
      </c>
      <c r="G963" s="769">
        <f t="shared" si="2945"/>
        <v>1718</v>
      </c>
      <c r="H963" s="766">
        <f t="shared" si="2946"/>
        <v>72.978127800928576</v>
      </c>
      <c r="I963" s="764">
        <f>IFERROR(VLOOKUP(C963,[2]List1!$A:$D,4,FALSE),"NEUVEDENO!")</f>
        <v>9</v>
      </c>
      <c r="J963" s="732" t="s">
        <v>614</v>
      </c>
      <c r="K963" s="569" t="s">
        <v>20</v>
      </c>
      <c r="L963" s="569"/>
      <c r="M963" s="569" t="s">
        <v>114</v>
      </c>
      <c r="N963" s="569">
        <f>IFERROR(VLOOKUP(C963,[3]List1!$A:$D,4,FALSE),"N/A!")</f>
        <v>8.2417999999999991E-2</v>
      </c>
      <c r="O963" s="569">
        <f>IFERROR(VLOOKUP(C963,[3]List1!$A:$D,3,FALSE),"N/A!")</f>
        <v>9837</v>
      </c>
      <c r="P963" s="569">
        <f>IFERROR(VLOOKUP(C963,[3]List1!$A:$D,2,FALSE),"N/A!")</f>
        <v>17000</v>
      </c>
      <c r="Q963" s="569" t="s">
        <v>11236</v>
      </c>
      <c r="R963" s="569"/>
      <c r="S963" s="569"/>
      <c r="T963" s="569"/>
      <c r="U963" s="569">
        <v>230</v>
      </c>
      <c r="V963" s="569">
        <v>130</v>
      </c>
      <c r="W963" s="569" t="str">
        <f>IFERROR(IF(AND($AB963&gt;=0.1*$AA963,MOD($AB963,$AA963)&gt;=($AA963-(0.1*$AA963))),IF($W$17=$AF$1,"Zvažte možnost doobjednání ještě "&amp;Tabulka1[[#This Row],[VKPAL]]-MOD(AB963,AA963)&amp;" VK do plné palety.",VLOOKUP("Zvažte možnost doobjednání ještě ",Jazyky_ceník!A:Q,MATCH($W$17,Jazyky_ceník!$A$1:$Q$1,0),FALSE)&amp;Tabulka1[[#This Row],[VKPAL]]-MOD(AB963,AA963)&amp;VLOOKUP(" VK do plné palety.",Jazyky_ceník!A:Q,MATCH($W$17,Jazyky_ceník!$A$1:$Q$1,0),FALSE)),IFERROR(IF(AND(NOT(MOD($AB963,$AA963)=0),$AB963&gt;=0.9*$AA963,MOD($AB963,$AA963)&lt;=0.1*$AA963),IF($W$17=$AF$1,"Zvažte možnost optimalizace objednaného množství podle počtu VK na paletě ==&gt;",VLOOKUP("Zvažte možnost optimalizace objednaného množství podle počtu VK na paletě ==&gt;",Jazyky_ceník!A:Q,MATCH($W$17,Jazyky_ceník!$A$1:$Q$1,0),FALSE)),VLOOKUP('General price list'!$C963,Popisy!A:M,MATCH($W$17,Popisy!$A$7:$M$7,0),FALSE)),"---------------")),IFERROR(VLOOKUP('General price list'!$C963,Popisy!A:M,MATCH($W$17,Popisy!$A$7:$M$7,0),FALSE),"---------------"))</f>
        <v>150mm Nishiki Willow with color dahlia</v>
      </c>
      <c r="X963" s="569" t="str">
        <f t="shared" si="2947"/>
        <v/>
      </c>
      <c r="Y963" s="569" t="str">
        <f t="shared" si="2948"/>
        <v/>
      </c>
      <c r="Z963" s="569" t="str">
        <f>HYPERLINK("https://www.klasekpyrotechnics.cz/rkd-s06-03")</f>
        <v>https://www.klasekpyrotechnics.cz/rkd-s06-03</v>
      </c>
      <c r="AA963" s="569">
        <f>IFERROR(IF(VLOOKUP(C963,[4]List1!$A:$D,4,FALSE)=0,"",VLOOKUP(C963,[4]List1!$A:$D,4,FALSE)),"")</f>
        <v>14</v>
      </c>
      <c r="AB963" s="565"/>
      <c r="AC963" s="570" t="str">
        <f>IFERROR(IF(VLOOKUP(C963,[1]List1!$A:$D,2,FALSE)="VYPRODÁNO",$V$9,IF(VLOOKUP(C963,[1]List1!$A:$D,2,FALSE)="DOCHÁZÍ",$V$3,VLOOKUP(C963,[1]List1!$A:$D,2,FALSE))),"OFFLINE!")</f>
        <v>SKLADEM</v>
      </c>
      <c r="AD963" s="570" t="str">
        <f ca="1">IF(AP963="NE",$V$10,IF(AC963=$V$3,IF(AQ963&lt;1,$V$8,$V$2&amp;" "&amp;AQ963&amp;" "&amp;$V$1),IF(AC963="SKLADEM",$V$6,IFERROR(IF(OR(AC963-TODAY()&gt;45,VLOOKUP(C963,[1]List1!$A:$E,4,FALSE)=0),AC963,DAY(AC963)&amp;"."&amp;MONTH(AC963)&amp;"."&amp;YEAR(AC963)&amp;" "&amp;$V$4&amp;VLOOKUP(C963,[1]List1!$A:$E,4,FALSE)&amp;" "&amp;$V$1),AC963))))</f>
        <v>SKLADEM</v>
      </c>
      <c r="AE963" s="581" t="str">
        <f t="shared" ca="1" si="2949"/>
        <v>SKLADEM</v>
      </c>
      <c r="AF963" s="584">
        <f t="shared" si="2950"/>
        <v>0</v>
      </c>
      <c r="AG963" s="585">
        <f t="shared" si="2951"/>
        <v>0</v>
      </c>
      <c r="AH963" s="583">
        <f t="shared" si="2952"/>
        <v>0</v>
      </c>
      <c r="AI963" s="582">
        <f t="shared" si="2953"/>
        <v>0</v>
      </c>
      <c r="AJ963" s="569">
        <f t="shared" si="2954"/>
        <v>0</v>
      </c>
      <c r="AK963" s="569" t="str">
        <f t="shared" si="2955"/>
        <v/>
      </c>
      <c r="AL963" s="569">
        <f t="shared" si="2956"/>
        <v>0</v>
      </c>
      <c r="AM963" s="569" t="str">
        <f t="shared" si="2957"/>
        <v/>
      </c>
      <c r="AN963" s="581">
        <f t="shared" si="2958"/>
        <v>0</v>
      </c>
      <c r="AO963" s="623"/>
      <c r="AP963" s="632" t="str">
        <f t="shared" si="2937"/>
        <v/>
      </c>
      <c r="AQ963" s="633" t="str">
        <f>IF(AC963=$V$3,IF(VLOOKUP(C963,[1]List1!$A:$E,5,FALSE)=0,1,VLOOKUP(C963,[1]List1!$A:$E,5,FALSE)),"")</f>
        <v/>
      </c>
      <c r="AR963" s="625" t="str">
        <f t="shared" si="2938"/>
        <v/>
      </c>
      <c r="AS963" s="634" t="str">
        <f t="shared" si="2939"/>
        <v/>
      </c>
      <c r="AT963" s="625" t="str">
        <f t="shared" si="2940"/>
        <v/>
      </c>
      <c r="AU963" s="638" t="e">
        <f t="shared" si="2941"/>
        <v>#N/A</v>
      </c>
      <c r="AV963" s="625" t="e">
        <f t="shared" si="2942"/>
        <v>#N/A</v>
      </c>
      <c r="AX963" s="625">
        <f>IF(AND('General price list'!$J963="F4",'General price list'!$AB963+0&gt;0),1,0)</f>
        <v>0</v>
      </c>
      <c r="AY963" s="625">
        <f t="shared" si="2943"/>
        <v>1</v>
      </c>
      <c r="AZ963" s="625">
        <f t="shared" si="2944"/>
        <v>0</v>
      </c>
    </row>
    <row r="964" spans="1:52" ht="15" customHeight="1">
      <c r="A964" s="639" t="str">
        <f>Kat.!C964</f>
        <v/>
      </c>
      <c r="B964" s="640">
        <f>IF(AND('General price list'!$J964="F4",$AI$1=FALSE),0,IF(AC964="SKLADEM",1,IF(AC964=$V$3,1,0)))</f>
        <v>0</v>
      </c>
      <c r="C964" s="641" t="s">
        <v>11660</v>
      </c>
      <c r="D964" s="642" t="s">
        <v>11683</v>
      </c>
      <c r="E964" s="643" t="s">
        <v>12749</v>
      </c>
      <c r="F964" s="771">
        <f>IFERROR(VLOOKUP(C964,[2]List1!$A:$D,3,FALSE),"NEUVEDENO!")</f>
        <v>1805</v>
      </c>
      <c r="G964" s="768">
        <f t="shared" si="2945"/>
        <v>1805</v>
      </c>
      <c r="H964" s="765">
        <f t="shared" si="2946"/>
        <v>76.673760582465704</v>
      </c>
      <c r="I964" s="644">
        <f>IFERROR(VLOOKUP(C964,[2]List1!$A:$D,4,FALSE),"NEUVEDENO!")</f>
        <v>9</v>
      </c>
      <c r="J964" s="733" t="s">
        <v>614</v>
      </c>
      <c r="K964" s="645" t="s">
        <v>20</v>
      </c>
      <c r="L964" s="645"/>
      <c r="M964" s="645" t="s">
        <v>114</v>
      </c>
      <c r="N964" s="645">
        <f>IFERROR(VLOOKUP(C964,[3]List1!$A:$D,4,FALSE),"N/A!")</f>
        <v>8.2417999999999991E-2</v>
      </c>
      <c r="O964" s="645">
        <f>IFERROR(VLOOKUP(C964,[3]List1!$A:$D,3,FALSE),"N/A!")</f>
        <v>9711</v>
      </c>
      <c r="P964" s="645">
        <f>IFERROR(VLOOKUP(C964,[3]List1!$A:$D,2,FALSE),"N/A!")</f>
        <v>17000</v>
      </c>
      <c r="Q964" s="645" t="s">
        <v>11236</v>
      </c>
      <c r="R964" s="645"/>
      <c r="S964" s="645"/>
      <c r="T964" s="645"/>
      <c r="U964" s="645">
        <v>230</v>
      </c>
      <c r="V964" s="645">
        <v>130</v>
      </c>
      <c r="W964" s="645" t="str">
        <f>IFERROR(IF(AND($AB964&gt;=0.1*$AA964,MOD($AB964,$AA964)&gt;=($AA964-(0.1*$AA964))),IF($W$17=$AF$1,"Zvažte možnost doobjednání ještě "&amp;Tabulka1[[#This Row],[VKPAL]]-MOD(AB964,AA964)&amp;" VK do plné palety.",VLOOKUP("Zvažte možnost doobjednání ještě ",Jazyky_ceník!A:Q,MATCH($W$17,Jazyky_ceník!$A$1:$Q$1,0),FALSE)&amp;Tabulka1[[#This Row],[VKPAL]]-MOD(AB964,AA964)&amp;VLOOKUP(" VK do plné palety.",Jazyky_ceník!A:Q,MATCH($W$17,Jazyky_ceník!$A$1:$Q$1,0),FALSE)),IFERROR(IF(AND(NOT(MOD($AB964,$AA964)=0),$AB964&gt;=0.9*$AA964,MOD($AB964,$AA964)&lt;=0.1*$AA964),IF($W$17=$AF$1,"Zvažte možnost optimalizace objednaného množství podle počtu VK na paletě ==&gt;",VLOOKUP("Zvažte možnost optimalizace objednaného množství podle počtu VK na paletě ==&gt;",Jazyky_ceník!A:Q,MATCH($W$17,Jazyky_ceník!$A$1:$Q$1,0),FALSE)),VLOOKUP('General price list'!$C964,Popisy!A:M,MATCH($W$17,Popisy!$A$7:$M$7,0),FALSE)),"---------------")),IFERROR(VLOOKUP('General price list'!$C964,Popisy!A:M,MATCH($W$17,Popisy!$A$7:$M$7,0),FALSE),"---------------"))</f>
        <v>150mm Nishiki Willow with color pistil rising tail</v>
      </c>
      <c r="X964" s="645" t="str">
        <f t="shared" si="2947"/>
        <v/>
      </c>
      <c r="Y964" s="645" t="str">
        <f t="shared" si="2948"/>
        <v/>
      </c>
      <c r="Z964" s="645" t="str">
        <f>HYPERLINK("https://www.klasekpyrotechnics.cz/rkd-s06-04")</f>
        <v>https://www.klasekpyrotechnics.cz/rkd-s06-04</v>
      </c>
      <c r="AA964" s="645">
        <f>IFERROR(IF(VLOOKUP(C964,[4]List1!$A:$D,4,FALSE)=0,"",VLOOKUP(C964,[4]List1!$A:$D,4,FALSE)),"")</f>
        <v>14</v>
      </c>
      <c r="AB964" s="646"/>
      <c r="AC964" s="647" t="str">
        <f>IFERROR(IF(VLOOKUP(C964,[1]List1!$A:$D,2,FALSE)="VYPRODÁNO",$V$9,IF(VLOOKUP(C964,[1]List1!$A:$D,2,FALSE)="DOCHÁZÍ",$V$3,VLOOKUP(C964,[1]List1!$A:$D,2,FALSE))),"OFFLINE!")</f>
        <v>SKLADEM</v>
      </c>
      <c r="AD964" s="647" t="str">
        <f ca="1">IF(AP964="NE",$V$10,IF(AC964=$V$3,IF(AQ964&lt;1,$V$8,$V$2&amp;" "&amp;AQ964&amp;" "&amp;$V$1),IF(AC964="SKLADEM",$V$6,IFERROR(IF(OR(AC964-TODAY()&gt;45,VLOOKUP(C964,[1]List1!$A:$E,4,FALSE)=0),AC964,DAY(AC964)&amp;"."&amp;MONTH(AC964)&amp;"."&amp;YEAR(AC964)&amp;" "&amp;$V$4&amp;VLOOKUP(C964,[1]List1!$A:$E,4,FALSE)&amp;" "&amp;$V$1),AC964))))</f>
        <v>SKLADEM</v>
      </c>
      <c r="AE964" s="645" t="str">
        <f t="shared" ca="1" si="2949"/>
        <v>SKLADEM</v>
      </c>
      <c r="AF964" s="648">
        <f t="shared" si="2950"/>
        <v>0</v>
      </c>
      <c r="AG964" s="649">
        <f t="shared" si="2951"/>
        <v>0</v>
      </c>
      <c r="AH964" s="650">
        <f t="shared" si="2952"/>
        <v>0</v>
      </c>
      <c r="AI964" s="645">
        <f t="shared" si="2953"/>
        <v>0</v>
      </c>
      <c r="AJ964" s="645">
        <f t="shared" si="2954"/>
        <v>0</v>
      </c>
      <c r="AK964" s="645" t="str">
        <f t="shared" si="2955"/>
        <v/>
      </c>
      <c r="AL964" s="645">
        <f t="shared" si="2956"/>
        <v>0</v>
      </c>
      <c r="AM964" s="645" t="str">
        <f t="shared" si="2957"/>
        <v/>
      </c>
      <c r="AN964" s="651">
        <f t="shared" si="2958"/>
        <v>0</v>
      </c>
      <c r="AO964" s="623"/>
      <c r="AP964" s="632" t="str">
        <f t="shared" si="2937"/>
        <v/>
      </c>
      <c r="AQ964" s="633" t="str">
        <f>IF(AC964=$V$3,IF(VLOOKUP(C964,[1]List1!$A:$E,5,FALSE)=0,1,VLOOKUP(C964,[1]List1!$A:$E,5,FALSE)),"")</f>
        <v/>
      </c>
      <c r="AR964" s="625" t="str">
        <f t="shared" si="2938"/>
        <v/>
      </c>
      <c r="AS964" s="634" t="str">
        <f t="shared" si="2939"/>
        <v/>
      </c>
      <c r="AT964" s="625" t="str">
        <f t="shared" si="2940"/>
        <v/>
      </c>
      <c r="AU964" s="638" t="e">
        <f t="shared" si="2941"/>
        <v>#N/A</v>
      </c>
      <c r="AV964" s="625" t="e">
        <f t="shared" si="2942"/>
        <v>#N/A</v>
      </c>
      <c r="AX964" s="625">
        <f>IF(AND('General price list'!$J964="F4",'General price list'!$AB964+0&gt;0),1,0)</f>
        <v>0</v>
      </c>
      <c r="AY964" s="625">
        <f t="shared" si="2943"/>
        <v>1</v>
      </c>
      <c r="AZ964" s="625">
        <f t="shared" si="2944"/>
        <v>0</v>
      </c>
    </row>
    <row r="965" spans="1:52" ht="15" customHeight="1">
      <c r="A965" s="621" t="str">
        <f>Kat.!C965</f>
        <v/>
      </c>
      <c r="B965" s="566">
        <f>IF(AND('General price list'!$J965="F4",$AI$1=FALSE),0,IF(AC965="SKLADEM",1,IF(AC965=$V$3,1,0)))</f>
        <v>0</v>
      </c>
      <c r="C965" s="567" t="s">
        <v>11661</v>
      </c>
      <c r="D965" s="568" t="s">
        <v>12615</v>
      </c>
      <c r="E965" s="763" t="s">
        <v>12749</v>
      </c>
      <c r="F965" s="772">
        <f>IFERROR(VLOOKUP(C965,[2]List1!$A:$D,3,FALSE),"NEUVEDENO!")</f>
        <v>1805</v>
      </c>
      <c r="G965" s="769">
        <f t="shared" si="2945"/>
        <v>1805</v>
      </c>
      <c r="H965" s="766">
        <f t="shared" si="2946"/>
        <v>76.673760582465704</v>
      </c>
      <c r="I965" s="764">
        <f>IFERROR(VLOOKUP(C965,[2]List1!$A:$D,4,FALSE),"NEUVEDENO!")</f>
        <v>9</v>
      </c>
      <c r="J965" s="732" t="s">
        <v>614</v>
      </c>
      <c r="K965" s="569" t="s">
        <v>20</v>
      </c>
      <c r="L965" s="569"/>
      <c r="M965" s="569" t="s">
        <v>114</v>
      </c>
      <c r="N965" s="569">
        <f>IFERROR(VLOOKUP(C965,[3]List1!$A:$D,4,FALSE),"N/A!")</f>
        <v>8.2417999999999991E-2</v>
      </c>
      <c r="O965" s="569">
        <f>IFERROR(VLOOKUP(C965,[3]List1!$A:$D,3,FALSE),"N/A!")</f>
        <v>9450</v>
      </c>
      <c r="P965" s="569">
        <f>IFERROR(VLOOKUP(C965,[3]List1!$A:$D,2,FALSE),"N/A!")</f>
        <v>17000</v>
      </c>
      <c r="Q965" s="569" t="s">
        <v>11236</v>
      </c>
      <c r="R965" s="569"/>
      <c r="S965" s="569"/>
      <c r="T965" s="569"/>
      <c r="U965" s="569">
        <v>230</v>
      </c>
      <c r="V965" s="569">
        <v>130</v>
      </c>
      <c r="W965" s="569" t="str">
        <f>IFERROR(IF(AND($AB965&gt;=0.1*$AA965,MOD($AB965,$AA965)&gt;=($AA965-(0.1*$AA965))),IF($W$17=$AF$1,"Zvažte možnost doobjednání ještě "&amp;Tabulka1[[#This Row],[VKPAL]]-MOD(AB965,AA965)&amp;" VK do plné palety.",VLOOKUP("Zvažte možnost doobjednání ještě ",Jazyky_ceník!A:Q,MATCH($W$17,Jazyky_ceník!$A$1:$Q$1,0),FALSE)&amp;Tabulka1[[#This Row],[VKPAL]]-MOD(AB965,AA965)&amp;VLOOKUP(" VK do plné palety.",Jazyky_ceník!A:Q,MATCH($W$17,Jazyky_ceník!$A$1:$Q$1,0),FALSE)),IFERROR(IF(AND(NOT(MOD($AB965,$AA965)=0),$AB965&gt;=0.9*$AA965,MOD($AB965,$AA965)&lt;=0.1*$AA965),IF($W$17=$AF$1,"Zvažte možnost optimalizace objednaného množství podle počtu VK na paletě ==&gt;",VLOOKUP("Zvažte možnost optimalizace objednaného množství podle počtu VK na paletě ==&gt;",Jazyky_ceník!A:Q,MATCH($W$17,Jazyky_ceník!$A$1:$Q$1,0),FALSE)),VLOOKUP('General price list'!$C965,Popisy!A:M,MATCH($W$17,Popisy!$A$7:$M$7,0),FALSE)),"---------------")),IFERROR(VLOOKUP('General price list'!$C965,Popisy!A:M,MATCH($W$17,Popisy!$A$7:$M$7,0),FALSE),"---------------"))</f>
        <v xml:space="preserve">150mm Gold willow yo red plum into lemon to red to seablue ghost ring with double red plum pistil rising tiger tail </v>
      </c>
      <c r="X965" s="569" t="str">
        <f t="shared" si="2947"/>
        <v/>
      </c>
      <c r="Y965" s="569" t="str">
        <f t="shared" si="2948"/>
        <v/>
      </c>
      <c r="Z965" s="569" t="str">
        <f>HYPERLINK("https://www.klasekpyrotechnics.cz/rkd-s06-05")</f>
        <v>https://www.klasekpyrotechnics.cz/rkd-s06-05</v>
      </c>
      <c r="AA965" s="569">
        <f>IFERROR(IF(VLOOKUP(C965,[4]List1!$A:$D,4,FALSE)=0,"",VLOOKUP(C965,[4]List1!$A:$D,4,FALSE)),"")</f>
        <v>14</v>
      </c>
      <c r="AB965" s="565"/>
      <c r="AC965" s="570" t="str">
        <f>IFERROR(IF(VLOOKUP(C965,[1]List1!$A:$D,2,FALSE)="VYPRODÁNO",$V$9,IF(VLOOKUP(C965,[1]List1!$A:$D,2,FALSE)="DOCHÁZÍ",$V$3,VLOOKUP(C965,[1]List1!$A:$D,2,FALSE))),"OFFLINE!")</f>
        <v>SKLADEM</v>
      </c>
      <c r="AD965" s="570" t="str">
        <f ca="1">IF(AP965="NE",$V$10,IF(AC965=$V$3,IF(AQ965&lt;1,$V$8,$V$2&amp;" "&amp;AQ965&amp;" "&amp;$V$1),IF(AC965="SKLADEM",$V$6,IFERROR(IF(OR(AC965-TODAY()&gt;45,VLOOKUP(C965,[1]List1!$A:$E,4,FALSE)=0),AC965,DAY(AC965)&amp;"."&amp;MONTH(AC965)&amp;"."&amp;YEAR(AC965)&amp;" "&amp;$V$4&amp;VLOOKUP(C965,[1]List1!$A:$E,4,FALSE)&amp;" "&amp;$V$1),AC965))))</f>
        <v>SKLADEM</v>
      </c>
      <c r="AE965" s="581" t="str">
        <f t="shared" ca="1" si="2949"/>
        <v>SKLADEM</v>
      </c>
      <c r="AF965" s="584">
        <f t="shared" si="2950"/>
        <v>0</v>
      </c>
      <c r="AG965" s="585">
        <f t="shared" si="2951"/>
        <v>0</v>
      </c>
      <c r="AH965" s="583">
        <f t="shared" si="2952"/>
        <v>0</v>
      </c>
      <c r="AI965" s="582">
        <f t="shared" si="2953"/>
        <v>0</v>
      </c>
      <c r="AJ965" s="569">
        <f t="shared" si="2954"/>
        <v>0</v>
      </c>
      <c r="AK965" s="569" t="str">
        <f t="shared" si="2955"/>
        <v/>
      </c>
      <c r="AL965" s="569">
        <f t="shared" si="2956"/>
        <v>0</v>
      </c>
      <c r="AM965" s="569" t="str">
        <f t="shared" si="2957"/>
        <v/>
      </c>
      <c r="AN965" s="581">
        <f t="shared" si="2958"/>
        <v>0</v>
      </c>
      <c r="AO965" s="623"/>
      <c r="AP965" s="632" t="str">
        <f t="shared" si="2937"/>
        <v/>
      </c>
      <c r="AQ965" s="633" t="str">
        <f>IF(AC965=$V$3,IF(VLOOKUP(C965,[1]List1!$A:$E,5,FALSE)=0,1,VLOOKUP(C965,[1]List1!$A:$E,5,FALSE)),"")</f>
        <v/>
      </c>
      <c r="AR965" s="625" t="str">
        <f t="shared" si="2938"/>
        <v/>
      </c>
      <c r="AS965" s="634" t="str">
        <f t="shared" si="2939"/>
        <v/>
      </c>
      <c r="AT965" s="625" t="str">
        <f t="shared" si="2940"/>
        <v/>
      </c>
      <c r="AU965" s="638" t="e">
        <f t="shared" si="2941"/>
        <v>#N/A</v>
      </c>
      <c r="AV965" s="625" t="e">
        <f t="shared" si="2942"/>
        <v>#N/A</v>
      </c>
      <c r="AX965" s="625">
        <f>IF(AND('General price list'!$J965="F4",'General price list'!$AB965+0&gt;0),1,0)</f>
        <v>0</v>
      </c>
      <c r="AY965" s="625">
        <f t="shared" si="2943"/>
        <v>1</v>
      </c>
      <c r="AZ965" s="625">
        <f t="shared" si="2944"/>
        <v>0</v>
      </c>
    </row>
    <row r="966" spans="1:52" ht="15" customHeight="1">
      <c r="A966" s="639" t="str">
        <f>Kat.!C966</f>
        <v/>
      </c>
      <c r="B966" s="640">
        <f>IF(AND('General price list'!$J966="F4",$AI$1=FALSE),0,IF(AC966="SKLADEM",1,IF(AC966=$V$3,1,0)))</f>
        <v>0</v>
      </c>
      <c r="C966" s="641" t="s">
        <v>11662</v>
      </c>
      <c r="D966" s="642" t="s">
        <v>11685</v>
      </c>
      <c r="E966" s="643" t="s">
        <v>12749</v>
      </c>
      <c r="F966" s="773">
        <f>IFERROR(VLOOKUP(C966,[2]List1!$A:$D,3,FALSE),"NEUVEDENO!")</f>
        <v>2067</v>
      </c>
      <c r="G966" s="770">
        <f t="shared" si="2945"/>
        <v>2067</v>
      </c>
      <c r="H966" s="767">
        <f t="shared" si="2946"/>
        <v>87.80313746479591</v>
      </c>
      <c r="I966" s="644">
        <f>IFERROR(VLOOKUP(C966,[2]List1!$A:$D,4,FALSE),"NEUVEDENO!")</f>
        <v>9</v>
      </c>
      <c r="J966" s="733" t="s">
        <v>614</v>
      </c>
      <c r="K966" s="645" t="s">
        <v>20</v>
      </c>
      <c r="L966" s="645"/>
      <c r="M966" s="645" t="s">
        <v>114</v>
      </c>
      <c r="N966" s="645">
        <f>IFERROR(VLOOKUP(C966,[3]List1!$A:$D,4,FALSE),"N/A!")</f>
        <v>8.2417999999999991E-2</v>
      </c>
      <c r="O966" s="645">
        <f>IFERROR(VLOOKUP(C966,[3]List1!$A:$D,3,FALSE),"N/A!")</f>
        <v>10476</v>
      </c>
      <c r="P966" s="645">
        <f>IFERROR(VLOOKUP(C966,[3]List1!$A:$D,2,FALSE),"N/A!")</f>
        <v>17000</v>
      </c>
      <c r="Q966" s="645" t="s">
        <v>11236</v>
      </c>
      <c r="R966" s="645"/>
      <c r="S966" s="645"/>
      <c r="T966" s="645"/>
      <c r="U966" s="645">
        <v>230</v>
      </c>
      <c r="V966" s="645">
        <v>130</v>
      </c>
      <c r="W966" s="645" t="str">
        <f>IFERROR(IF(AND($AB966&gt;=0.1*$AA966,MOD($AB966,$AA966)&gt;=($AA966-(0.1*$AA966))),IF($W$17=$AF$1,"Zvažte možnost doobjednání ještě "&amp;Tabulka1[[#This Row],[VKPAL]]-MOD(AB966,AA966)&amp;" VK do plné palety.",VLOOKUP("Zvažte možnost doobjednání ještě ",Jazyky_ceník!A:Q,MATCH($W$17,Jazyky_ceník!$A$1:$Q$1,0),FALSE)&amp;Tabulka1[[#This Row],[VKPAL]]-MOD(AB966,AA966)&amp;VLOOKUP(" VK do plné palety.",Jazyky_ceník!A:Q,MATCH($W$17,Jazyky_ceník!$A$1:$Q$1,0),FALSE)),IFERROR(IF(AND(NOT(MOD($AB966,$AA966)=0),$AB966&gt;=0.9*$AA966,MOD($AB966,$AA966)&lt;=0.1*$AA966),IF($W$17=$AF$1,"Zvažte možnost optimalizace objednaného množství podle počtu VK na paletě ==&gt;",VLOOKUP("Zvažte možnost optimalizace objednaného množství podle počtu VK na paletě ==&gt;",Jazyky_ceník!A:Q,MATCH($W$17,Jazyky_ceník!$A$1:$Q$1,0),FALSE)),VLOOKUP('General price list'!$C966,Popisy!A:M,MATCH($W$17,Popisy!$A$7:$M$7,0),FALSE)),"---------------")),IFERROR(VLOOKUP('General price list'!$C966,Popisy!A:M,MATCH($W$17,Popisy!$A$7:$M$7,0),FALSE),"---------------"))</f>
        <v>150mm Silver crown to red ring with blue pistil into red to green to dragon eggs magic rising silver tail</v>
      </c>
      <c r="X966" s="645" t="str">
        <f t="shared" si="2947"/>
        <v/>
      </c>
      <c r="Y966" s="645" t="str">
        <f t="shared" si="2948"/>
        <v/>
      </c>
      <c r="Z966" s="645" t="str">
        <f>HYPERLINK("https://www.klasekpyrotechnics.cz/rkd-s06-07")</f>
        <v>https://www.klasekpyrotechnics.cz/rkd-s06-07</v>
      </c>
      <c r="AA966" s="645">
        <f>IFERROR(IF(VLOOKUP(C966,[4]List1!$A:$D,4,FALSE)=0,"",VLOOKUP(C966,[4]List1!$A:$D,4,FALSE)),"")</f>
        <v>14</v>
      </c>
      <c r="AB966" s="646"/>
      <c r="AC966" s="647" t="str">
        <f>IFERROR(IF(VLOOKUP(C966,[1]List1!$A:$D,2,FALSE)="VYPRODÁNO",$V$9,IF(VLOOKUP(C966,[1]List1!$A:$D,2,FALSE)="DOCHÁZÍ",$V$3,VLOOKUP(C966,[1]List1!$A:$D,2,FALSE))),"OFFLINE!")</f>
        <v>SKLADEM</v>
      </c>
      <c r="AD966" s="647" t="str">
        <f ca="1">IF(AP966="NE",$V$10,IF(AC966=$V$3,IF(AQ966&lt;1,$V$8,$V$2&amp;" "&amp;AQ966&amp;" "&amp;$V$1),IF(AC966="SKLADEM",$V$6,IFERROR(IF(OR(AC966-TODAY()&gt;45,VLOOKUP(C966,[1]List1!$A:$E,4,FALSE)=0),AC966,DAY(AC966)&amp;"."&amp;MONTH(AC966)&amp;"."&amp;YEAR(AC966)&amp;" "&amp;$V$4&amp;VLOOKUP(C966,[1]List1!$A:$E,4,FALSE)&amp;" "&amp;$V$1),AC966))))</f>
        <v>SKLADEM</v>
      </c>
      <c r="AE966" s="645" t="str">
        <f t="shared" ca="1" si="2949"/>
        <v>SKLADEM</v>
      </c>
      <c r="AF966" s="648">
        <f t="shared" si="2950"/>
        <v>0</v>
      </c>
      <c r="AG966" s="649">
        <f t="shared" si="2951"/>
        <v>0</v>
      </c>
      <c r="AH966" s="650">
        <f t="shared" si="2952"/>
        <v>0</v>
      </c>
      <c r="AI966" s="645">
        <f t="shared" si="2953"/>
        <v>0</v>
      </c>
      <c r="AJ966" s="645">
        <f t="shared" si="2954"/>
        <v>0</v>
      </c>
      <c r="AK966" s="645" t="str">
        <f t="shared" si="2955"/>
        <v/>
      </c>
      <c r="AL966" s="645">
        <f t="shared" si="2956"/>
        <v>0</v>
      </c>
      <c r="AM966" s="645" t="str">
        <f t="shared" si="2957"/>
        <v/>
      </c>
      <c r="AN966" s="651">
        <f t="shared" si="2958"/>
        <v>0</v>
      </c>
      <c r="AO966" s="623"/>
      <c r="AP966" s="632" t="str">
        <f t="shared" si="2937"/>
        <v/>
      </c>
      <c r="AQ966" s="633" t="str">
        <f>IF(AC966=$V$3,IF(VLOOKUP(C966,[1]List1!$A:$E,5,FALSE)=0,1,VLOOKUP(C966,[1]List1!$A:$E,5,FALSE)),"")</f>
        <v/>
      </c>
      <c r="AR966" s="625" t="str">
        <f t="shared" si="2938"/>
        <v/>
      </c>
      <c r="AS966" s="634" t="str">
        <f t="shared" si="2939"/>
        <v/>
      </c>
      <c r="AT966" s="625" t="str">
        <f t="shared" si="2940"/>
        <v/>
      </c>
      <c r="AU966" s="638" t="e">
        <f t="shared" si="2941"/>
        <v>#N/A</v>
      </c>
      <c r="AV966" s="625" t="e">
        <f t="shared" si="2942"/>
        <v>#N/A</v>
      </c>
      <c r="AX966" s="625">
        <f>IF(AND('General price list'!$J966="F4",'General price list'!$AB966+0&gt;0),1,0)</f>
        <v>0</v>
      </c>
      <c r="AY966" s="625">
        <f t="shared" si="2943"/>
        <v>1</v>
      </c>
      <c r="AZ966" s="625">
        <f t="shared" si="2944"/>
        <v>0</v>
      </c>
    </row>
    <row r="967" spans="1:52" ht="15" customHeight="1">
      <c r="A967" s="751" t="str">
        <f>Kat.!C967</f>
        <v xml:space="preserve">           Nezničitelné moždíře</v>
      </c>
      <c r="B967" s="751"/>
      <c r="C967" s="751"/>
      <c r="D967" s="751"/>
      <c r="E967" s="751"/>
      <c r="F967" s="751"/>
      <c r="G967" s="751"/>
      <c r="H967" s="751"/>
      <c r="I967" s="752"/>
      <c r="J967" s="752"/>
      <c r="K967" s="752" t="s">
        <v>20</v>
      </c>
      <c r="L967" s="753"/>
      <c r="M967" s="752"/>
      <c r="N967" s="752"/>
      <c r="O967" s="752"/>
      <c r="P967" s="752"/>
      <c r="Q967" s="752"/>
      <c r="R967" s="752"/>
      <c r="S967" s="752"/>
      <c r="T967" s="752"/>
      <c r="U967" s="752"/>
      <c r="V967" s="752"/>
      <c r="W967" s="752"/>
      <c r="X967" s="752"/>
      <c r="Y967" s="752"/>
      <c r="Z967" s="752" t="s">
        <v>20</v>
      </c>
      <c r="AA967" s="752"/>
      <c r="AB967" s="752"/>
      <c r="AC967" s="754"/>
      <c r="AD967" s="752"/>
      <c r="AE967" s="752"/>
      <c r="AF967" s="752"/>
      <c r="AG967" s="752"/>
      <c r="AH967" s="752"/>
      <c r="AI967" s="752"/>
      <c r="AJ967" s="752"/>
      <c r="AK967" s="752"/>
      <c r="AL967" s="752"/>
      <c r="AM967" s="752"/>
      <c r="AN967" s="752"/>
      <c r="AO967" s="623"/>
      <c r="AP967" s="632" t="str">
        <f t="shared" si="2835"/>
        <v/>
      </c>
      <c r="AQ967" s="633" t="str">
        <f>IF(AC967=$V$3,IF(VLOOKUP(C967,[1]List1!$A:$E,5,FALSE)=0,1,VLOOKUP(C967,[1]List1!$A:$E,5,FALSE)),"")</f>
        <v/>
      </c>
      <c r="AR967" s="625" t="str">
        <f t="shared" si="2836"/>
        <v/>
      </c>
      <c r="AS967" s="634" t="str">
        <f t="shared" si="2837"/>
        <v/>
      </c>
      <c r="AT967" s="625" t="str">
        <f t="shared" si="2838"/>
        <v/>
      </c>
      <c r="AU967" s="638" t="e">
        <f t="shared" si="2839"/>
        <v>#N/A</v>
      </c>
      <c r="AV967" s="625" t="e">
        <f t="shared" si="2840"/>
        <v>#N/A</v>
      </c>
      <c r="AX967" s="625">
        <f>IF(AND('General price list'!$J967="F4",'General price list'!$AB967+0&gt;0),1,0)</f>
        <v>0</v>
      </c>
      <c r="AY967" s="625">
        <f t="shared" si="2841"/>
        <v>0</v>
      </c>
      <c r="AZ967" s="625">
        <f t="shared" si="2842"/>
        <v>0</v>
      </c>
    </row>
    <row r="968" spans="1:52" ht="15" customHeight="1">
      <c r="A968" s="639" t="str">
        <f>Kat.!C968</f>
        <v/>
      </c>
      <c r="B968" s="640">
        <f>IF(AND('General price list'!$J968="F4",$AI$1=FALSE),0,IF(AC968="SKLADEM",1,IF(AC968=$V$3,1,0)))</f>
        <v>1</v>
      </c>
      <c r="C968" s="641" t="s">
        <v>1987</v>
      </c>
      <c r="D968" s="642" t="s">
        <v>12616</v>
      </c>
      <c r="E968" s="643" t="s">
        <v>12663</v>
      </c>
      <c r="F968" s="771">
        <f>IFERROR(VLOOKUP(C968,[2]List1!$A:$D,3,FALSE),"NEUVEDENO!")</f>
        <v>80</v>
      </c>
      <c r="G968" s="768">
        <f t="shared" ref="G968:G972" si="2959">IF($W$17=$AF$8,ROUND((F968)/$F$17,2),(F968)*$B$19)</f>
        <v>80</v>
      </c>
      <c r="H968" s="765">
        <f t="shared" ref="H968:H972" si="2960">IF($W$17=$AF$8,G968*$B$19,G968/$F$17)</f>
        <v>3.3982830175054053</v>
      </c>
      <c r="I968" s="644">
        <f>IFERROR(VLOOKUP(C968,[2]List1!$A:$D,4,FALSE),"NEUVEDENO!")</f>
        <v>1</v>
      </c>
      <c r="J968" s="733"/>
      <c r="K968" s="645" t="s">
        <v>20</v>
      </c>
      <c r="L968" s="645" t="s">
        <v>15089</v>
      </c>
      <c r="M968" s="645"/>
      <c r="N968" s="645">
        <f>IFERROR(VLOOKUP(C968,[3]List1!$A:$D,4,FALSE),"N/A!")</f>
        <v>1.23E-3</v>
      </c>
      <c r="O968" s="645">
        <f>IFERROR(VLOOKUP(C968,[3]List1!$A:$D,3,FALSE),"N/A!")</f>
        <v>0</v>
      </c>
      <c r="P968" s="645">
        <f>IFERROR(VLOOKUP(C968,[3]List1!$A:$D,2,FALSE),"N/A!")</f>
        <v>400</v>
      </c>
      <c r="Q968" s="645" t="s">
        <v>605</v>
      </c>
      <c r="R968" s="645" t="s">
        <v>605</v>
      </c>
      <c r="S968" s="645"/>
      <c r="T968" s="645"/>
      <c r="U968" s="645"/>
      <c r="V968" s="645"/>
      <c r="W968" s="645" t="str">
        <f>IFERROR(IF(AND($AB968&gt;=0.1*$AA968,MOD($AB968,$AA968)&gt;=($AA968-(0.1*$AA968))),IF($W$17=$AF$1,"Zvažte možnost doobjednání ještě "&amp;Tabulka1[[#This Row],[VKPAL]]-MOD(AB968,AA968)&amp;" VK do plné palety.",VLOOKUP("Zvažte možnost doobjednání ještě ",Jazyky_ceník!A:Q,MATCH($W$17,Jazyky_ceník!$A$1:$Q$1,0),FALSE)&amp;Tabulka1[[#This Row],[VKPAL]]-MOD(AB968,AA968)&amp;VLOOKUP(" VK do plné palety.",Jazyky_ceník!A:Q,MATCH($W$17,Jazyky_ceník!$A$1:$Q$1,0),FALSE)),IFERROR(IF(AND(NOT(MOD($AB968,$AA968)=0),$AB968&gt;=0.9*$AA968,MOD($AB968,$AA968)&lt;=0.1*$AA968),IF($W$17=$AF$1,"Zvažte možnost optimalizace objednaného množství podle počtu VK na paletě ==&gt;",VLOOKUP("Zvažte možnost optimalizace objednaného množství podle počtu VK na paletě ==&gt;",Jazyky_ceník!A:Q,MATCH($W$17,Jazyky_ceník!$A$1:$Q$1,0),FALSE)),VLOOKUP('General price list'!$C968,Popisy!A:M,MATCH($W$17,Popisy!$A$7:$M$7,0),FALSE)),"---------------")),IFERROR(VLOOKUP('General price list'!$C968,Popisy!A:M,MATCH($W$17,Popisy!$A$7:$M$7,0),FALSE),"---------------"))</f>
        <v>nezničitelný, tenkostěnný moždíř, výška 38cm,síla stěny 2,2mm</v>
      </c>
      <c r="X968" s="645" t="str">
        <f t="shared" ref="X968:X972" si="2961">IF(AB968&lt;0.0001,"",AB968)</f>
        <v/>
      </c>
      <c r="Y968" s="645" t="str">
        <f t="shared" ref="Y968:Y972" si="2962">IF($AL$3=2,IF(OR(AB968&lt;&gt;"",AB968&lt;&gt;0),AU968,""),IF(C968="","",IF(AB968&lt;0.0001,"",IF(B968=0,"",IF(AQ968&lt;AB968,"",AB968)))))</f>
        <v/>
      </c>
      <c r="Z968" s="645" t="str">
        <f>HYPERLINK("https://www.klasekpyrotechnics.cz/m2")</f>
        <v>https://www.klasekpyrotechnics.cz/m2</v>
      </c>
      <c r="AA968" s="645" t="str">
        <f>IFERROR(IF(VLOOKUP(C968,[4]List1!$A:$D,4,FALSE)=0,"",VLOOKUP(C968,[4]List1!$A:$D,4,FALSE)),"")</f>
        <v/>
      </c>
      <c r="AB968" s="646"/>
      <c r="AC968" s="647" t="str">
        <f>IFERROR(IF(VLOOKUP(C968,[1]List1!$A:$D,2,FALSE)="VYPRODÁNO",$V$9,IF(VLOOKUP(C968,[1]List1!$A:$D,2,FALSE)="DOCHÁZÍ",$V$3,VLOOKUP(C968,[1]List1!$A:$D,2,FALSE))),"OFFLINE!")</f>
        <v>SKLADEM</v>
      </c>
      <c r="AD968" s="647" t="str">
        <f ca="1">IF(AP968="NE",$V$10,IF(AC968=$V$3,IF(AQ968&lt;1,$V$8,$V$2&amp;" "&amp;AQ968&amp;" "&amp;$V$1),IF(AC968="SKLADEM",$V$6,IFERROR(IF(OR(AC968-TODAY()&gt;45,VLOOKUP(C968,[1]List1!$A:$E,4,FALSE)=0),AC968,DAY(AC968)&amp;"."&amp;MONTH(AC968)&amp;"."&amp;YEAR(AC968)&amp;" "&amp;$V$4&amp;VLOOKUP(C968,[1]List1!$A:$E,4,FALSE)&amp;" "&amp;$V$1),AC968))))</f>
        <v>SKLADEM</v>
      </c>
      <c r="AE968" s="645" t="str">
        <f t="shared" ref="AE968:AE972" ca="1" si="2963">IFERROR(IF(AV968&lt;&gt;"",AV968,AD968),AD968)</f>
        <v>SKLADEM</v>
      </c>
      <c r="AF968" s="648">
        <f t="shared" ref="AF968:AF972" si="2964">IFERROR(IF(AB968=Y968,G968*I968*Y968,0),0)</f>
        <v>0</v>
      </c>
      <c r="AG968" s="649">
        <f t="shared" ref="AG968:AG972" si="2965">IF($W$17=$AF$8,AH968*1.23,AF968*1.21)</f>
        <v>0</v>
      </c>
      <c r="AH968" s="650">
        <f t="shared" ref="AH968:AH972" si="2966">IFERROR(IF(Y968=AB968,H968*I968*Y968,0),0)</f>
        <v>0</v>
      </c>
      <c r="AI968" s="645">
        <f t="shared" ref="AI968:AI972" si="2967">IFERROR(IF(Y968=AB968,(P968*Y968)/1000,1),0)</f>
        <v>0</v>
      </c>
      <c r="AJ968" s="645">
        <f t="shared" ref="AJ968:AJ972" si="2968">IFERROR(IF(Y968=AB968,N968*Y968,0.1),0)</f>
        <v>0</v>
      </c>
      <c r="AK968" s="645" t="str">
        <f t="shared" ref="AK968:AK972" si="2969">IFERROR(IF(Y968=AB968,IF(M968="1.1G",(O968/1000)*Y968,""),""),0)</f>
        <v/>
      </c>
      <c r="AL968" s="645" t="str">
        <f t="shared" ref="AL968:AL972" si="2970">IFERROR(IF(Y968=AB968,IF(M968="1.3G",(O968/1000)*AB968,""),""),0)</f>
        <v/>
      </c>
      <c r="AM968" s="645" t="str">
        <f t="shared" ref="AM968:AM972" si="2971">IFERROR(IF(Y968=AB968,IF(M968="1.4G",(O968/1000)*AB968,""),""),0)</f>
        <v/>
      </c>
      <c r="AN968" s="651">
        <f t="shared" ref="AN968:AN972" si="2972">SUM(AK968:AM968)</f>
        <v>0</v>
      </c>
      <c r="AO968" s="623"/>
      <c r="AP968" s="632" t="str">
        <f t="shared" si="2835"/>
        <v/>
      </c>
      <c r="AQ968" s="633" t="str">
        <f>IF(AC968=$V$3,IF(VLOOKUP(C968,[1]List1!$A:$E,5,FALSE)=0,1,VLOOKUP(C968,[1]List1!$A:$E,5,FALSE)),"")</f>
        <v/>
      </c>
      <c r="AR968" s="625" t="str">
        <f t="shared" si="2836"/>
        <v/>
      </c>
      <c r="AS968" s="634" t="str">
        <f t="shared" si="2837"/>
        <v/>
      </c>
      <c r="AT968" s="625" t="str">
        <f t="shared" si="2838"/>
        <v/>
      </c>
      <c r="AU968" s="638" t="e">
        <f t="shared" si="2839"/>
        <v>#N/A</v>
      </c>
      <c r="AV968" s="625" t="e">
        <f t="shared" si="2840"/>
        <v>#N/A</v>
      </c>
      <c r="AX968" s="625">
        <f>IF(AND('General price list'!$J968="F4",'General price list'!$AB968+0&gt;0),1,0)</f>
        <v>0</v>
      </c>
      <c r="AY968" s="625">
        <f t="shared" si="2841"/>
        <v>0</v>
      </c>
      <c r="AZ968" s="625">
        <f t="shared" si="2842"/>
        <v>0</v>
      </c>
    </row>
    <row r="969" spans="1:52" ht="15" customHeight="1">
      <c r="A969" s="621" t="str">
        <f>Kat.!C969</f>
        <v/>
      </c>
      <c r="B969" s="566">
        <f>IF(AND('General price list'!$J969="F4",$AI$1=FALSE),0,IF(AC969="SKLADEM",1,IF(AC969=$V$3,1,0)))</f>
        <v>1</v>
      </c>
      <c r="C969" s="567" t="s">
        <v>1995</v>
      </c>
      <c r="D969" s="568" t="s">
        <v>1996</v>
      </c>
      <c r="E969" s="763" t="s">
        <v>12663</v>
      </c>
      <c r="F969" s="772">
        <f>IFERROR(VLOOKUP(C969,[2]List1!$A:$D,3,FALSE),"NEUVEDENO!")</f>
        <v>220</v>
      </c>
      <c r="G969" s="769">
        <f t="shared" si="2959"/>
        <v>220</v>
      </c>
      <c r="H969" s="766">
        <f t="shared" si="2960"/>
        <v>9.3452782981398652</v>
      </c>
      <c r="I969" s="764">
        <f>IFERROR(VLOOKUP(C969,[2]List1!$A:$D,4,FALSE),"NEUVEDENO!")</f>
        <v>1</v>
      </c>
      <c r="J969" s="732"/>
      <c r="K969" s="569" t="s">
        <v>20</v>
      </c>
      <c r="L969" s="569" t="s">
        <v>15089</v>
      </c>
      <c r="M969" s="569"/>
      <c r="N969" s="569">
        <f>IFERROR(VLOOKUP(C969,[3]List1!$A:$D,4,FALSE),"N/A!")</f>
        <v>3.2000000000000002E-3</v>
      </c>
      <c r="O969" s="569">
        <f>IFERROR(VLOOKUP(C969,[3]List1!$A:$D,3,FALSE),"N/A!")</f>
        <v>0</v>
      </c>
      <c r="P969" s="569">
        <f>IFERROR(VLOOKUP(C969,[3]List1!$A:$D,2,FALSE),"N/A!")</f>
        <v>700</v>
      </c>
      <c r="Q969" s="569" t="s">
        <v>605</v>
      </c>
      <c r="R969" s="569" t="s">
        <v>605</v>
      </c>
      <c r="S969" s="569"/>
      <c r="T969" s="569"/>
      <c r="U969" s="569"/>
      <c r="V969" s="569"/>
      <c r="W969" s="569" t="str">
        <f>IFERROR(IF(AND($AB969&gt;=0.1*$AA969,MOD($AB969,$AA969)&gt;=($AA969-(0.1*$AA969))),IF($W$17=$AF$1,"Zvažte možnost doobjednání ještě "&amp;Tabulka1[[#This Row],[VKPAL]]-MOD(AB969,AA969)&amp;" VK do plné palety.",VLOOKUP("Zvažte možnost doobjednání ještě ",Jazyky_ceník!A:Q,MATCH($W$17,Jazyky_ceník!$A$1:$Q$1,0),FALSE)&amp;Tabulka1[[#This Row],[VKPAL]]-MOD(AB969,AA969)&amp;VLOOKUP(" VK do plné palety.",Jazyky_ceník!A:Q,MATCH($W$17,Jazyky_ceník!$A$1:$Q$1,0),FALSE)),IFERROR(IF(AND(NOT(MOD($AB969,$AA969)=0),$AB969&gt;=0.9*$AA969,MOD($AB969,$AA969)&lt;=0.1*$AA969),IF($W$17=$AF$1,"Zvažte možnost optimalizace objednaného množství podle počtu VK na paletě ==&gt;",VLOOKUP("Zvažte možnost optimalizace objednaného množství podle počtu VK na paletě ==&gt;",Jazyky_ceník!A:Q,MATCH($W$17,Jazyky_ceník!$A$1:$Q$1,0),FALSE)),VLOOKUP('General price list'!$C969,Popisy!A:M,MATCH($W$17,Popisy!$A$7:$M$7,0),FALSE)),"---------------")),IFERROR(VLOOKUP('General price list'!$C969,Popisy!A:M,MATCH($W$17,Popisy!$A$7:$M$7,0),FALSE),"---------------"))</f>
        <v>nezničitelný, tenkostěnný moždíř, výška 48cm,síla stěny 2,5mm</v>
      </c>
      <c r="X969" s="569" t="str">
        <f t="shared" si="2961"/>
        <v/>
      </c>
      <c r="Y969" s="569" t="str">
        <f t="shared" si="2962"/>
        <v/>
      </c>
      <c r="Z969" s="569" t="str">
        <f>HYPERLINK("https://www.klasekpyrotechnics.cz/m3")</f>
        <v>https://www.klasekpyrotechnics.cz/m3</v>
      </c>
      <c r="AA969" s="569" t="str">
        <f>IFERROR(IF(VLOOKUP(C969,[4]List1!$A:$D,4,FALSE)=0,"",VLOOKUP(C969,[4]List1!$A:$D,4,FALSE)),"")</f>
        <v/>
      </c>
      <c r="AB969" s="565"/>
      <c r="AC969" s="570" t="str">
        <f>IFERROR(IF(VLOOKUP(C969,[1]List1!$A:$D,2,FALSE)="VYPRODÁNO",$V$9,IF(VLOOKUP(C969,[1]List1!$A:$D,2,FALSE)="DOCHÁZÍ",$V$3,VLOOKUP(C969,[1]List1!$A:$D,2,FALSE))),"OFFLINE!")</f>
        <v>SKLADEM</v>
      </c>
      <c r="AD969" s="570" t="str">
        <f ca="1">IF(AP969="NE",$V$10,IF(AC969=$V$3,IF(AQ969&lt;1,$V$8,$V$2&amp;" "&amp;AQ969&amp;" "&amp;$V$1),IF(AC969="SKLADEM",$V$6,IFERROR(IF(OR(AC969-TODAY()&gt;45,VLOOKUP(C969,[1]List1!$A:$E,4,FALSE)=0),AC969,DAY(AC969)&amp;"."&amp;MONTH(AC969)&amp;"."&amp;YEAR(AC969)&amp;" "&amp;$V$4&amp;VLOOKUP(C969,[1]List1!$A:$E,4,FALSE)&amp;" "&amp;$V$1),AC969))))</f>
        <v>SKLADEM</v>
      </c>
      <c r="AE969" s="581" t="str">
        <f t="shared" ca="1" si="2963"/>
        <v>SKLADEM</v>
      </c>
      <c r="AF969" s="584">
        <f t="shared" si="2964"/>
        <v>0</v>
      </c>
      <c r="AG969" s="585">
        <f t="shared" si="2965"/>
        <v>0</v>
      </c>
      <c r="AH969" s="583">
        <f t="shared" si="2966"/>
        <v>0</v>
      </c>
      <c r="AI969" s="582">
        <f t="shared" si="2967"/>
        <v>0</v>
      </c>
      <c r="AJ969" s="569">
        <f t="shared" si="2968"/>
        <v>0</v>
      </c>
      <c r="AK969" s="569" t="str">
        <f t="shared" si="2969"/>
        <v/>
      </c>
      <c r="AL969" s="569" t="str">
        <f t="shared" si="2970"/>
        <v/>
      </c>
      <c r="AM969" s="569" t="str">
        <f t="shared" si="2971"/>
        <v/>
      </c>
      <c r="AN969" s="581">
        <f t="shared" si="2972"/>
        <v>0</v>
      </c>
      <c r="AO969" s="623"/>
      <c r="AP969" s="632" t="str">
        <f t="shared" si="2835"/>
        <v/>
      </c>
      <c r="AQ969" s="633" t="str">
        <f>IF(AC969=$V$3,IF(VLOOKUP(C969,[1]List1!$A:$E,5,FALSE)=0,1,VLOOKUP(C969,[1]List1!$A:$E,5,FALSE)),"")</f>
        <v/>
      </c>
      <c r="AR969" s="625" t="str">
        <f t="shared" si="2836"/>
        <v/>
      </c>
      <c r="AS969" s="634" t="str">
        <f t="shared" si="2837"/>
        <v/>
      </c>
      <c r="AT969" s="625" t="str">
        <f t="shared" si="2838"/>
        <v/>
      </c>
      <c r="AU969" s="638" t="e">
        <f t="shared" si="2839"/>
        <v>#N/A</v>
      </c>
      <c r="AV969" s="625" t="e">
        <f t="shared" si="2840"/>
        <v>#N/A</v>
      </c>
      <c r="AX969" s="625">
        <f>IF(AND('General price list'!$J969="F4",'General price list'!$AB969+0&gt;0),1,0)</f>
        <v>0</v>
      </c>
      <c r="AY969" s="625">
        <f t="shared" si="2841"/>
        <v>0</v>
      </c>
      <c r="AZ969" s="625">
        <f t="shared" si="2842"/>
        <v>0</v>
      </c>
    </row>
    <row r="970" spans="1:52" ht="15" customHeight="1">
      <c r="A970" s="639" t="str">
        <f>Kat.!C970</f>
        <v/>
      </c>
      <c r="B970" s="640">
        <f>IF(AND('General price list'!$J970="F4",$AI$1=FALSE),0,IF(AC970="SKLADEM",1,IF(AC970=$V$3,1,0)))</f>
        <v>1</v>
      </c>
      <c r="C970" s="641" t="s">
        <v>2000</v>
      </c>
      <c r="D970" s="642" t="s">
        <v>2001</v>
      </c>
      <c r="E970" s="643" t="s">
        <v>12663</v>
      </c>
      <c r="F970" s="771">
        <f>IFERROR(VLOOKUP(C970,[2]List1!$A:$D,3,FALSE),"NEUVEDENO!")</f>
        <v>400</v>
      </c>
      <c r="G970" s="768">
        <f t="shared" si="2959"/>
        <v>400</v>
      </c>
      <c r="H970" s="765">
        <f t="shared" si="2960"/>
        <v>16.991415087527027</v>
      </c>
      <c r="I970" s="644">
        <f>IFERROR(VLOOKUP(C970,[2]List1!$A:$D,4,FALSE),"NEUVEDENO!")</f>
        <v>1</v>
      </c>
      <c r="J970" s="733"/>
      <c r="K970" s="645" t="s">
        <v>20</v>
      </c>
      <c r="L970" s="645" t="s">
        <v>15089</v>
      </c>
      <c r="M970" s="645"/>
      <c r="N970" s="645">
        <f>IFERROR(VLOOKUP(C970,[3]List1!$A:$D,4,FALSE),"N/A!")</f>
        <v>6.6E-3</v>
      </c>
      <c r="O970" s="645">
        <f>IFERROR(VLOOKUP(C970,[3]List1!$A:$D,3,FALSE),"N/A!")</f>
        <v>0</v>
      </c>
      <c r="P970" s="645">
        <f>IFERROR(VLOOKUP(C970,[3]List1!$A:$D,2,FALSE),"N/A!")</f>
        <v>1350</v>
      </c>
      <c r="Q970" s="645" t="s">
        <v>605</v>
      </c>
      <c r="R970" s="645" t="s">
        <v>605</v>
      </c>
      <c r="S970" s="645"/>
      <c r="T970" s="645"/>
      <c r="U970" s="645"/>
      <c r="V970" s="645"/>
      <c r="W970" s="645" t="str">
        <f>IFERROR(IF(AND($AB970&gt;=0.1*$AA970,MOD($AB970,$AA970)&gt;=($AA970-(0.1*$AA970))),IF($W$17=$AF$1,"Zvažte možnost doobjednání ještě "&amp;Tabulka1[[#This Row],[VKPAL]]-MOD(AB970,AA970)&amp;" VK do plné palety.",VLOOKUP("Zvažte možnost doobjednání ještě ",Jazyky_ceník!A:Q,MATCH($W$17,Jazyky_ceník!$A$1:$Q$1,0),FALSE)&amp;Tabulka1[[#This Row],[VKPAL]]-MOD(AB970,AA970)&amp;VLOOKUP(" VK do plné palety.",Jazyky_ceník!A:Q,MATCH($W$17,Jazyky_ceník!$A$1:$Q$1,0),FALSE)),IFERROR(IF(AND(NOT(MOD($AB970,$AA970)=0),$AB970&gt;=0.9*$AA970,MOD($AB970,$AA970)&lt;=0.1*$AA970),IF($W$17=$AF$1,"Zvažte možnost optimalizace objednaného množství podle počtu VK na paletě ==&gt;",VLOOKUP("Zvažte možnost optimalizace objednaného množství podle počtu VK na paletě ==&gt;",Jazyky_ceník!A:Q,MATCH($W$17,Jazyky_ceník!$A$1:$Q$1,0),FALSE)),VLOOKUP('General price list'!$C970,Popisy!A:M,MATCH($W$17,Popisy!$A$7:$M$7,0),FALSE)),"---------------")),IFERROR(VLOOKUP('General price list'!$C970,Popisy!A:M,MATCH($W$17,Popisy!$A$7:$M$7,0),FALSE),"---------------"))</f>
        <v>nezničitelný, tenkostěnný moždíř, výška 58cm,síla stěny 3mm</v>
      </c>
      <c r="X970" s="645" t="str">
        <f t="shared" si="2961"/>
        <v/>
      </c>
      <c r="Y970" s="645" t="str">
        <f t="shared" si="2962"/>
        <v/>
      </c>
      <c r="Z970" s="645" t="str">
        <f>HYPERLINK("https://www.klasekpyrotechnics.cz/m4")</f>
        <v>https://www.klasekpyrotechnics.cz/m4</v>
      </c>
      <c r="AA970" s="645" t="str">
        <f>IFERROR(IF(VLOOKUP(C970,[4]List1!$A:$D,4,FALSE)=0,"",VLOOKUP(C970,[4]List1!$A:$D,4,FALSE)),"")</f>
        <v/>
      </c>
      <c r="AB970" s="646"/>
      <c r="AC970" s="647" t="str">
        <f>IFERROR(IF(VLOOKUP(C970,[1]List1!$A:$D,2,FALSE)="VYPRODÁNO",$V$9,IF(VLOOKUP(C970,[1]List1!$A:$D,2,FALSE)="DOCHÁZÍ",$V$3,VLOOKUP(C970,[1]List1!$A:$D,2,FALSE))),"OFFLINE!")</f>
        <v>SKLADEM</v>
      </c>
      <c r="AD970" s="647" t="str">
        <f ca="1">IF(AP970="NE",$V$10,IF(AC970=$V$3,IF(AQ970&lt;1,$V$8,$V$2&amp;" "&amp;AQ970&amp;" "&amp;$V$1),IF(AC970="SKLADEM",$V$6,IFERROR(IF(OR(AC970-TODAY()&gt;45,VLOOKUP(C970,[1]List1!$A:$E,4,FALSE)=0),AC970,DAY(AC970)&amp;"."&amp;MONTH(AC970)&amp;"."&amp;YEAR(AC970)&amp;" "&amp;$V$4&amp;VLOOKUP(C970,[1]List1!$A:$E,4,FALSE)&amp;" "&amp;$V$1),AC970))))</f>
        <v>SKLADEM</v>
      </c>
      <c r="AE970" s="645" t="str">
        <f t="shared" ca="1" si="2963"/>
        <v>SKLADEM</v>
      </c>
      <c r="AF970" s="648">
        <f t="shared" si="2964"/>
        <v>0</v>
      </c>
      <c r="AG970" s="649">
        <f t="shared" si="2965"/>
        <v>0</v>
      </c>
      <c r="AH970" s="650">
        <f t="shared" si="2966"/>
        <v>0</v>
      </c>
      <c r="AI970" s="645">
        <f t="shared" si="2967"/>
        <v>0</v>
      </c>
      <c r="AJ970" s="645">
        <f t="shared" si="2968"/>
        <v>0</v>
      </c>
      <c r="AK970" s="645" t="str">
        <f t="shared" si="2969"/>
        <v/>
      </c>
      <c r="AL970" s="645" t="str">
        <f t="shared" si="2970"/>
        <v/>
      </c>
      <c r="AM970" s="645" t="str">
        <f t="shared" si="2971"/>
        <v/>
      </c>
      <c r="AN970" s="651">
        <f t="shared" si="2972"/>
        <v>0</v>
      </c>
      <c r="AO970" s="623"/>
      <c r="AP970" s="632" t="str">
        <f t="shared" si="2835"/>
        <v/>
      </c>
      <c r="AQ970" s="633" t="str">
        <f>IF(AC970=$V$3,IF(VLOOKUP(C970,[1]List1!$A:$E,5,FALSE)=0,1,VLOOKUP(C970,[1]List1!$A:$E,5,FALSE)),"")</f>
        <v/>
      </c>
      <c r="AR970" s="625" t="str">
        <f t="shared" si="2836"/>
        <v/>
      </c>
      <c r="AS970" s="634" t="str">
        <f t="shared" si="2837"/>
        <v/>
      </c>
      <c r="AT970" s="625" t="str">
        <f t="shared" si="2838"/>
        <v/>
      </c>
      <c r="AU970" s="638" t="e">
        <f t="shared" si="2839"/>
        <v>#N/A</v>
      </c>
      <c r="AV970" s="625" t="e">
        <f t="shared" si="2840"/>
        <v>#N/A</v>
      </c>
      <c r="AX970" s="625">
        <f>IF(AND('General price list'!$J970="F4",'General price list'!$AB970+0&gt;0),1,0)</f>
        <v>0</v>
      </c>
      <c r="AY970" s="625">
        <f t="shared" si="2841"/>
        <v>0</v>
      </c>
      <c r="AZ970" s="625">
        <f t="shared" si="2842"/>
        <v>0</v>
      </c>
    </row>
    <row r="971" spans="1:52" ht="15" customHeight="1">
      <c r="A971" s="621" t="str">
        <f>Kat.!C971</f>
        <v/>
      </c>
      <c r="B971" s="566">
        <f>IF(AND('General price list'!$J971="F4",$AI$1=FALSE),0,IF(AC971="SKLADEM",1,IF(AC971=$V$3,1,0)))</f>
        <v>1</v>
      </c>
      <c r="C971" s="567" t="s">
        <v>2004</v>
      </c>
      <c r="D971" s="568" t="s">
        <v>2005</v>
      </c>
      <c r="E971" s="763" t="s">
        <v>12663</v>
      </c>
      <c r="F971" s="772">
        <f>IFERROR(VLOOKUP(C971,[2]List1!$A:$D,3,FALSE),"NEUVEDENO!")</f>
        <v>590</v>
      </c>
      <c r="G971" s="769">
        <f t="shared" si="2959"/>
        <v>590</v>
      </c>
      <c r="H971" s="766">
        <f t="shared" si="2960"/>
        <v>25.062337254102363</v>
      </c>
      <c r="I971" s="764">
        <f>IFERROR(VLOOKUP(C971,[2]List1!$A:$D,4,FALSE),"NEUVEDENO!")</f>
        <v>1</v>
      </c>
      <c r="J971" s="732"/>
      <c r="K971" s="569" t="s">
        <v>20</v>
      </c>
      <c r="L971" s="569" t="s">
        <v>15089</v>
      </c>
      <c r="M971" s="569"/>
      <c r="N971" s="569">
        <f>IFERROR(VLOOKUP(C971,[3]List1!$A:$D,4,FALSE),"N/A!")</f>
        <v>1.47E-2</v>
      </c>
      <c r="O971" s="569">
        <f>IFERROR(VLOOKUP(C971,[3]List1!$A:$D,3,FALSE),"N/A!")</f>
        <v>0</v>
      </c>
      <c r="P971" s="569">
        <f>IFERROR(VLOOKUP(C971,[3]List1!$A:$D,2,FALSE),"N/A!")</f>
        <v>3000</v>
      </c>
      <c r="Q971" s="569" t="s">
        <v>605</v>
      </c>
      <c r="R971" s="569" t="s">
        <v>605</v>
      </c>
      <c r="S971" s="569"/>
      <c r="T971" s="569"/>
      <c r="U971" s="569"/>
      <c r="V971" s="569"/>
      <c r="W971" s="569" t="str">
        <f>IFERROR(IF(AND($AB971&gt;=0.1*$AA971,MOD($AB971,$AA971)&gt;=($AA971-(0.1*$AA971))),IF($W$17=$AF$1,"Zvažte možnost doobjednání ještě "&amp;Tabulka1[[#This Row],[VKPAL]]-MOD(AB971,AA971)&amp;" VK do plné palety.",VLOOKUP("Zvažte možnost doobjednání ještě ",Jazyky_ceník!A:Q,MATCH($W$17,Jazyky_ceník!$A$1:$Q$1,0),FALSE)&amp;Tabulka1[[#This Row],[VKPAL]]-MOD(AB971,AA971)&amp;VLOOKUP(" VK do plné palety.",Jazyky_ceník!A:Q,MATCH($W$17,Jazyky_ceník!$A$1:$Q$1,0),FALSE)),IFERROR(IF(AND(NOT(MOD($AB971,$AA971)=0),$AB971&gt;=0.9*$AA971,MOD($AB971,$AA971)&lt;=0.1*$AA971),IF($W$17=$AF$1,"Zvažte možnost optimalizace objednaného množství podle počtu VK na paletě ==&gt;",VLOOKUP("Zvažte možnost optimalizace objednaného množství podle počtu VK na paletě ==&gt;",Jazyky_ceník!A:Q,MATCH($W$17,Jazyky_ceník!$A$1:$Q$1,0),FALSE)),VLOOKUP('General price list'!$C971,Popisy!A:M,MATCH($W$17,Popisy!$A$7:$M$7,0),FALSE)),"---------------")),IFERROR(VLOOKUP('General price list'!$C971,Popisy!A:M,MATCH($W$17,Popisy!$A$7:$M$7,0),FALSE),"---------------"))</f>
        <v>nezničitelný, tenkostěnný moždíř, výška 80cm, síla stěny 4mm</v>
      </c>
      <c r="X971" s="569" t="str">
        <f t="shared" si="2961"/>
        <v/>
      </c>
      <c r="Y971" s="569" t="str">
        <f t="shared" si="2962"/>
        <v/>
      </c>
      <c r="Z971" s="569" t="str">
        <f>HYPERLINK("https://www.klasekpyrotechnics.cz/m5")</f>
        <v>https://www.klasekpyrotechnics.cz/m5</v>
      </c>
      <c r="AA971" s="569" t="str">
        <f>IFERROR(IF(VLOOKUP(C971,[4]List1!$A:$D,4,FALSE)=0,"",VLOOKUP(C971,[4]List1!$A:$D,4,FALSE)),"")</f>
        <v/>
      </c>
      <c r="AB971" s="565"/>
      <c r="AC971" s="570" t="str">
        <f>IFERROR(IF(VLOOKUP(C971,[1]List1!$A:$D,2,FALSE)="VYPRODÁNO",$V$9,IF(VLOOKUP(C971,[1]List1!$A:$D,2,FALSE)="DOCHÁZÍ",$V$3,VLOOKUP(C971,[1]List1!$A:$D,2,FALSE))),"OFFLINE!")</f>
        <v>SKLADEM</v>
      </c>
      <c r="AD971" s="570" t="str">
        <f ca="1">IF(AP971="NE",$V$10,IF(AC971=$V$3,IF(AQ971&lt;1,$V$8,$V$2&amp;" "&amp;AQ971&amp;" "&amp;$V$1),IF(AC971="SKLADEM",$V$6,IFERROR(IF(OR(AC971-TODAY()&gt;45,VLOOKUP(C971,[1]List1!$A:$E,4,FALSE)=0),AC971,DAY(AC971)&amp;"."&amp;MONTH(AC971)&amp;"."&amp;YEAR(AC971)&amp;" "&amp;$V$4&amp;VLOOKUP(C971,[1]List1!$A:$E,4,FALSE)&amp;" "&amp;$V$1),AC971))))</f>
        <v>SKLADEM</v>
      </c>
      <c r="AE971" s="581" t="str">
        <f t="shared" ca="1" si="2963"/>
        <v>SKLADEM</v>
      </c>
      <c r="AF971" s="584">
        <f t="shared" si="2964"/>
        <v>0</v>
      </c>
      <c r="AG971" s="585">
        <f t="shared" si="2965"/>
        <v>0</v>
      </c>
      <c r="AH971" s="583">
        <f t="shared" si="2966"/>
        <v>0</v>
      </c>
      <c r="AI971" s="582">
        <f t="shared" si="2967"/>
        <v>0</v>
      </c>
      <c r="AJ971" s="569">
        <f t="shared" si="2968"/>
        <v>0</v>
      </c>
      <c r="AK971" s="569" t="str">
        <f t="shared" si="2969"/>
        <v/>
      </c>
      <c r="AL971" s="569" t="str">
        <f t="shared" si="2970"/>
        <v/>
      </c>
      <c r="AM971" s="569" t="str">
        <f t="shared" si="2971"/>
        <v/>
      </c>
      <c r="AN971" s="581">
        <f t="shared" si="2972"/>
        <v>0</v>
      </c>
      <c r="AO971" s="623"/>
      <c r="AP971" s="632" t="str">
        <f t="shared" si="2835"/>
        <v/>
      </c>
      <c r="AQ971" s="633" t="str">
        <f>IF(AC971=$V$3,IF(VLOOKUP(C971,[1]List1!$A:$E,5,FALSE)=0,1,VLOOKUP(C971,[1]List1!$A:$E,5,FALSE)),"")</f>
        <v/>
      </c>
      <c r="AR971" s="625" t="str">
        <f t="shared" si="2836"/>
        <v/>
      </c>
      <c r="AS971" s="634" t="str">
        <f t="shared" si="2837"/>
        <v/>
      </c>
      <c r="AT971" s="625" t="str">
        <f t="shared" si="2838"/>
        <v/>
      </c>
      <c r="AU971" s="638" t="e">
        <f t="shared" si="2839"/>
        <v>#N/A</v>
      </c>
      <c r="AV971" s="625" t="e">
        <f t="shared" si="2840"/>
        <v>#N/A</v>
      </c>
      <c r="AX971" s="625">
        <f>IF(AND('General price list'!$J971="F4",'General price list'!$AB971+0&gt;0),1,0)</f>
        <v>0</v>
      </c>
      <c r="AY971" s="625">
        <f t="shared" si="2841"/>
        <v>0</v>
      </c>
      <c r="AZ971" s="625">
        <f t="shared" si="2842"/>
        <v>0</v>
      </c>
    </row>
    <row r="972" spans="1:52" ht="15" customHeight="1">
      <c r="A972" s="639" t="str">
        <f>Kat.!C972</f>
        <v/>
      </c>
      <c r="B972" s="640">
        <f>IF(AND('General price list'!$J972="F4",$AI$1=FALSE),0,IF(AC972="SKLADEM",1,IF(AC972=$V$3,1,0)))</f>
        <v>1</v>
      </c>
      <c r="C972" s="641" t="s">
        <v>2009</v>
      </c>
      <c r="D972" s="642" t="s">
        <v>2010</v>
      </c>
      <c r="E972" s="643" t="s">
        <v>12663</v>
      </c>
      <c r="F972" s="773">
        <f>IFERROR(VLOOKUP(C972,[2]List1!$A:$D,3,FALSE),"NEUVEDENO!")</f>
        <v>770</v>
      </c>
      <c r="G972" s="770">
        <f t="shared" si="2959"/>
        <v>770</v>
      </c>
      <c r="H972" s="767">
        <f t="shared" si="2960"/>
        <v>32.708474043489531</v>
      </c>
      <c r="I972" s="644">
        <f>IFERROR(VLOOKUP(C972,[2]List1!$A:$D,4,FALSE),"NEUVEDENO!")</f>
        <v>1</v>
      </c>
      <c r="J972" s="733"/>
      <c r="K972" s="645" t="s">
        <v>20</v>
      </c>
      <c r="L972" s="645" t="s">
        <v>15089</v>
      </c>
      <c r="M972" s="645"/>
      <c r="N972" s="645">
        <f>IFERROR(VLOOKUP(C972,[3]List1!$A:$D,4,FALSE),"N/A!")</f>
        <v>2.4E-2</v>
      </c>
      <c r="O972" s="645">
        <f>IFERROR(VLOOKUP(C972,[3]List1!$A:$D,3,FALSE),"N/A!")</f>
        <v>0</v>
      </c>
      <c r="P972" s="645">
        <f>IFERROR(VLOOKUP(C972,[3]List1!$A:$D,2,FALSE),"N/A!")</f>
        <v>4300</v>
      </c>
      <c r="Q972" s="645" t="s">
        <v>605</v>
      </c>
      <c r="R972" s="645" t="s">
        <v>605</v>
      </c>
      <c r="S972" s="645"/>
      <c r="T972" s="645"/>
      <c r="U972" s="645"/>
      <c r="V972" s="645"/>
      <c r="W972" s="645" t="str">
        <f>IFERROR(IF(AND($AB972&gt;=0.1*$AA972,MOD($AB972,$AA972)&gt;=($AA972-(0.1*$AA972))),IF($W$17=$AF$1,"Zvažte možnost doobjednání ještě "&amp;Tabulka1[[#This Row],[VKPAL]]-MOD(AB972,AA972)&amp;" VK do plné palety.",VLOOKUP("Zvažte možnost doobjednání ještě ",Jazyky_ceník!A:Q,MATCH($W$17,Jazyky_ceník!$A$1:$Q$1,0),FALSE)&amp;Tabulka1[[#This Row],[VKPAL]]-MOD(AB972,AA972)&amp;VLOOKUP(" VK do plné palety.",Jazyky_ceník!A:Q,MATCH($W$17,Jazyky_ceník!$A$1:$Q$1,0),FALSE)),IFERROR(IF(AND(NOT(MOD($AB972,$AA972)=0),$AB972&gt;=0.9*$AA972,MOD($AB972,$AA972)&lt;=0.1*$AA972),IF($W$17=$AF$1,"Zvažte možnost optimalizace objednaného množství podle počtu VK na paletě ==&gt;",VLOOKUP("Zvažte možnost optimalizace objednaného množství podle počtu VK na paletě ==&gt;",Jazyky_ceník!A:Q,MATCH($W$17,Jazyky_ceník!$A$1:$Q$1,0),FALSE)),VLOOKUP('General price list'!$C972,Popisy!A:M,MATCH($W$17,Popisy!$A$7:$M$7,0),FALSE)),"---------------")),IFERROR(VLOOKUP('General price list'!$C972,Popisy!A:M,MATCH($W$17,Popisy!$A$7:$M$7,0),FALSE),"---------------"))</f>
        <v>nezničitelný, tenkostěnný moždíř, výška 90cm, síla stěny 4mm</v>
      </c>
      <c r="X972" s="645" t="str">
        <f t="shared" si="2961"/>
        <v/>
      </c>
      <c r="Y972" s="645" t="str">
        <f t="shared" si="2962"/>
        <v/>
      </c>
      <c r="Z972" s="645" t="str">
        <f>HYPERLINK("https://www.klasekpyrotechnics.cz/m6")</f>
        <v>https://www.klasekpyrotechnics.cz/m6</v>
      </c>
      <c r="AA972" s="645" t="str">
        <f>IFERROR(IF(VLOOKUP(C972,[4]List1!$A:$D,4,FALSE)=0,"",VLOOKUP(C972,[4]List1!$A:$D,4,FALSE)),"")</f>
        <v/>
      </c>
      <c r="AB972" s="646"/>
      <c r="AC972" s="647" t="str">
        <f>IFERROR(IF(VLOOKUP(C972,[1]List1!$A:$D,2,FALSE)="VYPRODÁNO",$V$9,IF(VLOOKUP(C972,[1]List1!$A:$D,2,FALSE)="DOCHÁZÍ",$V$3,VLOOKUP(C972,[1]List1!$A:$D,2,FALSE))),"OFFLINE!")</f>
        <v>SKLADEM</v>
      </c>
      <c r="AD972" s="647" t="str">
        <f ca="1">IF(AP972="NE",$V$10,IF(AC972=$V$3,IF(AQ972&lt;1,$V$8,$V$2&amp;" "&amp;AQ972&amp;" "&amp;$V$1),IF(AC972="SKLADEM",$V$6,IFERROR(IF(OR(AC972-TODAY()&gt;45,VLOOKUP(C972,[1]List1!$A:$E,4,FALSE)=0),AC972,DAY(AC972)&amp;"."&amp;MONTH(AC972)&amp;"."&amp;YEAR(AC972)&amp;" "&amp;$V$4&amp;VLOOKUP(C972,[1]List1!$A:$E,4,FALSE)&amp;" "&amp;$V$1),AC972))))</f>
        <v>SKLADEM</v>
      </c>
      <c r="AE972" s="645" t="str">
        <f t="shared" ca="1" si="2963"/>
        <v>SKLADEM</v>
      </c>
      <c r="AF972" s="648">
        <f t="shared" si="2964"/>
        <v>0</v>
      </c>
      <c r="AG972" s="649">
        <f t="shared" si="2965"/>
        <v>0</v>
      </c>
      <c r="AH972" s="650">
        <f t="shared" si="2966"/>
        <v>0</v>
      </c>
      <c r="AI972" s="645">
        <f t="shared" si="2967"/>
        <v>0</v>
      </c>
      <c r="AJ972" s="645">
        <f t="shared" si="2968"/>
        <v>0</v>
      </c>
      <c r="AK972" s="645" t="str">
        <f t="shared" si="2969"/>
        <v/>
      </c>
      <c r="AL972" s="645" t="str">
        <f t="shared" si="2970"/>
        <v/>
      </c>
      <c r="AM972" s="645" t="str">
        <f t="shared" si="2971"/>
        <v/>
      </c>
      <c r="AN972" s="651">
        <f t="shared" si="2972"/>
        <v>0</v>
      </c>
      <c r="AO972" s="623"/>
      <c r="AP972" s="632" t="str">
        <f t="shared" si="2835"/>
        <v/>
      </c>
      <c r="AQ972" s="633" t="str">
        <f>IF(AC972=$V$3,IF(VLOOKUP(C972,[1]List1!$A:$E,5,FALSE)=0,1,VLOOKUP(C972,[1]List1!$A:$E,5,FALSE)),"")</f>
        <v/>
      </c>
      <c r="AR972" s="625" t="str">
        <f t="shared" si="2836"/>
        <v/>
      </c>
      <c r="AS972" s="634" t="str">
        <f t="shared" si="2837"/>
        <v/>
      </c>
      <c r="AT972" s="625" t="str">
        <f t="shared" si="2838"/>
        <v/>
      </c>
      <c r="AU972" s="638" t="e">
        <f t="shared" si="2839"/>
        <v>#N/A</v>
      </c>
      <c r="AV972" s="625" t="e">
        <f t="shared" si="2840"/>
        <v>#N/A</v>
      </c>
      <c r="AX972" s="625">
        <f>IF(AND('General price list'!$J972="F4",'General price list'!$AB972+0&gt;0),1,0)</f>
        <v>0</v>
      </c>
      <c r="AY972" s="625">
        <f t="shared" si="2841"/>
        <v>0</v>
      </c>
      <c r="AZ972" s="625">
        <f t="shared" si="2842"/>
        <v>0</v>
      </c>
    </row>
    <row r="973" spans="1:52" ht="15" customHeight="1">
      <c r="A973" s="751" t="str">
        <f>Kat.!C973</f>
        <v xml:space="preserve">           Interiérové fontány, výstřiky, vodopády</v>
      </c>
      <c r="B973" s="751"/>
      <c r="C973" s="751"/>
      <c r="D973" s="751"/>
      <c r="E973" s="751"/>
      <c r="F973" s="751"/>
      <c r="G973" s="751"/>
      <c r="H973" s="751"/>
      <c r="I973" s="752"/>
      <c r="J973" s="752"/>
      <c r="K973" s="752" t="s">
        <v>20</v>
      </c>
      <c r="L973" s="753" t="s">
        <v>2818</v>
      </c>
      <c r="M973" s="752"/>
      <c r="N973" s="752"/>
      <c r="O973" s="752"/>
      <c r="P973" s="752"/>
      <c r="Q973" s="752"/>
      <c r="R973" s="752"/>
      <c r="S973" s="752"/>
      <c r="T973" s="752"/>
      <c r="U973" s="752"/>
      <c r="V973" s="752"/>
      <c r="W973" s="752"/>
      <c r="X973" s="752"/>
      <c r="Y973" s="752"/>
      <c r="Z973" s="752" t="s">
        <v>20</v>
      </c>
      <c r="AA973" s="752"/>
      <c r="AB973" s="752"/>
      <c r="AC973" s="754"/>
      <c r="AD973" s="752"/>
      <c r="AE973" s="752"/>
      <c r="AF973" s="752"/>
      <c r="AG973" s="752"/>
      <c r="AH973" s="752"/>
      <c r="AI973" s="752"/>
      <c r="AJ973" s="752"/>
      <c r="AK973" s="752"/>
      <c r="AL973" s="752"/>
      <c r="AM973" s="752"/>
      <c r="AN973" s="752"/>
      <c r="AO973" s="623"/>
      <c r="AP973" s="632" t="str">
        <f t="shared" si="2835"/>
        <v/>
      </c>
      <c r="AQ973" s="633" t="str">
        <f>IF(AC973=$V$3,IF(VLOOKUP(C973,[1]List1!$A:$E,5,FALSE)=0,1,VLOOKUP(C973,[1]List1!$A:$E,5,FALSE)),"")</f>
        <v/>
      </c>
      <c r="AR973" s="625" t="str">
        <f t="shared" si="2836"/>
        <v/>
      </c>
      <c r="AS973" s="634" t="str">
        <f t="shared" si="2837"/>
        <v/>
      </c>
      <c r="AT973" s="625" t="str">
        <f t="shared" si="2838"/>
        <v/>
      </c>
      <c r="AU973" s="638" t="e">
        <f t="shared" si="2839"/>
        <v>#N/A</v>
      </c>
      <c r="AV973" s="625" t="e">
        <f t="shared" si="2840"/>
        <v>#N/A</v>
      </c>
      <c r="AX973" s="625">
        <f>IF(AND('General price list'!$J973="F4",'General price list'!$AB973+0&gt;0),1,0)</f>
        <v>0</v>
      </c>
      <c r="AY973" s="625">
        <f t="shared" si="2841"/>
        <v>0</v>
      </c>
      <c r="AZ973" s="625">
        <f t="shared" si="2842"/>
        <v>0</v>
      </c>
    </row>
    <row r="974" spans="1:52" ht="15" customHeight="1">
      <c r="A974" s="639" t="str">
        <f>Kat.!C974</f>
        <v/>
      </c>
      <c r="B974" s="640">
        <f>IF(AND('General price list'!$J974="F4",$AI$1=FALSE),0,IF(AC974="SKLADEM",1,IF(AC974=$V$3,1,0)))</f>
        <v>1</v>
      </c>
      <c r="C974" s="641" t="s">
        <v>2022</v>
      </c>
      <c r="D974" s="642" t="s">
        <v>2023</v>
      </c>
      <c r="E974" s="643" t="s">
        <v>12750</v>
      </c>
      <c r="F974" s="771">
        <f>IFERROR(VLOOKUP(C974,[2]List1!$A:$D,3,FALSE),"NEUVEDENO!")</f>
        <v>185</v>
      </c>
      <c r="G974" s="768">
        <f t="shared" ref="G974:G976" si="2973">IF($W$17=$AF$8,ROUND((F974)/$F$17,2),(F974)*$B$19)</f>
        <v>185</v>
      </c>
      <c r="H974" s="765">
        <f t="shared" ref="H974:H976" si="2974">IF($W$17=$AF$8,G974*$B$19,G974/$F$17)</f>
        <v>7.85852947798125</v>
      </c>
      <c r="I974" s="644">
        <f>IFERROR(VLOOKUP(C974,[2]List1!$A:$D,4,FALSE),"NEUVEDENO!")</f>
        <v>24</v>
      </c>
      <c r="J974" s="733" t="s">
        <v>193</v>
      </c>
      <c r="K974" s="645" t="s">
        <v>20</v>
      </c>
      <c r="L974" s="645" t="s">
        <v>10968</v>
      </c>
      <c r="M974" s="645" t="s">
        <v>21</v>
      </c>
      <c r="N974" s="645">
        <f>IFERROR(VLOOKUP(C974,[3]List1!$A:$D,4,FALSE),"N/A!")</f>
        <v>2.0063999999999999E-2</v>
      </c>
      <c r="O974" s="645">
        <f>IFERROR(VLOOKUP(C974,[3]List1!$A:$D,3,FALSE),"N/A!")</f>
        <v>2400</v>
      </c>
      <c r="P974" s="645">
        <f>IFERROR(VLOOKUP(C974,[3]List1!$A:$D,2,FALSE),"N/A!")</f>
        <v>12000</v>
      </c>
      <c r="Q974" s="645" t="s">
        <v>11232</v>
      </c>
      <c r="R974" s="645" t="s">
        <v>20</v>
      </c>
      <c r="S974" s="645"/>
      <c r="T974" s="645">
        <v>20</v>
      </c>
      <c r="U974" s="645"/>
      <c r="V974" s="645"/>
      <c r="W974" s="645" t="str">
        <f>IFERROR(IF(AND($AB974&gt;=0.1*$AA974,MOD($AB974,$AA974)&gt;=($AA974-(0.1*$AA974))),IF($W$17=$AF$1,"Zvažte možnost doobjednání ještě "&amp;Tabulka1[[#This Row],[VKPAL]]-MOD(AB974,AA974)&amp;" VK do plné palety.",VLOOKUP("Zvažte možnost doobjednání ještě ",Jazyky_ceník!A:Q,MATCH($W$17,Jazyky_ceník!$A$1:$Q$1,0),FALSE)&amp;Tabulka1[[#This Row],[VKPAL]]-MOD(AB974,AA974)&amp;VLOOKUP(" VK do plné palety.",Jazyky_ceník!A:Q,MATCH($W$17,Jazyky_ceník!$A$1:$Q$1,0),FALSE)),IFERROR(IF(AND(NOT(MOD($AB974,$AA974)=0),$AB974&gt;=0.9*$AA974,MOD($AB974,$AA974)&lt;=0.1*$AA974),IF($W$17=$AF$1,"Zvažte možnost optimalizace objednaného množství podle počtu VK na paletě ==&gt;",VLOOKUP("Zvažte možnost optimalizace objednaného množství podle počtu VK na paletě ==&gt;",Jazyky_ceník!A:Q,MATCH($W$17,Jazyky_ceník!$A$1:$Q$1,0),FALSE)),VLOOKUP('General price list'!$C974,Popisy!A:M,MATCH($W$17,Popisy!$A$7:$M$7,0),FALSE)),"---------------")),IFERROR(VLOOKUP('General price list'!$C974,Popisy!A:M,MATCH($W$17,Popisy!$A$7:$M$7,0),FALSE),"---------------"))</f>
        <v>stříbrná fontána-bez kouře, 2m výška efektu,elektrický odpal</v>
      </c>
      <c r="X974" s="645" t="str">
        <f t="shared" ref="X974:X976" si="2975">IF(AB974&lt;0.0001,"",AB974)</f>
        <v/>
      </c>
      <c r="Y974" s="645" t="str">
        <f t="shared" ref="Y974:Y976" si="2976">IF($AL$3=2,IF(OR(AB974&lt;&gt;"",AB974&lt;&gt;0),AU974,""),IF(C974="","",IF(AB974&lt;0.0001,"",IF(B974=0,"",IF(AQ974&lt;AB974,"",AB974)))))</f>
        <v/>
      </c>
      <c r="Z974" s="645" t="str">
        <f>HYPERLINK("https://www.klasekpyrotechnics.cz/if220a")</f>
        <v>https://www.klasekpyrotechnics.cz/if220a</v>
      </c>
      <c r="AA974" s="645">
        <f>IFERROR(IF(VLOOKUP(C974,[4]List1!$A:$D,4,FALSE)=0,"",VLOOKUP(C974,[4]List1!$A:$D,4,FALSE)),"")</f>
        <v>70</v>
      </c>
      <c r="AB974" s="646"/>
      <c r="AC974" s="647" t="str">
        <f>IFERROR(IF(VLOOKUP(C974,[1]List1!$A:$D,2,FALSE)="VYPRODÁNO",$V$9,IF(VLOOKUP(C974,[1]List1!$A:$D,2,FALSE)="DOCHÁZÍ",$V$3,VLOOKUP(C974,[1]List1!$A:$D,2,FALSE))),"OFFLINE!")</f>
        <v>SKLADEM</v>
      </c>
      <c r="AD974" s="647" t="str">
        <f ca="1">IF(AP974="NE",$V$10,IF(AC974=$V$3,IF(AQ974&lt;1,$V$8,$V$2&amp;" "&amp;AQ974&amp;" "&amp;$V$1),IF(AC974="SKLADEM",$V$6,IFERROR(IF(OR(AC974-TODAY()&gt;45,VLOOKUP(C974,[1]List1!$A:$E,4,FALSE)=0),AC974,DAY(AC974)&amp;"."&amp;MONTH(AC974)&amp;"."&amp;YEAR(AC974)&amp;" "&amp;$V$4&amp;VLOOKUP(C974,[1]List1!$A:$E,4,FALSE)&amp;" "&amp;$V$1),AC974))))</f>
        <v>SKLADEM</v>
      </c>
      <c r="AE974" s="645" t="str">
        <f t="shared" ref="AE974:AE976" ca="1" si="2977">IFERROR(IF(AV974&lt;&gt;"",AV974,AD974),AD974)</f>
        <v>SKLADEM</v>
      </c>
      <c r="AF974" s="648">
        <f t="shared" ref="AF974:AF976" si="2978">IFERROR(IF(AB974=Y974,G974*I974*Y974,0),0)</f>
        <v>0</v>
      </c>
      <c r="AG974" s="649">
        <f t="shared" ref="AG974:AG976" si="2979">IF($W$17=$AF$8,AH974*1.23,AF974*1.21)</f>
        <v>0</v>
      </c>
      <c r="AH974" s="650">
        <f t="shared" ref="AH974:AH976" si="2980">IFERROR(IF(Y974=AB974,H974*I974*Y974,0),0)</f>
        <v>0</v>
      </c>
      <c r="AI974" s="645">
        <f t="shared" ref="AI974:AI976" si="2981">IFERROR(IF(Y974=AB974,(P974*Y974)/1000,1),0)</f>
        <v>0</v>
      </c>
      <c r="AJ974" s="645">
        <f t="shared" ref="AJ974:AJ976" si="2982">IFERROR(IF(Y974=AB974,N974*Y974,0.1),0)</f>
        <v>0</v>
      </c>
      <c r="AK974" s="645" t="str">
        <f t="shared" ref="AK974:AK976" si="2983">IFERROR(IF(Y974=AB974,IF(M974="1.1G",(O974/1000)*Y974,""),""),0)</f>
        <v/>
      </c>
      <c r="AL974" s="645" t="str">
        <f t="shared" ref="AL974:AL976" si="2984">IFERROR(IF(Y974=AB974,IF(M974="1.3G",(O974/1000)*AB974,""),""),0)</f>
        <v/>
      </c>
      <c r="AM974" s="645">
        <f t="shared" ref="AM974:AM976" si="2985">IFERROR(IF(Y974=AB974,IF(M974="1.4G",(O974/1000)*AB974,""),""),0)</f>
        <v>0</v>
      </c>
      <c r="AN974" s="651">
        <f t="shared" ref="AN974:AN976" si="2986">SUM(AK974:AM974)</f>
        <v>0</v>
      </c>
      <c r="AO974" s="623"/>
      <c r="AP974" s="632" t="str">
        <f t="shared" si="2835"/>
        <v/>
      </c>
      <c r="AQ974" s="633" t="str">
        <f>IF(AC974=$V$3,IF(VLOOKUP(C974,[1]List1!$A:$E,5,FALSE)=0,1,VLOOKUP(C974,[1]List1!$A:$E,5,FALSE)),"")</f>
        <v/>
      </c>
      <c r="AR974" s="625" t="str">
        <f t="shared" si="2836"/>
        <v/>
      </c>
      <c r="AS974" s="634" t="str">
        <f t="shared" si="2837"/>
        <v/>
      </c>
      <c r="AT974" s="625" t="str">
        <f t="shared" si="2838"/>
        <v/>
      </c>
      <c r="AU974" s="638" t="e">
        <f t="shared" si="2839"/>
        <v>#N/A</v>
      </c>
      <c r="AV974" s="625" t="e">
        <f t="shared" si="2840"/>
        <v>#N/A</v>
      </c>
      <c r="AX974" s="625">
        <f>IF(AND('General price list'!$J974="F4",'General price list'!$AB974+0&gt;0),1,0)</f>
        <v>0</v>
      </c>
      <c r="AY974" s="625">
        <f t="shared" si="2841"/>
        <v>1</v>
      </c>
      <c r="AZ974" s="625">
        <f t="shared" si="2842"/>
        <v>0</v>
      </c>
    </row>
    <row r="975" spans="1:52" ht="15" customHeight="1">
      <c r="A975" s="621" t="str">
        <f>Kat.!C975</f>
        <v/>
      </c>
      <c r="B975" s="566">
        <f>IF(AND('General price list'!$J975="F4",$AI$1=FALSE),0,IF(AC975="SKLADEM",1,IF(AC975=$V$3,1,0)))</f>
        <v>1</v>
      </c>
      <c r="C975" s="567" t="s">
        <v>2027</v>
      </c>
      <c r="D975" s="568" t="s">
        <v>2028</v>
      </c>
      <c r="E975" s="763" t="s">
        <v>12750</v>
      </c>
      <c r="F975" s="772">
        <f>IFERROR(VLOOKUP(C975,[2]List1!$A:$D,3,FALSE),"NEUVEDENO!")</f>
        <v>273</v>
      </c>
      <c r="G975" s="769">
        <f t="shared" si="2973"/>
        <v>273</v>
      </c>
      <c r="H975" s="766">
        <f t="shared" si="2974"/>
        <v>11.596640797237196</v>
      </c>
      <c r="I975" s="764">
        <f>IFERROR(VLOOKUP(C975,[2]List1!$A:$D,4,FALSE),"NEUVEDENO!")</f>
        <v>24</v>
      </c>
      <c r="J975" s="732" t="s">
        <v>193</v>
      </c>
      <c r="K975" s="569" t="s">
        <v>20</v>
      </c>
      <c r="L975" s="569" t="s">
        <v>10968</v>
      </c>
      <c r="M975" s="569" t="s">
        <v>21</v>
      </c>
      <c r="N975" s="569">
        <f>IFERROR(VLOOKUP(C975,[3]List1!$A:$D,4,FALSE),"N/A!")</f>
        <v>2.6712E-2</v>
      </c>
      <c r="O975" s="569">
        <f>IFERROR(VLOOKUP(C975,[3]List1!$A:$D,3,FALSE),"N/A!")</f>
        <v>3600</v>
      </c>
      <c r="P975" s="569">
        <f>IFERROR(VLOOKUP(C975,[3]List1!$A:$D,2,FALSE),"N/A!")</f>
        <v>14500</v>
      </c>
      <c r="Q975" s="569" t="s">
        <v>11232</v>
      </c>
      <c r="R975" s="569" t="s">
        <v>20</v>
      </c>
      <c r="S975" s="569"/>
      <c r="T975" s="569">
        <v>30</v>
      </c>
      <c r="U975" s="569"/>
      <c r="V975" s="569"/>
      <c r="W975" s="569" t="str">
        <f>IFERROR(IF(AND($AB975&gt;=0.1*$AA975,MOD($AB975,$AA975)&gt;=($AA975-(0.1*$AA975))),IF($W$17=$AF$1,"Zvažte možnost doobjednání ještě "&amp;Tabulka1[[#This Row],[VKPAL]]-MOD(AB975,AA975)&amp;" VK do plné palety.",VLOOKUP("Zvažte možnost doobjednání ještě ",Jazyky_ceník!A:Q,MATCH($W$17,Jazyky_ceník!$A$1:$Q$1,0),FALSE)&amp;Tabulka1[[#This Row],[VKPAL]]-MOD(AB975,AA975)&amp;VLOOKUP(" VK do plné palety.",Jazyky_ceník!A:Q,MATCH($W$17,Jazyky_ceník!$A$1:$Q$1,0),FALSE)),IFERROR(IF(AND(NOT(MOD($AB975,$AA975)=0),$AB975&gt;=0.9*$AA975,MOD($AB975,$AA975)&lt;=0.1*$AA975),IF($W$17=$AF$1,"Zvažte možnost optimalizace objednaného množství podle počtu VK na paletě ==&gt;",VLOOKUP("Zvažte možnost optimalizace objednaného množství podle počtu VK na paletě ==&gt;",Jazyky_ceník!A:Q,MATCH($W$17,Jazyky_ceník!$A$1:$Q$1,0),FALSE)),VLOOKUP('General price list'!$C975,Popisy!A:M,MATCH($W$17,Popisy!$A$7:$M$7,0),FALSE)),"---------------")),IFERROR(VLOOKUP('General price list'!$C975,Popisy!A:M,MATCH($W$17,Popisy!$A$7:$M$7,0),FALSE),"---------------"))</f>
        <v>stříbrná fontána-bez kouře, 3m výška efektu,elektrický odpal</v>
      </c>
      <c r="X975" s="569" t="str">
        <f t="shared" si="2975"/>
        <v/>
      </c>
      <c r="Y975" s="569" t="str">
        <f t="shared" si="2976"/>
        <v/>
      </c>
      <c r="Z975" s="569" t="str">
        <f>HYPERLINK("https://www.klasekpyrotechnics.cz/if3ma")</f>
        <v>https://www.klasekpyrotechnics.cz/if3ma</v>
      </c>
      <c r="AA975" s="569">
        <f>IFERROR(IF(VLOOKUP(C975,[4]List1!$A:$D,4,FALSE)=0,"",VLOOKUP(C975,[4]List1!$A:$D,4,FALSE)),"")</f>
        <v>48</v>
      </c>
      <c r="AB975" s="565"/>
      <c r="AC975" s="570" t="str">
        <f>IFERROR(IF(VLOOKUP(C975,[1]List1!$A:$D,2,FALSE)="VYPRODÁNO",$V$9,IF(VLOOKUP(C975,[1]List1!$A:$D,2,FALSE)="DOCHÁZÍ",$V$3,VLOOKUP(C975,[1]List1!$A:$D,2,FALSE))),"OFFLINE!")</f>
        <v>SKLADEM</v>
      </c>
      <c r="AD975" s="570" t="str">
        <f ca="1">IF(AP975="NE",$V$10,IF(AC975=$V$3,IF(AQ975&lt;1,$V$8,$V$2&amp;" "&amp;AQ975&amp;" "&amp;$V$1),IF(AC975="SKLADEM",$V$6,IFERROR(IF(OR(AC975-TODAY()&gt;45,VLOOKUP(C975,[1]List1!$A:$E,4,FALSE)=0),AC975,DAY(AC975)&amp;"."&amp;MONTH(AC975)&amp;"."&amp;YEAR(AC975)&amp;" "&amp;$V$4&amp;VLOOKUP(C975,[1]List1!$A:$E,4,FALSE)&amp;" "&amp;$V$1),AC975))))</f>
        <v>SKLADEM</v>
      </c>
      <c r="AE975" s="581" t="str">
        <f t="shared" ca="1" si="2977"/>
        <v>SKLADEM</v>
      </c>
      <c r="AF975" s="584">
        <f t="shared" si="2978"/>
        <v>0</v>
      </c>
      <c r="AG975" s="585">
        <f t="shared" si="2979"/>
        <v>0</v>
      </c>
      <c r="AH975" s="583">
        <f t="shared" si="2980"/>
        <v>0</v>
      </c>
      <c r="AI975" s="582">
        <f t="shared" si="2981"/>
        <v>0</v>
      </c>
      <c r="AJ975" s="569">
        <f t="shared" si="2982"/>
        <v>0</v>
      </c>
      <c r="AK975" s="569" t="str">
        <f t="shared" si="2983"/>
        <v/>
      </c>
      <c r="AL975" s="569" t="str">
        <f t="shared" si="2984"/>
        <v/>
      </c>
      <c r="AM975" s="569">
        <f t="shared" si="2985"/>
        <v>0</v>
      </c>
      <c r="AN975" s="581">
        <f t="shared" si="2986"/>
        <v>0</v>
      </c>
      <c r="AO975" s="623"/>
      <c r="AP975" s="632" t="str">
        <f t="shared" si="2835"/>
        <v/>
      </c>
      <c r="AQ975" s="633" t="str">
        <f>IF(AC975=$V$3,IF(VLOOKUP(C975,[1]List1!$A:$E,5,FALSE)=0,1,VLOOKUP(C975,[1]List1!$A:$E,5,FALSE)),"")</f>
        <v/>
      </c>
      <c r="AR975" s="625" t="str">
        <f t="shared" si="2836"/>
        <v/>
      </c>
      <c r="AS975" s="634" t="str">
        <f t="shared" si="2837"/>
        <v/>
      </c>
      <c r="AT975" s="625" t="str">
        <f t="shared" si="2838"/>
        <v/>
      </c>
      <c r="AU975" s="638" t="e">
        <f t="shared" si="2839"/>
        <v>#N/A</v>
      </c>
      <c r="AV975" s="625" t="e">
        <f t="shared" si="2840"/>
        <v>#N/A</v>
      </c>
      <c r="AX975" s="625">
        <f>IF(AND('General price list'!$J975="F4",'General price list'!$AB975+0&gt;0),1,0)</f>
        <v>0</v>
      </c>
      <c r="AY975" s="625">
        <f t="shared" si="2841"/>
        <v>1</v>
      </c>
      <c r="AZ975" s="625">
        <f t="shared" si="2842"/>
        <v>0</v>
      </c>
    </row>
    <row r="976" spans="1:52" ht="15" customHeight="1">
      <c r="A976" s="639" t="str">
        <f>Kat.!C976</f>
        <v/>
      </c>
      <c r="B976" s="640">
        <f>IF(AND('General price list'!$J976="F4",$AI$1=FALSE),0,IF(AC976="SKLADEM",1,IF(AC976=$V$3,1,0)))</f>
        <v>0</v>
      </c>
      <c r="C976" s="641" t="s">
        <v>2035</v>
      </c>
      <c r="D976" s="642" t="s">
        <v>2036</v>
      </c>
      <c r="E976" s="643" t="s">
        <v>12751</v>
      </c>
      <c r="F976" s="773">
        <f>IFERROR(VLOOKUP(C976,[2]List1!$A:$D,3,FALSE),"NEUVEDENO!")</f>
        <v>1151</v>
      </c>
      <c r="G976" s="770">
        <f t="shared" si="2973"/>
        <v>1151</v>
      </c>
      <c r="H976" s="767">
        <f t="shared" si="2974"/>
        <v>48.892796914359018</v>
      </c>
      <c r="I976" s="644">
        <f>IFERROR(VLOOKUP(C976,[2]List1!$A:$D,4,FALSE),"NEUVEDENO!")</f>
        <v>10</v>
      </c>
      <c r="J976" s="733" t="s">
        <v>193</v>
      </c>
      <c r="K976" s="645" t="s">
        <v>20</v>
      </c>
      <c r="L976" s="645" t="s">
        <v>10968</v>
      </c>
      <c r="M976" s="645" t="s">
        <v>21</v>
      </c>
      <c r="N976" s="645">
        <f>IFERROR(VLOOKUP(C976,[3]List1!$A:$D,4,FALSE),"N/A!")</f>
        <v>2.9791999999999999E-2</v>
      </c>
      <c r="O976" s="645">
        <f>IFERROR(VLOOKUP(C976,[3]List1!$A:$D,3,FALSE),"N/A!")</f>
        <v>6000</v>
      </c>
      <c r="P976" s="645">
        <f>IFERROR(VLOOKUP(C976,[3]List1!$A:$D,2,FALSE),"N/A!")</f>
        <v>15500</v>
      </c>
      <c r="Q976" s="645" t="s">
        <v>11807</v>
      </c>
      <c r="R976" s="645"/>
      <c r="S976" s="645"/>
      <c r="T976" s="645">
        <v>60</v>
      </c>
      <c r="U976" s="645"/>
      <c r="V976" s="645"/>
      <c r="W976" s="645" t="str">
        <f>IFERROR(IF(AND($AB976&gt;=0.1*$AA976,MOD($AB976,$AA976)&gt;=($AA976-(0.1*$AA976))),IF($W$17=$AF$1,"Zvažte možnost doobjednání ještě "&amp;Tabulka1[[#This Row],[VKPAL]]-MOD(AB976,AA976)&amp;" VK do plné palety.",VLOOKUP("Zvažte možnost doobjednání ještě ",Jazyky_ceník!A:Q,MATCH($W$17,Jazyky_ceník!$A$1:$Q$1,0),FALSE)&amp;Tabulka1[[#This Row],[VKPAL]]-MOD(AB976,AA976)&amp;VLOOKUP(" VK do plné palety.",Jazyky_ceník!A:Q,MATCH($W$17,Jazyky_ceník!$A$1:$Q$1,0),FALSE)),IFERROR(IF(AND(NOT(MOD($AB976,$AA976)=0),$AB976&gt;=0.9*$AA976,MOD($AB976,$AA976)&lt;=0.1*$AA976),IF($W$17=$AF$1,"Zvažte možnost optimalizace objednaného množství podle počtu VK na paletě ==&gt;",VLOOKUP("Zvažte možnost optimalizace objednaného množství podle počtu VK na paletě ==&gt;",Jazyky_ceník!A:Q,MATCH($W$17,Jazyky_ceník!$A$1:$Q$1,0),FALSE)),VLOOKUP('General price list'!$C976,Popisy!A:M,MATCH($W$17,Popisy!$A$7:$M$7,0),FALSE)),"---------------")),IFERROR(VLOOKUP('General price list'!$C976,Popisy!A:M,MATCH($W$17,Popisy!$A$7:$M$7,0),FALSE),"---------------"))</f>
        <v>stříbrná fontána-bez kouře, 5m výška efektu,elektrický odpal</v>
      </c>
      <c r="X976" s="645" t="str">
        <f t="shared" si="2975"/>
        <v/>
      </c>
      <c r="Y976" s="645" t="str">
        <f t="shared" si="2976"/>
        <v/>
      </c>
      <c r="Z976" s="645" t="str">
        <f>HYPERLINK("https://www.klasekpyrotechnics.cz/if560b")</f>
        <v>https://www.klasekpyrotechnics.cz/if560b</v>
      </c>
      <c r="AA976" s="645">
        <f>IFERROR(IF(VLOOKUP(C976,[4]List1!$A:$D,4,FALSE)=0,"",VLOOKUP(C976,[4]List1!$A:$D,4,FALSE)),"")</f>
        <v>32</v>
      </c>
      <c r="AB976" s="646"/>
      <c r="AC976" s="647" t="str">
        <f>IFERROR(IF(VLOOKUP(C976,[1]List1!$A:$D,2,FALSE)="VYPRODÁNO",$V$9,IF(VLOOKUP(C976,[1]List1!$A:$D,2,FALSE)="DOCHÁZÍ",$V$3,VLOOKUP(C976,[1]List1!$A:$D,2,FALSE))),"OFFLINE!")</f>
        <v>14.04.2026</v>
      </c>
      <c r="AD976" s="647" t="str">
        <f ca="1">IF(AP976="NE",$V$10,IF(AC976=$V$3,IF(AQ976&lt;1,$V$8,$V$2&amp;" "&amp;AQ976&amp;" "&amp;$V$1),IF(AC976="SKLADEM",$V$6,IFERROR(IF(OR(AC976-TODAY()&gt;45,VLOOKUP(C976,[1]List1!$A:$E,4,FALSE)=0),AC976,DAY(AC976)&amp;"."&amp;MONTH(AC976)&amp;"."&amp;YEAR(AC976)&amp;" "&amp;$V$4&amp;VLOOKUP(C976,[1]List1!$A:$E,4,FALSE)&amp;" "&amp;$V$1),AC976))))</f>
        <v>14.4.2026 DORAZÍ 50 VK</v>
      </c>
      <c r="AE976" s="645" t="str">
        <f t="shared" ca="1" si="2977"/>
        <v>14.4.2026 DORAZÍ 50 VK</v>
      </c>
      <c r="AF976" s="648">
        <f t="shared" si="2978"/>
        <v>0</v>
      </c>
      <c r="AG976" s="649">
        <f t="shared" si="2979"/>
        <v>0</v>
      </c>
      <c r="AH976" s="650">
        <f t="shared" si="2980"/>
        <v>0</v>
      </c>
      <c r="AI976" s="645">
        <f t="shared" si="2981"/>
        <v>0</v>
      </c>
      <c r="AJ976" s="645">
        <f t="shared" si="2982"/>
        <v>0</v>
      </c>
      <c r="AK976" s="645" t="str">
        <f t="shared" si="2983"/>
        <v/>
      </c>
      <c r="AL976" s="645" t="str">
        <f t="shared" si="2984"/>
        <v/>
      </c>
      <c r="AM976" s="645">
        <f t="shared" si="2985"/>
        <v>0</v>
      </c>
      <c r="AN976" s="651">
        <f t="shared" si="2986"/>
        <v>0</v>
      </c>
      <c r="AO976" s="623"/>
      <c r="AP976" s="632" t="str">
        <f t="shared" si="2835"/>
        <v/>
      </c>
      <c r="AQ976" s="633" t="str">
        <f>IF(AC976=$V$3,IF(VLOOKUP(C976,[1]List1!$A:$E,5,FALSE)=0,1,VLOOKUP(C976,[1]List1!$A:$E,5,FALSE)),"")</f>
        <v/>
      </c>
      <c r="AR976" s="625" t="str">
        <f t="shared" si="2836"/>
        <v/>
      </c>
      <c r="AS976" s="634" t="str">
        <f t="shared" si="2837"/>
        <v/>
      </c>
      <c r="AT976" s="625" t="str">
        <f t="shared" si="2838"/>
        <v/>
      </c>
      <c r="AU976" s="638" t="e">
        <f t="shared" si="2839"/>
        <v>#N/A</v>
      </c>
      <c r="AV976" s="625" t="e">
        <f t="shared" si="2840"/>
        <v>#N/A</v>
      </c>
      <c r="AX976" s="625">
        <f>IF(AND('General price list'!$J976="F4",'General price list'!$AB976+0&gt;0),1,0)</f>
        <v>0</v>
      </c>
      <c r="AY976" s="625">
        <f t="shared" si="2841"/>
        <v>1</v>
      </c>
      <c r="AZ976" s="625">
        <f t="shared" si="2842"/>
        <v>0</v>
      </c>
    </row>
    <row r="977" spans="1:52" ht="15" customHeight="1">
      <c r="A977" s="751" t="str">
        <f>Kat.!C977</f>
        <v xml:space="preserve">           Ostatní</v>
      </c>
      <c r="B977" s="751"/>
      <c r="C977" s="751"/>
      <c r="D977" s="751"/>
      <c r="E977" s="751"/>
      <c r="F977" s="751"/>
      <c r="G977" s="751"/>
      <c r="H977" s="751"/>
      <c r="I977" s="752"/>
      <c r="J977" s="752"/>
      <c r="K977" s="752" t="s">
        <v>20</v>
      </c>
      <c r="L977" s="753" t="s">
        <v>2818</v>
      </c>
      <c r="M977" s="752"/>
      <c r="N977" s="752"/>
      <c r="O977" s="752"/>
      <c r="P977" s="752"/>
      <c r="Q977" s="752"/>
      <c r="R977" s="752"/>
      <c r="S977" s="752"/>
      <c r="T977" s="752"/>
      <c r="U977" s="752"/>
      <c r="V977" s="752"/>
      <c r="W977" s="752"/>
      <c r="X977" s="752"/>
      <c r="Y977" s="752"/>
      <c r="Z977" s="752" t="s">
        <v>20</v>
      </c>
      <c r="AA977" s="752"/>
      <c r="AB977" s="752"/>
      <c r="AC977" s="754"/>
      <c r="AD977" s="752"/>
      <c r="AE977" s="752"/>
      <c r="AF977" s="752"/>
      <c r="AG977" s="752"/>
      <c r="AH977" s="752"/>
      <c r="AI977" s="752"/>
      <c r="AJ977" s="752"/>
      <c r="AK977" s="752"/>
      <c r="AL977" s="752"/>
      <c r="AM977" s="752"/>
      <c r="AN977" s="752"/>
      <c r="AO977" s="623"/>
      <c r="AP977" s="632" t="str">
        <f t="shared" si="2835"/>
        <v/>
      </c>
      <c r="AQ977" s="633" t="str">
        <f>IF(AC977=$V$3,IF(VLOOKUP(C977,[1]List1!$A:$E,5,FALSE)=0,1,VLOOKUP(C977,[1]List1!$A:$E,5,FALSE)),"")</f>
        <v/>
      </c>
      <c r="AR977" s="625" t="str">
        <f t="shared" si="2836"/>
        <v/>
      </c>
      <c r="AS977" s="634" t="str">
        <f t="shared" si="2837"/>
        <v/>
      </c>
      <c r="AT977" s="625" t="str">
        <f t="shared" si="2838"/>
        <v/>
      </c>
      <c r="AU977" s="638" t="e">
        <f t="shared" si="2839"/>
        <v>#N/A</v>
      </c>
      <c r="AV977" s="625" t="e">
        <f t="shared" si="2840"/>
        <v>#N/A</v>
      </c>
      <c r="AX977" s="625">
        <f>IF(AND('General price list'!$J977="F4",'General price list'!$AB977+0&gt;0),1,0)</f>
        <v>0</v>
      </c>
      <c r="AY977" s="625">
        <f t="shared" si="2841"/>
        <v>0</v>
      </c>
      <c r="AZ977" s="625">
        <f t="shared" si="2842"/>
        <v>0</v>
      </c>
    </row>
    <row r="978" spans="1:52" ht="15" customHeight="1">
      <c r="A978" s="639" t="str">
        <f>Kat.!C978</f>
        <v/>
      </c>
      <c r="B978" s="640">
        <f>IF(AND('General price list'!$J978="F4",$AI$1=FALSE),0,IF(AC978="SKLADEM",1,IF(AC978=$V$3,1,0)))</f>
        <v>1</v>
      </c>
      <c r="C978" s="641" t="s">
        <v>2045</v>
      </c>
      <c r="D978" s="642" t="s">
        <v>2046</v>
      </c>
      <c r="E978" s="643" t="s">
        <v>12752</v>
      </c>
      <c r="F978" s="771">
        <f>IFERROR(VLOOKUP(C978,[2]List1!$A:$D,3,FALSE),"NEUVEDENO!")</f>
        <v>600</v>
      </c>
      <c r="G978" s="768">
        <f t="shared" ref="G978:G982" si="2987">IF($W$17=$AF$8,ROUND((F978)/$F$17,2),(F978)*$B$19)</f>
        <v>600</v>
      </c>
      <c r="H978" s="765">
        <f t="shared" ref="H978:H982" si="2988">IF($W$17=$AF$8,G978*$B$19,G978/$F$17)</f>
        <v>25.487122631290539</v>
      </c>
      <c r="I978" s="644">
        <f>IFERROR(VLOOKUP(C978,[2]List1!$A:$D,4,FALSE),"NEUVEDENO!")</f>
        <v>20</v>
      </c>
      <c r="J978" s="733" t="s">
        <v>208</v>
      </c>
      <c r="K978" s="645" t="s">
        <v>20</v>
      </c>
      <c r="L978" s="645" t="s">
        <v>10969</v>
      </c>
      <c r="M978" s="645" t="s">
        <v>21</v>
      </c>
      <c r="N978" s="645">
        <f>IFERROR(VLOOKUP(C978,[3]List1!$A:$D,4,FALSE),"N/A!")</f>
        <v>2.4191999999999998E-2</v>
      </c>
      <c r="O978" s="645">
        <f>IFERROR(VLOOKUP(C978,[3]List1!$A:$D,3,FALSE),"N/A!")</f>
        <v>0.2</v>
      </c>
      <c r="P978" s="645">
        <f>IFERROR(VLOOKUP(C978,[3]List1!$A:$D,2,FALSE),"N/A!")</f>
        <v>9200</v>
      </c>
      <c r="Q978" s="645" t="s">
        <v>11344</v>
      </c>
      <c r="R978" s="645" t="s">
        <v>20</v>
      </c>
      <c r="S978" s="645"/>
      <c r="T978" s="645"/>
      <c r="U978" s="645"/>
      <c r="V978" s="645"/>
      <c r="W978" s="645" t="str">
        <f>IFERROR(IF(AND($AB978&gt;=0.1*$AA978,MOD($AB978,$AA978)&gt;=($AA978-(0.1*$AA978))),IF($W$17=$AF$1,"Zvažte možnost doobjednání ještě "&amp;Tabulka1[[#This Row],[VKPAL]]-MOD(AB978,AA978)&amp;" VK do plné palety.",VLOOKUP("Zvažte možnost doobjednání ještě ",Jazyky_ceník!A:Q,MATCH($W$17,Jazyky_ceník!$A$1:$Q$1,0),FALSE)&amp;Tabulka1[[#This Row],[VKPAL]]-MOD(AB978,AA978)&amp;VLOOKUP(" VK do plné palety.",Jazyky_ceník!A:Q,MATCH($W$17,Jazyky_ceník!$A$1:$Q$1,0),FALSE)),IFERROR(IF(AND(NOT(MOD($AB978,$AA978)=0),$AB978&gt;=0.9*$AA978,MOD($AB978,$AA978)&lt;=0.1*$AA978),IF($W$17=$AF$1,"Zvažte možnost optimalizace objednaného množství podle počtu VK na paletě ==&gt;",VLOOKUP("Zvažte možnost optimalizace objednaného množství podle počtu VK na paletě ==&gt;",Jazyky_ceník!A:Q,MATCH($W$17,Jazyky_ceník!$A$1:$Q$1,0),FALSE)),VLOOKUP('General price list'!$C978,Popisy!A:M,MATCH($W$17,Popisy!$A$7:$M$7,0),FALSE)),"---------------")),IFERROR(VLOOKUP('General price list'!$C978,Popisy!A:M,MATCH($W$17,Popisy!$A$7:$M$7,0),FALSE),"---------------"))</f>
        <v>elektrický palník, délka 30cm</v>
      </c>
      <c r="X978" s="645" t="str">
        <f t="shared" ref="X978:X982" si="2989">IF(AB978&lt;0.0001,"",AB978)</f>
        <v/>
      </c>
      <c r="Y978" s="645" t="str">
        <f t="shared" ref="Y978:Y983" si="2990">IF($AL$3=2,IF(OR(AB978&lt;&gt;"",AB978&lt;&gt;0),AU978,""),IF(C978="","",IF(AB978&lt;0.0001,"",IF(B978=0,"",IF(AQ978&lt;AB978,"",AB978)))))</f>
        <v/>
      </c>
      <c r="Z978" s="645" t="str">
        <f>HYPERLINK("https://www.klasekpyrotechnics.cz/ep03m")</f>
        <v>https://www.klasekpyrotechnics.cz/ep03m</v>
      </c>
      <c r="AA978" s="645">
        <f>IFERROR(IF(VLOOKUP(C978,[4]List1!$A:$D,4,FALSE)=0,"",VLOOKUP(C978,[4]List1!$A:$D,4,FALSE)),"")</f>
        <v>30</v>
      </c>
      <c r="AB978" s="646"/>
      <c r="AC978" s="647" t="str">
        <f>IFERROR(IF(VLOOKUP(C978,[1]List1!$A:$D,2,FALSE)="VYPRODÁNO",$V$9,IF(VLOOKUP(C978,[1]List1!$A:$D,2,FALSE)="DOCHÁZÍ",$V$3,VLOOKUP(C978,[1]List1!$A:$D,2,FALSE))),"OFFLINE!")</f>
        <v>SKLADEM</v>
      </c>
      <c r="AD978" s="647" t="str">
        <f ca="1">IF(AP978="NE",$V$10,IF(AC978=$V$3,IF(AQ978&lt;1,$V$8,$V$2&amp;" "&amp;AQ978&amp;" "&amp;$V$1),IF(AC978="SKLADEM",$V$6,IFERROR(IF(OR(AC978-TODAY()&gt;45,VLOOKUP(C978,[1]List1!$A:$E,4,FALSE)=0),AC978,DAY(AC978)&amp;"."&amp;MONTH(AC978)&amp;"."&amp;YEAR(AC978)&amp;" "&amp;$V$4&amp;VLOOKUP(C978,[1]List1!$A:$E,4,FALSE)&amp;" "&amp;$V$1),AC978))))</f>
        <v>SKLADEM</v>
      </c>
      <c r="AE978" s="645" t="str">
        <f t="shared" ref="AE978:AE982" ca="1" si="2991">IFERROR(IF(AV978&lt;&gt;"",AV978,AD978),AD978)</f>
        <v>SKLADEM</v>
      </c>
      <c r="AF978" s="648">
        <f t="shared" ref="AF978:AF982" si="2992">IFERROR(IF(AB978=Y978,G978*I978*Y978,0),0)</f>
        <v>0</v>
      </c>
      <c r="AG978" s="649">
        <f t="shared" ref="AG978:AG982" si="2993">IF($W$17=$AF$8,AH978*1.23,AF978*1.21)</f>
        <v>0</v>
      </c>
      <c r="AH978" s="650">
        <f t="shared" ref="AH978:AH982" si="2994">IFERROR(IF(Y978=AB978,H978*I978*Y978,0),0)</f>
        <v>0</v>
      </c>
      <c r="AI978" s="645">
        <f t="shared" ref="AI978:AI982" si="2995">IFERROR(IF(Y978=AB978,(P978*Y978)/1000,1),0)</f>
        <v>0</v>
      </c>
      <c r="AJ978" s="645">
        <f t="shared" ref="AJ978:AJ982" si="2996">IFERROR(IF(Y978=AB978,N978*Y978,0.1),0)</f>
        <v>0</v>
      </c>
      <c r="AK978" s="645" t="str">
        <f t="shared" ref="AK978:AK982" si="2997">IFERROR(IF(Y978=AB978,IF(M978="1.1G",(O978/1000)*Y978,""),""),0)</f>
        <v/>
      </c>
      <c r="AL978" s="645" t="str">
        <f t="shared" ref="AL978:AL982" si="2998">IFERROR(IF(Y978=AB978,IF(M978="1.3G",(O978/1000)*AB978,""),""),0)</f>
        <v/>
      </c>
      <c r="AM978" s="645">
        <f t="shared" ref="AM978:AM982" si="2999">IFERROR(IF(Y978=AB978,IF(M978="1.4G",(O978/1000)*AB978,""),""),0)</f>
        <v>0</v>
      </c>
      <c r="AN978" s="651">
        <f t="shared" ref="AN978:AN982" si="3000">SUM(AK978:AM978)</f>
        <v>0</v>
      </c>
      <c r="AO978" s="623"/>
      <c r="AP978" s="632" t="str">
        <f t="shared" si="2835"/>
        <v/>
      </c>
      <c r="AQ978" s="633" t="str">
        <f>IF(AC978=$V$3,IF(VLOOKUP(C978,[1]List1!$A:$E,5,FALSE)=0,1,VLOOKUP(C978,[1]List1!$A:$E,5,FALSE)),"")</f>
        <v/>
      </c>
      <c r="AR978" s="625" t="str">
        <f t="shared" si="2836"/>
        <v/>
      </c>
      <c r="AS978" s="634" t="str">
        <f t="shared" si="2837"/>
        <v/>
      </c>
      <c r="AT978" s="625" t="str">
        <f t="shared" si="2838"/>
        <v/>
      </c>
      <c r="AU978" s="638" t="e">
        <f t="shared" si="2839"/>
        <v>#N/A</v>
      </c>
      <c r="AV978" s="625" t="e">
        <f t="shared" si="2840"/>
        <v>#N/A</v>
      </c>
      <c r="AX978" s="625">
        <f>IF(AND('General price list'!$J978="F4",'General price list'!$AB978+0&gt;0),1,0)</f>
        <v>0</v>
      </c>
      <c r="AY978" s="625">
        <f t="shared" si="2841"/>
        <v>5</v>
      </c>
      <c r="AZ978" s="625">
        <f t="shared" si="2842"/>
        <v>0</v>
      </c>
    </row>
    <row r="979" spans="1:52" ht="15" customHeight="1">
      <c r="A979" s="621" t="str">
        <f>Kat.!C979</f>
        <v/>
      </c>
      <c r="B979" s="566">
        <f>IF(AND('General price list'!$J979="F4",$AI$1=FALSE),0,IF(AC979="SKLADEM",1,IF(AC979=$V$3,1,0)))</f>
        <v>1</v>
      </c>
      <c r="C979" s="567" t="s">
        <v>2050</v>
      </c>
      <c r="D979" s="568" t="s">
        <v>2051</v>
      </c>
      <c r="E979" s="763" t="s">
        <v>12753</v>
      </c>
      <c r="F979" s="772">
        <f>IFERROR(VLOOKUP(C979,[2]List1!$A:$D,3,FALSE),"NEUVEDENO!")</f>
        <v>650</v>
      </c>
      <c r="G979" s="769">
        <f t="shared" si="2987"/>
        <v>650</v>
      </c>
      <c r="H979" s="766">
        <f t="shared" si="2988"/>
        <v>27.611049517231418</v>
      </c>
      <c r="I979" s="764">
        <f>IFERROR(VLOOKUP(C979,[2]List1!$A:$D,4,FALSE),"NEUVEDENO!")</f>
        <v>20</v>
      </c>
      <c r="J979" s="732" t="s">
        <v>208</v>
      </c>
      <c r="K979" s="569" t="s">
        <v>20</v>
      </c>
      <c r="L979" s="569" t="s">
        <v>10969</v>
      </c>
      <c r="M979" s="569" t="s">
        <v>21</v>
      </c>
      <c r="N979" s="569">
        <f>IFERROR(VLOOKUP(C979,[3]List1!$A:$D,4,FALSE),"N/A!")</f>
        <v>2.2463999999999998E-2</v>
      </c>
      <c r="O979" s="569">
        <f>IFERROR(VLOOKUP(C979,[3]List1!$A:$D,3,FALSE),"N/A!")</f>
        <v>0.2</v>
      </c>
      <c r="P979" s="569">
        <f>IFERROR(VLOOKUP(C979,[3]List1!$A:$D,2,FALSE),"N/A!")</f>
        <v>7800</v>
      </c>
      <c r="Q979" s="569" t="s">
        <v>11344</v>
      </c>
      <c r="R979" s="569" t="s">
        <v>20</v>
      </c>
      <c r="S979" s="569"/>
      <c r="T979" s="569"/>
      <c r="U979" s="569"/>
      <c r="V979" s="569"/>
      <c r="W979" s="569" t="str">
        <f>IFERROR(IF(AND($AB979&gt;=0.1*$AA979,MOD($AB979,$AA979)&gt;=($AA979-(0.1*$AA979))),IF($W$17=$AF$1,"Zvažte možnost doobjednání ještě "&amp;Tabulka1[[#This Row],[VKPAL]]-MOD(AB979,AA979)&amp;" VK do plné palety.",VLOOKUP("Zvažte možnost doobjednání ještě ",Jazyky_ceník!A:Q,MATCH($W$17,Jazyky_ceník!$A$1:$Q$1,0),FALSE)&amp;Tabulka1[[#This Row],[VKPAL]]-MOD(AB979,AA979)&amp;VLOOKUP(" VK do plné palety.",Jazyky_ceník!A:Q,MATCH($W$17,Jazyky_ceník!$A$1:$Q$1,0),FALSE)),IFERROR(IF(AND(NOT(MOD($AB979,$AA979)=0),$AB979&gt;=0.9*$AA979,MOD($AB979,$AA979)&lt;=0.1*$AA979),IF($W$17=$AF$1,"Zvažte možnost optimalizace objednaného množství podle počtu VK na paletě ==&gt;",VLOOKUP("Zvažte možnost optimalizace objednaného množství podle počtu VK na paletě ==&gt;",Jazyky_ceník!A:Q,MATCH($W$17,Jazyky_ceník!$A$1:$Q$1,0),FALSE)),VLOOKUP('General price list'!$C979,Popisy!A:M,MATCH($W$17,Popisy!$A$7:$M$7,0),FALSE)),"---------------")),IFERROR(VLOOKUP('General price list'!$C979,Popisy!A:M,MATCH($W$17,Popisy!$A$7:$M$7,0),FALSE),"---------------"))</f>
        <v>elektrický palník, délka 100cm</v>
      </c>
      <c r="X979" s="569" t="str">
        <f t="shared" si="2989"/>
        <v/>
      </c>
      <c r="Y979" s="569" t="str">
        <f t="shared" si="2990"/>
        <v/>
      </c>
      <c r="Z979" s="569" t="str">
        <f>HYPERLINK("https://www.klasekpyrotechnics.cz/ep1m")</f>
        <v>https://www.klasekpyrotechnics.cz/ep1m</v>
      </c>
      <c r="AA979" s="569">
        <f>IFERROR(IF(VLOOKUP(C979,[4]List1!$A:$D,4,FALSE)=0,"",VLOOKUP(C979,[4]List1!$A:$D,4,FALSE)),"")</f>
        <v>40</v>
      </c>
      <c r="AB979" s="565"/>
      <c r="AC979" s="570" t="str">
        <f>IFERROR(IF(VLOOKUP(C979,[1]List1!$A:$D,2,FALSE)="VYPRODÁNO",$V$9,IF(VLOOKUP(C979,[1]List1!$A:$D,2,FALSE)="DOCHÁZÍ",$V$3,VLOOKUP(C979,[1]List1!$A:$D,2,FALSE))),"OFFLINE!")</f>
        <v>SKLADEM</v>
      </c>
      <c r="AD979" s="570" t="str">
        <f ca="1">IF(AP979="NE",$V$10,IF(AC979=$V$3,IF(AQ979&lt;1,$V$8,$V$2&amp;" "&amp;AQ979&amp;" "&amp;$V$1),IF(AC979="SKLADEM",$V$6,IFERROR(IF(OR(AC979-TODAY()&gt;45,VLOOKUP(C979,[1]List1!$A:$E,4,FALSE)=0),AC979,DAY(AC979)&amp;"."&amp;MONTH(AC979)&amp;"."&amp;YEAR(AC979)&amp;" "&amp;$V$4&amp;VLOOKUP(C979,[1]List1!$A:$E,4,FALSE)&amp;" "&amp;$V$1),AC979))))</f>
        <v>SKLADEM</v>
      </c>
      <c r="AE979" s="581" t="str">
        <f t="shared" ca="1" si="2991"/>
        <v>SKLADEM</v>
      </c>
      <c r="AF979" s="584">
        <f t="shared" si="2992"/>
        <v>0</v>
      </c>
      <c r="AG979" s="585">
        <f t="shared" si="2993"/>
        <v>0</v>
      </c>
      <c r="AH979" s="583">
        <f t="shared" si="2994"/>
        <v>0</v>
      </c>
      <c r="AI979" s="582">
        <f t="shared" si="2995"/>
        <v>0</v>
      </c>
      <c r="AJ979" s="569">
        <f t="shared" si="2996"/>
        <v>0</v>
      </c>
      <c r="AK979" s="569" t="str">
        <f t="shared" si="2997"/>
        <v/>
      </c>
      <c r="AL979" s="569" t="str">
        <f t="shared" si="2998"/>
        <v/>
      </c>
      <c r="AM979" s="569">
        <f t="shared" si="2999"/>
        <v>0</v>
      </c>
      <c r="AN979" s="581">
        <f t="shared" si="3000"/>
        <v>0</v>
      </c>
      <c r="AO979" s="623"/>
      <c r="AP979" s="632" t="str">
        <f t="shared" si="2835"/>
        <v/>
      </c>
      <c r="AQ979" s="633" t="str">
        <f>IF(AC979=$V$3,IF(VLOOKUP(C979,[1]List1!$A:$E,5,FALSE)=0,1,VLOOKUP(C979,[1]List1!$A:$E,5,FALSE)),"")</f>
        <v/>
      </c>
      <c r="AR979" s="625" t="str">
        <f t="shared" si="2836"/>
        <v/>
      </c>
      <c r="AS979" s="634" t="str">
        <f t="shared" si="2837"/>
        <v/>
      </c>
      <c r="AT979" s="625" t="str">
        <f t="shared" si="2838"/>
        <v/>
      </c>
      <c r="AU979" s="638" t="e">
        <f t="shared" si="2839"/>
        <v>#N/A</v>
      </c>
      <c r="AV979" s="625" t="e">
        <f t="shared" si="2840"/>
        <v>#N/A</v>
      </c>
      <c r="AX979" s="625">
        <f>IF(AND('General price list'!$J979="F4",'General price list'!$AB979+0&gt;0),1,0)</f>
        <v>0</v>
      </c>
      <c r="AY979" s="625">
        <f t="shared" si="2841"/>
        <v>5</v>
      </c>
      <c r="AZ979" s="625">
        <f t="shared" si="2842"/>
        <v>0</v>
      </c>
    </row>
    <row r="980" spans="1:52" ht="15" customHeight="1">
      <c r="A980" s="639" t="str">
        <f>Kat.!C980</f>
        <v/>
      </c>
      <c r="B980" s="640">
        <f>IF(AND('General price list'!$J980="F4",$AI$1=FALSE),0,IF(AC980="SKLADEM",1,IF(AC980=$V$3,1,0)))</f>
        <v>1</v>
      </c>
      <c r="C980" s="641" t="s">
        <v>2055</v>
      </c>
      <c r="D980" s="642" t="s">
        <v>12617</v>
      </c>
      <c r="E980" s="643" t="s">
        <v>12753</v>
      </c>
      <c r="F980" s="771">
        <f>IFERROR(VLOOKUP(C980,[2]List1!$A:$D,3,FALSE),"NEUVEDENO!")</f>
        <v>820</v>
      </c>
      <c r="G980" s="768">
        <f t="shared" si="2987"/>
        <v>820</v>
      </c>
      <c r="H980" s="765">
        <f t="shared" si="2988"/>
        <v>34.832400929430406</v>
      </c>
      <c r="I980" s="644">
        <f>IFERROR(VLOOKUP(C980,[2]List1!$A:$D,4,FALSE),"NEUVEDENO!")</f>
        <v>20</v>
      </c>
      <c r="J980" s="733" t="s">
        <v>208</v>
      </c>
      <c r="K980" s="645" t="s">
        <v>20</v>
      </c>
      <c r="L980" s="645" t="s">
        <v>10969</v>
      </c>
      <c r="M980" s="645" t="s">
        <v>21</v>
      </c>
      <c r="N980" s="645">
        <f>IFERROR(VLOOKUP(C980,[3]List1!$A:$D,4,FALSE),"N/A!")</f>
        <v>4.1159999999999995E-2</v>
      </c>
      <c r="O980" s="645">
        <f>IFERROR(VLOOKUP(C980,[3]List1!$A:$D,3,FALSE),"N/A!")</f>
        <v>0.2</v>
      </c>
      <c r="P980" s="645">
        <f>IFERROR(VLOOKUP(C980,[3]List1!$A:$D,2,FALSE),"N/A!")</f>
        <v>12000</v>
      </c>
      <c r="Q980" s="645" t="s">
        <v>11344</v>
      </c>
      <c r="R980" s="645" t="s">
        <v>20</v>
      </c>
      <c r="S980" s="645"/>
      <c r="T980" s="645"/>
      <c r="U980" s="645"/>
      <c r="V980" s="645"/>
      <c r="W980" s="645" t="str">
        <f>IFERROR(IF(AND($AB980&gt;=0.1*$AA980,MOD($AB980,$AA980)&gt;=($AA980-(0.1*$AA980))),IF($W$17=$AF$1,"Zvažte možnost doobjednání ještě "&amp;Tabulka1[[#This Row],[VKPAL]]-MOD(AB980,AA980)&amp;" VK do plné palety.",VLOOKUP("Zvažte možnost doobjednání ještě ",Jazyky_ceník!A:Q,MATCH($W$17,Jazyky_ceník!$A$1:$Q$1,0),FALSE)&amp;Tabulka1[[#This Row],[VKPAL]]-MOD(AB980,AA980)&amp;VLOOKUP(" VK do plné palety.",Jazyky_ceník!A:Q,MATCH($W$17,Jazyky_ceník!$A$1:$Q$1,0),FALSE)),IFERROR(IF(AND(NOT(MOD($AB980,$AA980)=0),$AB980&gt;=0.9*$AA980,MOD($AB980,$AA980)&lt;=0.1*$AA980),IF($W$17=$AF$1,"Zvažte možnost optimalizace objednaného množství podle počtu VK na paletě ==&gt;",VLOOKUP("Zvažte možnost optimalizace objednaného množství podle počtu VK na paletě ==&gt;",Jazyky_ceník!A:Q,MATCH($W$17,Jazyky_ceník!$A$1:$Q$1,0),FALSE)),VLOOKUP('General price list'!$C980,Popisy!A:M,MATCH($W$17,Popisy!$A$7:$M$7,0),FALSE)),"---------------")),IFERROR(VLOOKUP('General price list'!$C980,Popisy!A:M,MATCH($W$17,Popisy!$A$7:$M$7,0),FALSE),"---------------"))</f>
        <v>elektrický palník, délka 200cm</v>
      </c>
      <c r="X980" s="645" t="str">
        <f t="shared" si="2989"/>
        <v/>
      </c>
      <c r="Y980" s="645" t="str">
        <f t="shared" si="2990"/>
        <v/>
      </c>
      <c r="Z980" s="645" t="str">
        <f>HYPERLINK("https://www.klasekpyrotechnics.cz/ep2m")</f>
        <v>https://www.klasekpyrotechnics.cz/ep2m</v>
      </c>
      <c r="AA980" s="645">
        <f>IFERROR(IF(VLOOKUP(C980,[4]List1!$A:$D,4,FALSE)=0,"",VLOOKUP(C980,[4]List1!$A:$D,4,FALSE)),"")</f>
        <v>48</v>
      </c>
      <c r="AB980" s="646"/>
      <c r="AC980" s="647" t="str">
        <f>IFERROR(IF(VLOOKUP(C980,[1]List1!$A:$D,2,FALSE)="VYPRODÁNO",$V$9,IF(VLOOKUP(C980,[1]List1!$A:$D,2,FALSE)="DOCHÁZÍ",$V$3,VLOOKUP(C980,[1]List1!$A:$D,2,FALSE))),"OFFLINE!")</f>
        <v>SKLADEM</v>
      </c>
      <c r="AD980" s="647" t="str">
        <f ca="1">IF(AP980="NE",$V$10,IF(AC980=$V$3,IF(AQ980&lt;1,$V$8,$V$2&amp;" "&amp;AQ980&amp;" "&amp;$V$1),IF(AC980="SKLADEM",$V$6,IFERROR(IF(OR(AC980-TODAY()&gt;45,VLOOKUP(C980,[1]List1!$A:$E,4,FALSE)=0),AC980,DAY(AC980)&amp;"."&amp;MONTH(AC980)&amp;"."&amp;YEAR(AC980)&amp;" "&amp;$V$4&amp;VLOOKUP(C980,[1]List1!$A:$E,4,FALSE)&amp;" "&amp;$V$1),AC980))))</f>
        <v>SKLADEM</v>
      </c>
      <c r="AE980" s="645" t="str">
        <f t="shared" ca="1" si="2991"/>
        <v>SKLADEM</v>
      </c>
      <c r="AF980" s="648">
        <f t="shared" si="2992"/>
        <v>0</v>
      </c>
      <c r="AG980" s="649">
        <f t="shared" si="2993"/>
        <v>0</v>
      </c>
      <c r="AH980" s="650">
        <f t="shared" si="2994"/>
        <v>0</v>
      </c>
      <c r="AI980" s="645">
        <f t="shared" si="2995"/>
        <v>0</v>
      </c>
      <c r="AJ980" s="645">
        <f t="shared" si="2996"/>
        <v>0</v>
      </c>
      <c r="AK980" s="645" t="str">
        <f t="shared" si="2997"/>
        <v/>
      </c>
      <c r="AL980" s="645" t="str">
        <f t="shared" si="2998"/>
        <v/>
      </c>
      <c r="AM980" s="645">
        <f t="shared" si="2999"/>
        <v>0</v>
      </c>
      <c r="AN980" s="651">
        <f t="shared" si="3000"/>
        <v>0</v>
      </c>
      <c r="AO980" s="623"/>
      <c r="AP980" s="632" t="str">
        <f t="shared" si="2835"/>
        <v/>
      </c>
      <c r="AQ980" s="633" t="str">
        <f>IF(AC980=$V$3,IF(VLOOKUP(C980,[1]List1!$A:$E,5,FALSE)=0,1,VLOOKUP(C980,[1]List1!$A:$E,5,FALSE)),"")</f>
        <v/>
      </c>
      <c r="AR980" s="625" t="str">
        <f t="shared" si="2836"/>
        <v/>
      </c>
      <c r="AS980" s="634" t="str">
        <f t="shared" si="2837"/>
        <v/>
      </c>
      <c r="AT980" s="625" t="str">
        <f t="shared" si="2838"/>
        <v/>
      </c>
      <c r="AU980" s="638" t="e">
        <f t="shared" si="2839"/>
        <v>#N/A</v>
      </c>
      <c r="AV980" s="625" t="e">
        <f t="shared" si="2840"/>
        <v>#N/A</v>
      </c>
      <c r="AX980" s="625">
        <f>IF(AND('General price list'!$J980="F4",'General price list'!$AB980+0&gt;0),1,0)</f>
        <v>0</v>
      </c>
      <c r="AY980" s="625">
        <f t="shared" si="2841"/>
        <v>5</v>
      </c>
      <c r="AZ980" s="625">
        <f t="shared" si="2842"/>
        <v>0</v>
      </c>
    </row>
    <row r="981" spans="1:52" ht="15" customHeight="1">
      <c r="A981" s="621" t="str">
        <f>Kat.!C981</f>
        <v/>
      </c>
      <c r="B981" s="566">
        <f>IF(AND('General price list'!$J981="F4",$AI$1=FALSE),0,IF(AC981="SKLADEM",1,IF(AC981=$V$3,1,0)))</f>
        <v>1</v>
      </c>
      <c r="C981" s="567" t="s">
        <v>2059</v>
      </c>
      <c r="D981" s="568" t="s">
        <v>12618</v>
      </c>
      <c r="E981" s="763" t="s">
        <v>12754</v>
      </c>
      <c r="F981" s="772">
        <f>IFERROR(VLOOKUP(C981,[2]List1!$A:$D,3,FALSE),"NEUVEDENO!")</f>
        <v>540</v>
      </c>
      <c r="G981" s="769">
        <f t="shared" si="2987"/>
        <v>540</v>
      </c>
      <c r="H981" s="766">
        <f t="shared" si="2988"/>
        <v>22.938410368161488</v>
      </c>
      <c r="I981" s="764">
        <f>IFERROR(VLOOKUP(C981,[2]List1!$A:$D,4,FALSE),"NEUVEDENO!")</f>
        <v>20</v>
      </c>
      <c r="J981" s="732" t="s">
        <v>208</v>
      </c>
      <c r="K981" s="569" t="s">
        <v>20</v>
      </c>
      <c r="L981" s="569" t="s">
        <v>10969</v>
      </c>
      <c r="M981" s="569" t="s">
        <v>21</v>
      </c>
      <c r="N981" s="569">
        <f>IFERROR(VLOOKUP(C981,[3]List1!$A:$D,4,FALSE),"N/A!")</f>
        <v>2.4191999999999998E-2</v>
      </c>
      <c r="O981" s="569">
        <f>IFERROR(VLOOKUP(C981,[3]List1!$A:$D,3,FALSE),"N/A!")</f>
        <v>0.2</v>
      </c>
      <c r="P981" s="569">
        <f>IFERROR(VLOOKUP(C981,[3]List1!$A:$D,2,FALSE),"N/A!")</f>
        <v>10000</v>
      </c>
      <c r="Q981" s="569" t="s">
        <v>11344</v>
      </c>
      <c r="R981" s="569" t="s">
        <v>20</v>
      </c>
      <c r="S981" s="569"/>
      <c r="T981" s="569"/>
      <c r="U981" s="569"/>
      <c r="V981" s="569"/>
      <c r="W981" s="569" t="str">
        <f>IFERROR(IF(AND($AB981&gt;=0.1*$AA981,MOD($AB981,$AA981)&gt;=($AA981-(0.1*$AA981))),IF($W$17=$AF$1,"Zvažte možnost doobjednání ještě "&amp;Tabulka1[[#This Row],[VKPAL]]-MOD(AB981,AA981)&amp;" VK do plné palety.",VLOOKUP("Zvažte možnost doobjednání ještě ",Jazyky_ceník!A:Q,MATCH($W$17,Jazyky_ceník!$A$1:$Q$1,0),FALSE)&amp;Tabulka1[[#This Row],[VKPAL]]-MOD(AB981,AA981)&amp;VLOOKUP(" VK do plné palety.",Jazyky_ceník!A:Q,MATCH($W$17,Jazyky_ceník!$A$1:$Q$1,0),FALSE)),IFERROR(IF(AND(NOT(MOD($AB981,$AA981)=0),$AB981&gt;=0.9*$AA981,MOD($AB981,$AA981)&lt;=0.1*$AA981),IF($W$17=$AF$1,"Zvažte možnost optimalizace objednaného množství podle počtu VK na paletě ==&gt;",VLOOKUP("Zvažte možnost optimalizace objednaného množství podle počtu VK na paletě ==&gt;",Jazyky_ceník!A:Q,MATCH($W$17,Jazyky_ceník!$A$1:$Q$1,0),FALSE)),VLOOKUP('General price list'!$C981,Popisy!A:M,MATCH($W$17,Popisy!$A$7:$M$7,0),FALSE)),"---------------")),IFERROR(VLOOKUP('General price list'!$C981,Popisy!A:M,MATCH($W$17,Popisy!$A$7:$M$7,0),FALSE),"---------------"))</f>
        <v>elektrický palník, délka 300cm</v>
      </c>
      <c r="X981" s="569" t="str">
        <f t="shared" si="2989"/>
        <v/>
      </c>
      <c r="Y981" s="569" t="str">
        <f t="shared" si="2990"/>
        <v/>
      </c>
      <c r="Z981" s="569" t="str">
        <f>HYPERLINK("https://www.klasekpyrotechnics.cz/ep3m")</f>
        <v>https://www.klasekpyrotechnics.cz/ep3m</v>
      </c>
      <c r="AA981" s="569">
        <f>IFERROR(IF(VLOOKUP(C981,[4]List1!$A:$D,4,FALSE)=0,"",VLOOKUP(C981,[4]List1!$A:$D,4,FALSE)),"")</f>
        <v>48</v>
      </c>
      <c r="AB981" s="565"/>
      <c r="AC981" s="570" t="str">
        <f>IFERROR(IF(VLOOKUP(C981,[1]List1!$A:$D,2,FALSE)="VYPRODÁNO",$V$9,IF(VLOOKUP(C981,[1]List1!$A:$D,2,FALSE)="DOCHÁZÍ",$V$3,VLOOKUP(C981,[1]List1!$A:$D,2,FALSE))),"OFFLINE!")</f>
        <v>SKLADEM</v>
      </c>
      <c r="AD981" s="570" t="str">
        <f ca="1">IF(AP981="NE",$V$10,IF(AC981=$V$3,IF(AQ981&lt;1,$V$8,$V$2&amp;" "&amp;AQ981&amp;" "&amp;$V$1),IF(AC981="SKLADEM",$V$6,IFERROR(IF(OR(AC981-TODAY()&gt;45,VLOOKUP(C981,[1]List1!$A:$E,4,FALSE)=0),AC981,DAY(AC981)&amp;"."&amp;MONTH(AC981)&amp;"."&amp;YEAR(AC981)&amp;" "&amp;$V$4&amp;VLOOKUP(C981,[1]List1!$A:$E,4,FALSE)&amp;" "&amp;$V$1),AC981))))</f>
        <v>SKLADEM</v>
      </c>
      <c r="AE981" s="581" t="str">
        <f t="shared" ca="1" si="2991"/>
        <v>SKLADEM</v>
      </c>
      <c r="AF981" s="584">
        <f t="shared" si="2992"/>
        <v>0</v>
      </c>
      <c r="AG981" s="585">
        <f t="shared" si="2993"/>
        <v>0</v>
      </c>
      <c r="AH981" s="583">
        <f t="shared" si="2994"/>
        <v>0</v>
      </c>
      <c r="AI981" s="582">
        <f t="shared" si="2995"/>
        <v>0</v>
      </c>
      <c r="AJ981" s="569">
        <f t="shared" si="2996"/>
        <v>0</v>
      </c>
      <c r="AK981" s="569" t="str">
        <f t="shared" si="2997"/>
        <v/>
      </c>
      <c r="AL981" s="569" t="str">
        <f t="shared" si="2998"/>
        <v/>
      </c>
      <c r="AM981" s="569">
        <f t="shared" si="2999"/>
        <v>0</v>
      </c>
      <c r="AN981" s="581">
        <f t="shared" si="3000"/>
        <v>0</v>
      </c>
      <c r="AO981" s="623"/>
      <c r="AP981" s="632" t="str">
        <f t="shared" si="2835"/>
        <v/>
      </c>
      <c r="AQ981" s="633" t="str">
        <f>IF(AC981=$V$3,IF(VLOOKUP(C981,[1]List1!$A:$E,5,FALSE)=0,1,VLOOKUP(C981,[1]List1!$A:$E,5,FALSE)),"")</f>
        <v/>
      </c>
      <c r="AR981" s="625" t="str">
        <f t="shared" si="2836"/>
        <v/>
      </c>
      <c r="AS981" s="634" t="str">
        <f t="shared" si="2837"/>
        <v/>
      </c>
      <c r="AT981" s="625" t="str">
        <f t="shared" si="2838"/>
        <v/>
      </c>
      <c r="AU981" s="638" t="e">
        <f t="shared" si="2839"/>
        <v>#N/A</v>
      </c>
      <c r="AV981" s="625" t="e">
        <f t="shared" si="2840"/>
        <v>#N/A</v>
      </c>
      <c r="AX981" s="625">
        <f>IF(AND('General price list'!$J981="F4",'General price list'!$AB981+0&gt;0),1,0)</f>
        <v>0</v>
      </c>
      <c r="AY981" s="625">
        <f t="shared" si="2841"/>
        <v>5</v>
      </c>
      <c r="AZ981" s="625">
        <f t="shared" si="2842"/>
        <v>0</v>
      </c>
    </row>
    <row r="982" spans="1:52" ht="15" customHeight="1">
      <c r="A982" s="639" t="str">
        <f>Kat.!C982</f>
        <v>×</v>
      </c>
      <c r="B982" s="640">
        <f>IF(AND('General price list'!$J982="F4",$AI$1=FALSE),0,IF(AC982="SKLADEM",1,IF(AC982=$V$3,1,0)))</f>
        <v>1</v>
      </c>
      <c r="C982" s="641" t="s">
        <v>2063</v>
      </c>
      <c r="D982" s="642" t="s">
        <v>12619</v>
      </c>
      <c r="E982" s="643" t="s">
        <v>12754</v>
      </c>
      <c r="F982" s="773">
        <f>IFERROR(VLOOKUP(C982,[2]List1!$A:$D,3,FALSE),"NEUVEDENO!")</f>
        <v>820</v>
      </c>
      <c r="G982" s="770">
        <f t="shared" si="2987"/>
        <v>820</v>
      </c>
      <c r="H982" s="767">
        <f t="shared" si="2988"/>
        <v>34.832400929430406</v>
      </c>
      <c r="I982" s="644">
        <f>IFERROR(VLOOKUP(C982,[2]List1!$A:$D,4,FALSE),"NEUVEDENO!")</f>
        <v>20</v>
      </c>
      <c r="J982" s="733" t="s">
        <v>208</v>
      </c>
      <c r="K982" s="645" t="s">
        <v>20</v>
      </c>
      <c r="L982" s="645" t="s">
        <v>10969</v>
      </c>
      <c r="M982" s="645" t="s">
        <v>21</v>
      </c>
      <c r="N982" s="645">
        <f>IFERROR(VLOOKUP(C982,[3]List1!$A:$D,4,FALSE),"N/A!")</f>
        <v>4.1159999999999995E-2</v>
      </c>
      <c r="O982" s="645">
        <f>IFERROR(VLOOKUP(C982,[3]List1!$A:$D,3,FALSE),"N/A!")</f>
        <v>0.2</v>
      </c>
      <c r="P982" s="645">
        <f>IFERROR(VLOOKUP(C982,[3]List1!$A:$D,2,FALSE),"N/A!")</f>
        <v>15600</v>
      </c>
      <c r="Q982" s="645" t="s">
        <v>11344</v>
      </c>
      <c r="R982" s="645" t="s">
        <v>20</v>
      </c>
      <c r="S982" s="645"/>
      <c r="T982" s="645"/>
      <c r="U982" s="645"/>
      <c r="V982" s="645"/>
      <c r="W982" s="645" t="str">
        <f>IFERROR(IF(AND($AB982&gt;=0.1*$AA982,MOD($AB982,$AA982)&gt;=($AA982-(0.1*$AA982))),IF($W$17=$AF$1,"Zvažte možnost doobjednání ještě "&amp;Tabulka1[[#This Row],[VKPAL]]-MOD(AB982,AA982)&amp;" VK do plné palety.",VLOOKUP("Zvažte možnost doobjednání ještě ",Jazyky_ceník!A:Q,MATCH($W$17,Jazyky_ceník!$A$1:$Q$1,0),FALSE)&amp;Tabulka1[[#This Row],[VKPAL]]-MOD(AB982,AA982)&amp;VLOOKUP(" VK do plné palety.",Jazyky_ceník!A:Q,MATCH($W$17,Jazyky_ceník!$A$1:$Q$1,0),FALSE)),IFERROR(IF(AND(NOT(MOD($AB982,$AA982)=0),$AB982&gt;=0.9*$AA982,MOD($AB982,$AA982)&lt;=0.1*$AA982),IF($W$17=$AF$1,"Zvažte možnost optimalizace objednaného množství podle počtu VK na paletě ==&gt;",VLOOKUP("Zvažte možnost optimalizace objednaného množství podle počtu VK na paletě ==&gt;",Jazyky_ceník!A:Q,MATCH($W$17,Jazyky_ceník!$A$1:$Q$1,0),FALSE)),VLOOKUP('General price list'!$C982,Popisy!A:M,MATCH($W$17,Popisy!$A$7:$M$7,0),FALSE)),"---------------")),IFERROR(VLOOKUP('General price list'!$C982,Popisy!A:M,MATCH($W$17,Popisy!$A$7:$M$7,0),FALSE),"---------------"))</f>
        <v>elektrický palník, délka 500cm</v>
      </c>
      <c r="X982" s="645" t="str">
        <f t="shared" si="2989"/>
        <v/>
      </c>
      <c r="Y982" s="645" t="str">
        <f>IF($AL$3=2,IF(OR(AB982&lt;&gt;"",AB982&lt;&gt;0),AU982,""),IF(C982="","",IF(AB982&lt;0.0001,"",IF(B982=0,"",IF(AQ982&lt;AB982,"",AB982)))))</f>
        <v/>
      </c>
      <c r="Z982" s="645" t="str">
        <f>HYPERLINK("https://www.klasekpyrotechnics.cz/ep5m")</f>
        <v>https://www.klasekpyrotechnics.cz/ep5m</v>
      </c>
      <c r="AA982" s="645">
        <f>IFERROR(IF(VLOOKUP(C982,[4]List1!$A:$D,4,FALSE)=0,"",VLOOKUP(C982,[4]List1!$A:$D,4,FALSE)),"")</f>
        <v>36</v>
      </c>
      <c r="AB982" s="646"/>
      <c r="AC982" s="647" t="str">
        <f>IFERROR(IF(VLOOKUP(C982,[1]List1!$A:$D,2,FALSE)="VYPRODÁNO",$V$9,IF(VLOOKUP(C982,[1]List1!$A:$D,2,FALSE)="DOCHÁZÍ",$V$3,VLOOKUP(C982,[1]List1!$A:$D,2,FALSE))),"OFFLINE!")</f>
        <v>SKLADEM</v>
      </c>
      <c r="AD982" s="647" t="str">
        <f ca="1">IF(AP982="NE",$V$10,IF(AC982=$V$3,IF(AQ982&lt;1,$V$8,$V$2&amp;" "&amp;AQ982&amp;" "&amp;$V$1),IF(AC982="SKLADEM",$V$6,IFERROR(IF(OR(AC982-TODAY()&gt;45,VLOOKUP(C982,[1]List1!$A:$E,4,FALSE)=0),AC982,DAY(AC982)&amp;"."&amp;MONTH(AC982)&amp;"."&amp;YEAR(AC982)&amp;" "&amp;$V$4&amp;VLOOKUP(C982,[1]List1!$A:$E,4,FALSE)&amp;" "&amp;$V$1),AC982))))</f>
        <v>SKLADEM</v>
      </c>
      <c r="AE982" s="645" t="str">
        <f t="shared" ca="1" si="2991"/>
        <v>SKLADEM</v>
      </c>
      <c r="AF982" s="648">
        <f t="shared" si="2992"/>
        <v>0</v>
      </c>
      <c r="AG982" s="649">
        <f t="shared" si="2993"/>
        <v>0</v>
      </c>
      <c r="AH982" s="650">
        <f t="shared" si="2994"/>
        <v>0</v>
      </c>
      <c r="AI982" s="645">
        <f t="shared" si="2995"/>
        <v>0</v>
      </c>
      <c r="AJ982" s="645">
        <f t="shared" si="2996"/>
        <v>0</v>
      </c>
      <c r="AK982" s="645" t="str">
        <f t="shared" si="2997"/>
        <v/>
      </c>
      <c r="AL982" s="645" t="str">
        <f t="shared" si="2998"/>
        <v/>
      </c>
      <c r="AM982" s="645">
        <f t="shared" si="2999"/>
        <v>0</v>
      </c>
      <c r="AN982" s="651">
        <f t="shared" si="3000"/>
        <v>0</v>
      </c>
      <c r="AO982" s="623"/>
      <c r="AP982" s="632" t="str">
        <f t="shared" si="2835"/>
        <v/>
      </c>
      <c r="AQ982" s="633" t="str">
        <f>IF(AC982=$V$3,IF(VLOOKUP(C982,[1]List1!$A:$E,5,FALSE)=0,1,VLOOKUP(C982,[1]List1!$A:$E,5,FALSE)),"")</f>
        <v/>
      </c>
      <c r="AR982" s="625" t="str">
        <f t="shared" si="2836"/>
        <v/>
      </c>
      <c r="AS982" s="634" t="str">
        <f t="shared" si="2837"/>
        <v/>
      </c>
      <c r="AT982" s="625" t="str">
        <f t="shared" si="2838"/>
        <v/>
      </c>
      <c r="AU982" s="638" t="e">
        <f t="shared" si="2839"/>
        <v>#N/A</v>
      </c>
      <c r="AV982" s="625" t="e">
        <f t="shared" si="2840"/>
        <v>#N/A</v>
      </c>
      <c r="AX982" s="625">
        <f>IF(AND('General price list'!$J982="F4",'General price list'!$AB982+0&gt;0),1,0)</f>
        <v>0</v>
      </c>
      <c r="AY982" s="625">
        <f t="shared" si="2841"/>
        <v>5</v>
      </c>
      <c r="AZ982" s="625">
        <f t="shared" si="2842"/>
        <v>0</v>
      </c>
    </row>
    <row r="983" spans="1:52" ht="15" customHeight="1">
      <c r="A983" s="639"/>
      <c r="B983" s="640">
        <v>1</v>
      </c>
      <c r="C983" s="641" t="s">
        <v>9511</v>
      </c>
      <c r="D983" s="642" t="s">
        <v>10656</v>
      </c>
      <c r="E983" s="643" t="s">
        <v>12663</v>
      </c>
      <c r="F983" s="773">
        <v>350</v>
      </c>
      <c r="G983" s="770">
        <f>IF($W$17=$AF$8,ROUND(Tabulka1[[#This Row],[CZK]]/$F$17,2),Tabulka1[[#This Row],[CZK]])</f>
        <v>350</v>
      </c>
      <c r="H983" s="767">
        <f>G983/$F$17</f>
        <v>14.867488201586148</v>
      </c>
      <c r="I983" s="644">
        <v>1</v>
      </c>
      <c r="J983" s="733"/>
      <c r="K983" s="645"/>
      <c r="L983" s="645"/>
      <c r="M983" s="645"/>
      <c r="N983" s="645">
        <f>IFERROR(VLOOKUP(C983,[3]List1!$A:$D,4,FALSE),"N/A!")</f>
        <v>0.192</v>
      </c>
      <c r="O983" s="645">
        <f>IFERROR(VLOOKUP(C983,[3]List1!$A:$D,3,FALSE),"N/A!")</f>
        <v>0</v>
      </c>
      <c r="P983" s="645">
        <f>IFERROR(VLOOKUP(C983,[3]List1!$A:$D,2,FALSE),"N/A!")</f>
        <v>22000</v>
      </c>
      <c r="Q983" s="645"/>
      <c r="R983" s="645"/>
      <c r="S983" s="645"/>
      <c r="T983" s="645"/>
      <c r="U983" s="645"/>
      <c r="V983" s="645"/>
      <c r="W983" s="645" t="str">
        <f>IFERROR(VLOOKUP('General price list'!$C983,Popisy!A:M,MATCH($W$17,Popisy!$A$7:$M$7,0),FALSE),"---------------")</f>
        <v>Vratná paleta</v>
      </c>
      <c r="X983" s="645" t="str">
        <f>IF(AB983&lt;0.0001,"",AB983)</f>
        <v/>
      </c>
      <c r="Y983" s="645" t="str">
        <f>X983</f>
        <v/>
      </c>
      <c r="Z983" s="645"/>
      <c r="AA983" s="645" t="str">
        <f>IFERROR(IF(VLOOKUP(C983,[4]List1!$A:$D,4,FALSE)=0,"",VLOOKUP(C983,[4]List1!$A:$D,4,FALSE)),"")</f>
        <v/>
      </c>
      <c r="AB983" s="646" t="str">
        <f>IF(AC6=2,IF('Výpočet času'!Q4=0,"",'Výpočet času'!Q4),"")</f>
        <v/>
      </c>
      <c r="AC983" s="647" t="s">
        <v>12792</v>
      </c>
      <c r="AD983" s="647" t="str">
        <f ca="1">IF(AP983="NE",$V$10,IF(AC983=$V$3,IF(AQ983&lt;1,$V$8,$V$2&amp;" "&amp;AQ983&amp;" "&amp;$V$1),IF(AC983="SKLADEM",$V$6,IFERROR(IF(OR(AC983-TODAY()&gt;45,VLOOKUP(C983,[1]List1!$A:$E,4,FALSE)=0),AC983,DAY(AC983)&amp;"."&amp;MONTH(AC983)&amp;"."&amp;YEAR(AC983)&amp;" "&amp;$V$4&amp;VLOOKUP(C983,[1]List1!$A:$E,4,FALSE)&amp;" "&amp;$V$1),AC983))))</f>
        <v>SKLADEM</v>
      </c>
      <c r="AE983" s="645" t="str">
        <f t="shared" ref="AE983" ca="1" si="3001">IFERROR(IF(AV983&lt;&gt;"",AV983,AD983),AD983)</f>
        <v>SKLADEM</v>
      </c>
      <c r="AF983" s="648">
        <f>IFERROR(IF(AB983=Y983,G983*I983*Y983,0),0)</f>
        <v>0</v>
      </c>
      <c r="AG983" s="649">
        <f t="shared" ref="AG983" si="3002">IF($W$17=$AF$8,AH983*1.23,AF983*1.21)</f>
        <v>0</v>
      </c>
      <c r="AH983" s="650">
        <f t="shared" ref="AH983" si="3003">IFERROR(IF(Y983=AB983,H983*I983*Y983,0),0)</f>
        <v>0</v>
      </c>
      <c r="AI983" s="645">
        <f t="shared" ref="AI983" si="3004">IFERROR(IF(Y983=AB983,(P983*Y983)/1000,1),0)</f>
        <v>0</v>
      </c>
      <c r="AJ983" s="645">
        <f t="shared" ref="AJ983" si="3005">IFERROR(IF(Y983=AB983,N983*Y983,0.1),0)</f>
        <v>0</v>
      </c>
      <c r="AK983" s="645" t="str">
        <f t="shared" ref="AK983" si="3006">IFERROR(IF(Y983=AB983,IF(M983="1.1G",(O983/1000)*Y983,""),""),0)</f>
        <v/>
      </c>
      <c r="AL983" s="645" t="str">
        <f t="shared" ref="AL983" si="3007">IFERROR(IF(Y983=AB983,IF(M983="1.3G",(O983/1000)*AB983,""),""),0)</f>
        <v/>
      </c>
      <c r="AM983" s="645" t="str">
        <f t="shared" ref="AM983" si="3008">IFERROR(IF(Y983=AB983,IF(M983="1.4G",(O983/1000)*AB983,""),""),0)</f>
        <v/>
      </c>
      <c r="AN983" s="651">
        <f t="shared" ref="AN983" si="3009">SUM(AK983:AM983)</f>
        <v>0</v>
      </c>
    </row>
    <row r="984" spans="1:52" ht="15" customHeight="1">
      <c r="A984" s="670"/>
      <c r="B984" s="628"/>
      <c r="C984" s="628"/>
      <c r="D984" s="672" t="str">
        <f>IF($W$17=$AF$1,"Jako plátci DPH účtujeme k uvedeným cenám 21% DPH.",IFERROR(VLOOKUP("Jako plátci DPH účtujeme k uvedeným cenám 21% DPH.",Jazyky_ceník!A:Q,MATCH(W17,Jazyky_ceník!A1:Q1,0),FALSE),"!!!"))</f>
        <v>Jako plátci DPH účtujeme k uvedeným cenám 21% DPH.</v>
      </c>
      <c r="E984" s="673"/>
      <c r="F984" s="673"/>
      <c r="G984" s="673"/>
      <c r="H984" s="673"/>
      <c r="I984" s="673"/>
      <c r="J984" s="674"/>
      <c r="K984" s="673"/>
      <c r="L984" s="673"/>
      <c r="M984" s="673"/>
      <c r="N984" s="673"/>
      <c r="O984" s="673"/>
      <c r="P984" s="670"/>
      <c r="Q984" s="670"/>
      <c r="R984" s="670"/>
      <c r="S984" s="670"/>
      <c r="T984" s="670"/>
      <c r="U984" s="670"/>
      <c r="V984" s="670"/>
      <c r="W984" s="670"/>
      <c r="X984" s="670"/>
      <c r="Y984" s="670"/>
      <c r="Z984" s="670"/>
      <c r="AA984" s="670"/>
      <c r="AB984" s="670"/>
      <c r="AC984" s="670"/>
      <c r="AD984" s="670"/>
      <c r="AE984" s="670"/>
      <c r="AF984" s="670"/>
      <c r="AG984" s="670"/>
      <c r="AH984" s="670"/>
      <c r="AI984" s="670"/>
      <c r="AJ984" s="884" t="str">
        <f>IF(SUM(AF274:AF276)&gt;(AE986*0.3),IF($W$17=$AF$1,"POZOR!!! Petardy P30D, P50D a P170 překročily 30% hodnoty objednávky!",IFERROR(VLOOKUP("PETARDY",Jazyky_ceník!A:Q,MATCH(W17,Jazyky_ceník!A1:Q1,0),FALSE),"!!!")),"")</f>
        <v/>
      </c>
      <c r="AK984" s="885"/>
      <c r="AL984" s="885"/>
      <c r="AM984" s="885"/>
      <c r="AN984" s="885"/>
    </row>
    <row r="985" spans="1:52" ht="15" customHeight="1" thickBot="1">
      <c r="A985" s="652"/>
      <c r="B985" s="653"/>
      <c r="C985" s="775" t="s">
        <v>11345</v>
      </c>
      <c r="D985" s="675" t="str">
        <f>IF($W$17=$AF$1,"Položky označené X ve sloupci A jsou doprodejové, které již nebudeme naskladňovat.",IFERROR(VLOOKUP("Položky označené X ve sloupci A jsou doprodejové, které již nebudeme naskladňovat.",Jazyky_ceník!A:Q,MATCH(W17,Jazyky_ceník!A1:Q1,0),FALSE),"!!!"))</f>
        <v>Položky označené X ve sloupci A jsou doprodejové, které již nebudeme naskladňovat.</v>
      </c>
      <c r="E985" s="676"/>
      <c r="F985" s="677"/>
      <c r="G985" s="677"/>
      <c r="H985" s="678"/>
      <c r="I985" s="679"/>
      <c r="J985" s="680"/>
      <c r="K985" s="681"/>
      <c r="L985" s="682"/>
      <c r="M985" s="677"/>
      <c r="N985" s="683"/>
      <c r="O985" s="683"/>
      <c r="Q985" s="658"/>
      <c r="R985" s="657"/>
      <c r="S985" s="657"/>
      <c r="T985" s="657"/>
      <c r="U985" s="657"/>
      <c r="V985" s="655"/>
      <c r="W985" s="750" t="str">
        <f>IF(AC6=2,"                                    "&amp;AC8&amp;" "&amp;AB986&amp;" "&amp;AC9&amp;"  (± "&amp;'Výpočet času'!Q4&amp;")","                                    "&amp;AC8&amp;" "&amp;AB986&amp;" "&amp;AC10)</f>
        <v xml:space="preserve">                                    Máte objednáno 0 kartonů, které zabalíme na palety.  (± 0)</v>
      </c>
      <c r="X985" s="705"/>
      <c r="Y985" s="706"/>
      <c r="Z985" s="706"/>
      <c r="AC985" s="661"/>
      <c r="AD985" s="661"/>
      <c r="AE985" s="662"/>
      <c r="AF985" s="663"/>
      <c r="AG985" s="663"/>
      <c r="AH985" s="664"/>
      <c r="AJ985" s="885"/>
      <c r="AK985" s="885"/>
      <c r="AL985" s="885"/>
      <c r="AM985" s="885"/>
      <c r="AN985" s="885"/>
    </row>
    <row r="986" spans="1:52" ht="15" customHeight="1">
      <c r="A986" s="779" t="s">
        <v>12889</v>
      </c>
      <c r="B986" s="653"/>
      <c r="C986" s="774"/>
      <c r="D986" s="811" t="str">
        <f>IF($W$17=$AF$1,"Touto barvou jsou označeny novinky 2026.",IFERROR(VLOOKUP("Touto barvou jsou označeny novinky 2026.",Jazyky_ceník!A:Q,MATCH(W17,Jazyky_ceník!A1:Q1,0),FALSE),"!!!"))</f>
        <v>Touto barvou jsou označeny novinky 2026.</v>
      </c>
      <c r="E986" s="811"/>
      <c r="F986" s="811"/>
      <c r="G986" s="811"/>
      <c r="H986" s="683"/>
      <c r="I986" s="679"/>
      <c r="J986" s="684"/>
      <c r="K986" s="696">
        <v>4</v>
      </c>
      <c r="L986" s="681"/>
      <c r="M986" s="682"/>
      <c r="N986" s="683"/>
      <c r="O986" s="683"/>
      <c r="T986" s="638"/>
      <c r="V986" s="655"/>
      <c r="W986" s="892" t="str">
        <f>"↓↓ "&amp;IF($W$17=$AF$1,"Zvolte způsob přepravy",IFERROR(VLOOKUP("Zvolte způsob přepravy",Jazyky_ceník!A:Q,MATCH(W17,Jazyky_ceník!A1:Q1,0),FALSE),"---------------"))&amp;" ↓↓"</f>
        <v>↓↓ Zvolte způsob přepravy ↓↓</v>
      </c>
      <c r="X986" s="264"/>
      <c r="Y986" s="263"/>
      <c r="Z986" s="706"/>
      <c r="AA986" s="707"/>
      <c r="AB986" s="749">
        <f>SUM(Y22:Y982)</f>
        <v>0</v>
      </c>
      <c r="AC986" s="720"/>
      <c r="AD986" s="720"/>
      <c r="AE986" s="840">
        <f>SUM(AF22:AF982)</f>
        <v>0</v>
      </c>
      <c r="AF986" s="840"/>
      <c r="AG986" s="781">
        <f t="shared" ref="AG986:AN986" si="3010">SUM(AG22:AG982)</f>
        <v>0</v>
      </c>
      <c r="AH986" s="782">
        <f t="shared" si="3010"/>
        <v>0</v>
      </c>
      <c r="AI986" s="727">
        <f t="shared" si="3010"/>
        <v>0</v>
      </c>
      <c r="AJ986" s="729">
        <f t="shared" si="3010"/>
        <v>0</v>
      </c>
      <c r="AK986" s="728">
        <f t="shared" si="3010"/>
        <v>0</v>
      </c>
      <c r="AL986" s="728">
        <f t="shared" si="3010"/>
        <v>0</v>
      </c>
      <c r="AM986" s="728">
        <f t="shared" si="3010"/>
        <v>0</v>
      </c>
      <c r="AN986" s="730">
        <f t="shared" si="3010"/>
        <v>0</v>
      </c>
    </row>
    <row r="987" spans="1:52" ht="15" customHeight="1">
      <c r="A987" s="652"/>
      <c r="B987" s="653"/>
      <c r="C987" s="774"/>
      <c r="D987" s="811" t="str">
        <f>IF($W$17=$AF$1,"Touto barvou jsou označeny nové designy výrobků.",IFERROR(VLOOKUP("Touto barvou jsou označeny nové designy výrobků.",Jazyky_ceník!A:Q,MATCH(W17,Jazyky_ceník!A1:Q1,0),FALSE),"!!!"))</f>
        <v>Touto barvou jsou označeny nové designy výrobků.</v>
      </c>
      <c r="E987" s="811"/>
      <c r="F987" s="811"/>
      <c r="G987" s="811"/>
      <c r="H987" s="683"/>
      <c r="I987" s="685"/>
      <c r="J987" s="684"/>
      <c r="K987" s="696">
        <v>5</v>
      </c>
      <c r="L987" s="683"/>
      <c r="M987" s="683"/>
      <c r="N987" s="683"/>
      <c r="O987" s="683"/>
      <c r="T987" s="638"/>
      <c r="V987" s="655"/>
      <c r="W987" s="892"/>
      <c r="X987" s="264"/>
      <c r="Y987" s="263"/>
      <c r="Z987" s="706"/>
      <c r="AB987" s="841" t="str">
        <f>IF($W$17=$AF$1,"Objednáno kartonů",IFERROR(VLOOKUP("Objednáno kartonů",Jazyky_ceník!A:Q,MATCH(W17,Jazyky_ceník!A1:Q1,0),FALSE),"---------------"))</f>
        <v>Objednáno kartonů</v>
      </c>
      <c r="AC987" s="721"/>
      <c r="AD987" s="721"/>
      <c r="AE987" s="843" t="str">
        <f>IF($W$17=$AF$1,"celkem",IFERROR(VLOOKUP("celkem",Jazyky_ceník!A:Q,MATCH(W17,Jazyky_ceník!A1:Q1,0),FALSE),"!!!"))</f>
        <v>celkem</v>
      </c>
      <c r="AF987" s="844"/>
      <c r="AG987" s="723" t="str">
        <f>IF($W$17=$AF$1,"celkem",IFERROR(VLOOKUP("celkem",Jazyky_ceník!A:Q,MATCH(W17,Jazyky_ceník!A1:Q1,0),FALSE),"!!!"))</f>
        <v>celkem</v>
      </c>
      <c r="AH987" s="723" t="str">
        <f>IF($W$17=$AF$1,"celkem",IFERROR(VLOOKUP("celkem",Jazyky_ceník!A:Q,MATCH(W17,Jazyky_ceník!A1:Q1,0),FALSE),"!!!"))</f>
        <v>celkem</v>
      </c>
      <c r="AI987" s="723" t="str">
        <f>IF($W$17=$AF$1,"celkem",IFERROR(VLOOKUP("celkem",Jazyky_ceník!A:Q,MATCH(W17,Jazyky_ceník!A1:Q1,0),FALSE),"!!!"))</f>
        <v>celkem</v>
      </c>
      <c r="AJ987" s="723" t="str">
        <f>IF($W$17=$AF$1,"celkem",IFERROR(VLOOKUP("celkem",Jazyky_ceník!A:Q,MATCH(W17,Jazyky_ceník!A1:Q1,0),FALSE),"!!!"))</f>
        <v>celkem</v>
      </c>
      <c r="AK987" s="723" t="s">
        <v>8</v>
      </c>
      <c r="AL987" s="723" t="s">
        <v>9</v>
      </c>
      <c r="AM987" s="723" t="s">
        <v>10</v>
      </c>
      <c r="AN987" s="724" t="str">
        <f>IF($W$17=$AF$1,"celkem",IFERROR(VLOOKUP("celkem",Jazyky_ceník!A:Q,MATCH(W17,Jazyky_ceník!A1:Q1,0),FALSE),"!!!"))</f>
        <v>celkem</v>
      </c>
    </row>
    <row r="988" spans="1:52" ht="15" customHeight="1" thickBot="1">
      <c r="A988" s="652"/>
      <c r="B988" s="653"/>
      <c r="C988" s="774"/>
      <c r="D988" s="811" t="str">
        <f>IF($W$17=$AF$1,"Touto barvou jsou označeny bestsellery.",IFERROR(VLOOKUP("Touto barvou jsou označeny bestsellery.",Jazyky_ceník!A:Q,MATCH(W17,Jazyky_ceník!A1:Q1,0),FALSE),"!!!"))</f>
        <v>Touto barvou jsou označeny bestsellery.</v>
      </c>
      <c r="E988" s="811"/>
      <c r="F988" s="811"/>
      <c r="G988" s="811"/>
      <c r="H988" s="682"/>
      <c r="I988" s="686"/>
      <c r="J988" s="674"/>
      <c r="K988" s="788" t="s">
        <v>9806</v>
      </c>
      <c r="L988" s="682"/>
      <c r="M988" s="682"/>
      <c r="N988" s="683"/>
      <c r="O988" s="683"/>
      <c r="T988" s="638"/>
      <c r="V988" s="655"/>
      <c r="W988" s="215"/>
      <c r="X988" s="265"/>
      <c r="Y988" s="263"/>
      <c r="Z988" s="706"/>
      <c r="AA988" s="660"/>
      <c r="AB988" s="842"/>
      <c r="AC988" s="722"/>
      <c r="AD988" s="722"/>
      <c r="AE988" s="845" t="str">
        <f>AF18&amp;AF19</f>
        <v>CZK(bez DPH)</v>
      </c>
      <c r="AF988" s="846"/>
      <c r="AG988" s="725" t="str">
        <f>AG18&amp;IF($W$17=$AF$1,"(vč. DPH)",IFERROR(VLOOKUP("(vč. DPH)",Jazyky_ceník!A:Q,MATCH(W17,Jazyky_ceník!A1:Q1,0),FALSE),"!!!"))</f>
        <v>CZK(vč. DPH)</v>
      </c>
      <c r="AH988" s="725" t="str">
        <f>AH18&amp;IF($W$17=$AF$1,"(bez DPH)",IFERROR(VLOOKUP("(bez DPH)",Jazyky_ceník!A:Q,MATCH(W17,Jazyky_ceník!A1:Q1,0),FALSE),"!!!"))</f>
        <v>€(bez DPH)</v>
      </c>
      <c r="AI988" s="725" t="s">
        <v>2573</v>
      </c>
      <c r="AJ988" s="725" t="s">
        <v>12620</v>
      </c>
      <c r="AK988" s="725" t="s">
        <v>2809</v>
      </c>
      <c r="AL988" s="725" t="s">
        <v>2809</v>
      </c>
      <c r="AM988" s="725" t="s">
        <v>2809</v>
      </c>
      <c r="AN988" s="726" t="s">
        <v>2809</v>
      </c>
    </row>
    <row r="989" spans="1:52" ht="15" customHeight="1" thickBot="1">
      <c r="A989" s="652"/>
      <c r="B989" s="653"/>
      <c r="C989" s="795"/>
      <c r="D989" s="811" t="str">
        <f>IF($W$17=$AF$1,"Touto barvou jsou označeny výrobky s garancí nejnižší ceny.",IFERROR(VLOOKUP("Touto barvou jsou označeny výrobky s garancí nejnižší ceny.",Jazyky_ceník!A:Q,MATCH(W17,Jazyky_ceník!A1:Q1,0),FALSE),"!!!"))</f>
        <v>Touto barvou jsou označeny výrobky s garancí nejnižší ceny.</v>
      </c>
      <c r="E989" s="811"/>
      <c r="F989" s="811"/>
      <c r="G989" s="811"/>
      <c r="H989" s="811"/>
      <c r="I989" s="679"/>
      <c r="J989" s="684"/>
      <c r="K989" s="696" t="s">
        <v>11100</v>
      </c>
      <c r="L989" s="681"/>
      <c r="M989" s="682"/>
      <c r="N989" s="683"/>
      <c r="O989" s="683"/>
      <c r="T989" s="638"/>
      <c r="V989" s="655"/>
      <c r="W989" s="216"/>
      <c r="X989" s="266"/>
      <c r="Y989" s="263"/>
      <c r="Z989" s="706"/>
      <c r="AA989" s="660"/>
      <c r="AB989" s="839" t="str">
        <f>IF($W$17=$AF$1,"Maximální výška palety = 180 cm!",IFERROR(VLOOKUP("Maximální výška palety = 180 cm!",Jazyky_ceník!A:Q,MATCH(W17,Jazyky_ceník!A1:Q1,0),FALSE),"!!!"))</f>
        <v>Maximální výška palety = 180 cm!</v>
      </c>
      <c r="AC989" s="839"/>
      <c r="AD989" s="839"/>
      <c r="AE989" s="839"/>
      <c r="AF989" s="839"/>
      <c r="AG989" s="780" t="str">
        <f>IF(COUNTIF(AX22:AX982,1)=0,"","POZOR! Objednávka obsahuje "&amp;COUNTIF(AX22:AX982,1)&amp;" pol. kat. F4!!!")</f>
        <v/>
      </c>
      <c r="AH989" s="708"/>
      <c r="AJ989" s="638"/>
      <c r="AN989" s="665"/>
    </row>
    <row r="990" spans="1:52" ht="15" customHeight="1">
      <c r="A990" s="652"/>
      <c r="B990" s="653"/>
      <c r="C990" s="654"/>
      <c r="D990" s="687" t="str">
        <f>IF($W$17=$AF$1,"Pro nákup KAT. F4 a T2 je potřebný průkaz osoby odborně způsobilé, resp. odpalovače ohňostrojů!",IFERROR(VLOOKUP("Pro nákup KAT. F4 a T2 je potřebný průkaz osoby odborně způsobilé, resp. odpalovače ohňostrojů!",Jazyky_ceník!A:Q,MATCH(W17,Jazyky_ceník!A1:Q1,0),FALSE),"!!!"))</f>
        <v>Pro nákup KAT. F4 a T2 je potřebný průkaz osoby odborně způsobilé, resp. odpalovače ohňostrojů!</v>
      </c>
      <c r="E990" s="683"/>
      <c r="F990" s="688"/>
      <c r="G990" s="683"/>
      <c r="H990" s="683"/>
      <c r="I990" s="679"/>
      <c r="J990" s="684"/>
      <c r="K990" s="683"/>
      <c r="L990" s="681"/>
      <c r="M990" s="682"/>
      <c r="N990" s="683"/>
      <c r="O990" s="683"/>
      <c r="T990" s="638"/>
      <c r="V990" s="655"/>
      <c r="W990" s="622"/>
      <c r="X990" s="267"/>
      <c r="Y990" s="268"/>
      <c r="Z990" s="659"/>
      <c r="AB990" s="861" t="str">
        <f>IF(AN990=0,"",IF(AN990&lt;1000,"Běžný transport","Přeprava v režimu ADR"))</f>
        <v/>
      </c>
      <c r="AC990" s="861"/>
      <c r="AD990" s="861"/>
      <c r="AE990" s="861"/>
      <c r="AF990" s="861"/>
      <c r="AG990" s="871" t="str">
        <f>IF($W$17=$AF$1,"Výpočet bodů podle ADR:",IFERROR(VLOOKUP("Výpočet bodů podle ADR:",Jazyky_ceník!A:Q,MATCH(W17,Jazyky_ceník!A1:Q1,0),FALSE),"---------------"))</f>
        <v>Výpočet bodů podle ADR:</v>
      </c>
      <c r="AH990" s="872"/>
      <c r="AI990" s="872"/>
      <c r="AJ990" s="873"/>
      <c r="AK990" s="904">
        <f>(AK986*50)</f>
        <v>0</v>
      </c>
      <c r="AL990" s="902">
        <f>(AL986*50)</f>
        <v>0</v>
      </c>
      <c r="AM990" s="900">
        <f>(AM986*3)</f>
        <v>0</v>
      </c>
      <c r="AN990" s="898">
        <f>SUM(AK990:AM990)</f>
        <v>0</v>
      </c>
    </row>
    <row r="991" spans="1:52" ht="15" customHeight="1" thickBot="1">
      <c r="A991" s="652"/>
      <c r="B991" s="653"/>
      <c r="C991" s="654"/>
      <c r="D991" s="675" t="str">
        <f>IF($W$17=$AF$1,"Všechny ceny uvedené v tomto ceníku jsou bez dopravy (EXW Incoterms 2010) tzn., že si zákazník dopravu musí uhradit sám.",IFERROR(VLOOKUP("Všechny ceny uvedené v tomto ceníku jsou bez dopravy (EXW Incoterms 2010) tzn., že si zákazník dopravu musí uhradit sám.",Jazyky_ceník!A:Q,MATCH(W17,Jazyky_ceník!A1:Q1,0),FALSE),"!!!"))</f>
        <v>Všechny ceny uvedené v tomto ceníku jsou bez dopravy (EXW Incoterms 2010) tzn., že si zákazník dopravu musí uhradit sám.</v>
      </c>
      <c r="E991" s="682"/>
      <c r="F991" s="688"/>
      <c r="G991" s="683"/>
      <c r="H991" s="683"/>
      <c r="I991" s="679"/>
      <c r="J991" s="684"/>
      <c r="K991" s="683"/>
      <c r="L991" s="681"/>
      <c r="M991" s="682"/>
      <c r="N991" s="683"/>
      <c r="O991" s="683"/>
      <c r="X991" s="258"/>
      <c r="Y991" s="268"/>
      <c r="Z991" s="659"/>
      <c r="AB991" s="709"/>
      <c r="AC991" s="709"/>
      <c r="AD991" s="709"/>
      <c r="AE991" s="709" t="str">
        <f>IF(AN990&lt;1000,"",IF(AK990=0,IF(AN986&lt;16000,"Ex.II","EX.III"),IF(AN986&lt;5000,"Ex.II","Ex.III")))</f>
        <v/>
      </c>
      <c r="AF991" s="683"/>
      <c r="AG991" s="874"/>
      <c r="AH991" s="875"/>
      <c r="AI991" s="875"/>
      <c r="AJ991" s="876"/>
      <c r="AK991" s="905"/>
      <c r="AL991" s="903"/>
      <c r="AM991" s="901"/>
      <c r="AN991" s="899"/>
    </row>
    <row r="992" spans="1:52" ht="15" customHeight="1">
      <c r="A992" s="652"/>
      <c r="B992" s="653"/>
      <c r="C992" s="654"/>
      <c r="D992" s="689" t="str">
        <f>IF($W$17=$AF$1,"Je možno objednávat pouze celé exportní kartony.",IFERROR(VLOOKUP("Je možno objednávat pouze celé exportní kartony.",Jazyky_ceník!A:Q,MATCH(W17,Jazyky_ceník!A1:Q1,0),FALSE),"!!!"))</f>
        <v>Je možno objednávat pouze celé exportní kartony.</v>
      </c>
      <c r="E992" s="682"/>
      <c r="F992" s="688"/>
      <c r="G992" s="683"/>
      <c r="H992" s="683"/>
      <c r="I992" s="679"/>
      <c r="J992" s="684"/>
      <c r="K992" s="683"/>
      <c r="L992" s="681"/>
      <c r="M992" s="682"/>
      <c r="N992" s="683"/>
      <c r="O992" s="683"/>
      <c r="Q992" s="624"/>
      <c r="X992" s="258"/>
      <c r="Y992" s="268"/>
      <c r="Z992" s="659"/>
      <c r="AB992" s="688" t="s">
        <v>9225</v>
      </c>
      <c r="AC992" s="710"/>
      <c r="AD992" s="710"/>
      <c r="AE992" s="711"/>
      <c r="AF992" s="712"/>
      <c r="AG992" s="714" t="str">
        <f>IF($W$17=$AF$1,"Pokud je výsledek větší než 1000 jedná se o přepravu s nutností využití ADR vozidla.",IFERROR(VLOOKUP("Pokud je výsledek větší než 1000 jedná se o přepravu s nutností využití ADR vozidla.",Jazyky_ceník!A:Q,MATCH(W17,Jazyky_ceník!A1:Q1,0),FALSE),"!!!"))</f>
        <v>Pokud je výsledek větší než 1000 jedná se o přepravu s nutností využití ADR vozidla.</v>
      </c>
      <c r="AH992" s="715"/>
      <c r="AI992" s="716"/>
      <c r="AJ992" s="716"/>
      <c r="AK992" s="717"/>
      <c r="AL992" s="717"/>
      <c r="AM992" s="717"/>
      <c r="AN992" s="718"/>
    </row>
    <row r="993" spans="1:40" ht="15" customHeight="1" thickBot="1">
      <c r="A993" s="652"/>
      <c r="B993" s="653"/>
      <c r="C993" s="654"/>
      <c r="D993" s="689" t="str">
        <f>IF($W$17=$AF$1,"Pro zákazníky, kteří mají slevu více než 50% platí minimální jednorázový odběr 10.000Kč",IFERROR(VLOOKUP("Pro zákazníky, kteří mají slevu více než 50% platí minimální jednorázový odběr 10.000Kč",Jazyky_ceník!A:Q,MATCH(W17,Jazyky_ceník!A1:Q1,0),FALSE),"!!!"))</f>
        <v>Pro zákazníky, kteří mají slevu více než 50% platí minimální jednorázový odběr 10.000Kč</v>
      </c>
      <c r="E993" s="682"/>
      <c r="F993" s="688"/>
      <c r="G993" s="683"/>
      <c r="H993" s="683"/>
      <c r="I993" s="679"/>
      <c r="J993" s="684"/>
      <c r="K993" s="683"/>
      <c r="L993" s="681"/>
      <c r="M993" s="682"/>
      <c r="N993" s="683"/>
      <c r="O993" s="683"/>
      <c r="X993" s="258"/>
      <c r="Y993" s="268"/>
      <c r="Z993" s="659"/>
      <c r="AB993" s="713" t="str">
        <f>IF(AC6=2,'Výpočet času'!Q4&amp;" paletových souborů / overpacks",AB986&amp;" kartonů / cartons")</f>
        <v>0 paletových souborů / overpacks</v>
      </c>
      <c r="AC993" s="683" t="str">
        <f>IF(AC6=2,"± "&amp;'Výpočet času'!Q4&amp;" "&amp;AC13,AB986&amp;" "&amp;V1)</f>
        <v>± 0 Paletových souborů</v>
      </c>
      <c r="AD993" s="683"/>
      <c r="AE993" s="683"/>
      <c r="AF993" s="683"/>
      <c r="AG993" s="683"/>
      <c r="AH993" s="683"/>
      <c r="AI993" s="683"/>
      <c r="AJ993" s="857" t="s">
        <v>9234</v>
      </c>
      <c r="AK993" s="857"/>
      <c r="AL993" s="857" t="s">
        <v>9235</v>
      </c>
      <c r="AM993" s="857"/>
      <c r="AN993" s="719" t="str">
        <f>AG990</f>
        <v>Výpočet bodů podle ADR:</v>
      </c>
    </row>
    <row r="994" spans="1:40" ht="15" customHeight="1">
      <c r="A994" s="652"/>
      <c r="B994" s="653"/>
      <c r="C994" s="654"/>
      <c r="D994" s="690" t="str">
        <f>IF($W$17=$AF$1,"Položky, které nejsou aktuálně skladem, nelze objednat. Objednací pole je podbarveno černě.",IFERROR(VLOOKUP("Položky, které nejsou aktuálně skladem, nelze objednat. Objednací pole je podbarveno černě.",Jazyky_ceník!A:Q,MATCH(W17,Jazyky_ceník!A1:Q1,0),FALSE),"!!!"))</f>
        <v>Položky, které nejsou aktuálně skladem, nelze objednat. Objednací pole je podbarveno černě.</v>
      </c>
      <c r="E994" s="682"/>
      <c r="F994" s="688"/>
      <c r="G994" s="683"/>
      <c r="H994" s="683"/>
      <c r="I994" s="679"/>
      <c r="J994" s="684"/>
      <c r="K994" s="683"/>
      <c r="L994" s="681"/>
      <c r="M994" s="682"/>
      <c r="N994" s="683"/>
      <c r="O994" s="683"/>
      <c r="T994" s="671"/>
      <c r="X994" s="258"/>
      <c r="Y994" s="268"/>
      <c r="Z994" s="659"/>
      <c r="AB994" s="858" t="s">
        <v>9226</v>
      </c>
      <c r="AC994" s="868" t="s">
        <v>9229</v>
      </c>
      <c r="AD994" s="868"/>
      <c r="AE994" s="869" t="s">
        <v>11059</v>
      </c>
      <c r="AF994" s="869"/>
      <c r="AG994" s="869"/>
      <c r="AH994" s="850" t="s">
        <v>554</v>
      </c>
      <c r="AI994" s="850" t="s">
        <v>9231</v>
      </c>
      <c r="AJ994" s="870">
        <f>SUMIF(M:M,"1.1G",AI:AI)</f>
        <v>0</v>
      </c>
      <c r="AK994" s="870"/>
      <c r="AL994" s="854">
        <f>AK986</f>
        <v>0</v>
      </c>
      <c r="AM994" s="854"/>
      <c r="AN994" s="847">
        <f>AK990</f>
        <v>0</v>
      </c>
    </row>
    <row r="995" spans="1:40" ht="15" customHeight="1">
      <c r="A995" s="652"/>
      <c r="B995" s="653"/>
      <c r="C995" s="654"/>
      <c r="D995" s="691" t="str">
        <f>D9</f>
        <v>Slevy jsou poskytovány při celoročním odběru a to od 01.01.2026 do 31.12.2026.</v>
      </c>
      <c r="E995" s="692"/>
      <c r="F995" s="693"/>
      <c r="G995" s="692"/>
      <c r="H995" s="683"/>
      <c r="I995" s="679"/>
      <c r="J995" s="684"/>
      <c r="K995" s="683"/>
      <c r="L995" s="681"/>
      <c r="M995" s="682"/>
      <c r="N995" s="683"/>
      <c r="O995" s="683"/>
      <c r="T995" s="671"/>
      <c r="X995" s="258"/>
      <c r="Y995" s="268"/>
      <c r="Z995" s="659"/>
      <c r="AB995" s="859"/>
      <c r="AC995" s="864" t="s">
        <v>9230</v>
      </c>
      <c r="AD995" s="864"/>
      <c r="AE995" s="866"/>
      <c r="AF995" s="866"/>
      <c r="AG995" s="866"/>
      <c r="AH995" s="851"/>
      <c r="AI995" s="851"/>
      <c r="AJ995" s="862"/>
      <c r="AK995" s="862"/>
      <c r="AL995" s="855"/>
      <c r="AM995" s="855"/>
      <c r="AN995" s="848"/>
    </row>
    <row r="996" spans="1:40" ht="15" customHeight="1">
      <c r="A996" s="652"/>
      <c r="B996" s="653"/>
      <c r="C996" s="654"/>
      <c r="D996" s="691" t="str">
        <f>D10</f>
        <v>Přidělená sleva zákazníka se počítá na základě odběru od 01.01.2025 do 31.12.2025.</v>
      </c>
      <c r="E996" s="692"/>
      <c r="F996" s="693"/>
      <c r="G996" s="692"/>
      <c r="H996" s="683"/>
      <c r="I996" s="679"/>
      <c r="J996" s="684"/>
      <c r="K996" s="683"/>
      <c r="L996" s="681"/>
      <c r="M996" s="682"/>
      <c r="N996" s="683"/>
      <c r="O996" s="683"/>
      <c r="T996" s="671"/>
      <c r="V996" s="655"/>
      <c r="X996" s="258"/>
      <c r="Y996" s="268"/>
      <c r="Z996" s="659"/>
      <c r="AB996" s="859" t="s">
        <v>9227</v>
      </c>
      <c r="AC996" s="864" t="s">
        <v>9229</v>
      </c>
      <c r="AD996" s="864"/>
      <c r="AE996" s="866" t="s">
        <v>11059</v>
      </c>
      <c r="AF996" s="866"/>
      <c r="AG996" s="866"/>
      <c r="AH996" s="851" t="s">
        <v>114</v>
      </c>
      <c r="AI996" s="851" t="s">
        <v>9232</v>
      </c>
      <c r="AJ996" s="862">
        <f>SUMIF(M:M,"1.3G",AI:AI)</f>
        <v>0</v>
      </c>
      <c r="AK996" s="862"/>
      <c r="AL996" s="855">
        <f>AL986</f>
        <v>0</v>
      </c>
      <c r="AM996" s="855"/>
      <c r="AN996" s="848">
        <f>AL990</f>
        <v>0</v>
      </c>
    </row>
    <row r="997" spans="1:40" ht="15" customHeight="1">
      <c r="A997" s="652"/>
      <c r="B997" s="653"/>
      <c r="C997" s="654"/>
      <c r="D997" s="691" t="str">
        <f>D11</f>
        <v xml:space="preserve">Pokud zákazník svými odběry v daném období překročí vlastní množstevní slevu (odběry se sčítají), </v>
      </c>
      <c r="E997" s="692"/>
      <c r="F997" s="693"/>
      <c r="G997" s="692"/>
      <c r="H997" s="683"/>
      <c r="I997" s="679"/>
      <c r="J997" s="684"/>
      <c r="K997" s="683"/>
      <c r="L997" s="681"/>
      <c r="M997" s="682"/>
      <c r="N997" s="683"/>
      <c r="O997" s="683"/>
      <c r="T997" s="671"/>
      <c r="V997" s="655"/>
      <c r="X997" s="258"/>
      <c r="Y997" s="268"/>
      <c r="Z997" s="659"/>
      <c r="AB997" s="859"/>
      <c r="AC997" s="864" t="s">
        <v>9230</v>
      </c>
      <c r="AD997" s="864"/>
      <c r="AE997" s="866"/>
      <c r="AF997" s="866"/>
      <c r="AG997" s="866"/>
      <c r="AH997" s="851"/>
      <c r="AI997" s="851"/>
      <c r="AJ997" s="862"/>
      <c r="AK997" s="862"/>
      <c r="AL997" s="855"/>
      <c r="AM997" s="855"/>
      <c r="AN997" s="848"/>
    </row>
    <row r="998" spans="1:40" ht="15" customHeight="1">
      <c r="A998" s="652"/>
      <c r="B998" s="653"/>
      <c r="C998" s="654"/>
      <c r="D998" s="691" t="str">
        <f>D12</f>
        <v>dostane za dané období příslušnou slevu i zpětně. Odběrem zboží se myslí částka bez DPH po odečtení slevy.</v>
      </c>
      <c r="E998" s="692"/>
      <c r="F998" s="693"/>
      <c r="G998" s="692"/>
      <c r="H998" s="683"/>
      <c r="I998" s="679"/>
      <c r="J998" s="684"/>
      <c r="K998" s="683"/>
      <c r="L998" s="681"/>
      <c r="M998" s="682"/>
      <c r="N998" s="683"/>
      <c r="O998" s="683"/>
      <c r="V998" s="655"/>
      <c r="X998" s="258"/>
      <c r="Y998" s="268"/>
      <c r="Z998" s="659"/>
      <c r="AB998" s="859" t="s">
        <v>9228</v>
      </c>
      <c r="AC998" s="864" t="s">
        <v>9229</v>
      </c>
      <c r="AD998" s="864"/>
      <c r="AE998" s="866" t="s">
        <v>11059</v>
      </c>
      <c r="AF998" s="866"/>
      <c r="AG998" s="866"/>
      <c r="AH998" s="852" t="s">
        <v>21</v>
      </c>
      <c r="AI998" s="852" t="s">
        <v>9233</v>
      </c>
      <c r="AJ998" s="862">
        <f>SUMIF(M:M,"1.4G",AI:AI)</f>
        <v>0</v>
      </c>
      <c r="AK998" s="862"/>
      <c r="AL998" s="855">
        <f>AM986</f>
        <v>0</v>
      </c>
      <c r="AM998" s="855"/>
      <c r="AN998" s="848">
        <f>AM990</f>
        <v>0</v>
      </c>
    </row>
    <row r="999" spans="1:40" ht="15" customHeight="1" thickBot="1">
      <c r="A999" s="652"/>
      <c r="B999" s="653"/>
      <c r="C999" s="654"/>
      <c r="D999" s="691" t="str">
        <f>D13</f>
        <v>Vepsáním vaší slevy do buňky D19 se ceník automaticky přepočítá, případně se sleva vypčte sama podle aktuální objednávky.</v>
      </c>
      <c r="E999" s="692"/>
      <c r="F999" s="693"/>
      <c r="G999" s="692"/>
      <c r="H999" s="683"/>
      <c r="I999" s="679"/>
      <c r="J999" s="684"/>
      <c r="K999" s="683"/>
      <c r="L999" s="681"/>
      <c r="M999" s="682"/>
      <c r="N999" s="683"/>
      <c r="O999" s="683"/>
      <c r="V999" s="655"/>
      <c r="X999" s="258"/>
      <c r="Y999" s="268"/>
      <c r="Z999" s="659"/>
      <c r="AB999" s="860"/>
      <c r="AC999" s="865" t="s">
        <v>9230</v>
      </c>
      <c r="AD999" s="865"/>
      <c r="AE999" s="867"/>
      <c r="AF999" s="867"/>
      <c r="AG999" s="867"/>
      <c r="AH999" s="853"/>
      <c r="AI999" s="853"/>
      <c r="AJ999" s="863"/>
      <c r="AK999" s="863"/>
      <c r="AL999" s="856"/>
      <c r="AM999" s="856"/>
      <c r="AN999" s="849"/>
    </row>
    <row r="1000" spans="1:40" ht="15" customHeight="1">
      <c r="A1000" s="652"/>
      <c r="B1000" s="653"/>
      <c r="C1000" s="654"/>
      <c r="D1000" s="694" t="str">
        <f>IF($W$17=$AF$1,"Jelikož ceny dopravy a zboží jsou velice nestabilní, vyhrazujeme si právo na změnu cen i během období platnosti ceníku.",IFERROR(VLOOKUP("Jelikož ceny dopravy a zboží jsou velice nestabilní, vyhrazujeme si právo na změnu cen i během období platnosti ceníku.",Jazyky_ceník!A:Q,MATCH(W17,Jazyky_ceník!A1:Q1,0),FALSE),"---------------"))</f>
        <v>Jelikož ceny dopravy a zboží jsou velice nestabilní, vyhrazujeme si právo na změnu cen i během období platnosti ceníku.</v>
      </c>
      <c r="E1000" s="683"/>
      <c r="F1000" s="676"/>
      <c r="G1000" s="683"/>
      <c r="H1000" s="683"/>
      <c r="I1000" s="679"/>
      <c r="J1000" s="680"/>
      <c r="K1000" s="681"/>
      <c r="L1000" s="682"/>
      <c r="M1000" s="677"/>
      <c r="N1000" s="683"/>
      <c r="O1000" s="683"/>
      <c r="Q1000" s="658"/>
      <c r="R1000" s="657"/>
      <c r="S1000" s="657"/>
      <c r="T1000" s="657"/>
      <c r="U1000" s="657"/>
      <c r="V1000" s="695"/>
      <c r="W1000" s="696"/>
      <c r="X1000" s="696"/>
      <c r="Y1000" s="697"/>
      <c r="Z1000" s="696"/>
      <c r="AA1000" s="524"/>
      <c r="AB1000" s="696"/>
      <c r="AC1000" s="698" t="s">
        <v>2659</v>
      </c>
      <c r="AD1000" s="698"/>
      <c r="AE1000" s="700"/>
      <c r="AF1000" s="688"/>
      <c r="AG1000" s="688"/>
      <c r="AH1000" s="701"/>
      <c r="AI1000" s="683"/>
      <c r="AJ1000" s="638"/>
      <c r="AN1000" s="665"/>
    </row>
    <row r="1001" spans="1:40" ht="15" customHeight="1">
      <c r="E1001" s="655"/>
      <c r="F1001" s="666"/>
      <c r="G1001" s="667"/>
      <c r="H1001" s="668"/>
      <c r="V1001" s="696"/>
      <c r="W1001" s="696"/>
      <c r="X1001" s="696"/>
      <c r="Y1001" s="696"/>
      <c r="Z1001" s="696"/>
      <c r="AA1001" s="696"/>
      <c r="AB1001" s="699" t="s">
        <v>2659</v>
      </c>
      <c r="AC1001" s="696"/>
      <c r="AD1001" s="696"/>
      <c r="AE1001" s="683"/>
      <c r="AF1001" s="683"/>
      <c r="AG1001" s="683"/>
      <c r="AH1001" s="683"/>
      <c r="AI1001" s="683"/>
    </row>
    <row r="1002" spans="1:40" ht="15" customHeight="1">
      <c r="V1002" s="696"/>
      <c r="W1002" s="696"/>
      <c r="X1002" s="696"/>
      <c r="Y1002" s="696"/>
      <c r="Z1002" s="696"/>
      <c r="AA1002" s="696"/>
      <c r="AB1002" s="696"/>
      <c r="AC1002" s="696"/>
      <c r="AD1002" s="696"/>
      <c r="AE1002" s="702" t="str">
        <f>IF(AE1003&lt;&gt;"",IF($W$17=$AF$1,"Níže jsou informace k objednávce pro pracovníky firmy Klásek.",IFERROR(VLOOKUP("Níže jsou informace k objednávce pro pracovníky firmy Klásek.",Jazyky_ceník!A:Q,MATCH(W17,Jazyky_ceník!A1:Q1,0),FALSE),"!!!")),"")</f>
        <v/>
      </c>
      <c r="AF1002" s="683"/>
      <c r="AG1002" s="683"/>
      <c r="AH1002" s="683"/>
      <c r="AI1002" s="683"/>
      <c r="AL1002" s="669"/>
      <c r="AM1002" s="669"/>
      <c r="AN1002" s="669"/>
    </row>
    <row r="1003" spans="1:40" ht="15" customHeight="1">
      <c r="V1003" s="696"/>
      <c r="W1003" s="696"/>
      <c r="X1003" s="696"/>
      <c r="Y1003" s="696"/>
      <c r="Z1003" s="696"/>
      <c r="AA1003" s="696"/>
      <c r="AB1003" s="696"/>
      <c r="AC1003" s="696"/>
      <c r="AD1003" s="696"/>
      <c r="AE1003" s="683" t="str">
        <f>IF('Část (1)'!W20&gt;100,"Objednávka obsahuje "&amp;'Část (1)'!W20&amp;" druhů výrobků, proto by měla být rozdělena do "&amp;'Část (1)'!O7&amp;" dílčích objednávek po "&amp;'Část (1)'!W21&amp;" položkách.","")</f>
        <v/>
      </c>
      <c r="AF1003" s="683"/>
      <c r="AG1003" s="683"/>
      <c r="AH1003" s="683"/>
      <c r="AI1003" s="683"/>
      <c r="AL1003" s="669"/>
      <c r="AM1003" s="669"/>
      <c r="AN1003" s="669"/>
    </row>
    <row r="1004" spans="1:40" ht="15" customHeight="1">
      <c r="V1004" s="696"/>
      <c r="W1004" s="696"/>
      <c r="X1004" s="696"/>
      <c r="Y1004" s="696"/>
      <c r="Z1004" s="696"/>
      <c r="AA1004" s="696"/>
      <c r="AB1004" s="696"/>
      <c r="AC1004" s="696"/>
      <c r="AD1004" s="696"/>
      <c r="AE1004" s="688" t="str">
        <f>IF(AE1003&lt;&gt;"","Importujte tyto dílčí záložky:","")</f>
        <v/>
      </c>
      <c r="AF1004" s="683"/>
      <c r="AG1004" s="683"/>
      <c r="AH1004" s="703" t="str">
        <f>IF(AE1003&lt;&gt;"","Hodnoty pro kontrolu po importu do Visionu","")</f>
        <v/>
      </c>
      <c r="AI1004" s="683"/>
    </row>
    <row r="1005" spans="1:40" ht="15" customHeight="1">
      <c r="V1005" s="696"/>
      <c r="W1005" s="696"/>
      <c r="X1005" s="696"/>
      <c r="Y1005" s="696"/>
      <c r="Z1005" s="696"/>
      <c r="AA1005" s="696"/>
      <c r="AB1005" s="696"/>
      <c r="AC1005" s="696"/>
      <c r="AD1005" s="696"/>
      <c r="AE1005" s="704" t="str">
        <f>IF(AE1003&lt;&gt;"","Záložka k importu","")</f>
        <v/>
      </c>
      <c r="AF1005" s="688" t="str">
        <f>IF(AE1003&lt;&gt;"","počet ks","")</f>
        <v/>
      </c>
      <c r="AG1005" s="688" t="str">
        <f>IF(AE1003&lt;&gt;"","hmotnost","")</f>
        <v/>
      </c>
      <c r="AH1005" s="683"/>
      <c r="AI1005" s="683"/>
      <c r="AL1005" s="838"/>
      <c r="AM1005" s="838"/>
      <c r="AN1005" s="838"/>
    </row>
    <row r="1006" spans="1:40" ht="15" customHeight="1">
      <c r="V1006" s="696"/>
      <c r="W1006" s="696" t="str">
        <f>IFERROR(VLOOKUP("Zvažte možnost optimalizace objednaného množství podle počtu VK na paletě ==&gt;",Jazyky_ceník!A:Q,MATCH($W$17,Jazyky_ceník!$A$1:$Q$1,0),FALSE),"---------------")</f>
        <v>Zvažte možnost optimalizace objednaného množství podle počtu VK na paletě ==&gt;</v>
      </c>
      <c r="X1006" s="696"/>
      <c r="Y1006" s="696"/>
      <c r="Z1006" s="696"/>
      <c r="AA1006" s="696"/>
      <c r="AB1006" s="696"/>
      <c r="AC1006" s="696"/>
      <c r="AD1006" s="696"/>
      <c r="AE1006" s="704" t="str">
        <f>IF('Část (1)'!W20&gt;100,"Část (1)","")</f>
        <v/>
      </c>
      <c r="AF1006" s="688" t="str">
        <f>IF(AE1006&lt;&gt;"",'Část (1)'!$W$15&amp;" ks","")</f>
        <v/>
      </c>
      <c r="AG1006" s="688" t="str">
        <f>IF(AE1006&lt;&gt;"",'Část (1)'!$W$16&amp;" kg","")</f>
        <v/>
      </c>
      <c r="AH1006" s="683" t="str">
        <f>IF(AE1006&lt;&gt;"",'Část (1)'!$E$17,"")</f>
        <v/>
      </c>
      <c r="AI1006" s="683"/>
      <c r="AL1006" s="838"/>
      <c r="AM1006" s="838"/>
      <c r="AN1006" s="838"/>
    </row>
    <row r="1007" spans="1:40" ht="15" customHeight="1">
      <c r="V1007" s="696"/>
      <c r="W1007" s="696"/>
      <c r="X1007" s="696"/>
      <c r="Y1007" s="696"/>
      <c r="Z1007" s="696"/>
      <c r="AA1007" s="696"/>
      <c r="AB1007" s="696"/>
      <c r="AC1007" s="696"/>
      <c r="AD1007" s="696"/>
      <c r="AE1007" s="704" t="str">
        <f>IF(AE1006&lt;&gt;"","Část (2)","")</f>
        <v/>
      </c>
      <c r="AF1007" s="688" t="str">
        <f>IF(AE1007&lt;&gt;"",'Část (2)'!$W$15&amp;" ks","")</f>
        <v/>
      </c>
      <c r="AG1007" s="688" t="str">
        <f>IF(AE1007&lt;&gt;"",'Část (2)'!$W$16&amp;" kg","")</f>
        <v/>
      </c>
      <c r="AH1007" s="683" t="str">
        <f>IF(AE1007&lt;&gt;"",'Část (2)'!$E$17,"")</f>
        <v/>
      </c>
      <c r="AI1007" s="683"/>
      <c r="AL1007" s="838"/>
      <c r="AM1007" s="838"/>
      <c r="AN1007" s="838"/>
    </row>
    <row r="1008" spans="1:40" ht="15" customHeight="1">
      <c r="V1008" s="696"/>
      <c r="W1008" s="696" t="s">
        <v>12200</v>
      </c>
      <c r="X1008" s="696"/>
      <c r="Y1008" s="696"/>
      <c r="Z1008" s="696"/>
      <c r="AA1008" s="696"/>
      <c r="AB1008" s="696"/>
      <c r="AC1008" s="696"/>
      <c r="AD1008" s="696"/>
      <c r="AE1008" s="704" t="str">
        <f>IF('Část (1)'!O7&gt;=3,"Část (3)","")</f>
        <v/>
      </c>
      <c r="AF1008" s="688" t="str">
        <f>IF(AE1008&lt;&gt;"",'Část (3)'!$W$15&amp;" ks","")</f>
        <v/>
      </c>
      <c r="AG1008" s="688" t="str">
        <f>IF(AE1008&lt;&gt;"",'Část (3)'!$W$16&amp;" kg","")</f>
        <v/>
      </c>
      <c r="AH1008" s="683" t="str">
        <f>IF(AE1008&lt;&gt;"",'Část (3)'!$E$17,"")</f>
        <v/>
      </c>
      <c r="AI1008" s="683"/>
    </row>
    <row r="1009" spans="22:35" ht="15" customHeight="1">
      <c r="V1009" s="696"/>
      <c r="W1009" s="696" t="s">
        <v>12178</v>
      </c>
      <c r="X1009" s="696"/>
      <c r="Y1009" s="696"/>
      <c r="Z1009" s="696"/>
      <c r="AA1009" s="696"/>
      <c r="AB1009" s="696"/>
      <c r="AC1009" s="696"/>
      <c r="AD1009" s="696"/>
      <c r="AE1009" s="704" t="str">
        <f>IF('Část (1)'!O7&gt;=4,"Část (4)","")</f>
        <v/>
      </c>
      <c r="AF1009" s="688" t="str">
        <f>IF(AE1009&lt;&gt;"",'Část (4)'!$W$15&amp;" ks","")</f>
        <v/>
      </c>
      <c r="AG1009" s="688" t="str">
        <f>IF(AE1009&lt;&gt;"",'Část (4)'!$W$16&amp;" kg","")</f>
        <v/>
      </c>
      <c r="AH1009" s="683" t="str">
        <f>IF(AE1009&lt;&gt;"",'Část (4)'!$E$17,"")</f>
        <v/>
      </c>
      <c r="AI1009" s="683"/>
    </row>
    <row r="1010" spans="22:35" ht="15" customHeight="1">
      <c r="V1010" s="696"/>
      <c r="W1010" s="696" t="s">
        <v>12179</v>
      </c>
      <c r="X1010" s="696"/>
      <c r="Y1010" s="696"/>
      <c r="Z1010" s="696"/>
      <c r="AA1010" s="696"/>
      <c r="AB1010" s="696"/>
      <c r="AC1010" s="696"/>
      <c r="AD1010" s="696"/>
      <c r="AE1010" s="704" t="str">
        <f>IF('Část (1)'!O7&gt;=5,"Část (5)","")</f>
        <v/>
      </c>
      <c r="AF1010" s="688" t="str">
        <f>IF(AE1010&lt;&gt;"",'Část (5)'!$W$15&amp;" ks","")</f>
        <v/>
      </c>
      <c r="AG1010" s="688" t="str">
        <f>IF(AE1010&lt;&gt;"",'Část (5)'!$W$16&amp;" kg","")</f>
        <v/>
      </c>
      <c r="AH1010" s="683" t="str">
        <f>IF(AE1010&lt;&gt;"",'Část (5)'!$E$17,"")</f>
        <v/>
      </c>
      <c r="AI1010" s="683"/>
    </row>
  </sheetData>
  <sheetProtection algorithmName="SHA-512" hashValue="FJGSy6GJlpV5uwQPMFH1AzgbQj5OOpw8K12fmuMNpalREEEpEx6IBm9jdMaqqJJ9Pi2E/Dn6XwbCgfHD1aPbng==" saltValue="rYpAeWS4VGu0ntZXGvwaGw==" spinCount="100000" sheet="1" formatCells="0" formatColumns="0" formatRows="0" autoFilter="0"/>
  <protectedRanges>
    <protectedRange sqref="AK1" name="Kurz Zloty" securityDescriptor="O:WDG:WDD:(A;;CC;;;WD)"/>
    <protectedRange sqref="D17" name="RABAT" securityDescriptor="O:WDG:WDD:(A;;CC;;;WD)"/>
    <protectedRange sqref="AB22:AB982" name="OBJEDNÁVKA_2" securityDescriptor="O:WDG:WDD:(A;;CC;;;WD)"/>
    <protectedRange sqref="AI1" name="F4"/>
    <protectedRange sqref="G17" name="Měna" securityDescriptor="O:WDG:WDD:(A;;CC;;;WD)"/>
  </protectedRanges>
  <sortState xmlns:xlrd2="http://schemas.microsoft.com/office/spreadsheetml/2017/richdata2" ref="AF1:AF10">
    <sortCondition ref="AF1:AF10"/>
  </sortState>
  <mergeCells count="79">
    <mergeCell ref="AD17:AD19"/>
    <mergeCell ref="AL993:AM993"/>
    <mergeCell ref="AN990:AN991"/>
    <mergeCell ref="AM990:AM991"/>
    <mergeCell ref="AL990:AL991"/>
    <mergeCell ref="AK990:AK991"/>
    <mergeCell ref="AJ994:AK995"/>
    <mergeCell ref="AG990:AJ991"/>
    <mergeCell ref="R17:V17"/>
    <mergeCell ref="M17:Q17"/>
    <mergeCell ref="H17:L17"/>
    <mergeCell ref="AJ984:AN985"/>
    <mergeCell ref="AM17:AM19"/>
    <mergeCell ref="AN17:AN19"/>
    <mergeCell ref="AL17:AL19"/>
    <mergeCell ref="W986:W987"/>
    <mergeCell ref="AK17:AK19"/>
    <mergeCell ref="AE17:AE19"/>
    <mergeCell ref="Z17:Z19"/>
    <mergeCell ref="U19:V19"/>
    <mergeCell ref="AI17:AI19"/>
    <mergeCell ref="AJ17:AJ19"/>
    <mergeCell ref="AC996:AD996"/>
    <mergeCell ref="AE996:AG997"/>
    <mergeCell ref="AE998:AG999"/>
    <mergeCell ref="AH994:AH995"/>
    <mergeCell ref="AH996:AH997"/>
    <mergeCell ref="AH998:AH999"/>
    <mergeCell ref="AC994:AD994"/>
    <mergeCell ref="AE994:AG995"/>
    <mergeCell ref="AL994:AM995"/>
    <mergeCell ref="AL998:AM999"/>
    <mergeCell ref="AL996:AM997"/>
    <mergeCell ref="AJ993:AK993"/>
    <mergeCell ref="D988:G988"/>
    <mergeCell ref="AB994:AB995"/>
    <mergeCell ref="AB996:AB997"/>
    <mergeCell ref="AB998:AB999"/>
    <mergeCell ref="D989:H989"/>
    <mergeCell ref="AB990:AF990"/>
    <mergeCell ref="AJ996:AK997"/>
    <mergeCell ref="AJ998:AK999"/>
    <mergeCell ref="AC995:AD995"/>
    <mergeCell ref="AC997:AD997"/>
    <mergeCell ref="AC999:AD999"/>
    <mergeCell ref="AC998:AD998"/>
    <mergeCell ref="AB17:AB19"/>
    <mergeCell ref="AA17:AA19"/>
    <mergeCell ref="M18:M19"/>
    <mergeCell ref="J18:J19"/>
    <mergeCell ref="AL1005:AN1007"/>
    <mergeCell ref="AB989:AF989"/>
    <mergeCell ref="AE986:AF986"/>
    <mergeCell ref="AB987:AB988"/>
    <mergeCell ref="AE987:AF987"/>
    <mergeCell ref="AE988:AF988"/>
    <mergeCell ref="AN994:AN995"/>
    <mergeCell ref="AN996:AN997"/>
    <mergeCell ref="AN998:AN999"/>
    <mergeCell ref="AI994:AI995"/>
    <mergeCell ref="AI996:AI997"/>
    <mergeCell ref="AI998:AI999"/>
    <mergeCell ref="L16:V16"/>
    <mergeCell ref="W18:W19"/>
    <mergeCell ref="D3:F3"/>
    <mergeCell ref="D1:D2"/>
    <mergeCell ref="E1:G2"/>
    <mergeCell ref="K1:L1"/>
    <mergeCell ref="M1:O1"/>
    <mergeCell ref="Q18:R18"/>
    <mergeCell ref="A7:C8"/>
    <mergeCell ref="D987:G987"/>
    <mergeCell ref="D986:G986"/>
    <mergeCell ref="D16:F16"/>
    <mergeCell ref="A17:A19"/>
    <mergeCell ref="C18:C19"/>
    <mergeCell ref="D18:D19"/>
    <mergeCell ref="E18:E19"/>
    <mergeCell ref="G16:J16"/>
  </mergeCells>
  <phoneticPr fontId="70" type="noConversion"/>
  <conditionalFormatting sqref="A22:AB982 AF22:AN982">
    <cfRule type="expression" dxfId="20" priority="12">
      <formula>$AE22=$V$10</formula>
    </cfRule>
  </conditionalFormatting>
  <conditionalFormatting sqref="C22:C983">
    <cfRule type="duplicateValues" dxfId="19" priority="35655"/>
  </conditionalFormatting>
  <conditionalFormatting sqref="C22:C989">
    <cfRule type="expression" dxfId="18" priority="15395">
      <formula>OR($K22=$B$1,$K22="BBP")</formula>
    </cfRule>
    <cfRule type="expression" dxfId="17" priority="15396">
      <formula>OR($K22=5,$K22="5BP")</formula>
    </cfRule>
    <cfRule type="expression" dxfId="16" priority="15397">
      <formula>OR($K22=4,$K22="4BP")</formula>
    </cfRule>
  </conditionalFormatting>
  <conditionalFormatting sqref="F22:F983 C987">
    <cfRule type="expression" dxfId="15" priority="11">
      <formula>$K22="A"</formula>
    </cfRule>
  </conditionalFormatting>
  <conditionalFormatting sqref="F22:F983 C989">
    <cfRule type="expression" dxfId="14" priority="10">
      <formula>OR($K22="BP",$K22="BBP",$K22="5BP",$K22="4BP")</formula>
    </cfRule>
  </conditionalFormatting>
  <conditionalFormatting sqref="Q22:R983">
    <cfRule type="expression" dxfId="13" priority="55">
      <formula>AND(AY22=0,R22&lt;&gt;"",S22&lt;&gt;"")</formula>
    </cfRule>
  </conditionalFormatting>
  <conditionalFormatting sqref="W22:W983 AA22:AA983">
    <cfRule type="expression" dxfId="12" priority="38">
      <formula>AND(NOT(MOD($AB22,$AA22)=0),$AB22&gt;0.1*$AA22,OR(MOD($AB22,$AA22)&lt;=0.1*$AA22,MOD($AB22,$AA22)&gt;=($AA22-(0.1*$AA22))))</formula>
    </cfRule>
  </conditionalFormatting>
  <conditionalFormatting sqref="AB22:AB983">
    <cfRule type="expression" dxfId="11" priority="3874">
      <formula>$B22=1</formula>
    </cfRule>
  </conditionalFormatting>
  <conditionalFormatting sqref="AB986 AI986:AN986">
    <cfRule type="expression" dxfId="10" priority="2758">
      <formula>$AB$9=$AC$1</formula>
    </cfRule>
  </conditionalFormatting>
  <conditionalFormatting sqref="AE22:AE983">
    <cfRule type="expression" dxfId="9" priority="253">
      <formula>$AE22=$V$10</formula>
    </cfRule>
  </conditionalFormatting>
  <dataValidations count="2">
    <dataValidation type="whole" operator="greaterThan" allowBlank="1" showInputMessage="1" showErrorMessage="1" errorTitle="POZOR!! / ATTENTION!!!" error="Tuto položku lze objednat pouze po celých kartonech!_x000a__x000a_This item can only be ordered in whole cartons!_x000a__x000a_Mặt hàng này chỉ có thể được đặt hàng trong cả thùng!_x000a_" sqref="AB701:AB703 AB623:AB625 AB646:AB649 AB705 AB80:AB82 AB84:AB92 AB707:AB708 AB710:AB720 AB872 AB864 AB130:AB137 AB166:AB167 AB217:AB226 AB242 AB239:AB240 AB234:AB237 AB228 AB264:AB283 AB285 AB287:AB298 AB300:AB316 AB318:AB330 AB376:AB388 AB423:AB425 AB444:AB447 AB463:AB466 AB481:AB484 AB523:AB525 AB527:AB537 AB556 AB620:AB621 AB627:AB633 AB651:AB656 AB613:AB618 AB607:AB611 AB730 AB732 AB734:AB735 AB737 AB723:AB725 AB427:AB432 AB438:AB441 AB449:AB450 AB452:AB454 AB456:AB457 AB459:AB461 AB468:AB471 AB478:AB479 AB539:AB551 AB594:AB597 AB599:AB604 AB74:AB78 AB169:AB178 AB180:AB191 AB244 AB434:AB436 AB159:AB164 AB193:AB215 AB390:AB421 AB866:AB870 AB139:AB147 AB149:AB157 AB251:AB262 AB817:AB818 AB332:AB374 AB553:AB554 AB230:AB232 AB813:AB815 AB727:AB728 AB558:AB584 AB635:AB644 AB739:AB765 AB788:AB800 AB920:AB982 AB857:AB862 AB662:AB677 AB658:AB660 AB473:AB476 AB246:AB249 AB119:AB128 AB94:AB117 AB58:AB72 AB22:AB56 AB890:AB918 AB486:AB502 AB504:AB513 AB515:AB521 AB586:AB592 AB679:AB696 AB698:AB699 AB767:AB786 AB802:AB811 AB829:AB855 AB874:AB888 AB820:AB827" xr:uid="{0688AC2E-11F1-4F90-A468-131B10F18202}">
      <formula1>0</formula1>
    </dataValidation>
    <dataValidation type="list" allowBlank="1" showInputMessage="1" showErrorMessage="1" sqref="G17" xr:uid="{18A39CCD-A983-4AC0-AC37-022E9A716E2F}">
      <formula1>$AT$1:$AT$3</formula1>
    </dataValidation>
  </dataValidations>
  <hyperlinks>
    <hyperlink ref="E8" r:id="rId1" display="info@klasekpyrotechnics.cz" xr:uid="{A040ED6B-DDC7-408A-83D6-D37EF93D2AE8}"/>
    <hyperlink ref="E4" r:id="rId2" xr:uid="{BC5AE274-028C-4ED8-AB68-83F4634CAA57}"/>
    <hyperlink ref="AN1" r:id="rId3" xr:uid="{00382642-D67A-42E4-A013-387F54D0A488}"/>
  </hyperlinks>
  <pageMargins left="0.7" right="0.7" top="0.78740157499999996" bottom="0.78740157499999996" header="0.3" footer="0.3"/>
  <pageSetup paperSize="9"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55554" r:id="rId7" name="Check Box 6050">
              <controlPr defaultSize="0" autoFill="0" autoLine="0" autoPict="0">
                <anchor moveWithCells="1">
                  <from>
                    <xdr:col>9</xdr:col>
                    <xdr:colOff>171450</xdr:colOff>
                    <xdr:row>5</xdr:row>
                    <xdr:rowOff>0</xdr:rowOff>
                  </from>
                  <to>
                    <xdr:col>9</xdr:col>
                    <xdr:colOff>438150</xdr:colOff>
                    <xdr:row>11</xdr:row>
                    <xdr:rowOff>9525</xdr:rowOff>
                  </to>
                </anchor>
              </controlPr>
            </control>
          </mc:Choice>
        </mc:AlternateContent>
        <mc:AlternateContent xmlns:mc="http://schemas.openxmlformats.org/markup-compatibility/2006">
          <mc:Choice Requires="x14">
            <control shapeId="9254" r:id="rId8" name="Drop Down 38">
              <controlPr locked="0" defaultSize="0" autoLine="0" autoPict="0">
                <anchor moveWithCells="1">
                  <from>
                    <xdr:col>21</xdr:col>
                    <xdr:colOff>504825</xdr:colOff>
                    <xdr:row>986</xdr:row>
                    <xdr:rowOff>171450</xdr:rowOff>
                  </from>
                  <to>
                    <xdr:col>23</xdr:col>
                    <xdr:colOff>0</xdr:colOff>
                    <xdr:row>989</xdr:row>
                    <xdr:rowOff>0</xdr:rowOff>
                  </to>
                </anchor>
              </controlPr>
            </control>
          </mc:Choice>
        </mc:AlternateContent>
        <mc:AlternateContent xmlns:mc="http://schemas.openxmlformats.org/markup-compatibility/2006">
          <mc:Choice Requires="x14">
            <control shapeId="9246" r:id="rId9" name="Option Button 30">
              <controlPr defaultSize="0" autoFill="0" autoLine="0" autoPict="0">
                <anchor moveWithCells="1" sizeWithCells="1">
                  <from>
                    <xdr:col>21</xdr:col>
                    <xdr:colOff>361950</xdr:colOff>
                    <xdr:row>8</xdr:row>
                    <xdr:rowOff>123825</xdr:rowOff>
                  </from>
                  <to>
                    <xdr:col>22</xdr:col>
                    <xdr:colOff>161925</xdr:colOff>
                    <xdr:row>11</xdr:row>
                    <xdr:rowOff>123825</xdr:rowOff>
                  </to>
                </anchor>
              </controlPr>
            </control>
          </mc:Choice>
        </mc:AlternateContent>
        <mc:AlternateContent xmlns:mc="http://schemas.openxmlformats.org/markup-compatibility/2006">
          <mc:Choice Requires="x14">
            <control shapeId="9247" r:id="rId10" name="Option Button 31">
              <controlPr defaultSize="0" autoFill="0" autoLine="0" autoPict="0">
                <anchor moveWithCells="1" sizeWithCells="1">
                  <from>
                    <xdr:col>22</xdr:col>
                    <xdr:colOff>971550</xdr:colOff>
                    <xdr:row>8</xdr:row>
                    <xdr:rowOff>123825</xdr:rowOff>
                  </from>
                  <to>
                    <xdr:col>22</xdr:col>
                    <xdr:colOff>1257300</xdr:colOff>
                    <xdr:row>11</xdr:row>
                    <xdr:rowOff>123825</xdr:rowOff>
                  </to>
                </anchor>
              </controlPr>
            </control>
          </mc:Choice>
        </mc:AlternateContent>
        <mc:AlternateContent xmlns:mc="http://schemas.openxmlformats.org/markup-compatibility/2006">
          <mc:Choice Requires="x14">
            <control shapeId="9258" r:id="rId11" name="Option Button 42">
              <controlPr defaultSize="0" autoFill="0" autoLine="0" autoPict="0">
                <anchor moveWithCells="1" sizeWithCells="1">
                  <from>
                    <xdr:col>22</xdr:col>
                    <xdr:colOff>2428875</xdr:colOff>
                    <xdr:row>8</xdr:row>
                    <xdr:rowOff>123825</xdr:rowOff>
                  </from>
                  <to>
                    <xdr:col>22</xdr:col>
                    <xdr:colOff>2733675</xdr:colOff>
                    <xdr:row>11</xdr:row>
                    <xdr:rowOff>123825</xdr:rowOff>
                  </to>
                </anchor>
              </controlPr>
            </control>
          </mc:Choice>
        </mc:AlternateContent>
        <mc:AlternateContent xmlns:mc="http://schemas.openxmlformats.org/markup-compatibility/2006">
          <mc:Choice Requires="x14">
            <control shapeId="9260" r:id="rId12" name="Option Button 44">
              <controlPr defaultSize="0" autoFill="0" autoLine="0" autoPict="0">
                <anchor moveWithCells="1" sizeWithCells="1">
                  <from>
                    <xdr:col>22</xdr:col>
                    <xdr:colOff>1333500</xdr:colOff>
                    <xdr:row>8</xdr:row>
                    <xdr:rowOff>123825</xdr:rowOff>
                  </from>
                  <to>
                    <xdr:col>22</xdr:col>
                    <xdr:colOff>1638300</xdr:colOff>
                    <xdr:row>11</xdr:row>
                    <xdr:rowOff>123825</xdr:rowOff>
                  </to>
                </anchor>
              </controlPr>
            </control>
          </mc:Choice>
        </mc:AlternateContent>
        <mc:AlternateContent xmlns:mc="http://schemas.openxmlformats.org/markup-compatibility/2006">
          <mc:Choice Requires="x14">
            <control shapeId="9261" r:id="rId13" name="Option Button 45">
              <controlPr defaultSize="0" autoFill="0" autoLine="0" autoPict="0">
                <anchor moveWithCells="1" sizeWithCells="1">
                  <from>
                    <xdr:col>22</xdr:col>
                    <xdr:colOff>2066925</xdr:colOff>
                    <xdr:row>8</xdr:row>
                    <xdr:rowOff>123825</xdr:rowOff>
                  </from>
                  <to>
                    <xdr:col>22</xdr:col>
                    <xdr:colOff>2371725</xdr:colOff>
                    <xdr:row>11</xdr:row>
                    <xdr:rowOff>123825</xdr:rowOff>
                  </to>
                </anchor>
              </controlPr>
            </control>
          </mc:Choice>
        </mc:AlternateContent>
        <mc:AlternateContent xmlns:mc="http://schemas.openxmlformats.org/markup-compatibility/2006">
          <mc:Choice Requires="x14">
            <control shapeId="9262" r:id="rId14" name="Option Button 46">
              <controlPr defaultSize="0" autoFill="0" autoLine="0" autoPict="0">
                <anchor moveWithCells="1" sizeWithCells="1">
                  <from>
                    <xdr:col>22</xdr:col>
                    <xdr:colOff>1714500</xdr:colOff>
                    <xdr:row>8</xdr:row>
                    <xdr:rowOff>123825</xdr:rowOff>
                  </from>
                  <to>
                    <xdr:col>22</xdr:col>
                    <xdr:colOff>1981200</xdr:colOff>
                    <xdr:row>11</xdr:row>
                    <xdr:rowOff>123825</xdr:rowOff>
                  </to>
                </anchor>
              </controlPr>
            </control>
          </mc:Choice>
        </mc:AlternateContent>
        <mc:AlternateContent xmlns:mc="http://schemas.openxmlformats.org/markup-compatibility/2006">
          <mc:Choice Requires="x14">
            <control shapeId="9263" r:id="rId15" name="Option Button 47">
              <controlPr defaultSize="0" autoFill="0" autoLine="0" autoPict="0">
                <anchor moveWithCells="1" sizeWithCells="1">
                  <from>
                    <xdr:col>22</xdr:col>
                    <xdr:colOff>238125</xdr:colOff>
                    <xdr:row>8</xdr:row>
                    <xdr:rowOff>123825</xdr:rowOff>
                  </from>
                  <to>
                    <xdr:col>22</xdr:col>
                    <xdr:colOff>542925</xdr:colOff>
                    <xdr:row>11</xdr:row>
                    <xdr:rowOff>123825</xdr:rowOff>
                  </to>
                </anchor>
              </controlPr>
            </control>
          </mc:Choice>
        </mc:AlternateContent>
        <mc:AlternateContent xmlns:mc="http://schemas.openxmlformats.org/markup-compatibility/2006">
          <mc:Choice Requires="x14">
            <control shapeId="9264" r:id="rId16" name="Option Button 48">
              <controlPr defaultSize="0" autoFill="0" autoLine="0" autoPict="0">
                <anchor moveWithCells="1" sizeWithCells="1">
                  <from>
                    <xdr:col>22</xdr:col>
                    <xdr:colOff>571500</xdr:colOff>
                    <xdr:row>8</xdr:row>
                    <xdr:rowOff>123825</xdr:rowOff>
                  </from>
                  <to>
                    <xdr:col>22</xdr:col>
                    <xdr:colOff>885825</xdr:colOff>
                    <xdr:row>11</xdr:row>
                    <xdr:rowOff>123825</xdr:rowOff>
                  </to>
                </anchor>
              </controlPr>
            </control>
          </mc:Choice>
        </mc:AlternateContent>
        <mc:AlternateContent xmlns:mc="http://schemas.openxmlformats.org/markup-compatibility/2006">
          <mc:Choice Requires="x14">
            <control shapeId="9265" r:id="rId17" name="Option Button 49">
              <controlPr defaultSize="0" autoFill="0" autoLine="0" autoPict="0">
                <anchor moveWithCells="1" sizeWithCells="1">
                  <from>
                    <xdr:col>22</xdr:col>
                    <xdr:colOff>3152775</xdr:colOff>
                    <xdr:row>8</xdr:row>
                    <xdr:rowOff>123825</xdr:rowOff>
                  </from>
                  <to>
                    <xdr:col>22</xdr:col>
                    <xdr:colOff>3476625</xdr:colOff>
                    <xdr:row>11</xdr:row>
                    <xdr:rowOff>123825</xdr:rowOff>
                  </to>
                </anchor>
              </controlPr>
            </control>
          </mc:Choice>
        </mc:AlternateContent>
        <mc:AlternateContent xmlns:mc="http://schemas.openxmlformats.org/markup-compatibility/2006">
          <mc:Choice Requires="x14">
            <control shapeId="9266" r:id="rId18" name="Option Button 50">
              <controlPr defaultSize="0" autoFill="0" autoLine="0" autoPict="0">
                <anchor moveWithCells="1" sizeWithCells="1">
                  <from>
                    <xdr:col>22</xdr:col>
                    <xdr:colOff>2790825</xdr:colOff>
                    <xdr:row>8</xdr:row>
                    <xdr:rowOff>123825</xdr:rowOff>
                  </from>
                  <to>
                    <xdr:col>22</xdr:col>
                    <xdr:colOff>3086100</xdr:colOff>
                    <xdr:row>11</xdr:row>
                    <xdr:rowOff>123825</xdr:rowOff>
                  </to>
                </anchor>
              </controlPr>
            </control>
          </mc:Choice>
        </mc:AlternateContent>
        <mc:AlternateContent xmlns:mc="http://schemas.openxmlformats.org/markup-compatibility/2006">
          <mc:Choice Requires="x14">
            <control shapeId="9269" r:id="rId19" name="Option Button 53">
              <controlPr defaultSize="0" autoFill="0" autoLine="0" autoPict="0">
                <anchor moveWithCells="1" sizeWithCells="1">
                  <from>
                    <xdr:col>22</xdr:col>
                    <xdr:colOff>3552825</xdr:colOff>
                    <xdr:row>8</xdr:row>
                    <xdr:rowOff>123825</xdr:rowOff>
                  </from>
                  <to>
                    <xdr:col>22</xdr:col>
                    <xdr:colOff>3905250</xdr:colOff>
                    <xdr:row>11</xdr:row>
                    <xdr:rowOff>123825</xdr:rowOff>
                  </to>
                </anchor>
              </controlPr>
            </control>
          </mc:Choice>
        </mc:AlternateContent>
        <mc:AlternateContent xmlns:mc="http://schemas.openxmlformats.org/markup-compatibility/2006">
          <mc:Choice Requires="x14">
            <control shapeId="9270" r:id="rId20" name="Option Button 54">
              <controlPr defaultSize="0" autoFill="0" autoLine="0" autoPict="0">
                <anchor moveWithCells="1" sizeWithCells="1">
                  <from>
                    <xdr:col>22</xdr:col>
                    <xdr:colOff>3924300</xdr:colOff>
                    <xdr:row>8</xdr:row>
                    <xdr:rowOff>123825</xdr:rowOff>
                  </from>
                  <to>
                    <xdr:col>25</xdr:col>
                    <xdr:colOff>257175</xdr:colOff>
                    <xdr:row>11</xdr:row>
                    <xdr:rowOff>123825</xdr:rowOff>
                  </to>
                </anchor>
              </controlPr>
            </control>
          </mc:Choice>
        </mc:AlternateContent>
      </controls>
    </mc:Choice>
  </mc:AlternateContent>
  <tableParts count="1">
    <tablePart r:id="rId2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C3F4-43A6-48B5-BA76-1ABAC6C39D9E}">
  <sheetPr codeName="List3">
    <tabColor rgb="FFFF0000"/>
    <pageSetUpPr fitToPage="1"/>
  </sheetPr>
  <dimension ref="A1:E130"/>
  <sheetViews>
    <sheetView topLeftCell="B1" workbookViewId="0">
      <selection activeCell="C128" sqref="C128"/>
    </sheetView>
  </sheetViews>
  <sheetFormatPr defaultColWidth="9.140625" defaultRowHeight="15" customHeight="1"/>
  <cols>
    <col min="1" max="1" width="4.5703125" style="5" hidden="1" customWidth="1"/>
    <col min="2" max="2" width="5.140625" style="232" customWidth="1"/>
    <col min="3" max="3" width="21.140625" style="5" customWidth="1"/>
    <col min="4" max="4" width="19.42578125" style="5" customWidth="1"/>
    <col min="5" max="5" width="23.5703125" style="5" customWidth="1"/>
    <col min="6" max="16384" width="9.140625" style="5"/>
  </cols>
  <sheetData>
    <row r="1" spans="1:5" ht="30" customHeight="1">
      <c r="A1" s="5">
        <v>8</v>
      </c>
      <c r="B1" s="284" t="str">
        <f>VLOOKUP(A1,info_all!$A:$M,MATCH('General price list'!$W$17,info_all!$A$2:$M$2,0),FALSE)</f>
        <v>Postup při zasílání objednávky:</v>
      </c>
      <c r="C1" s="14"/>
      <c r="D1" s="14"/>
      <c r="E1" s="14"/>
    </row>
    <row r="2" spans="1:5">
      <c r="A2" s="5">
        <v>9</v>
      </c>
      <c r="B2" s="229" t="str">
        <f>VLOOKUP(A2,info_all!$A:$M,MATCH('General price list'!$W$17,info_all!$A$2:$M$2,0),FALSE)</f>
        <v>Před započetím práce s našim I-ceníkem si prohlédněte tento video návod, který Vám pomůže náš Iceník pochopit:</v>
      </c>
      <c r="C2" s="14"/>
      <c r="D2" s="14"/>
      <c r="E2" s="14"/>
    </row>
    <row r="3" spans="1:5">
      <c r="A3" s="5">
        <v>10</v>
      </c>
      <c r="B3" s="282" t="s">
        <v>10399</v>
      </c>
      <c r="C3" s="14"/>
      <c r="D3" s="14"/>
      <c r="E3" s="14"/>
    </row>
    <row r="4" spans="1:5">
      <c r="A4" s="5">
        <v>11</v>
      </c>
      <c r="B4" s="283" t="str">
        <f>VLOOKUP(A4,info_all!$A:$M,MATCH('General price list'!$W$17,info_all!$A$2:$M$2,0),FALSE)</f>
        <v>1. zákazník pošle svou objednávku vyplněnou v našem elektronickém ceníku (jiný formát nebude přijat) na emailovou adresu info@klasektrading.cz s informací, o způsobu naložení zboží tzn. na paletách nebo na volno(viz. buňka číslo 1424), způsob dopravy a popř. adresou doručení.</v>
      </c>
      <c r="C4" s="14"/>
      <c r="D4" s="14"/>
      <c r="E4" s="14"/>
    </row>
    <row r="5" spans="1:5">
      <c r="A5" s="5">
        <v>12</v>
      </c>
      <c r="B5" s="228" t="str">
        <f>VLOOKUP(A5,info_all!$A:$M,MATCH('General price list'!$W$17,info_all!$A$2:$M$2,0),FALSE)</f>
        <v>Ceník zobrazuje online dostupnost skladu tzn. stačí, aby jste byli online a potvrdili možnost "povolit úpravy” a "povolit obsah". Po každém otevření Iceníku vidíte, jaké zboží je skladem, popř. kdy bude naskladněno!!!</v>
      </c>
      <c r="C5" s="16"/>
      <c r="D5" s="16"/>
      <c r="E5" s="16"/>
    </row>
    <row r="6" spans="1:5">
      <c r="A6" s="5">
        <v>13</v>
      </c>
      <c r="B6" s="229" t="str">
        <f>VLOOKUP(A6,info_all!$A:$M,MATCH('General price list'!$W$17,info_all!$A$2:$M$2,0),FALSE)</f>
        <v>Není možné si objednávat černě označené položky, které nejsou v den objednání skladem!!! Tím bude zaručeno, že si zákazník objedná jen položky, které jsou skladem a výrazně se tak urychlí dokončení objednávky.</v>
      </c>
      <c r="C6" s="16"/>
      <c r="D6" s="16"/>
      <c r="E6" s="16"/>
    </row>
    <row r="7" spans="1:5">
      <c r="A7" s="5">
        <v>14</v>
      </c>
      <c r="B7" s="229" t="str">
        <f>VLOOKUP(A7,info_all!$A:$M,MATCH('General price list'!$W$17,info_all!$A$2:$M$2,0),FALSE)</f>
        <v>2. náš pracovník zjistí, které položky případně nejsou skladem a bude o tomto emailem informovat zákazníka</v>
      </c>
      <c r="C7" s="14"/>
      <c r="D7" s="14"/>
      <c r="E7" s="14"/>
    </row>
    <row r="8" spans="1:5">
      <c r="A8" s="5">
        <v>15</v>
      </c>
      <c r="B8" s="231" t="str">
        <f>VLOOKUP(A8,info_all!$A:$M,MATCH('General price list'!$W$17,info_all!$A$2:$M$2,0),FALSE)</f>
        <v xml:space="preserve">3. zákazník se rozhodne, zda chce na zboží čekat (pokud není skladem) nebo, zda vyprodané zboží chce nějak nahradit a emailem pošle svou finální objednávku, ve které bude jen zboží, které je momentálně dostupné. </v>
      </c>
      <c r="C8" s="17"/>
      <c r="D8" s="17"/>
      <c r="E8" s="17"/>
    </row>
    <row r="9" spans="1:5">
      <c r="A9" s="5">
        <v>16</v>
      </c>
      <c r="B9" s="231" t="str">
        <f>VLOOKUP(A9,info_all!$A:$M,MATCH('General price list'!$W$17,info_all!$A$2:$M$2,0),FALSE)</f>
        <v xml:space="preserve">4. náš pracovník nahraje až tuto finální objednávku (viz. bod č. 3) do našeho systému a informuje zákazníka o termínu, kdy bude zboží expedováno, resp. připraveno k vyzvednutí. </v>
      </c>
      <c r="C9" s="14"/>
      <c r="D9" s="14"/>
      <c r="E9" s="14"/>
    </row>
    <row r="10" spans="1:5">
      <c r="A10" s="5">
        <v>17</v>
      </c>
      <c r="B10" s="230" t="str">
        <f>VLOOKUP(A10,info_all!$A:$M,MATCH('General price list'!$W$17,info_all!$A$2:$M$2,0),FALSE)</f>
        <v>Až na základě tohoto potvrzení si zákazník může zboží vyzvednout.</v>
      </c>
      <c r="C10" s="17"/>
      <c r="D10" s="17"/>
      <c r="E10" s="17"/>
    </row>
    <row r="11" spans="1:5">
      <c r="A11" s="5">
        <v>18</v>
      </c>
      <c r="B11" s="256" t="str">
        <f>VLOOKUP(A11,info_all!$A:$M,MATCH('General price list'!$W$17,info_all!$A$2:$M$2,0),FALSE)</f>
        <v>Objednávka bude vložena do našeho systému až po přijetí 100% platby na náš účet (pokud u nás nemá otevřený kredit, opravňující ho k odběru s odloženou splatností).</v>
      </c>
      <c r="C11" s="271"/>
      <c r="D11" s="14"/>
      <c r="E11" s="14"/>
    </row>
    <row r="12" spans="1:5">
      <c r="A12" s="5">
        <v>19</v>
      </c>
      <c r="B12" s="229" t="str">
        <f>VLOOKUP(A12,info_all!$A:$M,MATCH('General price list'!$W$17,info_all!$A$2:$M$2,0),FALSE)</f>
        <v>Zákazníkům, kteří nebudou postupovat při objednávce v souladu s výše napsaným a přijedou si pro zboží bez potvrzení našeho pracovníka, nebude zboží naloženo.</v>
      </c>
      <c r="C12" s="14"/>
      <c r="D12" s="14"/>
      <c r="E12" s="14"/>
    </row>
    <row r="13" spans="1:5" ht="20.25" customHeight="1">
      <c r="A13" s="5">
        <v>20</v>
      </c>
      <c r="B13" s="286" t="str">
        <f>VLOOKUP(A13,info_all!$A:$M,MATCH('General price list'!$W$17,info_all!$A$2:$M$2,0),FALSE)</f>
        <v>Odesláním objednávky zákazník zároveň potvrzuje, že se seznámil se všemi obchodními podmínkami, které jsou napsány na této stránce a souhlasí s nimi.</v>
      </c>
      <c r="C13" s="14"/>
      <c r="D13" s="14"/>
      <c r="E13" s="14"/>
    </row>
    <row r="14" spans="1:5" ht="20.25" customHeight="1">
      <c r="A14" s="5">
        <v>21</v>
      </c>
      <c r="B14" s="286" t="str">
        <f>VLOOKUP(A14,info_all!$A:$M,MATCH('General price list'!$W$17,info_all!$A$2:$M$2,0),FALSE)</f>
        <v>Vaše objednávka je předána k nachystání na sklad ihned po jejím obdržení a není možné k objednávce již nic přidávat, a to žádnou formou. Pokud zákazník zruší objednávku (nebo její část) bude mu účtován manipulační poplatek ve výší 50% hodnoty stornovaného zboží.</v>
      </c>
      <c r="C14" s="14"/>
      <c r="D14" s="14"/>
      <c r="E14" s="14"/>
    </row>
    <row r="15" spans="1:5">
      <c r="A15" s="5">
        <v>22</v>
      </c>
      <c r="B15" s="229" t="str">
        <f>VLOOKUP(A15,info_all!$A:$M,MATCH('General price list'!$W$17,info_all!$A$2:$M$2,0),FALSE)</f>
        <v>Pokud si chcete nějaké zboží přiobjednat, tak musíte vytvořit novou objednávku v našem elektronickém ceníku a tuto zaslat opět emailem. Do této objednávky napište pouze zboží, které si chcete přiobjednat.</v>
      </c>
      <c r="C15" s="14"/>
      <c r="D15" s="14"/>
      <c r="E15" s="14"/>
    </row>
    <row r="16" spans="1:5">
      <c r="A16" s="5">
        <v>23</v>
      </c>
      <c r="B16" s="229" t="str">
        <f>VLOOKUP(A16,info_all!$A:$M,MATCH('General price list'!$W$17,info_all!$A$2:$M$2,0),FALSE)</f>
        <v>Nemůžeme zaručit, že doobjednané zboží bude zasláno společně s prvotně objednaným zbožím!</v>
      </c>
      <c r="C16" s="14"/>
      <c r="D16" s="14"/>
      <c r="E16" s="14"/>
    </row>
    <row r="17" spans="1:5">
      <c r="A17" s="5">
        <v>146</v>
      </c>
      <c r="B17" s="286" t="str">
        <f>VLOOKUP(A17,info_all!$A:$M,MATCH('General price list'!$W$17,info_all!$A$2:$M$2,0),FALSE)</f>
        <v>Každá objednávka, kterou zákazník posílá musí být plně v souladu s kapacitou automobilu, do kterého chce zákazník objednávku naložit tzn. každá objednávka bude naložena najednou.</v>
      </c>
      <c r="C17" s="14"/>
      <c r="D17" s="14"/>
      <c r="E17" s="14"/>
    </row>
    <row r="18" spans="1:5">
      <c r="A18" s="5">
        <v>147</v>
      </c>
      <c r="B18" s="286" t="str">
        <f>VLOOKUP(A18,info_all!$A:$M,MATCH('General price list'!$W$17,info_all!$A$2:$M$2,0),FALSE)</f>
        <v>Pokud automobil nebude mít kapacitu na to, aby si zákazník naložil celou svou objednávku a bude mu naložena pouze část objednaného zboží, budeme účtovat manipulační poplatek ve výši 10 000Kč.</v>
      </c>
      <c r="C18" s="14"/>
      <c r="D18" s="14"/>
      <c r="E18" s="14"/>
    </row>
    <row r="19" spans="1:5">
      <c r="A19" s="5">
        <v>148</v>
      </c>
      <c r="B19" s="286" t="str">
        <f>VLOOKUP(A19,info_all!$A:$M,MATCH('General price list'!$W$17,info_all!$A$2:$M$2,0),FALSE)</f>
        <v>Poplatek ve výši 10 000Kč bude pokrývat veškeré způsobené škody na manipulaci, duplicitní práci na dokladech, skladné atd. a není důležité, zda se jedná o 1 karton nebo 100 kartonu. Dále za toto zboží bude účtováno skladné</v>
      </c>
      <c r="C19" s="14"/>
      <c r="D19" s="14"/>
      <c r="E19" s="14"/>
    </row>
    <row r="20" spans="1:5">
      <c r="A20" s="5">
        <v>24</v>
      </c>
      <c r="B20" s="229"/>
      <c r="C20" s="14"/>
      <c r="D20" s="14"/>
      <c r="E20" s="14"/>
    </row>
    <row r="21" spans="1:5">
      <c r="A21" s="5">
        <v>36</v>
      </c>
      <c r="B21" s="233" t="str">
        <f>VLOOKUP(A21,info_all!$A:$M,MATCH('General price list'!$W$17,info_all!$A$2:$M$2,0),FALSE)</f>
        <v>Rezervace zboží</v>
      </c>
      <c r="C21" s="14"/>
      <c r="D21" s="14"/>
      <c r="E21" s="14"/>
    </row>
    <row r="22" spans="1:5">
      <c r="A22" s="5">
        <v>37</v>
      </c>
      <c r="B22" s="234"/>
      <c r="C22" s="14"/>
      <c r="D22" s="14"/>
      <c r="E22" s="14"/>
    </row>
    <row r="23" spans="1:5">
      <c r="A23" s="5">
        <v>38</v>
      </c>
      <c r="B23" s="234" t="str">
        <f>VLOOKUP(A23,info_all!$A:$M,MATCH('General price list'!$W$17,info_all!$A$2:$M$2,0),FALSE)</f>
        <v xml:space="preserve">Na základě četných žádostí zákazníků, jsme se rozhodli zprovoznit rezervační systém na našem skladu. Pro lepší představu uvedu systém, který hojně využívají naši zahraniční zákazníci. </v>
      </c>
      <c r="C23" s="14"/>
      <c r="D23" s="14"/>
      <c r="E23" s="14"/>
    </row>
    <row r="24" spans="1:5">
      <c r="A24" s="5">
        <v>39</v>
      </c>
      <c r="B24" s="234" t="str">
        <f>VLOOKUP(A24,info_all!$A:$M,MATCH('General price list'!$W$17,info_all!$A$2:$M$2,0),FALSE)</f>
        <v>Obchodníci, kteří mají své vlastní prodejny, si u nás objednávají zboží např. ihned v září poté, co vyjde ceník s tím, že zboží chtějí doručit až například 15. prosince.</v>
      </c>
      <c r="C24" s="14"/>
      <c r="D24" s="14"/>
      <c r="E24" s="14"/>
    </row>
    <row r="25" spans="1:5">
      <c r="A25" s="5">
        <v>40</v>
      </c>
      <c r="B25" s="234" t="str">
        <f>VLOOKUP(A25,info_all!$A:$M,MATCH('General price list'!$W$17,info_all!$A$2:$M$2,0),FALSE)</f>
        <v>Tímto mají zaručeno, že dostanou všechno, co chtějí a nemusí zboží nikde skladovat, nebo se strachovat, zda se náhodou položka, s kterou počítají např. do letáku - nevyprodá. V dohodnutý den, poté zákazník dostane zboží, které si objednal…</v>
      </c>
      <c r="C25" s="14"/>
      <c r="D25" s="14"/>
      <c r="E25" s="14"/>
    </row>
    <row r="26" spans="1:5">
      <c r="A26" s="5">
        <v>41</v>
      </c>
      <c r="B26" s="234"/>
      <c r="C26" s="14"/>
      <c r="D26" s="14"/>
      <c r="E26" s="14"/>
    </row>
    <row r="27" spans="1:5">
      <c r="A27" s="5">
        <v>42</v>
      </c>
      <c r="B27" s="248" t="str">
        <f>VLOOKUP(A27,info_all!$A:$M,MATCH('General price list'!$W$17,info_all!$A$2:$M$2,0),FALSE)</f>
        <v>Níže jsou pravidla, za kterých je možno si zboží na našem skladu rezervovat:</v>
      </c>
      <c r="C27" s="14"/>
      <c r="D27" s="14"/>
      <c r="E27" s="14"/>
    </row>
    <row r="28" spans="1:5">
      <c r="A28" s="5">
        <v>43</v>
      </c>
      <c r="B28" s="234" t="str">
        <f>VLOOKUP(A28,info_all!$A:$M,MATCH('General price list'!$W$17,info_all!$A$2:$M$2,0),FALSE)</f>
        <v>Postup při rezervaci zboží, které je skladem:</v>
      </c>
      <c r="C28" s="14"/>
      <c r="D28" s="14"/>
      <c r="E28" s="14"/>
    </row>
    <row r="29" spans="1:5">
      <c r="A29" s="5">
        <v>44</v>
      </c>
      <c r="B29" s="234" t="str">
        <f>VLOOKUP(A29,info_all!$A:$M,MATCH('General price list'!$W$17,info_all!$A$2:$M$2,0),FALSE)</f>
        <v>○        zákazník pošle objednávku pouze na zboží, které chce rezervovat (lze rezervovat jen zboží, které je aktuálně skladem)</v>
      </c>
      <c r="C29" s="14"/>
      <c r="D29" s="14"/>
      <c r="E29" s="14"/>
    </row>
    <row r="30" spans="1:5">
      <c r="A30" s="5">
        <v>45</v>
      </c>
      <c r="B30" s="234" t="str">
        <f>VLOOKUP(A30,info_all!$A:$M,MATCH('General price list'!$W$17,info_all!$A$2:$M$2,0),FALSE)</f>
        <v>○        na objednané zboží, bude vystavena zálohová faktura na 100% hodnoty rezervovaného zboží a až po zaplacení této zálohy na náš účet, bude zboží rezervováno (pokud u nás zákazník nemá otevřený kredit).</v>
      </c>
      <c r="C30" s="14"/>
      <c r="D30" s="14"/>
      <c r="E30" s="14"/>
    </row>
    <row r="31" spans="1:5">
      <c r="A31" s="5">
        <v>46</v>
      </c>
      <c r="B31" s="247" t="str">
        <f>VLOOKUP(A31,info_all!$A:$M,MATCH('General price list'!$W$17,info_all!$A$2:$M$2,0),FALSE)</f>
        <v>○        zboží bude fyzicky nachystáno na palety o rozměru 120x80cm a výška 180cm a váha do 750kg a to tak, aby rezervované zboží bylo na co nejmenším množství palet, ale za dodržení výše uvedených rozměrů. Pokud bude objednáno malé množství např. 2 kartony, tak budou umístěny na euro paletu a bude účtován níže uvedený poplatek.</v>
      </c>
      <c r="C31" s="14"/>
      <c r="D31" s="14"/>
      <c r="E31" s="14"/>
    </row>
    <row r="32" spans="1:5">
      <c r="A32" s="5">
        <v>47</v>
      </c>
      <c r="B32" s="234" t="str">
        <f>VLOOKUP(A32,info_all!$A:$M,MATCH('General price list'!$W$17,info_all!$A$2:$M$2,0),FALSE)</f>
        <v>○        zboží bude uskladněno v našem skladu od data nachystání do požadované expedice, za poplatek 9 Kč / 1 euro paleta / 1 den</v>
      </c>
      <c r="C32" s="14"/>
      <c r="D32" s="14"/>
      <c r="E32" s="14"/>
    </row>
    <row r="33" spans="1:5">
      <c r="A33" s="5">
        <v>48</v>
      </c>
      <c r="B33" s="234" t="str">
        <f>VLOOKUP(A33,info_all!$A:$M,MATCH('General price list'!$W$17,info_all!$A$2:$M$2,0),FALSE)</f>
        <v>○        v den expedice bude spočteno, kolik dní byla paleta skladována a částka za skladné, bude přičtena na konečnou fakturu za zboží</v>
      </c>
      <c r="C33" s="14"/>
      <c r="D33" s="14"/>
      <c r="E33" s="14"/>
    </row>
    <row r="34" spans="1:5">
      <c r="A34" s="5">
        <v>49</v>
      </c>
      <c r="B34" s="248" t="str">
        <f>VLOOKUP(A34,info_all!$A:$M,MATCH('General price list'!$W$17,info_all!$A$2:$M$2,0),FALSE)</f>
        <v>Pravidla:</v>
      </c>
      <c r="C34" s="14"/>
      <c r="D34" s="14"/>
      <c r="E34" s="14"/>
    </row>
    <row r="35" spans="1:5">
      <c r="A35" s="5">
        <v>50</v>
      </c>
      <c r="B35" s="234" t="str">
        <f>VLOOKUP(A35,info_all!$A:$M,MATCH('General price list'!$W$17,info_all!$A$2:$M$2,0),FALSE)</f>
        <v>○        nelze měnit rezervaci! Pokud zákazník neodebere celé objednané zboží, tak storno poplatek je 50% z hodnoty zboží, které si zákazník objednal, ale neodebral.</v>
      </c>
      <c r="C35" s="14"/>
      <c r="D35" s="14"/>
      <c r="E35" s="14"/>
    </row>
    <row r="36" spans="1:5">
      <c r="A36" s="5">
        <v>51</v>
      </c>
      <c r="B36" s="234" t="str">
        <f>VLOOKUP(A36,info_all!$A:$M,MATCH('General price list'!$W$17,info_all!$A$2:$M$2,0),FALSE)</f>
        <v>○        každá rezervace musí být expedována vcelku (nelze si vzít jen část rezervovaného zboží) tzn. veškeré rezervované euro palety, budou odebrány najednou</v>
      </c>
      <c r="C36" s="14"/>
      <c r="D36" s="14"/>
      <c r="E36" s="14"/>
    </row>
    <row r="37" spans="1:5">
      <c r="A37" s="5">
        <v>52</v>
      </c>
      <c r="B37" s="234" t="str">
        <f>VLOOKUP(A37,info_all!$A:$M,MATCH('General price list'!$W$17,info_all!$A$2:$M$2,0),FALSE)</f>
        <v>○        rezervované zboží bude expedováno pouze na paletách</v>
      </c>
      <c r="C37" s="14"/>
      <c r="D37" s="14"/>
      <c r="E37" s="14"/>
    </row>
    <row r="38" spans="1:5">
      <c r="A38" s="5">
        <v>53</v>
      </c>
      <c r="B38" s="248" t="str">
        <f>VLOOKUP(A38,info_all!$A:$M,MATCH('General price list'!$W$17,info_all!$A$2:$M$2,0),FALSE)</f>
        <v>Postup při rezervaci zboží, které není skladem:</v>
      </c>
      <c r="C38" s="14"/>
      <c r="D38" s="14"/>
      <c r="E38" s="285"/>
    </row>
    <row r="39" spans="1:5">
      <c r="A39" s="5">
        <v>54</v>
      </c>
      <c r="B39" s="234" t="str">
        <f>VLOOKUP(A39,info_all!$A:$M,MATCH('General price list'!$W$17,info_all!$A$2:$M$2,0),FALSE)</f>
        <v>○        je možné rezervovat také zboží, které je teprve na cestě (není skladem)</v>
      </c>
      <c r="C39" s="14"/>
      <c r="D39" s="14"/>
      <c r="E39" s="14"/>
    </row>
    <row r="40" spans="1:5">
      <c r="A40" s="5">
        <v>55</v>
      </c>
      <c r="B40" s="248" t="str">
        <f>VLOOKUP(A40,info_all!$A:$M,MATCH('General price list'!$W$17,info_all!$A$2:$M$2,0),FALSE)</f>
        <v>○        je možné rezervovat jen takové zboží, které přijde do 20dní na sklad</v>
      </c>
      <c r="C40" s="14"/>
      <c r="D40" s="14"/>
      <c r="E40" s="14"/>
    </row>
    <row r="41" spans="1:5">
      <c r="A41" s="5">
        <v>56</v>
      </c>
      <c r="B41" s="234" t="str">
        <f>VLOOKUP(A41,info_all!$A:$M,MATCH('General price list'!$W$17,info_all!$A$2:$M$2,0),FALSE)</f>
        <v>○        rezervaci takového zboží lze provést pouze e-mailem na info@klasekpyrotechnics.cz</v>
      </c>
      <c r="C41" s="14"/>
      <c r="D41" s="14"/>
      <c r="E41" s="14"/>
    </row>
    <row r="42" spans="1:5" ht="13.9" customHeight="1">
      <c r="A42" s="5">
        <v>57</v>
      </c>
      <c r="B42" s="234" t="str">
        <f>VLOOKUP(A42,info_all!$A:$M,MATCH('General price list'!$W$17,info_all!$A$2:$M$2,0),FALSE)</f>
        <v>○        v rámci jedné rezervace, je možné rezervovat pouze zboží se stejným dnem doručení na náš sklad</v>
      </c>
      <c r="C42" s="14"/>
      <c r="D42" s="14"/>
      <c r="E42" s="14"/>
    </row>
    <row r="43" spans="1:5">
      <c r="A43" s="5">
        <v>58</v>
      </c>
      <c r="B43" s="248" t="str">
        <f>VLOOKUP(A43,info_all!$A:$M,MATCH('General price list'!$W$17,info_all!$A$2:$M$2,0),FALSE)</f>
        <v>○        pro rezervace platí ceny, které jsou o 8% vyšší než naše standartní ceny</v>
      </c>
      <c r="C43" s="14"/>
      <c r="D43" s="18"/>
      <c r="E43" s="14"/>
    </row>
    <row r="44" spans="1:5">
      <c r="A44" s="5">
        <v>145</v>
      </c>
      <c r="B44" s="234" t="str">
        <f>VLOOKUP(A44,info_all!$A:$M,MATCH('General price list'!$W$17,info_all!$A$2:$M$2,0),FALSE)</f>
        <v>○        Pokud zákazník doručí paletu osobně zpět, bude mu vystaven dobropis na tyto palety ve stejné ceně, za kterou mu byly palety fakturovány (350Kč).</v>
      </c>
      <c r="C44" s="14"/>
      <c r="D44" s="18"/>
      <c r="E44" s="14"/>
    </row>
    <row r="45" spans="1:5">
      <c r="A45" s="5">
        <v>59</v>
      </c>
      <c r="B45" s="234" t="str">
        <f>VLOOKUP(A45,info_all!$A:$M,MATCH('General price list'!$W$17,info_all!$A$2:$M$2,0),FALSE)</f>
        <v xml:space="preserve">○        po přijetí rezervace bude vystavena zálohová faktura na 100% hodnotu zboží se splatností 1 den (pokud u nás nemá zákazník otevřený kredit, opravňující ho k odběru s odloženou splatností). </v>
      </c>
      <c r="C45" s="14"/>
      <c r="D45" s="18"/>
      <c r="E45" s="14"/>
    </row>
    <row r="46" spans="1:5">
      <c r="A46" s="5">
        <v>60</v>
      </c>
      <c r="B46" s="234" t="str">
        <f>VLOOKUP(A46,info_all!$A:$M,MATCH('General price list'!$W$17,info_all!$A$2:$M$2,0),FALSE)</f>
        <v>○        rezervované zboží bude opravdu zarezervováno až po zaslání potvrzení platby zákazníkem.</v>
      </c>
      <c r="C46" s="14"/>
      <c r="D46" s="18"/>
      <c r="E46" s="18"/>
    </row>
    <row r="47" spans="1:5">
      <c r="A47" s="5">
        <v>61</v>
      </c>
      <c r="B47" s="234"/>
      <c r="C47" s="14"/>
      <c r="D47" s="18"/>
      <c r="E47" s="217"/>
    </row>
    <row r="48" spans="1:5">
      <c r="A48" s="5">
        <v>62</v>
      </c>
      <c r="B48" s="233" t="str">
        <f>VLOOKUP(A48,info_all!$A:$M,MATCH('General price list'!$W$17,info_all!$A$2:$M$2,0),FALSE)</f>
        <v>Palety</v>
      </c>
      <c r="C48" s="14"/>
      <c r="D48" s="14"/>
      <c r="E48" s="14"/>
    </row>
    <row r="49" spans="1:5">
      <c r="A49" s="5">
        <v>63</v>
      </c>
      <c r="B49" s="235" t="str">
        <f>VLOOKUP(A49,info_all!$A:$M,MATCH('General price list'!$W$17,info_all!$A$2:$M$2,0),FALSE)</f>
        <v>○        Pokud je zboží posláno zákazníkovi na paletě, tak tyto palety jsou součástí faktury za zboží. (350 Kč)</v>
      </c>
      <c r="C49" s="14"/>
      <c r="D49" s="14"/>
      <c r="E49" s="14"/>
    </row>
    <row r="50" spans="1:5">
      <c r="A50" s="5">
        <v>64</v>
      </c>
      <c r="B50" s="235" t="str">
        <f>VLOOKUP(A50,info_all!$A:$M,MATCH('General price list'!$W$17,info_all!$A$2:$M$2,0),FALSE)</f>
        <v>○        Výška jedné palety nebude vyšší než 180cm. Pokud chce zákazník maximálně využít dopravního prostředku, tak si musí objednat zboží na volno.</v>
      </c>
      <c r="C50" s="14"/>
      <c r="D50" s="14"/>
      <c r="E50" s="14"/>
    </row>
    <row r="51" spans="1:5">
      <c r="A51" s="5">
        <v>65</v>
      </c>
      <c r="B51" s="235" t="str">
        <f>VLOOKUP(A51,info_all!$A:$M,MATCH('General price list'!$W$17,info_all!$A$2:$M$2,0),FALSE)</f>
        <v>○        Pokud si zákazník nechá zabalit zboží na palety, je povinen si zboží na paletě vyzvednout ze skladu, není možné požadovat naloženi na volno, když je zboží na paletách.</v>
      </c>
      <c r="C51" s="14"/>
      <c r="D51" s="14"/>
      <c r="E51" s="14"/>
    </row>
    <row r="52" spans="1:5">
      <c r="A52" s="5">
        <v>66</v>
      </c>
      <c r="B52" s="235" t="str">
        <f>VLOOKUP(A52,info_all!$A:$M,MATCH('General price list'!$W$17,info_all!$A$2:$M$2,0),FALSE)</f>
        <v>○        Pokud zákazník doručí paletu osobně zpět, bude mu vystaven dobropis na tyto palety ve stejné ceně, za kterou mu byly palety fakturovány.</v>
      </c>
      <c r="C52" s="14"/>
      <c r="D52" s="14"/>
      <c r="E52" s="14"/>
    </row>
    <row r="53" spans="1:5">
      <c r="A53" s="5">
        <v>67</v>
      </c>
      <c r="B53" s="235" t="str">
        <f>VLOOKUP(A53,info_all!$A:$M,MATCH('General price list'!$W$17,info_all!$A$2:$M$2,0),FALSE)</f>
        <v>○        Zákazník může palety zaslat zpět také spediční službou (na vlastní náklady) a dobropis mu bude vystaven po doručení palet na náš sklad.</v>
      </c>
      <c r="C53" s="14"/>
      <c r="D53" s="18"/>
      <c r="E53" s="16"/>
    </row>
    <row r="54" spans="1:5">
      <c r="A54" s="5">
        <v>68</v>
      </c>
      <c r="B54" s="235" t="str">
        <f>VLOOKUP(A54,info_all!$A:$M,MATCH('General price list'!$W$17,info_all!$A$2:$M$2,0),FALSE)</f>
        <v>○        Není možné palety posílat zpět po řídiči/spediční službě, která zboží dovezla!</v>
      </c>
      <c r="C54" s="14"/>
      <c r="D54" s="14"/>
      <c r="E54" s="14"/>
    </row>
    <row r="55" spans="1:5">
      <c r="A55" s="5">
        <v>69</v>
      </c>
      <c r="B55" s="235"/>
      <c r="C55" s="14"/>
      <c r="D55" s="14"/>
      <c r="E55" s="14"/>
    </row>
    <row r="56" spans="1:5">
      <c r="A56" s="5">
        <v>70</v>
      </c>
      <c r="B56" s="233" t="str">
        <f>VLOOKUP(A56,info_all!$A:$M,MATCH('General price list'!$W$17,info_all!$A$2:$M$2,0),FALSE)</f>
        <v>Cena dopravy</v>
      </c>
      <c r="C56" s="14"/>
      <c r="D56" s="14"/>
      <c r="E56" s="14"/>
    </row>
    <row r="57" spans="1:5">
      <c r="A57" s="5">
        <v>71</v>
      </c>
      <c r="B57" s="235" t="str">
        <f>VLOOKUP(A57,info_all!$A:$M,MATCH('General price list'!$W$17,info_all!$A$2:$M$2,0),FALSE)</f>
        <v>U paletových přeprav je cena pro dopravu v České republice cca 2000Kč/ paleta a bude vždy vybrána nejlevnější možnost, která bude dostupná na trhu.</v>
      </c>
      <c r="C57" s="14"/>
      <c r="D57" s="14"/>
      <c r="E57" s="14"/>
    </row>
    <row r="58" spans="1:5">
      <c r="A58" s="5">
        <v>72</v>
      </c>
      <c r="B58" s="313" t="str">
        <f>VLOOKUP(A58,info_all!$A:$M,MATCH('General price list'!$W$17,info_all!$A$2:$M$2,0),FALSE)</f>
        <v>Pokud zákazník, chce dopravu zařídit od nás, nemůžeme čekat na potvrzení ceny od zákazníka a automaticky volíme nejlevnější možnost a zboží posíláme.</v>
      </c>
      <c r="C58" s="14"/>
      <c r="D58" s="14"/>
      <c r="E58" s="14"/>
    </row>
    <row r="59" spans="1:5">
      <c r="A59" s="5">
        <v>78</v>
      </c>
      <c r="B59" s="236" t="str">
        <f>VLOOKUP(A59,info_all!$A:$M,MATCH('General price list'!$W$17,info_all!$A$2:$M$2,0),FALSE)</f>
        <v>Při zaslání zboží našim ADR vozidlem (nosnost 1.450Kg), účtujeme dopravné 18kč/km za cestu tam i zpět.</v>
      </c>
      <c r="C59" s="19"/>
      <c r="D59" s="19"/>
      <c r="E59" s="19"/>
    </row>
    <row r="60" spans="1:5">
      <c r="A60" s="5">
        <v>79</v>
      </c>
      <c r="B60" s="236" t="str">
        <f>VLOOKUP(A60,info_all!$A:$M,MATCH('General price list'!$W$17,info_all!$A$2:$M$2,0),FALSE)</f>
        <v>Při zaslání zboží ADR kamionem (nosnost 24 000Kg) může zákazník bezplatně vykládat zboží na jednom místě, max 4h. Při delší vykládce bude účtovaná sazba 800Kč/hodina čekání, při přejezdu na jiný sklad bude účtováno 100Kč/km.</v>
      </c>
      <c r="C60" s="19"/>
      <c r="D60" s="19"/>
      <c r="E60" s="19"/>
    </row>
    <row r="61" spans="1:5">
      <c r="A61" s="5">
        <v>80</v>
      </c>
      <c r="B61" s="236"/>
      <c r="C61" s="19"/>
      <c r="D61" s="19"/>
      <c r="E61" s="19"/>
    </row>
    <row r="62" spans="1:5">
      <c r="A62" s="5">
        <v>81</v>
      </c>
      <c r="B62" s="233" t="str">
        <f>VLOOKUP(A62,info_all!$A:$M,MATCH('General price list'!$W$17,info_all!$A$2:$M$2,0),FALSE)</f>
        <v>Reklamace</v>
      </c>
      <c r="C62" s="19"/>
      <c r="D62" s="19"/>
      <c r="E62" s="19"/>
    </row>
    <row r="63" spans="1:5">
      <c r="A63" s="5">
        <v>82</v>
      </c>
      <c r="B63" s="249" t="str">
        <f>VLOOKUP(A63,info_all!$A:$M,MATCH('General price list'!$W$17,info_all!$A$2:$M$2,0),FALSE)</f>
        <v>Zasíláme Vám postup při řešení reklamace nevystřílených kompaktů. Těmto reklamacím se bohužel i přes kontrolu kvality nedá v rámci velkého objemu zabránit.</v>
      </c>
      <c r="C63" s="19"/>
      <c r="D63" s="19"/>
      <c r="E63" s="19"/>
    </row>
    <row r="64" spans="1:5">
      <c r="A64" s="5">
        <v>83</v>
      </c>
      <c r="B64" s="236" t="str">
        <f>VLOOKUP(A64,info_all!$A:$M,MATCH('General price list'!$W$17,info_all!$A$2:$M$2,0),FALSE)</f>
        <v>Pokud je vystříleno méně než 30% výrobku tak zákazníkovi výrobek vyměníme za nový kus, nevystřílený kus nám dovezte a bude Vám vyměněn.</v>
      </c>
      <c r="C64" s="19"/>
      <c r="D64" s="19"/>
      <c r="E64" s="19"/>
    </row>
    <row r="65" spans="1:5">
      <c r="A65" s="5">
        <v>84</v>
      </c>
      <c r="B65" s="236" t="str">
        <f>VLOOKUP(A65,info_all!$A:$M,MATCH('General price list'!$W$17,info_all!$A$2:$M$2,0),FALSE)</f>
        <v>Pokud je vystřílelo 30-50% výrobku tak zákazníkovi vyměníme tento za nový kus s doplatkem 30-50% z pořizovací ceny podle toho kolik ran zákazníkovi vystřílelo, nevystřílený kus nám dovezte a bude Vám vyměněn s doplatkem 30-50% z Vaši ceny.</v>
      </c>
      <c r="C65" s="19"/>
      <c r="D65" s="19"/>
      <c r="E65" s="19"/>
    </row>
    <row r="66" spans="1:5">
      <c r="A66" s="5">
        <v>85</v>
      </c>
      <c r="B66" s="236" t="str">
        <f>VLOOKUP(A66,info_all!$A:$M,MATCH('General price list'!$W$17,info_all!$A$2:$M$2,0),FALSE)</f>
        <v>Pokud vystřílelo 50-80% výrobku tak zákazníkovi vyměníme tento za nový kus s doplatkem 50-80% z pořizovací ceny podle toho kolik ran zákazníkovi vystřílelo, nevystřílený kus nám dovezte a bude Vám vyměněn s doplatkem 50-80% z ceny</v>
      </c>
      <c r="C66" s="14"/>
      <c r="D66" s="14"/>
      <c r="E66" s="14"/>
    </row>
    <row r="67" spans="1:5">
      <c r="A67" s="5">
        <v>86</v>
      </c>
      <c r="B67" s="236" t="str">
        <f>VLOOKUP(A67,info_all!$A:$M,MATCH('General price list'!$W$17,info_all!$A$2:$M$2,0),FALSE)</f>
        <v>Chceme tímto vnést pořádek to řešení reklamací, kdy se nám stává, že zákazník například donese 100 ran kompakt, z kterého je 90 ran vystřílených a chce nový kus.</v>
      </c>
      <c r="C67" s="14"/>
      <c r="D67" s="14"/>
      <c r="E67" s="14"/>
    </row>
    <row r="68" spans="1:5">
      <c r="A68" s="5">
        <v>87</v>
      </c>
      <c r="B68" s="236" t="str">
        <f>VLOOKUP(A68,info_all!$A:$M,MATCH('General price list'!$W$17,info_all!$A$2:$M$2,0),FALSE)</f>
        <v>Reklamaci uznáváme po dobu 12 měsíců od zakoupení výrobku. A pouze, pokud byly zapáleny obě zápalnice.</v>
      </c>
      <c r="C68" s="14"/>
      <c r="D68" s="14"/>
      <c r="E68" s="14"/>
    </row>
    <row r="69" spans="1:5">
      <c r="A69" s="5">
        <v>88</v>
      </c>
      <c r="B69" s="256" t="str">
        <f>VLOOKUP(A69,info_all!$A:$M,MATCH('General price list'!$W$17,info_all!$A$2:$M$2,0),FALSE)</f>
        <v>Konické vulkány (F100, F250, F500, F1000, F1500) nelze reklamovat ani vracet v rámci vratek po sezoně - důvody popsány v emailu 28.1.2019.</v>
      </c>
      <c r="C69" s="14"/>
      <c r="D69" s="14"/>
      <c r="E69" s="14"/>
    </row>
    <row r="70" spans="1:5">
      <c r="A70" s="5">
        <v>89</v>
      </c>
      <c r="B70" s="232" t="str">
        <f>VLOOKUP(A70,info_all!$A:$M,MATCH('General price list'!$W$17,info_all!$A$2:$M$2,0),FALSE)</f>
        <v>Není možné reklamovat poškozené exportní kartony u složených ohňostrojů. Barevný exportní karton nemá na funkci výrobku vliv a slouží jen pro ochranu výrobku během přepravy</v>
      </c>
      <c r="C70" s="14"/>
      <c r="D70" s="14"/>
      <c r="E70" s="14"/>
    </row>
    <row r="71" spans="1:5">
      <c r="A71" s="5">
        <v>149</v>
      </c>
      <c r="B71" s="232" t="str">
        <f>VLOOKUP(A71,info_all!$A:$M,MATCH('General price list'!$W$17,info_all!$A$2:$M$2,0),FALSE)</f>
        <v>Nebudou uznány reklamace baterií a compoundů, pokud nebyly položeny na rovném povrchu (viz. návod k použití), a zejména nebudou reklamace uznány, pokud byly výrobky umístěny na sněhu nebo trávě.</v>
      </c>
      <c r="C71" s="14"/>
      <c r="D71" s="14"/>
      <c r="E71" s="14"/>
    </row>
    <row r="72" spans="1:5">
      <c r="A72" s="5">
        <v>90</v>
      </c>
      <c r="B72" s="232" t="str">
        <f>VLOOKUP(A72,info_all!$A:$M,MATCH('General price list'!$W$17,info_all!$A$2:$M$2,0),FALSE)</f>
        <v>Zákazník, který chce mít pouze bezvadné kartony tak si musí zakoupit výrobky, které jsou baleny v ochranném kartonu. Kód výrobku končí (T), popř. si při odběru z našeho skladu zařídit přebrání zboží u nás. Na pozdější reklamace nebude brát zřetel.</v>
      </c>
      <c r="C72" s="14"/>
      <c r="D72" s="14"/>
      <c r="E72" s="14"/>
    </row>
    <row r="73" spans="1:5">
      <c r="A73" s="5">
        <v>91</v>
      </c>
      <c r="B73" s="232" t="str">
        <f>VLOOKUP(A73,info_all!$A:$M,MATCH('General price list'!$W$17,info_all!$A$2:$M$2,0),FALSE)</f>
        <v>Nelze reklamovat rychlejší dobu trvání u baterií a složených ohňostrojů. Při mnoha procesech, které nejsou pod naši kontrolou (vykládka u zákazníka, uložení ve skladu zákazníka, manipulace se zakoupeným zbožím atd.) může dojít k poškození výrobků, kdy dojde k vysypání výmetných složí do spodní části baterie a následně toto zapříčiní zrychlení doby trvání efektu, kdy jednotlivé rány střílí ve větším tempu.</v>
      </c>
      <c r="C73" s="14"/>
      <c r="D73" s="14"/>
      <c r="E73" s="14"/>
    </row>
    <row r="74" spans="1:5">
      <c r="A74" s="5">
        <v>92</v>
      </c>
      <c r="B74" s="232" t="str">
        <f>VLOOKUP(A74,info_all!$A:$M,MATCH('General price list'!$W$17,info_all!$A$2:$M$2,0),FALSE)</f>
        <v xml:space="preserve">Pokud dojde k totální explozi baterie nebo složeného ohňostroje, bude reklamace uznána pouze po předložení detailní fotodokumentace ihned po incidentu, ze které bude patrné, co se s výrobkem stalo. </v>
      </c>
      <c r="C74" s="14"/>
      <c r="D74" s="14"/>
      <c r="E74" s="14"/>
    </row>
    <row r="75" spans="1:5">
      <c r="A75" s="5">
        <v>93</v>
      </c>
      <c r="B75" s="232" t="str">
        <f>VLOOKUP(A75,info_all!$A:$M,MATCH('General price list'!$W$17,info_all!$A$2:$M$2,0),FALSE)</f>
        <v>Nebude uznáno video, na kterém je vidět pouze selhání výrobku během střelby, kdy nelze identifikovat, o který výrobek se jedná!</v>
      </c>
      <c r="C75" s="14"/>
      <c r="D75" s="14"/>
      <c r="E75" s="14"/>
    </row>
    <row r="76" spans="1:5">
      <c r="A76" s="5">
        <v>94</v>
      </c>
      <c r="B76" s="232" t="str">
        <f>VLOOKUP(A76,info_all!$A:$M,MATCH('General price list'!$W$17,info_all!$A$2:$M$2,0),FALSE)</f>
        <v>Nelze reklamovat u baterií roztrženou červenou vrchní fólii. Kdo nechce tento typ vrchní strany (velice náchylné na roztrhnutí), tak si tento typ výrobků neobjednává a místo toho zvolí vrchní stranu z papíru (s designem). V ceníku jsou tyto výrobky označeny jako F = fólie / D = design</v>
      </c>
      <c r="C76" s="14"/>
      <c r="D76" s="14"/>
      <c r="E76" s="14"/>
    </row>
    <row r="77" spans="1:5">
      <c r="A77" s="5">
        <v>95</v>
      </c>
      <c r="B77" s="232" t="str">
        <f>VLOOKUP(A77,info_all!$A:$M,MATCH('General price list'!$W$17,info_all!$A$2:$M$2,0),FALSE)</f>
        <v>Pokud zákazník chce reklamovat dodané množství zboží, musí tak učinit během vykládky zboží a musí o tom učinit záznam do přepravního listu CMR. Na pozdější reklamace nebude brán zřetel.</v>
      </c>
      <c r="C77" s="14"/>
      <c r="D77" s="14"/>
      <c r="E77" s="14"/>
    </row>
    <row r="78" spans="1:5">
      <c r="A78" s="5">
        <v>96</v>
      </c>
      <c r="B78" s="229"/>
      <c r="C78" s="14"/>
      <c r="D78" s="314"/>
      <c r="E78" s="14"/>
    </row>
    <row r="79" spans="1:5">
      <c r="A79" s="5">
        <v>97</v>
      </c>
      <c r="B79" s="233" t="str">
        <f>VLOOKUP(A79,info_all!$A:$M,MATCH('General price list'!$W$17,info_all!$A$2:$M$2,0),FALSE)</f>
        <v xml:space="preserve">Návod k použití elektronického ceníku </v>
      </c>
      <c r="C79" s="14"/>
      <c r="D79" s="14"/>
      <c r="E79" s="14"/>
    </row>
    <row r="80" spans="1:5">
      <c r="A80" s="5">
        <v>98</v>
      </c>
      <c r="B80" s="237"/>
      <c r="C80" s="14"/>
      <c r="D80" s="14"/>
      <c r="E80" s="14"/>
    </row>
    <row r="81" spans="1:5">
      <c r="A81" s="5">
        <v>99</v>
      </c>
      <c r="B81" s="237" t="str">
        <f>VLOOKUP(A81,info_all!$A:$M,MATCH('General price list'!$W$17,info_all!$A$2:$M$2,0),FALSE)</f>
        <v>Novinkou je systém výpočtu slevy. Pokud jste nový zákazník, tak Vám ceník sám vypočte Vaši slevu na základě výše Vašeho odběru (pro stávající zákazníky platí přidělené slevy, které si zákazníci napíší do buňky D17).</v>
      </c>
      <c r="C81" s="14"/>
      <c r="E81" s="14"/>
    </row>
    <row r="82" spans="1:5">
      <c r="A82" s="5">
        <v>100</v>
      </c>
      <c r="B82" s="237" t="str">
        <f>VLOOKUP(A82,info_all!$A:$M,MATCH('General price list'!$W$17,info_all!$A$2:$M$2,0),FALSE)</f>
        <v>V buňce R17 vidíte datum i čas aktuálnosti skladové dostupnosti zboží.</v>
      </c>
      <c r="C82" s="14"/>
      <c r="D82" s="14"/>
    </row>
    <row r="83" spans="1:5">
      <c r="A83" s="5">
        <v>101</v>
      </c>
      <c r="B83" s="232" t="str">
        <f>VLOOKUP(A83,info_all!$A:$M,MATCH('General price list'!$W$17,info_all!$A$2:$M$2,0),FALSE)</f>
        <v>Ceník je interaktivní, tzn. že sám přepočítává slevu (je nutno zadat její výši do patřičného pole, případně se sama vypočítá podle velikosti objednávky), údaje o ceně v CZK a EUR, rovněž počítá váhu v kg, objem zboží v m3 a čistou váhu pyrotechnických složí.</v>
      </c>
      <c r="C83" s="14"/>
      <c r="E83" s="14"/>
    </row>
    <row r="84" spans="1:5">
      <c r="A84" s="5">
        <v>102</v>
      </c>
      <c r="C84" s="14"/>
      <c r="D84" s="14"/>
      <c r="E84" s="14"/>
    </row>
    <row r="85" spans="1:5">
      <c r="A85" s="5">
        <v>103</v>
      </c>
      <c r="B85" s="237" t="str">
        <f>VLOOKUP(A85,info_all!$A:$M,MATCH('General price list'!$W$17,info_all!$A$2:$M$2,0),FALSE)</f>
        <v>Oranžové řádky označují novinky pro rok 2026.</v>
      </c>
      <c r="C85" s="14"/>
      <c r="D85" s="14"/>
      <c r="E85" s="435"/>
    </row>
    <row r="86" spans="1:5">
      <c r="A86" s="5">
        <v>104</v>
      </c>
      <c r="B86" s="237" t="str">
        <f>VLOOKUP(A86,info_all!$A:$M,MATCH('General price list'!$W$17,info_all!$A$2:$M$2,0),FALSE)</f>
        <v>Nejprodávanější výrobky jsou označeny ve sloupci A takto:</v>
      </c>
      <c r="C86" s="14"/>
      <c r="D86" s="14"/>
      <c r="E86" s="436"/>
    </row>
    <row r="87" spans="1:5">
      <c r="A87" s="5">
        <v>105</v>
      </c>
      <c r="B87" s="237" t="str">
        <f>VLOOKUP(A87,info_all!$A:$M,MATCH('General price list'!$W$17,info_all!$A$2:$M$2,0),FALSE)</f>
        <v>Akční ceny jsou označeny takto:</v>
      </c>
      <c r="C87" s="14"/>
      <c r="D87" s="14"/>
      <c r="E87" s="437">
        <v>100</v>
      </c>
    </row>
    <row r="88" spans="1:5">
      <c r="A88" s="5">
        <v>106</v>
      </c>
      <c r="B88" s="237" t="str">
        <f>'General price list'!D989</f>
        <v>Touto barvou jsou označeny výrobky s garancí nejnižší ceny.</v>
      </c>
      <c r="C88" s="14"/>
      <c r="D88" s="14"/>
      <c r="E88" s="438"/>
    </row>
    <row r="89" spans="1:5">
      <c r="A89" s="90">
        <v>98</v>
      </c>
      <c r="B89" s="237" t="str">
        <f>VLOOKUP(A89,info_all!$A:$M,MATCH('General price list'!$W$17,info_all!$A$2:$M$2,0),FALSE)</f>
        <v xml:space="preserve"> </v>
      </c>
      <c r="C89" s="14"/>
      <c r="D89" s="14"/>
      <c r="E89" s="14"/>
    </row>
    <row r="90" spans="1:5">
      <c r="A90" s="5">
        <v>108</v>
      </c>
      <c r="B90" s="237"/>
      <c r="C90" s="14"/>
      <c r="D90" s="14"/>
      <c r="E90" s="14"/>
    </row>
    <row r="91" spans="1:5">
      <c r="A91" s="5">
        <v>109</v>
      </c>
      <c r="B91" s="238" t="str">
        <f>VLOOKUP(A91,info_all!$A:$M,MATCH('General price list'!$W$17,info_all!$A$2:$M$2,0),FALSE)</f>
        <v>Ve sloupci F jsou ceny před slevou v CZK bez DPH platné od 12.I.2026.</v>
      </c>
      <c r="C91" s="14"/>
      <c r="D91" s="14"/>
      <c r="E91" s="14"/>
    </row>
    <row r="92" spans="1:5">
      <c r="A92" s="5">
        <v>110</v>
      </c>
      <c r="B92" s="237"/>
      <c r="C92" s="14"/>
      <c r="D92" s="14"/>
      <c r="E92" s="14"/>
    </row>
    <row r="93" spans="1:5">
      <c r="A93" s="5">
        <v>111</v>
      </c>
      <c r="B93" s="241" t="str">
        <f>VLOOKUP(A93,info_all!$A:$M,MATCH('General price list'!$W$17,info_all!$A$2:$M$2,0),FALSE)</f>
        <v>Ve sloupci G jsou ceny po slevě v CZK bez DPH platné od 12.I.2026.</v>
      </c>
      <c r="C93" s="14"/>
      <c r="D93" s="14"/>
      <c r="E93" s="14"/>
    </row>
    <row r="94" spans="1:5">
      <c r="A94" s="5">
        <v>112</v>
      </c>
      <c r="B94" s="237" t="str">
        <f>VLOOKUP(A94,info_all!$A:$M,MATCH('General price list'!$W$17,info_all!$A$2:$M$2,0),FALSE)</f>
        <v>Tento sloupec je základem pro kalkulace v EUR.</v>
      </c>
      <c r="C94" s="14"/>
      <c r="D94" s="14"/>
      <c r="E94" s="14"/>
    </row>
    <row r="95" spans="1:5">
      <c r="A95" s="5">
        <v>113</v>
      </c>
      <c r="B95" s="237"/>
      <c r="C95" s="14"/>
      <c r="D95" s="14"/>
      <c r="E95" s="14"/>
    </row>
    <row r="96" spans="1:5">
      <c r="A96" s="5">
        <v>114</v>
      </c>
      <c r="B96" s="237" t="str">
        <f>VLOOKUP(A96,info_all!$A:$M,MATCH('General price list'!$W$17,info_all!$A$2:$M$2,0),FALSE)</f>
        <v xml:space="preserve">Kurz měny se v buňce F17 přepočítává automaticky a naleznete jej na níže uvedené stránce (maximální kurz, za který přijímáme EUR je 26 Kč/1 EUR). Kurz DEVIZY NÁKUP. </v>
      </c>
      <c r="C96" s="14"/>
      <c r="D96" s="14"/>
      <c r="E96" s="14"/>
    </row>
    <row r="97" spans="1:5">
      <c r="A97" s="5">
        <v>115</v>
      </c>
      <c r="B97" s="282" t="str">
        <f>IF('General price list'!$W$17='General price list'!$AF$1,info_all!B119,VLOOKUP(A97,info_all!A:Q,MATCH('General price list'!$W$17,info_all!$A$2:$Q$2,0)))</f>
        <v xml:space="preserve">http://www.kb.cz/kurzovni-listek/cs/rl/index.x </v>
      </c>
      <c r="C97" s="14"/>
      <c r="D97" s="14"/>
      <c r="E97" s="14"/>
    </row>
    <row r="98" spans="1:5">
      <c r="A98" s="5">
        <v>116</v>
      </c>
      <c r="B98" s="239"/>
      <c r="C98" s="14"/>
      <c r="D98" s="14"/>
      <c r="E98" s="14"/>
    </row>
    <row r="99" spans="1:5">
      <c r="A99" s="5">
        <v>117</v>
      </c>
      <c r="B99" s="237" t="str">
        <f>VLOOKUP(A99,info_all!$A:$M,MATCH('General price list'!$W$17,info_all!$A$2:$M$2,0),FALSE)</f>
        <v>Ve sloupci J najdete informace o kategorii nebezpečí, do které výrobek patří.</v>
      </c>
      <c r="C99" s="14"/>
      <c r="D99" s="14"/>
      <c r="E99" s="14"/>
    </row>
    <row r="100" spans="1:5">
      <c r="A100" s="5">
        <v>118</v>
      </c>
      <c r="B100" s="237"/>
      <c r="C100" s="14"/>
      <c r="D100" s="14"/>
      <c r="E100" s="14"/>
    </row>
    <row r="101" spans="1:5">
      <c r="A101" s="5">
        <v>119</v>
      </c>
      <c r="B101" s="237" t="str">
        <f>VLOOKUP(A101,info_all!$A:$M,MATCH('General price list'!$W$17,info_all!$A$2:$M$2,0),FALSE)</f>
        <v>Do sloupce Z napište Vaši objednávku – pište pouze číslici vyjadřující počet objednaných kartonů. Výjimkou jsou položky označené "ANO" ve sloupci A (podmínky uvedeny výše).</v>
      </c>
      <c r="C101" s="14"/>
      <c r="D101" s="14"/>
      <c r="E101" s="14"/>
    </row>
    <row r="102" spans="1:5">
      <c r="A102" s="5">
        <v>120</v>
      </c>
      <c r="B102" s="237"/>
      <c r="C102" s="14"/>
      <c r="D102" s="14"/>
      <c r="E102" s="14"/>
    </row>
    <row r="103" spans="1:5">
      <c r="A103" s="5">
        <v>121</v>
      </c>
      <c r="B103" s="237" t="str">
        <f>VLOOKUP(A103,info_all!$A:$M,MATCH('General price list'!$W$17,info_all!$A$2:$M$2,0),FALSE)</f>
        <v>Ve sloupci AD naleznete aktuální skladovou dostupnost.</v>
      </c>
      <c r="C103" s="14"/>
      <c r="D103" s="14"/>
      <c r="E103" s="14"/>
    </row>
    <row r="104" spans="1:5">
      <c r="A104" s="5">
        <v>122</v>
      </c>
      <c r="B104" s="237" t="str">
        <f>VLOOKUP(A104,info_all!$A:$M,MATCH('General price list'!$W$17,info_all!$A$2:$M$2,0),FALSE)</f>
        <v>Sloupec S - zde naleznete informaci o tom, z jakého materiálu je vyrobena vrchní strana u baterii viz řádek 89 s vysvětlením.</v>
      </c>
      <c r="C104" s="14"/>
      <c r="D104" s="14"/>
      <c r="E104" s="14"/>
    </row>
    <row r="105" spans="1:5">
      <c r="A105" s="5">
        <v>123</v>
      </c>
      <c r="B105" s="237" t="str">
        <f>VLOOKUP(A105,info_all!$A:$M,MATCH('General price list'!$W$17,info_all!$A$2:$M$2,0),FALSE)</f>
        <v>Sloupec Q + R -  zde naleznete info, v jakém jazyku jsou návody na výrobku</v>
      </c>
      <c r="C105" s="14"/>
      <c r="D105" s="14"/>
      <c r="E105" s="14"/>
    </row>
    <row r="106" spans="1:5">
      <c r="A106" s="5">
        <v>124</v>
      </c>
      <c r="B106" s="237"/>
      <c r="C106" s="14"/>
      <c r="D106" s="14"/>
      <c r="E106" s="14"/>
    </row>
    <row r="107" spans="1:5">
      <c r="A107" s="5">
        <v>125</v>
      </c>
      <c r="B107" s="237" t="str">
        <f>VLOOKUP(A107,info_all!$A:$M,MATCH('General price list'!$W$17,info_all!$A$2:$M$2,0),FALSE)</f>
        <v>Po ukončení objednávky uvidíte v následujících sloupcích tyto informace :</v>
      </c>
      <c r="C107" s="14"/>
      <c r="D107" s="14"/>
      <c r="E107" s="14"/>
    </row>
    <row r="108" spans="1:5">
      <c r="A108" s="5">
        <v>126</v>
      </c>
      <c r="B108" s="237"/>
      <c r="C108" s="14"/>
      <c r="D108" s="14"/>
      <c r="E108" s="14"/>
    </row>
    <row r="109" spans="1:5">
      <c r="A109" s="5">
        <v>127</v>
      </c>
      <c r="B109" s="237" t="str">
        <f>VLOOKUP(A109,info_all!$A:$M,MATCH('General price list'!$W$17,info_all!$A$2:$M$2,0),FALSE)</f>
        <v xml:space="preserve">Sloupec AF → cena za položku v CZK bez DPH </v>
      </c>
      <c r="C109" s="14"/>
      <c r="D109" s="14"/>
      <c r="E109" s="14"/>
    </row>
    <row r="110" spans="1:5">
      <c r="A110" s="5">
        <v>128</v>
      </c>
      <c r="B110" s="239" t="str">
        <f>VLOOKUP(A110,info_all!$A:$M,MATCH('General price list'!$W$17,info_all!$A$2:$M$2,0),FALSE)</f>
        <v>Sloupec AG → cena za položku v CZK včetně DPH</v>
      </c>
      <c r="C110" s="14"/>
      <c r="D110" s="14"/>
      <c r="E110" s="14"/>
    </row>
    <row r="111" spans="1:5">
      <c r="A111" s="5">
        <v>129</v>
      </c>
      <c r="B111" s="237" t="str">
        <f>VLOOKUP(A111,info_all!$A:$M,MATCH('General price list'!$W$17,info_all!$A$2:$M$2,0),FALSE)</f>
        <v>Sloupec AH → cena za položku v EUR bez DPH</v>
      </c>
      <c r="C111" s="14"/>
      <c r="D111" s="14"/>
      <c r="E111" s="14"/>
    </row>
    <row r="112" spans="1:5">
      <c r="A112" s="5">
        <v>130</v>
      </c>
      <c r="B112" s="237" t="str">
        <f>VLOOKUP(A112,info_all!$A:$M,MATCH('General price list'!$W$17,info_all!$A$2:$M$2,0),FALSE)</f>
        <v>Sloupec AI → váha za položku v kg</v>
      </c>
      <c r="C112" s="14"/>
      <c r="D112" s="14"/>
      <c r="E112" s="14"/>
    </row>
    <row r="113" spans="1:5">
      <c r="A113" s="5">
        <v>131</v>
      </c>
      <c r="B113" s="237" t="str">
        <f>VLOOKUP(A113,info_all!$A:$M,MATCH('General price list'!$W$17,info_all!$A$2:$M$2,0),FALSE)</f>
        <v>Sloupec AJ → objem za položku v m3</v>
      </c>
      <c r="C113" s="14"/>
      <c r="D113" s="14"/>
      <c r="E113" s="14"/>
    </row>
    <row r="114" spans="1:5">
      <c r="A114" s="5">
        <v>132</v>
      </c>
      <c r="B114" s="237" t="str">
        <f>VLOOKUP(A114,info_all!$A:$M,MATCH('General price list'!$W$17,info_all!$A$2:$M$2,0),FALSE)</f>
        <v>Sloupec AK → NEC - čistá váha pyrotechnických složí položek ADR třídy 1.1G</v>
      </c>
      <c r="C114" s="14"/>
      <c r="D114" s="14"/>
      <c r="E114" s="14"/>
    </row>
    <row r="115" spans="1:5">
      <c r="A115" s="5">
        <v>133</v>
      </c>
      <c r="B115" s="240" t="str">
        <f>VLOOKUP(A115,info_all!$A:$M,MATCH('General price list'!$W$17,info_all!$A$2:$M$2,0),FALSE)</f>
        <v>Sloupec AL → NEC - čistá váha pyrotechnických složí položek ADR třídy 1.3G</v>
      </c>
      <c r="C115" s="14"/>
      <c r="D115" s="14"/>
      <c r="E115" s="14"/>
    </row>
    <row r="116" spans="1:5">
      <c r="A116" s="5">
        <v>134</v>
      </c>
      <c r="B116" s="240" t="str">
        <f>VLOOKUP(A116,info_all!$A:$M,MATCH('General price list'!$W$17,info_all!$A$2:$M$2,0),FALSE)</f>
        <v>Sloupec AM → NEC - čistá váha pyrotechnických složí položek ADR třídy 1.4G</v>
      </c>
      <c r="C116" s="14"/>
      <c r="D116" s="14"/>
      <c r="E116" s="14"/>
    </row>
    <row r="117" spans="1:5">
      <c r="A117" s="5">
        <v>135</v>
      </c>
      <c r="B117" s="240" t="str">
        <f>VLOOKUP(A117,info_all!$A:$M,MATCH('General price list'!$W$17,info_all!$A$2:$M$2,0),FALSE)</f>
        <v>Sloupec AN → NEC - čistá váha pyrotechnických složí celkem za všechny ADR třídy</v>
      </c>
      <c r="C117" s="14"/>
      <c r="D117" s="14"/>
      <c r="E117" s="14"/>
    </row>
    <row r="118" spans="1:5">
      <c r="A118" s="5">
        <v>136</v>
      </c>
      <c r="B118" s="240"/>
      <c r="C118" s="14"/>
      <c r="D118" s="14"/>
      <c r="E118" s="14"/>
    </row>
    <row r="119" spans="1:5">
      <c r="A119" s="5">
        <v>137</v>
      </c>
      <c r="B119" s="240" t="str">
        <f>VLOOKUP(A119,info_all!$A:$M,MATCH('General price list'!$W$17,info_all!$A$2:$M$2,0),FALSE)</f>
        <v>Celkové shrnutí vaší objednávky najdete na řádku 986, kde jsou tyto informace:</v>
      </c>
      <c r="C119" s="14"/>
      <c r="D119" s="14"/>
      <c r="E119" s="14"/>
    </row>
    <row r="120" spans="1:5" ht="15" customHeight="1">
      <c r="A120" s="5">
        <v>138</v>
      </c>
      <c r="B120" s="240" t="str">
        <f>VLOOKUP(A120,info_all!$A:$M,MATCH('General price list'!$W$17,info_all!$A$2:$M$2,0),FALSE)</f>
        <v>cena celkem v CZK bez DPH</v>
      </c>
    </row>
    <row r="121" spans="1:5" ht="15" customHeight="1">
      <c r="A121" s="5">
        <v>139</v>
      </c>
      <c r="B121" s="240" t="str">
        <f>VLOOKUP(A121,info_all!$A:$M,MATCH('General price list'!$W$17,info_all!$A$2:$M$2,0),FALSE)</f>
        <v>cena celkem v CZK s DPH</v>
      </c>
    </row>
    <row r="122" spans="1:5" ht="15" customHeight="1">
      <c r="A122" s="5">
        <v>140</v>
      </c>
      <c r="B122" s="240" t="str">
        <f>VLOOKUP(A122,info_all!$A:$M,MATCH('General price list'!$W$17,info_all!$A$2:$M$2,0),FALSE)</f>
        <v>cena celkem v EUR bez DPH</v>
      </c>
    </row>
    <row r="123" spans="1:5" ht="15" customHeight="1">
      <c r="A123" s="5">
        <v>141</v>
      </c>
      <c r="B123" s="240" t="str">
        <f>VLOOKUP(A123,info_all!$A:$M,MATCH('General price list'!$W$17,info_all!$A$2:$M$2,0),FALSE)</f>
        <v xml:space="preserve">celkový objem v m3 </v>
      </c>
    </row>
    <row r="124" spans="1:5" ht="15" customHeight="1">
      <c r="A124" s="5">
        <v>142</v>
      </c>
      <c r="B124" s="240" t="str">
        <f>VLOOKUP(A124,info_all!$A:$M,MATCH('General price list'!$W$17,info_all!$A$2:$M$2,0),FALSE)</f>
        <v>celková váha v kg</v>
      </c>
    </row>
    <row r="125" spans="1:5" ht="15" customHeight="1">
      <c r="A125" s="5">
        <v>143</v>
      </c>
      <c r="B125" s="240" t="str">
        <f>VLOOKUP(A125,info_all!$A:$M,MATCH('General price list'!$W$17,info_all!$A$2:$M$2,0),FALSE)</f>
        <v>celkový NEC - čistá váha pyrotechnických složí rozdělena podle ADR tříd</v>
      </c>
    </row>
    <row r="126" spans="1:5" ht="15" customHeight="1">
      <c r="A126" s="5">
        <v>144</v>
      </c>
      <c r="B126" s="240" t="str">
        <f>VLOOKUP(A126,info_all!$A:$M,MATCH('General price list'!$W$17,info_all!$A$2:$M$2,0),FALSE)</f>
        <v>celkový NEC - čistá váha pyrotechnických složí za všechny ADR třídy</v>
      </c>
    </row>
    <row r="127" spans="1:5" ht="15" customHeight="1">
      <c r="B127" s="240"/>
    </row>
    <row r="128" spans="1:5" ht="15" customHeight="1">
      <c r="B128" s="240"/>
    </row>
    <row r="129" spans="2:2" ht="15" customHeight="1">
      <c r="B129" s="240"/>
    </row>
    <row r="130" spans="2:2" ht="15" customHeight="1">
      <c r="B130" s="240"/>
    </row>
  </sheetData>
  <sheetProtection algorithmName="SHA-512" hashValue="AfdVzxiL2DtzeGDmFOLnXTmqesQdLBFUTMGrNM/cqzKf+EU3WKnmnH5W4XJGbmfdTV7T4aIG4KzyJnBy8zlzBA==" saltValue="9ELqMq5vn9WLKeoT0XEjWA==" spinCount="100000" sheet="1" objects="1" scenarios="1"/>
  <conditionalFormatting sqref="E87">
    <cfRule type="expression" dxfId="7" priority="35632">
      <formula>#REF!=#REF!</formula>
    </cfRule>
  </conditionalFormatting>
  <hyperlinks>
    <hyperlink ref="B97" r:id="rId1" display="http://www.kb.cz/kurzovni-listek/cs/rl/index.x " xr:uid="{476BE250-2235-4516-983E-3A012193AD8E}"/>
    <hyperlink ref="B3" r:id="rId2" xr:uid="{96932214-7E1A-4E6A-A6E0-CBCAA4BFB19A}"/>
  </hyperlinks>
  <pageMargins left="0.7" right="0.7" top="0.78740157499999996" bottom="0.78740157499999996" header="0.3" footer="0.3"/>
  <pageSetup paperSize="9" scale="39" fitToWidth="0" orientation="portrait" horizontalDpi="4294967293"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EA2B3-F6D2-4E3A-9E8E-53BC2519F7D0}">
  <sheetPr>
    <tabColor rgb="FF008000"/>
  </sheetPr>
  <dimension ref="B5:I15"/>
  <sheetViews>
    <sheetView zoomScale="130" zoomScaleNormal="130" workbookViewId="0">
      <selection activeCell="B26" sqref="B26"/>
    </sheetView>
  </sheetViews>
  <sheetFormatPr defaultColWidth="9.140625" defaultRowHeight="15"/>
  <cols>
    <col min="1" max="1" width="3.85546875" style="5" customWidth="1"/>
    <col min="2" max="2" width="24.140625" style="5" bestFit="1" customWidth="1"/>
    <col min="3" max="8" width="9.140625" style="5"/>
    <col min="9" max="9" width="20" style="5" customWidth="1"/>
    <col min="10" max="16384" width="9.140625" style="5"/>
  </cols>
  <sheetData>
    <row r="5" spans="2:9" ht="20.25" customHeight="1">
      <c r="B5" s="366" t="str">
        <f>VLOOKUP(901,info_all!$A:$M,MATCH('General price list'!$W$17,info_all!$A$2:$M$2,0),FALSE)</f>
        <v>Nejlevněji nakoupíte vždy u nás = poskytujeme garanci nejlevnější ceny!</v>
      </c>
      <c r="C5" s="367"/>
      <c r="D5" s="367"/>
      <c r="E5" s="367"/>
      <c r="F5" s="367"/>
      <c r="G5" s="367"/>
      <c r="H5" s="367"/>
      <c r="I5" s="367"/>
    </row>
    <row r="6" spans="2:9">
      <c r="B6" s="367" t="str">
        <f>VLOOKUP(902,info_all!$A:$M,MATCH('General price list'!$W$17,info_all!$A$2:$M$2,0),FALSE)</f>
        <v>Snížili jsme ceny všech porovnatelných položek a označili jsme je v ceníku zelenou barvou.</v>
      </c>
      <c r="C6" s="367"/>
      <c r="D6" s="367"/>
      <c r="E6" s="367"/>
      <c r="F6" s="367"/>
      <c r="G6" s="367"/>
      <c r="H6" s="367"/>
      <c r="I6" s="367"/>
    </row>
    <row r="7" spans="2:9">
      <c r="B7" s="367"/>
      <c r="C7" s="367"/>
      <c r="D7" s="367"/>
      <c r="E7" s="367"/>
      <c r="F7" s="367"/>
      <c r="G7" s="367"/>
      <c r="H7" s="367"/>
      <c r="I7" s="367"/>
    </row>
    <row r="8" spans="2:9" ht="15" customHeight="1">
      <c r="B8" s="932" t="str">
        <f>VLOOKUP(903,info_all!$A:$M,MATCH('General price list'!$W$17,info_all!$A$2:$M$2,0),FALSE)</f>
        <v>Pokud stávající zákazník přinese důkaz o tom, že stejnou položku, která je označena v našem ceníku zelenou barvou, koupil u konkurence levněji (nevztahuje se na staré nebo výprodejové položky) = dostane od nás tuto položku v dalším nákupu o další 3% levněji, než nabízí konkurence!</v>
      </c>
      <c r="C8" s="932"/>
      <c r="D8" s="932"/>
      <c r="E8" s="932"/>
      <c r="F8" s="932"/>
      <c r="G8" s="932"/>
      <c r="H8" s="932"/>
      <c r="I8" s="932"/>
    </row>
    <row r="9" spans="2:9">
      <c r="B9" s="932"/>
      <c r="C9" s="932"/>
      <c r="D9" s="932"/>
      <c r="E9" s="932"/>
      <c r="F9" s="932"/>
      <c r="G9" s="932"/>
      <c r="H9" s="932"/>
      <c r="I9" s="932"/>
    </row>
    <row r="10" spans="2:9">
      <c r="B10" s="932"/>
      <c r="C10" s="932"/>
      <c r="D10" s="932"/>
      <c r="E10" s="932"/>
      <c r="F10" s="932"/>
      <c r="G10" s="932"/>
      <c r="H10" s="932"/>
      <c r="I10" s="932"/>
    </row>
    <row r="11" spans="2:9">
      <c r="B11" s="932"/>
      <c r="C11" s="932"/>
      <c r="D11" s="932"/>
      <c r="E11" s="932"/>
      <c r="F11" s="932"/>
      <c r="G11" s="932"/>
      <c r="H11" s="932"/>
      <c r="I11" s="932"/>
    </row>
    <row r="12" spans="2:9">
      <c r="B12" s="367"/>
      <c r="C12" s="367"/>
      <c r="D12" s="367"/>
      <c r="E12" s="367"/>
      <c r="F12" s="367"/>
      <c r="G12" s="367"/>
      <c r="H12" s="367"/>
      <c r="I12" s="367"/>
    </row>
    <row r="13" spans="2:9">
      <c r="B13" s="932" t="str">
        <f>VLOOKUP(904,info_all!$A:$M,MATCH('General price list'!$W$17,info_all!$A$2:$M$2,0),FALSE)</f>
        <v>Tato nabídka se vztahuje na všechny firmy z členských státu Evropské unie (mimo Polska a Bulharska).</v>
      </c>
      <c r="C13" s="932"/>
      <c r="D13" s="932"/>
      <c r="E13" s="932"/>
      <c r="F13" s="932"/>
      <c r="G13" s="932"/>
      <c r="H13" s="932"/>
      <c r="I13" s="932"/>
    </row>
    <row r="14" spans="2:9">
      <c r="B14" s="932"/>
      <c r="C14" s="932"/>
      <c r="D14" s="932"/>
      <c r="E14" s="932"/>
      <c r="F14" s="932"/>
      <c r="G14" s="932"/>
      <c r="H14" s="932"/>
      <c r="I14" s="932"/>
    </row>
    <row r="15" spans="2:9">
      <c r="B15" s="367"/>
      <c r="C15" s="367"/>
      <c r="D15" s="367"/>
      <c r="E15" s="367"/>
      <c r="F15" s="367"/>
      <c r="G15" s="367"/>
      <c r="H15" s="367"/>
      <c r="I15" s="367"/>
    </row>
  </sheetData>
  <sheetProtection algorithmName="SHA-512" hashValue="8Ljriu8WoNLmzH2PW3sZIOApxTUJgY/0z8J9Mh3UgFeT0Fg38E4RRTS6doti7sToHP/8ouS4wQiiNyk+8HX4IA==" saltValue="iF1FaD1xLt3O219YL3k35A==" spinCount="100000" sheet="1" objects="1" scenarios="1"/>
  <mergeCells count="2">
    <mergeCell ref="B8:I11"/>
    <mergeCell ref="B13:I14"/>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8D07-47BE-42F7-9703-31B0E6E2F027}">
  <sheetPr codeName="List6"/>
  <dimension ref="A1:N188"/>
  <sheetViews>
    <sheetView workbookViewId="0">
      <pane xSplit="2" ySplit="4" topLeftCell="C158" activePane="bottomRight" state="frozen"/>
      <selection pane="topRight" activeCell="C1" sqref="C1"/>
      <selection pane="bottomLeft" activeCell="A5" sqref="A5"/>
      <selection pane="bottomRight" activeCell="U171" sqref="U171"/>
    </sheetView>
  </sheetViews>
  <sheetFormatPr defaultRowHeight="15" customHeight="1"/>
  <sheetData>
    <row r="1" spans="1:14">
      <c r="B1" s="98"/>
      <c r="C1" s="102">
        <v>24</v>
      </c>
      <c r="D1" s="102">
        <v>22</v>
      </c>
      <c r="E1" s="102">
        <v>23</v>
      </c>
      <c r="F1" s="102">
        <v>109</v>
      </c>
      <c r="G1" s="102">
        <v>110</v>
      </c>
      <c r="H1" s="102">
        <v>111</v>
      </c>
      <c r="I1" s="103">
        <v>112</v>
      </c>
      <c r="J1" s="102">
        <v>113</v>
      </c>
      <c r="K1" s="102">
        <v>114</v>
      </c>
      <c r="L1" s="102">
        <v>156</v>
      </c>
      <c r="M1" s="102">
        <v>160</v>
      </c>
      <c r="N1" s="104">
        <v>161</v>
      </c>
    </row>
    <row r="2" spans="1:14">
      <c r="A2" s="100"/>
      <c r="C2" s="105" t="s">
        <v>2766</v>
      </c>
      <c r="D2" s="105" t="s">
        <v>2768</v>
      </c>
      <c r="E2" s="105" t="s">
        <v>2767</v>
      </c>
      <c r="F2" s="105" t="s">
        <v>6463</v>
      </c>
      <c r="G2" s="105" t="s">
        <v>6460</v>
      </c>
      <c r="H2" s="105" t="s">
        <v>2769</v>
      </c>
      <c r="I2" s="105" t="s">
        <v>6854</v>
      </c>
      <c r="J2" s="105" t="s">
        <v>7684</v>
      </c>
      <c r="K2" s="105" t="s">
        <v>2770</v>
      </c>
      <c r="L2" s="105" t="s">
        <v>7685</v>
      </c>
      <c r="M2" s="105" t="s">
        <v>6801</v>
      </c>
      <c r="N2" s="105" t="s">
        <v>7683</v>
      </c>
    </row>
    <row r="3" spans="1:14">
      <c r="A3" s="101"/>
      <c r="C3" s="106" t="s">
        <v>7688</v>
      </c>
      <c r="D3" s="106" t="s">
        <v>7690</v>
      </c>
      <c r="E3" s="106" t="s">
        <v>7689</v>
      </c>
      <c r="F3" s="107" t="s">
        <v>7691</v>
      </c>
      <c r="G3" s="106" t="s">
        <v>7692</v>
      </c>
      <c r="H3" s="106" t="s">
        <v>6464</v>
      </c>
      <c r="I3" s="106" t="s">
        <v>7693</v>
      </c>
      <c r="J3" s="106" t="s">
        <v>6461</v>
      </c>
      <c r="K3" s="106" t="s">
        <v>6462</v>
      </c>
      <c r="L3" s="106" t="s">
        <v>7694</v>
      </c>
      <c r="M3" s="106" t="s">
        <v>7695</v>
      </c>
      <c r="N3" s="108" t="s">
        <v>7696</v>
      </c>
    </row>
    <row r="4" spans="1:14" ht="15.75" thickBot="1">
      <c r="C4" s="109" t="s">
        <v>15</v>
      </c>
      <c r="D4" s="109" t="s">
        <v>6381</v>
      </c>
      <c r="E4" s="109" t="s">
        <v>6382</v>
      </c>
      <c r="F4" s="109" t="s">
        <v>6383</v>
      </c>
      <c r="G4" s="109" t="s">
        <v>6384</v>
      </c>
      <c r="H4" s="109" t="s">
        <v>6385</v>
      </c>
      <c r="I4" s="109" t="s">
        <v>2492</v>
      </c>
      <c r="J4" s="109" t="s">
        <v>6386</v>
      </c>
      <c r="K4" s="109" t="s">
        <v>6387</v>
      </c>
      <c r="L4" s="109" t="s">
        <v>7686</v>
      </c>
      <c r="M4" s="109" t="s">
        <v>7670</v>
      </c>
      <c r="N4" s="110" t="s">
        <v>7687</v>
      </c>
    </row>
    <row r="5" spans="1:14" ht="15.75" thickTop="1">
      <c r="A5" s="99"/>
      <c r="B5" s="99"/>
      <c r="C5" s="449" t="s">
        <v>13050</v>
      </c>
      <c r="D5" s="449" t="s">
        <v>13196</v>
      </c>
      <c r="E5" s="449" t="s">
        <v>13197</v>
      </c>
      <c r="F5" s="449" t="s">
        <v>13198</v>
      </c>
      <c r="G5" s="449" t="s">
        <v>13199</v>
      </c>
      <c r="H5" s="449" t="s">
        <v>13200</v>
      </c>
      <c r="I5" s="449" t="s">
        <v>13201</v>
      </c>
      <c r="J5" s="449" t="s">
        <v>13202</v>
      </c>
      <c r="K5" s="449" t="s">
        <v>13203</v>
      </c>
      <c r="L5" s="449" t="s">
        <v>13204</v>
      </c>
      <c r="M5" s="450" t="s">
        <v>13205</v>
      </c>
      <c r="N5" s="451" t="s">
        <v>13206</v>
      </c>
    </row>
    <row r="6" spans="1:14">
      <c r="A6" s="99"/>
      <c r="C6" s="177" t="s">
        <v>13051</v>
      </c>
      <c r="D6" s="177" t="s">
        <v>13207</v>
      </c>
      <c r="E6" s="177" t="s">
        <v>13208</v>
      </c>
      <c r="F6" s="177" t="s">
        <v>13209</v>
      </c>
      <c r="G6" s="177" t="s">
        <v>13210</v>
      </c>
      <c r="H6" s="177" t="s">
        <v>13211</v>
      </c>
      <c r="I6" s="177" t="s">
        <v>13212</v>
      </c>
      <c r="J6" s="177" t="s">
        <v>13213</v>
      </c>
      <c r="K6" s="177" t="s">
        <v>13214</v>
      </c>
      <c r="L6" s="177" t="s">
        <v>13215</v>
      </c>
      <c r="M6" s="175" t="s">
        <v>13216</v>
      </c>
      <c r="N6" s="176" t="s">
        <v>13217</v>
      </c>
    </row>
    <row r="7" spans="1:14">
      <c r="A7" s="99"/>
      <c r="C7" s="177" t="s">
        <v>13052</v>
      </c>
      <c r="D7" s="177" t="s">
        <v>13218</v>
      </c>
      <c r="E7" s="177" t="s">
        <v>13219</v>
      </c>
      <c r="F7" s="177" t="s">
        <v>13220</v>
      </c>
      <c r="G7" s="177" t="s">
        <v>13221</v>
      </c>
      <c r="H7" s="177" t="s">
        <v>13222</v>
      </c>
      <c r="I7" s="177" t="s">
        <v>13223</v>
      </c>
      <c r="J7" s="177" t="s">
        <v>13220</v>
      </c>
      <c r="K7" s="177" t="s">
        <v>13224</v>
      </c>
      <c r="L7" s="177" t="s">
        <v>13225</v>
      </c>
      <c r="M7" s="175" t="s">
        <v>13226</v>
      </c>
      <c r="N7" s="176" t="s">
        <v>13227</v>
      </c>
    </row>
    <row r="8" spans="1:14">
      <c r="A8" s="99"/>
      <c r="C8" s="177" t="s">
        <v>13053</v>
      </c>
      <c r="D8" s="177" t="s">
        <v>13228</v>
      </c>
      <c r="E8" s="177" t="s">
        <v>13229</v>
      </c>
      <c r="F8" s="177" t="s">
        <v>13230</v>
      </c>
      <c r="G8" s="177" t="s">
        <v>13231</v>
      </c>
      <c r="H8" s="177" t="s">
        <v>13232</v>
      </c>
      <c r="I8" s="177" t="s">
        <v>13233</v>
      </c>
      <c r="J8" s="177" t="s">
        <v>13234</v>
      </c>
      <c r="K8" s="177" t="s">
        <v>13235</v>
      </c>
      <c r="L8" s="177" t="s">
        <v>13236</v>
      </c>
      <c r="M8" s="175" t="s">
        <v>13237</v>
      </c>
      <c r="N8" s="176" t="s">
        <v>13238</v>
      </c>
    </row>
    <row r="9" spans="1:14">
      <c r="A9" s="99"/>
      <c r="C9" s="177" t="s">
        <v>6389</v>
      </c>
      <c r="D9" s="177" t="s">
        <v>13239</v>
      </c>
      <c r="E9" s="177" t="s">
        <v>6388</v>
      </c>
      <c r="F9" s="177" t="s">
        <v>6390</v>
      </c>
      <c r="G9" s="177" t="s">
        <v>13240</v>
      </c>
      <c r="H9" s="177" t="s">
        <v>13241</v>
      </c>
      <c r="I9" s="177" t="s">
        <v>13242</v>
      </c>
      <c r="J9" s="177" t="s">
        <v>13243</v>
      </c>
      <c r="K9" s="177" t="s">
        <v>6391</v>
      </c>
      <c r="L9" s="177" t="s">
        <v>13244</v>
      </c>
      <c r="M9" s="175" t="s">
        <v>13245</v>
      </c>
      <c r="N9" s="176" t="s">
        <v>13246</v>
      </c>
    </row>
    <row r="10" spans="1:14">
      <c r="A10" s="99"/>
      <c r="C10" s="177" t="s">
        <v>6392</v>
      </c>
      <c r="D10" s="177" t="s">
        <v>13247</v>
      </c>
      <c r="E10" s="177" t="s">
        <v>13248</v>
      </c>
      <c r="F10" s="177" t="s">
        <v>13249</v>
      </c>
      <c r="G10" s="177" t="s">
        <v>13250</v>
      </c>
      <c r="H10" s="177" t="s">
        <v>13251</v>
      </c>
      <c r="I10" s="177" t="s">
        <v>6393</v>
      </c>
      <c r="J10" s="177" t="s">
        <v>13252</v>
      </c>
      <c r="K10" s="177" t="s">
        <v>13253</v>
      </c>
      <c r="L10" s="177" t="s">
        <v>13254</v>
      </c>
      <c r="M10" s="175" t="s">
        <v>8716</v>
      </c>
      <c r="N10" s="176" t="s">
        <v>8707</v>
      </c>
    </row>
    <row r="11" spans="1:14">
      <c r="A11" s="99"/>
      <c r="C11" s="177" t="s">
        <v>6396</v>
      </c>
      <c r="D11" s="177" t="s">
        <v>6394</v>
      </c>
      <c r="E11" s="177" t="s">
        <v>6395</v>
      </c>
      <c r="F11" s="177" t="s">
        <v>6397</v>
      </c>
      <c r="G11" s="177" t="s">
        <v>13255</v>
      </c>
      <c r="H11" s="177" t="s">
        <v>13256</v>
      </c>
      <c r="I11" s="177" t="s">
        <v>6398</v>
      </c>
      <c r="J11" s="177" t="s">
        <v>6397</v>
      </c>
      <c r="K11" s="177" t="s">
        <v>13257</v>
      </c>
      <c r="L11" s="177" t="s">
        <v>13258</v>
      </c>
      <c r="M11" s="175" t="s">
        <v>13259</v>
      </c>
      <c r="N11" s="176" t="s">
        <v>8708</v>
      </c>
    </row>
    <row r="12" spans="1:14">
      <c r="A12" s="99"/>
      <c r="C12" s="177" t="s">
        <v>6399</v>
      </c>
      <c r="D12" s="177" t="s">
        <v>13260</v>
      </c>
      <c r="E12" s="177" t="s">
        <v>13261</v>
      </c>
      <c r="F12" s="177" t="s">
        <v>13262</v>
      </c>
      <c r="G12" s="177" t="s">
        <v>13263</v>
      </c>
      <c r="H12" s="177" t="s">
        <v>13264</v>
      </c>
      <c r="I12" s="177" t="s">
        <v>13265</v>
      </c>
      <c r="J12" s="177" t="s">
        <v>6400</v>
      </c>
      <c r="K12" s="177" t="s">
        <v>13266</v>
      </c>
      <c r="L12" s="177" t="s">
        <v>13267</v>
      </c>
      <c r="M12" s="175" t="s">
        <v>13268</v>
      </c>
      <c r="N12" s="176" t="s">
        <v>8709</v>
      </c>
    </row>
    <row r="13" spans="1:14">
      <c r="A13" s="99"/>
      <c r="C13" s="177" t="s">
        <v>6401</v>
      </c>
      <c r="D13" s="177" t="s">
        <v>13269</v>
      </c>
      <c r="E13" s="177" t="s">
        <v>13270</v>
      </c>
      <c r="F13" s="177" t="s">
        <v>13271</v>
      </c>
      <c r="G13" s="177" t="s">
        <v>13272</v>
      </c>
      <c r="H13" s="177" t="s">
        <v>13273</v>
      </c>
      <c r="I13" s="177" t="s">
        <v>6402</v>
      </c>
      <c r="J13" s="177" t="s">
        <v>13274</v>
      </c>
      <c r="K13" s="177" t="s">
        <v>13275</v>
      </c>
      <c r="L13" s="177" t="s">
        <v>13276</v>
      </c>
      <c r="M13" s="175" t="s">
        <v>13277</v>
      </c>
      <c r="N13" s="176" t="s">
        <v>13278</v>
      </c>
    </row>
    <row r="14" spans="1:14">
      <c r="A14" s="99"/>
      <c r="C14" s="177" t="s">
        <v>6403</v>
      </c>
      <c r="D14" s="177" t="s">
        <v>13279</v>
      </c>
      <c r="E14" s="177" t="s">
        <v>13280</v>
      </c>
      <c r="F14" s="177" t="s">
        <v>13281</v>
      </c>
      <c r="G14" s="177" t="s">
        <v>13282</v>
      </c>
      <c r="H14" s="177" t="s">
        <v>13283</v>
      </c>
      <c r="I14" s="177" t="s">
        <v>13284</v>
      </c>
      <c r="J14" s="177" t="s">
        <v>13285</v>
      </c>
      <c r="K14" s="177" t="s">
        <v>13286</v>
      </c>
      <c r="L14" s="177" t="s">
        <v>13287</v>
      </c>
      <c r="M14" s="175" t="s">
        <v>13288</v>
      </c>
      <c r="N14" s="176" t="s">
        <v>13289</v>
      </c>
    </row>
    <row r="15" spans="1:14">
      <c r="A15" s="99"/>
      <c r="C15" s="177" t="s">
        <v>6404</v>
      </c>
      <c r="D15" s="177" t="s">
        <v>13290</v>
      </c>
      <c r="E15" s="177" t="s">
        <v>13291</v>
      </c>
      <c r="F15" s="177" t="s">
        <v>13292</v>
      </c>
      <c r="G15" s="177" t="s">
        <v>13293</v>
      </c>
      <c r="H15" s="177" t="s">
        <v>13294</v>
      </c>
      <c r="I15" s="177" t="s">
        <v>13295</v>
      </c>
      <c r="J15" s="177" t="s">
        <v>13296</v>
      </c>
      <c r="K15" s="177" t="s">
        <v>13297</v>
      </c>
      <c r="L15" s="177" t="s">
        <v>13298</v>
      </c>
      <c r="M15" s="175" t="s">
        <v>13299</v>
      </c>
      <c r="N15" s="176" t="s">
        <v>13300</v>
      </c>
    </row>
    <row r="16" spans="1:14">
      <c r="A16" s="99"/>
      <c r="C16" s="177" t="s">
        <v>6406</v>
      </c>
      <c r="D16" s="177" t="s">
        <v>6405</v>
      </c>
      <c r="E16" s="177" t="s">
        <v>13301</v>
      </c>
      <c r="F16" s="177" t="s">
        <v>6407</v>
      </c>
      <c r="G16" s="177" t="s">
        <v>13302</v>
      </c>
      <c r="H16" s="177" t="s">
        <v>13303</v>
      </c>
      <c r="I16" s="177" t="s">
        <v>6408</v>
      </c>
      <c r="J16" s="177" t="s">
        <v>6407</v>
      </c>
      <c r="K16" s="177" t="s">
        <v>13304</v>
      </c>
      <c r="L16" s="177" t="s">
        <v>13305</v>
      </c>
      <c r="M16" s="175" t="s">
        <v>13306</v>
      </c>
      <c r="N16" s="176" t="s">
        <v>13307</v>
      </c>
    </row>
    <row r="17" spans="1:14">
      <c r="A17" s="99"/>
      <c r="C17" s="177" t="s">
        <v>6410</v>
      </c>
      <c r="D17" s="177" t="s">
        <v>6409</v>
      </c>
      <c r="E17" s="177" t="s">
        <v>13308</v>
      </c>
      <c r="F17" s="177" t="s">
        <v>6411</v>
      </c>
      <c r="G17" s="177" t="s">
        <v>13309</v>
      </c>
      <c r="H17" s="177" t="s">
        <v>13310</v>
      </c>
      <c r="I17" s="177" t="s">
        <v>6412</v>
      </c>
      <c r="J17" s="177" t="s">
        <v>6411</v>
      </c>
      <c r="K17" s="177" t="s">
        <v>6413</v>
      </c>
      <c r="L17" s="177" t="s">
        <v>13311</v>
      </c>
      <c r="M17" s="175" t="s">
        <v>13312</v>
      </c>
      <c r="N17" s="176" t="s">
        <v>8710</v>
      </c>
    </row>
    <row r="18" spans="1:14">
      <c r="A18" s="99"/>
      <c r="C18" s="177" t="s">
        <v>6415</v>
      </c>
      <c r="D18" s="177" t="s">
        <v>6414</v>
      </c>
      <c r="E18" s="177" t="s">
        <v>13313</v>
      </c>
      <c r="F18" s="177" t="s">
        <v>13314</v>
      </c>
      <c r="G18" s="177" t="s">
        <v>13315</v>
      </c>
      <c r="H18" s="177" t="s">
        <v>13316</v>
      </c>
      <c r="I18" s="177" t="s">
        <v>6415</v>
      </c>
      <c r="J18" s="177" t="s">
        <v>13314</v>
      </c>
      <c r="K18" s="177" t="s">
        <v>13317</v>
      </c>
      <c r="L18" s="177" t="s">
        <v>13314</v>
      </c>
      <c r="M18" s="175" t="s">
        <v>13318</v>
      </c>
      <c r="N18" s="176" t="s">
        <v>8711</v>
      </c>
    </row>
    <row r="19" spans="1:14">
      <c r="A19" s="99"/>
      <c r="C19" s="177" t="s">
        <v>6418</v>
      </c>
      <c r="D19" s="177" t="s">
        <v>6416</v>
      </c>
      <c r="E19" s="177" t="s">
        <v>6417</v>
      </c>
      <c r="F19" s="177" t="s">
        <v>6419</v>
      </c>
      <c r="G19" s="177" t="s">
        <v>6419</v>
      </c>
      <c r="H19" s="177" t="s">
        <v>6420</v>
      </c>
      <c r="I19" s="177" t="s">
        <v>6421</v>
      </c>
      <c r="J19" s="177" t="s">
        <v>6419</v>
      </c>
      <c r="K19" s="177" t="s">
        <v>13319</v>
      </c>
      <c r="L19" s="177" t="s">
        <v>13320</v>
      </c>
      <c r="M19" s="175" t="s">
        <v>13321</v>
      </c>
      <c r="N19" s="176" t="s">
        <v>8712</v>
      </c>
    </row>
    <row r="20" spans="1:14">
      <c r="A20" s="99"/>
      <c r="C20" s="177" t="s">
        <v>6423</v>
      </c>
      <c r="D20" s="177" t="s">
        <v>6422</v>
      </c>
      <c r="E20" s="177" t="s">
        <v>13322</v>
      </c>
      <c r="F20" s="177" t="s">
        <v>6424</v>
      </c>
      <c r="G20" s="177" t="s">
        <v>6425</v>
      </c>
      <c r="H20" s="177" t="s">
        <v>6426</v>
      </c>
      <c r="I20" s="177" t="s">
        <v>13323</v>
      </c>
      <c r="J20" s="177" t="s">
        <v>6424</v>
      </c>
      <c r="K20" s="177" t="s">
        <v>13324</v>
      </c>
      <c r="L20" s="177" t="s">
        <v>13325</v>
      </c>
      <c r="M20" s="175" t="s">
        <v>13326</v>
      </c>
      <c r="N20" s="176" t="s">
        <v>8713</v>
      </c>
    </row>
    <row r="21" spans="1:14">
      <c r="A21" s="99"/>
      <c r="C21" s="177" t="s">
        <v>6427</v>
      </c>
      <c r="D21" s="177" t="s">
        <v>13327</v>
      </c>
      <c r="E21" s="177" t="s">
        <v>13328</v>
      </c>
      <c r="F21" s="177" t="s">
        <v>13329</v>
      </c>
      <c r="G21" s="177" t="s">
        <v>13330</v>
      </c>
      <c r="H21" s="177" t="s">
        <v>6428</v>
      </c>
      <c r="I21" s="177" t="s">
        <v>13331</v>
      </c>
      <c r="J21" s="177" t="s">
        <v>13332</v>
      </c>
      <c r="K21" s="177" t="s">
        <v>13333</v>
      </c>
      <c r="L21" s="177" t="s">
        <v>13334</v>
      </c>
      <c r="M21" s="175" t="s">
        <v>13335</v>
      </c>
      <c r="N21" s="176" t="s">
        <v>8714</v>
      </c>
    </row>
    <row r="22" spans="1:14">
      <c r="A22" s="99"/>
      <c r="C22" s="177" t="s">
        <v>13054</v>
      </c>
      <c r="D22" s="177" t="s">
        <v>6429</v>
      </c>
      <c r="E22" s="177" t="s">
        <v>13336</v>
      </c>
      <c r="F22" s="177" t="s">
        <v>13337</v>
      </c>
      <c r="G22" s="177" t="s">
        <v>13338</v>
      </c>
      <c r="H22" s="177" t="s">
        <v>13337</v>
      </c>
      <c r="I22" s="177" t="s">
        <v>6429</v>
      </c>
      <c r="J22" s="177" t="s">
        <v>13337</v>
      </c>
      <c r="K22" s="177" t="s">
        <v>13336</v>
      </c>
      <c r="L22" s="177" t="s">
        <v>13337</v>
      </c>
      <c r="M22" s="175" t="s">
        <v>13339</v>
      </c>
      <c r="N22" s="176" t="s">
        <v>6429</v>
      </c>
    </row>
    <row r="23" spans="1:14">
      <c r="A23" s="99"/>
      <c r="C23" s="177" t="s">
        <v>13055</v>
      </c>
      <c r="D23" s="177" t="s">
        <v>13340</v>
      </c>
      <c r="E23" s="177" t="s">
        <v>13341</v>
      </c>
      <c r="F23" s="177" t="s">
        <v>13342</v>
      </c>
      <c r="G23" s="177" t="s">
        <v>13343</v>
      </c>
      <c r="H23" s="177" t="s">
        <v>13344</v>
      </c>
      <c r="I23" s="177" t="s">
        <v>13345</v>
      </c>
      <c r="J23" s="177" t="s">
        <v>13346</v>
      </c>
      <c r="K23" s="177" t="s">
        <v>13347</v>
      </c>
      <c r="L23" s="177" t="s">
        <v>13348</v>
      </c>
      <c r="M23" s="175" t="s">
        <v>13349</v>
      </c>
      <c r="N23" s="176" t="s">
        <v>13350</v>
      </c>
    </row>
    <row r="24" spans="1:14">
      <c r="A24" s="99"/>
      <c r="C24" s="177" t="s">
        <v>13056</v>
      </c>
      <c r="D24" s="177" t="s">
        <v>13351</v>
      </c>
      <c r="E24" s="177" t="s">
        <v>13352</v>
      </c>
      <c r="F24" s="177" t="s">
        <v>13353</v>
      </c>
      <c r="G24" s="177" t="s">
        <v>13354</v>
      </c>
      <c r="H24" s="177" t="s">
        <v>13355</v>
      </c>
      <c r="I24" s="177" t="s">
        <v>13356</v>
      </c>
      <c r="J24" s="177" t="s">
        <v>13357</v>
      </c>
      <c r="K24" s="177" t="s">
        <v>13358</v>
      </c>
      <c r="L24" s="177" t="s">
        <v>13359</v>
      </c>
      <c r="M24" s="175" t="s">
        <v>13360</v>
      </c>
      <c r="N24" s="176" t="s">
        <v>13361</v>
      </c>
    </row>
    <row r="25" spans="1:14">
      <c r="A25" s="99"/>
      <c r="C25" s="177" t="s">
        <v>13057</v>
      </c>
      <c r="D25" s="177" t="s">
        <v>13362</v>
      </c>
      <c r="E25" s="177" t="s">
        <v>13363</v>
      </c>
      <c r="F25" s="177" t="s">
        <v>13364</v>
      </c>
      <c r="G25" s="177" t="s">
        <v>13365</v>
      </c>
      <c r="H25" s="177" t="s">
        <v>13366</v>
      </c>
      <c r="I25" s="177" t="s">
        <v>13367</v>
      </c>
      <c r="J25" s="177" t="s">
        <v>13368</v>
      </c>
      <c r="K25" s="177" t="s">
        <v>13369</v>
      </c>
      <c r="L25" s="177" t="s">
        <v>13370</v>
      </c>
      <c r="M25" s="175" t="s">
        <v>13371</v>
      </c>
      <c r="N25" s="176" t="s">
        <v>13372</v>
      </c>
    </row>
    <row r="26" spans="1:14">
      <c r="A26" s="99"/>
      <c r="C26" s="177" t="s">
        <v>13058</v>
      </c>
      <c r="D26" s="177" t="s">
        <v>13373</v>
      </c>
      <c r="E26" s="177" t="s">
        <v>13374</v>
      </c>
      <c r="F26" s="177" t="s">
        <v>13375</v>
      </c>
      <c r="G26" s="177" t="s">
        <v>13376</v>
      </c>
      <c r="H26" s="177" t="s">
        <v>13377</v>
      </c>
      <c r="I26" s="177" t="s">
        <v>13378</v>
      </c>
      <c r="J26" s="177" t="s">
        <v>13379</v>
      </c>
      <c r="K26" s="177" t="s">
        <v>13380</v>
      </c>
      <c r="L26" s="177" t="s">
        <v>13381</v>
      </c>
      <c r="M26" s="175" t="s">
        <v>13382</v>
      </c>
      <c r="N26" s="176" t="s">
        <v>13383</v>
      </c>
    </row>
    <row r="27" spans="1:14">
      <c r="A27" s="99"/>
      <c r="C27" s="177" t="s">
        <v>13059</v>
      </c>
      <c r="D27" s="177" t="s">
        <v>13384</v>
      </c>
      <c r="E27" s="177" t="s">
        <v>13385</v>
      </c>
      <c r="F27" s="177" t="s">
        <v>13386</v>
      </c>
      <c r="G27" s="177" t="s">
        <v>13387</v>
      </c>
      <c r="H27" s="177" t="s">
        <v>13388</v>
      </c>
      <c r="I27" s="177" t="s">
        <v>13389</v>
      </c>
      <c r="J27" s="177" t="s">
        <v>13390</v>
      </c>
      <c r="K27" s="177" t="s">
        <v>13391</v>
      </c>
      <c r="L27" s="177" t="s">
        <v>13392</v>
      </c>
      <c r="M27" s="175" t="s">
        <v>13393</v>
      </c>
      <c r="N27" s="176" t="s">
        <v>13394</v>
      </c>
    </row>
    <row r="28" spans="1:14">
      <c r="A28" s="99"/>
      <c r="C28" s="177" t="s">
        <v>6430</v>
      </c>
      <c r="D28" s="177" t="s">
        <v>13395</v>
      </c>
      <c r="E28" s="177" t="s">
        <v>13396</v>
      </c>
      <c r="F28" s="177" t="s">
        <v>13397</v>
      </c>
      <c r="G28" s="177" t="s">
        <v>13398</v>
      </c>
      <c r="H28" s="177" t="s">
        <v>13399</v>
      </c>
      <c r="I28" s="177" t="s">
        <v>13400</v>
      </c>
      <c r="J28" s="177" t="s">
        <v>13401</v>
      </c>
      <c r="K28" s="177" t="s">
        <v>13402</v>
      </c>
      <c r="L28" s="177" t="s">
        <v>13403</v>
      </c>
      <c r="M28" s="175" t="s">
        <v>13404</v>
      </c>
      <c r="N28" s="176" t="s">
        <v>13405</v>
      </c>
    </row>
    <row r="29" spans="1:14">
      <c r="A29" s="99"/>
      <c r="C29" s="177" t="s">
        <v>6431</v>
      </c>
      <c r="D29" s="177" t="s">
        <v>13406</v>
      </c>
      <c r="E29" s="177" t="s">
        <v>13407</v>
      </c>
      <c r="F29" s="177" t="s">
        <v>13408</v>
      </c>
      <c r="G29" s="177" t="s">
        <v>13409</v>
      </c>
      <c r="H29" s="177" t="s">
        <v>13410</v>
      </c>
      <c r="I29" s="177" t="s">
        <v>13411</v>
      </c>
      <c r="J29" s="177" t="s">
        <v>13412</v>
      </c>
      <c r="K29" s="177" t="s">
        <v>13413</v>
      </c>
      <c r="L29" s="177" t="s">
        <v>13414</v>
      </c>
      <c r="M29" s="175" t="s">
        <v>13415</v>
      </c>
      <c r="N29" s="176" t="s">
        <v>13416</v>
      </c>
    </row>
    <row r="30" spans="1:14">
      <c r="A30" s="99"/>
      <c r="C30" s="177" t="s">
        <v>6432</v>
      </c>
      <c r="D30" s="177" t="s">
        <v>13417</v>
      </c>
      <c r="E30" s="177" t="s">
        <v>13418</v>
      </c>
      <c r="F30" s="177" t="s">
        <v>13419</v>
      </c>
      <c r="G30" s="177" t="s">
        <v>13420</v>
      </c>
      <c r="H30" s="177" t="s">
        <v>13421</v>
      </c>
      <c r="I30" s="177" t="s">
        <v>13422</v>
      </c>
      <c r="J30" s="177" t="s">
        <v>13423</v>
      </c>
      <c r="K30" s="177" t="s">
        <v>13424</v>
      </c>
      <c r="L30" s="177" t="s">
        <v>13425</v>
      </c>
      <c r="M30" s="175" t="s">
        <v>13426</v>
      </c>
      <c r="N30" s="176" t="s">
        <v>13427</v>
      </c>
    </row>
    <row r="31" spans="1:14">
      <c r="A31" s="99"/>
      <c r="C31" s="177" t="s">
        <v>12621</v>
      </c>
      <c r="D31" s="177" t="s">
        <v>12887</v>
      </c>
      <c r="E31" s="177" t="s">
        <v>13428</v>
      </c>
      <c r="F31" s="177" t="s">
        <v>12888</v>
      </c>
      <c r="G31" s="177" t="s">
        <v>12888</v>
      </c>
      <c r="H31" s="177" t="s">
        <v>13429</v>
      </c>
      <c r="I31" s="177" t="s">
        <v>12621</v>
      </c>
      <c r="J31" s="177" t="s">
        <v>12888</v>
      </c>
      <c r="K31" s="177" t="s">
        <v>13430</v>
      </c>
      <c r="L31" s="177" t="s">
        <v>13431</v>
      </c>
      <c r="M31" s="175" t="s">
        <v>13432</v>
      </c>
      <c r="N31" s="176" t="s">
        <v>13433</v>
      </c>
    </row>
    <row r="32" spans="1:14">
      <c r="A32" s="99"/>
      <c r="C32" s="177" t="s">
        <v>13060</v>
      </c>
      <c r="D32" s="177" t="s">
        <v>13434</v>
      </c>
      <c r="E32" s="177" t="s">
        <v>13435</v>
      </c>
      <c r="F32" s="177" t="s">
        <v>13436</v>
      </c>
      <c r="G32" s="177" t="s">
        <v>13437</v>
      </c>
      <c r="H32" s="177" t="s">
        <v>13438</v>
      </c>
      <c r="I32" s="177" t="s">
        <v>13439</v>
      </c>
      <c r="J32" s="177" t="s">
        <v>13440</v>
      </c>
      <c r="K32" s="177" t="s">
        <v>13441</v>
      </c>
      <c r="L32" s="177" t="s">
        <v>13442</v>
      </c>
      <c r="M32" s="175" t="s">
        <v>13443</v>
      </c>
      <c r="N32" s="176" t="s">
        <v>13444</v>
      </c>
    </row>
    <row r="33" spans="1:14">
      <c r="A33" s="99"/>
      <c r="C33" s="177" t="s">
        <v>13061</v>
      </c>
      <c r="D33" s="177" t="s">
        <v>13445</v>
      </c>
      <c r="E33" s="177" t="s">
        <v>13446</v>
      </c>
      <c r="F33" s="177" t="s">
        <v>13447</v>
      </c>
      <c r="G33" s="177" t="s">
        <v>13448</v>
      </c>
      <c r="H33" s="177" t="s">
        <v>13449</v>
      </c>
      <c r="I33" s="177" t="s">
        <v>13450</v>
      </c>
      <c r="J33" s="177" t="s">
        <v>13451</v>
      </c>
      <c r="K33" s="177" t="s">
        <v>13452</v>
      </c>
      <c r="L33" s="177" t="s">
        <v>13453</v>
      </c>
      <c r="M33" s="175" t="s">
        <v>13454</v>
      </c>
      <c r="N33" s="176" t="s">
        <v>13455</v>
      </c>
    </row>
    <row r="34" spans="1:14">
      <c r="A34" s="99"/>
      <c r="C34" s="177" t="s">
        <v>6433</v>
      </c>
      <c r="D34" s="177" t="s">
        <v>13456</v>
      </c>
      <c r="E34" s="177" t="s">
        <v>13457</v>
      </c>
      <c r="F34" s="177" t="s">
        <v>13458</v>
      </c>
      <c r="G34" s="177" t="s">
        <v>13459</v>
      </c>
      <c r="H34" s="177" t="s">
        <v>13460</v>
      </c>
      <c r="I34" s="177" t="s">
        <v>13461</v>
      </c>
      <c r="J34" s="177" t="s">
        <v>13462</v>
      </c>
      <c r="K34" s="177" t="s">
        <v>13463</v>
      </c>
      <c r="L34" s="177" t="s">
        <v>13464</v>
      </c>
      <c r="M34" s="175" t="s">
        <v>13465</v>
      </c>
      <c r="N34" s="176" t="s">
        <v>13466</v>
      </c>
    </row>
    <row r="35" spans="1:14">
      <c r="A35" s="99"/>
      <c r="C35" s="177" t="s">
        <v>6434</v>
      </c>
      <c r="D35" s="177" t="s">
        <v>13467</v>
      </c>
      <c r="E35" s="177" t="s">
        <v>13468</v>
      </c>
      <c r="F35" s="452" t="s">
        <v>13469</v>
      </c>
      <c r="G35" s="175" t="s">
        <v>13470</v>
      </c>
      <c r="H35" s="175" t="s">
        <v>13471</v>
      </c>
      <c r="I35" s="175" t="s">
        <v>13472</v>
      </c>
      <c r="J35" s="175" t="s">
        <v>13473</v>
      </c>
      <c r="K35" s="175" t="s">
        <v>13474</v>
      </c>
      <c r="L35" s="175" t="s">
        <v>13475</v>
      </c>
      <c r="M35" s="175" t="s">
        <v>13476</v>
      </c>
      <c r="N35" s="176" t="s">
        <v>13477</v>
      </c>
    </row>
    <row r="36" spans="1:14">
      <c r="A36" s="99"/>
      <c r="C36" s="177" t="s">
        <v>6435</v>
      </c>
      <c r="D36" s="177" t="s">
        <v>13478</v>
      </c>
      <c r="E36" s="177" t="s">
        <v>13479</v>
      </c>
      <c r="F36" s="177" t="s">
        <v>13480</v>
      </c>
      <c r="G36" s="177" t="s">
        <v>13481</v>
      </c>
      <c r="H36" s="177" t="s">
        <v>13482</v>
      </c>
      <c r="I36" s="177" t="s">
        <v>6436</v>
      </c>
      <c r="J36" s="177" t="s">
        <v>13483</v>
      </c>
      <c r="K36" s="177" t="s">
        <v>13484</v>
      </c>
      <c r="L36" s="177" t="s">
        <v>13485</v>
      </c>
      <c r="M36" s="175" t="s">
        <v>13486</v>
      </c>
      <c r="N36" s="176" t="s">
        <v>13487</v>
      </c>
    </row>
    <row r="37" spans="1:14">
      <c r="A37" s="99"/>
      <c r="C37" s="177" t="s">
        <v>13062</v>
      </c>
      <c r="D37" s="177" t="s">
        <v>13488</v>
      </c>
      <c r="E37" s="177" t="s">
        <v>13489</v>
      </c>
      <c r="F37" s="177" t="s">
        <v>13490</v>
      </c>
      <c r="G37" s="177" t="s">
        <v>13491</v>
      </c>
      <c r="H37" s="177" t="s">
        <v>13492</v>
      </c>
      <c r="I37" s="177" t="s">
        <v>13493</v>
      </c>
      <c r="J37" s="177" t="s">
        <v>13494</v>
      </c>
      <c r="K37" s="177" t="s">
        <v>13495</v>
      </c>
      <c r="L37" s="177" t="s">
        <v>13496</v>
      </c>
      <c r="M37" s="175" t="s">
        <v>13497</v>
      </c>
      <c r="N37" s="176" t="s">
        <v>13498</v>
      </c>
    </row>
    <row r="38" spans="1:14">
      <c r="A38" s="99"/>
      <c r="C38" s="177" t="s">
        <v>6437</v>
      </c>
      <c r="D38" s="177" t="s">
        <v>13499</v>
      </c>
      <c r="E38" s="177" t="s">
        <v>13500</v>
      </c>
      <c r="F38" s="177" t="s">
        <v>13501</v>
      </c>
      <c r="G38" s="177" t="s">
        <v>13502</v>
      </c>
      <c r="H38" s="177" t="s">
        <v>13503</v>
      </c>
      <c r="I38" s="177" t="s">
        <v>6438</v>
      </c>
      <c r="J38" s="177" t="s">
        <v>13504</v>
      </c>
      <c r="K38" s="177" t="s">
        <v>13505</v>
      </c>
      <c r="L38" s="177" t="s">
        <v>13506</v>
      </c>
      <c r="M38" s="175" t="s">
        <v>13507</v>
      </c>
      <c r="N38" s="176" t="s">
        <v>13508</v>
      </c>
    </row>
    <row r="39" spans="1:14">
      <c r="A39" s="99"/>
      <c r="C39" s="177" t="s">
        <v>6439</v>
      </c>
      <c r="D39" s="177" t="s">
        <v>13509</v>
      </c>
      <c r="E39" s="177" t="s">
        <v>13510</v>
      </c>
      <c r="F39" s="177" t="s">
        <v>13511</v>
      </c>
      <c r="G39" s="177" t="s">
        <v>13512</v>
      </c>
      <c r="H39" s="177" t="s">
        <v>13513</v>
      </c>
      <c r="I39" s="177" t="s">
        <v>6440</v>
      </c>
      <c r="J39" s="177" t="s">
        <v>13514</v>
      </c>
      <c r="K39" s="177" t="s">
        <v>13515</v>
      </c>
      <c r="L39" s="177" t="s">
        <v>13516</v>
      </c>
      <c r="M39" s="175" t="s">
        <v>13517</v>
      </c>
      <c r="N39" s="176" t="s">
        <v>13518</v>
      </c>
    </row>
    <row r="40" spans="1:14">
      <c r="A40" s="99"/>
      <c r="C40" s="177" t="s">
        <v>13063</v>
      </c>
      <c r="D40" s="177" t="s">
        <v>13519</v>
      </c>
      <c r="E40" s="177" t="s">
        <v>13520</v>
      </c>
      <c r="F40" s="177" t="s">
        <v>13521</v>
      </c>
      <c r="G40" s="177" t="s">
        <v>13522</v>
      </c>
      <c r="H40" s="177" t="s">
        <v>13523</v>
      </c>
      <c r="I40" s="177" t="s">
        <v>6441</v>
      </c>
      <c r="J40" s="177" t="s">
        <v>13524</v>
      </c>
      <c r="K40" s="177" t="s">
        <v>13525</v>
      </c>
      <c r="L40" s="177" t="s">
        <v>13526</v>
      </c>
      <c r="M40" s="175" t="s">
        <v>13527</v>
      </c>
      <c r="N40" s="176" t="s">
        <v>13528</v>
      </c>
    </row>
    <row r="41" spans="1:14">
      <c r="A41" s="99"/>
      <c r="C41" s="177" t="s">
        <v>6442</v>
      </c>
      <c r="D41" s="177" t="s">
        <v>13529</v>
      </c>
      <c r="E41" s="177" t="s">
        <v>13530</v>
      </c>
      <c r="F41" s="177" t="s">
        <v>13531</v>
      </c>
      <c r="G41" s="177" t="s">
        <v>13532</v>
      </c>
      <c r="H41" s="177" t="s">
        <v>13533</v>
      </c>
      <c r="I41" s="177" t="s">
        <v>6442</v>
      </c>
      <c r="J41" s="177" t="s">
        <v>13531</v>
      </c>
      <c r="K41" s="177" t="s">
        <v>13534</v>
      </c>
      <c r="L41" s="177" t="s">
        <v>13535</v>
      </c>
      <c r="M41" s="175" t="s">
        <v>13536</v>
      </c>
      <c r="N41" s="176" t="s">
        <v>13537</v>
      </c>
    </row>
    <row r="42" spans="1:14">
      <c r="A42" s="99"/>
      <c r="C42" s="177" t="s">
        <v>12071</v>
      </c>
      <c r="D42" s="177" t="s">
        <v>12073</v>
      </c>
      <c r="E42" s="177" t="s">
        <v>13538</v>
      </c>
      <c r="F42" s="177" t="s">
        <v>13539</v>
      </c>
      <c r="G42" s="177" t="s">
        <v>13540</v>
      </c>
      <c r="H42" s="177" t="s">
        <v>13541</v>
      </c>
      <c r="I42" s="177" t="s">
        <v>12074</v>
      </c>
      <c r="J42" s="177" t="s">
        <v>13542</v>
      </c>
      <c r="K42" s="177" t="s">
        <v>13543</v>
      </c>
      <c r="L42" s="177" t="s">
        <v>13544</v>
      </c>
      <c r="M42" s="175" t="s">
        <v>13545</v>
      </c>
      <c r="N42" s="176" t="s">
        <v>13546</v>
      </c>
    </row>
    <row r="43" spans="1:14">
      <c r="A43" s="99"/>
      <c r="C43" s="177" t="s">
        <v>12072</v>
      </c>
      <c r="D43" s="177" t="s">
        <v>12075</v>
      </c>
      <c r="E43" s="177" t="s">
        <v>13547</v>
      </c>
      <c r="F43" s="177" t="s">
        <v>13548</v>
      </c>
      <c r="G43" s="177" t="s">
        <v>13549</v>
      </c>
      <c r="H43" s="177" t="s">
        <v>13550</v>
      </c>
      <c r="I43" s="177" t="s">
        <v>12076</v>
      </c>
      <c r="J43" s="177" t="s">
        <v>13551</v>
      </c>
      <c r="K43" s="177" t="s">
        <v>13552</v>
      </c>
      <c r="L43" s="177" t="s">
        <v>13553</v>
      </c>
      <c r="M43" s="175" t="s">
        <v>13554</v>
      </c>
      <c r="N43" s="176" t="s">
        <v>13555</v>
      </c>
    </row>
    <row r="44" spans="1:14">
      <c r="A44" s="99"/>
      <c r="C44" s="177" t="s">
        <v>6444</v>
      </c>
      <c r="D44" s="177" t="s">
        <v>13556</v>
      </c>
      <c r="E44" s="176" t="s">
        <v>6443</v>
      </c>
      <c r="F44" s="177" t="s">
        <v>13557</v>
      </c>
      <c r="G44" s="177" t="s">
        <v>6445</v>
      </c>
      <c r="H44" s="177" t="s">
        <v>13558</v>
      </c>
      <c r="I44" s="177" t="s">
        <v>13559</v>
      </c>
      <c r="J44" s="177" t="s">
        <v>6446</v>
      </c>
      <c r="K44" s="177" t="s">
        <v>13560</v>
      </c>
      <c r="L44" s="177" t="s">
        <v>13561</v>
      </c>
      <c r="M44" s="175" t="s">
        <v>13562</v>
      </c>
      <c r="N44" s="176" t="s">
        <v>13563</v>
      </c>
    </row>
    <row r="45" spans="1:14">
      <c r="A45" s="99"/>
      <c r="C45" s="177" t="s">
        <v>13064</v>
      </c>
      <c r="D45" s="177" t="s">
        <v>13564</v>
      </c>
      <c r="E45" s="177" t="s">
        <v>13565</v>
      </c>
      <c r="F45" s="177" t="s">
        <v>13566</v>
      </c>
      <c r="G45" s="177" t="s">
        <v>13567</v>
      </c>
      <c r="H45" s="177" t="s">
        <v>13568</v>
      </c>
      <c r="I45" s="177" t="s">
        <v>13569</v>
      </c>
      <c r="J45" s="177" t="s">
        <v>13570</v>
      </c>
      <c r="K45" s="177" t="s">
        <v>13571</v>
      </c>
      <c r="L45" s="177" t="s">
        <v>13572</v>
      </c>
      <c r="M45" s="175" t="s">
        <v>13573</v>
      </c>
      <c r="N45" s="176" t="s">
        <v>13574</v>
      </c>
    </row>
    <row r="46" spans="1:14">
      <c r="A46" s="99"/>
      <c r="C46" s="177" t="s">
        <v>6449</v>
      </c>
      <c r="D46" s="177" t="s">
        <v>6447</v>
      </c>
      <c r="E46" s="177" t="s">
        <v>6448</v>
      </c>
      <c r="F46" s="177" t="s">
        <v>6450</v>
      </c>
      <c r="G46" s="177" t="s">
        <v>13575</v>
      </c>
      <c r="H46" s="177" t="s">
        <v>13576</v>
      </c>
      <c r="I46" s="177" t="s">
        <v>6451</v>
      </c>
      <c r="J46" s="177" t="s">
        <v>13577</v>
      </c>
      <c r="K46" s="177" t="s">
        <v>13578</v>
      </c>
      <c r="L46" s="177" t="s">
        <v>13579</v>
      </c>
      <c r="M46" s="175" t="s">
        <v>8717</v>
      </c>
      <c r="N46" s="176" t="s">
        <v>13580</v>
      </c>
    </row>
    <row r="47" spans="1:14">
      <c r="A47" s="99"/>
      <c r="C47" s="177" t="s">
        <v>6453</v>
      </c>
      <c r="D47" s="177" t="s">
        <v>6452</v>
      </c>
      <c r="E47" s="177" t="s">
        <v>13581</v>
      </c>
      <c r="F47" s="177" t="s">
        <v>6454</v>
      </c>
      <c r="G47" s="177" t="s">
        <v>13582</v>
      </c>
      <c r="H47" s="177" t="s">
        <v>6455</v>
      </c>
      <c r="I47" s="177" t="s">
        <v>13583</v>
      </c>
      <c r="J47" s="177" t="s">
        <v>6454</v>
      </c>
      <c r="K47" s="177" t="s">
        <v>13584</v>
      </c>
      <c r="L47" s="177" t="s">
        <v>13585</v>
      </c>
      <c r="M47" s="175" t="s">
        <v>13586</v>
      </c>
      <c r="N47" s="176" t="s">
        <v>8715</v>
      </c>
    </row>
    <row r="48" spans="1:14">
      <c r="A48" s="99"/>
      <c r="C48" s="177" t="s">
        <v>13065</v>
      </c>
      <c r="D48" s="177" t="s">
        <v>13587</v>
      </c>
      <c r="E48" s="177" t="s">
        <v>13588</v>
      </c>
      <c r="F48" s="177" t="s">
        <v>13589</v>
      </c>
      <c r="G48" s="177" t="s">
        <v>13590</v>
      </c>
      <c r="H48" s="177" t="s">
        <v>13591</v>
      </c>
      <c r="I48" s="177" t="s">
        <v>13592</v>
      </c>
      <c r="J48" s="177" t="s">
        <v>13593</v>
      </c>
      <c r="K48" s="177" t="s">
        <v>13594</v>
      </c>
      <c r="L48" s="177" t="s">
        <v>13595</v>
      </c>
      <c r="M48" s="175" t="s">
        <v>13596</v>
      </c>
      <c r="N48" s="176" t="s">
        <v>13597</v>
      </c>
    </row>
    <row r="49" spans="1:14">
      <c r="A49" s="99"/>
      <c r="C49" s="177" t="s">
        <v>13066</v>
      </c>
      <c r="D49" s="177" t="s">
        <v>13598</v>
      </c>
      <c r="E49" s="177" t="s">
        <v>13599</v>
      </c>
      <c r="F49" s="177" t="s">
        <v>13600</v>
      </c>
      <c r="G49" s="177" t="s">
        <v>13601</v>
      </c>
      <c r="H49" s="177" t="s">
        <v>13602</v>
      </c>
      <c r="I49" s="177" t="s">
        <v>13603</v>
      </c>
      <c r="J49" s="177" t="s">
        <v>13600</v>
      </c>
      <c r="K49" s="177" t="s">
        <v>13604</v>
      </c>
      <c r="L49" s="177" t="s">
        <v>13605</v>
      </c>
      <c r="M49" s="175" t="s">
        <v>13606</v>
      </c>
      <c r="N49" s="176" t="s">
        <v>13607</v>
      </c>
    </row>
    <row r="50" spans="1:14">
      <c r="A50" s="99"/>
      <c r="C50" s="177" t="s">
        <v>13067</v>
      </c>
      <c r="D50" s="177" t="s">
        <v>13608</v>
      </c>
      <c r="E50" s="177" t="s">
        <v>13609</v>
      </c>
      <c r="F50" s="452" t="s">
        <v>13610</v>
      </c>
      <c r="G50" s="175" t="s">
        <v>13611</v>
      </c>
      <c r="H50" s="175" t="s">
        <v>13612</v>
      </c>
      <c r="I50" s="175" t="s">
        <v>13613</v>
      </c>
      <c r="J50" s="175" t="s">
        <v>13610</v>
      </c>
      <c r="K50" s="175" t="s">
        <v>13614</v>
      </c>
      <c r="L50" s="175" t="s">
        <v>13615</v>
      </c>
      <c r="M50" s="175" t="s">
        <v>13616</v>
      </c>
      <c r="N50" s="176" t="s">
        <v>13617</v>
      </c>
    </row>
    <row r="51" spans="1:14">
      <c r="A51" s="99"/>
      <c r="C51" s="177" t="s">
        <v>13068</v>
      </c>
      <c r="D51" s="177" t="s">
        <v>13618</v>
      </c>
      <c r="E51" s="177" t="s">
        <v>13619</v>
      </c>
      <c r="F51" s="177" t="s">
        <v>13620</v>
      </c>
      <c r="G51" s="177" t="s">
        <v>13621</v>
      </c>
      <c r="H51" s="177" t="s">
        <v>13622</v>
      </c>
      <c r="I51" s="177" t="s">
        <v>13623</v>
      </c>
      <c r="J51" s="177" t="s">
        <v>13620</v>
      </c>
      <c r="K51" s="177" t="s">
        <v>13624</v>
      </c>
      <c r="L51" s="177" t="s">
        <v>13625</v>
      </c>
      <c r="M51" s="175" t="s">
        <v>13626</v>
      </c>
      <c r="N51" s="176" t="s">
        <v>13627</v>
      </c>
    </row>
    <row r="52" spans="1:14">
      <c r="A52" s="99"/>
      <c r="C52" s="177" t="s">
        <v>13069</v>
      </c>
      <c r="D52" s="177" t="s">
        <v>13628</v>
      </c>
      <c r="E52" s="177" t="s">
        <v>13629</v>
      </c>
      <c r="F52" s="177" t="s">
        <v>13630</v>
      </c>
      <c r="G52" s="177" t="s">
        <v>13631</v>
      </c>
      <c r="H52" s="177" t="s">
        <v>13632</v>
      </c>
      <c r="I52" s="177" t="s">
        <v>13633</v>
      </c>
      <c r="J52" s="177" t="s">
        <v>13634</v>
      </c>
      <c r="K52" s="177" t="s">
        <v>13635</v>
      </c>
      <c r="L52" s="177" t="s">
        <v>13636</v>
      </c>
      <c r="M52" s="175" t="s">
        <v>13637</v>
      </c>
      <c r="N52" s="176" t="s">
        <v>13638</v>
      </c>
    </row>
    <row r="53" spans="1:14">
      <c r="A53" s="99"/>
      <c r="C53" s="177" t="s">
        <v>13070</v>
      </c>
      <c r="D53" s="177" t="s">
        <v>13639</v>
      </c>
      <c r="E53" s="177" t="s">
        <v>13640</v>
      </c>
      <c r="F53" s="177" t="s">
        <v>13641</v>
      </c>
      <c r="G53" s="177" t="s">
        <v>13642</v>
      </c>
      <c r="H53" s="177" t="s">
        <v>13643</v>
      </c>
      <c r="I53" s="177" t="s">
        <v>13644</v>
      </c>
      <c r="J53" s="177" t="s">
        <v>13641</v>
      </c>
      <c r="K53" s="177" t="s">
        <v>13645</v>
      </c>
      <c r="L53" s="177" t="s">
        <v>13646</v>
      </c>
      <c r="M53" s="175" t="s">
        <v>13647</v>
      </c>
      <c r="N53" s="176" t="s">
        <v>13648</v>
      </c>
    </row>
    <row r="54" spans="1:14">
      <c r="A54" s="99"/>
      <c r="C54" s="177" t="s">
        <v>13071</v>
      </c>
      <c r="D54" s="177" t="s">
        <v>13649</v>
      </c>
      <c r="E54" s="177" t="s">
        <v>13650</v>
      </c>
      <c r="F54" s="177" t="s">
        <v>13651</v>
      </c>
      <c r="G54" s="177" t="s">
        <v>13652</v>
      </c>
      <c r="H54" s="177" t="s">
        <v>13653</v>
      </c>
      <c r="I54" s="177" t="s">
        <v>13654</v>
      </c>
      <c r="J54" s="177" t="s">
        <v>13651</v>
      </c>
      <c r="K54" s="177" t="s">
        <v>13655</v>
      </c>
      <c r="L54" s="177" t="s">
        <v>13656</v>
      </c>
      <c r="M54" s="175" t="s">
        <v>13657</v>
      </c>
      <c r="N54" s="176" t="s">
        <v>13658</v>
      </c>
    </row>
    <row r="55" spans="1:14">
      <c r="A55" s="99"/>
      <c r="C55" s="177" t="s">
        <v>13072</v>
      </c>
      <c r="D55" s="177" t="s">
        <v>13659</v>
      </c>
      <c r="E55" s="177" t="s">
        <v>13660</v>
      </c>
      <c r="F55" s="177" t="s">
        <v>13661</v>
      </c>
      <c r="G55" s="177" t="s">
        <v>13662</v>
      </c>
      <c r="H55" s="177" t="s">
        <v>13663</v>
      </c>
      <c r="I55" s="177" t="s">
        <v>13664</v>
      </c>
      <c r="J55" s="177" t="s">
        <v>13665</v>
      </c>
      <c r="K55" s="177" t="s">
        <v>13666</v>
      </c>
      <c r="L55" s="177" t="s">
        <v>13667</v>
      </c>
      <c r="M55" s="175" t="s">
        <v>13668</v>
      </c>
      <c r="N55" s="176" t="s">
        <v>13669</v>
      </c>
    </row>
    <row r="56" spans="1:14">
      <c r="A56" s="99"/>
      <c r="C56" s="177" t="s">
        <v>13073</v>
      </c>
      <c r="D56" s="177" t="s">
        <v>13670</v>
      </c>
      <c r="E56" s="177" t="s">
        <v>13671</v>
      </c>
      <c r="F56" s="177" t="s">
        <v>13672</v>
      </c>
      <c r="G56" s="177" t="s">
        <v>13673</v>
      </c>
      <c r="H56" s="177" t="s">
        <v>13674</v>
      </c>
      <c r="I56" s="177" t="s">
        <v>13675</v>
      </c>
      <c r="J56" s="177" t="s">
        <v>13676</v>
      </c>
      <c r="K56" s="177" t="s">
        <v>13677</v>
      </c>
      <c r="L56" s="177" t="s">
        <v>13678</v>
      </c>
      <c r="M56" s="175" t="s">
        <v>13679</v>
      </c>
      <c r="N56" s="176" t="s">
        <v>13680</v>
      </c>
    </row>
    <row r="57" spans="1:14">
      <c r="A57" s="99"/>
      <c r="C57" s="177" t="s">
        <v>13074</v>
      </c>
      <c r="D57" s="177" t="s">
        <v>13681</v>
      </c>
      <c r="E57" s="177" t="s">
        <v>13682</v>
      </c>
      <c r="F57" s="177" t="s">
        <v>13683</v>
      </c>
      <c r="G57" s="177" t="s">
        <v>13684</v>
      </c>
      <c r="H57" s="177" t="s">
        <v>13685</v>
      </c>
      <c r="I57" s="177" t="s">
        <v>13686</v>
      </c>
      <c r="J57" s="177" t="s">
        <v>13687</v>
      </c>
      <c r="K57" s="177" t="s">
        <v>13688</v>
      </c>
      <c r="L57" s="177" t="s">
        <v>13689</v>
      </c>
      <c r="M57" s="175" t="s">
        <v>13690</v>
      </c>
      <c r="N57" s="176" t="s">
        <v>13691</v>
      </c>
    </row>
    <row r="58" spans="1:14">
      <c r="A58" s="99"/>
      <c r="C58" s="177" t="s">
        <v>13075</v>
      </c>
      <c r="D58" s="177" t="s">
        <v>13692</v>
      </c>
      <c r="E58" s="177" t="s">
        <v>13693</v>
      </c>
      <c r="F58" s="177" t="s">
        <v>13694</v>
      </c>
      <c r="G58" s="177" t="s">
        <v>13695</v>
      </c>
      <c r="H58" s="177" t="s">
        <v>13696</v>
      </c>
      <c r="I58" s="177" t="s">
        <v>13697</v>
      </c>
      <c r="J58" s="177" t="s">
        <v>13698</v>
      </c>
      <c r="K58" s="177" t="s">
        <v>13699</v>
      </c>
      <c r="L58" s="177" t="s">
        <v>13700</v>
      </c>
      <c r="M58" s="175" t="s">
        <v>13701</v>
      </c>
      <c r="N58" s="176" t="s">
        <v>13702</v>
      </c>
    </row>
    <row r="59" spans="1:14">
      <c r="A59" s="99"/>
      <c r="C59" s="177" t="s">
        <v>13076</v>
      </c>
      <c r="D59" s="177" t="s">
        <v>13703</v>
      </c>
      <c r="E59" s="177" t="s">
        <v>13704</v>
      </c>
      <c r="F59" s="177" t="s">
        <v>13705</v>
      </c>
      <c r="G59" s="177" t="s">
        <v>13706</v>
      </c>
      <c r="H59" s="177" t="s">
        <v>13707</v>
      </c>
      <c r="I59" s="177" t="s">
        <v>13708</v>
      </c>
      <c r="J59" s="177" t="s">
        <v>13709</v>
      </c>
      <c r="K59" s="177" t="s">
        <v>13710</v>
      </c>
      <c r="L59" s="177" t="s">
        <v>13711</v>
      </c>
      <c r="M59" s="175" t="s">
        <v>13712</v>
      </c>
      <c r="N59" s="176" t="s">
        <v>13713</v>
      </c>
    </row>
    <row r="60" spans="1:14">
      <c r="A60" s="99"/>
      <c r="C60" s="177" t="s">
        <v>13077</v>
      </c>
      <c r="D60" s="177" t="s">
        <v>13714</v>
      </c>
      <c r="E60" s="177" t="s">
        <v>13715</v>
      </c>
      <c r="F60" s="177" t="s">
        <v>13716</v>
      </c>
      <c r="G60" s="177" t="s">
        <v>13717</v>
      </c>
      <c r="H60" s="177" t="s">
        <v>13718</v>
      </c>
      <c r="I60" s="177" t="s">
        <v>13719</v>
      </c>
      <c r="J60" s="177" t="s">
        <v>13720</v>
      </c>
      <c r="K60" s="177" t="s">
        <v>13721</v>
      </c>
      <c r="L60" s="177" t="s">
        <v>13722</v>
      </c>
      <c r="M60" s="175" t="s">
        <v>13723</v>
      </c>
      <c r="N60" s="176" t="s">
        <v>13724</v>
      </c>
    </row>
    <row r="61" spans="1:14">
      <c r="A61" s="99"/>
      <c r="C61" s="177" t="s">
        <v>13078</v>
      </c>
      <c r="D61" s="177" t="s">
        <v>13725</v>
      </c>
      <c r="E61" s="177" t="s">
        <v>13726</v>
      </c>
      <c r="F61" s="452" t="s">
        <v>13727</v>
      </c>
      <c r="G61" s="175" t="s">
        <v>13728</v>
      </c>
      <c r="H61" s="175" t="s">
        <v>13729</v>
      </c>
      <c r="I61" s="175" t="s">
        <v>13730</v>
      </c>
      <c r="J61" s="175" t="s">
        <v>13727</v>
      </c>
      <c r="K61" s="175" t="s">
        <v>13731</v>
      </c>
      <c r="L61" s="175" t="s">
        <v>13732</v>
      </c>
      <c r="M61" s="175" t="s">
        <v>13733</v>
      </c>
      <c r="N61" s="176" t="s">
        <v>13734</v>
      </c>
    </row>
    <row r="62" spans="1:14">
      <c r="A62" s="99"/>
      <c r="C62" s="177" t="s">
        <v>13079</v>
      </c>
      <c r="D62" s="177" t="s">
        <v>13735</v>
      </c>
      <c r="E62" s="177" t="s">
        <v>13736</v>
      </c>
      <c r="F62" s="177" t="s">
        <v>13737</v>
      </c>
      <c r="G62" s="177" t="s">
        <v>13738</v>
      </c>
      <c r="H62" s="177" t="s">
        <v>13739</v>
      </c>
      <c r="I62" s="177" t="s">
        <v>13740</v>
      </c>
      <c r="J62" s="177" t="s">
        <v>13737</v>
      </c>
      <c r="K62" s="177" t="s">
        <v>13741</v>
      </c>
      <c r="L62" s="177" t="s">
        <v>13742</v>
      </c>
      <c r="M62" s="175" t="s">
        <v>13743</v>
      </c>
      <c r="N62" s="176" t="s">
        <v>13744</v>
      </c>
    </row>
    <row r="63" spans="1:14">
      <c r="A63" s="99"/>
      <c r="C63" s="177" t="s">
        <v>13080</v>
      </c>
      <c r="D63" s="177" t="s">
        <v>13745</v>
      </c>
      <c r="E63" s="177" t="s">
        <v>13746</v>
      </c>
      <c r="F63" s="452" t="s">
        <v>13747</v>
      </c>
      <c r="G63" s="175" t="s">
        <v>13748</v>
      </c>
      <c r="H63" s="175" t="s">
        <v>13749</v>
      </c>
      <c r="I63" s="175" t="s">
        <v>13750</v>
      </c>
      <c r="J63" s="175" t="s">
        <v>13747</v>
      </c>
      <c r="K63" s="175" t="s">
        <v>13751</v>
      </c>
      <c r="L63" s="175" t="s">
        <v>13752</v>
      </c>
      <c r="M63" s="175" t="s">
        <v>13753</v>
      </c>
      <c r="N63" s="176" t="s">
        <v>13754</v>
      </c>
    </row>
    <row r="64" spans="1:14">
      <c r="A64" s="99"/>
      <c r="C64" s="177" t="s">
        <v>13081</v>
      </c>
      <c r="D64" s="177" t="s">
        <v>13755</v>
      </c>
      <c r="E64" s="177" t="s">
        <v>13756</v>
      </c>
      <c r="F64" s="177" t="s">
        <v>13757</v>
      </c>
      <c r="G64" s="177" t="s">
        <v>13758</v>
      </c>
      <c r="H64" s="177" t="s">
        <v>13759</v>
      </c>
      <c r="I64" s="177" t="s">
        <v>13760</v>
      </c>
      <c r="J64" s="177" t="s">
        <v>13757</v>
      </c>
      <c r="K64" s="177" t="s">
        <v>13761</v>
      </c>
      <c r="L64" s="177" t="s">
        <v>13762</v>
      </c>
      <c r="M64" s="175" t="s">
        <v>13763</v>
      </c>
      <c r="N64" s="176" t="s">
        <v>13764</v>
      </c>
    </row>
    <row r="65" spans="1:14">
      <c r="A65" s="99"/>
      <c r="C65" s="177" t="s">
        <v>13082</v>
      </c>
      <c r="D65" s="177" t="s">
        <v>13765</v>
      </c>
      <c r="E65" s="177" t="s">
        <v>13766</v>
      </c>
      <c r="F65" s="177" t="s">
        <v>13767</v>
      </c>
      <c r="G65" s="177" t="s">
        <v>13768</v>
      </c>
      <c r="H65" s="177" t="s">
        <v>13769</v>
      </c>
      <c r="I65" s="177" t="s">
        <v>13770</v>
      </c>
      <c r="J65" s="177" t="s">
        <v>13767</v>
      </c>
      <c r="K65" s="177" t="s">
        <v>13771</v>
      </c>
      <c r="L65" s="177" t="s">
        <v>13772</v>
      </c>
      <c r="M65" s="175" t="s">
        <v>13773</v>
      </c>
      <c r="N65" s="176" t="s">
        <v>13774</v>
      </c>
    </row>
    <row r="66" spans="1:14">
      <c r="A66" s="99"/>
      <c r="C66" s="177" t="s">
        <v>13083</v>
      </c>
      <c r="D66" s="177" t="s">
        <v>13775</v>
      </c>
      <c r="E66" s="177" t="s">
        <v>13776</v>
      </c>
      <c r="F66" s="177" t="s">
        <v>13777</v>
      </c>
      <c r="G66" s="177" t="s">
        <v>13778</v>
      </c>
      <c r="H66" s="177" t="s">
        <v>13779</v>
      </c>
      <c r="I66" s="177" t="s">
        <v>13780</v>
      </c>
      <c r="J66" s="177" t="s">
        <v>13777</v>
      </c>
      <c r="K66" s="177" t="s">
        <v>13781</v>
      </c>
      <c r="L66" s="177" t="s">
        <v>13782</v>
      </c>
      <c r="M66" s="175" t="s">
        <v>13783</v>
      </c>
      <c r="N66" s="176" t="s">
        <v>13784</v>
      </c>
    </row>
    <row r="67" spans="1:14">
      <c r="A67" s="99"/>
      <c r="C67" s="177" t="s">
        <v>13084</v>
      </c>
      <c r="D67" s="177" t="s">
        <v>13785</v>
      </c>
      <c r="E67" s="177" t="s">
        <v>13786</v>
      </c>
      <c r="F67" s="177" t="s">
        <v>13787</v>
      </c>
      <c r="G67" s="177" t="s">
        <v>13788</v>
      </c>
      <c r="H67" s="177" t="s">
        <v>13789</v>
      </c>
      <c r="I67" s="177" t="s">
        <v>13790</v>
      </c>
      <c r="J67" s="177" t="s">
        <v>13787</v>
      </c>
      <c r="K67" s="177" t="s">
        <v>13791</v>
      </c>
      <c r="L67" s="177" t="s">
        <v>13792</v>
      </c>
      <c r="M67" s="175" t="s">
        <v>13793</v>
      </c>
      <c r="N67" s="176" t="s">
        <v>13794</v>
      </c>
    </row>
    <row r="68" spans="1:14">
      <c r="A68" s="99"/>
      <c r="C68" s="177" t="s">
        <v>13085</v>
      </c>
      <c r="D68" s="177" t="s">
        <v>13795</v>
      </c>
      <c r="E68" s="177" t="s">
        <v>13796</v>
      </c>
      <c r="F68" s="177" t="s">
        <v>13797</v>
      </c>
      <c r="G68" s="177" t="s">
        <v>13798</v>
      </c>
      <c r="H68" s="177" t="s">
        <v>13799</v>
      </c>
      <c r="I68" s="177" t="s">
        <v>13800</v>
      </c>
      <c r="J68" s="177" t="s">
        <v>13797</v>
      </c>
      <c r="K68" s="177" t="s">
        <v>13801</v>
      </c>
      <c r="L68" s="177" t="s">
        <v>13802</v>
      </c>
      <c r="M68" s="175" t="s">
        <v>13803</v>
      </c>
      <c r="N68" s="176" t="s">
        <v>13804</v>
      </c>
    </row>
    <row r="69" spans="1:14">
      <c r="A69" s="99"/>
      <c r="C69" s="177" t="s">
        <v>13086</v>
      </c>
      <c r="D69" s="177" t="s">
        <v>13805</v>
      </c>
      <c r="E69" s="177" t="s">
        <v>13806</v>
      </c>
      <c r="F69" s="177" t="s">
        <v>13807</v>
      </c>
      <c r="G69" s="177" t="s">
        <v>13808</v>
      </c>
      <c r="H69" s="177" t="s">
        <v>13809</v>
      </c>
      <c r="I69" s="177" t="s">
        <v>13810</v>
      </c>
      <c r="J69" s="177" t="s">
        <v>13807</v>
      </c>
      <c r="K69" s="177" t="s">
        <v>13811</v>
      </c>
      <c r="L69" s="177" t="s">
        <v>13812</v>
      </c>
      <c r="M69" s="175" t="s">
        <v>13813</v>
      </c>
      <c r="N69" s="176" t="s">
        <v>13814</v>
      </c>
    </row>
    <row r="70" spans="1:14">
      <c r="A70" s="99"/>
      <c r="C70" s="177" t="s">
        <v>13087</v>
      </c>
      <c r="D70" s="177" t="s">
        <v>13815</v>
      </c>
      <c r="E70" s="177" t="s">
        <v>13816</v>
      </c>
      <c r="F70" s="177" t="s">
        <v>13817</v>
      </c>
      <c r="G70" s="177" t="s">
        <v>13818</v>
      </c>
      <c r="H70" s="177" t="s">
        <v>13819</v>
      </c>
      <c r="I70" s="177" t="s">
        <v>13820</v>
      </c>
      <c r="J70" s="177" t="s">
        <v>13817</v>
      </c>
      <c r="K70" s="177" t="s">
        <v>13821</v>
      </c>
      <c r="L70" s="177" t="s">
        <v>13822</v>
      </c>
      <c r="M70" s="175" t="s">
        <v>13823</v>
      </c>
      <c r="N70" s="176" t="s">
        <v>13824</v>
      </c>
    </row>
    <row r="71" spans="1:14">
      <c r="A71" s="99"/>
      <c r="C71" s="177" t="s">
        <v>13088</v>
      </c>
      <c r="D71" s="177" t="s">
        <v>13825</v>
      </c>
      <c r="E71" s="177" t="s">
        <v>13826</v>
      </c>
      <c r="F71" s="452" t="s">
        <v>13827</v>
      </c>
      <c r="G71" s="175" t="s">
        <v>13828</v>
      </c>
      <c r="H71" s="175" t="s">
        <v>13829</v>
      </c>
      <c r="I71" s="175" t="s">
        <v>13830</v>
      </c>
      <c r="J71" s="175" t="s">
        <v>13827</v>
      </c>
      <c r="K71" s="175" t="s">
        <v>13831</v>
      </c>
      <c r="L71" s="175" t="s">
        <v>13832</v>
      </c>
      <c r="M71" s="175" t="s">
        <v>13833</v>
      </c>
      <c r="N71" s="176" t="s">
        <v>13834</v>
      </c>
    </row>
    <row r="72" spans="1:14">
      <c r="A72" s="99"/>
      <c r="C72" s="177" t="s">
        <v>13089</v>
      </c>
      <c r="D72" s="177" t="s">
        <v>13835</v>
      </c>
      <c r="E72" s="177" t="s">
        <v>13836</v>
      </c>
      <c r="F72" s="177" t="s">
        <v>13837</v>
      </c>
      <c r="G72" s="177" t="s">
        <v>13838</v>
      </c>
      <c r="H72" s="177" t="s">
        <v>13839</v>
      </c>
      <c r="I72" s="177" t="s">
        <v>13840</v>
      </c>
      <c r="J72" s="177" t="s">
        <v>13837</v>
      </c>
      <c r="K72" s="177" t="s">
        <v>13841</v>
      </c>
      <c r="L72" s="177" t="s">
        <v>13842</v>
      </c>
      <c r="M72" s="175" t="s">
        <v>13843</v>
      </c>
      <c r="N72" s="176" t="s">
        <v>13844</v>
      </c>
    </row>
    <row r="73" spans="1:14">
      <c r="A73" s="99"/>
      <c r="C73" s="177" t="s">
        <v>13090</v>
      </c>
      <c r="D73" s="177" t="s">
        <v>13845</v>
      </c>
      <c r="E73" s="177" t="s">
        <v>13846</v>
      </c>
      <c r="F73" s="177" t="s">
        <v>13847</v>
      </c>
      <c r="G73" s="177" t="s">
        <v>13848</v>
      </c>
      <c r="H73" s="177" t="s">
        <v>13849</v>
      </c>
      <c r="I73" s="177" t="s">
        <v>13850</v>
      </c>
      <c r="J73" s="177" t="s">
        <v>13851</v>
      </c>
      <c r="K73" s="177" t="s">
        <v>13852</v>
      </c>
      <c r="L73" s="177" t="s">
        <v>13853</v>
      </c>
      <c r="M73" s="175" t="s">
        <v>13854</v>
      </c>
      <c r="N73" s="176" t="s">
        <v>13855</v>
      </c>
    </row>
    <row r="74" spans="1:14">
      <c r="A74" s="99"/>
      <c r="C74" s="177" t="s">
        <v>13091</v>
      </c>
      <c r="D74" s="177" t="s">
        <v>13856</v>
      </c>
      <c r="E74" s="177" t="s">
        <v>13857</v>
      </c>
      <c r="F74" s="177" t="s">
        <v>13858</v>
      </c>
      <c r="G74" s="177" t="s">
        <v>13859</v>
      </c>
      <c r="H74" s="177" t="s">
        <v>13860</v>
      </c>
      <c r="I74" s="177" t="s">
        <v>13861</v>
      </c>
      <c r="J74" s="177" t="s">
        <v>13862</v>
      </c>
      <c r="K74" s="177" t="s">
        <v>13863</v>
      </c>
      <c r="L74" s="177" t="s">
        <v>13864</v>
      </c>
      <c r="M74" s="175" t="s">
        <v>13865</v>
      </c>
      <c r="N74" s="176" t="s">
        <v>13866</v>
      </c>
    </row>
    <row r="75" spans="1:14">
      <c r="A75" s="99"/>
      <c r="C75" s="177" t="s">
        <v>13092</v>
      </c>
      <c r="D75" s="177" t="s">
        <v>13867</v>
      </c>
      <c r="E75" s="177" t="s">
        <v>13868</v>
      </c>
      <c r="F75" s="177" t="s">
        <v>13869</v>
      </c>
      <c r="G75" s="177" t="s">
        <v>13870</v>
      </c>
      <c r="H75" s="177" t="s">
        <v>13871</v>
      </c>
      <c r="I75" s="177" t="s">
        <v>13872</v>
      </c>
      <c r="J75" s="177" t="s">
        <v>13869</v>
      </c>
      <c r="K75" s="177" t="s">
        <v>13873</v>
      </c>
      <c r="L75" s="177" t="s">
        <v>13874</v>
      </c>
      <c r="M75" s="175" t="s">
        <v>13875</v>
      </c>
      <c r="N75" s="176" t="s">
        <v>13876</v>
      </c>
    </row>
    <row r="76" spans="1:14">
      <c r="A76" s="99"/>
      <c r="C76" s="177" t="s">
        <v>13093</v>
      </c>
      <c r="D76" s="177" t="s">
        <v>13877</v>
      </c>
      <c r="E76" s="177" t="s">
        <v>13878</v>
      </c>
      <c r="F76" s="177" t="s">
        <v>13879</v>
      </c>
      <c r="G76" s="177" t="s">
        <v>13880</v>
      </c>
      <c r="H76" s="177" t="s">
        <v>13881</v>
      </c>
      <c r="I76" s="177" t="s">
        <v>13882</v>
      </c>
      <c r="J76" s="177" t="s">
        <v>13879</v>
      </c>
      <c r="K76" s="177" t="s">
        <v>13883</v>
      </c>
      <c r="L76" s="177" t="s">
        <v>13884</v>
      </c>
      <c r="M76" s="175" t="s">
        <v>13885</v>
      </c>
      <c r="N76" s="176" t="s">
        <v>13886</v>
      </c>
    </row>
    <row r="77" spans="1:14">
      <c r="A77" s="99"/>
      <c r="C77" s="177" t="s">
        <v>13094</v>
      </c>
      <c r="D77" s="177" t="s">
        <v>13887</v>
      </c>
      <c r="E77" s="177" t="s">
        <v>13888</v>
      </c>
      <c r="F77" s="177" t="s">
        <v>13889</v>
      </c>
      <c r="G77" s="177" t="s">
        <v>13890</v>
      </c>
      <c r="H77" s="177" t="s">
        <v>13891</v>
      </c>
      <c r="I77" s="177" t="s">
        <v>13892</v>
      </c>
      <c r="J77" s="177" t="s">
        <v>13889</v>
      </c>
      <c r="K77" s="177" t="s">
        <v>13893</v>
      </c>
      <c r="L77" s="177" t="s">
        <v>13894</v>
      </c>
      <c r="M77" s="175" t="s">
        <v>13895</v>
      </c>
      <c r="N77" s="176" t="s">
        <v>13896</v>
      </c>
    </row>
    <row r="78" spans="1:14">
      <c r="A78" s="99"/>
      <c r="C78" s="177" t="s">
        <v>13095</v>
      </c>
      <c r="D78" s="177" t="s">
        <v>13897</v>
      </c>
      <c r="E78" s="177" t="s">
        <v>13898</v>
      </c>
      <c r="F78" s="177" t="s">
        <v>13899</v>
      </c>
      <c r="G78" s="177" t="s">
        <v>13900</v>
      </c>
      <c r="H78" s="177" t="s">
        <v>13901</v>
      </c>
      <c r="I78" s="177" t="s">
        <v>13902</v>
      </c>
      <c r="J78" s="177" t="s">
        <v>13899</v>
      </c>
      <c r="K78" s="177" t="s">
        <v>13903</v>
      </c>
      <c r="L78" s="177" t="s">
        <v>13904</v>
      </c>
      <c r="M78" s="175" t="s">
        <v>13905</v>
      </c>
      <c r="N78" s="176" t="s">
        <v>13906</v>
      </c>
    </row>
    <row r="79" spans="1:14">
      <c r="A79" s="99"/>
      <c r="C79" s="177" t="s">
        <v>13096</v>
      </c>
      <c r="D79" s="177" t="s">
        <v>13907</v>
      </c>
      <c r="E79" s="177" t="s">
        <v>13908</v>
      </c>
      <c r="F79" s="177" t="s">
        <v>13909</v>
      </c>
      <c r="G79" s="177" t="s">
        <v>13910</v>
      </c>
      <c r="H79" s="177" t="s">
        <v>13911</v>
      </c>
      <c r="I79" s="177" t="s">
        <v>13912</v>
      </c>
      <c r="J79" s="177" t="s">
        <v>13913</v>
      </c>
      <c r="K79" s="177" t="s">
        <v>13914</v>
      </c>
      <c r="L79" s="177" t="s">
        <v>13915</v>
      </c>
      <c r="M79" s="175" t="s">
        <v>13916</v>
      </c>
      <c r="N79" s="176" t="s">
        <v>13917</v>
      </c>
    </row>
    <row r="80" spans="1:14">
      <c r="A80" s="99"/>
      <c r="C80" s="177" t="s">
        <v>13097</v>
      </c>
      <c r="D80" s="177" t="s">
        <v>13918</v>
      </c>
      <c r="E80" s="177" t="s">
        <v>13919</v>
      </c>
      <c r="F80" s="177" t="s">
        <v>13920</v>
      </c>
      <c r="G80" s="177" t="s">
        <v>13921</v>
      </c>
      <c r="H80" s="177" t="s">
        <v>13922</v>
      </c>
      <c r="I80" s="177" t="s">
        <v>13923</v>
      </c>
      <c r="J80" s="177" t="s">
        <v>13920</v>
      </c>
      <c r="K80" s="177" t="s">
        <v>13924</v>
      </c>
      <c r="L80" s="177" t="s">
        <v>13925</v>
      </c>
      <c r="M80" s="175" t="s">
        <v>13926</v>
      </c>
      <c r="N80" s="176" t="s">
        <v>13927</v>
      </c>
    </row>
    <row r="81" spans="1:14">
      <c r="A81" s="99"/>
      <c r="C81" s="177" t="s">
        <v>13098</v>
      </c>
      <c r="D81" s="177" t="s">
        <v>13928</v>
      </c>
      <c r="E81" s="177" t="s">
        <v>13929</v>
      </c>
      <c r="F81" s="452" t="s">
        <v>13930</v>
      </c>
      <c r="G81" s="175" t="s">
        <v>13931</v>
      </c>
      <c r="H81" s="175" t="s">
        <v>13932</v>
      </c>
      <c r="I81" s="175" t="s">
        <v>13933</v>
      </c>
      <c r="J81" s="175" t="s">
        <v>13930</v>
      </c>
      <c r="K81" s="175" t="s">
        <v>13934</v>
      </c>
      <c r="L81" s="175" t="s">
        <v>13935</v>
      </c>
      <c r="M81" s="175" t="s">
        <v>13936</v>
      </c>
      <c r="N81" s="176" t="s">
        <v>13937</v>
      </c>
    </row>
    <row r="82" spans="1:14">
      <c r="A82" s="99"/>
      <c r="C82" s="177" t="s">
        <v>13099</v>
      </c>
      <c r="D82" s="177" t="s">
        <v>13938</v>
      </c>
      <c r="E82" s="177" t="s">
        <v>13939</v>
      </c>
      <c r="F82" s="177" t="s">
        <v>13940</v>
      </c>
      <c r="G82" s="177" t="s">
        <v>13941</v>
      </c>
      <c r="H82" s="177" t="s">
        <v>13942</v>
      </c>
      <c r="I82" s="177" t="s">
        <v>13943</v>
      </c>
      <c r="J82" s="177" t="s">
        <v>13944</v>
      </c>
      <c r="K82" s="177" t="s">
        <v>13945</v>
      </c>
      <c r="L82" s="177" t="s">
        <v>13946</v>
      </c>
      <c r="M82" s="175" t="s">
        <v>13947</v>
      </c>
      <c r="N82" s="176" t="s">
        <v>13948</v>
      </c>
    </row>
    <row r="83" spans="1:14">
      <c r="A83" s="99"/>
      <c r="C83" s="177" t="s">
        <v>13100</v>
      </c>
      <c r="D83" s="177" t="s">
        <v>13949</v>
      </c>
      <c r="E83" s="177" t="s">
        <v>13950</v>
      </c>
      <c r="F83" s="177" t="s">
        <v>13951</v>
      </c>
      <c r="G83" s="177" t="s">
        <v>13952</v>
      </c>
      <c r="H83" s="177" t="s">
        <v>13953</v>
      </c>
      <c r="I83" s="177" t="s">
        <v>13954</v>
      </c>
      <c r="J83" s="177" t="s">
        <v>13951</v>
      </c>
      <c r="K83" s="177" t="s">
        <v>13955</v>
      </c>
      <c r="L83" s="177" t="s">
        <v>13956</v>
      </c>
      <c r="M83" s="175" t="s">
        <v>13957</v>
      </c>
      <c r="N83" s="176" t="s">
        <v>13958</v>
      </c>
    </row>
    <row r="84" spans="1:14">
      <c r="A84" s="99"/>
      <c r="C84" s="177" t="s">
        <v>13101</v>
      </c>
      <c r="D84" s="177" t="s">
        <v>13959</v>
      </c>
      <c r="E84" s="177" t="s">
        <v>13960</v>
      </c>
      <c r="F84" s="177" t="s">
        <v>13961</v>
      </c>
      <c r="G84" s="177" t="s">
        <v>13962</v>
      </c>
      <c r="H84" s="177" t="s">
        <v>13963</v>
      </c>
      <c r="I84" s="177" t="s">
        <v>13964</v>
      </c>
      <c r="J84" s="177" t="s">
        <v>13965</v>
      </c>
      <c r="K84" s="177" t="s">
        <v>13966</v>
      </c>
      <c r="L84" s="177" t="s">
        <v>13967</v>
      </c>
      <c r="M84" s="175" t="s">
        <v>13968</v>
      </c>
      <c r="N84" s="176" t="s">
        <v>13969</v>
      </c>
    </row>
    <row r="85" spans="1:14">
      <c r="A85" s="99"/>
      <c r="C85" s="177" t="s">
        <v>13102</v>
      </c>
      <c r="D85" s="177" t="s">
        <v>13970</v>
      </c>
      <c r="E85" s="177" t="s">
        <v>13971</v>
      </c>
      <c r="F85" s="177" t="s">
        <v>13972</v>
      </c>
      <c r="G85" s="177" t="s">
        <v>13973</v>
      </c>
      <c r="H85" s="177" t="s">
        <v>13974</v>
      </c>
      <c r="I85" s="177" t="s">
        <v>13975</v>
      </c>
      <c r="J85" s="177" t="s">
        <v>13976</v>
      </c>
      <c r="K85" s="177" t="s">
        <v>13977</v>
      </c>
      <c r="L85" s="177" t="s">
        <v>13978</v>
      </c>
      <c r="M85" s="175" t="s">
        <v>13979</v>
      </c>
      <c r="N85" s="176" t="s">
        <v>13980</v>
      </c>
    </row>
    <row r="86" spans="1:14">
      <c r="A86" s="99"/>
      <c r="C86" s="177" t="s">
        <v>13103</v>
      </c>
      <c r="D86" s="177" t="s">
        <v>13981</v>
      </c>
      <c r="E86" s="177" t="s">
        <v>13982</v>
      </c>
      <c r="F86" s="177" t="s">
        <v>13983</v>
      </c>
      <c r="G86" s="177" t="s">
        <v>13984</v>
      </c>
      <c r="H86" s="177" t="s">
        <v>13985</v>
      </c>
      <c r="I86" s="177" t="s">
        <v>13986</v>
      </c>
      <c r="J86" s="177" t="s">
        <v>13987</v>
      </c>
      <c r="K86" s="177" t="s">
        <v>13988</v>
      </c>
      <c r="L86" s="177" t="s">
        <v>13989</v>
      </c>
      <c r="M86" s="175" t="s">
        <v>13990</v>
      </c>
      <c r="N86" s="176" t="s">
        <v>13991</v>
      </c>
    </row>
    <row r="87" spans="1:14">
      <c r="A87" s="99"/>
      <c r="C87" s="177" t="s">
        <v>13104</v>
      </c>
      <c r="D87" s="177" t="s">
        <v>13992</v>
      </c>
      <c r="E87" s="177" t="s">
        <v>13993</v>
      </c>
      <c r="F87" s="177" t="s">
        <v>13994</v>
      </c>
      <c r="G87" s="177" t="s">
        <v>13995</v>
      </c>
      <c r="H87" s="177" t="s">
        <v>13996</v>
      </c>
      <c r="I87" s="177" t="s">
        <v>13997</v>
      </c>
      <c r="J87" s="177" t="s">
        <v>13998</v>
      </c>
      <c r="K87" s="177" t="s">
        <v>13999</v>
      </c>
      <c r="L87" s="177" t="s">
        <v>14000</v>
      </c>
      <c r="M87" s="175" t="s">
        <v>14001</v>
      </c>
      <c r="N87" s="176" t="s">
        <v>14002</v>
      </c>
    </row>
    <row r="88" spans="1:14">
      <c r="A88" s="99"/>
      <c r="C88" s="177" t="s">
        <v>13105</v>
      </c>
      <c r="D88" s="177" t="s">
        <v>14003</v>
      </c>
      <c r="E88" s="177" t="s">
        <v>14004</v>
      </c>
      <c r="F88" s="177" t="s">
        <v>14005</v>
      </c>
      <c r="G88" s="177" t="s">
        <v>14006</v>
      </c>
      <c r="H88" s="177" t="s">
        <v>14007</v>
      </c>
      <c r="I88" s="177" t="s">
        <v>14008</v>
      </c>
      <c r="J88" s="177" t="s">
        <v>14009</v>
      </c>
      <c r="K88" s="177" t="s">
        <v>14010</v>
      </c>
      <c r="L88" s="177" t="s">
        <v>14011</v>
      </c>
      <c r="M88" s="175" t="s">
        <v>14012</v>
      </c>
      <c r="N88" s="176" t="s">
        <v>14013</v>
      </c>
    </row>
    <row r="89" spans="1:14">
      <c r="A89" s="99"/>
      <c r="C89" s="177" t="s">
        <v>13106</v>
      </c>
      <c r="D89" s="177" t="s">
        <v>14014</v>
      </c>
      <c r="E89" s="177" t="s">
        <v>14015</v>
      </c>
      <c r="F89" s="177" t="s">
        <v>14016</v>
      </c>
      <c r="G89" s="177" t="s">
        <v>14017</v>
      </c>
      <c r="H89" s="177" t="s">
        <v>14018</v>
      </c>
      <c r="I89" s="177" t="s">
        <v>14019</v>
      </c>
      <c r="J89" s="177" t="s">
        <v>14016</v>
      </c>
      <c r="K89" s="177" t="s">
        <v>14020</v>
      </c>
      <c r="L89" s="177" t="s">
        <v>14021</v>
      </c>
      <c r="M89" s="175" t="s">
        <v>14022</v>
      </c>
      <c r="N89" s="176" t="s">
        <v>14023</v>
      </c>
    </row>
    <row r="90" spans="1:14">
      <c r="A90" s="99"/>
      <c r="C90" s="177" t="s">
        <v>13107</v>
      </c>
      <c r="D90" s="177" t="s">
        <v>14024</v>
      </c>
      <c r="E90" s="177" t="s">
        <v>14025</v>
      </c>
      <c r="F90" s="177" t="s">
        <v>14026</v>
      </c>
      <c r="G90" s="177" t="s">
        <v>14027</v>
      </c>
      <c r="H90" s="177" t="s">
        <v>14028</v>
      </c>
      <c r="I90" s="177" t="s">
        <v>14029</v>
      </c>
      <c r="J90" s="177" t="s">
        <v>14026</v>
      </c>
      <c r="K90" s="177" t="s">
        <v>14030</v>
      </c>
      <c r="L90" s="177" t="s">
        <v>14031</v>
      </c>
      <c r="M90" s="175" t="s">
        <v>14032</v>
      </c>
      <c r="N90" s="176" t="s">
        <v>14033</v>
      </c>
    </row>
    <row r="91" spans="1:14">
      <c r="A91" s="99"/>
      <c r="C91" s="177" t="s">
        <v>13108</v>
      </c>
      <c r="D91" s="177" t="s">
        <v>14034</v>
      </c>
      <c r="E91" s="177" t="s">
        <v>14035</v>
      </c>
      <c r="F91" s="177" t="s">
        <v>14036</v>
      </c>
      <c r="G91" s="177" t="s">
        <v>14037</v>
      </c>
      <c r="H91" s="177" t="s">
        <v>14038</v>
      </c>
      <c r="I91" s="177" t="s">
        <v>14039</v>
      </c>
      <c r="J91" s="177" t="s">
        <v>14036</v>
      </c>
      <c r="K91" s="177" t="s">
        <v>14040</v>
      </c>
      <c r="L91" s="177" t="s">
        <v>14041</v>
      </c>
      <c r="M91" s="175" t="s">
        <v>14042</v>
      </c>
      <c r="N91" s="176" t="s">
        <v>14043</v>
      </c>
    </row>
    <row r="92" spans="1:14">
      <c r="A92" s="99"/>
      <c r="C92" s="177" t="s">
        <v>13109</v>
      </c>
      <c r="D92" s="177" t="s">
        <v>14044</v>
      </c>
      <c r="E92" s="177" t="s">
        <v>14045</v>
      </c>
      <c r="F92" s="177" t="s">
        <v>14046</v>
      </c>
      <c r="G92" s="177" t="s">
        <v>14047</v>
      </c>
      <c r="H92" s="177" t="s">
        <v>14048</v>
      </c>
      <c r="I92" s="177" t="s">
        <v>14049</v>
      </c>
      <c r="J92" s="177" t="s">
        <v>14046</v>
      </c>
      <c r="K92" s="177" t="s">
        <v>14050</v>
      </c>
      <c r="L92" s="177" t="s">
        <v>14051</v>
      </c>
      <c r="M92" s="175" t="s">
        <v>14052</v>
      </c>
      <c r="N92" s="176" t="s">
        <v>14053</v>
      </c>
    </row>
    <row r="93" spans="1:14">
      <c r="A93" s="99"/>
      <c r="C93" s="177" t="s">
        <v>13110</v>
      </c>
      <c r="D93" s="177" t="s">
        <v>14054</v>
      </c>
      <c r="E93" s="177" t="s">
        <v>14055</v>
      </c>
      <c r="F93" s="177" t="s">
        <v>14056</v>
      </c>
      <c r="G93" s="177" t="s">
        <v>14057</v>
      </c>
      <c r="H93" s="177" t="s">
        <v>14058</v>
      </c>
      <c r="I93" s="177" t="s">
        <v>14059</v>
      </c>
      <c r="J93" s="177" t="s">
        <v>14056</v>
      </c>
      <c r="K93" s="177" t="s">
        <v>14060</v>
      </c>
      <c r="L93" s="177" t="s">
        <v>14061</v>
      </c>
      <c r="M93" s="175" t="s">
        <v>14062</v>
      </c>
      <c r="N93" s="176" t="s">
        <v>14063</v>
      </c>
    </row>
    <row r="94" spans="1:14">
      <c r="A94" s="99"/>
      <c r="C94" s="177" t="s">
        <v>13111</v>
      </c>
      <c r="D94" s="177" t="s">
        <v>14064</v>
      </c>
      <c r="E94" s="177" t="s">
        <v>14065</v>
      </c>
      <c r="F94" s="177" t="s">
        <v>14066</v>
      </c>
      <c r="G94" s="177" t="s">
        <v>14067</v>
      </c>
      <c r="H94" s="177" t="s">
        <v>14068</v>
      </c>
      <c r="I94" s="177" t="s">
        <v>14069</v>
      </c>
      <c r="J94" s="177" t="s">
        <v>14066</v>
      </c>
      <c r="K94" s="177" t="s">
        <v>14070</v>
      </c>
      <c r="L94" s="177" t="s">
        <v>14071</v>
      </c>
      <c r="M94" s="175" t="s">
        <v>14072</v>
      </c>
      <c r="N94" s="176" t="s">
        <v>14073</v>
      </c>
    </row>
    <row r="95" spans="1:14">
      <c r="A95" s="99"/>
      <c r="C95" s="177" t="s">
        <v>13112</v>
      </c>
      <c r="D95" s="177" t="s">
        <v>14074</v>
      </c>
      <c r="E95" s="177" t="s">
        <v>14075</v>
      </c>
      <c r="F95" s="177" t="s">
        <v>14076</v>
      </c>
      <c r="G95" s="177" t="s">
        <v>14077</v>
      </c>
      <c r="H95" s="177" t="s">
        <v>14078</v>
      </c>
      <c r="I95" s="177" t="s">
        <v>14079</v>
      </c>
      <c r="J95" s="177" t="s">
        <v>14076</v>
      </c>
      <c r="K95" s="177" t="s">
        <v>14080</v>
      </c>
      <c r="L95" s="177" t="s">
        <v>14081</v>
      </c>
      <c r="M95" s="175" t="s">
        <v>14082</v>
      </c>
      <c r="N95" s="176" t="s">
        <v>14083</v>
      </c>
    </row>
    <row r="96" spans="1:14">
      <c r="A96" s="99"/>
      <c r="C96" s="177" t="s">
        <v>13113</v>
      </c>
      <c r="D96" s="177" t="s">
        <v>14084</v>
      </c>
      <c r="E96" s="177" t="s">
        <v>14085</v>
      </c>
      <c r="F96" s="177" t="s">
        <v>14086</v>
      </c>
      <c r="G96" s="177" t="s">
        <v>14087</v>
      </c>
      <c r="H96" s="177" t="s">
        <v>14088</v>
      </c>
      <c r="I96" s="177" t="s">
        <v>14089</v>
      </c>
      <c r="J96" s="177" t="s">
        <v>14090</v>
      </c>
      <c r="K96" s="177" t="s">
        <v>14091</v>
      </c>
      <c r="L96" s="177" t="s">
        <v>14092</v>
      </c>
      <c r="M96" s="175" t="s">
        <v>14093</v>
      </c>
      <c r="N96" s="176" t="s">
        <v>14094</v>
      </c>
    </row>
    <row r="97" spans="1:14">
      <c r="A97" s="99"/>
      <c r="C97" s="177" t="s">
        <v>13114</v>
      </c>
      <c r="D97" s="177" t="s">
        <v>14095</v>
      </c>
      <c r="E97" s="177" t="s">
        <v>14096</v>
      </c>
      <c r="F97" s="177" t="s">
        <v>14097</v>
      </c>
      <c r="G97" s="177" t="s">
        <v>14098</v>
      </c>
      <c r="H97" s="177" t="s">
        <v>14099</v>
      </c>
      <c r="I97" s="177" t="s">
        <v>14100</v>
      </c>
      <c r="J97" s="177" t="s">
        <v>14097</v>
      </c>
      <c r="K97" s="177" t="s">
        <v>14101</v>
      </c>
      <c r="L97" s="177" t="s">
        <v>14102</v>
      </c>
      <c r="M97" s="175" t="s">
        <v>14103</v>
      </c>
      <c r="N97" s="176" t="s">
        <v>14104</v>
      </c>
    </row>
    <row r="98" spans="1:14">
      <c r="A98" s="99"/>
      <c r="C98" s="177" t="s">
        <v>13115</v>
      </c>
      <c r="D98" s="177" t="s">
        <v>14105</v>
      </c>
      <c r="E98" s="177" t="s">
        <v>14106</v>
      </c>
      <c r="F98" s="177" t="s">
        <v>14107</v>
      </c>
      <c r="G98" s="177" t="s">
        <v>14108</v>
      </c>
      <c r="H98" s="177" t="s">
        <v>14109</v>
      </c>
      <c r="I98" s="177" t="s">
        <v>14110</v>
      </c>
      <c r="J98" s="177" t="s">
        <v>14107</v>
      </c>
      <c r="K98" s="177" t="s">
        <v>14111</v>
      </c>
      <c r="L98" s="177" t="s">
        <v>14112</v>
      </c>
      <c r="M98" s="175" t="s">
        <v>14113</v>
      </c>
      <c r="N98" s="176" t="s">
        <v>14114</v>
      </c>
    </row>
    <row r="99" spans="1:14">
      <c r="A99" s="99"/>
      <c r="C99" s="177" t="s">
        <v>13116</v>
      </c>
      <c r="D99" s="177" t="s">
        <v>14115</v>
      </c>
      <c r="E99" s="177" t="s">
        <v>14116</v>
      </c>
      <c r="F99" s="177" t="s">
        <v>14117</v>
      </c>
      <c r="G99" s="177" t="s">
        <v>14118</v>
      </c>
      <c r="H99" s="177" t="s">
        <v>14119</v>
      </c>
      <c r="I99" s="177" t="s">
        <v>14120</v>
      </c>
      <c r="J99" s="177" t="s">
        <v>14117</v>
      </c>
      <c r="K99" s="177" t="s">
        <v>14121</v>
      </c>
      <c r="L99" s="177" t="s">
        <v>14122</v>
      </c>
      <c r="M99" s="175" t="s">
        <v>14123</v>
      </c>
      <c r="N99" s="176" t="s">
        <v>14124</v>
      </c>
    </row>
    <row r="100" spans="1:14">
      <c r="A100" s="99"/>
      <c r="C100" s="177" t="s">
        <v>13117</v>
      </c>
      <c r="D100" s="177" t="s">
        <v>14125</v>
      </c>
      <c r="E100" s="177" t="s">
        <v>14126</v>
      </c>
      <c r="F100" s="177" t="s">
        <v>14127</v>
      </c>
      <c r="G100" s="177" t="s">
        <v>14128</v>
      </c>
      <c r="H100" s="177" t="s">
        <v>14129</v>
      </c>
      <c r="I100" s="177" t="s">
        <v>14130</v>
      </c>
      <c r="J100" s="177" t="s">
        <v>14127</v>
      </c>
      <c r="K100" s="177" t="s">
        <v>14131</v>
      </c>
      <c r="L100" s="177" t="s">
        <v>14132</v>
      </c>
      <c r="M100" s="175" t="s">
        <v>14133</v>
      </c>
      <c r="N100" s="176" t="s">
        <v>14134</v>
      </c>
    </row>
    <row r="101" spans="1:14">
      <c r="A101" s="99"/>
      <c r="C101" s="177" t="s">
        <v>13118</v>
      </c>
      <c r="D101" s="177" t="s">
        <v>14135</v>
      </c>
      <c r="E101" s="177" t="s">
        <v>14136</v>
      </c>
      <c r="F101" s="177" t="s">
        <v>14137</v>
      </c>
      <c r="G101" s="177" t="s">
        <v>14138</v>
      </c>
      <c r="H101" s="177" t="s">
        <v>14139</v>
      </c>
      <c r="I101" s="177" t="s">
        <v>14140</v>
      </c>
      <c r="J101" s="177" t="s">
        <v>14137</v>
      </c>
      <c r="K101" s="177" t="s">
        <v>14141</v>
      </c>
      <c r="L101" s="177" t="s">
        <v>14142</v>
      </c>
      <c r="M101" s="175" t="s">
        <v>14143</v>
      </c>
      <c r="N101" s="176" t="s">
        <v>14144</v>
      </c>
    </row>
    <row r="102" spans="1:14">
      <c r="A102" s="99"/>
      <c r="C102" s="177" t="s">
        <v>13119</v>
      </c>
      <c r="D102" s="177" t="s">
        <v>14145</v>
      </c>
      <c r="E102" s="177" t="s">
        <v>14146</v>
      </c>
      <c r="F102" s="177" t="s">
        <v>14147</v>
      </c>
      <c r="G102" s="177" t="s">
        <v>14148</v>
      </c>
      <c r="H102" s="177" t="s">
        <v>14149</v>
      </c>
      <c r="I102" s="177" t="s">
        <v>14150</v>
      </c>
      <c r="J102" s="177" t="s">
        <v>14151</v>
      </c>
      <c r="K102" s="177" t="s">
        <v>14152</v>
      </c>
      <c r="L102" s="177" t="s">
        <v>14153</v>
      </c>
      <c r="M102" s="175" t="s">
        <v>14154</v>
      </c>
      <c r="N102" s="176" t="s">
        <v>14155</v>
      </c>
    </row>
    <row r="103" spans="1:14">
      <c r="A103" s="99"/>
      <c r="C103" s="177" t="s">
        <v>13120</v>
      </c>
      <c r="D103" s="177" t="s">
        <v>14156</v>
      </c>
      <c r="E103" s="177" t="s">
        <v>14157</v>
      </c>
      <c r="F103" s="177" t="s">
        <v>14158</v>
      </c>
      <c r="G103" s="177" t="s">
        <v>14159</v>
      </c>
      <c r="H103" s="177" t="s">
        <v>14160</v>
      </c>
      <c r="I103" s="177" t="s">
        <v>14161</v>
      </c>
      <c r="J103" s="177" t="s">
        <v>14158</v>
      </c>
      <c r="K103" s="177" t="s">
        <v>14162</v>
      </c>
      <c r="L103" s="177" t="s">
        <v>14163</v>
      </c>
      <c r="M103" s="175" t="s">
        <v>14164</v>
      </c>
      <c r="N103" s="176" t="s">
        <v>14165</v>
      </c>
    </row>
    <row r="104" spans="1:14">
      <c r="A104" s="99"/>
      <c r="C104" s="177" t="s">
        <v>13121</v>
      </c>
      <c r="D104" s="177" t="s">
        <v>14166</v>
      </c>
      <c r="E104" s="177" t="s">
        <v>14167</v>
      </c>
      <c r="F104" s="452" t="s">
        <v>14168</v>
      </c>
      <c r="G104" s="175" t="s">
        <v>14169</v>
      </c>
      <c r="H104" s="175" t="s">
        <v>14170</v>
      </c>
      <c r="I104" s="175" t="s">
        <v>14171</v>
      </c>
      <c r="J104" s="175" t="s">
        <v>14168</v>
      </c>
      <c r="K104" s="175" t="s">
        <v>14172</v>
      </c>
      <c r="L104" s="175" t="s">
        <v>14173</v>
      </c>
      <c r="M104" s="175" t="s">
        <v>14174</v>
      </c>
      <c r="N104" s="176" t="s">
        <v>14175</v>
      </c>
    </row>
    <row r="105" spans="1:14">
      <c r="A105" s="99"/>
      <c r="C105" s="177" t="s">
        <v>13122</v>
      </c>
      <c r="D105" s="177" t="s">
        <v>14176</v>
      </c>
      <c r="E105" s="177" t="s">
        <v>14177</v>
      </c>
      <c r="F105" s="177" t="s">
        <v>14178</v>
      </c>
      <c r="G105" s="177" t="s">
        <v>14179</v>
      </c>
      <c r="H105" s="177" t="s">
        <v>14180</v>
      </c>
      <c r="I105" s="177" t="s">
        <v>14181</v>
      </c>
      <c r="J105" s="177" t="s">
        <v>14182</v>
      </c>
      <c r="K105" s="177" t="s">
        <v>14183</v>
      </c>
      <c r="L105" s="177" t="s">
        <v>14184</v>
      </c>
      <c r="M105" s="175" t="s">
        <v>14185</v>
      </c>
      <c r="N105" s="176" t="s">
        <v>14186</v>
      </c>
    </row>
    <row r="106" spans="1:14">
      <c r="A106" s="99"/>
      <c r="C106" s="177" t="s">
        <v>13123</v>
      </c>
      <c r="D106" s="177" t="s">
        <v>14187</v>
      </c>
      <c r="E106" s="177" t="s">
        <v>14188</v>
      </c>
      <c r="F106" s="177" t="s">
        <v>14189</v>
      </c>
      <c r="G106" s="177" t="s">
        <v>14190</v>
      </c>
      <c r="H106" s="177" t="s">
        <v>14191</v>
      </c>
      <c r="I106" s="177" t="s">
        <v>14192</v>
      </c>
      <c r="J106" s="177" t="s">
        <v>14193</v>
      </c>
      <c r="K106" s="177" t="s">
        <v>14194</v>
      </c>
      <c r="L106" s="177" t="s">
        <v>14195</v>
      </c>
      <c r="M106" s="175" t="s">
        <v>14196</v>
      </c>
      <c r="N106" s="176" t="s">
        <v>14197</v>
      </c>
    </row>
    <row r="107" spans="1:14">
      <c r="A107" s="99"/>
      <c r="C107" s="177" t="s">
        <v>13124</v>
      </c>
      <c r="D107" s="177" t="s">
        <v>14198</v>
      </c>
      <c r="E107" s="177" t="s">
        <v>14199</v>
      </c>
      <c r="F107" s="177" t="s">
        <v>14200</v>
      </c>
      <c r="G107" s="177" t="s">
        <v>14201</v>
      </c>
      <c r="H107" s="177" t="s">
        <v>14202</v>
      </c>
      <c r="I107" s="177" t="s">
        <v>14203</v>
      </c>
      <c r="J107" s="177" t="s">
        <v>14204</v>
      </c>
      <c r="K107" s="177" t="s">
        <v>14205</v>
      </c>
      <c r="L107" s="177" t="s">
        <v>14206</v>
      </c>
      <c r="M107" s="175" t="s">
        <v>14207</v>
      </c>
      <c r="N107" s="176" t="s">
        <v>14208</v>
      </c>
    </row>
    <row r="108" spans="1:14">
      <c r="A108" s="99"/>
      <c r="C108" s="177" t="s">
        <v>13125</v>
      </c>
      <c r="D108" s="177" t="s">
        <v>14209</v>
      </c>
      <c r="E108" s="177" t="s">
        <v>14210</v>
      </c>
      <c r="F108" s="177" t="s">
        <v>14211</v>
      </c>
      <c r="G108" s="177" t="s">
        <v>14212</v>
      </c>
      <c r="H108" s="177" t="s">
        <v>14213</v>
      </c>
      <c r="I108" s="177" t="s">
        <v>14214</v>
      </c>
      <c r="J108" s="177" t="s">
        <v>14211</v>
      </c>
      <c r="K108" s="177" t="s">
        <v>14215</v>
      </c>
      <c r="L108" s="177" t="s">
        <v>14216</v>
      </c>
      <c r="M108" s="175" t="s">
        <v>14217</v>
      </c>
      <c r="N108" s="176" t="s">
        <v>14218</v>
      </c>
    </row>
    <row r="109" spans="1:14">
      <c r="A109" s="99"/>
      <c r="C109" s="177" t="s">
        <v>13126</v>
      </c>
      <c r="D109" s="177" t="s">
        <v>14219</v>
      </c>
      <c r="E109" s="177" t="s">
        <v>14220</v>
      </c>
      <c r="F109" s="177" t="s">
        <v>14221</v>
      </c>
      <c r="G109" s="177" t="s">
        <v>14222</v>
      </c>
      <c r="H109" s="177" t="s">
        <v>14223</v>
      </c>
      <c r="I109" s="177" t="s">
        <v>14224</v>
      </c>
      <c r="J109" s="177" t="s">
        <v>14221</v>
      </c>
      <c r="K109" s="177" t="s">
        <v>14225</v>
      </c>
      <c r="L109" s="177" t="s">
        <v>14226</v>
      </c>
      <c r="M109" s="175" t="s">
        <v>14227</v>
      </c>
      <c r="N109" s="176" t="s">
        <v>14228</v>
      </c>
    </row>
    <row r="110" spans="1:14">
      <c r="A110" s="99"/>
      <c r="C110" s="177" t="s">
        <v>13127</v>
      </c>
      <c r="D110" s="177" t="s">
        <v>14229</v>
      </c>
      <c r="E110" s="177" t="s">
        <v>14230</v>
      </c>
      <c r="F110" s="177" t="s">
        <v>14231</v>
      </c>
      <c r="G110" s="177" t="s">
        <v>14232</v>
      </c>
      <c r="H110" s="177" t="s">
        <v>14233</v>
      </c>
      <c r="I110" s="177" t="s">
        <v>14234</v>
      </c>
      <c r="J110" s="177" t="s">
        <v>14231</v>
      </c>
      <c r="K110" s="177" t="s">
        <v>14235</v>
      </c>
      <c r="L110" s="177" t="s">
        <v>14236</v>
      </c>
      <c r="M110" s="175" t="s">
        <v>14237</v>
      </c>
      <c r="N110" s="176" t="s">
        <v>14238</v>
      </c>
    </row>
    <row r="111" spans="1:14">
      <c r="A111" s="99"/>
      <c r="C111" s="177" t="s">
        <v>13128</v>
      </c>
      <c r="D111" s="177" t="s">
        <v>14239</v>
      </c>
      <c r="E111" s="177" t="s">
        <v>14240</v>
      </c>
      <c r="F111" s="177" t="s">
        <v>14241</v>
      </c>
      <c r="G111" s="177" t="s">
        <v>14242</v>
      </c>
      <c r="H111" s="177" t="s">
        <v>14243</v>
      </c>
      <c r="I111" s="177" t="s">
        <v>14244</v>
      </c>
      <c r="J111" s="177" t="s">
        <v>14241</v>
      </c>
      <c r="K111" s="177" t="s">
        <v>14245</v>
      </c>
      <c r="L111" s="177" t="s">
        <v>14246</v>
      </c>
      <c r="M111" s="175" t="s">
        <v>14247</v>
      </c>
      <c r="N111" s="176" t="s">
        <v>14248</v>
      </c>
    </row>
    <row r="112" spans="1:14">
      <c r="A112" s="99"/>
      <c r="C112" s="177" t="s">
        <v>13129</v>
      </c>
      <c r="D112" s="177" t="s">
        <v>14249</v>
      </c>
      <c r="E112" s="177" t="s">
        <v>14250</v>
      </c>
      <c r="F112" s="177" t="s">
        <v>14251</v>
      </c>
      <c r="G112" s="177" t="s">
        <v>14252</v>
      </c>
      <c r="H112" s="177" t="s">
        <v>14253</v>
      </c>
      <c r="I112" s="177" t="s">
        <v>14254</v>
      </c>
      <c r="J112" s="177" t="s">
        <v>14251</v>
      </c>
      <c r="K112" s="177" t="s">
        <v>14255</v>
      </c>
      <c r="L112" s="177" t="s">
        <v>14256</v>
      </c>
      <c r="M112" s="175" t="s">
        <v>14257</v>
      </c>
      <c r="N112" s="176" t="s">
        <v>14258</v>
      </c>
    </row>
    <row r="113" spans="1:14">
      <c r="A113" s="99"/>
      <c r="C113" s="177" t="s">
        <v>13130</v>
      </c>
      <c r="D113" s="177" t="s">
        <v>14259</v>
      </c>
      <c r="E113" s="177" t="s">
        <v>14260</v>
      </c>
      <c r="F113" s="177" t="s">
        <v>14261</v>
      </c>
      <c r="G113" s="177" t="s">
        <v>14262</v>
      </c>
      <c r="H113" s="177" t="s">
        <v>14263</v>
      </c>
      <c r="I113" s="177" t="s">
        <v>14264</v>
      </c>
      <c r="J113" s="177" t="s">
        <v>14261</v>
      </c>
      <c r="K113" s="177" t="s">
        <v>14265</v>
      </c>
      <c r="L113" s="177" t="s">
        <v>14266</v>
      </c>
      <c r="M113" s="175" t="s">
        <v>14267</v>
      </c>
      <c r="N113" s="176" t="s">
        <v>14268</v>
      </c>
    </row>
    <row r="114" spans="1:14">
      <c r="A114" s="99"/>
      <c r="C114" s="177" t="s">
        <v>13131</v>
      </c>
      <c r="D114" s="177" t="s">
        <v>14269</v>
      </c>
      <c r="E114" s="177" t="s">
        <v>14270</v>
      </c>
      <c r="F114" s="177" t="s">
        <v>14271</v>
      </c>
      <c r="G114" s="177" t="s">
        <v>14272</v>
      </c>
      <c r="H114" s="177" t="s">
        <v>14273</v>
      </c>
      <c r="I114" s="177" t="s">
        <v>14274</v>
      </c>
      <c r="J114" s="177" t="s">
        <v>14271</v>
      </c>
      <c r="K114" s="177" t="s">
        <v>14275</v>
      </c>
      <c r="L114" s="177" t="s">
        <v>14276</v>
      </c>
      <c r="M114" s="175" t="s">
        <v>14277</v>
      </c>
      <c r="N114" s="176" t="s">
        <v>14278</v>
      </c>
    </row>
    <row r="115" spans="1:14">
      <c r="A115" s="99"/>
      <c r="C115" s="177" t="s">
        <v>13132</v>
      </c>
      <c r="D115" s="177" t="s">
        <v>14279</v>
      </c>
      <c r="E115" s="177" t="s">
        <v>14280</v>
      </c>
      <c r="F115" s="452" t="s">
        <v>14281</v>
      </c>
      <c r="G115" s="175" t="s">
        <v>14282</v>
      </c>
      <c r="H115" s="175" t="s">
        <v>14283</v>
      </c>
      <c r="I115" s="175" t="s">
        <v>14284</v>
      </c>
      <c r="J115" s="175" t="s">
        <v>14281</v>
      </c>
      <c r="K115" s="175" t="s">
        <v>14285</v>
      </c>
      <c r="L115" s="175" t="s">
        <v>14286</v>
      </c>
      <c r="M115" s="175" t="s">
        <v>14287</v>
      </c>
      <c r="N115" s="176" t="s">
        <v>14288</v>
      </c>
    </row>
    <row r="116" spans="1:14">
      <c r="A116" s="99"/>
      <c r="C116" s="177" t="s">
        <v>13133</v>
      </c>
      <c r="D116" s="177" t="s">
        <v>14289</v>
      </c>
      <c r="E116" s="177" t="s">
        <v>14290</v>
      </c>
      <c r="F116" s="177" t="s">
        <v>14291</v>
      </c>
      <c r="G116" s="177" t="s">
        <v>14292</v>
      </c>
      <c r="H116" s="177" t="s">
        <v>14293</v>
      </c>
      <c r="I116" s="177" t="s">
        <v>14294</v>
      </c>
      <c r="J116" s="177" t="s">
        <v>14291</v>
      </c>
      <c r="K116" s="177" t="s">
        <v>14295</v>
      </c>
      <c r="L116" s="177" t="s">
        <v>14296</v>
      </c>
      <c r="M116" s="175" t="s">
        <v>14297</v>
      </c>
      <c r="N116" s="176" t="s">
        <v>14298</v>
      </c>
    </row>
    <row r="117" spans="1:14">
      <c r="A117" s="99"/>
      <c r="C117" s="177" t="s">
        <v>13134</v>
      </c>
      <c r="D117" s="177" t="s">
        <v>14299</v>
      </c>
      <c r="E117" s="177" t="s">
        <v>14300</v>
      </c>
      <c r="F117" s="177" t="s">
        <v>14301</v>
      </c>
      <c r="G117" s="177" t="s">
        <v>14302</v>
      </c>
      <c r="H117" s="177" t="s">
        <v>14303</v>
      </c>
      <c r="I117" s="177" t="s">
        <v>14304</v>
      </c>
      <c r="J117" s="177" t="s">
        <v>14301</v>
      </c>
      <c r="K117" s="177" t="s">
        <v>14305</v>
      </c>
      <c r="L117" s="177" t="s">
        <v>14306</v>
      </c>
      <c r="M117" s="175" t="s">
        <v>14307</v>
      </c>
      <c r="N117" s="176" t="s">
        <v>14308</v>
      </c>
    </row>
    <row r="118" spans="1:14">
      <c r="A118" s="99"/>
      <c r="C118" s="177" t="s">
        <v>13135</v>
      </c>
      <c r="D118" s="177" t="s">
        <v>14309</v>
      </c>
      <c r="E118" s="177" t="s">
        <v>14310</v>
      </c>
      <c r="F118" s="177" t="s">
        <v>14311</v>
      </c>
      <c r="G118" s="177" t="s">
        <v>14312</v>
      </c>
      <c r="H118" s="177" t="s">
        <v>14313</v>
      </c>
      <c r="I118" s="177" t="s">
        <v>14314</v>
      </c>
      <c r="J118" s="177" t="s">
        <v>14311</v>
      </c>
      <c r="K118" s="177" t="s">
        <v>14315</v>
      </c>
      <c r="L118" s="177" t="s">
        <v>14316</v>
      </c>
      <c r="M118" s="175" t="s">
        <v>14317</v>
      </c>
      <c r="N118" s="176" t="s">
        <v>14318</v>
      </c>
    </row>
    <row r="119" spans="1:14">
      <c r="A119" s="99"/>
      <c r="C119" s="177" t="s">
        <v>13136</v>
      </c>
      <c r="D119" s="177" t="s">
        <v>14319</v>
      </c>
      <c r="E119" s="177" t="s">
        <v>14320</v>
      </c>
      <c r="F119" s="177" t="s">
        <v>14321</v>
      </c>
      <c r="G119" s="177" t="s">
        <v>14322</v>
      </c>
      <c r="H119" s="177" t="s">
        <v>14323</v>
      </c>
      <c r="I119" s="177" t="s">
        <v>14324</v>
      </c>
      <c r="J119" s="177" t="s">
        <v>14321</v>
      </c>
      <c r="K119" s="177" t="s">
        <v>14325</v>
      </c>
      <c r="L119" s="177" t="s">
        <v>14326</v>
      </c>
      <c r="M119" s="175" t="s">
        <v>14327</v>
      </c>
      <c r="N119" s="176" t="s">
        <v>14328</v>
      </c>
    </row>
    <row r="120" spans="1:14">
      <c r="A120" s="99"/>
      <c r="C120" s="177" t="s">
        <v>13137</v>
      </c>
      <c r="D120" s="177" t="s">
        <v>14329</v>
      </c>
      <c r="E120" s="177" t="s">
        <v>14330</v>
      </c>
      <c r="F120" s="177" t="s">
        <v>14331</v>
      </c>
      <c r="G120" s="177" t="s">
        <v>14332</v>
      </c>
      <c r="H120" s="177" t="s">
        <v>14333</v>
      </c>
      <c r="I120" s="177" t="s">
        <v>14334</v>
      </c>
      <c r="J120" s="177" t="s">
        <v>14335</v>
      </c>
      <c r="K120" s="177" t="s">
        <v>14336</v>
      </c>
      <c r="L120" s="177" t="s">
        <v>14337</v>
      </c>
      <c r="M120" s="175" t="s">
        <v>14338</v>
      </c>
      <c r="N120" s="176" t="s">
        <v>14339</v>
      </c>
    </row>
    <row r="121" spans="1:14">
      <c r="A121" s="99"/>
      <c r="C121" s="177" t="s">
        <v>13138</v>
      </c>
      <c r="D121" s="177" t="s">
        <v>14340</v>
      </c>
      <c r="E121" s="177" t="s">
        <v>14341</v>
      </c>
      <c r="F121" s="177" t="s">
        <v>14342</v>
      </c>
      <c r="G121" s="177" t="s">
        <v>14343</v>
      </c>
      <c r="H121" s="177" t="s">
        <v>14344</v>
      </c>
      <c r="I121" s="177" t="s">
        <v>14345</v>
      </c>
      <c r="J121" s="177" t="s">
        <v>14346</v>
      </c>
      <c r="K121" s="177" t="s">
        <v>14347</v>
      </c>
      <c r="L121" s="177" t="s">
        <v>14348</v>
      </c>
      <c r="M121" s="175" t="s">
        <v>14349</v>
      </c>
      <c r="N121" s="176" t="s">
        <v>14350</v>
      </c>
    </row>
    <row r="122" spans="1:14">
      <c r="A122" s="99"/>
      <c r="C122" s="177" t="s">
        <v>13139</v>
      </c>
      <c r="D122" s="177" t="s">
        <v>14351</v>
      </c>
      <c r="E122" s="177" t="s">
        <v>14352</v>
      </c>
      <c r="F122" s="452" t="s">
        <v>14353</v>
      </c>
      <c r="G122" s="175" t="s">
        <v>14354</v>
      </c>
      <c r="H122" s="175" t="s">
        <v>14355</v>
      </c>
      <c r="I122" s="175" t="s">
        <v>14356</v>
      </c>
      <c r="J122" s="175" t="s">
        <v>14357</v>
      </c>
      <c r="K122" s="175" t="s">
        <v>14358</v>
      </c>
      <c r="L122" s="175" t="s">
        <v>14359</v>
      </c>
      <c r="M122" s="175" t="s">
        <v>14360</v>
      </c>
      <c r="N122" s="176" t="s">
        <v>14361</v>
      </c>
    </row>
    <row r="123" spans="1:14">
      <c r="A123" s="99"/>
      <c r="C123" s="177" t="s">
        <v>14362</v>
      </c>
      <c r="D123" s="177" t="s">
        <v>14363</v>
      </c>
      <c r="E123" s="177" t="s">
        <v>14364</v>
      </c>
      <c r="F123" s="177" t="s">
        <v>14365</v>
      </c>
      <c r="G123" s="177" t="s">
        <v>14366</v>
      </c>
      <c r="H123" s="177" t="s">
        <v>14367</v>
      </c>
      <c r="I123" s="177" t="s">
        <v>14368</v>
      </c>
      <c r="J123" s="177" t="s">
        <v>14369</v>
      </c>
      <c r="K123" s="177" t="s">
        <v>14370</v>
      </c>
      <c r="L123" s="177" t="s">
        <v>14371</v>
      </c>
      <c r="M123" s="175" t="s">
        <v>14372</v>
      </c>
      <c r="N123" s="176" t="s">
        <v>14373</v>
      </c>
    </row>
    <row r="124" spans="1:14">
      <c r="A124" s="99"/>
      <c r="C124" s="177" t="s">
        <v>13140</v>
      </c>
      <c r="D124" s="177" t="s">
        <v>14374</v>
      </c>
      <c r="E124" s="177" t="s">
        <v>14375</v>
      </c>
      <c r="F124" s="177" t="s">
        <v>14376</v>
      </c>
      <c r="G124" s="177" t="s">
        <v>14377</v>
      </c>
      <c r="H124" s="177" t="s">
        <v>14378</v>
      </c>
      <c r="I124" s="177" t="s">
        <v>14379</v>
      </c>
      <c r="J124" s="177" t="s">
        <v>14380</v>
      </c>
      <c r="K124" s="177" t="s">
        <v>14381</v>
      </c>
      <c r="L124" s="177" t="s">
        <v>14382</v>
      </c>
      <c r="M124" s="175" t="s">
        <v>14383</v>
      </c>
      <c r="N124" s="176" t="s">
        <v>14384</v>
      </c>
    </row>
    <row r="125" spans="1:14">
      <c r="A125" s="99"/>
      <c r="C125" s="177" t="s">
        <v>13141</v>
      </c>
      <c r="D125" s="177" t="s">
        <v>14385</v>
      </c>
      <c r="E125" s="177" t="s">
        <v>14386</v>
      </c>
      <c r="F125" s="177" t="s">
        <v>14387</v>
      </c>
      <c r="G125" s="177" t="s">
        <v>14388</v>
      </c>
      <c r="H125" s="177" t="s">
        <v>14389</v>
      </c>
      <c r="I125" s="177" t="s">
        <v>14390</v>
      </c>
      <c r="J125" s="177" t="s">
        <v>14391</v>
      </c>
      <c r="K125" s="177" t="s">
        <v>14392</v>
      </c>
      <c r="L125" s="177" t="s">
        <v>14393</v>
      </c>
      <c r="M125" s="175" t="s">
        <v>14394</v>
      </c>
      <c r="N125" s="176" t="s">
        <v>14395</v>
      </c>
    </row>
    <row r="126" spans="1:14">
      <c r="A126" s="99"/>
      <c r="C126" s="177" t="s">
        <v>13142</v>
      </c>
      <c r="D126" s="177" t="s">
        <v>14396</v>
      </c>
      <c r="E126" s="177" t="s">
        <v>14397</v>
      </c>
      <c r="F126" s="177" t="s">
        <v>14398</v>
      </c>
      <c r="G126" s="177" t="s">
        <v>14399</v>
      </c>
      <c r="H126" s="177" t="s">
        <v>14400</v>
      </c>
      <c r="I126" s="177" t="s">
        <v>14401</v>
      </c>
      <c r="J126" s="177" t="s">
        <v>14398</v>
      </c>
      <c r="K126" s="177" t="s">
        <v>14402</v>
      </c>
      <c r="L126" s="177" t="s">
        <v>14403</v>
      </c>
      <c r="M126" s="175" t="s">
        <v>14404</v>
      </c>
      <c r="N126" s="176" t="s">
        <v>14405</v>
      </c>
    </row>
    <row r="127" spans="1:14">
      <c r="A127" s="99"/>
      <c r="C127" s="177" t="s">
        <v>13143</v>
      </c>
      <c r="D127" s="177" t="s">
        <v>14406</v>
      </c>
      <c r="E127" s="177" t="s">
        <v>14407</v>
      </c>
      <c r="F127" s="177" t="s">
        <v>14408</v>
      </c>
      <c r="G127" s="177" t="s">
        <v>14409</v>
      </c>
      <c r="H127" s="177" t="s">
        <v>14410</v>
      </c>
      <c r="I127" s="177" t="s">
        <v>14411</v>
      </c>
      <c r="J127" s="177" t="s">
        <v>14408</v>
      </c>
      <c r="K127" s="177" t="s">
        <v>14412</v>
      </c>
      <c r="L127" s="177" t="s">
        <v>14413</v>
      </c>
      <c r="M127" s="175" t="s">
        <v>14414</v>
      </c>
      <c r="N127" s="176" t="s">
        <v>14415</v>
      </c>
    </row>
    <row r="128" spans="1:14">
      <c r="A128" s="99"/>
      <c r="C128" s="177" t="s">
        <v>13144</v>
      </c>
      <c r="D128" s="177" t="s">
        <v>14416</v>
      </c>
      <c r="E128" s="177" t="s">
        <v>14417</v>
      </c>
      <c r="F128" s="177" t="s">
        <v>14418</v>
      </c>
      <c r="G128" s="177" t="s">
        <v>14419</v>
      </c>
      <c r="H128" s="177" t="s">
        <v>14420</v>
      </c>
      <c r="I128" s="177" t="s">
        <v>14421</v>
      </c>
      <c r="J128" s="177" t="s">
        <v>14418</v>
      </c>
      <c r="K128" s="177" t="s">
        <v>14422</v>
      </c>
      <c r="L128" s="177" t="s">
        <v>14423</v>
      </c>
      <c r="M128" s="175" t="s">
        <v>14424</v>
      </c>
      <c r="N128" s="176" t="s">
        <v>14425</v>
      </c>
    </row>
    <row r="129" spans="1:14">
      <c r="A129" s="99"/>
      <c r="C129" s="177" t="s">
        <v>13145</v>
      </c>
      <c r="D129" s="177" t="s">
        <v>14426</v>
      </c>
      <c r="E129" s="177" t="s">
        <v>14427</v>
      </c>
      <c r="F129" s="177" t="s">
        <v>14428</v>
      </c>
      <c r="G129" s="177" t="s">
        <v>14429</v>
      </c>
      <c r="H129" s="177" t="s">
        <v>14430</v>
      </c>
      <c r="I129" s="177" t="s">
        <v>14431</v>
      </c>
      <c r="J129" s="177" t="s">
        <v>14428</v>
      </c>
      <c r="K129" s="177" t="s">
        <v>14432</v>
      </c>
      <c r="L129" s="177" t="s">
        <v>14433</v>
      </c>
      <c r="M129" s="175" t="s">
        <v>14434</v>
      </c>
      <c r="N129" s="176" t="s">
        <v>14435</v>
      </c>
    </row>
    <row r="130" spans="1:14">
      <c r="A130" s="99"/>
      <c r="C130" s="177" t="s">
        <v>13146</v>
      </c>
      <c r="D130" s="177" t="s">
        <v>14436</v>
      </c>
      <c r="E130" s="177" t="s">
        <v>14437</v>
      </c>
      <c r="F130" s="177" t="s">
        <v>14438</v>
      </c>
      <c r="G130" s="177" t="s">
        <v>14439</v>
      </c>
      <c r="H130" s="177" t="s">
        <v>14440</v>
      </c>
      <c r="I130" s="177" t="s">
        <v>14441</v>
      </c>
      <c r="J130" s="177" t="s">
        <v>14438</v>
      </c>
      <c r="K130" s="177" t="s">
        <v>14442</v>
      </c>
      <c r="L130" s="177" t="s">
        <v>14443</v>
      </c>
      <c r="M130" s="175" t="s">
        <v>14444</v>
      </c>
      <c r="N130" s="176" t="s">
        <v>14445</v>
      </c>
    </row>
    <row r="131" spans="1:14">
      <c r="A131" s="99"/>
      <c r="C131" s="177" t="s">
        <v>13147</v>
      </c>
      <c r="D131" s="177" t="s">
        <v>14446</v>
      </c>
      <c r="E131" s="177" t="s">
        <v>14447</v>
      </c>
      <c r="F131" s="177" t="s">
        <v>14448</v>
      </c>
      <c r="G131" s="177" t="s">
        <v>14449</v>
      </c>
      <c r="H131" s="177" t="s">
        <v>14450</v>
      </c>
      <c r="I131" s="177" t="s">
        <v>14451</v>
      </c>
      <c r="J131" s="177" t="s">
        <v>14448</v>
      </c>
      <c r="K131" s="177" t="s">
        <v>14452</v>
      </c>
      <c r="L131" s="177" t="s">
        <v>14453</v>
      </c>
      <c r="M131" s="175" t="s">
        <v>14454</v>
      </c>
      <c r="N131" s="176" t="s">
        <v>14455</v>
      </c>
    </row>
    <row r="132" spans="1:14">
      <c r="A132" s="99"/>
      <c r="C132" s="177" t="s">
        <v>13148</v>
      </c>
      <c r="D132" s="177" t="s">
        <v>14456</v>
      </c>
      <c r="E132" s="177" t="s">
        <v>14457</v>
      </c>
      <c r="F132" s="177" t="s">
        <v>14458</v>
      </c>
      <c r="G132" s="177" t="s">
        <v>14459</v>
      </c>
      <c r="H132" s="177" t="s">
        <v>14460</v>
      </c>
      <c r="I132" s="177" t="s">
        <v>14461</v>
      </c>
      <c r="J132" s="177" t="s">
        <v>14462</v>
      </c>
      <c r="K132" s="177" t="s">
        <v>14463</v>
      </c>
      <c r="L132" s="177" t="s">
        <v>14464</v>
      </c>
      <c r="M132" s="175" t="s">
        <v>14465</v>
      </c>
      <c r="N132" s="176" t="s">
        <v>14466</v>
      </c>
    </row>
    <row r="133" spans="1:14">
      <c r="A133" s="99"/>
      <c r="C133" s="177" t="s">
        <v>13149</v>
      </c>
      <c r="D133" s="177" t="s">
        <v>14467</v>
      </c>
      <c r="E133" s="177" t="s">
        <v>14468</v>
      </c>
      <c r="F133" s="177" t="s">
        <v>14469</v>
      </c>
      <c r="G133" s="177" t="s">
        <v>14470</v>
      </c>
      <c r="H133" s="177" t="s">
        <v>14471</v>
      </c>
      <c r="I133" s="177" t="s">
        <v>14472</v>
      </c>
      <c r="J133" s="177" t="s">
        <v>14469</v>
      </c>
      <c r="K133" s="177" t="s">
        <v>14473</v>
      </c>
      <c r="L133" s="177" t="s">
        <v>14474</v>
      </c>
      <c r="M133" s="175" t="s">
        <v>14475</v>
      </c>
      <c r="N133" s="176" t="s">
        <v>14476</v>
      </c>
    </row>
    <row r="134" spans="1:14">
      <c r="A134" s="99"/>
      <c r="C134" s="177" t="s">
        <v>13150</v>
      </c>
      <c r="D134" s="177" t="s">
        <v>14477</v>
      </c>
      <c r="E134" s="177" t="s">
        <v>14478</v>
      </c>
      <c r="F134" s="452" t="s">
        <v>14479</v>
      </c>
      <c r="G134" s="175" t="s">
        <v>14480</v>
      </c>
      <c r="H134" s="175" t="s">
        <v>14481</v>
      </c>
      <c r="I134" s="175" t="s">
        <v>14482</v>
      </c>
      <c r="J134" s="175" t="s">
        <v>14483</v>
      </c>
      <c r="K134" s="175" t="s">
        <v>14484</v>
      </c>
      <c r="L134" s="175" t="s">
        <v>14485</v>
      </c>
      <c r="M134" s="175" t="s">
        <v>14486</v>
      </c>
      <c r="N134" s="176" t="s">
        <v>14487</v>
      </c>
    </row>
    <row r="135" spans="1:14">
      <c r="A135" s="99"/>
      <c r="C135" s="177" t="s">
        <v>13151</v>
      </c>
      <c r="D135" s="177" t="s">
        <v>14488</v>
      </c>
      <c r="E135" s="177" t="s">
        <v>14489</v>
      </c>
      <c r="F135" s="177" t="s">
        <v>14490</v>
      </c>
      <c r="G135" s="177" t="s">
        <v>14491</v>
      </c>
      <c r="H135" s="177" t="s">
        <v>14492</v>
      </c>
      <c r="I135" s="177" t="s">
        <v>14493</v>
      </c>
      <c r="J135" s="177" t="s">
        <v>14490</v>
      </c>
      <c r="K135" s="177" t="s">
        <v>14494</v>
      </c>
      <c r="L135" s="177" t="s">
        <v>14495</v>
      </c>
      <c r="M135" s="175" t="s">
        <v>14496</v>
      </c>
      <c r="N135" s="176" t="s">
        <v>14497</v>
      </c>
    </row>
    <row r="136" spans="1:14">
      <c r="A136" s="99"/>
      <c r="C136" s="177" t="s">
        <v>13152</v>
      </c>
      <c r="D136" s="177" t="s">
        <v>14498</v>
      </c>
      <c r="E136" s="177" t="s">
        <v>14499</v>
      </c>
      <c r="F136" s="177" t="s">
        <v>14500</v>
      </c>
      <c r="G136" s="177" t="s">
        <v>14501</v>
      </c>
      <c r="H136" s="177" t="s">
        <v>14502</v>
      </c>
      <c r="I136" s="177" t="s">
        <v>14503</v>
      </c>
      <c r="J136" s="177" t="s">
        <v>14504</v>
      </c>
      <c r="K136" s="177" t="s">
        <v>14505</v>
      </c>
      <c r="L136" s="177" t="s">
        <v>14506</v>
      </c>
      <c r="M136" s="175" t="s">
        <v>14507</v>
      </c>
      <c r="N136" s="176" t="s">
        <v>14508</v>
      </c>
    </row>
    <row r="137" spans="1:14">
      <c r="A137" s="99"/>
      <c r="C137" s="177" t="s">
        <v>13153</v>
      </c>
      <c r="D137" s="177" t="s">
        <v>14509</v>
      </c>
      <c r="E137" s="177" t="s">
        <v>14510</v>
      </c>
      <c r="F137" s="177" t="s">
        <v>14511</v>
      </c>
      <c r="G137" s="177" t="s">
        <v>14512</v>
      </c>
      <c r="H137" s="177" t="s">
        <v>14513</v>
      </c>
      <c r="I137" s="177" t="s">
        <v>14514</v>
      </c>
      <c r="J137" s="177" t="s">
        <v>14511</v>
      </c>
      <c r="K137" s="177" t="s">
        <v>14515</v>
      </c>
      <c r="L137" s="177" t="s">
        <v>14516</v>
      </c>
      <c r="M137" s="175" t="s">
        <v>14517</v>
      </c>
      <c r="N137" s="176" t="s">
        <v>14518</v>
      </c>
    </row>
    <row r="138" spans="1:14">
      <c r="A138" s="99"/>
      <c r="C138" s="177" t="s">
        <v>13154</v>
      </c>
      <c r="D138" s="177" t="s">
        <v>14519</v>
      </c>
      <c r="E138" s="177" t="s">
        <v>14520</v>
      </c>
      <c r="F138" s="177" t="s">
        <v>14521</v>
      </c>
      <c r="G138" s="177" t="s">
        <v>14522</v>
      </c>
      <c r="H138" s="177" t="s">
        <v>14523</v>
      </c>
      <c r="I138" s="177" t="s">
        <v>14524</v>
      </c>
      <c r="J138" s="177" t="s">
        <v>14525</v>
      </c>
      <c r="K138" s="177" t="s">
        <v>14526</v>
      </c>
      <c r="L138" s="177" t="s">
        <v>14527</v>
      </c>
      <c r="M138" s="175" t="s">
        <v>14528</v>
      </c>
      <c r="N138" s="176" t="s">
        <v>14529</v>
      </c>
    </row>
    <row r="139" spans="1:14">
      <c r="A139" s="99"/>
      <c r="C139" s="177" t="s">
        <v>13155</v>
      </c>
      <c r="D139" s="177" t="s">
        <v>14530</v>
      </c>
      <c r="E139" s="177" t="s">
        <v>14531</v>
      </c>
      <c r="F139" s="177" t="s">
        <v>14532</v>
      </c>
      <c r="G139" s="177" t="s">
        <v>14533</v>
      </c>
      <c r="H139" s="177" t="s">
        <v>14534</v>
      </c>
      <c r="I139" s="177" t="s">
        <v>14535</v>
      </c>
      <c r="J139" s="177" t="s">
        <v>14536</v>
      </c>
      <c r="K139" s="177" t="s">
        <v>14537</v>
      </c>
      <c r="L139" s="177" t="s">
        <v>14538</v>
      </c>
      <c r="M139" s="175" t="s">
        <v>14539</v>
      </c>
      <c r="N139" s="176" t="s">
        <v>14540</v>
      </c>
    </row>
    <row r="140" spans="1:14">
      <c r="A140" s="99"/>
      <c r="C140" s="177" t="s">
        <v>13156</v>
      </c>
      <c r="D140" s="177" t="s">
        <v>14541</v>
      </c>
      <c r="E140" s="177" t="s">
        <v>14542</v>
      </c>
      <c r="F140" s="177" t="s">
        <v>14543</v>
      </c>
      <c r="G140" s="177" t="s">
        <v>14544</v>
      </c>
      <c r="H140" s="177" t="s">
        <v>14545</v>
      </c>
      <c r="I140" s="177" t="s">
        <v>14546</v>
      </c>
      <c r="J140" s="177" t="s">
        <v>14547</v>
      </c>
      <c r="K140" s="177" t="s">
        <v>14548</v>
      </c>
      <c r="L140" s="177" t="s">
        <v>14549</v>
      </c>
      <c r="M140" s="175" t="s">
        <v>14550</v>
      </c>
      <c r="N140" s="176" t="s">
        <v>14551</v>
      </c>
    </row>
    <row r="141" spans="1:14">
      <c r="A141" s="99"/>
      <c r="C141" s="177" t="s">
        <v>13157</v>
      </c>
      <c r="D141" s="177" t="s">
        <v>14552</v>
      </c>
      <c r="E141" s="177" t="s">
        <v>14553</v>
      </c>
      <c r="F141" s="177" t="s">
        <v>14554</v>
      </c>
      <c r="G141" s="177" t="s">
        <v>14555</v>
      </c>
      <c r="H141" s="177" t="s">
        <v>14556</v>
      </c>
      <c r="I141" s="177" t="s">
        <v>14557</v>
      </c>
      <c r="J141" s="177" t="s">
        <v>14558</v>
      </c>
      <c r="K141" s="177" t="s">
        <v>14559</v>
      </c>
      <c r="L141" s="177" t="s">
        <v>14560</v>
      </c>
      <c r="M141" s="175" t="s">
        <v>14561</v>
      </c>
      <c r="N141" s="176" t="s">
        <v>14562</v>
      </c>
    </row>
    <row r="142" spans="1:14">
      <c r="A142" s="99"/>
      <c r="C142" s="177" t="s">
        <v>13158</v>
      </c>
      <c r="D142" s="177" t="s">
        <v>14563</v>
      </c>
      <c r="E142" s="177" t="s">
        <v>14564</v>
      </c>
      <c r="F142" s="177" t="s">
        <v>14565</v>
      </c>
      <c r="G142" s="177" t="s">
        <v>14566</v>
      </c>
      <c r="H142" s="177" t="s">
        <v>14567</v>
      </c>
      <c r="I142" s="177" t="s">
        <v>14568</v>
      </c>
      <c r="J142" s="177" t="s">
        <v>14569</v>
      </c>
      <c r="K142" s="177" t="s">
        <v>14570</v>
      </c>
      <c r="L142" s="177" t="s">
        <v>14571</v>
      </c>
      <c r="M142" s="175" t="s">
        <v>14572</v>
      </c>
      <c r="N142" s="176" t="s">
        <v>14573</v>
      </c>
    </row>
    <row r="143" spans="1:14">
      <c r="A143" s="99"/>
      <c r="C143" s="177" t="s">
        <v>13159</v>
      </c>
      <c r="D143" s="177" t="s">
        <v>14574</v>
      </c>
      <c r="E143" s="177" t="s">
        <v>14575</v>
      </c>
      <c r="F143" s="177" t="s">
        <v>14576</v>
      </c>
      <c r="G143" s="177" t="s">
        <v>14577</v>
      </c>
      <c r="H143" s="177" t="s">
        <v>14578</v>
      </c>
      <c r="I143" s="177" t="s">
        <v>14579</v>
      </c>
      <c r="J143" s="177" t="s">
        <v>14580</v>
      </c>
      <c r="K143" s="177" t="s">
        <v>14581</v>
      </c>
      <c r="L143" s="177" t="s">
        <v>14582</v>
      </c>
      <c r="M143" s="175" t="s">
        <v>14583</v>
      </c>
      <c r="N143" s="176" t="s">
        <v>14584</v>
      </c>
    </row>
    <row r="144" spans="1:14">
      <c r="A144" s="99"/>
      <c r="C144" s="177" t="s">
        <v>13160</v>
      </c>
      <c r="D144" s="177" t="s">
        <v>14585</v>
      </c>
      <c r="E144" s="177" t="s">
        <v>14586</v>
      </c>
      <c r="F144" s="177" t="s">
        <v>14587</v>
      </c>
      <c r="G144" s="177" t="s">
        <v>14588</v>
      </c>
      <c r="H144" s="177" t="s">
        <v>14589</v>
      </c>
      <c r="I144" s="177" t="s">
        <v>14590</v>
      </c>
      <c r="J144" s="177" t="s">
        <v>14591</v>
      </c>
      <c r="K144" s="177" t="s">
        <v>14592</v>
      </c>
      <c r="L144" s="177" t="s">
        <v>14593</v>
      </c>
      <c r="M144" s="175" t="s">
        <v>14594</v>
      </c>
      <c r="N144" s="176" t="s">
        <v>14595</v>
      </c>
    </row>
    <row r="145" spans="1:14">
      <c r="A145" s="99"/>
      <c r="C145" s="177" t="s">
        <v>13161</v>
      </c>
      <c r="D145" s="177" t="s">
        <v>14596</v>
      </c>
      <c r="E145" s="177" t="s">
        <v>14597</v>
      </c>
      <c r="F145" s="177" t="s">
        <v>14598</v>
      </c>
      <c r="G145" s="177" t="s">
        <v>14599</v>
      </c>
      <c r="H145" s="177" t="s">
        <v>14600</v>
      </c>
      <c r="I145" s="177" t="s">
        <v>14601</v>
      </c>
      <c r="J145" s="177" t="s">
        <v>14602</v>
      </c>
      <c r="K145" s="177" t="s">
        <v>14603</v>
      </c>
      <c r="L145" s="177" t="s">
        <v>14604</v>
      </c>
      <c r="M145" s="175" t="s">
        <v>14605</v>
      </c>
      <c r="N145" s="176" t="s">
        <v>14606</v>
      </c>
    </row>
    <row r="146" spans="1:14">
      <c r="A146" s="99"/>
      <c r="C146" s="177" t="s">
        <v>13162</v>
      </c>
      <c r="D146" s="177" t="s">
        <v>14607</v>
      </c>
      <c r="E146" s="177" t="s">
        <v>14608</v>
      </c>
      <c r="F146" s="177" t="s">
        <v>14609</v>
      </c>
      <c r="G146" s="177" t="s">
        <v>14610</v>
      </c>
      <c r="H146" s="177" t="s">
        <v>14611</v>
      </c>
      <c r="I146" s="177" t="s">
        <v>14612</v>
      </c>
      <c r="J146" s="177" t="s">
        <v>14613</v>
      </c>
      <c r="K146" s="177" t="s">
        <v>14614</v>
      </c>
      <c r="L146" s="177" t="s">
        <v>14615</v>
      </c>
      <c r="M146" s="175" t="s">
        <v>14616</v>
      </c>
      <c r="N146" s="176" t="s">
        <v>14617</v>
      </c>
    </row>
    <row r="147" spans="1:14">
      <c r="A147" s="99"/>
      <c r="C147" s="177" t="s">
        <v>13163</v>
      </c>
      <c r="D147" s="177" t="s">
        <v>14618</v>
      </c>
      <c r="E147" s="177" t="s">
        <v>14619</v>
      </c>
      <c r="F147" s="177" t="s">
        <v>14620</v>
      </c>
      <c r="G147" s="177" t="s">
        <v>14621</v>
      </c>
      <c r="H147" s="177" t="s">
        <v>14622</v>
      </c>
      <c r="I147" s="177" t="s">
        <v>14623</v>
      </c>
      <c r="J147" s="177" t="s">
        <v>14624</v>
      </c>
      <c r="K147" s="177" t="s">
        <v>14625</v>
      </c>
      <c r="L147" s="177" t="s">
        <v>14626</v>
      </c>
      <c r="M147" s="175" t="s">
        <v>14627</v>
      </c>
      <c r="N147" s="176" t="s">
        <v>14628</v>
      </c>
    </row>
    <row r="148" spans="1:14">
      <c r="A148" s="99"/>
      <c r="C148" s="177" t="s">
        <v>13164</v>
      </c>
      <c r="D148" s="177" t="s">
        <v>14629</v>
      </c>
      <c r="E148" s="177" t="s">
        <v>14630</v>
      </c>
      <c r="F148" s="452" t="s">
        <v>14631</v>
      </c>
      <c r="G148" s="175" t="s">
        <v>14632</v>
      </c>
      <c r="H148" s="175" t="s">
        <v>14633</v>
      </c>
      <c r="I148" s="175" t="s">
        <v>14634</v>
      </c>
      <c r="J148" s="175" t="s">
        <v>14635</v>
      </c>
      <c r="K148" s="175" t="s">
        <v>14636</v>
      </c>
      <c r="L148" s="175" t="s">
        <v>14637</v>
      </c>
      <c r="M148" s="175" t="s">
        <v>14638</v>
      </c>
      <c r="N148" s="176" t="s">
        <v>14639</v>
      </c>
    </row>
    <row r="149" spans="1:14">
      <c r="A149" s="99"/>
      <c r="C149" s="177" t="s">
        <v>13165</v>
      </c>
      <c r="D149" s="177" t="s">
        <v>14640</v>
      </c>
      <c r="E149" s="177" t="s">
        <v>14641</v>
      </c>
      <c r="F149" s="177" t="s">
        <v>14642</v>
      </c>
      <c r="G149" s="177" t="s">
        <v>14643</v>
      </c>
      <c r="H149" s="177" t="s">
        <v>14644</v>
      </c>
      <c r="I149" s="177" t="s">
        <v>14645</v>
      </c>
      <c r="J149" s="177" t="s">
        <v>14646</v>
      </c>
      <c r="K149" s="177" t="s">
        <v>14647</v>
      </c>
      <c r="L149" s="177" t="s">
        <v>14648</v>
      </c>
      <c r="M149" s="175" t="s">
        <v>14649</v>
      </c>
      <c r="N149" s="176" t="s">
        <v>14650</v>
      </c>
    </row>
    <row r="150" spans="1:14">
      <c r="A150" s="99"/>
      <c r="C150" s="177" t="s">
        <v>13166</v>
      </c>
      <c r="D150" s="177" t="s">
        <v>14651</v>
      </c>
      <c r="E150" s="177" t="s">
        <v>14652</v>
      </c>
      <c r="F150" s="177" t="s">
        <v>14653</v>
      </c>
      <c r="G150" s="177" t="s">
        <v>14654</v>
      </c>
      <c r="H150" s="177" t="s">
        <v>14655</v>
      </c>
      <c r="I150" s="177" t="s">
        <v>14656</v>
      </c>
      <c r="J150" s="177" t="s">
        <v>14653</v>
      </c>
      <c r="K150" s="177" t="s">
        <v>14657</v>
      </c>
      <c r="L150" s="177" t="s">
        <v>14658</v>
      </c>
      <c r="M150" s="175" t="s">
        <v>14659</v>
      </c>
      <c r="N150" s="176" t="s">
        <v>14660</v>
      </c>
    </row>
    <row r="151" spans="1:14">
      <c r="A151" s="99"/>
      <c r="C151" s="177" t="s">
        <v>13167</v>
      </c>
      <c r="D151" s="177" t="s">
        <v>14661</v>
      </c>
      <c r="E151" s="177" t="s">
        <v>14662</v>
      </c>
      <c r="F151" s="177" t="s">
        <v>14663</v>
      </c>
      <c r="G151" s="177" t="s">
        <v>14664</v>
      </c>
      <c r="H151" s="177" t="s">
        <v>14665</v>
      </c>
      <c r="I151" s="177" t="s">
        <v>14666</v>
      </c>
      <c r="J151" s="177" t="s">
        <v>14667</v>
      </c>
      <c r="K151" s="177" t="s">
        <v>14668</v>
      </c>
      <c r="L151" s="177" t="s">
        <v>14669</v>
      </c>
      <c r="M151" s="175" t="s">
        <v>14670</v>
      </c>
      <c r="N151" s="176" t="s">
        <v>14671</v>
      </c>
    </row>
    <row r="152" spans="1:14">
      <c r="A152" s="99"/>
      <c r="C152" s="177" t="s">
        <v>13168</v>
      </c>
      <c r="D152" s="177" t="s">
        <v>14672</v>
      </c>
      <c r="E152" s="177" t="s">
        <v>14673</v>
      </c>
      <c r="F152" s="177" t="s">
        <v>14674</v>
      </c>
      <c r="G152" s="177" t="s">
        <v>14675</v>
      </c>
      <c r="H152" s="177" t="s">
        <v>14676</v>
      </c>
      <c r="I152" s="177" t="s">
        <v>14677</v>
      </c>
      <c r="J152" s="177" t="s">
        <v>14678</v>
      </c>
      <c r="K152" s="177" t="s">
        <v>14679</v>
      </c>
      <c r="L152" s="177" t="s">
        <v>14680</v>
      </c>
      <c r="M152" s="175" t="s">
        <v>14681</v>
      </c>
      <c r="N152" s="176" t="s">
        <v>14682</v>
      </c>
    </row>
    <row r="153" spans="1:14">
      <c r="A153" s="99"/>
      <c r="C153" s="177" t="s">
        <v>13169</v>
      </c>
      <c r="D153" s="177" t="s">
        <v>14683</v>
      </c>
      <c r="E153" s="177" t="s">
        <v>14684</v>
      </c>
      <c r="F153" s="177" t="s">
        <v>14685</v>
      </c>
      <c r="G153" s="177" t="s">
        <v>14686</v>
      </c>
      <c r="H153" s="177" t="s">
        <v>14687</v>
      </c>
      <c r="I153" s="177" t="s">
        <v>14688</v>
      </c>
      <c r="J153" s="177" t="s">
        <v>14685</v>
      </c>
      <c r="K153" s="177" t="s">
        <v>14689</v>
      </c>
      <c r="L153" s="177" t="s">
        <v>14690</v>
      </c>
      <c r="M153" s="175" t="s">
        <v>14691</v>
      </c>
      <c r="N153" s="176" t="s">
        <v>14692</v>
      </c>
    </row>
    <row r="154" spans="1:14">
      <c r="A154" s="99"/>
      <c r="C154" s="177" t="s">
        <v>13170</v>
      </c>
      <c r="D154" s="177" t="s">
        <v>14693</v>
      </c>
      <c r="E154" s="177" t="s">
        <v>14694</v>
      </c>
      <c r="F154" s="177" t="s">
        <v>14695</v>
      </c>
      <c r="G154" s="177" t="s">
        <v>14696</v>
      </c>
      <c r="H154" s="177" t="s">
        <v>14697</v>
      </c>
      <c r="I154" s="177" t="s">
        <v>14698</v>
      </c>
      <c r="J154" s="177" t="s">
        <v>14699</v>
      </c>
      <c r="K154" s="177" t="s">
        <v>14700</v>
      </c>
      <c r="L154" s="177" t="s">
        <v>14701</v>
      </c>
      <c r="M154" s="175" t="s">
        <v>14702</v>
      </c>
      <c r="N154" s="176" t="s">
        <v>14703</v>
      </c>
    </row>
    <row r="155" spans="1:14">
      <c r="A155" s="99"/>
      <c r="C155" s="177" t="s">
        <v>13171</v>
      </c>
      <c r="D155" s="177" t="s">
        <v>14704</v>
      </c>
      <c r="E155" s="177" t="s">
        <v>14705</v>
      </c>
      <c r="F155" s="177" t="s">
        <v>14706</v>
      </c>
      <c r="G155" s="177" t="s">
        <v>14707</v>
      </c>
      <c r="H155" s="177" t="s">
        <v>14708</v>
      </c>
      <c r="I155" s="177" t="s">
        <v>14709</v>
      </c>
      <c r="J155" s="177" t="s">
        <v>14710</v>
      </c>
      <c r="K155" s="177" t="s">
        <v>14711</v>
      </c>
      <c r="L155" s="177" t="s">
        <v>14712</v>
      </c>
      <c r="M155" s="175" t="s">
        <v>14713</v>
      </c>
      <c r="N155" s="176" t="s">
        <v>14714</v>
      </c>
    </row>
    <row r="156" spans="1:14">
      <c r="A156" s="99"/>
      <c r="C156" s="177" t="s">
        <v>13172</v>
      </c>
      <c r="D156" s="177" t="s">
        <v>14715</v>
      </c>
      <c r="E156" s="177" t="s">
        <v>14716</v>
      </c>
      <c r="F156" s="177" t="s">
        <v>14717</v>
      </c>
      <c r="G156" s="177" t="s">
        <v>14718</v>
      </c>
      <c r="H156" s="177" t="s">
        <v>14719</v>
      </c>
      <c r="I156" s="177" t="s">
        <v>14720</v>
      </c>
      <c r="J156" s="177" t="s">
        <v>14721</v>
      </c>
      <c r="K156" s="177" t="s">
        <v>14722</v>
      </c>
      <c r="L156" s="177" t="s">
        <v>14723</v>
      </c>
      <c r="M156" s="175" t="s">
        <v>14724</v>
      </c>
      <c r="N156" s="176" t="s">
        <v>14725</v>
      </c>
    </row>
    <row r="157" spans="1:14">
      <c r="A157" s="99"/>
      <c r="C157" s="177" t="s">
        <v>13173</v>
      </c>
      <c r="D157" s="177" t="s">
        <v>14726</v>
      </c>
      <c r="E157" s="177" t="s">
        <v>14727</v>
      </c>
      <c r="F157" s="452" t="s">
        <v>14728</v>
      </c>
      <c r="G157" s="175" t="s">
        <v>14729</v>
      </c>
      <c r="H157" s="175" t="s">
        <v>14730</v>
      </c>
      <c r="I157" s="175" t="s">
        <v>14731</v>
      </c>
      <c r="J157" s="175" t="s">
        <v>14732</v>
      </c>
      <c r="K157" s="175" t="s">
        <v>14733</v>
      </c>
      <c r="L157" s="175" t="s">
        <v>14734</v>
      </c>
      <c r="M157" s="175" t="s">
        <v>14735</v>
      </c>
      <c r="N157" s="176" t="s">
        <v>14736</v>
      </c>
    </row>
    <row r="158" spans="1:14">
      <c r="A158" s="99"/>
      <c r="C158" s="177" t="s">
        <v>13174</v>
      </c>
      <c r="D158" s="177" t="s">
        <v>14737</v>
      </c>
      <c r="E158" s="177" t="s">
        <v>14738</v>
      </c>
      <c r="F158" s="177" t="s">
        <v>14739</v>
      </c>
      <c r="G158" s="177" t="s">
        <v>14740</v>
      </c>
      <c r="H158" s="177" t="s">
        <v>14741</v>
      </c>
      <c r="I158" s="177" t="s">
        <v>14742</v>
      </c>
      <c r="J158" s="177" t="s">
        <v>14743</v>
      </c>
      <c r="K158" s="177" t="s">
        <v>14744</v>
      </c>
      <c r="L158" s="177" t="s">
        <v>14745</v>
      </c>
      <c r="M158" s="175" t="s">
        <v>14746</v>
      </c>
      <c r="N158" s="176" t="s">
        <v>14747</v>
      </c>
    </row>
    <row r="159" spans="1:14">
      <c r="A159" s="99"/>
      <c r="C159" s="177" t="s">
        <v>13175</v>
      </c>
      <c r="D159" s="177" t="s">
        <v>14748</v>
      </c>
      <c r="E159" s="177" t="s">
        <v>14749</v>
      </c>
      <c r="F159" s="177" t="s">
        <v>14750</v>
      </c>
      <c r="G159" s="177" t="s">
        <v>14751</v>
      </c>
      <c r="H159" s="177" t="s">
        <v>14752</v>
      </c>
      <c r="I159" s="177" t="s">
        <v>14753</v>
      </c>
      <c r="J159" s="177" t="s">
        <v>14754</v>
      </c>
      <c r="K159" s="177" t="s">
        <v>14755</v>
      </c>
      <c r="L159" s="177" t="s">
        <v>14756</v>
      </c>
      <c r="M159" s="175" t="s">
        <v>14757</v>
      </c>
      <c r="N159" s="176" t="s">
        <v>14758</v>
      </c>
    </row>
    <row r="160" spans="1:14">
      <c r="A160" s="99"/>
      <c r="C160" s="177" t="s">
        <v>13176</v>
      </c>
      <c r="D160" s="177" t="s">
        <v>14759</v>
      </c>
      <c r="E160" s="177" t="s">
        <v>14760</v>
      </c>
      <c r="F160" s="177" t="s">
        <v>14761</v>
      </c>
      <c r="G160" s="177" t="s">
        <v>14762</v>
      </c>
      <c r="H160" s="177" t="s">
        <v>14763</v>
      </c>
      <c r="I160" s="177" t="s">
        <v>14764</v>
      </c>
      <c r="J160" s="177" t="s">
        <v>14765</v>
      </c>
      <c r="K160" s="177" t="s">
        <v>14766</v>
      </c>
      <c r="L160" s="177" t="s">
        <v>14767</v>
      </c>
      <c r="M160" s="175" t="s">
        <v>14768</v>
      </c>
      <c r="N160" s="176" t="s">
        <v>14769</v>
      </c>
    </row>
    <row r="161" spans="1:14">
      <c r="A161" s="99"/>
      <c r="C161" s="177" t="s">
        <v>13177</v>
      </c>
      <c r="D161" s="177" t="s">
        <v>14770</v>
      </c>
      <c r="E161" s="177" t="s">
        <v>14771</v>
      </c>
      <c r="F161" s="452" t="s">
        <v>14772</v>
      </c>
      <c r="G161" s="175" t="s">
        <v>14773</v>
      </c>
      <c r="H161" s="175" t="s">
        <v>14774</v>
      </c>
      <c r="I161" s="175" t="s">
        <v>14775</v>
      </c>
      <c r="J161" s="175" t="s">
        <v>14776</v>
      </c>
      <c r="K161" s="175" t="s">
        <v>14777</v>
      </c>
      <c r="L161" s="175" t="s">
        <v>14778</v>
      </c>
      <c r="M161" s="175" t="s">
        <v>14779</v>
      </c>
      <c r="N161" s="176" t="s">
        <v>14780</v>
      </c>
    </row>
    <row r="162" spans="1:14">
      <c r="A162" s="99"/>
      <c r="C162" s="177" t="s">
        <v>13178</v>
      </c>
      <c r="D162" s="177" t="s">
        <v>14781</v>
      </c>
      <c r="E162" s="177" t="s">
        <v>14782</v>
      </c>
      <c r="F162" s="177" t="s">
        <v>14783</v>
      </c>
      <c r="G162" s="177" t="s">
        <v>14784</v>
      </c>
      <c r="H162" s="177" t="s">
        <v>14785</v>
      </c>
      <c r="I162" s="177" t="s">
        <v>14786</v>
      </c>
      <c r="J162" s="177" t="s">
        <v>14783</v>
      </c>
      <c r="K162" s="177" t="s">
        <v>14787</v>
      </c>
      <c r="L162" s="177" t="s">
        <v>14788</v>
      </c>
      <c r="M162" s="175" t="s">
        <v>14789</v>
      </c>
      <c r="N162" s="176" t="s">
        <v>14790</v>
      </c>
    </row>
    <row r="163" spans="1:14">
      <c r="A163" s="99"/>
      <c r="C163" s="177" t="s">
        <v>13179</v>
      </c>
      <c r="D163" s="177" t="s">
        <v>14791</v>
      </c>
      <c r="E163" s="177" t="s">
        <v>14792</v>
      </c>
      <c r="F163" s="177" t="s">
        <v>14793</v>
      </c>
      <c r="G163" s="177" t="s">
        <v>14794</v>
      </c>
      <c r="H163" s="177" t="s">
        <v>14795</v>
      </c>
      <c r="I163" s="177" t="s">
        <v>14796</v>
      </c>
      <c r="J163" s="177" t="s">
        <v>14797</v>
      </c>
      <c r="K163" s="177" t="s">
        <v>14798</v>
      </c>
      <c r="L163" s="177" t="s">
        <v>14799</v>
      </c>
      <c r="M163" s="175" t="s">
        <v>14800</v>
      </c>
      <c r="N163" s="176" t="s">
        <v>14801</v>
      </c>
    </row>
    <row r="164" spans="1:14">
      <c r="A164" s="99"/>
      <c r="C164" s="177" t="s">
        <v>13180</v>
      </c>
      <c r="D164" s="177" t="s">
        <v>14802</v>
      </c>
      <c r="E164" s="177" t="s">
        <v>14803</v>
      </c>
      <c r="F164" s="177" t="s">
        <v>14804</v>
      </c>
      <c r="G164" s="177" t="s">
        <v>14805</v>
      </c>
      <c r="H164" s="177" t="s">
        <v>14806</v>
      </c>
      <c r="I164" s="177" t="s">
        <v>14807</v>
      </c>
      <c r="J164" s="177" t="s">
        <v>14808</v>
      </c>
      <c r="K164" s="177" t="s">
        <v>14809</v>
      </c>
      <c r="L164" s="177" t="s">
        <v>14810</v>
      </c>
      <c r="M164" s="175" t="s">
        <v>14811</v>
      </c>
      <c r="N164" s="176" t="s">
        <v>14812</v>
      </c>
    </row>
    <row r="165" spans="1:14">
      <c r="A165" s="99"/>
      <c r="C165" s="177" t="s">
        <v>13180</v>
      </c>
      <c r="D165" s="177" t="s">
        <v>14802</v>
      </c>
      <c r="E165" s="177" t="s">
        <v>14803</v>
      </c>
      <c r="F165" s="177" t="s">
        <v>14804</v>
      </c>
      <c r="G165" s="177" t="s">
        <v>14805</v>
      </c>
      <c r="H165" s="177" t="s">
        <v>14806</v>
      </c>
      <c r="I165" s="177" t="s">
        <v>14807</v>
      </c>
      <c r="J165" s="177" t="s">
        <v>14808</v>
      </c>
      <c r="K165" s="177" t="s">
        <v>14809</v>
      </c>
      <c r="L165" s="177" t="s">
        <v>14810</v>
      </c>
      <c r="M165" s="175" t="s">
        <v>14811</v>
      </c>
      <c r="N165" s="176" t="s">
        <v>14812</v>
      </c>
    </row>
    <row r="166" spans="1:14">
      <c r="A166" s="99"/>
      <c r="C166" s="177" t="s">
        <v>13181</v>
      </c>
      <c r="D166" s="177" t="s">
        <v>14813</v>
      </c>
      <c r="E166" s="177" t="s">
        <v>14814</v>
      </c>
      <c r="F166" s="177" t="s">
        <v>14815</v>
      </c>
      <c r="G166" s="177" t="s">
        <v>14816</v>
      </c>
      <c r="H166" s="177" t="s">
        <v>14817</v>
      </c>
      <c r="I166" s="177" t="s">
        <v>14818</v>
      </c>
      <c r="J166" s="177" t="s">
        <v>14819</v>
      </c>
      <c r="K166" s="177" t="s">
        <v>14820</v>
      </c>
      <c r="L166" s="177" t="s">
        <v>14821</v>
      </c>
      <c r="M166" s="175" t="s">
        <v>14822</v>
      </c>
      <c r="N166" s="176" t="s">
        <v>14823</v>
      </c>
    </row>
    <row r="167" spans="1:14">
      <c r="A167" s="99"/>
      <c r="C167" s="177" t="s">
        <v>13182</v>
      </c>
      <c r="D167" s="177" t="s">
        <v>14824</v>
      </c>
      <c r="E167" s="177" t="s">
        <v>14825</v>
      </c>
      <c r="F167" s="177" t="s">
        <v>14826</v>
      </c>
      <c r="G167" s="177" t="s">
        <v>14827</v>
      </c>
      <c r="H167" s="177" t="s">
        <v>14828</v>
      </c>
      <c r="I167" s="177" t="s">
        <v>14829</v>
      </c>
      <c r="J167" s="177" t="s">
        <v>14826</v>
      </c>
      <c r="K167" s="177" t="s">
        <v>14830</v>
      </c>
      <c r="L167" s="177" t="s">
        <v>14831</v>
      </c>
      <c r="M167" s="175" t="s">
        <v>14832</v>
      </c>
      <c r="N167" s="176" t="s">
        <v>14833</v>
      </c>
    </row>
    <row r="168" spans="1:14">
      <c r="A168" s="99"/>
      <c r="C168" s="177" t="s">
        <v>13183</v>
      </c>
      <c r="D168" s="177" t="s">
        <v>14834</v>
      </c>
      <c r="E168" s="177" t="s">
        <v>14835</v>
      </c>
      <c r="F168" s="177" t="s">
        <v>14836</v>
      </c>
      <c r="G168" s="177" t="s">
        <v>14837</v>
      </c>
      <c r="H168" s="177" t="s">
        <v>14838</v>
      </c>
      <c r="I168" s="177" t="s">
        <v>14839</v>
      </c>
      <c r="J168" s="177" t="s">
        <v>14840</v>
      </c>
      <c r="K168" s="177" t="s">
        <v>14841</v>
      </c>
      <c r="L168" s="177" t="s">
        <v>14842</v>
      </c>
      <c r="M168" s="175" t="s">
        <v>14843</v>
      </c>
      <c r="N168" s="176" t="s">
        <v>14844</v>
      </c>
    </row>
    <row r="169" spans="1:14">
      <c r="A169" s="99"/>
      <c r="C169" s="177" t="s">
        <v>13184</v>
      </c>
      <c r="D169" s="177" t="s">
        <v>14845</v>
      </c>
      <c r="E169" s="177" t="s">
        <v>14846</v>
      </c>
      <c r="F169" s="177" t="s">
        <v>14847</v>
      </c>
      <c r="G169" s="177" t="s">
        <v>14848</v>
      </c>
      <c r="H169" s="177" t="s">
        <v>14849</v>
      </c>
      <c r="I169" s="177" t="s">
        <v>14850</v>
      </c>
      <c r="J169" s="177" t="s">
        <v>14851</v>
      </c>
      <c r="K169" s="177" t="s">
        <v>14852</v>
      </c>
      <c r="L169" s="177" t="s">
        <v>14853</v>
      </c>
      <c r="M169" s="175" t="s">
        <v>14854</v>
      </c>
      <c r="N169" s="176" t="s">
        <v>14855</v>
      </c>
    </row>
    <row r="170" spans="1:14">
      <c r="A170" s="99"/>
      <c r="C170" s="177" t="s">
        <v>11228</v>
      </c>
      <c r="D170" s="177" t="s">
        <v>14856</v>
      </c>
      <c r="E170" s="177" t="s">
        <v>14857</v>
      </c>
      <c r="F170" s="177" t="s">
        <v>12157</v>
      </c>
      <c r="G170" s="177" t="s">
        <v>14858</v>
      </c>
      <c r="H170" s="177" t="s">
        <v>14859</v>
      </c>
      <c r="I170" s="177" t="s">
        <v>14860</v>
      </c>
      <c r="J170" s="177" t="s">
        <v>12157</v>
      </c>
      <c r="K170" s="177" t="s">
        <v>14861</v>
      </c>
      <c r="L170" s="177" t="s">
        <v>14862</v>
      </c>
      <c r="M170" s="175" t="s">
        <v>14863</v>
      </c>
      <c r="N170" s="176" t="s">
        <v>14864</v>
      </c>
    </row>
    <row r="171" spans="1:14">
      <c r="A171" s="99"/>
      <c r="C171" s="177" t="s">
        <v>12158</v>
      </c>
      <c r="D171" s="177" t="s">
        <v>14865</v>
      </c>
      <c r="E171" s="177" t="s">
        <v>14866</v>
      </c>
      <c r="F171" s="177" t="s">
        <v>14867</v>
      </c>
      <c r="G171" s="177" t="s">
        <v>14868</v>
      </c>
      <c r="H171" s="177" t="s">
        <v>14869</v>
      </c>
      <c r="I171" s="177" t="s">
        <v>14870</v>
      </c>
      <c r="J171" s="177" t="s">
        <v>14871</v>
      </c>
      <c r="K171" s="177" t="s">
        <v>14872</v>
      </c>
      <c r="L171" s="177" t="s">
        <v>14873</v>
      </c>
      <c r="M171" s="175" t="s">
        <v>14874</v>
      </c>
      <c r="N171" s="176" t="s">
        <v>14875</v>
      </c>
    </row>
    <row r="172" spans="1:14">
      <c r="A172" s="99"/>
      <c r="C172" s="177" t="s">
        <v>11229</v>
      </c>
      <c r="D172" s="177" t="s">
        <v>14876</v>
      </c>
      <c r="E172" s="177" t="s">
        <v>14877</v>
      </c>
      <c r="F172" s="177" t="s">
        <v>14878</v>
      </c>
      <c r="G172" s="177" t="s">
        <v>14879</v>
      </c>
      <c r="H172" s="177" t="s">
        <v>14880</v>
      </c>
      <c r="I172" s="177" t="s">
        <v>14881</v>
      </c>
      <c r="J172" s="177" t="s">
        <v>14882</v>
      </c>
      <c r="K172" s="177" t="s">
        <v>14883</v>
      </c>
      <c r="L172" s="177" t="s">
        <v>14884</v>
      </c>
      <c r="M172" s="175" t="s">
        <v>14885</v>
      </c>
      <c r="N172" s="176" t="s">
        <v>14886</v>
      </c>
    </row>
    <row r="173" spans="1:14">
      <c r="A173" s="99"/>
      <c r="C173" s="177" t="s">
        <v>13185</v>
      </c>
      <c r="D173" s="177" t="s">
        <v>14887</v>
      </c>
      <c r="E173" s="177" t="s">
        <v>14888</v>
      </c>
      <c r="F173" s="177" t="s">
        <v>14889</v>
      </c>
      <c r="G173" s="177" t="s">
        <v>14890</v>
      </c>
      <c r="H173" s="177" t="s">
        <v>14891</v>
      </c>
      <c r="I173" s="177" t="s">
        <v>14892</v>
      </c>
      <c r="J173" s="177" t="s">
        <v>14889</v>
      </c>
      <c r="K173" s="177" t="s">
        <v>14893</v>
      </c>
      <c r="L173" s="177" t="s">
        <v>14894</v>
      </c>
      <c r="M173" s="175" t="s">
        <v>14895</v>
      </c>
      <c r="N173" s="176" t="s">
        <v>14896</v>
      </c>
    </row>
    <row r="174" spans="1:14">
      <c r="A174" s="99"/>
      <c r="C174" s="177" t="s">
        <v>13186</v>
      </c>
      <c r="D174" s="177" t="s">
        <v>14897</v>
      </c>
      <c r="E174" s="177" t="s">
        <v>14898</v>
      </c>
      <c r="F174" s="177" t="s">
        <v>14899</v>
      </c>
      <c r="G174" s="177" t="s">
        <v>14900</v>
      </c>
      <c r="H174" s="177" t="s">
        <v>14901</v>
      </c>
      <c r="I174" s="177" t="s">
        <v>14902</v>
      </c>
      <c r="J174" s="177" t="s">
        <v>14899</v>
      </c>
      <c r="K174" s="177" t="s">
        <v>14903</v>
      </c>
      <c r="L174" s="177" t="s">
        <v>14904</v>
      </c>
      <c r="M174" s="175" t="s">
        <v>14905</v>
      </c>
      <c r="N174" s="176" t="s">
        <v>14906</v>
      </c>
    </row>
    <row r="175" spans="1:14">
      <c r="A175" s="99"/>
      <c r="C175" s="177" t="s">
        <v>13187</v>
      </c>
      <c r="D175" s="177" t="s">
        <v>14907</v>
      </c>
      <c r="E175" s="177" t="s">
        <v>14908</v>
      </c>
      <c r="F175" s="177" t="s">
        <v>14909</v>
      </c>
      <c r="G175" s="177" t="s">
        <v>14910</v>
      </c>
      <c r="H175" s="177" t="s">
        <v>14911</v>
      </c>
      <c r="I175" s="177" t="s">
        <v>14912</v>
      </c>
      <c r="J175" s="177" t="s">
        <v>14909</v>
      </c>
      <c r="K175" s="177" t="s">
        <v>14913</v>
      </c>
      <c r="L175" s="177" t="s">
        <v>14914</v>
      </c>
      <c r="M175" s="175" t="s">
        <v>14915</v>
      </c>
      <c r="N175" s="176" t="s">
        <v>14916</v>
      </c>
    </row>
    <row r="176" spans="1:14">
      <c r="A176" s="99"/>
      <c r="C176" s="177" t="s">
        <v>13188</v>
      </c>
      <c r="D176" s="177" t="s">
        <v>14917</v>
      </c>
      <c r="E176" s="177" t="s">
        <v>14918</v>
      </c>
      <c r="F176" s="177" t="s">
        <v>14919</v>
      </c>
      <c r="G176" s="177" t="s">
        <v>14920</v>
      </c>
      <c r="H176" s="177" t="s">
        <v>14921</v>
      </c>
      <c r="I176" s="177" t="s">
        <v>14922</v>
      </c>
      <c r="J176" s="177" t="s">
        <v>14923</v>
      </c>
      <c r="K176" s="177" t="s">
        <v>14924</v>
      </c>
      <c r="L176" s="177" t="s">
        <v>14925</v>
      </c>
      <c r="M176" s="175" t="s">
        <v>14926</v>
      </c>
      <c r="N176" s="176" t="s">
        <v>14927</v>
      </c>
    </row>
    <row r="177" spans="1:14">
      <c r="A177" s="99"/>
      <c r="C177" s="177" t="s">
        <v>13189</v>
      </c>
      <c r="D177" s="177" t="s">
        <v>14928</v>
      </c>
      <c r="E177" s="177" t="s">
        <v>14929</v>
      </c>
      <c r="F177" s="177" t="s">
        <v>14930</v>
      </c>
      <c r="G177" s="177" t="s">
        <v>14931</v>
      </c>
      <c r="H177" s="177" t="s">
        <v>14932</v>
      </c>
      <c r="I177" s="177" t="s">
        <v>14933</v>
      </c>
      <c r="J177" s="177" t="s">
        <v>14934</v>
      </c>
      <c r="K177" s="177" t="s">
        <v>14935</v>
      </c>
      <c r="L177" s="177" t="s">
        <v>14936</v>
      </c>
      <c r="M177" s="175" t="s">
        <v>14937</v>
      </c>
      <c r="N177" s="176" t="s">
        <v>14938</v>
      </c>
    </row>
    <row r="178" spans="1:14">
      <c r="A178" s="99"/>
      <c r="C178" s="177" t="s">
        <v>13190</v>
      </c>
      <c r="D178" s="177" t="s">
        <v>14939</v>
      </c>
      <c r="E178" s="177" t="s">
        <v>14940</v>
      </c>
      <c r="F178" s="452" t="s">
        <v>14941</v>
      </c>
      <c r="G178" s="175" t="s">
        <v>14942</v>
      </c>
      <c r="H178" s="175" t="s">
        <v>14943</v>
      </c>
      <c r="I178" s="175" t="s">
        <v>14944</v>
      </c>
      <c r="J178" s="175" t="s">
        <v>14945</v>
      </c>
      <c r="K178" s="175" t="s">
        <v>14946</v>
      </c>
      <c r="L178" s="175" t="s">
        <v>14947</v>
      </c>
      <c r="M178" s="175" t="s">
        <v>14948</v>
      </c>
      <c r="N178" s="176" t="s">
        <v>14949</v>
      </c>
    </row>
    <row r="179" spans="1:14">
      <c r="A179" s="99"/>
      <c r="C179" s="177" t="s">
        <v>13191</v>
      </c>
      <c r="D179" s="177" t="s">
        <v>14950</v>
      </c>
      <c r="E179" s="177" t="s">
        <v>14951</v>
      </c>
      <c r="F179" s="177" t="s">
        <v>14952</v>
      </c>
      <c r="G179" s="177" t="s">
        <v>14953</v>
      </c>
      <c r="H179" s="177" t="s">
        <v>14954</v>
      </c>
      <c r="I179" s="177" t="s">
        <v>14955</v>
      </c>
      <c r="J179" s="177" t="s">
        <v>14956</v>
      </c>
      <c r="K179" s="177" t="s">
        <v>14957</v>
      </c>
      <c r="L179" s="177" t="s">
        <v>14958</v>
      </c>
      <c r="M179" s="175" t="s">
        <v>14959</v>
      </c>
      <c r="N179" s="176" t="s">
        <v>14960</v>
      </c>
    </row>
    <row r="180" spans="1:14">
      <c r="A180" s="99"/>
      <c r="C180" s="177" t="s">
        <v>13192</v>
      </c>
      <c r="D180" s="177" t="s">
        <v>14961</v>
      </c>
      <c r="E180" s="177" t="s">
        <v>14962</v>
      </c>
      <c r="F180" s="177" t="s">
        <v>14963</v>
      </c>
      <c r="G180" s="177" t="s">
        <v>14964</v>
      </c>
      <c r="H180" s="177" t="s">
        <v>14965</v>
      </c>
      <c r="I180" s="177" t="s">
        <v>14966</v>
      </c>
      <c r="J180" s="177" t="s">
        <v>14967</v>
      </c>
      <c r="K180" s="177" t="s">
        <v>14968</v>
      </c>
      <c r="L180" s="177" t="s">
        <v>14969</v>
      </c>
      <c r="M180" s="175" t="s">
        <v>14970</v>
      </c>
      <c r="N180" s="176" t="s">
        <v>14971</v>
      </c>
    </row>
    <row r="181" spans="1:14">
      <c r="A181" s="99"/>
      <c r="C181" s="177" t="s">
        <v>13193</v>
      </c>
      <c r="D181" s="177" t="s">
        <v>14972</v>
      </c>
      <c r="E181" s="177" t="s">
        <v>14973</v>
      </c>
      <c r="F181" s="177" t="s">
        <v>14974</v>
      </c>
      <c r="G181" s="177" t="s">
        <v>14975</v>
      </c>
      <c r="H181" s="177" t="s">
        <v>14976</v>
      </c>
      <c r="I181" s="177" t="s">
        <v>14977</v>
      </c>
      <c r="J181" s="177" t="s">
        <v>14978</v>
      </c>
      <c r="K181" s="177" t="s">
        <v>14979</v>
      </c>
      <c r="L181" s="177" t="s">
        <v>14980</v>
      </c>
      <c r="M181" s="175" t="s">
        <v>14981</v>
      </c>
      <c r="N181" s="176" t="s">
        <v>14982</v>
      </c>
    </row>
    <row r="182" spans="1:14">
      <c r="A182" s="99"/>
      <c r="C182" s="177" t="s">
        <v>13194</v>
      </c>
      <c r="D182" s="177" t="s">
        <v>14983</v>
      </c>
      <c r="E182" s="177" t="s">
        <v>14984</v>
      </c>
      <c r="F182" s="177" t="s">
        <v>14985</v>
      </c>
      <c r="G182" s="177" t="s">
        <v>14986</v>
      </c>
      <c r="H182" s="177" t="s">
        <v>14987</v>
      </c>
      <c r="I182" s="177" t="s">
        <v>14988</v>
      </c>
      <c r="J182" s="177" t="s">
        <v>14989</v>
      </c>
      <c r="K182" s="177" t="s">
        <v>14990</v>
      </c>
      <c r="L182" s="177" t="s">
        <v>14991</v>
      </c>
      <c r="M182" s="175" t="s">
        <v>14992</v>
      </c>
      <c r="N182" s="176" t="s">
        <v>14993</v>
      </c>
    </row>
    <row r="183" spans="1:14">
      <c r="A183" s="99"/>
      <c r="C183" s="177" t="s">
        <v>13195</v>
      </c>
      <c r="D183" s="177" t="s">
        <v>14994</v>
      </c>
      <c r="E183" s="177" t="s">
        <v>14995</v>
      </c>
      <c r="F183" s="177" t="s">
        <v>14996</v>
      </c>
      <c r="G183" s="177" t="s">
        <v>14997</v>
      </c>
      <c r="H183" s="177" t="s">
        <v>14998</v>
      </c>
      <c r="I183" s="177" t="s">
        <v>14999</v>
      </c>
      <c r="J183" s="177" t="s">
        <v>15000</v>
      </c>
      <c r="K183" s="177" t="s">
        <v>15001</v>
      </c>
      <c r="L183" s="177" t="s">
        <v>15002</v>
      </c>
      <c r="M183" s="175" t="s">
        <v>15003</v>
      </c>
      <c r="N183" s="176" t="s">
        <v>15004</v>
      </c>
    </row>
    <row r="184" spans="1:14">
      <c r="A184" s="99"/>
      <c r="C184" s="177" t="s">
        <v>11686</v>
      </c>
      <c r="D184" s="177" t="s">
        <v>15005</v>
      </c>
      <c r="E184" s="177" t="s">
        <v>15006</v>
      </c>
      <c r="F184" s="177" t="s">
        <v>15007</v>
      </c>
      <c r="G184" s="177" t="s">
        <v>15008</v>
      </c>
      <c r="H184" s="177" t="s">
        <v>15009</v>
      </c>
      <c r="I184" s="177" t="s">
        <v>15010</v>
      </c>
      <c r="J184" s="177" t="s">
        <v>15011</v>
      </c>
      <c r="K184" s="177" t="s">
        <v>15012</v>
      </c>
      <c r="L184" s="177" t="s">
        <v>15013</v>
      </c>
      <c r="M184" s="175" t="s">
        <v>15014</v>
      </c>
      <c r="N184" s="176" t="s">
        <v>15015</v>
      </c>
    </row>
    <row r="185" spans="1:14">
      <c r="A185" s="99"/>
      <c r="C185" s="177" t="s">
        <v>6457</v>
      </c>
      <c r="D185" s="177" t="s">
        <v>15016</v>
      </c>
      <c r="E185" s="177" t="s">
        <v>6456</v>
      </c>
      <c r="F185" s="177" t="s">
        <v>15017</v>
      </c>
      <c r="G185" s="177" t="s">
        <v>6458</v>
      </c>
      <c r="H185" s="177" t="s">
        <v>15018</v>
      </c>
      <c r="I185" s="177" t="s">
        <v>12159</v>
      </c>
      <c r="J185" s="177" t="s">
        <v>15017</v>
      </c>
      <c r="K185" s="177" t="s">
        <v>15019</v>
      </c>
      <c r="L185" s="177" t="s">
        <v>15020</v>
      </c>
      <c r="M185" s="175" t="s">
        <v>15021</v>
      </c>
      <c r="N185" s="176" t="s">
        <v>15022</v>
      </c>
    </row>
    <row r="186" spans="1:14">
      <c r="A186" s="99"/>
      <c r="C186" s="177" t="s">
        <v>6459</v>
      </c>
      <c r="D186" s="177" t="s">
        <v>15023</v>
      </c>
      <c r="E186" s="177" t="s">
        <v>15024</v>
      </c>
      <c r="F186" s="177" t="s">
        <v>15025</v>
      </c>
      <c r="G186" s="177" t="s">
        <v>15026</v>
      </c>
      <c r="H186" s="177" t="s">
        <v>15027</v>
      </c>
      <c r="I186" s="177" t="s">
        <v>15028</v>
      </c>
      <c r="J186" s="177" t="s">
        <v>15029</v>
      </c>
      <c r="K186" s="177" t="s">
        <v>15030</v>
      </c>
      <c r="L186" s="177" t="s">
        <v>15031</v>
      </c>
      <c r="M186" s="175" t="s">
        <v>15032</v>
      </c>
      <c r="N186" s="176" t="s">
        <v>15033</v>
      </c>
    </row>
    <row r="187" spans="1:14">
      <c r="A187" s="99"/>
      <c r="C187" s="177" t="s">
        <v>6453</v>
      </c>
      <c r="D187" s="177" t="s">
        <v>6452</v>
      </c>
      <c r="E187" s="177" t="s">
        <v>13581</v>
      </c>
      <c r="F187" s="177" t="s">
        <v>6454</v>
      </c>
      <c r="G187" s="177" t="s">
        <v>13582</v>
      </c>
      <c r="H187" s="177" t="s">
        <v>6455</v>
      </c>
      <c r="I187" s="177" t="s">
        <v>13583</v>
      </c>
      <c r="J187" s="177" t="s">
        <v>6454</v>
      </c>
      <c r="K187" s="177" t="s">
        <v>13584</v>
      </c>
      <c r="L187" s="177" t="s">
        <v>13585</v>
      </c>
      <c r="M187" s="175" t="s">
        <v>13586</v>
      </c>
      <c r="N187" s="176" t="s">
        <v>8715</v>
      </c>
    </row>
    <row r="188" spans="1:14" ht="15" customHeight="1">
      <c r="C188" s="177" t="s">
        <v>15044</v>
      </c>
      <c r="D188" s="177" t="s">
        <v>15045</v>
      </c>
      <c r="E188" s="177" t="s">
        <v>15055</v>
      </c>
      <c r="F188" s="177" t="s">
        <v>15046</v>
      </c>
      <c r="G188" s="177" t="s">
        <v>15047</v>
      </c>
      <c r="H188" s="177" t="s">
        <v>15048</v>
      </c>
      <c r="I188" s="177" t="s">
        <v>15049</v>
      </c>
      <c r="J188" s="177" t="s">
        <v>15050</v>
      </c>
      <c r="K188" s="177" t="s">
        <v>15051</v>
      </c>
      <c r="L188" s="177" t="s">
        <v>15052</v>
      </c>
      <c r="M188" s="175" t="s">
        <v>15053</v>
      </c>
      <c r="N188" s="176" t="s">
        <v>15054</v>
      </c>
    </row>
  </sheetData>
  <conditionalFormatting sqref="C1:N43 C44:D44 F44:N44 C45:N1048576">
    <cfRule type="duplicateValues" dxfId="6" priority="35650"/>
  </conditionalFormatting>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A388-DFFE-4760-A531-916E74EA0560}">
  <sheetPr codeName="List9"/>
  <dimension ref="A1:V146"/>
  <sheetViews>
    <sheetView workbookViewId="0">
      <pane xSplit="1" ySplit="2" topLeftCell="B3" activePane="bottomRight" state="frozen"/>
      <selection activeCell="BC71" sqref="BC71:BG72"/>
      <selection pane="topRight" activeCell="BC71" sqref="BC71:BG72"/>
      <selection pane="bottomLeft" activeCell="BC71" sqref="BC71:BG72"/>
      <selection pane="bottomRight" activeCell="A22" sqref="A22"/>
    </sheetView>
  </sheetViews>
  <sheetFormatPr defaultColWidth="9.140625" defaultRowHeight="15" customHeight="1"/>
  <cols>
    <col min="1" max="12" width="35.42578125" style="128" customWidth="1"/>
    <col min="13" max="16384" width="9.140625" style="128"/>
  </cols>
  <sheetData>
    <row r="1" spans="1:22" s="143" customFormat="1" ht="15" customHeight="1">
      <c r="A1" s="119" t="s">
        <v>2766</v>
      </c>
      <c r="B1" s="119" t="s">
        <v>2767</v>
      </c>
      <c r="C1" s="119" t="s">
        <v>2768</v>
      </c>
      <c r="D1" s="140" t="s">
        <v>6854</v>
      </c>
      <c r="E1" s="141" t="s">
        <v>2770</v>
      </c>
      <c r="F1" s="141" t="s">
        <v>2769</v>
      </c>
      <c r="G1" s="141" t="s">
        <v>6463</v>
      </c>
      <c r="H1" s="141" t="s">
        <v>7684</v>
      </c>
      <c r="I1" s="141" t="s">
        <v>6460</v>
      </c>
      <c r="J1" s="141" t="s">
        <v>6801</v>
      </c>
      <c r="K1" s="141" t="s">
        <v>7683</v>
      </c>
      <c r="L1" s="142" t="s">
        <v>7685</v>
      </c>
      <c r="M1" s="141"/>
      <c r="N1" s="141"/>
      <c r="O1" s="141"/>
      <c r="P1" s="141"/>
      <c r="Q1" s="141"/>
      <c r="R1" s="141"/>
      <c r="S1" s="141" t="s">
        <v>6909</v>
      </c>
      <c r="T1" s="141"/>
      <c r="U1" s="141"/>
      <c r="V1" s="141"/>
    </row>
    <row r="2" spans="1:22" ht="15" customHeight="1">
      <c r="A2" s="125"/>
      <c r="B2" s="125"/>
      <c r="C2" s="125"/>
      <c r="D2" s="126">
        <f>ROUND(1/'General price list'!AK1,4)</f>
        <v>5.8140000000000001</v>
      </c>
      <c r="E2" s="127"/>
      <c r="F2" s="127" t="s">
        <v>6464</v>
      </c>
      <c r="G2" s="127"/>
      <c r="H2" s="127"/>
      <c r="I2" s="127"/>
      <c r="J2" s="127" t="s">
        <v>7131</v>
      </c>
      <c r="K2" s="127"/>
      <c r="L2" s="127" t="s">
        <v>7694</v>
      </c>
      <c r="M2" s="127"/>
      <c r="N2" s="127"/>
      <c r="O2" s="127"/>
      <c r="P2" s="127"/>
      <c r="Q2" s="127"/>
      <c r="R2" s="127"/>
      <c r="S2" s="127"/>
      <c r="T2" s="127"/>
      <c r="U2" s="127"/>
      <c r="V2" s="127"/>
    </row>
    <row r="3" spans="1:22" ht="15" customHeight="1">
      <c r="A3" s="120" t="s">
        <v>2575</v>
      </c>
      <c r="B3" s="9" t="s">
        <v>2797</v>
      </c>
      <c r="C3" s="9" t="s">
        <v>2667</v>
      </c>
      <c r="D3" s="129" t="s">
        <v>11989</v>
      </c>
      <c r="E3" s="128" t="s">
        <v>6855</v>
      </c>
      <c r="F3" s="128" t="s">
        <v>6747</v>
      </c>
      <c r="G3" s="128" t="s">
        <v>6555</v>
      </c>
      <c r="H3" s="128" t="s">
        <v>6556</v>
      </c>
      <c r="I3" s="128" t="s">
        <v>6557</v>
      </c>
      <c r="J3" s="128" t="s">
        <v>6802</v>
      </c>
      <c r="K3" s="128" t="s">
        <v>7671</v>
      </c>
      <c r="L3" s="128" t="s">
        <v>8297</v>
      </c>
    </row>
    <row r="4" spans="1:22" ht="15" customHeight="1">
      <c r="A4" s="120" t="s">
        <v>2789</v>
      </c>
      <c r="B4" s="9" t="s">
        <v>2798</v>
      </c>
      <c r="C4" s="9" t="s">
        <v>2668</v>
      </c>
      <c r="D4" s="129" t="s">
        <v>11990</v>
      </c>
      <c r="E4" s="128" t="s">
        <v>6856</v>
      </c>
      <c r="F4" s="128" t="s">
        <v>6748</v>
      </c>
      <c r="G4" s="128" t="s">
        <v>6558</v>
      </c>
      <c r="H4" s="128" t="s">
        <v>6559</v>
      </c>
      <c r="I4" s="128" t="s">
        <v>6560</v>
      </c>
      <c r="J4" s="128" t="s">
        <v>6803</v>
      </c>
      <c r="K4" s="128" t="s">
        <v>7672</v>
      </c>
      <c r="L4" s="128" t="s">
        <v>8298</v>
      </c>
    </row>
    <row r="5" spans="1:22" ht="15" customHeight="1">
      <c r="A5" s="130" t="s">
        <v>2186</v>
      </c>
      <c r="B5" s="9" t="s">
        <v>2188</v>
      </c>
      <c r="C5" s="9" t="s">
        <v>2187</v>
      </c>
      <c r="D5" s="129" t="e">
        <f>"1 CZK = "&amp;ROUND(1/'General price list'!F17,3)&amp;" "&amp;VLOOKUP('General price list'!G17,'General price list'!AS1:AT3,2,FALSE)</f>
        <v>#N/A</v>
      </c>
      <c r="E5" s="128" t="s">
        <v>6857</v>
      </c>
      <c r="F5" s="128" t="s">
        <v>6749</v>
      </c>
      <c r="G5" s="128" t="s">
        <v>6561</v>
      </c>
      <c r="H5" s="128" t="s">
        <v>6562</v>
      </c>
      <c r="I5" s="128" t="s">
        <v>6563</v>
      </c>
      <c r="J5" s="128" t="s">
        <v>6804</v>
      </c>
      <c r="K5" s="128" t="s">
        <v>8718</v>
      </c>
      <c r="L5" s="128" t="s">
        <v>8299</v>
      </c>
    </row>
    <row r="6" spans="1:22" ht="15" customHeight="1">
      <c r="A6" s="124" t="s">
        <v>9457</v>
      </c>
      <c r="B6" s="9" t="s">
        <v>2773</v>
      </c>
      <c r="C6" s="120" t="s">
        <v>2775</v>
      </c>
      <c r="D6" s="129" t="s">
        <v>6564</v>
      </c>
      <c r="E6" s="128" t="s">
        <v>6858</v>
      </c>
      <c r="F6" s="128" t="s">
        <v>6547</v>
      </c>
      <c r="G6" s="128" t="s">
        <v>6565</v>
      </c>
      <c r="H6" s="128" t="s">
        <v>6548</v>
      </c>
      <c r="I6" s="128" t="s">
        <v>6566</v>
      </c>
      <c r="J6" s="128" t="s">
        <v>6805</v>
      </c>
      <c r="K6" s="128" t="s">
        <v>8719</v>
      </c>
      <c r="L6" s="128" t="s">
        <v>8300</v>
      </c>
    </row>
    <row r="7" spans="1:22" ht="15" customHeight="1">
      <c r="A7" s="130" t="s">
        <v>2757</v>
      </c>
      <c r="B7" s="9" t="s">
        <v>2772</v>
      </c>
      <c r="C7" s="9" t="s">
        <v>2172</v>
      </c>
      <c r="D7" s="128" t="s">
        <v>6567</v>
      </c>
      <c r="E7" s="128" t="s">
        <v>6859</v>
      </c>
      <c r="F7" s="128" t="s">
        <v>6750</v>
      </c>
      <c r="G7" s="128" t="s">
        <v>6568</v>
      </c>
      <c r="H7" s="128" t="s">
        <v>6569</v>
      </c>
      <c r="I7" s="128" t="s">
        <v>6570</v>
      </c>
      <c r="J7" s="128" t="s">
        <v>6806</v>
      </c>
      <c r="K7" s="128" t="s">
        <v>8720</v>
      </c>
      <c r="L7" s="128" t="s">
        <v>8301</v>
      </c>
    </row>
    <row r="8" spans="1:22" ht="15" customHeight="1">
      <c r="A8" s="131" t="s">
        <v>2771</v>
      </c>
      <c r="B8" s="120" t="s">
        <v>2774</v>
      </c>
      <c r="C8" s="120" t="s">
        <v>2783</v>
      </c>
      <c r="D8" s="128" t="s">
        <v>6571</v>
      </c>
      <c r="E8" s="128" t="s">
        <v>6860</v>
      </c>
      <c r="F8" s="128" t="s">
        <v>6751</v>
      </c>
      <c r="G8" s="128" t="s">
        <v>6572</v>
      </c>
      <c r="H8" s="128" t="s">
        <v>6573</v>
      </c>
      <c r="I8" s="128" t="s">
        <v>6574</v>
      </c>
      <c r="J8" s="128" t="s">
        <v>6807</v>
      </c>
      <c r="K8" s="128" t="s">
        <v>8721</v>
      </c>
      <c r="L8" s="128" t="s">
        <v>8302</v>
      </c>
    </row>
    <row r="9" spans="1:22" ht="15" customHeight="1">
      <c r="A9" s="124" t="s">
        <v>6549</v>
      </c>
      <c r="B9" s="120" t="s">
        <v>6550</v>
      </c>
      <c r="C9" s="120" t="s">
        <v>6551</v>
      </c>
      <c r="D9" s="128" t="s">
        <v>6575</v>
      </c>
      <c r="E9" s="128" t="s">
        <v>6907</v>
      </c>
      <c r="F9" s="128" t="s">
        <v>6799</v>
      </c>
      <c r="G9" s="128" t="s">
        <v>6576</v>
      </c>
      <c r="H9" s="128" t="s">
        <v>6577</v>
      </c>
      <c r="I9" s="128" t="s">
        <v>6908</v>
      </c>
      <c r="J9" s="128" t="s">
        <v>6808</v>
      </c>
      <c r="K9" s="128" t="s">
        <v>8722</v>
      </c>
      <c r="L9" s="128" t="s">
        <v>8303</v>
      </c>
    </row>
    <row r="10" spans="1:22" ht="15" customHeight="1">
      <c r="A10" s="132" t="s">
        <v>2114</v>
      </c>
      <c r="B10" s="120" t="s">
        <v>11</v>
      </c>
      <c r="C10" s="120" t="s">
        <v>2784</v>
      </c>
      <c r="D10" s="128" t="s">
        <v>11</v>
      </c>
      <c r="E10" s="128" t="s">
        <v>6861</v>
      </c>
      <c r="F10" s="128" t="s">
        <v>6752</v>
      </c>
      <c r="G10" s="128" t="s">
        <v>6578</v>
      </c>
      <c r="H10" s="128" t="s">
        <v>6579</v>
      </c>
      <c r="I10" s="128" t="s">
        <v>6580</v>
      </c>
      <c r="J10" s="128" t="s">
        <v>6809</v>
      </c>
      <c r="K10" s="128" t="s">
        <v>8723</v>
      </c>
      <c r="L10" s="128" t="s">
        <v>8304</v>
      </c>
    </row>
    <row r="11" spans="1:22" ht="15" customHeight="1">
      <c r="A11" s="124" t="s">
        <v>2574</v>
      </c>
      <c r="B11" s="120" t="s">
        <v>2589</v>
      </c>
      <c r="C11" s="120" t="s">
        <v>2785</v>
      </c>
      <c r="D11" s="128" t="s">
        <v>2589</v>
      </c>
      <c r="E11" s="128" t="s">
        <v>6862</v>
      </c>
      <c r="F11" s="128" t="s">
        <v>6753</v>
      </c>
      <c r="G11" s="128" t="s">
        <v>6581</v>
      </c>
      <c r="H11" s="128" t="s">
        <v>6582</v>
      </c>
      <c r="I11" s="128" t="s">
        <v>6583</v>
      </c>
      <c r="J11" s="128" t="s">
        <v>6810</v>
      </c>
      <c r="K11" s="128" t="s">
        <v>8724</v>
      </c>
      <c r="L11" s="128" t="s">
        <v>8305</v>
      </c>
    </row>
    <row r="12" spans="1:22" ht="15" customHeight="1">
      <c r="A12" s="124" t="s">
        <v>2759</v>
      </c>
      <c r="B12" s="120" t="s">
        <v>2760</v>
      </c>
      <c r="C12" s="120" t="s">
        <v>6552</v>
      </c>
      <c r="D12" s="128" t="s">
        <v>6584</v>
      </c>
      <c r="E12" s="128" t="s">
        <v>6863</v>
      </c>
      <c r="F12" s="128" t="s">
        <v>6754</v>
      </c>
      <c r="G12" s="128" t="s">
        <v>6585</v>
      </c>
      <c r="H12" s="128" t="s">
        <v>6586</v>
      </c>
      <c r="I12" s="128" t="s">
        <v>6587</v>
      </c>
      <c r="J12" s="128" t="s">
        <v>6811</v>
      </c>
      <c r="K12" s="128" t="s">
        <v>8725</v>
      </c>
      <c r="L12" s="128" t="s">
        <v>8306</v>
      </c>
    </row>
    <row r="13" spans="1:22" ht="15" customHeight="1">
      <c r="A13" s="124" t="s">
        <v>2790</v>
      </c>
      <c r="B13" s="120" t="s">
        <v>2795</v>
      </c>
      <c r="C13" s="120" t="s">
        <v>2796</v>
      </c>
      <c r="D13" s="144" t="s">
        <v>2795</v>
      </c>
      <c r="E13" s="128" t="s">
        <v>6864</v>
      </c>
      <c r="F13" s="128" t="s">
        <v>6755</v>
      </c>
      <c r="G13" s="128" t="s">
        <v>6588</v>
      </c>
      <c r="H13" s="128" t="s">
        <v>6589</v>
      </c>
      <c r="I13" s="128" t="s">
        <v>6590</v>
      </c>
      <c r="J13" s="128" t="s">
        <v>6812</v>
      </c>
      <c r="K13" s="128" t="s">
        <v>8726</v>
      </c>
      <c r="L13" s="128" t="s">
        <v>8307</v>
      </c>
    </row>
    <row r="14" spans="1:22" ht="15" customHeight="1">
      <c r="A14" s="130" t="s">
        <v>2134</v>
      </c>
      <c r="B14" s="9" t="s">
        <v>2180</v>
      </c>
      <c r="C14" s="9" t="s">
        <v>2171</v>
      </c>
      <c r="D14" s="133" t="str">
        <f>"Cena w "&amp;'General price list'!AR4</f>
        <v>Cena w €</v>
      </c>
      <c r="E14" s="128" t="s">
        <v>6865</v>
      </c>
      <c r="F14" s="128" t="s">
        <v>6756</v>
      </c>
      <c r="G14" s="128" t="s">
        <v>6591</v>
      </c>
      <c r="H14" s="128" t="s">
        <v>6592</v>
      </c>
      <c r="I14" s="128" t="s">
        <v>6593</v>
      </c>
      <c r="J14" s="128" t="s">
        <v>6813</v>
      </c>
      <c r="K14" s="128" t="s">
        <v>8727</v>
      </c>
      <c r="L14" s="128" t="s">
        <v>2134</v>
      </c>
    </row>
    <row r="15" spans="1:22" ht="15" customHeight="1">
      <c r="A15" s="124" t="str">
        <f>'General price list'!AR4</f>
        <v>€</v>
      </c>
      <c r="B15" s="9" t="str">
        <f>"Price in "&amp;A15</f>
        <v>Price in €</v>
      </c>
      <c r="C15" s="9" t="str">
        <f>"Preis in "&amp;A15</f>
        <v>Preis in €</v>
      </c>
      <c r="D15" s="133" t="str">
        <f>"Cena w "&amp;A15</f>
        <v>Cena w €</v>
      </c>
      <c r="E15" s="128" t="str">
        <f>"Giá "&amp;A15</f>
        <v>Giá €</v>
      </c>
      <c r="F15" s="128" t="str">
        <f>"Kaina "&amp;A15</f>
        <v>Kaina €</v>
      </c>
      <c r="G15" s="128" t="str">
        <f>"Cijena u "&amp;A15</f>
        <v>Cijena u €</v>
      </c>
      <c r="H15" s="128" t="str">
        <f>"Cena u "&amp;A15</f>
        <v>Cena u €</v>
      </c>
      <c r="I15" s="128" t="str">
        <f>"Prezzo in "&amp;A15</f>
        <v>Prezzo in €</v>
      </c>
      <c r="J15" s="128" t="str">
        <f>"hind "&amp;A15</f>
        <v>hind €</v>
      </c>
      <c r="K15" s="128" t="str">
        <f>"Ár "&amp;A15</f>
        <v>Ár €</v>
      </c>
      <c r="L15" s="128" t="str">
        <f>"Cena "&amp;A15</f>
        <v>Cena €</v>
      </c>
    </row>
    <row r="16" spans="1:22" ht="15" customHeight="1">
      <c r="A16" s="134" t="s">
        <v>2761</v>
      </c>
      <c r="B16" s="9" t="s">
        <v>2776</v>
      </c>
      <c r="C16" s="9" t="s">
        <v>2777</v>
      </c>
      <c r="D16" s="129" t="str">
        <f>"Cena w "&amp;'General price list'!AR4&amp;" po rabacie"</f>
        <v>Cena w € po rabacie</v>
      </c>
      <c r="E16" s="128" t="s">
        <v>6866</v>
      </c>
      <c r="F16" s="128" t="s">
        <v>6757</v>
      </c>
      <c r="G16" s="128" t="s">
        <v>6594</v>
      </c>
      <c r="H16" s="128" t="s">
        <v>6595</v>
      </c>
      <c r="I16" s="128" t="s">
        <v>6596</v>
      </c>
      <c r="J16" s="128" t="s">
        <v>6814</v>
      </c>
      <c r="K16" s="128" t="s">
        <v>8728</v>
      </c>
      <c r="L16" s="128" t="s">
        <v>8308</v>
      </c>
    </row>
    <row r="17" spans="1:15" ht="15" customHeight="1">
      <c r="A17" s="132" t="s">
        <v>2109</v>
      </c>
      <c r="B17" s="9" t="s">
        <v>2177</v>
      </c>
      <c r="C17" s="9" t="s">
        <v>2168</v>
      </c>
      <c r="D17" s="129" t="s">
        <v>6597</v>
      </c>
      <c r="E17" s="128" t="s">
        <v>6867</v>
      </c>
      <c r="F17" s="128" t="s">
        <v>6758</v>
      </c>
      <c r="G17" s="128" t="s">
        <v>6598</v>
      </c>
      <c r="H17" s="128" t="s">
        <v>6599</v>
      </c>
      <c r="I17" s="128" t="s">
        <v>6600</v>
      </c>
      <c r="J17" s="128" t="s">
        <v>6815</v>
      </c>
      <c r="K17" s="128" t="s">
        <v>8729</v>
      </c>
      <c r="L17" s="128" t="s">
        <v>8309</v>
      </c>
    </row>
    <row r="18" spans="1:15" ht="15" customHeight="1">
      <c r="A18" s="132" t="s">
        <v>2133</v>
      </c>
      <c r="B18" s="9" t="s">
        <v>2179</v>
      </c>
      <c r="C18" s="9" t="s">
        <v>2170</v>
      </c>
      <c r="D18" s="129" t="s">
        <v>6601</v>
      </c>
      <c r="E18" s="128" t="s">
        <v>6868</v>
      </c>
      <c r="F18" s="128" t="s">
        <v>6759</v>
      </c>
      <c r="G18" s="128" t="s">
        <v>6602</v>
      </c>
      <c r="H18" s="128" t="s">
        <v>6603</v>
      </c>
      <c r="I18" s="128" t="s">
        <v>6604</v>
      </c>
      <c r="J18" s="128" t="s">
        <v>6816</v>
      </c>
      <c r="K18" s="128" t="s">
        <v>8730</v>
      </c>
      <c r="L18" s="128" t="s">
        <v>8310</v>
      </c>
    </row>
    <row r="19" spans="1:15" ht="15" customHeight="1">
      <c r="A19" s="135" t="s">
        <v>2110</v>
      </c>
      <c r="B19" s="9" t="s">
        <v>2178</v>
      </c>
      <c r="C19" s="9" t="s">
        <v>2169</v>
      </c>
      <c r="D19" s="129" t="s">
        <v>6605</v>
      </c>
      <c r="E19" s="128" t="s">
        <v>6869</v>
      </c>
      <c r="F19" s="128" t="s">
        <v>6760</v>
      </c>
      <c r="G19" s="128" t="s">
        <v>6606</v>
      </c>
      <c r="H19" s="128" t="s">
        <v>6607</v>
      </c>
      <c r="I19" s="128" t="s">
        <v>6608</v>
      </c>
      <c r="J19" s="128" t="s">
        <v>6817</v>
      </c>
      <c r="K19" s="128" t="s">
        <v>8731</v>
      </c>
      <c r="L19" s="128" t="s">
        <v>8311</v>
      </c>
    </row>
    <row r="20" spans="1:15" ht="15" customHeight="1">
      <c r="A20" s="124" t="s">
        <v>13020</v>
      </c>
      <c r="B20" s="9" t="s">
        <v>13021</v>
      </c>
      <c r="C20" s="9" t="s">
        <v>13022</v>
      </c>
      <c r="D20" s="128" t="s">
        <v>13023</v>
      </c>
      <c r="E20" s="128" t="s">
        <v>13024</v>
      </c>
      <c r="F20" s="121" t="s">
        <v>13025</v>
      </c>
      <c r="G20" s="121" t="s">
        <v>13026</v>
      </c>
      <c r="H20" s="121" t="s">
        <v>13026</v>
      </c>
      <c r="I20" s="121" t="s">
        <v>13027</v>
      </c>
      <c r="J20" s="121" t="s">
        <v>13028</v>
      </c>
      <c r="K20" s="122" t="s">
        <v>13029</v>
      </c>
      <c r="L20" s="123" t="s">
        <v>13030</v>
      </c>
      <c r="N20" s="121"/>
      <c r="O20" s="121"/>
    </row>
    <row r="21" spans="1:15" ht="15" customHeight="1">
      <c r="A21" s="130" t="s">
        <v>2368</v>
      </c>
      <c r="B21" s="9" t="s">
        <v>2590</v>
      </c>
      <c r="C21" s="9" t="s">
        <v>2369</v>
      </c>
      <c r="D21" s="128" t="s">
        <v>6609</v>
      </c>
      <c r="E21" s="128" t="s">
        <v>6870</v>
      </c>
      <c r="F21" s="121" t="s">
        <v>6761</v>
      </c>
      <c r="G21" s="121" t="s">
        <v>6610</v>
      </c>
      <c r="H21" s="121" t="s">
        <v>6611</v>
      </c>
      <c r="I21" s="121" t="s">
        <v>6612</v>
      </c>
      <c r="J21" s="121" t="s">
        <v>6818</v>
      </c>
      <c r="K21" s="121" t="s">
        <v>8732</v>
      </c>
      <c r="L21" s="128" t="s">
        <v>8312</v>
      </c>
    </row>
    <row r="22" spans="1:15" ht="15" customHeight="1">
      <c r="A22" s="130" t="s">
        <v>9089</v>
      </c>
      <c r="B22" s="9" t="s">
        <v>9100</v>
      </c>
      <c r="C22" s="9" t="s">
        <v>9099</v>
      </c>
      <c r="D22" s="128" t="s">
        <v>9098</v>
      </c>
      <c r="E22" s="128" t="s">
        <v>9097</v>
      </c>
      <c r="F22" s="121" t="s">
        <v>9096</v>
      </c>
      <c r="G22" s="121" t="s">
        <v>9095</v>
      </c>
      <c r="H22" s="121" t="s">
        <v>9094</v>
      </c>
      <c r="I22" s="121" t="s">
        <v>9093</v>
      </c>
      <c r="J22" s="121" t="s">
        <v>9092</v>
      </c>
      <c r="K22" s="121" t="s">
        <v>9091</v>
      </c>
      <c r="L22" s="128" t="s">
        <v>9090</v>
      </c>
    </row>
    <row r="23" spans="1:15" ht="15" customHeight="1">
      <c r="A23" s="130" t="s">
        <v>9082</v>
      </c>
      <c r="B23" s="9" t="s">
        <v>9083</v>
      </c>
      <c r="C23" s="9" t="s">
        <v>9082</v>
      </c>
      <c r="D23" s="128" t="s">
        <v>9084</v>
      </c>
      <c r="E23" s="128" t="s">
        <v>9085</v>
      </c>
      <c r="F23" s="121" t="s">
        <v>9084</v>
      </c>
      <c r="G23" s="121" t="s">
        <v>9082</v>
      </c>
      <c r="H23" s="121" t="s">
        <v>9082</v>
      </c>
      <c r="I23" s="121" t="s">
        <v>9084</v>
      </c>
      <c r="J23" s="121" t="s">
        <v>9086</v>
      </c>
      <c r="K23" s="121" t="s">
        <v>9087</v>
      </c>
      <c r="L23" s="128" t="s">
        <v>9088</v>
      </c>
    </row>
    <row r="24" spans="1:15" ht="15" customHeight="1">
      <c r="A24" s="124" t="s">
        <v>2176</v>
      </c>
      <c r="B24" s="124" t="s">
        <v>9079</v>
      </c>
      <c r="C24" s="120" t="s">
        <v>9080</v>
      </c>
      <c r="D24" s="128" t="s">
        <v>6613</v>
      </c>
      <c r="E24" s="128" t="s">
        <v>6871</v>
      </c>
      <c r="F24" s="121" t="s">
        <v>6762</v>
      </c>
      <c r="G24" s="121" t="s">
        <v>2788</v>
      </c>
      <c r="H24" s="121" t="s">
        <v>2176</v>
      </c>
      <c r="I24" s="128" t="s">
        <v>2176</v>
      </c>
      <c r="J24" s="128" t="s">
        <v>6819</v>
      </c>
      <c r="K24" s="128" t="s">
        <v>2176</v>
      </c>
      <c r="L24" s="128" t="s">
        <v>8348</v>
      </c>
    </row>
    <row r="25" spans="1:15" ht="15" customHeight="1">
      <c r="A25" s="130" t="s">
        <v>2145</v>
      </c>
      <c r="B25" s="124" t="s">
        <v>3</v>
      </c>
      <c r="C25" s="120" t="s">
        <v>2173</v>
      </c>
      <c r="D25" s="136" t="s">
        <v>6614</v>
      </c>
      <c r="E25" s="128" t="s">
        <v>6872</v>
      </c>
      <c r="F25" s="137" t="s">
        <v>6763</v>
      </c>
      <c r="G25" s="137" t="s">
        <v>6615</v>
      </c>
      <c r="H25" s="137" t="s">
        <v>6615</v>
      </c>
      <c r="I25" s="137" t="s">
        <v>6616</v>
      </c>
      <c r="J25" s="137" t="s">
        <v>6820</v>
      </c>
      <c r="K25" s="128" t="s">
        <v>8733</v>
      </c>
      <c r="L25" s="128" t="s">
        <v>8313</v>
      </c>
    </row>
    <row r="26" spans="1:15" ht="15" customHeight="1">
      <c r="A26" s="124" t="s">
        <v>2756</v>
      </c>
      <c r="B26" s="124" t="s">
        <v>2778</v>
      </c>
      <c r="C26" s="120" t="s">
        <v>2166</v>
      </c>
      <c r="D26" s="136" t="s">
        <v>6617</v>
      </c>
      <c r="E26" s="128" t="s">
        <v>6873</v>
      </c>
      <c r="F26" s="128" t="s">
        <v>6764</v>
      </c>
      <c r="G26" s="128" t="s">
        <v>6618</v>
      </c>
      <c r="H26" s="128" t="s">
        <v>6618</v>
      </c>
      <c r="I26" s="128" t="s">
        <v>6619</v>
      </c>
      <c r="J26" s="128" t="s">
        <v>6821</v>
      </c>
      <c r="K26" s="128" t="s">
        <v>8734</v>
      </c>
      <c r="L26" s="128" t="s">
        <v>8314</v>
      </c>
    </row>
    <row r="27" spans="1:15" ht="15" customHeight="1">
      <c r="A27" s="124" t="s">
        <v>9458</v>
      </c>
      <c r="B27" s="130" t="s">
        <v>2782</v>
      </c>
      <c r="C27" s="120" t="s">
        <v>2758</v>
      </c>
      <c r="D27" s="136" t="s">
        <v>6620</v>
      </c>
      <c r="E27" s="128" t="s">
        <v>6874</v>
      </c>
      <c r="F27" s="128" t="s">
        <v>6765</v>
      </c>
      <c r="G27" s="128" t="s">
        <v>6553</v>
      </c>
      <c r="H27" s="122" t="s">
        <v>6553</v>
      </c>
      <c r="I27" s="128" t="s">
        <v>6621</v>
      </c>
      <c r="J27" s="128" t="s">
        <v>6822</v>
      </c>
      <c r="K27" s="128" t="s">
        <v>8735</v>
      </c>
      <c r="L27" s="128" t="s">
        <v>8315</v>
      </c>
    </row>
    <row r="28" spans="1:15" ht="15" customHeight="1">
      <c r="A28" s="130" t="s">
        <v>2135</v>
      </c>
      <c r="B28" s="9" t="s">
        <v>2779</v>
      </c>
      <c r="C28" s="9" t="s">
        <v>2189</v>
      </c>
      <c r="D28" s="136" t="s">
        <v>6622</v>
      </c>
      <c r="E28" s="128" t="s">
        <v>6875</v>
      </c>
      <c r="F28" s="128" t="s">
        <v>6766</v>
      </c>
      <c r="G28" s="128" t="s">
        <v>6623</v>
      </c>
      <c r="H28" s="128" t="s">
        <v>2189</v>
      </c>
      <c r="I28" s="128" t="s">
        <v>6624</v>
      </c>
      <c r="J28" s="128" t="s">
        <v>6823</v>
      </c>
      <c r="K28" s="128" t="s">
        <v>8736</v>
      </c>
      <c r="L28" s="128" t="s">
        <v>8350</v>
      </c>
    </row>
    <row r="29" spans="1:15" ht="15" customHeight="1">
      <c r="A29" s="124" t="s">
        <v>2147</v>
      </c>
      <c r="B29" s="9" t="s">
        <v>2132</v>
      </c>
      <c r="C29" s="9" t="s">
        <v>2175</v>
      </c>
      <c r="D29" s="136" t="s">
        <v>6625</v>
      </c>
      <c r="E29" s="128" t="s">
        <v>6876</v>
      </c>
      <c r="F29" s="128" t="s">
        <v>6767</v>
      </c>
      <c r="G29" s="128" t="s">
        <v>6626</v>
      </c>
      <c r="H29" s="128" t="s">
        <v>6627</v>
      </c>
      <c r="I29" s="128" t="s">
        <v>6628</v>
      </c>
      <c r="J29" s="128" t="s">
        <v>6824</v>
      </c>
      <c r="K29" s="128" t="s">
        <v>8737</v>
      </c>
      <c r="L29" s="128" t="s">
        <v>8316</v>
      </c>
    </row>
    <row r="30" spans="1:15" ht="15" customHeight="1">
      <c r="A30" s="124" t="s">
        <v>9103</v>
      </c>
      <c r="B30" s="9" t="s">
        <v>2780</v>
      </c>
      <c r="C30" s="9" t="s">
        <v>2781</v>
      </c>
      <c r="D30" s="136" t="s">
        <v>6629</v>
      </c>
      <c r="E30" s="128" t="s">
        <v>6877</v>
      </c>
      <c r="F30" s="128" t="s">
        <v>6768</v>
      </c>
      <c r="G30" s="128" t="s">
        <v>6630</v>
      </c>
      <c r="H30" s="128" t="s">
        <v>6631</v>
      </c>
      <c r="I30" s="128" t="s">
        <v>6632</v>
      </c>
      <c r="J30" s="128" t="s">
        <v>6825</v>
      </c>
      <c r="K30" s="128" t="s">
        <v>8738</v>
      </c>
      <c r="L30" s="128" t="s">
        <v>8317</v>
      </c>
    </row>
    <row r="31" spans="1:15" ht="15" customHeight="1">
      <c r="A31" s="124" t="s">
        <v>2141</v>
      </c>
      <c r="B31" s="120" t="s">
        <v>1</v>
      </c>
      <c r="C31" s="120" t="s">
        <v>2167</v>
      </c>
      <c r="D31" s="128" t="s">
        <v>6633</v>
      </c>
      <c r="E31" s="128" t="s">
        <v>6878</v>
      </c>
      <c r="F31" s="128" t="s">
        <v>6769</v>
      </c>
      <c r="G31" s="128" t="s">
        <v>6634</v>
      </c>
      <c r="H31" s="128" t="s">
        <v>6634</v>
      </c>
      <c r="I31" s="128" t="s">
        <v>6635</v>
      </c>
      <c r="J31" s="128" t="s">
        <v>6826</v>
      </c>
      <c r="K31" s="128" t="s">
        <v>8739</v>
      </c>
      <c r="L31" s="128" t="s">
        <v>8318</v>
      </c>
    </row>
    <row r="32" spans="1:15" ht="15" customHeight="1">
      <c r="A32" s="124" t="s">
        <v>2763</v>
      </c>
      <c r="B32" s="9" t="s">
        <v>2791</v>
      </c>
      <c r="C32" s="9" t="s">
        <v>2792</v>
      </c>
      <c r="D32" s="129" t="s">
        <v>6636</v>
      </c>
      <c r="E32" s="128" t="s">
        <v>6879</v>
      </c>
      <c r="F32" s="128" t="s">
        <v>6770</v>
      </c>
      <c r="G32" s="128" t="s">
        <v>6637</v>
      </c>
      <c r="H32" s="128" t="s">
        <v>6637</v>
      </c>
      <c r="I32" s="128" t="s">
        <v>6638</v>
      </c>
      <c r="J32" s="128" t="s">
        <v>6827</v>
      </c>
      <c r="K32" s="128" t="s">
        <v>8740</v>
      </c>
      <c r="L32" s="128" t="s">
        <v>8319</v>
      </c>
    </row>
    <row r="33" spans="1:12" ht="15" customHeight="1">
      <c r="A33" s="124" t="s">
        <v>2142</v>
      </c>
      <c r="B33" s="124" t="s">
        <v>6642</v>
      </c>
      <c r="C33" s="120" t="s">
        <v>9081</v>
      </c>
      <c r="D33" s="138" t="s">
        <v>6639</v>
      </c>
      <c r="E33" s="128" t="s">
        <v>6880</v>
      </c>
      <c r="F33" s="128" t="s">
        <v>6800</v>
      </c>
      <c r="G33" s="128" t="s">
        <v>6640</v>
      </c>
      <c r="H33" s="128" t="s">
        <v>6641</v>
      </c>
      <c r="I33" s="128" t="s">
        <v>6642</v>
      </c>
      <c r="K33" s="128" t="s">
        <v>8741</v>
      </c>
      <c r="L33" s="128" t="s">
        <v>8349</v>
      </c>
    </row>
    <row r="34" spans="1:12" ht="15" customHeight="1">
      <c r="A34" s="130" t="s">
        <v>2765</v>
      </c>
      <c r="B34" s="9" t="s">
        <v>2669</v>
      </c>
      <c r="C34" s="9" t="s">
        <v>2752</v>
      </c>
      <c r="D34" s="138" t="s">
        <v>6643</v>
      </c>
      <c r="E34" s="128" t="s">
        <v>6881</v>
      </c>
      <c r="F34" s="128" t="s">
        <v>6771</v>
      </c>
      <c r="G34" s="128" t="s">
        <v>6644</v>
      </c>
      <c r="H34" s="121" t="s">
        <v>6644</v>
      </c>
      <c r="I34" s="128" t="s">
        <v>6645</v>
      </c>
      <c r="J34" s="128" t="s">
        <v>6828</v>
      </c>
      <c r="K34" s="128" t="s">
        <v>8742</v>
      </c>
      <c r="L34" s="128" t="s">
        <v>8320</v>
      </c>
    </row>
    <row r="35" spans="1:12" ht="15" customHeight="1">
      <c r="A35" s="124" t="s">
        <v>6</v>
      </c>
      <c r="B35" s="9" t="s">
        <v>2786</v>
      </c>
      <c r="C35" s="9" t="s">
        <v>2787</v>
      </c>
      <c r="D35" s="136" t="s">
        <v>2832</v>
      </c>
      <c r="E35" s="128" t="s">
        <v>2833</v>
      </c>
      <c r="F35" s="121" t="s">
        <v>2834</v>
      </c>
      <c r="G35" s="121" t="s">
        <v>2830</v>
      </c>
      <c r="H35" s="121" t="s">
        <v>2830</v>
      </c>
      <c r="I35" s="121" t="s">
        <v>2831</v>
      </c>
      <c r="J35" s="121" t="s">
        <v>6829</v>
      </c>
      <c r="K35" s="128" t="s">
        <v>8743</v>
      </c>
      <c r="L35" s="128" t="s">
        <v>8321</v>
      </c>
    </row>
    <row r="36" spans="1:12" ht="15" customHeight="1">
      <c r="A36" s="139" t="s">
        <v>2764</v>
      </c>
      <c r="B36" s="9" t="s">
        <v>2793</v>
      </c>
      <c r="C36" s="9" t="s">
        <v>2794</v>
      </c>
      <c r="D36" s="136" t="s">
        <v>6646</v>
      </c>
      <c r="E36" s="128" t="s">
        <v>6882</v>
      </c>
      <c r="F36" s="128" t="s">
        <v>6772</v>
      </c>
      <c r="G36" s="128" t="s">
        <v>6647</v>
      </c>
      <c r="H36" s="128" t="s">
        <v>6648</v>
      </c>
      <c r="I36" s="128" t="s">
        <v>6649</v>
      </c>
      <c r="J36" s="128" t="s">
        <v>6830</v>
      </c>
      <c r="K36" s="128" t="s">
        <v>8744</v>
      </c>
      <c r="L36" s="128" t="s">
        <v>8322</v>
      </c>
    </row>
    <row r="37" spans="1:12" ht="15" customHeight="1">
      <c r="A37" s="124" t="s">
        <v>13008</v>
      </c>
      <c r="B37" s="9" t="s">
        <v>13009</v>
      </c>
      <c r="C37" s="9" t="s">
        <v>13010</v>
      </c>
      <c r="D37" s="136" t="s">
        <v>13011</v>
      </c>
      <c r="E37" s="128" t="s">
        <v>13012</v>
      </c>
      <c r="F37" s="128" t="s">
        <v>13013</v>
      </c>
      <c r="G37" s="128" t="s">
        <v>13014</v>
      </c>
      <c r="H37" s="128" t="s">
        <v>13015</v>
      </c>
      <c r="I37" s="128" t="s">
        <v>13016</v>
      </c>
      <c r="J37" s="128" t="s">
        <v>13017</v>
      </c>
      <c r="K37" s="128" t="s">
        <v>13018</v>
      </c>
      <c r="L37" s="128" t="s">
        <v>13019</v>
      </c>
    </row>
    <row r="38" spans="1:12" ht="15" customHeight="1">
      <c r="A38" s="134" t="s">
        <v>8955</v>
      </c>
      <c r="B38" s="120" t="s">
        <v>9043</v>
      </c>
      <c r="C38" s="120" t="s">
        <v>9044</v>
      </c>
      <c r="D38" s="136" t="s">
        <v>9045</v>
      </c>
      <c r="E38" s="128" t="s">
        <v>9046</v>
      </c>
      <c r="F38" s="128" t="s">
        <v>9047</v>
      </c>
      <c r="G38" s="128" t="s">
        <v>9045</v>
      </c>
      <c r="H38" s="128" t="s">
        <v>9048</v>
      </c>
      <c r="I38" s="128" t="s">
        <v>9049</v>
      </c>
      <c r="J38" s="128" t="s">
        <v>9050</v>
      </c>
      <c r="K38" s="128" t="s">
        <v>9051</v>
      </c>
      <c r="L38" s="128" t="s">
        <v>9042</v>
      </c>
    </row>
    <row r="39" spans="1:12" ht="15" customHeight="1">
      <c r="A39" s="124" t="s">
        <v>2146</v>
      </c>
      <c r="B39" s="9" t="s">
        <v>2131</v>
      </c>
      <c r="C39" s="9" t="s">
        <v>2174</v>
      </c>
      <c r="D39" s="136" t="s">
        <v>6650</v>
      </c>
      <c r="E39" s="128" t="s">
        <v>6883</v>
      </c>
      <c r="F39" s="128" t="s">
        <v>6773</v>
      </c>
      <c r="G39" s="128" t="s">
        <v>6651</v>
      </c>
      <c r="H39" s="128" t="s">
        <v>6652</v>
      </c>
      <c r="I39" s="128" t="s">
        <v>6653</v>
      </c>
      <c r="J39" s="128" t="s">
        <v>6831</v>
      </c>
      <c r="K39" s="128" t="s">
        <v>8745</v>
      </c>
      <c r="L39" s="128" t="s">
        <v>8323</v>
      </c>
    </row>
    <row r="40" spans="1:12" ht="15" customHeight="1">
      <c r="A40" s="124" t="s">
        <v>4</v>
      </c>
      <c r="B40" s="124" t="s">
        <v>4</v>
      </c>
      <c r="C40" s="120" t="s">
        <v>4</v>
      </c>
      <c r="D40" s="136" t="s">
        <v>6654</v>
      </c>
      <c r="E40" s="128" t="s">
        <v>4</v>
      </c>
      <c r="F40" s="128" t="s">
        <v>6774</v>
      </c>
      <c r="G40" s="128" t="s">
        <v>4</v>
      </c>
      <c r="H40" s="128" t="s">
        <v>4</v>
      </c>
      <c r="I40" s="128" t="s">
        <v>6655</v>
      </c>
      <c r="J40" s="128" t="s">
        <v>6832</v>
      </c>
      <c r="K40" s="128" t="s">
        <v>6832</v>
      </c>
      <c r="L40" s="128" t="s">
        <v>4</v>
      </c>
    </row>
    <row r="41" spans="1:12" ht="15" customHeight="1">
      <c r="A41" s="124" t="s">
        <v>2666</v>
      </c>
      <c r="B41" s="124" t="s">
        <v>2712</v>
      </c>
      <c r="C41" s="120" t="s">
        <v>2715</v>
      </c>
      <c r="D41" s="136" t="s">
        <v>6656</v>
      </c>
      <c r="E41" s="128" t="s">
        <v>6884</v>
      </c>
      <c r="F41" s="128" t="s">
        <v>6775</v>
      </c>
      <c r="G41" s="128" t="s">
        <v>6657</v>
      </c>
      <c r="H41" s="128" t="s">
        <v>6658</v>
      </c>
      <c r="I41" s="128" t="s">
        <v>6659</v>
      </c>
      <c r="J41" s="128" t="s">
        <v>6833</v>
      </c>
      <c r="K41" s="128" t="s">
        <v>7674</v>
      </c>
      <c r="L41" s="128" t="s">
        <v>8324</v>
      </c>
    </row>
    <row r="42" spans="1:12" ht="15" customHeight="1">
      <c r="A42" s="124" t="s">
        <v>2710</v>
      </c>
      <c r="B42" s="124" t="s">
        <v>2713</v>
      </c>
      <c r="C42" s="120" t="s">
        <v>2716</v>
      </c>
      <c r="D42" s="136" t="s">
        <v>6660</v>
      </c>
      <c r="E42" s="128" t="s">
        <v>6885</v>
      </c>
      <c r="F42" s="128" t="s">
        <v>6776</v>
      </c>
      <c r="G42" s="128" t="s">
        <v>6661</v>
      </c>
      <c r="H42" s="128" t="s">
        <v>6662</v>
      </c>
      <c r="I42" s="128" t="s">
        <v>6663</v>
      </c>
      <c r="J42" s="128" t="s">
        <v>6834</v>
      </c>
      <c r="K42" s="128" t="s">
        <v>7675</v>
      </c>
      <c r="L42" s="128" t="s">
        <v>8325</v>
      </c>
    </row>
    <row r="43" spans="1:12" ht="15" customHeight="1">
      <c r="A43" s="124" t="s">
        <v>9148</v>
      </c>
      <c r="B43" s="124" t="s">
        <v>9149</v>
      </c>
      <c r="C43" s="120" t="s">
        <v>9150</v>
      </c>
      <c r="D43" s="136" t="s">
        <v>9151</v>
      </c>
      <c r="E43" s="128" t="s">
        <v>9152</v>
      </c>
      <c r="F43" s="128" t="s">
        <v>9153</v>
      </c>
      <c r="G43" s="128" t="s">
        <v>9154</v>
      </c>
      <c r="H43" s="128" t="s">
        <v>9155</v>
      </c>
      <c r="I43" s="128" t="s">
        <v>9156</v>
      </c>
      <c r="J43" s="128" t="s">
        <v>9157</v>
      </c>
      <c r="K43" s="128" t="s">
        <v>9158</v>
      </c>
      <c r="L43" s="128" t="s">
        <v>9159</v>
      </c>
    </row>
    <row r="44" spans="1:12" ht="15" customHeight="1">
      <c r="A44" s="124" t="s">
        <v>2711</v>
      </c>
      <c r="B44" s="124" t="s">
        <v>2714</v>
      </c>
      <c r="C44" s="120" t="s">
        <v>2799</v>
      </c>
      <c r="D44" s="136" t="s">
        <v>6664</v>
      </c>
      <c r="E44" s="128" t="s">
        <v>6886</v>
      </c>
      <c r="F44" s="128" t="s">
        <v>6777</v>
      </c>
      <c r="G44" s="128" t="s">
        <v>6665</v>
      </c>
      <c r="H44" s="128" t="s">
        <v>6666</v>
      </c>
      <c r="I44" s="128" t="s">
        <v>6667</v>
      </c>
      <c r="J44" s="128" t="s">
        <v>6835</v>
      </c>
      <c r="K44" s="128" t="s">
        <v>7676</v>
      </c>
      <c r="L44" s="128" t="s">
        <v>8326</v>
      </c>
    </row>
    <row r="45" spans="1:12" ht="15" customHeight="1">
      <c r="A45" s="124" t="s">
        <v>2750</v>
      </c>
      <c r="B45" s="124" t="s">
        <v>2749</v>
      </c>
      <c r="C45" s="120" t="s">
        <v>2751</v>
      </c>
      <c r="D45" s="136" t="s">
        <v>6668</v>
      </c>
      <c r="E45" s="128" t="s">
        <v>6887</v>
      </c>
      <c r="F45" s="128" t="s">
        <v>6778</v>
      </c>
      <c r="G45" s="128" t="s">
        <v>6669</v>
      </c>
      <c r="H45" s="128" t="s">
        <v>6670</v>
      </c>
      <c r="I45" s="128" t="s">
        <v>6671</v>
      </c>
      <c r="J45" s="128" t="s">
        <v>6836</v>
      </c>
      <c r="K45" s="128" t="s">
        <v>7677</v>
      </c>
      <c r="L45" s="128" t="s">
        <v>8327</v>
      </c>
    </row>
    <row r="46" spans="1:12" ht="15" customHeight="1">
      <c r="A46" s="124" t="s">
        <v>2588</v>
      </c>
      <c r="B46" s="124" t="s">
        <v>2652</v>
      </c>
      <c r="C46" s="120" t="s">
        <v>2708</v>
      </c>
      <c r="D46" s="136" t="s">
        <v>6672</v>
      </c>
      <c r="E46" s="128" t="s">
        <v>6888</v>
      </c>
      <c r="F46" s="128" t="s">
        <v>6779</v>
      </c>
      <c r="G46" s="128" t="s">
        <v>6673</v>
      </c>
      <c r="H46" s="128" t="s">
        <v>6674</v>
      </c>
      <c r="I46" s="128" t="s">
        <v>6675</v>
      </c>
      <c r="J46" s="128" t="s">
        <v>6837</v>
      </c>
      <c r="K46" s="128" t="s">
        <v>7678</v>
      </c>
      <c r="L46" s="128" t="s">
        <v>8328</v>
      </c>
    </row>
    <row r="47" spans="1:12" ht="15" customHeight="1">
      <c r="A47" s="124" t="s">
        <v>10570</v>
      </c>
      <c r="B47" s="124" t="s">
        <v>10571</v>
      </c>
      <c r="C47" s="120" t="s">
        <v>10572</v>
      </c>
      <c r="D47" s="136" t="s">
        <v>10570</v>
      </c>
      <c r="E47" s="128" t="s">
        <v>10573</v>
      </c>
      <c r="F47" s="128" t="s">
        <v>10574</v>
      </c>
      <c r="G47" s="128" t="s">
        <v>10575</v>
      </c>
      <c r="H47" s="128" t="s">
        <v>10575</v>
      </c>
      <c r="I47" s="128" t="s">
        <v>10576</v>
      </c>
      <c r="J47" s="128" t="s">
        <v>10577</v>
      </c>
      <c r="K47" s="128" t="s">
        <v>10578</v>
      </c>
      <c r="L47" s="128" t="s">
        <v>10579</v>
      </c>
    </row>
    <row r="48" spans="1:12" ht="15" customHeight="1">
      <c r="A48" s="124" t="s">
        <v>2578</v>
      </c>
      <c r="B48" s="124" t="s">
        <v>2651</v>
      </c>
      <c r="C48" s="120" t="s">
        <v>2709</v>
      </c>
      <c r="D48" s="136" t="s">
        <v>6676</v>
      </c>
      <c r="E48" s="128" t="s">
        <v>6889</v>
      </c>
      <c r="F48" s="128" t="s">
        <v>6780</v>
      </c>
      <c r="G48" s="128" t="s">
        <v>6677</v>
      </c>
      <c r="H48" s="128" t="s">
        <v>6678</v>
      </c>
      <c r="I48" s="128" t="s">
        <v>6679</v>
      </c>
      <c r="J48" s="128" t="s">
        <v>6838</v>
      </c>
      <c r="K48" s="128" t="s">
        <v>7679</v>
      </c>
      <c r="L48" s="128" t="s">
        <v>8351</v>
      </c>
    </row>
    <row r="49" spans="1:12" ht="15" customHeight="1">
      <c r="A49" s="124" t="s">
        <v>2800</v>
      </c>
      <c r="B49" s="124" t="s">
        <v>2803</v>
      </c>
      <c r="C49" s="120" t="s">
        <v>2804</v>
      </c>
      <c r="D49" s="136" t="s">
        <v>6680</v>
      </c>
      <c r="E49" s="128" t="s">
        <v>6890</v>
      </c>
      <c r="F49" s="128" t="s">
        <v>6781</v>
      </c>
      <c r="G49" s="128" t="s">
        <v>6681</v>
      </c>
      <c r="H49" s="128" t="s">
        <v>6682</v>
      </c>
      <c r="I49" s="128" t="s">
        <v>6683</v>
      </c>
      <c r="J49" s="128" t="s">
        <v>6834</v>
      </c>
      <c r="K49" s="128" t="s">
        <v>7680</v>
      </c>
      <c r="L49" s="128" t="s">
        <v>8331</v>
      </c>
    </row>
    <row r="50" spans="1:12" ht="15" customHeight="1">
      <c r="A50" s="124" t="s">
        <v>2801</v>
      </c>
      <c r="B50" s="124" t="s">
        <v>2805</v>
      </c>
      <c r="C50" s="120" t="s">
        <v>2806</v>
      </c>
      <c r="D50" s="136" t="s">
        <v>6684</v>
      </c>
      <c r="E50" s="128" t="s">
        <v>6891</v>
      </c>
      <c r="F50" s="128" t="s">
        <v>6782</v>
      </c>
      <c r="G50" s="128" t="s">
        <v>6684</v>
      </c>
      <c r="H50" s="128" t="s">
        <v>2805</v>
      </c>
      <c r="I50" s="128" t="s">
        <v>6685</v>
      </c>
      <c r="J50" s="128" t="s">
        <v>6828</v>
      </c>
      <c r="K50" s="128" t="s">
        <v>7681</v>
      </c>
      <c r="L50" s="128" t="s">
        <v>8329</v>
      </c>
    </row>
    <row r="51" spans="1:12" ht="15" customHeight="1">
      <c r="A51" s="124" t="s">
        <v>2802</v>
      </c>
      <c r="B51" s="124" t="s">
        <v>2807</v>
      </c>
      <c r="C51" s="120" t="s">
        <v>2808</v>
      </c>
      <c r="D51" s="136" t="s">
        <v>6686</v>
      </c>
      <c r="E51" s="128" t="s">
        <v>6892</v>
      </c>
      <c r="F51" s="128" t="s">
        <v>6783</v>
      </c>
      <c r="G51" s="128" t="s">
        <v>6687</v>
      </c>
      <c r="H51" s="128" t="s">
        <v>6688</v>
      </c>
      <c r="I51" s="128" t="s">
        <v>6689</v>
      </c>
      <c r="J51" s="128" t="s">
        <v>6839</v>
      </c>
      <c r="K51" s="128" t="s">
        <v>7682</v>
      </c>
      <c r="L51" s="128" t="s">
        <v>8330</v>
      </c>
    </row>
    <row r="52" spans="1:12" ht="15" customHeight="1">
      <c r="A52" s="124" t="s">
        <v>2567</v>
      </c>
      <c r="B52" s="124" t="s">
        <v>2195</v>
      </c>
      <c r="C52" s="120" t="s">
        <v>2190</v>
      </c>
      <c r="D52" s="136" t="s">
        <v>12273</v>
      </c>
      <c r="E52" s="128" t="s">
        <v>6893</v>
      </c>
      <c r="F52" s="128" t="s">
        <v>6784</v>
      </c>
      <c r="G52" s="128" t="s">
        <v>6690</v>
      </c>
      <c r="H52" s="128" t="s">
        <v>6691</v>
      </c>
      <c r="I52" s="128" t="s">
        <v>6692</v>
      </c>
      <c r="J52" s="128" t="s">
        <v>6840</v>
      </c>
      <c r="K52" s="128" t="s">
        <v>8746</v>
      </c>
      <c r="L52" s="128" t="s">
        <v>8332</v>
      </c>
    </row>
    <row r="53" spans="1:12" ht="15" customHeight="1">
      <c r="A53" s="430" t="s">
        <v>12865</v>
      </c>
      <c r="B53" s="430" t="s">
        <v>12866</v>
      </c>
      <c r="C53" s="125" t="s">
        <v>12867</v>
      </c>
      <c r="D53" s="422" t="s">
        <v>12868</v>
      </c>
      <c r="E53" s="127" t="s">
        <v>12869</v>
      </c>
      <c r="F53" s="127" t="s">
        <v>12870</v>
      </c>
      <c r="G53" s="127" t="s">
        <v>12871</v>
      </c>
      <c r="H53" s="127" t="s">
        <v>12872</v>
      </c>
      <c r="I53" s="127" t="s">
        <v>12873</v>
      </c>
      <c r="J53" s="127" t="s">
        <v>12874</v>
      </c>
      <c r="K53" s="127" t="s">
        <v>12875</v>
      </c>
      <c r="L53" s="127" t="s">
        <v>12876</v>
      </c>
    </row>
    <row r="54" spans="1:12" ht="15" customHeight="1">
      <c r="A54" s="124" t="s">
        <v>9914</v>
      </c>
      <c r="B54" s="124" t="s">
        <v>9915</v>
      </c>
      <c r="C54" s="120" t="s">
        <v>9916</v>
      </c>
      <c r="D54" s="136" t="s">
        <v>9917</v>
      </c>
      <c r="E54" s="128" t="s">
        <v>9918</v>
      </c>
      <c r="F54" s="128" t="s">
        <v>9919</v>
      </c>
      <c r="G54" s="128" t="s">
        <v>9920</v>
      </c>
      <c r="H54" t="s">
        <v>9921</v>
      </c>
      <c r="I54" s="128" t="s">
        <v>9922</v>
      </c>
      <c r="J54" s="128" t="s">
        <v>9923</v>
      </c>
      <c r="K54" s="128" t="s">
        <v>9924</v>
      </c>
      <c r="L54" s="128" t="s">
        <v>9925</v>
      </c>
    </row>
    <row r="55" spans="1:12" ht="15" customHeight="1">
      <c r="A55" s="124" t="s">
        <v>9936</v>
      </c>
      <c r="B55" s="124" t="s">
        <v>9935</v>
      </c>
      <c r="C55" s="120" t="s">
        <v>9934</v>
      </c>
      <c r="D55" s="136" t="s">
        <v>9933</v>
      </c>
      <c r="E55" s="128" t="s">
        <v>9932</v>
      </c>
      <c r="F55" s="128" t="s">
        <v>9931</v>
      </c>
      <c r="G55" s="128" t="s">
        <v>9930</v>
      </c>
      <c r="H55" t="s">
        <v>9930</v>
      </c>
      <c r="I55" s="128" t="s">
        <v>9929</v>
      </c>
      <c r="J55" s="128" t="s">
        <v>9928</v>
      </c>
      <c r="K55" s="128" t="s">
        <v>9927</v>
      </c>
      <c r="L55" s="128" t="s">
        <v>9926</v>
      </c>
    </row>
    <row r="56" spans="1:12" ht="15" customHeight="1">
      <c r="A56" s="124" t="s">
        <v>2568</v>
      </c>
      <c r="B56" s="124" t="s">
        <v>2196</v>
      </c>
      <c r="C56" s="120" t="s">
        <v>2191</v>
      </c>
      <c r="D56" s="136" t="s">
        <v>6693</v>
      </c>
      <c r="E56" s="128" t="s">
        <v>6894</v>
      </c>
      <c r="F56" s="128" t="s">
        <v>6785</v>
      </c>
      <c r="G56" s="128" t="s">
        <v>6694</v>
      </c>
      <c r="H56" s="128" t="s">
        <v>6695</v>
      </c>
      <c r="I56" s="128" t="s">
        <v>6696</v>
      </c>
      <c r="J56" s="128" t="s">
        <v>6841</v>
      </c>
      <c r="K56" s="128" t="s">
        <v>8747</v>
      </c>
      <c r="L56" s="128" t="s">
        <v>8333</v>
      </c>
    </row>
    <row r="57" spans="1:12" ht="15" customHeight="1">
      <c r="A57" s="124" t="s">
        <v>2566</v>
      </c>
      <c r="B57" s="124" t="s">
        <v>2197</v>
      </c>
      <c r="C57" s="120" t="s">
        <v>2192</v>
      </c>
      <c r="D57" s="136" t="s">
        <v>6697</v>
      </c>
      <c r="E57" s="128" t="s">
        <v>6895</v>
      </c>
      <c r="F57" s="128" t="s">
        <v>6786</v>
      </c>
      <c r="G57" s="128" t="s">
        <v>6698</v>
      </c>
      <c r="H57" s="128" t="s">
        <v>6699</v>
      </c>
      <c r="I57" s="128" t="s">
        <v>6700</v>
      </c>
      <c r="J57" s="128" t="s">
        <v>6842</v>
      </c>
      <c r="K57" s="128" t="s">
        <v>8748</v>
      </c>
      <c r="L57" s="128" t="s">
        <v>8334</v>
      </c>
    </row>
    <row r="58" spans="1:12" ht="15" customHeight="1">
      <c r="A58" s="124" t="s">
        <v>2569</v>
      </c>
      <c r="B58" s="124" t="s">
        <v>2198</v>
      </c>
      <c r="C58" s="120" t="s">
        <v>2193</v>
      </c>
      <c r="D58" s="136" t="s">
        <v>6701</v>
      </c>
      <c r="E58" s="128" t="s">
        <v>6896</v>
      </c>
      <c r="F58" s="128" t="s">
        <v>6787</v>
      </c>
      <c r="G58" s="128" t="s">
        <v>6702</v>
      </c>
      <c r="H58" s="128" t="s">
        <v>6703</v>
      </c>
      <c r="I58" s="128" t="s">
        <v>6704</v>
      </c>
      <c r="J58" s="128" t="s">
        <v>6843</v>
      </c>
      <c r="K58" s="128" t="s">
        <v>8749</v>
      </c>
      <c r="L58" s="128" t="s">
        <v>8335</v>
      </c>
    </row>
    <row r="59" spans="1:12" ht="15" customHeight="1">
      <c r="A59" s="124" t="s">
        <v>2570</v>
      </c>
      <c r="B59" s="124" t="s">
        <v>2199</v>
      </c>
      <c r="C59" s="120" t="s">
        <v>2194</v>
      </c>
      <c r="D59" s="136" t="s">
        <v>6705</v>
      </c>
      <c r="E59" s="128" t="s">
        <v>6897</v>
      </c>
      <c r="F59" s="128" t="s">
        <v>6788</v>
      </c>
      <c r="G59" s="128" t="s">
        <v>6706</v>
      </c>
      <c r="H59" s="128" t="s">
        <v>6707</v>
      </c>
      <c r="I59" s="128" t="s">
        <v>6708</v>
      </c>
      <c r="J59" s="128" t="s">
        <v>6844</v>
      </c>
      <c r="K59" s="128" t="s">
        <v>8750</v>
      </c>
      <c r="L59" s="128" t="s">
        <v>8336</v>
      </c>
    </row>
    <row r="60" spans="1:12" ht="15" customHeight="1">
      <c r="A60" s="124" t="s">
        <v>2661</v>
      </c>
      <c r="B60" s="124" t="s">
        <v>2662</v>
      </c>
      <c r="C60" s="120" t="s">
        <v>2707</v>
      </c>
      <c r="D60" s="136" t="s">
        <v>6709</v>
      </c>
      <c r="E60" s="128" t="s">
        <v>8761</v>
      </c>
      <c r="F60" s="128" t="s">
        <v>6789</v>
      </c>
      <c r="G60" s="128" t="s">
        <v>6710</v>
      </c>
      <c r="H60" s="128" t="s">
        <v>6711</v>
      </c>
      <c r="I60" s="128" t="s">
        <v>6712</v>
      </c>
      <c r="J60" s="128" t="s">
        <v>8762</v>
      </c>
      <c r="K60" s="128" t="s">
        <v>8751</v>
      </c>
      <c r="L60" s="128" t="s">
        <v>8337</v>
      </c>
    </row>
    <row r="61" spans="1:12" ht="15" customHeight="1">
      <c r="A61" s="124" t="s">
        <v>9937</v>
      </c>
      <c r="B61" s="124" t="s">
        <v>9938</v>
      </c>
      <c r="C61" s="120" t="s">
        <v>9939</v>
      </c>
      <c r="D61" s="136" t="s">
        <v>9940</v>
      </c>
      <c r="E61" s="128" t="s">
        <v>9941</v>
      </c>
      <c r="F61" s="128" t="s">
        <v>9942</v>
      </c>
      <c r="G61" s="128" t="s">
        <v>9943</v>
      </c>
      <c r="H61" t="s">
        <v>9944</v>
      </c>
      <c r="I61" s="128" t="s">
        <v>9945</v>
      </c>
      <c r="J61" s="128" t="s">
        <v>9946</v>
      </c>
      <c r="K61" s="128" t="s">
        <v>9947</v>
      </c>
      <c r="L61" s="128" t="s">
        <v>9948</v>
      </c>
    </row>
    <row r="62" spans="1:12" ht="15" customHeight="1">
      <c r="A62" s="124" t="s">
        <v>2571</v>
      </c>
      <c r="B62" s="124" t="s">
        <v>2663</v>
      </c>
      <c r="C62" s="120" t="s">
        <v>2706</v>
      </c>
      <c r="D62" s="136" t="s">
        <v>6713</v>
      </c>
      <c r="E62" s="128" t="s">
        <v>6898</v>
      </c>
      <c r="F62" s="128" t="s">
        <v>6790</v>
      </c>
      <c r="G62" s="128" t="s">
        <v>6714</v>
      </c>
      <c r="H62" s="128" t="s">
        <v>6715</v>
      </c>
      <c r="I62" s="128" t="s">
        <v>6716</v>
      </c>
      <c r="J62" s="128" t="s">
        <v>6845</v>
      </c>
      <c r="K62" s="128" t="s">
        <v>8752</v>
      </c>
      <c r="L62" s="128" t="s">
        <v>8338</v>
      </c>
    </row>
    <row r="63" spans="1:12" ht="15" customHeight="1">
      <c r="A63" s="124" t="s">
        <v>2813</v>
      </c>
      <c r="B63" s="124" t="s">
        <v>2814</v>
      </c>
      <c r="C63" s="120" t="s">
        <v>2815</v>
      </c>
      <c r="D63" s="136" t="s">
        <v>6717</v>
      </c>
      <c r="E63" s="128" t="s">
        <v>6899</v>
      </c>
      <c r="F63" s="128" t="s">
        <v>6791</v>
      </c>
      <c r="G63" s="128" t="s">
        <v>6718</v>
      </c>
      <c r="H63" s="128" t="s">
        <v>6719</v>
      </c>
      <c r="I63" s="128" t="s">
        <v>6720</v>
      </c>
      <c r="J63" s="128" t="s">
        <v>6846</v>
      </c>
      <c r="K63" s="128" t="s">
        <v>8753</v>
      </c>
      <c r="L63" s="128" t="s">
        <v>8339</v>
      </c>
    </row>
    <row r="64" spans="1:12" ht="15" customHeight="1">
      <c r="A64" s="124" t="s">
        <v>2653</v>
      </c>
      <c r="B64" s="124" t="s">
        <v>2665</v>
      </c>
      <c r="C64" s="120" t="s">
        <v>2717</v>
      </c>
      <c r="D64" s="136" t="s">
        <v>6721</v>
      </c>
      <c r="E64" s="128" t="s">
        <v>6900</v>
      </c>
      <c r="F64" s="128" t="s">
        <v>6792</v>
      </c>
      <c r="G64" s="128" t="s">
        <v>6722</v>
      </c>
      <c r="H64" s="128" t="s">
        <v>6723</v>
      </c>
      <c r="I64" s="128" t="s">
        <v>6724</v>
      </c>
      <c r="J64" s="128" t="s">
        <v>6847</v>
      </c>
      <c r="K64" s="128" t="s">
        <v>8754</v>
      </c>
      <c r="L64" s="128" t="s">
        <v>8340</v>
      </c>
    </row>
    <row r="65" spans="1:13" ht="15" customHeight="1">
      <c r="A65" s="124" t="s">
        <v>2660</v>
      </c>
      <c r="B65" s="124" t="s">
        <v>2181</v>
      </c>
      <c r="C65" s="120" t="s">
        <v>2718</v>
      </c>
      <c r="D65" s="136" t="s">
        <v>6725</v>
      </c>
      <c r="E65" s="128" t="s">
        <v>6901</v>
      </c>
      <c r="F65" s="128" t="s">
        <v>6793</v>
      </c>
      <c r="G65" s="128" t="s">
        <v>6726</v>
      </c>
      <c r="H65" s="128" t="s">
        <v>6727</v>
      </c>
      <c r="I65" s="128" t="s">
        <v>6728</v>
      </c>
      <c r="J65" s="128" t="s">
        <v>6848</v>
      </c>
      <c r="K65" s="128" t="s">
        <v>8755</v>
      </c>
      <c r="L65" s="128" t="s">
        <v>8341</v>
      </c>
    </row>
    <row r="66" spans="1:13">
      <c r="A66" s="124" t="s">
        <v>2819</v>
      </c>
      <c r="B66" s="124" t="s">
        <v>2824</v>
      </c>
      <c r="C66" s="120" t="s">
        <v>2827</v>
      </c>
      <c r="D66" s="136" t="s">
        <v>6729</v>
      </c>
      <c r="E66" s="128" t="s">
        <v>6902</v>
      </c>
      <c r="F66" s="128" t="s">
        <v>6794</v>
      </c>
      <c r="G66" s="128" t="s">
        <v>6730</v>
      </c>
      <c r="H66" s="128" t="s">
        <v>6730</v>
      </c>
      <c r="I66" s="128" t="s">
        <v>6731</v>
      </c>
      <c r="J66" s="128" t="s">
        <v>6849</v>
      </c>
      <c r="K66" s="128" t="s">
        <v>8756</v>
      </c>
      <c r="L66" s="128" t="s">
        <v>8342</v>
      </c>
    </row>
    <row r="67" spans="1:13">
      <c r="A67" s="124" t="s">
        <v>2820</v>
      </c>
      <c r="B67" s="124" t="s">
        <v>2822</v>
      </c>
      <c r="C67" s="120" t="s">
        <v>2826</v>
      </c>
      <c r="D67" s="136" t="s">
        <v>6732</v>
      </c>
      <c r="E67" s="128" t="s">
        <v>6903</v>
      </c>
      <c r="F67" s="128" t="s">
        <v>6795</v>
      </c>
      <c r="G67" s="128" t="s">
        <v>6733</v>
      </c>
      <c r="H67" s="128" t="s">
        <v>6734</v>
      </c>
      <c r="I67" s="128" t="s">
        <v>6735</v>
      </c>
      <c r="J67" s="128" t="s">
        <v>6850</v>
      </c>
      <c r="K67" s="128" t="s">
        <v>8757</v>
      </c>
      <c r="L67" s="128" t="s">
        <v>8343</v>
      </c>
    </row>
    <row r="68" spans="1:13">
      <c r="A68" s="124" t="s">
        <v>2821</v>
      </c>
      <c r="B68" s="124" t="s">
        <v>2823</v>
      </c>
      <c r="C68" s="120" t="s">
        <v>2825</v>
      </c>
      <c r="D68" s="136" t="s">
        <v>6736</v>
      </c>
      <c r="E68" s="128" t="s">
        <v>6904</v>
      </c>
      <c r="F68" s="128" t="s">
        <v>6796</v>
      </c>
      <c r="G68" s="128" t="s">
        <v>6737</v>
      </c>
      <c r="H68" s="128" t="s">
        <v>6738</v>
      </c>
      <c r="I68" s="128" t="s">
        <v>6739</v>
      </c>
      <c r="J68" s="128" t="s">
        <v>6851</v>
      </c>
      <c r="K68" s="128" t="s">
        <v>8758</v>
      </c>
      <c r="L68" s="128" t="s">
        <v>8344</v>
      </c>
    </row>
    <row r="69" spans="1:13">
      <c r="A69" s="124" t="s">
        <v>2828</v>
      </c>
      <c r="B69" s="124" t="s">
        <v>6465</v>
      </c>
      <c r="C69" s="120" t="s">
        <v>6467</v>
      </c>
      <c r="D69" s="136" t="s">
        <v>6740</v>
      </c>
      <c r="E69" s="128" t="s">
        <v>6905</v>
      </c>
      <c r="F69" s="128" t="s">
        <v>6797</v>
      </c>
      <c r="G69" s="128" t="s">
        <v>6741</v>
      </c>
      <c r="H69" s="128" t="s">
        <v>6742</v>
      </c>
      <c r="I69" s="128" t="s">
        <v>6743</v>
      </c>
      <c r="J69" s="128" t="s">
        <v>6852</v>
      </c>
      <c r="K69" s="128" t="s">
        <v>8759</v>
      </c>
      <c r="L69" s="128" t="s">
        <v>8345</v>
      </c>
    </row>
    <row r="70" spans="1:13">
      <c r="A70" s="124" t="s">
        <v>2816</v>
      </c>
      <c r="B70" s="124" t="s">
        <v>6466</v>
      </c>
      <c r="C70" s="120" t="s">
        <v>6468</v>
      </c>
      <c r="D70" s="136" t="s">
        <v>6744</v>
      </c>
      <c r="E70" s="128" t="s">
        <v>6906</v>
      </c>
      <c r="F70" s="128" t="s">
        <v>6798</v>
      </c>
      <c r="G70" s="128" t="s">
        <v>6745</v>
      </c>
      <c r="H70" s="128" t="s">
        <v>6745</v>
      </c>
      <c r="I70" s="128" t="s">
        <v>6746</v>
      </c>
      <c r="J70" s="128" t="s">
        <v>6853</v>
      </c>
      <c r="K70" s="128" t="s">
        <v>8760</v>
      </c>
      <c r="L70" s="128" t="s">
        <v>8346</v>
      </c>
    </row>
    <row r="71" spans="1:13">
      <c r="A71" s="124" t="s">
        <v>8882</v>
      </c>
      <c r="B71" s="124" t="s">
        <v>9063</v>
      </c>
      <c r="C71" s="120" t="s">
        <v>9064</v>
      </c>
      <c r="D71" s="136" t="s">
        <v>11979</v>
      </c>
      <c r="E71" s="128" t="s">
        <v>9065</v>
      </c>
      <c r="F71" s="128" t="s">
        <v>9056</v>
      </c>
      <c r="G71" s="128" t="s">
        <v>9057</v>
      </c>
      <c r="H71" s="128" t="s">
        <v>9058</v>
      </c>
      <c r="I71" s="128" t="s">
        <v>9059</v>
      </c>
      <c r="J71" s="128" t="s">
        <v>9060</v>
      </c>
      <c r="K71" s="128" t="s">
        <v>9061</v>
      </c>
      <c r="L71" s="128" t="s">
        <v>9062</v>
      </c>
    </row>
    <row r="72" spans="1:13">
      <c r="A72" s="124" t="s">
        <v>2565</v>
      </c>
      <c r="B72" s="124" t="s">
        <v>7123</v>
      </c>
      <c r="C72" s="120" t="s">
        <v>7124</v>
      </c>
      <c r="D72" s="136" t="s">
        <v>7125</v>
      </c>
      <c r="E72" s="128" t="s">
        <v>7126</v>
      </c>
      <c r="F72" s="128" t="s">
        <v>7127</v>
      </c>
      <c r="G72" s="128" t="s">
        <v>7128</v>
      </c>
      <c r="H72" s="128" t="s">
        <v>7128</v>
      </c>
      <c r="I72" s="128" t="s">
        <v>7129</v>
      </c>
      <c r="J72" s="128" t="s">
        <v>7130</v>
      </c>
      <c r="K72" s="128" t="s">
        <v>8296</v>
      </c>
      <c r="L72" s="128" t="s">
        <v>8347</v>
      </c>
    </row>
    <row r="73" spans="1:13">
      <c r="A73" s="124" t="s">
        <v>8887</v>
      </c>
      <c r="B73" s="124" t="str">
        <f>UPPER(B1)</f>
        <v>ENGLISH</v>
      </c>
      <c r="C73" s="124" t="str">
        <f t="shared" ref="C73:M73" si="0">UPPER(C1)</f>
        <v>DEUTSCH</v>
      </c>
      <c r="D73" s="124" t="str">
        <f t="shared" si="0"/>
        <v>POLSKIE</v>
      </c>
      <c r="E73" s="124" t="str">
        <f t="shared" si="0"/>
        <v>TIẾNG VIỆT</v>
      </c>
      <c r="F73" s="124" t="str">
        <f t="shared" si="0"/>
        <v>LIETUVIS</v>
      </c>
      <c r="G73" s="124" t="str">
        <f t="shared" si="0"/>
        <v>HRVATSKI</v>
      </c>
      <c r="H73" s="124" t="str">
        <f t="shared" si="0"/>
        <v>SRPSKI</v>
      </c>
      <c r="I73" s="124" t="str">
        <f t="shared" si="0"/>
        <v>ITALIANO</v>
      </c>
      <c r="J73" s="124" t="str">
        <f t="shared" si="0"/>
        <v>EESTLANE</v>
      </c>
      <c r="K73" s="124" t="str">
        <f t="shared" si="0"/>
        <v>MAGYAR</v>
      </c>
      <c r="L73" s="124" t="str">
        <f t="shared" si="0"/>
        <v>LATVIETIS</v>
      </c>
      <c r="M73" s="124" t="str">
        <f t="shared" si="0"/>
        <v/>
      </c>
    </row>
    <row r="74" spans="1:13">
      <c r="A74" s="124" t="s">
        <v>8881</v>
      </c>
      <c r="B74" s="124" t="s">
        <v>8894</v>
      </c>
      <c r="C74" s="120" t="s">
        <v>8895</v>
      </c>
      <c r="D74" s="136" t="s">
        <v>8896</v>
      </c>
      <c r="E74" s="128" t="s">
        <v>8897</v>
      </c>
      <c r="F74" s="128" t="s">
        <v>8898</v>
      </c>
      <c r="G74" s="128" t="s">
        <v>8901</v>
      </c>
      <c r="H74" s="128" t="s">
        <v>8901</v>
      </c>
      <c r="I74" s="128" t="s">
        <v>8902</v>
      </c>
      <c r="J74" s="128" t="s">
        <v>8904</v>
      </c>
      <c r="K74" s="128" t="s">
        <v>8906</v>
      </c>
      <c r="L74" s="128" t="s">
        <v>9041</v>
      </c>
    </row>
    <row r="75" spans="1:13">
      <c r="A75" s="124" t="s">
        <v>8889</v>
      </c>
      <c r="B75" s="124" t="s">
        <v>8890</v>
      </c>
      <c r="C75" s="120" t="s">
        <v>8891</v>
      </c>
      <c r="D75" s="136" t="s">
        <v>8892</v>
      </c>
      <c r="E75" s="128" t="s">
        <v>8900</v>
      </c>
      <c r="F75" s="128" t="s">
        <v>8899</v>
      </c>
      <c r="G75" s="128" t="s">
        <v>8893</v>
      </c>
      <c r="H75" s="128" t="s">
        <v>9110</v>
      </c>
      <c r="I75" s="128" t="s">
        <v>8903</v>
      </c>
      <c r="J75" s="128" t="s">
        <v>8905</v>
      </c>
      <c r="K75" s="128" t="s">
        <v>8907</v>
      </c>
      <c r="L75" s="128" t="s">
        <v>9108</v>
      </c>
    </row>
    <row r="76" spans="1:13">
      <c r="A76" s="124" t="s">
        <v>9118</v>
      </c>
      <c r="B76" s="124" t="s">
        <v>9117</v>
      </c>
      <c r="C76" s="120" t="s">
        <v>9116</v>
      </c>
      <c r="D76" s="136" t="s">
        <v>9115</v>
      </c>
      <c r="E76" s="128" t="s">
        <v>9114</v>
      </c>
      <c r="F76" s="128" t="s">
        <v>9113</v>
      </c>
      <c r="G76" s="128" t="s">
        <v>9112</v>
      </c>
      <c r="H76" s="128" t="s">
        <v>9111</v>
      </c>
      <c r="I76" s="128" t="s">
        <v>9105</v>
      </c>
      <c r="J76" s="128" t="s">
        <v>9106</v>
      </c>
      <c r="K76" s="128" t="s">
        <v>9107</v>
      </c>
      <c r="L76" s="128" t="s">
        <v>9109</v>
      </c>
    </row>
    <row r="77" spans="1:13">
      <c r="A77" s="124" t="s">
        <v>8952</v>
      </c>
      <c r="B77" s="124" t="s">
        <v>8915</v>
      </c>
      <c r="C77" s="128" t="s">
        <v>8908</v>
      </c>
      <c r="D77" s="128" t="s">
        <v>8916</v>
      </c>
      <c r="E77" s="128" t="s">
        <v>8920</v>
      </c>
      <c r="F77" s="128" t="s">
        <v>8924</v>
      </c>
      <c r="G77" s="128" t="s">
        <v>8928</v>
      </c>
      <c r="H77" s="144" t="s">
        <v>8933</v>
      </c>
      <c r="I77" s="128" t="s">
        <v>8936</v>
      </c>
      <c r="J77" s="128" t="s">
        <v>8940</v>
      </c>
      <c r="K77" s="128" t="s">
        <v>8944</v>
      </c>
      <c r="L77" s="128" t="s">
        <v>8948</v>
      </c>
    </row>
    <row r="78" spans="1:13" ht="30">
      <c r="A78" s="124" t="s">
        <v>8886</v>
      </c>
      <c r="B78" s="124" t="s">
        <v>8912</v>
      </c>
      <c r="C78" s="120" t="s">
        <v>8909</v>
      </c>
      <c r="D78" s="136" t="s">
        <v>8917</v>
      </c>
      <c r="E78" s="128" t="s">
        <v>8921</v>
      </c>
      <c r="F78" s="128" t="s">
        <v>8925</v>
      </c>
      <c r="G78" s="128" t="s">
        <v>8929</v>
      </c>
      <c r="H78" s="144" t="s">
        <v>8934</v>
      </c>
      <c r="I78" s="128" t="s">
        <v>8937</v>
      </c>
      <c r="J78" s="128" t="s">
        <v>8941</v>
      </c>
      <c r="K78" s="128" t="s">
        <v>8945</v>
      </c>
      <c r="L78" s="128" t="s">
        <v>8949</v>
      </c>
    </row>
    <row r="79" spans="1:13">
      <c r="A79" s="124" t="s">
        <v>8953</v>
      </c>
      <c r="B79" s="124" t="s">
        <v>8913</v>
      </c>
      <c r="C79" s="120" t="s">
        <v>8910</v>
      </c>
      <c r="D79" s="136" t="s">
        <v>8918</v>
      </c>
      <c r="E79" s="128" t="s">
        <v>8922</v>
      </c>
      <c r="F79" s="128" t="s">
        <v>8926</v>
      </c>
      <c r="G79" s="128" t="s">
        <v>8930</v>
      </c>
      <c r="H79" s="144" t="s">
        <v>8935</v>
      </c>
      <c r="I79" s="128" t="s">
        <v>8938</v>
      </c>
      <c r="J79" s="128" t="s">
        <v>8942</v>
      </c>
      <c r="K79" s="128" t="s">
        <v>8946</v>
      </c>
      <c r="L79" s="128" t="s">
        <v>8950</v>
      </c>
    </row>
    <row r="80" spans="1:13">
      <c r="A80" s="124" t="s">
        <v>11577</v>
      </c>
      <c r="B80" s="124" t="s">
        <v>11578</v>
      </c>
      <c r="C80" s="120" t="s">
        <v>11579</v>
      </c>
      <c r="D80" s="136" t="s">
        <v>11580</v>
      </c>
      <c r="E80" s="128" t="s">
        <v>11581</v>
      </c>
      <c r="F80" s="128" t="s">
        <v>11582</v>
      </c>
      <c r="G80" s="128" t="s">
        <v>11583</v>
      </c>
      <c r="H80" s="144" t="s">
        <v>11584</v>
      </c>
      <c r="I80" s="128" t="s">
        <v>11585</v>
      </c>
      <c r="J80" s="128" t="s">
        <v>11586</v>
      </c>
      <c r="K80" s="128" t="s">
        <v>11587</v>
      </c>
      <c r="L80" s="128" t="s">
        <v>11588</v>
      </c>
    </row>
    <row r="81" spans="1:12" ht="60">
      <c r="A81" s="124" t="s">
        <v>9067</v>
      </c>
      <c r="B81" s="124" t="s">
        <v>9078</v>
      </c>
      <c r="C81" s="120" t="s">
        <v>9068</v>
      </c>
      <c r="D81" s="136" t="s">
        <v>9077</v>
      </c>
      <c r="E81" s="128" t="s">
        <v>9076</v>
      </c>
      <c r="F81" s="128" t="s">
        <v>9075</v>
      </c>
      <c r="G81" s="128" t="s">
        <v>9074</v>
      </c>
      <c r="H81" s="144" t="s">
        <v>9073</v>
      </c>
      <c r="I81" s="128" t="s">
        <v>9072</v>
      </c>
      <c r="J81" s="128" t="s">
        <v>9071</v>
      </c>
      <c r="K81" s="128" t="s">
        <v>9070</v>
      </c>
      <c r="L81" s="128" t="s">
        <v>9069</v>
      </c>
    </row>
    <row r="82" spans="1:12">
      <c r="A82" s="124" t="s">
        <v>9120</v>
      </c>
      <c r="B82" s="124" t="s">
        <v>9130</v>
      </c>
      <c r="C82" s="120" t="s">
        <v>9129</v>
      </c>
      <c r="D82" s="136" t="s">
        <v>9125</v>
      </c>
      <c r="E82" s="128" t="s">
        <v>9128</v>
      </c>
      <c r="F82" s="128" t="s">
        <v>9127</v>
      </c>
      <c r="G82" s="128" t="s">
        <v>9126</v>
      </c>
      <c r="H82" s="144" t="s">
        <v>9125</v>
      </c>
      <c r="I82" s="128" t="s">
        <v>9124</v>
      </c>
      <c r="J82" s="128" t="s">
        <v>9123</v>
      </c>
      <c r="K82" s="128" t="s">
        <v>9122</v>
      </c>
      <c r="L82" s="128" t="s">
        <v>9121</v>
      </c>
    </row>
    <row r="83" spans="1:12">
      <c r="A83" s="124" t="s">
        <v>8954</v>
      </c>
      <c r="B83" s="124" t="s">
        <v>8914</v>
      </c>
      <c r="C83" s="120" t="s">
        <v>8911</v>
      </c>
      <c r="D83" s="136" t="s">
        <v>8919</v>
      </c>
      <c r="E83" s="128" t="s">
        <v>8923</v>
      </c>
      <c r="F83" s="128" t="s">
        <v>8927</v>
      </c>
      <c r="G83" s="128" t="s">
        <v>8931</v>
      </c>
      <c r="H83" s="128" t="s">
        <v>8932</v>
      </c>
      <c r="I83" s="128" t="s">
        <v>8939</v>
      </c>
      <c r="J83" s="128" t="s">
        <v>8943</v>
      </c>
      <c r="K83" s="128" t="s">
        <v>8947</v>
      </c>
      <c r="L83" s="128" t="s">
        <v>8951</v>
      </c>
    </row>
    <row r="84" spans="1:12" s="127" customFormat="1" ht="24.75">
      <c r="A84" s="423" t="s">
        <v>12829</v>
      </c>
      <c r="B84" s="424" t="s">
        <v>12830</v>
      </c>
      <c r="C84" s="425" t="s">
        <v>12831</v>
      </c>
      <c r="D84" s="426" t="s">
        <v>12838</v>
      </c>
      <c r="E84" s="427" t="s">
        <v>12832</v>
      </c>
      <c r="F84" s="427" t="s">
        <v>12839</v>
      </c>
      <c r="G84" s="427" t="s">
        <v>12833</v>
      </c>
      <c r="H84" s="427" t="s">
        <v>12834</v>
      </c>
      <c r="I84" s="427" t="s">
        <v>12835</v>
      </c>
      <c r="J84" s="427" t="s">
        <v>12836</v>
      </c>
      <c r="K84" s="427" t="s">
        <v>12840</v>
      </c>
      <c r="L84" s="428" t="s">
        <v>12837</v>
      </c>
    </row>
    <row r="85" spans="1:12" s="127" customFormat="1">
      <c r="A85" s="429" t="s">
        <v>12842</v>
      </c>
      <c r="B85" s="430" t="s">
        <v>12843</v>
      </c>
      <c r="C85" s="125" t="s">
        <v>12844</v>
      </c>
      <c r="D85" s="422" t="s">
        <v>12841</v>
      </c>
      <c r="E85" s="127" t="s">
        <v>12845</v>
      </c>
      <c r="F85" s="127" t="s">
        <v>12846</v>
      </c>
      <c r="G85" s="127" t="s">
        <v>12847</v>
      </c>
      <c r="H85" s="127" t="s">
        <v>12848</v>
      </c>
      <c r="I85" s="127" t="s">
        <v>12849</v>
      </c>
      <c r="J85" s="427" t="s">
        <v>12850</v>
      </c>
      <c r="K85" s="127" t="s">
        <v>12851</v>
      </c>
      <c r="L85" s="428" t="s">
        <v>12852</v>
      </c>
    </row>
    <row r="86" spans="1:12">
      <c r="A86" s="148" t="s">
        <v>8888</v>
      </c>
      <c r="B86" s="124" t="s">
        <v>8961</v>
      </c>
      <c r="C86" s="120" t="s">
        <v>9010</v>
      </c>
      <c r="D86" s="136" t="s">
        <v>8983</v>
      </c>
      <c r="E86" s="128" t="s">
        <v>8989</v>
      </c>
      <c r="F86" s="128" t="s">
        <v>9023</v>
      </c>
      <c r="G86" s="128" t="s">
        <v>8967</v>
      </c>
      <c r="H86" s="128" t="s">
        <v>8995</v>
      </c>
      <c r="I86" s="128" t="s">
        <v>8964</v>
      </c>
      <c r="J86" s="146" t="s">
        <v>9029</v>
      </c>
      <c r="K86" s="128" t="s">
        <v>8958</v>
      </c>
      <c r="L86" s="147" t="s">
        <v>9035</v>
      </c>
    </row>
    <row r="87" spans="1:12">
      <c r="A87" s="148" t="s">
        <v>8956</v>
      </c>
      <c r="B87" s="124" t="s">
        <v>8962</v>
      </c>
      <c r="C87" s="120" t="s">
        <v>9011</v>
      </c>
      <c r="D87" s="136" t="s">
        <v>8984</v>
      </c>
      <c r="E87" s="128" t="s">
        <v>8990</v>
      </c>
      <c r="F87" s="128" t="s">
        <v>9024</v>
      </c>
      <c r="G87" s="128" t="s">
        <v>8969</v>
      </c>
      <c r="H87" s="128" t="s">
        <v>8996</v>
      </c>
      <c r="I87" s="128" t="s">
        <v>8965</v>
      </c>
      <c r="J87" s="146" t="s">
        <v>9030</v>
      </c>
      <c r="K87" s="128" t="s">
        <v>8959</v>
      </c>
      <c r="L87" s="147" t="s">
        <v>9036</v>
      </c>
    </row>
    <row r="88" spans="1:12">
      <c r="A88" s="149" t="s">
        <v>8957</v>
      </c>
      <c r="B88" s="150" t="s">
        <v>8963</v>
      </c>
      <c r="C88" s="151" t="s">
        <v>9009</v>
      </c>
      <c r="D88" s="152" t="s">
        <v>8985</v>
      </c>
      <c r="E88" s="153" t="s">
        <v>8991</v>
      </c>
      <c r="F88" s="153" t="s">
        <v>9025</v>
      </c>
      <c r="G88" s="153" t="s">
        <v>8968</v>
      </c>
      <c r="H88" s="153" t="s">
        <v>8997</v>
      </c>
      <c r="I88" s="153" t="s">
        <v>8966</v>
      </c>
      <c r="J88" s="146" t="s">
        <v>9031</v>
      </c>
      <c r="K88" s="153" t="s">
        <v>8960</v>
      </c>
      <c r="L88" s="147" t="s">
        <v>9037</v>
      </c>
    </row>
    <row r="89" spans="1:12">
      <c r="A89" s="124" t="s">
        <v>8883</v>
      </c>
      <c r="B89" s="124" t="s">
        <v>8979</v>
      </c>
      <c r="C89" s="120" t="s">
        <v>9005</v>
      </c>
      <c r="D89" s="136" t="s">
        <v>8987</v>
      </c>
      <c r="E89" s="128" t="s">
        <v>8992</v>
      </c>
      <c r="F89" s="146" t="s">
        <v>9026</v>
      </c>
      <c r="G89" s="146" t="s">
        <v>9002</v>
      </c>
      <c r="H89" s="146" t="s">
        <v>8979</v>
      </c>
      <c r="I89" s="146" t="s">
        <v>8998</v>
      </c>
      <c r="J89" s="146" t="s">
        <v>9032</v>
      </c>
      <c r="K89" s="146" t="str">
        <f>A89</f>
        <v>VEŠKERÉ OBJEDNÁVKY ZASÍLEJTE POUZE NA ADRESU:</v>
      </c>
      <c r="L89" s="146" t="s">
        <v>9038</v>
      </c>
    </row>
    <row r="90" spans="1:12" s="221" customFormat="1">
      <c r="A90" s="218" t="s">
        <v>8974</v>
      </c>
      <c r="B90" s="218" t="s">
        <v>8978</v>
      </c>
      <c r="C90" s="219" t="s">
        <v>9006</v>
      </c>
      <c r="D90" s="220" t="s">
        <v>8982</v>
      </c>
      <c r="E90" s="221" t="str">
        <f>A90</f>
        <v>Česká republika</v>
      </c>
      <c r="F90" s="221" t="str">
        <f t="shared" ref="F90:F98" si="1">B90</f>
        <v>Czech republic</v>
      </c>
      <c r="G90" s="221" t="s">
        <v>8978</v>
      </c>
      <c r="H90" s="221" t="str">
        <f>B90</f>
        <v>Czech republic</v>
      </c>
      <c r="I90" s="221" t="s">
        <v>8999</v>
      </c>
      <c r="J90" s="221" t="str">
        <f t="shared" ref="J90:J98" si="2">B90</f>
        <v>Czech republic</v>
      </c>
      <c r="K90" s="221" t="str">
        <f t="shared" ref="K90:K99" si="3">A90</f>
        <v>Česká republika</v>
      </c>
      <c r="L90" s="221" t="str">
        <f t="shared" ref="L90:L98" si="4">B90</f>
        <v>Czech republic</v>
      </c>
    </row>
    <row r="91" spans="1:12" s="221" customFormat="1">
      <c r="A91" s="218" t="s">
        <v>11350</v>
      </c>
      <c r="B91" s="218" t="s">
        <v>11351</v>
      </c>
      <c r="C91" s="219" t="s">
        <v>11353</v>
      </c>
      <c r="D91" s="220" t="s">
        <v>12129</v>
      </c>
      <c r="E91" s="221" t="str">
        <f>A91</f>
        <v>IČO: 26848643  ○  DIČ: CZ26848643</v>
      </c>
      <c r="F91" s="221" t="str">
        <f t="shared" si="1"/>
        <v>IN: 26848643  ○ VAT: CZ26848643</v>
      </c>
      <c r="G91" s="221" t="s">
        <v>11351</v>
      </c>
      <c r="H91" s="221" t="str">
        <f t="shared" ref="H91:H98" si="5">B91</f>
        <v>IN: 26848643  ○ VAT: CZ26848643</v>
      </c>
      <c r="I91" s="221" t="s">
        <v>11352</v>
      </c>
      <c r="J91" s="221" t="str">
        <f t="shared" si="2"/>
        <v>IN: 26848643  ○ VAT: CZ26848643</v>
      </c>
      <c r="K91" s="221" t="str">
        <f t="shared" si="3"/>
        <v>IČO: 26848643  ○  DIČ: CZ26848643</v>
      </c>
      <c r="L91" s="221" t="str">
        <f t="shared" si="4"/>
        <v>IN: 26848643  ○ VAT: CZ26848643</v>
      </c>
    </row>
    <row r="92" spans="1:12" s="221" customFormat="1">
      <c r="A92" s="218" t="s">
        <v>8970</v>
      </c>
      <c r="B92" s="218" t="s">
        <v>8976</v>
      </c>
      <c r="C92" s="219" t="s">
        <v>9007</v>
      </c>
      <c r="D92" s="220" t="s">
        <v>8980</v>
      </c>
      <c r="E92" s="221" t="s">
        <v>8994</v>
      </c>
      <c r="F92" s="221" t="s">
        <v>9027</v>
      </c>
      <c r="G92" s="221" t="s">
        <v>9003</v>
      </c>
      <c r="H92" s="221" t="str">
        <f t="shared" si="5"/>
        <v>office:</v>
      </c>
      <c r="I92" s="221" t="s">
        <v>9000</v>
      </c>
      <c r="J92" s="221" t="s">
        <v>9033</v>
      </c>
      <c r="K92" s="221" t="str">
        <f t="shared" si="3"/>
        <v>kancelář:</v>
      </c>
      <c r="L92" s="221" t="s">
        <v>9039</v>
      </c>
    </row>
    <row r="93" spans="1:12" s="221" customFormat="1">
      <c r="A93" s="218" t="s">
        <v>8975</v>
      </c>
      <c r="B93" s="218" t="s">
        <v>8977</v>
      </c>
      <c r="C93" s="219" t="s">
        <v>9008</v>
      </c>
      <c r="D93" s="220" t="s">
        <v>8981</v>
      </c>
      <c r="E93" s="221" t="s">
        <v>8993</v>
      </c>
      <c r="F93" s="221" t="s">
        <v>9028</v>
      </c>
      <c r="G93" s="221" t="s">
        <v>9004</v>
      </c>
      <c r="H93" s="221" t="str">
        <f t="shared" si="5"/>
        <v>storage:</v>
      </c>
      <c r="I93" s="221" t="s">
        <v>9001</v>
      </c>
      <c r="J93" s="221" t="s">
        <v>9034</v>
      </c>
      <c r="K93" s="221" t="str">
        <f t="shared" si="3"/>
        <v>sklad:</v>
      </c>
      <c r="L93" s="221" t="s">
        <v>9040</v>
      </c>
    </row>
    <row r="94" spans="1:12" s="127" customFormat="1">
      <c r="A94" s="127" t="s">
        <v>12853</v>
      </c>
      <c r="B94" s="127" t="s">
        <v>12854</v>
      </c>
      <c r="C94" s="125" t="s">
        <v>12855</v>
      </c>
      <c r="D94" s="422" t="s">
        <v>12856</v>
      </c>
      <c r="E94" s="127" t="s">
        <v>12857</v>
      </c>
      <c r="F94" s="127" t="s">
        <v>12858</v>
      </c>
      <c r="G94" s="127" t="s">
        <v>12859</v>
      </c>
      <c r="H94" s="127" t="s">
        <v>12860</v>
      </c>
      <c r="I94" s="127" t="s">
        <v>12861</v>
      </c>
      <c r="J94" s="127" t="s">
        <v>12862</v>
      </c>
      <c r="K94" s="127" t="s">
        <v>12863</v>
      </c>
      <c r="L94" s="127" t="s">
        <v>12864</v>
      </c>
    </row>
    <row r="95" spans="1:12" s="221" customFormat="1">
      <c r="A95" s="218" t="s">
        <v>8971</v>
      </c>
      <c r="B95" s="218" t="s">
        <v>8971</v>
      </c>
      <c r="C95" s="218" t="s">
        <v>8971</v>
      </c>
      <c r="D95" s="220" t="s">
        <v>8988</v>
      </c>
      <c r="E95" s="221" t="str">
        <f>A95</f>
        <v>+420 799 999 333</v>
      </c>
      <c r="F95" s="221" t="str">
        <f t="shared" si="1"/>
        <v>+420 799 999 333</v>
      </c>
      <c r="G95" s="221" t="str">
        <f>A95</f>
        <v>+420 799 999 333</v>
      </c>
      <c r="H95" s="221" t="str">
        <f t="shared" si="5"/>
        <v>+420 799 999 333</v>
      </c>
      <c r="I95" s="221" t="str">
        <f>A95</f>
        <v>+420 799 999 333</v>
      </c>
      <c r="J95" s="221" t="str">
        <f t="shared" si="2"/>
        <v>+420 799 999 333</v>
      </c>
      <c r="K95" s="221" t="str">
        <f t="shared" si="3"/>
        <v>+420 799 999 333</v>
      </c>
      <c r="L95" s="221" t="str">
        <f t="shared" si="4"/>
        <v>+420 799 999 333</v>
      </c>
    </row>
    <row r="96" spans="1:12" s="221" customFormat="1">
      <c r="A96" s="220" t="s">
        <v>8973</v>
      </c>
      <c r="B96" s="220" t="s">
        <v>8973</v>
      </c>
      <c r="C96" s="220" t="s">
        <v>8973</v>
      </c>
      <c r="D96" s="220" t="s">
        <v>8986</v>
      </c>
      <c r="E96" s="221" t="str">
        <f>A96</f>
        <v>+420 799 799 733</v>
      </c>
      <c r="F96" s="221" t="str">
        <f t="shared" si="1"/>
        <v>+420 799 799 733</v>
      </c>
      <c r="G96" s="221" t="str">
        <f>A96</f>
        <v>+420 799 799 733</v>
      </c>
      <c r="H96" s="221" t="str">
        <f t="shared" si="5"/>
        <v>+420 799 799 733</v>
      </c>
      <c r="I96" s="221" t="str">
        <f>A96</f>
        <v>+420 799 799 733</v>
      </c>
      <c r="J96" s="221" t="str">
        <f t="shared" si="2"/>
        <v>+420 799 799 733</v>
      </c>
      <c r="K96" s="221" t="str">
        <f t="shared" si="3"/>
        <v>+420 799 799 733</v>
      </c>
      <c r="L96" s="221" t="str">
        <f t="shared" si="4"/>
        <v>+420 799 799 733</v>
      </c>
    </row>
    <row r="97" spans="1:12" s="221" customFormat="1">
      <c r="A97" s="218" t="s">
        <v>11346</v>
      </c>
      <c r="B97" s="218" t="s">
        <v>11346</v>
      </c>
      <c r="C97" s="218" t="s">
        <v>11346</v>
      </c>
      <c r="D97" s="220" t="s">
        <v>12128</v>
      </c>
      <c r="E97" s="221" t="str">
        <f>A97</f>
        <v>Klásek Trading  s.r.o.</v>
      </c>
      <c r="F97" s="221" t="str">
        <f t="shared" si="1"/>
        <v>Klásek Trading  s.r.o.</v>
      </c>
      <c r="G97" s="221" t="str">
        <f>A97</f>
        <v>Klásek Trading  s.r.o.</v>
      </c>
      <c r="H97" s="221" t="str">
        <f t="shared" si="5"/>
        <v>Klásek Trading  s.r.o.</v>
      </c>
      <c r="I97" s="221" t="str">
        <f>A97</f>
        <v>Klásek Trading  s.r.o.</v>
      </c>
      <c r="J97" s="221" t="str">
        <f t="shared" si="2"/>
        <v>Klásek Trading  s.r.o.</v>
      </c>
      <c r="K97" s="221" t="str">
        <f t="shared" si="3"/>
        <v>Klásek Trading  s.r.o.</v>
      </c>
      <c r="L97" s="222" t="str">
        <f t="shared" si="4"/>
        <v>Klásek Trading  s.r.o.</v>
      </c>
    </row>
    <row r="98" spans="1:12" s="221" customFormat="1">
      <c r="A98" s="218" t="s">
        <v>11347</v>
      </c>
      <c r="B98" s="218" t="s">
        <v>11347</v>
      </c>
      <c r="C98" s="218" t="s">
        <v>11347</v>
      </c>
      <c r="D98" s="220" t="s">
        <v>11349</v>
      </c>
      <c r="E98" s="221" t="str">
        <f>A98</f>
        <v xml:space="preserve"> K Zyfu 1083, Ostrava-Hrabová 720 00</v>
      </c>
      <c r="F98" s="223" t="str">
        <f t="shared" si="1"/>
        <v xml:space="preserve"> K Zyfu 1083, Ostrava-Hrabová 720 00</v>
      </c>
      <c r="G98" s="221" t="str">
        <f>A98</f>
        <v xml:space="preserve"> K Zyfu 1083, Ostrava-Hrabová 720 00</v>
      </c>
      <c r="H98" s="221" t="str">
        <f t="shared" si="5"/>
        <v xml:space="preserve"> K Zyfu 1083, Ostrava-Hrabová 720 00</v>
      </c>
      <c r="I98" s="221" t="str">
        <f>A98</f>
        <v xml:space="preserve"> K Zyfu 1083, Ostrava-Hrabová 720 00</v>
      </c>
      <c r="J98" s="223" t="str">
        <f t="shared" si="2"/>
        <v xml:space="preserve"> K Zyfu 1083, Ostrava-Hrabová 720 00</v>
      </c>
      <c r="K98" s="221" t="str">
        <f t="shared" si="3"/>
        <v xml:space="preserve"> K Zyfu 1083, Ostrava-Hrabová 720 00</v>
      </c>
      <c r="L98" s="224" t="str">
        <f t="shared" si="4"/>
        <v xml:space="preserve"> K Zyfu 1083, Ostrava-Hrabová 720 00</v>
      </c>
    </row>
    <row r="99" spans="1:12" s="221" customFormat="1">
      <c r="A99" s="225" t="s">
        <v>9102</v>
      </c>
      <c r="B99" s="218" t="str">
        <f>A99</f>
        <v>info@klasekpyrotechnics.cz</v>
      </c>
      <c r="C99" s="219" t="str">
        <f>A99</f>
        <v>info@klasekpyrotechnics.cz</v>
      </c>
      <c r="D99" s="226" t="s">
        <v>9133</v>
      </c>
      <c r="E99" s="221" t="str">
        <f>A99</f>
        <v>info@klasekpyrotechnics.cz</v>
      </c>
      <c r="F99" s="227" t="s">
        <v>9119</v>
      </c>
      <c r="G99" s="221" t="str">
        <f>A99</f>
        <v>info@klasekpyrotechnics.cz</v>
      </c>
      <c r="H99" s="221" t="str">
        <f>A99</f>
        <v>info@klasekpyrotechnics.cz</v>
      </c>
      <c r="I99" s="221" t="str">
        <f>A99</f>
        <v>info@klasekpyrotechnics.cz</v>
      </c>
      <c r="J99" s="221" t="str">
        <f>F99</f>
        <v>dariulucky@gmail.com</v>
      </c>
      <c r="K99" s="221" t="str">
        <f t="shared" si="3"/>
        <v>info@klasekpyrotechnics.cz</v>
      </c>
      <c r="L99" s="221" t="str">
        <f>F99</f>
        <v>dariulucky@gmail.com</v>
      </c>
    </row>
    <row r="100" spans="1:12">
      <c r="A100" s="124" t="s">
        <v>9237</v>
      </c>
      <c r="B100" s="124" t="s">
        <v>9247</v>
      </c>
      <c r="C100" t="s">
        <v>9238</v>
      </c>
      <c r="D100" s="136" t="s">
        <v>9246</v>
      </c>
      <c r="E100" s="128" t="s">
        <v>9245</v>
      </c>
      <c r="F100" s="128" t="s">
        <v>9244</v>
      </c>
      <c r="G100" s="128" t="s">
        <v>9243</v>
      </c>
      <c r="H100" s="128" t="s">
        <v>9243</v>
      </c>
      <c r="I100" s="128" t="s">
        <v>9242</v>
      </c>
      <c r="J100" s="128" t="s">
        <v>9241</v>
      </c>
      <c r="K100" t="s">
        <v>9240</v>
      </c>
      <c r="L100" s="128" t="s">
        <v>9239</v>
      </c>
    </row>
    <row r="101" spans="1:12">
      <c r="A101" s="128" t="s">
        <v>9467</v>
      </c>
      <c r="B101" s="124" t="s">
        <v>9418</v>
      </c>
      <c r="C101" s="120" t="s">
        <v>9419</v>
      </c>
      <c r="D101" s="128" t="s">
        <v>9420</v>
      </c>
      <c r="E101" t="s">
        <v>9421</v>
      </c>
      <c r="F101" t="s">
        <v>9422</v>
      </c>
      <c r="G101" t="s">
        <v>9423</v>
      </c>
      <c r="H101" t="s">
        <v>9423</v>
      </c>
      <c r="I101" s="128" t="s">
        <v>9424</v>
      </c>
      <c r="J101" s="128" t="s">
        <v>9425</v>
      </c>
      <c r="K101" t="s">
        <v>9426</v>
      </c>
      <c r="L101" t="s">
        <v>9427</v>
      </c>
    </row>
    <row r="102" spans="1:12">
      <c r="A102" s="128" t="s">
        <v>10549</v>
      </c>
      <c r="B102" s="124" t="s">
        <v>10550</v>
      </c>
      <c r="C102" s="120" t="s">
        <v>10551</v>
      </c>
      <c r="D102" s="128" t="s">
        <v>10552</v>
      </c>
      <c r="E102" t="s">
        <v>10553</v>
      </c>
      <c r="F102" t="s">
        <v>10554</v>
      </c>
      <c r="G102" t="s">
        <v>10555</v>
      </c>
      <c r="H102" t="s">
        <v>10555</v>
      </c>
      <c r="I102" s="128" t="s">
        <v>10556</v>
      </c>
      <c r="J102" s="128" t="s">
        <v>10557</v>
      </c>
      <c r="K102" t="s">
        <v>10558</v>
      </c>
      <c r="L102"/>
    </row>
    <row r="103" spans="1:12">
      <c r="A103" s="128" t="s">
        <v>9816</v>
      </c>
      <c r="B103" s="124" t="s">
        <v>9815</v>
      </c>
      <c r="C103" s="120" t="s">
        <v>9817</v>
      </c>
      <c r="D103" s="128" t="s">
        <v>9818</v>
      </c>
      <c r="E103" t="s">
        <v>9819</v>
      </c>
      <c r="F103" t="s">
        <v>9820</v>
      </c>
      <c r="G103" t="s">
        <v>9821</v>
      </c>
      <c r="H103" t="s">
        <v>9821</v>
      </c>
      <c r="I103" s="128" t="s">
        <v>9822</v>
      </c>
      <c r="J103" s="128" t="s">
        <v>9823</v>
      </c>
      <c r="K103" t="s">
        <v>9824</v>
      </c>
      <c r="L103" t="s">
        <v>9825</v>
      </c>
    </row>
    <row r="104" spans="1:12">
      <c r="A104" s="128" t="s">
        <v>9861</v>
      </c>
      <c r="B104" s="124" t="s">
        <v>9862</v>
      </c>
      <c r="C104" s="120" t="s">
        <v>9863</v>
      </c>
      <c r="D104" s="128" t="s">
        <v>9864</v>
      </c>
      <c r="E104" t="s">
        <v>9865</v>
      </c>
      <c r="F104" t="s">
        <v>9866</v>
      </c>
      <c r="G104" t="s">
        <v>9867</v>
      </c>
      <c r="H104" t="s">
        <v>9868</v>
      </c>
      <c r="I104" s="128" t="s">
        <v>9869</v>
      </c>
      <c r="J104" s="128" t="s">
        <v>9870</v>
      </c>
      <c r="K104" t="s">
        <v>9871</v>
      </c>
      <c r="L104" t="s">
        <v>9872</v>
      </c>
    </row>
    <row r="105" spans="1:12">
      <c r="A105" s="124" t="s">
        <v>9428</v>
      </c>
      <c r="B105" s="124" t="s">
        <v>9429</v>
      </c>
      <c r="C105" s="120" t="s">
        <v>9430</v>
      </c>
      <c r="D105" s="136" t="s">
        <v>9431</v>
      </c>
      <c r="E105" t="s">
        <v>9432</v>
      </c>
      <c r="F105" t="s">
        <v>9433</v>
      </c>
      <c r="G105" t="s">
        <v>9434</v>
      </c>
      <c r="H105" s="128" t="s">
        <v>9434</v>
      </c>
      <c r="I105" s="128" t="s">
        <v>9435</v>
      </c>
      <c r="J105" t="s">
        <v>9436</v>
      </c>
      <c r="K105" t="s">
        <v>9437</v>
      </c>
      <c r="L105" t="s">
        <v>9438</v>
      </c>
    </row>
    <row r="106" spans="1:12">
      <c r="A106" s="124" t="s">
        <v>9835</v>
      </c>
      <c r="B106" s="124" t="s">
        <v>9814</v>
      </c>
      <c r="C106" s="120" t="s">
        <v>9834</v>
      </c>
      <c r="D106" s="136" t="s">
        <v>9833</v>
      </c>
      <c r="E106" t="s">
        <v>9832</v>
      </c>
      <c r="F106" t="s">
        <v>9831</v>
      </c>
      <c r="G106" t="s">
        <v>9830</v>
      </c>
      <c r="H106" s="128" t="s">
        <v>9830</v>
      </c>
      <c r="I106" s="128" t="s">
        <v>9829</v>
      </c>
      <c r="J106" t="s">
        <v>9828</v>
      </c>
      <c r="K106" t="s">
        <v>9827</v>
      </c>
      <c r="L106" t="s">
        <v>9826</v>
      </c>
    </row>
    <row r="107" spans="1:12">
      <c r="A107" s="124" t="s">
        <v>9883</v>
      </c>
      <c r="B107" s="124" t="s">
        <v>9811</v>
      </c>
      <c r="C107" s="120" t="s">
        <v>9882</v>
      </c>
      <c r="D107" s="136" t="s">
        <v>9881</v>
      </c>
      <c r="E107" t="s">
        <v>9880</v>
      </c>
      <c r="F107" t="s">
        <v>9879</v>
      </c>
      <c r="G107" t="s">
        <v>9878</v>
      </c>
      <c r="H107" t="s">
        <v>9877</v>
      </c>
      <c r="I107" s="128" t="s">
        <v>9876</v>
      </c>
      <c r="J107" t="s">
        <v>9874</v>
      </c>
      <c r="K107" t="s">
        <v>9875</v>
      </c>
      <c r="L107" t="s">
        <v>9873</v>
      </c>
    </row>
    <row r="108" spans="1:12">
      <c r="A108" s="124" t="s">
        <v>9884</v>
      </c>
      <c r="B108" s="124" t="s">
        <v>9812</v>
      </c>
      <c r="C108" s="120" t="s">
        <v>9885</v>
      </c>
      <c r="D108" s="136" t="s">
        <v>9886</v>
      </c>
      <c r="E108" t="s">
        <v>9887</v>
      </c>
      <c r="F108" t="s">
        <v>9889</v>
      </c>
      <c r="G108" t="s">
        <v>9888</v>
      </c>
      <c r="H108" t="s">
        <v>9890</v>
      </c>
      <c r="I108" s="128" t="s">
        <v>9891</v>
      </c>
      <c r="J108" t="s">
        <v>9892</v>
      </c>
      <c r="K108" t="s">
        <v>9893</v>
      </c>
      <c r="L108" t="s">
        <v>9894</v>
      </c>
    </row>
    <row r="109" spans="1:12">
      <c r="A109" s="124" t="s">
        <v>9905</v>
      </c>
      <c r="B109" s="124" t="s">
        <v>9813</v>
      </c>
      <c r="C109" s="120" t="s">
        <v>9904</v>
      </c>
      <c r="D109" s="136" t="s">
        <v>9903</v>
      </c>
      <c r="E109" t="s">
        <v>9902</v>
      </c>
      <c r="F109" t="s">
        <v>9901</v>
      </c>
      <c r="G109" t="s">
        <v>9900</v>
      </c>
      <c r="H109" s="128" t="s">
        <v>9899</v>
      </c>
      <c r="I109" s="128" t="s">
        <v>9898</v>
      </c>
      <c r="J109" t="s">
        <v>9897</v>
      </c>
      <c r="K109" t="s">
        <v>9896</v>
      </c>
      <c r="L109" t="s">
        <v>9895</v>
      </c>
    </row>
    <row r="110" spans="1:12">
      <c r="A110" s="124" t="s">
        <v>9906</v>
      </c>
      <c r="B110" s="124" t="s">
        <v>10027</v>
      </c>
      <c r="C110" s="120" t="s">
        <v>10028</v>
      </c>
      <c r="D110" s="136" t="s">
        <v>10031</v>
      </c>
      <c r="E110" t="s">
        <v>10032</v>
      </c>
      <c r="F110" t="s">
        <v>10033</v>
      </c>
      <c r="G110" t="s">
        <v>10029</v>
      </c>
      <c r="H110" t="s">
        <v>10029</v>
      </c>
      <c r="I110" s="128" t="s">
        <v>10030</v>
      </c>
      <c r="J110" t="s">
        <v>10034</v>
      </c>
      <c r="K110" t="s">
        <v>10035</v>
      </c>
      <c r="L110" t="s">
        <v>10036</v>
      </c>
    </row>
    <row r="111" spans="1:12">
      <c r="A111" s="124" t="s">
        <v>9439</v>
      </c>
      <c r="B111" s="124" t="s">
        <v>9439</v>
      </c>
      <c r="C111" s="120" t="s">
        <v>9440</v>
      </c>
      <c r="D111" s="136" t="s">
        <v>10628</v>
      </c>
      <c r="E111" s="128" t="s">
        <v>9441</v>
      </c>
      <c r="F111" s="128" t="s">
        <v>9442</v>
      </c>
      <c r="G111" s="128" t="s">
        <v>9443</v>
      </c>
      <c r="H111" s="128" t="s">
        <v>9444</v>
      </c>
      <c r="I111" s="128" t="s">
        <v>9439</v>
      </c>
      <c r="J111" s="128" t="s">
        <v>9445</v>
      </c>
      <c r="K111" s="128" t="s">
        <v>9446</v>
      </c>
      <c r="L111" s="128" t="s">
        <v>9447</v>
      </c>
    </row>
    <row r="112" spans="1:12">
      <c r="A112" s="124" t="s">
        <v>9448</v>
      </c>
      <c r="B112" s="124" t="s">
        <v>9449</v>
      </c>
      <c r="C112" s="120" t="s">
        <v>9450</v>
      </c>
      <c r="D112" s="136" t="s">
        <v>10629</v>
      </c>
      <c r="E112" s="128" t="s">
        <v>9451</v>
      </c>
      <c r="F112" s="128" t="s">
        <v>9452</v>
      </c>
      <c r="G112" s="128" t="s">
        <v>9453</v>
      </c>
      <c r="H112" s="128" t="s">
        <v>9453</v>
      </c>
      <c r="I112" s="128" t="s">
        <v>9454</v>
      </c>
      <c r="J112" s="128" t="s">
        <v>9455</v>
      </c>
      <c r="K112" s="128" t="s">
        <v>9446</v>
      </c>
      <c r="L112" s="128" t="s">
        <v>9456</v>
      </c>
    </row>
    <row r="113" spans="1:14">
      <c r="A113" s="124" t="s">
        <v>9523</v>
      </c>
      <c r="B113" s="124" t="s">
        <v>9526</v>
      </c>
      <c r="C113" s="120" t="s">
        <v>9524</v>
      </c>
      <c r="D113" t="s">
        <v>9525</v>
      </c>
      <c r="E113" s="128" t="s">
        <v>9527</v>
      </c>
      <c r="F113" s="128" t="s">
        <v>9528</v>
      </c>
      <c r="G113" s="128" t="s">
        <v>9529</v>
      </c>
      <c r="H113" s="128" t="s">
        <v>9530</v>
      </c>
      <c r="I113" s="128" t="s">
        <v>9531</v>
      </c>
      <c r="J113" s="128" t="s">
        <v>9532</v>
      </c>
      <c r="K113" s="128" t="s">
        <v>9533</v>
      </c>
      <c r="L113" s="128" t="s">
        <v>9534</v>
      </c>
    </row>
    <row r="114" spans="1:14">
      <c r="A114" s="124" t="s">
        <v>9535</v>
      </c>
      <c r="B114" s="124" t="s">
        <v>9537</v>
      </c>
      <c r="C114" s="120" t="s">
        <v>9536</v>
      </c>
      <c r="D114" s="136" t="s">
        <v>9538</v>
      </c>
      <c r="E114" s="128" t="s">
        <v>9539</v>
      </c>
      <c r="F114" s="128" t="s">
        <v>9540</v>
      </c>
      <c r="G114" s="128" t="s">
        <v>9541</v>
      </c>
      <c r="H114" s="128" t="s">
        <v>9542</v>
      </c>
      <c r="I114" s="128" t="s">
        <v>9543</v>
      </c>
      <c r="J114" s="128" t="s">
        <v>9544</v>
      </c>
      <c r="K114" s="128" t="s">
        <v>9545</v>
      </c>
      <c r="L114" s="128" t="s">
        <v>9546</v>
      </c>
    </row>
    <row r="115" spans="1:14">
      <c r="A115" s="124" t="s">
        <v>9547</v>
      </c>
      <c r="B115" s="124" t="s">
        <v>9558</v>
      </c>
      <c r="C115" s="120" t="s">
        <v>9548</v>
      </c>
      <c r="D115" s="246" t="s">
        <v>9557</v>
      </c>
      <c r="E115" s="128" t="s">
        <v>9556</v>
      </c>
      <c r="F115" s="128" t="s">
        <v>9555</v>
      </c>
      <c r="G115" s="128" t="s">
        <v>9554</v>
      </c>
      <c r="H115" t="s">
        <v>9553</v>
      </c>
      <c r="I115" s="128" t="s">
        <v>9552</v>
      </c>
      <c r="J115" s="128" t="s">
        <v>9551</v>
      </c>
      <c r="K115" s="128" t="s">
        <v>9550</v>
      </c>
      <c r="L115" s="128" t="s">
        <v>9549</v>
      </c>
    </row>
    <row r="116" spans="1:14">
      <c r="A116" s="124" t="s">
        <v>10513</v>
      </c>
      <c r="B116" s="124" t="s">
        <v>10514</v>
      </c>
      <c r="C116" s="120" t="s">
        <v>10512</v>
      </c>
      <c r="D116" s="136" t="s">
        <v>10515</v>
      </c>
      <c r="E116" s="128" t="s">
        <v>10516</v>
      </c>
      <c r="F116" s="128" t="s">
        <v>10517</v>
      </c>
      <c r="G116" s="128" t="s">
        <v>10518</v>
      </c>
      <c r="H116" s="128" t="s">
        <v>10519</v>
      </c>
      <c r="I116" s="128" t="s">
        <v>10520</v>
      </c>
      <c r="J116" s="128" t="s">
        <v>10521</v>
      </c>
      <c r="K116" s="128" t="s">
        <v>10522</v>
      </c>
      <c r="L116" s="128" t="s">
        <v>10523</v>
      </c>
    </row>
    <row r="117" spans="1:14">
      <c r="A117" s="124" t="s">
        <v>10580</v>
      </c>
      <c r="B117" s="124" t="s">
        <v>10590</v>
      </c>
      <c r="C117" s="120" t="s">
        <v>10589</v>
      </c>
      <c r="D117" s="136" t="s">
        <v>10588</v>
      </c>
      <c r="E117" s="128" t="s">
        <v>10587</v>
      </c>
      <c r="F117" s="128" t="s">
        <v>10586</v>
      </c>
      <c r="G117" s="128" t="s">
        <v>10585</v>
      </c>
      <c r="H117" s="128" t="s">
        <v>10591</v>
      </c>
      <c r="I117" s="128" t="s">
        <v>10584</v>
      </c>
      <c r="J117" s="128" t="s">
        <v>10583</v>
      </c>
      <c r="K117" s="128" t="s">
        <v>10582</v>
      </c>
      <c r="L117" s="128" t="s">
        <v>10581</v>
      </c>
    </row>
    <row r="118" spans="1:14">
      <c r="A118" s="124" t="s">
        <v>10592</v>
      </c>
      <c r="B118" s="124" t="s">
        <v>10593</v>
      </c>
      <c r="C118" s="120" t="s">
        <v>10594</v>
      </c>
      <c r="D118" s="136" t="s">
        <v>10595</v>
      </c>
      <c r="E118" s="128" t="s">
        <v>10596</v>
      </c>
      <c r="F118" s="128" t="s">
        <v>10597</v>
      </c>
      <c r="G118" s="128" t="s">
        <v>10598</v>
      </c>
      <c r="H118" s="128" t="s">
        <v>10599</v>
      </c>
      <c r="I118" s="128" t="s">
        <v>10600</v>
      </c>
      <c r="J118" s="128" t="s">
        <v>10601</v>
      </c>
      <c r="K118" s="128" t="s">
        <v>10602</v>
      </c>
      <c r="L118" s="128" t="s">
        <v>10603</v>
      </c>
      <c r="M118" s="128" t="s">
        <v>20</v>
      </c>
      <c r="N118" s="128" t="s">
        <v>20</v>
      </c>
    </row>
    <row r="119" spans="1:14">
      <c r="A119" s="124" t="s">
        <v>2148</v>
      </c>
      <c r="B119" s="124" t="s">
        <v>10649</v>
      </c>
      <c r="C119" s="120" t="s">
        <v>10648</v>
      </c>
      <c r="D119" s="136" t="s">
        <v>11978</v>
      </c>
      <c r="E119" s="128" t="s">
        <v>10644</v>
      </c>
      <c r="F119" s="128" t="s">
        <v>10642</v>
      </c>
      <c r="G119" s="128" t="s">
        <v>10640</v>
      </c>
      <c r="H119" t="s">
        <v>10638</v>
      </c>
      <c r="I119" s="128" t="s">
        <v>10636</v>
      </c>
      <c r="J119" s="128" t="s">
        <v>10634</v>
      </c>
      <c r="K119" s="128" t="s">
        <v>10632</v>
      </c>
      <c r="L119" s="128" t="s">
        <v>10630</v>
      </c>
    </row>
    <row r="120" spans="1:14">
      <c r="A120" s="124" t="s">
        <v>14</v>
      </c>
      <c r="B120" s="124" t="s">
        <v>10650</v>
      </c>
      <c r="C120" s="120" t="s">
        <v>10647</v>
      </c>
      <c r="D120" s="136" t="s">
        <v>10646</v>
      </c>
      <c r="E120" s="128" t="s">
        <v>10645</v>
      </c>
      <c r="F120" s="128" t="s">
        <v>10643</v>
      </c>
      <c r="G120" s="128" t="s">
        <v>10641</v>
      </c>
      <c r="H120" s="128" t="s">
        <v>10639</v>
      </c>
      <c r="I120" s="128" t="s">
        <v>10637</v>
      </c>
      <c r="J120" s="128" t="s">
        <v>10635</v>
      </c>
      <c r="K120" s="128" t="s">
        <v>10633</v>
      </c>
      <c r="L120" s="128" t="s">
        <v>10631</v>
      </c>
    </row>
    <row r="121" spans="1:14">
      <c r="A121" s="124" t="s">
        <v>10775</v>
      </c>
      <c r="B121" s="124" t="s">
        <v>10780</v>
      </c>
      <c r="C121" s="120" t="s">
        <v>10782</v>
      </c>
      <c r="D121" s="136" t="s">
        <v>10784</v>
      </c>
      <c r="E121" s="128" t="s">
        <v>10787</v>
      </c>
      <c r="F121" s="128" t="s">
        <v>10790</v>
      </c>
      <c r="G121" s="128" t="s">
        <v>10793</v>
      </c>
      <c r="H121" s="128" t="s">
        <v>10793</v>
      </c>
      <c r="I121" s="128" t="s">
        <v>10797</v>
      </c>
      <c r="J121" s="128" t="s">
        <v>10800</v>
      </c>
      <c r="K121" s="128" t="s">
        <v>10803</v>
      </c>
      <c r="L121" s="128" t="s">
        <v>10806</v>
      </c>
    </row>
    <row r="122" spans="1:14">
      <c r="A122" s="124" t="s">
        <v>10776</v>
      </c>
      <c r="B122" s="124" t="s">
        <v>10781</v>
      </c>
      <c r="C122" s="120" t="s">
        <v>10783</v>
      </c>
      <c r="D122" s="136" t="s">
        <v>10785</v>
      </c>
      <c r="E122" s="128" t="s">
        <v>10788</v>
      </c>
      <c r="F122" s="128" t="s">
        <v>10791</v>
      </c>
      <c r="G122" s="128" t="s">
        <v>10794</v>
      </c>
      <c r="H122" s="128" t="s">
        <v>10794</v>
      </c>
      <c r="I122" s="128" t="s">
        <v>10798</v>
      </c>
      <c r="J122" s="128" t="s">
        <v>10801</v>
      </c>
      <c r="K122" s="128" t="s">
        <v>10804</v>
      </c>
      <c r="L122" s="128" t="s">
        <v>10807</v>
      </c>
    </row>
    <row r="123" spans="1:14">
      <c r="A123" s="124" t="s">
        <v>10777</v>
      </c>
      <c r="B123" s="124" t="s">
        <v>10779</v>
      </c>
      <c r="C123" s="120" t="s">
        <v>10778</v>
      </c>
      <c r="D123" s="136" t="s">
        <v>10786</v>
      </c>
      <c r="E123" s="128" t="s">
        <v>10789</v>
      </c>
      <c r="F123" s="128" t="s">
        <v>10792</v>
      </c>
      <c r="G123" s="128" t="s">
        <v>10795</v>
      </c>
      <c r="H123" s="128" t="s">
        <v>10796</v>
      </c>
      <c r="I123" s="128" t="s">
        <v>10799</v>
      </c>
      <c r="J123" s="128" t="s">
        <v>10802</v>
      </c>
      <c r="K123" s="128" t="s">
        <v>10805</v>
      </c>
      <c r="L123" s="128" t="s">
        <v>10808</v>
      </c>
    </row>
    <row r="124" spans="1:14">
      <c r="A124" s="124" t="s">
        <v>11079</v>
      </c>
      <c r="B124" s="124" t="s">
        <v>11084</v>
      </c>
      <c r="C124" s="120" t="s">
        <v>11085</v>
      </c>
      <c r="D124" s="136" t="s">
        <v>11086</v>
      </c>
      <c r="E124" s="128" t="s">
        <v>11087</v>
      </c>
      <c r="F124" s="128" t="s">
        <v>11088</v>
      </c>
      <c r="G124" s="128" t="s">
        <v>11089</v>
      </c>
      <c r="H124" s="128" t="s">
        <v>11090</v>
      </c>
      <c r="I124" s="128" t="s">
        <v>11091</v>
      </c>
      <c r="J124" s="128" t="s">
        <v>11092</v>
      </c>
      <c r="K124" s="128" t="s">
        <v>11093</v>
      </c>
      <c r="L124" s="128" t="s">
        <v>11094</v>
      </c>
    </row>
    <row r="125" spans="1:14">
      <c r="A125" s="124" t="s">
        <v>11101</v>
      </c>
      <c r="B125" s="124" t="s">
        <v>11102</v>
      </c>
      <c r="C125" s="120" t="s">
        <v>11103</v>
      </c>
      <c r="D125" s="136" t="s">
        <v>11104</v>
      </c>
      <c r="E125" s="128" t="s">
        <v>11105</v>
      </c>
      <c r="F125" s="128" t="s">
        <v>11106</v>
      </c>
      <c r="G125" s="128" t="s">
        <v>11107</v>
      </c>
      <c r="H125" t="s">
        <v>11108</v>
      </c>
      <c r="I125" s="128" t="s">
        <v>11109</v>
      </c>
      <c r="J125" s="128" t="s">
        <v>11110</v>
      </c>
      <c r="K125" s="128" t="s">
        <v>11111</v>
      </c>
      <c r="L125" s="128" t="s">
        <v>11112</v>
      </c>
    </row>
    <row r="126" spans="1:14">
      <c r="A126" s="124" t="s">
        <v>11113</v>
      </c>
      <c r="B126" s="124" t="s">
        <v>11124</v>
      </c>
      <c r="C126" s="120" t="s">
        <v>11123</v>
      </c>
      <c r="D126" s="136" t="s">
        <v>11122</v>
      </c>
      <c r="E126" s="128" t="s">
        <v>11121</v>
      </c>
      <c r="F126" s="128" t="s">
        <v>11120</v>
      </c>
      <c r="G126" s="128" t="s">
        <v>11119</v>
      </c>
      <c r="H126" t="s">
        <v>11118</v>
      </c>
      <c r="I126" s="128" t="s">
        <v>11117</v>
      </c>
      <c r="J126" s="128" t="s">
        <v>11116</v>
      </c>
      <c r="K126" s="128" t="s">
        <v>11115</v>
      </c>
      <c r="L126" s="128" t="s">
        <v>11114</v>
      </c>
    </row>
    <row r="127" spans="1:14">
      <c r="A127" s="124" t="s">
        <v>6597</v>
      </c>
      <c r="B127" s="124" t="s">
        <v>2177</v>
      </c>
      <c r="C127" s="120" t="s">
        <v>2168</v>
      </c>
      <c r="D127" s="136" t="str">
        <f>"Cena w "&amp;'General price list'!AR4</f>
        <v>Cena w €</v>
      </c>
      <c r="E127" s="128" t="s">
        <v>6867</v>
      </c>
      <c r="F127" s="128" t="s">
        <v>6758</v>
      </c>
      <c r="G127" s="128" t="s">
        <v>6598</v>
      </c>
      <c r="H127" s="128" t="s">
        <v>6599</v>
      </c>
      <c r="I127" s="128" t="s">
        <v>6600</v>
      </c>
      <c r="J127" s="128" t="s">
        <v>6815</v>
      </c>
      <c r="K127" s="128" t="s">
        <v>8729</v>
      </c>
      <c r="L127" s="128" t="s">
        <v>8309</v>
      </c>
    </row>
    <row r="128" spans="1:14">
      <c r="A128" s="124" t="s">
        <v>12163</v>
      </c>
      <c r="B128" s="124" t="s">
        <v>12165</v>
      </c>
      <c r="C128" s="120" t="s">
        <v>12164</v>
      </c>
      <c r="D128" s="136" t="s">
        <v>12166</v>
      </c>
      <c r="E128" s="128" t="s">
        <v>12167</v>
      </c>
      <c r="F128" s="128" t="s">
        <v>12168</v>
      </c>
      <c r="G128" s="128" t="s">
        <v>12169</v>
      </c>
      <c r="H128" s="128" t="s">
        <v>12170</v>
      </c>
      <c r="I128" s="128" t="s">
        <v>12171</v>
      </c>
      <c r="J128" s="128" t="s">
        <v>12172</v>
      </c>
      <c r="K128" s="128" t="s">
        <v>12173</v>
      </c>
      <c r="L128" s="128" t="s">
        <v>12174</v>
      </c>
    </row>
    <row r="129" spans="1:12">
      <c r="A129" s="124" t="s">
        <v>12178</v>
      </c>
      <c r="B129" s="124" t="s">
        <v>12181</v>
      </c>
      <c r="C129" s="120" t="s">
        <v>12180</v>
      </c>
      <c r="D129" s="136" t="s">
        <v>12199</v>
      </c>
      <c r="E129" s="128" t="s">
        <v>12189</v>
      </c>
      <c r="F129" s="128" t="s">
        <v>12185</v>
      </c>
      <c r="G129" s="128" t="s">
        <v>12187</v>
      </c>
      <c r="H129" s="128" t="s">
        <v>12187</v>
      </c>
      <c r="I129" s="128" t="s">
        <v>12195</v>
      </c>
      <c r="J129" s="128" t="s">
        <v>12193</v>
      </c>
      <c r="K129" s="128" t="s">
        <v>12191</v>
      </c>
      <c r="L129" s="128" t="s">
        <v>12183</v>
      </c>
    </row>
    <row r="130" spans="1:12">
      <c r="A130" s="124" t="s">
        <v>12179</v>
      </c>
      <c r="B130" s="124" t="s">
        <v>12196</v>
      </c>
      <c r="C130" s="120" t="s">
        <v>12197</v>
      </c>
      <c r="D130" s="136" t="s">
        <v>12198</v>
      </c>
      <c r="E130" s="128" t="s">
        <v>12188</v>
      </c>
      <c r="F130" s="128" t="s">
        <v>12184</v>
      </c>
      <c r="G130" s="128" t="s">
        <v>12186</v>
      </c>
      <c r="H130" s="128" t="s">
        <v>12186</v>
      </c>
      <c r="I130" s="128" t="s">
        <v>12194</v>
      </c>
      <c r="J130" s="128" t="s">
        <v>12192</v>
      </c>
      <c r="K130" s="128" t="s">
        <v>12190</v>
      </c>
      <c r="L130" s="128" t="s">
        <v>12182</v>
      </c>
    </row>
    <row r="131" spans="1:12">
      <c r="A131" s="124"/>
      <c r="B131" s="124"/>
      <c r="C131" s="120"/>
      <c r="D131" s="136"/>
    </row>
    <row r="132" spans="1:12">
      <c r="A132" s="124"/>
      <c r="B132" s="124"/>
      <c r="C132" s="120"/>
      <c r="D132" s="136"/>
    </row>
    <row r="133" spans="1:12">
      <c r="A133" s="124"/>
      <c r="B133" s="124"/>
      <c r="C133" s="120"/>
      <c r="D133" s="136"/>
    </row>
    <row r="134" spans="1:12">
      <c r="A134" s="124"/>
      <c r="B134" s="124"/>
      <c r="C134" s="120"/>
      <c r="D134" s="136"/>
    </row>
    <row r="135" spans="1:12">
      <c r="A135" s="124"/>
      <c r="B135" s="124"/>
      <c r="C135" s="120"/>
      <c r="D135" s="136"/>
    </row>
    <row r="136" spans="1:12">
      <c r="A136" s="124"/>
      <c r="B136" s="124"/>
      <c r="C136" s="120"/>
      <c r="D136" s="136"/>
    </row>
    <row r="137" spans="1:12">
      <c r="A137" s="124"/>
      <c r="B137" s="124"/>
      <c r="C137" s="120"/>
      <c r="D137" s="136"/>
    </row>
    <row r="138" spans="1:12">
      <c r="A138" s="124"/>
      <c r="B138" s="124"/>
      <c r="C138" s="120"/>
      <c r="D138" s="136"/>
    </row>
    <row r="139" spans="1:12">
      <c r="A139" s="124"/>
      <c r="B139" s="124"/>
      <c r="C139" s="120"/>
      <c r="D139" s="136"/>
    </row>
    <row r="140" spans="1:12">
      <c r="A140" s="124"/>
      <c r="B140" s="124"/>
      <c r="C140" s="120"/>
      <c r="D140" s="136"/>
    </row>
    <row r="141" spans="1:12">
      <c r="A141" s="124"/>
      <c r="B141" s="124"/>
      <c r="C141" s="120"/>
      <c r="D141" s="136"/>
    </row>
    <row r="142" spans="1:12">
      <c r="A142" s="124"/>
      <c r="B142" s="124"/>
      <c r="C142" s="120"/>
      <c r="D142" s="136"/>
    </row>
    <row r="143" spans="1:12">
      <c r="A143" s="124"/>
      <c r="B143" s="124"/>
      <c r="C143" s="120"/>
      <c r="D143" s="136"/>
    </row>
    <row r="144" spans="1:12">
      <c r="A144" s="124"/>
      <c r="B144" s="124"/>
      <c r="C144" s="120"/>
      <c r="D144" s="136"/>
    </row>
    <row r="145" spans="1:4">
      <c r="A145" s="124"/>
      <c r="B145" s="124"/>
      <c r="C145" s="120"/>
      <c r="D145" s="136"/>
    </row>
    <row r="146" spans="1:4">
      <c r="A146" s="124"/>
      <c r="B146" s="124"/>
      <c r="C146" s="120"/>
      <c r="D146" s="136"/>
    </row>
  </sheetData>
  <sortState xmlns:xlrd2="http://schemas.microsoft.com/office/spreadsheetml/2017/richdata2" ref="A3:A40">
    <sortCondition ref="A1:A40"/>
  </sortState>
  <conditionalFormatting sqref="A1:A93 A95 A97:A100 A105:A146 B97:C98">
    <cfRule type="duplicateValues" dxfId="5" priority="5340"/>
  </conditionalFormatting>
  <conditionalFormatting sqref="B95">
    <cfRule type="duplicateValues" dxfId="4" priority="2"/>
  </conditionalFormatting>
  <conditionalFormatting sqref="C95">
    <cfRule type="duplicateValues" dxfId="3" priority="1"/>
  </conditionalFormatting>
  <hyperlinks>
    <hyperlink ref="A99" r:id="rId1" xr:uid="{EC144FCD-2A54-435F-A2BD-DD5F6397918D}"/>
    <hyperlink ref="F99" r:id="rId2" xr:uid="{865624F2-1824-4C01-8809-CF8D0AE52F75}"/>
    <hyperlink ref="D99" r:id="rId3" xr:uid="{526A39A8-7607-400C-A499-966768596EC6}"/>
  </hyperlinks>
  <pageMargins left="0.7" right="0.7" top="0.78740157499999996" bottom="0.78740157499999996" header="0.3" footer="0.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4B41-F403-499B-8A9A-5BAD57535CF8}">
  <sheetPr codeName="List11"/>
  <dimension ref="A1:M1484"/>
  <sheetViews>
    <sheetView zoomScaleNormal="100" workbookViewId="0">
      <pane xSplit="1" ySplit="8" topLeftCell="B1474" activePane="bottomRight" state="frozen"/>
      <selection pane="topRight" activeCell="B1" sqref="B1"/>
      <selection pane="bottomLeft" activeCell="A9" sqref="A9"/>
      <selection pane="bottomRight" activeCell="C1484" sqref="C1484:M1484"/>
    </sheetView>
  </sheetViews>
  <sheetFormatPr defaultRowHeight="15" customHeight="1"/>
  <sheetData>
    <row r="1" spans="1:13">
      <c r="A1" s="22"/>
      <c r="B1" s="23"/>
      <c r="C1" s="24"/>
      <c r="D1" s="24"/>
      <c r="E1" s="24"/>
      <c r="F1" s="24"/>
      <c r="G1" s="24"/>
      <c r="H1" s="24"/>
      <c r="I1" s="24"/>
      <c r="J1" s="24"/>
      <c r="K1" s="24"/>
      <c r="L1" s="24"/>
      <c r="M1" s="24"/>
    </row>
    <row r="2" spans="1:13">
      <c r="A2" s="22"/>
      <c r="B2" s="22"/>
      <c r="C2" s="24"/>
      <c r="D2" s="24"/>
      <c r="E2" s="24"/>
      <c r="F2" s="24"/>
      <c r="G2" s="24"/>
      <c r="H2" s="24"/>
      <c r="I2" s="24"/>
      <c r="J2" s="24"/>
      <c r="K2" s="24"/>
      <c r="L2" s="24"/>
      <c r="M2" s="24"/>
    </row>
    <row r="3" spans="1:13">
      <c r="A3" s="22"/>
      <c r="B3" s="22"/>
      <c r="C3" s="24"/>
      <c r="D3" s="24"/>
      <c r="E3" s="24"/>
      <c r="F3" s="24"/>
      <c r="G3" s="24"/>
      <c r="H3" s="24"/>
      <c r="I3" s="24"/>
      <c r="J3" s="24"/>
      <c r="K3" s="24"/>
      <c r="L3" s="24"/>
      <c r="M3" s="24"/>
    </row>
    <row r="4" spans="1:13">
      <c r="A4" s="22"/>
      <c r="B4" s="22"/>
      <c r="C4" s="24"/>
      <c r="D4" s="24"/>
      <c r="E4" s="24"/>
      <c r="F4" s="24"/>
      <c r="G4" s="24"/>
      <c r="H4" s="24"/>
      <c r="I4" s="24"/>
      <c r="J4" s="24"/>
      <c r="K4" s="24"/>
      <c r="L4" s="24"/>
      <c r="M4" s="24"/>
    </row>
    <row r="5" spans="1:13" ht="15.75" thickBot="1">
      <c r="A5" s="25" t="s">
        <v>12290</v>
      </c>
      <c r="B5" s="25">
        <v>96</v>
      </c>
      <c r="C5" s="25">
        <v>19</v>
      </c>
      <c r="D5" s="25">
        <v>97</v>
      </c>
      <c r="E5" s="25">
        <v>139</v>
      </c>
      <c r="F5" s="25">
        <v>140</v>
      </c>
      <c r="G5" s="25">
        <v>141</v>
      </c>
      <c r="H5" s="25">
        <v>142</v>
      </c>
      <c r="I5" s="25">
        <v>143</v>
      </c>
      <c r="J5" s="25">
        <v>144</v>
      </c>
      <c r="K5" s="25">
        <v>158</v>
      </c>
      <c r="L5" s="25">
        <v>159</v>
      </c>
      <c r="M5" s="25">
        <v>157</v>
      </c>
    </row>
    <row r="6" spans="1:13">
      <c r="A6" s="26" t="s">
        <v>0</v>
      </c>
      <c r="B6" s="27" t="s">
        <v>6</v>
      </c>
      <c r="C6" s="28" t="s">
        <v>5</v>
      </c>
      <c r="D6" s="28" t="s">
        <v>7</v>
      </c>
      <c r="E6" s="28" t="s">
        <v>2830</v>
      </c>
      <c r="F6" s="28" t="s">
        <v>2831</v>
      </c>
      <c r="G6" s="29" t="s">
        <v>2832</v>
      </c>
      <c r="H6" s="30" t="s">
        <v>2830</v>
      </c>
      <c r="I6" s="29" t="s">
        <v>2833</v>
      </c>
      <c r="J6" s="31" t="s">
        <v>2834</v>
      </c>
      <c r="K6" s="32" t="s">
        <v>6829</v>
      </c>
      <c r="L6" s="32" t="s">
        <v>7673</v>
      </c>
      <c r="M6" s="32"/>
    </row>
    <row r="7" spans="1:13">
      <c r="A7" s="33" t="s">
        <v>13</v>
      </c>
      <c r="B7" s="34" t="s">
        <v>2766</v>
      </c>
      <c r="C7" s="35" t="s">
        <v>2767</v>
      </c>
      <c r="D7" s="35" t="s">
        <v>2768</v>
      </c>
      <c r="E7" s="35" t="s">
        <v>6463</v>
      </c>
      <c r="F7" s="35" t="s">
        <v>6460</v>
      </c>
      <c r="G7" s="36" t="s">
        <v>6854</v>
      </c>
      <c r="H7" s="37" t="s">
        <v>7684</v>
      </c>
      <c r="I7" s="36" t="s">
        <v>2770</v>
      </c>
      <c r="J7" s="38" t="s">
        <v>2769</v>
      </c>
      <c r="K7" s="39" t="s">
        <v>6801</v>
      </c>
      <c r="L7" s="39" t="s">
        <v>7683</v>
      </c>
      <c r="M7" s="39" t="s">
        <v>7685</v>
      </c>
    </row>
    <row r="8" spans="1:13">
      <c r="A8" s="33"/>
      <c r="B8" s="34" t="s">
        <v>9018</v>
      </c>
      <c r="C8" s="35" t="s">
        <v>2767</v>
      </c>
      <c r="D8" s="35" t="s">
        <v>9019</v>
      </c>
      <c r="E8" s="35" t="s">
        <v>9020</v>
      </c>
      <c r="F8" s="35" t="s">
        <v>6460</v>
      </c>
      <c r="G8" s="35" t="s">
        <v>9021</v>
      </c>
      <c r="H8" s="40" t="s">
        <v>6461</v>
      </c>
      <c r="I8" s="35" t="s">
        <v>6462</v>
      </c>
      <c r="J8" s="40" t="s">
        <v>6464</v>
      </c>
      <c r="K8" s="41" t="s">
        <v>7131</v>
      </c>
      <c r="L8" s="41" t="s">
        <v>9022</v>
      </c>
      <c r="M8" s="41" t="s">
        <v>7694</v>
      </c>
    </row>
    <row r="9" spans="1:13" ht="15.75" thickBot="1">
      <c r="A9" s="455"/>
      <c r="B9" s="456" t="s">
        <v>6</v>
      </c>
      <c r="C9" s="453" t="s">
        <v>5</v>
      </c>
      <c r="D9" s="456" t="s">
        <v>7</v>
      </c>
      <c r="E9" s="453" t="s">
        <v>2830</v>
      </c>
      <c r="F9" s="453" t="s">
        <v>2831</v>
      </c>
      <c r="G9" s="453" t="s">
        <v>2832</v>
      </c>
      <c r="H9" s="454" t="s">
        <v>2830</v>
      </c>
      <c r="I9" s="453" t="s">
        <v>2833</v>
      </c>
      <c r="J9" s="454" t="s">
        <v>2834</v>
      </c>
      <c r="K9" s="457" t="s">
        <v>6829</v>
      </c>
      <c r="L9" s="457" t="s">
        <v>7673</v>
      </c>
      <c r="M9" s="457"/>
    </row>
    <row r="10" spans="1:13" ht="15.75" thickTop="1">
      <c r="A10" s="458" t="s">
        <v>12277</v>
      </c>
      <c r="B10" s="459" t="s">
        <v>12278</v>
      </c>
      <c r="C10" s="459" t="s">
        <v>12279</v>
      </c>
      <c r="D10" s="459" t="s">
        <v>12280</v>
      </c>
      <c r="E10" s="459" t="s">
        <v>12281</v>
      </c>
      <c r="F10" s="459" t="s">
        <v>12282</v>
      </c>
      <c r="G10" s="459" t="s">
        <v>12283</v>
      </c>
      <c r="H10" s="459" t="s">
        <v>12284</v>
      </c>
      <c r="I10" s="459" t="s">
        <v>12285</v>
      </c>
      <c r="J10" s="459" t="s">
        <v>12286</v>
      </c>
      <c r="K10" s="459" t="s">
        <v>12287</v>
      </c>
      <c r="L10" s="459" t="s">
        <v>12288</v>
      </c>
      <c r="M10" s="460" t="s">
        <v>12289</v>
      </c>
    </row>
    <row r="11" spans="1:13" ht="36.75" customHeight="1">
      <c r="A11" s="461" t="s">
        <v>835</v>
      </c>
      <c r="B11" s="462" t="s">
        <v>837</v>
      </c>
      <c r="C11" s="463" t="s">
        <v>836</v>
      </c>
      <c r="D11" s="463" t="s">
        <v>838</v>
      </c>
      <c r="E11" s="463" t="s">
        <v>4433</v>
      </c>
      <c r="F11" s="462" t="s">
        <v>4434</v>
      </c>
      <c r="G11" s="462" t="s">
        <v>4435</v>
      </c>
      <c r="H11" s="462" t="s">
        <v>4436</v>
      </c>
      <c r="I11" s="462" t="s">
        <v>4437</v>
      </c>
      <c r="J11" s="462" t="s">
        <v>4438</v>
      </c>
      <c r="K11" s="462" t="s">
        <v>12320</v>
      </c>
      <c r="L11" s="462" t="s">
        <v>8586</v>
      </c>
      <c r="M11" s="464" t="s">
        <v>7940</v>
      </c>
    </row>
    <row r="12" spans="1:13" ht="45" customHeight="1">
      <c r="A12" s="465" t="s">
        <v>839</v>
      </c>
      <c r="B12" s="465" t="s">
        <v>837</v>
      </c>
      <c r="C12" s="466" t="s">
        <v>836</v>
      </c>
      <c r="D12" s="466" t="s">
        <v>838</v>
      </c>
      <c r="E12" s="466" t="s">
        <v>4433</v>
      </c>
      <c r="F12" s="465" t="s">
        <v>4434</v>
      </c>
      <c r="G12" s="465" t="s">
        <v>4435</v>
      </c>
      <c r="H12" s="465" t="s">
        <v>4436</v>
      </c>
      <c r="I12" s="465" t="s">
        <v>4437</v>
      </c>
      <c r="J12" s="465" t="s">
        <v>4438</v>
      </c>
      <c r="K12" s="465" t="s">
        <v>12320</v>
      </c>
      <c r="L12" s="465" t="s">
        <v>8586</v>
      </c>
      <c r="M12" s="467" t="s">
        <v>7940</v>
      </c>
    </row>
    <row r="13" spans="1:13" ht="36.75" customHeight="1">
      <c r="A13" s="461" t="s">
        <v>840</v>
      </c>
      <c r="B13" s="461" t="s">
        <v>837</v>
      </c>
      <c r="C13" s="468" t="s">
        <v>836</v>
      </c>
      <c r="D13" s="468" t="s">
        <v>838</v>
      </c>
      <c r="E13" s="468" t="s">
        <v>4433</v>
      </c>
      <c r="F13" s="461" t="s">
        <v>4434</v>
      </c>
      <c r="G13" s="461" t="s">
        <v>4435</v>
      </c>
      <c r="H13" s="461" t="s">
        <v>4436</v>
      </c>
      <c r="I13" s="461" t="s">
        <v>4437</v>
      </c>
      <c r="J13" s="461" t="s">
        <v>4438</v>
      </c>
      <c r="K13" s="461" t="s">
        <v>12320</v>
      </c>
      <c r="L13" s="461" t="s">
        <v>8586</v>
      </c>
      <c r="M13" s="469" t="s">
        <v>7940</v>
      </c>
    </row>
    <row r="14" spans="1:13" ht="36.75" customHeight="1">
      <c r="A14" s="465" t="s">
        <v>2403</v>
      </c>
      <c r="B14" s="465" t="s">
        <v>2404</v>
      </c>
      <c r="C14" s="466" t="s">
        <v>2635</v>
      </c>
      <c r="D14" s="466" t="s">
        <v>2635</v>
      </c>
      <c r="E14" s="466" t="s">
        <v>4529</v>
      </c>
      <c r="F14" s="465" t="s">
        <v>4530</v>
      </c>
      <c r="G14" s="465" t="s">
        <v>4531</v>
      </c>
      <c r="H14" s="465" t="s">
        <v>4532</v>
      </c>
      <c r="I14" s="465" t="s">
        <v>4533</v>
      </c>
      <c r="J14" s="465" t="s">
        <v>4534</v>
      </c>
      <c r="K14" s="470" t="s">
        <v>12321</v>
      </c>
      <c r="L14" s="465" t="s">
        <v>8602</v>
      </c>
      <c r="M14" s="467" t="s">
        <v>7956</v>
      </c>
    </row>
    <row r="15" spans="1:13" ht="36.75" customHeight="1">
      <c r="A15" s="461" t="s">
        <v>2401</v>
      </c>
      <c r="B15" s="461" t="s">
        <v>2402</v>
      </c>
      <c r="C15" s="468" t="s">
        <v>2634</v>
      </c>
      <c r="D15" s="468" t="s">
        <v>2634</v>
      </c>
      <c r="E15" s="468" t="s">
        <v>4523</v>
      </c>
      <c r="F15" s="461" t="s">
        <v>4524</v>
      </c>
      <c r="G15" s="461" t="s">
        <v>4525</v>
      </c>
      <c r="H15" s="461" t="s">
        <v>4526</v>
      </c>
      <c r="I15" s="461" t="s">
        <v>4527</v>
      </c>
      <c r="J15" s="461" t="s">
        <v>4528</v>
      </c>
      <c r="K15" s="471" t="s">
        <v>12322</v>
      </c>
      <c r="L15" s="461" t="s">
        <v>8601</v>
      </c>
      <c r="M15" s="469" t="s">
        <v>7955</v>
      </c>
    </row>
    <row r="16" spans="1:13" ht="36.75" customHeight="1">
      <c r="A16" s="465" t="s">
        <v>2405</v>
      </c>
      <c r="B16" s="465" t="s">
        <v>2406</v>
      </c>
      <c r="C16" s="466" t="s">
        <v>2636</v>
      </c>
      <c r="D16" s="466" t="s">
        <v>2636</v>
      </c>
      <c r="E16" s="466" t="s">
        <v>4535</v>
      </c>
      <c r="F16" s="465" t="s">
        <v>4536</v>
      </c>
      <c r="G16" s="465" t="s">
        <v>4537</v>
      </c>
      <c r="H16" s="465" t="s">
        <v>4538</v>
      </c>
      <c r="I16" s="465" t="s">
        <v>4539</v>
      </c>
      <c r="J16" s="465" t="s">
        <v>4540</v>
      </c>
      <c r="K16" s="470" t="s">
        <v>12323</v>
      </c>
      <c r="L16" s="465" t="s">
        <v>8603</v>
      </c>
      <c r="M16" s="467" t="s">
        <v>7957</v>
      </c>
    </row>
    <row r="17" spans="1:13" ht="36.75" customHeight="1">
      <c r="A17" s="461" t="s">
        <v>2407</v>
      </c>
      <c r="B17" s="461" t="s">
        <v>2408</v>
      </c>
      <c r="C17" s="468" t="s">
        <v>2637</v>
      </c>
      <c r="D17" s="468" t="s">
        <v>2637</v>
      </c>
      <c r="E17" s="468" t="s">
        <v>4541</v>
      </c>
      <c r="F17" s="461" t="s">
        <v>4542</v>
      </c>
      <c r="G17" s="461" t="s">
        <v>4543</v>
      </c>
      <c r="H17" s="461" t="s">
        <v>4544</v>
      </c>
      <c r="I17" s="461" t="s">
        <v>4545</v>
      </c>
      <c r="J17" s="461" t="s">
        <v>4546</v>
      </c>
      <c r="K17" s="471" t="s">
        <v>12324</v>
      </c>
      <c r="L17" s="461" t="s">
        <v>8604</v>
      </c>
      <c r="M17" s="469" t="s">
        <v>7958</v>
      </c>
    </row>
    <row r="18" spans="1:13" ht="36.75" customHeight="1">
      <c r="A18" s="465" t="s">
        <v>107</v>
      </c>
      <c r="B18" s="465" t="s">
        <v>105</v>
      </c>
      <c r="C18" s="466" t="s">
        <v>104</v>
      </c>
      <c r="D18" s="466" t="s">
        <v>106</v>
      </c>
      <c r="E18" s="466" t="s">
        <v>2929</v>
      </c>
      <c r="F18" s="465" t="s">
        <v>2924</v>
      </c>
      <c r="G18" s="465" t="s">
        <v>2930</v>
      </c>
      <c r="H18" s="465" t="s">
        <v>2931</v>
      </c>
      <c r="I18" s="465" t="s">
        <v>2932</v>
      </c>
      <c r="J18" s="465" t="s">
        <v>2933</v>
      </c>
      <c r="K18" s="465" t="s">
        <v>7147</v>
      </c>
      <c r="L18" s="465" t="s">
        <v>8367</v>
      </c>
      <c r="M18" s="467" t="s">
        <v>7712</v>
      </c>
    </row>
    <row r="19" spans="1:13" ht="36.75" customHeight="1">
      <c r="A19" s="461" t="s">
        <v>110</v>
      </c>
      <c r="B19" s="461" t="s">
        <v>105</v>
      </c>
      <c r="C19" s="468" t="s">
        <v>104</v>
      </c>
      <c r="D19" s="468" t="s">
        <v>106</v>
      </c>
      <c r="E19" s="468" t="s">
        <v>2929</v>
      </c>
      <c r="F19" s="461" t="s">
        <v>2924</v>
      </c>
      <c r="G19" s="461" t="s">
        <v>2930</v>
      </c>
      <c r="H19" s="461" t="s">
        <v>2931</v>
      </c>
      <c r="I19" s="461" t="s">
        <v>2932</v>
      </c>
      <c r="J19" s="461" t="s">
        <v>2933</v>
      </c>
      <c r="K19" s="461" t="s">
        <v>7147</v>
      </c>
      <c r="L19" s="461" t="s">
        <v>8367</v>
      </c>
      <c r="M19" s="469" t="s">
        <v>7712</v>
      </c>
    </row>
    <row r="20" spans="1:13" ht="36.75" customHeight="1">
      <c r="A20" s="472" t="s">
        <v>111</v>
      </c>
      <c r="B20" s="465" t="s">
        <v>2936</v>
      </c>
      <c r="C20" s="466" t="s">
        <v>2935</v>
      </c>
      <c r="D20" s="466" t="s">
        <v>2937</v>
      </c>
      <c r="E20" s="466" t="s">
        <v>2938</v>
      </c>
      <c r="F20" s="465" t="s">
        <v>2939</v>
      </c>
      <c r="G20" s="465" t="s">
        <v>2940</v>
      </c>
      <c r="H20" s="465" t="s">
        <v>2941</v>
      </c>
      <c r="I20" s="465" t="s">
        <v>2932</v>
      </c>
      <c r="J20" s="465" t="s">
        <v>2942</v>
      </c>
      <c r="K20" s="465" t="s">
        <v>7148</v>
      </c>
      <c r="L20" s="465" t="s">
        <v>8368</v>
      </c>
      <c r="M20" s="467" t="s">
        <v>7713</v>
      </c>
    </row>
    <row r="21" spans="1:13">
      <c r="A21" s="472" t="s">
        <v>112</v>
      </c>
      <c r="B21" s="461" t="s">
        <v>2936</v>
      </c>
      <c r="C21" s="468" t="s">
        <v>2935</v>
      </c>
      <c r="D21" s="468" t="s">
        <v>2937</v>
      </c>
      <c r="E21" s="468" t="s">
        <v>2938</v>
      </c>
      <c r="F21" s="461" t="s">
        <v>2939</v>
      </c>
      <c r="G21" s="461" t="s">
        <v>2940</v>
      </c>
      <c r="H21" s="461" t="s">
        <v>2941</v>
      </c>
      <c r="I21" s="461" t="s">
        <v>2943</v>
      </c>
      <c r="J21" s="461" t="s">
        <v>2942</v>
      </c>
      <c r="K21" s="461" t="s">
        <v>7148</v>
      </c>
      <c r="L21" s="461" t="s">
        <v>8368</v>
      </c>
      <c r="M21" s="469" t="s">
        <v>7713</v>
      </c>
    </row>
    <row r="22" spans="1:13">
      <c r="A22" s="472" t="s">
        <v>2222</v>
      </c>
      <c r="B22" s="465" t="s">
        <v>2498</v>
      </c>
      <c r="C22" s="466" t="s">
        <v>2595</v>
      </c>
      <c r="D22" s="466" t="s">
        <v>2674</v>
      </c>
      <c r="E22" s="466" t="s">
        <v>2923</v>
      </c>
      <c r="F22" s="465" t="s">
        <v>2924</v>
      </c>
      <c r="G22" s="465" t="s">
        <v>2925</v>
      </c>
      <c r="H22" s="465" t="s">
        <v>2926</v>
      </c>
      <c r="I22" s="465" t="s">
        <v>2927</v>
      </c>
      <c r="J22" s="465" t="s">
        <v>2928</v>
      </c>
      <c r="K22" s="465" t="s">
        <v>7146</v>
      </c>
      <c r="L22" s="465" t="s">
        <v>8366</v>
      </c>
      <c r="M22" s="467" t="s">
        <v>7711</v>
      </c>
    </row>
    <row r="23" spans="1:13">
      <c r="A23" s="461" t="s">
        <v>2261</v>
      </c>
      <c r="B23" s="461" t="s">
        <v>2533</v>
      </c>
      <c r="C23" s="468" t="s">
        <v>2621</v>
      </c>
      <c r="D23" s="468" t="s">
        <v>2696</v>
      </c>
      <c r="E23" s="468" t="s">
        <v>3562</v>
      </c>
      <c r="F23" s="461" t="s">
        <v>3563</v>
      </c>
      <c r="G23" s="461" t="s">
        <v>3564</v>
      </c>
      <c r="H23" s="461" t="s">
        <v>3565</v>
      </c>
      <c r="I23" s="461" t="s">
        <v>3566</v>
      </c>
      <c r="J23" s="461" t="s">
        <v>3567</v>
      </c>
      <c r="K23" s="461" t="s">
        <v>7239</v>
      </c>
      <c r="L23" s="461" t="s">
        <v>8455</v>
      </c>
      <c r="M23" s="469" t="s">
        <v>7806</v>
      </c>
    </row>
    <row r="24" spans="1:13">
      <c r="A24" s="465" t="s">
        <v>947</v>
      </c>
      <c r="B24" s="465" t="s">
        <v>942</v>
      </c>
      <c r="C24" s="466" t="s">
        <v>941</v>
      </c>
      <c r="D24" s="466" t="s">
        <v>943</v>
      </c>
      <c r="E24" s="466" t="s">
        <v>4708</v>
      </c>
      <c r="F24" s="465" t="s">
        <v>4709</v>
      </c>
      <c r="G24" s="465" t="s">
        <v>4710</v>
      </c>
      <c r="H24" s="465" t="s">
        <v>4711</v>
      </c>
      <c r="I24" s="465" t="s">
        <v>4712</v>
      </c>
      <c r="J24" s="465" t="s">
        <v>4713</v>
      </c>
      <c r="K24" s="470" t="s">
        <v>7368</v>
      </c>
      <c r="L24" s="465" t="s">
        <v>8631</v>
      </c>
      <c r="M24" s="467" t="s">
        <v>7986</v>
      </c>
    </row>
    <row r="25" spans="1:13">
      <c r="A25" s="461" t="s">
        <v>944</v>
      </c>
      <c r="B25" s="461" t="s">
        <v>942</v>
      </c>
      <c r="C25" s="468" t="s">
        <v>945</v>
      </c>
      <c r="D25" s="468" t="s">
        <v>943</v>
      </c>
      <c r="E25" s="468" t="s">
        <v>4708</v>
      </c>
      <c r="F25" s="461" t="s">
        <v>4714</v>
      </c>
      <c r="G25" s="461" t="s">
        <v>4710</v>
      </c>
      <c r="H25" s="461" t="s">
        <v>4711</v>
      </c>
      <c r="I25" s="461" t="s">
        <v>4712</v>
      </c>
      <c r="J25" s="461" t="s">
        <v>4713</v>
      </c>
      <c r="K25" s="471" t="s">
        <v>7368</v>
      </c>
      <c r="L25" s="461" t="s">
        <v>8631</v>
      </c>
      <c r="M25" s="469" t="s">
        <v>7986</v>
      </c>
    </row>
    <row r="26" spans="1:13">
      <c r="A26" s="465" t="s">
        <v>950</v>
      </c>
      <c r="B26" s="465" t="s">
        <v>952</v>
      </c>
      <c r="C26" s="466" t="s">
        <v>938</v>
      </c>
      <c r="D26" s="466" t="s">
        <v>953</v>
      </c>
      <c r="E26" s="466" t="s">
        <v>4727</v>
      </c>
      <c r="F26" s="465" t="s">
        <v>4728</v>
      </c>
      <c r="G26" s="465" t="s">
        <v>4729</v>
      </c>
      <c r="H26" s="465" t="s">
        <v>4730</v>
      </c>
      <c r="I26" s="465" t="s">
        <v>4731</v>
      </c>
      <c r="J26" s="465" t="s">
        <v>4732</v>
      </c>
      <c r="K26" s="470" t="s">
        <v>7370</v>
      </c>
      <c r="L26" s="465" t="s">
        <v>8633</v>
      </c>
      <c r="M26" s="467" t="s">
        <v>7988</v>
      </c>
    </row>
    <row r="27" spans="1:13">
      <c r="A27" s="461" t="s">
        <v>1059</v>
      </c>
      <c r="B27" s="461" t="s">
        <v>952</v>
      </c>
      <c r="C27" s="468" t="s">
        <v>938</v>
      </c>
      <c r="D27" s="468" t="s">
        <v>953</v>
      </c>
      <c r="E27" s="468" t="s">
        <v>4727</v>
      </c>
      <c r="F27" s="461" t="s">
        <v>4728</v>
      </c>
      <c r="G27" s="461" t="s">
        <v>4729</v>
      </c>
      <c r="H27" s="461" t="s">
        <v>4730</v>
      </c>
      <c r="I27" s="461" t="s">
        <v>4731</v>
      </c>
      <c r="J27" s="461" t="s">
        <v>4805</v>
      </c>
      <c r="K27" s="461" t="s">
        <v>7370</v>
      </c>
      <c r="L27" s="461" t="s">
        <v>8633</v>
      </c>
      <c r="M27" s="469" t="s">
        <v>7988</v>
      </c>
    </row>
    <row r="28" spans="1:13">
      <c r="A28" s="465" t="s">
        <v>1060</v>
      </c>
      <c r="B28" s="465" t="s">
        <v>952</v>
      </c>
      <c r="C28" s="466" t="s">
        <v>938</v>
      </c>
      <c r="D28" s="466" t="s">
        <v>953</v>
      </c>
      <c r="E28" s="466" t="s">
        <v>4727</v>
      </c>
      <c r="F28" s="465" t="s">
        <v>4728</v>
      </c>
      <c r="G28" s="465" t="s">
        <v>4729</v>
      </c>
      <c r="H28" s="465" t="s">
        <v>4730</v>
      </c>
      <c r="I28" s="465" t="s">
        <v>4731</v>
      </c>
      <c r="J28" s="465" t="s">
        <v>4805</v>
      </c>
      <c r="K28" s="465" t="s">
        <v>7370</v>
      </c>
      <c r="L28" s="465" t="s">
        <v>8633</v>
      </c>
      <c r="M28" s="467" t="s">
        <v>7988</v>
      </c>
    </row>
    <row r="29" spans="1:13">
      <c r="A29" s="461" t="s">
        <v>4806</v>
      </c>
      <c r="B29" s="461" t="s">
        <v>952</v>
      </c>
      <c r="C29" s="468" t="s">
        <v>938</v>
      </c>
      <c r="D29" s="468" t="s">
        <v>953</v>
      </c>
      <c r="E29" s="468" t="s">
        <v>4727</v>
      </c>
      <c r="F29" s="461" t="s">
        <v>4728</v>
      </c>
      <c r="G29" s="461" t="s">
        <v>4729</v>
      </c>
      <c r="H29" s="461" t="s">
        <v>4730</v>
      </c>
      <c r="I29" s="461" t="s">
        <v>4731</v>
      </c>
      <c r="J29" s="461" t="s">
        <v>4807</v>
      </c>
      <c r="K29" s="461" t="s">
        <v>7370</v>
      </c>
      <c r="L29" s="461" t="s">
        <v>8633</v>
      </c>
      <c r="M29" s="469" t="s">
        <v>7988</v>
      </c>
    </row>
    <row r="30" spans="1:13">
      <c r="A30" s="465" t="s">
        <v>1061</v>
      </c>
      <c r="B30" s="465" t="s">
        <v>952</v>
      </c>
      <c r="C30" s="466" t="s">
        <v>938</v>
      </c>
      <c r="D30" s="466" t="s">
        <v>953</v>
      </c>
      <c r="E30" s="466" t="s">
        <v>4727</v>
      </c>
      <c r="F30" s="465" t="s">
        <v>4728</v>
      </c>
      <c r="G30" s="465" t="s">
        <v>4729</v>
      </c>
      <c r="H30" s="465" t="s">
        <v>4730</v>
      </c>
      <c r="I30" s="465" t="s">
        <v>4731</v>
      </c>
      <c r="J30" s="465" t="s">
        <v>4805</v>
      </c>
      <c r="K30" s="465" t="s">
        <v>7370</v>
      </c>
      <c r="L30" s="465" t="s">
        <v>8633</v>
      </c>
      <c r="M30" s="467" t="s">
        <v>7988</v>
      </c>
    </row>
    <row r="31" spans="1:13">
      <c r="A31" s="473" t="s">
        <v>10502</v>
      </c>
      <c r="B31" s="473" t="s">
        <v>10604</v>
      </c>
      <c r="C31" s="473" t="s">
        <v>10608</v>
      </c>
      <c r="D31" s="473" t="s">
        <v>10610</v>
      </c>
      <c r="E31" s="473" t="s">
        <v>10612</v>
      </c>
      <c r="F31" s="473" t="s">
        <v>10614</v>
      </c>
      <c r="G31" s="473" t="s">
        <v>10616</v>
      </c>
      <c r="H31" s="473" t="s">
        <v>10606</v>
      </c>
      <c r="I31" s="473" t="s">
        <v>10618</v>
      </c>
      <c r="J31" s="473" t="s">
        <v>10620</v>
      </c>
      <c r="K31" s="473" t="s">
        <v>10622</v>
      </c>
      <c r="L31" s="473" t="s">
        <v>10624</v>
      </c>
      <c r="M31" s="474" t="s">
        <v>10626</v>
      </c>
    </row>
    <row r="32" spans="1:13">
      <c r="A32" s="465" t="s">
        <v>2272</v>
      </c>
      <c r="B32" s="465" t="s">
        <v>952</v>
      </c>
      <c r="C32" s="466" t="s">
        <v>938</v>
      </c>
      <c r="D32" s="466" t="s">
        <v>953</v>
      </c>
      <c r="E32" s="466" t="s">
        <v>4727</v>
      </c>
      <c r="F32" s="465" t="s">
        <v>4728</v>
      </c>
      <c r="G32" s="465" t="s">
        <v>4729</v>
      </c>
      <c r="H32" s="465" t="s">
        <v>4730</v>
      </c>
      <c r="I32" s="465" t="s">
        <v>4731</v>
      </c>
      <c r="J32" s="465" t="s">
        <v>4805</v>
      </c>
      <c r="K32" s="465" t="s">
        <v>7370</v>
      </c>
      <c r="L32" s="465" t="s">
        <v>8633</v>
      </c>
      <c r="M32" s="467" t="s">
        <v>7988</v>
      </c>
    </row>
    <row r="33" spans="1:13">
      <c r="A33" s="461" t="s">
        <v>2271</v>
      </c>
      <c r="B33" s="461" t="s">
        <v>952</v>
      </c>
      <c r="C33" s="468" t="s">
        <v>938</v>
      </c>
      <c r="D33" s="468" t="s">
        <v>953</v>
      </c>
      <c r="E33" s="468" t="s">
        <v>4727</v>
      </c>
      <c r="F33" s="461" t="s">
        <v>4728</v>
      </c>
      <c r="G33" s="461" t="s">
        <v>4729</v>
      </c>
      <c r="H33" s="461" t="s">
        <v>4730</v>
      </c>
      <c r="I33" s="461" t="s">
        <v>4731</v>
      </c>
      <c r="J33" s="461" t="s">
        <v>4805</v>
      </c>
      <c r="K33" s="461" t="s">
        <v>7370</v>
      </c>
      <c r="L33" s="461" t="s">
        <v>8633</v>
      </c>
      <c r="M33" s="469" t="s">
        <v>7988</v>
      </c>
    </row>
    <row r="34" spans="1:13">
      <c r="A34" s="465" t="s">
        <v>2273</v>
      </c>
      <c r="B34" s="465" t="s">
        <v>952</v>
      </c>
      <c r="C34" s="466" t="s">
        <v>938</v>
      </c>
      <c r="D34" s="466" t="s">
        <v>953</v>
      </c>
      <c r="E34" s="466" t="s">
        <v>4727</v>
      </c>
      <c r="F34" s="465" t="s">
        <v>4728</v>
      </c>
      <c r="G34" s="465" t="s">
        <v>4729</v>
      </c>
      <c r="H34" s="465" t="s">
        <v>4730</v>
      </c>
      <c r="I34" s="465" t="s">
        <v>4731</v>
      </c>
      <c r="J34" s="465" t="s">
        <v>4805</v>
      </c>
      <c r="K34" s="465" t="s">
        <v>7370</v>
      </c>
      <c r="L34" s="465" t="s">
        <v>8633</v>
      </c>
      <c r="M34" s="467" t="s">
        <v>7988</v>
      </c>
    </row>
    <row r="35" spans="1:13">
      <c r="A35" s="461" t="s">
        <v>4808</v>
      </c>
      <c r="B35" s="461" t="s">
        <v>952</v>
      </c>
      <c r="C35" s="468" t="s">
        <v>938</v>
      </c>
      <c r="D35" s="468" t="s">
        <v>953</v>
      </c>
      <c r="E35" s="468" t="s">
        <v>4727</v>
      </c>
      <c r="F35" s="461" t="s">
        <v>4728</v>
      </c>
      <c r="G35" s="461" t="s">
        <v>4729</v>
      </c>
      <c r="H35" s="461" t="s">
        <v>4730</v>
      </c>
      <c r="I35" s="461" t="s">
        <v>4731</v>
      </c>
      <c r="J35" s="461" t="s">
        <v>4805</v>
      </c>
      <c r="K35" s="461" t="s">
        <v>7370</v>
      </c>
      <c r="L35" s="461" t="s">
        <v>8633</v>
      </c>
      <c r="M35" s="469" t="s">
        <v>7988</v>
      </c>
    </row>
    <row r="36" spans="1:13">
      <c r="A36" s="465" t="s">
        <v>1199</v>
      </c>
      <c r="B36" s="465" t="s">
        <v>952</v>
      </c>
      <c r="C36" s="466" t="s">
        <v>938</v>
      </c>
      <c r="D36" s="466" t="s">
        <v>953</v>
      </c>
      <c r="E36" s="466" t="s">
        <v>4727</v>
      </c>
      <c r="F36" s="465" t="s">
        <v>4728</v>
      </c>
      <c r="G36" s="465" t="s">
        <v>4729</v>
      </c>
      <c r="H36" s="465" t="s">
        <v>4730</v>
      </c>
      <c r="I36" s="465" t="s">
        <v>4731</v>
      </c>
      <c r="J36" s="465" t="s">
        <v>4805</v>
      </c>
      <c r="K36" s="465" t="s">
        <v>7370</v>
      </c>
      <c r="L36" s="465" t="s">
        <v>8633</v>
      </c>
      <c r="M36" s="467" t="s">
        <v>8021</v>
      </c>
    </row>
    <row r="37" spans="1:13">
      <c r="A37" s="461" t="s">
        <v>4946</v>
      </c>
      <c r="B37" s="461" t="s">
        <v>952</v>
      </c>
      <c r="C37" s="468" t="s">
        <v>938</v>
      </c>
      <c r="D37" s="468" t="s">
        <v>953</v>
      </c>
      <c r="E37" s="468" t="s">
        <v>4727</v>
      </c>
      <c r="F37" s="461" t="s">
        <v>4728</v>
      </c>
      <c r="G37" s="461" t="s">
        <v>4729</v>
      </c>
      <c r="H37" s="461" t="s">
        <v>4730</v>
      </c>
      <c r="I37" s="461" t="s">
        <v>4731</v>
      </c>
      <c r="J37" s="461" t="s">
        <v>4807</v>
      </c>
      <c r="K37" s="461" t="s">
        <v>7370</v>
      </c>
      <c r="L37" s="461" t="s">
        <v>8633</v>
      </c>
      <c r="M37" s="469" t="s">
        <v>8021</v>
      </c>
    </row>
    <row r="38" spans="1:13">
      <c r="A38" s="472" t="s">
        <v>2292</v>
      </c>
      <c r="B38" s="465" t="s">
        <v>1083</v>
      </c>
      <c r="C38" s="466" t="s">
        <v>1082</v>
      </c>
      <c r="D38" s="466" t="s">
        <v>1084</v>
      </c>
      <c r="E38" s="466" t="s">
        <v>4733</v>
      </c>
      <c r="F38" s="465" t="s">
        <v>4734</v>
      </c>
      <c r="G38" s="465" t="s">
        <v>4735</v>
      </c>
      <c r="H38" s="465" t="s">
        <v>4736</v>
      </c>
      <c r="I38" s="465" t="s">
        <v>4737</v>
      </c>
      <c r="J38" s="465" t="s">
        <v>4828</v>
      </c>
      <c r="K38" s="465" t="s">
        <v>7371</v>
      </c>
      <c r="L38" s="465" t="s">
        <v>8634</v>
      </c>
      <c r="M38" s="467" t="s">
        <v>8021</v>
      </c>
    </row>
    <row r="39" spans="1:13">
      <c r="A39" s="473" t="s">
        <v>12207</v>
      </c>
      <c r="B39" s="473" t="s">
        <v>1083</v>
      </c>
      <c r="C39" s="473" t="s">
        <v>1082</v>
      </c>
      <c r="D39" s="473" t="s">
        <v>1084</v>
      </c>
      <c r="E39" s="473" t="s">
        <v>4733</v>
      </c>
      <c r="F39" s="473" t="s">
        <v>4734</v>
      </c>
      <c r="G39" s="473" t="s">
        <v>4735</v>
      </c>
      <c r="H39" s="473" t="s">
        <v>4736</v>
      </c>
      <c r="I39" s="473" t="s">
        <v>4737</v>
      </c>
      <c r="J39" s="473" t="s">
        <v>4828</v>
      </c>
      <c r="K39" s="473" t="s">
        <v>7371</v>
      </c>
      <c r="L39" s="473" t="s">
        <v>8634</v>
      </c>
      <c r="M39" s="474" t="s">
        <v>8021</v>
      </c>
    </row>
    <row r="40" spans="1:13">
      <c r="A40" s="465" t="s">
        <v>1201</v>
      </c>
      <c r="B40" s="465" t="s">
        <v>952</v>
      </c>
      <c r="C40" s="466" t="s">
        <v>938</v>
      </c>
      <c r="D40" s="466" t="s">
        <v>953</v>
      </c>
      <c r="E40" s="466" t="s">
        <v>4727</v>
      </c>
      <c r="F40" s="465" t="s">
        <v>4728</v>
      </c>
      <c r="G40" s="465" t="s">
        <v>4729</v>
      </c>
      <c r="H40" s="465" t="s">
        <v>4730</v>
      </c>
      <c r="I40" s="465" t="s">
        <v>4731</v>
      </c>
      <c r="J40" s="465" t="s">
        <v>4805</v>
      </c>
      <c r="K40" s="465" t="s">
        <v>7370</v>
      </c>
      <c r="L40" s="465" t="s">
        <v>8633</v>
      </c>
      <c r="M40" s="467" t="s">
        <v>8021</v>
      </c>
    </row>
    <row r="41" spans="1:13">
      <c r="A41" s="473" t="s">
        <v>11636</v>
      </c>
      <c r="B41" s="473" t="s">
        <v>952</v>
      </c>
      <c r="C41" s="473" t="s">
        <v>938</v>
      </c>
      <c r="D41" s="473" t="s">
        <v>953</v>
      </c>
      <c r="E41" s="473" t="s">
        <v>4727</v>
      </c>
      <c r="F41" s="473" t="s">
        <v>4728</v>
      </c>
      <c r="G41" s="473" t="s">
        <v>4729</v>
      </c>
      <c r="H41" s="473" t="s">
        <v>4730</v>
      </c>
      <c r="I41" s="473" t="s">
        <v>4731</v>
      </c>
      <c r="J41" s="473" t="s">
        <v>4805</v>
      </c>
      <c r="K41" s="473" t="s">
        <v>7370</v>
      </c>
      <c r="L41" s="473" t="s">
        <v>8633</v>
      </c>
      <c r="M41" s="474" t="s">
        <v>8021</v>
      </c>
    </row>
    <row r="42" spans="1:13">
      <c r="A42" s="465" t="s">
        <v>2289</v>
      </c>
      <c r="B42" s="465" t="s">
        <v>952</v>
      </c>
      <c r="C42" s="466" t="s">
        <v>938</v>
      </c>
      <c r="D42" s="466" t="s">
        <v>953</v>
      </c>
      <c r="E42" s="466" t="s">
        <v>4727</v>
      </c>
      <c r="F42" s="465" t="s">
        <v>4728</v>
      </c>
      <c r="G42" s="465" t="s">
        <v>4729</v>
      </c>
      <c r="H42" s="465" t="s">
        <v>4730</v>
      </c>
      <c r="I42" s="465" t="s">
        <v>4731</v>
      </c>
      <c r="J42" s="465" t="s">
        <v>4805</v>
      </c>
      <c r="K42" s="465" t="s">
        <v>7370</v>
      </c>
      <c r="L42" s="465" t="s">
        <v>8633</v>
      </c>
      <c r="M42" s="467" t="s">
        <v>8021</v>
      </c>
    </row>
    <row r="43" spans="1:13">
      <c r="A43" s="461" t="s">
        <v>2291</v>
      </c>
      <c r="B43" s="461" t="s">
        <v>952</v>
      </c>
      <c r="C43" s="468" t="s">
        <v>938</v>
      </c>
      <c r="D43" s="468" t="s">
        <v>953</v>
      </c>
      <c r="E43" s="468" t="s">
        <v>4727</v>
      </c>
      <c r="F43" s="461" t="s">
        <v>4728</v>
      </c>
      <c r="G43" s="461" t="s">
        <v>4729</v>
      </c>
      <c r="H43" s="461" t="s">
        <v>4730</v>
      </c>
      <c r="I43" s="461" t="s">
        <v>4731</v>
      </c>
      <c r="J43" s="461" t="s">
        <v>4805</v>
      </c>
      <c r="K43" s="461" t="s">
        <v>7370</v>
      </c>
      <c r="L43" s="461" t="s">
        <v>8633</v>
      </c>
      <c r="M43" s="469" t="s">
        <v>8021</v>
      </c>
    </row>
    <row r="44" spans="1:13">
      <c r="A44" s="465" t="s">
        <v>1200</v>
      </c>
      <c r="B44" s="465" t="s">
        <v>952</v>
      </c>
      <c r="C44" s="466" t="s">
        <v>938</v>
      </c>
      <c r="D44" s="466" t="s">
        <v>953</v>
      </c>
      <c r="E44" s="466" t="s">
        <v>4727</v>
      </c>
      <c r="F44" s="465" t="s">
        <v>4728</v>
      </c>
      <c r="G44" s="465" t="s">
        <v>4729</v>
      </c>
      <c r="H44" s="465" t="s">
        <v>4730</v>
      </c>
      <c r="I44" s="465" t="s">
        <v>4731</v>
      </c>
      <c r="J44" s="465" t="s">
        <v>4805</v>
      </c>
      <c r="K44" s="465" t="s">
        <v>7370</v>
      </c>
      <c r="L44" s="465" t="s">
        <v>8633</v>
      </c>
      <c r="M44" s="467" t="s">
        <v>8021</v>
      </c>
    </row>
    <row r="45" spans="1:13">
      <c r="A45" s="473" t="s">
        <v>2092</v>
      </c>
      <c r="B45" s="473" t="s">
        <v>10604</v>
      </c>
      <c r="C45" s="473" t="s">
        <v>10608</v>
      </c>
      <c r="D45" s="473" t="s">
        <v>10610</v>
      </c>
      <c r="E45" s="473" t="s">
        <v>10612</v>
      </c>
      <c r="F45" s="473" t="s">
        <v>10614</v>
      </c>
      <c r="G45" s="473" t="s">
        <v>10616</v>
      </c>
      <c r="H45" s="473" t="s">
        <v>10606</v>
      </c>
      <c r="I45" s="473" t="s">
        <v>10618</v>
      </c>
      <c r="J45" s="473" t="s">
        <v>10620</v>
      </c>
      <c r="K45" s="473" t="s">
        <v>10622</v>
      </c>
      <c r="L45" s="473" t="s">
        <v>10624</v>
      </c>
      <c r="M45" s="474" t="s">
        <v>10626</v>
      </c>
    </row>
    <row r="46" spans="1:13">
      <c r="A46" s="475" t="s">
        <v>12033</v>
      </c>
      <c r="B46" s="475" t="s">
        <v>1083</v>
      </c>
      <c r="C46" s="475" t="s">
        <v>12117</v>
      </c>
      <c r="D46" s="475" t="s">
        <v>12118</v>
      </c>
      <c r="E46" s="475" t="s">
        <v>12119</v>
      </c>
      <c r="F46" s="475" t="s">
        <v>12120</v>
      </c>
      <c r="G46" s="475" t="s">
        <v>12121</v>
      </c>
      <c r="H46" s="475" t="s">
        <v>12122</v>
      </c>
      <c r="I46" s="475" t="s">
        <v>12123</v>
      </c>
      <c r="J46" s="475" t="s">
        <v>12124</v>
      </c>
      <c r="K46" s="475" t="s">
        <v>12125</v>
      </c>
      <c r="L46" s="475" t="s">
        <v>12126</v>
      </c>
      <c r="M46" s="476" t="s">
        <v>12127</v>
      </c>
    </row>
    <row r="47" spans="1:13">
      <c r="A47" s="473" t="s">
        <v>12208</v>
      </c>
      <c r="B47" s="473" t="s">
        <v>1083</v>
      </c>
      <c r="C47" s="473" t="s">
        <v>12117</v>
      </c>
      <c r="D47" s="473" t="s">
        <v>12118</v>
      </c>
      <c r="E47" s="473" t="s">
        <v>12119</v>
      </c>
      <c r="F47" s="473" t="s">
        <v>12120</v>
      </c>
      <c r="G47" s="473" t="s">
        <v>12121</v>
      </c>
      <c r="H47" s="473" t="s">
        <v>12122</v>
      </c>
      <c r="I47" s="473" t="s">
        <v>12123</v>
      </c>
      <c r="J47" s="473" t="s">
        <v>12124</v>
      </c>
      <c r="K47" s="473" t="s">
        <v>12125</v>
      </c>
      <c r="L47" s="473" t="s">
        <v>12126</v>
      </c>
      <c r="M47" s="474" t="s">
        <v>12127</v>
      </c>
    </row>
    <row r="48" spans="1:13">
      <c r="A48" s="465" t="s">
        <v>2303</v>
      </c>
      <c r="B48" s="465" t="s">
        <v>1083</v>
      </c>
      <c r="C48" s="466" t="s">
        <v>1082</v>
      </c>
      <c r="D48" s="466" t="s">
        <v>1084</v>
      </c>
      <c r="E48" s="466" t="s">
        <v>4733</v>
      </c>
      <c r="F48" s="465" t="s">
        <v>4734</v>
      </c>
      <c r="G48" s="465" t="s">
        <v>4735</v>
      </c>
      <c r="H48" s="465" t="s">
        <v>4736</v>
      </c>
      <c r="I48" s="465" t="s">
        <v>4737</v>
      </c>
      <c r="J48" s="465" t="s">
        <v>4828</v>
      </c>
      <c r="K48" s="465" t="s">
        <v>7371</v>
      </c>
      <c r="L48" s="465" t="s">
        <v>8634</v>
      </c>
      <c r="M48" s="467" t="s">
        <v>7989</v>
      </c>
    </row>
    <row r="49" spans="1:13">
      <c r="A49" s="461" t="s">
        <v>2454</v>
      </c>
      <c r="B49" s="461" t="s">
        <v>1083</v>
      </c>
      <c r="C49" s="468" t="s">
        <v>1082</v>
      </c>
      <c r="D49" s="468" t="s">
        <v>1084</v>
      </c>
      <c r="E49" s="468" t="s">
        <v>4733</v>
      </c>
      <c r="F49" s="461" t="s">
        <v>4734</v>
      </c>
      <c r="G49" s="461" t="s">
        <v>4735</v>
      </c>
      <c r="H49" s="461" t="s">
        <v>4736</v>
      </c>
      <c r="I49" s="461" t="s">
        <v>4737</v>
      </c>
      <c r="J49" s="461" t="s">
        <v>4828</v>
      </c>
      <c r="K49" s="461" t="s">
        <v>7371</v>
      </c>
      <c r="L49" s="461" t="s">
        <v>8634</v>
      </c>
      <c r="M49" s="469" t="s">
        <v>7989</v>
      </c>
    </row>
    <row r="50" spans="1:13">
      <c r="A50" s="465" t="s">
        <v>1390</v>
      </c>
      <c r="B50" s="465" t="s">
        <v>1083</v>
      </c>
      <c r="C50" s="466" t="s">
        <v>1082</v>
      </c>
      <c r="D50" s="466" t="s">
        <v>1084</v>
      </c>
      <c r="E50" s="466" t="s">
        <v>4733</v>
      </c>
      <c r="F50" s="465" t="s">
        <v>4734</v>
      </c>
      <c r="G50" s="465" t="s">
        <v>4735</v>
      </c>
      <c r="H50" s="465" t="s">
        <v>4736</v>
      </c>
      <c r="I50" s="465" t="s">
        <v>4737</v>
      </c>
      <c r="J50" s="465" t="s">
        <v>4828</v>
      </c>
      <c r="K50" s="465" t="s">
        <v>7371</v>
      </c>
      <c r="L50" s="465" t="s">
        <v>8634</v>
      </c>
      <c r="M50" s="467" t="s">
        <v>7989</v>
      </c>
    </row>
    <row r="51" spans="1:13">
      <c r="A51" s="461" t="s">
        <v>2452</v>
      </c>
      <c r="B51" s="461" t="s">
        <v>1083</v>
      </c>
      <c r="C51" s="468" t="s">
        <v>1082</v>
      </c>
      <c r="D51" s="468" t="s">
        <v>1084</v>
      </c>
      <c r="E51" s="468" t="s">
        <v>4733</v>
      </c>
      <c r="F51" s="461" t="s">
        <v>4734</v>
      </c>
      <c r="G51" s="461" t="s">
        <v>4735</v>
      </c>
      <c r="H51" s="461" t="s">
        <v>4736</v>
      </c>
      <c r="I51" s="461" t="s">
        <v>4737</v>
      </c>
      <c r="J51" s="461" t="s">
        <v>4830</v>
      </c>
      <c r="K51" s="461" t="s">
        <v>7371</v>
      </c>
      <c r="L51" s="461" t="s">
        <v>8634</v>
      </c>
      <c r="M51" s="469" t="s">
        <v>7989</v>
      </c>
    </row>
    <row r="52" spans="1:13">
      <c r="A52" s="465" t="s">
        <v>1403</v>
      </c>
      <c r="B52" s="465" t="s">
        <v>952</v>
      </c>
      <c r="C52" s="466" t="s">
        <v>938</v>
      </c>
      <c r="D52" s="466" t="s">
        <v>953</v>
      </c>
      <c r="E52" s="466" t="s">
        <v>4727</v>
      </c>
      <c r="F52" s="465" t="s">
        <v>4728</v>
      </c>
      <c r="G52" s="465" t="s">
        <v>5096</v>
      </c>
      <c r="H52" s="465" t="s">
        <v>4730</v>
      </c>
      <c r="I52" s="465" t="s">
        <v>4731</v>
      </c>
      <c r="J52" s="465" t="s">
        <v>4805</v>
      </c>
      <c r="K52" s="465" t="s">
        <v>7370</v>
      </c>
      <c r="L52" s="465" t="s">
        <v>8633</v>
      </c>
      <c r="M52" s="467" t="s">
        <v>7988</v>
      </c>
    </row>
    <row r="53" spans="1:13">
      <c r="A53" s="461" t="s">
        <v>2459</v>
      </c>
      <c r="B53" s="461" t="s">
        <v>952</v>
      </c>
      <c r="C53" s="468" t="s">
        <v>938</v>
      </c>
      <c r="D53" s="468" t="s">
        <v>953</v>
      </c>
      <c r="E53" s="468" t="s">
        <v>4727</v>
      </c>
      <c r="F53" s="461" t="s">
        <v>4728</v>
      </c>
      <c r="G53" s="461" t="s">
        <v>4729</v>
      </c>
      <c r="H53" s="461" t="s">
        <v>4730</v>
      </c>
      <c r="I53" s="461" t="s">
        <v>4731</v>
      </c>
      <c r="J53" s="461" t="s">
        <v>4805</v>
      </c>
      <c r="K53" s="461" t="s">
        <v>7370</v>
      </c>
      <c r="L53" s="461" t="s">
        <v>8633</v>
      </c>
      <c r="M53" s="469" t="s">
        <v>7988</v>
      </c>
    </row>
    <row r="54" spans="1:13">
      <c r="A54" s="465" t="s">
        <v>1400</v>
      </c>
      <c r="B54" s="465" t="s">
        <v>952</v>
      </c>
      <c r="C54" s="466" t="s">
        <v>938</v>
      </c>
      <c r="D54" s="466" t="s">
        <v>953</v>
      </c>
      <c r="E54" s="466" t="s">
        <v>4727</v>
      </c>
      <c r="F54" s="465" t="s">
        <v>4728</v>
      </c>
      <c r="G54" s="465" t="s">
        <v>4729</v>
      </c>
      <c r="H54" s="465" t="s">
        <v>4730</v>
      </c>
      <c r="I54" s="465" t="s">
        <v>4731</v>
      </c>
      <c r="J54" s="465" t="s">
        <v>4805</v>
      </c>
      <c r="K54" s="465" t="s">
        <v>7370</v>
      </c>
      <c r="L54" s="465" t="s">
        <v>8633</v>
      </c>
      <c r="M54" s="467" t="s">
        <v>7988</v>
      </c>
    </row>
    <row r="55" spans="1:13">
      <c r="A55" s="461" t="s">
        <v>2457</v>
      </c>
      <c r="B55" s="461" t="s">
        <v>952</v>
      </c>
      <c r="C55" s="468" t="s">
        <v>938</v>
      </c>
      <c r="D55" s="468" t="s">
        <v>953</v>
      </c>
      <c r="E55" s="468" t="s">
        <v>4727</v>
      </c>
      <c r="F55" s="461" t="s">
        <v>4728</v>
      </c>
      <c r="G55" s="461" t="s">
        <v>4729</v>
      </c>
      <c r="H55" s="461" t="s">
        <v>4730</v>
      </c>
      <c r="I55" s="461" t="s">
        <v>4731</v>
      </c>
      <c r="J55" s="461" t="s">
        <v>4805</v>
      </c>
      <c r="K55" s="461" t="s">
        <v>7370</v>
      </c>
      <c r="L55" s="461" t="s">
        <v>8633</v>
      </c>
      <c r="M55" s="469" t="s">
        <v>7988</v>
      </c>
    </row>
    <row r="56" spans="1:13">
      <c r="A56" s="465" t="s">
        <v>1401</v>
      </c>
      <c r="B56" s="465" t="s">
        <v>952</v>
      </c>
      <c r="C56" s="466" t="s">
        <v>938</v>
      </c>
      <c r="D56" s="466" t="s">
        <v>953</v>
      </c>
      <c r="E56" s="466" t="s">
        <v>4727</v>
      </c>
      <c r="F56" s="465" t="s">
        <v>4728</v>
      </c>
      <c r="G56" s="465" t="s">
        <v>4729</v>
      </c>
      <c r="H56" s="465" t="s">
        <v>4730</v>
      </c>
      <c r="I56" s="465" t="s">
        <v>4731</v>
      </c>
      <c r="J56" s="465" t="s">
        <v>4805</v>
      </c>
      <c r="K56" s="470" t="s">
        <v>7370</v>
      </c>
      <c r="L56" s="465" t="s">
        <v>8633</v>
      </c>
      <c r="M56" s="467" t="s">
        <v>7988</v>
      </c>
    </row>
    <row r="57" spans="1:13">
      <c r="A57" s="461" t="s">
        <v>2458</v>
      </c>
      <c r="B57" s="461" t="s">
        <v>952</v>
      </c>
      <c r="C57" s="468" t="s">
        <v>938</v>
      </c>
      <c r="D57" s="468" t="s">
        <v>953</v>
      </c>
      <c r="E57" s="468" t="s">
        <v>4727</v>
      </c>
      <c r="F57" s="461" t="s">
        <v>4728</v>
      </c>
      <c r="G57" s="461" t="s">
        <v>4729</v>
      </c>
      <c r="H57" s="461" t="s">
        <v>4730</v>
      </c>
      <c r="I57" s="461" t="s">
        <v>4731</v>
      </c>
      <c r="J57" s="461" t="s">
        <v>4805</v>
      </c>
      <c r="K57" s="461" t="s">
        <v>7370</v>
      </c>
      <c r="L57" s="461" t="s">
        <v>8633</v>
      </c>
      <c r="M57" s="469" t="s">
        <v>7988</v>
      </c>
    </row>
    <row r="58" spans="1:13">
      <c r="A58" s="465" t="s">
        <v>5095</v>
      </c>
      <c r="B58" s="465" t="s">
        <v>952</v>
      </c>
      <c r="C58" s="466" t="s">
        <v>938</v>
      </c>
      <c r="D58" s="466" t="s">
        <v>953</v>
      </c>
      <c r="E58" s="466" t="s">
        <v>4727</v>
      </c>
      <c r="F58" s="465" t="s">
        <v>4728</v>
      </c>
      <c r="G58" s="465" t="s">
        <v>4729</v>
      </c>
      <c r="H58" s="465" t="s">
        <v>4730</v>
      </c>
      <c r="I58" s="465" t="s">
        <v>4731</v>
      </c>
      <c r="J58" s="465" t="s">
        <v>4807</v>
      </c>
      <c r="K58" s="465" t="s">
        <v>7370</v>
      </c>
      <c r="L58" s="465" t="s">
        <v>8633</v>
      </c>
      <c r="M58" s="467" t="s">
        <v>7988</v>
      </c>
    </row>
    <row r="59" spans="1:13">
      <c r="A59" s="473" t="s">
        <v>12212</v>
      </c>
      <c r="B59" s="473" t="s">
        <v>952</v>
      </c>
      <c r="C59" s="473" t="s">
        <v>938</v>
      </c>
      <c r="D59" s="473" t="s">
        <v>953</v>
      </c>
      <c r="E59" s="473" t="s">
        <v>4727</v>
      </c>
      <c r="F59" s="473" t="s">
        <v>4728</v>
      </c>
      <c r="G59" s="473" t="s">
        <v>4729</v>
      </c>
      <c r="H59" s="473" t="s">
        <v>4730</v>
      </c>
      <c r="I59" s="473" t="s">
        <v>4731</v>
      </c>
      <c r="J59" s="473" t="s">
        <v>4807</v>
      </c>
      <c r="K59" s="473" t="s">
        <v>7370</v>
      </c>
      <c r="L59" s="473" t="s">
        <v>8633</v>
      </c>
      <c r="M59" s="474" t="s">
        <v>7988</v>
      </c>
    </row>
    <row r="60" spans="1:13">
      <c r="A60" s="475" t="s">
        <v>12036</v>
      </c>
      <c r="B60" s="475" t="s">
        <v>952</v>
      </c>
      <c r="C60" s="475" t="s">
        <v>938</v>
      </c>
      <c r="D60" s="475" t="s">
        <v>12254</v>
      </c>
      <c r="E60" s="475" t="s">
        <v>4727</v>
      </c>
      <c r="F60" s="475" t="s">
        <v>4728</v>
      </c>
      <c r="G60" s="475" t="s">
        <v>11474</v>
      </c>
      <c r="H60" s="475" t="s">
        <v>4730</v>
      </c>
      <c r="I60" s="475" t="s">
        <v>12255</v>
      </c>
      <c r="J60" s="475" t="s">
        <v>4805</v>
      </c>
      <c r="K60" s="475" t="s">
        <v>7370</v>
      </c>
      <c r="L60" s="475" t="s">
        <v>8633</v>
      </c>
      <c r="M60" s="476" t="s">
        <v>7988</v>
      </c>
    </row>
    <row r="61" spans="1:13">
      <c r="A61" s="473" t="s">
        <v>12211</v>
      </c>
      <c r="B61" s="473" t="s">
        <v>952</v>
      </c>
      <c r="C61" s="473" t="s">
        <v>938</v>
      </c>
      <c r="D61" s="473" t="s">
        <v>12254</v>
      </c>
      <c r="E61" s="473" t="s">
        <v>4727</v>
      </c>
      <c r="F61" s="473" t="s">
        <v>4728</v>
      </c>
      <c r="G61" s="473" t="s">
        <v>11474</v>
      </c>
      <c r="H61" s="473" t="s">
        <v>4730</v>
      </c>
      <c r="I61" s="473" t="s">
        <v>12255</v>
      </c>
      <c r="J61" s="473" t="s">
        <v>4805</v>
      </c>
      <c r="K61" s="473" t="s">
        <v>7370</v>
      </c>
      <c r="L61" s="473" t="s">
        <v>8633</v>
      </c>
      <c r="M61" s="474" t="s">
        <v>7988</v>
      </c>
    </row>
    <row r="62" spans="1:13">
      <c r="A62" s="465" t="s">
        <v>1405</v>
      </c>
      <c r="B62" s="465" t="s">
        <v>1296</v>
      </c>
      <c r="C62" s="466" t="s">
        <v>587</v>
      </c>
      <c r="D62" s="466" t="s">
        <v>1297</v>
      </c>
      <c r="E62" s="466" t="s">
        <v>4897</v>
      </c>
      <c r="F62" s="465" t="s">
        <v>4001</v>
      </c>
      <c r="G62" s="465" t="s">
        <v>4002</v>
      </c>
      <c r="H62" s="465" t="s">
        <v>4745</v>
      </c>
      <c r="I62" s="465" t="s">
        <v>4025</v>
      </c>
      <c r="J62" s="465" t="s">
        <v>4005</v>
      </c>
      <c r="K62" s="465" t="s">
        <v>7393</v>
      </c>
      <c r="L62" s="465" t="s">
        <v>8674</v>
      </c>
      <c r="M62" s="467" t="s">
        <v>8012</v>
      </c>
    </row>
    <row r="63" spans="1:13">
      <c r="A63" s="461" t="s">
        <v>5097</v>
      </c>
      <c r="B63" s="461" t="s">
        <v>952</v>
      </c>
      <c r="C63" s="468" t="s">
        <v>938</v>
      </c>
      <c r="D63" s="468" t="s">
        <v>953</v>
      </c>
      <c r="E63" s="468" t="s">
        <v>4727</v>
      </c>
      <c r="F63" s="461" t="s">
        <v>4728</v>
      </c>
      <c r="G63" s="461" t="s">
        <v>4729</v>
      </c>
      <c r="H63" s="461" t="s">
        <v>4730</v>
      </c>
      <c r="I63" s="461" t="s">
        <v>4731</v>
      </c>
      <c r="J63" s="461" t="s">
        <v>4807</v>
      </c>
      <c r="K63" s="461" t="s">
        <v>7370</v>
      </c>
      <c r="L63" s="461" t="s">
        <v>8633</v>
      </c>
      <c r="M63" s="469" t="s">
        <v>7988</v>
      </c>
    </row>
    <row r="64" spans="1:13">
      <c r="A64" s="475" t="s">
        <v>12213</v>
      </c>
      <c r="B64" s="475" t="s">
        <v>952</v>
      </c>
      <c r="C64" s="475" t="s">
        <v>938</v>
      </c>
      <c r="D64" s="475" t="s">
        <v>953</v>
      </c>
      <c r="E64" s="475" t="s">
        <v>4727</v>
      </c>
      <c r="F64" s="475" t="s">
        <v>4728</v>
      </c>
      <c r="G64" s="475" t="s">
        <v>4729</v>
      </c>
      <c r="H64" s="475" t="s">
        <v>4730</v>
      </c>
      <c r="I64" s="475" t="s">
        <v>4731</v>
      </c>
      <c r="J64" s="475" t="s">
        <v>4807</v>
      </c>
      <c r="K64" s="475" t="s">
        <v>7370</v>
      </c>
      <c r="L64" s="475" t="s">
        <v>8633</v>
      </c>
      <c r="M64" s="476" t="s">
        <v>7988</v>
      </c>
    </row>
    <row r="65" spans="1:13">
      <c r="A65" s="461" t="s">
        <v>2302</v>
      </c>
      <c r="B65" s="461" t="s">
        <v>1083</v>
      </c>
      <c r="C65" s="468" t="s">
        <v>1082</v>
      </c>
      <c r="D65" s="468" t="s">
        <v>1084</v>
      </c>
      <c r="E65" s="468" t="s">
        <v>4733</v>
      </c>
      <c r="F65" s="461" t="s">
        <v>4734</v>
      </c>
      <c r="G65" s="461" t="s">
        <v>4735</v>
      </c>
      <c r="H65" s="461" t="s">
        <v>4736</v>
      </c>
      <c r="I65" s="461" t="s">
        <v>4737</v>
      </c>
      <c r="J65" s="461" t="s">
        <v>4828</v>
      </c>
      <c r="K65" s="461" t="s">
        <v>7371</v>
      </c>
      <c r="L65" s="461" t="s">
        <v>8634</v>
      </c>
      <c r="M65" s="469" t="s">
        <v>7989</v>
      </c>
    </row>
    <row r="66" spans="1:13">
      <c r="A66" s="475" t="s">
        <v>12210</v>
      </c>
      <c r="B66" s="475" t="s">
        <v>1083</v>
      </c>
      <c r="C66" s="475" t="s">
        <v>1082</v>
      </c>
      <c r="D66" s="475" t="s">
        <v>1084</v>
      </c>
      <c r="E66" s="475" t="s">
        <v>4733</v>
      </c>
      <c r="F66" s="475" t="s">
        <v>4734</v>
      </c>
      <c r="G66" s="475" t="s">
        <v>4735</v>
      </c>
      <c r="H66" s="475" t="s">
        <v>4736</v>
      </c>
      <c r="I66" s="475" t="s">
        <v>4737</v>
      </c>
      <c r="J66" s="475" t="s">
        <v>4828</v>
      </c>
      <c r="K66" s="475" t="s">
        <v>7371</v>
      </c>
      <c r="L66" s="475" t="s">
        <v>8634</v>
      </c>
      <c r="M66" s="476" t="s">
        <v>7989</v>
      </c>
    </row>
    <row r="67" spans="1:13">
      <c r="A67" s="461" t="s">
        <v>1402</v>
      </c>
      <c r="B67" s="461" t="s">
        <v>952</v>
      </c>
      <c r="C67" s="468" t="s">
        <v>938</v>
      </c>
      <c r="D67" s="468" t="s">
        <v>953</v>
      </c>
      <c r="E67" s="468" t="s">
        <v>4727</v>
      </c>
      <c r="F67" s="461" t="s">
        <v>4728</v>
      </c>
      <c r="G67" s="461" t="s">
        <v>4729</v>
      </c>
      <c r="H67" s="461" t="s">
        <v>4730</v>
      </c>
      <c r="I67" s="461" t="s">
        <v>4731</v>
      </c>
      <c r="J67" s="461" t="s">
        <v>4805</v>
      </c>
      <c r="K67" s="461" t="s">
        <v>7370</v>
      </c>
      <c r="L67" s="461" t="s">
        <v>8633</v>
      </c>
      <c r="M67" s="469" t="s">
        <v>7988</v>
      </c>
    </row>
    <row r="68" spans="1:13">
      <c r="A68" s="465" t="s">
        <v>5104</v>
      </c>
      <c r="B68" s="465" t="s">
        <v>952</v>
      </c>
      <c r="C68" s="466" t="s">
        <v>938</v>
      </c>
      <c r="D68" s="466" t="s">
        <v>953</v>
      </c>
      <c r="E68" s="466" t="s">
        <v>4727</v>
      </c>
      <c r="F68" s="465" t="s">
        <v>4728</v>
      </c>
      <c r="G68" s="465" t="s">
        <v>4729</v>
      </c>
      <c r="H68" s="465" t="s">
        <v>4730</v>
      </c>
      <c r="I68" s="465" t="s">
        <v>4731</v>
      </c>
      <c r="J68" s="465" t="s">
        <v>4807</v>
      </c>
      <c r="K68" s="465" t="s">
        <v>7370</v>
      </c>
      <c r="L68" s="465" t="s">
        <v>8633</v>
      </c>
      <c r="M68" s="467" t="s">
        <v>7988</v>
      </c>
    </row>
    <row r="69" spans="1:13">
      <c r="A69" s="461" t="s">
        <v>1391</v>
      </c>
      <c r="B69" s="461" t="s">
        <v>1289</v>
      </c>
      <c r="C69" s="468" t="s">
        <v>1288</v>
      </c>
      <c r="D69" s="468" t="s">
        <v>1290</v>
      </c>
      <c r="E69" s="468" t="s">
        <v>5008</v>
      </c>
      <c r="F69" s="461" t="s">
        <v>5009</v>
      </c>
      <c r="G69" s="461" t="s">
        <v>4760</v>
      </c>
      <c r="H69" s="461" t="s">
        <v>5084</v>
      </c>
      <c r="I69" s="461" t="s">
        <v>5012</v>
      </c>
      <c r="J69" s="461" t="s">
        <v>5085</v>
      </c>
      <c r="K69" s="461" t="s">
        <v>7409</v>
      </c>
      <c r="L69" s="461" t="s">
        <v>8672</v>
      </c>
      <c r="M69" s="469" t="s">
        <v>8043</v>
      </c>
    </row>
    <row r="70" spans="1:13">
      <c r="A70" s="465" t="s">
        <v>2453</v>
      </c>
      <c r="B70" s="465" t="s">
        <v>1289</v>
      </c>
      <c r="C70" s="466" t="s">
        <v>1288</v>
      </c>
      <c r="D70" s="466" t="s">
        <v>1290</v>
      </c>
      <c r="E70" s="466" t="s">
        <v>5008</v>
      </c>
      <c r="F70" s="465" t="s">
        <v>5009</v>
      </c>
      <c r="G70" s="465" t="s">
        <v>4905</v>
      </c>
      <c r="H70" s="465" t="s">
        <v>5084</v>
      </c>
      <c r="I70" s="465" t="s">
        <v>5012</v>
      </c>
      <c r="J70" s="465" t="s">
        <v>5094</v>
      </c>
      <c r="K70" s="465" t="s">
        <v>7422</v>
      </c>
      <c r="L70" s="465" t="s">
        <v>8672</v>
      </c>
      <c r="M70" s="467" t="s">
        <v>8043</v>
      </c>
    </row>
    <row r="71" spans="1:13">
      <c r="A71" s="461" t="s">
        <v>1404</v>
      </c>
      <c r="B71" s="461" t="s">
        <v>952</v>
      </c>
      <c r="C71" s="468" t="s">
        <v>938</v>
      </c>
      <c r="D71" s="468" t="s">
        <v>953</v>
      </c>
      <c r="E71" s="468" t="s">
        <v>4727</v>
      </c>
      <c r="F71" s="461" t="s">
        <v>4728</v>
      </c>
      <c r="G71" s="461" t="s">
        <v>4729</v>
      </c>
      <c r="H71" s="461" t="s">
        <v>4730</v>
      </c>
      <c r="I71" s="461" t="s">
        <v>4731</v>
      </c>
      <c r="J71" s="461" t="s">
        <v>4807</v>
      </c>
      <c r="K71" s="461" t="s">
        <v>7370</v>
      </c>
      <c r="L71" s="461" t="s">
        <v>8684</v>
      </c>
      <c r="M71" s="469" t="s">
        <v>7988</v>
      </c>
    </row>
    <row r="72" spans="1:13">
      <c r="A72" s="465" t="s">
        <v>2460</v>
      </c>
      <c r="B72" s="465" t="s">
        <v>952</v>
      </c>
      <c r="C72" s="466" t="s">
        <v>938</v>
      </c>
      <c r="D72" s="466" t="s">
        <v>953</v>
      </c>
      <c r="E72" s="466" t="s">
        <v>4727</v>
      </c>
      <c r="F72" s="465" t="s">
        <v>4728</v>
      </c>
      <c r="G72" s="465" t="s">
        <v>4729</v>
      </c>
      <c r="H72" s="465" t="s">
        <v>4730</v>
      </c>
      <c r="I72" s="465" t="s">
        <v>4731</v>
      </c>
      <c r="J72" s="465" t="s">
        <v>4807</v>
      </c>
      <c r="K72" s="465" t="s">
        <v>7370</v>
      </c>
      <c r="L72" s="465" t="s">
        <v>8684</v>
      </c>
      <c r="M72" s="467" t="s">
        <v>7988</v>
      </c>
    </row>
    <row r="73" spans="1:13">
      <c r="A73" s="461" t="s">
        <v>1406</v>
      </c>
      <c r="B73" s="461" t="s">
        <v>2542</v>
      </c>
      <c r="C73" s="468" t="s">
        <v>1407</v>
      </c>
      <c r="D73" s="468" t="s">
        <v>1408</v>
      </c>
      <c r="E73" s="468" t="s">
        <v>5098</v>
      </c>
      <c r="F73" s="461" t="s">
        <v>5099</v>
      </c>
      <c r="G73" s="461" t="s">
        <v>5100</v>
      </c>
      <c r="H73" s="461" t="s">
        <v>5101</v>
      </c>
      <c r="I73" s="461" t="s">
        <v>5102</v>
      </c>
      <c r="J73" s="461" t="s">
        <v>5103</v>
      </c>
      <c r="K73" s="471" t="s">
        <v>7423</v>
      </c>
      <c r="L73" s="461" t="s">
        <v>8685</v>
      </c>
      <c r="M73" s="469" t="s">
        <v>8045</v>
      </c>
    </row>
    <row r="74" spans="1:13">
      <c r="A74" s="465" t="s">
        <v>2461</v>
      </c>
      <c r="B74" s="465" t="s">
        <v>2542</v>
      </c>
      <c r="C74" s="466" t="s">
        <v>1407</v>
      </c>
      <c r="D74" s="466" t="s">
        <v>1408</v>
      </c>
      <c r="E74" s="466" t="s">
        <v>5105</v>
      </c>
      <c r="F74" s="465" t="s">
        <v>5099</v>
      </c>
      <c r="G74" s="465" t="s">
        <v>4729</v>
      </c>
      <c r="H74" s="465" t="s">
        <v>5106</v>
      </c>
      <c r="I74" s="465" t="s">
        <v>5102</v>
      </c>
      <c r="J74" s="465" t="s">
        <v>5107</v>
      </c>
      <c r="K74" s="465" t="s">
        <v>12325</v>
      </c>
      <c r="L74" s="465" t="s">
        <v>8685</v>
      </c>
      <c r="M74" s="467" t="s">
        <v>8046</v>
      </c>
    </row>
    <row r="75" spans="1:13">
      <c r="A75" s="461" t="s">
        <v>4715</v>
      </c>
      <c r="B75" s="461" t="s">
        <v>4718</v>
      </c>
      <c r="C75" s="468" t="s">
        <v>4717</v>
      </c>
      <c r="D75" s="468" t="s">
        <v>4719</v>
      </c>
      <c r="E75" s="468" t="s">
        <v>4720</v>
      </c>
      <c r="F75" s="461" t="s">
        <v>4721</v>
      </c>
      <c r="G75" s="461" t="s">
        <v>4722</v>
      </c>
      <c r="H75" s="461" t="s">
        <v>4723</v>
      </c>
      <c r="I75" s="461" t="s">
        <v>4724</v>
      </c>
      <c r="J75" s="461" t="s">
        <v>4725</v>
      </c>
      <c r="K75" s="471" t="s">
        <v>7369</v>
      </c>
      <c r="L75" s="461" t="s">
        <v>8632</v>
      </c>
      <c r="M75" s="469" t="s">
        <v>7987</v>
      </c>
    </row>
    <row r="76" spans="1:13">
      <c r="A76" s="465" t="s">
        <v>1488</v>
      </c>
      <c r="B76" s="465" t="s">
        <v>1207</v>
      </c>
      <c r="C76" s="466" t="s">
        <v>1206</v>
      </c>
      <c r="D76" s="466" t="s">
        <v>1208</v>
      </c>
      <c r="E76" s="466" t="s">
        <v>4921</v>
      </c>
      <c r="F76" s="465" t="s">
        <v>4922</v>
      </c>
      <c r="G76" s="465" t="s">
        <v>4923</v>
      </c>
      <c r="H76" s="465" t="s">
        <v>4924</v>
      </c>
      <c r="I76" s="465" t="s">
        <v>4925</v>
      </c>
      <c r="J76" s="465" t="s">
        <v>4926</v>
      </c>
      <c r="K76" s="465" t="s">
        <v>7397</v>
      </c>
      <c r="L76" s="465" t="s">
        <v>8661</v>
      </c>
      <c r="M76" s="467" t="s">
        <v>8017</v>
      </c>
    </row>
    <row r="77" spans="1:13">
      <c r="A77" s="461" t="s">
        <v>1489</v>
      </c>
      <c r="B77" s="461" t="s">
        <v>1207</v>
      </c>
      <c r="C77" s="468" t="s">
        <v>1206</v>
      </c>
      <c r="D77" s="468" t="s">
        <v>1208</v>
      </c>
      <c r="E77" s="468" t="s">
        <v>4921</v>
      </c>
      <c r="F77" s="461" t="s">
        <v>4922</v>
      </c>
      <c r="G77" s="461" t="s">
        <v>4923</v>
      </c>
      <c r="H77" s="461" t="s">
        <v>4924</v>
      </c>
      <c r="I77" s="461" t="s">
        <v>4925</v>
      </c>
      <c r="J77" s="461" t="s">
        <v>4926</v>
      </c>
      <c r="K77" s="461" t="s">
        <v>7397</v>
      </c>
      <c r="L77" s="461" t="s">
        <v>8661</v>
      </c>
      <c r="M77" s="469" t="s">
        <v>8017</v>
      </c>
    </row>
    <row r="78" spans="1:13">
      <c r="A78" s="465" t="s">
        <v>2323</v>
      </c>
      <c r="B78" s="465" t="s">
        <v>1207</v>
      </c>
      <c r="C78" s="466" t="s">
        <v>1206</v>
      </c>
      <c r="D78" s="466" t="s">
        <v>1208</v>
      </c>
      <c r="E78" s="466" t="s">
        <v>4921</v>
      </c>
      <c r="F78" s="465" t="s">
        <v>4922</v>
      </c>
      <c r="G78" s="465" t="s">
        <v>4923</v>
      </c>
      <c r="H78" s="465" t="s">
        <v>4924</v>
      </c>
      <c r="I78" s="465" t="s">
        <v>4925</v>
      </c>
      <c r="J78" s="465" t="s">
        <v>4926</v>
      </c>
      <c r="K78" s="465" t="s">
        <v>7397</v>
      </c>
      <c r="L78" s="465" t="s">
        <v>8661</v>
      </c>
      <c r="M78" s="467" t="s">
        <v>8017</v>
      </c>
    </row>
    <row r="79" spans="1:13">
      <c r="A79" s="477" t="s">
        <v>5142</v>
      </c>
      <c r="B79" s="461" t="s">
        <v>1207</v>
      </c>
      <c r="C79" s="468" t="s">
        <v>1206</v>
      </c>
      <c r="D79" s="468" t="s">
        <v>1208</v>
      </c>
      <c r="E79" s="468" t="s">
        <v>4921</v>
      </c>
      <c r="F79" s="461" t="s">
        <v>4922</v>
      </c>
      <c r="G79" s="461" t="s">
        <v>4923</v>
      </c>
      <c r="H79" s="461" t="s">
        <v>4924</v>
      </c>
      <c r="I79" s="461" t="s">
        <v>4925</v>
      </c>
      <c r="J79" s="461" t="s">
        <v>4926</v>
      </c>
      <c r="K79" s="461" t="s">
        <v>7397</v>
      </c>
      <c r="L79" s="461" t="s">
        <v>8661</v>
      </c>
      <c r="M79" s="469" t="s">
        <v>8017</v>
      </c>
    </row>
    <row r="80" spans="1:13">
      <c r="A80" s="465" t="s">
        <v>5164</v>
      </c>
      <c r="B80" s="465" t="s">
        <v>1207</v>
      </c>
      <c r="C80" s="466" t="s">
        <v>1206</v>
      </c>
      <c r="D80" s="466" t="s">
        <v>1208</v>
      </c>
      <c r="E80" s="466" t="s">
        <v>4921</v>
      </c>
      <c r="F80" s="465" t="s">
        <v>4922</v>
      </c>
      <c r="G80" s="465" t="s">
        <v>4923</v>
      </c>
      <c r="H80" s="465" t="s">
        <v>4924</v>
      </c>
      <c r="I80" s="465" t="s">
        <v>4925</v>
      </c>
      <c r="J80" s="465" t="s">
        <v>4955</v>
      </c>
      <c r="K80" s="465" t="s">
        <v>7397</v>
      </c>
      <c r="L80" s="465" t="s">
        <v>8661</v>
      </c>
      <c r="M80" s="467" t="s">
        <v>8017</v>
      </c>
    </row>
    <row r="81" spans="1:13">
      <c r="A81" s="461" t="s">
        <v>5140</v>
      </c>
      <c r="B81" s="461" t="s">
        <v>1207</v>
      </c>
      <c r="C81" s="468" t="s">
        <v>1206</v>
      </c>
      <c r="D81" s="468" t="s">
        <v>1208</v>
      </c>
      <c r="E81" s="468" t="s">
        <v>4921</v>
      </c>
      <c r="F81" s="461" t="s">
        <v>4922</v>
      </c>
      <c r="G81" s="461" t="s">
        <v>4923</v>
      </c>
      <c r="H81" s="461" t="s">
        <v>4924</v>
      </c>
      <c r="I81" s="461" t="s">
        <v>4925</v>
      </c>
      <c r="J81" s="461" t="s">
        <v>4926</v>
      </c>
      <c r="K81" s="461" t="s">
        <v>7397</v>
      </c>
      <c r="L81" s="461" t="s">
        <v>8661</v>
      </c>
      <c r="M81" s="469" t="s">
        <v>8017</v>
      </c>
    </row>
    <row r="82" spans="1:13">
      <c r="A82" s="465" t="s">
        <v>5163</v>
      </c>
      <c r="B82" s="465" t="s">
        <v>1207</v>
      </c>
      <c r="C82" s="466" t="s">
        <v>1206</v>
      </c>
      <c r="D82" s="466" t="s">
        <v>1208</v>
      </c>
      <c r="E82" s="466" t="s">
        <v>4921</v>
      </c>
      <c r="F82" s="465" t="s">
        <v>4922</v>
      </c>
      <c r="G82" s="465" t="s">
        <v>4923</v>
      </c>
      <c r="H82" s="465" t="s">
        <v>4924</v>
      </c>
      <c r="I82" s="465" t="s">
        <v>4925</v>
      </c>
      <c r="J82" s="465" t="s">
        <v>4955</v>
      </c>
      <c r="K82" s="465" t="s">
        <v>7397</v>
      </c>
      <c r="L82" s="465" t="s">
        <v>8661</v>
      </c>
      <c r="M82" s="467" t="s">
        <v>8017</v>
      </c>
    </row>
    <row r="83" spans="1:13">
      <c r="A83" s="461" t="s">
        <v>2315</v>
      </c>
      <c r="B83" s="461" t="s">
        <v>1503</v>
      </c>
      <c r="C83" s="468" t="s">
        <v>1502</v>
      </c>
      <c r="D83" s="468" t="s">
        <v>1504</v>
      </c>
      <c r="E83" s="468" t="s">
        <v>4368</v>
      </c>
      <c r="F83" s="461" t="s">
        <v>4369</v>
      </c>
      <c r="G83" s="461" t="s">
        <v>5119</v>
      </c>
      <c r="H83" s="461" t="s">
        <v>4371</v>
      </c>
      <c r="I83" s="461" t="s">
        <v>4372</v>
      </c>
      <c r="J83" s="461" t="s">
        <v>4373</v>
      </c>
      <c r="K83" s="461" t="s">
        <v>7359</v>
      </c>
      <c r="L83" s="461" t="s">
        <v>8575</v>
      </c>
      <c r="M83" s="469" t="s">
        <v>7929</v>
      </c>
    </row>
    <row r="84" spans="1:13">
      <c r="A84" s="465" t="s">
        <v>2471</v>
      </c>
      <c r="B84" s="465" t="s">
        <v>1503</v>
      </c>
      <c r="C84" s="466" t="s">
        <v>1502</v>
      </c>
      <c r="D84" s="466" t="s">
        <v>1504</v>
      </c>
      <c r="E84" s="466" t="s">
        <v>4368</v>
      </c>
      <c r="F84" s="465" t="s">
        <v>4369</v>
      </c>
      <c r="G84" s="465" t="s">
        <v>5119</v>
      </c>
      <c r="H84" s="465" t="s">
        <v>4371</v>
      </c>
      <c r="I84" s="465" t="s">
        <v>4372</v>
      </c>
      <c r="J84" s="465" t="s">
        <v>4373</v>
      </c>
      <c r="K84" s="465" t="s">
        <v>7359</v>
      </c>
      <c r="L84" s="465" t="s">
        <v>8575</v>
      </c>
      <c r="M84" s="467" t="s">
        <v>7929</v>
      </c>
    </row>
    <row r="85" spans="1:13">
      <c r="A85" s="461" t="s">
        <v>1493</v>
      </c>
      <c r="B85" s="461" t="s">
        <v>1071</v>
      </c>
      <c r="C85" s="468" t="s">
        <v>1070</v>
      </c>
      <c r="D85" s="468" t="s">
        <v>1072</v>
      </c>
      <c r="E85" s="468" t="s">
        <v>4816</v>
      </c>
      <c r="F85" s="461" t="s">
        <v>4817</v>
      </c>
      <c r="G85" s="461" t="s">
        <v>4818</v>
      </c>
      <c r="H85" s="461" t="s">
        <v>4819</v>
      </c>
      <c r="I85" s="461" t="s">
        <v>4820</v>
      </c>
      <c r="J85" s="461" t="s">
        <v>4821</v>
      </c>
      <c r="K85" s="471" t="s">
        <v>7382</v>
      </c>
      <c r="L85" s="461" t="s">
        <v>8645</v>
      </c>
      <c r="M85" s="469" t="s">
        <v>8017</v>
      </c>
    </row>
    <row r="86" spans="1:13">
      <c r="A86" s="475" t="s">
        <v>2107</v>
      </c>
      <c r="B86" s="475" t="s">
        <v>10604</v>
      </c>
      <c r="C86" s="475" t="s">
        <v>10608</v>
      </c>
      <c r="D86" s="475" t="s">
        <v>10610</v>
      </c>
      <c r="E86" s="475" t="s">
        <v>10612</v>
      </c>
      <c r="F86" s="475" t="s">
        <v>10614</v>
      </c>
      <c r="G86" s="475" t="s">
        <v>10616</v>
      </c>
      <c r="H86" s="475" t="s">
        <v>10606</v>
      </c>
      <c r="I86" s="475" t="s">
        <v>10618</v>
      </c>
      <c r="J86" s="475" t="s">
        <v>10620</v>
      </c>
      <c r="K86" s="475" t="s">
        <v>10622</v>
      </c>
      <c r="L86" s="475" t="s">
        <v>10624</v>
      </c>
      <c r="M86" s="476" t="s">
        <v>10626</v>
      </c>
    </row>
    <row r="87" spans="1:13">
      <c r="A87" s="461" t="s">
        <v>1491</v>
      </c>
      <c r="B87" s="461" t="s">
        <v>1071</v>
      </c>
      <c r="C87" s="468" t="s">
        <v>1070</v>
      </c>
      <c r="D87" s="468" t="s">
        <v>1072</v>
      </c>
      <c r="E87" s="468" t="s">
        <v>4816</v>
      </c>
      <c r="F87" s="461" t="s">
        <v>4817</v>
      </c>
      <c r="G87" s="461" t="s">
        <v>4818</v>
      </c>
      <c r="H87" s="461" t="s">
        <v>4819</v>
      </c>
      <c r="I87" s="461" t="s">
        <v>4820</v>
      </c>
      <c r="J87" s="461" t="s">
        <v>4821</v>
      </c>
      <c r="K87" s="471" t="s">
        <v>7382</v>
      </c>
      <c r="L87" s="461" t="s">
        <v>8645</v>
      </c>
      <c r="M87" s="469" t="s">
        <v>8017</v>
      </c>
    </row>
    <row r="88" spans="1:13">
      <c r="A88" s="475" t="s">
        <v>2106</v>
      </c>
      <c r="B88" s="475" t="s">
        <v>10604</v>
      </c>
      <c r="C88" s="475" t="s">
        <v>10608</v>
      </c>
      <c r="D88" s="475" t="s">
        <v>10610</v>
      </c>
      <c r="E88" s="475" t="s">
        <v>10612</v>
      </c>
      <c r="F88" s="475" t="s">
        <v>10614</v>
      </c>
      <c r="G88" s="475" t="s">
        <v>10616</v>
      </c>
      <c r="H88" s="475" t="s">
        <v>10606</v>
      </c>
      <c r="I88" s="475" t="s">
        <v>10618</v>
      </c>
      <c r="J88" s="475" t="s">
        <v>10620</v>
      </c>
      <c r="K88" s="475" t="s">
        <v>10622</v>
      </c>
      <c r="L88" s="475" t="s">
        <v>10624</v>
      </c>
      <c r="M88" s="476" t="s">
        <v>10626</v>
      </c>
    </row>
    <row r="89" spans="1:13">
      <c r="A89" s="461" t="s">
        <v>1495</v>
      </c>
      <c r="B89" s="461" t="s">
        <v>1089</v>
      </c>
      <c r="C89" s="468" t="s">
        <v>1088</v>
      </c>
      <c r="D89" s="468" t="s">
        <v>1090</v>
      </c>
      <c r="E89" s="468" t="s">
        <v>4831</v>
      </c>
      <c r="F89" s="461" t="s">
        <v>4832</v>
      </c>
      <c r="G89" s="461" t="s">
        <v>4833</v>
      </c>
      <c r="H89" s="461" t="s">
        <v>4834</v>
      </c>
      <c r="I89" s="461" t="s">
        <v>4835</v>
      </c>
      <c r="J89" s="461" t="s">
        <v>4836</v>
      </c>
      <c r="K89" s="461" t="s">
        <v>7384</v>
      </c>
      <c r="L89" s="461" t="s">
        <v>8647</v>
      </c>
      <c r="M89" s="469" t="s">
        <v>8003</v>
      </c>
    </row>
    <row r="90" spans="1:13">
      <c r="A90" s="465" t="s">
        <v>1497</v>
      </c>
      <c r="B90" s="465" t="s">
        <v>1089</v>
      </c>
      <c r="C90" s="466" t="s">
        <v>1088</v>
      </c>
      <c r="D90" s="466" t="s">
        <v>1090</v>
      </c>
      <c r="E90" s="466" t="s">
        <v>4831</v>
      </c>
      <c r="F90" s="465" t="s">
        <v>4832</v>
      </c>
      <c r="G90" s="465" t="s">
        <v>4833</v>
      </c>
      <c r="H90" s="465" t="s">
        <v>4834</v>
      </c>
      <c r="I90" s="465" t="s">
        <v>4835</v>
      </c>
      <c r="J90" s="465" t="s">
        <v>4836</v>
      </c>
      <c r="K90" s="465" t="s">
        <v>7384</v>
      </c>
      <c r="L90" s="465" t="s">
        <v>8647</v>
      </c>
      <c r="M90" s="467" t="s">
        <v>8003</v>
      </c>
    </row>
    <row r="91" spans="1:13">
      <c r="A91" s="461" t="s">
        <v>1513</v>
      </c>
      <c r="B91" s="461" t="s">
        <v>1089</v>
      </c>
      <c r="C91" s="468" t="s">
        <v>1088</v>
      </c>
      <c r="D91" s="468" t="s">
        <v>1090</v>
      </c>
      <c r="E91" s="468" t="s">
        <v>4831</v>
      </c>
      <c r="F91" s="461" t="s">
        <v>4832</v>
      </c>
      <c r="G91" s="461" t="s">
        <v>4833</v>
      </c>
      <c r="H91" s="461" t="s">
        <v>4834</v>
      </c>
      <c r="I91" s="461" t="s">
        <v>4835</v>
      </c>
      <c r="J91" s="461" t="s">
        <v>4836</v>
      </c>
      <c r="K91" s="461" t="s">
        <v>7384</v>
      </c>
      <c r="L91" s="461" t="s">
        <v>8647</v>
      </c>
      <c r="M91" s="469" t="s">
        <v>8003</v>
      </c>
    </row>
    <row r="92" spans="1:13">
      <c r="A92" s="465" t="s">
        <v>5187</v>
      </c>
      <c r="B92" s="465" t="s">
        <v>1089</v>
      </c>
      <c r="C92" s="466" t="s">
        <v>1088</v>
      </c>
      <c r="D92" s="466" t="s">
        <v>1090</v>
      </c>
      <c r="E92" s="466" t="s">
        <v>4831</v>
      </c>
      <c r="F92" s="465" t="s">
        <v>4832</v>
      </c>
      <c r="G92" s="465" t="s">
        <v>4833</v>
      </c>
      <c r="H92" s="465" t="s">
        <v>4834</v>
      </c>
      <c r="I92" s="465" t="s">
        <v>4835</v>
      </c>
      <c r="J92" s="465" t="s">
        <v>4954</v>
      </c>
      <c r="K92" s="465" t="s">
        <v>7384</v>
      </c>
      <c r="L92" s="465" t="s">
        <v>8647</v>
      </c>
      <c r="M92" s="467" t="s">
        <v>8003</v>
      </c>
    </row>
    <row r="93" spans="1:13">
      <c r="A93" s="461" t="s">
        <v>1392</v>
      </c>
      <c r="B93" s="461" t="s">
        <v>1207</v>
      </c>
      <c r="C93" s="468" t="s">
        <v>1206</v>
      </c>
      <c r="D93" s="468" t="s">
        <v>1208</v>
      </c>
      <c r="E93" s="468" t="s">
        <v>4921</v>
      </c>
      <c r="F93" s="461" t="s">
        <v>4922</v>
      </c>
      <c r="G93" s="461" t="s">
        <v>4923</v>
      </c>
      <c r="H93" s="461" t="s">
        <v>4924</v>
      </c>
      <c r="I93" s="461" t="s">
        <v>4925</v>
      </c>
      <c r="J93" s="461" t="s">
        <v>4926</v>
      </c>
      <c r="K93" s="461" t="s">
        <v>7397</v>
      </c>
      <c r="L93" s="461" t="s">
        <v>8661</v>
      </c>
      <c r="M93" s="469" t="s">
        <v>8017</v>
      </c>
    </row>
    <row r="94" spans="1:13">
      <c r="A94" s="465" t="s">
        <v>2455</v>
      </c>
      <c r="B94" s="465" t="s">
        <v>1207</v>
      </c>
      <c r="C94" s="466" t="s">
        <v>1206</v>
      </c>
      <c r="D94" s="466" t="s">
        <v>1208</v>
      </c>
      <c r="E94" s="466" t="s">
        <v>4921</v>
      </c>
      <c r="F94" s="465" t="s">
        <v>4922</v>
      </c>
      <c r="G94" s="465" t="s">
        <v>4923</v>
      </c>
      <c r="H94" s="465" t="s">
        <v>4924</v>
      </c>
      <c r="I94" s="465" t="s">
        <v>4925</v>
      </c>
      <c r="J94" s="465" t="s">
        <v>4955</v>
      </c>
      <c r="K94" s="465" t="s">
        <v>7397</v>
      </c>
      <c r="L94" s="465" t="s">
        <v>8661</v>
      </c>
      <c r="M94" s="467" t="s">
        <v>8017</v>
      </c>
    </row>
    <row r="95" spans="1:13">
      <c r="A95" s="461" t="s">
        <v>2304</v>
      </c>
      <c r="B95" s="461" t="s">
        <v>1397</v>
      </c>
      <c r="C95" s="468" t="s">
        <v>1396</v>
      </c>
      <c r="D95" s="468" t="s">
        <v>1398</v>
      </c>
      <c r="E95" s="468" t="s">
        <v>5086</v>
      </c>
      <c r="F95" s="461" t="s">
        <v>5087</v>
      </c>
      <c r="G95" s="461" t="s">
        <v>5088</v>
      </c>
      <c r="H95" s="461" t="s">
        <v>5089</v>
      </c>
      <c r="I95" s="461" t="s">
        <v>5090</v>
      </c>
      <c r="J95" s="461" t="s">
        <v>5091</v>
      </c>
      <c r="K95" s="461" t="s">
        <v>7420</v>
      </c>
      <c r="L95" s="461" t="s">
        <v>8683</v>
      </c>
      <c r="M95" s="469" t="s">
        <v>8044</v>
      </c>
    </row>
    <row r="96" spans="1:13">
      <c r="A96" s="465" t="s">
        <v>2456</v>
      </c>
      <c r="B96" s="465" t="s">
        <v>1397</v>
      </c>
      <c r="C96" s="466" t="s">
        <v>1396</v>
      </c>
      <c r="D96" s="466" t="s">
        <v>1398</v>
      </c>
      <c r="E96" s="466" t="s">
        <v>5086</v>
      </c>
      <c r="F96" s="465" t="s">
        <v>5087</v>
      </c>
      <c r="G96" s="465" t="s">
        <v>5088</v>
      </c>
      <c r="H96" s="465" t="s">
        <v>5089</v>
      </c>
      <c r="I96" s="465" t="s">
        <v>5090</v>
      </c>
      <c r="J96" s="465" t="s">
        <v>5091</v>
      </c>
      <c r="K96" s="465" t="s">
        <v>7420</v>
      </c>
      <c r="L96" s="465" t="s">
        <v>8683</v>
      </c>
      <c r="M96" s="467" t="s">
        <v>8044</v>
      </c>
    </row>
    <row r="97" spans="1:13">
      <c r="A97" s="473" t="s">
        <v>12044</v>
      </c>
      <c r="B97" s="473" t="s">
        <v>1071</v>
      </c>
      <c r="C97" s="473" t="s">
        <v>1070</v>
      </c>
      <c r="D97" s="473" t="s">
        <v>12258</v>
      </c>
      <c r="E97" s="473" t="s">
        <v>4816</v>
      </c>
      <c r="F97" s="473" t="s">
        <v>4817</v>
      </c>
      <c r="G97" s="473" t="s">
        <v>12259</v>
      </c>
      <c r="H97" s="473" t="s">
        <v>4819</v>
      </c>
      <c r="I97" s="473" t="s">
        <v>12260</v>
      </c>
      <c r="J97" s="473" t="s">
        <v>4821</v>
      </c>
      <c r="K97" s="473" t="s">
        <v>7382</v>
      </c>
      <c r="L97" s="473" t="s">
        <v>8645</v>
      </c>
      <c r="M97" s="474" t="s">
        <v>8000</v>
      </c>
    </row>
    <row r="98" spans="1:13">
      <c r="A98" s="475" t="s">
        <v>12216</v>
      </c>
      <c r="B98" s="475" t="s">
        <v>1071</v>
      </c>
      <c r="C98" s="475" t="s">
        <v>1070</v>
      </c>
      <c r="D98" s="475" t="s">
        <v>12258</v>
      </c>
      <c r="E98" s="475" t="s">
        <v>4816</v>
      </c>
      <c r="F98" s="475" t="s">
        <v>4817</v>
      </c>
      <c r="G98" s="475" t="s">
        <v>12259</v>
      </c>
      <c r="H98" s="475" t="s">
        <v>4819</v>
      </c>
      <c r="I98" s="475" t="s">
        <v>12260</v>
      </c>
      <c r="J98" s="475" t="s">
        <v>4821</v>
      </c>
      <c r="K98" s="475" t="s">
        <v>7382</v>
      </c>
      <c r="L98" s="475" t="s">
        <v>8645</v>
      </c>
      <c r="M98" s="476" t="s">
        <v>8000</v>
      </c>
    </row>
    <row r="99" spans="1:13">
      <c r="A99" s="461" t="s">
        <v>1106</v>
      </c>
      <c r="B99" s="461" t="s">
        <v>1089</v>
      </c>
      <c r="C99" s="468" t="s">
        <v>1088</v>
      </c>
      <c r="D99" s="468" t="s">
        <v>1090</v>
      </c>
      <c r="E99" s="468" t="s">
        <v>4831</v>
      </c>
      <c r="F99" s="461" t="s">
        <v>4832</v>
      </c>
      <c r="G99" s="461" t="s">
        <v>4833</v>
      </c>
      <c r="H99" s="461" t="s">
        <v>4834</v>
      </c>
      <c r="I99" s="461" t="s">
        <v>4835</v>
      </c>
      <c r="J99" s="461" t="s">
        <v>4836</v>
      </c>
      <c r="K99" s="461" t="s">
        <v>7384</v>
      </c>
      <c r="L99" s="461" t="s">
        <v>8647</v>
      </c>
      <c r="M99" s="469" t="s">
        <v>8003</v>
      </c>
    </row>
    <row r="100" spans="1:13">
      <c r="A100" s="465" t="s">
        <v>2426</v>
      </c>
      <c r="B100" s="465" t="s">
        <v>1089</v>
      </c>
      <c r="C100" s="466" t="s">
        <v>1088</v>
      </c>
      <c r="D100" s="466" t="s">
        <v>1090</v>
      </c>
      <c r="E100" s="466" t="s">
        <v>4831</v>
      </c>
      <c r="F100" s="465" t="s">
        <v>4832</v>
      </c>
      <c r="G100" s="465" t="s">
        <v>4833</v>
      </c>
      <c r="H100" s="465" t="s">
        <v>4834</v>
      </c>
      <c r="I100" s="465" t="s">
        <v>4835</v>
      </c>
      <c r="J100" s="465" t="s">
        <v>4836</v>
      </c>
      <c r="K100" s="465" t="s">
        <v>7384</v>
      </c>
      <c r="L100" s="465" t="s">
        <v>8647</v>
      </c>
      <c r="M100" s="467" t="s">
        <v>8003</v>
      </c>
    </row>
    <row r="101" spans="1:13">
      <c r="A101" s="461" t="s">
        <v>1087</v>
      </c>
      <c r="B101" s="461" t="s">
        <v>1089</v>
      </c>
      <c r="C101" s="468" t="s">
        <v>1088</v>
      </c>
      <c r="D101" s="468" t="s">
        <v>1090</v>
      </c>
      <c r="E101" s="468" t="s">
        <v>4831</v>
      </c>
      <c r="F101" s="461" t="s">
        <v>4832</v>
      </c>
      <c r="G101" s="461" t="s">
        <v>4833</v>
      </c>
      <c r="H101" s="461" t="s">
        <v>4834</v>
      </c>
      <c r="I101" s="461" t="s">
        <v>4835</v>
      </c>
      <c r="J101" s="461" t="s">
        <v>4836</v>
      </c>
      <c r="K101" s="461" t="s">
        <v>7384</v>
      </c>
      <c r="L101" s="461" t="s">
        <v>8647</v>
      </c>
      <c r="M101" s="469" t="s">
        <v>8003</v>
      </c>
    </row>
    <row r="102" spans="1:13">
      <c r="A102" s="475" t="s">
        <v>10503</v>
      </c>
      <c r="B102" s="475" t="s">
        <v>10604</v>
      </c>
      <c r="C102" s="475" t="s">
        <v>10608</v>
      </c>
      <c r="D102" s="475" t="s">
        <v>10610</v>
      </c>
      <c r="E102" s="475" t="s">
        <v>10612</v>
      </c>
      <c r="F102" s="475" t="s">
        <v>10614</v>
      </c>
      <c r="G102" s="475" t="s">
        <v>10616</v>
      </c>
      <c r="H102" s="475" t="s">
        <v>10606</v>
      </c>
      <c r="I102" s="475" t="s">
        <v>10618</v>
      </c>
      <c r="J102" s="475" t="s">
        <v>10620</v>
      </c>
      <c r="K102" s="475" t="s">
        <v>10622</v>
      </c>
      <c r="L102" s="475" t="s">
        <v>10624</v>
      </c>
      <c r="M102" s="476" t="s">
        <v>10626</v>
      </c>
    </row>
    <row r="103" spans="1:13">
      <c r="A103" s="461" t="s">
        <v>2421</v>
      </c>
      <c r="B103" s="461" t="s">
        <v>1089</v>
      </c>
      <c r="C103" s="468" t="s">
        <v>1088</v>
      </c>
      <c r="D103" s="468" t="s">
        <v>1090</v>
      </c>
      <c r="E103" s="468" t="s">
        <v>4831</v>
      </c>
      <c r="F103" s="461" t="s">
        <v>4832</v>
      </c>
      <c r="G103" s="461" t="s">
        <v>4833</v>
      </c>
      <c r="H103" s="461" t="s">
        <v>4834</v>
      </c>
      <c r="I103" s="461" t="s">
        <v>4835</v>
      </c>
      <c r="J103" s="461" t="s">
        <v>4836</v>
      </c>
      <c r="K103" s="461" t="s">
        <v>7384</v>
      </c>
      <c r="L103" s="461" t="s">
        <v>8647</v>
      </c>
      <c r="M103" s="469" t="s">
        <v>8003</v>
      </c>
    </row>
    <row r="104" spans="1:13">
      <c r="A104" s="465" t="s">
        <v>1107</v>
      </c>
      <c r="B104" s="465" t="s">
        <v>1089</v>
      </c>
      <c r="C104" s="466" t="s">
        <v>1088</v>
      </c>
      <c r="D104" s="466" t="s">
        <v>1090</v>
      </c>
      <c r="E104" s="466" t="s">
        <v>4403</v>
      </c>
      <c r="F104" s="465" t="s">
        <v>4832</v>
      </c>
      <c r="G104" s="465" t="s">
        <v>4833</v>
      </c>
      <c r="H104" s="465" t="s">
        <v>4834</v>
      </c>
      <c r="I104" s="465" t="s">
        <v>4835</v>
      </c>
      <c r="J104" s="465" t="s">
        <v>4836</v>
      </c>
      <c r="K104" s="465" t="s">
        <v>7384</v>
      </c>
      <c r="L104" s="465" t="s">
        <v>8647</v>
      </c>
      <c r="M104" s="467" t="s">
        <v>8003</v>
      </c>
    </row>
    <row r="105" spans="1:13">
      <c r="A105" s="461" t="s">
        <v>4865</v>
      </c>
      <c r="B105" s="461" t="s">
        <v>1089</v>
      </c>
      <c r="C105" s="468" t="s">
        <v>1088</v>
      </c>
      <c r="D105" s="468" t="s">
        <v>1090</v>
      </c>
      <c r="E105" s="468" t="s">
        <v>4831</v>
      </c>
      <c r="F105" s="461" t="s">
        <v>4832</v>
      </c>
      <c r="G105" s="461" t="s">
        <v>4833</v>
      </c>
      <c r="H105" s="461" t="s">
        <v>4834</v>
      </c>
      <c r="I105" s="461" t="s">
        <v>4835</v>
      </c>
      <c r="J105" s="461" t="s">
        <v>4836</v>
      </c>
      <c r="K105" s="461" t="s">
        <v>7384</v>
      </c>
      <c r="L105" s="461" t="s">
        <v>8647</v>
      </c>
      <c r="M105" s="469" t="s">
        <v>8003</v>
      </c>
    </row>
    <row r="106" spans="1:13">
      <c r="A106" s="465" t="s">
        <v>1499</v>
      </c>
      <c r="B106" s="465" t="s">
        <v>764</v>
      </c>
      <c r="C106" s="466" t="s">
        <v>763</v>
      </c>
      <c r="D106" s="466" t="s">
        <v>1093</v>
      </c>
      <c r="E106" s="466" t="s">
        <v>4403</v>
      </c>
      <c r="F106" s="465" t="s">
        <v>4404</v>
      </c>
      <c r="G106" s="465" t="s">
        <v>4837</v>
      </c>
      <c r="H106" s="465" t="s">
        <v>4406</v>
      </c>
      <c r="I106" s="465" t="s">
        <v>4407</v>
      </c>
      <c r="J106" s="465" t="s">
        <v>4408</v>
      </c>
      <c r="K106" s="465" t="s">
        <v>7365</v>
      </c>
      <c r="L106" s="465" t="s">
        <v>8581</v>
      </c>
      <c r="M106" s="467" t="s">
        <v>7935</v>
      </c>
    </row>
    <row r="107" spans="1:13">
      <c r="A107" s="461" t="s">
        <v>5165</v>
      </c>
      <c r="B107" s="461" t="s">
        <v>764</v>
      </c>
      <c r="C107" s="468" t="s">
        <v>763</v>
      </c>
      <c r="D107" s="468" t="s">
        <v>1093</v>
      </c>
      <c r="E107" s="468" t="s">
        <v>4403</v>
      </c>
      <c r="F107" s="461" t="s">
        <v>4404</v>
      </c>
      <c r="G107" s="461" t="s">
        <v>4837</v>
      </c>
      <c r="H107" s="461" t="s">
        <v>4406</v>
      </c>
      <c r="I107" s="461" t="s">
        <v>4407</v>
      </c>
      <c r="J107" s="461" t="s">
        <v>4867</v>
      </c>
      <c r="K107" s="461" t="s">
        <v>7365</v>
      </c>
      <c r="L107" s="461" t="s">
        <v>8581</v>
      </c>
      <c r="M107" s="469" t="s">
        <v>7935</v>
      </c>
    </row>
    <row r="108" spans="1:13">
      <c r="A108" s="465" t="s">
        <v>1410</v>
      </c>
      <c r="B108" s="465" t="s">
        <v>1089</v>
      </c>
      <c r="C108" s="466" t="s">
        <v>1088</v>
      </c>
      <c r="D108" s="466" t="s">
        <v>1090</v>
      </c>
      <c r="E108" s="466" t="s">
        <v>4831</v>
      </c>
      <c r="F108" s="465" t="s">
        <v>4832</v>
      </c>
      <c r="G108" s="465" t="s">
        <v>4833</v>
      </c>
      <c r="H108" s="465" t="s">
        <v>4834</v>
      </c>
      <c r="I108" s="465" t="s">
        <v>4835</v>
      </c>
      <c r="J108" s="465" t="s">
        <v>4836</v>
      </c>
      <c r="K108" s="465" t="s">
        <v>7384</v>
      </c>
      <c r="L108" s="465" t="s">
        <v>8647</v>
      </c>
      <c r="M108" s="467" t="s">
        <v>8003</v>
      </c>
    </row>
    <row r="109" spans="1:13">
      <c r="A109" s="461" t="s">
        <v>2370</v>
      </c>
      <c r="B109" s="461" t="s">
        <v>1089</v>
      </c>
      <c r="C109" s="468" t="s">
        <v>1088</v>
      </c>
      <c r="D109" s="468" t="s">
        <v>1090</v>
      </c>
      <c r="E109" s="468" t="s">
        <v>4831</v>
      </c>
      <c r="F109" s="461" t="s">
        <v>4832</v>
      </c>
      <c r="G109" s="461" t="s">
        <v>4833</v>
      </c>
      <c r="H109" s="461" t="s">
        <v>4834</v>
      </c>
      <c r="I109" s="461" t="s">
        <v>4835</v>
      </c>
      <c r="J109" s="461" t="s">
        <v>4836</v>
      </c>
      <c r="K109" s="461" t="s">
        <v>7384</v>
      </c>
      <c r="L109" s="461" t="s">
        <v>8647</v>
      </c>
      <c r="M109" s="469" t="s">
        <v>8003</v>
      </c>
    </row>
    <row r="110" spans="1:13">
      <c r="A110" s="465" t="s">
        <v>2305</v>
      </c>
      <c r="B110" s="465" t="s">
        <v>1089</v>
      </c>
      <c r="C110" s="466" t="s">
        <v>1088</v>
      </c>
      <c r="D110" s="466" t="s">
        <v>1090</v>
      </c>
      <c r="E110" s="466" t="s">
        <v>4831</v>
      </c>
      <c r="F110" s="465" t="s">
        <v>4832</v>
      </c>
      <c r="G110" s="465" t="s">
        <v>4833</v>
      </c>
      <c r="H110" s="465" t="s">
        <v>4834</v>
      </c>
      <c r="I110" s="465" t="s">
        <v>4835</v>
      </c>
      <c r="J110" s="465" t="s">
        <v>4836</v>
      </c>
      <c r="K110" s="465" t="s">
        <v>7384</v>
      </c>
      <c r="L110" s="465" t="s">
        <v>8647</v>
      </c>
      <c r="M110" s="467" t="s">
        <v>8003</v>
      </c>
    </row>
    <row r="111" spans="1:13">
      <c r="A111" s="461" t="s">
        <v>2462</v>
      </c>
      <c r="B111" s="461" t="s">
        <v>1089</v>
      </c>
      <c r="C111" s="468" t="s">
        <v>1088</v>
      </c>
      <c r="D111" s="468" t="s">
        <v>1090</v>
      </c>
      <c r="E111" s="468" t="s">
        <v>4831</v>
      </c>
      <c r="F111" s="461" t="s">
        <v>4832</v>
      </c>
      <c r="G111" s="461" t="s">
        <v>4833</v>
      </c>
      <c r="H111" s="461" t="s">
        <v>4834</v>
      </c>
      <c r="I111" s="461" t="s">
        <v>4835</v>
      </c>
      <c r="J111" s="461" t="s">
        <v>4836</v>
      </c>
      <c r="K111" s="461" t="s">
        <v>7384</v>
      </c>
      <c r="L111" s="461" t="s">
        <v>8647</v>
      </c>
      <c r="M111" s="469" t="s">
        <v>8003</v>
      </c>
    </row>
    <row r="112" spans="1:13">
      <c r="A112" s="465" t="s">
        <v>1073</v>
      </c>
      <c r="B112" s="465" t="s">
        <v>1071</v>
      </c>
      <c r="C112" s="466" t="s">
        <v>1070</v>
      </c>
      <c r="D112" s="466" t="s">
        <v>1072</v>
      </c>
      <c r="E112" s="466" t="s">
        <v>4816</v>
      </c>
      <c r="F112" s="465" t="s">
        <v>4817</v>
      </c>
      <c r="G112" s="465" t="s">
        <v>4818</v>
      </c>
      <c r="H112" s="465" t="s">
        <v>4819</v>
      </c>
      <c r="I112" s="465" t="s">
        <v>4820</v>
      </c>
      <c r="J112" s="465" t="s">
        <v>4821</v>
      </c>
      <c r="K112" s="465" t="s">
        <v>7382</v>
      </c>
      <c r="L112" s="465" t="s">
        <v>8645</v>
      </c>
      <c r="M112" s="467" t="s">
        <v>8000</v>
      </c>
    </row>
    <row r="113" spans="1:13">
      <c r="A113" s="473" t="s">
        <v>2085</v>
      </c>
      <c r="B113" s="473" t="s">
        <v>10604</v>
      </c>
      <c r="C113" s="473" t="s">
        <v>10608</v>
      </c>
      <c r="D113" s="473" t="s">
        <v>10610</v>
      </c>
      <c r="E113" s="473" t="s">
        <v>10612</v>
      </c>
      <c r="F113" s="473" t="s">
        <v>10614</v>
      </c>
      <c r="G113" s="473" t="s">
        <v>10616</v>
      </c>
      <c r="H113" s="473" t="s">
        <v>10606</v>
      </c>
      <c r="I113" s="473" t="s">
        <v>10618</v>
      </c>
      <c r="J113" s="473" t="s">
        <v>10620</v>
      </c>
      <c r="K113" s="473" t="s">
        <v>10622</v>
      </c>
      <c r="L113" s="473" t="s">
        <v>10624</v>
      </c>
      <c r="M113" s="474" t="s">
        <v>10626</v>
      </c>
    </row>
    <row r="114" spans="1:13">
      <c r="A114" s="465" t="s">
        <v>2274</v>
      </c>
      <c r="B114" s="465" t="s">
        <v>1071</v>
      </c>
      <c r="C114" s="466" t="s">
        <v>1070</v>
      </c>
      <c r="D114" s="466" t="s">
        <v>1072</v>
      </c>
      <c r="E114" s="466" t="s">
        <v>4816</v>
      </c>
      <c r="F114" s="465" t="s">
        <v>4817</v>
      </c>
      <c r="G114" s="465" t="s">
        <v>4818</v>
      </c>
      <c r="H114" s="465" t="s">
        <v>4819</v>
      </c>
      <c r="I114" s="465" t="s">
        <v>4820</v>
      </c>
      <c r="J114" s="465" t="s">
        <v>4821</v>
      </c>
      <c r="K114" s="465" t="s">
        <v>7382</v>
      </c>
      <c r="L114" s="465" t="s">
        <v>8645</v>
      </c>
      <c r="M114" s="467" t="s">
        <v>8000</v>
      </c>
    </row>
    <row r="115" spans="1:13">
      <c r="A115" s="461" t="s">
        <v>1068</v>
      </c>
      <c r="B115" s="461" t="s">
        <v>1071</v>
      </c>
      <c r="C115" s="468" t="s">
        <v>1070</v>
      </c>
      <c r="D115" s="468" t="s">
        <v>1072</v>
      </c>
      <c r="E115" s="468" t="s">
        <v>4816</v>
      </c>
      <c r="F115" s="461" t="s">
        <v>4817</v>
      </c>
      <c r="G115" s="461" t="s">
        <v>4818</v>
      </c>
      <c r="H115" s="461" t="s">
        <v>4819</v>
      </c>
      <c r="I115" s="461" t="s">
        <v>4820</v>
      </c>
      <c r="J115" s="461" t="s">
        <v>4821</v>
      </c>
      <c r="K115" s="461" t="s">
        <v>7382</v>
      </c>
      <c r="L115" s="461" t="s">
        <v>8645</v>
      </c>
      <c r="M115" s="469" t="s">
        <v>8000</v>
      </c>
    </row>
    <row r="116" spans="1:13">
      <c r="A116" s="465" t="s">
        <v>1108</v>
      </c>
      <c r="B116" s="465" t="s">
        <v>764</v>
      </c>
      <c r="C116" s="466" t="s">
        <v>763</v>
      </c>
      <c r="D116" s="466" t="s">
        <v>1093</v>
      </c>
      <c r="E116" s="466" t="s">
        <v>4403</v>
      </c>
      <c r="F116" s="465" t="s">
        <v>4404</v>
      </c>
      <c r="G116" s="465" t="s">
        <v>4837</v>
      </c>
      <c r="H116" s="465" t="s">
        <v>4406</v>
      </c>
      <c r="I116" s="465" t="s">
        <v>4407</v>
      </c>
      <c r="J116" s="465" t="s">
        <v>4408</v>
      </c>
      <c r="K116" s="465" t="s">
        <v>7365</v>
      </c>
      <c r="L116" s="465" t="s">
        <v>8581</v>
      </c>
      <c r="M116" s="467" t="s">
        <v>7935</v>
      </c>
    </row>
    <row r="117" spans="1:13">
      <c r="A117" s="461" t="s">
        <v>4866</v>
      </c>
      <c r="B117" s="461" t="s">
        <v>764</v>
      </c>
      <c r="C117" s="468" t="s">
        <v>763</v>
      </c>
      <c r="D117" s="468" t="s">
        <v>1093</v>
      </c>
      <c r="E117" s="468" t="s">
        <v>4403</v>
      </c>
      <c r="F117" s="461" t="s">
        <v>4404</v>
      </c>
      <c r="G117" s="461" t="s">
        <v>4837</v>
      </c>
      <c r="H117" s="461" t="s">
        <v>4406</v>
      </c>
      <c r="I117" s="461" t="s">
        <v>4407</v>
      </c>
      <c r="J117" s="461" t="s">
        <v>4867</v>
      </c>
      <c r="K117" s="461" t="s">
        <v>7365</v>
      </c>
      <c r="L117" s="461" t="s">
        <v>8581</v>
      </c>
      <c r="M117" s="469" t="s">
        <v>7935</v>
      </c>
    </row>
    <row r="118" spans="1:13">
      <c r="A118" s="465" t="s">
        <v>1091</v>
      </c>
      <c r="B118" s="465" t="s">
        <v>764</v>
      </c>
      <c r="C118" s="466" t="s">
        <v>763</v>
      </c>
      <c r="D118" s="466" t="s">
        <v>1093</v>
      </c>
      <c r="E118" s="466" t="s">
        <v>4403</v>
      </c>
      <c r="F118" s="465" t="s">
        <v>4404</v>
      </c>
      <c r="G118" s="465" t="s">
        <v>4837</v>
      </c>
      <c r="H118" s="465" t="s">
        <v>4406</v>
      </c>
      <c r="I118" s="465" t="s">
        <v>4407</v>
      </c>
      <c r="J118" s="465" t="s">
        <v>4408</v>
      </c>
      <c r="K118" s="465" t="s">
        <v>7365</v>
      </c>
      <c r="L118" s="465" t="s">
        <v>8581</v>
      </c>
      <c r="M118" s="467" t="s">
        <v>7935</v>
      </c>
    </row>
    <row r="119" spans="1:13">
      <c r="A119" s="461" t="s">
        <v>2422</v>
      </c>
      <c r="B119" s="461" t="s">
        <v>764</v>
      </c>
      <c r="C119" s="468" t="s">
        <v>763</v>
      </c>
      <c r="D119" s="468" t="s">
        <v>1093</v>
      </c>
      <c r="E119" s="468" t="s">
        <v>4403</v>
      </c>
      <c r="F119" s="461" t="s">
        <v>4404</v>
      </c>
      <c r="G119" s="461" t="s">
        <v>4837</v>
      </c>
      <c r="H119" s="461" t="s">
        <v>4406</v>
      </c>
      <c r="I119" s="461" t="s">
        <v>4407</v>
      </c>
      <c r="J119" s="461" t="s">
        <v>4408</v>
      </c>
      <c r="K119" s="461" t="s">
        <v>7365</v>
      </c>
      <c r="L119" s="461" t="s">
        <v>8581</v>
      </c>
      <c r="M119" s="469" t="s">
        <v>7935</v>
      </c>
    </row>
    <row r="120" spans="1:13">
      <c r="A120" s="465" t="s">
        <v>4838</v>
      </c>
      <c r="B120" s="465" t="s">
        <v>764</v>
      </c>
      <c r="C120" s="466" t="s">
        <v>763</v>
      </c>
      <c r="D120" s="466" t="s">
        <v>1093</v>
      </c>
      <c r="E120" s="466" t="s">
        <v>4403</v>
      </c>
      <c r="F120" s="465" t="s">
        <v>4404</v>
      </c>
      <c r="G120" s="465" t="s">
        <v>4837</v>
      </c>
      <c r="H120" s="465" t="s">
        <v>4406</v>
      </c>
      <c r="I120" s="465" t="s">
        <v>4407</v>
      </c>
      <c r="J120" s="465" t="s">
        <v>4408</v>
      </c>
      <c r="K120" s="465" t="s">
        <v>7365</v>
      </c>
      <c r="L120" s="465" t="s">
        <v>8581</v>
      </c>
      <c r="M120" s="467" t="s">
        <v>7935</v>
      </c>
    </row>
    <row r="121" spans="1:13">
      <c r="A121" s="472" t="s">
        <v>4858</v>
      </c>
      <c r="B121" s="461" t="s">
        <v>764</v>
      </c>
      <c r="C121" s="468" t="s">
        <v>763</v>
      </c>
      <c r="D121" s="468" t="s">
        <v>1093</v>
      </c>
      <c r="E121" s="468" t="s">
        <v>4403</v>
      </c>
      <c r="F121" s="461" t="s">
        <v>4404</v>
      </c>
      <c r="G121" s="461" t="s">
        <v>4837</v>
      </c>
      <c r="H121" s="461" t="s">
        <v>4406</v>
      </c>
      <c r="I121" s="461" t="s">
        <v>4407</v>
      </c>
      <c r="J121" s="461" t="s">
        <v>4408</v>
      </c>
      <c r="K121" s="461" t="s">
        <v>7365</v>
      </c>
      <c r="L121" s="461" t="s">
        <v>8581</v>
      </c>
      <c r="M121" s="469" t="s">
        <v>7935</v>
      </c>
    </row>
    <row r="122" spans="1:13">
      <c r="A122" s="465" t="s">
        <v>2329</v>
      </c>
      <c r="B122" s="465" t="s">
        <v>1083</v>
      </c>
      <c r="C122" s="466" t="s">
        <v>1082</v>
      </c>
      <c r="D122" s="466" t="s">
        <v>1084</v>
      </c>
      <c r="E122" s="466" t="s">
        <v>4733</v>
      </c>
      <c r="F122" s="465" t="s">
        <v>4734</v>
      </c>
      <c r="G122" s="465" t="s">
        <v>4735</v>
      </c>
      <c r="H122" s="465" t="s">
        <v>4736</v>
      </c>
      <c r="I122" s="465" t="s">
        <v>4737</v>
      </c>
      <c r="J122" s="465" t="s">
        <v>4828</v>
      </c>
      <c r="K122" s="465" t="s">
        <v>7371</v>
      </c>
      <c r="L122" s="465" t="s">
        <v>8634</v>
      </c>
      <c r="M122" s="467" t="s">
        <v>7989</v>
      </c>
    </row>
    <row r="123" spans="1:13">
      <c r="A123" s="461" t="s">
        <v>2477</v>
      </c>
      <c r="B123" s="461" t="s">
        <v>1083</v>
      </c>
      <c r="C123" s="468" t="s">
        <v>1082</v>
      </c>
      <c r="D123" s="468" t="s">
        <v>1084</v>
      </c>
      <c r="E123" s="468" t="s">
        <v>4733</v>
      </c>
      <c r="F123" s="461" t="s">
        <v>4734</v>
      </c>
      <c r="G123" s="461" t="s">
        <v>4735</v>
      </c>
      <c r="H123" s="461" t="s">
        <v>4736</v>
      </c>
      <c r="I123" s="461" t="s">
        <v>4737</v>
      </c>
      <c r="J123" s="461" t="s">
        <v>4828</v>
      </c>
      <c r="K123" s="461" t="s">
        <v>7371</v>
      </c>
      <c r="L123" s="461" t="s">
        <v>8634</v>
      </c>
      <c r="M123" s="469" t="s">
        <v>7989</v>
      </c>
    </row>
    <row r="124" spans="1:13">
      <c r="A124" s="465" t="s">
        <v>2324</v>
      </c>
      <c r="B124" s="465" t="s">
        <v>1096</v>
      </c>
      <c r="C124" s="466" t="s">
        <v>1095</v>
      </c>
      <c r="D124" s="466" t="s">
        <v>1097</v>
      </c>
      <c r="E124" s="466" t="s">
        <v>4842</v>
      </c>
      <c r="F124" s="465" t="s">
        <v>4843</v>
      </c>
      <c r="G124" s="465" t="s">
        <v>4844</v>
      </c>
      <c r="H124" s="465" t="s">
        <v>4842</v>
      </c>
      <c r="I124" s="465" t="s">
        <v>4845</v>
      </c>
      <c r="J124" s="465" t="s">
        <v>4846</v>
      </c>
      <c r="K124" s="465" t="s">
        <v>7385</v>
      </c>
      <c r="L124" s="465" t="s">
        <v>8648</v>
      </c>
      <c r="M124" s="467" t="s">
        <v>8005</v>
      </c>
    </row>
    <row r="125" spans="1:13">
      <c r="A125" s="461" t="s">
        <v>2472</v>
      </c>
      <c r="B125" s="461" t="s">
        <v>1096</v>
      </c>
      <c r="C125" s="468" t="s">
        <v>1095</v>
      </c>
      <c r="D125" s="468" t="s">
        <v>1097</v>
      </c>
      <c r="E125" s="468" t="s">
        <v>4842</v>
      </c>
      <c r="F125" s="461" t="s">
        <v>4843</v>
      </c>
      <c r="G125" s="461" t="s">
        <v>4844</v>
      </c>
      <c r="H125" s="461" t="s">
        <v>4842</v>
      </c>
      <c r="I125" s="461" t="s">
        <v>4845</v>
      </c>
      <c r="J125" s="461" t="s">
        <v>4846</v>
      </c>
      <c r="K125" s="461" t="s">
        <v>7385</v>
      </c>
      <c r="L125" s="461" t="s">
        <v>8648</v>
      </c>
      <c r="M125" s="469" t="s">
        <v>8005</v>
      </c>
    </row>
    <row r="126" spans="1:13">
      <c r="A126" s="465" t="s">
        <v>1074</v>
      </c>
      <c r="B126" s="465" t="s">
        <v>1076</v>
      </c>
      <c r="C126" s="466" t="s">
        <v>1075</v>
      </c>
      <c r="D126" s="466" t="s">
        <v>1077</v>
      </c>
      <c r="E126" s="466" t="s">
        <v>4822</v>
      </c>
      <c r="F126" s="465" t="s">
        <v>4823</v>
      </c>
      <c r="G126" s="465" t="s">
        <v>4824</v>
      </c>
      <c r="H126" s="465" t="s">
        <v>4825</v>
      </c>
      <c r="I126" s="465" t="s">
        <v>4826</v>
      </c>
      <c r="J126" s="465" t="s">
        <v>4827</v>
      </c>
      <c r="K126" s="465" t="s">
        <v>7383</v>
      </c>
      <c r="L126" s="465" t="s">
        <v>8646</v>
      </c>
      <c r="M126" s="467" t="s">
        <v>8001</v>
      </c>
    </row>
    <row r="127" spans="1:13">
      <c r="A127" s="473" t="s">
        <v>2086</v>
      </c>
      <c r="B127" s="473" t="s">
        <v>10604</v>
      </c>
      <c r="C127" s="473" t="s">
        <v>10608</v>
      </c>
      <c r="D127" s="473" t="s">
        <v>10610</v>
      </c>
      <c r="E127" s="473" t="s">
        <v>10612</v>
      </c>
      <c r="F127" s="473" t="s">
        <v>10614</v>
      </c>
      <c r="G127" s="473" t="s">
        <v>10616</v>
      </c>
      <c r="H127" s="473" t="s">
        <v>10606</v>
      </c>
      <c r="I127" s="473" t="s">
        <v>10618</v>
      </c>
      <c r="J127" s="473" t="s">
        <v>10620</v>
      </c>
      <c r="K127" s="473" t="s">
        <v>10622</v>
      </c>
      <c r="L127" s="473" t="s">
        <v>10624</v>
      </c>
      <c r="M127" s="474" t="s">
        <v>10626</v>
      </c>
    </row>
    <row r="128" spans="1:13">
      <c r="A128" s="465" t="s">
        <v>1078</v>
      </c>
      <c r="B128" s="465" t="s">
        <v>1076</v>
      </c>
      <c r="C128" s="466" t="s">
        <v>1075</v>
      </c>
      <c r="D128" s="466" t="s">
        <v>1077</v>
      </c>
      <c r="E128" s="466" t="s">
        <v>4822</v>
      </c>
      <c r="F128" s="465" t="s">
        <v>4823</v>
      </c>
      <c r="G128" s="465" t="s">
        <v>4824</v>
      </c>
      <c r="H128" s="465" t="s">
        <v>4825</v>
      </c>
      <c r="I128" s="465" t="s">
        <v>4826</v>
      </c>
      <c r="J128" s="465" t="s">
        <v>4827</v>
      </c>
      <c r="K128" s="470" t="s">
        <v>7383</v>
      </c>
      <c r="L128" s="465" t="s">
        <v>8646</v>
      </c>
      <c r="M128" s="467" t="s">
        <v>8001</v>
      </c>
    </row>
    <row r="129" spans="1:13">
      <c r="A129" s="473" t="s">
        <v>2087</v>
      </c>
      <c r="B129" s="473" t="s">
        <v>10604</v>
      </c>
      <c r="C129" s="473" t="s">
        <v>10608</v>
      </c>
      <c r="D129" s="473" t="s">
        <v>10610</v>
      </c>
      <c r="E129" s="473" t="s">
        <v>10612</v>
      </c>
      <c r="F129" s="473" t="s">
        <v>10614</v>
      </c>
      <c r="G129" s="473" t="s">
        <v>10616</v>
      </c>
      <c r="H129" s="473" t="s">
        <v>10606</v>
      </c>
      <c r="I129" s="473" t="s">
        <v>10618</v>
      </c>
      <c r="J129" s="473" t="s">
        <v>10620</v>
      </c>
      <c r="K129" s="473" t="s">
        <v>10622</v>
      </c>
      <c r="L129" s="473" t="s">
        <v>10624</v>
      </c>
      <c r="M129" s="474" t="s">
        <v>10626</v>
      </c>
    </row>
    <row r="130" spans="1:13">
      <c r="A130" s="465" t="s">
        <v>5145</v>
      </c>
      <c r="B130" s="465" t="s">
        <v>1213</v>
      </c>
      <c r="C130" s="466" t="s">
        <v>1212</v>
      </c>
      <c r="D130" s="466" t="s">
        <v>1214</v>
      </c>
      <c r="E130" s="466" t="s">
        <v>4948</v>
      </c>
      <c r="F130" s="465" t="s">
        <v>4949</v>
      </c>
      <c r="G130" s="465" t="s">
        <v>4950</v>
      </c>
      <c r="H130" s="465" t="s">
        <v>4951</v>
      </c>
      <c r="I130" s="465" t="s">
        <v>4952</v>
      </c>
      <c r="J130" s="465" t="s">
        <v>4959</v>
      </c>
      <c r="K130" s="465" t="s">
        <v>7401</v>
      </c>
      <c r="L130" s="465" t="s">
        <v>8665</v>
      </c>
      <c r="M130" s="467" t="s">
        <v>8051</v>
      </c>
    </row>
    <row r="131" spans="1:13">
      <c r="A131" s="461" t="s">
        <v>5167</v>
      </c>
      <c r="B131" s="461" t="s">
        <v>1213</v>
      </c>
      <c r="C131" s="468" t="s">
        <v>1212</v>
      </c>
      <c r="D131" s="468" t="s">
        <v>1214</v>
      </c>
      <c r="E131" s="468" t="s">
        <v>4948</v>
      </c>
      <c r="F131" s="461" t="s">
        <v>4949</v>
      </c>
      <c r="G131" s="461" t="s">
        <v>4950</v>
      </c>
      <c r="H131" s="461" t="s">
        <v>4951</v>
      </c>
      <c r="I131" s="461" t="s">
        <v>4952</v>
      </c>
      <c r="J131" s="461" t="s">
        <v>4959</v>
      </c>
      <c r="K131" s="471" t="s">
        <v>7401</v>
      </c>
      <c r="L131" s="461" t="s">
        <v>8665</v>
      </c>
      <c r="M131" s="469" t="s">
        <v>8051</v>
      </c>
    </row>
    <row r="132" spans="1:13">
      <c r="A132" s="472" t="s">
        <v>5143</v>
      </c>
      <c r="B132" s="465" t="s">
        <v>1213</v>
      </c>
      <c r="C132" s="466" t="s">
        <v>1212</v>
      </c>
      <c r="D132" s="466" t="s">
        <v>1214</v>
      </c>
      <c r="E132" s="466" t="s">
        <v>4948</v>
      </c>
      <c r="F132" s="465" t="s">
        <v>4949</v>
      </c>
      <c r="G132" s="465" t="s">
        <v>4950</v>
      </c>
      <c r="H132" s="465" t="s">
        <v>4951</v>
      </c>
      <c r="I132" s="465" t="s">
        <v>4952</v>
      </c>
      <c r="J132" s="465" t="s">
        <v>4953</v>
      </c>
      <c r="K132" s="465" t="s">
        <v>7401</v>
      </c>
      <c r="L132" s="465" t="s">
        <v>8665</v>
      </c>
      <c r="M132" s="467" t="s">
        <v>8051</v>
      </c>
    </row>
    <row r="133" spans="1:13">
      <c r="A133" s="461" t="s">
        <v>5166</v>
      </c>
      <c r="B133" s="461" t="s">
        <v>1213</v>
      </c>
      <c r="C133" s="468" t="s">
        <v>1212</v>
      </c>
      <c r="D133" s="468" t="s">
        <v>1214</v>
      </c>
      <c r="E133" s="468" t="s">
        <v>4948</v>
      </c>
      <c r="F133" s="461" t="s">
        <v>4949</v>
      </c>
      <c r="G133" s="461" t="s">
        <v>4950</v>
      </c>
      <c r="H133" s="461" t="s">
        <v>4951</v>
      </c>
      <c r="I133" s="461" t="s">
        <v>4952</v>
      </c>
      <c r="J133" s="461" t="s">
        <v>4959</v>
      </c>
      <c r="K133" s="461" t="s">
        <v>7401</v>
      </c>
      <c r="L133" s="461" t="s">
        <v>8665</v>
      </c>
      <c r="M133" s="469" t="s">
        <v>8051</v>
      </c>
    </row>
    <row r="134" spans="1:13">
      <c r="A134" s="465" t="s">
        <v>2294</v>
      </c>
      <c r="B134" s="465" t="s">
        <v>1083</v>
      </c>
      <c r="C134" s="466" t="s">
        <v>1082</v>
      </c>
      <c r="D134" s="466" t="s">
        <v>1084</v>
      </c>
      <c r="E134" s="466" t="s">
        <v>4733</v>
      </c>
      <c r="F134" s="465" t="s">
        <v>4734</v>
      </c>
      <c r="G134" s="465" t="s">
        <v>4735</v>
      </c>
      <c r="H134" s="465" t="s">
        <v>4736</v>
      </c>
      <c r="I134" s="465" t="s">
        <v>4737</v>
      </c>
      <c r="J134" s="465" t="s">
        <v>4828</v>
      </c>
      <c r="K134" s="465" t="s">
        <v>7371</v>
      </c>
      <c r="L134" s="465" t="s">
        <v>8634</v>
      </c>
      <c r="M134" s="467" t="s">
        <v>8021</v>
      </c>
    </row>
    <row r="135" spans="1:13">
      <c r="A135" s="461" t="s">
        <v>2441</v>
      </c>
      <c r="B135" s="461" t="s">
        <v>1083</v>
      </c>
      <c r="C135" s="468" t="s">
        <v>1082</v>
      </c>
      <c r="D135" s="468" t="s">
        <v>1084</v>
      </c>
      <c r="E135" s="468" t="s">
        <v>4733</v>
      </c>
      <c r="F135" s="461" t="s">
        <v>4734</v>
      </c>
      <c r="G135" s="461" t="s">
        <v>4735</v>
      </c>
      <c r="H135" s="461" t="s">
        <v>4736</v>
      </c>
      <c r="I135" s="461" t="s">
        <v>4737</v>
      </c>
      <c r="J135" s="461" t="s">
        <v>4828</v>
      </c>
      <c r="K135" s="461" t="s">
        <v>7371</v>
      </c>
      <c r="L135" s="461" t="s">
        <v>8634</v>
      </c>
      <c r="M135" s="469" t="s">
        <v>8021</v>
      </c>
    </row>
    <row r="136" spans="1:13">
      <c r="A136" s="465" t="s">
        <v>2293</v>
      </c>
      <c r="B136" s="465" t="s">
        <v>1083</v>
      </c>
      <c r="C136" s="466" t="s">
        <v>1082</v>
      </c>
      <c r="D136" s="466" t="s">
        <v>1084</v>
      </c>
      <c r="E136" s="466" t="s">
        <v>4733</v>
      </c>
      <c r="F136" s="465" t="s">
        <v>4734</v>
      </c>
      <c r="G136" s="465" t="s">
        <v>4735</v>
      </c>
      <c r="H136" s="465" t="s">
        <v>4736</v>
      </c>
      <c r="I136" s="465" t="s">
        <v>4737</v>
      </c>
      <c r="J136" s="465" t="s">
        <v>4828</v>
      </c>
      <c r="K136" s="465" t="s">
        <v>7371</v>
      </c>
      <c r="L136" s="465" t="s">
        <v>8634</v>
      </c>
      <c r="M136" s="467" t="s">
        <v>8021</v>
      </c>
    </row>
    <row r="137" spans="1:13">
      <c r="A137" s="461" t="s">
        <v>2438</v>
      </c>
      <c r="B137" s="461" t="s">
        <v>1083</v>
      </c>
      <c r="C137" s="468" t="s">
        <v>1082</v>
      </c>
      <c r="D137" s="468" t="s">
        <v>1084</v>
      </c>
      <c r="E137" s="468" t="s">
        <v>4733</v>
      </c>
      <c r="F137" s="461" t="s">
        <v>4734</v>
      </c>
      <c r="G137" s="461" t="s">
        <v>4735</v>
      </c>
      <c r="H137" s="461" t="s">
        <v>4736</v>
      </c>
      <c r="I137" s="461" t="s">
        <v>4737</v>
      </c>
      <c r="J137" s="461" t="s">
        <v>4828</v>
      </c>
      <c r="K137" s="461" t="s">
        <v>7371</v>
      </c>
      <c r="L137" s="461" t="s">
        <v>8634</v>
      </c>
      <c r="M137" s="469" t="s">
        <v>8021</v>
      </c>
    </row>
    <row r="138" spans="1:13">
      <c r="A138" s="475" t="s">
        <v>12161</v>
      </c>
      <c r="B138" s="475" t="s">
        <v>1207</v>
      </c>
      <c r="C138" s="475" t="s">
        <v>1206</v>
      </c>
      <c r="D138" s="475" t="s">
        <v>12243</v>
      </c>
      <c r="E138" s="475" t="s">
        <v>4921</v>
      </c>
      <c r="F138" s="475" t="s">
        <v>4922</v>
      </c>
      <c r="G138" s="475" t="s">
        <v>11967</v>
      </c>
      <c r="H138" s="475" t="s">
        <v>4924</v>
      </c>
      <c r="I138" s="475" t="s">
        <v>12244</v>
      </c>
      <c r="J138" s="475" t="s">
        <v>4926</v>
      </c>
      <c r="K138" s="475" t="s">
        <v>7397</v>
      </c>
      <c r="L138" s="475" t="s">
        <v>8661</v>
      </c>
      <c r="M138" s="476" t="s">
        <v>8017</v>
      </c>
    </row>
    <row r="139" spans="1:13">
      <c r="A139" s="461" t="s">
        <v>1412</v>
      </c>
      <c r="B139" s="461" t="s">
        <v>1397</v>
      </c>
      <c r="C139" s="468" t="s">
        <v>1396</v>
      </c>
      <c r="D139" s="468" t="s">
        <v>1398</v>
      </c>
      <c r="E139" s="468" t="s">
        <v>5086</v>
      </c>
      <c r="F139" s="461" t="s">
        <v>5087</v>
      </c>
      <c r="G139" s="461" t="s">
        <v>5088</v>
      </c>
      <c r="H139" s="461" t="s">
        <v>5089</v>
      </c>
      <c r="I139" s="461" t="s">
        <v>5090</v>
      </c>
      <c r="J139" s="461" t="s">
        <v>5091</v>
      </c>
      <c r="K139" s="461" t="s">
        <v>7420</v>
      </c>
      <c r="L139" s="461" t="s">
        <v>8683</v>
      </c>
      <c r="M139" s="469" t="s">
        <v>8044</v>
      </c>
    </row>
    <row r="140" spans="1:13">
      <c r="A140" s="465" t="s">
        <v>2464</v>
      </c>
      <c r="B140" s="465" t="s">
        <v>1397</v>
      </c>
      <c r="C140" s="466" t="s">
        <v>1396</v>
      </c>
      <c r="D140" s="466" t="s">
        <v>1398</v>
      </c>
      <c r="E140" s="466" t="s">
        <v>5086</v>
      </c>
      <c r="F140" s="465" t="s">
        <v>5087</v>
      </c>
      <c r="G140" s="465" t="s">
        <v>5088</v>
      </c>
      <c r="H140" s="465" t="s">
        <v>5089</v>
      </c>
      <c r="I140" s="465" t="s">
        <v>5090</v>
      </c>
      <c r="J140" s="465" t="s">
        <v>5091</v>
      </c>
      <c r="K140" s="465" t="s">
        <v>7420</v>
      </c>
      <c r="L140" s="465" t="s">
        <v>8683</v>
      </c>
      <c r="M140" s="467" t="s">
        <v>8044</v>
      </c>
    </row>
    <row r="141" spans="1:13">
      <c r="A141" s="461" t="s">
        <v>1411</v>
      </c>
      <c r="B141" s="461" t="s">
        <v>1397</v>
      </c>
      <c r="C141" s="468" t="s">
        <v>1396</v>
      </c>
      <c r="D141" s="468" t="s">
        <v>1398</v>
      </c>
      <c r="E141" s="468" t="s">
        <v>5086</v>
      </c>
      <c r="F141" s="461" t="s">
        <v>5087</v>
      </c>
      <c r="G141" s="461" t="s">
        <v>5088</v>
      </c>
      <c r="H141" s="461" t="s">
        <v>5089</v>
      </c>
      <c r="I141" s="461" t="s">
        <v>5090</v>
      </c>
      <c r="J141" s="461" t="s">
        <v>5091</v>
      </c>
      <c r="K141" s="461" t="s">
        <v>7420</v>
      </c>
      <c r="L141" s="461" t="s">
        <v>8683</v>
      </c>
      <c r="M141" s="469" t="s">
        <v>8044</v>
      </c>
    </row>
    <row r="142" spans="1:13">
      <c r="A142" s="465" t="s">
        <v>2463</v>
      </c>
      <c r="B142" s="465" t="s">
        <v>1397</v>
      </c>
      <c r="C142" s="466" t="s">
        <v>1396</v>
      </c>
      <c r="D142" s="466" t="s">
        <v>1398</v>
      </c>
      <c r="E142" s="466" t="s">
        <v>5086</v>
      </c>
      <c r="F142" s="465" t="s">
        <v>5087</v>
      </c>
      <c r="G142" s="465" t="s">
        <v>5088</v>
      </c>
      <c r="H142" s="465" t="s">
        <v>5089</v>
      </c>
      <c r="I142" s="465" t="s">
        <v>5090</v>
      </c>
      <c r="J142" s="465" t="s">
        <v>5091</v>
      </c>
      <c r="K142" s="465" t="s">
        <v>7420</v>
      </c>
      <c r="L142" s="465" t="s">
        <v>8683</v>
      </c>
      <c r="M142" s="467" t="s">
        <v>8044</v>
      </c>
    </row>
    <row r="143" spans="1:13">
      <c r="A143" s="461" t="s">
        <v>1506</v>
      </c>
      <c r="B143" s="461" t="s">
        <v>1207</v>
      </c>
      <c r="C143" s="468" t="s">
        <v>1206</v>
      </c>
      <c r="D143" s="468" t="s">
        <v>1208</v>
      </c>
      <c r="E143" s="468" t="s">
        <v>4921</v>
      </c>
      <c r="F143" s="461" t="s">
        <v>4922</v>
      </c>
      <c r="G143" s="461" t="s">
        <v>4923</v>
      </c>
      <c r="H143" s="461" t="s">
        <v>4924</v>
      </c>
      <c r="I143" s="461" t="s">
        <v>4925</v>
      </c>
      <c r="J143" s="461" t="s">
        <v>4926</v>
      </c>
      <c r="K143" s="461" t="s">
        <v>7397</v>
      </c>
      <c r="L143" s="461" t="s">
        <v>8661</v>
      </c>
      <c r="M143" s="469" t="s">
        <v>8017</v>
      </c>
    </row>
    <row r="144" spans="1:13">
      <c r="A144" s="465" t="s">
        <v>2372</v>
      </c>
      <c r="B144" s="465" t="s">
        <v>1207</v>
      </c>
      <c r="C144" s="466" t="s">
        <v>1206</v>
      </c>
      <c r="D144" s="466" t="s">
        <v>1208</v>
      </c>
      <c r="E144" s="466" t="s">
        <v>4921</v>
      </c>
      <c r="F144" s="465" t="s">
        <v>4922</v>
      </c>
      <c r="G144" s="465" t="s">
        <v>4923</v>
      </c>
      <c r="H144" s="465" t="s">
        <v>4924</v>
      </c>
      <c r="I144" s="465" t="s">
        <v>4925</v>
      </c>
      <c r="J144" s="465" t="s">
        <v>4926</v>
      </c>
      <c r="K144" s="465" t="s">
        <v>7397</v>
      </c>
      <c r="L144" s="465" t="s">
        <v>8661</v>
      </c>
      <c r="M144" s="467" t="s">
        <v>8017</v>
      </c>
    </row>
    <row r="145" spans="1:13">
      <c r="A145" s="461" t="s">
        <v>1501</v>
      </c>
      <c r="B145" s="461" t="s">
        <v>1503</v>
      </c>
      <c r="C145" s="468" t="s">
        <v>1502</v>
      </c>
      <c r="D145" s="468" t="s">
        <v>1504</v>
      </c>
      <c r="E145" s="468" t="s">
        <v>4368</v>
      </c>
      <c r="F145" s="461" t="s">
        <v>4369</v>
      </c>
      <c r="G145" s="461" t="s">
        <v>5119</v>
      </c>
      <c r="H145" s="461" t="s">
        <v>4371</v>
      </c>
      <c r="I145" s="461" t="s">
        <v>4372</v>
      </c>
      <c r="J145" s="461" t="s">
        <v>4373</v>
      </c>
      <c r="K145" s="461" t="s">
        <v>7359</v>
      </c>
      <c r="L145" s="461" t="s">
        <v>8575</v>
      </c>
      <c r="M145" s="469" t="s">
        <v>7929</v>
      </c>
    </row>
    <row r="146" spans="1:13">
      <c r="A146" s="465" t="s">
        <v>5168</v>
      </c>
      <c r="B146" s="465" t="s">
        <v>1503</v>
      </c>
      <c r="C146" s="466" t="s">
        <v>1502</v>
      </c>
      <c r="D146" s="466" t="s">
        <v>1504</v>
      </c>
      <c r="E146" s="466" t="s">
        <v>4368</v>
      </c>
      <c r="F146" s="465" t="s">
        <v>4369</v>
      </c>
      <c r="G146" s="465" t="s">
        <v>5119</v>
      </c>
      <c r="H146" s="465" t="s">
        <v>4371</v>
      </c>
      <c r="I146" s="465" t="s">
        <v>4372</v>
      </c>
      <c r="J146" s="465" t="s">
        <v>5169</v>
      </c>
      <c r="K146" s="465" t="s">
        <v>7359</v>
      </c>
      <c r="L146" s="465" t="s">
        <v>8575</v>
      </c>
      <c r="M146" s="467" t="s">
        <v>7929</v>
      </c>
    </row>
    <row r="147" spans="1:13">
      <c r="A147" s="461" t="s">
        <v>2330</v>
      </c>
      <c r="B147" s="461" t="s">
        <v>1207</v>
      </c>
      <c r="C147" s="468" t="s">
        <v>1206</v>
      </c>
      <c r="D147" s="468" t="s">
        <v>1208</v>
      </c>
      <c r="E147" s="468" t="s">
        <v>4921</v>
      </c>
      <c r="F147" s="461" t="s">
        <v>4922</v>
      </c>
      <c r="G147" s="461" t="s">
        <v>4923</v>
      </c>
      <c r="H147" s="461" t="s">
        <v>4924</v>
      </c>
      <c r="I147" s="461" t="s">
        <v>4925</v>
      </c>
      <c r="J147" s="461" t="s">
        <v>4926</v>
      </c>
      <c r="K147" s="461" t="s">
        <v>7397</v>
      </c>
      <c r="L147" s="461" t="s">
        <v>8661</v>
      </c>
      <c r="M147" s="469" t="s">
        <v>8017</v>
      </c>
    </row>
    <row r="148" spans="1:13">
      <c r="A148" s="465" t="s">
        <v>2478</v>
      </c>
      <c r="B148" s="465" t="s">
        <v>1207</v>
      </c>
      <c r="C148" s="466" t="s">
        <v>1206</v>
      </c>
      <c r="D148" s="466" t="s">
        <v>1208</v>
      </c>
      <c r="E148" s="466" t="s">
        <v>4921</v>
      </c>
      <c r="F148" s="465" t="s">
        <v>4922</v>
      </c>
      <c r="G148" s="465" t="s">
        <v>4923</v>
      </c>
      <c r="H148" s="465" t="s">
        <v>4924</v>
      </c>
      <c r="I148" s="465" t="s">
        <v>4925</v>
      </c>
      <c r="J148" s="465" t="s">
        <v>4926</v>
      </c>
      <c r="K148" s="465" t="s">
        <v>7397</v>
      </c>
      <c r="L148" s="465" t="s">
        <v>8661</v>
      </c>
      <c r="M148" s="467" t="s">
        <v>8017</v>
      </c>
    </row>
    <row r="149" spans="1:13">
      <c r="A149" s="473" t="s">
        <v>12046</v>
      </c>
      <c r="B149" s="473" t="s">
        <v>12143</v>
      </c>
      <c r="C149" s="473" t="s">
        <v>12144</v>
      </c>
      <c r="D149" s="473" t="s">
        <v>12145</v>
      </c>
      <c r="E149" s="473" t="s">
        <v>12146</v>
      </c>
      <c r="F149" s="473" t="s">
        <v>12147</v>
      </c>
      <c r="G149" s="473" t="s">
        <v>11510</v>
      </c>
      <c r="H149" s="473" t="s">
        <v>12149</v>
      </c>
      <c r="I149" s="473" t="s">
        <v>12150</v>
      </c>
      <c r="J149" s="473" t="s">
        <v>12151</v>
      </c>
      <c r="K149" s="473" t="s">
        <v>12152</v>
      </c>
      <c r="L149" s="473" t="s">
        <v>12153</v>
      </c>
      <c r="M149" s="474" t="s">
        <v>12154</v>
      </c>
    </row>
    <row r="150" spans="1:13">
      <c r="A150" s="475" t="s">
        <v>12217</v>
      </c>
      <c r="B150" s="475" t="s">
        <v>12143</v>
      </c>
      <c r="C150" s="475" t="s">
        <v>12144</v>
      </c>
      <c r="D150" s="475" t="s">
        <v>12145</v>
      </c>
      <c r="E150" s="475" t="s">
        <v>12146</v>
      </c>
      <c r="F150" s="475" t="s">
        <v>12147</v>
      </c>
      <c r="G150" s="475" t="s">
        <v>11510</v>
      </c>
      <c r="H150" s="475" t="s">
        <v>12149</v>
      </c>
      <c r="I150" s="475" t="s">
        <v>12150</v>
      </c>
      <c r="J150" s="475" t="s">
        <v>12151</v>
      </c>
      <c r="K150" s="475" t="s">
        <v>12152</v>
      </c>
      <c r="L150" s="475" t="s">
        <v>12153</v>
      </c>
      <c r="M150" s="476" t="s">
        <v>12154</v>
      </c>
    </row>
    <row r="151" spans="1:13">
      <c r="A151" s="473" t="s">
        <v>12048</v>
      </c>
      <c r="B151" s="473" t="s">
        <v>764</v>
      </c>
      <c r="C151" s="473" t="s">
        <v>763</v>
      </c>
      <c r="D151" s="473" t="s">
        <v>765</v>
      </c>
      <c r="E151" s="473" t="s">
        <v>4403</v>
      </c>
      <c r="F151" s="473" t="s">
        <v>4404</v>
      </c>
      <c r="G151" s="473" t="s">
        <v>12247</v>
      </c>
      <c r="H151" s="473" t="s">
        <v>4406</v>
      </c>
      <c r="I151" s="473" t="s">
        <v>4407</v>
      </c>
      <c r="J151" s="473" t="s">
        <v>4408</v>
      </c>
      <c r="K151" s="473" t="s">
        <v>7365</v>
      </c>
      <c r="L151" s="473" t="s">
        <v>8581</v>
      </c>
      <c r="M151" s="474" t="s">
        <v>7935</v>
      </c>
    </row>
    <row r="152" spans="1:13">
      <c r="A152" s="475" t="s">
        <v>12218</v>
      </c>
      <c r="B152" s="475" t="s">
        <v>764</v>
      </c>
      <c r="C152" s="475" t="s">
        <v>763</v>
      </c>
      <c r="D152" s="475" t="s">
        <v>765</v>
      </c>
      <c r="E152" s="475" t="s">
        <v>4403</v>
      </c>
      <c r="F152" s="475" t="s">
        <v>4404</v>
      </c>
      <c r="G152" s="475" t="s">
        <v>12247</v>
      </c>
      <c r="H152" s="475" t="s">
        <v>4406</v>
      </c>
      <c r="I152" s="475" t="s">
        <v>4407</v>
      </c>
      <c r="J152" s="475" t="s">
        <v>4408</v>
      </c>
      <c r="K152" s="475" t="s">
        <v>7365</v>
      </c>
      <c r="L152" s="475" t="s">
        <v>8581</v>
      </c>
      <c r="M152" s="476" t="s">
        <v>7935</v>
      </c>
    </row>
    <row r="153" spans="1:13">
      <c r="A153" s="461" t="s">
        <v>949</v>
      </c>
      <c r="B153" s="461" t="s">
        <v>359</v>
      </c>
      <c r="C153" s="468" t="s">
        <v>358</v>
      </c>
      <c r="D153" s="468" t="s">
        <v>360</v>
      </c>
      <c r="E153" s="468" t="s">
        <v>3654</v>
      </c>
      <c r="F153" s="461" t="s">
        <v>3655</v>
      </c>
      <c r="G153" s="461" t="s">
        <v>4017</v>
      </c>
      <c r="H153" s="461" t="s">
        <v>3654</v>
      </c>
      <c r="I153" s="461" t="s">
        <v>3656</v>
      </c>
      <c r="J153" s="461" t="s">
        <v>4726</v>
      </c>
      <c r="K153" s="471" t="s">
        <v>7252</v>
      </c>
      <c r="L153" s="461" t="s">
        <v>8468</v>
      </c>
      <c r="M153" s="469" t="s">
        <v>7877</v>
      </c>
    </row>
    <row r="154" spans="1:13">
      <c r="A154" s="475" t="s">
        <v>2367</v>
      </c>
      <c r="B154" s="475" t="s">
        <v>10604</v>
      </c>
      <c r="C154" s="475" t="s">
        <v>10608</v>
      </c>
      <c r="D154" s="475" t="s">
        <v>10610</v>
      </c>
      <c r="E154" s="475" t="s">
        <v>10612</v>
      </c>
      <c r="F154" s="475" t="s">
        <v>10614</v>
      </c>
      <c r="G154" s="475" t="s">
        <v>10616</v>
      </c>
      <c r="H154" s="475" t="s">
        <v>10606</v>
      </c>
      <c r="I154" s="475" t="s">
        <v>10618</v>
      </c>
      <c r="J154" s="475" t="s">
        <v>10620</v>
      </c>
      <c r="K154" s="475" t="s">
        <v>10622</v>
      </c>
      <c r="L154" s="475" t="s">
        <v>10624</v>
      </c>
      <c r="M154" s="476" t="s">
        <v>10626</v>
      </c>
    </row>
    <row r="155" spans="1:13">
      <c r="A155" s="461" t="s">
        <v>963</v>
      </c>
      <c r="B155" s="461" t="s">
        <v>359</v>
      </c>
      <c r="C155" s="468" t="s">
        <v>358</v>
      </c>
      <c r="D155" s="468" t="s">
        <v>360</v>
      </c>
      <c r="E155" s="468" t="s">
        <v>3654</v>
      </c>
      <c r="F155" s="461" t="s">
        <v>3655</v>
      </c>
      <c r="G155" s="461" t="s">
        <v>4017</v>
      </c>
      <c r="H155" s="461" t="s">
        <v>3654</v>
      </c>
      <c r="I155" s="461" t="s">
        <v>3656</v>
      </c>
      <c r="J155" s="461" t="s">
        <v>4757</v>
      </c>
      <c r="K155" s="471" t="s">
        <v>7252</v>
      </c>
      <c r="L155" s="461" t="s">
        <v>8468</v>
      </c>
      <c r="M155" s="469" t="s">
        <v>7877</v>
      </c>
    </row>
    <row r="156" spans="1:13">
      <c r="A156" s="465" t="s">
        <v>960</v>
      </c>
      <c r="B156" s="465" t="s">
        <v>961</v>
      </c>
      <c r="C156" s="466" t="s">
        <v>587</v>
      </c>
      <c r="D156" s="466" t="s">
        <v>962</v>
      </c>
      <c r="E156" s="466" t="s">
        <v>4744</v>
      </c>
      <c r="F156" s="465" t="s">
        <v>4001</v>
      </c>
      <c r="G156" s="465" t="s">
        <v>4002</v>
      </c>
      <c r="H156" s="465" t="s">
        <v>4745</v>
      </c>
      <c r="I156" s="465" t="s">
        <v>4025</v>
      </c>
      <c r="J156" s="465" t="s">
        <v>4005</v>
      </c>
      <c r="K156" s="470" t="s">
        <v>7373</v>
      </c>
      <c r="L156" s="465" t="s">
        <v>8636</v>
      </c>
      <c r="M156" s="467" t="s">
        <v>7879</v>
      </c>
    </row>
    <row r="157" spans="1:13">
      <c r="A157" s="461" t="s">
        <v>4756</v>
      </c>
      <c r="B157" s="461" t="s">
        <v>961</v>
      </c>
      <c r="C157" s="468" t="s">
        <v>587</v>
      </c>
      <c r="D157" s="468" t="s">
        <v>962</v>
      </c>
      <c r="E157" s="468" t="s">
        <v>4744</v>
      </c>
      <c r="F157" s="461" t="s">
        <v>4001</v>
      </c>
      <c r="G157" s="461" t="s">
        <v>4002</v>
      </c>
      <c r="H157" s="461" t="s">
        <v>4745</v>
      </c>
      <c r="I157" s="461" t="s">
        <v>4025</v>
      </c>
      <c r="J157" s="461" t="s">
        <v>4005</v>
      </c>
      <c r="K157" s="471" t="s">
        <v>7373</v>
      </c>
      <c r="L157" s="461" t="s">
        <v>8636</v>
      </c>
      <c r="M157" s="469" t="s">
        <v>7879</v>
      </c>
    </row>
    <row r="158" spans="1:13">
      <c r="A158" s="465" t="s">
        <v>4746</v>
      </c>
      <c r="B158" s="465" t="s">
        <v>4748</v>
      </c>
      <c r="C158" s="466" t="s">
        <v>4747</v>
      </c>
      <c r="D158" s="466" t="s">
        <v>4749</v>
      </c>
      <c r="E158" s="466" t="s">
        <v>4750</v>
      </c>
      <c r="F158" s="465" t="s">
        <v>4751</v>
      </c>
      <c r="G158" s="465" t="s">
        <v>4752</v>
      </c>
      <c r="H158" s="465" t="s">
        <v>4753</v>
      </c>
      <c r="I158" s="465" t="s">
        <v>4754</v>
      </c>
      <c r="J158" s="465" t="s">
        <v>4755</v>
      </c>
      <c r="K158" s="470" t="s">
        <v>7374</v>
      </c>
      <c r="L158" s="465" t="s">
        <v>8637</v>
      </c>
      <c r="M158" s="467" t="s">
        <v>7991</v>
      </c>
    </row>
    <row r="159" spans="1:13">
      <c r="A159" s="461" t="s">
        <v>971</v>
      </c>
      <c r="B159" s="461" t="s">
        <v>961</v>
      </c>
      <c r="C159" s="468" t="s">
        <v>587</v>
      </c>
      <c r="D159" s="468" t="s">
        <v>962</v>
      </c>
      <c r="E159" s="468" t="s">
        <v>4744</v>
      </c>
      <c r="F159" s="461" t="s">
        <v>4001</v>
      </c>
      <c r="G159" s="461" t="s">
        <v>4002</v>
      </c>
      <c r="H159" s="461" t="s">
        <v>4745</v>
      </c>
      <c r="I159" s="461" t="s">
        <v>4025</v>
      </c>
      <c r="J159" s="461" t="s">
        <v>4005</v>
      </c>
      <c r="K159" s="471" t="s">
        <v>7373</v>
      </c>
      <c r="L159" s="461" t="s">
        <v>8636</v>
      </c>
      <c r="M159" s="469" t="s">
        <v>7879</v>
      </c>
    </row>
    <row r="160" spans="1:13">
      <c r="A160" s="465" t="s">
        <v>969</v>
      </c>
      <c r="B160" s="465" t="s">
        <v>359</v>
      </c>
      <c r="C160" s="466" t="s">
        <v>358</v>
      </c>
      <c r="D160" s="466" t="s">
        <v>360</v>
      </c>
      <c r="E160" s="466" t="s">
        <v>3654</v>
      </c>
      <c r="F160" s="465" t="s">
        <v>3655</v>
      </c>
      <c r="G160" s="465" t="s">
        <v>4017</v>
      </c>
      <c r="H160" s="465" t="s">
        <v>3654</v>
      </c>
      <c r="I160" s="465" t="s">
        <v>3656</v>
      </c>
      <c r="J160" s="465" t="s">
        <v>4757</v>
      </c>
      <c r="K160" s="470" t="s">
        <v>7252</v>
      </c>
      <c r="L160" s="465" t="s">
        <v>8468</v>
      </c>
      <c r="M160" s="467" t="s">
        <v>7877</v>
      </c>
    </row>
    <row r="161" spans="1:13">
      <c r="A161" s="461" t="s">
        <v>975</v>
      </c>
      <c r="B161" s="461" t="s">
        <v>359</v>
      </c>
      <c r="C161" s="468" t="s">
        <v>358</v>
      </c>
      <c r="D161" s="468" t="s">
        <v>360</v>
      </c>
      <c r="E161" s="468" t="s">
        <v>3654</v>
      </c>
      <c r="F161" s="461" t="s">
        <v>3655</v>
      </c>
      <c r="G161" s="461" t="s">
        <v>4017</v>
      </c>
      <c r="H161" s="461" t="s">
        <v>3654</v>
      </c>
      <c r="I161" s="461" t="s">
        <v>3656</v>
      </c>
      <c r="J161" s="461" t="s">
        <v>4757</v>
      </c>
      <c r="K161" s="471" t="s">
        <v>7252</v>
      </c>
      <c r="L161" s="461" t="s">
        <v>8468</v>
      </c>
      <c r="M161" s="469" t="s">
        <v>7877</v>
      </c>
    </row>
    <row r="162" spans="1:13">
      <c r="A162" s="475" t="s">
        <v>10499</v>
      </c>
      <c r="B162" s="475" t="s">
        <v>10604</v>
      </c>
      <c r="C162" s="475" t="s">
        <v>10608</v>
      </c>
      <c r="D162" s="475" t="s">
        <v>10610</v>
      </c>
      <c r="E162" s="475" t="s">
        <v>10612</v>
      </c>
      <c r="F162" s="475" t="s">
        <v>10614</v>
      </c>
      <c r="G162" s="475" t="s">
        <v>10616</v>
      </c>
      <c r="H162" s="475" t="s">
        <v>10606</v>
      </c>
      <c r="I162" s="475" t="s">
        <v>10618</v>
      </c>
      <c r="J162" s="475" t="s">
        <v>10620</v>
      </c>
      <c r="K162" s="475" t="s">
        <v>10622</v>
      </c>
      <c r="L162" s="475" t="s">
        <v>10624</v>
      </c>
      <c r="M162" s="476" t="s">
        <v>10626</v>
      </c>
    </row>
    <row r="163" spans="1:13">
      <c r="A163" s="461" t="s">
        <v>964</v>
      </c>
      <c r="B163" s="461" t="s">
        <v>359</v>
      </c>
      <c r="C163" s="468" t="s">
        <v>358</v>
      </c>
      <c r="D163" s="468" t="s">
        <v>360</v>
      </c>
      <c r="E163" s="468" t="s">
        <v>3654</v>
      </c>
      <c r="F163" s="461" t="s">
        <v>3655</v>
      </c>
      <c r="G163" s="461" t="s">
        <v>4017</v>
      </c>
      <c r="H163" s="461" t="s">
        <v>3654</v>
      </c>
      <c r="I163" s="461" t="s">
        <v>3656</v>
      </c>
      <c r="J163" s="461" t="s">
        <v>4757</v>
      </c>
      <c r="K163" s="471" t="s">
        <v>7252</v>
      </c>
      <c r="L163" s="461" t="s">
        <v>8468</v>
      </c>
      <c r="M163" s="469" t="s">
        <v>7877</v>
      </c>
    </row>
    <row r="164" spans="1:13">
      <c r="A164" s="465" t="s">
        <v>972</v>
      </c>
      <c r="B164" s="465" t="s">
        <v>359</v>
      </c>
      <c r="C164" s="466" t="s">
        <v>358</v>
      </c>
      <c r="D164" s="466" t="s">
        <v>360</v>
      </c>
      <c r="E164" s="466" t="s">
        <v>3654</v>
      </c>
      <c r="F164" s="465" t="s">
        <v>3655</v>
      </c>
      <c r="G164" s="465" t="s">
        <v>4017</v>
      </c>
      <c r="H164" s="465" t="s">
        <v>3654</v>
      </c>
      <c r="I164" s="465" t="s">
        <v>3656</v>
      </c>
      <c r="J164" s="465" t="s">
        <v>4757</v>
      </c>
      <c r="K164" s="470" t="s">
        <v>7252</v>
      </c>
      <c r="L164" s="465" t="s">
        <v>8468</v>
      </c>
      <c r="M164" s="467" t="s">
        <v>7877</v>
      </c>
    </row>
    <row r="165" spans="1:13">
      <c r="A165" s="461" t="s">
        <v>968</v>
      </c>
      <c r="B165" s="461" t="s">
        <v>359</v>
      </c>
      <c r="C165" s="468" t="s">
        <v>358</v>
      </c>
      <c r="D165" s="468" t="s">
        <v>360</v>
      </c>
      <c r="E165" s="468" t="s">
        <v>3654</v>
      </c>
      <c r="F165" s="461" t="s">
        <v>3655</v>
      </c>
      <c r="G165" s="461" t="s">
        <v>4017</v>
      </c>
      <c r="H165" s="461" t="s">
        <v>3654</v>
      </c>
      <c r="I165" s="461" t="s">
        <v>3656</v>
      </c>
      <c r="J165" s="461" t="s">
        <v>4757</v>
      </c>
      <c r="K165" s="471" t="s">
        <v>7252</v>
      </c>
      <c r="L165" s="461" t="s">
        <v>8468</v>
      </c>
      <c r="M165" s="469" t="s">
        <v>7877</v>
      </c>
    </row>
    <row r="166" spans="1:13">
      <c r="A166" s="475" t="s">
        <v>10498</v>
      </c>
      <c r="B166" s="475" t="s">
        <v>10604</v>
      </c>
      <c r="C166" s="475" t="s">
        <v>10608</v>
      </c>
      <c r="D166" s="475" t="s">
        <v>10610</v>
      </c>
      <c r="E166" s="475" t="s">
        <v>10612</v>
      </c>
      <c r="F166" s="475" t="s">
        <v>10614</v>
      </c>
      <c r="G166" s="475" t="s">
        <v>10616</v>
      </c>
      <c r="H166" s="475" t="s">
        <v>10606</v>
      </c>
      <c r="I166" s="475" t="s">
        <v>10618</v>
      </c>
      <c r="J166" s="475" t="s">
        <v>10620</v>
      </c>
      <c r="K166" s="475" t="s">
        <v>10622</v>
      </c>
      <c r="L166" s="475" t="s">
        <v>10624</v>
      </c>
      <c r="M166" s="476" t="s">
        <v>10626</v>
      </c>
    </row>
    <row r="167" spans="1:13">
      <c r="A167" s="461" t="s">
        <v>974</v>
      </c>
      <c r="B167" s="461" t="s">
        <v>359</v>
      </c>
      <c r="C167" s="468" t="s">
        <v>358</v>
      </c>
      <c r="D167" s="468" t="s">
        <v>360</v>
      </c>
      <c r="E167" s="468" t="s">
        <v>3654</v>
      </c>
      <c r="F167" s="461" t="s">
        <v>3655</v>
      </c>
      <c r="G167" s="461" t="s">
        <v>4017</v>
      </c>
      <c r="H167" s="461" t="s">
        <v>3654</v>
      </c>
      <c r="I167" s="461" t="s">
        <v>3656</v>
      </c>
      <c r="J167" s="461" t="s">
        <v>4757</v>
      </c>
      <c r="K167" s="471" t="s">
        <v>7252</v>
      </c>
      <c r="L167" s="461" t="s">
        <v>8468</v>
      </c>
      <c r="M167" s="469" t="s">
        <v>7877</v>
      </c>
    </row>
    <row r="168" spans="1:13">
      <c r="A168" s="465" t="s">
        <v>966</v>
      </c>
      <c r="B168" s="465" t="s">
        <v>359</v>
      </c>
      <c r="C168" s="466" t="s">
        <v>358</v>
      </c>
      <c r="D168" s="466" t="s">
        <v>360</v>
      </c>
      <c r="E168" s="466" t="s">
        <v>3654</v>
      </c>
      <c r="F168" s="465" t="s">
        <v>3655</v>
      </c>
      <c r="G168" s="465" t="s">
        <v>4017</v>
      </c>
      <c r="H168" s="465" t="s">
        <v>3654</v>
      </c>
      <c r="I168" s="465" t="s">
        <v>3656</v>
      </c>
      <c r="J168" s="465" t="s">
        <v>4757</v>
      </c>
      <c r="K168" s="470" t="s">
        <v>7252</v>
      </c>
      <c r="L168" s="465" t="s">
        <v>8468</v>
      </c>
      <c r="M168" s="467" t="s">
        <v>7877</v>
      </c>
    </row>
    <row r="169" spans="1:13">
      <c r="A169" s="461" t="s">
        <v>973</v>
      </c>
      <c r="B169" s="461" t="s">
        <v>359</v>
      </c>
      <c r="C169" s="468" t="s">
        <v>358</v>
      </c>
      <c r="D169" s="468" t="s">
        <v>360</v>
      </c>
      <c r="E169" s="468" t="s">
        <v>3654</v>
      </c>
      <c r="F169" s="461" t="s">
        <v>3655</v>
      </c>
      <c r="G169" s="461" t="s">
        <v>4017</v>
      </c>
      <c r="H169" s="461" t="s">
        <v>3654</v>
      </c>
      <c r="I169" s="461" t="s">
        <v>3656</v>
      </c>
      <c r="J169" s="461" t="s">
        <v>4757</v>
      </c>
      <c r="K169" s="471" t="s">
        <v>7252</v>
      </c>
      <c r="L169" s="461" t="s">
        <v>8468</v>
      </c>
      <c r="M169" s="469" t="s">
        <v>7877</v>
      </c>
    </row>
    <row r="170" spans="1:13">
      <c r="A170" s="465" t="s">
        <v>1132</v>
      </c>
      <c r="B170" s="465" t="s">
        <v>359</v>
      </c>
      <c r="C170" s="466" t="s">
        <v>358</v>
      </c>
      <c r="D170" s="466" t="s">
        <v>360</v>
      </c>
      <c r="E170" s="466" t="s">
        <v>3654</v>
      </c>
      <c r="F170" s="465" t="s">
        <v>3655</v>
      </c>
      <c r="G170" s="465" t="s">
        <v>4017</v>
      </c>
      <c r="H170" s="465" t="s">
        <v>3654</v>
      </c>
      <c r="I170" s="465" t="s">
        <v>3656</v>
      </c>
      <c r="J170" s="465" t="s">
        <v>3657</v>
      </c>
      <c r="K170" s="465" t="s">
        <v>7252</v>
      </c>
      <c r="L170" s="465" t="s">
        <v>8468</v>
      </c>
      <c r="M170" s="467" t="s">
        <v>7877</v>
      </c>
    </row>
    <row r="171" spans="1:13">
      <c r="A171" s="461" t="s">
        <v>1139</v>
      </c>
      <c r="B171" s="461" t="s">
        <v>359</v>
      </c>
      <c r="C171" s="468" t="s">
        <v>358</v>
      </c>
      <c r="D171" s="468" t="s">
        <v>360</v>
      </c>
      <c r="E171" s="468" t="s">
        <v>3654</v>
      </c>
      <c r="F171" s="461" t="s">
        <v>3655</v>
      </c>
      <c r="G171" s="461" t="s">
        <v>4017</v>
      </c>
      <c r="H171" s="461" t="s">
        <v>3654</v>
      </c>
      <c r="I171" s="461" t="s">
        <v>3656</v>
      </c>
      <c r="J171" s="461" t="s">
        <v>3657</v>
      </c>
      <c r="K171" s="461" t="s">
        <v>7252</v>
      </c>
      <c r="L171" s="461" t="s">
        <v>8468</v>
      </c>
      <c r="M171" s="469" t="s">
        <v>7877</v>
      </c>
    </row>
    <row r="172" spans="1:13">
      <c r="A172" s="465" t="s">
        <v>1131</v>
      </c>
      <c r="B172" s="465" t="s">
        <v>359</v>
      </c>
      <c r="C172" s="466" t="s">
        <v>358</v>
      </c>
      <c r="D172" s="466" t="s">
        <v>360</v>
      </c>
      <c r="E172" s="466" t="s">
        <v>3654</v>
      </c>
      <c r="F172" s="465" t="s">
        <v>3655</v>
      </c>
      <c r="G172" s="465" t="s">
        <v>4017</v>
      </c>
      <c r="H172" s="465" t="s">
        <v>3654</v>
      </c>
      <c r="I172" s="465" t="s">
        <v>3656</v>
      </c>
      <c r="J172" s="465" t="s">
        <v>3657</v>
      </c>
      <c r="K172" s="465" t="s">
        <v>7252</v>
      </c>
      <c r="L172" s="465" t="s">
        <v>8468</v>
      </c>
      <c r="M172" s="467" t="s">
        <v>7877</v>
      </c>
    </row>
    <row r="173" spans="1:13">
      <c r="A173" s="472" t="s">
        <v>1134</v>
      </c>
      <c r="B173" s="461" t="s">
        <v>359</v>
      </c>
      <c r="C173" s="468" t="s">
        <v>358</v>
      </c>
      <c r="D173" s="468" t="s">
        <v>360</v>
      </c>
      <c r="E173" s="468" t="s">
        <v>3654</v>
      </c>
      <c r="F173" s="461" t="s">
        <v>3655</v>
      </c>
      <c r="G173" s="461" t="s">
        <v>4017</v>
      </c>
      <c r="H173" s="461" t="s">
        <v>3654</v>
      </c>
      <c r="I173" s="461" t="s">
        <v>3656</v>
      </c>
      <c r="J173" s="461" t="s">
        <v>3657</v>
      </c>
      <c r="K173" s="461" t="s">
        <v>7252</v>
      </c>
      <c r="L173" s="461" t="s">
        <v>8468</v>
      </c>
      <c r="M173" s="469" t="s">
        <v>7877</v>
      </c>
    </row>
    <row r="174" spans="1:13">
      <c r="A174" s="465" t="s">
        <v>1140</v>
      </c>
      <c r="B174" s="465" t="s">
        <v>359</v>
      </c>
      <c r="C174" s="466" t="s">
        <v>358</v>
      </c>
      <c r="D174" s="466" t="s">
        <v>360</v>
      </c>
      <c r="E174" s="466" t="s">
        <v>3654</v>
      </c>
      <c r="F174" s="465" t="s">
        <v>3655</v>
      </c>
      <c r="G174" s="465" t="s">
        <v>4017</v>
      </c>
      <c r="H174" s="465" t="s">
        <v>3654</v>
      </c>
      <c r="I174" s="465" t="s">
        <v>3656</v>
      </c>
      <c r="J174" s="465" t="s">
        <v>3657</v>
      </c>
      <c r="K174" s="465" t="s">
        <v>7252</v>
      </c>
      <c r="L174" s="465" t="s">
        <v>8468</v>
      </c>
      <c r="M174" s="467" t="s">
        <v>7877</v>
      </c>
    </row>
    <row r="175" spans="1:13">
      <c r="A175" s="473" t="s">
        <v>12274</v>
      </c>
      <c r="B175" s="461" t="s">
        <v>961</v>
      </c>
      <c r="C175" s="468" t="s">
        <v>587</v>
      </c>
      <c r="D175" s="468" t="s">
        <v>962</v>
      </c>
      <c r="E175" s="468" t="s">
        <v>4744</v>
      </c>
      <c r="F175" s="461" t="s">
        <v>4001</v>
      </c>
      <c r="G175" s="461" t="s">
        <v>4002</v>
      </c>
      <c r="H175" s="461" t="s">
        <v>4745</v>
      </c>
      <c r="I175" s="461" t="s">
        <v>4025</v>
      </c>
      <c r="J175" s="461" t="s">
        <v>4005</v>
      </c>
      <c r="K175" s="471" t="s">
        <v>7373</v>
      </c>
      <c r="L175" s="461" t="s">
        <v>8636</v>
      </c>
      <c r="M175" s="469" t="s">
        <v>7879</v>
      </c>
    </row>
    <row r="176" spans="1:13">
      <c r="A176" s="465" t="s">
        <v>1136</v>
      </c>
      <c r="B176" s="465" t="s">
        <v>359</v>
      </c>
      <c r="C176" s="466" t="s">
        <v>358</v>
      </c>
      <c r="D176" s="466" t="s">
        <v>360</v>
      </c>
      <c r="E176" s="466" t="s">
        <v>3654</v>
      </c>
      <c r="F176" s="465" t="s">
        <v>3655</v>
      </c>
      <c r="G176" s="465" t="s">
        <v>4017</v>
      </c>
      <c r="H176" s="465" t="s">
        <v>3654</v>
      </c>
      <c r="I176" s="465" t="s">
        <v>3656</v>
      </c>
      <c r="J176" s="465" t="s">
        <v>3657</v>
      </c>
      <c r="K176" s="465" t="s">
        <v>7252</v>
      </c>
      <c r="L176" s="465" t="s">
        <v>8468</v>
      </c>
      <c r="M176" s="467" t="s">
        <v>7877</v>
      </c>
    </row>
    <row r="177" spans="1:13">
      <c r="A177" s="461" t="s">
        <v>1141</v>
      </c>
      <c r="B177" s="461" t="s">
        <v>359</v>
      </c>
      <c r="C177" s="468" t="s">
        <v>358</v>
      </c>
      <c r="D177" s="468" t="s">
        <v>360</v>
      </c>
      <c r="E177" s="468" t="s">
        <v>3654</v>
      </c>
      <c r="F177" s="461" t="s">
        <v>3655</v>
      </c>
      <c r="G177" s="461" t="s">
        <v>4017</v>
      </c>
      <c r="H177" s="461" t="s">
        <v>3654</v>
      </c>
      <c r="I177" s="461" t="s">
        <v>3656</v>
      </c>
      <c r="J177" s="461" t="s">
        <v>3657</v>
      </c>
      <c r="K177" s="461" t="s">
        <v>7252</v>
      </c>
      <c r="L177" s="461" t="s">
        <v>8468</v>
      </c>
      <c r="M177" s="469" t="s">
        <v>7877</v>
      </c>
    </row>
    <row r="178" spans="1:13">
      <c r="A178" s="465" t="s">
        <v>1138</v>
      </c>
      <c r="B178" s="465" t="s">
        <v>359</v>
      </c>
      <c r="C178" s="466" t="s">
        <v>358</v>
      </c>
      <c r="D178" s="466" t="s">
        <v>360</v>
      </c>
      <c r="E178" s="466" t="s">
        <v>3654</v>
      </c>
      <c r="F178" s="465" t="s">
        <v>3655</v>
      </c>
      <c r="G178" s="465" t="s">
        <v>4017</v>
      </c>
      <c r="H178" s="465" t="s">
        <v>3654</v>
      </c>
      <c r="I178" s="465" t="s">
        <v>3656</v>
      </c>
      <c r="J178" s="465" t="s">
        <v>3657</v>
      </c>
      <c r="K178" s="465" t="s">
        <v>7252</v>
      </c>
      <c r="L178" s="465" t="s">
        <v>8468</v>
      </c>
      <c r="M178" s="467" t="s">
        <v>7877</v>
      </c>
    </row>
    <row r="179" spans="1:13">
      <c r="A179" s="461" t="s">
        <v>1236</v>
      </c>
      <c r="B179" s="461" t="s">
        <v>359</v>
      </c>
      <c r="C179" s="468" t="s">
        <v>358</v>
      </c>
      <c r="D179" s="468" t="s">
        <v>360</v>
      </c>
      <c r="E179" s="468" t="s">
        <v>3654</v>
      </c>
      <c r="F179" s="461" t="s">
        <v>4970</v>
      </c>
      <c r="G179" s="461" t="s">
        <v>4017</v>
      </c>
      <c r="H179" s="461" t="s">
        <v>3654</v>
      </c>
      <c r="I179" s="461" t="s">
        <v>3656</v>
      </c>
      <c r="J179" s="461" t="s">
        <v>3657</v>
      </c>
      <c r="K179" s="461" t="s">
        <v>7252</v>
      </c>
      <c r="L179" s="461" t="s">
        <v>8468</v>
      </c>
      <c r="M179" s="469" t="s">
        <v>7877</v>
      </c>
    </row>
    <row r="180" spans="1:13">
      <c r="A180" s="465" t="s">
        <v>1246</v>
      </c>
      <c r="B180" s="465" t="s">
        <v>359</v>
      </c>
      <c r="C180" s="466" t="s">
        <v>358</v>
      </c>
      <c r="D180" s="466" t="s">
        <v>360</v>
      </c>
      <c r="E180" s="466" t="s">
        <v>3654</v>
      </c>
      <c r="F180" s="465" t="s">
        <v>4970</v>
      </c>
      <c r="G180" s="465" t="s">
        <v>4017</v>
      </c>
      <c r="H180" s="465" t="s">
        <v>3654</v>
      </c>
      <c r="I180" s="465" t="s">
        <v>3656</v>
      </c>
      <c r="J180" s="465" t="s">
        <v>3657</v>
      </c>
      <c r="K180" s="465" t="s">
        <v>7252</v>
      </c>
      <c r="L180" s="465" t="s">
        <v>8468</v>
      </c>
      <c r="M180" s="467" t="s">
        <v>7877</v>
      </c>
    </row>
    <row r="181" spans="1:13">
      <c r="A181" s="461" t="s">
        <v>1238</v>
      </c>
      <c r="B181" s="461" t="s">
        <v>359</v>
      </c>
      <c r="C181" s="468" t="s">
        <v>358</v>
      </c>
      <c r="D181" s="468" t="s">
        <v>360</v>
      </c>
      <c r="E181" s="468" t="s">
        <v>3654</v>
      </c>
      <c r="F181" s="461" t="s">
        <v>4970</v>
      </c>
      <c r="G181" s="461" t="s">
        <v>4017</v>
      </c>
      <c r="H181" s="461" t="s">
        <v>3654</v>
      </c>
      <c r="I181" s="461" t="s">
        <v>3656</v>
      </c>
      <c r="J181" s="461" t="s">
        <v>3657</v>
      </c>
      <c r="K181" s="461" t="s">
        <v>7252</v>
      </c>
      <c r="L181" s="461" t="s">
        <v>8468</v>
      </c>
      <c r="M181" s="469" t="s">
        <v>7877</v>
      </c>
    </row>
    <row r="182" spans="1:13">
      <c r="A182" s="465" t="s">
        <v>1234</v>
      </c>
      <c r="B182" s="465" t="s">
        <v>359</v>
      </c>
      <c r="C182" s="466" t="s">
        <v>358</v>
      </c>
      <c r="D182" s="466" t="s">
        <v>360</v>
      </c>
      <c r="E182" s="466" t="s">
        <v>3654</v>
      </c>
      <c r="F182" s="465" t="s">
        <v>4970</v>
      </c>
      <c r="G182" s="465" t="s">
        <v>4017</v>
      </c>
      <c r="H182" s="465" t="s">
        <v>3654</v>
      </c>
      <c r="I182" s="465" t="s">
        <v>3656</v>
      </c>
      <c r="J182" s="465" t="s">
        <v>3657</v>
      </c>
      <c r="K182" s="465" t="s">
        <v>7252</v>
      </c>
      <c r="L182" s="465" t="s">
        <v>8468</v>
      </c>
      <c r="M182" s="467" t="s">
        <v>7877</v>
      </c>
    </row>
    <row r="183" spans="1:13">
      <c r="A183" s="461" t="s">
        <v>1248</v>
      </c>
      <c r="B183" s="461" t="s">
        <v>1250</v>
      </c>
      <c r="C183" s="468" t="s">
        <v>1249</v>
      </c>
      <c r="D183" s="468" t="s">
        <v>1251</v>
      </c>
      <c r="E183" s="468" t="s">
        <v>4977</v>
      </c>
      <c r="F183" s="461" t="s">
        <v>4978</v>
      </c>
      <c r="G183" s="461" t="s">
        <v>4979</v>
      </c>
      <c r="H183" s="461" t="s">
        <v>4980</v>
      </c>
      <c r="I183" s="461" t="s">
        <v>4981</v>
      </c>
      <c r="J183" s="461" t="s">
        <v>4982</v>
      </c>
      <c r="K183" s="461" t="s">
        <v>7404</v>
      </c>
      <c r="L183" s="461" t="s">
        <v>8668</v>
      </c>
      <c r="M183" s="469" t="s">
        <v>8025</v>
      </c>
    </row>
    <row r="184" spans="1:13">
      <c r="A184" s="465" t="s">
        <v>1257</v>
      </c>
      <c r="B184" s="465" t="s">
        <v>1250</v>
      </c>
      <c r="C184" s="466" t="s">
        <v>1249</v>
      </c>
      <c r="D184" s="466" t="s">
        <v>1251</v>
      </c>
      <c r="E184" s="466" t="s">
        <v>4977</v>
      </c>
      <c r="F184" s="465" t="s">
        <v>4978</v>
      </c>
      <c r="G184" s="465" t="s">
        <v>4979</v>
      </c>
      <c r="H184" s="465" t="s">
        <v>4980</v>
      </c>
      <c r="I184" s="465" t="s">
        <v>4981</v>
      </c>
      <c r="J184" s="465" t="s">
        <v>4982</v>
      </c>
      <c r="K184" s="465" t="s">
        <v>7404</v>
      </c>
      <c r="L184" s="465" t="s">
        <v>8668</v>
      </c>
      <c r="M184" s="467" t="s">
        <v>8025</v>
      </c>
    </row>
    <row r="185" spans="1:13">
      <c r="A185" s="461" t="s">
        <v>1252</v>
      </c>
      <c r="B185" s="461" t="s">
        <v>1255</v>
      </c>
      <c r="C185" s="468" t="s">
        <v>1254</v>
      </c>
      <c r="D185" s="468" t="s">
        <v>1256</v>
      </c>
      <c r="E185" s="468" t="s">
        <v>4983</v>
      </c>
      <c r="F185" s="461" t="s">
        <v>4984</v>
      </c>
      <c r="G185" s="461" t="s">
        <v>4985</v>
      </c>
      <c r="H185" s="461" t="s">
        <v>4986</v>
      </c>
      <c r="I185" s="461" t="s">
        <v>4987</v>
      </c>
      <c r="J185" s="461" t="s">
        <v>4988</v>
      </c>
      <c r="K185" s="461" t="s">
        <v>7405</v>
      </c>
      <c r="L185" s="461" t="s">
        <v>8669</v>
      </c>
      <c r="M185" s="469" t="s">
        <v>8026</v>
      </c>
    </row>
    <row r="186" spans="1:13">
      <c r="A186" s="465" t="s">
        <v>1241</v>
      </c>
      <c r="B186" s="465" t="s">
        <v>1244</v>
      </c>
      <c r="C186" s="466" t="s">
        <v>1243</v>
      </c>
      <c r="D186" s="466" t="s">
        <v>1245</v>
      </c>
      <c r="E186" s="466" t="s">
        <v>4971</v>
      </c>
      <c r="F186" s="465" t="s">
        <v>4972</v>
      </c>
      <c r="G186" s="465" t="s">
        <v>4973</v>
      </c>
      <c r="H186" s="465" t="s">
        <v>4974</v>
      </c>
      <c r="I186" s="465" t="s">
        <v>4975</v>
      </c>
      <c r="J186" s="465" t="s">
        <v>4976</v>
      </c>
      <c r="K186" s="465" t="s">
        <v>7403</v>
      </c>
      <c r="L186" s="465" t="s">
        <v>8667</v>
      </c>
      <c r="M186" s="467" t="s">
        <v>8024</v>
      </c>
    </row>
    <row r="187" spans="1:13">
      <c r="A187" s="461" t="s">
        <v>1240</v>
      </c>
      <c r="B187" s="461" t="s">
        <v>359</v>
      </c>
      <c r="C187" s="468" t="s">
        <v>358</v>
      </c>
      <c r="D187" s="468" t="s">
        <v>360</v>
      </c>
      <c r="E187" s="468" t="s">
        <v>3654</v>
      </c>
      <c r="F187" s="461" t="s">
        <v>4970</v>
      </c>
      <c r="G187" s="461" t="s">
        <v>4017</v>
      </c>
      <c r="H187" s="461" t="s">
        <v>3654</v>
      </c>
      <c r="I187" s="461" t="s">
        <v>3656</v>
      </c>
      <c r="J187" s="461" t="s">
        <v>3657</v>
      </c>
      <c r="K187" s="461" t="s">
        <v>7252</v>
      </c>
      <c r="L187" s="461" t="s">
        <v>8468</v>
      </c>
      <c r="M187" s="469" t="s">
        <v>7877</v>
      </c>
    </row>
    <row r="188" spans="1:13">
      <c r="A188" s="465" t="s">
        <v>1235</v>
      </c>
      <c r="B188" s="465" t="s">
        <v>359</v>
      </c>
      <c r="C188" s="466" t="s">
        <v>358</v>
      </c>
      <c r="D188" s="466" t="s">
        <v>360</v>
      </c>
      <c r="E188" s="466" t="s">
        <v>3654</v>
      </c>
      <c r="F188" s="465" t="s">
        <v>4970</v>
      </c>
      <c r="G188" s="465" t="s">
        <v>4017</v>
      </c>
      <c r="H188" s="465" t="s">
        <v>3654</v>
      </c>
      <c r="I188" s="465" t="s">
        <v>3656</v>
      </c>
      <c r="J188" s="465" t="s">
        <v>3657</v>
      </c>
      <c r="K188" s="465" t="s">
        <v>7252</v>
      </c>
      <c r="L188" s="465" t="s">
        <v>8468</v>
      </c>
      <c r="M188" s="467" t="s">
        <v>7877</v>
      </c>
    </row>
    <row r="189" spans="1:13">
      <c r="A189" s="461" t="s">
        <v>1419</v>
      </c>
      <c r="B189" s="461" t="s">
        <v>1418</v>
      </c>
      <c r="C189" s="468" t="s">
        <v>706</v>
      </c>
      <c r="D189" s="468" t="s">
        <v>1280</v>
      </c>
      <c r="E189" s="468" t="s">
        <v>4379</v>
      </c>
      <c r="F189" s="461" t="s">
        <v>4380</v>
      </c>
      <c r="G189" s="461" t="s">
        <v>4760</v>
      </c>
      <c r="H189" s="461" t="s">
        <v>4382</v>
      </c>
      <c r="I189" s="461" t="s">
        <v>5018</v>
      </c>
      <c r="J189" s="461" t="s">
        <v>4384</v>
      </c>
      <c r="K189" s="461" t="s">
        <v>7361</v>
      </c>
      <c r="L189" s="461" t="s">
        <v>8673</v>
      </c>
      <c r="M189" s="469" t="s">
        <v>7931</v>
      </c>
    </row>
    <row r="190" spans="1:13">
      <c r="A190" s="465" t="s">
        <v>1421</v>
      </c>
      <c r="B190" s="465" t="s">
        <v>1418</v>
      </c>
      <c r="C190" s="466" t="s">
        <v>1278</v>
      </c>
      <c r="D190" s="466" t="s">
        <v>1280</v>
      </c>
      <c r="E190" s="466" t="s">
        <v>5111</v>
      </c>
      <c r="F190" s="465" t="s">
        <v>5015</v>
      </c>
      <c r="G190" s="465" t="s">
        <v>5016</v>
      </c>
      <c r="H190" s="465" t="s">
        <v>5112</v>
      </c>
      <c r="I190" s="465" t="s">
        <v>5018</v>
      </c>
      <c r="J190" s="465" t="s">
        <v>5006</v>
      </c>
      <c r="K190" s="470" t="s">
        <v>7410</v>
      </c>
      <c r="L190" s="465" t="s">
        <v>8673</v>
      </c>
      <c r="M190" s="467" t="s">
        <v>8031</v>
      </c>
    </row>
    <row r="191" spans="1:13">
      <c r="A191" s="473" t="s">
        <v>2100</v>
      </c>
      <c r="B191" s="473" t="s">
        <v>10604</v>
      </c>
      <c r="C191" s="473" t="s">
        <v>10608</v>
      </c>
      <c r="D191" s="473" t="s">
        <v>10610</v>
      </c>
      <c r="E191" s="473" t="s">
        <v>10612</v>
      </c>
      <c r="F191" s="473" t="s">
        <v>10614</v>
      </c>
      <c r="G191" s="473" t="s">
        <v>10616</v>
      </c>
      <c r="H191" s="473" t="s">
        <v>10606</v>
      </c>
      <c r="I191" s="473" t="s">
        <v>10618</v>
      </c>
      <c r="J191" s="473" t="s">
        <v>10620</v>
      </c>
      <c r="K191" s="473" t="s">
        <v>10622</v>
      </c>
      <c r="L191" s="473" t="s">
        <v>10624</v>
      </c>
      <c r="M191" s="474" t="s">
        <v>10626</v>
      </c>
    </row>
    <row r="192" spans="1:13">
      <c r="A192" s="465" t="s">
        <v>1442</v>
      </c>
      <c r="B192" s="465" t="s">
        <v>1427</v>
      </c>
      <c r="C192" s="466" t="s">
        <v>1298</v>
      </c>
      <c r="D192" s="466" t="s">
        <v>1428</v>
      </c>
      <c r="E192" s="466" t="s">
        <v>5126</v>
      </c>
      <c r="F192" s="465" t="s">
        <v>5114</v>
      </c>
      <c r="G192" s="465" t="s">
        <v>4002</v>
      </c>
      <c r="H192" s="465" t="s">
        <v>5115</v>
      </c>
      <c r="I192" s="465" t="s">
        <v>5127</v>
      </c>
      <c r="J192" s="465" t="s">
        <v>5117</v>
      </c>
      <c r="K192" s="465" t="s">
        <v>7426</v>
      </c>
      <c r="L192" s="465" t="s">
        <v>8686</v>
      </c>
      <c r="M192" s="467" t="s">
        <v>8047</v>
      </c>
    </row>
    <row r="193" spans="1:13">
      <c r="A193" s="461" t="s">
        <v>1514</v>
      </c>
      <c r="B193" s="461" t="s">
        <v>1101</v>
      </c>
      <c r="C193" s="468" t="s">
        <v>1100</v>
      </c>
      <c r="D193" s="468" t="s">
        <v>1102</v>
      </c>
      <c r="E193" s="468" t="s">
        <v>4847</v>
      </c>
      <c r="F193" s="461" t="s">
        <v>4848</v>
      </c>
      <c r="G193" s="461" t="s">
        <v>4849</v>
      </c>
      <c r="H193" s="461" t="s">
        <v>4847</v>
      </c>
      <c r="I193" s="461" t="s">
        <v>4850</v>
      </c>
      <c r="J193" s="461" t="s">
        <v>4851</v>
      </c>
      <c r="K193" s="461" t="s">
        <v>7386</v>
      </c>
      <c r="L193" s="461" t="s">
        <v>8649</v>
      </c>
      <c r="M193" s="469" t="s">
        <v>8006</v>
      </c>
    </row>
    <row r="194" spans="1:13">
      <c r="A194" s="465" t="s">
        <v>5188</v>
      </c>
      <c r="B194" s="465" t="s">
        <v>1101</v>
      </c>
      <c r="C194" s="466" t="s">
        <v>1100</v>
      </c>
      <c r="D194" s="466" t="s">
        <v>1102</v>
      </c>
      <c r="E194" s="466" t="s">
        <v>4847</v>
      </c>
      <c r="F194" s="465" t="s">
        <v>4848</v>
      </c>
      <c r="G194" s="465" t="s">
        <v>4849</v>
      </c>
      <c r="H194" s="465" t="s">
        <v>4847</v>
      </c>
      <c r="I194" s="465" t="s">
        <v>4850</v>
      </c>
      <c r="J194" s="465" t="s">
        <v>4957</v>
      </c>
      <c r="K194" s="465" t="s">
        <v>7386</v>
      </c>
      <c r="L194" s="465" t="s">
        <v>8649</v>
      </c>
      <c r="M194" s="467" t="s">
        <v>8006</v>
      </c>
    </row>
    <row r="195" spans="1:13">
      <c r="A195" s="461" t="s">
        <v>1515</v>
      </c>
      <c r="B195" s="461" t="s">
        <v>1503</v>
      </c>
      <c r="C195" s="468" t="s">
        <v>1502</v>
      </c>
      <c r="D195" s="468" t="s">
        <v>1504</v>
      </c>
      <c r="E195" s="468" t="s">
        <v>4368</v>
      </c>
      <c r="F195" s="461" t="s">
        <v>4369</v>
      </c>
      <c r="G195" s="461" t="s">
        <v>5119</v>
      </c>
      <c r="H195" s="461" t="s">
        <v>4371</v>
      </c>
      <c r="I195" s="461" t="s">
        <v>4372</v>
      </c>
      <c r="J195" s="461" t="s">
        <v>4373</v>
      </c>
      <c r="K195" s="461" t="s">
        <v>7359</v>
      </c>
      <c r="L195" s="461" t="s">
        <v>8575</v>
      </c>
      <c r="M195" s="469" t="s">
        <v>7929</v>
      </c>
    </row>
    <row r="196" spans="1:13">
      <c r="A196" s="465" t="s">
        <v>5189</v>
      </c>
      <c r="B196" s="465" t="s">
        <v>1503</v>
      </c>
      <c r="C196" s="466" t="s">
        <v>1502</v>
      </c>
      <c r="D196" s="466" t="s">
        <v>1504</v>
      </c>
      <c r="E196" s="466" t="s">
        <v>4368</v>
      </c>
      <c r="F196" s="465" t="s">
        <v>4369</v>
      </c>
      <c r="G196" s="465" t="s">
        <v>5119</v>
      </c>
      <c r="H196" s="465" t="s">
        <v>4371</v>
      </c>
      <c r="I196" s="465" t="s">
        <v>4372</v>
      </c>
      <c r="J196" s="465" t="s">
        <v>5169</v>
      </c>
      <c r="K196" s="465" t="s">
        <v>7359</v>
      </c>
      <c r="L196" s="465" t="s">
        <v>8575</v>
      </c>
      <c r="M196" s="467" t="s">
        <v>7929</v>
      </c>
    </row>
    <row r="197" spans="1:13">
      <c r="A197" s="461" t="s">
        <v>1516</v>
      </c>
      <c r="B197" s="461" t="s">
        <v>1503</v>
      </c>
      <c r="C197" s="468" t="s">
        <v>1502</v>
      </c>
      <c r="D197" s="468" t="s">
        <v>1504</v>
      </c>
      <c r="E197" s="468" t="s">
        <v>4368</v>
      </c>
      <c r="F197" s="461" t="s">
        <v>4369</v>
      </c>
      <c r="G197" s="461" t="s">
        <v>5119</v>
      </c>
      <c r="H197" s="461" t="s">
        <v>4371</v>
      </c>
      <c r="I197" s="461" t="s">
        <v>4372</v>
      </c>
      <c r="J197" s="461" t="s">
        <v>4373</v>
      </c>
      <c r="K197" s="461" t="s">
        <v>7359</v>
      </c>
      <c r="L197" s="461" t="s">
        <v>8575</v>
      </c>
      <c r="M197" s="469" t="s">
        <v>7929</v>
      </c>
    </row>
    <row r="198" spans="1:13">
      <c r="A198" s="465" t="s">
        <v>2373</v>
      </c>
      <c r="B198" s="465" t="s">
        <v>1503</v>
      </c>
      <c r="C198" s="466" t="s">
        <v>1502</v>
      </c>
      <c r="D198" s="466" t="s">
        <v>1504</v>
      </c>
      <c r="E198" s="466" t="s">
        <v>4368</v>
      </c>
      <c r="F198" s="465" t="s">
        <v>4369</v>
      </c>
      <c r="G198" s="465" t="s">
        <v>5119</v>
      </c>
      <c r="H198" s="465" t="s">
        <v>4371</v>
      </c>
      <c r="I198" s="465" t="s">
        <v>4372</v>
      </c>
      <c r="J198" s="465" t="s">
        <v>4373</v>
      </c>
      <c r="K198" s="465" t="s">
        <v>7359</v>
      </c>
      <c r="L198" s="465" t="s">
        <v>8575</v>
      </c>
      <c r="M198" s="467" t="s">
        <v>7929</v>
      </c>
    </row>
    <row r="199" spans="1:13">
      <c r="A199" s="461" t="s">
        <v>1227</v>
      </c>
      <c r="B199" s="461" t="s">
        <v>764</v>
      </c>
      <c r="C199" s="468" t="s">
        <v>763</v>
      </c>
      <c r="D199" s="468" t="s">
        <v>1093</v>
      </c>
      <c r="E199" s="468" t="s">
        <v>4403</v>
      </c>
      <c r="F199" s="461" t="s">
        <v>4404</v>
      </c>
      <c r="G199" s="461" t="s">
        <v>4837</v>
      </c>
      <c r="H199" s="461" t="s">
        <v>4406</v>
      </c>
      <c r="I199" s="461" t="s">
        <v>4407</v>
      </c>
      <c r="J199" s="461" t="s">
        <v>4408</v>
      </c>
      <c r="K199" s="461" t="s">
        <v>7365</v>
      </c>
      <c r="L199" s="461" t="s">
        <v>8581</v>
      </c>
      <c r="M199" s="469" t="s">
        <v>7935</v>
      </c>
    </row>
    <row r="200" spans="1:13">
      <c r="A200" s="465" t="s">
        <v>4969</v>
      </c>
      <c r="B200" s="465" t="s">
        <v>764</v>
      </c>
      <c r="C200" s="466" t="s">
        <v>763</v>
      </c>
      <c r="D200" s="466" t="s">
        <v>1093</v>
      </c>
      <c r="E200" s="466" t="s">
        <v>4403</v>
      </c>
      <c r="F200" s="465" t="s">
        <v>4404</v>
      </c>
      <c r="G200" s="465" t="s">
        <v>4837</v>
      </c>
      <c r="H200" s="465" t="s">
        <v>4406</v>
      </c>
      <c r="I200" s="465" t="s">
        <v>4407</v>
      </c>
      <c r="J200" s="465" t="s">
        <v>4867</v>
      </c>
      <c r="K200" s="465" t="s">
        <v>7365</v>
      </c>
      <c r="L200" s="465" t="s">
        <v>8581</v>
      </c>
      <c r="M200" s="467" t="s">
        <v>7935</v>
      </c>
    </row>
    <row r="201" spans="1:13">
      <c r="A201" s="461" t="s">
        <v>1124</v>
      </c>
      <c r="B201" s="461" t="s">
        <v>952</v>
      </c>
      <c r="C201" s="468" t="s">
        <v>938</v>
      </c>
      <c r="D201" s="468" t="s">
        <v>953</v>
      </c>
      <c r="E201" s="468" t="s">
        <v>4727</v>
      </c>
      <c r="F201" s="461" t="s">
        <v>4728</v>
      </c>
      <c r="G201" s="461" t="s">
        <v>4729</v>
      </c>
      <c r="H201" s="461" t="s">
        <v>4730</v>
      </c>
      <c r="I201" s="461" t="s">
        <v>4731</v>
      </c>
      <c r="J201" s="461" t="s">
        <v>4805</v>
      </c>
      <c r="K201" s="461" t="s">
        <v>7370</v>
      </c>
      <c r="L201" s="461" t="s">
        <v>8633</v>
      </c>
      <c r="M201" s="469" t="s">
        <v>7988</v>
      </c>
    </row>
    <row r="202" spans="1:13">
      <c r="A202" s="465" t="s">
        <v>2431</v>
      </c>
      <c r="B202" s="465" t="s">
        <v>952</v>
      </c>
      <c r="C202" s="466" t="s">
        <v>938</v>
      </c>
      <c r="D202" s="466" t="s">
        <v>953</v>
      </c>
      <c r="E202" s="466" t="s">
        <v>4727</v>
      </c>
      <c r="F202" s="465" t="s">
        <v>4728</v>
      </c>
      <c r="G202" s="465" t="s">
        <v>4729</v>
      </c>
      <c r="H202" s="465" t="s">
        <v>4730</v>
      </c>
      <c r="I202" s="465" t="s">
        <v>4731</v>
      </c>
      <c r="J202" s="465" t="s">
        <v>4805</v>
      </c>
      <c r="K202" s="465" t="s">
        <v>7370</v>
      </c>
      <c r="L202" s="465" t="s">
        <v>8633</v>
      </c>
      <c r="M202" s="467" t="s">
        <v>7988</v>
      </c>
    </row>
    <row r="203" spans="1:13">
      <c r="A203" s="461" t="s">
        <v>1524</v>
      </c>
      <c r="B203" s="461" t="s">
        <v>1526</v>
      </c>
      <c r="C203" s="468" t="s">
        <v>1525</v>
      </c>
      <c r="D203" s="468" t="s">
        <v>1527</v>
      </c>
      <c r="E203" s="468" t="s">
        <v>5196</v>
      </c>
      <c r="F203" s="461" t="s">
        <v>5197</v>
      </c>
      <c r="G203" s="461" t="s">
        <v>5198</v>
      </c>
      <c r="H203" s="461" t="s">
        <v>5199</v>
      </c>
      <c r="I203" s="461" t="s">
        <v>5200</v>
      </c>
      <c r="J203" s="461" t="s">
        <v>5201</v>
      </c>
      <c r="K203" s="461" t="s">
        <v>7435</v>
      </c>
      <c r="L203" s="461" t="s">
        <v>8696</v>
      </c>
      <c r="M203" s="469" t="s">
        <v>8051</v>
      </c>
    </row>
    <row r="204" spans="1:13">
      <c r="A204" s="475" t="s">
        <v>12026</v>
      </c>
      <c r="B204" s="475" t="s">
        <v>764</v>
      </c>
      <c r="C204" s="475" t="s">
        <v>763</v>
      </c>
      <c r="D204" s="475" t="s">
        <v>765</v>
      </c>
      <c r="E204" s="475" t="s">
        <v>4403</v>
      </c>
      <c r="F204" s="475" t="s">
        <v>4404</v>
      </c>
      <c r="G204" s="475" t="s">
        <v>12247</v>
      </c>
      <c r="H204" s="475" t="s">
        <v>4406</v>
      </c>
      <c r="I204" s="475" t="s">
        <v>4407</v>
      </c>
      <c r="J204" s="475" t="s">
        <v>4408</v>
      </c>
      <c r="K204" s="475" t="s">
        <v>7365</v>
      </c>
      <c r="L204" s="475" t="s">
        <v>8581</v>
      </c>
      <c r="M204" s="476" t="s">
        <v>7935</v>
      </c>
    </row>
    <row r="205" spans="1:13">
      <c r="A205" s="473" t="s">
        <v>12202</v>
      </c>
      <c r="B205" s="473" t="s">
        <v>764</v>
      </c>
      <c r="C205" s="473" t="s">
        <v>763</v>
      </c>
      <c r="D205" s="473" t="s">
        <v>765</v>
      </c>
      <c r="E205" s="473" t="s">
        <v>4403</v>
      </c>
      <c r="F205" s="473" t="s">
        <v>4404</v>
      </c>
      <c r="G205" s="473" t="s">
        <v>12247</v>
      </c>
      <c r="H205" s="473" t="s">
        <v>4406</v>
      </c>
      <c r="I205" s="473" t="s">
        <v>4407</v>
      </c>
      <c r="J205" s="473" t="s">
        <v>4408</v>
      </c>
      <c r="K205" s="473" t="s">
        <v>7365</v>
      </c>
      <c r="L205" s="473" t="s">
        <v>8581</v>
      </c>
      <c r="M205" s="474" t="s">
        <v>7935</v>
      </c>
    </row>
    <row r="206" spans="1:13">
      <c r="A206" s="465" t="s">
        <v>1109</v>
      </c>
      <c r="B206" s="465" t="s">
        <v>1096</v>
      </c>
      <c r="C206" s="466" t="s">
        <v>1095</v>
      </c>
      <c r="D206" s="466" t="s">
        <v>1097</v>
      </c>
      <c r="E206" s="466" t="s">
        <v>4842</v>
      </c>
      <c r="F206" s="465" t="s">
        <v>4843</v>
      </c>
      <c r="G206" s="465" t="s">
        <v>4844</v>
      </c>
      <c r="H206" s="465" t="s">
        <v>4842</v>
      </c>
      <c r="I206" s="465" t="s">
        <v>4845</v>
      </c>
      <c r="J206" s="465" t="s">
        <v>4846</v>
      </c>
      <c r="K206" s="465" t="s">
        <v>7385</v>
      </c>
      <c r="L206" s="465" t="s">
        <v>8648</v>
      </c>
      <c r="M206" s="467" t="s">
        <v>8005</v>
      </c>
    </row>
    <row r="207" spans="1:13">
      <c r="A207" s="461" t="s">
        <v>2427</v>
      </c>
      <c r="B207" s="461" t="s">
        <v>1096</v>
      </c>
      <c r="C207" s="468" t="s">
        <v>1095</v>
      </c>
      <c r="D207" s="468" t="s">
        <v>1097</v>
      </c>
      <c r="E207" s="468" t="s">
        <v>4842</v>
      </c>
      <c r="F207" s="461" t="s">
        <v>4843</v>
      </c>
      <c r="G207" s="461" t="s">
        <v>4844</v>
      </c>
      <c r="H207" s="461" t="s">
        <v>4842</v>
      </c>
      <c r="I207" s="461" t="s">
        <v>4845</v>
      </c>
      <c r="J207" s="461" t="s">
        <v>4846</v>
      </c>
      <c r="K207" s="461" t="s">
        <v>7385</v>
      </c>
      <c r="L207" s="461" t="s">
        <v>8648</v>
      </c>
      <c r="M207" s="469" t="s">
        <v>8005</v>
      </c>
    </row>
    <row r="208" spans="1:13">
      <c r="A208" s="465" t="s">
        <v>1094</v>
      </c>
      <c r="B208" s="465" t="s">
        <v>1096</v>
      </c>
      <c r="C208" s="466" t="s">
        <v>1095</v>
      </c>
      <c r="D208" s="466" t="s">
        <v>1097</v>
      </c>
      <c r="E208" s="466" t="s">
        <v>4842</v>
      </c>
      <c r="F208" s="465" t="s">
        <v>4843</v>
      </c>
      <c r="G208" s="465" t="s">
        <v>4844</v>
      </c>
      <c r="H208" s="465" t="s">
        <v>4842</v>
      </c>
      <c r="I208" s="465" t="s">
        <v>4845</v>
      </c>
      <c r="J208" s="465" t="s">
        <v>4846</v>
      </c>
      <c r="K208" s="465" t="s">
        <v>7385</v>
      </c>
      <c r="L208" s="465" t="s">
        <v>8648</v>
      </c>
      <c r="M208" s="467" t="s">
        <v>8005</v>
      </c>
    </row>
    <row r="209" spans="1:13">
      <c r="A209" s="461" t="s">
        <v>4860</v>
      </c>
      <c r="B209" s="461" t="s">
        <v>1096</v>
      </c>
      <c r="C209" s="468" t="s">
        <v>1095</v>
      </c>
      <c r="D209" s="468" t="s">
        <v>1097</v>
      </c>
      <c r="E209" s="468" t="s">
        <v>4842</v>
      </c>
      <c r="F209" s="461" t="s">
        <v>4843</v>
      </c>
      <c r="G209" s="461" t="s">
        <v>4844</v>
      </c>
      <c r="H209" s="461" t="s">
        <v>4842</v>
      </c>
      <c r="I209" s="461" t="s">
        <v>4845</v>
      </c>
      <c r="J209" s="461" t="s">
        <v>4861</v>
      </c>
      <c r="K209" s="461" t="s">
        <v>7385</v>
      </c>
      <c r="L209" s="461" t="s">
        <v>8648</v>
      </c>
      <c r="M209" s="469" t="s">
        <v>8005</v>
      </c>
    </row>
    <row r="210" spans="1:13">
      <c r="A210" s="465" t="s">
        <v>1209</v>
      </c>
      <c r="B210" s="465" t="s">
        <v>1101</v>
      </c>
      <c r="C210" s="466" t="s">
        <v>1100</v>
      </c>
      <c r="D210" s="466" t="s">
        <v>1102</v>
      </c>
      <c r="E210" s="466" t="s">
        <v>4847</v>
      </c>
      <c r="F210" s="465" t="s">
        <v>4848</v>
      </c>
      <c r="G210" s="465" t="s">
        <v>4849</v>
      </c>
      <c r="H210" s="465" t="s">
        <v>4847</v>
      </c>
      <c r="I210" s="465" t="s">
        <v>4850</v>
      </c>
      <c r="J210" s="465" t="s">
        <v>4851</v>
      </c>
      <c r="K210" s="465" t="s">
        <v>7386</v>
      </c>
      <c r="L210" s="465" t="s">
        <v>8649</v>
      </c>
      <c r="M210" s="467" t="s">
        <v>8021</v>
      </c>
    </row>
    <row r="211" spans="1:13">
      <c r="A211" s="461" t="s">
        <v>2439</v>
      </c>
      <c r="B211" s="461" t="s">
        <v>1101</v>
      </c>
      <c r="C211" s="468" t="s">
        <v>1100</v>
      </c>
      <c r="D211" s="468" t="s">
        <v>1102</v>
      </c>
      <c r="E211" s="468" t="s">
        <v>4847</v>
      </c>
      <c r="F211" s="461" t="s">
        <v>4848</v>
      </c>
      <c r="G211" s="461" t="s">
        <v>4849</v>
      </c>
      <c r="H211" s="461" t="s">
        <v>4847</v>
      </c>
      <c r="I211" s="461" t="s">
        <v>4850</v>
      </c>
      <c r="J211" s="461" t="s">
        <v>4957</v>
      </c>
      <c r="K211" s="471" t="s">
        <v>7386</v>
      </c>
      <c r="L211" s="461" t="s">
        <v>8649</v>
      </c>
      <c r="M211" s="469" t="s">
        <v>8021</v>
      </c>
    </row>
    <row r="212" spans="1:13">
      <c r="A212" s="465" t="s">
        <v>9147</v>
      </c>
      <c r="B212" s="465" t="s">
        <v>1096</v>
      </c>
      <c r="C212" s="466" t="s">
        <v>1095</v>
      </c>
      <c r="D212" s="466" t="s">
        <v>1097</v>
      </c>
      <c r="E212" s="466" t="s">
        <v>9391</v>
      </c>
      <c r="F212" s="465" t="s">
        <v>4843</v>
      </c>
      <c r="G212" s="465" t="s">
        <v>9392</v>
      </c>
      <c r="H212" s="465" t="s">
        <v>4842</v>
      </c>
      <c r="I212" s="465" t="s">
        <v>4845</v>
      </c>
      <c r="J212" s="465" t="s">
        <v>4846</v>
      </c>
      <c r="K212" s="465" t="s">
        <v>7385</v>
      </c>
      <c r="L212" s="465" t="s">
        <v>8648</v>
      </c>
      <c r="M212" s="467" t="s">
        <v>8005</v>
      </c>
    </row>
    <row r="213" spans="1:13">
      <c r="A213" s="473" t="s">
        <v>12214</v>
      </c>
      <c r="B213" s="473" t="s">
        <v>1096</v>
      </c>
      <c r="C213" s="473" t="s">
        <v>1095</v>
      </c>
      <c r="D213" s="473" t="s">
        <v>1097</v>
      </c>
      <c r="E213" s="473" t="s">
        <v>9391</v>
      </c>
      <c r="F213" s="473" t="s">
        <v>4843</v>
      </c>
      <c r="G213" s="473" t="s">
        <v>9392</v>
      </c>
      <c r="H213" s="473" t="s">
        <v>4842</v>
      </c>
      <c r="I213" s="473" t="s">
        <v>4845</v>
      </c>
      <c r="J213" s="473" t="s">
        <v>4846</v>
      </c>
      <c r="K213" s="473" t="s">
        <v>7385</v>
      </c>
      <c r="L213" s="473" t="s">
        <v>8648</v>
      </c>
      <c r="M213" s="474" t="s">
        <v>8005</v>
      </c>
    </row>
    <row r="214" spans="1:13">
      <c r="A214" s="475" t="s">
        <v>12028</v>
      </c>
      <c r="B214" s="475" t="s">
        <v>1397</v>
      </c>
      <c r="C214" s="475" t="s">
        <v>1396</v>
      </c>
      <c r="D214" s="475" t="s">
        <v>12248</v>
      </c>
      <c r="E214" s="475" t="s">
        <v>5086</v>
      </c>
      <c r="F214" s="475" t="s">
        <v>5087</v>
      </c>
      <c r="G214" s="475" t="s">
        <v>11922</v>
      </c>
      <c r="H214" s="475" t="s">
        <v>5089</v>
      </c>
      <c r="I214" s="475" t="s">
        <v>5090</v>
      </c>
      <c r="J214" s="475" t="s">
        <v>5091</v>
      </c>
      <c r="K214" s="475" t="s">
        <v>7420</v>
      </c>
      <c r="L214" s="475" t="s">
        <v>8683</v>
      </c>
      <c r="M214" s="476" t="s">
        <v>8044</v>
      </c>
    </row>
    <row r="215" spans="1:13">
      <c r="A215" s="473" t="s">
        <v>12203</v>
      </c>
      <c r="B215" s="473" t="s">
        <v>1397</v>
      </c>
      <c r="C215" s="473" t="s">
        <v>1396</v>
      </c>
      <c r="D215" s="473" t="s">
        <v>12248</v>
      </c>
      <c r="E215" s="473" t="s">
        <v>5086</v>
      </c>
      <c r="F215" s="473" t="s">
        <v>5087</v>
      </c>
      <c r="G215" s="473" t="s">
        <v>11922</v>
      </c>
      <c r="H215" s="473" t="s">
        <v>5089</v>
      </c>
      <c r="I215" s="473" t="s">
        <v>5090</v>
      </c>
      <c r="J215" s="473" t="s">
        <v>5091</v>
      </c>
      <c r="K215" s="473" t="s">
        <v>7420</v>
      </c>
      <c r="L215" s="473" t="s">
        <v>8683</v>
      </c>
      <c r="M215" s="474" t="s">
        <v>8044</v>
      </c>
    </row>
    <row r="216" spans="1:13">
      <c r="A216" s="465" t="s">
        <v>1258</v>
      </c>
      <c r="B216" s="465" t="s">
        <v>359</v>
      </c>
      <c r="C216" s="466" t="s">
        <v>358</v>
      </c>
      <c r="D216" s="466" t="s">
        <v>360</v>
      </c>
      <c r="E216" s="466" t="s">
        <v>3654</v>
      </c>
      <c r="F216" s="465" t="s">
        <v>4970</v>
      </c>
      <c r="G216" s="465" t="s">
        <v>4017</v>
      </c>
      <c r="H216" s="465" t="s">
        <v>3654</v>
      </c>
      <c r="I216" s="465" t="s">
        <v>3656</v>
      </c>
      <c r="J216" s="465" t="s">
        <v>3657</v>
      </c>
      <c r="K216" s="465" t="s">
        <v>7252</v>
      </c>
      <c r="L216" s="465" t="s">
        <v>8468</v>
      </c>
      <c r="M216" s="467" t="s">
        <v>7877</v>
      </c>
    </row>
    <row r="217" spans="1:13">
      <c r="A217" s="461" t="s">
        <v>1259</v>
      </c>
      <c r="B217" s="461" t="s">
        <v>359</v>
      </c>
      <c r="C217" s="468" t="s">
        <v>358</v>
      </c>
      <c r="D217" s="468" t="s">
        <v>360</v>
      </c>
      <c r="E217" s="468" t="s">
        <v>3654</v>
      </c>
      <c r="F217" s="461" t="s">
        <v>4970</v>
      </c>
      <c r="G217" s="461" t="s">
        <v>4017</v>
      </c>
      <c r="H217" s="461" t="s">
        <v>3654</v>
      </c>
      <c r="I217" s="461" t="s">
        <v>3656</v>
      </c>
      <c r="J217" s="461" t="s">
        <v>3657</v>
      </c>
      <c r="K217" s="461" t="s">
        <v>7252</v>
      </c>
      <c r="L217" s="461" t="s">
        <v>8468</v>
      </c>
      <c r="M217" s="469" t="s">
        <v>7877</v>
      </c>
    </row>
    <row r="218" spans="1:13">
      <c r="A218" s="465" t="s">
        <v>1261</v>
      </c>
      <c r="B218" s="465" t="s">
        <v>359</v>
      </c>
      <c r="C218" s="466" t="s">
        <v>358</v>
      </c>
      <c r="D218" s="466" t="s">
        <v>360</v>
      </c>
      <c r="E218" s="466" t="s">
        <v>3654</v>
      </c>
      <c r="F218" s="465" t="s">
        <v>4970</v>
      </c>
      <c r="G218" s="465" t="s">
        <v>4017</v>
      </c>
      <c r="H218" s="465" t="s">
        <v>3654</v>
      </c>
      <c r="I218" s="465" t="s">
        <v>3656</v>
      </c>
      <c r="J218" s="465" t="s">
        <v>3657</v>
      </c>
      <c r="K218" s="465" t="s">
        <v>7252</v>
      </c>
      <c r="L218" s="465" t="s">
        <v>8468</v>
      </c>
      <c r="M218" s="467" t="s">
        <v>7877</v>
      </c>
    </row>
    <row r="219" spans="1:13">
      <c r="A219" s="461" t="s">
        <v>1265</v>
      </c>
      <c r="B219" s="461" t="s">
        <v>1267</v>
      </c>
      <c r="C219" s="468" t="s">
        <v>1266</v>
      </c>
      <c r="D219" s="468" t="s">
        <v>1268</v>
      </c>
      <c r="E219" s="468" t="s">
        <v>4994</v>
      </c>
      <c r="F219" s="461" t="s">
        <v>4995</v>
      </c>
      <c r="G219" s="461" t="s">
        <v>4996</v>
      </c>
      <c r="H219" s="461" t="s">
        <v>4997</v>
      </c>
      <c r="I219" s="461" t="s">
        <v>4998</v>
      </c>
      <c r="J219" s="461" t="s">
        <v>4999</v>
      </c>
      <c r="K219" s="461" t="s">
        <v>7407</v>
      </c>
      <c r="L219" s="461" t="s">
        <v>8670</v>
      </c>
      <c r="M219" s="469" t="s">
        <v>8028</v>
      </c>
    </row>
    <row r="220" spans="1:13">
      <c r="A220" s="465" t="s">
        <v>1269</v>
      </c>
      <c r="B220" s="465" t="s">
        <v>1272</v>
      </c>
      <c r="C220" s="466" t="s">
        <v>1271</v>
      </c>
      <c r="D220" s="466" t="s">
        <v>1273</v>
      </c>
      <c r="E220" s="466" t="s">
        <v>5000</v>
      </c>
      <c r="F220" s="465" t="s">
        <v>5001</v>
      </c>
      <c r="G220" s="465" t="s">
        <v>5002</v>
      </c>
      <c r="H220" s="465" t="s">
        <v>5003</v>
      </c>
      <c r="I220" s="465" t="s">
        <v>5004</v>
      </c>
      <c r="J220" s="465" t="s">
        <v>5005</v>
      </c>
      <c r="K220" s="465" t="s">
        <v>7408</v>
      </c>
      <c r="L220" s="465" t="s">
        <v>8671</v>
      </c>
      <c r="M220" s="467" t="s">
        <v>8029</v>
      </c>
    </row>
    <row r="221" spans="1:13">
      <c r="A221" s="461" t="s">
        <v>1274</v>
      </c>
      <c r="B221" s="461" t="s">
        <v>1272</v>
      </c>
      <c r="C221" s="468" t="s">
        <v>1271</v>
      </c>
      <c r="D221" s="468" t="s">
        <v>1273</v>
      </c>
      <c r="E221" s="468" t="s">
        <v>5000</v>
      </c>
      <c r="F221" s="461" t="s">
        <v>5001</v>
      </c>
      <c r="G221" s="461" t="s">
        <v>5002</v>
      </c>
      <c r="H221" s="461" t="s">
        <v>5003</v>
      </c>
      <c r="I221" s="461" t="s">
        <v>5004</v>
      </c>
      <c r="J221" s="461" t="s">
        <v>5005</v>
      </c>
      <c r="K221" s="461" t="s">
        <v>7408</v>
      </c>
      <c r="L221" s="461" t="s">
        <v>8671</v>
      </c>
      <c r="M221" s="469" t="s">
        <v>8029</v>
      </c>
    </row>
    <row r="222" spans="1:13">
      <c r="A222" s="465" t="s">
        <v>1263</v>
      </c>
      <c r="B222" s="465" t="s">
        <v>1244</v>
      </c>
      <c r="C222" s="466" t="s">
        <v>1243</v>
      </c>
      <c r="D222" s="466" t="s">
        <v>1245</v>
      </c>
      <c r="E222" s="466" t="s">
        <v>4971</v>
      </c>
      <c r="F222" s="465" t="s">
        <v>4972</v>
      </c>
      <c r="G222" s="465" t="s">
        <v>4973</v>
      </c>
      <c r="H222" s="465" t="s">
        <v>4992</v>
      </c>
      <c r="I222" s="465" t="s">
        <v>4975</v>
      </c>
      <c r="J222" s="465" t="s">
        <v>4993</v>
      </c>
      <c r="K222" s="465" t="s">
        <v>7403</v>
      </c>
      <c r="L222" s="465" t="s">
        <v>8667</v>
      </c>
      <c r="M222" s="467" t="s">
        <v>8024</v>
      </c>
    </row>
    <row r="223" spans="1:13">
      <c r="A223" s="461" t="s">
        <v>1110</v>
      </c>
      <c r="B223" s="461" t="s">
        <v>744</v>
      </c>
      <c r="C223" s="468" t="s">
        <v>743</v>
      </c>
      <c r="D223" s="468" t="s">
        <v>1012</v>
      </c>
      <c r="E223" s="468" t="s">
        <v>4356</v>
      </c>
      <c r="F223" s="461" t="s">
        <v>4357</v>
      </c>
      <c r="G223" s="461" t="s">
        <v>4789</v>
      </c>
      <c r="H223" s="461" t="s">
        <v>4359</v>
      </c>
      <c r="I223" s="461" t="s">
        <v>4360</v>
      </c>
      <c r="J223" s="461" t="s">
        <v>4361</v>
      </c>
      <c r="K223" s="461" t="s">
        <v>7357</v>
      </c>
      <c r="L223" s="461" t="s">
        <v>8573</v>
      </c>
      <c r="M223" s="469" t="s">
        <v>7927</v>
      </c>
    </row>
    <row r="224" spans="1:13">
      <c r="A224" s="465" t="s">
        <v>4868</v>
      </c>
      <c r="B224" s="465" t="s">
        <v>744</v>
      </c>
      <c r="C224" s="466" t="s">
        <v>743</v>
      </c>
      <c r="D224" s="466" t="s">
        <v>1012</v>
      </c>
      <c r="E224" s="466" t="s">
        <v>4356</v>
      </c>
      <c r="F224" s="465" t="s">
        <v>4357</v>
      </c>
      <c r="G224" s="465" t="s">
        <v>4789</v>
      </c>
      <c r="H224" s="465" t="s">
        <v>4359</v>
      </c>
      <c r="I224" s="465" t="s">
        <v>4360</v>
      </c>
      <c r="J224" s="465" t="s">
        <v>4869</v>
      </c>
      <c r="K224" s="465" t="s">
        <v>7357</v>
      </c>
      <c r="L224" s="465" t="s">
        <v>8573</v>
      </c>
      <c r="M224" s="467" t="s">
        <v>7927</v>
      </c>
    </row>
    <row r="225" spans="1:13">
      <c r="A225" s="472" t="s">
        <v>1210</v>
      </c>
      <c r="B225" s="461" t="s">
        <v>1213</v>
      </c>
      <c r="C225" s="468" t="s">
        <v>1212</v>
      </c>
      <c r="D225" s="468" t="s">
        <v>1214</v>
      </c>
      <c r="E225" s="468" t="s">
        <v>4948</v>
      </c>
      <c r="F225" s="461" t="s">
        <v>4949</v>
      </c>
      <c r="G225" s="461" t="s">
        <v>4950</v>
      </c>
      <c r="H225" s="461" t="s">
        <v>4951</v>
      </c>
      <c r="I225" s="461" t="s">
        <v>4952</v>
      </c>
      <c r="J225" s="461" t="s">
        <v>4953</v>
      </c>
      <c r="K225" s="461" t="s">
        <v>7401</v>
      </c>
      <c r="L225" s="461" t="s">
        <v>8665</v>
      </c>
      <c r="M225" s="469" t="s">
        <v>8021</v>
      </c>
    </row>
    <row r="226" spans="1:13">
      <c r="A226" s="465" t="s">
        <v>4958</v>
      </c>
      <c r="B226" s="465" t="s">
        <v>1213</v>
      </c>
      <c r="C226" s="466" t="s">
        <v>1212</v>
      </c>
      <c r="D226" s="466" t="s">
        <v>1214</v>
      </c>
      <c r="E226" s="466" t="s">
        <v>4948</v>
      </c>
      <c r="F226" s="465" t="s">
        <v>4949</v>
      </c>
      <c r="G226" s="465" t="s">
        <v>4950</v>
      </c>
      <c r="H226" s="465" t="s">
        <v>4951</v>
      </c>
      <c r="I226" s="465" t="s">
        <v>4952</v>
      </c>
      <c r="J226" s="465" t="s">
        <v>4959</v>
      </c>
      <c r="K226" s="470" t="s">
        <v>7401</v>
      </c>
      <c r="L226" s="465" t="s">
        <v>8665</v>
      </c>
      <c r="M226" s="467" t="s">
        <v>8021</v>
      </c>
    </row>
    <row r="227" spans="1:13">
      <c r="A227" s="461" t="s">
        <v>1216</v>
      </c>
      <c r="B227" s="461" t="s">
        <v>1213</v>
      </c>
      <c r="C227" s="468" t="s">
        <v>1212</v>
      </c>
      <c r="D227" s="468" t="s">
        <v>1214</v>
      </c>
      <c r="E227" s="468" t="s">
        <v>4948</v>
      </c>
      <c r="F227" s="461" t="s">
        <v>4949</v>
      </c>
      <c r="G227" s="461" t="s">
        <v>4950</v>
      </c>
      <c r="H227" s="461" t="s">
        <v>4951</v>
      </c>
      <c r="I227" s="461" t="s">
        <v>4952</v>
      </c>
      <c r="J227" s="461" t="s">
        <v>4953</v>
      </c>
      <c r="K227" s="461" t="s">
        <v>7401</v>
      </c>
      <c r="L227" s="461" t="s">
        <v>8665</v>
      </c>
      <c r="M227" s="469" t="s">
        <v>8021</v>
      </c>
    </row>
    <row r="228" spans="1:13">
      <c r="A228" s="465" t="s">
        <v>4960</v>
      </c>
      <c r="B228" s="465" t="s">
        <v>1213</v>
      </c>
      <c r="C228" s="466" t="s">
        <v>1212</v>
      </c>
      <c r="D228" s="466" t="s">
        <v>1214</v>
      </c>
      <c r="E228" s="466" t="s">
        <v>4948</v>
      </c>
      <c r="F228" s="465" t="s">
        <v>4949</v>
      </c>
      <c r="G228" s="465" t="s">
        <v>4950</v>
      </c>
      <c r="H228" s="465" t="s">
        <v>4951</v>
      </c>
      <c r="I228" s="465" t="s">
        <v>4952</v>
      </c>
      <c r="J228" s="465" t="s">
        <v>4959</v>
      </c>
      <c r="K228" s="465" t="s">
        <v>7401</v>
      </c>
      <c r="L228" s="465" t="s">
        <v>8665</v>
      </c>
      <c r="M228" s="467" t="s">
        <v>8021</v>
      </c>
    </row>
    <row r="229" spans="1:13">
      <c r="A229" s="473" t="s">
        <v>12062</v>
      </c>
      <c r="B229" s="473" t="s">
        <v>12262</v>
      </c>
      <c r="C229" s="473" t="s">
        <v>1525</v>
      </c>
      <c r="D229" s="473" t="s">
        <v>12263</v>
      </c>
      <c r="E229" s="473" t="s">
        <v>5196</v>
      </c>
      <c r="F229" s="473" t="s">
        <v>5197</v>
      </c>
      <c r="G229" s="473" t="s">
        <v>12264</v>
      </c>
      <c r="H229" s="473" t="s">
        <v>5199</v>
      </c>
      <c r="I229" s="473" t="s">
        <v>12265</v>
      </c>
      <c r="J229" s="473" t="s">
        <v>5201</v>
      </c>
      <c r="K229" s="473" t="s">
        <v>7435</v>
      </c>
      <c r="L229" s="473" t="s">
        <v>8696</v>
      </c>
      <c r="M229" s="474" t="s">
        <v>12266</v>
      </c>
    </row>
    <row r="230" spans="1:13">
      <c r="A230" s="475" t="s">
        <v>12225</v>
      </c>
      <c r="B230" s="475" t="s">
        <v>12262</v>
      </c>
      <c r="C230" s="475" t="s">
        <v>1525</v>
      </c>
      <c r="D230" s="475" t="s">
        <v>12263</v>
      </c>
      <c r="E230" s="475" t="s">
        <v>5196</v>
      </c>
      <c r="F230" s="475" t="s">
        <v>5197</v>
      </c>
      <c r="G230" s="475" t="s">
        <v>12264</v>
      </c>
      <c r="H230" s="475" t="s">
        <v>5199</v>
      </c>
      <c r="I230" s="475" t="s">
        <v>12265</v>
      </c>
      <c r="J230" s="475" t="s">
        <v>5201</v>
      </c>
      <c r="K230" s="475" t="s">
        <v>7435</v>
      </c>
      <c r="L230" s="475" t="s">
        <v>8696</v>
      </c>
      <c r="M230" s="476" t="s">
        <v>12266</v>
      </c>
    </row>
    <row r="231" spans="1:13">
      <c r="A231" s="473" t="s">
        <v>12019</v>
      </c>
      <c r="B231" s="473" t="s">
        <v>1083</v>
      </c>
      <c r="C231" s="473" t="s">
        <v>1082</v>
      </c>
      <c r="D231" s="473" t="s">
        <v>1084</v>
      </c>
      <c r="E231" s="473" t="s">
        <v>4733</v>
      </c>
      <c r="F231" s="473" t="s">
        <v>4734</v>
      </c>
      <c r="G231" s="473" t="s">
        <v>4735</v>
      </c>
      <c r="H231" s="473" t="s">
        <v>4736</v>
      </c>
      <c r="I231" s="473" t="s">
        <v>4737</v>
      </c>
      <c r="J231" s="473" t="s">
        <v>4738</v>
      </c>
      <c r="K231" s="473" t="s">
        <v>7371</v>
      </c>
      <c r="L231" s="473" t="s">
        <v>8634</v>
      </c>
      <c r="M231" s="474" t="s">
        <v>7989</v>
      </c>
    </row>
    <row r="232" spans="1:13">
      <c r="A232" s="465" t="s">
        <v>1081</v>
      </c>
      <c r="B232" s="465" t="s">
        <v>1083</v>
      </c>
      <c r="C232" s="466" t="s">
        <v>1082</v>
      </c>
      <c r="D232" s="466" t="s">
        <v>1084</v>
      </c>
      <c r="E232" s="466" t="s">
        <v>4733</v>
      </c>
      <c r="F232" s="465" t="s">
        <v>4734</v>
      </c>
      <c r="G232" s="465" t="s">
        <v>4735</v>
      </c>
      <c r="H232" s="465" t="s">
        <v>4736</v>
      </c>
      <c r="I232" s="465" t="s">
        <v>4737</v>
      </c>
      <c r="J232" s="465" t="s">
        <v>4828</v>
      </c>
      <c r="K232" s="465" t="s">
        <v>7371</v>
      </c>
      <c r="L232" s="465" t="s">
        <v>8634</v>
      </c>
      <c r="M232" s="467" t="s">
        <v>7989</v>
      </c>
    </row>
    <row r="233" spans="1:13">
      <c r="A233" s="461" t="s">
        <v>1085</v>
      </c>
      <c r="B233" s="461" t="s">
        <v>1083</v>
      </c>
      <c r="C233" s="468" t="s">
        <v>1082</v>
      </c>
      <c r="D233" s="468" t="s">
        <v>1084</v>
      </c>
      <c r="E233" s="468" t="s">
        <v>4733</v>
      </c>
      <c r="F233" s="461" t="s">
        <v>4734</v>
      </c>
      <c r="G233" s="461" t="s">
        <v>4735</v>
      </c>
      <c r="H233" s="461" t="s">
        <v>4736</v>
      </c>
      <c r="I233" s="461" t="s">
        <v>4737</v>
      </c>
      <c r="J233" s="461" t="s">
        <v>4828</v>
      </c>
      <c r="K233" s="461" t="s">
        <v>7371</v>
      </c>
      <c r="L233" s="461" t="s">
        <v>8634</v>
      </c>
      <c r="M233" s="469" t="s">
        <v>7989</v>
      </c>
    </row>
    <row r="234" spans="1:13">
      <c r="A234" s="465" t="s">
        <v>4829</v>
      </c>
      <c r="B234" s="465" t="s">
        <v>1083</v>
      </c>
      <c r="C234" s="466" t="s">
        <v>1082</v>
      </c>
      <c r="D234" s="466" t="s">
        <v>1084</v>
      </c>
      <c r="E234" s="466" t="s">
        <v>4733</v>
      </c>
      <c r="F234" s="465" t="s">
        <v>4734</v>
      </c>
      <c r="G234" s="465" t="s">
        <v>4735</v>
      </c>
      <c r="H234" s="465" t="s">
        <v>4736</v>
      </c>
      <c r="I234" s="465" t="s">
        <v>4737</v>
      </c>
      <c r="J234" s="465" t="s">
        <v>4830</v>
      </c>
      <c r="K234" s="465" t="s">
        <v>7371</v>
      </c>
      <c r="L234" s="465" t="s">
        <v>8634</v>
      </c>
      <c r="M234" s="467" t="s">
        <v>7989</v>
      </c>
    </row>
    <row r="235" spans="1:13">
      <c r="A235" s="478" t="s">
        <v>2275</v>
      </c>
      <c r="B235" s="461" t="s">
        <v>1083</v>
      </c>
      <c r="C235" s="468" t="s">
        <v>1082</v>
      </c>
      <c r="D235" s="468" t="s">
        <v>1084</v>
      </c>
      <c r="E235" s="468" t="s">
        <v>4733</v>
      </c>
      <c r="F235" s="461" t="s">
        <v>4734</v>
      </c>
      <c r="G235" s="461" t="s">
        <v>4735</v>
      </c>
      <c r="H235" s="461" t="s">
        <v>4736</v>
      </c>
      <c r="I235" s="461" t="s">
        <v>4737</v>
      </c>
      <c r="J235" s="461" t="s">
        <v>4828</v>
      </c>
      <c r="K235" s="461" t="s">
        <v>7371</v>
      </c>
      <c r="L235" s="461" t="s">
        <v>12326</v>
      </c>
      <c r="M235" s="469" t="s">
        <v>7989</v>
      </c>
    </row>
    <row r="236" spans="1:13">
      <c r="A236" s="465" t="s">
        <v>2276</v>
      </c>
      <c r="B236" s="465" t="s">
        <v>1083</v>
      </c>
      <c r="C236" s="466" t="s">
        <v>1082</v>
      </c>
      <c r="D236" s="466" t="s">
        <v>1084</v>
      </c>
      <c r="E236" s="466" t="s">
        <v>4733</v>
      </c>
      <c r="F236" s="465" t="s">
        <v>4734</v>
      </c>
      <c r="G236" s="465" t="s">
        <v>4735</v>
      </c>
      <c r="H236" s="465" t="s">
        <v>4736</v>
      </c>
      <c r="I236" s="465" t="s">
        <v>4737</v>
      </c>
      <c r="J236" s="465" t="s">
        <v>4828</v>
      </c>
      <c r="K236" s="465" t="s">
        <v>7371</v>
      </c>
      <c r="L236" s="465" t="s">
        <v>8634</v>
      </c>
      <c r="M236" s="467" t="s">
        <v>7989</v>
      </c>
    </row>
    <row r="237" spans="1:13">
      <c r="A237" s="461" t="s">
        <v>2277</v>
      </c>
      <c r="B237" s="461" t="s">
        <v>1083</v>
      </c>
      <c r="C237" s="468" t="s">
        <v>1082</v>
      </c>
      <c r="D237" s="468" t="s">
        <v>1084</v>
      </c>
      <c r="E237" s="468" t="s">
        <v>4733</v>
      </c>
      <c r="F237" s="461" t="s">
        <v>4734</v>
      </c>
      <c r="G237" s="461" t="s">
        <v>4735</v>
      </c>
      <c r="H237" s="461" t="s">
        <v>4736</v>
      </c>
      <c r="I237" s="461" t="s">
        <v>4737</v>
      </c>
      <c r="J237" s="461" t="s">
        <v>4828</v>
      </c>
      <c r="K237" s="461" t="s">
        <v>7371</v>
      </c>
      <c r="L237" s="461" t="s">
        <v>8634</v>
      </c>
      <c r="M237" s="469" t="s">
        <v>7989</v>
      </c>
    </row>
    <row r="238" spans="1:13">
      <c r="A238" s="465" t="s">
        <v>2278</v>
      </c>
      <c r="B238" s="465" t="s">
        <v>1083</v>
      </c>
      <c r="C238" s="466" t="s">
        <v>1082</v>
      </c>
      <c r="D238" s="466" t="s">
        <v>1084</v>
      </c>
      <c r="E238" s="466" t="s">
        <v>4733</v>
      </c>
      <c r="F238" s="465" t="s">
        <v>4734</v>
      </c>
      <c r="G238" s="465" t="s">
        <v>4735</v>
      </c>
      <c r="H238" s="465" t="s">
        <v>4736</v>
      </c>
      <c r="I238" s="465" t="s">
        <v>4737</v>
      </c>
      <c r="J238" s="465" t="s">
        <v>4828</v>
      </c>
      <c r="K238" s="465" t="s">
        <v>7371</v>
      </c>
      <c r="L238" s="465" t="s">
        <v>8634</v>
      </c>
      <c r="M238" s="467" t="s">
        <v>7989</v>
      </c>
    </row>
    <row r="239" spans="1:13">
      <c r="A239" s="461" t="s">
        <v>2279</v>
      </c>
      <c r="B239" s="461" t="s">
        <v>1083</v>
      </c>
      <c r="C239" s="468" t="s">
        <v>1082</v>
      </c>
      <c r="D239" s="468" t="s">
        <v>1084</v>
      </c>
      <c r="E239" s="468" t="s">
        <v>4733</v>
      </c>
      <c r="F239" s="461" t="s">
        <v>4734</v>
      </c>
      <c r="G239" s="461" t="s">
        <v>4735</v>
      </c>
      <c r="H239" s="461" t="s">
        <v>4736</v>
      </c>
      <c r="I239" s="461" t="s">
        <v>4737</v>
      </c>
      <c r="J239" s="461" t="s">
        <v>4828</v>
      </c>
      <c r="K239" s="461" t="s">
        <v>7371</v>
      </c>
      <c r="L239" s="461" t="s">
        <v>8634</v>
      </c>
      <c r="M239" s="469" t="s">
        <v>7989</v>
      </c>
    </row>
    <row r="240" spans="1:13">
      <c r="A240" s="465" t="s">
        <v>2423</v>
      </c>
      <c r="B240" s="465" t="s">
        <v>1083</v>
      </c>
      <c r="C240" s="466" t="s">
        <v>1082</v>
      </c>
      <c r="D240" s="466" t="s">
        <v>1084</v>
      </c>
      <c r="E240" s="466" t="s">
        <v>4733</v>
      </c>
      <c r="F240" s="465" t="s">
        <v>4734</v>
      </c>
      <c r="G240" s="465" t="s">
        <v>4735</v>
      </c>
      <c r="H240" s="465" t="s">
        <v>4736</v>
      </c>
      <c r="I240" s="465" t="s">
        <v>4737</v>
      </c>
      <c r="J240" s="465" t="s">
        <v>4828</v>
      </c>
      <c r="K240" s="465" t="s">
        <v>7371</v>
      </c>
      <c r="L240" s="465" t="s">
        <v>8634</v>
      </c>
      <c r="M240" s="467" t="s">
        <v>7989</v>
      </c>
    </row>
    <row r="241" spans="1:13">
      <c r="A241" s="461" t="s">
        <v>4840</v>
      </c>
      <c r="B241" s="461" t="s">
        <v>1083</v>
      </c>
      <c r="C241" s="468" t="s">
        <v>1082</v>
      </c>
      <c r="D241" s="468" t="s">
        <v>1084</v>
      </c>
      <c r="E241" s="468" t="s">
        <v>4733</v>
      </c>
      <c r="F241" s="461" t="s">
        <v>4734</v>
      </c>
      <c r="G241" s="461" t="s">
        <v>4735</v>
      </c>
      <c r="H241" s="461" t="s">
        <v>4736</v>
      </c>
      <c r="I241" s="461" t="s">
        <v>4737</v>
      </c>
      <c r="J241" s="461" t="s">
        <v>4828</v>
      </c>
      <c r="K241" s="461" t="s">
        <v>7371</v>
      </c>
      <c r="L241" s="461" t="s">
        <v>8634</v>
      </c>
      <c r="M241" s="469" t="s">
        <v>8004</v>
      </c>
    </row>
    <row r="242" spans="1:13">
      <c r="A242" s="465" t="s">
        <v>4859</v>
      </c>
      <c r="B242" s="465" t="s">
        <v>1083</v>
      </c>
      <c r="C242" s="466" t="s">
        <v>1082</v>
      </c>
      <c r="D242" s="466" t="s">
        <v>1084</v>
      </c>
      <c r="E242" s="466" t="s">
        <v>4733</v>
      </c>
      <c r="F242" s="465" t="s">
        <v>4734</v>
      </c>
      <c r="G242" s="465" t="s">
        <v>4735</v>
      </c>
      <c r="H242" s="465" t="s">
        <v>4736</v>
      </c>
      <c r="I242" s="465" t="s">
        <v>4737</v>
      </c>
      <c r="J242" s="465" t="s">
        <v>4828</v>
      </c>
      <c r="K242" s="465" t="s">
        <v>7371</v>
      </c>
      <c r="L242" s="465" t="s">
        <v>8634</v>
      </c>
      <c r="M242" s="467" t="s">
        <v>7989</v>
      </c>
    </row>
    <row r="243" spans="1:13">
      <c r="A243" s="461" t="s">
        <v>4961</v>
      </c>
      <c r="B243" s="461" t="s">
        <v>1083</v>
      </c>
      <c r="C243" s="468" t="s">
        <v>1082</v>
      </c>
      <c r="D243" s="468" t="s">
        <v>1084</v>
      </c>
      <c r="E243" s="468" t="s">
        <v>4733</v>
      </c>
      <c r="F243" s="461" t="s">
        <v>4734</v>
      </c>
      <c r="G243" s="461" t="s">
        <v>4735</v>
      </c>
      <c r="H243" s="461" t="s">
        <v>4736</v>
      </c>
      <c r="I243" s="461" t="s">
        <v>4737</v>
      </c>
      <c r="J243" s="461" t="s">
        <v>4830</v>
      </c>
      <c r="K243" s="461" t="s">
        <v>7371</v>
      </c>
      <c r="L243" s="461" t="s">
        <v>8634</v>
      </c>
      <c r="M243" s="469" t="s">
        <v>7989</v>
      </c>
    </row>
    <row r="244" spans="1:13">
      <c r="A244" s="465" t="s">
        <v>1228</v>
      </c>
      <c r="B244" s="465" t="s">
        <v>1083</v>
      </c>
      <c r="C244" s="466" t="s">
        <v>1082</v>
      </c>
      <c r="D244" s="466" t="s">
        <v>1084</v>
      </c>
      <c r="E244" s="466" t="s">
        <v>4733</v>
      </c>
      <c r="F244" s="465" t="s">
        <v>4734</v>
      </c>
      <c r="G244" s="465" t="s">
        <v>4735</v>
      </c>
      <c r="H244" s="465" t="s">
        <v>4736</v>
      </c>
      <c r="I244" s="465" t="s">
        <v>4737</v>
      </c>
      <c r="J244" s="465" t="s">
        <v>4828</v>
      </c>
      <c r="K244" s="465" t="s">
        <v>7371</v>
      </c>
      <c r="L244" s="465" t="s">
        <v>8634</v>
      </c>
      <c r="M244" s="467" t="s">
        <v>7989</v>
      </c>
    </row>
    <row r="245" spans="1:13">
      <c r="A245" s="461" t="s">
        <v>2442</v>
      </c>
      <c r="B245" s="461" t="s">
        <v>1083</v>
      </c>
      <c r="C245" s="468" t="s">
        <v>1082</v>
      </c>
      <c r="D245" s="468" t="s">
        <v>1084</v>
      </c>
      <c r="E245" s="468" t="s">
        <v>4733</v>
      </c>
      <c r="F245" s="461" t="s">
        <v>4734</v>
      </c>
      <c r="G245" s="461" t="s">
        <v>4735</v>
      </c>
      <c r="H245" s="461" t="s">
        <v>4736</v>
      </c>
      <c r="I245" s="461" t="s">
        <v>4737</v>
      </c>
      <c r="J245" s="461" t="s">
        <v>4828</v>
      </c>
      <c r="K245" s="461" t="s">
        <v>7371</v>
      </c>
      <c r="L245" s="461" t="s">
        <v>8634</v>
      </c>
      <c r="M245" s="469" t="s">
        <v>7989</v>
      </c>
    </row>
    <row r="246" spans="1:13">
      <c r="A246" s="475" t="s">
        <v>12034</v>
      </c>
      <c r="B246" s="475" t="s">
        <v>1083</v>
      </c>
      <c r="C246" s="475" t="s">
        <v>1082</v>
      </c>
      <c r="D246" s="475" t="s">
        <v>12253</v>
      </c>
      <c r="E246" s="475" t="s">
        <v>4733</v>
      </c>
      <c r="F246" s="475" t="s">
        <v>4734</v>
      </c>
      <c r="G246" s="475" t="s">
        <v>11534</v>
      </c>
      <c r="H246" s="475" t="s">
        <v>4736</v>
      </c>
      <c r="I246" s="475" t="s">
        <v>4737</v>
      </c>
      <c r="J246" s="475" t="s">
        <v>4828</v>
      </c>
      <c r="K246" s="475" t="s">
        <v>7371</v>
      </c>
      <c r="L246" s="475" t="s">
        <v>8634</v>
      </c>
      <c r="M246" s="476" t="s">
        <v>7989</v>
      </c>
    </row>
    <row r="247" spans="1:13">
      <c r="A247" s="473" t="s">
        <v>12209</v>
      </c>
      <c r="B247" s="473" t="s">
        <v>1083</v>
      </c>
      <c r="C247" s="473" t="s">
        <v>1082</v>
      </c>
      <c r="D247" s="473" t="s">
        <v>12253</v>
      </c>
      <c r="E247" s="473" t="s">
        <v>4733</v>
      </c>
      <c r="F247" s="473" t="s">
        <v>4734</v>
      </c>
      <c r="G247" s="473" t="s">
        <v>11534</v>
      </c>
      <c r="H247" s="473" t="s">
        <v>4736</v>
      </c>
      <c r="I247" s="473" t="s">
        <v>4737</v>
      </c>
      <c r="J247" s="473" t="s">
        <v>4828</v>
      </c>
      <c r="K247" s="473" t="s">
        <v>7371</v>
      </c>
      <c r="L247" s="473" t="s">
        <v>8634</v>
      </c>
      <c r="M247" s="474" t="s">
        <v>7989</v>
      </c>
    </row>
    <row r="248" spans="1:13">
      <c r="A248" s="465" t="s">
        <v>1413</v>
      </c>
      <c r="B248" s="465" t="s">
        <v>1083</v>
      </c>
      <c r="C248" s="466" t="s">
        <v>1082</v>
      </c>
      <c r="D248" s="466" t="s">
        <v>1084</v>
      </c>
      <c r="E248" s="466" t="s">
        <v>4733</v>
      </c>
      <c r="F248" s="465" t="s">
        <v>4734</v>
      </c>
      <c r="G248" s="465" t="s">
        <v>4735</v>
      </c>
      <c r="H248" s="465" t="s">
        <v>4736</v>
      </c>
      <c r="I248" s="465" t="s">
        <v>4737</v>
      </c>
      <c r="J248" s="465" t="s">
        <v>4828</v>
      </c>
      <c r="K248" s="465" t="s">
        <v>7371</v>
      </c>
      <c r="L248" s="465" t="s">
        <v>8634</v>
      </c>
      <c r="M248" s="467" t="s">
        <v>7989</v>
      </c>
    </row>
    <row r="249" spans="1:13">
      <c r="A249" s="461" t="s">
        <v>2465</v>
      </c>
      <c r="B249" s="461" t="s">
        <v>1083</v>
      </c>
      <c r="C249" s="468" t="s">
        <v>1082</v>
      </c>
      <c r="D249" s="468" t="s">
        <v>1084</v>
      </c>
      <c r="E249" s="468" t="s">
        <v>4733</v>
      </c>
      <c r="F249" s="461" t="s">
        <v>4734</v>
      </c>
      <c r="G249" s="461" t="s">
        <v>4735</v>
      </c>
      <c r="H249" s="461" t="s">
        <v>4736</v>
      </c>
      <c r="I249" s="461" t="s">
        <v>4737</v>
      </c>
      <c r="J249" s="461" t="s">
        <v>4828</v>
      </c>
      <c r="K249" s="461" t="s">
        <v>7371</v>
      </c>
      <c r="L249" s="461" t="s">
        <v>8634</v>
      </c>
      <c r="M249" s="469" t="s">
        <v>7989</v>
      </c>
    </row>
    <row r="250" spans="1:13">
      <c r="A250" s="465" t="s">
        <v>1415</v>
      </c>
      <c r="B250" s="465" t="s">
        <v>1083</v>
      </c>
      <c r="C250" s="466" t="s">
        <v>1082</v>
      </c>
      <c r="D250" s="466" t="s">
        <v>1084</v>
      </c>
      <c r="E250" s="466" t="s">
        <v>4733</v>
      </c>
      <c r="F250" s="465" t="s">
        <v>4734</v>
      </c>
      <c r="G250" s="465" t="s">
        <v>4735</v>
      </c>
      <c r="H250" s="465" t="s">
        <v>4736</v>
      </c>
      <c r="I250" s="465" t="s">
        <v>4737</v>
      </c>
      <c r="J250" s="465" t="s">
        <v>4828</v>
      </c>
      <c r="K250" s="465" t="s">
        <v>7371</v>
      </c>
      <c r="L250" s="465" t="s">
        <v>8634</v>
      </c>
      <c r="M250" s="467" t="s">
        <v>7989</v>
      </c>
    </row>
    <row r="251" spans="1:13">
      <c r="A251" s="473" t="s">
        <v>12215</v>
      </c>
      <c r="B251" s="473" t="s">
        <v>1083</v>
      </c>
      <c r="C251" s="473" t="s">
        <v>1082</v>
      </c>
      <c r="D251" s="473" t="s">
        <v>1084</v>
      </c>
      <c r="E251" s="473" t="s">
        <v>4733</v>
      </c>
      <c r="F251" s="473" t="s">
        <v>4734</v>
      </c>
      <c r="G251" s="473" t="s">
        <v>4735</v>
      </c>
      <c r="H251" s="473" t="s">
        <v>4736</v>
      </c>
      <c r="I251" s="473" t="s">
        <v>4737</v>
      </c>
      <c r="J251" s="473" t="s">
        <v>4828</v>
      </c>
      <c r="K251" s="473" t="s">
        <v>7371</v>
      </c>
      <c r="L251" s="473" t="s">
        <v>8634</v>
      </c>
      <c r="M251" s="474" t="s">
        <v>7989</v>
      </c>
    </row>
    <row r="252" spans="1:13">
      <c r="A252" s="465" t="s">
        <v>1416</v>
      </c>
      <c r="B252" s="465" t="s">
        <v>952</v>
      </c>
      <c r="C252" s="466" t="s">
        <v>938</v>
      </c>
      <c r="D252" s="466" t="s">
        <v>953</v>
      </c>
      <c r="E252" s="466" t="s">
        <v>4727</v>
      </c>
      <c r="F252" s="465" t="s">
        <v>4728</v>
      </c>
      <c r="G252" s="465" t="s">
        <v>4729</v>
      </c>
      <c r="H252" s="465" t="s">
        <v>4730</v>
      </c>
      <c r="I252" s="465" t="s">
        <v>4731</v>
      </c>
      <c r="J252" s="465" t="s">
        <v>4807</v>
      </c>
      <c r="K252" s="465" t="s">
        <v>7370</v>
      </c>
      <c r="L252" s="465" t="s">
        <v>8684</v>
      </c>
      <c r="M252" s="467" t="s">
        <v>7988</v>
      </c>
    </row>
    <row r="253" spans="1:13">
      <c r="A253" s="461" t="s">
        <v>5109</v>
      </c>
      <c r="B253" s="461" t="s">
        <v>952</v>
      </c>
      <c r="C253" s="468" t="s">
        <v>938</v>
      </c>
      <c r="D253" s="468" t="s">
        <v>953</v>
      </c>
      <c r="E253" s="468" t="s">
        <v>4727</v>
      </c>
      <c r="F253" s="461" t="s">
        <v>4728</v>
      </c>
      <c r="G253" s="461" t="s">
        <v>4729</v>
      </c>
      <c r="H253" s="461" t="s">
        <v>4730</v>
      </c>
      <c r="I253" s="461" t="s">
        <v>5110</v>
      </c>
      <c r="J253" s="461" t="s">
        <v>4807</v>
      </c>
      <c r="K253" s="471" t="s">
        <v>7370</v>
      </c>
      <c r="L253" s="461" t="s">
        <v>8684</v>
      </c>
      <c r="M253" s="469" t="s">
        <v>7988</v>
      </c>
    </row>
    <row r="254" spans="1:13">
      <c r="A254" s="465" t="s">
        <v>1414</v>
      </c>
      <c r="B254" s="465" t="s">
        <v>1083</v>
      </c>
      <c r="C254" s="466" t="s">
        <v>1082</v>
      </c>
      <c r="D254" s="466" t="s">
        <v>1084</v>
      </c>
      <c r="E254" s="466" t="s">
        <v>4733</v>
      </c>
      <c r="F254" s="465" t="s">
        <v>4734</v>
      </c>
      <c r="G254" s="465" t="s">
        <v>4735</v>
      </c>
      <c r="H254" s="465" t="s">
        <v>4736</v>
      </c>
      <c r="I254" s="465" t="s">
        <v>4737</v>
      </c>
      <c r="J254" s="465" t="s">
        <v>4828</v>
      </c>
      <c r="K254" s="465" t="s">
        <v>7371</v>
      </c>
      <c r="L254" s="465" t="s">
        <v>8634</v>
      </c>
      <c r="M254" s="467" t="s">
        <v>7989</v>
      </c>
    </row>
    <row r="255" spans="1:13">
      <c r="A255" s="461" t="s">
        <v>2466</v>
      </c>
      <c r="B255" s="461" t="s">
        <v>1083</v>
      </c>
      <c r="C255" s="468" t="s">
        <v>1082</v>
      </c>
      <c r="D255" s="468" t="s">
        <v>1084</v>
      </c>
      <c r="E255" s="468" t="s">
        <v>4733</v>
      </c>
      <c r="F255" s="461" t="s">
        <v>4734</v>
      </c>
      <c r="G255" s="461" t="s">
        <v>4735</v>
      </c>
      <c r="H255" s="461" t="s">
        <v>4736</v>
      </c>
      <c r="I255" s="461" t="s">
        <v>4737</v>
      </c>
      <c r="J255" s="461" t="s">
        <v>4828</v>
      </c>
      <c r="K255" s="461" t="s">
        <v>7371</v>
      </c>
      <c r="L255" s="461" t="s">
        <v>8634</v>
      </c>
      <c r="M255" s="469" t="s">
        <v>7989</v>
      </c>
    </row>
    <row r="256" spans="1:13">
      <c r="A256" s="465" t="s">
        <v>1507</v>
      </c>
      <c r="B256" s="465" t="s">
        <v>1207</v>
      </c>
      <c r="C256" s="466" t="s">
        <v>1206</v>
      </c>
      <c r="D256" s="466" t="s">
        <v>1208</v>
      </c>
      <c r="E256" s="466" t="s">
        <v>4921</v>
      </c>
      <c r="F256" s="465" t="s">
        <v>4922</v>
      </c>
      <c r="G256" s="465" t="s">
        <v>4923</v>
      </c>
      <c r="H256" s="465" t="s">
        <v>4924</v>
      </c>
      <c r="I256" s="465" t="s">
        <v>4925</v>
      </c>
      <c r="J256" s="465" t="s">
        <v>4926</v>
      </c>
      <c r="K256" s="465" t="s">
        <v>7397</v>
      </c>
      <c r="L256" s="465" t="s">
        <v>8661</v>
      </c>
      <c r="M256" s="467" t="s">
        <v>8017</v>
      </c>
    </row>
    <row r="257" spans="1:13">
      <c r="A257" s="461" t="s">
        <v>2479</v>
      </c>
      <c r="B257" s="461" t="s">
        <v>1207</v>
      </c>
      <c r="C257" s="468" t="s">
        <v>1206</v>
      </c>
      <c r="D257" s="468" t="s">
        <v>1208</v>
      </c>
      <c r="E257" s="468" t="s">
        <v>4921</v>
      </c>
      <c r="F257" s="461" t="s">
        <v>4922</v>
      </c>
      <c r="G257" s="461" t="s">
        <v>4923</v>
      </c>
      <c r="H257" s="461" t="s">
        <v>4924</v>
      </c>
      <c r="I257" s="461" t="s">
        <v>4925</v>
      </c>
      <c r="J257" s="461" t="s">
        <v>4926</v>
      </c>
      <c r="K257" s="461" t="s">
        <v>7397</v>
      </c>
      <c r="L257" s="461" t="s">
        <v>8661</v>
      </c>
      <c r="M257" s="469" t="s">
        <v>8017</v>
      </c>
    </row>
    <row r="258" spans="1:13">
      <c r="A258" s="465" t="s">
        <v>1505</v>
      </c>
      <c r="B258" s="465" t="s">
        <v>1207</v>
      </c>
      <c r="C258" s="466" t="s">
        <v>1206</v>
      </c>
      <c r="D258" s="466" t="s">
        <v>1208</v>
      </c>
      <c r="E258" s="466" t="s">
        <v>4921</v>
      </c>
      <c r="F258" s="465" t="s">
        <v>4922</v>
      </c>
      <c r="G258" s="465" t="s">
        <v>4923</v>
      </c>
      <c r="H258" s="465" t="s">
        <v>4924</v>
      </c>
      <c r="I258" s="465" t="s">
        <v>4925</v>
      </c>
      <c r="J258" s="465" t="s">
        <v>4926</v>
      </c>
      <c r="K258" s="465" t="s">
        <v>7397</v>
      </c>
      <c r="L258" s="465" t="s">
        <v>8661</v>
      </c>
      <c r="M258" s="467" t="s">
        <v>8017</v>
      </c>
    </row>
    <row r="259" spans="1:13">
      <c r="A259" s="479" t="s">
        <v>2473</v>
      </c>
      <c r="B259" s="461" t="s">
        <v>1207</v>
      </c>
      <c r="C259" s="468" t="s">
        <v>1206</v>
      </c>
      <c r="D259" s="468" t="s">
        <v>1208</v>
      </c>
      <c r="E259" s="468" t="s">
        <v>4921</v>
      </c>
      <c r="F259" s="461" t="s">
        <v>4922</v>
      </c>
      <c r="G259" s="461" t="s">
        <v>4923</v>
      </c>
      <c r="H259" s="461" t="s">
        <v>4924</v>
      </c>
      <c r="I259" s="461" t="s">
        <v>4925</v>
      </c>
      <c r="J259" s="461" t="s">
        <v>4955</v>
      </c>
      <c r="K259" s="461" t="s">
        <v>7397</v>
      </c>
      <c r="L259" s="461" t="s">
        <v>8661</v>
      </c>
      <c r="M259" s="469" t="s">
        <v>8017</v>
      </c>
    </row>
    <row r="260" spans="1:13">
      <c r="A260" s="465" t="s">
        <v>2331</v>
      </c>
      <c r="B260" s="465" t="s">
        <v>2543</v>
      </c>
      <c r="C260" s="466" t="s">
        <v>2647</v>
      </c>
      <c r="D260" s="466" t="s">
        <v>2701</v>
      </c>
      <c r="E260" s="466" t="s">
        <v>5147</v>
      </c>
      <c r="F260" s="465" t="s">
        <v>5148</v>
      </c>
      <c r="G260" s="465" t="s">
        <v>5149</v>
      </c>
      <c r="H260" s="465" t="s">
        <v>5147</v>
      </c>
      <c r="I260" s="465" t="s">
        <v>5150</v>
      </c>
      <c r="J260" s="465" t="s">
        <v>5151</v>
      </c>
      <c r="K260" s="465" t="s">
        <v>7429</v>
      </c>
      <c r="L260" s="465" t="s">
        <v>8690</v>
      </c>
      <c r="M260" s="467" t="s">
        <v>8052</v>
      </c>
    </row>
    <row r="261" spans="1:13">
      <c r="A261" s="461" t="s">
        <v>2480</v>
      </c>
      <c r="B261" s="461" t="s">
        <v>2543</v>
      </c>
      <c r="C261" s="468" t="s">
        <v>2647</v>
      </c>
      <c r="D261" s="468" t="s">
        <v>2701</v>
      </c>
      <c r="E261" s="468" t="s">
        <v>5147</v>
      </c>
      <c r="F261" s="461" t="s">
        <v>5148</v>
      </c>
      <c r="G261" s="461" t="s">
        <v>5149</v>
      </c>
      <c r="H261" s="461" t="s">
        <v>5147</v>
      </c>
      <c r="I261" s="461" t="s">
        <v>5150</v>
      </c>
      <c r="J261" s="461" t="s">
        <v>5151</v>
      </c>
      <c r="K261" s="461" t="s">
        <v>7429</v>
      </c>
      <c r="L261" s="461" t="s">
        <v>8690</v>
      </c>
      <c r="M261" s="469" t="s">
        <v>8052</v>
      </c>
    </row>
    <row r="262" spans="1:13">
      <c r="A262" s="465" t="s">
        <v>2325</v>
      </c>
      <c r="B262" s="465" t="s">
        <v>2543</v>
      </c>
      <c r="C262" s="466" t="s">
        <v>2647</v>
      </c>
      <c r="D262" s="466" t="s">
        <v>2701</v>
      </c>
      <c r="E262" s="466" t="s">
        <v>5147</v>
      </c>
      <c r="F262" s="465" t="s">
        <v>5148</v>
      </c>
      <c r="G262" s="465" t="s">
        <v>5149</v>
      </c>
      <c r="H262" s="465" t="s">
        <v>5147</v>
      </c>
      <c r="I262" s="465" t="s">
        <v>5150</v>
      </c>
      <c r="J262" s="465" t="s">
        <v>5151</v>
      </c>
      <c r="K262" s="465" t="s">
        <v>7429</v>
      </c>
      <c r="L262" s="465" t="s">
        <v>8690</v>
      </c>
      <c r="M262" s="467" t="s">
        <v>8052</v>
      </c>
    </row>
    <row r="263" spans="1:13">
      <c r="A263" s="461" t="s">
        <v>2474</v>
      </c>
      <c r="B263" s="461" t="s">
        <v>2543</v>
      </c>
      <c r="C263" s="468" t="s">
        <v>2647</v>
      </c>
      <c r="D263" s="468" t="s">
        <v>2701</v>
      </c>
      <c r="E263" s="468" t="s">
        <v>5147</v>
      </c>
      <c r="F263" s="461" t="s">
        <v>5148</v>
      </c>
      <c r="G263" s="461" t="s">
        <v>5149</v>
      </c>
      <c r="H263" s="461" t="s">
        <v>5147</v>
      </c>
      <c r="I263" s="461" t="s">
        <v>5150</v>
      </c>
      <c r="J263" s="461" t="s">
        <v>5151</v>
      </c>
      <c r="K263" s="461" t="s">
        <v>7429</v>
      </c>
      <c r="L263" s="461" t="s">
        <v>8690</v>
      </c>
      <c r="M263" s="469" t="s">
        <v>8052</v>
      </c>
    </row>
    <row r="264" spans="1:13">
      <c r="A264" s="465" t="s">
        <v>2264</v>
      </c>
      <c r="B264" s="465" t="s">
        <v>1083</v>
      </c>
      <c r="C264" s="466" t="s">
        <v>1082</v>
      </c>
      <c r="D264" s="466" t="s">
        <v>1084</v>
      </c>
      <c r="E264" s="466" t="s">
        <v>4733</v>
      </c>
      <c r="F264" s="465" t="s">
        <v>4734</v>
      </c>
      <c r="G264" s="465" t="s">
        <v>4735</v>
      </c>
      <c r="H264" s="465" t="s">
        <v>4736</v>
      </c>
      <c r="I264" s="465" t="s">
        <v>4737</v>
      </c>
      <c r="J264" s="465" t="s">
        <v>4738</v>
      </c>
      <c r="K264" s="470" t="s">
        <v>7371</v>
      </c>
      <c r="L264" s="465" t="s">
        <v>8634</v>
      </c>
      <c r="M264" s="467" t="s">
        <v>7989</v>
      </c>
    </row>
    <row r="265" spans="1:13">
      <c r="A265" s="473" t="s">
        <v>10497</v>
      </c>
      <c r="B265" s="473" t="s">
        <v>10604</v>
      </c>
      <c r="C265" s="473" t="s">
        <v>10608</v>
      </c>
      <c r="D265" s="473" t="s">
        <v>10610</v>
      </c>
      <c r="E265" s="473" t="s">
        <v>10612</v>
      </c>
      <c r="F265" s="473" t="s">
        <v>10614</v>
      </c>
      <c r="G265" s="473" t="s">
        <v>10616</v>
      </c>
      <c r="H265" s="473" t="s">
        <v>10606</v>
      </c>
      <c r="I265" s="473" t="s">
        <v>10618</v>
      </c>
      <c r="J265" s="473" t="s">
        <v>10620</v>
      </c>
      <c r="K265" s="473" t="s">
        <v>10622</v>
      </c>
      <c r="L265" s="473" t="s">
        <v>10624</v>
      </c>
      <c r="M265" s="474" t="s">
        <v>10626</v>
      </c>
    </row>
    <row r="266" spans="1:13">
      <c r="A266" s="465" t="s">
        <v>1508</v>
      </c>
      <c r="B266" s="465" t="s">
        <v>1096</v>
      </c>
      <c r="C266" s="466" t="s">
        <v>1095</v>
      </c>
      <c r="D266" s="466" t="s">
        <v>1097</v>
      </c>
      <c r="E266" s="466" t="s">
        <v>4842</v>
      </c>
      <c r="F266" s="465" t="s">
        <v>4843</v>
      </c>
      <c r="G266" s="465" t="s">
        <v>4844</v>
      </c>
      <c r="H266" s="465" t="s">
        <v>4842</v>
      </c>
      <c r="I266" s="465" t="s">
        <v>4845</v>
      </c>
      <c r="J266" s="465" t="s">
        <v>4846</v>
      </c>
      <c r="K266" s="465" t="s">
        <v>7385</v>
      </c>
      <c r="L266" s="465" t="s">
        <v>8648</v>
      </c>
      <c r="M266" s="467" t="s">
        <v>8005</v>
      </c>
    </row>
    <row r="267" spans="1:13">
      <c r="A267" s="472" t="s">
        <v>2483</v>
      </c>
      <c r="B267" s="461" t="s">
        <v>1096</v>
      </c>
      <c r="C267" s="468" t="s">
        <v>1095</v>
      </c>
      <c r="D267" s="468" t="s">
        <v>1097</v>
      </c>
      <c r="E267" s="468" t="s">
        <v>4842</v>
      </c>
      <c r="F267" s="461" t="s">
        <v>4843</v>
      </c>
      <c r="G267" s="461" t="s">
        <v>4844</v>
      </c>
      <c r="H267" s="461" t="s">
        <v>4842</v>
      </c>
      <c r="I267" s="461" t="s">
        <v>4845</v>
      </c>
      <c r="J267" s="461" t="s">
        <v>4846</v>
      </c>
      <c r="K267" s="471" t="s">
        <v>7385</v>
      </c>
      <c r="L267" s="461" t="s">
        <v>8648</v>
      </c>
      <c r="M267" s="469" t="s">
        <v>8005</v>
      </c>
    </row>
    <row r="268" spans="1:13">
      <c r="A268" s="465" t="s">
        <v>2332</v>
      </c>
      <c r="B268" s="465" t="s">
        <v>2544</v>
      </c>
      <c r="C268" s="466" t="s">
        <v>2648</v>
      </c>
      <c r="D268" s="466" t="s">
        <v>2702</v>
      </c>
      <c r="E268" s="466" t="s">
        <v>5152</v>
      </c>
      <c r="F268" s="465" t="s">
        <v>5153</v>
      </c>
      <c r="G268" s="465" t="s">
        <v>5154</v>
      </c>
      <c r="H268" s="465" t="s">
        <v>5155</v>
      </c>
      <c r="I268" s="465" t="s">
        <v>5156</v>
      </c>
      <c r="J268" s="465" t="s">
        <v>5157</v>
      </c>
      <c r="K268" s="465" t="s">
        <v>7430</v>
      </c>
      <c r="L268" s="465" t="s">
        <v>8691</v>
      </c>
      <c r="M268" s="467" t="s">
        <v>8053</v>
      </c>
    </row>
    <row r="269" spans="1:13">
      <c r="A269" s="472" t="s">
        <v>2481</v>
      </c>
      <c r="B269" s="461" t="s">
        <v>2544</v>
      </c>
      <c r="C269" s="468" t="s">
        <v>2648</v>
      </c>
      <c r="D269" s="468" t="s">
        <v>2702</v>
      </c>
      <c r="E269" s="468" t="s">
        <v>5152</v>
      </c>
      <c r="F269" s="461" t="s">
        <v>5153</v>
      </c>
      <c r="G269" s="461" t="s">
        <v>5154</v>
      </c>
      <c r="H269" s="461" t="s">
        <v>5155</v>
      </c>
      <c r="I269" s="461" t="s">
        <v>5156</v>
      </c>
      <c r="J269" s="461" t="s">
        <v>5157</v>
      </c>
      <c r="K269" s="461" t="s">
        <v>7430</v>
      </c>
      <c r="L269" s="461" t="s">
        <v>8691</v>
      </c>
      <c r="M269" s="469" t="s">
        <v>8053</v>
      </c>
    </row>
    <row r="270" spans="1:13">
      <c r="A270" s="465" t="s">
        <v>2326</v>
      </c>
      <c r="B270" s="465" t="s">
        <v>2544</v>
      </c>
      <c r="C270" s="466" t="s">
        <v>2648</v>
      </c>
      <c r="D270" s="466" t="s">
        <v>2702</v>
      </c>
      <c r="E270" s="466" t="s">
        <v>5152</v>
      </c>
      <c r="F270" s="465" t="s">
        <v>5153</v>
      </c>
      <c r="G270" s="465" t="s">
        <v>5154</v>
      </c>
      <c r="H270" s="465" t="s">
        <v>5155</v>
      </c>
      <c r="I270" s="465" t="s">
        <v>5156</v>
      </c>
      <c r="J270" s="465" t="s">
        <v>5157</v>
      </c>
      <c r="K270" s="465" t="s">
        <v>7430</v>
      </c>
      <c r="L270" s="465" t="s">
        <v>8691</v>
      </c>
      <c r="M270" s="467" t="s">
        <v>8053</v>
      </c>
    </row>
    <row r="271" spans="1:13">
      <c r="A271" s="461" t="s">
        <v>2475</v>
      </c>
      <c r="B271" s="461" t="s">
        <v>2544</v>
      </c>
      <c r="C271" s="468" t="s">
        <v>2648</v>
      </c>
      <c r="D271" s="468" t="s">
        <v>2702</v>
      </c>
      <c r="E271" s="468" t="s">
        <v>5152</v>
      </c>
      <c r="F271" s="461" t="s">
        <v>5153</v>
      </c>
      <c r="G271" s="461" t="s">
        <v>5154</v>
      </c>
      <c r="H271" s="461" t="s">
        <v>5155</v>
      </c>
      <c r="I271" s="461" t="s">
        <v>5156</v>
      </c>
      <c r="J271" s="461" t="s">
        <v>5157</v>
      </c>
      <c r="K271" s="461" t="s">
        <v>7430</v>
      </c>
      <c r="L271" s="461" t="s">
        <v>8691</v>
      </c>
      <c r="M271" s="469" t="s">
        <v>8053</v>
      </c>
    </row>
    <row r="272" spans="1:13">
      <c r="A272" s="465" t="s">
        <v>2334</v>
      </c>
      <c r="B272" s="465" t="s">
        <v>1096</v>
      </c>
      <c r="C272" s="466" t="s">
        <v>1095</v>
      </c>
      <c r="D272" s="466" t="s">
        <v>1097</v>
      </c>
      <c r="E272" s="466" t="s">
        <v>4842</v>
      </c>
      <c r="F272" s="465" t="s">
        <v>4843</v>
      </c>
      <c r="G272" s="465" t="s">
        <v>4844</v>
      </c>
      <c r="H272" s="465" t="s">
        <v>4842</v>
      </c>
      <c r="I272" s="465" t="s">
        <v>4845</v>
      </c>
      <c r="J272" s="465" t="s">
        <v>4846</v>
      </c>
      <c r="K272" s="465" t="s">
        <v>7385</v>
      </c>
      <c r="L272" s="465" t="s">
        <v>8648</v>
      </c>
      <c r="M272" s="467" t="s">
        <v>8005</v>
      </c>
    </row>
    <row r="273" spans="1:13">
      <c r="A273" s="461" t="s">
        <v>2484</v>
      </c>
      <c r="B273" s="461" t="s">
        <v>1096</v>
      </c>
      <c r="C273" s="468" t="s">
        <v>1095</v>
      </c>
      <c r="D273" s="468" t="s">
        <v>1097</v>
      </c>
      <c r="E273" s="468" t="s">
        <v>4842</v>
      </c>
      <c r="F273" s="461" t="s">
        <v>4843</v>
      </c>
      <c r="G273" s="461" t="s">
        <v>4844</v>
      </c>
      <c r="H273" s="461" t="s">
        <v>4842</v>
      </c>
      <c r="I273" s="461" t="s">
        <v>4845</v>
      </c>
      <c r="J273" s="461" t="s">
        <v>4846</v>
      </c>
      <c r="K273" s="461" t="s">
        <v>7385</v>
      </c>
      <c r="L273" s="461" t="s">
        <v>8648</v>
      </c>
      <c r="M273" s="469" t="s">
        <v>8005</v>
      </c>
    </row>
    <row r="274" spans="1:13">
      <c r="A274" s="465" t="s">
        <v>1517</v>
      </c>
      <c r="B274" s="465" t="s">
        <v>1115</v>
      </c>
      <c r="C274" s="466" t="s">
        <v>1114</v>
      </c>
      <c r="D274" s="466" t="s">
        <v>1116</v>
      </c>
      <c r="E274" s="466" t="s">
        <v>4870</v>
      </c>
      <c r="F274" s="465" t="s">
        <v>4871</v>
      </c>
      <c r="G274" s="465" t="s">
        <v>4872</v>
      </c>
      <c r="H274" s="465" t="s">
        <v>4873</v>
      </c>
      <c r="I274" s="465" t="s">
        <v>4874</v>
      </c>
      <c r="J274" s="465" t="s">
        <v>4875</v>
      </c>
      <c r="K274" s="465" t="s">
        <v>7389</v>
      </c>
      <c r="L274" s="465" t="s">
        <v>8651</v>
      </c>
      <c r="M274" s="467" t="s">
        <v>8008</v>
      </c>
    </row>
    <row r="275" spans="1:13">
      <c r="A275" s="461" t="s">
        <v>2491</v>
      </c>
      <c r="B275" s="461" t="s">
        <v>1115</v>
      </c>
      <c r="C275" s="468" t="s">
        <v>1114</v>
      </c>
      <c r="D275" s="468" t="s">
        <v>1116</v>
      </c>
      <c r="E275" s="468" t="s">
        <v>4870</v>
      </c>
      <c r="F275" s="461" t="s">
        <v>4871</v>
      </c>
      <c r="G275" s="461" t="s">
        <v>4872</v>
      </c>
      <c r="H275" s="461" t="s">
        <v>4873</v>
      </c>
      <c r="I275" s="461" t="s">
        <v>4874</v>
      </c>
      <c r="J275" s="461" t="s">
        <v>4875</v>
      </c>
      <c r="K275" s="461" t="s">
        <v>7389</v>
      </c>
      <c r="L275" s="461" t="s">
        <v>8651</v>
      </c>
      <c r="M275" s="469" t="s">
        <v>8008</v>
      </c>
    </row>
    <row r="276" spans="1:13">
      <c r="A276" s="465" t="s">
        <v>2342</v>
      </c>
      <c r="B276" s="465" t="s">
        <v>1115</v>
      </c>
      <c r="C276" s="466" t="s">
        <v>1114</v>
      </c>
      <c r="D276" s="466" t="s">
        <v>1116</v>
      </c>
      <c r="E276" s="466" t="s">
        <v>4870</v>
      </c>
      <c r="F276" s="465" t="s">
        <v>4871</v>
      </c>
      <c r="G276" s="465" t="s">
        <v>4872</v>
      </c>
      <c r="H276" s="465" t="s">
        <v>4873</v>
      </c>
      <c r="I276" s="465" t="s">
        <v>4874</v>
      </c>
      <c r="J276" s="465" t="s">
        <v>4875</v>
      </c>
      <c r="K276" s="465" t="s">
        <v>7389</v>
      </c>
      <c r="L276" s="465" t="s">
        <v>8651</v>
      </c>
      <c r="M276" s="467" t="s">
        <v>8008</v>
      </c>
    </row>
    <row r="277" spans="1:13">
      <c r="A277" s="461" t="s">
        <v>2490</v>
      </c>
      <c r="B277" s="461" t="s">
        <v>1115</v>
      </c>
      <c r="C277" s="468" t="s">
        <v>1114</v>
      </c>
      <c r="D277" s="468" t="s">
        <v>1116</v>
      </c>
      <c r="E277" s="468" t="s">
        <v>4870</v>
      </c>
      <c r="F277" s="461" t="s">
        <v>4871</v>
      </c>
      <c r="G277" s="461" t="s">
        <v>4872</v>
      </c>
      <c r="H277" s="461" t="s">
        <v>4873</v>
      </c>
      <c r="I277" s="461" t="s">
        <v>4874</v>
      </c>
      <c r="J277" s="461" t="s">
        <v>4875</v>
      </c>
      <c r="K277" s="461" t="s">
        <v>7389</v>
      </c>
      <c r="L277" s="461" t="s">
        <v>8634</v>
      </c>
      <c r="M277" s="469" t="s">
        <v>8008</v>
      </c>
    </row>
    <row r="278" spans="1:13">
      <c r="A278" s="465" t="s">
        <v>1509</v>
      </c>
      <c r="B278" s="465" t="s">
        <v>1232</v>
      </c>
      <c r="C278" s="466" t="s">
        <v>1231</v>
      </c>
      <c r="D278" s="466" t="s">
        <v>1233</v>
      </c>
      <c r="E278" s="466" t="s">
        <v>5170</v>
      </c>
      <c r="F278" s="465" t="s">
        <v>5171</v>
      </c>
      <c r="G278" s="465" t="s">
        <v>5172</v>
      </c>
      <c r="H278" s="465" t="s">
        <v>5170</v>
      </c>
      <c r="I278" s="465" t="s">
        <v>5173</v>
      </c>
      <c r="J278" s="465" t="s">
        <v>5174</v>
      </c>
      <c r="K278" s="465" t="s">
        <v>7432</v>
      </c>
      <c r="L278" s="465" t="s">
        <v>8693</v>
      </c>
      <c r="M278" s="467" t="s">
        <v>8055</v>
      </c>
    </row>
    <row r="279" spans="1:13">
      <c r="A279" s="473" t="s">
        <v>2108</v>
      </c>
      <c r="B279" s="473" t="s">
        <v>10604</v>
      </c>
      <c r="C279" s="473" t="s">
        <v>10608</v>
      </c>
      <c r="D279" s="473" t="s">
        <v>10610</v>
      </c>
      <c r="E279" s="473" t="s">
        <v>10612</v>
      </c>
      <c r="F279" s="473" t="s">
        <v>10614</v>
      </c>
      <c r="G279" s="473" t="s">
        <v>10616</v>
      </c>
      <c r="H279" s="473" t="s">
        <v>10606</v>
      </c>
      <c r="I279" s="473" t="s">
        <v>10618</v>
      </c>
      <c r="J279" s="473" t="s">
        <v>10620</v>
      </c>
      <c r="K279" s="473" t="s">
        <v>10622</v>
      </c>
      <c r="L279" s="473" t="s">
        <v>10624</v>
      </c>
      <c r="M279" s="474" t="s">
        <v>10626</v>
      </c>
    </row>
    <row r="280" spans="1:13">
      <c r="A280" s="465" t="s">
        <v>5176</v>
      </c>
      <c r="B280" s="465" t="s">
        <v>1232</v>
      </c>
      <c r="C280" s="466" t="s">
        <v>1231</v>
      </c>
      <c r="D280" s="466" t="s">
        <v>1233</v>
      </c>
      <c r="E280" s="466" t="s">
        <v>5170</v>
      </c>
      <c r="F280" s="465" t="s">
        <v>5171</v>
      </c>
      <c r="G280" s="465" t="s">
        <v>5172</v>
      </c>
      <c r="H280" s="465" t="s">
        <v>5170</v>
      </c>
      <c r="I280" s="465" t="s">
        <v>5173</v>
      </c>
      <c r="J280" s="465" t="s">
        <v>5177</v>
      </c>
      <c r="K280" s="465" t="s">
        <v>7432</v>
      </c>
      <c r="L280" s="465" t="s">
        <v>8693</v>
      </c>
      <c r="M280" s="467" t="s">
        <v>8055</v>
      </c>
    </row>
    <row r="281" spans="1:13">
      <c r="A281" s="461" t="s">
        <v>2333</v>
      </c>
      <c r="B281" s="461" t="s">
        <v>2572</v>
      </c>
      <c r="C281" s="468" t="s">
        <v>2649</v>
      </c>
      <c r="D281" s="468" t="s">
        <v>2703</v>
      </c>
      <c r="E281" s="468" t="s">
        <v>5158</v>
      </c>
      <c r="F281" s="461" t="s">
        <v>5159</v>
      </c>
      <c r="G281" s="461" t="s">
        <v>5160</v>
      </c>
      <c r="H281" s="461" t="s">
        <v>5158</v>
      </c>
      <c r="I281" s="461" t="s">
        <v>5161</v>
      </c>
      <c r="J281" s="461" t="s">
        <v>5162</v>
      </c>
      <c r="K281" s="461" t="s">
        <v>7431</v>
      </c>
      <c r="L281" s="461" t="s">
        <v>8692</v>
      </c>
      <c r="M281" s="469" t="s">
        <v>8054</v>
      </c>
    </row>
    <row r="282" spans="1:13">
      <c r="A282" s="465" t="s">
        <v>2482</v>
      </c>
      <c r="B282" s="465" t="s">
        <v>2572</v>
      </c>
      <c r="C282" s="466" t="s">
        <v>2649</v>
      </c>
      <c r="D282" s="466" t="s">
        <v>2703</v>
      </c>
      <c r="E282" s="466" t="s">
        <v>5158</v>
      </c>
      <c r="F282" s="465" t="s">
        <v>5159</v>
      </c>
      <c r="G282" s="465" t="s">
        <v>5160</v>
      </c>
      <c r="H282" s="465" t="s">
        <v>5158</v>
      </c>
      <c r="I282" s="465" t="s">
        <v>5161</v>
      </c>
      <c r="J282" s="465" t="s">
        <v>5162</v>
      </c>
      <c r="K282" s="465" t="s">
        <v>7431</v>
      </c>
      <c r="L282" s="465" t="s">
        <v>8692</v>
      </c>
      <c r="M282" s="467" t="s">
        <v>8054</v>
      </c>
    </row>
    <row r="283" spans="1:13">
      <c r="A283" s="461" t="s">
        <v>2327</v>
      </c>
      <c r="B283" s="461" t="s">
        <v>2572</v>
      </c>
      <c r="C283" s="468" t="s">
        <v>2649</v>
      </c>
      <c r="D283" s="468" t="s">
        <v>2703</v>
      </c>
      <c r="E283" s="468" t="s">
        <v>5158</v>
      </c>
      <c r="F283" s="461" t="s">
        <v>5159</v>
      </c>
      <c r="G283" s="461" t="s">
        <v>5160</v>
      </c>
      <c r="H283" s="461" t="s">
        <v>5158</v>
      </c>
      <c r="I283" s="461" t="s">
        <v>5161</v>
      </c>
      <c r="J283" s="461" t="s">
        <v>5162</v>
      </c>
      <c r="K283" s="461" t="s">
        <v>7431</v>
      </c>
      <c r="L283" s="461" t="s">
        <v>8692</v>
      </c>
      <c r="M283" s="469" t="s">
        <v>8054</v>
      </c>
    </row>
    <row r="284" spans="1:13">
      <c r="A284" s="465" t="s">
        <v>2476</v>
      </c>
      <c r="B284" s="465" t="s">
        <v>2572</v>
      </c>
      <c r="C284" s="466" t="s">
        <v>2649</v>
      </c>
      <c r="D284" s="466" t="s">
        <v>2703</v>
      </c>
      <c r="E284" s="466" t="s">
        <v>5158</v>
      </c>
      <c r="F284" s="465" t="s">
        <v>5159</v>
      </c>
      <c r="G284" s="465" t="s">
        <v>5160</v>
      </c>
      <c r="H284" s="465" t="s">
        <v>5158</v>
      </c>
      <c r="I284" s="465" t="s">
        <v>5161</v>
      </c>
      <c r="J284" s="465" t="s">
        <v>5162</v>
      </c>
      <c r="K284" s="465" t="s">
        <v>7431</v>
      </c>
      <c r="L284" s="465" t="s">
        <v>8692</v>
      </c>
      <c r="M284" s="467" t="s">
        <v>8054</v>
      </c>
    </row>
    <row r="285" spans="1:13">
      <c r="A285" s="472" t="s">
        <v>1510</v>
      </c>
      <c r="B285" s="461" t="s">
        <v>1220</v>
      </c>
      <c r="C285" s="468" t="s">
        <v>1219</v>
      </c>
      <c r="D285" s="468" t="s">
        <v>1221</v>
      </c>
      <c r="E285" s="468" t="s">
        <v>4962</v>
      </c>
      <c r="F285" s="461" t="s">
        <v>4963</v>
      </c>
      <c r="G285" s="461" t="s">
        <v>4964</v>
      </c>
      <c r="H285" s="461" t="s">
        <v>4965</v>
      </c>
      <c r="I285" s="461" t="s">
        <v>4966</v>
      </c>
      <c r="J285" s="461" t="s">
        <v>4967</v>
      </c>
      <c r="K285" s="461" t="s">
        <v>7402</v>
      </c>
      <c r="L285" s="461" t="s">
        <v>8666</v>
      </c>
      <c r="M285" s="469" t="s">
        <v>8023</v>
      </c>
    </row>
    <row r="286" spans="1:13">
      <c r="A286" s="465" t="s">
        <v>5178</v>
      </c>
      <c r="B286" s="465" t="s">
        <v>1220</v>
      </c>
      <c r="C286" s="466" t="s">
        <v>1219</v>
      </c>
      <c r="D286" s="466" t="s">
        <v>1221</v>
      </c>
      <c r="E286" s="466" t="s">
        <v>4962</v>
      </c>
      <c r="F286" s="465" t="s">
        <v>4963</v>
      </c>
      <c r="G286" s="465" t="s">
        <v>4964</v>
      </c>
      <c r="H286" s="465" t="s">
        <v>4965</v>
      </c>
      <c r="I286" s="465" t="s">
        <v>4966</v>
      </c>
      <c r="J286" s="465" t="s">
        <v>5179</v>
      </c>
      <c r="K286" s="465" t="s">
        <v>7402</v>
      </c>
      <c r="L286" s="465" t="s">
        <v>8666</v>
      </c>
      <c r="M286" s="467" t="s">
        <v>8023</v>
      </c>
    </row>
    <row r="287" spans="1:13">
      <c r="A287" s="461" t="s">
        <v>1445</v>
      </c>
      <c r="B287" s="461" t="s">
        <v>744</v>
      </c>
      <c r="C287" s="468" t="s">
        <v>743</v>
      </c>
      <c r="D287" s="468" t="s">
        <v>1012</v>
      </c>
      <c r="E287" s="468" t="s">
        <v>4356</v>
      </c>
      <c r="F287" s="461" t="s">
        <v>4357</v>
      </c>
      <c r="G287" s="461" t="s">
        <v>4789</v>
      </c>
      <c r="H287" s="461" t="s">
        <v>4359</v>
      </c>
      <c r="I287" s="461" t="s">
        <v>4360</v>
      </c>
      <c r="J287" s="461" t="s">
        <v>4361</v>
      </c>
      <c r="K287" s="461" t="s">
        <v>7357</v>
      </c>
      <c r="L287" s="461" t="s">
        <v>8573</v>
      </c>
      <c r="M287" s="469" t="s">
        <v>7927</v>
      </c>
    </row>
    <row r="288" spans="1:13">
      <c r="A288" s="465" t="s">
        <v>1438</v>
      </c>
      <c r="B288" s="465" t="s">
        <v>356</v>
      </c>
      <c r="C288" s="466" t="s">
        <v>355</v>
      </c>
      <c r="D288" s="466" t="s">
        <v>357</v>
      </c>
      <c r="E288" s="466" t="s">
        <v>3608</v>
      </c>
      <c r="F288" s="465" t="s">
        <v>3609</v>
      </c>
      <c r="G288" s="465" t="s">
        <v>5036</v>
      </c>
      <c r="H288" s="465" t="s">
        <v>3611</v>
      </c>
      <c r="I288" s="465" t="s">
        <v>3612</v>
      </c>
      <c r="J288" s="465" t="s">
        <v>3613</v>
      </c>
      <c r="K288" s="465" t="s">
        <v>7246</v>
      </c>
      <c r="L288" s="465" t="s">
        <v>8462</v>
      </c>
      <c r="M288" s="467" t="s">
        <v>8034</v>
      </c>
    </row>
    <row r="289" spans="1:13">
      <c r="A289" s="461" t="s">
        <v>1439</v>
      </c>
      <c r="B289" s="461" t="s">
        <v>356</v>
      </c>
      <c r="C289" s="468" t="s">
        <v>355</v>
      </c>
      <c r="D289" s="468" t="s">
        <v>357</v>
      </c>
      <c r="E289" s="468" t="s">
        <v>3608</v>
      </c>
      <c r="F289" s="461" t="s">
        <v>3609</v>
      </c>
      <c r="G289" s="461" t="s">
        <v>5036</v>
      </c>
      <c r="H289" s="461" t="s">
        <v>3611</v>
      </c>
      <c r="I289" s="461" t="s">
        <v>3612</v>
      </c>
      <c r="J289" s="461" t="s">
        <v>3613</v>
      </c>
      <c r="K289" s="461" t="s">
        <v>7246</v>
      </c>
      <c r="L289" s="461" t="s">
        <v>8462</v>
      </c>
      <c r="M289" s="469" t="s">
        <v>8034</v>
      </c>
    </row>
    <row r="290" spans="1:13">
      <c r="A290" s="475" t="s">
        <v>12052</v>
      </c>
      <c r="B290" s="475" t="s">
        <v>11929</v>
      </c>
      <c r="C290" s="475" t="s">
        <v>1520</v>
      </c>
      <c r="D290" s="475" t="s">
        <v>12155</v>
      </c>
      <c r="E290" s="475" t="s">
        <v>5190</v>
      </c>
      <c r="F290" s="475" t="s">
        <v>5191</v>
      </c>
      <c r="G290" s="475" t="s">
        <v>11934</v>
      </c>
      <c r="H290" s="475" t="s">
        <v>5193</v>
      </c>
      <c r="I290" s="475" t="s">
        <v>12156</v>
      </c>
      <c r="J290" s="475" t="s">
        <v>5195</v>
      </c>
      <c r="K290" s="475" t="s">
        <v>7434</v>
      </c>
      <c r="L290" s="475" t="s">
        <v>8695</v>
      </c>
      <c r="M290" s="476" t="s">
        <v>8057</v>
      </c>
    </row>
    <row r="291" spans="1:13">
      <c r="A291" s="473" t="s">
        <v>12220</v>
      </c>
      <c r="B291" s="473" t="s">
        <v>11929</v>
      </c>
      <c r="C291" s="473" t="s">
        <v>1520</v>
      </c>
      <c r="D291" s="473" t="s">
        <v>12155</v>
      </c>
      <c r="E291" s="473" t="s">
        <v>5190</v>
      </c>
      <c r="F291" s="473" t="s">
        <v>5191</v>
      </c>
      <c r="G291" s="473" t="s">
        <v>11934</v>
      </c>
      <c r="H291" s="473" t="s">
        <v>5193</v>
      </c>
      <c r="I291" s="473" t="s">
        <v>12156</v>
      </c>
      <c r="J291" s="473" t="s">
        <v>5195</v>
      </c>
      <c r="K291" s="473" t="s">
        <v>7434</v>
      </c>
      <c r="L291" s="473" t="s">
        <v>8695</v>
      </c>
      <c r="M291" s="474" t="s">
        <v>8057</v>
      </c>
    </row>
    <row r="292" spans="1:13">
      <c r="A292" s="465" t="s">
        <v>1447</v>
      </c>
      <c r="B292" s="465" t="s">
        <v>758</v>
      </c>
      <c r="C292" s="466" t="s">
        <v>757</v>
      </c>
      <c r="D292" s="466" t="s">
        <v>1180</v>
      </c>
      <c r="E292" s="466" t="s">
        <v>4391</v>
      </c>
      <c r="F292" s="465" t="s">
        <v>4392</v>
      </c>
      <c r="G292" s="465" t="s">
        <v>4927</v>
      </c>
      <c r="H292" s="465" t="s">
        <v>4394</v>
      </c>
      <c r="I292" s="465" t="s">
        <v>4395</v>
      </c>
      <c r="J292" s="465" t="s">
        <v>4396</v>
      </c>
      <c r="K292" s="465" t="s">
        <v>7363</v>
      </c>
      <c r="L292" s="465" t="s">
        <v>8579</v>
      </c>
      <c r="M292" s="467" t="s">
        <v>7933</v>
      </c>
    </row>
    <row r="293" spans="1:13">
      <c r="A293" s="461" t="s">
        <v>1433</v>
      </c>
      <c r="B293" s="461" t="s">
        <v>1436</v>
      </c>
      <c r="C293" s="468" t="s">
        <v>1435</v>
      </c>
      <c r="D293" s="468" t="s">
        <v>1437</v>
      </c>
      <c r="E293" s="468" t="s">
        <v>5120</v>
      </c>
      <c r="F293" s="461" t="s">
        <v>5121</v>
      </c>
      <c r="G293" s="461" t="s">
        <v>5122</v>
      </c>
      <c r="H293" s="461" t="s">
        <v>5123</v>
      </c>
      <c r="I293" s="461" t="s">
        <v>5124</v>
      </c>
      <c r="J293" s="461" t="s">
        <v>5125</v>
      </c>
      <c r="K293" s="461" t="s">
        <v>7425</v>
      </c>
      <c r="L293" s="461" t="s">
        <v>8687</v>
      </c>
      <c r="M293" s="469" t="s">
        <v>8048</v>
      </c>
    </row>
    <row r="294" spans="1:13">
      <c r="A294" s="465" t="s">
        <v>940</v>
      </c>
      <c r="B294" s="465" t="s">
        <v>942</v>
      </c>
      <c r="C294" s="466" t="s">
        <v>941</v>
      </c>
      <c r="D294" s="466" t="s">
        <v>943</v>
      </c>
      <c r="E294" s="466" t="s">
        <v>4708</v>
      </c>
      <c r="F294" s="465" t="s">
        <v>4709</v>
      </c>
      <c r="G294" s="465" t="s">
        <v>4710</v>
      </c>
      <c r="H294" s="465" t="s">
        <v>4711</v>
      </c>
      <c r="I294" s="465" t="s">
        <v>4712</v>
      </c>
      <c r="J294" s="465" t="s">
        <v>4713</v>
      </c>
      <c r="K294" s="470" t="s">
        <v>7368</v>
      </c>
      <c r="L294" s="465" t="s">
        <v>8631</v>
      </c>
      <c r="M294" s="467" t="s">
        <v>7986</v>
      </c>
    </row>
    <row r="295" spans="1:13">
      <c r="A295" s="461" t="s">
        <v>976</v>
      </c>
      <c r="B295" s="461" t="s">
        <v>707</v>
      </c>
      <c r="C295" s="468" t="s">
        <v>706</v>
      </c>
      <c r="D295" s="468" t="s">
        <v>708</v>
      </c>
      <c r="E295" s="468" t="s">
        <v>4759</v>
      </c>
      <c r="F295" s="461" t="s">
        <v>4380</v>
      </c>
      <c r="G295" s="461" t="s">
        <v>4760</v>
      </c>
      <c r="H295" s="461" t="s">
        <v>4382</v>
      </c>
      <c r="I295" s="461" t="s">
        <v>4761</v>
      </c>
      <c r="J295" s="461" t="s">
        <v>4762</v>
      </c>
      <c r="K295" s="471" t="s">
        <v>7361</v>
      </c>
      <c r="L295" s="461" t="s">
        <v>8577</v>
      </c>
      <c r="M295" s="469" t="s">
        <v>7931</v>
      </c>
    </row>
    <row r="296" spans="1:13">
      <c r="A296" s="465" t="s">
        <v>981</v>
      </c>
      <c r="B296" s="465" t="s">
        <v>707</v>
      </c>
      <c r="C296" s="466" t="s">
        <v>706</v>
      </c>
      <c r="D296" s="480" t="s">
        <v>708</v>
      </c>
      <c r="E296" s="475" t="s">
        <v>4759</v>
      </c>
      <c r="F296" s="465" t="s">
        <v>4380</v>
      </c>
      <c r="G296" s="465" t="s">
        <v>4760</v>
      </c>
      <c r="H296" s="465" t="s">
        <v>4382</v>
      </c>
      <c r="I296" s="465" t="s">
        <v>4761</v>
      </c>
      <c r="J296" s="465" t="s">
        <v>4762</v>
      </c>
      <c r="K296" s="470" t="s">
        <v>7361</v>
      </c>
      <c r="L296" s="465" t="s">
        <v>8577</v>
      </c>
      <c r="M296" s="467" t="s">
        <v>7931</v>
      </c>
    </row>
    <row r="297" spans="1:13">
      <c r="A297" s="461" t="s">
        <v>987</v>
      </c>
      <c r="B297" s="461" t="s">
        <v>707</v>
      </c>
      <c r="C297" s="468" t="s">
        <v>706</v>
      </c>
      <c r="D297" s="473" t="s">
        <v>708</v>
      </c>
      <c r="E297" s="473" t="s">
        <v>4759</v>
      </c>
      <c r="F297" s="461" t="s">
        <v>4380</v>
      </c>
      <c r="G297" s="461" t="s">
        <v>4760</v>
      </c>
      <c r="H297" s="461" t="s">
        <v>4382</v>
      </c>
      <c r="I297" s="461" t="s">
        <v>4761</v>
      </c>
      <c r="J297" s="461" t="s">
        <v>4384</v>
      </c>
      <c r="K297" s="471" t="s">
        <v>7361</v>
      </c>
      <c r="L297" s="461" t="s">
        <v>8577</v>
      </c>
      <c r="M297" s="469" t="s">
        <v>7931</v>
      </c>
    </row>
    <row r="298" spans="1:13">
      <c r="A298" s="465" t="s">
        <v>980</v>
      </c>
      <c r="B298" s="465" t="s">
        <v>707</v>
      </c>
      <c r="C298" s="466" t="s">
        <v>706</v>
      </c>
      <c r="D298" s="475" t="s">
        <v>708</v>
      </c>
      <c r="E298" s="475" t="s">
        <v>4759</v>
      </c>
      <c r="F298" s="465" t="s">
        <v>4380</v>
      </c>
      <c r="G298" s="465" t="s">
        <v>4760</v>
      </c>
      <c r="H298" s="465" t="s">
        <v>4382</v>
      </c>
      <c r="I298" s="465" t="s">
        <v>4761</v>
      </c>
      <c r="J298" s="465" t="s">
        <v>4762</v>
      </c>
      <c r="K298" s="470" t="s">
        <v>7361</v>
      </c>
      <c r="L298" s="465" t="s">
        <v>8577</v>
      </c>
      <c r="M298" s="467" t="s">
        <v>7931</v>
      </c>
    </row>
    <row r="299" spans="1:13">
      <c r="A299" s="461" t="s">
        <v>1000</v>
      </c>
      <c r="B299" s="461" t="s">
        <v>1003</v>
      </c>
      <c r="C299" s="468" t="s">
        <v>1002</v>
      </c>
      <c r="D299" s="473" t="s">
        <v>1004</v>
      </c>
      <c r="E299" s="473" t="s">
        <v>4776</v>
      </c>
      <c r="F299" s="461" t="s">
        <v>4777</v>
      </c>
      <c r="G299" s="461" t="s">
        <v>4778</v>
      </c>
      <c r="H299" s="461" t="s">
        <v>4779</v>
      </c>
      <c r="I299" s="461" t="s">
        <v>4780</v>
      </c>
      <c r="J299" s="461" t="s">
        <v>4781</v>
      </c>
      <c r="K299" s="471" t="s">
        <v>7377</v>
      </c>
      <c r="L299" s="461" t="s">
        <v>8640</v>
      </c>
      <c r="M299" s="469" t="s">
        <v>7994</v>
      </c>
    </row>
    <row r="300" spans="1:13">
      <c r="A300" s="465" t="s">
        <v>985</v>
      </c>
      <c r="B300" s="465" t="s">
        <v>707</v>
      </c>
      <c r="C300" s="466" t="s">
        <v>706</v>
      </c>
      <c r="D300" s="475" t="s">
        <v>708</v>
      </c>
      <c r="E300" s="475" t="s">
        <v>4759</v>
      </c>
      <c r="F300" s="465" t="s">
        <v>4380</v>
      </c>
      <c r="G300" s="465" t="s">
        <v>4760</v>
      </c>
      <c r="H300" s="465" t="s">
        <v>4382</v>
      </c>
      <c r="I300" s="465" t="s">
        <v>4761</v>
      </c>
      <c r="J300" s="465" t="s">
        <v>4762</v>
      </c>
      <c r="K300" s="470" t="s">
        <v>7361</v>
      </c>
      <c r="L300" s="465" t="s">
        <v>8577</v>
      </c>
      <c r="M300" s="467" t="s">
        <v>7931</v>
      </c>
    </row>
    <row r="301" spans="1:13">
      <c r="A301" s="473" t="s">
        <v>10500</v>
      </c>
      <c r="B301" s="473" t="s">
        <v>10604</v>
      </c>
      <c r="C301" s="473" t="s">
        <v>10608</v>
      </c>
      <c r="D301" s="473" t="s">
        <v>10610</v>
      </c>
      <c r="E301" s="473" t="s">
        <v>10612</v>
      </c>
      <c r="F301" s="473" t="s">
        <v>10614</v>
      </c>
      <c r="G301" s="473" t="s">
        <v>10616</v>
      </c>
      <c r="H301" s="473" t="s">
        <v>10606</v>
      </c>
      <c r="I301" s="473" t="s">
        <v>10618</v>
      </c>
      <c r="J301" s="473" t="s">
        <v>10620</v>
      </c>
      <c r="K301" s="473" t="s">
        <v>10622</v>
      </c>
      <c r="L301" s="473" t="s">
        <v>10624</v>
      </c>
      <c r="M301" s="474" t="s">
        <v>10626</v>
      </c>
    </row>
    <row r="302" spans="1:13">
      <c r="A302" s="465" t="s">
        <v>989</v>
      </c>
      <c r="B302" s="465" t="s">
        <v>707</v>
      </c>
      <c r="C302" s="466" t="s">
        <v>706</v>
      </c>
      <c r="D302" s="475" t="s">
        <v>708</v>
      </c>
      <c r="E302" s="475" t="s">
        <v>4759</v>
      </c>
      <c r="F302" s="465" t="s">
        <v>4380</v>
      </c>
      <c r="G302" s="465" t="s">
        <v>4760</v>
      </c>
      <c r="H302" s="465" t="s">
        <v>4382</v>
      </c>
      <c r="I302" s="465" t="s">
        <v>4761</v>
      </c>
      <c r="J302" s="465" t="s">
        <v>4384</v>
      </c>
      <c r="K302" s="470" t="s">
        <v>7361</v>
      </c>
      <c r="L302" s="465" t="s">
        <v>8577</v>
      </c>
      <c r="M302" s="467" t="s">
        <v>7931</v>
      </c>
    </row>
    <row r="303" spans="1:13">
      <c r="A303" s="461" t="s">
        <v>977</v>
      </c>
      <c r="B303" s="461" t="s">
        <v>707</v>
      </c>
      <c r="C303" s="468" t="s">
        <v>706</v>
      </c>
      <c r="D303" s="468" t="s">
        <v>708</v>
      </c>
      <c r="E303" s="468" t="s">
        <v>4759</v>
      </c>
      <c r="F303" s="461" t="s">
        <v>4380</v>
      </c>
      <c r="G303" s="461" t="s">
        <v>4760</v>
      </c>
      <c r="H303" s="461" t="s">
        <v>4382</v>
      </c>
      <c r="I303" s="461" t="s">
        <v>4761</v>
      </c>
      <c r="J303" s="461" t="s">
        <v>4762</v>
      </c>
      <c r="K303" s="471" t="s">
        <v>7361</v>
      </c>
      <c r="L303" s="461" t="s">
        <v>8577</v>
      </c>
      <c r="M303" s="469" t="s">
        <v>7931</v>
      </c>
    </row>
    <row r="304" spans="1:13">
      <c r="A304" s="465" t="s">
        <v>995</v>
      </c>
      <c r="B304" s="465" t="s">
        <v>998</v>
      </c>
      <c r="C304" s="466" t="s">
        <v>997</v>
      </c>
      <c r="D304" s="475" t="s">
        <v>999</v>
      </c>
      <c r="E304" s="475" t="s">
        <v>4770</v>
      </c>
      <c r="F304" s="465" t="s">
        <v>4771</v>
      </c>
      <c r="G304" s="465" t="s">
        <v>4772</v>
      </c>
      <c r="H304" s="465" t="s">
        <v>4773</v>
      </c>
      <c r="I304" s="465" t="s">
        <v>4774</v>
      </c>
      <c r="J304" s="465" t="s">
        <v>4775</v>
      </c>
      <c r="K304" s="470" t="s">
        <v>7376</v>
      </c>
      <c r="L304" s="465" t="s">
        <v>8639</v>
      </c>
      <c r="M304" s="467" t="s">
        <v>7993</v>
      </c>
    </row>
    <row r="305" spans="1:13">
      <c r="A305" s="461" t="s">
        <v>990</v>
      </c>
      <c r="B305" s="461" t="s">
        <v>993</v>
      </c>
      <c r="C305" s="468" t="s">
        <v>992</v>
      </c>
      <c r="D305" s="473" t="s">
        <v>994</v>
      </c>
      <c r="E305" s="473" t="s">
        <v>4764</v>
      </c>
      <c r="F305" s="461" t="s">
        <v>4765</v>
      </c>
      <c r="G305" s="461" t="s">
        <v>4766</v>
      </c>
      <c r="H305" s="461" t="s">
        <v>4767</v>
      </c>
      <c r="I305" s="461" t="s">
        <v>4768</v>
      </c>
      <c r="J305" s="461" t="s">
        <v>4769</v>
      </c>
      <c r="K305" s="471" t="s">
        <v>7375</v>
      </c>
      <c r="L305" s="461" t="s">
        <v>8638</v>
      </c>
      <c r="M305" s="469" t="s">
        <v>7992</v>
      </c>
    </row>
    <row r="306" spans="1:13">
      <c r="A306" s="475" t="s">
        <v>2753</v>
      </c>
      <c r="B306" s="475" t="s">
        <v>10604</v>
      </c>
      <c r="C306" s="475" t="s">
        <v>10608</v>
      </c>
      <c r="D306" s="475" t="s">
        <v>10610</v>
      </c>
      <c r="E306" s="475" t="s">
        <v>10612</v>
      </c>
      <c r="F306" s="475" t="s">
        <v>10614</v>
      </c>
      <c r="G306" s="475" t="s">
        <v>10616</v>
      </c>
      <c r="H306" s="475" t="s">
        <v>10606</v>
      </c>
      <c r="I306" s="475" t="s">
        <v>10618</v>
      </c>
      <c r="J306" s="475" t="s">
        <v>10620</v>
      </c>
      <c r="K306" s="475" t="s">
        <v>10622</v>
      </c>
      <c r="L306" s="475" t="s">
        <v>10624</v>
      </c>
      <c r="M306" s="476" t="s">
        <v>10626</v>
      </c>
    </row>
    <row r="307" spans="1:13">
      <c r="A307" s="461" t="s">
        <v>983</v>
      </c>
      <c r="B307" s="461" t="s">
        <v>707</v>
      </c>
      <c r="C307" s="468" t="s">
        <v>706</v>
      </c>
      <c r="D307" s="473" t="s">
        <v>708</v>
      </c>
      <c r="E307" s="473" t="s">
        <v>4759</v>
      </c>
      <c r="F307" s="461" t="s">
        <v>4380</v>
      </c>
      <c r="G307" s="461" t="s">
        <v>4760</v>
      </c>
      <c r="H307" s="461" t="s">
        <v>4382</v>
      </c>
      <c r="I307" s="461" t="s">
        <v>4761</v>
      </c>
      <c r="J307" s="461" t="s">
        <v>4762</v>
      </c>
      <c r="K307" s="471" t="s">
        <v>7361</v>
      </c>
      <c r="L307" s="461" t="s">
        <v>8577</v>
      </c>
      <c r="M307" s="469" t="s">
        <v>7931</v>
      </c>
    </row>
    <row r="308" spans="1:13">
      <c r="A308" s="465" t="s">
        <v>988</v>
      </c>
      <c r="B308" s="465" t="s">
        <v>707</v>
      </c>
      <c r="C308" s="466" t="s">
        <v>706</v>
      </c>
      <c r="D308" s="475" t="s">
        <v>708</v>
      </c>
      <c r="E308" s="475" t="s">
        <v>4759</v>
      </c>
      <c r="F308" s="465" t="s">
        <v>4380</v>
      </c>
      <c r="G308" s="465" t="s">
        <v>4760</v>
      </c>
      <c r="H308" s="465" t="s">
        <v>4382</v>
      </c>
      <c r="I308" s="465" t="s">
        <v>4761</v>
      </c>
      <c r="J308" s="465" t="s">
        <v>4384</v>
      </c>
      <c r="K308" s="470" t="s">
        <v>7361</v>
      </c>
      <c r="L308" s="465" t="s">
        <v>8577</v>
      </c>
      <c r="M308" s="467" t="s">
        <v>7931</v>
      </c>
    </row>
    <row r="309" spans="1:13">
      <c r="A309" s="461" t="s">
        <v>1009</v>
      </c>
      <c r="B309" s="461" t="s">
        <v>1007</v>
      </c>
      <c r="C309" s="468" t="s">
        <v>1006</v>
      </c>
      <c r="D309" s="473" t="s">
        <v>1008</v>
      </c>
      <c r="E309" s="473" t="s">
        <v>4782</v>
      </c>
      <c r="F309" s="461" t="s">
        <v>4783</v>
      </c>
      <c r="G309" s="461" t="s">
        <v>4784</v>
      </c>
      <c r="H309" s="461" t="s">
        <v>4785</v>
      </c>
      <c r="I309" s="461" t="s">
        <v>4786</v>
      </c>
      <c r="J309" s="461" t="s">
        <v>4787</v>
      </c>
      <c r="K309" s="471" t="s">
        <v>7378</v>
      </c>
      <c r="L309" s="461" t="s">
        <v>8641</v>
      </c>
      <c r="M309" s="469" t="s">
        <v>7995</v>
      </c>
    </row>
    <row r="310" spans="1:13">
      <c r="A310" s="475" t="s">
        <v>2080</v>
      </c>
      <c r="B310" s="475" t="s">
        <v>10604</v>
      </c>
      <c r="C310" s="475" t="s">
        <v>10608</v>
      </c>
      <c r="D310" s="475" t="s">
        <v>10610</v>
      </c>
      <c r="E310" s="475" t="s">
        <v>10612</v>
      </c>
      <c r="F310" s="475" t="s">
        <v>10614</v>
      </c>
      <c r="G310" s="475" t="s">
        <v>10616</v>
      </c>
      <c r="H310" s="475" t="s">
        <v>10606</v>
      </c>
      <c r="I310" s="475" t="s">
        <v>10618</v>
      </c>
      <c r="J310" s="475" t="s">
        <v>10620</v>
      </c>
      <c r="K310" s="475" t="s">
        <v>10622</v>
      </c>
      <c r="L310" s="475" t="s">
        <v>10624</v>
      </c>
      <c r="M310" s="476" t="s">
        <v>10626</v>
      </c>
    </row>
    <row r="311" spans="1:13">
      <c r="A311" s="461" t="s">
        <v>978</v>
      </c>
      <c r="B311" s="461" t="s">
        <v>707</v>
      </c>
      <c r="C311" s="468" t="s">
        <v>706</v>
      </c>
      <c r="D311" s="468" t="s">
        <v>708</v>
      </c>
      <c r="E311" s="468" t="s">
        <v>4759</v>
      </c>
      <c r="F311" s="461" t="s">
        <v>4380</v>
      </c>
      <c r="G311" s="461" t="s">
        <v>4760</v>
      </c>
      <c r="H311" s="461" t="s">
        <v>4382</v>
      </c>
      <c r="I311" s="461" t="s">
        <v>4761</v>
      </c>
      <c r="J311" s="461" t="s">
        <v>4762</v>
      </c>
      <c r="K311" s="471" t="s">
        <v>7361</v>
      </c>
      <c r="L311" s="461" t="s">
        <v>8577</v>
      </c>
      <c r="M311" s="469" t="s">
        <v>7931</v>
      </c>
    </row>
    <row r="312" spans="1:13">
      <c r="A312" s="465" t="s">
        <v>2282</v>
      </c>
      <c r="B312" s="465" t="s">
        <v>1096</v>
      </c>
      <c r="C312" s="466" t="s">
        <v>1095</v>
      </c>
      <c r="D312" s="466" t="s">
        <v>1097</v>
      </c>
      <c r="E312" s="466" t="s">
        <v>4842</v>
      </c>
      <c r="F312" s="465" t="s">
        <v>4843</v>
      </c>
      <c r="G312" s="465" t="s">
        <v>4844</v>
      </c>
      <c r="H312" s="465" t="s">
        <v>4842</v>
      </c>
      <c r="I312" s="465" t="s">
        <v>4845</v>
      </c>
      <c r="J312" s="465" t="s">
        <v>4846</v>
      </c>
      <c r="K312" s="465" t="s">
        <v>7385</v>
      </c>
      <c r="L312" s="465" t="s">
        <v>8648</v>
      </c>
      <c r="M312" s="467" t="s">
        <v>8005</v>
      </c>
    </row>
    <row r="313" spans="1:13">
      <c r="A313" s="461" t="s">
        <v>2428</v>
      </c>
      <c r="B313" s="461" t="s">
        <v>1096</v>
      </c>
      <c r="C313" s="468" t="s">
        <v>1095</v>
      </c>
      <c r="D313" s="468" t="s">
        <v>1097</v>
      </c>
      <c r="E313" s="468" t="s">
        <v>4842</v>
      </c>
      <c r="F313" s="461" t="s">
        <v>4843</v>
      </c>
      <c r="G313" s="461" t="s">
        <v>4844</v>
      </c>
      <c r="H313" s="461" t="s">
        <v>4842</v>
      </c>
      <c r="I313" s="461" t="s">
        <v>4845</v>
      </c>
      <c r="J313" s="461" t="s">
        <v>4846</v>
      </c>
      <c r="K313" s="461" t="s">
        <v>7385</v>
      </c>
      <c r="L313" s="461" t="s">
        <v>8648</v>
      </c>
      <c r="M313" s="469" t="s">
        <v>8005</v>
      </c>
    </row>
    <row r="314" spans="1:13">
      <c r="A314" s="465" t="s">
        <v>2280</v>
      </c>
      <c r="B314" s="465" t="s">
        <v>1096</v>
      </c>
      <c r="C314" s="466" t="s">
        <v>1095</v>
      </c>
      <c r="D314" s="466" t="s">
        <v>1097</v>
      </c>
      <c r="E314" s="466" t="s">
        <v>4842</v>
      </c>
      <c r="F314" s="465" t="s">
        <v>4843</v>
      </c>
      <c r="G314" s="465" t="s">
        <v>4844</v>
      </c>
      <c r="H314" s="465" t="s">
        <v>4842</v>
      </c>
      <c r="I314" s="465" t="s">
        <v>4845</v>
      </c>
      <c r="J314" s="465" t="s">
        <v>4846</v>
      </c>
      <c r="K314" s="465" t="s">
        <v>7385</v>
      </c>
      <c r="L314" s="465" t="s">
        <v>8648</v>
      </c>
      <c r="M314" s="467" t="s">
        <v>8005</v>
      </c>
    </row>
    <row r="315" spans="1:13">
      <c r="A315" s="461" t="s">
        <v>2424</v>
      </c>
      <c r="B315" s="461" t="s">
        <v>1096</v>
      </c>
      <c r="C315" s="468" t="s">
        <v>1095</v>
      </c>
      <c r="D315" s="468" t="s">
        <v>1097</v>
      </c>
      <c r="E315" s="468" t="s">
        <v>4842</v>
      </c>
      <c r="F315" s="461" t="s">
        <v>4843</v>
      </c>
      <c r="G315" s="461" t="s">
        <v>4844</v>
      </c>
      <c r="H315" s="461" t="s">
        <v>4842</v>
      </c>
      <c r="I315" s="461" t="s">
        <v>4845</v>
      </c>
      <c r="J315" s="461" t="s">
        <v>4846</v>
      </c>
      <c r="K315" s="461" t="s">
        <v>7388</v>
      </c>
      <c r="L315" s="461" t="s">
        <v>8648</v>
      </c>
      <c r="M315" s="469" t="s">
        <v>8005</v>
      </c>
    </row>
    <row r="316" spans="1:13">
      <c r="A316" s="472" t="s">
        <v>2284</v>
      </c>
      <c r="B316" s="465" t="s">
        <v>707</v>
      </c>
      <c r="C316" s="466" t="s">
        <v>706</v>
      </c>
      <c r="D316" s="466" t="s">
        <v>708</v>
      </c>
      <c r="E316" s="466" t="s">
        <v>4379</v>
      </c>
      <c r="F316" s="465" t="s">
        <v>4380</v>
      </c>
      <c r="G316" s="465" t="s">
        <v>4760</v>
      </c>
      <c r="H316" s="465" t="s">
        <v>4382</v>
      </c>
      <c r="I316" s="465" t="s">
        <v>4761</v>
      </c>
      <c r="J316" s="465" t="s">
        <v>4384</v>
      </c>
      <c r="K316" s="465" t="s">
        <v>7361</v>
      </c>
      <c r="L316" s="465" t="s">
        <v>8577</v>
      </c>
      <c r="M316" s="467" t="s">
        <v>7931</v>
      </c>
    </row>
    <row r="317" spans="1:13">
      <c r="A317" s="461" t="s">
        <v>1145</v>
      </c>
      <c r="B317" s="461" t="s">
        <v>707</v>
      </c>
      <c r="C317" s="468" t="s">
        <v>706</v>
      </c>
      <c r="D317" s="468" t="s">
        <v>708</v>
      </c>
      <c r="E317" s="468" t="s">
        <v>4379</v>
      </c>
      <c r="F317" s="461" t="s">
        <v>4380</v>
      </c>
      <c r="G317" s="461" t="s">
        <v>4760</v>
      </c>
      <c r="H317" s="461" t="s">
        <v>4382</v>
      </c>
      <c r="I317" s="461" t="s">
        <v>4761</v>
      </c>
      <c r="J317" s="461" t="s">
        <v>4384</v>
      </c>
      <c r="K317" s="461" t="s">
        <v>7361</v>
      </c>
      <c r="L317" s="461" t="s">
        <v>8577</v>
      </c>
      <c r="M317" s="469" t="s">
        <v>7931</v>
      </c>
    </row>
    <row r="318" spans="1:13">
      <c r="A318" s="477" t="s">
        <v>1143</v>
      </c>
      <c r="B318" s="465" t="s">
        <v>961</v>
      </c>
      <c r="C318" s="466" t="s">
        <v>587</v>
      </c>
      <c r="D318" s="466" t="s">
        <v>962</v>
      </c>
      <c r="E318" s="466" t="s">
        <v>4897</v>
      </c>
      <c r="F318" s="465" t="s">
        <v>4001</v>
      </c>
      <c r="G318" s="465" t="s">
        <v>4002</v>
      </c>
      <c r="H318" s="465" t="s">
        <v>4745</v>
      </c>
      <c r="I318" s="465" t="s">
        <v>4025</v>
      </c>
      <c r="J318" s="465" t="s">
        <v>4005</v>
      </c>
      <c r="K318" s="465" t="s">
        <v>7393</v>
      </c>
      <c r="L318" s="465" t="s">
        <v>8636</v>
      </c>
      <c r="M318" s="467" t="s">
        <v>8012</v>
      </c>
    </row>
    <row r="319" spans="1:13">
      <c r="A319" s="477" t="s">
        <v>1147</v>
      </c>
      <c r="B319" s="461" t="s">
        <v>707</v>
      </c>
      <c r="C319" s="468" t="s">
        <v>706</v>
      </c>
      <c r="D319" s="468" t="s">
        <v>708</v>
      </c>
      <c r="E319" s="468" t="s">
        <v>4379</v>
      </c>
      <c r="F319" s="461" t="s">
        <v>4380</v>
      </c>
      <c r="G319" s="461" t="s">
        <v>4760</v>
      </c>
      <c r="H319" s="461" t="s">
        <v>4382</v>
      </c>
      <c r="I319" s="461" t="s">
        <v>4761</v>
      </c>
      <c r="J319" s="461" t="s">
        <v>4384</v>
      </c>
      <c r="K319" s="461" t="s">
        <v>7361</v>
      </c>
      <c r="L319" s="461" t="s">
        <v>8577</v>
      </c>
      <c r="M319" s="469" t="s">
        <v>7931</v>
      </c>
    </row>
    <row r="320" spans="1:13">
      <c r="A320" s="465" t="s">
        <v>2285</v>
      </c>
      <c r="B320" s="465" t="s">
        <v>2538</v>
      </c>
      <c r="C320" s="466" t="s">
        <v>2645</v>
      </c>
      <c r="D320" s="466" t="s">
        <v>2699</v>
      </c>
      <c r="E320" s="466" t="s">
        <v>4012</v>
      </c>
      <c r="F320" s="465" t="s">
        <v>4898</v>
      </c>
      <c r="G320" s="465" t="s">
        <v>4014</v>
      </c>
      <c r="H320" s="465" t="s">
        <v>4899</v>
      </c>
      <c r="I320" s="465" t="s">
        <v>4900</v>
      </c>
      <c r="J320" s="465" t="s">
        <v>4016</v>
      </c>
      <c r="K320" s="465" t="s">
        <v>7311</v>
      </c>
      <c r="L320" s="465" t="s">
        <v>8656</v>
      </c>
      <c r="M320" s="467" t="s">
        <v>8013</v>
      </c>
    </row>
    <row r="321" spans="1:13">
      <c r="A321" s="461" t="s">
        <v>1142</v>
      </c>
      <c r="B321" s="461" t="s">
        <v>1275</v>
      </c>
      <c r="C321" s="468" t="s">
        <v>706</v>
      </c>
      <c r="D321" s="468" t="s">
        <v>708</v>
      </c>
      <c r="E321" s="468" t="s">
        <v>4379</v>
      </c>
      <c r="F321" s="461" t="s">
        <v>4380</v>
      </c>
      <c r="G321" s="461" t="s">
        <v>4760</v>
      </c>
      <c r="H321" s="461" t="s">
        <v>4382</v>
      </c>
      <c r="I321" s="461" t="s">
        <v>4761</v>
      </c>
      <c r="J321" s="461" t="s">
        <v>4763</v>
      </c>
      <c r="K321" s="461" t="s">
        <v>7361</v>
      </c>
      <c r="L321" s="461" t="s">
        <v>8655</v>
      </c>
      <c r="M321" s="469" t="s">
        <v>7931</v>
      </c>
    </row>
    <row r="322" spans="1:13">
      <c r="A322" s="475" t="s">
        <v>12054</v>
      </c>
      <c r="B322" s="475" t="s">
        <v>12143</v>
      </c>
      <c r="C322" s="475" t="s">
        <v>12144</v>
      </c>
      <c r="D322" s="475" t="s">
        <v>12145</v>
      </c>
      <c r="E322" s="475" t="s">
        <v>12146</v>
      </c>
      <c r="F322" s="475" t="s">
        <v>12147</v>
      </c>
      <c r="G322" s="475" t="s">
        <v>11510</v>
      </c>
      <c r="H322" s="475" t="s">
        <v>12149</v>
      </c>
      <c r="I322" s="475" t="s">
        <v>12150</v>
      </c>
      <c r="J322" s="475" t="s">
        <v>12151</v>
      </c>
      <c r="K322" s="475" t="s">
        <v>12152</v>
      </c>
      <c r="L322" s="475" t="s">
        <v>12153</v>
      </c>
      <c r="M322" s="476" t="s">
        <v>12154</v>
      </c>
    </row>
    <row r="323" spans="1:13">
      <c r="A323" s="473" t="s">
        <v>12221</v>
      </c>
      <c r="B323" s="473" t="s">
        <v>12143</v>
      </c>
      <c r="C323" s="473" t="s">
        <v>12144</v>
      </c>
      <c r="D323" s="473" t="s">
        <v>12145</v>
      </c>
      <c r="E323" s="473" t="s">
        <v>12146</v>
      </c>
      <c r="F323" s="473" t="s">
        <v>12147</v>
      </c>
      <c r="G323" s="473" t="s">
        <v>11510</v>
      </c>
      <c r="H323" s="473" t="s">
        <v>12149</v>
      </c>
      <c r="I323" s="473" t="s">
        <v>12150</v>
      </c>
      <c r="J323" s="473" t="s">
        <v>12151</v>
      </c>
      <c r="K323" s="473" t="s">
        <v>12152</v>
      </c>
      <c r="L323" s="473" t="s">
        <v>12153</v>
      </c>
      <c r="M323" s="474" t="s">
        <v>12154</v>
      </c>
    </row>
    <row r="324" spans="1:13">
      <c r="A324" s="465" t="s">
        <v>1291</v>
      </c>
      <c r="B324" s="465" t="s">
        <v>1275</v>
      </c>
      <c r="C324" s="466" t="s">
        <v>706</v>
      </c>
      <c r="D324" s="466" t="s">
        <v>708</v>
      </c>
      <c r="E324" s="466" t="s">
        <v>4379</v>
      </c>
      <c r="F324" s="465" t="s">
        <v>5007</v>
      </c>
      <c r="G324" s="465" t="s">
        <v>4760</v>
      </c>
      <c r="H324" s="465" t="s">
        <v>4382</v>
      </c>
      <c r="I324" s="465" t="s">
        <v>4761</v>
      </c>
      <c r="J324" s="465" t="s">
        <v>4384</v>
      </c>
      <c r="K324" s="465" t="s">
        <v>7361</v>
      </c>
      <c r="L324" s="465" t="s">
        <v>8577</v>
      </c>
      <c r="M324" s="467" t="s">
        <v>7931</v>
      </c>
    </row>
    <row r="325" spans="1:13">
      <c r="A325" s="461" t="s">
        <v>1285</v>
      </c>
      <c r="B325" s="461" t="s">
        <v>1275</v>
      </c>
      <c r="C325" s="468" t="s">
        <v>706</v>
      </c>
      <c r="D325" s="468" t="s">
        <v>708</v>
      </c>
      <c r="E325" s="468" t="s">
        <v>4379</v>
      </c>
      <c r="F325" s="461" t="s">
        <v>5007</v>
      </c>
      <c r="G325" s="461" t="s">
        <v>4760</v>
      </c>
      <c r="H325" s="461" t="s">
        <v>4382</v>
      </c>
      <c r="I325" s="461" t="s">
        <v>4761</v>
      </c>
      <c r="J325" s="461" t="s">
        <v>4384</v>
      </c>
      <c r="K325" s="461" t="s">
        <v>7361</v>
      </c>
      <c r="L325" s="461" t="s">
        <v>8577</v>
      </c>
      <c r="M325" s="469" t="s">
        <v>7931</v>
      </c>
    </row>
    <row r="326" spans="1:13">
      <c r="A326" s="465" t="s">
        <v>1286</v>
      </c>
      <c r="B326" s="465" t="s">
        <v>1275</v>
      </c>
      <c r="C326" s="466" t="s">
        <v>706</v>
      </c>
      <c r="D326" s="466" t="s">
        <v>708</v>
      </c>
      <c r="E326" s="466" t="s">
        <v>4379</v>
      </c>
      <c r="F326" s="465" t="s">
        <v>5007</v>
      </c>
      <c r="G326" s="465" t="s">
        <v>4760</v>
      </c>
      <c r="H326" s="465" t="s">
        <v>4382</v>
      </c>
      <c r="I326" s="465" t="s">
        <v>4761</v>
      </c>
      <c r="J326" s="465" t="s">
        <v>4384</v>
      </c>
      <c r="K326" s="465" t="s">
        <v>7361</v>
      </c>
      <c r="L326" s="465" t="s">
        <v>8577</v>
      </c>
      <c r="M326" s="467" t="s">
        <v>7931</v>
      </c>
    </row>
    <row r="327" spans="1:13">
      <c r="A327" s="461" t="s">
        <v>1295</v>
      </c>
      <c r="B327" s="461" t="s">
        <v>1296</v>
      </c>
      <c r="C327" s="468" t="s">
        <v>587</v>
      </c>
      <c r="D327" s="468" t="s">
        <v>1297</v>
      </c>
      <c r="E327" s="468" t="s">
        <v>4897</v>
      </c>
      <c r="F327" s="461" t="s">
        <v>4001</v>
      </c>
      <c r="G327" s="461" t="s">
        <v>4002</v>
      </c>
      <c r="H327" s="461" t="s">
        <v>4745</v>
      </c>
      <c r="I327" s="461" t="s">
        <v>4025</v>
      </c>
      <c r="J327" s="461" t="s">
        <v>4005</v>
      </c>
      <c r="K327" s="461" t="s">
        <v>7393</v>
      </c>
      <c r="L327" s="461" t="s">
        <v>8674</v>
      </c>
      <c r="M327" s="469" t="s">
        <v>8012</v>
      </c>
    </row>
    <row r="328" spans="1:13">
      <c r="A328" s="465" t="s">
        <v>1293</v>
      </c>
      <c r="B328" s="465" t="s">
        <v>1275</v>
      </c>
      <c r="C328" s="466" t="s">
        <v>706</v>
      </c>
      <c r="D328" s="466" t="s">
        <v>708</v>
      </c>
      <c r="E328" s="466" t="s">
        <v>4379</v>
      </c>
      <c r="F328" s="465" t="s">
        <v>5007</v>
      </c>
      <c r="G328" s="465" t="s">
        <v>4760</v>
      </c>
      <c r="H328" s="465" t="s">
        <v>4382</v>
      </c>
      <c r="I328" s="465" t="s">
        <v>4761</v>
      </c>
      <c r="J328" s="465" t="s">
        <v>4384</v>
      </c>
      <c r="K328" s="465" t="s">
        <v>7361</v>
      </c>
      <c r="L328" s="465" t="s">
        <v>8577</v>
      </c>
      <c r="M328" s="467" t="s">
        <v>7931</v>
      </c>
    </row>
    <row r="329" spans="1:13">
      <c r="A329" s="461" t="s">
        <v>1304</v>
      </c>
      <c r="B329" s="461" t="s">
        <v>1003</v>
      </c>
      <c r="C329" s="468" t="s">
        <v>5020</v>
      </c>
      <c r="D329" s="468" t="s">
        <v>1010</v>
      </c>
      <c r="E329" s="468" t="s">
        <v>5021</v>
      </c>
      <c r="F329" s="461" t="s">
        <v>5022</v>
      </c>
      <c r="G329" s="461" t="s">
        <v>5023</v>
      </c>
      <c r="H329" s="461" t="s">
        <v>5024</v>
      </c>
      <c r="I329" s="461" t="s">
        <v>5025</v>
      </c>
      <c r="J329" s="461" t="s">
        <v>5026</v>
      </c>
      <c r="K329" s="461" t="s">
        <v>7411</v>
      </c>
      <c r="L329" s="461" t="s">
        <v>8640</v>
      </c>
      <c r="M329" s="469" t="s">
        <v>8032</v>
      </c>
    </row>
    <row r="330" spans="1:13">
      <c r="A330" s="465" t="s">
        <v>1283</v>
      </c>
      <c r="B330" s="465" t="s">
        <v>1275</v>
      </c>
      <c r="C330" s="466" t="s">
        <v>706</v>
      </c>
      <c r="D330" s="466" t="s">
        <v>708</v>
      </c>
      <c r="E330" s="466" t="s">
        <v>4379</v>
      </c>
      <c r="F330" s="465" t="s">
        <v>5007</v>
      </c>
      <c r="G330" s="465" t="s">
        <v>4760</v>
      </c>
      <c r="H330" s="465" t="s">
        <v>4382</v>
      </c>
      <c r="I330" s="465" t="s">
        <v>4761</v>
      </c>
      <c r="J330" s="465" t="s">
        <v>4384</v>
      </c>
      <c r="K330" s="465" t="s">
        <v>7361</v>
      </c>
      <c r="L330" s="465" t="s">
        <v>8577</v>
      </c>
      <c r="M330" s="467" t="s">
        <v>7931</v>
      </c>
    </row>
    <row r="331" spans="1:13">
      <c r="A331" s="461" t="s">
        <v>1305</v>
      </c>
      <c r="B331" s="461" t="s">
        <v>1301</v>
      </c>
      <c r="C331" s="468" t="s">
        <v>1300</v>
      </c>
      <c r="D331" s="468" t="s">
        <v>1302</v>
      </c>
      <c r="E331" s="468" t="s">
        <v>5027</v>
      </c>
      <c r="F331" s="461" t="s">
        <v>5028</v>
      </c>
      <c r="G331" s="461" t="s">
        <v>5029</v>
      </c>
      <c r="H331" s="461" t="s">
        <v>5030</v>
      </c>
      <c r="I331" s="461" t="s">
        <v>5031</v>
      </c>
      <c r="J331" s="461" t="s">
        <v>5032</v>
      </c>
      <c r="K331" s="461" t="s">
        <v>7412</v>
      </c>
      <c r="L331" s="461" t="s">
        <v>8675</v>
      </c>
      <c r="M331" s="469" t="s">
        <v>8033</v>
      </c>
    </row>
    <row r="332" spans="1:13">
      <c r="A332" s="465" t="s">
        <v>1574</v>
      </c>
      <c r="B332" s="465" t="s">
        <v>1576</v>
      </c>
      <c r="C332" s="466" t="s">
        <v>1576</v>
      </c>
      <c r="D332" s="466" t="s">
        <v>1576</v>
      </c>
      <c r="E332" s="466" t="s">
        <v>5323</v>
      </c>
      <c r="F332" s="465" t="s">
        <v>5324</v>
      </c>
      <c r="G332" s="465" t="s">
        <v>1576</v>
      </c>
      <c r="H332" s="465" t="s">
        <v>5325</v>
      </c>
      <c r="I332" s="465" t="s">
        <v>5326</v>
      </c>
      <c r="J332" s="465" t="s">
        <v>5327</v>
      </c>
      <c r="K332" s="465" t="s">
        <v>7460</v>
      </c>
      <c r="L332" s="465" t="s">
        <v>12327</v>
      </c>
      <c r="M332" s="467" t="s">
        <v>8084</v>
      </c>
    </row>
    <row r="333" spans="1:13">
      <c r="A333" s="461" t="s">
        <v>1284</v>
      </c>
      <c r="B333" s="461" t="s">
        <v>1275</v>
      </c>
      <c r="C333" s="468" t="s">
        <v>706</v>
      </c>
      <c r="D333" s="468" t="s">
        <v>708</v>
      </c>
      <c r="E333" s="468" t="s">
        <v>4379</v>
      </c>
      <c r="F333" s="461" t="s">
        <v>5007</v>
      </c>
      <c r="G333" s="461" t="s">
        <v>4760</v>
      </c>
      <c r="H333" s="461" t="s">
        <v>4382</v>
      </c>
      <c r="I333" s="461" t="s">
        <v>4761</v>
      </c>
      <c r="J333" s="461" t="s">
        <v>4384</v>
      </c>
      <c r="K333" s="461" t="s">
        <v>7361</v>
      </c>
      <c r="L333" s="461" t="s">
        <v>8577</v>
      </c>
      <c r="M333" s="469" t="s">
        <v>7931</v>
      </c>
    </row>
    <row r="334" spans="1:13">
      <c r="A334" s="465" t="s">
        <v>1287</v>
      </c>
      <c r="B334" s="465" t="s">
        <v>1289</v>
      </c>
      <c r="C334" s="466" t="s">
        <v>1288</v>
      </c>
      <c r="D334" s="466" t="s">
        <v>1290</v>
      </c>
      <c r="E334" s="466" t="s">
        <v>5008</v>
      </c>
      <c r="F334" s="465" t="s">
        <v>5009</v>
      </c>
      <c r="G334" s="465" t="s">
        <v>5010</v>
      </c>
      <c r="H334" s="465" t="s">
        <v>5011</v>
      </c>
      <c r="I334" s="465" t="s">
        <v>5012</v>
      </c>
      <c r="J334" s="465" t="s">
        <v>5013</v>
      </c>
      <c r="K334" s="465" t="s">
        <v>7409</v>
      </c>
      <c r="L334" s="465" t="s">
        <v>8672</v>
      </c>
      <c r="M334" s="467" t="s">
        <v>8030</v>
      </c>
    </row>
    <row r="335" spans="1:13">
      <c r="A335" s="473" t="s">
        <v>10505</v>
      </c>
      <c r="B335" s="473" t="s">
        <v>10604</v>
      </c>
      <c r="C335" s="473" t="s">
        <v>10608</v>
      </c>
      <c r="D335" s="473" t="s">
        <v>10610</v>
      </c>
      <c r="E335" s="473" t="s">
        <v>10612</v>
      </c>
      <c r="F335" s="473" t="s">
        <v>10614</v>
      </c>
      <c r="G335" s="473" t="s">
        <v>10616</v>
      </c>
      <c r="H335" s="473" t="s">
        <v>10606</v>
      </c>
      <c r="I335" s="473" t="s">
        <v>10618</v>
      </c>
      <c r="J335" s="473" t="s">
        <v>10620</v>
      </c>
      <c r="K335" s="473" t="s">
        <v>10622</v>
      </c>
      <c r="L335" s="473" t="s">
        <v>10624</v>
      </c>
      <c r="M335" s="474" t="s">
        <v>10626</v>
      </c>
    </row>
    <row r="336" spans="1:13">
      <c r="A336" s="465" t="s">
        <v>1577</v>
      </c>
      <c r="B336" s="465" t="s">
        <v>1578</v>
      </c>
      <c r="C336" s="466" t="s">
        <v>1578</v>
      </c>
      <c r="D336" s="466" t="s">
        <v>1578</v>
      </c>
      <c r="E336" s="466" t="s">
        <v>5328</v>
      </c>
      <c r="F336" s="465" t="s">
        <v>5329</v>
      </c>
      <c r="G336" s="465" t="s">
        <v>1578</v>
      </c>
      <c r="H336" s="465" t="s">
        <v>5330</v>
      </c>
      <c r="I336" s="465" t="s">
        <v>5331</v>
      </c>
      <c r="J336" s="465" t="s">
        <v>5332</v>
      </c>
      <c r="K336" s="465" t="s">
        <v>7461</v>
      </c>
      <c r="L336" s="465" t="s">
        <v>12328</v>
      </c>
      <c r="M336" s="467" t="s">
        <v>8085</v>
      </c>
    </row>
    <row r="337" spans="1:13">
      <c r="A337" s="461" t="s">
        <v>1276</v>
      </c>
      <c r="B337" s="461" t="s">
        <v>1275</v>
      </c>
      <c r="C337" s="468" t="s">
        <v>706</v>
      </c>
      <c r="D337" s="468" t="s">
        <v>708</v>
      </c>
      <c r="E337" s="468" t="s">
        <v>4379</v>
      </c>
      <c r="F337" s="461" t="s">
        <v>4380</v>
      </c>
      <c r="G337" s="461" t="s">
        <v>4760</v>
      </c>
      <c r="H337" s="461" t="s">
        <v>4382</v>
      </c>
      <c r="I337" s="461" t="s">
        <v>4761</v>
      </c>
      <c r="J337" s="461" t="s">
        <v>5006</v>
      </c>
      <c r="K337" s="461" t="s">
        <v>7361</v>
      </c>
      <c r="L337" s="461" t="s">
        <v>8655</v>
      </c>
      <c r="M337" s="469" t="s">
        <v>7931</v>
      </c>
    </row>
    <row r="338" spans="1:13">
      <c r="A338" s="465" t="s">
        <v>9805</v>
      </c>
      <c r="B338" s="475" t="s">
        <v>707</v>
      </c>
      <c r="C338" s="475" t="s">
        <v>706</v>
      </c>
      <c r="D338" s="475" t="s">
        <v>708</v>
      </c>
      <c r="E338" s="475" t="s">
        <v>4379</v>
      </c>
      <c r="F338" s="475" t="s">
        <v>4380</v>
      </c>
      <c r="G338" s="475" t="s">
        <v>4760</v>
      </c>
      <c r="H338" s="475" t="s">
        <v>4382</v>
      </c>
      <c r="I338" s="475" t="s">
        <v>4761</v>
      </c>
      <c r="J338" s="475" t="s">
        <v>5006</v>
      </c>
      <c r="K338" s="475" t="s">
        <v>7361</v>
      </c>
      <c r="L338" s="465" t="s">
        <v>8655</v>
      </c>
      <c r="M338" s="467" t="s">
        <v>7931</v>
      </c>
    </row>
    <row r="339" spans="1:13">
      <c r="A339" s="461" t="s">
        <v>1294</v>
      </c>
      <c r="B339" s="461" t="s">
        <v>1275</v>
      </c>
      <c r="C339" s="468" t="s">
        <v>706</v>
      </c>
      <c r="D339" s="468" t="s">
        <v>708</v>
      </c>
      <c r="E339" s="468" t="s">
        <v>4379</v>
      </c>
      <c r="F339" s="461" t="s">
        <v>5007</v>
      </c>
      <c r="G339" s="461" t="s">
        <v>4760</v>
      </c>
      <c r="H339" s="461" t="s">
        <v>4382</v>
      </c>
      <c r="I339" s="461" t="s">
        <v>4761</v>
      </c>
      <c r="J339" s="461" t="s">
        <v>4384</v>
      </c>
      <c r="K339" s="461" t="s">
        <v>7361</v>
      </c>
      <c r="L339" s="461" t="s">
        <v>8577</v>
      </c>
      <c r="M339" s="469" t="s">
        <v>7931</v>
      </c>
    </row>
    <row r="340" spans="1:13">
      <c r="A340" s="465" t="s">
        <v>1292</v>
      </c>
      <c r="B340" s="465" t="s">
        <v>1279</v>
      </c>
      <c r="C340" s="466" t="s">
        <v>1278</v>
      </c>
      <c r="D340" s="466" t="s">
        <v>1280</v>
      </c>
      <c r="E340" s="466" t="s">
        <v>5014</v>
      </c>
      <c r="F340" s="465" t="s">
        <v>5015</v>
      </c>
      <c r="G340" s="465" t="s">
        <v>5016</v>
      </c>
      <c r="H340" s="465" t="s">
        <v>5017</v>
      </c>
      <c r="I340" s="465" t="s">
        <v>5018</v>
      </c>
      <c r="J340" s="465" t="s">
        <v>5019</v>
      </c>
      <c r="K340" s="465" t="s">
        <v>7410</v>
      </c>
      <c r="L340" s="465" t="s">
        <v>8673</v>
      </c>
      <c r="M340" s="467" t="s">
        <v>8031</v>
      </c>
    </row>
    <row r="341" spans="1:13">
      <c r="A341" s="461" t="s">
        <v>2335</v>
      </c>
      <c r="B341" s="461" t="s">
        <v>1115</v>
      </c>
      <c r="C341" s="468" t="s">
        <v>1114</v>
      </c>
      <c r="D341" s="468" t="s">
        <v>1116</v>
      </c>
      <c r="E341" s="468" t="s">
        <v>4870</v>
      </c>
      <c r="F341" s="461" t="s">
        <v>4871</v>
      </c>
      <c r="G341" s="461" t="s">
        <v>4872</v>
      </c>
      <c r="H341" s="461" t="s">
        <v>4873</v>
      </c>
      <c r="I341" s="461" t="s">
        <v>4874</v>
      </c>
      <c r="J341" s="461" t="s">
        <v>4875</v>
      </c>
      <c r="K341" s="461" t="s">
        <v>7389</v>
      </c>
      <c r="L341" s="461" t="s">
        <v>8651</v>
      </c>
      <c r="M341" s="469" t="s">
        <v>8008</v>
      </c>
    </row>
    <row r="342" spans="1:13">
      <c r="A342" s="465" t="s">
        <v>2485</v>
      </c>
      <c r="B342" s="465" t="s">
        <v>1115</v>
      </c>
      <c r="C342" s="466" t="s">
        <v>1114</v>
      </c>
      <c r="D342" s="466" t="s">
        <v>1116</v>
      </c>
      <c r="E342" s="466" t="s">
        <v>4870</v>
      </c>
      <c r="F342" s="465" t="s">
        <v>4871</v>
      </c>
      <c r="G342" s="465" t="s">
        <v>4872</v>
      </c>
      <c r="H342" s="465" t="s">
        <v>4873</v>
      </c>
      <c r="I342" s="465" t="s">
        <v>4874</v>
      </c>
      <c r="J342" s="465" t="s">
        <v>4875</v>
      </c>
      <c r="K342" s="465" t="s">
        <v>7389</v>
      </c>
      <c r="L342" s="465" t="s">
        <v>8651</v>
      </c>
      <c r="M342" s="467" t="s">
        <v>8008</v>
      </c>
    </row>
    <row r="343" spans="1:13">
      <c r="A343" s="461" t="s">
        <v>2308</v>
      </c>
      <c r="B343" s="461" t="s">
        <v>707</v>
      </c>
      <c r="C343" s="468" t="s">
        <v>706</v>
      </c>
      <c r="D343" s="468" t="s">
        <v>708</v>
      </c>
      <c r="E343" s="468" t="s">
        <v>4379</v>
      </c>
      <c r="F343" s="461" t="s">
        <v>4380</v>
      </c>
      <c r="G343" s="461" t="s">
        <v>4760</v>
      </c>
      <c r="H343" s="461" t="s">
        <v>4382</v>
      </c>
      <c r="I343" s="461" t="s">
        <v>4761</v>
      </c>
      <c r="J343" s="461" t="s">
        <v>4384</v>
      </c>
      <c r="K343" s="461" t="s">
        <v>7361</v>
      </c>
      <c r="L343" s="461" t="s">
        <v>8577</v>
      </c>
      <c r="M343" s="469" t="s">
        <v>7931</v>
      </c>
    </row>
    <row r="344" spans="1:13">
      <c r="A344" s="465" t="s">
        <v>2309</v>
      </c>
      <c r="B344" s="465" t="s">
        <v>707</v>
      </c>
      <c r="C344" s="466" t="s">
        <v>706</v>
      </c>
      <c r="D344" s="466" t="s">
        <v>708</v>
      </c>
      <c r="E344" s="466" t="s">
        <v>4379</v>
      </c>
      <c r="F344" s="465" t="s">
        <v>4380</v>
      </c>
      <c r="G344" s="465" t="s">
        <v>4760</v>
      </c>
      <c r="H344" s="465" t="s">
        <v>4382</v>
      </c>
      <c r="I344" s="465" t="s">
        <v>4761</v>
      </c>
      <c r="J344" s="465" t="s">
        <v>4384</v>
      </c>
      <c r="K344" s="465" t="s">
        <v>7361</v>
      </c>
      <c r="L344" s="465" t="s">
        <v>8577</v>
      </c>
      <c r="M344" s="467" t="s">
        <v>7931</v>
      </c>
    </row>
    <row r="345" spans="1:13">
      <c r="A345" s="461" t="s">
        <v>2307</v>
      </c>
      <c r="B345" s="461" t="s">
        <v>707</v>
      </c>
      <c r="C345" s="468" t="s">
        <v>706</v>
      </c>
      <c r="D345" s="468" t="s">
        <v>708</v>
      </c>
      <c r="E345" s="468" t="s">
        <v>4379</v>
      </c>
      <c r="F345" s="461" t="s">
        <v>4380</v>
      </c>
      <c r="G345" s="461" t="s">
        <v>4760</v>
      </c>
      <c r="H345" s="461" t="s">
        <v>4382</v>
      </c>
      <c r="I345" s="461" t="s">
        <v>4761</v>
      </c>
      <c r="J345" s="461" t="s">
        <v>4384</v>
      </c>
      <c r="K345" s="471" t="s">
        <v>7361</v>
      </c>
      <c r="L345" s="461" t="s">
        <v>8577</v>
      </c>
      <c r="M345" s="469" t="s">
        <v>7931</v>
      </c>
    </row>
    <row r="346" spans="1:13">
      <c r="A346" s="465" t="s">
        <v>1423</v>
      </c>
      <c r="B346" s="465" t="s">
        <v>1418</v>
      </c>
      <c r="C346" s="466" t="s">
        <v>1278</v>
      </c>
      <c r="D346" s="466" t="s">
        <v>1280</v>
      </c>
      <c r="E346" s="466" t="s">
        <v>5111</v>
      </c>
      <c r="F346" s="465" t="s">
        <v>5015</v>
      </c>
      <c r="G346" s="465" t="s">
        <v>5016</v>
      </c>
      <c r="H346" s="465" t="s">
        <v>5112</v>
      </c>
      <c r="I346" s="465" t="s">
        <v>5018</v>
      </c>
      <c r="J346" s="465" t="s">
        <v>5006</v>
      </c>
      <c r="K346" s="465" t="s">
        <v>7410</v>
      </c>
      <c r="L346" s="465" t="s">
        <v>8673</v>
      </c>
      <c r="M346" s="467" t="s">
        <v>8031</v>
      </c>
    </row>
    <row r="347" spans="1:13">
      <c r="A347" s="473" t="s">
        <v>10507</v>
      </c>
      <c r="B347" s="473" t="s">
        <v>10604</v>
      </c>
      <c r="C347" s="473" t="s">
        <v>10608</v>
      </c>
      <c r="D347" s="473" t="s">
        <v>10610</v>
      </c>
      <c r="E347" s="473" t="s">
        <v>10612</v>
      </c>
      <c r="F347" s="473" t="s">
        <v>10614</v>
      </c>
      <c r="G347" s="473" t="s">
        <v>10616</v>
      </c>
      <c r="H347" s="473" t="s">
        <v>10606</v>
      </c>
      <c r="I347" s="473" t="s">
        <v>10618</v>
      </c>
      <c r="J347" s="473" t="s">
        <v>10620</v>
      </c>
      <c r="K347" s="473" t="s">
        <v>10622</v>
      </c>
      <c r="L347" s="473" t="s">
        <v>10624</v>
      </c>
      <c r="M347" s="474" t="s">
        <v>10626</v>
      </c>
    </row>
    <row r="348" spans="1:13">
      <c r="A348" s="465" t="s">
        <v>1111</v>
      </c>
      <c r="B348" s="465" t="s">
        <v>1101</v>
      </c>
      <c r="C348" s="466" t="s">
        <v>1100</v>
      </c>
      <c r="D348" s="466" t="s">
        <v>1102</v>
      </c>
      <c r="E348" s="466" t="s">
        <v>4847</v>
      </c>
      <c r="F348" s="465" t="s">
        <v>4848</v>
      </c>
      <c r="G348" s="465" t="s">
        <v>4849</v>
      </c>
      <c r="H348" s="465" t="s">
        <v>4847</v>
      </c>
      <c r="I348" s="465" t="s">
        <v>4850</v>
      </c>
      <c r="J348" s="465" t="s">
        <v>4851</v>
      </c>
      <c r="K348" s="465" t="s">
        <v>7386</v>
      </c>
      <c r="L348" s="465" t="s">
        <v>8649</v>
      </c>
      <c r="M348" s="467" t="s">
        <v>8006</v>
      </c>
    </row>
    <row r="349" spans="1:13">
      <c r="A349" s="461" t="s">
        <v>2429</v>
      </c>
      <c r="B349" s="461" t="s">
        <v>1101</v>
      </c>
      <c r="C349" s="468" t="s">
        <v>1100</v>
      </c>
      <c r="D349" s="468" t="s">
        <v>1102</v>
      </c>
      <c r="E349" s="468" t="s">
        <v>4847</v>
      </c>
      <c r="F349" s="461" t="s">
        <v>4848</v>
      </c>
      <c r="G349" s="461" t="s">
        <v>4849</v>
      </c>
      <c r="H349" s="461" t="s">
        <v>4847</v>
      </c>
      <c r="I349" s="461" t="s">
        <v>4850</v>
      </c>
      <c r="J349" s="461" t="s">
        <v>4851</v>
      </c>
      <c r="K349" s="461" t="s">
        <v>7386</v>
      </c>
      <c r="L349" s="461" t="s">
        <v>8649</v>
      </c>
      <c r="M349" s="469" t="s">
        <v>8006</v>
      </c>
    </row>
    <row r="350" spans="1:13">
      <c r="A350" s="465" t="s">
        <v>1098</v>
      </c>
      <c r="B350" s="465" t="s">
        <v>1101</v>
      </c>
      <c r="C350" s="466" t="s">
        <v>1100</v>
      </c>
      <c r="D350" s="466" t="s">
        <v>1102</v>
      </c>
      <c r="E350" s="466" t="s">
        <v>4847</v>
      </c>
      <c r="F350" s="465" t="s">
        <v>4848</v>
      </c>
      <c r="G350" s="465" t="s">
        <v>4849</v>
      </c>
      <c r="H350" s="465" t="s">
        <v>4847</v>
      </c>
      <c r="I350" s="465" t="s">
        <v>4850</v>
      </c>
      <c r="J350" s="465" t="s">
        <v>4851</v>
      </c>
      <c r="K350" s="465" t="s">
        <v>7386</v>
      </c>
      <c r="L350" s="465" t="s">
        <v>8649</v>
      </c>
      <c r="M350" s="467" t="s">
        <v>8006</v>
      </c>
    </row>
    <row r="351" spans="1:13">
      <c r="A351" s="461" t="s">
        <v>4862</v>
      </c>
      <c r="B351" s="461" t="s">
        <v>1101</v>
      </c>
      <c r="C351" s="468" t="s">
        <v>1100</v>
      </c>
      <c r="D351" s="468" t="s">
        <v>1102</v>
      </c>
      <c r="E351" s="468" t="s">
        <v>4847</v>
      </c>
      <c r="F351" s="461" t="s">
        <v>4848</v>
      </c>
      <c r="G351" s="461" t="s">
        <v>4849</v>
      </c>
      <c r="H351" s="461" t="s">
        <v>4847</v>
      </c>
      <c r="I351" s="461" t="s">
        <v>4850</v>
      </c>
      <c r="J351" s="461" t="s">
        <v>4851</v>
      </c>
      <c r="K351" s="461" t="s">
        <v>7386</v>
      </c>
      <c r="L351" s="461" t="s">
        <v>8649</v>
      </c>
      <c r="M351" s="469" t="s">
        <v>8005</v>
      </c>
    </row>
    <row r="352" spans="1:13">
      <c r="A352" s="475" t="s">
        <v>12030</v>
      </c>
      <c r="B352" s="475" t="s">
        <v>1101</v>
      </c>
      <c r="C352" s="475" t="s">
        <v>1100</v>
      </c>
      <c r="D352" s="475" t="s">
        <v>12249</v>
      </c>
      <c r="E352" s="475" t="s">
        <v>12250</v>
      </c>
      <c r="F352" s="475" t="s">
        <v>4848</v>
      </c>
      <c r="G352" s="475" t="s">
        <v>12251</v>
      </c>
      <c r="H352" s="475" t="s">
        <v>4847</v>
      </c>
      <c r="I352" s="475" t="s">
        <v>12252</v>
      </c>
      <c r="J352" s="475" t="s">
        <v>4851</v>
      </c>
      <c r="K352" s="475" t="s">
        <v>7386</v>
      </c>
      <c r="L352" s="475" t="s">
        <v>8649</v>
      </c>
      <c r="M352" s="476" t="s">
        <v>8006</v>
      </c>
    </row>
    <row r="353" spans="1:13">
      <c r="A353" s="473" t="s">
        <v>12205</v>
      </c>
      <c r="B353" s="473" t="s">
        <v>1101</v>
      </c>
      <c r="C353" s="473" t="s">
        <v>1100</v>
      </c>
      <c r="D353" s="473" t="s">
        <v>12249</v>
      </c>
      <c r="E353" s="473" t="s">
        <v>12250</v>
      </c>
      <c r="F353" s="473" t="s">
        <v>4848</v>
      </c>
      <c r="G353" s="473" t="s">
        <v>12251</v>
      </c>
      <c r="H353" s="473" t="s">
        <v>4847</v>
      </c>
      <c r="I353" s="473" t="s">
        <v>12252</v>
      </c>
      <c r="J353" s="473" t="s">
        <v>4851</v>
      </c>
      <c r="K353" s="473" t="s">
        <v>7386</v>
      </c>
      <c r="L353" s="473" t="s">
        <v>8649</v>
      </c>
      <c r="M353" s="474" t="s">
        <v>8006</v>
      </c>
    </row>
    <row r="354" spans="1:13">
      <c r="A354" s="465" t="s">
        <v>1417</v>
      </c>
      <c r="B354" s="465" t="s">
        <v>1101</v>
      </c>
      <c r="C354" s="466" t="s">
        <v>1100</v>
      </c>
      <c r="D354" s="466" t="s">
        <v>1102</v>
      </c>
      <c r="E354" s="466" t="s">
        <v>4847</v>
      </c>
      <c r="F354" s="465" t="s">
        <v>4848</v>
      </c>
      <c r="G354" s="465" t="s">
        <v>4849</v>
      </c>
      <c r="H354" s="465" t="s">
        <v>4847</v>
      </c>
      <c r="I354" s="465" t="s">
        <v>4850</v>
      </c>
      <c r="J354" s="465" t="s">
        <v>4851</v>
      </c>
      <c r="K354" s="465" t="s">
        <v>7386</v>
      </c>
      <c r="L354" s="465" t="s">
        <v>8649</v>
      </c>
      <c r="M354" s="467" t="s">
        <v>8006</v>
      </c>
    </row>
    <row r="355" spans="1:13">
      <c r="A355" s="461" t="s">
        <v>2371</v>
      </c>
      <c r="B355" s="461" t="s">
        <v>1101</v>
      </c>
      <c r="C355" s="468" t="s">
        <v>1100</v>
      </c>
      <c r="D355" s="468" t="s">
        <v>1102</v>
      </c>
      <c r="E355" s="468" t="s">
        <v>4847</v>
      </c>
      <c r="F355" s="461" t="s">
        <v>4848</v>
      </c>
      <c r="G355" s="461" t="s">
        <v>4849</v>
      </c>
      <c r="H355" s="461" t="s">
        <v>4847</v>
      </c>
      <c r="I355" s="461" t="s">
        <v>4850</v>
      </c>
      <c r="J355" s="461" t="s">
        <v>4851</v>
      </c>
      <c r="K355" s="461" t="s">
        <v>7386</v>
      </c>
      <c r="L355" s="461" t="s">
        <v>8649</v>
      </c>
      <c r="M355" s="469" t="s">
        <v>8006</v>
      </c>
    </row>
    <row r="356" spans="1:13">
      <c r="A356" s="465" t="s">
        <v>2306</v>
      </c>
      <c r="B356" s="465" t="s">
        <v>1101</v>
      </c>
      <c r="C356" s="466" t="s">
        <v>1100</v>
      </c>
      <c r="D356" s="466" t="s">
        <v>1102</v>
      </c>
      <c r="E356" s="466" t="s">
        <v>4847</v>
      </c>
      <c r="F356" s="465" t="s">
        <v>4848</v>
      </c>
      <c r="G356" s="465" t="s">
        <v>4849</v>
      </c>
      <c r="H356" s="465" t="s">
        <v>4847</v>
      </c>
      <c r="I356" s="465" t="s">
        <v>4850</v>
      </c>
      <c r="J356" s="465" t="s">
        <v>4851</v>
      </c>
      <c r="K356" s="465" t="s">
        <v>7386</v>
      </c>
      <c r="L356" s="465" t="s">
        <v>8649</v>
      </c>
      <c r="M356" s="467" t="s">
        <v>8006</v>
      </c>
    </row>
    <row r="357" spans="1:13">
      <c r="A357" s="461" t="s">
        <v>2467</v>
      </c>
      <c r="B357" s="461" t="s">
        <v>1101</v>
      </c>
      <c r="C357" s="468" t="s">
        <v>1100</v>
      </c>
      <c r="D357" s="468" t="s">
        <v>1102</v>
      </c>
      <c r="E357" s="468" t="s">
        <v>4847</v>
      </c>
      <c r="F357" s="461" t="s">
        <v>4848</v>
      </c>
      <c r="G357" s="461" t="s">
        <v>4849</v>
      </c>
      <c r="H357" s="461" t="s">
        <v>4847</v>
      </c>
      <c r="I357" s="461" t="s">
        <v>4850</v>
      </c>
      <c r="J357" s="461" t="s">
        <v>4851</v>
      </c>
      <c r="K357" s="461" t="s">
        <v>7386</v>
      </c>
      <c r="L357" s="461" t="s">
        <v>8649</v>
      </c>
      <c r="M357" s="469" t="s">
        <v>8006</v>
      </c>
    </row>
    <row r="358" spans="1:13">
      <c r="A358" s="465" t="s">
        <v>1443</v>
      </c>
      <c r="B358" s="465" t="s">
        <v>1418</v>
      </c>
      <c r="C358" s="466" t="s">
        <v>1278</v>
      </c>
      <c r="D358" s="466" t="s">
        <v>1280</v>
      </c>
      <c r="E358" s="466" t="s">
        <v>5111</v>
      </c>
      <c r="F358" s="465" t="s">
        <v>5015</v>
      </c>
      <c r="G358" s="465" t="s">
        <v>5016</v>
      </c>
      <c r="H358" s="465" t="s">
        <v>5112</v>
      </c>
      <c r="I358" s="465" t="s">
        <v>5018</v>
      </c>
      <c r="J358" s="465" t="s">
        <v>5006</v>
      </c>
      <c r="K358" s="465" t="s">
        <v>7410</v>
      </c>
      <c r="L358" s="465" t="s">
        <v>8673</v>
      </c>
      <c r="M358" s="467" t="s">
        <v>8031</v>
      </c>
    </row>
    <row r="359" spans="1:13">
      <c r="A359" s="472" t="s">
        <v>1125</v>
      </c>
      <c r="B359" s="461" t="s">
        <v>1115</v>
      </c>
      <c r="C359" s="468" t="s">
        <v>1114</v>
      </c>
      <c r="D359" s="468" t="s">
        <v>1116</v>
      </c>
      <c r="E359" s="468" t="s">
        <v>4870</v>
      </c>
      <c r="F359" s="461" t="s">
        <v>4871</v>
      </c>
      <c r="G359" s="461" t="s">
        <v>4872</v>
      </c>
      <c r="H359" s="461" t="s">
        <v>4873</v>
      </c>
      <c r="I359" s="461" t="s">
        <v>4874</v>
      </c>
      <c r="J359" s="461" t="s">
        <v>4875</v>
      </c>
      <c r="K359" s="461" t="s">
        <v>7389</v>
      </c>
      <c r="L359" s="461" t="s">
        <v>8651</v>
      </c>
      <c r="M359" s="469" t="s">
        <v>8008</v>
      </c>
    </row>
    <row r="360" spans="1:13">
      <c r="A360" s="465" t="s">
        <v>2432</v>
      </c>
      <c r="B360" s="465" t="s">
        <v>1115</v>
      </c>
      <c r="C360" s="466" t="s">
        <v>1114</v>
      </c>
      <c r="D360" s="466" t="s">
        <v>1116</v>
      </c>
      <c r="E360" s="466" t="s">
        <v>4870</v>
      </c>
      <c r="F360" s="465" t="s">
        <v>4871</v>
      </c>
      <c r="G360" s="465" t="s">
        <v>4872</v>
      </c>
      <c r="H360" s="465" t="s">
        <v>4873</v>
      </c>
      <c r="I360" s="465" t="s">
        <v>4874</v>
      </c>
      <c r="J360" s="465" t="s">
        <v>4875</v>
      </c>
      <c r="K360" s="465" t="s">
        <v>7389</v>
      </c>
      <c r="L360" s="465" t="s">
        <v>8651</v>
      </c>
      <c r="M360" s="467" t="s">
        <v>8008</v>
      </c>
    </row>
    <row r="361" spans="1:13">
      <c r="A361" s="472" t="s">
        <v>1126</v>
      </c>
      <c r="B361" s="461" t="s">
        <v>1115</v>
      </c>
      <c r="C361" s="468" t="s">
        <v>1114</v>
      </c>
      <c r="D361" s="468" t="s">
        <v>1116</v>
      </c>
      <c r="E361" s="468" t="s">
        <v>4870</v>
      </c>
      <c r="F361" s="461" t="s">
        <v>4871</v>
      </c>
      <c r="G361" s="461" t="s">
        <v>4872</v>
      </c>
      <c r="H361" s="461" t="s">
        <v>4873</v>
      </c>
      <c r="I361" s="461" t="s">
        <v>4874</v>
      </c>
      <c r="J361" s="461" t="s">
        <v>4875</v>
      </c>
      <c r="K361" s="461" t="s">
        <v>7389</v>
      </c>
      <c r="L361" s="461" t="s">
        <v>8651</v>
      </c>
      <c r="M361" s="469" t="s">
        <v>8008</v>
      </c>
    </row>
    <row r="362" spans="1:13">
      <c r="A362" s="465" t="s">
        <v>4893</v>
      </c>
      <c r="B362" s="465" t="s">
        <v>1115</v>
      </c>
      <c r="C362" s="466" t="s">
        <v>1114</v>
      </c>
      <c r="D362" s="466" t="s">
        <v>1116</v>
      </c>
      <c r="E362" s="466" t="s">
        <v>4870</v>
      </c>
      <c r="F362" s="465" t="s">
        <v>4871</v>
      </c>
      <c r="G362" s="465" t="s">
        <v>4872</v>
      </c>
      <c r="H362" s="465" t="s">
        <v>4873</v>
      </c>
      <c r="I362" s="465" t="s">
        <v>4874</v>
      </c>
      <c r="J362" s="465" t="s">
        <v>4894</v>
      </c>
      <c r="K362" s="465" t="s">
        <v>7389</v>
      </c>
      <c r="L362" s="465" t="s">
        <v>8651</v>
      </c>
      <c r="M362" s="467" t="s">
        <v>8008</v>
      </c>
    </row>
    <row r="363" spans="1:13">
      <c r="A363" s="461" t="s">
        <v>1112</v>
      </c>
      <c r="B363" s="461" t="s">
        <v>764</v>
      </c>
      <c r="C363" s="468" t="s">
        <v>763</v>
      </c>
      <c r="D363" s="468" t="s">
        <v>1093</v>
      </c>
      <c r="E363" s="468" t="s">
        <v>4403</v>
      </c>
      <c r="F363" s="461" t="s">
        <v>4404</v>
      </c>
      <c r="G363" s="461" t="s">
        <v>4837</v>
      </c>
      <c r="H363" s="461" t="s">
        <v>4406</v>
      </c>
      <c r="I363" s="461" t="s">
        <v>4407</v>
      </c>
      <c r="J363" s="461" t="s">
        <v>4408</v>
      </c>
      <c r="K363" s="461" t="s">
        <v>7365</v>
      </c>
      <c r="L363" s="461" t="s">
        <v>8581</v>
      </c>
      <c r="M363" s="469" t="s">
        <v>7935</v>
      </c>
    </row>
    <row r="364" spans="1:13">
      <c r="A364" s="465" t="s">
        <v>2430</v>
      </c>
      <c r="B364" s="465" t="s">
        <v>764</v>
      </c>
      <c r="C364" s="466" t="s">
        <v>763</v>
      </c>
      <c r="D364" s="466" t="s">
        <v>1093</v>
      </c>
      <c r="E364" s="466" t="s">
        <v>4403</v>
      </c>
      <c r="F364" s="465" t="s">
        <v>4404</v>
      </c>
      <c r="G364" s="465" t="s">
        <v>4837</v>
      </c>
      <c r="H364" s="465" t="s">
        <v>4406</v>
      </c>
      <c r="I364" s="465" t="s">
        <v>4407</v>
      </c>
      <c r="J364" s="465" t="s">
        <v>4408</v>
      </c>
      <c r="K364" s="465" t="s">
        <v>7365</v>
      </c>
      <c r="L364" s="465" t="s">
        <v>8581</v>
      </c>
      <c r="M364" s="467" t="s">
        <v>7935</v>
      </c>
    </row>
    <row r="365" spans="1:13">
      <c r="A365" s="461" t="s">
        <v>1103</v>
      </c>
      <c r="B365" s="461" t="s">
        <v>764</v>
      </c>
      <c r="C365" s="468" t="s">
        <v>763</v>
      </c>
      <c r="D365" s="468" t="s">
        <v>1093</v>
      </c>
      <c r="E365" s="468" t="s">
        <v>4403</v>
      </c>
      <c r="F365" s="461" t="s">
        <v>4404</v>
      </c>
      <c r="G365" s="461" t="s">
        <v>4837</v>
      </c>
      <c r="H365" s="461" t="s">
        <v>4406</v>
      </c>
      <c r="I365" s="461" t="s">
        <v>4407</v>
      </c>
      <c r="J365" s="461" t="s">
        <v>4408</v>
      </c>
      <c r="K365" s="461" t="s">
        <v>7365</v>
      </c>
      <c r="L365" s="461" t="s">
        <v>8581</v>
      </c>
      <c r="M365" s="469" t="s">
        <v>7935</v>
      </c>
    </row>
    <row r="366" spans="1:13">
      <c r="A366" s="465" t="s">
        <v>4863</v>
      </c>
      <c r="B366" s="465" t="s">
        <v>764</v>
      </c>
      <c r="C366" s="466" t="s">
        <v>763</v>
      </c>
      <c r="D366" s="466" t="s">
        <v>1093</v>
      </c>
      <c r="E366" s="466" t="s">
        <v>4403</v>
      </c>
      <c r="F366" s="465" t="s">
        <v>4404</v>
      </c>
      <c r="G366" s="465" t="s">
        <v>4837</v>
      </c>
      <c r="H366" s="465" t="s">
        <v>4406</v>
      </c>
      <c r="I366" s="465" t="s">
        <v>4407</v>
      </c>
      <c r="J366" s="465" t="s">
        <v>4408</v>
      </c>
      <c r="K366" s="465" t="s">
        <v>7365</v>
      </c>
      <c r="L366" s="465" t="s">
        <v>8581</v>
      </c>
      <c r="M366" s="467" t="s">
        <v>7935</v>
      </c>
    </row>
    <row r="367" spans="1:13">
      <c r="A367" s="461" t="s">
        <v>1127</v>
      </c>
      <c r="B367" s="461" t="s">
        <v>1101</v>
      </c>
      <c r="C367" s="468" t="s">
        <v>1100</v>
      </c>
      <c r="D367" s="468" t="s">
        <v>1102</v>
      </c>
      <c r="E367" s="468" t="s">
        <v>4847</v>
      </c>
      <c r="F367" s="461" t="s">
        <v>4848</v>
      </c>
      <c r="G367" s="461" t="s">
        <v>4849</v>
      </c>
      <c r="H367" s="461" t="s">
        <v>4847</v>
      </c>
      <c r="I367" s="461" t="s">
        <v>4850</v>
      </c>
      <c r="J367" s="461" t="s">
        <v>4851</v>
      </c>
      <c r="K367" s="461" t="s">
        <v>7386</v>
      </c>
      <c r="L367" s="461" t="s">
        <v>8649</v>
      </c>
      <c r="M367" s="469" t="s">
        <v>8006</v>
      </c>
    </row>
    <row r="368" spans="1:13">
      <c r="A368" s="475" t="s">
        <v>2088</v>
      </c>
      <c r="B368" s="475" t="s">
        <v>10604</v>
      </c>
      <c r="C368" s="475" t="s">
        <v>10608</v>
      </c>
      <c r="D368" s="475" t="s">
        <v>10610</v>
      </c>
      <c r="E368" s="475" t="s">
        <v>10612</v>
      </c>
      <c r="F368" s="475" t="s">
        <v>10614</v>
      </c>
      <c r="G368" s="475" t="s">
        <v>10616</v>
      </c>
      <c r="H368" s="475" t="s">
        <v>10606</v>
      </c>
      <c r="I368" s="475" t="s">
        <v>10618</v>
      </c>
      <c r="J368" s="475" t="s">
        <v>10620</v>
      </c>
      <c r="K368" s="475" t="s">
        <v>10622</v>
      </c>
      <c r="L368" s="475" t="s">
        <v>10624</v>
      </c>
      <c r="M368" s="476" t="s">
        <v>10626</v>
      </c>
    </row>
    <row r="369" spans="1:13">
      <c r="A369" s="461" t="s">
        <v>4895</v>
      </c>
      <c r="B369" s="461" t="s">
        <v>1101</v>
      </c>
      <c r="C369" s="468" t="s">
        <v>1100</v>
      </c>
      <c r="D369" s="468" t="s">
        <v>1102</v>
      </c>
      <c r="E369" s="468" t="s">
        <v>4847</v>
      </c>
      <c r="F369" s="461" t="s">
        <v>4848</v>
      </c>
      <c r="G369" s="461" t="s">
        <v>4849</v>
      </c>
      <c r="H369" s="461" t="s">
        <v>4847</v>
      </c>
      <c r="I369" s="461" t="s">
        <v>4850</v>
      </c>
      <c r="J369" s="461" t="s">
        <v>4851</v>
      </c>
      <c r="K369" s="461" t="s">
        <v>7386</v>
      </c>
      <c r="L369" s="461" t="s">
        <v>8649</v>
      </c>
      <c r="M369" s="469" t="s">
        <v>8006</v>
      </c>
    </row>
    <row r="370" spans="1:13">
      <c r="A370" s="475" t="s">
        <v>12050</v>
      </c>
      <c r="B370" s="475" t="s">
        <v>12132</v>
      </c>
      <c r="C370" s="475" t="s">
        <v>12133</v>
      </c>
      <c r="D370" s="475" t="s">
        <v>12134</v>
      </c>
      <c r="E370" s="475" t="s">
        <v>12135</v>
      </c>
      <c r="F370" s="475" t="s">
        <v>12136</v>
      </c>
      <c r="G370" s="475" t="s">
        <v>12261</v>
      </c>
      <c r="H370" s="475" t="s">
        <v>12137</v>
      </c>
      <c r="I370" s="475" t="s">
        <v>12138</v>
      </c>
      <c r="J370" s="475" t="s">
        <v>12139</v>
      </c>
      <c r="K370" s="475" t="s">
        <v>12140</v>
      </c>
      <c r="L370" s="475" t="s">
        <v>12141</v>
      </c>
      <c r="M370" s="476" t="s">
        <v>12142</v>
      </c>
    </row>
    <row r="371" spans="1:13">
      <c r="A371" s="473" t="s">
        <v>12219</v>
      </c>
      <c r="B371" s="473" t="s">
        <v>12132</v>
      </c>
      <c r="C371" s="473" t="s">
        <v>12133</v>
      </c>
      <c r="D371" s="473" t="s">
        <v>12134</v>
      </c>
      <c r="E371" s="473" t="s">
        <v>12135</v>
      </c>
      <c r="F371" s="473" t="s">
        <v>12136</v>
      </c>
      <c r="G371" s="473" t="s">
        <v>12261</v>
      </c>
      <c r="H371" s="473" t="s">
        <v>12137</v>
      </c>
      <c r="I371" s="473" t="s">
        <v>12138</v>
      </c>
      <c r="J371" s="473" t="s">
        <v>12139</v>
      </c>
      <c r="K371" s="473" t="s">
        <v>12140</v>
      </c>
      <c r="L371" s="473" t="s">
        <v>12141</v>
      </c>
      <c r="M371" s="474" t="s">
        <v>12142</v>
      </c>
    </row>
    <row r="372" spans="1:13">
      <c r="A372" s="465" t="s">
        <v>946</v>
      </c>
      <c r="B372" s="465" t="s">
        <v>942</v>
      </c>
      <c r="C372" s="466" t="s">
        <v>945</v>
      </c>
      <c r="D372" s="466" t="s">
        <v>943</v>
      </c>
      <c r="E372" s="466" t="s">
        <v>4708</v>
      </c>
      <c r="F372" s="465" t="s">
        <v>4714</v>
      </c>
      <c r="G372" s="465" t="s">
        <v>4710</v>
      </c>
      <c r="H372" s="465" t="s">
        <v>4711</v>
      </c>
      <c r="I372" s="465" t="s">
        <v>4712</v>
      </c>
      <c r="J372" s="465" t="s">
        <v>4713</v>
      </c>
      <c r="K372" s="470" t="s">
        <v>7368</v>
      </c>
      <c r="L372" s="465" t="s">
        <v>8631</v>
      </c>
      <c r="M372" s="467" t="s">
        <v>7986</v>
      </c>
    </row>
    <row r="373" spans="1:13">
      <c r="A373" s="461" t="s">
        <v>2295</v>
      </c>
      <c r="B373" s="461" t="s">
        <v>1220</v>
      </c>
      <c r="C373" s="468" t="s">
        <v>1219</v>
      </c>
      <c r="D373" s="468" t="s">
        <v>1221</v>
      </c>
      <c r="E373" s="468" t="s">
        <v>4962</v>
      </c>
      <c r="F373" s="461" t="s">
        <v>4963</v>
      </c>
      <c r="G373" s="461" t="s">
        <v>4964</v>
      </c>
      <c r="H373" s="461" t="s">
        <v>4965</v>
      </c>
      <c r="I373" s="461" t="s">
        <v>4966</v>
      </c>
      <c r="J373" s="461" t="s">
        <v>4967</v>
      </c>
      <c r="K373" s="461" t="s">
        <v>7402</v>
      </c>
      <c r="L373" s="461" t="s">
        <v>8666</v>
      </c>
      <c r="M373" s="469" t="s">
        <v>8023</v>
      </c>
    </row>
    <row r="374" spans="1:13">
      <c r="A374" s="465" t="s">
        <v>2444</v>
      </c>
      <c r="B374" s="465" t="s">
        <v>1220</v>
      </c>
      <c r="C374" s="466" t="s">
        <v>1219</v>
      </c>
      <c r="D374" s="466" t="s">
        <v>1221</v>
      </c>
      <c r="E374" s="466" t="s">
        <v>4962</v>
      </c>
      <c r="F374" s="465" t="s">
        <v>4963</v>
      </c>
      <c r="G374" s="465" t="s">
        <v>4964</v>
      </c>
      <c r="H374" s="465" t="s">
        <v>4965</v>
      </c>
      <c r="I374" s="465" t="s">
        <v>4966</v>
      </c>
      <c r="J374" s="465" t="s">
        <v>4967</v>
      </c>
      <c r="K374" s="465" t="s">
        <v>7402</v>
      </c>
      <c r="L374" s="465" t="s">
        <v>8666</v>
      </c>
      <c r="M374" s="467" t="s">
        <v>8023</v>
      </c>
    </row>
    <row r="375" spans="1:13">
      <c r="A375" s="461" t="s">
        <v>1229</v>
      </c>
      <c r="B375" s="461" t="s">
        <v>1220</v>
      </c>
      <c r="C375" s="468" t="s">
        <v>1219</v>
      </c>
      <c r="D375" s="468" t="s">
        <v>1221</v>
      </c>
      <c r="E375" s="468" t="s">
        <v>4962</v>
      </c>
      <c r="F375" s="461" t="s">
        <v>4963</v>
      </c>
      <c r="G375" s="461" t="s">
        <v>4964</v>
      </c>
      <c r="H375" s="461" t="s">
        <v>4965</v>
      </c>
      <c r="I375" s="461" t="s">
        <v>4966</v>
      </c>
      <c r="J375" s="461" t="s">
        <v>4967</v>
      </c>
      <c r="K375" s="461" t="s">
        <v>7402</v>
      </c>
      <c r="L375" s="461" t="s">
        <v>8666</v>
      </c>
      <c r="M375" s="469" t="s">
        <v>8023</v>
      </c>
    </row>
    <row r="376" spans="1:13">
      <c r="A376" s="465" t="s">
        <v>2443</v>
      </c>
      <c r="B376" s="465" t="s">
        <v>1220</v>
      </c>
      <c r="C376" s="466" t="s">
        <v>1219</v>
      </c>
      <c r="D376" s="466" t="s">
        <v>1221</v>
      </c>
      <c r="E376" s="466" t="s">
        <v>4962</v>
      </c>
      <c r="F376" s="465" t="s">
        <v>4963</v>
      </c>
      <c r="G376" s="465" t="s">
        <v>4964</v>
      </c>
      <c r="H376" s="465" t="s">
        <v>4965</v>
      </c>
      <c r="I376" s="465" t="s">
        <v>4966</v>
      </c>
      <c r="J376" s="465" t="s">
        <v>4967</v>
      </c>
      <c r="K376" s="465" t="s">
        <v>7402</v>
      </c>
      <c r="L376" s="465" t="s">
        <v>8666</v>
      </c>
      <c r="M376" s="467" t="s">
        <v>8023</v>
      </c>
    </row>
    <row r="377" spans="1:13">
      <c r="A377" s="461" t="s">
        <v>1528</v>
      </c>
      <c r="B377" s="461" t="s">
        <v>1530</v>
      </c>
      <c r="C377" s="468" t="s">
        <v>1223</v>
      </c>
      <c r="D377" s="468" t="s">
        <v>1225</v>
      </c>
      <c r="E377" s="468" t="s">
        <v>4852</v>
      </c>
      <c r="F377" s="461" t="s">
        <v>4853</v>
      </c>
      <c r="G377" s="461" t="s">
        <v>4854</v>
      </c>
      <c r="H377" s="461" t="s">
        <v>4855</v>
      </c>
      <c r="I377" s="461" t="s">
        <v>5202</v>
      </c>
      <c r="J377" s="461" t="s">
        <v>4857</v>
      </c>
      <c r="K377" s="461" t="s">
        <v>7387</v>
      </c>
      <c r="L377" s="461" t="s">
        <v>8650</v>
      </c>
      <c r="M377" s="469" t="s">
        <v>8007</v>
      </c>
    </row>
    <row r="378" spans="1:13">
      <c r="A378" s="475" t="s">
        <v>12056</v>
      </c>
      <c r="B378" s="475" t="s">
        <v>12132</v>
      </c>
      <c r="C378" s="475" t="s">
        <v>12133</v>
      </c>
      <c r="D378" s="475" t="s">
        <v>12134</v>
      </c>
      <c r="E378" s="475" t="s">
        <v>12135</v>
      </c>
      <c r="F378" s="475" t="s">
        <v>12136</v>
      </c>
      <c r="G378" s="475" t="s">
        <v>12261</v>
      </c>
      <c r="H378" s="475" t="s">
        <v>12137</v>
      </c>
      <c r="I378" s="475" t="s">
        <v>12138</v>
      </c>
      <c r="J378" s="475" t="s">
        <v>12139</v>
      </c>
      <c r="K378" s="475" t="s">
        <v>12140</v>
      </c>
      <c r="L378" s="475" t="s">
        <v>12141</v>
      </c>
      <c r="M378" s="476" t="s">
        <v>12142</v>
      </c>
    </row>
    <row r="379" spans="1:13">
      <c r="A379" s="473" t="s">
        <v>12222</v>
      </c>
      <c r="B379" s="473" t="s">
        <v>12132</v>
      </c>
      <c r="C379" s="473" t="s">
        <v>12133</v>
      </c>
      <c r="D379" s="473" t="s">
        <v>12134</v>
      </c>
      <c r="E379" s="473" t="s">
        <v>12135</v>
      </c>
      <c r="F379" s="473" t="s">
        <v>12136</v>
      </c>
      <c r="G379" s="473" t="s">
        <v>12261</v>
      </c>
      <c r="H379" s="473" t="s">
        <v>12137</v>
      </c>
      <c r="I379" s="473" t="s">
        <v>12138</v>
      </c>
      <c r="J379" s="473" t="s">
        <v>12139</v>
      </c>
      <c r="K379" s="473" t="s">
        <v>12140</v>
      </c>
      <c r="L379" s="473" t="s">
        <v>12141</v>
      </c>
      <c r="M379" s="474" t="s">
        <v>12142</v>
      </c>
    </row>
    <row r="380" spans="1:13">
      <c r="A380" s="475" t="s">
        <v>11196</v>
      </c>
      <c r="B380" s="475" t="s">
        <v>11443</v>
      </c>
      <c r="C380" s="475" t="s">
        <v>11444</v>
      </c>
      <c r="D380" s="475" t="s">
        <v>2700</v>
      </c>
      <c r="E380" s="475" t="s">
        <v>5068</v>
      </c>
      <c r="F380" s="475" t="s">
        <v>5069</v>
      </c>
      <c r="G380" s="475" t="s">
        <v>5070</v>
      </c>
      <c r="H380" s="475" t="s">
        <v>5071</v>
      </c>
      <c r="I380" s="475" t="s">
        <v>5072</v>
      </c>
      <c r="J380" s="475" t="s">
        <v>5073</v>
      </c>
      <c r="K380" s="475" t="s">
        <v>7418</v>
      </c>
      <c r="L380" s="475" t="s">
        <v>8681</v>
      </c>
      <c r="M380" s="476" t="s">
        <v>8040</v>
      </c>
    </row>
    <row r="381" spans="1:13">
      <c r="A381" s="461" t="s">
        <v>2563</v>
      </c>
      <c r="B381" s="461" t="s">
        <v>961</v>
      </c>
      <c r="C381" s="468" t="s">
        <v>587</v>
      </c>
      <c r="D381" s="468" t="s">
        <v>962</v>
      </c>
      <c r="E381" s="468" t="s">
        <v>4024</v>
      </c>
      <c r="F381" s="461" t="s">
        <v>4001</v>
      </c>
      <c r="G381" s="461" t="s">
        <v>4002</v>
      </c>
      <c r="H381" s="461" t="s">
        <v>4003</v>
      </c>
      <c r="I381" s="461" t="s">
        <v>4025</v>
      </c>
      <c r="J381" s="461" t="s">
        <v>4005</v>
      </c>
      <c r="K381" s="461" t="s">
        <v>7309</v>
      </c>
      <c r="L381" s="461" t="s">
        <v>8525</v>
      </c>
      <c r="M381" s="469" t="s">
        <v>7879</v>
      </c>
    </row>
    <row r="382" spans="1:13">
      <c r="A382" s="465" t="s">
        <v>2265</v>
      </c>
      <c r="B382" s="465" t="s">
        <v>961</v>
      </c>
      <c r="C382" s="466" t="s">
        <v>587</v>
      </c>
      <c r="D382" s="466" t="s">
        <v>962</v>
      </c>
      <c r="E382" s="466" t="s">
        <v>4024</v>
      </c>
      <c r="F382" s="465" t="s">
        <v>4001</v>
      </c>
      <c r="G382" s="465" t="s">
        <v>4002</v>
      </c>
      <c r="H382" s="465" t="s">
        <v>4003</v>
      </c>
      <c r="I382" s="465" t="s">
        <v>4025</v>
      </c>
      <c r="J382" s="465" t="s">
        <v>4005</v>
      </c>
      <c r="K382" s="465" t="s">
        <v>7309</v>
      </c>
      <c r="L382" s="465" t="s">
        <v>8525</v>
      </c>
      <c r="M382" s="467" t="s">
        <v>7879</v>
      </c>
    </row>
    <row r="383" spans="1:13">
      <c r="A383" s="473" t="s">
        <v>12031</v>
      </c>
      <c r="B383" s="473" t="s">
        <v>1083</v>
      </c>
      <c r="C383" s="473" t="s">
        <v>1082</v>
      </c>
      <c r="D383" s="473" t="s">
        <v>12253</v>
      </c>
      <c r="E383" s="473" t="s">
        <v>4733</v>
      </c>
      <c r="F383" s="473" t="s">
        <v>4734</v>
      </c>
      <c r="G383" s="473" t="s">
        <v>11534</v>
      </c>
      <c r="H383" s="473" t="s">
        <v>4736</v>
      </c>
      <c r="I383" s="473" t="s">
        <v>4737</v>
      </c>
      <c r="J383" s="473" t="s">
        <v>4828</v>
      </c>
      <c r="K383" s="473" t="s">
        <v>7371</v>
      </c>
      <c r="L383" s="473" t="s">
        <v>8634</v>
      </c>
      <c r="M383" s="474" t="s">
        <v>7989</v>
      </c>
    </row>
    <row r="384" spans="1:13">
      <c r="A384" s="475" t="s">
        <v>12206</v>
      </c>
      <c r="B384" s="475" t="s">
        <v>1083</v>
      </c>
      <c r="C384" s="475" t="s">
        <v>1082</v>
      </c>
      <c r="D384" s="475" t="s">
        <v>12253</v>
      </c>
      <c r="E384" s="475" t="s">
        <v>4733</v>
      </c>
      <c r="F384" s="475" t="s">
        <v>4734</v>
      </c>
      <c r="G384" s="475" t="s">
        <v>11534</v>
      </c>
      <c r="H384" s="475" t="s">
        <v>4736</v>
      </c>
      <c r="I384" s="475" t="s">
        <v>4737</v>
      </c>
      <c r="J384" s="475" t="s">
        <v>4828</v>
      </c>
      <c r="K384" s="475" t="s">
        <v>7371</v>
      </c>
      <c r="L384" s="475" t="s">
        <v>8634</v>
      </c>
      <c r="M384" s="476" t="s">
        <v>7989</v>
      </c>
    </row>
    <row r="385" spans="1:13">
      <c r="A385" s="473" t="s">
        <v>11198</v>
      </c>
      <c r="B385" s="473" t="s">
        <v>11443</v>
      </c>
      <c r="C385" s="473" t="s">
        <v>11444</v>
      </c>
      <c r="D385" s="473" t="s">
        <v>2700</v>
      </c>
      <c r="E385" s="473" t="s">
        <v>5068</v>
      </c>
      <c r="F385" s="473" t="s">
        <v>5069</v>
      </c>
      <c r="G385" s="473" t="s">
        <v>5070</v>
      </c>
      <c r="H385" s="473" t="s">
        <v>5071</v>
      </c>
      <c r="I385" s="473" t="s">
        <v>5072</v>
      </c>
      <c r="J385" s="473" t="s">
        <v>5073</v>
      </c>
      <c r="K385" s="473" t="s">
        <v>7418</v>
      </c>
      <c r="L385" s="473" t="s">
        <v>8681</v>
      </c>
      <c r="M385" s="474" t="s">
        <v>8040</v>
      </c>
    </row>
    <row r="386" spans="1:13">
      <c r="A386" s="465" t="s">
        <v>2296</v>
      </c>
      <c r="B386" s="465" t="s">
        <v>1296</v>
      </c>
      <c r="C386" s="466" t="s">
        <v>587</v>
      </c>
      <c r="D386" s="466" t="s">
        <v>1297</v>
      </c>
      <c r="E386" s="466" t="s">
        <v>4024</v>
      </c>
      <c r="F386" s="465" t="s">
        <v>4001</v>
      </c>
      <c r="G386" s="465" t="s">
        <v>4002</v>
      </c>
      <c r="H386" s="465" t="s">
        <v>4003</v>
      </c>
      <c r="I386" s="465" t="s">
        <v>4026</v>
      </c>
      <c r="J386" s="465" t="s">
        <v>4005</v>
      </c>
      <c r="K386" s="465" t="s">
        <v>7309</v>
      </c>
      <c r="L386" s="465" t="s">
        <v>8529</v>
      </c>
      <c r="M386" s="467" t="s">
        <v>7879</v>
      </c>
    </row>
    <row r="387" spans="1:13">
      <c r="A387" s="473" t="s">
        <v>12058</v>
      </c>
      <c r="B387" s="473" t="s">
        <v>12143</v>
      </c>
      <c r="C387" s="473" t="s">
        <v>12144</v>
      </c>
      <c r="D387" s="473" t="s">
        <v>12145</v>
      </c>
      <c r="E387" s="473" t="s">
        <v>12146</v>
      </c>
      <c r="F387" s="473" t="s">
        <v>12147</v>
      </c>
      <c r="G387" s="473" t="s">
        <v>12148</v>
      </c>
      <c r="H387" s="473" t="s">
        <v>12149</v>
      </c>
      <c r="I387" s="473" t="s">
        <v>12150</v>
      </c>
      <c r="J387" s="473" t="s">
        <v>12151</v>
      </c>
      <c r="K387" s="473" t="s">
        <v>12152</v>
      </c>
      <c r="L387" s="473" t="s">
        <v>12153</v>
      </c>
      <c r="M387" s="474" t="s">
        <v>12154</v>
      </c>
    </row>
    <row r="388" spans="1:13">
      <c r="A388" s="475" t="s">
        <v>12223</v>
      </c>
      <c r="B388" s="475" t="s">
        <v>12143</v>
      </c>
      <c r="C388" s="475" t="s">
        <v>12144</v>
      </c>
      <c r="D388" s="475" t="s">
        <v>12145</v>
      </c>
      <c r="E388" s="475" t="s">
        <v>12146</v>
      </c>
      <c r="F388" s="475" t="s">
        <v>12147</v>
      </c>
      <c r="G388" s="475" t="s">
        <v>12148</v>
      </c>
      <c r="H388" s="475" t="s">
        <v>12149</v>
      </c>
      <c r="I388" s="475" t="s">
        <v>12150</v>
      </c>
      <c r="J388" s="475" t="s">
        <v>12151</v>
      </c>
      <c r="K388" s="475" t="s">
        <v>12152</v>
      </c>
      <c r="L388" s="475" t="s">
        <v>12153</v>
      </c>
      <c r="M388" s="476" t="s">
        <v>12154</v>
      </c>
    </row>
    <row r="389" spans="1:13">
      <c r="A389" s="461" t="s">
        <v>2310</v>
      </c>
      <c r="B389" s="461" t="s">
        <v>744</v>
      </c>
      <c r="C389" s="468" t="s">
        <v>743</v>
      </c>
      <c r="D389" s="468" t="s">
        <v>1012</v>
      </c>
      <c r="E389" s="468" t="s">
        <v>4356</v>
      </c>
      <c r="F389" s="461" t="s">
        <v>4357</v>
      </c>
      <c r="G389" s="461" t="s">
        <v>4789</v>
      </c>
      <c r="H389" s="461" t="s">
        <v>4359</v>
      </c>
      <c r="I389" s="461" t="s">
        <v>4360</v>
      </c>
      <c r="J389" s="461" t="s">
        <v>4361</v>
      </c>
      <c r="K389" s="461" t="s">
        <v>7357</v>
      </c>
      <c r="L389" s="461" t="s">
        <v>8573</v>
      </c>
      <c r="M389" s="469" t="s">
        <v>7927</v>
      </c>
    </row>
    <row r="390" spans="1:13">
      <c r="A390" s="465" t="s">
        <v>2312</v>
      </c>
      <c r="B390" s="465" t="s">
        <v>744</v>
      </c>
      <c r="C390" s="466" t="s">
        <v>743</v>
      </c>
      <c r="D390" s="466" t="s">
        <v>1012</v>
      </c>
      <c r="E390" s="466" t="s">
        <v>4356</v>
      </c>
      <c r="F390" s="465" t="s">
        <v>4357</v>
      </c>
      <c r="G390" s="465" t="s">
        <v>4789</v>
      </c>
      <c r="H390" s="465" t="s">
        <v>4359</v>
      </c>
      <c r="I390" s="465" t="s">
        <v>4360</v>
      </c>
      <c r="J390" s="465" t="s">
        <v>4361</v>
      </c>
      <c r="K390" s="465" t="s">
        <v>7357</v>
      </c>
      <c r="L390" s="465" t="s">
        <v>8573</v>
      </c>
      <c r="M390" s="467" t="s">
        <v>7927</v>
      </c>
    </row>
    <row r="391" spans="1:13">
      <c r="A391" s="473" t="s">
        <v>11207</v>
      </c>
      <c r="B391" s="473" t="s">
        <v>1315</v>
      </c>
      <c r="C391" s="473" t="s">
        <v>355</v>
      </c>
      <c r="D391" s="473" t="s">
        <v>357</v>
      </c>
      <c r="E391" s="473" t="s">
        <v>3608</v>
      </c>
      <c r="F391" s="473" t="s">
        <v>3609</v>
      </c>
      <c r="G391" s="473" t="s">
        <v>5036</v>
      </c>
      <c r="H391" s="473" t="s">
        <v>3611</v>
      </c>
      <c r="I391" s="473" t="s">
        <v>3612</v>
      </c>
      <c r="J391" s="473" t="s">
        <v>3613</v>
      </c>
      <c r="K391" s="473" t="s">
        <v>7246</v>
      </c>
      <c r="L391" s="473" t="s">
        <v>8462</v>
      </c>
      <c r="M391" s="474" t="s">
        <v>8034</v>
      </c>
    </row>
    <row r="392" spans="1:13">
      <c r="A392" s="475" t="s">
        <v>11211</v>
      </c>
      <c r="B392" s="475" t="s">
        <v>1315</v>
      </c>
      <c r="C392" s="475" t="s">
        <v>355</v>
      </c>
      <c r="D392" s="475" t="s">
        <v>357</v>
      </c>
      <c r="E392" s="475" t="s">
        <v>3608</v>
      </c>
      <c r="F392" s="475" t="s">
        <v>3609</v>
      </c>
      <c r="G392" s="475" t="s">
        <v>5036</v>
      </c>
      <c r="H392" s="475" t="s">
        <v>3611</v>
      </c>
      <c r="I392" s="475" t="s">
        <v>3612</v>
      </c>
      <c r="J392" s="475" t="s">
        <v>3613</v>
      </c>
      <c r="K392" s="475" t="s">
        <v>7246</v>
      </c>
      <c r="L392" s="475" t="s">
        <v>8462</v>
      </c>
      <c r="M392" s="476" t="s">
        <v>8034</v>
      </c>
    </row>
    <row r="393" spans="1:13">
      <c r="A393" s="473" t="s">
        <v>12025</v>
      </c>
      <c r="B393" s="473" t="s">
        <v>356</v>
      </c>
      <c r="C393" s="473" t="s">
        <v>355</v>
      </c>
      <c r="D393" s="473" t="s">
        <v>12246</v>
      </c>
      <c r="E393" s="473" t="s">
        <v>3608</v>
      </c>
      <c r="F393" s="473" t="s">
        <v>3609</v>
      </c>
      <c r="G393" s="473" t="s">
        <v>11462</v>
      </c>
      <c r="H393" s="473" t="s">
        <v>3611</v>
      </c>
      <c r="I393" s="473" t="s">
        <v>3612</v>
      </c>
      <c r="J393" s="473" t="s">
        <v>3613</v>
      </c>
      <c r="K393" s="473" t="s">
        <v>7246</v>
      </c>
      <c r="L393" s="473" t="s">
        <v>8462</v>
      </c>
      <c r="M393" s="474" t="s">
        <v>8034</v>
      </c>
    </row>
    <row r="394" spans="1:13">
      <c r="A394" s="475" t="s">
        <v>11209</v>
      </c>
      <c r="B394" s="475" t="s">
        <v>1315</v>
      </c>
      <c r="C394" s="475" t="s">
        <v>355</v>
      </c>
      <c r="D394" s="475" t="s">
        <v>357</v>
      </c>
      <c r="E394" s="475" t="s">
        <v>3608</v>
      </c>
      <c r="F394" s="475" t="s">
        <v>3609</v>
      </c>
      <c r="G394" s="475" t="s">
        <v>5036</v>
      </c>
      <c r="H394" s="475" t="s">
        <v>3611</v>
      </c>
      <c r="I394" s="475" t="s">
        <v>3612</v>
      </c>
      <c r="J394" s="475" t="s">
        <v>3613</v>
      </c>
      <c r="K394" s="475" t="s">
        <v>7246</v>
      </c>
      <c r="L394" s="475" t="s">
        <v>8462</v>
      </c>
      <c r="M394" s="476" t="s">
        <v>8034</v>
      </c>
    </row>
    <row r="395" spans="1:13">
      <c r="A395" s="473" t="s">
        <v>11214</v>
      </c>
      <c r="B395" s="473" t="s">
        <v>1315</v>
      </c>
      <c r="C395" s="473" t="s">
        <v>355</v>
      </c>
      <c r="D395" s="473" t="s">
        <v>357</v>
      </c>
      <c r="E395" s="473" t="s">
        <v>3608</v>
      </c>
      <c r="F395" s="473" t="s">
        <v>3609</v>
      </c>
      <c r="G395" s="473" t="s">
        <v>5036</v>
      </c>
      <c r="H395" s="473" t="s">
        <v>3611</v>
      </c>
      <c r="I395" s="473" t="s">
        <v>3612</v>
      </c>
      <c r="J395" s="473" t="s">
        <v>3613</v>
      </c>
      <c r="K395" s="473" t="s">
        <v>7246</v>
      </c>
      <c r="L395" s="473" t="s">
        <v>8462</v>
      </c>
      <c r="M395" s="474" t="s">
        <v>8034</v>
      </c>
    </row>
    <row r="396" spans="1:13">
      <c r="A396" s="475" t="s">
        <v>11216</v>
      </c>
      <c r="B396" s="475" t="s">
        <v>1315</v>
      </c>
      <c r="C396" s="475" t="s">
        <v>355</v>
      </c>
      <c r="D396" s="475" t="s">
        <v>357</v>
      </c>
      <c r="E396" s="475" t="s">
        <v>3608</v>
      </c>
      <c r="F396" s="475" t="s">
        <v>3609</v>
      </c>
      <c r="G396" s="475" t="s">
        <v>5036</v>
      </c>
      <c r="H396" s="475" t="s">
        <v>3611</v>
      </c>
      <c r="I396" s="475" t="s">
        <v>3612</v>
      </c>
      <c r="J396" s="475" t="s">
        <v>3613</v>
      </c>
      <c r="K396" s="475" t="s">
        <v>7246</v>
      </c>
      <c r="L396" s="475" t="s">
        <v>8462</v>
      </c>
      <c r="M396" s="476" t="s">
        <v>8034</v>
      </c>
    </row>
    <row r="397" spans="1:13">
      <c r="A397" s="461" t="s">
        <v>1317</v>
      </c>
      <c r="B397" s="461" t="s">
        <v>1315</v>
      </c>
      <c r="C397" s="468" t="s">
        <v>355</v>
      </c>
      <c r="D397" s="468" t="s">
        <v>357</v>
      </c>
      <c r="E397" s="468" t="s">
        <v>3608</v>
      </c>
      <c r="F397" s="461" t="s">
        <v>3609</v>
      </c>
      <c r="G397" s="461" t="s">
        <v>5036</v>
      </c>
      <c r="H397" s="461" t="s">
        <v>3611</v>
      </c>
      <c r="I397" s="461" t="s">
        <v>3612</v>
      </c>
      <c r="J397" s="461" t="s">
        <v>3613</v>
      </c>
      <c r="K397" s="461" t="s">
        <v>7246</v>
      </c>
      <c r="L397" s="461" t="s">
        <v>8462</v>
      </c>
      <c r="M397" s="469" t="s">
        <v>8034</v>
      </c>
    </row>
    <row r="398" spans="1:13">
      <c r="A398" s="465" t="s">
        <v>1320</v>
      </c>
      <c r="B398" s="465" t="s">
        <v>1315</v>
      </c>
      <c r="C398" s="466" t="s">
        <v>355</v>
      </c>
      <c r="D398" s="466" t="s">
        <v>357</v>
      </c>
      <c r="E398" s="466" t="s">
        <v>3608</v>
      </c>
      <c r="F398" s="465" t="s">
        <v>3609</v>
      </c>
      <c r="G398" s="465" t="s">
        <v>5036</v>
      </c>
      <c r="H398" s="465" t="s">
        <v>3611</v>
      </c>
      <c r="I398" s="465" t="s">
        <v>3612</v>
      </c>
      <c r="J398" s="465" t="s">
        <v>3613</v>
      </c>
      <c r="K398" s="465" t="s">
        <v>7246</v>
      </c>
      <c r="L398" s="465" t="s">
        <v>8462</v>
      </c>
      <c r="M398" s="467" t="s">
        <v>8034</v>
      </c>
    </row>
    <row r="399" spans="1:13">
      <c r="A399" s="461" t="s">
        <v>1319</v>
      </c>
      <c r="B399" s="461" t="s">
        <v>1315</v>
      </c>
      <c r="C399" s="468" t="s">
        <v>355</v>
      </c>
      <c r="D399" s="468" t="s">
        <v>357</v>
      </c>
      <c r="E399" s="468" t="s">
        <v>3608</v>
      </c>
      <c r="F399" s="461" t="s">
        <v>3609</v>
      </c>
      <c r="G399" s="461" t="s">
        <v>5036</v>
      </c>
      <c r="H399" s="461" t="s">
        <v>3611</v>
      </c>
      <c r="I399" s="461" t="s">
        <v>3612</v>
      </c>
      <c r="J399" s="461" t="s">
        <v>3613</v>
      </c>
      <c r="K399" s="461" t="s">
        <v>7246</v>
      </c>
      <c r="L399" s="461" t="s">
        <v>8462</v>
      </c>
      <c r="M399" s="469" t="s">
        <v>8034</v>
      </c>
    </row>
    <row r="400" spans="1:13">
      <c r="A400" s="465" t="s">
        <v>1318</v>
      </c>
      <c r="B400" s="465" t="s">
        <v>2540</v>
      </c>
      <c r="C400" s="466" t="s">
        <v>1312</v>
      </c>
      <c r="D400" s="466" t="s">
        <v>1313</v>
      </c>
      <c r="E400" s="466" t="s">
        <v>5037</v>
      </c>
      <c r="F400" s="465" t="s">
        <v>5038</v>
      </c>
      <c r="G400" s="465" t="s">
        <v>5039</v>
      </c>
      <c r="H400" s="465" t="s">
        <v>5040</v>
      </c>
      <c r="I400" s="465" t="s">
        <v>5041</v>
      </c>
      <c r="J400" s="465" t="s">
        <v>5042</v>
      </c>
      <c r="K400" s="465" t="s">
        <v>7413</v>
      </c>
      <c r="L400" s="465" t="s">
        <v>8676</v>
      </c>
      <c r="M400" s="467" t="s">
        <v>8035</v>
      </c>
    </row>
    <row r="401" spans="1:13">
      <c r="A401" s="461" t="s">
        <v>2313</v>
      </c>
      <c r="B401" s="461" t="s">
        <v>356</v>
      </c>
      <c r="C401" s="468" t="s">
        <v>355</v>
      </c>
      <c r="D401" s="468" t="s">
        <v>357</v>
      </c>
      <c r="E401" s="468" t="s">
        <v>3608</v>
      </c>
      <c r="F401" s="461" t="s">
        <v>3609</v>
      </c>
      <c r="G401" s="461" t="s">
        <v>5036</v>
      </c>
      <c r="H401" s="461" t="s">
        <v>3611</v>
      </c>
      <c r="I401" s="461" t="s">
        <v>3612</v>
      </c>
      <c r="J401" s="461" t="s">
        <v>3613</v>
      </c>
      <c r="K401" s="461" t="s">
        <v>7246</v>
      </c>
      <c r="L401" s="461" t="s">
        <v>8462</v>
      </c>
      <c r="M401" s="469" t="s">
        <v>8034</v>
      </c>
    </row>
    <row r="402" spans="1:13">
      <c r="A402" s="465" t="s">
        <v>2314</v>
      </c>
      <c r="B402" s="465" t="s">
        <v>356</v>
      </c>
      <c r="C402" s="466" t="s">
        <v>355</v>
      </c>
      <c r="D402" s="466" t="s">
        <v>357</v>
      </c>
      <c r="E402" s="466" t="s">
        <v>3608</v>
      </c>
      <c r="F402" s="465" t="s">
        <v>3609</v>
      </c>
      <c r="G402" s="465" t="s">
        <v>5036</v>
      </c>
      <c r="H402" s="465" t="s">
        <v>3611</v>
      </c>
      <c r="I402" s="465" t="s">
        <v>3612</v>
      </c>
      <c r="J402" s="465" t="s">
        <v>5113</v>
      </c>
      <c r="K402" s="465" t="s">
        <v>7246</v>
      </c>
      <c r="L402" s="465" t="s">
        <v>8462</v>
      </c>
      <c r="M402" s="467" t="s">
        <v>8034</v>
      </c>
    </row>
    <row r="403" spans="1:13">
      <c r="A403" s="461" t="s">
        <v>1425</v>
      </c>
      <c r="B403" s="461" t="s">
        <v>1427</v>
      </c>
      <c r="C403" s="468" t="s">
        <v>1298</v>
      </c>
      <c r="D403" s="468" t="s">
        <v>1428</v>
      </c>
      <c r="E403" s="468" t="s">
        <v>4897</v>
      </c>
      <c r="F403" s="461" t="s">
        <v>5114</v>
      </c>
      <c r="G403" s="461" t="s">
        <v>4002</v>
      </c>
      <c r="H403" s="461" t="s">
        <v>5115</v>
      </c>
      <c r="I403" s="461" t="s">
        <v>5116</v>
      </c>
      <c r="J403" s="461" t="s">
        <v>5117</v>
      </c>
      <c r="K403" s="461" t="s">
        <v>7424</v>
      </c>
      <c r="L403" s="461" t="s">
        <v>8686</v>
      </c>
      <c r="M403" s="469" t="s">
        <v>8047</v>
      </c>
    </row>
    <row r="404" spans="1:13">
      <c r="A404" s="475" t="s">
        <v>2101</v>
      </c>
      <c r="B404" s="475" t="s">
        <v>10604</v>
      </c>
      <c r="C404" s="475" t="s">
        <v>10608</v>
      </c>
      <c r="D404" s="475" t="s">
        <v>10610</v>
      </c>
      <c r="E404" s="475" t="s">
        <v>10612</v>
      </c>
      <c r="F404" s="475" t="s">
        <v>10614</v>
      </c>
      <c r="G404" s="475" t="s">
        <v>10616</v>
      </c>
      <c r="H404" s="475" t="s">
        <v>10606</v>
      </c>
      <c r="I404" s="475" t="s">
        <v>10618</v>
      </c>
      <c r="J404" s="475" t="s">
        <v>10620</v>
      </c>
      <c r="K404" s="475" t="s">
        <v>10622</v>
      </c>
      <c r="L404" s="475" t="s">
        <v>10624</v>
      </c>
      <c r="M404" s="476" t="s">
        <v>10626</v>
      </c>
    </row>
    <row r="405" spans="1:13">
      <c r="A405" s="461" t="s">
        <v>1449</v>
      </c>
      <c r="B405" s="461" t="s">
        <v>1035</v>
      </c>
      <c r="C405" s="468" t="s">
        <v>1034</v>
      </c>
      <c r="D405" s="468" t="s">
        <v>1036</v>
      </c>
      <c r="E405" s="468" t="s">
        <v>4901</v>
      </c>
      <c r="F405" s="461" t="s">
        <v>4792</v>
      </c>
      <c r="G405" s="461" t="s">
        <v>4789</v>
      </c>
      <c r="H405" s="461" t="s">
        <v>4794</v>
      </c>
      <c r="I405" s="461" t="s">
        <v>4795</v>
      </c>
      <c r="J405" s="461" t="s">
        <v>4796</v>
      </c>
      <c r="K405" s="461" t="s">
        <v>7379</v>
      </c>
      <c r="L405" s="461" t="s">
        <v>8642</v>
      </c>
      <c r="M405" s="469" t="s">
        <v>7997</v>
      </c>
    </row>
    <row r="406" spans="1:13">
      <c r="A406" s="475" t="s">
        <v>2102</v>
      </c>
      <c r="B406" s="475" t="s">
        <v>10604</v>
      </c>
      <c r="C406" s="475" t="s">
        <v>10608</v>
      </c>
      <c r="D406" s="475" t="s">
        <v>10610</v>
      </c>
      <c r="E406" s="475" t="s">
        <v>10612</v>
      </c>
      <c r="F406" s="475" t="s">
        <v>10614</v>
      </c>
      <c r="G406" s="475" t="s">
        <v>10616</v>
      </c>
      <c r="H406" s="475" t="s">
        <v>10606</v>
      </c>
      <c r="I406" s="475" t="s">
        <v>10618</v>
      </c>
      <c r="J406" s="475" t="s">
        <v>10620</v>
      </c>
      <c r="K406" s="475" t="s">
        <v>10622</v>
      </c>
      <c r="L406" s="475" t="s">
        <v>10624</v>
      </c>
      <c r="M406" s="476" t="s">
        <v>10626</v>
      </c>
    </row>
    <row r="407" spans="1:13">
      <c r="A407" s="461" t="s">
        <v>2336</v>
      </c>
      <c r="B407" s="461" t="s">
        <v>768</v>
      </c>
      <c r="C407" s="468" t="s">
        <v>767</v>
      </c>
      <c r="D407" s="468" t="s">
        <v>2704</v>
      </c>
      <c r="E407" s="468" t="s">
        <v>4374</v>
      </c>
      <c r="F407" s="461" t="s">
        <v>4375</v>
      </c>
      <c r="G407" s="461" t="s">
        <v>5175</v>
      </c>
      <c r="H407" s="461" t="s">
        <v>4374</v>
      </c>
      <c r="I407" s="461" t="s">
        <v>4377</v>
      </c>
      <c r="J407" s="461" t="s">
        <v>4378</v>
      </c>
      <c r="K407" s="461" t="s">
        <v>7360</v>
      </c>
      <c r="L407" s="461" t="s">
        <v>8576</v>
      </c>
      <c r="M407" s="469" t="s">
        <v>7930</v>
      </c>
    </row>
    <row r="408" spans="1:13">
      <c r="A408" s="465" t="s">
        <v>2486</v>
      </c>
      <c r="B408" s="465" t="s">
        <v>768</v>
      </c>
      <c r="C408" s="466" t="s">
        <v>767</v>
      </c>
      <c r="D408" s="466" t="s">
        <v>2704</v>
      </c>
      <c r="E408" s="466" t="s">
        <v>4374</v>
      </c>
      <c r="F408" s="465" t="s">
        <v>4375</v>
      </c>
      <c r="G408" s="465" t="s">
        <v>5175</v>
      </c>
      <c r="H408" s="465" t="s">
        <v>4374</v>
      </c>
      <c r="I408" s="465" t="s">
        <v>4377</v>
      </c>
      <c r="J408" s="465" t="s">
        <v>4378</v>
      </c>
      <c r="K408" s="465" t="s">
        <v>7360</v>
      </c>
      <c r="L408" s="465" t="s">
        <v>8576</v>
      </c>
      <c r="M408" s="467" t="s">
        <v>7930</v>
      </c>
    </row>
    <row r="409" spans="1:13">
      <c r="A409" s="461" t="s">
        <v>1128</v>
      </c>
      <c r="B409" s="461" t="s">
        <v>1119</v>
      </c>
      <c r="C409" s="468" t="s">
        <v>1118</v>
      </c>
      <c r="D409" s="468" t="s">
        <v>1120</v>
      </c>
      <c r="E409" s="468" t="s">
        <v>4877</v>
      </c>
      <c r="F409" s="461" t="s">
        <v>4878</v>
      </c>
      <c r="G409" s="461" t="s">
        <v>4849</v>
      </c>
      <c r="H409" s="461" t="s">
        <v>4879</v>
      </c>
      <c r="I409" s="461" t="s">
        <v>4880</v>
      </c>
      <c r="J409" s="461" t="s">
        <v>4881</v>
      </c>
      <c r="K409" s="461" t="s">
        <v>7390</v>
      </c>
      <c r="L409" s="461" t="s">
        <v>8652</v>
      </c>
      <c r="M409" s="469" t="s">
        <v>8009</v>
      </c>
    </row>
    <row r="410" spans="1:13">
      <c r="A410" s="465" t="s">
        <v>2433</v>
      </c>
      <c r="B410" s="465" t="s">
        <v>1119</v>
      </c>
      <c r="C410" s="466" t="s">
        <v>1118</v>
      </c>
      <c r="D410" s="466" t="s">
        <v>1120</v>
      </c>
      <c r="E410" s="466" t="s">
        <v>4877</v>
      </c>
      <c r="F410" s="465" t="s">
        <v>4878</v>
      </c>
      <c r="G410" s="465" t="s">
        <v>4896</v>
      </c>
      <c r="H410" s="465" t="s">
        <v>4879</v>
      </c>
      <c r="I410" s="465" t="s">
        <v>4880</v>
      </c>
      <c r="J410" s="465" t="s">
        <v>4881</v>
      </c>
      <c r="K410" s="465" t="s">
        <v>7390</v>
      </c>
      <c r="L410" s="465" t="s">
        <v>8652</v>
      </c>
      <c r="M410" s="467" t="s">
        <v>8009</v>
      </c>
    </row>
    <row r="411" spans="1:13">
      <c r="A411" s="461" t="s">
        <v>2317</v>
      </c>
      <c r="B411" s="461" t="s">
        <v>356</v>
      </c>
      <c r="C411" s="468" t="s">
        <v>355</v>
      </c>
      <c r="D411" s="468" t="s">
        <v>357</v>
      </c>
      <c r="E411" s="468" t="s">
        <v>3608</v>
      </c>
      <c r="F411" s="461" t="s">
        <v>3609</v>
      </c>
      <c r="G411" s="461" t="s">
        <v>5036</v>
      </c>
      <c r="H411" s="461" t="s">
        <v>3611</v>
      </c>
      <c r="I411" s="461" t="s">
        <v>3612</v>
      </c>
      <c r="J411" s="461" t="s">
        <v>3613</v>
      </c>
      <c r="K411" s="461" t="s">
        <v>7246</v>
      </c>
      <c r="L411" s="461" t="s">
        <v>8462</v>
      </c>
      <c r="M411" s="469" t="s">
        <v>8034</v>
      </c>
    </row>
    <row r="412" spans="1:13">
      <c r="A412" s="465" t="s">
        <v>2318</v>
      </c>
      <c r="B412" s="465" t="s">
        <v>356</v>
      </c>
      <c r="C412" s="466" t="s">
        <v>355</v>
      </c>
      <c r="D412" s="466" t="s">
        <v>357</v>
      </c>
      <c r="E412" s="466" t="s">
        <v>3608</v>
      </c>
      <c r="F412" s="465" t="s">
        <v>3609</v>
      </c>
      <c r="G412" s="465" t="s">
        <v>5036</v>
      </c>
      <c r="H412" s="465" t="s">
        <v>3611</v>
      </c>
      <c r="I412" s="465" t="s">
        <v>3612</v>
      </c>
      <c r="J412" s="465" t="s">
        <v>3613</v>
      </c>
      <c r="K412" s="465" t="s">
        <v>7246</v>
      </c>
      <c r="L412" s="465" t="s">
        <v>8462</v>
      </c>
      <c r="M412" s="467" t="s">
        <v>8034</v>
      </c>
    </row>
    <row r="413" spans="1:13">
      <c r="A413" s="473" t="s">
        <v>12064</v>
      </c>
      <c r="B413" s="473" t="s">
        <v>2544</v>
      </c>
      <c r="C413" s="473" t="s">
        <v>2648</v>
      </c>
      <c r="D413" s="473" t="s">
        <v>12267</v>
      </c>
      <c r="E413" s="473" t="s">
        <v>5152</v>
      </c>
      <c r="F413" s="473" t="s">
        <v>5153</v>
      </c>
      <c r="G413" s="473" t="s">
        <v>12268</v>
      </c>
      <c r="H413" s="473" t="s">
        <v>5155</v>
      </c>
      <c r="I413" s="473" t="s">
        <v>5156</v>
      </c>
      <c r="J413" s="473" t="s">
        <v>5157</v>
      </c>
      <c r="K413" s="473" t="s">
        <v>7430</v>
      </c>
      <c r="L413" s="473" t="s">
        <v>8691</v>
      </c>
      <c r="M413" s="474" t="s">
        <v>8053</v>
      </c>
    </row>
    <row r="414" spans="1:13">
      <c r="A414" s="475" t="s">
        <v>12226</v>
      </c>
      <c r="B414" s="475" t="s">
        <v>2544</v>
      </c>
      <c r="C414" s="475" t="s">
        <v>2648</v>
      </c>
      <c r="D414" s="475" t="s">
        <v>12267</v>
      </c>
      <c r="E414" s="475" t="s">
        <v>5152</v>
      </c>
      <c r="F414" s="475" t="s">
        <v>5153</v>
      </c>
      <c r="G414" s="475" t="s">
        <v>12268</v>
      </c>
      <c r="H414" s="475" t="s">
        <v>5155</v>
      </c>
      <c r="I414" s="475" t="s">
        <v>5156</v>
      </c>
      <c r="J414" s="475" t="s">
        <v>5157</v>
      </c>
      <c r="K414" s="475" t="s">
        <v>7430</v>
      </c>
      <c r="L414" s="475" t="s">
        <v>8691</v>
      </c>
      <c r="M414" s="476" t="s">
        <v>8053</v>
      </c>
    </row>
    <row r="415" spans="1:13">
      <c r="A415" s="461" t="s">
        <v>2281</v>
      </c>
      <c r="B415" s="461" t="s">
        <v>1224</v>
      </c>
      <c r="C415" s="468" t="s">
        <v>1223</v>
      </c>
      <c r="D415" s="468" t="s">
        <v>1225</v>
      </c>
      <c r="E415" s="468" t="s">
        <v>4852</v>
      </c>
      <c r="F415" s="461" t="s">
        <v>4853</v>
      </c>
      <c r="G415" s="461" t="s">
        <v>4854</v>
      </c>
      <c r="H415" s="461" t="s">
        <v>4855</v>
      </c>
      <c r="I415" s="461" t="s">
        <v>4856</v>
      </c>
      <c r="J415" s="461" t="s">
        <v>4857</v>
      </c>
      <c r="K415" s="461" t="s">
        <v>7387</v>
      </c>
      <c r="L415" s="461" t="s">
        <v>8650</v>
      </c>
      <c r="M415" s="469" t="s">
        <v>8007</v>
      </c>
    </row>
    <row r="416" spans="1:13">
      <c r="A416" s="465" t="s">
        <v>2425</v>
      </c>
      <c r="B416" s="465" t="s">
        <v>1224</v>
      </c>
      <c r="C416" s="466" t="s">
        <v>1223</v>
      </c>
      <c r="D416" s="466" t="s">
        <v>1225</v>
      </c>
      <c r="E416" s="466" t="s">
        <v>4852</v>
      </c>
      <c r="F416" s="465" t="s">
        <v>4853</v>
      </c>
      <c r="G416" s="465" t="s">
        <v>4854</v>
      </c>
      <c r="H416" s="465" t="s">
        <v>4855</v>
      </c>
      <c r="I416" s="465" t="s">
        <v>4856</v>
      </c>
      <c r="J416" s="465" t="s">
        <v>4857</v>
      </c>
      <c r="K416" s="465" t="s">
        <v>7387</v>
      </c>
      <c r="L416" s="465" t="s">
        <v>8650</v>
      </c>
      <c r="M416" s="467" t="s">
        <v>8007</v>
      </c>
    </row>
    <row r="417" spans="1:13">
      <c r="A417" s="461" t="s">
        <v>1230</v>
      </c>
      <c r="B417" s="461" t="s">
        <v>1224</v>
      </c>
      <c r="C417" s="468" t="s">
        <v>1223</v>
      </c>
      <c r="D417" s="468" t="s">
        <v>1225</v>
      </c>
      <c r="E417" s="468" t="s">
        <v>4852</v>
      </c>
      <c r="F417" s="461" t="s">
        <v>4853</v>
      </c>
      <c r="G417" s="461" t="s">
        <v>4854</v>
      </c>
      <c r="H417" s="461" t="s">
        <v>4855</v>
      </c>
      <c r="I417" s="461" t="s">
        <v>4856</v>
      </c>
      <c r="J417" s="461" t="s">
        <v>4857</v>
      </c>
      <c r="K417" s="461" t="s">
        <v>7387</v>
      </c>
      <c r="L417" s="461" t="s">
        <v>8650</v>
      </c>
      <c r="M417" s="469" t="s">
        <v>8007</v>
      </c>
    </row>
    <row r="418" spans="1:13">
      <c r="A418" s="465" t="s">
        <v>2445</v>
      </c>
      <c r="B418" s="465" t="s">
        <v>1224</v>
      </c>
      <c r="C418" s="466" t="s">
        <v>1223</v>
      </c>
      <c r="D418" s="466" t="s">
        <v>1225</v>
      </c>
      <c r="E418" s="466" t="s">
        <v>4852</v>
      </c>
      <c r="F418" s="465" t="s">
        <v>4853</v>
      </c>
      <c r="G418" s="465" t="s">
        <v>4854</v>
      </c>
      <c r="H418" s="465" t="s">
        <v>4855</v>
      </c>
      <c r="I418" s="465" t="s">
        <v>4856</v>
      </c>
      <c r="J418" s="465" t="s">
        <v>4857</v>
      </c>
      <c r="K418" s="465" t="s">
        <v>7387</v>
      </c>
      <c r="L418" s="465" t="s">
        <v>8650</v>
      </c>
      <c r="M418" s="467" t="s">
        <v>8007</v>
      </c>
    </row>
    <row r="419" spans="1:13">
      <c r="A419" s="461" t="s">
        <v>1453</v>
      </c>
      <c r="B419" s="461" t="s">
        <v>1451</v>
      </c>
      <c r="C419" s="468" t="s">
        <v>1450</v>
      </c>
      <c r="D419" s="468" t="s">
        <v>1452</v>
      </c>
      <c r="E419" s="468" t="s">
        <v>5128</v>
      </c>
      <c r="F419" s="461" t="s">
        <v>5129</v>
      </c>
      <c r="G419" s="461" t="s">
        <v>5130</v>
      </c>
      <c r="H419" s="461" t="s">
        <v>5131</v>
      </c>
      <c r="I419" s="461" t="s">
        <v>5132</v>
      </c>
      <c r="J419" s="461" t="s">
        <v>5133</v>
      </c>
      <c r="K419" s="461" t="s">
        <v>7427</v>
      </c>
      <c r="L419" s="461" t="s">
        <v>8688</v>
      </c>
      <c r="M419" s="469" t="s">
        <v>8049</v>
      </c>
    </row>
    <row r="420" spans="1:13">
      <c r="A420" s="465" t="s">
        <v>1455</v>
      </c>
      <c r="B420" s="465" t="s">
        <v>1457</v>
      </c>
      <c r="C420" s="466" t="s">
        <v>1456</v>
      </c>
      <c r="D420" s="466" t="s">
        <v>1458</v>
      </c>
      <c r="E420" s="466" t="s">
        <v>5134</v>
      </c>
      <c r="F420" s="465" t="s">
        <v>5135</v>
      </c>
      <c r="G420" s="465" t="s">
        <v>5136</v>
      </c>
      <c r="H420" s="465" t="s">
        <v>5137</v>
      </c>
      <c r="I420" s="465" t="s">
        <v>5138</v>
      </c>
      <c r="J420" s="465" t="s">
        <v>5139</v>
      </c>
      <c r="K420" s="465" t="s">
        <v>7428</v>
      </c>
      <c r="L420" s="465" t="s">
        <v>8689</v>
      </c>
      <c r="M420" s="467" t="s">
        <v>8050</v>
      </c>
    </row>
    <row r="421" spans="1:13">
      <c r="A421" s="461" t="s">
        <v>1459</v>
      </c>
      <c r="B421" s="461" t="s">
        <v>1457</v>
      </c>
      <c r="C421" s="468" t="s">
        <v>1456</v>
      </c>
      <c r="D421" s="468" t="s">
        <v>1458</v>
      </c>
      <c r="E421" s="468" t="s">
        <v>5134</v>
      </c>
      <c r="F421" s="461" t="s">
        <v>5135</v>
      </c>
      <c r="G421" s="461" t="s">
        <v>5136</v>
      </c>
      <c r="H421" s="461" t="s">
        <v>5137</v>
      </c>
      <c r="I421" s="461" t="s">
        <v>5138</v>
      </c>
      <c r="J421" s="461" t="s">
        <v>5139</v>
      </c>
      <c r="K421" s="461" t="s">
        <v>7428</v>
      </c>
      <c r="L421" s="461" t="s">
        <v>8689</v>
      </c>
      <c r="M421" s="469" t="s">
        <v>8050</v>
      </c>
    </row>
    <row r="422" spans="1:13">
      <c r="A422" s="465" t="s">
        <v>1460</v>
      </c>
      <c r="B422" s="465" t="s">
        <v>1397</v>
      </c>
      <c r="C422" s="466" t="s">
        <v>1396</v>
      </c>
      <c r="D422" s="466" t="s">
        <v>1398</v>
      </c>
      <c r="E422" s="466" t="s">
        <v>5086</v>
      </c>
      <c r="F422" s="465" t="s">
        <v>5087</v>
      </c>
      <c r="G422" s="465" t="s">
        <v>5088</v>
      </c>
      <c r="H422" s="465" t="s">
        <v>5089</v>
      </c>
      <c r="I422" s="465" t="s">
        <v>5090</v>
      </c>
      <c r="J422" s="465" t="s">
        <v>5091</v>
      </c>
      <c r="K422" s="465" t="s">
        <v>7420</v>
      </c>
      <c r="L422" s="465" t="s">
        <v>8683</v>
      </c>
      <c r="M422" s="467" t="s">
        <v>8044</v>
      </c>
    </row>
    <row r="423" spans="1:13">
      <c r="A423" s="461" t="s">
        <v>1511</v>
      </c>
      <c r="B423" s="461" t="s">
        <v>1232</v>
      </c>
      <c r="C423" s="468" t="s">
        <v>1231</v>
      </c>
      <c r="D423" s="468" t="s">
        <v>1233</v>
      </c>
      <c r="E423" s="468" t="s">
        <v>5170</v>
      </c>
      <c r="F423" s="461" t="s">
        <v>5171</v>
      </c>
      <c r="G423" s="461" t="s">
        <v>5172</v>
      </c>
      <c r="H423" s="461" t="s">
        <v>5170</v>
      </c>
      <c r="I423" s="461" t="s">
        <v>5173</v>
      </c>
      <c r="J423" s="461" t="s">
        <v>5174</v>
      </c>
      <c r="K423" s="471" t="s">
        <v>7432</v>
      </c>
      <c r="L423" s="461" t="s">
        <v>8693</v>
      </c>
      <c r="M423" s="469" t="s">
        <v>8055</v>
      </c>
    </row>
    <row r="424" spans="1:13">
      <c r="A424" s="465" t="s">
        <v>5180</v>
      </c>
      <c r="B424" s="465" t="s">
        <v>1232</v>
      </c>
      <c r="C424" s="466" t="s">
        <v>1231</v>
      </c>
      <c r="D424" s="466" t="s">
        <v>1233</v>
      </c>
      <c r="E424" s="466" t="s">
        <v>5170</v>
      </c>
      <c r="F424" s="465" t="s">
        <v>5171</v>
      </c>
      <c r="G424" s="465" t="s">
        <v>5172</v>
      </c>
      <c r="H424" s="465" t="s">
        <v>5170</v>
      </c>
      <c r="I424" s="465" t="s">
        <v>5173</v>
      </c>
      <c r="J424" s="465" t="s">
        <v>5177</v>
      </c>
      <c r="K424" s="465" t="s">
        <v>7432</v>
      </c>
      <c r="L424" s="465" t="s">
        <v>8693</v>
      </c>
      <c r="M424" s="467" t="s">
        <v>8055</v>
      </c>
    </row>
    <row r="425" spans="1:13">
      <c r="A425" s="473" t="s">
        <v>12038</v>
      </c>
      <c r="B425" s="473" t="s">
        <v>748</v>
      </c>
      <c r="C425" s="473" t="s">
        <v>747</v>
      </c>
      <c r="D425" s="473" t="s">
        <v>749</v>
      </c>
      <c r="E425" s="473" t="s">
        <v>4362</v>
      </c>
      <c r="F425" s="473" t="s">
        <v>4363</v>
      </c>
      <c r="G425" s="473" t="s">
        <v>12256</v>
      </c>
      <c r="H425" s="473" t="s">
        <v>4365</v>
      </c>
      <c r="I425" s="473" t="s">
        <v>12257</v>
      </c>
      <c r="J425" s="473" t="s">
        <v>4367</v>
      </c>
      <c r="K425" s="473" t="s">
        <v>7358</v>
      </c>
      <c r="L425" s="473" t="s">
        <v>8574</v>
      </c>
      <c r="M425" s="474" t="s">
        <v>7928</v>
      </c>
    </row>
    <row r="426" spans="1:13">
      <c r="A426" s="465" t="s">
        <v>1462</v>
      </c>
      <c r="B426" s="465" t="s">
        <v>758</v>
      </c>
      <c r="C426" s="466" t="s">
        <v>757</v>
      </c>
      <c r="D426" s="466" t="s">
        <v>1180</v>
      </c>
      <c r="E426" s="466" t="s">
        <v>4391</v>
      </c>
      <c r="F426" s="465" t="s">
        <v>4392</v>
      </c>
      <c r="G426" s="465" t="s">
        <v>4927</v>
      </c>
      <c r="H426" s="465" t="s">
        <v>4394</v>
      </c>
      <c r="I426" s="465" t="s">
        <v>4395</v>
      </c>
      <c r="J426" s="465" t="s">
        <v>4396</v>
      </c>
      <c r="K426" s="465" t="s">
        <v>7363</v>
      </c>
      <c r="L426" s="465" t="s">
        <v>8579</v>
      </c>
      <c r="M426" s="467" t="s">
        <v>7933</v>
      </c>
    </row>
    <row r="427" spans="1:13">
      <c r="A427" s="473" t="s">
        <v>2103</v>
      </c>
      <c r="B427" s="473" t="s">
        <v>10604</v>
      </c>
      <c r="C427" s="473" t="s">
        <v>10608</v>
      </c>
      <c r="D427" s="473" t="s">
        <v>10610</v>
      </c>
      <c r="E427" s="473" t="s">
        <v>10612</v>
      </c>
      <c r="F427" s="473" t="s">
        <v>10614</v>
      </c>
      <c r="G427" s="473" t="s">
        <v>10616</v>
      </c>
      <c r="H427" s="473" t="s">
        <v>10606</v>
      </c>
      <c r="I427" s="473" t="s">
        <v>10618</v>
      </c>
      <c r="J427" s="473" t="s">
        <v>10620</v>
      </c>
      <c r="K427" s="473" t="s">
        <v>10622</v>
      </c>
      <c r="L427" s="473" t="s">
        <v>10624</v>
      </c>
      <c r="M427" s="474" t="s">
        <v>10626</v>
      </c>
    </row>
    <row r="428" spans="1:13">
      <c r="A428" s="472" t="s">
        <v>1464</v>
      </c>
      <c r="B428" s="465" t="s">
        <v>758</v>
      </c>
      <c r="C428" s="466" t="s">
        <v>757</v>
      </c>
      <c r="D428" s="466" t="s">
        <v>1180</v>
      </c>
      <c r="E428" s="466" t="s">
        <v>4391</v>
      </c>
      <c r="F428" s="465" t="s">
        <v>4392</v>
      </c>
      <c r="G428" s="465" t="s">
        <v>4927</v>
      </c>
      <c r="H428" s="465" t="s">
        <v>4394</v>
      </c>
      <c r="I428" s="465" t="s">
        <v>4395</v>
      </c>
      <c r="J428" s="465" t="s">
        <v>4396</v>
      </c>
      <c r="K428" s="465" t="s">
        <v>7363</v>
      </c>
      <c r="L428" s="465" t="s">
        <v>8579</v>
      </c>
      <c r="M428" s="467" t="s">
        <v>7933</v>
      </c>
    </row>
    <row r="429" spans="1:13">
      <c r="A429" s="461" t="s">
        <v>1467</v>
      </c>
      <c r="B429" s="461" t="s">
        <v>707</v>
      </c>
      <c r="C429" s="468" t="s">
        <v>706</v>
      </c>
      <c r="D429" s="468" t="s">
        <v>708</v>
      </c>
      <c r="E429" s="468" t="s">
        <v>4379</v>
      </c>
      <c r="F429" s="461" t="s">
        <v>4380</v>
      </c>
      <c r="G429" s="461" t="s">
        <v>4760</v>
      </c>
      <c r="H429" s="461" t="s">
        <v>4382</v>
      </c>
      <c r="I429" s="461" t="s">
        <v>4761</v>
      </c>
      <c r="J429" s="461" t="s">
        <v>4384</v>
      </c>
      <c r="K429" s="461" t="s">
        <v>7361</v>
      </c>
      <c r="L429" s="461" t="s">
        <v>8577</v>
      </c>
      <c r="M429" s="469" t="s">
        <v>7931</v>
      </c>
    </row>
    <row r="430" spans="1:13">
      <c r="A430" s="465" t="s">
        <v>1466</v>
      </c>
      <c r="B430" s="465" t="s">
        <v>707</v>
      </c>
      <c r="C430" s="466" t="s">
        <v>706</v>
      </c>
      <c r="D430" s="466" t="s">
        <v>708</v>
      </c>
      <c r="E430" s="466" t="s">
        <v>4379</v>
      </c>
      <c r="F430" s="465" t="s">
        <v>4380</v>
      </c>
      <c r="G430" s="465" t="s">
        <v>4760</v>
      </c>
      <c r="H430" s="465" t="s">
        <v>4382</v>
      </c>
      <c r="I430" s="465" t="s">
        <v>4761</v>
      </c>
      <c r="J430" s="465" t="s">
        <v>4384</v>
      </c>
      <c r="K430" s="465" t="s">
        <v>7361</v>
      </c>
      <c r="L430" s="465" t="s">
        <v>8577</v>
      </c>
      <c r="M430" s="467" t="s">
        <v>7931</v>
      </c>
    </row>
    <row r="431" spans="1:13">
      <c r="A431" s="461" t="s">
        <v>1155</v>
      </c>
      <c r="B431" s="461" t="s">
        <v>1035</v>
      </c>
      <c r="C431" s="468" t="s">
        <v>1034</v>
      </c>
      <c r="D431" s="468" t="s">
        <v>1036</v>
      </c>
      <c r="E431" s="468" t="s">
        <v>4901</v>
      </c>
      <c r="F431" s="461" t="s">
        <v>4792</v>
      </c>
      <c r="G431" s="461" t="s">
        <v>4793</v>
      </c>
      <c r="H431" s="461" t="s">
        <v>4794</v>
      </c>
      <c r="I431" s="461" t="s">
        <v>4795</v>
      </c>
      <c r="J431" s="461" t="s">
        <v>4796</v>
      </c>
      <c r="K431" s="461" t="s">
        <v>7379</v>
      </c>
      <c r="L431" s="461" t="s">
        <v>8642</v>
      </c>
      <c r="M431" s="469" t="s">
        <v>7997</v>
      </c>
    </row>
    <row r="432" spans="1:13">
      <c r="A432" s="475" t="s">
        <v>12040</v>
      </c>
      <c r="B432" s="475" t="s">
        <v>744</v>
      </c>
      <c r="C432" s="475" t="s">
        <v>743</v>
      </c>
      <c r="D432" s="475" t="s">
        <v>745</v>
      </c>
      <c r="E432" s="475" t="s">
        <v>4356</v>
      </c>
      <c r="F432" s="475" t="s">
        <v>4357</v>
      </c>
      <c r="G432" s="475" t="s">
        <v>4358</v>
      </c>
      <c r="H432" s="475" t="s">
        <v>4359</v>
      </c>
      <c r="I432" s="475" t="s">
        <v>5035</v>
      </c>
      <c r="J432" s="475" t="s">
        <v>4361</v>
      </c>
      <c r="K432" s="475" t="s">
        <v>7357</v>
      </c>
      <c r="L432" s="475" t="s">
        <v>8573</v>
      </c>
      <c r="M432" s="476" t="s">
        <v>7927</v>
      </c>
    </row>
    <row r="433" spans="1:13">
      <c r="A433" s="473" t="s">
        <v>12177</v>
      </c>
      <c r="B433" s="473" t="s">
        <v>1035</v>
      </c>
      <c r="C433" s="473" t="s">
        <v>1034</v>
      </c>
      <c r="D433" s="473" t="s">
        <v>12130</v>
      </c>
      <c r="E433" s="473" t="s">
        <v>4901</v>
      </c>
      <c r="F433" s="473" t="s">
        <v>4792</v>
      </c>
      <c r="G433" s="473" t="s">
        <v>11450</v>
      </c>
      <c r="H433" s="473" t="s">
        <v>4794</v>
      </c>
      <c r="I433" s="473" t="s">
        <v>4795</v>
      </c>
      <c r="J433" s="473" t="s">
        <v>4796</v>
      </c>
      <c r="K433" s="473" t="s">
        <v>7379</v>
      </c>
      <c r="L433" s="473" t="s">
        <v>8642</v>
      </c>
      <c r="M433" s="474" t="s">
        <v>7997</v>
      </c>
    </row>
    <row r="434" spans="1:13">
      <c r="A434" s="465" t="s">
        <v>1011</v>
      </c>
      <c r="B434" s="465" t="s">
        <v>744</v>
      </c>
      <c r="C434" s="466" t="s">
        <v>743</v>
      </c>
      <c r="D434" s="475" t="s">
        <v>1012</v>
      </c>
      <c r="E434" s="475" t="s">
        <v>4788</v>
      </c>
      <c r="F434" s="465" t="s">
        <v>4357</v>
      </c>
      <c r="G434" s="465" t="s">
        <v>4789</v>
      </c>
      <c r="H434" s="465" t="s">
        <v>4359</v>
      </c>
      <c r="I434" s="465" t="s">
        <v>4360</v>
      </c>
      <c r="J434" s="465" t="s">
        <v>4361</v>
      </c>
      <c r="K434" s="470" t="s">
        <v>7357</v>
      </c>
      <c r="L434" s="465" t="s">
        <v>8573</v>
      </c>
      <c r="M434" s="467" t="s">
        <v>7927</v>
      </c>
    </row>
    <row r="435" spans="1:13">
      <c r="A435" s="461" t="s">
        <v>1015</v>
      </c>
      <c r="B435" s="461" t="s">
        <v>744</v>
      </c>
      <c r="C435" s="468" t="s">
        <v>743</v>
      </c>
      <c r="D435" s="468" t="s">
        <v>1012</v>
      </c>
      <c r="E435" s="468" t="s">
        <v>4788</v>
      </c>
      <c r="F435" s="461" t="s">
        <v>4357</v>
      </c>
      <c r="G435" s="461" t="s">
        <v>4789</v>
      </c>
      <c r="H435" s="461" t="s">
        <v>4359</v>
      </c>
      <c r="I435" s="461" t="s">
        <v>4360</v>
      </c>
      <c r="J435" s="461" t="s">
        <v>4361</v>
      </c>
      <c r="K435" s="461" t="s">
        <v>7357</v>
      </c>
      <c r="L435" s="461" t="s">
        <v>8573</v>
      </c>
      <c r="M435" s="469" t="s">
        <v>7927</v>
      </c>
    </row>
    <row r="436" spans="1:13">
      <c r="A436" s="465" t="s">
        <v>1021</v>
      </c>
      <c r="B436" s="465" t="s">
        <v>744</v>
      </c>
      <c r="C436" s="466" t="s">
        <v>743</v>
      </c>
      <c r="D436" s="466" t="s">
        <v>1012</v>
      </c>
      <c r="E436" s="466" t="s">
        <v>4788</v>
      </c>
      <c r="F436" s="465" t="s">
        <v>4357</v>
      </c>
      <c r="G436" s="465" t="s">
        <v>4789</v>
      </c>
      <c r="H436" s="465" t="s">
        <v>4359</v>
      </c>
      <c r="I436" s="465" t="s">
        <v>4360</v>
      </c>
      <c r="J436" s="465" t="s">
        <v>4361</v>
      </c>
      <c r="K436" s="465" t="s">
        <v>7357</v>
      </c>
      <c r="L436" s="465" t="s">
        <v>8573</v>
      </c>
      <c r="M436" s="467" t="s">
        <v>7927</v>
      </c>
    </row>
    <row r="437" spans="1:13">
      <c r="A437" s="461" t="s">
        <v>1017</v>
      </c>
      <c r="B437" s="461" t="s">
        <v>744</v>
      </c>
      <c r="C437" s="468" t="s">
        <v>743</v>
      </c>
      <c r="D437" s="468" t="s">
        <v>1012</v>
      </c>
      <c r="E437" s="468" t="s">
        <v>4788</v>
      </c>
      <c r="F437" s="461" t="s">
        <v>4357</v>
      </c>
      <c r="G437" s="461" t="s">
        <v>4789</v>
      </c>
      <c r="H437" s="461" t="s">
        <v>4359</v>
      </c>
      <c r="I437" s="461" t="s">
        <v>4360</v>
      </c>
      <c r="J437" s="461" t="s">
        <v>4361</v>
      </c>
      <c r="K437" s="461" t="s">
        <v>7357</v>
      </c>
      <c r="L437" s="461" t="s">
        <v>8573</v>
      </c>
      <c r="M437" s="469" t="s">
        <v>7927</v>
      </c>
    </row>
    <row r="438" spans="1:13">
      <c r="A438" s="465" t="s">
        <v>1022</v>
      </c>
      <c r="B438" s="465" t="s">
        <v>744</v>
      </c>
      <c r="C438" s="466" t="s">
        <v>743</v>
      </c>
      <c r="D438" s="466" t="s">
        <v>1012</v>
      </c>
      <c r="E438" s="466" t="s">
        <v>4788</v>
      </c>
      <c r="F438" s="465" t="s">
        <v>4357</v>
      </c>
      <c r="G438" s="465" t="s">
        <v>4789</v>
      </c>
      <c r="H438" s="465" t="s">
        <v>4359</v>
      </c>
      <c r="I438" s="465" t="s">
        <v>4360</v>
      </c>
      <c r="J438" s="465" t="s">
        <v>4361</v>
      </c>
      <c r="K438" s="465" t="s">
        <v>7357</v>
      </c>
      <c r="L438" s="465" t="s">
        <v>8573</v>
      </c>
      <c r="M438" s="467" t="s">
        <v>7927</v>
      </c>
    </row>
    <row r="439" spans="1:13">
      <c r="A439" s="473" t="s">
        <v>10501</v>
      </c>
      <c r="B439" s="473" t="s">
        <v>10604</v>
      </c>
      <c r="C439" s="473" t="s">
        <v>10608</v>
      </c>
      <c r="D439" s="473" t="s">
        <v>10610</v>
      </c>
      <c r="E439" s="473" t="s">
        <v>10612</v>
      </c>
      <c r="F439" s="473" t="s">
        <v>10614</v>
      </c>
      <c r="G439" s="473" t="s">
        <v>10616</v>
      </c>
      <c r="H439" s="473" t="s">
        <v>10606</v>
      </c>
      <c r="I439" s="473" t="s">
        <v>10618</v>
      </c>
      <c r="J439" s="473" t="s">
        <v>10620</v>
      </c>
      <c r="K439" s="473" t="s">
        <v>10622</v>
      </c>
      <c r="L439" s="473" t="s">
        <v>10624</v>
      </c>
      <c r="M439" s="474" t="s">
        <v>10626</v>
      </c>
    </row>
    <row r="440" spans="1:13">
      <c r="A440" s="465" t="s">
        <v>1013</v>
      </c>
      <c r="B440" s="465" t="s">
        <v>744</v>
      </c>
      <c r="C440" s="466" t="s">
        <v>743</v>
      </c>
      <c r="D440" s="466" t="s">
        <v>1012</v>
      </c>
      <c r="E440" s="466" t="s">
        <v>4788</v>
      </c>
      <c r="F440" s="465" t="s">
        <v>4357</v>
      </c>
      <c r="G440" s="465" t="s">
        <v>4789</v>
      </c>
      <c r="H440" s="465" t="s">
        <v>4359</v>
      </c>
      <c r="I440" s="465" t="s">
        <v>4360</v>
      </c>
      <c r="J440" s="465" t="s">
        <v>4361</v>
      </c>
      <c r="K440" s="465" t="s">
        <v>7357</v>
      </c>
      <c r="L440" s="465" t="s">
        <v>8573</v>
      </c>
      <c r="M440" s="467" t="s">
        <v>7927</v>
      </c>
    </row>
    <row r="441" spans="1:13">
      <c r="A441" s="472" t="s">
        <v>1018</v>
      </c>
      <c r="B441" s="461" t="s">
        <v>744</v>
      </c>
      <c r="C441" s="468" t="s">
        <v>743</v>
      </c>
      <c r="D441" s="468" t="s">
        <v>1012</v>
      </c>
      <c r="E441" s="468" t="s">
        <v>4788</v>
      </c>
      <c r="F441" s="461" t="s">
        <v>4357</v>
      </c>
      <c r="G441" s="461" t="s">
        <v>4789</v>
      </c>
      <c r="H441" s="461" t="s">
        <v>4359</v>
      </c>
      <c r="I441" s="461" t="s">
        <v>4360</v>
      </c>
      <c r="J441" s="461" t="s">
        <v>4361</v>
      </c>
      <c r="K441" s="461" t="s">
        <v>7357</v>
      </c>
      <c r="L441" s="461" t="s">
        <v>8573</v>
      </c>
      <c r="M441" s="469" t="s">
        <v>7927</v>
      </c>
    </row>
    <row r="442" spans="1:13">
      <c r="A442" s="465" t="s">
        <v>1023</v>
      </c>
      <c r="B442" s="481" t="s">
        <v>744</v>
      </c>
      <c r="C442" s="466" t="s">
        <v>743</v>
      </c>
      <c r="D442" s="466" t="s">
        <v>1012</v>
      </c>
      <c r="E442" s="466" t="s">
        <v>4788</v>
      </c>
      <c r="F442" s="465" t="s">
        <v>4357</v>
      </c>
      <c r="G442" s="465" t="s">
        <v>4789</v>
      </c>
      <c r="H442" s="465" t="s">
        <v>4359</v>
      </c>
      <c r="I442" s="465" t="s">
        <v>4360</v>
      </c>
      <c r="J442" s="465" t="s">
        <v>4361</v>
      </c>
      <c r="K442" s="465" t="s">
        <v>7357</v>
      </c>
      <c r="L442" s="465" t="s">
        <v>8573</v>
      </c>
      <c r="M442" s="467" t="s">
        <v>7927</v>
      </c>
    </row>
    <row r="443" spans="1:13">
      <c r="A443" s="461" t="s">
        <v>1014</v>
      </c>
      <c r="B443" s="461" t="s">
        <v>744</v>
      </c>
      <c r="C443" s="468" t="s">
        <v>743</v>
      </c>
      <c r="D443" s="468" t="s">
        <v>1012</v>
      </c>
      <c r="E443" s="468" t="s">
        <v>4788</v>
      </c>
      <c r="F443" s="461" t="s">
        <v>4357</v>
      </c>
      <c r="G443" s="461" t="s">
        <v>4789</v>
      </c>
      <c r="H443" s="461" t="s">
        <v>4359</v>
      </c>
      <c r="I443" s="461" t="s">
        <v>4360</v>
      </c>
      <c r="J443" s="461" t="s">
        <v>4361</v>
      </c>
      <c r="K443" s="461" t="s">
        <v>7357</v>
      </c>
      <c r="L443" s="461" t="s">
        <v>8573</v>
      </c>
      <c r="M443" s="469" t="s">
        <v>7927</v>
      </c>
    </row>
    <row r="444" spans="1:13">
      <c r="A444" s="475" t="s">
        <v>2081</v>
      </c>
      <c r="B444" s="475" t="s">
        <v>10604</v>
      </c>
      <c r="C444" s="475" t="s">
        <v>10608</v>
      </c>
      <c r="D444" s="475" t="s">
        <v>10610</v>
      </c>
      <c r="E444" s="475" t="s">
        <v>10612</v>
      </c>
      <c r="F444" s="475" t="s">
        <v>10614</v>
      </c>
      <c r="G444" s="475" t="s">
        <v>10616</v>
      </c>
      <c r="H444" s="475" t="s">
        <v>10606</v>
      </c>
      <c r="I444" s="475" t="s">
        <v>10618</v>
      </c>
      <c r="J444" s="475" t="s">
        <v>10620</v>
      </c>
      <c r="K444" s="475" t="s">
        <v>10622</v>
      </c>
      <c r="L444" s="475" t="s">
        <v>10624</v>
      </c>
      <c r="M444" s="476" t="s">
        <v>10626</v>
      </c>
    </row>
    <row r="445" spans="1:13">
      <c r="A445" s="461" t="s">
        <v>1020</v>
      </c>
      <c r="B445" s="461" t="s">
        <v>744</v>
      </c>
      <c r="C445" s="468" t="s">
        <v>743</v>
      </c>
      <c r="D445" s="468" t="s">
        <v>1012</v>
      </c>
      <c r="E445" s="468" t="s">
        <v>4788</v>
      </c>
      <c r="F445" s="461" t="s">
        <v>4357</v>
      </c>
      <c r="G445" s="461" t="s">
        <v>4789</v>
      </c>
      <c r="H445" s="461" t="s">
        <v>4359</v>
      </c>
      <c r="I445" s="461" t="s">
        <v>4360</v>
      </c>
      <c r="J445" s="461" t="s">
        <v>4361</v>
      </c>
      <c r="K445" s="461" t="s">
        <v>7357</v>
      </c>
      <c r="L445" s="461" t="s">
        <v>8573</v>
      </c>
      <c r="M445" s="469" t="s">
        <v>7927</v>
      </c>
    </row>
    <row r="446" spans="1:13">
      <c r="A446" s="465" t="s">
        <v>1162</v>
      </c>
      <c r="B446" s="465" t="s">
        <v>744</v>
      </c>
      <c r="C446" s="466" t="s">
        <v>743</v>
      </c>
      <c r="D446" s="466" t="s">
        <v>1012</v>
      </c>
      <c r="E446" s="466" t="s">
        <v>4356</v>
      </c>
      <c r="F446" s="465" t="s">
        <v>4902</v>
      </c>
      <c r="G446" s="465" t="s">
        <v>4789</v>
      </c>
      <c r="H446" s="465" t="s">
        <v>4359</v>
      </c>
      <c r="I446" s="465" t="s">
        <v>4360</v>
      </c>
      <c r="J446" s="465" t="s">
        <v>4361</v>
      </c>
      <c r="K446" s="465" t="s">
        <v>7357</v>
      </c>
      <c r="L446" s="465" t="s">
        <v>8573</v>
      </c>
      <c r="M446" s="467" t="s">
        <v>7927</v>
      </c>
    </row>
    <row r="447" spans="1:13">
      <c r="A447" s="461" t="s">
        <v>1169</v>
      </c>
      <c r="B447" s="461" t="s">
        <v>961</v>
      </c>
      <c r="C447" s="468" t="s">
        <v>587</v>
      </c>
      <c r="D447" s="468" t="s">
        <v>962</v>
      </c>
      <c r="E447" s="468" t="s">
        <v>4897</v>
      </c>
      <c r="F447" s="461" t="s">
        <v>4001</v>
      </c>
      <c r="G447" s="461" t="s">
        <v>4002</v>
      </c>
      <c r="H447" s="461" t="s">
        <v>4745</v>
      </c>
      <c r="I447" s="461" t="s">
        <v>4025</v>
      </c>
      <c r="J447" s="461" t="s">
        <v>4005</v>
      </c>
      <c r="K447" s="461" t="s">
        <v>7393</v>
      </c>
      <c r="L447" s="461" t="s">
        <v>8636</v>
      </c>
      <c r="M447" s="469" t="s">
        <v>8012</v>
      </c>
    </row>
    <row r="448" spans="1:13">
      <c r="A448" s="465" t="s">
        <v>1157</v>
      </c>
      <c r="B448" s="465" t="s">
        <v>744</v>
      </c>
      <c r="C448" s="466" t="s">
        <v>743</v>
      </c>
      <c r="D448" s="466" t="s">
        <v>1012</v>
      </c>
      <c r="E448" s="466" t="s">
        <v>4356</v>
      </c>
      <c r="F448" s="465" t="s">
        <v>4902</v>
      </c>
      <c r="G448" s="465" t="s">
        <v>4789</v>
      </c>
      <c r="H448" s="465" t="s">
        <v>4359</v>
      </c>
      <c r="I448" s="465" t="s">
        <v>4360</v>
      </c>
      <c r="J448" s="465" t="s">
        <v>4361</v>
      </c>
      <c r="K448" s="465" t="s">
        <v>7357</v>
      </c>
      <c r="L448" s="465" t="s">
        <v>8573</v>
      </c>
      <c r="M448" s="467" t="s">
        <v>7927</v>
      </c>
    </row>
    <row r="449" spans="1:13">
      <c r="A449" s="473" t="s">
        <v>10504</v>
      </c>
      <c r="B449" s="473" t="s">
        <v>10604</v>
      </c>
      <c r="C449" s="473" t="s">
        <v>10608</v>
      </c>
      <c r="D449" s="473" t="s">
        <v>10610</v>
      </c>
      <c r="E449" s="473" t="s">
        <v>10612</v>
      </c>
      <c r="F449" s="473" t="s">
        <v>10614</v>
      </c>
      <c r="G449" s="473" t="s">
        <v>10616</v>
      </c>
      <c r="H449" s="473" t="s">
        <v>10606</v>
      </c>
      <c r="I449" s="473" t="s">
        <v>10618</v>
      </c>
      <c r="J449" s="473" t="s">
        <v>10620</v>
      </c>
      <c r="K449" s="473" t="s">
        <v>10622</v>
      </c>
      <c r="L449" s="473" t="s">
        <v>10624</v>
      </c>
      <c r="M449" s="474" t="s">
        <v>10626</v>
      </c>
    </row>
    <row r="450" spans="1:13">
      <c r="A450" s="482" t="s">
        <v>1163</v>
      </c>
      <c r="B450" s="465" t="s">
        <v>2539</v>
      </c>
      <c r="C450" s="466" t="s">
        <v>1165</v>
      </c>
      <c r="D450" s="466" t="s">
        <v>1166</v>
      </c>
      <c r="E450" s="466" t="s">
        <v>4903</v>
      </c>
      <c r="F450" s="465" t="s">
        <v>4904</v>
      </c>
      <c r="G450" s="465" t="s">
        <v>4905</v>
      </c>
      <c r="H450" s="465" t="s">
        <v>4906</v>
      </c>
      <c r="I450" s="465" t="s">
        <v>4907</v>
      </c>
      <c r="J450" s="465" t="s">
        <v>4908</v>
      </c>
      <c r="K450" s="465" t="s">
        <v>7394</v>
      </c>
      <c r="L450" s="465" t="s">
        <v>8657</v>
      </c>
      <c r="M450" s="467" t="s">
        <v>8014</v>
      </c>
    </row>
    <row r="451" spans="1:13">
      <c r="A451" s="461" t="s">
        <v>1159</v>
      </c>
      <c r="B451" s="461" t="s">
        <v>744</v>
      </c>
      <c r="C451" s="468" t="s">
        <v>743</v>
      </c>
      <c r="D451" s="468" t="s">
        <v>1012</v>
      </c>
      <c r="E451" s="468" t="s">
        <v>4356</v>
      </c>
      <c r="F451" s="461" t="s">
        <v>4902</v>
      </c>
      <c r="G451" s="461" t="s">
        <v>4789</v>
      </c>
      <c r="H451" s="461" t="s">
        <v>4359</v>
      </c>
      <c r="I451" s="461" t="s">
        <v>4360</v>
      </c>
      <c r="J451" s="461" t="s">
        <v>4361</v>
      </c>
      <c r="K451" s="461" t="s">
        <v>7357</v>
      </c>
      <c r="L451" s="461" t="s">
        <v>8573</v>
      </c>
      <c r="M451" s="469" t="s">
        <v>7927</v>
      </c>
    </row>
    <row r="452" spans="1:13">
      <c r="A452" s="465" t="s">
        <v>1168</v>
      </c>
      <c r="B452" s="465" t="s">
        <v>744</v>
      </c>
      <c r="C452" s="466" t="s">
        <v>743</v>
      </c>
      <c r="D452" s="466" t="s">
        <v>1012</v>
      </c>
      <c r="E452" s="466" t="s">
        <v>4356</v>
      </c>
      <c r="F452" s="465" t="s">
        <v>4357</v>
      </c>
      <c r="G452" s="465" t="s">
        <v>4789</v>
      </c>
      <c r="H452" s="465" t="s">
        <v>4359</v>
      </c>
      <c r="I452" s="465" t="s">
        <v>4360</v>
      </c>
      <c r="J452" s="465" t="s">
        <v>4869</v>
      </c>
      <c r="K452" s="465" t="s">
        <v>7357</v>
      </c>
      <c r="L452" s="465" t="s">
        <v>8658</v>
      </c>
      <c r="M452" s="467" t="s">
        <v>7927</v>
      </c>
    </row>
    <row r="453" spans="1:13">
      <c r="A453" s="479" t="s">
        <v>1160</v>
      </c>
      <c r="B453" s="461" t="s">
        <v>744</v>
      </c>
      <c r="C453" s="468" t="s">
        <v>743</v>
      </c>
      <c r="D453" s="468" t="s">
        <v>1012</v>
      </c>
      <c r="E453" s="468" t="s">
        <v>4356</v>
      </c>
      <c r="F453" s="461" t="s">
        <v>4902</v>
      </c>
      <c r="G453" s="461" t="s">
        <v>4789</v>
      </c>
      <c r="H453" s="461" t="s">
        <v>4359</v>
      </c>
      <c r="I453" s="461" t="s">
        <v>4360</v>
      </c>
      <c r="J453" s="461" t="s">
        <v>4361</v>
      </c>
      <c r="K453" s="461" t="s">
        <v>7357</v>
      </c>
      <c r="L453" s="461" t="s">
        <v>8573</v>
      </c>
      <c r="M453" s="469" t="s">
        <v>7927</v>
      </c>
    </row>
    <row r="454" spans="1:13">
      <c r="A454" s="465" t="s">
        <v>1167</v>
      </c>
      <c r="B454" s="465" t="s">
        <v>744</v>
      </c>
      <c r="C454" s="466" t="s">
        <v>743</v>
      </c>
      <c r="D454" s="466" t="s">
        <v>1012</v>
      </c>
      <c r="E454" s="466" t="s">
        <v>4356</v>
      </c>
      <c r="F454" s="465" t="s">
        <v>4902</v>
      </c>
      <c r="G454" s="465" t="s">
        <v>4789</v>
      </c>
      <c r="H454" s="465" t="s">
        <v>4359</v>
      </c>
      <c r="I454" s="465" t="s">
        <v>4360</v>
      </c>
      <c r="J454" s="465" t="s">
        <v>4361</v>
      </c>
      <c r="K454" s="465" t="s">
        <v>7357</v>
      </c>
      <c r="L454" s="465" t="s">
        <v>8573</v>
      </c>
      <c r="M454" s="467" t="s">
        <v>7927</v>
      </c>
    </row>
    <row r="455" spans="1:13">
      <c r="A455" s="461" t="s">
        <v>1170</v>
      </c>
      <c r="B455" s="461" t="s">
        <v>1173</v>
      </c>
      <c r="C455" s="468" t="s">
        <v>1172</v>
      </c>
      <c r="D455" s="468" t="s">
        <v>1174</v>
      </c>
      <c r="E455" s="468" t="s">
        <v>4909</v>
      </c>
      <c r="F455" s="461" t="s">
        <v>4910</v>
      </c>
      <c r="G455" s="461" t="s">
        <v>4911</v>
      </c>
      <c r="H455" s="461" t="s">
        <v>4912</v>
      </c>
      <c r="I455" s="461" t="s">
        <v>4913</v>
      </c>
      <c r="J455" s="461" t="s">
        <v>4914</v>
      </c>
      <c r="K455" s="461" t="s">
        <v>7395</v>
      </c>
      <c r="L455" s="461" t="s">
        <v>8659</v>
      </c>
      <c r="M455" s="469" t="s">
        <v>8015</v>
      </c>
    </row>
    <row r="456" spans="1:13">
      <c r="A456" s="465" t="s">
        <v>1324</v>
      </c>
      <c r="B456" s="465" t="s">
        <v>1311</v>
      </c>
      <c r="C456" s="466" t="s">
        <v>743</v>
      </c>
      <c r="D456" s="466" t="s">
        <v>1012</v>
      </c>
      <c r="E456" s="466" t="s">
        <v>4356</v>
      </c>
      <c r="F456" s="465" t="s">
        <v>4357</v>
      </c>
      <c r="G456" s="465" t="s">
        <v>4789</v>
      </c>
      <c r="H456" s="465" t="s">
        <v>4359</v>
      </c>
      <c r="I456" s="465" t="s">
        <v>5035</v>
      </c>
      <c r="J456" s="465" t="s">
        <v>4361</v>
      </c>
      <c r="K456" s="465" t="s">
        <v>7357</v>
      </c>
      <c r="L456" s="465" t="s">
        <v>8573</v>
      </c>
      <c r="M456" s="467" t="s">
        <v>7927</v>
      </c>
    </row>
    <row r="457" spans="1:13">
      <c r="A457" s="472" t="s">
        <v>1325</v>
      </c>
      <c r="B457" s="461" t="s">
        <v>1311</v>
      </c>
      <c r="C457" s="468" t="s">
        <v>743</v>
      </c>
      <c r="D457" s="468" t="s">
        <v>1012</v>
      </c>
      <c r="E457" s="468" t="s">
        <v>4356</v>
      </c>
      <c r="F457" s="461" t="s">
        <v>4357</v>
      </c>
      <c r="G457" s="461" t="s">
        <v>4789</v>
      </c>
      <c r="H457" s="461" t="s">
        <v>4359</v>
      </c>
      <c r="I457" s="461" t="s">
        <v>5035</v>
      </c>
      <c r="J457" s="461" t="s">
        <v>4361</v>
      </c>
      <c r="K457" s="471" t="s">
        <v>7357</v>
      </c>
      <c r="L457" s="461" t="s">
        <v>8573</v>
      </c>
      <c r="M457" s="469" t="s">
        <v>7927</v>
      </c>
    </row>
    <row r="458" spans="1:13">
      <c r="A458" s="465" t="s">
        <v>5043</v>
      </c>
      <c r="B458" s="465" t="s">
        <v>1311</v>
      </c>
      <c r="C458" s="466" t="s">
        <v>743</v>
      </c>
      <c r="D458" s="466" t="s">
        <v>1012</v>
      </c>
      <c r="E458" s="466" t="s">
        <v>4356</v>
      </c>
      <c r="F458" s="465" t="s">
        <v>4357</v>
      </c>
      <c r="G458" s="465" t="s">
        <v>4789</v>
      </c>
      <c r="H458" s="465" t="s">
        <v>4359</v>
      </c>
      <c r="I458" s="465" t="s">
        <v>5035</v>
      </c>
      <c r="J458" s="465" t="s">
        <v>4869</v>
      </c>
      <c r="K458" s="465" t="s">
        <v>7357</v>
      </c>
      <c r="L458" s="465" t="s">
        <v>8573</v>
      </c>
      <c r="M458" s="467" t="s">
        <v>7927</v>
      </c>
    </row>
    <row r="459" spans="1:13">
      <c r="A459" s="461" t="s">
        <v>2299</v>
      </c>
      <c r="B459" s="461" t="s">
        <v>2541</v>
      </c>
      <c r="C459" s="468" t="s">
        <v>2646</v>
      </c>
      <c r="D459" s="468" t="s">
        <v>2700</v>
      </c>
      <c r="E459" s="468" t="s">
        <v>5068</v>
      </c>
      <c r="F459" s="461" t="s">
        <v>5069</v>
      </c>
      <c r="G459" s="461" t="s">
        <v>5070</v>
      </c>
      <c r="H459" s="461" t="s">
        <v>5071</v>
      </c>
      <c r="I459" s="461" t="s">
        <v>5072</v>
      </c>
      <c r="J459" s="461" t="s">
        <v>5073</v>
      </c>
      <c r="K459" s="461" t="s">
        <v>7418</v>
      </c>
      <c r="L459" s="461" t="s">
        <v>8681</v>
      </c>
      <c r="M459" s="469" t="s">
        <v>8040</v>
      </c>
    </row>
    <row r="460" spans="1:13">
      <c r="A460" s="465" t="s">
        <v>1334</v>
      </c>
      <c r="B460" s="465" t="s">
        <v>1328</v>
      </c>
      <c r="C460" s="466" t="s">
        <v>1327</v>
      </c>
      <c r="D460" s="466" t="s">
        <v>1329</v>
      </c>
      <c r="E460" s="466" t="s">
        <v>5044</v>
      </c>
      <c r="F460" s="465" t="s">
        <v>5045</v>
      </c>
      <c r="G460" s="465" t="s">
        <v>5046</v>
      </c>
      <c r="H460" s="465" t="s">
        <v>5047</v>
      </c>
      <c r="I460" s="465" t="s">
        <v>5048</v>
      </c>
      <c r="J460" s="465" t="s">
        <v>5049</v>
      </c>
      <c r="K460" s="465" t="s">
        <v>7414</v>
      </c>
      <c r="L460" s="465" t="s">
        <v>8677</v>
      </c>
      <c r="M460" s="467" t="s">
        <v>8036</v>
      </c>
    </row>
    <row r="461" spans="1:13">
      <c r="A461" s="461" t="s">
        <v>1335</v>
      </c>
      <c r="B461" s="461" t="s">
        <v>1296</v>
      </c>
      <c r="C461" s="468" t="s">
        <v>587</v>
      </c>
      <c r="D461" s="468" t="s">
        <v>1297</v>
      </c>
      <c r="E461" s="468" t="s">
        <v>4897</v>
      </c>
      <c r="F461" s="461" t="s">
        <v>4001</v>
      </c>
      <c r="G461" s="461" t="s">
        <v>4002</v>
      </c>
      <c r="H461" s="461" t="s">
        <v>4745</v>
      </c>
      <c r="I461" s="461" t="s">
        <v>4025</v>
      </c>
      <c r="J461" s="461" t="s">
        <v>4005</v>
      </c>
      <c r="K461" s="461" t="s">
        <v>7393</v>
      </c>
      <c r="L461" s="461" t="s">
        <v>8674</v>
      </c>
      <c r="M461" s="469" t="s">
        <v>8022</v>
      </c>
    </row>
    <row r="462" spans="1:13">
      <c r="A462" s="465" t="s">
        <v>1340</v>
      </c>
      <c r="B462" s="465" t="s">
        <v>1342</v>
      </c>
      <c r="C462" s="466" t="s">
        <v>1341</v>
      </c>
      <c r="D462" s="466" t="s">
        <v>1343</v>
      </c>
      <c r="E462" s="466" t="s">
        <v>5056</v>
      </c>
      <c r="F462" s="465" t="s">
        <v>5057</v>
      </c>
      <c r="G462" s="465" t="s">
        <v>5058</v>
      </c>
      <c r="H462" s="465" t="s">
        <v>5059</v>
      </c>
      <c r="I462" s="465" t="s">
        <v>5060</v>
      </c>
      <c r="J462" s="465" t="s">
        <v>5061</v>
      </c>
      <c r="K462" s="465" t="s">
        <v>7416</v>
      </c>
      <c r="L462" s="465" t="s">
        <v>8679</v>
      </c>
      <c r="M462" s="467" t="s">
        <v>8038</v>
      </c>
    </row>
    <row r="463" spans="1:13">
      <c r="A463" s="473" t="s">
        <v>10506</v>
      </c>
      <c r="B463" s="473" t="s">
        <v>10604</v>
      </c>
      <c r="C463" s="473" t="s">
        <v>10608</v>
      </c>
      <c r="D463" s="473" t="s">
        <v>10610</v>
      </c>
      <c r="E463" s="473" t="s">
        <v>10612</v>
      </c>
      <c r="F463" s="473" t="s">
        <v>10614</v>
      </c>
      <c r="G463" s="473" t="s">
        <v>10616</v>
      </c>
      <c r="H463" s="473" t="s">
        <v>10606</v>
      </c>
      <c r="I463" s="473" t="s">
        <v>10618</v>
      </c>
      <c r="J463" s="473" t="s">
        <v>10620</v>
      </c>
      <c r="K463" s="473" t="s">
        <v>10622</v>
      </c>
      <c r="L463" s="473" t="s">
        <v>10624</v>
      </c>
      <c r="M463" s="474" t="s">
        <v>10626</v>
      </c>
    </row>
    <row r="464" spans="1:13">
      <c r="A464" s="465" t="s">
        <v>2209</v>
      </c>
      <c r="B464" s="465" t="s">
        <v>1311</v>
      </c>
      <c r="C464" s="466" t="s">
        <v>743</v>
      </c>
      <c r="D464" s="466" t="s">
        <v>1012</v>
      </c>
      <c r="E464" s="466" t="s">
        <v>4356</v>
      </c>
      <c r="F464" s="465" t="s">
        <v>4357</v>
      </c>
      <c r="G464" s="465" t="s">
        <v>4789</v>
      </c>
      <c r="H464" s="465" t="s">
        <v>4359</v>
      </c>
      <c r="I464" s="465" t="s">
        <v>5035</v>
      </c>
      <c r="J464" s="465" t="s">
        <v>4361</v>
      </c>
      <c r="K464" s="465" t="s">
        <v>7357</v>
      </c>
      <c r="L464" s="465" t="s">
        <v>8573</v>
      </c>
      <c r="M464" s="467" t="s">
        <v>7927</v>
      </c>
    </row>
    <row r="465" spans="1:13">
      <c r="A465" s="461" t="s">
        <v>1333</v>
      </c>
      <c r="B465" s="461" t="s">
        <v>1311</v>
      </c>
      <c r="C465" s="468" t="s">
        <v>743</v>
      </c>
      <c r="D465" s="468" t="s">
        <v>1012</v>
      </c>
      <c r="E465" s="468" t="s">
        <v>4356</v>
      </c>
      <c r="F465" s="461" t="s">
        <v>4357</v>
      </c>
      <c r="G465" s="461" t="s">
        <v>4789</v>
      </c>
      <c r="H465" s="461" t="s">
        <v>4359</v>
      </c>
      <c r="I465" s="461" t="s">
        <v>5035</v>
      </c>
      <c r="J465" s="461" t="s">
        <v>4361</v>
      </c>
      <c r="K465" s="461" t="s">
        <v>7357</v>
      </c>
      <c r="L465" s="461" t="s">
        <v>8573</v>
      </c>
      <c r="M465" s="469" t="s">
        <v>7927</v>
      </c>
    </row>
    <row r="466" spans="1:13">
      <c r="A466" s="465" t="s">
        <v>2297</v>
      </c>
      <c r="B466" s="465" t="s">
        <v>1311</v>
      </c>
      <c r="C466" s="466" t="s">
        <v>743</v>
      </c>
      <c r="D466" s="466" t="s">
        <v>1012</v>
      </c>
      <c r="E466" s="466" t="s">
        <v>4356</v>
      </c>
      <c r="F466" s="465" t="s">
        <v>4357</v>
      </c>
      <c r="G466" s="465" t="s">
        <v>4789</v>
      </c>
      <c r="H466" s="465" t="s">
        <v>4359</v>
      </c>
      <c r="I466" s="465" t="s">
        <v>5035</v>
      </c>
      <c r="J466" s="465" t="s">
        <v>4361</v>
      </c>
      <c r="K466" s="465" t="s">
        <v>7357</v>
      </c>
      <c r="L466" s="465" t="s">
        <v>8573</v>
      </c>
      <c r="M466" s="467" t="s">
        <v>7927</v>
      </c>
    </row>
    <row r="467" spans="1:13">
      <c r="A467" s="461" t="s">
        <v>1344</v>
      </c>
      <c r="B467" s="461" t="s">
        <v>1347</v>
      </c>
      <c r="C467" s="468" t="s">
        <v>1346</v>
      </c>
      <c r="D467" s="468" t="s">
        <v>1348</v>
      </c>
      <c r="E467" s="468" t="s">
        <v>5062</v>
      </c>
      <c r="F467" s="461" t="s">
        <v>5063</v>
      </c>
      <c r="G467" s="461" t="s">
        <v>5064</v>
      </c>
      <c r="H467" s="461" t="s">
        <v>5065</v>
      </c>
      <c r="I467" s="461" t="s">
        <v>5066</v>
      </c>
      <c r="J467" s="461" t="s">
        <v>5067</v>
      </c>
      <c r="K467" s="461" t="s">
        <v>7417</v>
      </c>
      <c r="L467" s="461" t="s">
        <v>8680</v>
      </c>
      <c r="M467" s="469" t="s">
        <v>8039</v>
      </c>
    </row>
    <row r="468" spans="1:13">
      <c r="A468" s="465" t="s">
        <v>1331</v>
      </c>
      <c r="B468" s="465" t="s">
        <v>1311</v>
      </c>
      <c r="C468" s="466" t="s">
        <v>743</v>
      </c>
      <c r="D468" s="466" t="s">
        <v>1012</v>
      </c>
      <c r="E468" s="466" t="s">
        <v>4356</v>
      </c>
      <c r="F468" s="465" t="s">
        <v>4357</v>
      </c>
      <c r="G468" s="465" t="s">
        <v>4789</v>
      </c>
      <c r="H468" s="465" t="s">
        <v>4359</v>
      </c>
      <c r="I468" s="465" t="s">
        <v>5035</v>
      </c>
      <c r="J468" s="465" t="s">
        <v>4361</v>
      </c>
      <c r="K468" s="465" t="s">
        <v>7357</v>
      </c>
      <c r="L468" s="465" t="s">
        <v>8573</v>
      </c>
      <c r="M468" s="467" t="s">
        <v>7927</v>
      </c>
    </row>
    <row r="469" spans="1:13">
      <c r="A469" s="473" t="s">
        <v>2094</v>
      </c>
      <c r="B469" s="473" t="s">
        <v>10604</v>
      </c>
      <c r="C469" s="473" t="s">
        <v>10608</v>
      </c>
      <c r="D469" s="473" t="s">
        <v>10610</v>
      </c>
      <c r="E469" s="473" t="s">
        <v>10612</v>
      </c>
      <c r="F469" s="473" t="s">
        <v>10614</v>
      </c>
      <c r="G469" s="473" t="s">
        <v>10616</v>
      </c>
      <c r="H469" s="473" t="s">
        <v>10606</v>
      </c>
      <c r="I469" s="473" t="s">
        <v>10618</v>
      </c>
      <c r="J469" s="473" t="s">
        <v>10620</v>
      </c>
      <c r="K469" s="473" t="s">
        <v>10622</v>
      </c>
      <c r="L469" s="473" t="s">
        <v>10624</v>
      </c>
      <c r="M469" s="474" t="s">
        <v>10626</v>
      </c>
    </row>
    <row r="470" spans="1:13">
      <c r="A470" s="465" t="s">
        <v>1336</v>
      </c>
      <c r="B470" s="465" t="s">
        <v>1338</v>
      </c>
      <c r="C470" s="466" t="s">
        <v>1337</v>
      </c>
      <c r="D470" s="466" t="s">
        <v>1339</v>
      </c>
      <c r="E470" s="466" t="s">
        <v>5050</v>
      </c>
      <c r="F470" s="465" t="s">
        <v>5051</v>
      </c>
      <c r="G470" s="465" t="s">
        <v>5052</v>
      </c>
      <c r="H470" s="465" t="s">
        <v>5053</v>
      </c>
      <c r="I470" s="465" t="s">
        <v>5054</v>
      </c>
      <c r="J470" s="465" t="s">
        <v>5055</v>
      </c>
      <c r="K470" s="465" t="s">
        <v>7415</v>
      </c>
      <c r="L470" s="465" t="s">
        <v>8678</v>
      </c>
      <c r="M470" s="467" t="s">
        <v>8037</v>
      </c>
    </row>
    <row r="471" spans="1:13">
      <c r="A471" s="461" t="s">
        <v>1441</v>
      </c>
      <c r="B471" s="461" t="s">
        <v>744</v>
      </c>
      <c r="C471" s="468" t="s">
        <v>743</v>
      </c>
      <c r="D471" s="468" t="s">
        <v>1012</v>
      </c>
      <c r="E471" s="468" t="s">
        <v>4356</v>
      </c>
      <c r="F471" s="461" t="s">
        <v>4357</v>
      </c>
      <c r="G471" s="461" t="s">
        <v>4789</v>
      </c>
      <c r="H471" s="461" t="s">
        <v>4359</v>
      </c>
      <c r="I471" s="461" t="s">
        <v>4360</v>
      </c>
      <c r="J471" s="461" t="s">
        <v>4361</v>
      </c>
      <c r="K471" s="461" t="s">
        <v>7357</v>
      </c>
      <c r="L471" s="461" t="s">
        <v>8573</v>
      </c>
      <c r="M471" s="469" t="s">
        <v>7927</v>
      </c>
    </row>
    <row r="472" spans="1:13">
      <c r="A472" s="475" t="s">
        <v>12060</v>
      </c>
      <c r="B472" s="475" t="s">
        <v>12132</v>
      </c>
      <c r="C472" s="475" t="s">
        <v>12133</v>
      </c>
      <c r="D472" s="475" t="s">
        <v>12134</v>
      </c>
      <c r="E472" s="475" t="s">
        <v>12135</v>
      </c>
      <c r="F472" s="475" t="s">
        <v>12136</v>
      </c>
      <c r="G472" s="475" t="s">
        <v>12261</v>
      </c>
      <c r="H472" s="475" t="s">
        <v>12137</v>
      </c>
      <c r="I472" s="475" t="s">
        <v>12138</v>
      </c>
      <c r="J472" s="475" t="s">
        <v>12139</v>
      </c>
      <c r="K472" s="475" t="s">
        <v>12140</v>
      </c>
      <c r="L472" s="475" t="s">
        <v>12141</v>
      </c>
      <c r="M472" s="476" t="s">
        <v>12142</v>
      </c>
    </row>
    <row r="473" spans="1:13">
      <c r="A473" s="473" t="s">
        <v>12224</v>
      </c>
      <c r="B473" s="473" t="s">
        <v>12132</v>
      </c>
      <c r="C473" s="473" t="s">
        <v>12133</v>
      </c>
      <c r="D473" s="473" t="s">
        <v>12134</v>
      </c>
      <c r="E473" s="473" t="s">
        <v>12135</v>
      </c>
      <c r="F473" s="473" t="s">
        <v>12136</v>
      </c>
      <c r="G473" s="473" t="s">
        <v>12261</v>
      </c>
      <c r="H473" s="473" t="s">
        <v>12137</v>
      </c>
      <c r="I473" s="473" t="s">
        <v>12138</v>
      </c>
      <c r="J473" s="473" t="s">
        <v>12139</v>
      </c>
      <c r="K473" s="473" t="s">
        <v>12140</v>
      </c>
      <c r="L473" s="473" t="s">
        <v>12141</v>
      </c>
      <c r="M473" s="474" t="s">
        <v>12142</v>
      </c>
    </row>
    <row r="474" spans="1:13">
      <c r="A474" s="465" t="s">
        <v>1362</v>
      </c>
      <c r="B474" s="465" t="s">
        <v>1275</v>
      </c>
      <c r="C474" s="466" t="s">
        <v>706</v>
      </c>
      <c r="D474" s="466" t="s">
        <v>708</v>
      </c>
      <c r="E474" s="466" t="s">
        <v>4379</v>
      </c>
      <c r="F474" s="465" t="s">
        <v>4380</v>
      </c>
      <c r="G474" s="465" t="s">
        <v>4760</v>
      </c>
      <c r="H474" s="465" t="s">
        <v>4382</v>
      </c>
      <c r="I474" s="465" t="s">
        <v>4761</v>
      </c>
      <c r="J474" s="465" t="s">
        <v>4384</v>
      </c>
      <c r="K474" s="465" t="s">
        <v>7361</v>
      </c>
      <c r="L474" s="465" t="s">
        <v>8577</v>
      </c>
      <c r="M474" s="467" t="s">
        <v>7927</v>
      </c>
    </row>
    <row r="475" spans="1:13">
      <c r="A475" s="472" t="s">
        <v>2300</v>
      </c>
      <c r="B475" s="461" t="s">
        <v>2541</v>
      </c>
      <c r="C475" s="468" t="s">
        <v>2646</v>
      </c>
      <c r="D475" s="468" t="s">
        <v>2700</v>
      </c>
      <c r="E475" s="468" t="s">
        <v>5068</v>
      </c>
      <c r="F475" s="461" t="s">
        <v>5069</v>
      </c>
      <c r="G475" s="461" t="s">
        <v>5070</v>
      </c>
      <c r="H475" s="461" t="s">
        <v>5071</v>
      </c>
      <c r="I475" s="461" t="s">
        <v>5072</v>
      </c>
      <c r="J475" s="461" t="s">
        <v>5073</v>
      </c>
      <c r="K475" s="461" t="s">
        <v>7418</v>
      </c>
      <c r="L475" s="461" t="s">
        <v>8681</v>
      </c>
      <c r="M475" s="469" t="s">
        <v>8042</v>
      </c>
    </row>
    <row r="476" spans="1:13">
      <c r="A476" s="465" t="s">
        <v>2446</v>
      </c>
      <c r="B476" s="465" t="s">
        <v>2541</v>
      </c>
      <c r="C476" s="466" t="s">
        <v>2646</v>
      </c>
      <c r="D476" s="466" t="s">
        <v>2700</v>
      </c>
      <c r="E476" s="466" t="s">
        <v>5068</v>
      </c>
      <c r="F476" s="465" t="s">
        <v>5069</v>
      </c>
      <c r="G476" s="465" t="s">
        <v>5070</v>
      </c>
      <c r="H476" s="465" t="s">
        <v>5092</v>
      </c>
      <c r="I476" s="465" t="s">
        <v>5072</v>
      </c>
      <c r="J476" s="465" t="s">
        <v>5073</v>
      </c>
      <c r="K476" s="465" t="s">
        <v>7421</v>
      </c>
      <c r="L476" s="465" t="s">
        <v>8681</v>
      </c>
      <c r="M476" s="467" t="s">
        <v>8042</v>
      </c>
    </row>
    <row r="477" spans="1:13">
      <c r="A477" s="461" t="s">
        <v>1385</v>
      </c>
      <c r="B477" s="461" t="s">
        <v>952</v>
      </c>
      <c r="C477" s="468" t="s">
        <v>938</v>
      </c>
      <c r="D477" s="468" t="s">
        <v>953</v>
      </c>
      <c r="E477" s="468" t="s">
        <v>4727</v>
      </c>
      <c r="F477" s="461" t="s">
        <v>4728</v>
      </c>
      <c r="G477" s="461" t="s">
        <v>4729</v>
      </c>
      <c r="H477" s="461" t="s">
        <v>4730</v>
      </c>
      <c r="I477" s="461" t="s">
        <v>4731</v>
      </c>
      <c r="J477" s="461" t="s">
        <v>4805</v>
      </c>
      <c r="K477" s="461" t="s">
        <v>7370</v>
      </c>
      <c r="L477" s="461" t="s">
        <v>8633</v>
      </c>
      <c r="M477" s="469" t="s">
        <v>7988</v>
      </c>
    </row>
    <row r="478" spans="1:13">
      <c r="A478" s="465" t="s">
        <v>2448</v>
      </c>
      <c r="B478" s="465" t="s">
        <v>952</v>
      </c>
      <c r="C478" s="466" t="s">
        <v>938</v>
      </c>
      <c r="D478" s="466" t="s">
        <v>953</v>
      </c>
      <c r="E478" s="466" t="s">
        <v>4727</v>
      </c>
      <c r="F478" s="465" t="s">
        <v>4728</v>
      </c>
      <c r="G478" s="465" t="s">
        <v>4729</v>
      </c>
      <c r="H478" s="465" t="s">
        <v>4730</v>
      </c>
      <c r="I478" s="465" t="s">
        <v>4731</v>
      </c>
      <c r="J478" s="465" t="s">
        <v>4805</v>
      </c>
      <c r="K478" s="465" t="s">
        <v>7370</v>
      </c>
      <c r="L478" s="465" t="s">
        <v>8633</v>
      </c>
      <c r="M478" s="467" t="s">
        <v>7988</v>
      </c>
    </row>
    <row r="479" spans="1:13">
      <c r="A479" s="461" t="s">
        <v>1581</v>
      </c>
      <c r="B479" s="461" t="s">
        <v>1582</v>
      </c>
      <c r="C479" s="468" t="s">
        <v>1582</v>
      </c>
      <c r="D479" s="468" t="s">
        <v>1582</v>
      </c>
      <c r="E479" s="468" t="s">
        <v>5340</v>
      </c>
      <c r="F479" s="461" t="s">
        <v>5341</v>
      </c>
      <c r="G479" s="461" t="s">
        <v>1582</v>
      </c>
      <c r="H479" s="461" t="s">
        <v>5342</v>
      </c>
      <c r="I479" s="461" t="s">
        <v>5343</v>
      </c>
      <c r="J479" s="461" t="s">
        <v>5344</v>
      </c>
      <c r="K479" s="461" t="s">
        <v>7463</v>
      </c>
      <c r="L479" s="461" t="s">
        <v>12329</v>
      </c>
      <c r="M479" s="469" t="s">
        <v>8086</v>
      </c>
    </row>
    <row r="480" spans="1:13">
      <c r="A480" s="465" t="s">
        <v>1583</v>
      </c>
      <c r="B480" s="465" t="s">
        <v>1584</v>
      </c>
      <c r="C480" s="466" t="s">
        <v>1584</v>
      </c>
      <c r="D480" s="466" t="s">
        <v>1584</v>
      </c>
      <c r="E480" s="466" t="s">
        <v>5345</v>
      </c>
      <c r="F480" s="465" t="s">
        <v>5346</v>
      </c>
      <c r="G480" s="465" t="s">
        <v>1584</v>
      </c>
      <c r="H480" s="465" t="s">
        <v>5347</v>
      </c>
      <c r="I480" s="465" t="s">
        <v>5348</v>
      </c>
      <c r="J480" s="465" t="s">
        <v>5349</v>
      </c>
      <c r="K480" s="465" t="s">
        <v>7464</v>
      </c>
      <c r="L480" s="465" t="s">
        <v>12330</v>
      </c>
      <c r="M480" s="467" t="s">
        <v>8087</v>
      </c>
    </row>
    <row r="481" spans="1:13">
      <c r="A481" s="461" t="s">
        <v>1585</v>
      </c>
      <c r="B481" s="461" t="s">
        <v>1586</v>
      </c>
      <c r="C481" s="468" t="s">
        <v>1586</v>
      </c>
      <c r="D481" s="468" t="s">
        <v>1586</v>
      </c>
      <c r="E481" s="468" t="s">
        <v>5033</v>
      </c>
      <c r="F481" s="461" t="s">
        <v>5350</v>
      </c>
      <c r="G481" s="461" t="s">
        <v>1586</v>
      </c>
      <c r="H481" s="461" t="s">
        <v>5034</v>
      </c>
      <c r="I481" s="461" t="s">
        <v>5351</v>
      </c>
      <c r="J481" s="461" t="s">
        <v>5352</v>
      </c>
      <c r="K481" s="461" t="s">
        <v>7465</v>
      </c>
      <c r="L481" s="461" t="s">
        <v>12331</v>
      </c>
      <c r="M481" s="469" t="s">
        <v>8088</v>
      </c>
    </row>
    <row r="482" spans="1:13">
      <c r="A482" s="465" t="s">
        <v>1587</v>
      </c>
      <c r="B482" s="465" t="s">
        <v>1588</v>
      </c>
      <c r="C482" s="466" t="s">
        <v>1588</v>
      </c>
      <c r="D482" s="466" t="s">
        <v>1588</v>
      </c>
      <c r="E482" s="466" t="s">
        <v>5353</v>
      </c>
      <c r="F482" s="465" t="s">
        <v>5354</v>
      </c>
      <c r="G482" s="465" t="s">
        <v>1588</v>
      </c>
      <c r="H482" s="465" t="s">
        <v>5355</v>
      </c>
      <c r="I482" s="465" t="s">
        <v>5356</v>
      </c>
      <c r="J482" s="465" t="s">
        <v>5357</v>
      </c>
      <c r="K482" s="465" t="s">
        <v>7466</v>
      </c>
      <c r="L482" s="465" t="s">
        <v>12332</v>
      </c>
      <c r="M482" s="467" t="s">
        <v>8089</v>
      </c>
    </row>
    <row r="483" spans="1:13">
      <c r="A483" s="461" t="s">
        <v>1363</v>
      </c>
      <c r="B483" s="461" t="s">
        <v>1275</v>
      </c>
      <c r="C483" s="468" t="s">
        <v>706</v>
      </c>
      <c r="D483" s="468" t="s">
        <v>708</v>
      </c>
      <c r="E483" s="468" t="s">
        <v>4379</v>
      </c>
      <c r="F483" s="461" t="s">
        <v>4380</v>
      </c>
      <c r="G483" s="461" t="s">
        <v>4760</v>
      </c>
      <c r="H483" s="461" t="s">
        <v>4382</v>
      </c>
      <c r="I483" s="461" t="s">
        <v>4761</v>
      </c>
      <c r="J483" s="461" t="s">
        <v>4384</v>
      </c>
      <c r="K483" s="461" t="s">
        <v>7361</v>
      </c>
      <c r="L483" s="461" t="s">
        <v>8577</v>
      </c>
      <c r="M483" s="469" t="s">
        <v>7927</v>
      </c>
    </row>
    <row r="484" spans="1:13">
      <c r="A484" s="465" t="s">
        <v>1388</v>
      </c>
      <c r="B484" s="465" t="s">
        <v>952</v>
      </c>
      <c r="C484" s="466" t="s">
        <v>938</v>
      </c>
      <c r="D484" s="466" t="s">
        <v>953</v>
      </c>
      <c r="E484" s="466" t="s">
        <v>4727</v>
      </c>
      <c r="F484" s="465" t="s">
        <v>4728</v>
      </c>
      <c r="G484" s="465" t="s">
        <v>4729</v>
      </c>
      <c r="H484" s="465" t="s">
        <v>4730</v>
      </c>
      <c r="I484" s="465" t="s">
        <v>4731</v>
      </c>
      <c r="J484" s="465" t="s">
        <v>4805</v>
      </c>
      <c r="K484" s="465" t="s">
        <v>7370</v>
      </c>
      <c r="L484" s="465" t="s">
        <v>8633</v>
      </c>
      <c r="M484" s="467" t="s">
        <v>7988</v>
      </c>
    </row>
    <row r="485" spans="1:13">
      <c r="A485" s="461" t="s">
        <v>2449</v>
      </c>
      <c r="B485" s="461" t="s">
        <v>952</v>
      </c>
      <c r="C485" s="468" t="s">
        <v>938</v>
      </c>
      <c r="D485" s="468" t="s">
        <v>953</v>
      </c>
      <c r="E485" s="468" t="s">
        <v>4727</v>
      </c>
      <c r="F485" s="461" t="s">
        <v>4728</v>
      </c>
      <c r="G485" s="461" t="s">
        <v>4729</v>
      </c>
      <c r="H485" s="461" t="s">
        <v>4730</v>
      </c>
      <c r="I485" s="461" t="s">
        <v>4731</v>
      </c>
      <c r="J485" s="461" t="s">
        <v>4805</v>
      </c>
      <c r="K485" s="461" t="s">
        <v>7370</v>
      </c>
      <c r="L485" s="461" t="s">
        <v>8633</v>
      </c>
      <c r="M485" s="469" t="s">
        <v>7988</v>
      </c>
    </row>
    <row r="486" spans="1:13">
      <c r="A486" s="465" t="s">
        <v>1589</v>
      </c>
      <c r="B486" s="465" t="s">
        <v>1303</v>
      </c>
      <c r="C486" s="466" t="s">
        <v>1303</v>
      </c>
      <c r="D486" s="466" t="s">
        <v>1303</v>
      </c>
      <c r="E486" s="466" t="s">
        <v>5358</v>
      </c>
      <c r="F486" s="465" t="s">
        <v>5359</v>
      </c>
      <c r="G486" s="465" t="s">
        <v>1303</v>
      </c>
      <c r="H486" s="465" t="s">
        <v>5360</v>
      </c>
      <c r="I486" s="465" t="s">
        <v>5361</v>
      </c>
      <c r="J486" s="465" t="s">
        <v>5362</v>
      </c>
      <c r="K486" s="465" t="s">
        <v>7467</v>
      </c>
      <c r="L486" s="465" t="s">
        <v>12333</v>
      </c>
      <c r="M486" s="467" t="s">
        <v>8090</v>
      </c>
    </row>
    <row r="487" spans="1:13">
      <c r="A487" s="461" t="s">
        <v>1357</v>
      </c>
      <c r="B487" s="461" t="s">
        <v>1275</v>
      </c>
      <c r="C487" s="468" t="s">
        <v>706</v>
      </c>
      <c r="D487" s="468" t="s">
        <v>708</v>
      </c>
      <c r="E487" s="468" t="s">
        <v>4379</v>
      </c>
      <c r="F487" s="461" t="s">
        <v>4380</v>
      </c>
      <c r="G487" s="461" t="s">
        <v>4760</v>
      </c>
      <c r="H487" s="461" t="s">
        <v>4382</v>
      </c>
      <c r="I487" s="461" t="s">
        <v>4761</v>
      </c>
      <c r="J487" s="461" t="s">
        <v>4384</v>
      </c>
      <c r="K487" s="461" t="s">
        <v>7361</v>
      </c>
      <c r="L487" s="461" t="s">
        <v>8577</v>
      </c>
      <c r="M487" s="469" t="s">
        <v>7927</v>
      </c>
    </row>
    <row r="488" spans="1:13">
      <c r="A488" s="475" t="s">
        <v>2096</v>
      </c>
      <c r="B488" s="475" t="s">
        <v>10604</v>
      </c>
      <c r="C488" s="475" t="s">
        <v>10608</v>
      </c>
      <c r="D488" s="475" t="s">
        <v>10610</v>
      </c>
      <c r="E488" s="475" t="s">
        <v>10612</v>
      </c>
      <c r="F488" s="475" t="s">
        <v>10614</v>
      </c>
      <c r="G488" s="475" t="s">
        <v>10616</v>
      </c>
      <c r="H488" s="475" t="s">
        <v>10606</v>
      </c>
      <c r="I488" s="475" t="s">
        <v>10618</v>
      </c>
      <c r="J488" s="475" t="s">
        <v>10620</v>
      </c>
      <c r="K488" s="475" t="s">
        <v>10622</v>
      </c>
      <c r="L488" s="475" t="s">
        <v>10624</v>
      </c>
      <c r="M488" s="476" t="s">
        <v>10626</v>
      </c>
    </row>
    <row r="489" spans="1:13">
      <c r="A489" s="461" t="s">
        <v>1359</v>
      </c>
      <c r="B489" s="461" t="s">
        <v>1275</v>
      </c>
      <c r="C489" s="468" t="s">
        <v>706</v>
      </c>
      <c r="D489" s="468" t="s">
        <v>708</v>
      </c>
      <c r="E489" s="468" t="s">
        <v>4379</v>
      </c>
      <c r="F489" s="461" t="s">
        <v>4380</v>
      </c>
      <c r="G489" s="461" t="s">
        <v>4760</v>
      </c>
      <c r="H489" s="461" t="s">
        <v>4382</v>
      </c>
      <c r="I489" s="461" t="s">
        <v>4761</v>
      </c>
      <c r="J489" s="461" t="s">
        <v>4384</v>
      </c>
      <c r="K489" s="461" t="s">
        <v>7361</v>
      </c>
      <c r="L489" s="461" t="s">
        <v>8577</v>
      </c>
      <c r="M489" s="469" t="s">
        <v>7927</v>
      </c>
    </row>
    <row r="490" spans="1:13">
      <c r="A490" s="465" t="s">
        <v>1383</v>
      </c>
      <c r="B490" s="465" t="s">
        <v>952</v>
      </c>
      <c r="C490" s="466" t="s">
        <v>938</v>
      </c>
      <c r="D490" s="466" t="s">
        <v>953</v>
      </c>
      <c r="E490" s="466" t="s">
        <v>4727</v>
      </c>
      <c r="F490" s="465" t="s">
        <v>4728</v>
      </c>
      <c r="G490" s="465" t="s">
        <v>4729</v>
      </c>
      <c r="H490" s="465" t="s">
        <v>4730</v>
      </c>
      <c r="I490" s="465" t="s">
        <v>4731</v>
      </c>
      <c r="J490" s="465" t="s">
        <v>4805</v>
      </c>
      <c r="K490" s="465" t="s">
        <v>7370</v>
      </c>
      <c r="L490" s="465" t="s">
        <v>8633</v>
      </c>
      <c r="M490" s="467" t="s">
        <v>7988</v>
      </c>
    </row>
    <row r="491" spans="1:13">
      <c r="A491" s="461" t="s">
        <v>2447</v>
      </c>
      <c r="B491" s="461" t="s">
        <v>952</v>
      </c>
      <c r="C491" s="468" t="s">
        <v>938</v>
      </c>
      <c r="D491" s="468" t="s">
        <v>953</v>
      </c>
      <c r="E491" s="468" t="s">
        <v>4727</v>
      </c>
      <c r="F491" s="461" t="s">
        <v>4728</v>
      </c>
      <c r="G491" s="461" t="s">
        <v>4729</v>
      </c>
      <c r="H491" s="461" t="s">
        <v>4730</v>
      </c>
      <c r="I491" s="461" t="s">
        <v>4731</v>
      </c>
      <c r="J491" s="461" t="s">
        <v>4805</v>
      </c>
      <c r="K491" s="461" t="s">
        <v>7370</v>
      </c>
      <c r="L491" s="461" t="s">
        <v>8633</v>
      </c>
      <c r="M491" s="469" t="s">
        <v>7988</v>
      </c>
    </row>
    <row r="492" spans="1:13">
      <c r="A492" s="465" t="s">
        <v>1590</v>
      </c>
      <c r="B492" s="465" t="s">
        <v>1591</v>
      </c>
      <c r="C492" s="466" t="s">
        <v>1591</v>
      </c>
      <c r="D492" s="466" t="s">
        <v>1591</v>
      </c>
      <c r="E492" s="466" t="s">
        <v>5363</v>
      </c>
      <c r="F492" s="465" t="s">
        <v>5364</v>
      </c>
      <c r="G492" s="465" t="s">
        <v>1591</v>
      </c>
      <c r="H492" s="465" t="s">
        <v>5365</v>
      </c>
      <c r="I492" s="465" t="s">
        <v>5366</v>
      </c>
      <c r="J492" s="465" t="s">
        <v>5367</v>
      </c>
      <c r="K492" s="465" t="s">
        <v>7468</v>
      </c>
      <c r="L492" s="465" t="s">
        <v>12334</v>
      </c>
      <c r="M492" s="467" t="s">
        <v>8091</v>
      </c>
    </row>
    <row r="493" spans="1:13">
      <c r="A493" s="461" t="s">
        <v>1387</v>
      </c>
      <c r="B493" s="461" t="s">
        <v>952</v>
      </c>
      <c r="C493" s="468" t="s">
        <v>938</v>
      </c>
      <c r="D493" s="468" t="s">
        <v>953</v>
      </c>
      <c r="E493" s="468" t="s">
        <v>4727</v>
      </c>
      <c r="F493" s="461" t="s">
        <v>4728</v>
      </c>
      <c r="G493" s="461" t="s">
        <v>4729</v>
      </c>
      <c r="H493" s="461" t="s">
        <v>4730</v>
      </c>
      <c r="I493" s="461" t="s">
        <v>4731</v>
      </c>
      <c r="J493" s="461" t="s">
        <v>4805</v>
      </c>
      <c r="K493" s="461" t="s">
        <v>7370</v>
      </c>
      <c r="L493" s="461" t="s">
        <v>8633</v>
      </c>
      <c r="M493" s="469" t="s">
        <v>7988</v>
      </c>
    </row>
    <row r="494" spans="1:13">
      <c r="A494" s="465" t="s">
        <v>2450</v>
      </c>
      <c r="B494" s="465" t="s">
        <v>952</v>
      </c>
      <c r="C494" s="466" t="s">
        <v>938</v>
      </c>
      <c r="D494" s="466" t="s">
        <v>953</v>
      </c>
      <c r="E494" s="466" t="s">
        <v>4727</v>
      </c>
      <c r="F494" s="465" t="s">
        <v>4728</v>
      </c>
      <c r="G494" s="465" t="s">
        <v>4729</v>
      </c>
      <c r="H494" s="465" t="s">
        <v>4730</v>
      </c>
      <c r="I494" s="465" t="s">
        <v>4731</v>
      </c>
      <c r="J494" s="465" t="s">
        <v>4807</v>
      </c>
      <c r="K494" s="465" t="s">
        <v>7370</v>
      </c>
      <c r="L494" s="465" t="s">
        <v>8633</v>
      </c>
      <c r="M494" s="467" t="s">
        <v>7988</v>
      </c>
    </row>
    <row r="495" spans="1:13">
      <c r="A495" s="461" t="s">
        <v>1356</v>
      </c>
      <c r="B495" s="461" t="s">
        <v>1275</v>
      </c>
      <c r="C495" s="468" t="s">
        <v>706</v>
      </c>
      <c r="D495" s="468" t="s">
        <v>708</v>
      </c>
      <c r="E495" s="468" t="s">
        <v>4379</v>
      </c>
      <c r="F495" s="461" t="s">
        <v>4380</v>
      </c>
      <c r="G495" s="461" t="s">
        <v>4760</v>
      </c>
      <c r="H495" s="461" t="s">
        <v>4382</v>
      </c>
      <c r="I495" s="461" t="s">
        <v>4761</v>
      </c>
      <c r="J495" s="461" t="s">
        <v>4384</v>
      </c>
      <c r="K495" s="461" t="s">
        <v>7361</v>
      </c>
      <c r="L495" s="461" t="s">
        <v>8655</v>
      </c>
      <c r="M495" s="469" t="s">
        <v>7927</v>
      </c>
    </row>
    <row r="496" spans="1:13">
      <c r="A496" s="465" t="s">
        <v>1592</v>
      </c>
      <c r="B496" s="465" t="s">
        <v>1580</v>
      </c>
      <c r="C496" s="466" t="s">
        <v>1580</v>
      </c>
      <c r="D496" s="466" t="s">
        <v>1580</v>
      </c>
      <c r="E496" s="466" t="s">
        <v>5335</v>
      </c>
      <c r="F496" s="465" t="s">
        <v>5336</v>
      </c>
      <c r="G496" s="465" t="s">
        <v>1580</v>
      </c>
      <c r="H496" s="465" t="s">
        <v>5337</v>
      </c>
      <c r="I496" s="465" t="s">
        <v>5338</v>
      </c>
      <c r="J496" s="465" t="s">
        <v>5339</v>
      </c>
      <c r="K496" s="465" t="s">
        <v>7462</v>
      </c>
      <c r="L496" s="465" t="s">
        <v>12335</v>
      </c>
      <c r="M496" s="467" t="s">
        <v>8092</v>
      </c>
    </row>
    <row r="497" spans="1:13">
      <c r="A497" s="461" t="s">
        <v>5082</v>
      </c>
      <c r="B497" s="461" t="s">
        <v>952</v>
      </c>
      <c r="C497" s="468" t="s">
        <v>938</v>
      </c>
      <c r="D497" s="468" t="s">
        <v>953</v>
      </c>
      <c r="E497" s="468" t="s">
        <v>4727</v>
      </c>
      <c r="F497" s="461" t="s">
        <v>4728</v>
      </c>
      <c r="G497" s="461" t="s">
        <v>4729</v>
      </c>
      <c r="H497" s="461" t="s">
        <v>4730</v>
      </c>
      <c r="I497" s="461" t="s">
        <v>4731</v>
      </c>
      <c r="J497" s="461" t="s">
        <v>4805</v>
      </c>
      <c r="K497" s="461" t="s">
        <v>7370</v>
      </c>
      <c r="L497" s="461" t="s">
        <v>8633</v>
      </c>
      <c r="M497" s="469" t="s">
        <v>7988</v>
      </c>
    </row>
    <row r="498" spans="1:13">
      <c r="A498" s="465" t="s">
        <v>5093</v>
      </c>
      <c r="B498" s="465" t="s">
        <v>952</v>
      </c>
      <c r="C498" s="466" t="s">
        <v>938</v>
      </c>
      <c r="D498" s="466" t="s">
        <v>953</v>
      </c>
      <c r="E498" s="466" t="s">
        <v>4727</v>
      </c>
      <c r="F498" s="465" t="s">
        <v>4728</v>
      </c>
      <c r="G498" s="465" t="s">
        <v>4729</v>
      </c>
      <c r="H498" s="465" t="s">
        <v>4730</v>
      </c>
      <c r="I498" s="465" t="s">
        <v>4731</v>
      </c>
      <c r="J498" s="465" t="s">
        <v>4807</v>
      </c>
      <c r="K498" s="465" t="s">
        <v>7370</v>
      </c>
      <c r="L498" s="465" t="s">
        <v>8633</v>
      </c>
      <c r="M498" s="467" t="s">
        <v>7988</v>
      </c>
    </row>
    <row r="499" spans="1:13">
      <c r="A499" s="461" t="s">
        <v>1361</v>
      </c>
      <c r="B499" s="461" t="s">
        <v>1275</v>
      </c>
      <c r="C499" s="468" t="s">
        <v>706</v>
      </c>
      <c r="D499" s="468" t="s">
        <v>708</v>
      </c>
      <c r="E499" s="468" t="s">
        <v>4379</v>
      </c>
      <c r="F499" s="461" t="s">
        <v>4380</v>
      </c>
      <c r="G499" s="461" t="s">
        <v>4760</v>
      </c>
      <c r="H499" s="461" t="s">
        <v>4382</v>
      </c>
      <c r="I499" s="461" t="s">
        <v>4761</v>
      </c>
      <c r="J499" s="461" t="s">
        <v>4384</v>
      </c>
      <c r="K499" s="461" t="s">
        <v>7361</v>
      </c>
      <c r="L499" s="461" t="s">
        <v>8577</v>
      </c>
      <c r="M499" s="469" t="s">
        <v>7927</v>
      </c>
    </row>
    <row r="500" spans="1:13">
      <c r="A500" s="465" t="s">
        <v>1431</v>
      </c>
      <c r="B500" s="465" t="s">
        <v>952</v>
      </c>
      <c r="C500" s="466" t="s">
        <v>938</v>
      </c>
      <c r="D500" s="466" t="s">
        <v>953</v>
      </c>
      <c r="E500" s="466" t="s">
        <v>4727</v>
      </c>
      <c r="F500" s="465" t="s">
        <v>4728</v>
      </c>
      <c r="G500" s="465" t="s">
        <v>4729</v>
      </c>
      <c r="H500" s="465" t="s">
        <v>4730</v>
      </c>
      <c r="I500" s="465" t="s">
        <v>4731</v>
      </c>
      <c r="J500" s="465" t="s">
        <v>4805</v>
      </c>
      <c r="K500" s="465" t="s">
        <v>7370</v>
      </c>
      <c r="L500" s="465" t="s">
        <v>8633</v>
      </c>
      <c r="M500" s="467" t="s">
        <v>7988</v>
      </c>
    </row>
    <row r="501" spans="1:13">
      <c r="A501" s="461" t="s">
        <v>2469</v>
      </c>
      <c r="B501" s="461" t="s">
        <v>952</v>
      </c>
      <c r="C501" s="468" t="s">
        <v>938</v>
      </c>
      <c r="D501" s="468" t="s">
        <v>953</v>
      </c>
      <c r="E501" s="468" t="s">
        <v>4727</v>
      </c>
      <c r="F501" s="461" t="s">
        <v>4728</v>
      </c>
      <c r="G501" s="461" t="s">
        <v>4729</v>
      </c>
      <c r="H501" s="461" t="s">
        <v>4730</v>
      </c>
      <c r="I501" s="461" t="s">
        <v>4731</v>
      </c>
      <c r="J501" s="461" t="s">
        <v>4805</v>
      </c>
      <c r="K501" s="461" t="s">
        <v>7370</v>
      </c>
      <c r="L501" s="461" t="s">
        <v>8633</v>
      </c>
      <c r="M501" s="469" t="s">
        <v>7988</v>
      </c>
    </row>
    <row r="502" spans="1:13">
      <c r="A502" s="472" t="s">
        <v>1430</v>
      </c>
      <c r="B502" s="465" t="s">
        <v>952</v>
      </c>
      <c r="C502" s="466" t="s">
        <v>938</v>
      </c>
      <c r="D502" s="466" t="s">
        <v>953</v>
      </c>
      <c r="E502" s="466" t="s">
        <v>4727</v>
      </c>
      <c r="F502" s="465" t="s">
        <v>4728</v>
      </c>
      <c r="G502" s="465" t="s">
        <v>4729</v>
      </c>
      <c r="H502" s="465" t="s">
        <v>4730</v>
      </c>
      <c r="I502" s="465" t="s">
        <v>4731</v>
      </c>
      <c r="J502" s="465" t="s">
        <v>4805</v>
      </c>
      <c r="K502" s="465" t="s">
        <v>7370</v>
      </c>
      <c r="L502" s="465" t="s">
        <v>8633</v>
      </c>
      <c r="M502" s="467" t="s">
        <v>7988</v>
      </c>
    </row>
    <row r="503" spans="1:13">
      <c r="A503" s="461" t="s">
        <v>2468</v>
      </c>
      <c r="B503" s="461" t="s">
        <v>952</v>
      </c>
      <c r="C503" s="468" t="s">
        <v>938</v>
      </c>
      <c r="D503" s="468" t="s">
        <v>953</v>
      </c>
      <c r="E503" s="468" t="s">
        <v>4727</v>
      </c>
      <c r="F503" s="461" t="s">
        <v>4728</v>
      </c>
      <c r="G503" s="461" t="s">
        <v>4729</v>
      </c>
      <c r="H503" s="461" t="s">
        <v>4730</v>
      </c>
      <c r="I503" s="461" t="s">
        <v>4731</v>
      </c>
      <c r="J503" s="461" t="s">
        <v>4805</v>
      </c>
      <c r="K503" s="461" t="s">
        <v>7370</v>
      </c>
      <c r="L503" s="461" t="s">
        <v>8633</v>
      </c>
      <c r="M503" s="469" t="s">
        <v>7988</v>
      </c>
    </row>
    <row r="504" spans="1:13">
      <c r="A504" s="465" t="s">
        <v>1470</v>
      </c>
      <c r="B504" s="465" t="s">
        <v>744</v>
      </c>
      <c r="C504" s="466" t="s">
        <v>743</v>
      </c>
      <c r="D504" s="466" t="s">
        <v>1012</v>
      </c>
      <c r="E504" s="466" t="s">
        <v>4356</v>
      </c>
      <c r="F504" s="465" t="s">
        <v>4357</v>
      </c>
      <c r="G504" s="465" t="s">
        <v>4789</v>
      </c>
      <c r="H504" s="465" t="s">
        <v>4359</v>
      </c>
      <c r="I504" s="465" t="s">
        <v>4360</v>
      </c>
      <c r="J504" s="465" t="s">
        <v>4361</v>
      </c>
      <c r="K504" s="465" t="s">
        <v>7357</v>
      </c>
      <c r="L504" s="465" t="s">
        <v>8573</v>
      </c>
      <c r="M504" s="467" t="s">
        <v>7927</v>
      </c>
    </row>
    <row r="505" spans="1:13">
      <c r="A505" s="461" t="s">
        <v>1468</v>
      </c>
      <c r="B505" s="461" t="s">
        <v>744</v>
      </c>
      <c r="C505" s="468" t="s">
        <v>743</v>
      </c>
      <c r="D505" s="468" t="s">
        <v>1012</v>
      </c>
      <c r="E505" s="468" t="s">
        <v>4356</v>
      </c>
      <c r="F505" s="461" t="s">
        <v>4357</v>
      </c>
      <c r="G505" s="461" t="s">
        <v>4789</v>
      </c>
      <c r="H505" s="461" t="s">
        <v>4359</v>
      </c>
      <c r="I505" s="461" t="s">
        <v>4360</v>
      </c>
      <c r="J505" s="461" t="s">
        <v>4361</v>
      </c>
      <c r="K505" s="461" t="s">
        <v>7357</v>
      </c>
      <c r="L505" s="461" t="s">
        <v>8573</v>
      </c>
      <c r="M505" s="469" t="s">
        <v>7927</v>
      </c>
    </row>
    <row r="506" spans="1:13">
      <c r="A506" s="465" t="s">
        <v>1472</v>
      </c>
      <c r="B506" s="465" t="s">
        <v>744</v>
      </c>
      <c r="C506" s="466" t="s">
        <v>743</v>
      </c>
      <c r="D506" s="466" t="s">
        <v>1012</v>
      </c>
      <c r="E506" s="466" t="s">
        <v>4356</v>
      </c>
      <c r="F506" s="465" t="s">
        <v>4357</v>
      </c>
      <c r="G506" s="465" t="s">
        <v>4789</v>
      </c>
      <c r="H506" s="465" t="s">
        <v>4359</v>
      </c>
      <c r="I506" s="465" t="s">
        <v>4360</v>
      </c>
      <c r="J506" s="465" t="s">
        <v>4361</v>
      </c>
      <c r="K506" s="465" t="s">
        <v>7357</v>
      </c>
      <c r="L506" s="465" t="s">
        <v>8573</v>
      </c>
      <c r="M506" s="467" t="s">
        <v>7927</v>
      </c>
    </row>
    <row r="507" spans="1:13">
      <c r="A507" s="477" t="s">
        <v>1129</v>
      </c>
      <c r="B507" s="461" t="s">
        <v>2536</v>
      </c>
      <c r="C507" s="468" t="s">
        <v>1122</v>
      </c>
      <c r="D507" s="468" t="s">
        <v>1123</v>
      </c>
      <c r="E507" s="468" t="s">
        <v>4882</v>
      </c>
      <c r="F507" s="461" t="s">
        <v>4883</v>
      </c>
      <c r="G507" s="461" t="s">
        <v>4884</v>
      </c>
      <c r="H507" s="461" t="s">
        <v>4882</v>
      </c>
      <c r="I507" s="461" t="s">
        <v>4885</v>
      </c>
      <c r="J507" s="461" t="s">
        <v>4886</v>
      </c>
      <c r="K507" s="461" t="s">
        <v>7391</v>
      </c>
      <c r="L507" s="461" t="s">
        <v>8653</v>
      </c>
      <c r="M507" s="469" t="s">
        <v>8010</v>
      </c>
    </row>
    <row r="508" spans="1:13">
      <c r="A508" s="465" t="s">
        <v>2434</v>
      </c>
      <c r="B508" s="465" t="s">
        <v>2536</v>
      </c>
      <c r="C508" s="466" t="s">
        <v>1122</v>
      </c>
      <c r="D508" s="466" t="s">
        <v>1123</v>
      </c>
      <c r="E508" s="466" t="s">
        <v>4882</v>
      </c>
      <c r="F508" s="465" t="s">
        <v>4883</v>
      </c>
      <c r="G508" s="465" t="s">
        <v>4884</v>
      </c>
      <c r="H508" s="465" t="s">
        <v>4882</v>
      </c>
      <c r="I508" s="465" t="s">
        <v>4885</v>
      </c>
      <c r="J508" s="465" t="s">
        <v>4886</v>
      </c>
      <c r="K508" s="465" t="s">
        <v>7391</v>
      </c>
      <c r="L508" s="465" t="s">
        <v>8653</v>
      </c>
      <c r="M508" s="467" t="s">
        <v>8010</v>
      </c>
    </row>
    <row r="509" spans="1:13">
      <c r="A509" s="461" t="s">
        <v>1130</v>
      </c>
      <c r="B509" s="461" t="s">
        <v>1101</v>
      </c>
      <c r="C509" s="468" t="s">
        <v>1100</v>
      </c>
      <c r="D509" s="468" t="s">
        <v>1102</v>
      </c>
      <c r="E509" s="468" t="s">
        <v>4847</v>
      </c>
      <c r="F509" s="461" t="s">
        <v>4848</v>
      </c>
      <c r="G509" s="461" t="s">
        <v>4849</v>
      </c>
      <c r="H509" s="461" t="s">
        <v>4847</v>
      </c>
      <c r="I509" s="461" t="s">
        <v>4850</v>
      </c>
      <c r="J509" s="461" t="s">
        <v>4851</v>
      </c>
      <c r="K509" s="461" t="s">
        <v>7386</v>
      </c>
      <c r="L509" s="461" t="s">
        <v>8649</v>
      </c>
      <c r="M509" s="469" t="s">
        <v>8006</v>
      </c>
    </row>
    <row r="510" spans="1:13">
      <c r="A510" s="465" t="s">
        <v>2435</v>
      </c>
      <c r="B510" s="465" t="s">
        <v>1101</v>
      </c>
      <c r="C510" s="466" t="s">
        <v>1100</v>
      </c>
      <c r="D510" s="466" t="s">
        <v>1102</v>
      </c>
      <c r="E510" s="466" t="s">
        <v>4847</v>
      </c>
      <c r="F510" s="465" t="s">
        <v>4848</v>
      </c>
      <c r="G510" s="465" t="s">
        <v>4849</v>
      </c>
      <c r="H510" s="465" t="s">
        <v>4847</v>
      </c>
      <c r="I510" s="465" t="s">
        <v>4850</v>
      </c>
      <c r="J510" s="465" t="s">
        <v>4851</v>
      </c>
      <c r="K510" s="465" t="s">
        <v>7386</v>
      </c>
      <c r="L510" s="465" t="s">
        <v>8649</v>
      </c>
      <c r="M510" s="467" t="s">
        <v>8006</v>
      </c>
    </row>
    <row r="511" spans="1:13">
      <c r="A511" s="461" t="s">
        <v>1389</v>
      </c>
      <c r="B511" s="461" t="s">
        <v>1207</v>
      </c>
      <c r="C511" s="468" t="s">
        <v>1206</v>
      </c>
      <c r="D511" s="468" t="s">
        <v>1208</v>
      </c>
      <c r="E511" s="468" t="s">
        <v>4921</v>
      </c>
      <c r="F511" s="461" t="s">
        <v>4922</v>
      </c>
      <c r="G511" s="461" t="s">
        <v>4923</v>
      </c>
      <c r="H511" s="461" t="s">
        <v>4924</v>
      </c>
      <c r="I511" s="461" t="s">
        <v>4925</v>
      </c>
      <c r="J511" s="461" t="s">
        <v>4926</v>
      </c>
      <c r="K511" s="461" t="s">
        <v>7397</v>
      </c>
      <c r="L511" s="461" t="s">
        <v>8661</v>
      </c>
      <c r="M511" s="469" t="s">
        <v>8017</v>
      </c>
    </row>
    <row r="512" spans="1:13">
      <c r="A512" s="465" t="s">
        <v>2451</v>
      </c>
      <c r="B512" s="465" t="s">
        <v>1207</v>
      </c>
      <c r="C512" s="466" t="s">
        <v>1206</v>
      </c>
      <c r="D512" s="466" t="s">
        <v>1208</v>
      </c>
      <c r="E512" s="466" t="s">
        <v>4921</v>
      </c>
      <c r="F512" s="465" t="s">
        <v>4922</v>
      </c>
      <c r="G512" s="465" t="s">
        <v>4923</v>
      </c>
      <c r="H512" s="465" t="s">
        <v>4924</v>
      </c>
      <c r="I512" s="465" t="s">
        <v>4925</v>
      </c>
      <c r="J512" s="465" t="s">
        <v>4955</v>
      </c>
      <c r="K512" s="465" t="s">
        <v>7397</v>
      </c>
      <c r="L512" s="465" t="s">
        <v>8661</v>
      </c>
      <c r="M512" s="467" t="s">
        <v>8017</v>
      </c>
    </row>
    <row r="513" spans="1:13">
      <c r="A513" s="473" t="s">
        <v>12066</v>
      </c>
      <c r="B513" s="473" t="s">
        <v>12132</v>
      </c>
      <c r="C513" s="473" t="s">
        <v>12133</v>
      </c>
      <c r="D513" s="473" t="s">
        <v>12134</v>
      </c>
      <c r="E513" s="473" t="s">
        <v>12135</v>
      </c>
      <c r="F513" s="473" t="s">
        <v>12136</v>
      </c>
      <c r="G513" s="473" t="s">
        <v>12261</v>
      </c>
      <c r="H513" s="473" t="s">
        <v>12137</v>
      </c>
      <c r="I513" s="473" t="s">
        <v>12138</v>
      </c>
      <c r="J513" s="473" t="s">
        <v>12139</v>
      </c>
      <c r="K513" s="473" t="s">
        <v>12140</v>
      </c>
      <c r="L513" s="473" t="s">
        <v>12141</v>
      </c>
      <c r="M513" s="474" t="s">
        <v>12142</v>
      </c>
    </row>
    <row r="514" spans="1:13">
      <c r="A514" s="475" t="s">
        <v>12227</v>
      </c>
      <c r="B514" s="475" t="s">
        <v>12132</v>
      </c>
      <c r="C514" s="475" t="s">
        <v>12133</v>
      </c>
      <c r="D514" s="475" t="s">
        <v>12134</v>
      </c>
      <c r="E514" s="475" t="s">
        <v>12135</v>
      </c>
      <c r="F514" s="475" t="s">
        <v>12136</v>
      </c>
      <c r="G514" s="475" t="s">
        <v>12261</v>
      </c>
      <c r="H514" s="475" t="s">
        <v>12137</v>
      </c>
      <c r="I514" s="475" t="s">
        <v>12138</v>
      </c>
      <c r="J514" s="475" t="s">
        <v>12139</v>
      </c>
      <c r="K514" s="475" t="s">
        <v>12140</v>
      </c>
      <c r="L514" s="475" t="s">
        <v>12141</v>
      </c>
      <c r="M514" s="476" t="s">
        <v>12142</v>
      </c>
    </row>
    <row r="515" spans="1:13">
      <c r="A515" s="473" t="s">
        <v>11201</v>
      </c>
      <c r="B515" s="473" t="s">
        <v>4056</v>
      </c>
      <c r="C515" s="473" t="s">
        <v>4055</v>
      </c>
      <c r="D515" s="473" t="s">
        <v>4057</v>
      </c>
      <c r="E515" s="473" t="s">
        <v>4058</v>
      </c>
      <c r="F515" s="473" t="s">
        <v>4059</v>
      </c>
      <c r="G515" s="473" t="s">
        <v>4060</v>
      </c>
      <c r="H515" s="473" t="s">
        <v>4061</v>
      </c>
      <c r="I515" s="473" t="s">
        <v>4062</v>
      </c>
      <c r="J515" s="473" t="s">
        <v>4063</v>
      </c>
      <c r="K515" s="473" t="s">
        <v>7317</v>
      </c>
      <c r="L515" s="473" t="s">
        <v>8534</v>
      </c>
      <c r="M515" s="474" t="s">
        <v>7884</v>
      </c>
    </row>
    <row r="516" spans="1:13">
      <c r="A516" s="465" t="s">
        <v>10493</v>
      </c>
      <c r="B516" s="465" t="s">
        <v>10536</v>
      </c>
      <c r="C516" s="466" t="s">
        <v>10537</v>
      </c>
      <c r="D516" s="466" t="s">
        <v>10538</v>
      </c>
      <c r="E516" s="466" t="s">
        <v>10539</v>
      </c>
      <c r="F516" s="465" t="s">
        <v>10540</v>
      </c>
      <c r="G516" s="465" t="s">
        <v>10541</v>
      </c>
      <c r="H516" s="465" t="s">
        <v>10542</v>
      </c>
      <c r="I516" s="465" t="s">
        <v>10543</v>
      </c>
      <c r="J516" s="465" t="s">
        <v>10544</v>
      </c>
      <c r="K516" s="465" t="s">
        <v>10545</v>
      </c>
      <c r="L516" s="465" t="s">
        <v>10546</v>
      </c>
      <c r="M516" s="467" t="s">
        <v>10547</v>
      </c>
    </row>
    <row r="517" spans="1:13">
      <c r="A517" s="461" t="s">
        <v>10940</v>
      </c>
      <c r="B517" s="461" t="s">
        <v>10536</v>
      </c>
      <c r="C517" s="468" t="s">
        <v>10537</v>
      </c>
      <c r="D517" s="468" t="s">
        <v>10538</v>
      </c>
      <c r="E517" s="468" t="s">
        <v>10539</v>
      </c>
      <c r="F517" s="461" t="s">
        <v>10540</v>
      </c>
      <c r="G517" s="461" t="s">
        <v>10541</v>
      </c>
      <c r="H517" s="461" t="s">
        <v>10542</v>
      </c>
      <c r="I517" s="461" t="s">
        <v>10543</v>
      </c>
      <c r="J517" s="461" t="s">
        <v>10544</v>
      </c>
      <c r="K517" s="471" t="s">
        <v>10545</v>
      </c>
      <c r="L517" s="461" t="s">
        <v>10546</v>
      </c>
      <c r="M517" s="469" t="s">
        <v>10547</v>
      </c>
    </row>
    <row r="518" spans="1:13">
      <c r="A518" s="465" t="s">
        <v>1473</v>
      </c>
      <c r="B518" s="465" t="s">
        <v>758</v>
      </c>
      <c r="C518" s="466" t="s">
        <v>757</v>
      </c>
      <c r="D518" s="466" t="s">
        <v>1180</v>
      </c>
      <c r="E518" s="466" t="s">
        <v>4391</v>
      </c>
      <c r="F518" s="465" t="s">
        <v>4392</v>
      </c>
      <c r="G518" s="465" t="s">
        <v>4927</v>
      </c>
      <c r="H518" s="465" t="s">
        <v>4394</v>
      </c>
      <c r="I518" s="465" t="s">
        <v>4395</v>
      </c>
      <c r="J518" s="465" t="s">
        <v>4396</v>
      </c>
      <c r="K518" s="465" t="s">
        <v>7363</v>
      </c>
      <c r="L518" s="465" t="s">
        <v>8579</v>
      </c>
      <c r="M518" s="467" t="s">
        <v>7933</v>
      </c>
    </row>
    <row r="519" spans="1:13">
      <c r="A519" s="473" t="s">
        <v>2104</v>
      </c>
      <c r="B519" s="473" t="s">
        <v>10604</v>
      </c>
      <c r="C519" s="473" t="s">
        <v>10608</v>
      </c>
      <c r="D519" s="473" t="s">
        <v>10610</v>
      </c>
      <c r="E519" s="473" t="s">
        <v>10612</v>
      </c>
      <c r="F519" s="473" t="s">
        <v>10614</v>
      </c>
      <c r="G519" s="473" t="s">
        <v>10616</v>
      </c>
      <c r="H519" s="473" t="s">
        <v>10606</v>
      </c>
      <c r="I519" s="473" t="s">
        <v>10618</v>
      </c>
      <c r="J519" s="473" t="s">
        <v>10620</v>
      </c>
      <c r="K519" s="473" t="s">
        <v>10622</v>
      </c>
      <c r="L519" s="473" t="s">
        <v>10624</v>
      </c>
      <c r="M519" s="474" t="s">
        <v>10626</v>
      </c>
    </row>
    <row r="520" spans="1:13">
      <c r="A520" s="465" t="s">
        <v>1475</v>
      </c>
      <c r="B520" s="465" t="s">
        <v>1071</v>
      </c>
      <c r="C520" s="466" t="s">
        <v>1070</v>
      </c>
      <c r="D520" s="466" t="s">
        <v>1072</v>
      </c>
      <c r="E520" s="466" t="s">
        <v>4816</v>
      </c>
      <c r="F520" s="465" t="s">
        <v>4817</v>
      </c>
      <c r="G520" s="465" t="s">
        <v>4818</v>
      </c>
      <c r="H520" s="465" t="s">
        <v>4819</v>
      </c>
      <c r="I520" s="465" t="s">
        <v>4820</v>
      </c>
      <c r="J520" s="465" t="s">
        <v>4821</v>
      </c>
      <c r="K520" s="465" t="s">
        <v>7382</v>
      </c>
      <c r="L520" s="465" t="s">
        <v>8645</v>
      </c>
      <c r="M520" s="467" t="s">
        <v>8000</v>
      </c>
    </row>
    <row r="521" spans="1:13">
      <c r="A521" s="461" t="s">
        <v>2338</v>
      </c>
      <c r="B521" s="461" t="s">
        <v>1071</v>
      </c>
      <c r="C521" s="468" t="s">
        <v>1070</v>
      </c>
      <c r="D521" s="468" t="s">
        <v>1072</v>
      </c>
      <c r="E521" s="468" t="s">
        <v>4816</v>
      </c>
      <c r="F521" s="461" t="s">
        <v>4817</v>
      </c>
      <c r="G521" s="461" t="s">
        <v>4818</v>
      </c>
      <c r="H521" s="461" t="s">
        <v>4819</v>
      </c>
      <c r="I521" s="461" t="s">
        <v>4820</v>
      </c>
      <c r="J521" s="461" t="s">
        <v>4821</v>
      </c>
      <c r="K521" s="461" t="s">
        <v>7382</v>
      </c>
      <c r="L521" s="461" t="s">
        <v>8645</v>
      </c>
      <c r="M521" s="469" t="s">
        <v>8000</v>
      </c>
    </row>
    <row r="522" spans="1:13">
      <c r="A522" s="475" t="s">
        <v>2105</v>
      </c>
      <c r="B522" s="475" t="s">
        <v>10604</v>
      </c>
      <c r="C522" s="475" t="s">
        <v>10608</v>
      </c>
      <c r="D522" s="475" t="s">
        <v>10610</v>
      </c>
      <c r="E522" s="475" t="s">
        <v>10612</v>
      </c>
      <c r="F522" s="475" t="s">
        <v>10614</v>
      </c>
      <c r="G522" s="475" t="s">
        <v>10616</v>
      </c>
      <c r="H522" s="475" t="s">
        <v>10606</v>
      </c>
      <c r="I522" s="475" t="s">
        <v>10618</v>
      </c>
      <c r="J522" s="475" t="s">
        <v>10620</v>
      </c>
      <c r="K522" s="475" t="s">
        <v>10622</v>
      </c>
      <c r="L522" s="475" t="s">
        <v>10624</v>
      </c>
      <c r="M522" s="476" t="s">
        <v>10626</v>
      </c>
    </row>
    <row r="523" spans="1:13">
      <c r="A523" s="473" t="s">
        <v>12023</v>
      </c>
      <c r="B523" s="473" t="s">
        <v>744</v>
      </c>
      <c r="C523" s="473" t="s">
        <v>743</v>
      </c>
      <c r="D523" s="473" t="s">
        <v>745</v>
      </c>
      <c r="E523" s="473" t="s">
        <v>4356</v>
      </c>
      <c r="F523" s="473" t="s">
        <v>4357</v>
      </c>
      <c r="G523" s="473" t="s">
        <v>12245</v>
      </c>
      <c r="H523" s="473" t="s">
        <v>4359</v>
      </c>
      <c r="I523" s="473" t="s">
        <v>5035</v>
      </c>
      <c r="J523" s="473" t="s">
        <v>4361</v>
      </c>
      <c r="K523" s="473" t="s">
        <v>7357</v>
      </c>
      <c r="L523" s="473" t="s">
        <v>8573</v>
      </c>
      <c r="M523" s="474" t="s">
        <v>7927</v>
      </c>
    </row>
    <row r="524" spans="1:13">
      <c r="A524" s="475" t="s">
        <v>12017</v>
      </c>
      <c r="B524" s="475" t="s">
        <v>1035</v>
      </c>
      <c r="C524" s="475" t="s">
        <v>1034</v>
      </c>
      <c r="D524" s="475" t="s">
        <v>12130</v>
      </c>
      <c r="E524" s="475" t="s">
        <v>4901</v>
      </c>
      <c r="F524" s="475" t="s">
        <v>4792</v>
      </c>
      <c r="G524" s="475" t="s">
        <v>12131</v>
      </c>
      <c r="H524" s="475" t="s">
        <v>4794</v>
      </c>
      <c r="I524" s="475" t="s">
        <v>4795</v>
      </c>
      <c r="J524" s="475" t="s">
        <v>4796</v>
      </c>
      <c r="K524" s="475" t="s">
        <v>7379</v>
      </c>
      <c r="L524" s="475" t="s">
        <v>8642</v>
      </c>
      <c r="M524" s="476" t="s">
        <v>7997</v>
      </c>
    </row>
    <row r="525" spans="1:13">
      <c r="A525" s="472" t="s">
        <v>1032</v>
      </c>
      <c r="B525" s="461" t="s">
        <v>1035</v>
      </c>
      <c r="C525" s="468" t="s">
        <v>1034</v>
      </c>
      <c r="D525" s="468" t="s">
        <v>1036</v>
      </c>
      <c r="E525" s="468" t="s">
        <v>4791</v>
      </c>
      <c r="F525" s="461" t="s">
        <v>4792</v>
      </c>
      <c r="G525" s="461" t="s">
        <v>4793</v>
      </c>
      <c r="H525" s="461" t="s">
        <v>4794</v>
      </c>
      <c r="I525" s="461" t="s">
        <v>4795</v>
      </c>
      <c r="J525" s="461" t="s">
        <v>4796</v>
      </c>
      <c r="K525" s="461" t="s">
        <v>7379</v>
      </c>
      <c r="L525" s="461" t="s">
        <v>8642</v>
      </c>
      <c r="M525" s="469" t="s">
        <v>7997</v>
      </c>
    </row>
    <row r="526" spans="1:13">
      <c r="A526" s="465" t="s">
        <v>2270</v>
      </c>
      <c r="B526" s="465" t="s">
        <v>1035</v>
      </c>
      <c r="C526" s="466" t="s">
        <v>1034</v>
      </c>
      <c r="D526" s="466" t="s">
        <v>1036</v>
      </c>
      <c r="E526" s="466" t="s">
        <v>4791</v>
      </c>
      <c r="F526" s="465" t="s">
        <v>4792</v>
      </c>
      <c r="G526" s="465" t="s">
        <v>4793</v>
      </c>
      <c r="H526" s="465" t="s">
        <v>4794</v>
      </c>
      <c r="I526" s="465" t="s">
        <v>4795</v>
      </c>
      <c r="J526" s="465" t="s">
        <v>4796</v>
      </c>
      <c r="K526" s="465" t="s">
        <v>7379</v>
      </c>
      <c r="L526" s="465" t="s">
        <v>8642</v>
      </c>
      <c r="M526" s="467" t="s">
        <v>7997</v>
      </c>
    </row>
    <row r="527" spans="1:13">
      <c r="A527" s="461" t="s">
        <v>1039</v>
      </c>
      <c r="B527" s="461" t="s">
        <v>1035</v>
      </c>
      <c r="C527" s="468" t="s">
        <v>1034</v>
      </c>
      <c r="D527" s="468" t="s">
        <v>1036</v>
      </c>
      <c r="E527" s="468" t="s">
        <v>4791</v>
      </c>
      <c r="F527" s="461" t="s">
        <v>4792</v>
      </c>
      <c r="G527" s="461" t="s">
        <v>4793</v>
      </c>
      <c r="H527" s="461" t="s">
        <v>4794</v>
      </c>
      <c r="I527" s="461" t="s">
        <v>4795</v>
      </c>
      <c r="J527" s="461" t="s">
        <v>4796</v>
      </c>
      <c r="K527" s="471" t="s">
        <v>7379</v>
      </c>
      <c r="L527" s="461" t="s">
        <v>8642</v>
      </c>
      <c r="M527" s="469" t="s">
        <v>7997</v>
      </c>
    </row>
    <row r="528" spans="1:13">
      <c r="A528" s="472" t="s">
        <v>1042</v>
      </c>
      <c r="B528" s="465" t="s">
        <v>1035</v>
      </c>
      <c r="C528" s="466" t="s">
        <v>1034</v>
      </c>
      <c r="D528" s="466" t="s">
        <v>1036</v>
      </c>
      <c r="E528" s="466" t="s">
        <v>4791</v>
      </c>
      <c r="F528" s="465" t="s">
        <v>4792</v>
      </c>
      <c r="G528" s="465" t="s">
        <v>4793</v>
      </c>
      <c r="H528" s="465" t="s">
        <v>4794</v>
      </c>
      <c r="I528" s="465" t="s">
        <v>4795</v>
      </c>
      <c r="J528" s="465" t="s">
        <v>4796</v>
      </c>
      <c r="K528" s="465" t="s">
        <v>7379</v>
      </c>
      <c r="L528" s="465" t="s">
        <v>8642</v>
      </c>
      <c r="M528" s="467" t="s">
        <v>7997</v>
      </c>
    </row>
    <row r="529" spans="1:13">
      <c r="A529" s="461" t="s">
        <v>1105</v>
      </c>
      <c r="B529" s="461" t="s">
        <v>961</v>
      </c>
      <c r="C529" s="468" t="s">
        <v>587</v>
      </c>
      <c r="D529" s="468" t="s">
        <v>962</v>
      </c>
      <c r="E529" s="468" t="s">
        <v>4744</v>
      </c>
      <c r="F529" s="461" t="s">
        <v>4001</v>
      </c>
      <c r="G529" s="461" t="s">
        <v>4002</v>
      </c>
      <c r="H529" s="461" t="s">
        <v>4864</v>
      </c>
      <c r="I529" s="461" t="s">
        <v>4025</v>
      </c>
      <c r="J529" s="461" t="s">
        <v>4005</v>
      </c>
      <c r="K529" s="471" t="s">
        <v>7373</v>
      </c>
      <c r="L529" s="461" t="s">
        <v>8636</v>
      </c>
      <c r="M529" s="469" t="s">
        <v>8002</v>
      </c>
    </row>
    <row r="530" spans="1:13">
      <c r="A530" s="475" t="s">
        <v>12204</v>
      </c>
      <c r="B530" s="475" t="s">
        <v>961</v>
      </c>
      <c r="C530" s="475" t="s">
        <v>587</v>
      </c>
      <c r="D530" s="475" t="s">
        <v>962</v>
      </c>
      <c r="E530" s="475" t="s">
        <v>4744</v>
      </c>
      <c r="F530" s="475" t="s">
        <v>4001</v>
      </c>
      <c r="G530" s="475" t="s">
        <v>4002</v>
      </c>
      <c r="H530" s="475" t="s">
        <v>4864</v>
      </c>
      <c r="I530" s="475" t="s">
        <v>4025</v>
      </c>
      <c r="J530" s="475" t="s">
        <v>4005</v>
      </c>
      <c r="K530" s="475" t="s">
        <v>7373</v>
      </c>
      <c r="L530" s="475" t="s">
        <v>8636</v>
      </c>
      <c r="M530" s="476" t="s">
        <v>8002</v>
      </c>
    </row>
    <row r="531" spans="1:13">
      <c r="A531" s="461" t="s">
        <v>1086</v>
      </c>
      <c r="B531" s="461" t="s">
        <v>961</v>
      </c>
      <c r="C531" s="468" t="s">
        <v>587</v>
      </c>
      <c r="D531" s="468" t="s">
        <v>962</v>
      </c>
      <c r="E531" s="468" t="s">
        <v>4744</v>
      </c>
      <c r="F531" s="461" t="s">
        <v>4001</v>
      </c>
      <c r="G531" s="461" t="s">
        <v>4002</v>
      </c>
      <c r="H531" s="461" t="s">
        <v>4745</v>
      </c>
      <c r="I531" s="461" t="s">
        <v>4025</v>
      </c>
      <c r="J531" s="461" t="s">
        <v>4005</v>
      </c>
      <c r="K531" s="461" t="s">
        <v>7373</v>
      </c>
      <c r="L531" s="461" t="s">
        <v>8636</v>
      </c>
      <c r="M531" s="469" t="s">
        <v>8002</v>
      </c>
    </row>
    <row r="532" spans="1:13">
      <c r="A532" s="472" t="s">
        <v>1037</v>
      </c>
      <c r="B532" s="465" t="s">
        <v>1035</v>
      </c>
      <c r="C532" s="466" t="s">
        <v>1034</v>
      </c>
      <c r="D532" s="466" t="s">
        <v>1036</v>
      </c>
      <c r="E532" s="466" t="s">
        <v>4791</v>
      </c>
      <c r="F532" s="465" t="s">
        <v>4792</v>
      </c>
      <c r="G532" s="465" t="s">
        <v>4793</v>
      </c>
      <c r="H532" s="465" t="s">
        <v>4794</v>
      </c>
      <c r="I532" s="465" t="s">
        <v>4795</v>
      </c>
      <c r="J532" s="465" t="s">
        <v>4796</v>
      </c>
      <c r="K532" s="470" t="s">
        <v>7379</v>
      </c>
      <c r="L532" s="465" t="s">
        <v>8642</v>
      </c>
      <c r="M532" s="467" t="s">
        <v>7997</v>
      </c>
    </row>
    <row r="533" spans="1:13">
      <c r="A533" s="461" t="s">
        <v>1041</v>
      </c>
      <c r="B533" s="461" t="s">
        <v>1035</v>
      </c>
      <c r="C533" s="468" t="s">
        <v>1034</v>
      </c>
      <c r="D533" s="468" t="s">
        <v>1036</v>
      </c>
      <c r="E533" s="468" t="s">
        <v>4791</v>
      </c>
      <c r="F533" s="461" t="s">
        <v>4792</v>
      </c>
      <c r="G533" s="461" t="s">
        <v>4793</v>
      </c>
      <c r="H533" s="461" t="s">
        <v>4794</v>
      </c>
      <c r="I533" s="461" t="s">
        <v>4795</v>
      </c>
      <c r="J533" s="461" t="s">
        <v>4796</v>
      </c>
      <c r="K533" s="471" t="s">
        <v>7379</v>
      </c>
      <c r="L533" s="461" t="s">
        <v>8642</v>
      </c>
      <c r="M533" s="469" t="s">
        <v>7997</v>
      </c>
    </row>
    <row r="534" spans="1:13">
      <c r="A534" s="465" t="s">
        <v>2288</v>
      </c>
      <c r="B534" s="465" t="s">
        <v>1207</v>
      </c>
      <c r="C534" s="466" t="s">
        <v>1206</v>
      </c>
      <c r="D534" s="466" t="s">
        <v>1208</v>
      </c>
      <c r="E534" s="466" t="s">
        <v>4921</v>
      </c>
      <c r="F534" s="465" t="s">
        <v>4922</v>
      </c>
      <c r="G534" s="465" t="s">
        <v>4923</v>
      </c>
      <c r="H534" s="465" t="s">
        <v>4924</v>
      </c>
      <c r="I534" s="465" t="s">
        <v>4925</v>
      </c>
      <c r="J534" s="465" t="s">
        <v>4926</v>
      </c>
      <c r="K534" s="465" t="s">
        <v>7397</v>
      </c>
      <c r="L534" s="465" t="s">
        <v>8661</v>
      </c>
      <c r="M534" s="467" t="s">
        <v>8017</v>
      </c>
    </row>
    <row r="535" spans="1:13">
      <c r="A535" s="461" t="s">
        <v>1365</v>
      </c>
      <c r="B535" s="461" t="s">
        <v>1035</v>
      </c>
      <c r="C535" s="468" t="s">
        <v>1034</v>
      </c>
      <c r="D535" s="468" t="s">
        <v>1036</v>
      </c>
      <c r="E535" s="468" t="s">
        <v>4901</v>
      </c>
      <c r="F535" s="461" t="s">
        <v>4792</v>
      </c>
      <c r="G535" s="461" t="s">
        <v>4793</v>
      </c>
      <c r="H535" s="461" t="s">
        <v>4794</v>
      </c>
      <c r="I535" s="461" t="s">
        <v>4795</v>
      </c>
      <c r="J535" s="461" t="s">
        <v>4796</v>
      </c>
      <c r="K535" s="461" t="s">
        <v>7379</v>
      </c>
      <c r="L535" s="461" t="s">
        <v>8642</v>
      </c>
      <c r="M535" s="469" t="s">
        <v>7927</v>
      </c>
    </row>
    <row r="536" spans="1:13">
      <c r="A536" s="475" t="s">
        <v>2097</v>
      </c>
      <c r="B536" s="475" t="s">
        <v>10604</v>
      </c>
      <c r="C536" s="475" t="s">
        <v>10608</v>
      </c>
      <c r="D536" s="475" t="s">
        <v>10610</v>
      </c>
      <c r="E536" s="475" t="s">
        <v>10612</v>
      </c>
      <c r="F536" s="475" t="s">
        <v>10614</v>
      </c>
      <c r="G536" s="475" t="s">
        <v>10616</v>
      </c>
      <c r="H536" s="475" t="s">
        <v>10606</v>
      </c>
      <c r="I536" s="475" t="s">
        <v>10618</v>
      </c>
      <c r="J536" s="475" t="s">
        <v>10620</v>
      </c>
      <c r="K536" s="475" t="s">
        <v>10622</v>
      </c>
      <c r="L536" s="475" t="s">
        <v>10624</v>
      </c>
      <c r="M536" s="476" t="s">
        <v>10626</v>
      </c>
    </row>
    <row r="537" spans="1:13">
      <c r="A537" s="461" t="s">
        <v>1364</v>
      </c>
      <c r="B537" s="461" t="s">
        <v>1035</v>
      </c>
      <c r="C537" s="468" t="s">
        <v>1034</v>
      </c>
      <c r="D537" s="468" t="s">
        <v>1036</v>
      </c>
      <c r="E537" s="468" t="s">
        <v>4901</v>
      </c>
      <c r="F537" s="461" t="s">
        <v>4792</v>
      </c>
      <c r="G537" s="461" t="s">
        <v>4793</v>
      </c>
      <c r="H537" s="461" t="s">
        <v>4794</v>
      </c>
      <c r="I537" s="461" t="s">
        <v>4795</v>
      </c>
      <c r="J537" s="461" t="s">
        <v>4796</v>
      </c>
      <c r="K537" s="461" t="s">
        <v>7379</v>
      </c>
      <c r="L537" s="461" t="s">
        <v>8642</v>
      </c>
      <c r="M537" s="469" t="s">
        <v>7927</v>
      </c>
    </row>
    <row r="538" spans="1:13">
      <c r="A538" s="465" t="s">
        <v>1370</v>
      </c>
      <c r="B538" s="465" t="s">
        <v>1035</v>
      </c>
      <c r="C538" s="466" t="s">
        <v>1034</v>
      </c>
      <c r="D538" s="466" t="s">
        <v>1036</v>
      </c>
      <c r="E538" s="466" t="s">
        <v>4901</v>
      </c>
      <c r="F538" s="465" t="s">
        <v>4792</v>
      </c>
      <c r="G538" s="465" t="s">
        <v>4793</v>
      </c>
      <c r="H538" s="465" t="s">
        <v>4794</v>
      </c>
      <c r="I538" s="465" t="s">
        <v>4795</v>
      </c>
      <c r="J538" s="465" t="s">
        <v>4796</v>
      </c>
      <c r="K538" s="465" t="s">
        <v>7379</v>
      </c>
      <c r="L538" s="465" t="s">
        <v>8642</v>
      </c>
      <c r="M538" s="467" t="s">
        <v>7927</v>
      </c>
    </row>
    <row r="539" spans="1:13">
      <c r="A539" s="461" t="s">
        <v>1371</v>
      </c>
      <c r="B539" s="461" t="s">
        <v>1368</v>
      </c>
      <c r="C539" s="468" t="s">
        <v>1367</v>
      </c>
      <c r="D539" s="468" t="s">
        <v>1369</v>
      </c>
      <c r="E539" s="468" t="s">
        <v>5074</v>
      </c>
      <c r="F539" s="461" t="s">
        <v>5075</v>
      </c>
      <c r="G539" s="461" t="s">
        <v>5076</v>
      </c>
      <c r="H539" s="461" t="s">
        <v>5077</v>
      </c>
      <c r="I539" s="461" t="s">
        <v>5078</v>
      </c>
      <c r="J539" s="461" t="s">
        <v>5079</v>
      </c>
      <c r="K539" s="461" t="s">
        <v>7419</v>
      </c>
      <c r="L539" s="461" t="s">
        <v>8682</v>
      </c>
      <c r="M539" s="469" t="s">
        <v>7927</v>
      </c>
    </row>
    <row r="540" spans="1:13">
      <c r="A540" s="472" t="s">
        <v>1378</v>
      </c>
      <c r="B540" s="465" t="s">
        <v>356</v>
      </c>
      <c r="C540" s="466" t="s">
        <v>355</v>
      </c>
      <c r="D540" s="466" t="s">
        <v>357</v>
      </c>
      <c r="E540" s="466" t="s">
        <v>3608</v>
      </c>
      <c r="F540" s="465" t="s">
        <v>3609</v>
      </c>
      <c r="G540" s="465" t="s">
        <v>5036</v>
      </c>
      <c r="H540" s="465" t="s">
        <v>3611</v>
      </c>
      <c r="I540" s="465" t="s">
        <v>3612</v>
      </c>
      <c r="J540" s="465" t="s">
        <v>3613</v>
      </c>
      <c r="K540" s="470" t="s">
        <v>7246</v>
      </c>
      <c r="L540" s="465" t="s">
        <v>8462</v>
      </c>
      <c r="M540" s="467" t="s">
        <v>8034</v>
      </c>
    </row>
    <row r="541" spans="1:13">
      <c r="A541" s="473" t="s">
        <v>2099</v>
      </c>
      <c r="B541" s="473" t="s">
        <v>10604</v>
      </c>
      <c r="C541" s="473" t="s">
        <v>10608</v>
      </c>
      <c r="D541" s="473" t="s">
        <v>10610</v>
      </c>
      <c r="E541" s="473" t="s">
        <v>10612</v>
      </c>
      <c r="F541" s="473" t="s">
        <v>10614</v>
      </c>
      <c r="G541" s="473" t="s">
        <v>10616</v>
      </c>
      <c r="H541" s="473" t="s">
        <v>10606</v>
      </c>
      <c r="I541" s="473" t="s">
        <v>10618</v>
      </c>
      <c r="J541" s="473" t="s">
        <v>10620</v>
      </c>
      <c r="K541" s="473" t="s">
        <v>10622</v>
      </c>
      <c r="L541" s="473" t="s">
        <v>10624</v>
      </c>
      <c r="M541" s="474" t="s">
        <v>10626</v>
      </c>
    </row>
    <row r="542" spans="1:13">
      <c r="A542" s="465" t="s">
        <v>1379</v>
      </c>
      <c r="B542" s="465" t="s">
        <v>1035</v>
      </c>
      <c r="C542" s="466" t="s">
        <v>1034</v>
      </c>
      <c r="D542" s="466" t="s">
        <v>1036</v>
      </c>
      <c r="E542" s="466" t="s">
        <v>4901</v>
      </c>
      <c r="F542" s="465" t="s">
        <v>4792</v>
      </c>
      <c r="G542" s="465" t="s">
        <v>4793</v>
      </c>
      <c r="H542" s="465" t="s">
        <v>4730</v>
      </c>
      <c r="I542" s="465" t="s">
        <v>4795</v>
      </c>
      <c r="J542" s="465" t="s">
        <v>4796</v>
      </c>
      <c r="K542" s="470" t="s">
        <v>7379</v>
      </c>
      <c r="L542" s="465" t="s">
        <v>8642</v>
      </c>
      <c r="M542" s="467" t="s">
        <v>7997</v>
      </c>
    </row>
    <row r="543" spans="1:13">
      <c r="A543" s="461" t="s">
        <v>1381</v>
      </c>
      <c r="B543" s="461" t="s">
        <v>1035</v>
      </c>
      <c r="C543" s="468" t="s">
        <v>1034</v>
      </c>
      <c r="D543" s="468" t="s">
        <v>1036</v>
      </c>
      <c r="E543" s="468" t="s">
        <v>4901</v>
      </c>
      <c r="F543" s="461" t="s">
        <v>4792</v>
      </c>
      <c r="G543" s="461" t="s">
        <v>4793</v>
      </c>
      <c r="H543" s="461" t="s">
        <v>4730</v>
      </c>
      <c r="I543" s="461" t="s">
        <v>4795</v>
      </c>
      <c r="J543" s="461" t="s">
        <v>4796</v>
      </c>
      <c r="K543" s="461" t="s">
        <v>7379</v>
      </c>
      <c r="L543" s="461" t="s">
        <v>8642</v>
      </c>
      <c r="M543" s="469" t="s">
        <v>7997</v>
      </c>
    </row>
    <row r="544" spans="1:13">
      <c r="A544" s="465" t="s">
        <v>1372</v>
      </c>
      <c r="B544" s="465" t="s">
        <v>1035</v>
      </c>
      <c r="C544" s="466" t="s">
        <v>1034</v>
      </c>
      <c r="D544" s="466" t="s">
        <v>1036</v>
      </c>
      <c r="E544" s="466" t="s">
        <v>4901</v>
      </c>
      <c r="F544" s="465" t="s">
        <v>4792</v>
      </c>
      <c r="G544" s="465" t="s">
        <v>4793</v>
      </c>
      <c r="H544" s="465" t="s">
        <v>4794</v>
      </c>
      <c r="I544" s="465" t="s">
        <v>4795</v>
      </c>
      <c r="J544" s="465" t="s">
        <v>4796</v>
      </c>
      <c r="K544" s="465" t="s">
        <v>7379</v>
      </c>
      <c r="L544" s="465" t="s">
        <v>8642</v>
      </c>
      <c r="M544" s="467" t="s">
        <v>7927</v>
      </c>
    </row>
    <row r="545" spans="1:13">
      <c r="A545" s="461" t="s">
        <v>1480</v>
      </c>
      <c r="B545" s="461" t="s">
        <v>748</v>
      </c>
      <c r="C545" s="468" t="s">
        <v>747</v>
      </c>
      <c r="D545" s="468" t="s">
        <v>939</v>
      </c>
      <c r="E545" s="468" t="s">
        <v>4362</v>
      </c>
      <c r="F545" s="461" t="s">
        <v>4363</v>
      </c>
      <c r="G545" s="461" t="s">
        <v>4804</v>
      </c>
      <c r="H545" s="461" t="s">
        <v>4365</v>
      </c>
      <c r="I545" s="461" t="s">
        <v>4366</v>
      </c>
      <c r="J545" s="461" t="s">
        <v>4367</v>
      </c>
      <c r="K545" s="461" t="s">
        <v>7358</v>
      </c>
      <c r="L545" s="461" t="s">
        <v>8574</v>
      </c>
      <c r="M545" s="469" t="s">
        <v>7928</v>
      </c>
    </row>
    <row r="546" spans="1:13">
      <c r="A546" s="465" t="s">
        <v>1479</v>
      </c>
      <c r="B546" s="465" t="s">
        <v>748</v>
      </c>
      <c r="C546" s="466" t="s">
        <v>747</v>
      </c>
      <c r="D546" s="466" t="s">
        <v>939</v>
      </c>
      <c r="E546" s="466" t="s">
        <v>4362</v>
      </c>
      <c r="F546" s="465" t="s">
        <v>4363</v>
      </c>
      <c r="G546" s="465" t="s">
        <v>4804</v>
      </c>
      <c r="H546" s="465" t="s">
        <v>4365</v>
      </c>
      <c r="I546" s="465" t="s">
        <v>4366</v>
      </c>
      <c r="J546" s="465" t="s">
        <v>4367</v>
      </c>
      <c r="K546" s="465" t="s">
        <v>7358</v>
      </c>
      <c r="L546" s="465" t="s">
        <v>8574</v>
      </c>
      <c r="M546" s="467" t="s">
        <v>7928</v>
      </c>
    </row>
    <row r="547" spans="1:13">
      <c r="A547" s="461" t="s">
        <v>1481</v>
      </c>
      <c r="B547" s="461" t="s">
        <v>748</v>
      </c>
      <c r="C547" s="468" t="s">
        <v>747</v>
      </c>
      <c r="D547" s="468" t="s">
        <v>939</v>
      </c>
      <c r="E547" s="468" t="s">
        <v>4362</v>
      </c>
      <c r="F547" s="461" t="s">
        <v>4363</v>
      </c>
      <c r="G547" s="461" t="s">
        <v>4804</v>
      </c>
      <c r="H547" s="461" t="s">
        <v>4365</v>
      </c>
      <c r="I547" s="461" t="s">
        <v>4366</v>
      </c>
      <c r="J547" s="461" t="s">
        <v>4367</v>
      </c>
      <c r="K547" s="461" t="s">
        <v>7358</v>
      </c>
      <c r="L547" s="461" t="s">
        <v>8574</v>
      </c>
      <c r="M547" s="469" t="s">
        <v>7928</v>
      </c>
    </row>
    <row r="548" spans="1:13">
      <c r="A548" s="465" t="s">
        <v>1049</v>
      </c>
      <c r="B548" s="465" t="s">
        <v>748</v>
      </c>
      <c r="C548" s="466" t="s">
        <v>747</v>
      </c>
      <c r="D548" s="466" t="s">
        <v>939</v>
      </c>
      <c r="E548" s="466" t="s">
        <v>4803</v>
      </c>
      <c r="F548" s="465" t="s">
        <v>4363</v>
      </c>
      <c r="G548" s="465" t="s">
        <v>4804</v>
      </c>
      <c r="H548" s="465" t="s">
        <v>4365</v>
      </c>
      <c r="I548" s="465" t="s">
        <v>4366</v>
      </c>
      <c r="J548" s="465" t="s">
        <v>4367</v>
      </c>
      <c r="K548" s="465" t="s">
        <v>7358</v>
      </c>
      <c r="L548" s="465" t="s">
        <v>8574</v>
      </c>
      <c r="M548" s="467" t="s">
        <v>7928</v>
      </c>
    </row>
    <row r="549" spans="1:13">
      <c r="A549" s="461" t="s">
        <v>1053</v>
      </c>
      <c r="B549" s="461" t="s">
        <v>748</v>
      </c>
      <c r="C549" s="468" t="s">
        <v>747</v>
      </c>
      <c r="D549" s="468" t="s">
        <v>939</v>
      </c>
      <c r="E549" s="468" t="s">
        <v>4803</v>
      </c>
      <c r="F549" s="461" t="s">
        <v>4363</v>
      </c>
      <c r="G549" s="461" t="s">
        <v>4804</v>
      </c>
      <c r="H549" s="461" t="s">
        <v>4365</v>
      </c>
      <c r="I549" s="461" t="s">
        <v>4366</v>
      </c>
      <c r="J549" s="461" t="s">
        <v>4367</v>
      </c>
      <c r="K549" s="461" t="s">
        <v>7358</v>
      </c>
      <c r="L549" s="461" t="s">
        <v>8574</v>
      </c>
      <c r="M549" s="469" t="s">
        <v>7928</v>
      </c>
    </row>
    <row r="550" spans="1:13">
      <c r="A550" s="465" t="s">
        <v>1047</v>
      </c>
      <c r="B550" s="465" t="s">
        <v>748</v>
      </c>
      <c r="C550" s="466" t="s">
        <v>747</v>
      </c>
      <c r="D550" s="466" t="s">
        <v>939</v>
      </c>
      <c r="E550" s="466" t="s">
        <v>4803</v>
      </c>
      <c r="F550" s="465" t="s">
        <v>4363</v>
      </c>
      <c r="G550" s="465" t="s">
        <v>4804</v>
      </c>
      <c r="H550" s="465" t="s">
        <v>4365</v>
      </c>
      <c r="I550" s="465" t="s">
        <v>4366</v>
      </c>
      <c r="J550" s="465" t="s">
        <v>4367</v>
      </c>
      <c r="K550" s="465" t="s">
        <v>7358</v>
      </c>
      <c r="L550" s="465" t="s">
        <v>8574</v>
      </c>
      <c r="M550" s="467" t="s">
        <v>7928</v>
      </c>
    </row>
    <row r="551" spans="1:13">
      <c r="A551" s="461" t="s">
        <v>1052</v>
      </c>
      <c r="B551" s="461" t="s">
        <v>748</v>
      </c>
      <c r="C551" s="468" t="s">
        <v>747</v>
      </c>
      <c r="D551" s="468" t="s">
        <v>939</v>
      </c>
      <c r="E551" s="468" t="s">
        <v>4803</v>
      </c>
      <c r="F551" s="461" t="s">
        <v>4363</v>
      </c>
      <c r="G551" s="461" t="s">
        <v>4804</v>
      </c>
      <c r="H551" s="461" t="s">
        <v>4365</v>
      </c>
      <c r="I551" s="461" t="s">
        <v>4366</v>
      </c>
      <c r="J551" s="461" t="s">
        <v>4367</v>
      </c>
      <c r="K551" s="461" t="s">
        <v>7358</v>
      </c>
      <c r="L551" s="461" t="s">
        <v>8574</v>
      </c>
      <c r="M551" s="469" t="s">
        <v>7928</v>
      </c>
    </row>
    <row r="552" spans="1:13">
      <c r="A552" s="465" t="s">
        <v>1043</v>
      </c>
      <c r="B552" s="465" t="s">
        <v>1045</v>
      </c>
      <c r="C552" s="466" t="s">
        <v>1044</v>
      </c>
      <c r="D552" s="466" t="s">
        <v>1046</v>
      </c>
      <c r="E552" s="466" t="s">
        <v>4797</v>
      </c>
      <c r="F552" s="465" t="s">
        <v>4798</v>
      </c>
      <c r="G552" s="465" t="s">
        <v>4799</v>
      </c>
      <c r="H552" s="465" t="s">
        <v>4800</v>
      </c>
      <c r="I552" s="465" t="s">
        <v>4801</v>
      </c>
      <c r="J552" s="465" t="s">
        <v>4802</v>
      </c>
      <c r="K552" s="465" t="s">
        <v>7380</v>
      </c>
      <c r="L552" s="465" t="s">
        <v>8643</v>
      </c>
      <c r="M552" s="467" t="s">
        <v>7998</v>
      </c>
    </row>
    <row r="553" spans="1:13">
      <c r="A553" s="461" t="s">
        <v>1051</v>
      </c>
      <c r="B553" s="461" t="s">
        <v>748</v>
      </c>
      <c r="C553" s="468" t="s">
        <v>747</v>
      </c>
      <c r="D553" s="468" t="s">
        <v>939</v>
      </c>
      <c r="E553" s="468" t="s">
        <v>4803</v>
      </c>
      <c r="F553" s="461" t="s">
        <v>4363</v>
      </c>
      <c r="G553" s="461" t="s">
        <v>4804</v>
      </c>
      <c r="H553" s="461" t="s">
        <v>4365</v>
      </c>
      <c r="I553" s="461" t="s">
        <v>4366</v>
      </c>
      <c r="J553" s="461" t="s">
        <v>4367</v>
      </c>
      <c r="K553" s="461" t="s">
        <v>7358</v>
      </c>
      <c r="L553" s="461" t="s">
        <v>8574</v>
      </c>
      <c r="M553" s="469" t="s">
        <v>7928</v>
      </c>
    </row>
    <row r="554" spans="1:13">
      <c r="A554" s="465" t="s">
        <v>1482</v>
      </c>
      <c r="B554" s="465" t="s">
        <v>952</v>
      </c>
      <c r="C554" s="466" t="s">
        <v>938</v>
      </c>
      <c r="D554" s="466" t="s">
        <v>953</v>
      </c>
      <c r="E554" s="466" t="s">
        <v>4727</v>
      </c>
      <c r="F554" s="465" t="s">
        <v>4728</v>
      </c>
      <c r="G554" s="465" t="s">
        <v>4729</v>
      </c>
      <c r="H554" s="465" t="s">
        <v>4730</v>
      </c>
      <c r="I554" s="465" t="s">
        <v>4731</v>
      </c>
      <c r="J554" s="465" t="s">
        <v>4805</v>
      </c>
      <c r="K554" s="465" t="s">
        <v>7370</v>
      </c>
      <c r="L554" s="465" t="s">
        <v>8633</v>
      </c>
      <c r="M554" s="467" t="s">
        <v>7988</v>
      </c>
    </row>
    <row r="555" spans="1:13">
      <c r="A555" s="461" t="s">
        <v>2320</v>
      </c>
      <c r="B555" s="461" t="s">
        <v>1207</v>
      </c>
      <c r="C555" s="468" t="s">
        <v>1206</v>
      </c>
      <c r="D555" s="468" t="s">
        <v>1208</v>
      </c>
      <c r="E555" s="468" t="s">
        <v>4921</v>
      </c>
      <c r="F555" s="461" t="s">
        <v>4922</v>
      </c>
      <c r="G555" s="461" t="s">
        <v>4923</v>
      </c>
      <c r="H555" s="461" t="s">
        <v>4924</v>
      </c>
      <c r="I555" s="461" t="s">
        <v>4925</v>
      </c>
      <c r="J555" s="461" t="s">
        <v>4926</v>
      </c>
      <c r="K555" s="461" t="s">
        <v>7397</v>
      </c>
      <c r="L555" s="461" t="s">
        <v>8661</v>
      </c>
      <c r="M555" s="469" t="s">
        <v>8017</v>
      </c>
    </row>
    <row r="556" spans="1:13">
      <c r="A556" s="465" t="s">
        <v>2322</v>
      </c>
      <c r="B556" s="465" t="s">
        <v>1207</v>
      </c>
      <c r="C556" s="466" t="s">
        <v>1206</v>
      </c>
      <c r="D556" s="466" t="s">
        <v>1208</v>
      </c>
      <c r="E556" s="466" t="s">
        <v>4921</v>
      </c>
      <c r="F556" s="465" t="s">
        <v>4922</v>
      </c>
      <c r="G556" s="465" t="s">
        <v>4923</v>
      </c>
      <c r="H556" s="465" t="s">
        <v>4924</v>
      </c>
      <c r="I556" s="465" t="s">
        <v>4925</v>
      </c>
      <c r="J556" s="465" t="s">
        <v>4926</v>
      </c>
      <c r="K556" s="465" t="s">
        <v>7397</v>
      </c>
      <c r="L556" s="465" t="s">
        <v>8661</v>
      </c>
      <c r="M556" s="467" t="s">
        <v>8017</v>
      </c>
    </row>
    <row r="557" spans="1:13">
      <c r="A557" s="472" t="s">
        <v>2319</v>
      </c>
      <c r="B557" s="461" t="s">
        <v>1207</v>
      </c>
      <c r="C557" s="468" t="s">
        <v>1206</v>
      </c>
      <c r="D557" s="468" t="s">
        <v>1208</v>
      </c>
      <c r="E557" s="468" t="s">
        <v>4921</v>
      </c>
      <c r="F557" s="461" t="s">
        <v>4922</v>
      </c>
      <c r="G557" s="461" t="s">
        <v>4923</v>
      </c>
      <c r="H557" s="461" t="s">
        <v>4924</v>
      </c>
      <c r="I557" s="461" t="s">
        <v>4925</v>
      </c>
      <c r="J557" s="461" t="s">
        <v>4926</v>
      </c>
      <c r="K557" s="461" t="s">
        <v>7397</v>
      </c>
      <c r="L557" s="461" t="s">
        <v>8661</v>
      </c>
      <c r="M557" s="469" t="s">
        <v>8017</v>
      </c>
    </row>
    <row r="558" spans="1:13">
      <c r="A558" s="465" t="s">
        <v>2321</v>
      </c>
      <c r="B558" s="465" t="s">
        <v>1207</v>
      </c>
      <c r="C558" s="466" t="s">
        <v>1206</v>
      </c>
      <c r="D558" s="466" t="s">
        <v>1208</v>
      </c>
      <c r="E558" s="466" t="s">
        <v>4921</v>
      </c>
      <c r="F558" s="465" t="s">
        <v>4922</v>
      </c>
      <c r="G558" s="465" t="s">
        <v>4923</v>
      </c>
      <c r="H558" s="465" t="s">
        <v>4924</v>
      </c>
      <c r="I558" s="465" t="s">
        <v>4925</v>
      </c>
      <c r="J558" s="465" t="s">
        <v>4926</v>
      </c>
      <c r="K558" s="465" t="s">
        <v>7397</v>
      </c>
      <c r="L558" s="465" t="s">
        <v>8661</v>
      </c>
      <c r="M558" s="467" t="s">
        <v>8017</v>
      </c>
    </row>
    <row r="559" spans="1:13">
      <c r="A559" s="461" t="s">
        <v>1432</v>
      </c>
      <c r="B559" s="461" t="s">
        <v>1397</v>
      </c>
      <c r="C559" s="468" t="s">
        <v>1396</v>
      </c>
      <c r="D559" s="468" t="s">
        <v>1398</v>
      </c>
      <c r="E559" s="468" t="s">
        <v>5086</v>
      </c>
      <c r="F559" s="461" t="s">
        <v>5118</v>
      </c>
      <c r="G559" s="461" t="s">
        <v>5088</v>
      </c>
      <c r="H559" s="461" t="s">
        <v>5089</v>
      </c>
      <c r="I559" s="461" t="s">
        <v>5090</v>
      </c>
      <c r="J559" s="461" t="s">
        <v>5091</v>
      </c>
      <c r="K559" s="461" t="s">
        <v>7420</v>
      </c>
      <c r="L559" s="461" t="s">
        <v>8683</v>
      </c>
      <c r="M559" s="469" t="s">
        <v>8044</v>
      </c>
    </row>
    <row r="560" spans="1:13">
      <c r="A560" s="465" t="s">
        <v>2470</v>
      </c>
      <c r="B560" s="465" t="s">
        <v>1397</v>
      </c>
      <c r="C560" s="466" t="s">
        <v>1396</v>
      </c>
      <c r="D560" s="466" t="s">
        <v>1398</v>
      </c>
      <c r="E560" s="466" t="s">
        <v>5086</v>
      </c>
      <c r="F560" s="465" t="s">
        <v>5087</v>
      </c>
      <c r="G560" s="465" t="s">
        <v>5088</v>
      </c>
      <c r="H560" s="465" t="s">
        <v>5089</v>
      </c>
      <c r="I560" s="465" t="s">
        <v>5090</v>
      </c>
      <c r="J560" s="465" t="s">
        <v>5091</v>
      </c>
      <c r="K560" s="465" t="s">
        <v>7420</v>
      </c>
      <c r="L560" s="465" t="s">
        <v>8683</v>
      </c>
      <c r="M560" s="467" t="s">
        <v>8044</v>
      </c>
    </row>
    <row r="561" spans="1:13">
      <c r="A561" s="473" t="s">
        <v>12042</v>
      </c>
      <c r="B561" s="473" t="s">
        <v>1035</v>
      </c>
      <c r="C561" s="473" t="s">
        <v>1034</v>
      </c>
      <c r="D561" s="473" t="s">
        <v>12130</v>
      </c>
      <c r="E561" s="473" t="s">
        <v>4901</v>
      </c>
      <c r="F561" s="473" t="s">
        <v>4792</v>
      </c>
      <c r="G561" s="473" t="s">
        <v>11450</v>
      </c>
      <c r="H561" s="473" t="s">
        <v>4794</v>
      </c>
      <c r="I561" s="473" t="s">
        <v>4795</v>
      </c>
      <c r="J561" s="473" t="s">
        <v>4796</v>
      </c>
      <c r="K561" s="473" t="s">
        <v>7379</v>
      </c>
      <c r="L561" s="473" t="s">
        <v>8642</v>
      </c>
      <c r="M561" s="474" t="s">
        <v>7997</v>
      </c>
    </row>
    <row r="562" spans="1:13">
      <c r="A562" s="465" t="s">
        <v>1484</v>
      </c>
      <c r="B562" s="465" t="s">
        <v>1486</v>
      </c>
      <c r="C562" s="466" t="s">
        <v>1485</v>
      </c>
      <c r="D562" s="466" t="s">
        <v>1487</v>
      </c>
      <c r="E562" s="466" t="s">
        <v>5181</v>
      </c>
      <c r="F562" s="465" t="s">
        <v>5182</v>
      </c>
      <c r="G562" s="465" t="s">
        <v>5183</v>
      </c>
      <c r="H562" s="465" t="s">
        <v>5184</v>
      </c>
      <c r="I562" s="465" t="s">
        <v>5185</v>
      </c>
      <c r="J562" s="465" t="s">
        <v>5186</v>
      </c>
      <c r="K562" s="465" t="s">
        <v>7433</v>
      </c>
      <c r="L562" s="465" t="s">
        <v>8694</v>
      </c>
      <c r="M562" s="467" t="s">
        <v>8056</v>
      </c>
    </row>
    <row r="563" spans="1:13">
      <c r="A563" s="461" t="s">
        <v>2283</v>
      </c>
      <c r="B563" s="461" t="s">
        <v>2537</v>
      </c>
      <c r="C563" s="468" t="s">
        <v>2644</v>
      </c>
      <c r="D563" s="468" t="s">
        <v>2698</v>
      </c>
      <c r="E563" s="468" t="s">
        <v>4887</v>
      </c>
      <c r="F563" s="461" t="s">
        <v>4888</v>
      </c>
      <c r="G563" s="461" t="s">
        <v>4889</v>
      </c>
      <c r="H563" s="461" t="s">
        <v>4890</v>
      </c>
      <c r="I563" s="461" t="s">
        <v>4891</v>
      </c>
      <c r="J563" s="461" t="s">
        <v>4892</v>
      </c>
      <c r="K563" s="461" t="s">
        <v>7392</v>
      </c>
      <c r="L563" s="461" t="s">
        <v>8654</v>
      </c>
      <c r="M563" s="469" t="s">
        <v>8011</v>
      </c>
    </row>
    <row r="564" spans="1:13">
      <c r="A564" s="465" t="s">
        <v>2339</v>
      </c>
      <c r="B564" s="465" t="s">
        <v>1089</v>
      </c>
      <c r="C564" s="466" t="s">
        <v>1088</v>
      </c>
      <c r="D564" s="466" t="s">
        <v>1090</v>
      </c>
      <c r="E564" s="466" t="s">
        <v>4831</v>
      </c>
      <c r="F564" s="465" t="s">
        <v>4832</v>
      </c>
      <c r="G564" s="465" t="s">
        <v>4833</v>
      </c>
      <c r="H564" s="465" t="s">
        <v>4834</v>
      </c>
      <c r="I564" s="465" t="s">
        <v>4835</v>
      </c>
      <c r="J564" s="465" t="s">
        <v>4836</v>
      </c>
      <c r="K564" s="465" t="s">
        <v>7384</v>
      </c>
      <c r="L564" s="465" t="s">
        <v>8647</v>
      </c>
      <c r="M564" s="467" t="s">
        <v>8003</v>
      </c>
    </row>
    <row r="565" spans="1:13">
      <c r="A565" s="461" t="s">
        <v>2487</v>
      </c>
      <c r="B565" s="461" t="s">
        <v>1089</v>
      </c>
      <c r="C565" s="468" t="s">
        <v>1088</v>
      </c>
      <c r="D565" s="468" t="s">
        <v>1090</v>
      </c>
      <c r="E565" s="468" t="s">
        <v>4831</v>
      </c>
      <c r="F565" s="461" t="s">
        <v>4832</v>
      </c>
      <c r="G565" s="461" t="s">
        <v>4833</v>
      </c>
      <c r="H565" s="461" t="s">
        <v>4834</v>
      </c>
      <c r="I565" s="461" t="s">
        <v>4835</v>
      </c>
      <c r="J565" s="461" t="s">
        <v>4836</v>
      </c>
      <c r="K565" s="461" t="s">
        <v>7384</v>
      </c>
      <c r="L565" s="461" t="s">
        <v>8647</v>
      </c>
      <c r="M565" s="469" t="s">
        <v>8003</v>
      </c>
    </row>
    <row r="566" spans="1:13">
      <c r="A566" s="465" t="s">
        <v>2341</v>
      </c>
      <c r="B566" s="465" t="s">
        <v>1089</v>
      </c>
      <c r="C566" s="466" t="s">
        <v>1088</v>
      </c>
      <c r="D566" s="466" t="s">
        <v>1090</v>
      </c>
      <c r="E566" s="466" t="s">
        <v>4831</v>
      </c>
      <c r="F566" s="465" t="s">
        <v>4832</v>
      </c>
      <c r="G566" s="465" t="s">
        <v>4833</v>
      </c>
      <c r="H566" s="465" t="s">
        <v>4834</v>
      </c>
      <c r="I566" s="465" t="s">
        <v>4835</v>
      </c>
      <c r="J566" s="465" t="s">
        <v>4836</v>
      </c>
      <c r="K566" s="470" t="s">
        <v>7384</v>
      </c>
      <c r="L566" s="465" t="s">
        <v>8647</v>
      </c>
      <c r="M566" s="467" t="s">
        <v>8003</v>
      </c>
    </row>
    <row r="567" spans="1:13">
      <c r="A567" s="461" t="s">
        <v>2488</v>
      </c>
      <c r="B567" s="461" t="s">
        <v>1089</v>
      </c>
      <c r="C567" s="468" t="s">
        <v>1088</v>
      </c>
      <c r="D567" s="468" t="s">
        <v>1090</v>
      </c>
      <c r="E567" s="468" t="s">
        <v>4831</v>
      </c>
      <c r="F567" s="461" t="s">
        <v>4832</v>
      </c>
      <c r="G567" s="461" t="s">
        <v>4833</v>
      </c>
      <c r="H567" s="461" t="s">
        <v>4834</v>
      </c>
      <c r="I567" s="461" t="s">
        <v>4835</v>
      </c>
      <c r="J567" s="461" t="s">
        <v>4836</v>
      </c>
      <c r="K567" s="461" t="s">
        <v>7384</v>
      </c>
      <c r="L567" s="461" t="s">
        <v>8647</v>
      </c>
      <c r="M567" s="469" t="s">
        <v>8003</v>
      </c>
    </row>
    <row r="568" spans="1:13">
      <c r="A568" s="465" t="s">
        <v>1512</v>
      </c>
      <c r="B568" s="465" t="s">
        <v>1089</v>
      </c>
      <c r="C568" s="466" t="s">
        <v>1088</v>
      </c>
      <c r="D568" s="466" t="s">
        <v>1090</v>
      </c>
      <c r="E568" s="466" t="s">
        <v>4831</v>
      </c>
      <c r="F568" s="465" t="s">
        <v>4832</v>
      </c>
      <c r="G568" s="465" t="s">
        <v>4833</v>
      </c>
      <c r="H568" s="465" t="s">
        <v>4834</v>
      </c>
      <c r="I568" s="465" t="s">
        <v>4835</v>
      </c>
      <c r="J568" s="465" t="s">
        <v>4836</v>
      </c>
      <c r="K568" s="465" t="s">
        <v>7384</v>
      </c>
      <c r="L568" s="465" t="s">
        <v>8647</v>
      </c>
      <c r="M568" s="467" t="s">
        <v>8003</v>
      </c>
    </row>
    <row r="569" spans="1:13">
      <c r="A569" s="461" t="s">
        <v>2489</v>
      </c>
      <c r="B569" s="461" t="s">
        <v>1089</v>
      </c>
      <c r="C569" s="468" t="s">
        <v>1088</v>
      </c>
      <c r="D569" s="468" t="s">
        <v>1090</v>
      </c>
      <c r="E569" s="468" t="s">
        <v>4831</v>
      </c>
      <c r="F569" s="461" t="s">
        <v>4832</v>
      </c>
      <c r="G569" s="461" t="s">
        <v>4833</v>
      </c>
      <c r="H569" s="461" t="s">
        <v>4834</v>
      </c>
      <c r="I569" s="461" t="s">
        <v>4835</v>
      </c>
      <c r="J569" s="461" t="s">
        <v>4836</v>
      </c>
      <c r="K569" s="461" t="s">
        <v>7384</v>
      </c>
      <c r="L569" s="461" t="s">
        <v>8647</v>
      </c>
      <c r="M569" s="469" t="s">
        <v>8003</v>
      </c>
    </row>
    <row r="570" spans="1:13">
      <c r="A570" s="465" t="s">
        <v>1519</v>
      </c>
      <c r="B570" s="465" t="s">
        <v>1518</v>
      </c>
      <c r="C570" s="466" t="s">
        <v>757</v>
      </c>
      <c r="D570" s="466" t="s">
        <v>1180</v>
      </c>
      <c r="E570" s="466" t="s">
        <v>4391</v>
      </c>
      <c r="F570" s="465" t="s">
        <v>4392</v>
      </c>
      <c r="G570" s="465" t="s">
        <v>4927</v>
      </c>
      <c r="H570" s="465" t="s">
        <v>4394</v>
      </c>
      <c r="I570" s="465" t="s">
        <v>4395</v>
      </c>
      <c r="J570" s="465" t="s">
        <v>4396</v>
      </c>
      <c r="K570" s="465" t="s">
        <v>7363</v>
      </c>
      <c r="L570" s="465" t="s">
        <v>8579</v>
      </c>
      <c r="M570" s="467" t="s">
        <v>7933</v>
      </c>
    </row>
    <row r="571" spans="1:13">
      <c r="A571" s="461" t="s">
        <v>1189</v>
      </c>
      <c r="B571" s="461" t="s">
        <v>1192</v>
      </c>
      <c r="C571" s="468" t="s">
        <v>1191</v>
      </c>
      <c r="D571" s="468" t="s">
        <v>1193</v>
      </c>
      <c r="E571" s="468" t="s">
        <v>4934</v>
      </c>
      <c r="F571" s="461" t="s">
        <v>4935</v>
      </c>
      <c r="G571" s="461" t="s">
        <v>4936</v>
      </c>
      <c r="H571" s="461" t="s">
        <v>4937</v>
      </c>
      <c r="I571" s="461" t="s">
        <v>4938</v>
      </c>
      <c r="J571" s="461" t="s">
        <v>4939</v>
      </c>
      <c r="K571" s="461" t="s">
        <v>7399</v>
      </c>
      <c r="L571" s="461" t="s">
        <v>8663</v>
      </c>
      <c r="M571" s="469" t="s">
        <v>8019</v>
      </c>
    </row>
    <row r="572" spans="1:13">
      <c r="A572" s="465" t="s">
        <v>1182</v>
      </c>
      <c r="B572" s="465" t="s">
        <v>1185</v>
      </c>
      <c r="C572" s="466" t="s">
        <v>1184</v>
      </c>
      <c r="D572" s="466" t="s">
        <v>1186</v>
      </c>
      <c r="E572" s="466" t="s">
        <v>4928</v>
      </c>
      <c r="F572" s="465" t="s">
        <v>4929</v>
      </c>
      <c r="G572" s="465" t="s">
        <v>4930</v>
      </c>
      <c r="H572" s="465" t="s">
        <v>4931</v>
      </c>
      <c r="I572" s="465" t="s">
        <v>4932</v>
      </c>
      <c r="J572" s="465" t="s">
        <v>4933</v>
      </c>
      <c r="K572" s="465" t="s">
        <v>7398</v>
      </c>
      <c r="L572" s="465" t="s">
        <v>8662</v>
      </c>
      <c r="M572" s="467" t="s">
        <v>8018</v>
      </c>
    </row>
    <row r="573" spans="1:13">
      <c r="A573" s="461" t="s">
        <v>1181</v>
      </c>
      <c r="B573" s="461" t="s">
        <v>758</v>
      </c>
      <c r="C573" s="468" t="s">
        <v>757</v>
      </c>
      <c r="D573" s="468" t="s">
        <v>1180</v>
      </c>
      <c r="E573" s="468" t="s">
        <v>4391</v>
      </c>
      <c r="F573" s="461" t="s">
        <v>4392</v>
      </c>
      <c r="G573" s="461" t="s">
        <v>4927</v>
      </c>
      <c r="H573" s="461" t="s">
        <v>4394</v>
      </c>
      <c r="I573" s="461" t="s">
        <v>4395</v>
      </c>
      <c r="J573" s="461" t="s">
        <v>4396</v>
      </c>
      <c r="K573" s="461" t="s">
        <v>7363</v>
      </c>
      <c r="L573" s="461" t="s">
        <v>8579</v>
      </c>
      <c r="M573" s="469" t="s">
        <v>7933</v>
      </c>
    </row>
    <row r="574" spans="1:13">
      <c r="A574" s="475" t="s">
        <v>2089</v>
      </c>
      <c r="B574" s="475" t="s">
        <v>10604</v>
      </c>
      <c r="C574" s="475" t="s">
        <v>10608</v>
      </c>
      <c r="D574" s="475" t="s">
        <v>10610</v>
      </c>
      <c r="E574" s="475" t="s">
        <v>10612</v>
      </c>
      <c r="F574" s="475" t="s">
        <v>10614</v>
      </c>
      <c r="G574" s="475" t="s">
        <v>10616</v>
      </c>
      <c r="H574" s="475" t="s">
        <v>10606</v>
      </c>
      <c r="I574" s="475" t="s">
        <v>10618</v>
      </c>
      <c r="J574" s="475" t="s">
        <v>10620</v>
      </c>
      <c r="K574" s="475" t="s">
        <v>10622</v>
      </c>
      <c r="L574" s="475" t="s">
        <v>10624</v>
      </c>
      <c r="M574" s="476" t="s">
        <v>10626</v>
      </c>
    </row>
    <row r="575" spans="1:13">
      <c r="A575" s="461" t="s">
        <v>1187</v>
      </c>
      <c r="B575" s="461" t="s">
        <v>758</v>
      </c>
      <c r="C575" s="468" t="s">
        <v>757</v>
      </c>
      <c r="D575" s="468" t="s">
        <v>1180</v>
      </c>
      <c r="E575" s="468" t="s">
        <v>4391</v>
      </c>
      <c r="F575" s="461" t="s">
        <v>4392</v>
      </c>
      <c r="G575" s="461" t="s">
        <v>4927</v>
      </c>
      <c r="H575" s="461" t="s">
        <v>4394</v>
      </c>
      <c r="I575" s="461" t="s">
        <v>4395</v>
      </c>
      <c r="J575" s="461" t="s">
        <v>4396</v>
      </c>
      <c r="K575" s="461" t="s">
        <v>7363</v>
      </c>
      <c r="L575" s="461" t="s">
        <v>8579</v>
      </c>
      <c r="M575" s="469" t="s">
        <v>7933</v>
      </c>
    </row>
    <row r="576" spans="1:13">
      <c r="A576" s="475" t="s">
        <v>2090</v>
      </c>
      <c r="B576" s="475" t="s">
        <v>10604</v>
      </c>
      <c r="C576" s="475" t="s">
        <v>10608</v>
      </c>
      <c r="D576" s="475" t="s">
        <v>10610</v>
      </c>
      <c r="E576" s="475" t="s">
        <v>10612</v>
      </c>
      <c r="F576" s="475" t="s">
        <v>10614</v>
      </c>
      <c r="G576" s="475" t="s">
        <v>10616</v>
      </c>
      <c r="H576" s="475" t="s">
        <v>10606</v>
      </c>
      <c r="I576" s="475" t="s">
        <v>10618</v>
      </c>
      <c r="J576" s="475" t="s">
        <v>10620</v>
      </c>
      <c r="K576" s="475" t="s">
        <v>10622</v>
      </c>
      <c r="L576" s="475" t="s">
        <v>10624</v>
      </c>
      <c r="M576" s="476" t="s">
        <v>10626</v>
      </c>
    </row>
    <row r="577" spans="1:13">
      <c r="A577" s="461" t="s">
        <v>1194</v>
      </c>
      <c r="B577" s="461" t="s">
        <v>1196</v>
      </c>
      <c r="C577" s="468" t="s">
        <v>1195</v>
      </c>
      <c r="D577" s="468" t="s">
        <v>1197</v>
      </c>
      <c r="E577" s="468" t="s">
        <v>4940</v>
      </c>
      <c r="F577" s="461" t="s">
        <v>4941</v>
      </c>
      <c r="G577" s="461" t="s">
        <v>4942</v>
      </c>
      <c r="H577" s="461" t="s">
        <v>4943</v>
      </c>
      <c r="I577" s="461" t="s">
        <v>4944</v>
      </c>
      <c r="J577" s="461" t="s">
        <v>4945</v>
      </c>
      <c r="K577" s="461" t="s">
        <v>7400</v>
      </c>
      <c r="L577" s="461" t="s">
        <v>8664</v>
      </c>
      <c r="M577" s="469" t="s">
        <v>8020</v>
      </c>
    </row>
    <row r="578" spans="1:13">
      <c r="A578" s="465" t="s">
        <v>1198</v>
      </c>
      <c r="B578" s="465" t="s">
        <v>748</v>
      </c>
      <c r="C578" s="466" t="s">
        <v>747</v>
      </c>
      <c r="D578" s="466" t="s">
        <v>939</v>
      </c>
      <c r="E578" s="466" t="s">
        <v>4362</v>
      </c>
      <c r="F578" s="465" t="s">
        <v>4363</v>
      </c>
      <c r="G578" s="465" t="s">
        <v>4804</v>
      </c>
      <c r="H578" s="465" t="s">
        <v>4365</v>
      </c>
      <c r="I578" s="465" t="s">
        <v>4366</v>
      </c>
      <c r="J578" s="465" t="s">
        <v>4367</v>
      </c>
      <c r="K578" s="465" t="s">
        <v>7358</v>
      </c>
      <c r="L578" s="465" t="s">
        <v>8574</v>
      </c>
      <c r="M578" s="467" t="s">
        <v>7928</v>
      </c>
    </row>
    <row r="579" spans="1:13">
      <c r="A579" s="473" t="s">
        <v>2091</v>
      </c>
      <c r="B579" s="473" t="s">
        <v>10604</v>
      </c>
      <c r="C579" s="473" t="s">
        <v>10608</v>
      </c>
      <c r="D579" s="473" t="s">
        <v>10610</v>
      </c>
      <c r="E579" s="473" t="s">
        <v>10612</v>
      </c>
      <c r="F579" s="473" t="s">
        <v>10614</v>
      </c>
      <c r="G579" s="473" t="s">
        <v>10616</v>
      </c>
      <c r="H579" s="473" t="s">
        <v>10606</v>
      </c>
      <c r="I579" s="473" t="s">
        <v>10618</v>
      </c>
      <c r="J579" s="473" t="s">
        <v>10620</v>
      </c>
      <c r="K579" s="473" t="s">
        <v>10622</v>
      </c>
      <c r="L579" s="473" t="s">
        <v>10624</v>
      </c>
      <c r="M579" s="474" t="s">
        <v>10626</v>
      </c>
    </row>
    <row r="580" spans="1:13">
      <c r="A580" s="475" t="s">
        <v>12021</v>
      </c>
      <c r="B580" s="475" t="s">
        <v>1207</v>
      </c>
      <c r="C580" s="475" t="s">
        <v>1206</v>
      </c>
      <c r="D580" s="475" t="s">
        <v>12243</v>
      </c>
      <c r="E580" s="475" t="s">
        <v>4921</v>
      </c>
      <c r="F580" s="475" t="s">
        <v>4922</v>
      </c>
      <c r="G580" s="475" t="s">
        <v>11967</v>
      </c>
      <c r="H580" s="475" t="s">
        <v>4924</v>
      </c>
      <c r="I580" s="475" t="s">
        <v>12244</v>
      </c>
      <c r="J580" s="475" t="s">
        <v>4926</v>
      </c>
      <c r="K580" s="475" t="s">
        <v>7397</v>
      </c>
      <c r="L580" s="475" t="s">
        <v>8661</v>
      </c>
      <c r="M580" s="476" t="s">
        <v>8017</v>
      </c>
    </row>
    <row r="581" spans="1:13">
      <c r="A581" s="461" t="s">
        <v>1054</v>
      </c>
      <c r="B581" s="461" t="s">
        <v>952</v>
      </c>
      <c r="C581" s="468" t="s">
        <v>938</v>
      </c>
      <c r="D581" s="468" t="s">
        <v>953</v>
      </c>
      <c r="E581" s="468" t="s">
        <v>4727</v>
      </c>
      <c r="F581" s="461" t="s">
        <v>4728</v>
      </c>
      <c r="G581" s="461" t="s">
        <v>4729</v>
      </c>
      <c r="H581" s="461" t="s">
        <v>4730</v>
      </c>
      <c r="I581" s="461" t="s">
        <v>4731</v>
      </c>
      <c r="J581" s="461" t="s">
        <v>4805</v>
      </c>
      <c r="K581" s="461" t="s">
        <v>7370</v>
      </c>
      <c r="L581" s="461" t="s">
        <v>8633</v>
      </c>
      <c r="M581" s="469" t="s">
        <v>7988</v>
      </c>
    </row>
    <row r="582" spans="1:13">
      <c r="A582" s="465" t="s">
        <v>1055</v>
      </c>
      <c r="B582" s="465" t="s">
        <v>952</v>
      </c>
      <c r="C582" s="466" t="s">
        <v>938</v>
      </c>
      <c r="D582" s="466" t="s">
        <v>953</v>
      </c>
      <c r="E582" s="466" t="s">
        <v>4727</v>
      </c>
      <c r="F582" s="465" t="s">
        <v>4728</v>
      </c>
      <c r="G582" s="465" t="s">
        <v>4729</v>
      </c>
      <c r="H582" s="465" t="s">
        <v>4730</v>
      </c>
      <c r="I582" s="465" t="s">
        <v>4731</v>
      </c>
      <c r="J582" s="465" t="s">
        <v>4805</v>
      </c>
      <c r="K582" s="465" t="s">
        <v>7370</v>
      </c>
      <c r="L582" s="465" t="s">
        <v>8633</v>
      </c>
      <c r="M582" s="467" t="s">
        <v>7988</v>
      </c>
    </row>
    <row r="583" spans="1:13">
      <c r="A583" s="461" t="s">
        <v>1057</v>
      </c>
      <c r="B583" s="461" t="s">
        <v>952</v>
      </c>
      <c r="C583" s="468" t="s">
        <v>938</v>
      </c>
      <c r="D583" s="468" t="s">
        <v>953</v>
      </c>
      <c r="E583" s="468" t="s">
        <v>4727</v>
      </c>
      <c r="F583" s="461" t="s">
        <v>4728</v>
      </c>
      <c r="G583" s="461" t="s">
        <v>4729</v>
      </c>
      <c r="H583" s="461" t="s">
        <v>4730</v>
      </c>
      <c r="I583" s="461" t="s">
        <v>4731</v>
      </c>
      <c r="J583" s="461" t="s">
        <v>4805</v>
      </c>
      <c r="K583" s="461" t="s">
        <v>7370</v>
      </c>
      <c r="L583" s="461" t="s">
        <v>8633</v>
      </c>
      <c r="M583" s="469" t="s">
        <v>7988</v>
      </c>
    </row>
    <row r="584" spans="1:13">
      <c r="A584" s="475" t="s">
        <v>2083</v>
      </c>
      <c r="B584" s="475" t="s">
        <v>10604</v>
      </c>
      <c r="C584" s="475" t="s">
        <v>10608</v>
      </c>
      <c r="D584" s="475" t="s">
        <v>10610</v>
      </c>
      <c r="E584" s="475" t="s">
        <v>10612</v>
      </c>
      <c r="F584" s="475" t="s">
        <v>10614</v>
      </c>
      <c r="G584" s="475" t="s">
        <v>10616</v>
      </c>
      <c r="H584" s="475" t="s">
        <v>10606</v>
      </c>
      <c r="I584" s="475" t="s">
        <v>10618</v>
      </c>
      <c r="J584" s="475" t="s">
        <v>10620</v>
      </c>
      <c r="K584" s="475" t="s">
        <v>10622</v>
      </c>
      <c r="L584" s="475" t="s">
        <v>10624</v>
      </c>
      <c r="M584" s="476" t="s">
        <v>10626</v>
      </c>
    </row>
    <row r="585" spans="1:13">
      <c r="A585" s="461" t="s">
        <v>954</v>
      </c>
      <c r="B585" s="461" t="s">
        <v>956</v>
      </c>
      <c r="C585" s="468" t="s">
        <v>955</v>
      </c>
      <c r="D585" s="468" t="s">
        <v>957</v>
      </c>
      <c r="E585" s="468" t="s">
        <v>4739</v>
      </c>
      <c r="F585" s="461" t="s">
        <v>4740</v>
      </c>
      <c r="G585" s="461" t="s">
        <v>4741</v>
      </c>
      <c r="H585" s="461" t="s">
        <v>4739</v>
      </c>
      <c r="I585" s="461" t="s">
        <v>4742</v>
      </c>
      <c r="J585" s="461" t="s">
        <v>4743</v>
      </c>
      <c r="K585" s="471" t="s">
        <v>7372</v>
      </c>
      <c r="L585" s="461" t="s">
        <v>8635</v>
      </c>
      <c r="M585" s="469" t="s">
        <v>7990</v>
      </c>
    </row>
    <row r="586" spans="1:13">
      <c r="A586" s="465" t="s">
        <v>958</v>
      </c>
      <c r="B586" s="465" t="s">
        <v>956</v>
      </c>
      <c r="C586" s="466" t="s">
        <v>955</v>
      </c>
      <c r="D586" s="466" t="s">
        <v>957</v>
      </c>
      <c r="E586" s="466" t="s">
        <v>4739</v>
      </c>
      <c r="F586" s="465" t="s">
        <v>4740</v>
      </c>
      <c r="G586" s="465" t="s">
        <v>4741</v>
      </c>
      <c r="H586" s="465" t="s">
        <v>4739</v>
      </c>
      <c r="I586" s="465" t="s">
        <v>4742</v>
      </c>
      <c r="J586" s="465" t="s">
        <v>4743</v>
      </c>
      <c r="K586" s="470" t="s">
        <v>7372</v>
      </c>
      <c r="L586" s="465" t="s">
        <v>8635</v>
      </c>
      <c r="M586" s="467" t="s">
        <v>7990</v>
      </c>
    </row>
    <row r="587" spans="1:13">
      <c r="A587" s="461" t="s">
        <v>1203</v>
      </c>
      <c r="B587" s="461" t="s">
        <v>1089</v>
      </c>
      <c r="C587" s="468" t="s">
        <v>1088</v>
      </c>
      <c r="D587" s="468" t="s">
        <v>1090</v>
      </c>
      <c r="E587" s="468" t="s">
        <v>4831</v>
      </c>
      <c r="F587" s="461" t="s">
        <v>4832</v>
      </c>
      <c r="G587" s="461" t="s">
        <v>4833</v>
      </c>
      <c r="H587" s="461" t="s">
        <v>4834</v>
      </c>
      <c r="I587" s="461" t="s">
        <v>4835</v>
      </c>
      <c r="J587" s="461" t="s">
        <v>4836</v>
      </c>
      <c r="K587" s="461" t="s">
        <v>7384</v>
      </c>
      <c r="L587" s="461" t="s">
        <v>8647</v>
      </c>
      <c r="M587" s="469" t="s">
        <v>8021</v>
      </c>
    </row>
    <row r="588" spans="1:13">
      <c r="A588" s="465" t="s">
        <v>2436</v>
      </c>
      <c r="B588" s="465" t="s">
        <v>1089</v>
      </c>
      <c r="C588" s="466" t="s">
        <v>1088</v>
      </c>
      <c r="D588" s="466" t="s">
        <v>1090</v>
      </c>
      <c r="E588" s="466" t="s">
        <v>4831</v>
      </c>
      <c r="F588" s="465" t="s">
        <v>4832</v>
      </c>
      <c r="G588" s="465" t="s">
        <v>4833</v>
      </c>
      <c r="H588" s="465" t="s">
        <v>4834</v>
      </c>
      <c r="I588" s="465" t="s">
        <v>4835</v>
      </c>
      <c r="J588" s="465" t="s">
        <v>4954</v>
      </c>
      <c r="K588" s="465" t="s">
        <v>7384</v>
      </c>
      <c r="L588" s="465" t="s">
        <v>8647</v>
      </c>
      <c r="M588" s="467" t="s">
        <v>8021</v>
      </c>
    </row>
    <row r="589" spans="1:13">
      <c r="A589" s="461" t="s">
        <v>1523</v>
      </c>
      <c r="B589" s="461" t="s">
        <v>1521</v>
      </c>
      <c r="C589" s="468" t="s">
        <v>1520</v>
      </c>
      <c r="D589" s="468" t="s">
        <v>1522</v>
      </c>
      <c r="E589" s="468" t="s">
        <v>5190</v>
      </c>
      <c r="F589" s="461" t="s">
        <v>5191</v>
      </c>
      <c r="G589" s="461" t="s">
        <v>5192</v>
      </c>
      <c r="H589" s="461" t="s">
        <v>5193</v>
      </c>
      <c r="I589" s="461" t="s">
        <v>5194</v>
      </c>
      <c r="J589" s="461" t="s">
        <v>5195</v>
      </c>
      <c r="K589" s="461" t="s">
        <v>7434</v>
      </c>
      <c r="L589" s="461" t="s">
        <v>8695</v>
      </c>
      <c r="M589" s="469" t="s">
        <v>8057</v>
      </c>
    </row>
    <row r="590" spans="1:13">
      <c r="A590" s="465" t="s">
        <v>1215</v>
      </c>
      <c r="B590" s="465" t="s">
        <v>1207</v>
      </c>
      <c r="C590" s="466" t="s">
        <v>1206</v>
      </c>
      <c r="D590" s="466" t="s">
        <v>1208</v>
      </c>
      <c r="E590" s="466" t="s">
        <v>4921</v>
      </c>
      <c r="F590" s="465" t="s">
        <v>4922</v>
      </c>
      <c r="G590" s="465" t="s">
        <v>4923</v>
      </c>
      <c r="H590" s="465" t="s">
        <v>4924</v>
      </c>
      <c r="I590" s="465" t="s">
        <v>4925</v>
      </c>
      <c r="J590" s="465" t="s">
        <v>4926</v>
      </c>
      <c r="K590" s="465" t="s">
        <v>7397</v>
      </c>
      <c r="L590" s="465" t="s">
        <v>8661</v>
      </c>
      <c r="M590" s="467" t="s">
        <v>8021</v>
      </c>
    </row>
    <row r="591" spans="1:13">
      <c r="A591" s="461" t="s">
        <v>2440</v>
      </c>
      <c r="B591" s="461" t="s">
        <v>1207</v>
      </c>
      <c r="C591" s="468" t="s">
        <v>1206</v>
      </c>
      <c r="D591" s="468" t="s">
        <v>1208</v>
      </c>
      <c r="E591" s="468" t="s">
        <v>4921</v>
      </c>
      <c r="F591" s="461" t="s">
        <v>4922</v>
      </c>
      <c r="G591" s="461" t="s">
        <v>4923</v>
      </c>
      <c r="H591" s="461" t="s">
        <v>4924</v>
      </c>
      <c r="I591" s="461" t="s">
        <v>4925</v>
      </c>
      <c r="J591" s="461" t="s">
        <v>4926</v>
      </c>
      <c r="K591" s="461" t="s">
        <v>7397</v>
      </c>
      <c r="L591" s="461" t="s">
        <v>8661</v>
      </c>
      <c r="M591" s="469" t="s">
        <v>8021</v>
      </c>
    </row>
    <row r="592" spans="1:13">
      <c r="A592" s="465" t="s">
        <v>1204</v>
      </c>
      <c r="B592" s="465" t="s">
        <v>1207</v>
      </c>
      <c r="C592" s="466" t="s">
        <v>1206</v>
      </c>
      <c r="D592" s="466" t="s">
        <v>1208</v>
      </c>
      <c r="E592" s="466" t="s">
        <v>4921</v>
      </c>
      <c r="F592" s="465" t="s">
        <v>4922</v>
      </c>
      <c r="G592" s="465" t="s">
        <v>4923</v>
      </c>
      <c r="H592" s="465" t="s">
        <v>4924</v>
      </c>
      <c r="I592" s="465" t="s">
        <v>4925</v>
      </c>
      <c r="J592" s="465" t="s">
        <v>4926</v>
      </c>
      <c r="K592" s="465" t="s">
        <v>7397</v>
      </c>
      <c r="L592" s="465" t="s">
        <v>8661</v>
      </c>
      <c r="M592" s="467" t="s">
        <v>8021</v>
      </c>
    </row>
    <row r="593" spans="1:13">
      <c r="A593" s="472" t="s">
        <v>2437</v>
      </c>
      <c r="B593" s="461" t="s">
        <v>1207</v>
      </c>
      <c r="C593" s="468" t="s">
        <v>1206</v>
      </c>
      <c r="D593" s="468" t="s">
        <v>1208</v>
      </c>
      <c r="E593" s="468" t="s">
        <v>4921</v>
      </c>
      <c r="F593" s="461" t="s">
        <v>4922</v>
      </c>
      <c r="G593" s="461" t="s">
        <v>4923</v>
      </c>
      <c r="H593" s="461" t="s">
        <v>4924</v>
      </c>
      <c r="I593" s="461" t="s">
        <v>4925</v>
      </c>
      <c r="J593" s="461" t="s">
        <v>4955</v>
      </c>
      <c r="K593" s="461" t="s">
        <v>7397</v>
      </c>
      <c r="L593" s="461" t="s">
        <v>8661</v>
      </c>
      <c r="M593" s="469" t="s">
        <v>8021</v>
      </c>
    </row>
    <row r="594" spans="1:13">
      <c r="A594" s="465" t="s">
        <v>1226</v>
      </c>
      <c r="B594" s="465" t="s">
        <v>1207</v>
      </c>
      <c r="C594" s="466" t="s">
        <v>1206</v>
      </c>
      <c r="D594" s="466" t="s">
        <v>1208</v>
      </c>
      <c r="E594" s="466" t="s">
        <v>4921</v>
      </c>
      <c r="F594" s="465" t="s">
        <v>4922</v>
      </c>
      <c r="G594" s="465" t="s">
        <v>4923</v>
      </c>
      <c r="H594" s="465" t="s">
        <v>4924</v>
      </c>
      <c r="I594" s="465" t="s">
        <v>4925</v>
      </c>
      <c r="J594" s="465" t="s">
        <v>4926</v>
      </c>
      <c r="K594" s="465" t="s">
        <v>7397</v>
      </c>
      <c r="L594" s="465" t="s">
        <v>8661</v>
      </c>
      <c r="M594" s="467" t="s">
        <v>8017</v>
      </c>
    </row>
    <row r="595" spans="1:13">
      <c r="A595" s="473" t="s">
        <v>2093</v>
      </c>
      <c r="B595" s="473" t="s">
        <v>10604</v>
      </c>
      <c r="C595" s="473" t="s">
        <v>10608</v>
      </c>
      <c r="D595" s="473" t="s">
        <v>10610</v>
      </c>
      <c r="E595" s="473" t="s">
        <v>10612</v>
      </c>
      <c r="F595" s="473" t="s">
        <v>10614</v>
      </c>
      <c r="G595" s="473" t="s">
        <v>10616</v>
      </c>
      <c r="H595" s="473" t="s">
        <v>10606</v>
      </c>
      <c r="I595" s="473" t="s">
        <v>10618</v>
      </c>
      <c r="J595" s="473" t="s">
        <v>10620</v>
      </c>
      <c r="K595" s="473" t="s">
        <v>10622</v>
      </c>
      <c r="L595" s="473" t="s">
        <v>10624</v>
      </c>
      <c r="M595" s="474" t="s">
        <v>10626</v>
      </c>
    </row>
    <row r="596" spans="1:13">
      <c r="A596" s="465" t="s">
        <v>4968</v>
      </c>
      <c r="B596" s="465" t="s">
        <v>1207</v>
      </c>
      <c r="C596" s="466" t="s">
        <v>1206</v>
      </c>
      <c r="D596" s="466" t="s">
        <v>1208</v>
      </c>
      <c r="E596" s="466" t="s">
        <v>4921</v>
      </c>
      <c r="F596" s="465" t="s">
        <v>4922</v>
      </c>
      <c r="G596" s="465" t="s">
        <v>4923</v>
      </c>
      <c r="H596" s="465" t="s">
        <v>4924</v>
      </c>
      <c r="I596" s="465" t="s">
        <v>4925</v>
      </c>
      <c r="J596" s="465" t="s">
        <v>4955</v>
      </c>
      <c r="K596" s="465" t="s">
        <v>7397</v>
      </c>
      <c r="L596" s="465" t="s">
        <v>8661</v>
      </c>
      <c r="M596" s="467" t="s">
        <v>8017</v>
      </c>
    </row>
    <row r="597" spans="1:13">
      <c r="A597" s="461" t="s">
        <v>4947</v>
      </c>
      <c r="B597" s="461" t="s">
        <v>744</v>
      </c>
      <c r="C597" s="468" t="s">
        <v>743</v>
      </c>
      <c r="D597" s="468" t="s">
        <v>1012</v>
      </c>
      <c r="E597" s="468" t="s">
        <v>4356</v>
      </c>
      <c r="F597" s="461" t="s">
        <v>4357</v>
      </c>
      <c r="G597" s="461" t="s">
        <v>4789</v>
      </c>
      <c r="H597" s="461" t="s">
        <v>4359</v>
      </c>
      <c r="I597" s="461" t="s">
        <v>4360</v>
      </c>
      <c r="J597" s="461" t="s">
        <v>4869</v>
      </c>
      <c r="K597" s="461" t="s">
        <v>7357</v>
      </c>
      <c r="L597" s="461" t="s">
        <v>8573</v>
      </c>
      <c r="M597" s="469" t="s">
        <v>8021</v>
      </c>
    </row>
    <row r="598" spans="1:13">
      <c r="A598" s="465" t="s">
        <v>4956</v>
      </c>
      <c r="B598" s="465" t="s">
        <v>744</v>
      </c>
      <c r="C598" s="466" t="s">
        <v>743</v>
      </c>
      <c r="D598" s="466" t="s">
        <v>1012</v>
      </c>
      <c r="E598" s="466" t="s">
        <v>4356</v>
      </c>
      <c r="F598" s="465" t="s">
        <v>4357</v>
      </c>
      <c r="G598" s="465" t="s">
        <v>4789</v>
      </c>
      <c r="H598" s="465" t="s">
        <v>4359</v>
      </c>
      <c r="I598" s="465" t="s">
        <v>4360</v>
      </c>
      <c r="J598" s="465" t="s">
        <v>4869</v>
      </c>
      <c r="K598" s="465" t="s">
        <v>7357</v>
      </c>
      <c r="L598" s="465" t="s">
        <v>8573</v>
      </c>
      <c r="M598" s="467" t="s">
        <v>8021</v>
      </c>
    </row>
    <row r="599" spans="1:13">
      <c r="A599" s="461" t="s">
        <v>845</v>
      </c>
      <c r="B599" s="461" t="s">
        <v>847</v>
      </c>
      <c r="C599" s="468" t="s">
        <v>846</v>
      </c>
      <c r="D599" s="468" t="s">
        <v>848</v>
      </c>
      <c r="E599" s="468" t="s">
        <v>4445</v>
      </c>
      <c r="F599" s="461" t="s">
        <v>4446</v>
      </c>
      <c r="G599" s="461" t="s">
        <v>4447</v>
      </c>
      <c r="H599" s="461" t="s">
        <v>4448</v>
      </c>
      <c r="I599" s="461" t="s">
        <v>4449</v>
      </c>
      <c r="J599" s="461" t="s">
        <v>4450</v>
      </c>
      <c r="K599" s="461" t="s">
        <v>12336</v>
      </c>
      <c r="L599" s="461" t="s">
        <v>8588</v>
      </c>
      <c r="M599" s="469" t="s">
        <v>7942</v>
      </c>
    </row>
    <row r="600" spans="1:13">
      <c r="A600" s="465" t="s">
        <v>9468</v>
      </c>
      <c r="B600" s="465" t="s">
        <v>9312</v>
      </c>
      <c r="C600" s="466" t="s">
        <v>72</v>
      </c>
      <c r="D600" s="466" t="s">
        <v>74</v>
      </c>
      <c r="E600" s="466" t="s">
        <v>2886</v>
      </c>
      <c r="F600" s="465" t="s">
        <v>2887</v>
      </c>
      <c r="G600" s="465" t="s">
        <v>2888</v>
      </c>
      <c r="H600" s="465" t="s">
        <v>2889</v>
      </c>
      <c r="I600" s="465" t="s">
        <v>2890</v>
      </c>
      <c r="J600" s="465" t="s">
        <v>2891</v>
      </c>
      <c r="K600" s="465" t="s">
        <v>7140</v>
      </c>
      <c r="L600" s="465" t="s">
        <v>8360</v>
      </c>
      <c r="M600" s="467" t="s">
        <v>7705</v>
      </c>
    </row>
    <row r="601" spans="1:13">
      <c r="A601" s="461" t="s">
        <v>9469</v>
      </c>
      <c r="B601" s="461" t="s">
        <v>9312</v>
      </c>
      <c r="C601" s="468" t="s">
        <v>72</v>
      </c>
      <c r="D601" s="468" t="s">
        <v>74</v>
      </c>
      <c r="E601" s="468" t="s">
        <v>2886</v>
      </c>
      <c r="F601" s="461" t="s">
        <v>2887</v>
      </c>
      <c r="G601" s="461" t="s">
        <v>2888</v>
      </c>
      <c r="H601" s="461" t="s">
        <v>2889</v>
      </c>
      <c r="I601" s="461" t="s">
        <v>2890</v>
      </c>
      <c r="J601" s="461" t="s">
        <v>2891</v>
      </c>
      <c r="K601" s="461" t="s">
        <v>7140</v>
      </c>
      <c r="L601" s="461" t="s">
        <v>8360</v>
      </c>
      <c r="M601" s="469" t="s">
        <v>7705</v>
      </c>
    </row>
    <row r="602" spans="1:13">
      <c r="A602" s="465" t="s">
        <v>2419</v>
      </c>
      <c r="B602" s="465" t="s">
        <v>2420</v>
      </c>
      <c r="C602" s="466" t="s">
        <v>2643</v>
      </c>
      <c r="D602" s="466" t="s">
        <v>2643</v>
      </c>
      <c r="E602" s="466" t="s">
        <v>4577</v>
      </c>
      <c r="F602" s="465" t="s">
        <v>4578</v>
      </c>
      <c r="G602" s="465" t="s">
        <v>4579</v>
      </c>
      <c r="H602" s="465" t="s">
        <v>4580</v>
      </c>
      <c r="I602" s="465" t="s">
        <v>4581</v>
      </c>
      <c r="J602" s="465" t="s">
        <v>4582</v>
      </c>
      <c r="K602" s="470" t="s">
        <v>12337</v>
      </c>
      <c r="L602" s="465" t="s">
        <v>8610</v>
      </c>
      <c r="M602" s="467" t="s">
        <v>7964</v>
      </c>
    </row>
    <row r="603" spans="1:13">
      <c r="A603" s="461" t="s">
        <v>1067</v>
      </c>
      <c r="B603" s="461" t="s">
        <v>952</v>
      </c>
      <c r="C603" s="468" t="s">
        <v>938</v>
      </c>
      <c r="D603" s="468" t="s">
        <v>953</v>
      </c>
      <c r="E603" s="468" t="s">
        <v>4727</v>
      </c>
      <c r="F603" s="461" t="s">
        <v>4728</v>
      </c>
      <c r="G603" s="461" t="s">
        <v>4729</v>
      </c>
      <c r="H603" s="461" t="s">
        <v>4730</v>
      </c>
      <c r="I603" s="461" t="s">
        <v>4731</v>
      </c>
      <c r="J603" s="461" t="s">
        <v>4805</v>
      </c>
      <c r="K603" s="461" t="s">
        <v>7370</v>
      </c>
      <c r="L603" s="461" t="s">
        <v>8633</v>
      </c>
      <c r="M603" s="469" t="s">
        <v>7988</v>
      </c>
    </row>
    <row r="604" spans="1:13">
      <c r="A604" s="475" t="s">
        <v>2084</v>
      </c>
      <c r="B604" s="475" t="s">
        <v>10604</v>
      </c>
      <c r="C604" s="475" t="s">
        <v>10608</v>
      </c>
      <c r="D604" s="475" t="s">
        <v>10610</v>
      </c>
      <c r="E604" s="475" t="s">
        <v>10612</v>
      </c>
      <c r="F604" s="475" t="s">
        <v>10614</v>
      </c>
      <c r="G604" s="475" t="s">
        <v>10616</v>
      </c>
      <c r="H604" s="475" t="s">
        <v>10606</v>
      </c>
      <c r="I604" s="475" t="s">
        <v>10618</v>
      </c>
      <c r="J604" s="475" t="s">
        <v>10620</v>
      </c>
      <c r="K604" s="475" t="s">
        <v>10622</v>
      </c>
      <c r="L604" s="475" t="s">
        <v>10624</v>
      </c>
      <c r="M604" s="476" t="s">
        <v>10626</v>
      </c>
    </row>
    <row r="605" spans="1:13">
      <c r="A605" s="461" t="s">
        <v>1062</v>
      </c>
      <c r="B605" s="461" t="s">
        <v>1065</v>
      </c>
      <c r="C605" s="468" t="s">
        <v>1064</v>
      </c>
      <c r="D605" s="468" t="s">
        <v>1066</v>
      </c>
      <c r="E605" s="468" t="s">
        <v>4810</v>
      </c>
      <c r="F605" s="461" t="s">
        <v>4811</v>
      </c>
      <c r="G605" s="461" t="s">
        <v>4812</v>
      </c>
      <c r="H605" s="461" t="s">
        <v>4813</v>
      </c>
      <c r="I605" s="461" t="s">
        <v>4814</v>
      </c>
      <c r="J605" s="461" t="s">
        <v>4815</v>
      </c>
      <c r="K605" s="461" t="s">
        <v>7381</v>
      </c>
      <c r="L605" s="461" t="s">
        <v>8644</v>
      </c>
      <c r="M605" s="469" t="s">
        <v>7999</v>
      </c>
    </row>
    <row r="606" spans="1:13">
      <c r="A606" s="465" t="s">
        <v>1409</v>
      </c>
      <c r="B606" s="465" t="s">
        <v>952</v>
      </c>
      <c r="C606" s="466" t="s">
        <v>938</v>
      </c>
      <c r="D606" s="466" t="s">
        <v>953</v>
      </c>
      <c r="E606" s="466" t="s">
        <v>4727</v>
      </c>
      <c r="F606" s="465" t="s">
        <v>4728</v>
      </c>
      <c r="G606" s="465" t="s">
        <v>4729</v>
      </c>
      <c r="H606" s="465" t="s">
        <v>4730</v>
      </c>
      <c r="I606" s="465" t="s">
        <v>4731</v>
      </c>
      <c r="J606" s="465" t="s">
        <v>4805</v>
      </c>
      <c r="K606" s="465" t="s">
        <v>7370</v>
      </c>
      <c r="L606" s="465" t="s">
        <v>8633</v>
      </c>
      <c r="M606" s="467" t="s">
        <v>7988</v>
      </c>
    </row>
    <row r="607" spans="1:13">
      <c r="A607" s="461" t="s">
        <v>5108</v>
      </c>
      <c r="B607" s="461" t="s">
        <v>952</v>
      </c>
      <c r="C607" s="468" t="s">
        <v>938</v>
      </c>
      <c r="D607" s="468" t="s">
        <v>953</v>
      </c>
      <c r="E607" s="468" t="s">
        <v>4727</v>
      </c>
      <c r="F607" s="461" t="s">
        <v>4728</v>
      </c>
      <c r="G607" s="461" t="s">
        <v>4729</v>
      </c>
      <c r="H607" s="461" t="s">
        <v>4730</v>
      </c>
      <c r="I607" s="461" t="s">
        <v>4731</v>
      </c>
      <c r="J607" s="461" t="s">
        <v>4805</v>
      </c>
      <c r="K607" s="471" t="s">
        <v>7370</v>
      </c>
      <c r="L607" s="461" t="s">
        <v>12338</v>
      </c>
      <c r="M607" s="469" t="s">
        <v>7988</v>
      </c>
    </row>
    <row r="608" spans="1:13">
      <c r="A608" s="465" t="s">
        <v>1559</v>
      </c>
      <c r="B608" s="465" t="s">
        <v>1561</v>
      </c>
      <c r="C608" s="466" t="s">
        <v>1561</v>
      </c>
      <c r="D608" s="466" t="s">
        <v>1561</v>
      </c>
      <c r="E608" s="466" t="s">
        <v>5288</v>
      </c>
      <c r="F608" s="465" t="s">
        <v>5289</v>
      </c>
      <c r="G608" s="465" t="s">
        <v>1561</v>
      </c>
      <c r="H608" s="465" t="s">
        <v>5290</v>
      </c>
      <c r="I608" s="465" t="s">
        <v>5291</v>
      </c>
      <c r="J608" s="465" t="s">
        <v>5292</v>
      </c>
      <c r="K608" s="465" t="s">
        <v>7453</v>
      </c>
      <c r="L608" s="465" t="s">
        <v>12339</v>
      </c>
      <c r="M608" s="467" t="s">
        <v>8077</v>
      </c>
    </row>
    <row r="609" spans="1:13">
      <c r="A609" s="461" t="s">
        <v>1562</v>
      </c>
      <c r="B609" s="461" t="s">
        <v>1563</v>
      </c>
      <c r="C609" s="468" t="s">
        <v>1563</v>
      </c>
      <c r="D609" s="468" t="s">
        <v>1563</v>
      </c>
      <c r="E609" s="468" t="s">
        <v>5293</v>
      </c>
      <c r="F609" s="461" t="s">
        <v>5294</v>
      </c>
      <c r="G609" s="461" t="s">
        <v>1563</v>
      </c>
      <c r="H609" s="461" t="s">
        <v>5295</v>
      </c>
      <c r="I609" s="461" t="s">
        <v>5296</v>
      </c>
      <c r="J609" s="461" t="s">
        <v>5297</v>
      </c>
      <c r="K609" s="471" t="s">
        <v>7454</v>
      </c>
      <c r="L609" s="461" t="s">
        <v>12340</v>
      </c>
      <c r="M609" s="469" t="s">
        <v>8078</v>
      </c>
    </row>
    <row r="610" spans="1:13">
      <c r="A610" s="465" t="s">
        <v>1149</v>
      </c>
      <c r="B610" s="465" t="s">
        <v>707</v>
      </c>
      <c r="C610" s="466" t="s">
        <v>706</v>
      </c>
      <c r="D610" s="466" t="s">
        <v>708</v>
      </c>
      <c r="E610" s="466" t="s">
        <v>4379</v>
      </c>
      <c r="F610" s="465" t="s">
        <v>4380</v>
      </c>
      <c r="G610" s="465" t="s">
        <v>4760</v>
      </c>
      <c r="H610" s="465" t="s">
        <v>4382</v>
      </c>
      <c r="I610" s="465" t="s">
        <v>4761</v>
      </c>
      <c r="J610" s="465" t="s">
        <v>4384</v>
      </c>
      <c r="K610" s="465" t="s">
        <v>7361</v>
      </c>
      <c r="L610" s="465" t="s">
        <v>8577</v>
      </c>
      <c r="M610" s="467" t="s">
        <v>7931</v>
      </c>
    </row>
    <row r="611" spans="1:13">
      <c r="A611" s="472" t="s">
        <v>1151</v>
      </c>
      <c r="B611" s="461" t="s">
        <v>707</v>
      </c>
      <c r="C611" s="468" t="s">
        <v>706</v>
      </c>
      <c r="D611" s="468" t="s">
        <v>708</v>
      </c>
      <c r="E611" s="468" t="s">
        <v>4379</v>
      </c>
      <c r="F611" s="461" t="s">
        <v>4380</v>
      </c>
      <c r="G611" s="461" t="s">
        <v>4760</v>
      </c>
      <c r="H611" s="461" t="s">
        <v>4382</v>
      </c>
      <c r="I611" s="461" t="s">
        <v>4761</v>
      </c>
      <c r="J611" s="461" t="s">
        <v>4384</v>
      </c>
      <c r="K611" s="461" t="s">
        <v>7361</v>
      </c>
      <c r="L611" s="461" t="s">
        <v>8577</v>
      </c>
      <c r="M611" s="469" t="s">
        <v>7931</v>
      </c>
    </row>
    <row r="612" spans="1:13">
      <c r="A612" s="465" t="s">
        <v>1153</v>
      </c>
      <c r="B612" s="465" t="s">
        <v>707</v>
      </c>
      <c r="C612" s="466" t="s">
        <v>706</v>
      </c>
      <c r="D612" s="466" t="s">
        <v>708</v>
      </c>
      <c r="E612" s="466" t="s">
        <v>4379</v>
      </c>
      <c r="F612" s="465" t="s">
        <v>4380</v>
      </c>
      <c r="G612" s="465" t="s">
        <v>4760</v>
      </c>
      <c r="H612" s="465" t="s">
        <v>4382</v>
      </c>
      <c r="I612" s="465" t="s">
        <v>4761</v>
      </c>
      <c r="J612" s="465" t="s">
        <v>4384</v>
      </c>
      <c r="K612" s="465" t="s">
        <v>7361</v>
      </c>
      <c r="L612" s="465" t="s">
        <v>8577</v>
      </c>
      <c r="M612" s="467" t="s">
        <v>7931</v>
      </c>
    </row>
    <row r="613" spans="1:13">
      <c r="A613" s="461" t="s">
        <v>1309</v>
      </c>
      <c r="B613" s="461" t="s">
        <v>1279</v>
      </c>
      <c r="C613" s="468" t="s">
        <v>1278</v>
      </c>
      <c r="D613" s="468" t="s">
        <v>1280</v>
      </c>
      <c r="E613" s="468" t="s">
        <v>5014</v>
      </c>
      <c r="F613" s="461" t="s">
        <v>5015</v>
      </c>
      <c r="G613" s="461" t="s">
        <v>5016</v>
      </c>
      <c r="H613" s="461" t="s">
        <v>5017</v>
      </c>
      <c r="I613" s="461" t="s">
        <v>5018</v>
      </c>
      <c r="J613" s="461" t="s">
        <v>5019</v>
      </c>
      <c r="K613" s="461" t="s">
        <v>7410</v>
      </c>
      <c r="L613" s="461" t="s">
        <v>8673</v>
      </c>
      <c r="M613" s="469" t="s">
        <v>8031</v>
      </c>
    </row>
    <row r="614" spans="1:13">
      <c r="A614" s="472" t="s">
        <v>1310</v>
      </c>
      <c r="B614" s="465" t="s">
        <v>1275</v>
      </c>
      <c r="C614" s="466" t="s">
        <v>706</v>
      </c>
      <c r="D614" s="466" t="s">
        <v>708</v>
      </c>
      <c r="E614" s="466" t="s">
        <v>4379</v>
      </c>
      <c r="F614" s="465" t="s">
        <v>5007</v>
      </c>
      <c r="G614" s="465" t="s">
        <v>4760</v>
      </c>
      <c r="H614" s="465" t="s">
        <v>4382</v>
      </c>
      <c r="I614" s="465" t="s">
        <v>4761</v>
      </c>
      <c r="J614" s="465" t="s">
        <v>4384</v>
      </c>
      <c r="K614" s="465" t="s">
        <v>7361</v>
      </c>
      <c r="L614" s="465" t="s">
        <v>8577</v>
      </c>
      <c r="M614" s="467" t="s">
        <v>7931</v>
      </c>
    </row>
    <row r="615" spans="1:13">
      <c r="A615" s="461" t="s">
        <v>1308</v>
      </c>
      <c r="B615" s="461" t="s">
        <v>1275</v>
      </c>
      <c r="C615" s="468" t="s">
        <v>706</v>
      </c>
      <c r="D615" s="468" t="s">
        <v>708</v>
      </c>
      <c r="E615" s="468" t="s">
        <v>4379</v>
      </c>
      <c r="F615" s="461" t="s">
        <v>5007</v>
      </c>
      <c r="G615" s="461" t="s">
        <v>4760</v>
      </c>
      <c r="H615" s="461" t="s">
        <v>4382</v>
      </c>
      <c r="I615" s="461" t="s">
        <v>4761</v>
      </c>
      <c r="J615" s="461" t="s">
        <v>4384</v>
      </c>
      <c r="K615" s="461" t="s">
        <v>7361</v>
      </c>
      <c r="L615" s="461" t="s">
        <v>8577</v>
      </c>
      <c r="M615" s="469" t="s">
        <v>7931</v>
      </c>
    </row>
    <row r="616" spans="1:13">
      <c r="A616" s="465" t="s">
        <v>1323</v>
      </c>
      <c r="B616" s="465" t="s">
        <v>1315</v>
      </c>
      <c r="C616" s="466" t="s">
        <v>355</v>
      </c>
      <c r="D616" s="466" t="s">
        <v>357</v>
      </c>
      <c r="E616" s="466" t="s">
        <v>3608</v>
      </c>
      <c r="F616" s="465" t="s">
        <v>3609</v>
      </c>
      <c r="G616" s="465" t="s">
        <v>5036</v>
      </c>
      <c r="H616" s="465" t="s">
        <v>3611</v>
      </c>
      <c r="I616" s="465" t="s">
        <v>3612</v>
      </c>
      <c r="J616" s="465" t="s">
        <v>3613</v>
      </c>
      <c r="K616" s="465" t="s">
        <v>7246</v>
      </c>
      <c r="L616" s="465" t="s">
        <v>8462</v>
      </c>
      <c r="M616" s="467" t="s">
        <v>8034</v>
      </c>
    </row>
    <row r="617" spans="1:13">
      <c r="A617" s="461" t="s">
        <v>1321</v>
      </c>
      <c r="B617" s="461" t="s">
        <v>1315</v>
      </c>
      <c r="C617" s="468" t="s">
        <v>355</v>
      </c>
      <c r="D617" s="468" t="s">
        <v>357</v>
      </c>
      <c r="E617" s="468" t="s">
        <v>3608</v>
      </c>
      <c r="F617" s="461" t="s">
        <v>3609</v>
      </c>
      <c r="G617" s="461" t="s">
        <v>5036</v>
      </c>
      <c r="H617" s="461" t="s">
        <v>3611</v>
      </c>
      <c r="I617" s="461" t="s">
        <v>3612</v>
      </c>
      <c r="J617" s="461" t="s">
        <v>3613</v>
      </c>
      <c r="K617" s="461" t="s">
        <v>7246</v>
      </c>
      <c r="L617" s="461" t="s">
        <v>8462</v>
      </c>
      <c r="M617" s="469" t="s">
        <v>8034</v>
      </c>
    </row>
    <row r="618" spans="1:13">
      <c r="A618" s="472" t="s">
        <v>1028</v>
      </c>
      <c r="B618" s="465" t="s">
        <v>744</v>
      </c>
      <c r="C618" s="466" t="s">
        <v>743</v>
      </c>
      <c r="D618" s="466" t="s">
        <v>1012</v>
      </c>
      <c r="E618" s="466" t="s">
        <v>4788</v>
      </c>
      <c r="F618" s="465" t="s">
        <v>4357</v>
      </c>
      <c r="G618" s="465" t="s">
        <v>4789</v>
      </c>
      <c r="H618" s="465" t="s">
        <v>4359</v>
      </c>
      <c r="I618" s="465" t="s">
        <v>4360</v>
      </c>
      <c r="J618" s="465" t="s">
        <v>4361</v>
      </c>
      <c r="K618" s="465" t="s">
        <v>7357</v>
      </c>
      <c r="L618" s="465" t="s">
        <v>8573</v>
      </c>
      <c r="M618" s="467" t="s">
        <v>7927</v>
      </c>
    </row>
    <row r="619" spans="1:13">
      <c r="A619" s="461" t="s">
        <v>1024</v>
      </c>
      <c r="B619" s="461" t="s">
        <v>744</v>
      </c>
      <c r="C619" s="468" t="s">
        <v>743</v>
      </c>
      <c r="D619" s="468" t="s">
        <v>1012</v>
      </c>
      <c r="E619" s="468" t="s">
        <v>4788</v>
      </c>
      <c r="F619" s="461" t="s">
        <v>4357</v>
      </c>
      <c r="G619" s="461" t="s">
        <v>4789</v>
      </c>
      <c r="H619" s="461" t="s">
        <v>4359</v>
      </c>
      <c r="I619" s="461" t="s">
        <v>4360</v>
      </c>
      <c r="J619" s="461" t="s">
        <v>4361</v>
      </c>
      <c r="K619" s="461" t="s">
        <v>7357</v>
      </c>
      <c r="L619" s="461" t="s">
        <v>8573</v>
      </c>
      <c r="M619" s="469" t="s">
        <v>7927</v>
      </c>
    </row>
    <row r="620" spans="1:13">
      <c r="A620" s="465" t="s">
        <v>1029</v>
      </c>
      <c r="B620" s="465" t="s">
        <v>744</v>
      </c>
      <c r="C620" s="466" t="s">
        <v>743</v>
      </c>
      <c r="D620" s="466" t="s">
        <v>1012</v>
      </c>
      <c r="E620" s="466" t="s">
        <v>4788</v>
      </c>
      <c r="F620" s="465" t="s">
        <v>4357</v>
      </c>
      <c r="G620" s="465" t="s">
        <v>4789</v>
      </c>
      <c r="H620" s="465" t="s">
        <v>4359</v>
      </c>
      <c r="I620" s="465" t="s">
        <v>4360</v>
      </c>
      <c r="J620" s="465" t="s">
        <v>4361</v>
      </c>
      <c r="K620" s="465" t="s">
        <v>7357</v>
      </c>
      <c r="L620" s="465" t="s">
        <v>8573</v>
      </c>
      <c r="M620" s="467" t="s">
        <v>7927</v>
      </c>
    </row>
    <row r="621" spans="1:13">
      <c r="A621" s="461" t="s">
        <v>1026</v>
      </c>
      <c r="B621" s="461" t="s">
        <v>744</v>
      </c>
      <c r="C621" s="468" t="s">
        <v>743</v>
      </c>
      <c r="D621" s="468" t="s">
        <v>1012</v>
      </c>
      <c r="E621" s="468" t="s">
        <v>4788</v>
      </c>
      <c r="F621" s="461" t="s">
        <v>4357</v>
      </c>
      <c r="G621" s="461" t="s">
        <v>4789</v>
      </c>
      <c r="H621" s="461" t="s">
        <v>4359</v>
      </c>
      <c r="I621" s="461" t="s">
        <v>4360</v>
      </c>
      <c r="J621" s="461" t="s">
        <v>4361</v>
      </c>
      <c r="K621" s="461" t="s">
        <v>7357</v>
      </c>
      <c r="L621" s="461" t="s">
        <v>8573</v>
      </c>
      <c r="M621" s="469" t="s">
        <v>7927</v>
      </c>
    </row>
    <row r="622" spans="1:13">
      <c r="A622" s="475" t="s">
        <v>2082</v>
      </c>
      <c r="B622" s="475" t="s">
        <v>10604</v>
      </c>
      <c r="C622" s="475" t="s">
        <v>10608</v>
      </c>
      <c r="D622" s="475" t="s">
        <v>10610</v>
      </c>
      <c r="E622" s="475" t="s">
        <v>10612</v>
      </c>
      <c r="F622" s="475" t="s">
        <v>10614</v>
      </c>
      <c r="G622" s="475" t="s">
        <v>10616</v>
      </c>
      <c r="H622" s="475" t="s">
        <v>10606</v>
      </c>
      <c r="I622" s="475" t="s">
        <v>10618</v>
      </c>
      <c r="J622" s="475" t="s">
        <v>10620</v>
      </c>
      <c r="K622" s="475" t="s">
        <v>10622</v>
      </c>
      <c r="L622" s="475" t="s">
        <v>10624</v>
      </c>
      <c r="M622" s="476" t="s">
        <v>10626</v>
      </c>
    </row>
    <row r="623" spans="1:13">
      <c r="A623" s="461" t="s">
        <v>1030</v>
      </c>
      <c r="B623" s="461" t="s">
        <v>1003</v>
      </c>
      <c r="C623" s="468" t="s">
        <v>1031</v>
      </c>
      <c r="D623" s="468" t="s">
        <v>1010</v>
      </c>
      <c r="E623" s="468" t="s">
        <v>4776</v>
      </c>
      <c r="F623" s="461" t="s">
        <v>4790</v>
      </c>
      <c r="G623" s="461" t="s">
        <v>4778</v>
      </c>
      <c r="H623" s="461" t="s">
        <v>4779</v>
      </c>
      <c r="I623" s="461" t="s">
        <v>4780</v>
      </c>
      <c r="J623" s="461" t="s">
        <v>4781</v>
      </c>
      <c r="K623" s="461" t="s">
        <v>7377</v>
      </c>
      <c r="L623" s="461" t="s">
        <v>8640</v>
      </c>
      <c r="M623" s="469" t="s">
        <v>7996</v>
      </c>
    </row>
    <row r="624" spans="1:13">
      <c r="A624" s="472" t="s">
        <v>1176</v>
      </c>
      <c r="B624" s="465" t="s">
        <v>1178</v>
      </c>
      <c r="C624" s="466" t="s">
        <v>1177</v>
      </c>
      <c r="D624" s="466" t="s">
        <v>1179</v>
      </c>
      <c r="E624" s="466" t="s">
        <v>4915</v>
      </c>
      <c r="F624" s="465" t="s">
        <v>4916</v>
      </c>
      <c r="G624" s="465" t="s">
        <v>4917</v>
      </c>
      <c r="H624" s="465" t="s">
        <v>4918</v>
      </c>
      <c r="I624" s="465" t="s">
        <v>4919</v>
      </c>
      <c r="J624" s="465" t="s">
        <v>4920</v>
      </c>
      <c r="K624" s="465" t="s">
        <v>7396</v>
      </c>
      <c r="L624" s="465" t="s">
        <v>8660</v>
      </c>
      <c r="M624" s="467" t="s">
        <v>8016</v>
      </c>
    </row>
    <row r="625" spans="1:13">
      <c r="A625" s="461" t="s">
        <v>1175</v>
      </c>
      <c r="B625" s="461" t="s">
        <v>961</v>
      </c>
      <c r="C625" s="468" t="s">
        <v>587</v>
      </c>
      <c r="D625" s="468" t="s">
        <v>962</v>
      </c>
      <c r="E625" s="468" t="s">
        <v>4897</v>
      </c>
      <c r="F625" s="461" t="s">
        <v>4001</v>
      </c>
      <c r="G625" s="461" t="s">
        <v>4002</v>
      </c>
      <c r="H625" s="461" t="s">
        <v>4745</v>
      </c>
      <c r="I625" s="461" t="s">
        <v>4025</v>
      </c>
      <c r="J625" s="461" t="s">
        <v>4005</v>
      </c>
      <c r="K625" s="461" t="s">
        <v>7393</v>
      </c>
      <c r="L625" s="461" t="s">
        <v>8636</v>
      </c>
      <c r="M625" s="469" t="s">
        <v>8012</v>
      </c>
    </row>
    <row r="626" spans="1:13">
      <c r="A626" s="465" t="s">
        <v>2286</v>
      </c>
      <c r="B626" s="465" t="s">
        <v>744</v>
      </c>
      <c r="C626" s="466" t="s">
        <v>743</v>
      </c>
      <c r="D626" s="466" t="s">
        <v>1012</v>
      </c>
      <c r="E626" s="466" t="s">
        <v>4356</v>
      </c>
      <c r="F626" s="465" t="s">
        <v>4357</v>
      </c>
      <c r="G626" s="465" t="s">
        <v>4789</v>
      </c>
      <c r="H626" s="465" t="s">
        <v>4359</v>
      </c>
      <c r="I626" s="465" t="s">
        <v>4360</v>
      </c>
      <c r="J626" s="465" t="s">
        <v>4361</v>
      </c>
      <c r="K626" s="465" t="s">
        <v>7357</v>
      </c>
      <c r="L626" s="465" t="s">
        <v>8573</v>
      </c>
      <c r="M626" s="467" t="s">
        <v>7927</v>
      </c>
    </row>
    <row r="627" spans="1:13">
      <c r="A627" s="461" t="s">
        <v>1354</v>
      </c>
      <c r="B627" s="461" t="s">
        <v>1311</v>
      </c>
      <c r="C627" s="468" t="s">
        <v>743</v>
      </c>
      <c r="D627" s="468" t="s">
        <v>1012</v>
      </c>
      <c r="E627" s="468" t="s">
        <v>4356</v>
      </c>
      <c r="F627" s="461" t="s">
        <v>4357</v>
      </c>
      <c r="G627" s="461" t="s">
        <v>4789</v>
      </c>
      <c r="H627" s="461" t="s">
        <v>4359</v>
      </c>
      <c r="I627" s="461" t="s">
        <v>5035</v>
      </c>
      <c r="J627" s="461" t="s">
        <v>4361</v>
      </c>
      <c r="K627" s="461" t="s">
        <v>7357</v>
      </c>
      <c r="L627" s="461" t="s">
        <v>8573</v>
      </c>
      <c r="M627" s="469" t="s">
        <v>7927</v>
      </c>
    </row>
    <row r="628" spans="1:13">
      <c r="A628" s="475" t="s">
        <v>2095</v>
      </c>
      <c r="B628" s="475" t="s">
        <v>10604</v>
      </c>
      <c r="C628" s="475" t="s">
        <v>10608</v>
      </c>
      <c r="D628" s="475" t="s">
        <v>10610</v>
      </c>
      <c r="E628" s="475" t="s">
        <v>10612</v>
      </c>
      <c r="F628" s="475" t="s">
        <v>10614</v>
      </c>
      <c r="G628" s="475" t="s">
        <v>10616</v>
      </c>
      <c r="H628" s="475" t="s">
        <v>10606</v>
      </c>
      <c r="I628" s="475" t="s">
        <v>10618</v>
      </c>
      <c r="J628" s="475" t="s">
        <v>10620</v>
      </c>
      <c r="K628" s="475" t="s">
        <v>10622</v>
      </c>
      <c r="L628" s="475" t="s">
        <v>10624</v>
      </c>
      <c r="M628" s="476" t="s">
        <v>10626</v>
      </c>
    </row>
    <row r="629" spans="1:13">
      <c r="A629" s="461" t="s">
        <v>1350</v>
      </c>
      <c r="B629" s="461" t="s">
        <v>1311</v>
      </c>
      <c r="C629" s="468" t="s">
        <v>743</v>
      </c>
      <c r="D629" s="468" t="s">
        <v>1012</v>
      </c>
      <c r="E629" s="468" t="s">
        <v>4356</v>
      </c>
      <c r="F629" s="461" t="s">
        <v>4357</v>
      </c>
      <c r="G629" s="461" t="s">
        <v>4789</v>
      </c>
      <c r="H629" s="461" t="s">
        <v>4359</v>
      </c>
      <c r="I629" s="461" t="s">
        <v>5035</v>
      </c>
      <c r="J629" s="461" t="s">
        <v>4361</v>
      </c>
      <c r="K629" s="461" t="s">
        <v>7357</v>
      </c>
      <c r="L629" s="461" t="s">
        <v>8573</v>
      </c>
      <c r="M629" s="469" t="s">
        <v>7927</v>
      </c>
    </row>
    <row r="630" spans="1:13">
      <c r="A630" s="465" t="s">
        <v>1349</v>
      </c>
      <c r="B630" s="465" t="s">
        <v>1311</v>
      </c>
      <c r="C630" s="466" t="s">
        <v>743</v>
      </c>
      <c r="D630" s="466" t="s">
        <v>1012</v>
      </c>
      <c r="E630" s="466" t="s">
        <v>4356</v>
      </c>
      <c r="F630" s="465" t="s">
        <v>4357</v>
      </c>
      <c r="G630" s="465" t="s">
        <v>4789</v>
      </c>
      <c r="H630" s="465" t="s">
        <v>4359</v>
      </c>
      <c r="I630" s="465" t="s">
        <v>5035</v>
      </c>
      <c r="J630" s="465" t="s">
        <v>4361</v>
      </c>
      <c r="K630" s="465" t="s">
        <v>7357</v>
      </c>
      <c r="L630" s="465" t="s">
        <v>8573</v>
      </c>
      <c r="M630" s="467" t="s">
        <v>7927</v>
      </c>
    </row>
    <row r="631" spans="1:13">
      <c r="A631" s="461" t="s">
        <v>1352</v>
      </c>
      <c r="B631" s="461" t="s">
        <v>1311</v>
      </c>
      <c r="C631" s="468" t="s">
        <v>743</v>
      </c>
      <c r="D631" s="468" t="s">
        <v>1012</v>
      </c>
      <c r="E631" s="468" t="s">
        <v>4356</v>
      </c>
      <c r="F631" s="461" t="s">
        <v>4357</v>
      </c>
      <c r="G631" s="461" t="s">
        <v>4789</v>
      </c>
      <c r="H631" s="461" t="s">
        <v>4359</v>
      </c>
      <c r="I631" s="461" t="s">
        <v>5035</v>
      </c>
      <c r="J631" s="461" t="s">
        <v>4361</v>
      </c>
      <c r="K631" s="461" t="s">
        <v>7357</v>
      </c>
      <c r="L631" s="461" t="s">
        <v>8573</v>
      </c>
      <c r="M631" s="469" t="s">
        <v>7927</v>
      </c>
    </row>
    <row r="632" spans="1:13">
      <c r="A632" s="465" t="s">
        <v>1606</v>
      </c>
      <c r="B632" s="465" t="s">
        <v>1607</v>
      </c>
      <c r="C632" s="466" t="s">
        <v>1607</v>
      </c>
      <c r="D632" s="466" t="s">
        <v>1607</v>
      </c>
      <c r="E632" s="466" t="s">
        <v>5403</v>
      </c>
      <c r="F632" s="465" t="s">
        <v>5404</v>
      </c>
      <c r="G632" s="465" t="s">
        <v>1607</v>
      </c>
      <c r="H632" s="466" t="s">
        <v>5405</v>
      </c>
      <c r="I632" s="465" t="s">
        <v>5406</v>
      </c>
      <c r="J632" s="465" t="s">
        <v>5407</v>
      </c>
      <c r="K632" s="465" t="s">
        <v>7476</v>
      </c>
      <c r="L632" s="465" t="s">
        <v>1607</v>
      </c>
      <c r="M632" s="467" t="s">
        <v>8100</v>
      </c>
    </row>
    <row r="633" spans="1:13">
      <c r="A633" s="461" t="s">
        <v>1608</v>
      </c>
      <c r="B633" s="461" t="s">
        <v>1609</v>
      </c>
      <c r="C633" s="468" t="s">
        <v>1609</v>
      </c>
      <c r="D633" s="468" t="s">
        <v>1609</v>
      </c>
      <c r="E633" s="468" t="s">
        <v>5408</v>
      </c>
      <c r="F633" s="461" t="s">
        <v>5409</v>
      </c>
      <c r="G633" s="461" t="s">
        <v>1609</v>
      </c>
      <c r="H633" s="468" t="s">
        <v>5410</v>
      </c>
      <c r="I633" s="461" t="s">
        <v>5411</v>
      </c>
      <c r="J633" s="461" t="s">
        <v>5412</v>
      </c>
      <c r="K633" s="461" t="s">
        <v>7477</v>
      </c>
      <c r="L633" s="461" t="s">
        <v>1609</v>
      </c>
      <c r="M633" s="469" t="s">
        <v>8101</v>
      </c>
    </row>
    <row r="634" spans="1:13">
      <c r="A634" s="465" t="s">
        <v>1610</v>
      </c>
      <c r="B634" s="465" t="s">
        <v>1611</v>
      </c>
      <c r="C634" s="466" t="s">
        <v>1611</v>
      </c>
      <c r="D634" s="466" t="s">
        <v>1611</v>
      </c>
      <c r="E634" s="466" t="s">
        <v>5413</v>
      </c>
      <c r="F634" s="465" t="s">
        <v>5414</v>
      </c>
      <c r="G634" s="465" t="s">
        <v>1611</v>
      </c>
      <c r="H634" s="466" t="s">
        <v>5415</v>
      </c>
      <c r="I634" s="465" t="s">
        <v>5416</v>
      </c>
      <c r="J634" s="465" t="s">
        <v>5417</v>
      </c>
      <c r="K634" s="465" t="s">
        <v>7478</v>
      </c>
      <c r="L634" s="465" t="s">
        <v>1611</v>
      </c>
      <c r="M634" s="467" t="s">
        <v>8102</v>
      </c>
    </row>
    <row r="635" spans="1:13">
      <c r="A635" s="461" t="s">
        <v>1612</v>
      </c>
      <c r="B635" s="461" t="s">
        <v>1613</v>
      </c>
      <c r="C635" s="468" t="s">
        <v>1613</v>
      </c>
      <c r="D635" s="468" t="s">
        <v>1613</v>
      </c>
      <c r="E635" s="468" t="s">
        <v>5418</v>
      </c>
      <c r="F635" s="461" t="s">
        <v>5419</v>
      </c>
      <c r="G635" s="461" t="s">
        <v>1613</v>
      </c>
      <c r="H635" s="468" t="s">
        <v>5420</v>
      </c>
      <c r="I635" s="461" t="s">
        <v>5421</v>
      </c>
      <c r="J635" s="461" t="s">
        <v>5422</v>
      </c>
      <c r="K635" s="461" t="s">
        <v>7479</v>
      </c>
      <c r="L635" s="461" t="s">
        <v>1613</v>
      </c>
      <c r="M635" s="469" t="s">
        <v>8103</v>
      </c>
    </row>
    <row r="636" spans="1:13">
      <c r="A636" s="465" t="s">
        <v>1614</v>
      </c>
      <c r="B636" s="465" t="s">
        <v>1615</v>
      </c>
      <c r="C636" s="466" t="s">
        <v>1615</v>
      </c>
      <c r="D636" s="466" t="s">
        <v>1615</v>
      </c>
      <c r="E636" s="466" t="s">
        <v>5423</v>
      </c>
      <c r="F636" s="465" t="s">
        <v>5424</v>
      </c>
      <c r="G636" s="465" t="s">
        <v>1615</v>
      </c>
      <c r="H636" s="466" t="s">
        <v>5425</v>
      </c>
      <c r="I636" s="465" t="s">
        <v>5426</v>
      </c>
      <c r="J636" s="465" t="s">
        <v>5427</v>
      </c>
      <c r="K636" s="465" t="s">
        <v>7480</v>
      </c>
      <c r="L636" s="465" t="s">
        <v>1615</v>
      </c>
      <c r="M636" s="467" t="s">
        <v>8104</v>
      </c>
    </row>
    <row r="637" spans="1:13">
      <c r="A637" s="461" t="s">
        <v>1616</v>
      </c>
      <c r="B637" s="461" t="s">
        <v>1618</v>
      </c>
      <c r="C637" s="468" t="s">
        <v>1617</v>
      </c>
      <c r="D637" s="468" t="s">
        <v>1618</v>
      </c>
      <c r="E637" s="468" t="s">
        <v>5428</v>
      </c>
      <c r="F637" s="461" t="s">
        <v>5429</v>
      </c>
      <c r="G637" s="461" t="s">
        <v>1617</v>
      </c>
      <c r="H637" s="468" t="s">
        <v>5430</v>
      </c>
      <c r="I637" s="461" t="s">
        <v>5431</v>
      </c>
      <c r="J637" s="461" t="s">
        <v>5432</v>
      </c>
      <c r="K637" s="461" t="s">
        <v>7481</v>
      </c>
      <c r="L637" s="461" t="s">
        <v>1617</v>
      </c>
      <c r="M637" s="469" t="s">
        <v>8105</v>
      </c>
    </row>
    <row r="638" spans="1:13">
      <c r="A638" s="465" t="s">
        <v>1619</v>
      </c>
      <c r="B638" s="465" t="s">
        <v>1620</v>
      </c>
      <c r="C638" s="466" t="s">
        <v>1620</v>
      </c>
      <c r="D638" s="466" t="s">
        <v>1620</v>
      </c>
      <c r="E638" s="466" t="s">
        <v>5433</v>
      </c>
      <c r="F638" s="465" t="s">
        <v>5434</v>
      </c>
      <c r="G638" s="465" t="s">
        <v>1620</v>
      </c>
      <c r="H638" s="466" t="s">
        <v>5435</v>
      </c>
      <c r="I638" s="465" t="s">
        <v>5436</v>
      </c>
      <c r="J638" s="465" t="s">
        <v>5437</v>
      </c>
      <c r="K638" s="465" t="s">
        <v>7482</v>
      </c>
      <c r="L638" s="465" t="s">
        <v>1620</v>
      </c>
      <c r="M638" s="467" t="s">
        <v>8106</v>
      </c>
    </row>
    <row r="639" spans="1:13">
      <c r="A639" s="461" t="s">
        <v>1621</v>
      </c>
      <c r="B639" s="461" t="s">
        <v>1623</v>
      </c>
      <c r="C639" s="468" t="s">
        <v>1622</v>
      </c>
      <c r="D639" s="468" t="s">
        <v>1623</v>
      </c>
      <c r="E639" s="468" t="s">
        <v>5438</v>
      </c>
      <c r="F639" s="461" t="s">
        <v>5439</v>
      </c>
      <c r="G639" s="461" t="s">
        <v>1622</v>
      </c>
      <c r="H639" s="468" t="s">
        <v>5440</v>
      </c>
      <c r="I639" s="461" t="s">
        <v>5441</v>
      </c>
      <c r="J639" s="461" t="s">
        <v>5442</v>
      </c>
      <c r="K639" s="461" t="s">
        <v>7483</v>
      </c>
      <c r="L639" s="461" t="s">
        <v>1622</v>
      </c>
      <c r="M639" s="469" t="s">
        <v>8107</v>
      </c>
    </row>
    <row r="640" spans="1:13">
      <c r="A640" s="465" t="s">
        <v>1624</v>
      </c>
      <c r="B640" s="465" t="s">
        <v>1626</v>
      </c>
      <c r="C640" s="466" t="s">
        <v>1625</v>
      </c>
      <c r="D640" s="466" t="s">
        <v>1626</v>
      </c>
      <c r="E640" s="466" t="s">
        <v>5443</v>
      </c>
      <c r="F640" s="465" t="s">
        <v>5444</v>
      </c>
      <c r="G640" s="465" t="s">
        <v>1625</v>
      </c>
      <c r="H640" s="466" t="s">
        <v>5445</v>
      </c>
      <c r="I640" s="465" t="s">
        <v>5446</v>
      </c>
      <c r="J640" s="465" t="s">
        <v>5447</v>
      </c>
      <c r="K640" s="465" t="s">
        <v>7484</v>
      </c>
      <c r="L640" s="465" t="s">
        <v>1625</v>
      </c>
      <c r="M640" s="467" t="s">
        <v>8108</v>
      </c>
    </row>
    <row r="641" spans="1:13">
      <c r="A641" s="461" t="s">
        <v>1593</v>
      </c>
      <c r="B641" s="461" t="s">
        <v>1594</v>
      </c>
      <c r="C641" s="468" t="s">
        <v>1594</v>
      </c>
      <c r="D641" s="468" t="s">
        <v>1594</v>
      </c>
      <c r="E641" s="468" t="s">
        <v>5368</v>
      </c>
      <c r="F641" s="461" t="s">
        <v>5369</v>
      </c>
      <c r="G641" s="461" t="s">
        <v>1594</v>
      </c>
      <c r="H641" s="461" t="s">
        <v>5370</v>
      </c>
      <c r="I641" s="461" t="s">
        <v>5371</v>
      </c>
      <c r="J641" s="461" t="s">
        <v>5372</v>
      </c>
      <c r="K641" s="461" t="s">
        <v>7469</v>
      </c>
      <c r="L641" s="461" t="s">
        <v>12341</v>
      </c>
      <c r="M641" s="469" t="s">
        <v>8093</v>
      </c>
    </row>
    <row r="642" spans="1:13">
      <c r="A642" s="465" t="s">
        <v>1627</v>
      </c>
      <c r="B642" s="465" t="s">
        <v>1628</v>
      </c>
      <c r="C642" s="466" t="s">
        <v>1628</v>
      </c>
      <c r="D642" s="466" t="s">
        <v>1628</v>
      </c>
      <c r="E642" s="466" t="s">
        <v>5448</v>
      </c>
      <c r="F642" s="465" t="s">
        <v>5449</v>
      </c>
      <c r="G642" s="465" t="s">
        <v>1628</v>
      </c>
      <c r="H642" s="466" t="s">
        <v>5450</v>
      </c>
      <c r="I642" s="465" t="s">
        <v>5451</v>
      </c>
      <c r="J642" s="465" t="s">
        <v>5452</v>
      </c>
      <c r="K642" s="465" t="s">
        <v>7485</v>
      </c>
      <c r="L642" s="465" t="s">
        <v>1628</v>
      </c>
      <c r="M642" s="467" t="s">
        <v>8109</v>
      </c>
    </row>
    <row r="643" spans="1:13">
      <c r="A643" s="461" t="s">
        <v>1629</v>
      </c>
      <c r="B643" s="461" t="s">
        <v>1630</v>
      </c>
      <c r="C643" s="468" t="s">
        <v>1630</v>
      </c>
      <c r="D643" s="468" t="s">
        <v>1630</v>
      </c>
      <c r="E643" s="468" t="s">
        <v>5453</v>
      </c>
      <c r="F643" s="461" t="s">
        <v>5454</v>
      </c>
      <c r="G643" s="461" t="s">
        <v>1630</v>
      </c>
      <c r="H643" s="468" t="s">
        <v>5455</v>
      </c>
      <c r="I643" s="461" t="s">
        <v>5456</v>
      </c>
      <c r="J643" s="461" t="s">
        <v>5457</v>
      </c>
      <c r="K643" s="461" t="s">
        <v>7486</v>
      </c>
      <c r="L643" s="461" t="s">
        <v>1630</v>
      </c>
      <c r="M643" s="469" t="s">
        <v>8110</v>
      </c>
    </row>
    <row r="644" spans="1:13">
      <c r="A644" s="465" t="s">
        <v>1631</v>
      </c>
      <c r="B644" s="465" t="s">
        <v>1632</v>
      </c>
      <c r="C644" s="466" t="s">
        <v>1632</v>
      </c>
      <c r="D644" s="466" t="s">
        <v>1632</v>
      </c>
      <c r="E644" s="466" t="s">
        <v>5458</v>
      </c>
      <c r="F644" s="465" t="s">
        <v>5459</v>
      </c>
      <c r="G644" s="465" t="s">
        <v>1632</v>
      </c>
      <c r="H644" s="466" t="s">
        <v>5460</v>
      </c>
      <c r="I644" s="465" t="s">
        <v>5461</v>
      </c>
      <c r="J644" s="465" t="s">
        <v>5462</v>
      </c>
      <c r="K644" s="465" t="s">
        <v>7487</v>
      </c>
      <c r="L644" s="465" t="s">
        <v>1632</v>
      </c>
      <c r="M644" s="467" t="s">
        <v>8111</v>
      </c>
    </row>
    <row r="645" spans="1:13">
      <c r="A645" s="461" t="s">
        <v>1633</v>
      </c>
      <c r="B645" s="461" t="s">
        <v>1634</v>
      </c>
      <c r="C645" s="468" t="s">
        <v>1634</v>
      </c>
      <c r="D645" s="468" t="s">
        <v>1634</v>
      </c>
      <c r="E645" s="468" t="s">
        <v>5463</v>
      </c>
      <c r="F645" s="461" t="s">
        <v>5464</v>
      </c>
      <c r="G645" s="461" t="s">
        <v>1634</v>
      </c>
      <c r="H645" s="468" t="s">
        <v>5465</v>
      </c>
      <c r="I645" s="461" t="s">
        <v>5466</v>
      </c>
      <c r="J645" s="461" t="s">
        <v>5467</v>
      </c>
      <c r="K645" s="471" t="s">
        <v>7488</v>
      </c>
      <c r="L645" s="461" t="s">
        <v>1634</v>
      </c>
      <c r="M645" s="469" t="s">
        <v>8112</v>
      </c>
    </row>
    <row r="646" spans="1:13">
      <c r="A646" s="465" t="s">
        <v>1635</v>
      </c>
      <c r="B646" s="465" t="s">
        <v>1636</v>
      </c>
      <c r="C646" s="466" t="s">
        <v>1636</v>
      </c>
      <c r="D646" s="466" t="s">
        <v>1636</v>
      </c>
      <c r="E646" s="466" t="s">
        <v>5468</v>
      </c>
      <c r="F646" s="465" t="s">
        <v>5469</v>
      </c>
      <c r="G646" s="465" t="s">
        <v>1636</v>
      </c>
      <c r="H646" s="466" t="s">
        <v>5470</v>
      </c>
      <c r="I646" s="465" t="s">
        <v>5471</v>
      </c>
      <c r="J646" s="465" t="s">
        <v>5472</v>
      </c>
      <c r="K646" s="470" t="s">
        <v>7489</v>
      </c>
      <c r="L646" s="465" t="s">
        <v>1636</v>
      </c>
      <c r="M646" s="467" t="s">
        <v>8113</v>
      </c>
    </row>
    <row r="647" spans="1:13">
      <c r="A647" s="461" t="s">
        <v>1637</v>
      </c>
      <c r="B647" s="461" t="s">
        <v>1639</v>
      </c>
      <c r="C647" s="468" t="s">
        <v>1638</v>
      </c>
      <c r="D647" s="468" t="s">
        <v>1639</v>
      </c>
      <c r="E647" s="468" t="s">
        <v>5473</v>
      </c>
      <c r="F647" s="461" t="s">
        <v>5474</v>
      </c>
      <c r="G647" s="461" t="s">
        <v>1638</v>
      </c>
      <c r="H647" s="468" t="s">
        <v>5475</v>
      </c>
      <c r="I647" s="461" t="s">
        <v>5476</v>
      </c>
      <c r="J647" s="461" t="s">
        <v>5477</v>
      </c>
      <c r="K647" s="471" t="s">
        <v>7490</v>
      </c>
      <c r="L647" s="461" t="s">
        <v>1638</v>
      </c>
      <c r="M647" s="469" t="s">
        <v>8114</v>
      </c>
    </row>
    <row r="648" spans="1:13">
      <c r="A648" s="465" t="s">
        <v>1640</v>
      </c>
      <c r="B648" s="465" t="s">
        <v>1642</v>
      </c>
      <c r="C648" s="466" t="s">
        <v>1641</v>
      </c>
      <c r="D648" s="466" t="s">
        <v>1642</v>
      </c>
      <c r="E648" s="466" t="s">
        <v>5478</v>
      </c>
      <c r="F648" s="465" t="s">
        <v>5479</v>
      </c>
      <c r="G648" s="465" t="s">
        <v>1641</v>
      </c>
      <c r="H648" s="466" t="s">
        <v>5480</v>
      </c>
      <c r="I648" s="465" t="s">
        <v>5481</v>
      </c>
      <c r="J648" s="465" t="s">
        <v>5482</v>
      </c>
      <c r="K648" s="470" t="s">
        <v>7491</v>
      </c>
      <c r="L648" s="465" t="s">
        <v>1641</v>
      </c>
      <c r="M648" s="467" t="s">
        <v>8115</v>
      </c>
    </row>
    <row r="649" spans="1:13">
      <c r="A649" s="461" t="s">
        <v>1643</v>
      </c>
      <c r="B649" s="461" t="s">
        <v>1644</v>
      </c>
      <c r="C649" s="468" t="s">
        <v>1644</v>
      </c>
      <c r="D649" s="468" t="s">
        <v>1644</v>
      </c>
      <c r="E649" s="468" t="s">
        <v>5483</v>
      </c>
      <c r="F649" s="461" t="s">
        <v>5484</v>
      </c>
      <c r="G649" s="461" t="s">
        <v>1644</v>
      </c>
      <c r="H649" s="468" t="s">
        <v>5485</v>
      </c>
      <c r="I649" s="461" t="s">
        <v>5486</v>
      </c>
      <c r="J649" s="461" t="s">
        <v>5487</v>
      </c>
      <c r="K649" s="471" t="s">
        <v>7492</v>
      </c>
      <c r="L649" s="461" t="s">
        <v>1644</v>
      </c>
      <c r="M649" s="469" t="s">
        <v>8116</v>
      </c>
    </row>
    <row r="650" spans="1:13">
      <c r="A650" s="465" t="s">
        <v>1595</v>
      </c>
      <c r="B650" s="465" t="s">
        <v>1596</v>
      </c>
      <c r="C650" s="466" t="s">
        <v>1596</v>
      </c>
      <c r="D650" s="466" t="s">
        <v>1596</v>
      </c>
      <c r="E650" s="466" t="s">
        <v>5373</v>
      </c>
      <c r="F650" s="465" t="s">
        <v>5374</v>
      </c>
      <c r="G650" s="465" t="s">
        <v>1596</v>
      </c>
      <c r="H650" s="465" t="s">
        <v>5375</v>
      </c>
      <c r="I650" s="465" t="s">
        <v>5376</v>
      </c>
      <c r="J650" s="465" t="s">
        <v>5377</v>
      </c>
      <c r="K650" s="470" t="s">
        <v>7470</v>
      </c>
      <c r="L650" s="465" t="s">
        <v>12342</v>
      </c>
      <c r="M650" s="467" t="s">
        <v>8094</v>
      </c>
    </row>
    <row r="651" spans="1:13">
      <c r="A651" s="461" t="s">
        <v>1645</v>
      </c>
      <c r="B651" s="461" t="s">
        <v>1646</v>
      </c>
      <c r="C651" s="468" t="s">
        <v>1646</v>
      </c>
      <c r="D651" s="468" t="s">
        <v>1646</v>
      </c>
      <c r="E651" s="468" t="s">
        <v>5488</v>
      </c>
      <c r="F651" s="461" t="s">
        <v>5489</v>
      </c>
      <c r="G651" s="461" t="s">
        <v>1646</v>
      </c>
      <c r="H651" s="468" t="s">
        <v>5490</v>
      </c>
      <c r="I651" s="461" t="s">
        <v>5491</v>
      </c>
      <c r="J651" s="461" t="s">
        <v>5492</v>
      </c>
      <c r="K651" s="461" t="s">
        <v>7493</v>
      </c>
      <c r="L651" s="461" t="s">
        <v>1646</v>
      </c>
      <c r="M651" s="469" t="s">
        <v>8117</v>
      </c>
    </row>
    <row r="652" spans="1:13">
      <c r="A652" s="465" t="s">
        <v>1647</v>
      </c>
      <c r="B652" s="465" t="s">
        <v>1648</v>
      </c>
      <c r="C652" s="466" t="s">
        <v>1648</v>
      </c>
      <c r="D652" s="466" t="s">
        <v>1648</v>
      </c>
      <c r="E652" s="466" t="s">
        <v>5493</v>
      </c>
      <c r="F652" s="465" t="s">
        <v>5494</v>
      </c>
      <c r="G652" s="465" t="s">
        <v>1648</v>
      </c>
      <c r="H652" s="466" t="s">
        <v>5495</v>
      </c>
      <c r="I652" s="465" t="s">
        <v>5496</v>
      </c>
      <c r="J652" s="465" t="s">
        <v>5497</v>
      </c>
      <c r="K652" s="470" t="s">
        <v>7494</v>
      </c>
      <c r="L652" s="465" t="s">
        <v>1648</v>
      </c>
      <c r="M652" s="467" t="s">
        <v>8118</v>
      </c>
    </row>
    <row r="653" spans="1:13">
      <c r="A653" s="461" t="s">
        <v>1649</v>
      </c>
      <c r="B653" s="461" t="s">
        <v>1650</v>
      </c>
      <c r="C653" s="468" t="s">
        <v>1650</v>
      </c>
      <c r="D653" s="468" t="s">
        <v>1650</v>
      </c>
      <c r="E653" s="468" t="s">
        <v>5498</v>
      </c>
      <c r="F653" s="461" t="s">
        <v>5499</v>
      </c>
      <c r="G653" s="461" t="s">
        <v>1650</v>
      </c>
      <c r="H653" s="468" t="s">
        <v>5500</v>
      </c>
      <c r="I653" s="461" t="s">
        <v>5501</v>
      </c>
      <c r="J653" s="461" t="s">
        <v>5502</v>
      </c>
      <c r="K653" s="471" t="s">
        <v>7495</v>
      </c>
      <c r="L653" s="461" t="s">
        <v>1650</v>
      </c>
      <c r="M653" s="469" t="s">
        <v>8119</v>
      </c>
    </row>
    <row r="654" spans="1:13">
      <c r="A654" s="465" t="s">
        <v>1597</v>
      </c>
      <c r="B654" s="465" t="s">
        <v>1598</v>
      </c>
      <c r="C654" s="466" t="s">
        <v>1598</v>
      </c>
      <c r="D654" s="466" t="s">
        <v>1598</v>
      </c>
      <c r="E654" s="466" t="s">
        <v>5378</v>
      </c>
      <c r="F654" s="465" t="s">
        <v>5379</v>
      </c>
      <c r="G654" s="465" t="s">
        <v>1598</v>
      </c>
      <c r="H654" s="465" t="s">
        <v>5380</v>
      </c>
      <c r="I654" s="465" t="s">
        <v>5381</v>
      </c>
      <c r="J654" s="465" t="s">
        <v>5382</v>
      </c>
      <c r="K654" s="470" t="s">
        <v>7471</v>
      </c>
      <c r="L654" s="465" t="s">
        <v>12343</v>
      </c>
      <c r="M654" s="467" t="s">
        <v>8095</v>
      </c>
    </row>
    <row r="655" spans="1:13">
      <c r="A655" s="461" t="s">
        <v>1651</v>
      </c>
      <c r="B655" s="461" t="s">
        <v>1652</v>
      </c>
      <c r="C655" s="468" t="s">
        <v>1652</v>
      </c>
      <c r="D655" s="468" t="s">
        <v>1652</v>
      </c>
      <c r="E655" s="468" t="s">
        <v>5503</v>
      </c>
      <c r="F655" s="461" t="s">
        <v>5504</v>
      </c>
      <c r="G655" s="461" t="s">
        <v>1652</v>
      </c>
      <c r="H655" s="468" t="s">
        <v>5505</v>
      </c>
      <c r="I655" s="461" t="s">
        <v>5506</v>
      </c>
      <c r="J655" s="461" t="s">
        <v>5507</v>
      </c>
      <c r="K655" s="471" t="s">
        <v>7496</v>
      </c>
      <c r="L655" s="461" t="s">
        <v>1652</v>
      </c>
      <c r="M655" s="469" t="s">
        <v>8120</v>
      </c>
    </row>
    <row r="656" spans="1:13">
      <c r="A656" s="465" t="s">
        <v>1599</v>
      </c>
      <c r="B656" s="465" t="s">
        <v>2549</v>
      </c>
      <c r="C656" s="466" t="s">
        <v>2549</v>
      </c>
      <c r="D656" s="466" t="s">
        <v>2549</v>
      </c>
      <c r="E656" s="466" t="s">
        <v>5383</v>
      </c>
      <c r="F656" s="465" t="s">
        <v>5384</v>
      </c>
      <c r="G656" s="465" t="s">
        <v>2549</v>
      </c>
      <c r="H656" s="465" t="s">
        <v>5385</v>
      </c>
      <c r="I656" s="465" t="s">
        <v>5386</v>
      </c>
      <c r="J656" s="465" t="s">
        <v>5387</v>
      </c>
      <c r="K656" s="470" t="s">
        <v>7472</v>
      </c>
      <c r="L656" s="465" t="s">
        <v>12344</v>
      </c>
      <c r="M656" s="467" t="s">
        <v>8096</v>
      </c>
    </row>
    <row r="657" spans="1:13">
      <c r="A657" s="461" t="s">
        <v>1653</v>
      </c>
      <c r="B657" s="461" t="s">
        <v>1654</v>
      </c>
      <c r="C657" s="468" t="s">
        <v>1654</v>
      </c>
      <c r="D657" s="468" t="s">
        <v>1654</v>
      </c>
      <c r="E657" s="468" t="s">
        <v>5508</v>
      </c>
      <c r="F657" s="461" t="s">
        <v>5509</v>
      </c>
      <c r="G657" s="461" t="s">
        <v>1654</v>
      </c>
      <c r="H657" s="468" t="s">
        <v>5510</v>
      </c>
      <c r="I657" s="461" t="s">
        <v>5511</v>
      </c>
      <c r="J657" s="461" t="s">
        <v>5512</v>
      </c>
      <c r="K657" s="471" t="s">
        <v>7497</v>
      </c>
      <c r="L657" s="461" t="s">
        <v>1654</v>
      </c>
      <c r="M657" s="469" t="s">
        <v>8121</v>
      </c>
    </row>
    <row r="658" spans="1:13">
      <c r="A658" s="465" t="s">
        <v>1600</v>
      </c>
      <c r="B658" s="465" t="s">
        <v>1601</v>
      </c>
      <c r="C658" s="466" t="s">
        <v>1601</v>
      </c>
      <c r="D658" s="466" t="s">
        <v>1601</v>
      </c>
      <c r="E658" s="466" t="s">
        <v>5388</v>
      </c>
      <c r="F658" s="465" t="s">
        <v>5389</v>
      </c>
      <c r="G658" s="465" t="s">
        <v>1601</v>
      </c>
      <c r="H658" s="465" t="s">
        <v>5390</v>
      </c>
      <c r="I658" s="465" t="s">
        <v>5391</v>
      </c>
      <c r="J658" s="465" t="s">
        <v>5392</v>
      </c>
      <c r="K658" s="470" t="s">
        <v>7473</v>
      </c>
      <c r="L658" s="465" t="s">
        <v>12345</v>
      </c>
      <c r="M658" s="467" t="s">
        <v>8097</v>
      </c>
    </row>
    <row r="659" spans="1:13">
      <c r="A659" s="461" t="s">
        <v>1602</v>
      </c>
      <c r="B659" s="461" t="s">
        <v>1603</v>
      </c>
      <c r="C659" s="468" t="s">
        <v>1603</v>
      </c>
      <c r="D659" s="468" t="s">
        <v>1603</v>
      </c>
      <c r="E659" s="468" t="s">
        <v>5393</v>
      </c>
      <c r="F659" s="461" t="s">
        <v>5394</v>
      </c>
      <c r="G659" s="461" t="s">
        <v>1603</v>
      </c>
      <c r="H659" s="461" t="s">
        <v>5395</v>
      </c>
      <c r="I659" s="461" t="s">
        <v>5396</v>
      </c>
      <c r="J659" s="461" t="s">
        <v>5397</v>
      </c>
      <c r="K659" s="461" t="s">
        <v>7474</v>
      </c>
      <c r="L659" s="461" t="s">
        <v>12346</v>
      </c>
      <c r="M659" s="469" t="s">
        <v>8098</v>
      </c>
    </row>
    <row r="660" spans="1:13">
      <c r="A660" s="465" t="s">
        <v>1604</v>
      </c>
      <c r="B660" s="465" t="s">
        <v>1605</v>
      </c>
      <c r="C660" s="466" t="s">
        <v>1605</v>
      </c>
      <c r="D660" s="466" t="s">
        <v>1605</v>
      </c>
      <c r="E660" s="466" t="s">
        <v>5398</v>
      </c>
      <c r="F660" s="465" t="s">
        <v>5399</v>
      </c>
      <c r="G660" s="465" t="s">
        <v>1605</v>
      </c>
      <c r="H660" s="465" t="s">
        <v>5400</v>
      </c>
      <c r="I660" s="465" t="s">
        <v>5401</v>
      </c>
      <c r="J660" s="465" t="s">
        <v>5402</v>
      </c>
      <c r="K660" s="465" t="s">
        <v>7475</v>
      </c>
      <c r="L660" s="465" t="s">
        <v>12347</v>
      </c>
      <c r="M660" s="467" t="s">
        <v>8099</v>
      </c>
    </row>
    <row r="661" spans="1:13">
      <c r="A661" s="472" t="s">
        <v>1375</v>
      </c>
      <c r="B661" s="461" t="s">
        <v>1035</v>
      </c>
      <c r="C661" s="468" t="s">
        <v>1034</v>
      </c>
      <c r="D661" s="468" t="s">
        <v>1036</v>
      </c>
      <c r="E661" s="468" t="s">
        <v>4901</v>
      </c>
      <c r="F661" s="461" t="s">
        <v>4792</v>
      </c>
      <c r="G661" s="461" t="s">
        <v>4793</v>
      </c>
      <c r="H661" s="461" t="s">
        <v>4794</v>
      </c>
      <c r="I661" s="461" t="s">
        <v>4795</v>
      </c>
      <c r="J661" s="461" t="s">
        <v>4796</v>
      </c>
      <c r="K661" s="461" t="s">
        <v>7379</v>
      </c>
      <c r="L661" s="461" t="s">
        <v>8642</v>
      </c>
      <c r="M661" s="469" t="s">
        <v>7927</v>
      </c>
    </row>
    <row r="662" spans="1:13">
      <c r="A662" s="465" t="s">
        <v>1376</v>
      </c>
      <c r="B662" s="465" t="s">
        <v>1035</v>
      </c>
      <c r="C662" s="466" t="s">
        <v>1034</v>
      </c>
      <c r="D662" s="466" t="s">
        <v>1036</v>
      </c>
      <c r="E662" s="466" t="s">
        <v>4901</v>
      </c>
      <c r="F662" s="465" t="s">
        <v>4792</v>
      </c>
      <c r="G662" s="465" t="s">
        <v>4793</v>
      </c>
      <c r="H662" s="465" t="s">
        <v>4794</v>
      </c>
      <c r="I662" s="465" t="s">
        <v>4795</v>
      </c>
      <c r="J662" s="465" t="s">
        <v>4796</v>
      </c>
      <c r="K662" s="470" t="s">
        <v>7379</v>
      </c>
      <c r="L662" s="465" t="s">
        <v>8642</v>
      </c>
      <c r="M662" s="467" t="s">
        <v>7927</v>
      </c>
    </row>
    <row r="663" spans="1:13">
      <c r="A663" s="473" t="s">
        <v>2098</v>
      </c>
      <c r="B663" s="473" t="s">
        <v>10604</v>
      </c>
      <c r="C663" s="473" t="s">
        <v>10608</v>
      </c>
      <c r="D663" s="473" t="s">
        <v>10610</v>
      </c>
      <c r="E663" s="473" t="s">
        <v>10612</v>
      </c>
      <c r="F663" s="473" t="s">
        <v>10614</v>
      </c>
      <c r="G663" s="473" t="s">
        <v>10616</v>
      </c>
      <c r="H663" s="473" t="s">
        <v>10606</v>
      </c>
      <c r="I663" s="473" t="s">
        <v>10618</v>
      </c>
      <c r="J663" s="473" t="s">
        <v>10620</v>
      </c>
      <c r="K663" s="473" t="s">
        <v>10622</v>
      </c>
      <c r="L663" s="473" t="s">
        <v>10624</v>
      </c>
      <c r="M663" s="474" t="s">
        <v>10626</v>
      </c>
    </row>
    <row r="664" spans="1:13">
      <c r="A664" s="472" t="s">
        <v>1377</v>
      </c>
      <c r="B664" s="465" t="s">
        <v>1368</v>
      </c>
      <c r="C664" s="466" t="s">
        <v>1367</v>
      </c>
      <c r="D664" s="466" t="s">
        <v>1369</v>
      </c>
      <c r="E664" s="466" t="s">
        <v>5074</v>
      </c>
      <c r="F664" s="465" t="s">
        <v>5075</v>
      </c>
      <c r="G664" s="465" t="s">
        <v>5076</v>
      </c>
      <c r="H664" s="465" t="s">
        <v>5080</v>
      </c>
      <c r="I664" s="465" t="s">
        <v>5078</v>
      </c>
      <c r="J664" s="465" t="s">
        <v>5081</v>
      </c>
      <c r="K664" s="470" t="s">
        <v>7419</v>
      </c>
      <c r="L664" s="465" t="s">
        <v>8682</v>
      </c>
      <c r="M664" s="467" t="s">
        <v>8041</v>
      </c>
    </row>
    <row r="665" spans="1:13">
      <c r="A665" s="461" t="s">
        <v>493</v>
      </c>
      <c r="B665" s="461" t="s">
        <v>495</v>
      </c>
      <c r="C665" s="468" t="s">
        <v>494</v>
      </c>
      <c r="D665" s="468" t="s">
        <v>496</v>
      </c>
      <c r="E665" s="468" t="s">
        <v>3870</v>
      </c>
      <c r="F665" s="461" t="s">
        <v>3871</v>
      </c>
      <c r="G665" s="461" t="s">
        <v>3872</v>
      </c>
      <c r="H665" s="461" t="s">
        <v>3873</v>
      </c>
      <c r="I665" s="461" t="s">
        <v>3874</v>
      </c>
      <c r="J665" s="461" t="s">
        <v>3875</v>
      </c>
      <c r="K665" s="461" t="s">
        <v>7288</v>
      </c>
      <c r="L665" s="461" t="s">
        <v>8504</v>
      </c>
      <c r="M665" s="469" t="s">
        <v>7853</v>
      </c>
    </row>
    <row r="666" spans="1:13">
      <c r="A666" s="465" t="s">
        <v>485</v>
      </c>
      <c r="B666" s="465" t="s">
        <v>487</v>
      </c>
      <c r="C666" s="466" t="s">
        <v>486</v>
      </c>
      <c r="D666" s="466" t="s">
        <v>488</v>
      </c>
      <c r="E666" s="466" t="s">
        <v>3858</v>
      </c>
      <c r="F666" s="465" t="s">
        <v>3859</v>
      </c>
      <c r="G666" s="465" t="s">
        <v>3860</v>
      </c>
      <c r="H666" s="465" t="s">
        <v>3861</v>
      </c>
      <c r="I666" s="465" t="s">
        <v>3862</v>
      </c>
      <c r="J666" s="465" t="s">
        <v>3863</v>
      </c>
      <c r="K666" s="465" t="s">
        <v>7286</v>
      </c>
      <c r="L666" s="465" t="s">
        <v>8502</v>
      </c>
      <c r="M666" s="467" t="s">
        <v>7851</v>
      </c>
    </row>
    <row r="667" spans="1:13">
      <c r="A667" s="461" t="s">
        <v>489</v>
      </c>
      <c r="B667" s="461" t="s">
        <v>491</v>
      </c>
      <c r="C667" s="468" t="s">
        <v>490</v>
      </c>
      <c r="D667" s="468" t="s">
        <v>492</v>
      </c>
      <c r="E667" s="468" t="s">
        <v>3864</v>
      </c>
      <c r="F667" s="461" t="s">
        <v>3865</v>
      </c>
      <c r="G667" s="461" t="s">
        <v>3866</v>
      </c>
      <c r="H667" s="461" t="s">
        <v>3867</v>
      </c>
      <c r="I667" s="461" t="s">
        <v>3868</v>
      </c>
      <c r="J667" s="461" t="s">
        <v>3869</v>
      </c>
      <c r="K667" s="461" t="s">
        <v>7287</v>
      </c>
      <c r="L667" s="461" t="s">
        <v>8503</v>
      </c>
      <c r="M667" s="469" t="s">
        <v>7852</v>
      </c>
    </row>
    <row r="668" spans="1:13">
      <c r="A668" s="465" t="s">
        <v>505</v>
      </c>
      <c r="B668" s="465" t="s">
        <v>507</v>
      </c>
      <c r="C668" s="466" t="s">
        <v>506</v>
      </c>
      <c r="D668" s="466" t="s">
        <v>508</v>
      </c>
      <c r="E668" s="466" t="s">
        <v>3888</v>
      </c>
      <c r="F668" s="465" t="s">
        <v>3889</v>
      </c>
      <c r="G668" s="465" t="s">
        <v>3890</v>
      </c>
      <c r="H668" s="465" t="s">
        <v>3891</v>
      </c>
      <c r="I668" s="465" t="s">
        <v>3892</v>
      </c>
      <c r="J668" s="465" t="s">
        <v>3893</v>
      </c>
      <c r="K668" s="465" t="s">
        <v>7291</v>
      </c>
      <c r="L668" s="465" t="s">
        <v>8507</v>
      </c>
      <c r="M668" s="467" t="s">
        <v>7856</v>
      </c>
    </row>
    <row r="669" spans="1:13">
      <c r="A669" s="461" t="s">
        <v>497</v>
      </c>
      <c r="B669" s="461" t="s">
        <v>500</v>
      </c>
      <c r="C669" s="468" t="s">
        <v>499</v>
      </c>
      <c r="D669" s="468" t="s">
        <v>501</v>
      </c>
      <c r="E669" s="468" t="s">
        <v>3876</v>
      </c>
      <c r="F669" s="461" t="s">
        <v>3877</v>
      </c>
      <c r="G669" s="461" t="s">
        <v>3878</v>
      </c>
      <c r="H669" s="461" t="s">
        <v>3879</v>
      </c>
      <c r="I669" s="461" t="s">
        <v>3880</v>
      </c>
      <c r="J669" s="461" t="s">
        <v>3881</v>
      </c>
      <c r="K669" s="461" t="s">
        <v>7289</v>
      </c>
      <c r="L669" s="461" t="s">
        <v>8505</v>
      </c>
      <c r="M669" s="469" t="s">
        <v>7854</v>
      </c>
    </row>
    <row r="670" spans="1:13">
      <c r="A670" s="465" t="s">
        <v>2230</v>
      </c>
      <c r="B670" s="465" t="s">
        <v>503</v>
      </c>
      <c r="C670" s="466" t="s">
        <v>502</v>
      </c>
      <c r="D670" s="466" t="s">
        <v>504</v>
      </c>
      <c r="E670" s="466" t="s">
        <v>3882</v>
      </c>
      <c r="F670" s="465" t="s">
        <v>3883</v>
      </c>
      <c r="G670" s="465" t="s">
        <v>3884</v>
      </c>
      <c r="H670" s="465" t="s">
        <v>3885</v>
      </c>
      <c r="I670" s="465" t="s">
        <v>3886</v>
      </c>
      <c r="J670" s="465" t="s">
        <v>3887</v>
      </c>
      <c r="K670" s="465" t="s">
        <v>7290</v>
      </c>
      <c r="L670" s="465" t="s">
        <v>8506</v>
      </c>
      <c r="M670" s="467" t="s">
        <v>7855</v>
      </c>
    </row>
    <row r="671" spans="1:13">
      <c r="A671" s="461" t="s">
        <v>4065</v>
      </c>
      <c r="B671" s="461" t="s">
        <v>4067</v>
      </c>
      <c r="C671" s="468" t="s">
        <v>4066</v>
      </c>
      <c r="D671" s="468" t="s">
        <v>4068</v>
      </c>
      <c r="E671" s="468" t="s">
        <v>4069</v>
      </c>
      <c r="F671" s="461" t="s">
        <v>4070</v>
      </c>
      <c r="G671" s="461" t="s">
        <v>4071</v>
      </c>
      <c r="H671" s="461" t="s">
        <v>4072</v>
      </c>
      <c r="I671" s="461" t="s">
        <v>4073</v>
      </c>
      <c r="J671" s="461" t="s">
        <v>4074</v>
      </c>
      <c r="K671" s="461" t="s">
        <v>7318</v>
      </c>
      <c r="L671" s="461" t="s">
        <v>8535</v>
      </c>
      <c r="M671" s="469" t="s">
        <v>7885</v>
      </c>
    </row>
    <row r="672" spans="1:13">
      <c r="A672" s="472" t="s">
        <v>4075</v>
      </c>
      <c r="B672" s="465" t="s">
        <v>4067</v>
      </c>
      <c r="C672" s="466" t="s">
        <v>4066</v>
      </c>
      <c r="D672" s="466" t="s">
        <v>4068</v>
      </c>
      <c r="E672" s="466" t="s">
        <v>4069</v>
      </c>
      <c r="F672" s="465" t="s">
        <v>4070</v>
      </c>
      <c r="G672" s="465" t="s">
        <v>4071</v>
      </c>
      <c r="H672" s="465" t="s">
        <v>4072</v>
      </c>
      <c r="I672" s="465" t="s">
        <v>4073</v>
      </c>
      <c r="J672" s="465" t="s">
        <v>4074</v>
      </c>
      <c r="K672" s="465" t="s">
        <v>7318</v>
      </c>
      <c r="L672" s="465" t="s">
        <v>8535</v>
      </c>
      <c r="M672" s="467" t="s">
        <v>7886</v>
      </c>
    </row>
    <row r="673" spans="1:13">
      <c r="A673" s="461" t="s">
        <v>4053</v>
      </c>
      <c r="B673" s="461" t="s">
        <v>4056</v>
      </c>
      <c r="C673" s="468" t="s">
        <v>4055</v>
      </c>
      <c r="D673" s="468" t="s">
        <v>4057</v>
      </c>
      <c r="E673" s="468" t="s">
        <v>4058</v>
      </c>
      <c r="F673" s="461" t="s">
        <v>4059</v>
      </c>
      <c r="G673" s="461" t="s">
        <v>4060</v>
      </c>
      <c r="H673" s="461" t="s">
        <v>4061</v>
      </c>
      <c r="I673" s="461" t="s">
        <v>4062</v>
      </c>
      <c r="J673" s="461" t="s">
        <v>4063</v>
      </c>
      <c r="K673" s="461" t="s">
        <v>7317</v>
      </c>
      <c r="L673" s="461" t="s">
        <v>8534</v>
      </c>
      <c r="M673" s="469" t="s">
        <v>7884</v>
      </c>
    </row>
    <row r="674" spans="1:13">
      <c r="A674" s="465" t="s">
        <v>4064</v>
      </c>
      <c r="B674" s="465" t="s">
        <v>4056</v>
      </c>
      <c r="C674" s="466" t="s">
        <v>4055</v>
      </c>
      <c r="D674" s="466" t="s">
        <v>4057</v>
      </c>
      <c r="E674" s="466" t="s">
        <v>4058</v>
      </c>
      <c r="F674" s="465" t="s">
        <v>4059</v>
      </c>
      <c r="G674" s="465" t="s">
        <v>4060</v>
      </c>
      <c r="H674" s="465" t="s">
        <v>4061</v>
      </c>
      <c r="I674" s="465" t="s">
        <v>4062</v>
      </c>
      <c r="J674" s="465" t="s">
        <v>4063</v>
      </c>
      <c r="K674" s="465" t="s">
        <v>7317</v>
      </c>
      <c r="L674" s="465" t="s">
        <v>8534</v>
      </c>
      <c r="M674" s="467" t="s">
        <v>7884</v>
      </c>
    </row>
    <row r="675" spans="1:13">
      <c r="A675" s="461" t="s">
        <v>1566</v>
      </c>
      <c r="B675" s="461" t="s">
        <v>1567</v>
      </c>
      <c r="C675" s="468" t="s">
        <v>1567</v>
      </c>
      <c r="D675" s="468" t="s">
        <v>1567</v>
      </c>
      <c r="E675" s="468" t="s">
        <v>5303</v>
      </c>
      <c r="F675" s="461" t="s">
        <v>5304</v>
      </c>
      <c r="G675" s="461" t="s">
        <v>1567</v>
      </c>
      <c r="H675" s="461" t="s">
        <v>5305</v>
      </c>
      <c r="I675" s="461" t="s">
        <v>5306</v>
      </c>
      <c r="J675" s="461" t="s">
        <v>5307</v>
      </c>
      <c r="K675" s="461" t="s">
        <v>7456</v>
      </c>
      <c r="L675" s="461" t="s">
        <v>12348</v>
      </c>
      <c r="M675" s="469" t="s">
        <v>8080</v>
      </c>
    </row>
    <row r="676" spans="1:13">
      <c r="A676" s="465" t="s">
        <v>1570</v>
      </c>
      <c r="B676" s="465" t="s">
        <v>1571</v>
      </c>
      <c r="C676" s="466" t="s">
        <v>1571</v>
      </c>
      <c r="D676" s="466" t="s">
        <v>1571</v>
      </c>
      <c r="E676" s="466" t="s">
        <v>5313</v>
      </c>
      <c r="F676" s="465" t="s">
        <v>5314</v>
      </c>
      <c r="G676" s="465" t="s">
        <v>1571</v>
      </c>
      <c r="H676" s="465" t="s">
        <v>5315</v>
      </c>
      <c r="I676" s="465" t="s">
        <v>5316</v>
      </c>
      <c r="J676" s="465" t="s">
        <v>5317</v>
      </c>
      <c r="K676" s="465" t="s">
        <v>7458</v>
      </c>
      <c r="L676" s="465" t="s">
        <v>12349</v>
      </c>
      <c r="M676" s="467" t="s">
        <v>8082</v>
      </c>
    </row>
    <row r="677" spans="1:13">
      <c r="A677" s="461" t="s">
        <v>1572</v>
      </c>
      <c r="B677" s="461" t="s">
        <v>1573</v>
      </c>
      <c r="C677" s="468" t="s">
        <v>1573</v>
      </c>
      <c r="D677" s="468" t="s">
        <v>1573</v>
      </c>
      <c r="E677" s="468" t="s">
        <v>5318</v>
      </c>
      <c r="F677" s="461" t="s">
        <v>5319</v>
      </c>
      <c r="G677" s="461" t="s">
        <v>1573</v>
      </c>
      <c r="H677" s="461" t="s">
        <v>5320</v>
      </c>
      <c r="I677" s="461" t="s">
        <v>5321</v>
      </c>
      <c r="J677" s="461" t="s">
        <v>5322</v>
      </c>
      <c r="K677" s="461" t="s">
        <v>7459</v>
      </c>
      <c r="L677" s="461" t="s">
        <v>12350</v>
      </c>
      <c r="M677" s="469" t="s">
        <v>8083</v>
      </c>
    </row>
    <row r="678" spans="1:13">
      <c r="A678" s="465" t="s">
        <v>1557</v>
      </c>
      <c r="B678" s="465" t="s">
        <v>1558</v>
      </c>
      <c r="C678" s="466" t="s">
        <v>1558</v>
      </c>
      <c r="D678" s="466" t="s">
        <v>1558</v>
      </c>
      <c r="E678" s="466" t="s">
        <v>5283</v>
      </c>
      <c r="F678" s="465" t="s">
        <v>5284</v>
      </c>
      <c r="G678" s="465" t="s">
        <v>1558</v>
      </c>
      <c r="H678" s="465" t="s">
        <v>5285</v>
      </c>
      <c r="I678" s="465" t="s">
        <v>5286</v>
      </c>
      <c r="J678" s="465" t="s">
        <v>5287</v>
      </c>
      <c r="K678" s="465" t="s">
        <v>7452</v>
      </c>
      <c r="L678" s="465" t="s">
        <v>12351</v>
      </c>
      <c r="M678" s="467" t="s">
        <v>8076</v>
      </c>
    </row>
    <row r="679" spans="1:13">
      <c r="A679" s="461" t="s">
        <v>1564</v>
      </c>
      <c r="B679" s="461" t="s">
        <v>1565</v>
      </c>
      <c r="C679" s="468" t="s">
        <v>1565</v>
      </c>
      <c r="D679" s="468" t="s">
        <v>1565</v>
      </c>
      <c r="E679" s="468" t="s">
        <v>5298</v>
      </c>
      <c r="F679" s="461" t="s">
        <v>5299</v>
      </c>
      <c r="G679" s="461" t="s">
        <v>1565</v>
      </c>
      <c r="H679" s="461" t="s">
        <v>5300</v>
      </c>
      <c r="I679" s="461" t="s">
        <v>5301</v>
      </c>
      <c r="J679" s="461" t="s">
        <v>5302</v>
      </c>
      <c r="K679" s="461" t="s">
        <v>7455</v>
      </c>
      <c r="L679" s="461" t="s">
        <v>12352</v>
      </c>
      <c r="M679" s="469" t="s">
        <v>8079</v>
      </c>
    </row>
    <row r="680" spans="1:13">
      <c r="A680" s="465" t="s">
        <v>2236</v>
      </c>
      <c r="B680" s="465" t="s">
        <v>2517</v>
      </c>
      <c r="C680" s="466" t="s">
        <v>2610</v>
      </c>
      <c r="D680" s="466" t="s">
        <v>2683</v>
      </c>
      <c r="E680" s="466" t="s">
        <v>4040</v>
      </c>
      <c r="F680" s="465" t="s">
        <v>4041</v>
      </c>
      <c r="G680" s="465" t="s">
        <v>4042</v>
      </c>
      <c r="H680" s="465" t="s">
        <v>4043</v>
      </c>
      <c r="I680" s="465" t="s">
        <v>4044</v>
      </c>
      <c r="J680" s="465" t="s">
        <v>4045</v>
      </c>
      <c r="K680" s="465" t="s">
        <v>7315</v>
      </c>
      <c r="L680" s="465" t="s">
        <v>8532</v>
      </c>
      <c r="M680" s="467" t="s">
        <v>7882</v>
      </c>
    </row>
    <row r="681" spans="1:13">
      <c r="A681" s="461" t="s">
        <v>1660</v>
      </c>
      <c r="B681" s="461" t="s">
        <v>1661</v>
      </c>
      <c r="C681" s="468" t="s">
        <v>1661</v>
      </c>
      <c r="D681" s="468" t="s">
        <v>1661</v>
      </c>
      <c r="E681" s="468" t="s">
        <v>5523</v>
      </c>
      <c r="F681" s="461" t="s">
        <v>5524</v>
      </c>
      <c r="G681" s="461" t="s">
        <v>1661</v>
      </c>
      <c r="H681" s="468" t="s">
        <v>5525</v>
      </c>
      <c r="I681" s="461" t="s">
        <v>5526</v>
      </c>
      <c r="J681" s="461" t="s">
        <v>5527</v>
      </c>
      <c r="K681" s="471" t="s">
        <v>7500</v>
      </c>
      <c r="L681" s="461" t="s">
        <v>1661</v>
      </c>
      <c r="M681" s="469" t="s">
        <v>8124</v>
      </c>
    </row>
    <row r="682" spans="1:13">
      <c r="A682" s="465" t="s">
        <v>1662</v>
      </c>
      <c r="B682" s="465" t="s">
        <v>1663</v>
      </c>
      <c r="C682" s="466" t="s">
        <v>1663</v>
      </c>
      <c r="D682" s="466" t="s">
        <v>1663</v>
      </c>
      <c r="E682" s="466" t="s">
        <v>5528</v>
      </c>
      <c r="F682" s="465" t="s">
        <v>5529</v>
      </c>
      <c r="G682" s="465" t="s">
        <v>1663</v>
      </c>
      <c r="H682" s="466" t="s">
        <v>5530</v>
      </c>
      <c r="I682" s="465" t="s">
        <v>5531</v>
      </c>
      <c r="J682" s="465" t="s">
        <v>5532</v>
      </c>
      <c r="K682" s="465" t="s">
        <v>7501</v>
      </c>
      <c r="L682" s="465" t="s">
        <v>1663</v>
      </c>
      <c r="M682" s="467" t="s">
        <v>8125</v>
      </c>
    </row>
    <row r="683" spans="1:13">
      <c r="A683" s="461" t="s">
        <v>1664</v>
      </c>
      <c r="B683" s="461" t="s">
        <v>1665</v>
      </c>
      <c r="C683" s="468" t="s">
        <v>1665</v>
      </c>
      <c r="D683" s="468" t="s">
        <v>1665</v>
      </c>
      <c r="E683" s="468" t="s">
        <v>5533</v>
      </c>
      <c r="F683" s="461" t="s">
        <v>5534</v>
      </c>
      <c r="G683" s="461" t="s">
        <v>1665</v>
      </c>
      <c r="H683" s="468" t="s">
        <v>5535</v>
      </c>
      <c r="I683" s="461" t="s">
        <v>5536</v>
      </c>
      <c r="J683" s="461" t="s">
        <v>5537</v>
      </c>
      <c r="K683" s="461" t="s">
        <v>7502</v>
      </c>
      <c r="L683" s="461" t="s">
        <v>1665</v>
      </c>
      <c r="M683" s="469" t="s">
        <v>8126</v>
      </c>
    </row>
    <row r="684" spans="1:13">
      <c r="A684" s="465" t="s">
        <v>1666</v>
      </c>
      <c r="B684" s="465" t="s">
        <v>1667</v>
      </c>
      <c r="C684" s="466" t="s">
        <v>1667</v>
      </c>
      <c r="D684" s="466" t="s">
        <v>1667</v>
      </c>
      <c r="E684" s="466" t="s">
        <v>5538</v>
      </c>
      <c r="F684" s="465" t="s">
        <v>5539</v>
      </c>
      <c r="G684" s="465" t="s">
        <v>1667</v>
      </c>
      <c r="H684" s="466" t="s">
        <v>5540</v>
      </c>
      <c r="I684" s="465" t="s">
        <v>5541</v>
      </c>
      <c r="J684" s="465" t="s">
        <v>5542</v>
      </c>
      <c r="K684" s="465" t="s">
        <v>7503</v>
      </c>
      <c r="L684" s="465" t="s">
        <v>1667</v>
      </c>
      <c r="M684" s="467" t="s">
        <v>8127</v>
      </c>
    </row>
    <row r="685" spans="1:13">
      <c r="A685" s="461" t="s">
        <v>1668</v>
      </c>
      <c r="B685" s="461" t="s">
        <v>1669</v>
      </c>
      <c r="C685" s="468" t="s">
        <v>1669</v>
      </c>
      <c r="D685" s="468" t="s">
        <v>1669</v>
      </c>
      <c r="E685" s="468" t="s">
        <v>5543</v>
      </c>
      <c r="F685" s="461" t="s">
        <v>5544</v>
      </c>
      <c r="G685" s="461" t="s">
        <v>1669</v>
      </c>
      <c r="H685" s="468" t="s">
        <v>5545</v>
      </c>
      <c r="I685" s="461" t="s">
        <v>5546</v>
      </c>
      <c r="J685" s="461" t="s">
        <v>5547</v>
      </c>
      <c r="K685" s="461" t="s">
        <v>7504</v>
      </c>
      <c r="L685" s="461" t="s">
        <v>1669</v>
      </c>
      <c r="M685" s="469" t="s">
        <v>8128</v>
      </c>
    </row>
    <row r="686" spans="1:13">
      <c r="A686" s="465" t="s">
        <v>1670</v>
      </c>
      <c r="B686" s="465" t="s">
        <v>1671</v>
      </c>
      <c r="C686" s="466" t="s">
        <v>1671</v>
      </c>
      <c r="D686" s="466" t="s">
        <v>1671</v>
      </c>
      <c r="E686" s="466" t="s">
        <v>5548</v>
      </c>
      <c r="F686" s="465" t="s">
        <v>5549</v>
      </c>
      <c r="G686" s="465" t="s">
        <v>1671</v>
      </c>
      <c r="H686" s="466" t="s">
        <v>5550</v>
      </c>
      <c r="I686" s="465" t="s">
        <v>5551</v>
      </c>
      <c r="J686" s="465" t="s">
        <v>5552</v>
      </c>
      <c r="K686" s="465" t="s">
        <v>7505</v>
      </c>
      <c r="L686" s="465" t="s">
        <v>1671</v>
      </c>
      <c r="M686" s="467" t="s">
        <v>8129</v>
      </c>
    </row>
    <row r="687" spans="1:13">
      <c r="A687" s="461" t="s">
        <v>1672</v>
      </c>
      <c r="B687" s="461" t="s">
        <v>1674</v>
      </c>
      <c r="C687" s="468" t="s">
        <v>1673</v>
      </c>
      <c r="D687" s="468" t="s">
        <v>1674</v>
      </c>
      <c r="E687" s="468" t="s">
        <v>5553</v>
      </c>
      <c r="F687" s="461" t="s">
        <v>5554</v>
      </c>
      <c r="G687" s="461" t="s">
        <v>1673</v>
      </c>
      <c r="H687" s="468" t="s">
        <v>5555</v>
      </c>
      <c r="I687" s="461" t="s">
        <v>5556</v>
      </c>
      <c r="J687" s="461" t="s">
        <v>5557</v>
      </c>
      <c r="K687" s="471" t="s">
        <v>7506</v>
      </c>
      <c r="L687" s="461" t="s">
        <v>1673</v>
      </c>
      <c r="M687" s="469" t="s">
        <v>8130</v>
      </c>
    </row>
    <row r="688" spans="1:13">
      <c r="A688" s="465" t="s">
        <v>1675</v>
      </c>
      <c r="B688" s="465" t="s">
        <v>1676</v>
      </c>
      <c r="C688" s="466" t="s">
        <v>1676</v>
      </c>
      <c r="D688" s="466" t="s">
        <v>1676</v>
      </c>
      <c r="E688" s="466" t="s">
        <v>5558</v>
      </c>
      <c r="F688" s="465" t="s">
        <v>5559</v>
      </c>
      <c r="G688" s="465" t="s">
        <v>1676</v>
      </c>
      <c r="H688" s="466" t="s">
        <v>5560</v>
      </c>
      <c r="I688" s="465" t="s">
        <v>5561</v>
      </c>
      <c r="J688" s="465" t="s">
        <v>5562</v>
      </c>
      <c r="K688" s="465" t="s">
        <v>7507</v>
      </c>
      <c r="L688" s="465" t="s">
        <v>1676</v>
      </c>
      <c r="M688" s="467" t="s">
        <v>8131</v>
      </c>
    </row>
    <row r="689" spans="1:13">
      <c r="A689" s="461" t="s">
        <v>1677</v>
      </c>
      <c r="B689" s="461" t="s">
        <v>1679</v>
      </c>
      <c r="C689" s="468" t="s">
        <v>1678</v>
      </c>
      <c r="D689" s="468" t="s">
        <v>1679</v>
      </c>
      <c r="E689" s="468" t="s">
        <v>5563</v>
      </c>
      <c r="F689" s="461" t="s">
        <v>5564</v>
      </c>
      <c r="G689" s="461" t="s">
        <v>1678</v>
      </c>
      <c r="H689" s="468" t="s">
        <v>5565</v>
      </c>
      <c r="I689" s="461" t="s">
        <v>5566</v>
      </c>
      <c r="J689" s="461" t="s">
        <v>5567</v>
      </c>
      <c r="K689" s="461" t="s">
        <v>7508</v>
      </c>
      <c r="L689" s="461" t="s">
        <v>1678</v>
      </c>
      <c r="M689" s="469" t="s">
        <v>8132</v>
      </c>
    </row>
    <row r="690" spans="1:13">
      <c r="A690" s="465" t="s">
        <v>1680</v>
      </c>
      <c r="B690" s="465" t="s">
        <v>1682</v>
      </c>
      <c r="C690" s="466" t="s">
        <v>1681</v>
      </c>
      <c r="D690" s="466" t="s">
        <v>1682</v>
      </c>
      <c r="E690" s="466" t="s">
        <v>5568</v>
      </c>
      <c r="F690" s="465" t="s">
        <v>5569</v>
      </c>
      <c r="G690" s="465" t="s">
        <v>1681</v>
      </c>
      <c r="H690" s="466" t="s">
        <v>5570</v>
      </c>
      <c r="I690" s="465" t="s">
        <v>5571</v>
      </c>
      <c r="J690" s="465" t="s">
        <v>5572</v>
      </c>
      <c r="K690" s="465" t="s">
        <v>7509</v>
      </c>
      <c r="L690" s="465" t="s">
        <v>1681</v>
      </c>
      <c r="M690" s="467" t="s">
        <v>8133</v>
      </c>
    </row>
    <row r="691" spans="1:13">
      <c r="A691" s="461" t="s">
        <v>1683</v>
      </c>
      <c r="B691" s="461" t="s">
        <v>1684</v>
      </c>
      <c r="C691" s="468" t="s">
        <v>1684</v>
      </c>
      <c r="D691" s="468" t="s">
        <v>1684</v>
      </c>
      <c r="E691" s="468" t="s">
        <v>5573</v>
      </c>
      <c r="F691" s="461" t="s">
        <v>5574</v>
      </c>
      <c r="G691" s="461" t="s">
        <v>1684</v>
      </c>
      <c r="H691" s="468" t="s">
        <v>5575</v>
      </c>
      <c r="I691" s="461" t="s">
        <v>5576</v>
      </c>
      <c r="J691" s="461" t="s">
        <v>5577</v>
      </c>
      <c r="K691" s="461" t="s">
        <v>7510</v>
      </c>
      <c r="L691" s="461" t="s">
        <v>1684</v>
      </c>
      <c r="M691" s="469" t="s">
        <v>8134</v>
      </c>
    </row>
    <row r="692" spans="1:13">
      <c r="A692" s="465" t="s">
        <v>1685</v>
      </c>
      <c r="B692" s="465" t="s">
        <v>1687</v>
      </c>
      <c r="C692" s="466" t="s">
        <v>1686</v>
      </c>
      <c r="D692" s="466" t="s">
        <v>1687</v>
      </c>
      <c r="E692" s="466" t="s">
        <v>5578</v>
      </c>
      <c r="F692" s="465" t="s">
        <v>5579</v>
      </c>
      <c r="G692" s="465" t="s">
        <v>1686</v>
      </c>
      <c r="H692" s="466" t="s">
        <v>5580</v>
      </c>
      <c r="I692" s="465" t="s">
        <v>5581</v>
      </c>
      <c r="J692" s="465" t="s">
        <v>5582</v>
      </c>
      <c r="K692" s="465" t="s">
        <v>7511</v>
      </c>
      <c r="L692" s="465" t="s">
        <v>1686</v>
      </c>
      <c r="M692" s="467" t="s">
        <v>8135</v>
      </c>
    </row>
    <row r="693" spans="1:13">
      <c r="A693" s="461" t="s">
        <v>1688</v>
      </c>
      <c r="B693" s="461" t="s">
        <v>1690</v>
      </c>
      <c r="C693" s="468" t="s">
        <v>1689</v>
      </c>
      <c r="D693" s="468" t="s">
        <v>1690</v>
      </c>
      <c r="E693" s="468" t="s">
        <v>5583</v>
      </c>
      <c r="F693" s="461" t="s">
        <v>5584</v>
      </c>
      <c r="G693" s="461" t="s">
        <v>1689</v>
      </c>
      <c r="H693" s="468" t="s">
        <v>5585</v>
      </c>
      <c r="I693" s="461" t="s">
        <v>5586</v>
      </c>
      <c r="J693" s="461" t="s">
        <v>5587</v>
      </c>
      <c r="K693" s="471" t="s">
        <v>7512</v>
      </c>
      <c r="L693" s="461" t="s">
        <v>1689</v>
      </c>
      <c r="M693" s="469" t="s">
        <v>8136</v>
      </c>
    </row>
    <row r="694" spans="1:13">
      <c r="A694" s="465" t="s">
        <v>1691</v>
      </c>
      <c r="B694" s="465" t="s">
        <v>1692</v>
      </c>
      <c r="C694" s="466" t="s">
        <v>1692</v>
      </c>
      <c r="D694" s="466" t="s">
        <v>1692</v>
      </c>
      <c r="E694" s="466" t="s">
        <v>5588</v>
      </c>
      <c r="F694" s="465" t="s">
        <v>5589</v>
      </c>
      <c r="G694" s="465" t="s">
        <v>1692</v>
      </c>
      <c r="H694" s="466" t="s">
        <v>5590</v>
      </c>
      <c r="I694" s="465" t="s">
        <v>5591</v>
      </c>
      <c r="J694" s="465" t="s">
        <v>5592</v>
      </c>
      <c r="K694" s="470" t="s">
        <v>7513</v>
      </c>
      <c r="L694" s="465" t="s">
        <v>1692</v>
      </c>
      <c r="M694" s="467" t="s">
        <v>8137</v>
      </c>
    </row>
    <row r="695" spans="1:13">
      <c r="A695" s="461" t="s">
        <v>1693</v>
      </c>
      <c r="B695" s="461" t="s">
        <v>1695</v>
      </c>
      <c r="C695" s="468" t="s">
        <v>1694</v>
      </c>
      <c r="D695" s="468" t="s">
        <v>1695</v>
      </c>
      <c r="E695" s="468" t="s">
        <v>5593</v>
      </c>
      <c r="F695" s="461" t="s">
        <v>5594</v>
      </c>
      <c r="G695" s="461" t="s">
        <v>1694</v>
      </c>
      <c r="H695" s="468" t="s">
        <v>5595</v>
      </c>
      <c r="I695" s="461" t="s">
        <v>5596</v>
      </c>
      <c r="J695" s="461" t="s">
        <v>5597</v>
      </c>
      <c r="K695" s="471" t="s">
        <v>7411</v>
      </c>
      <c r="L695" s="461" t="s">
        <v>1694</v>
      </c>
      <c r="M695" s="469" t="s">
        <v>8138</v>
      </c>
    </row>
    <row r="696" spans="1:13">
      <c r="A696" s="465" t="s">
        <v>1696</v>
      </c>
      <c r="B696" s="465" t="s">
        <v>1697</v>
      </c>
      <c r="C696" s="466" t="s">
        <v>1697</v>
      </c>
      <c r="D696" s="466" t="s">
        <v>1697</v>
      </c>
      <c r="E696" s="466" t="s">
        <v>5598</v>
      </c>
      <c r="F696" s="465" t="s">
        <v>5599</v>
      </c>
      <c r="G696" s="465" t="s">
        <v>1697</v>
      </c>
      <c r="H696" s="466" t="s">
        <v>5600</v>
      </c>
      <c r="I696" s="465" t="s">
        <v>5601</v>
      </c>
      <c r="J696" s="465" t="s">
        <v>5602</v>
      </c>
      <c r="K696" s="470" t="s">
        <v>7514</v>
      </c>
      <c r="L696" s="465" t="s">
        <v>1697</v>
      </c>
      <c r="M696" s="467" t="s">
        <v>8139</v>
      </c>
    </row>
    <row r="697" spans="1:13">
      <c r="A697" s="461" t="s">
        <v>1698</v>
      </c>
      <c r="B697" s="461" t="s">
        <v>1700</v>
      </c>
      <c r="C697" s="468" t="s">
        <v>1699</v>
      </c>
      <c r="D697" s="468" t="s">
        <v>1700</v>
      </c>
      <c r="E697" s="468" t="s">
        <v>5603</v>
      </c>
      <c r="F697" s="461" t="s">
        <v>5604</v>
      </c>
      <c r="G697" s="461" t="s">
        <v>1699</v>
      </c>
      <c r="H697" s="468" t="s">
        <v>5605</v>
      </c>
      <c r="I697" s="461" t="s">
        <v>5606</v>
      </c>
      <c r="J697" s="461" t="s">
        <v>5607</v>
      </c>
      <c r="K697" s="461" t="s">
        <v>7515</v>
      </c>
      <c r="L697" s="461" t="s">
        <v>1699</v>
      </c>
      <c r="M697" s="469" t="s">
        <v>8140</v>
      </c>
    </row>
    <row r="698" spans="1:13">
      <c r="A698" s="465" t="s">
        <v>1701</v>
      </c>
      <c r="B698" s="465" t="s">
        <v>1703</v>
      </c>
      <c r="C698" s="466" t="s">
        <v>1702</v>
      </c>
      <c r="D698" s="466" t="s">
        <v>1703</v>
      </c>
      <c r="E698" s="466" t="s">
        <v>5608</v>
      </c>
      <c r="F698" s="465" t="s">
        <v>5609</v>
      </c>
      <c r="G698" s="465" t="s">
        <v>1702</v>
      </c>
      <c r="H698" s="466" t="s">
        <v>5610</v>
      </c>
      <c r="I698" s="465" t="s">
        <v>5611</v>
      </c>
      <c r="J698" s="465" t="s">
        <v>5612</v>
      </c>
      <c r="K698" s="470" t="s">
        <v>7516</v>
      </c>
      <c r="L698" s="465" t="s">
        <v>1702</v>
      </c>
      <c r="M698" s="467" t="s">
        <v>8141</v>
      </c>
    </row>
    <row r="699" spans="1:13">
      <c r="A699" s="461" t="s">
        <v>1704</v>
      </c>
      <c r="B699" s="461" t="s">
        <v>1705</v>
      </c>
      <c r="C699" s="468" t="s">
        <v>1705</v>
      </c>
      <c r="D699" s="468" t="s">
        <v>1705</v>
      </c>
      <c r="E699" s="468" t="s">
        <v>5613</v>
      </c>
      <c r="F699" s="461" t="s">
        <v>5614</v>
      </c>
      <c r="G699" s="461" t="s">
        <v>1705</v>
      </c>
      <c r="H699" s="468" t="s">
        <v>5615</v>
      </c>
      <c r="I699" s="461" t="s">
        <v>5616</v>
      </c>
      <c r="J699" s="461" t="s">
        <v>5617</v>
      </c>
      <c r="K699" s="471" t="s">
        <v>7517</v>
      </c>
      <c r="L699" s="461" t="s">
        <v>1705</v>
      </c>
      <c r="M699" s="469" t="s">
        <v>8142</v>
      </c>
    </row>
    <row r="700" spans="1:13">
      <c r="A700" s="465" t="s">
        <v>1706</v>
      </c>
      <c r="B700" s="465" t="s">
        <v>1707</v>
      </c>
      <c r="C700" s="466" t="s">
        <v>1707</v>
      </c>
      <c r="D700" s="466" t="s">
        <v>1707</v>
      </c>
      <c r="E700" s="466" t="s">
        <v>5618</v>
      </c>
      <c r="F700" s="465" t="s">
        <v>5619</v>
      </c>
      <c r="G700" s="465" t="s">
        <v>1707</v>
      </c>
      <c r="H700" s="466" t="s">
        <v>5620</v>
      </c>
      <c r="I700" s="465" t="s">
        <v>5621</v>
      </c>
      <c r="J700" s="465" t="s">
        <v>5622</v>
      </c>
      <c r="K700" s="470" t="s">
        <v>7518</v>
      </c>
      <c r="L700" s="465" t="s">
        <v>1707</v>
      </c>
      <c r="M700" s="467" t="s">
        <v>8143</v>
      </c>
    </row>
    <row r="701" spans="1:13">
      <c r="A701" s="461" t="s">
        <v>1708</v>
      </c>
      <c r="B701" s="461" t="s">
        <v>1709</v>
      </c>
      <c r="C701" s="468" t="s">
        <v>1709</v>
      </c>
      <c r="D701" s="468" t="s">
        <v>1709</v>
      </c>
      <c r="E701" s="468" t="s">
        <v>5623</v>
      </c>
      <c r="F701" s="461" t="s">
        <v>5624</v>
      </c>
      <c r="G701" s="461" t="s">
        <v>1709</v>
      </c>
      <c r="H701" s="468" t="s">
        <v>5625</v>
      </c>
      <c r="I701" s="461" t="s">
        <v>5626</v>
      </c>
      <c r="J701" s="461" t="s">
        <v>5627</v>
      </c>
      <c r="K701" s="471" t="s">
        <v>7519</v>
      </c>
      <c r="L701" s="461" t="s">
        <v>1709</v>
      </c>
      <c r="M701" s="469" t="s">
        <v>8144</v>
      </c>
    </row>
    <row r="702" spans="1:13">
      <c r="A702" s="465" t="s">
        <v>1710</v>
      </c>
      <c r="B702" s="465" t="s">
        <v>1711</v>
      </c>
      <c r="C702" s="466" t="s">
        <v>1711</v>
      </c>
      <c r="D702" s="466" t="s">
        <v>1711</v>
      </c>
      <c r="E702" s="466" t="s">
        <v>5628</v>
      </c>
      <c r="F702" s="465" t="s">
        <v>5629</v>
      </c>
      <c r="G702" s="465" t="s">
        <v>1711</v>
      </c>
      <c r="H702" s="466" t="s">
        <v>5630</v>
      </c>
      <c r="I702" s="465" t="s">
        <v>5631</v>
      </c>
      <c r="J702" s="465" t="s">
        <v>5632</v>
      </c>
      <c r="K702" s="470" t="s">
        <v>7520</v>
      </c>
      <c r="L702" s="465" t="s">
        <v>1711</v>
      </c>
      <c r="M702" s="467" t="s">
        <v>8145</v>
      </c>
    </row>
    <row r="703" spans="1:13">
      <c r="A703" s="461" t="s">
        <v>1712</v>
      </c>
      <c r="B703" s="461" t="s">
        <v>1713</v>
      </c>
      <c r="C703" s="468" t="s">
        <v>1713</v>
      </c>
      <c r="D703" s="468" t="s">
        <v>1713</v>
      </c>
      <c r="E703" s="468" t="s">
        <v>5633</v>
      </c>
      <c r="F703" s="461" t="s">
        <v>5634</v>
      </c>
      <c r="G703" s="461" t="s">
        <v>1713</v>
      </c>
      <c r="H703" s="468" t="s">
        <v>5635</v>
      </c>
      <c r="I703" s="461" t="s">
        <v>5636</v>
      </c>
      <c r="J703" s="461" t="s">
        <v>5637</v>
      </c>
      <c r="K703" s="461" t="s">
        <v>7521</v>
      </c>
      <c r="L703" s="461" t="s">
        <v>1713</v>
      </c>
      <c r="M703" s="469" t="s">
        <v>8146</v>
      </c>
    </row>
    <row r="704" spans="1:13">
      <c r="A704" s="465" t="s">
        <v>1714</v>
      </c>
      <c r="B704" s="465" t="s">
        <v>1715</v>
      </c>
      <c r="C704" s="466" t="s">
        <v>1715</v>
      </c>
      <c r="D704" s="466" t="s">
        <v>1715</v>
      </c>
      <c r="E704" s="466" t="s">
        <v>5638</v>
      </c>
      <c r="F704" s="465" t="s">
        <v>5639</v>
      </c>
      <c r="G704" s="465" t="s">
        <v>1715</v>
      </c>
      <c r="H704" s="466" t="s">
        <v>5640</v>
      </c>
      <c r="I704" s="465" t="s">
        <v>5641</v>
      </c>
      <c r="J704" s="465" t="s">
        <v>5642</v>
      </c>
      <c r="K704" s="470" t="s">
        <v>7522</v>
      </c>
      <c r="L704" s="465" t="s">
        <v>1715</v>
      </c>
      <c r="M704" s="467" t="s">
        <v>8147</v>
      </c>
    </row>
    <row r="705" spans="1:13">
      <c r="A705" s="461" t="s">
        <v>1716</v>
      </c>
      <c r="B705" s="461" t="s">
        <v>1717</v>
      </c>
      <c r="C705" s="468" t="s">
        <v>1717</v>
      </c>
      <c r="D705" s="468" t="s">
        <v>1717</v>
      </c>
      <c r="E705" s="468" t="s">
        <v>5643</v>
      </c>
      <c r="F705" s="461" t="s">
        <v>5644</v>
      </c>
      <c r="G705" s="461" t="s">
        <v>1717</v>
      </c>
      <c r="H705" s="468" t="s">
        <v>5645</v>
      </c>
      <c r="I705" s="461" t="s">
        <v>5646</v>
      </c>
      <c r="J705" s="461" t="s">
        <v>5647</v>
      </c>
      <c r="K705" s="471" t="s">
        <v>7523</v>
      </c>
      <c r="L705" s="461" t="s">
        <v>1717</v>
      </c>
      <c r="M705" s="469" t="s">
        <v>8148</v>
      </c>
    </row>
    <row r="706" spans="1:13">
      <c r="A706" s="465" t="s">
        <v>1718</v>
      </c>
      <c r="B706" s="465" t="s">
        <v>1719</v>
      </c>
      <c r="C706" s="466" t="s">
        <v>1719</v>
      </c>
      <c r="D706" s="466" t="s">
        <v>1719</v>
      </c>
      <c r="E706" s="466" t="s">
        <v>5648</v>
      </c>
      <c r="F706" s="465" t="s">
        <v>5649</v>
      </c>
      <c r="G706" s="465" t="s">
        <v>1719</v>
      </c>
      <c r="H706" s="465" t="s">
        <v>5650</v>
      </c>
      <c r="I706" s="465" t="s">
        <v>5651</v>
      </c>
      <c r="J706" s="465" t="s">
        <v>5652</v>
      </c>
      <c r="K706" s="465" t="s">
        <v>7524</v>
      </c>
      <c r="L706" s="465" t="s">
        <v>8705</v>
      </c>
      <c r="M706" s="467" t="s">
        <v>8149</v>
      </c>
    </row>
    <row r="707" spans="1:13">
      <c r="A707" s="461" t="s">
        <v>1655</v>
      </c>
      <c r="B707" s="461" t="s">
        <v>1656</v>
      </c>
      <c r="C707" s="468" t="s">
        <v>1656</v>
      </c>
      <c r="D707" s="468" t="s">
        <v>1656</v>
      </c>
      <c r="E707" s="468" t="s">
        <v>5513</v>
      </c>
      <c r="F707" s="461" t="s">
        <v>5514</v>
      </c>
      <c r="G707" s="461" t="s">
        <v>1656</v>
      </c>
      <c r="H707" s="468" t="s">
        <v>5515</v>
      </c>
      <c r="I707" s="461" t="s">
        <v>5516</v>
      </c>
      <c r="J707" s="461" t="s">
        <v>5517</v>
      </c>
      <c r="K707" s="461" t="s">
        <v>7498</v>
      </c>
      <c r="L707" s="461" t="s">
        <v>1656</v>
      </c>
      <c r="M707" s="469" t="s">
        <v>8122</v>
      </c>
    </row>
    <row r="708" spans="1:13">
      <c r="A708" s="465" t="s">
        <v>1657</v>
      </c>
      <c r="B708" s="465" t="s">
        <v>1659</v>
      </c>
      <c r="C708" s="466" t="s">
        <v>1658</v>
      </c>
      <c r="D708" s="466" t="s">
        <v>1659</v>
      </c>
      <c r="E708" s="466" t="s">
        <v>5518</v>
      </c>
      <c r="F708" s="465" t="s">
        <v>5519</v>
      </c>
      <c r="G708" s="465" t="s">
        <v>1658</v>
      </c>
      <c r="H708" s="466" t="s">
        <v>5520</v>
      </c>
      <c r="I708" s="465" t="s">
        <v>5521</v>
      </c>
      <c r="J708" s="465" t="s">
        <v>5522</v>
      </c>
      <c r="K708" s="465" t="s">
        <v>7499</v>
      </c>
      <c r="L708" s="465" t="s">
        <v>1658</v>
      </c>
      <c r="M708" s="467" t="s">
        <v>8123</v>
      </c>
    </row>
    <row r="709" spans="1:13">
      <c r="A709" s="461" t="s">
        <v>1743</v>
      </c>
      <c r="B709" s="461" t="s">
        <v>1744</v>
      </c>
      <c r="C709" s="468" t="s">
        <v>1744</v>
      </c>
      <c r="D709" s="468" t="s">
        <v>1744</v>
      </c>
      <c r="E709" s="468" t="s">
        <v>5706</v>
      </c>
      <c r="F709" s="461" t="s">
        <v>5707</v>
      </c>
      <c r="G709" s="461" t="s">
        <v>1744</v>
      </c>
      <c r="H709" s="468" t="s">
        <v>5708</v>
      </c>
      <c r="I709" s="461" t="s">
        <v>5709</v>
      </c>
      <c r="J709" s="461" t="s">
        <v>5710</v>
      </c>
      <c r="K709" s="461" t="s">
        <v>7536</v>
      </c>
      <c r="L709" s="461" t="s">
        <v>1744</v>
      </c>
      <c r="M709" s="469" t="s">
        <v>8161</v>
      </c>
    </row>
    <row r="710" spans="1:13">
      <c r="A710" s="465" t="s">
        <v>1745</v>
      </c>
      <c r="B710" s="465" t="s">
        <v>1746</v>
      </c>
      <c r="C710" s="466" t="s">
        <v>1746</v>
      </c>
      <c r="D710" s="466" t="s">
        <v>1746</v>
      </c>
      <c r="E710" s="466" t="s">
        <v>5711</v>
      </c>
      <c r="F710" s="465" t="s">
        <v>5712</v>
      </c>
      <c r="G710" s="465" t="s">
        <v>1746</v>
      </c>
      <c r="H710" s="466" t="s">
        <v>5713</v>
      </c>
      <c r="I710" s="465" t="s">
        <v>5714</v>
      </c>
      <c r="J710" s="465" t="s">
        <v>5715</v>
      </c>
      <c r="K710" s="465" t="s">
        <v>7537</v>
      </c>
      <c r="L710" s="465" t="s">
        <v>1746</v>
      </c>
      <c r="M710" s="467" t="s">
        <v>8162</v>
      </c>
    </row>
    <row r="711" spans="1:13">
      <c r="A711" s="461" t="s">
        <v>1747</v>
      </c>
      <c r="B711" s="461" t="s">
        <v>1748</v>
      </c>
      <c r="C711" s="468" t="s">
        <v>1748</v>
      </c>
      <c r="D711" s="468" t="s">
        <v>1748</v>
      </c>
      <c r="E711" s="468" t="s">
        <v>5716</v>
      </c>
      <c r="F711" s="461" t="s">
        <v>5717</v>
      </c>
      <c r="G711" s="461" t="s">
        <v>1748</v>
      </c>
      <c r="H711" s="468" t="s">
        <v>5718</v>
      </c>
      <c r="I711" s="461" t="s">
        <v>5719</v>
      </c>
      <c r="J711" s="461" t="s">
        <v>5720</v>
      </c>
      <c r="K711" s="461" t="s">
        <v>7538</v>
      </c>
      <c r="L711" s="461" t="s">
        <v>1748</v>
      </c>
      <c r="M711" s="469" t="s">
        <v>8163</v>
      </c>
    </row>
    <row r="712" spans="1:13">
      <c r="A712" s="465" t="s">
        <v>1749</v>
      </c>
      <c r="B712" s="465" t="s">
        <v>1750</v>
      </c>
      <c r="C712" s="466" t="s">
        <v>1750</v>
      </c>
      <c r="D712" s="466" t="s">
        <v>1750</v>
      </c>
      <c r="E712" s="466" t="s">
        <v>5721</v>
      </c>
      <c r="F712" s="465" t="s">
        <v>5722</v>
      </c>
      <c r="G712" s="465" t="s">
        <v>1750</v>
      </c>
      <c r="H712" s="466" t="s">
        <v>5723</v>
      </c>
      <c r="I712" s="465" t="s">
        <v>5724</v>
      </c>
      <c r="J712" s="465" t="s">
        <v>5725</v>
      </c>
      <c r="K712" s="470" t="s">
        <v>7539</v>
      </c>
      <c r="L712" s="465" t="s">
        <v>1750</v>
      </c>
      <c r="M712" s="467" t="s">
        <v>8164</v>
      </c>
    </row>
    <row r="713" spans="1:13">
      <c r="A713" s="461" t="s">
        <v>1751</v>
      </c>
      <c r="B713" s="461" t="s">
        <v>1752</v>
      </c>
      <c r="C713" s="468" t="s">
        <v>1752</v>
      </c>
      <c r="D713" s="468" t="s">
        <v>1752</v>
      </c>
      <c r="E713" s="468" t="s">
        <v>5726</v>
      </c>
      <c r="F713" s="461" t="s">
        <v>5727</v>
      </c>
      <c r="G713" s="461" t="s">
        <v>1752</v>
      </c>
      <c r="H713" s="468" t="s">
        <v>5728</v>
      </c>
      <c r="I713" s="461" t="s">
        <v>5729</v>
      </c>
      <c r="J713" s="461" t="s">
        <v>5730</v>
      </c>
      <c r="K713" s="471" t="s">
        <v>7540</v>
      </c>
      <c r="L713" s="461" t="s">
        <v>1752</v>
      </c>
      <c r="M713" s="469" t="s">
        <v>8165</v>
      </c>
    </row>
    <row r="714" spans="1:13">
      <c r="A714" s="465" t="s">
        <v>1741</v>
      </c>
      <c r="B714" s="465" t="s">
        <v>1742</v>
      </c>
      <c r="C714" s="466" t="s">
        <v>1742</v>
      </c>
      <c r="D714" s="466" t="s">
        <v>1742</v>
      </c>
      <c r="E714" s="466" t="s">
        <v>5701</v>
      </c>
      <c r="F714" s="465" t="s">
        <v>5702</v>
      </c>
      <c r="G714" s="465" t="s">
        <v>1742</v>
      </c>
      <c r="H714" s="466" t="s">
        <v>5703</v>
      </c>
      <c r="I714" s="465" t="s">
        <v>5704</v>
      </c>
      <c r="J714" s="465" t="s">
        <v>5705</v>
      </c>
      <c r="K714" s="465" t="s">
        <v>7535</v>
      </c>
      <c r="L714" s="465" t="s">
        <v>1742</v>
      </c>
      <c r="M714" s="467" t="s">
        <v>8160</v>
      </c>
    </row>
    <row r="715" spans="1:13">
      <c r="A715" s="461" t="s">
        <v>9470</v>
      </c>
      <c r="B715" s="461" t="s">
        <v>9321</v>
      </c>
      <c r="C715" s="468" t="s">
        <v>9320</v>
      </c>
      <c r="D715" s="468" t="s">
        <v>9322</v>
      </c>
      <c r="E715" s="468" t="s">
        <v>9323</v>
      </c>
      <c r="F715" s="461" t="s">
        <v>9324</v>
      </c>
      <c r="G715" s="461" t="s">
        <v>9325</v>
      </c>
      <c r="H715" s="461" t="s">
        <v>9326</v>
      </c>
      <c r="I715" s="461" t="s">
        <v>9327</v>
      </c>
      <c r="J715" s="461" t="s">
        <v>9328</v>
      </c>
      <c r="K715" s="461" t="s">
        <v>9330</v>
      </c>
      <c r="L715" s="461" t="s">
        <v>9331</v>
      </c>
      <c r="M715" s="469" t="s">
        <v>9329</v>
      </c>
    </row>
    <row r="716" spans="1:13">
      <c r="A716" s="483" t="s">
        <v>12004</v>
      </c>
      <c r="B716" s="475" t="s">
        <v>12291</v>
      </c>
      <c r="C716" s="475" t="s">
        <v>12292</v>
      </c>
      <c r="D716" s="475" t="s">
        <v>12293</v>
      </c>
      <c r="E716" s="475" t="s">
        <v>12295</v>
      </c>
      <c r="F716" s="475" t="s">
        <v>12296</v>
      </c>
      <c r="G716" s="475" t="s">
        <v>12294</v>
      </c>
      <c r="H716" s="475" t="s">
        <v>12297</v>
      </c>
      <c r="I716" s="475" t="s">
        <v>12298</v>
      </c>
      <c r="J716" s="475" t="s">
        <v>12299</v>
      </c>
      <c r="K716" s="475" t="s">
        <v>12300</v>
      </c>
      <c r="L716" s="475" t="s">
        <v>12301</v>
      </c>
      <c r="M716" s="476" t="s">
        <v>12302</v>
      </c>
    </row>
    <row r="717" spans="1:13">
      <c r="A717" s="461" t="s">
        <v>1720</v>
      </c>
      <c r="B717" s="461" t="s">
        <v>1721</v>
      </c>
      <c r="C717" s="468" t="s">
        <v>1721</v>
      </c>
      <c r="D717" s="468" t="s">
        <v>1721</v>
      </c>
      <c r="E717" s="468" t="s">
        <v>5653</v>
      </c>
      <c r="F717" s="461" t="s">
        <v>5654</v>
      </c>
      <c r="G717" s="461" t="s">
        <v>1721</v>
      </c>
      <c r="H717" s="468" t="s">
        <v>5655</v>
      </c>
      <c r="I717" s="461" t="s">
        <v>5656</v>
      </c>
      <c r="J717" s="461" t="s">
        <v>5657</v>
      </c>
      <c r="K717" s="461" t="s">
        <v>7525</v>
      </c>
      <c r="L717" s="461" t="s">
        <v>1721</v>
      </c>
      <c r="M717" s="469" t="s">
        <v>8150</v>
      </c>
    </row>
    <row r="718" spans="1:13">
      <c r="A718" s="465" t="s">
        <v>1722</v>
      </c>
      <c r="B718" s="465" t="s">
        <v>1723</v>
      </c>
      <c r="C718" s="466" t="s">
        <v>1723</v>
      </c>
      <c r="D718" s="466" t="s">
        <v>1723</v>
      </c>
      <c r="E718" s="466" t="s">
        <v>5658</v>
      </c>
      <c r="F718" s="465" t="s">
        <v>5659</v>
      </c>
      <c r="G718" s="465" t="s">
        <v>1723</v>
      </c>
      <c r="H718" s="466" t="s">
        <v>5660</v>
      </c>
      <c r="I718" s="465" t="s">
        <v>5661</v>
      </c>
      <c r="J718" s="465" t="s">
        <v>5662</v>
      </c>
      <c r="K718" s="470" t="s">
        <v>7526</v>
      </c>
      <c r="L718" s="465" t="s">
        <v>1723</v>
      </c>
      <c r="M718" s="467" t="s">
        <v>8151</v>
      </c>
    </row>
    <row r="719" spans="1:13">
      <c r="A719" s="461" t="s">
        <v>1724</v>
      </c>
      <c r="B719" s="461" t="s">
        <v>1725</v>
      </c>
      <c r="C719" s="468" t="s">
        <v>1725</v>
      </c>
      <c r="D719" s="468" t="s">
        <v>1725</v>
      </c>
      <c r="E719" s="468" t="s">
        <v>5663</v>
      </c>
      <c r="F719" s="461" t="s">
        <v>5664</v>
      </c>
      <c r="G719" s="461" t="s">
        <v>1725</v>
      </c>
      <c r="H719" s="468" t="s">
        <v>5665</v>
      </c>
      <c r="I719" s="461" t="s">
        <v>5666</v>
      </c>
      <c r="J719" s="461" t="s">
        <v>5667</v>
      </c>
      <c r="K719" s="461" t="s">
        <v>7527</v>
      </c>
      <c r="L719" s="461" t="s">
        <v>1725</v>
      </c>
      <c r="M719" s="469" t="s">
        <v>8152</v>
      </c>
    </row>
    <row r="720" spans="1:13">
      <c r="A720" s="465" t="s">
        <v>1726</v>
      </c>
      <c r="B720" s="465" t="s">
        <v>1727</v>
      </c>
      <c r="C720" s="466" t="s">
        <v>1727</v>
      </c>
      <c r="D720" s="466" t="s">
        <v>1727</v>
      </c>
      <c r="E720" s="466" t="s">
        <v>5668</v>
      </c>
      <c r="F720" s="465" t="s">
        <v>5669</v>
      </c>
      <c r="G720" s="465" t="s">
        <v>1727</v>
      </c>
      <c r="H720" s="466" t="s">
        <v>5670</v>
      </c>
      <c r="I720" s="465" t="s">
        <v>5671</v>
      </c>
      <c r="J720" s="465" t="s">
        <v>5672</v>
      </c>
      <c r="K720" s="465" t="s">
        <v>7528</v>
      </c>
      <c r="L720" s="465" t="s">
        <v>1727</v>
      </c>
      <c r="M720" s="467" t="s">
        <v>8153</v>
      </c>
    </row>
    <row r="721" spans="1:13">
      <c r="A721" s="461" t="s">
        <v>1728</v>
      </c>
      <c r="B721" s="461" t="s">
        <v>1729</v>
      </c>
      <c r="C721" s="468" t="s">
        <v>1729</v>
      </c>
      <c r="D721" s="468" t="s">
        <v>1729</v>
      </c>
      <c r="E721" s="468" t="s">
        <v>5673</v>
      </c>
      <c r="F721" s="461" t="s">
        <v>5674</v>
      </c>
      <c r="G721" s="461" t="s">
        <v>1729</v>
      </c>
      <c r="H721" s="468" t="s">
        <v>5675</v>
      </c>
      <c r="I721" s="461" t="s">
        <v>5676</v>
      </c>
      <c r="J721" s="461" t="s">
        <v>5677</v>
      </c>
      <c r="K721" s="461" t="s">
        <v>7529</v>
      </c>
      <c r="L721" s="461" t="s">
        <v>1729</v>
      </c>
      <c r="M721" s="469" t="s">
        <v>8154</v>
      </c>
    </row>
    <row r="722" spans="1:13">
      <c r="A722" s="465" t="s">
        <v>1730</v>
      </c>
      <c r="B722" s="465" t="s">
        <v>1732</v>
      </c>
      <c r="C722" s="466" t="s">
        <v>1731</v>
      </c>
      <c r="D722" s="466" t="s">
        <v>1732</v>
      </c>
      <c r="E722" s="466" t="s">
        <v>5678</v>
      </c>
      <c r="F722" s="465" t="s">
        <v>5679</v>
      </c>
      <c r="G722" s="465" t="s">
        <v>1731</v>
      </c>
      <c r="H722" s="466" t="s">
        <v>5680</v>
      </c>
      <c r="I722" s="465" t="s">
        <v>5681</v>
      </c>
      <c r="J722" s="465" t="s">
        <v>5682</v>
      </c>
      <c r="K722" s="465" t="s">
        <v>7530</v>
      </c>
      <c r="L722" s="465" t="s">
        <v>1731</v>
      </c>
      <c r="M722" s="467" t="s">
        <v>8155</v>
      </c>
    </row>
    <row r="723" spans="1:13">
      <c r="A723" s="461" t="s">
        <v>1733</v>
      </c>
      <c r="B723" s="461" t="s">
        <v>1669</v>
      </c>
      <c r="C723" s="468" t="s">
        <v>1669</v>
      </c>
      <c r="D723" s="468" t="s">
        <v>1669</v>
      </c>
      <c r="E723" s="468" t="s">
        <v>5683</v>
      </c>
      <c r="F723" s="461" t="s">
        <v>5684</v>
      </c>
      <c r="G723" s="461" t="s">
        <v>1669</v>
      </c>
      <c r="H723" s="468" t="s">
        <v>5545</v>
      </c>
      <c r="I723" s="461" t="s">
        <v>5546</v>
      </c>
      <c r="J723" s="461" t="s">
        <v>5685</v>
      </c>
      <c r="K723" s="461" t="s">
        <v>7531</v>
      </c>
      <c r="L723" s="461" t="s">
        <v>1669</v>
      </c>
      <c r="M723" s="469" t="s">
        <v>8156</v>
      </c>
    </row>
    <row r="724" spans="1:13">
      <c r="A724" s="465" t="s">
        <v>1734</v>
      </c>
      <c r="B724" s="465" t="s">
        <v>1735</v>
      </c>
      <c r="C724" s="466" t="s">
        <v>1735</v>
      </c>
      <c r="D724" s="466" t="s">
        <v>1735</v>
      </c>
      <c r="E724" s="466" t="s">
        <v>5686</v>
      </c>
      <c r="F724" s="465" t="s">
        <v>5687</v>
      </c>
      <c r="G724" s="465" t="s">
        <v>1735</v>
      </c>
      <c r="H724" s="466" t="s">
        <v>5688</v>
      </c>
      <c r="I724" s="465" t="s">
        <v>5689</v>
      </c>
      <c r="J724" s="465" t="s">
        <v>5690</v>
      </c>
      <c r="K724" s="470" t="s">
        <v>7532</v>
      </c>
      <c r="L724" s="465" t="s">
        <v>1735</v>
      </c>
      <c r="M724" s="467" t="s">
        <v>8157</v>
      </c>
    </row>
    <row r="725" spans="1:13">
      <c r="A725" s="461" t="s">
        <v>1551</v>
      </c>
      <c r="B725" s="461" t="s">
        <v>1553</v>
      </c>
      <c r="C725" s="468" t="s">
        <v>1553</v>
      </c>
      <c r="D725" s="468" t="s">
        <v>1553</v>
      </c>
      <c r="E725" s="468" t="s">
        <v>5269</v>
      </c>
      <c r="F725" s="461" t="s">
        <v>5270</v>
      </c>
      <c r="G725" s="461" t="s">
        <v>1553</v>
      </c>
      <c r="H725" s="461" t="s">
        <v>5271</v>
      </c>
      <c r="I725" s="461" t="s">
        <v>5272</v>
      </c>
      <c r="J725" s="461" t="s">
        <v>5273</v>
      </c>
      <c r="K725" s="461" t="s">
        <v>7449</v>
      </c>
      <c r="L725" s="461" t="s">
        <v>12353</v>
      </c>
      <c r="M725" s="469" t="s">
        <v>8073</v>
      </c>
    </row>
    <row r="726" spans="1:13">
      <c r="A726" s="465" t="s">
        <v>1568</v>
      </c>
      <c r="B726" s="465" t="s">
        <v>1569</v>
      </c>
      <c r="C726" s="466" t="s">
        <v>1569</v>
      </c>
      <c r="D726" s="466" t="s">
        <v>1569</v>
      </c>
      <c r="E726" s="466" t="s">
        <v>5308</v>
      </c>
      <c r="F726" s="465" t="s">
        <v>5309</v>
      </c>
      <c r="G726" s="465" t="s">
        <v>1569</v>
      </c>
      <c r="H726" s="465" t="s">
        <v>5310</v>
      </c>
      <c r="I726" s="465" t="s">
        <v>5311</v>
      </c>
      <c r="J726" s="465" t="s">
        <v>5312</v>
      </c>
      <c r="K726" s="465" t="s">
        <v>7457</v>
      </c>
      <c r="L726" s="465" t="s">
        <v>12354</v>
      </c>
      <c r="M726" s="467" t="s">
        <v>8081</v>
      </c>
    </row>
    <row r="727" spans="1:13">
      <c r="A727" s="472" t="s">
        <v>1554</v>
      </c>
      <c r="B727" s="461" t="s">
        <v>1555</v>
      </c>
      <c r="C727" s="468" t="s">
        <v>1555</v>
      </c>
      <c r="D727" s="468" t="s">
        <v>1555</v>
      </c>
      <c r="E727" s="468" t="s">
        <v>5274</v>
      </c>
      <c r="F727" s="461" t="s">
        <v>5275</v>
      </c>
      <c r="G727" s="461" t="s">
        <v>1555</v>
      </c>
      <c r="H727" s="461" t="s">
        <v>5276</v>
      </c>
      <c r="I727" s="461" t="s">
        <v>5277</v>
      </c>
      <c r="J727" s="461" t="s">
        <v>5278</v>
      </c>
      <c r="K727" s="461" t="s">
        <v>7450</v>
      </c>
      <c r="L727" s="461" t="s">
        <v>12355</v>
      </c>
      <c r="M727" s="469" t="s">
        <v>8074</v>
      </c>
    </row>
    <row r="728" spans="1:13">
      <c r="A728" s="465" t="s">
        <v>2754</v>
      </c>
      <c r="B728" s="465" t="s">
        <v>2755</v>
      </c>
      <c r="C728" s="466" t="s">
        <v>2755</v>
      </c>
      <c r="D728" s="466" t="s">
        <v>2755</v>
      </c>
      <c r="E728" s="466" t="s">
        <v>5279</v>
      </c>
      <c r="F728" s="465" t="s">
        <v>5280</v>
      </c>
      <c r="G728" s="465" t="s">
        <v>2755</v>
      </c>
      <c r="H728" s="465" t="s">
        <v>5281</v>
      </c>
      <c r="I728" s="465" t="s">
        <v>5282</v>
      </c>
      <c r="J728" s="465" t="s">
        <v>12316</v>
      </c>
      <c r="K728" s="465" t="s">
        <v>7451</v>
      </c>
      <c r="L728" s="465" t="s">
        <v>12317</v>
      </c>
      <c r="M728" s="467" t="s">
        <v>8075</v>
      </c>
    </row>
    <row r="729" spans="1:13">
      <c r="A729" s="461" t="s">
        <v>2266</v>
      </c>
      <c r="B729" s="461" t="s">
        <v>961</v>
      </c>
      <c r="C729" s="468" t="s">
        <v>587</v>
      </c>
      <c r="D729" s="468" t="s">
        <v>962</v>
      </c>
      <c r="E729" s="468" t="s">
        <v>4744</v>
      </c>
      <c r="F729" s="461" t="s">
        <v>4001</v>
      </c>
      <c r="G729" s="461" t="s">
        <v>4002</v>
      </c>
      <c r="H729" s="461" t="s">
        <v>4745</v>
      </c>
      <c r="I729" s="461" t="s">
        <v>4025</v>
      </c>
      <c r="J729" s="461" t="s">
        <v>4005</v>
      </c>
      <c r="K729" s="471" t="s">
        <v>7373</v>
      </c>
      <c r="L729" s="461" t="s">
        <v>8636</v>
      </c>
      <c r="M729" s="469" t="s">
        <v>7879</v>
      </c>
    </row>
    <row r="730" spans="1:13">
      <c r="A730" s="465" t="s">
        <v>2268</v>
      </c>
      <c r="B730" s="465" t="s">
        <v>2535</v>
      </c>
      <c r="C730" s="466" t="s">
        <v>358</v>
      </c>
      <c r="D730" s="466" t="s">
        <v>360</v>
      </c>
      <c r="E730" s="466" t="s">
        <v>3654</v>
      </c>
      <c r="F730" s="465" t="s">
        <v>3655</v>
      </c>
      <c r="G730" s="465" t="s">
        <v>4017</v>
      </c>
      <c r="H730" s="465" t="s">
        <v>3654</v>
      </c>
      <c r="I730" s="465" t="s">
        <v>4758</v>
      </c>
      <c r="J730" s="465" t="s">
        <v>4757</v>
      </c>
      <c r="K730" s="470" t="s">
        <v>7252</v>
      </c>
      <c r="L730" s="465" t="s">
        <v>8468</v>
      </c>
      <c r="M730" s="467" t="s">
        <v>7877</v>
      </c>
    </row>
    <row r="731" spans="1:13">
      <c r="A731" s="461" t="s">
        <v>1736</v>
      </c>
      <c r="B731" s="461" t="s">
        <v>1737</v>
      </c>
      <c r="C731" s="468" t="s">
        <v>1737</v>
      </c>
      <c r="D731" s="468" t="s">
        <v>1737</v>
      </c>
      <c r="E731" s="468" t="s">
        <v>5691</v>
      </c>
      <c r="F731" s="461" t="s">
        <v>5692</v>
      </c>
      <c r="G731" s="461" t="s">
        <v>1737</v>
      </c>
      <c r="H731" s="468" t="s">
        <v>5693</v>
      </c>
      <c r="I731" s="461" t="s">
        <v>5694</v>
      </c>
      <c r="J731" s="461" t="s">
        <v>5695</v>
      </c>
      <c r="K731" s="471" t="s">
        <v>7533</v>
      </c>
      <c r="L731" s="461" t="s">
        <v>1737</v>
      </c>
      <c r="M731" s="469" t="s">
        <v>8158</v>
      </c>
    </row>
    <row r="732" spans="1:13">
      <c r="A732" s="465" t="s">
        <v>1738</v>
      </c>
      <c r="B732" s="465" t="s">
        <v>1739</v>
      </c>
      <c r="C732" s="466" t="s">
        <v>1739</v>
      </c>
      <c r="D732" s="466" t="s">
        <v>1739</v>
      </c>
      <c r="E732" s="466" t="s">
        <v>5696</v>
      </c>
      <c r="F732" s="465" t="s">
        <v>5697</v>
      </c>
      <c r="G732" s="465" t="s">
        <v>1739</v>
      </c>
      <c r="H732" s="465" t="s">
        <v>5698</v>
      </c>
      <c r="I732" s="465" t="s">
        <v>5699</v>
      </c>
      <c r="J732" s="465" t="s">
        <v>5700</v>
      </c>
      <c r="K732" s="465" t="s">
        <v>7534</v>
      </c>
      <c r="L732" s="465" t="s">
        <v>8706</v>
      </c>
      <c r="M732" s="467" t="s">
        <v>8159</v>
      </c>
    </row>
    <row r="733" spans="1:13">
      <c r="A733" s="461" t="s">
        <v>191</v>
      </c>
      <c r="B733" s="461" t="s">
        <v>195</v>
      </c>
      <c r="C733" s="468" t="s">
        <v>194</v>
      </c>
      <c r="D733" s="468" t="s">
        <v>196</v>
      </c>
      <c r="E733" s="468" t="s">
        <v>3145</v>
      </c>
      <c r="F733" s="461" t="s">
        <v>3146</v>
      </c>
      <c r="G733" s="461" t="s">
        <v>3147</v>
      </c>
      <c r="H733" s="461" t="s">
        <v>3148</v>
      </c>
      <c r="I733" s="461" t="s">
        <v>3149</v>
      </c>
      <c r="J733" s="461" t="s">
        <v>3150</v>
      </c>
      <c r="K733" s="461" t="s">
        <v>7180</v>
      </c>
      <c r="L733" s="461" t="s">
        <v>8397</v>
      </c>
      <c r="M733" s="469" t="s">
        <v>7745</v>
      </c>
    </row>
    <row r="734" spans="1:13">
      <c r="A734" s="465" t="s">
        <v>10490</v>
      </c>
      <c r="B734" s="465" t="s">
        <v>10524</v>
      </c>
      <c r="C734" s="466" t="s">
        <v>10525</v>
      </c>
      <c r="D734" s="466" t="s">
        <v>10526</v>
      </c>
      <c r="E734" s="466" t="s">
        <v>10527</v>
      </c>
      <c r="F734" s="465" t="s">
        <v>10528</v>
      </c>
      <c r="G734" s="465" t="s">
        <v>10529</v>
      </c>
      <c r="H734" s="465" t="s">
        <v>10530</v>
      </c>
      <c r="I734" s="465" t="s">
        <v>10531</v>
      </c>
      <c r="J734" s="465" t="s">
        <v>10532</v>
      </c>
      <c r="K734" s="465" t="s">
        <v>10534</v>
      </c>
      <c r="L734" s="465" t="s">
        <v>10535</v>
      </c>
      <c r="M734" s="467" t="s">
        <v>10533</v>
      </c>
    </row>
    <row r="735" spans="1:13">
      <c r="A735" s="461" t="s">
        <v>197</v>
      </c>
      <c r="B735" s="461" t="s">
        <v>200</v>
      </c>
      <c r="C735" s="468" t="s">
        <v>199</v>
      </c>
      <c r="D735" s="468" t="s">
        <v>201</v>
      </c>
      <c r="E735" s="468" t="s">
        <v>3151</v>
      </c>
      <c r="F735" s="461" t="s">
        <v>3152</v>
      </c>
      <c r="G735" s="461" t="s">
        <v>3153</v>
      </c>
      <c r="H735" s="461" t="s">
        <v>3154</v>
      </c>
      <c r="I735" s="461" t="s">
        <v>3155</v>
      </c>
      <c r="J735" s="461" t="s">
        <v>3156</v>
      </c>
      <c r="K735" s="461" t="s">
        <v>7181</v>
      </c>
      <c r="L735" s="461" t="s">
        <v>8398</v>
      </c>
      <c r="M735" s="469" t="s">
        <v>7746</v>
      </c>
    </row>
    <row r="736" spans="1:13">
      <c r="A736" s="472" t="s">
        <v>3163</v>
      </c>
      <c r="B736" s="465" t="s">
        <v>200</v>
      </c>
      <c r="C736" s="466" t="s">
        <v>199</v>
      </c>
      <c r="D736" s="466" t="s">
        <v>201</v>
      </c>
      <c r="E736" s="466" t="s">
        <v>3151</v>
      </c>
      <c r="F736" s="465" t="s">
        <v>3152</v>
      </c>
      <c r="G736" s="465" t="s">
        <v>3153</v>
      </c>
      <c r="H736" s="465" t="s">
        <v>3154</v>
      </c>
      <c r="I736" s="465" t="s">
        <v>3155</v>
      </c>
      <c r="J736" s="465" t="s">
        <v>3156</v>
      </c>
      <c r="K736" s="465" t="s">
        <v>7181</v>
      </c>
      <c r="L736" s="465" t="s">
        <v>8398</v>
      </c>
      <c r="M736" s="467" t="s">
        <v>7748</v>
      </c>
    </row>
    <row r="737" spans="1:13">
      <c r="A737" s="472" t="s">
        <v>202</v>
      </c>
      <c r="B737" s="461" t="s">
        <v>204</v>
      </c>
      <c r="C737" s="468" t="s">
        <v>203</v>
      </c>
      <c r="D737" s="468" t="s">
        <v>205</v>
      </c>
      <c r="E737" s="468" t="s">
        <v>3157</v>
      </c>
      <c r="F737" s="461" t="s">
        <v>3158</v>
      </c>
      <c r="G737" s="461" t="s">
        <v>3159</v>
      </c>
      <c r="H737" s="461" t="s">
        <v>3160</v>
      </c>
      <c r="I737" s="461" t="s">
        <v>3161</v>
      </c>
      <c r="J737" s="461" t="s">
        <v>3162</v>
      </c>
      <c r="K737" s="461" t="s">
        <v>7182</v>
      </c>
      <c r="L737" s="461" t="s">
        <v>8399</v>
      </c>
      <c r="M737" s="469" t="s">
        <v>7747</v>
      </c>
    </row>
    <row r="738" spans="1:13">
      <c r="A738" s="465" t="s">
        <v>3164</v>
      </c>
      <c r="B738" s="465" t="s">
        <v>204</v>
      </c>
      <c r="C738" s="466" t="s">
        <v>203</v>
      </c>
      <c r="D738" s="466" t="s">
        <v>205</v>
      </c>
      <c r="E738" s="466" t="s">
        <v>3157</v>
      </c>
      <c r="F738" s="465" t="s">
        <v>3158</v>
      </c>
      <c r="G738" s="465" t="s">
        <v>3159</v>
      </c>
      <c r="H738" s="465" t="s">
        <v>3160</v>
      </c>
      <c r="I738" s="465" t="s">
        <v>3161</v>
      </c>
      <c r="J738" s="465" t="s">
        <v>3162</v>
      </c>
      <c r="K738" s="465" t="s">
        <v>7182</v>
      </c>
      <c r="L738" s="465" t="s">
        <v>8399</v>
      </c>
      <c r="M738" s="467" t="s">
        <v>7747</v>
      </c>
    </row>
    <row r="739" spans="1:13">
      <c r="A739" s="461" t="s">
        <v>2226</v>
      </c>
      <c r="B739" s="461" t="s">
        <v>2505</v>
      </c>
      <c r="C739" s="468" t="s">
        <v>2603</v>
      </c>
      <c r="D739" s="468" t="s">
        <v>2677</v>
      </c>
      <c r="E739" s="468" t="s">
        <v>3165</v>
      </c>
      <c r="F739" s="461" t="s">
        <v>3166</v>
      </c>
      <c r="G739" s="461" t="s">
        <v>3167</v>
      </c>
      <c r="H739" s="461" t="s">
        <v>3165</v>
      </c>
      <c r="I739" s="461" t="s">
        <v>3168</v>
      </c>
      <c r="J739" s="461" t="s">
        <v>3169</v>
      </c>
      <c r="K739" s="461" t="s">
        <v>7183</v>
      </c>
      <c r="L739" s="461" t="s">
        <v>8400</v>
      </c>
      <c r="M739" s="469" t="s">
        <v>7749</v>
      </c>
    </row>
    <row r="740" spans="1:13">
      <c r="A740" s="465" t="s">
        <v>4294</v>
      </c>
      <c r="B740" s="465" t="s">
        <v>9390</v>
      </c>
      <c r="C740" s="466" t="s">
        <v>4295</v>
      </c>
      <c r="D740" s="466" t="s">
        <v>4296</v>
      </c>
      <c r="E740" s="466" t="s">
        <v>4297</v>
      </c>
      <c r="F740" s="465" t="s">
        <v>4298</v>
      </c>
      <c r="G740" s="465" t="s">
        <v>12315</v>
      </c>
      <c r="H740" s="465" t="s">
        <v>4299</v>
      </c>
      <c r="I740" s="465" t="s">
        <v>4300</v>
      </c>
      <c r="J740" s="465" t="s">
        <v>4301</v>
      </c>
      <c r="K740" s="470" t="s">
        <v>7347</v>
      </c>
      <c r="L740" s="465" t="s">
        <v>8563</v>
      </c>
      <c r="M740" s="467" t="s">
        <v>7917</v>
      </c>
    </row>
    <row r="741" spans="1:13">
      <c r="A741" s="473" t="s">
        <v>920</v>
      </c>
      <c r="B741" s="461" t="s">
        <v>923</v>
      </c>
      <c r="C741" s="468" t="s">
        <v>922</v>
      </c>
      <c r="D741" s="468" t="s">
        <v>924</v>
      </c>
      <c r="E741" s="468" t="s">
        <v>4678</v>
      </c>
      <c r="F741" s="461" t="s">
        <v>4679</v>
      </c>
      <c r="G741" s="461" t="s">
        <v>4680</v>
      </c>
      <c r="H741" s="461" t="s">
        <v>4681</v>
      </c>
      <c r="I741" s="461" t="s">
        <v>4682</v>
      </c>
      <c r="J741" s="461" t="s">
        <v>4683</v>
      </c>
      <c r="K741" s="471" t="s">
        <v>12356</v>
      </c>
      <c r="L741" s="461" t="s">
        <v>8626</v>
      </c>
      <c r="M741" s="469" t="s">
        <v>7981</v>
      </c>
    </row>
    <row r="742" spans="1:13">
      <c r="A742" s="465" t="s">
        <v>429</v>
      </c>
      <c r="B742" s="465" t="s">
        <v>432</v>
      </c>
      <c r="C742" s="466" t="s">
        <v>431</v>
      </c>
      <c r="D742" s="466" t="s">
        <v>433</v>
      </c>
      <c r="E742" s="466" t="s">
        <v>3761</v>
      </c>
      <c r="F742" s="465" t="s">
        <v>3762</v>
      </c>
      <c r="G742" s="465" t="s">
        <v>3763</v>
      </c>
      <c r="H742" s="465" t="s">
        <v>3764</v>
      </c>
      <c r="I742" s="465" t="s">
        <v>3765</v>
      </c>
      <c r="J742" s="465" t="s">
        <v>3766</v>
      </c>
      <c r="K742" s="465" t="s">
        <v>7270</v>
      </c>
      <c r="L742" s="465" t="s">
        <v>8486</v>
      </c>
      <c r="M742" s="467" t="s">
        <v>7835</v>
      </c>
    </row>
    <row r="743" spans="1:13">
      <c r="A743" s="473" t="s">
        <v>2079</v>
      </c>
      <c r="B743" s="473" t="s">
        <v>10604</v>
      </c>
      <c r="C743" s="473" t="s">
        <v>10608</v>
      </c>
      <c r="D743" s="473" t="s">
        <v>10610</v>
      </c>
      <c r="E743" s="473" t="s">
        <v>10612</v>
      </c>
      <c r="F743" s="473" t="s">
        <v>10614</v>
      </c>
      <c r="G743" s="473" t="s">
        <v>10616</v>
      </c>
      <c r="H743" s="473" t="s">
        <v>10606</v>
      </c>
      <c r="I743" s="473" t="s">
        <v>10618</v>
      </c>
      <c r="J743" s="473" t="s">
        <v>10620</v>
      </c>
      <c r="K743" s="473" t="s">
        <v>10622</v>
      </c>
      <c r="L743" s="473" t="s">
        <v>10624</v>
      </c>
      <c r="M743" s="474" t="s">
        <v>10626</v>
      </c>
    </row>
    <row r="744" spans="1:13">
      <c r="A744" s="465" t="s">
        <v>446</v>
      </c>
      <c r="B744" s="465" t="s">
        <v>448</v>
      </c>
      <c r="C744" s="466" t="s">
        <v>447</v>
      </c>
      <c r="D744" s="466" t="s">
        <v>449</v>
      </c>
      <c r="E744" s="466" t="s">
        <v>3779</v>
      </c>
      <c r="F744" s="465" t="s">
        <v>3780</v>
      </c>
      <c r="G744" s="465" t="s">
        <v>3781</v>
      </c>
      <c r="H744" s="465" t="s">
        <v>3782</v>
      </c>
      <c r="I744" s="465" t="s">
        <v>3783</v>
      </c>
      <c r="J744" s="465" t="s">
        <v>3784</v>
      </c>
      <c r="K744" s="465" t="s">
        <v>7273</v>
      </c>
      <c r="L744" s="465" t="s">
        <v>8489</v>
      </c>
      <c r="M744" s="467" t="s">
        <v>7838</v>
      </c>
    </row>
    <row r="745" spans="1:13">
      <c r="A745" s="461" t="s">
        <v>453</v>
      </c>
      <c r="B745" s="461" t="s">
        <v>455</v>
      </c>
      <c r="C745" s="468" t="s">
        <v>454</v>
      </c>
      <c r="D745" s="468" t="s">
        <v>8765</v>
      </c>
      <c r="E745" s="468" t="s">
        <v>3792</v>
      </c>
      <c r="F745" s="461" t="s">
        <v>3793</v>
      </c>
      <c r="G745" s="461" t="s">
        <v>3794</v>
      </c>
      <c r="H745" s="461" t="s">
        <v>3795</v>
      </c>
      <c r="I745" s="461" t="s">
        <v>3796</v>
      </c>
      <c r="J745" s="461" t="s">
        <v>3797</v>
      </c>
      <c r="K745" s="471" t="s">
        <v>7275</v>
      </c>
      <c r="L745" s="461" t="s">
        <v>8491</v>
      </c>
      <c r="M745" s="469" t="s">
        <v>7840</v>
      </c>
    </row>
    <row r="746" spans="1:13">
      <c r="A746" s="465" t="s">
        <v>482</v>
      </c>
      <c r="B746" s="465" t="s">
        <v>484</v>
      </c>
      <c r="C746" s="466" t="s">
        <v>483</v>
      </c>
      <c r="D746" s="466" t="s">
        <v>8775</v>
      </c>
      <c r="E746" s="466" t="s">
        <v>3852</v>
      </c>
      <c r="F746" s="465" t="s">
        <v>3853</v>
      </c>
      <c r="G746" s="465" t="s">
        <v>3854</v>
      </c>
      <c r="H746" s="465" t="s">
        <v>3855</v>
      </c>
      <c r="I746" s="465" t="s">
        <v>3856</v>
      </c>
      <c r="J746" s="465" t="s">
        <v>3857</v>
      </c>
      <c r="K746" s="465" t="s">
        <v>7285</v>
      </c>
      <c r="L746" s="465" t="s">
        <v>8501</v>
      </c>
      <c r="M746" s="467" t="s">
        <v>7850</v>
      </c>
    </row>
    <row r="747" spans="1:13">
      <c r="A747" s="461" t="s">
        <v>456</v>
      </c>
      <c r="B747" s="461" t="s">
        <v>458</v>
      </c>
      <c r="C747" s="468" t="s">
        <v>457</v>
      </c>
      <c r="D747" s="468" t="s">
        <v>8766</v>
      </c>
      <c r="E747" s="468" t="s">
        <v>3798</v>
      </c>
      <c r="F747" s="461" t="s">
        <v>3799</v>
      </c>
      <c r="G747" s="461" t="s">
        <v>3800</v>
      </c>
      <c r="H747" s="461" t="s">
        <v>3801</v>
      </c>
      <c r="I747" s="461" t="s">
        <v>3802</v>
      </c>
      <c r="J747" s="461" t="s">
        <v>3803</v>
      </c>
      <c r="K747" s="461" t="s">
        <v>7276</v>
      </c>
      <c r="L747" s="461" t="s">
        <v>8492</v>
      </c>
      <c r="M747" s="469" t="s">
        <v>7841</v>
      </c>
    </row>
    <row r="748" spans="1:13">
      <c r="A748" s="465" t="s">
        <v>459</v>
      </c>
      <c r="B748" s="465" t="s">
        <v>461</v>
      </c>
      <c r="C748" s="466" t="s">
        <v>460</v>
      </c>
      <c r="D748" s="466" t="s">
        <v>8767</v>
      </c>
      <c r="E748" s="466" t="s">
        <v>3804</v>
      </c>
      <c r="F748" s="465" t="s">
        <v>3805</v>
      </c>
      <c r="G748" s="465" t="s">
        <v>3806</v>
      </c>
      <c r="H748" s="465" t="s">
        <v>3807</v>
      </c>
      <c r="I748" s="465" t="s">
        <v>3808</v>
      </c>
      <c r="J748" s="465" t="s">
        <v>3809</v>
      </c>
      <c r="K748" s="465" t="s">
        <v>7277</v>
      </c>
      <c r="L748" s="465" t="s">
        <v>8493</v>
      </c>
      <c r="M748" s="467" t="s">
        <v>7842</v>
      </c>
    </row>
    <row r="749" spans="1:13">
      <c r="A749" s="461" t="s">
        <v>462</v>
      </c>
      <c r="B749" s="461" t="s">
        <v>464</v>
      </c>
      <c r="C749" s="468" t="s">
        <v>463</v>
      </c>
      <c r="D749" s="468" t="s">
        <v>8768</v>
      </c>
      <c r="E749" s="468" t="s">
        <v>3810</v>
      </c>
      <c r="F749" s="461" t="s">
        <v>3811</v>
      </c>
      <c r="G749" s="461" t="s">
        <v>3812</v>
      </c>
      <c r="H749" s="461" t="s">
        <v>3813</v>
      </c>
      <c r="I749" s="461" t="s">
        <v>3814</v>
      </c>
      <c r="J749" s="461" t="s">
        <v>3815</v>
      </c>
      <c r="K749" s="461" t="s">
        <v>7278</v>
      </c>
      <c r="L749" s="461" t="s">
        <v>8494</v>
      </c>
      <c r="M749" s="469" t="s">
        <v>7843</v>
      </c>
    </row>
    <row r="750" spans="1:13">
      <c r="A750" s="465" t="s">
        <v>465</v>
      </c>
      <c r="B750" s="465" t="s">
        <v>467</v>
      </c>
      <c r="C750" s="466" t="s">
        <v>466</v>
      </c>
      <c r="D750" s="466" t="s">
        <v>8769</v>
      </c>
      <c r="E750" s="466" t="s">
        <v>3816</v>
      </c>
      <c r="F750" s="465" t="s">
        <v>3817</v>
      </c>
      <c r="G750" s="465" t="s">
        <v>3818</v>
      </c>
      <c r="H750" s="465" t="s">
        <v>3819</v>
      </c>
      <c r="I750" s="465" t="s">
        <v>3820</v>
      </c>
      <c r="J750" s="465" t="s">
        <v>3821</v>
      </c>
      <c r="K750" s="465" t="s">
        <v>7279</v>
      </c>
      <c r="L750" s="465" t="s">
        <v>8495</v>
      </c>
      <c r="M750" s="467" t="s">
        <v>7844</v>
      </c>
    </row>
    <row r="751" spans="1:13">
      <c r="A751" s="461" t="s">
        <v>468</v>
      </c>
      <c r="B751" s="461" t="s">
        <v>470</v>
      </c>
      <c r="C751" s="468" t="s">
        <v>469</v>
      </c>
      <c r="D751" s="468" t="s">
        <v>8770</v>
      </c>
      <c r="E751" s="468" t="s">
        <v>3822</v>
      </c>
      <c r="F751" s="461" t="s">
        <v>3823</v>
      </c>
      <c r="G751" s="461" t="s">
        <v>3824</v>
      </c>
      <c r="H751" s="461" t="s">
        <v>3825</v>
      </c>
      <c r="I751" s="461" t="s">
        <v>3826</v>
      </c>
      <c r="J751" s="461" t="s">
        <v>3827</v>
      </c>
      <c r="K751" s="461" t="s">
        <v>7280</v>
      </c>
      <c r="L751" s="461" t="s">
        <v>8496</v>
      </c>
      <c r="M751" s="469" t="s">
        <v>7845</v>
      </c>
    </row>
    <row r="752" spans="1:13">
      <c r="A752" s="465" t="s">
        <v>471</v>
      </c>
      <c r="B752" s="465" t="s">
        <v>2512</v>
      </c>
      <c r="C752" s="466" t="s">
        <v>472</v>
      </c>
      <c r="D752" s="466" t="s">
        <v>8771</v>
      </c>
      <c r="E752" s="466" t="s">
        <v>3828</v>
      </c>
      <c r="F752" s="465" t="s">
        <v>3829</v>
      </c>
      <c r="G752" s="465" t="s">
        <v>3830</v>
      </c>
      <c r="H752" s="465" t="s">
        <v>3831</v>
      </c>
      <c r="I752" s="465" t="s">
        <v>3832</v>
      </c>
      <c r="J752" s="465" t="s">
        <v>3833</v>
      </c>
      <c r="K752" s="465" t="s">
        <v>7281</v>
      </c>
      <c r="L752" s="465" t="s">
        <v>8497</v>
      </c>
      <c r="M752" s="467" t="s">
        <v>7846</v>
      </c>
    </row>
    <row r="753" spans="1:13">
      <c r="A753" s="461" t="s">
        <v>473</v>
      </c>
      <c r="B753" s="461" t="s">
        <v>475</v>
      </c>
      <c r="C753" s="468" t="s">
        <v>474</v>
      </c>
      <c r="D753" s="468" t="s">
        <v>8772</v>
      </c>
      <c r="E753" s="468" t="s">
        <v>3834</v>
      </c>
      <c r="F753" s="461" t="s">
        <v>3835</v>
      </c>
      <c r="G753" s="461" t="s">
        <v>3836</v>
      </c>
      <c r="H753" s="461" t="s">
        <v>3837</v>
      </c>
      <c r="I753" s="461" t="s">
        <v>3838</v>
      </c>
      <c r="J753" s="461" t="s">
        <v>3839</v>
      </c>
      <c r="K753" s="461" t="s">
        <v>7282</v>
      </c>
      <c r="L753" s="461" t="s">
        <v>8498</v>
      </c>
      <c r="M753" s="469" t="s">
        <v>7847</v>
      </c>
    </row>
    <row r="754" spans="1:13">
      <c r="A754" s="465" t="s">
        <v>476</v>
      </c>
      <c r="B754" s="465" t="s">
        <v>478</v>
      </c>
      <c r="C754" s="466" t="s">
        <v>477</v>
      </c>
      <c r="D754" s="466" t="s">
        <v>8773</v>
      </c>
      <c r="E754" s="466" t="s">
        <v>3840</v>
      </c>
      <c r="F754" s="465" t="s">
        <v>3841</v>
      </c>
      <c r="G754" s="465" t="s">
        <v>3842</v>
      </c>
      <c r="H754" s="465" t="s">
        <v>3843</v>
      </c>
      <c r="I754" s="465" t="s">
        <v>3844</v>
      </c>
      <c r="J754" s="465" t="s">
        <v>3845</v>
      </c>
      <c r="K754" s="465" t="s">
        <v>7283</v>
      </c>
      <c r="L754" s="465" t="s">
        <v>8499</v>
      </c>
      <c r="M754" s="467" t="s">
        <v>7848</v>
      </c>
    </row>
    <row r="755" spans="1:13">
      <c r="A755" s="461" t="s">
        <v>479</v>
      </c>
      <c r="B755" s="461" t="s">
        <v>481</v>
      </c>
      <c r="C755" s="468" t="s">
        <v>480</v>
      </c>
      <c r="D755" s="468" t="s">
        <v>8774</v>
      </c>
      <c r="E755" s="468" t="s">
        <v>3846</v>
      </c>
      <c r="F755" s="461" t="s">
        <v>3847</v>
      </c>
      <c r="G755" s="461" t="s">
        <v>3848</v>
      </c>
      <c r="H755" s="461" t="s">
        <v>3849</v>
      </c>
      <c r="I755" s="461" t="s">
        <v>3850</v>
      </c>
      <c r="J755" s="461" t="s">
        <v>3851</v>
      </c>
      <c r="K755" s="461" t="s">
        <v>7284</v>
      </c>
      <c r="L755" s="461" t="s">
        <v>8500</v>
      </c>
      <c r="M755" s="469" t="s">
        <v>7849</v>
      </c>
    </row>
    <row r="756" spans="1:13">
      <c r="A756" s="465" t="s">
        <v>434</v>
      </c>
      <c r="B756" s="465" t="s">
        <v>437</v>
      </c>
      <c r="C756" s="466" t="s">
        <v>436</v>
      </c>
      <c r="D756" s="466" t="s">
        <v>438</v>
      </c>
      <c r="E756" s="466" t="s">
        <v>3767</v>
      </c>
      <c r="F756" s="465" t="s">
        <v>3768</v>
      </c>
      <c r="G756" s="465" t="s">
        <v>3769</v>
      </c>
      <c r="H756" s="465" t="s">
        <v>3770</v>
      </c>
      <c r="I756" s="465" t="s">
        <v>3771</v>
      </c>
      <c r="J756" s="465" t="s">
        <v>3772</v>
      </c>
      <c r="K756" s="465" t="s">
        <v>7271</v>
      </c>
      <c r="L756" s="465" t="s">
        <v>8487</v>
      </c>
      <c r="M756" s="467" t="s">
        <v>7836</v>
      </c>
    </row>
    <row r="757" spans="1:13">
      <c r="A757" s="461" t="s">
        <v>452</v>
      </c>
      <c r="B757" s="461" t="s">
        <v>437</v>
      </c>
      <c r="C757" s="468" t="s">
        <v>436</v>
      </c>
      <c r="D757" s="468" t="s">
        <v>438</v>
      </c>
      <c r="E757" s="468" t="s">
        <v>3767</v>
      </c>
      <c r="F757" s="461" t="s">
        <v>3768</v>
      </c>
      <c r="G757" s="461" t="s">
        <v>3769</v>
      </c>
      <c r="H757" s="461" t="s">
        <v>3790</v>
      </c>
      <c r="I757" s="461" t="s">
        <v>3771</v>
      </c>
      <c r="J757" s="461" t="s">
        <v>3791</v>
      </c>
      <c r="K757" s="461" t="s">
        <v>7271</v>
      </c>
      <c r="L757" s="461" t="s">
        <v>8487</v>
      </c>
      <c r="M757" s="469" t="s">
        <v>7836</v>
      </c>
    </row>
    <row r="758" spans="1:13">
      <c r="A758" s="465" t="s">
        <v>450</v>
      </c>
      <c r="B758" s="465" t="s">
        <v>440</v>
      </c>
      <c r="C758" s="466" t="s">
        <v>439</v>
      </c>
      <c r="D758" s="466" t="s">
        <v>451</v>
      </c>
      <c r="E758" s="466" t="s">
        <v>3785</v>
      </c>
      <c r="F758" s="465" t="s">
        <v>3786</v>
      </c>
      <c r="G758" s="465" t="s">
        <v>3787</v>
      </c>
      <c r="H758" s="465" t="s">
        <v>3770</v>
      </c>
      <c r="I758" s="465" t="s">
        <v>3788</v>
      </c>
      <c r="J758" s="465" t="s">
        <v>3789</v>
      </c>
      <c r="K758" s="465" t="s">
        <v>7274</v>
      </c>
      <c r="L758" s="465" t="s">
        <v>8490</v>
      </c>
      <c r="M758" s="467" t="s">
        <v>7839</v>
      </c>
    </row>
    <row r="759" spans="1:13">
      <c r="A759" s="461" t="s">
        <v>441</v>
      </c>
      <c r="B759" s="461" t="s">
        <v>444</v>
      </c>
      <c r="C759" s="468" t="s">
        <v>443</v>
      </c>
      <c r="D759" s="468" t="s">
        <v>445</v>
      </c>
      <c r="E759" s="468" t="s">
        <v>3773</v>
      </c>
      <c r="F759" s="461" t="s">
        <v>3774</v>
      </c>
      <c r="G759" s="461" t="s">
        <v>3775</v>
      </c>
      <c r="H759" s="461" t="s">
        <v>3776</v>
      </c>
      <c r="I759" s="461" t="s">
        <v>3777</v>
      </c>
      <c r="J759" s="461" t="s">
        <v>3778</v>
      </c>
      <c r="K759" s="461" t="s">
        <v>7272</v>
      </c>
      <c r="L759" s="461" t="s">
        <v>8488</v>
      </c>
      <c r="M759" s="469" t="s">
        <v>7837</v>
      </c>
    </row>
    <row r="760" spans="1:13">
      <c r="A760" s="465" t="s">
        <v>89</v>
      </c>
      <c r="B760" s="465" t="s">
        <v>91</v>
      </c>
      <c r="C760" s="466" t="s">
        <v>90</v>
      </c>
      <c r="D760" s="466" t="s">
        <v>92</v>
      </c>
      <c r="E760" s="466" t="s">
        <v>2905</v>
      </c>
      <c r="F760" s="465" t="s">
        <v>2906</v>
      </c>
      <c r="G760" s="465" t="s">
        <v>2907</v>
      </c>
      <c r="H760" s="465" t="s">
        <v>2908</v>
      </c>
      <c r="I760" s="465" t="s">
        <v>2909</v>
      </c>
      <c r="J760" s="465" t="s">
        <v>2910</v>
      </c>
      <c r="K760" s="465" t="s">
        <v>7143</v>
      </c>
      <c r="L760" s="465" t="s">
        <v>8363</v>
      </c>
      <c r="M760" s="467" t="s">
        <v>7708</v>
      </c>
    </row>
    <row r="761" spans="1:13">
      <c r="A761" s="461" t="s">
        <v>93</v>
      </c>
      <c r="B761" s="461" t="s">
        <v>91</v>
      </c>
      <c r="C761" s="468" t="s">
        <v>90</v>
      </c>
      <c r="D761" s="468" t="s">
        <v>92</v>
      </c>
      <c r="E761" s="468" t="s">
        <v>2905</v>
      </c>
      <c r="F761" s="461" t="s">
        <v>2906</v>
      </c>
      <c r="G761" s="461" t="s">
        <v>2907</v>
      </c>
      <c r="H761" s="461" t="s">
        <v>2908</v>
      </c>
      <c r="I761" s="461" t="s">
        <v>2909</v>
      </c>
      <c r="J761" s="461" t="s">
        <v>2910</v>
      </c>
      <c r="K761" s="461" t="s">
        <v>7143</v>
      </c>
      <c r="L761" s="461" t="s">
        <v>8363</v>
      </c>
      <c r="M761" s="469" t="s">
        <v>7708</v>
      </c>
    </row>
    <row r="762" spans="1:13">
      <c r="A762" s="465" t="s">
        <v>2212</v>
      </c>
      <c r="B762" s="465" t="s">
        <v>2495</v>
      </c>
      <c r="C762" s="466" t="s">
        <v>2592</v>
      </c>
      <c r="D762" s="466" t="s">
        <v>2671</v>
      </c>
      <c r="E762" s="466" t="s">
        <v>2841</v>
      </c>
      <c r="F762" s="465" t="s">
        <v>2842</v>
      </c>
      <c r="G762" s="465" t="s">
        <v>2843</v>
      </c>
      <c r="H762" s="465" t="s">
        <v>2844</v>
      </c>
      <c r="I762" s="465" t="s">
        <v>2845</v>
      </c>
      <c r="J762" s="465" t="s">
        <v>2846</v>
      </c>
      <c r="K762" s="465" t="s">
        <v>7133</v>
      </c>
      <c r="L762" s="465" t="s">
        <v>8353</v>
      </c>
      <c r="M762" s="467" t="s">
        <v>7698</v>
      </c>
    </row>
    <row r="763" spans="1:13">
      <c r="A763" s="461" t="s">
        <v>2375</v>
      </c>
      <c r="B763" s="461" t="s">
        <v>2495</v>
      </c>
      <c r="C763" s="468" t="s">
        <v>2592</v>
      </c>
      <c r="D763" s="468" t="s">
        <v>2671</v>
      </c>
      <c r="E763" s="468" t="s">
        <v>2841</v>
      </c>
      <c r="F763" s="461" t="s">
        <v>2842</v>
      </c>
      <c r="G763" s="461" t="s">
        <v>2843</v>
      </c>
      <c r="H763" s="461" t="s">
        <v>2844</v>
      </c>
      <c r="I763" s="461" t="s">
        <v>2845</v>
      </c>
      <c r="J763" s="461" t="s">
        <v>2846</v>
      </c>
      <c r="K763" s="461" t="s">
        <v>7133</v>
      </c>
      <c r="L763" s="461" t="s">
        <v>8353</v>
      </c>
      <c r="M763" s="469" t="s">
        <v>7698</v>
      </c>
    </row>
    <row r="764" spans="1:13">
      <c r="A764" s="472" t="s">
        <v>75</v>
      </c>
      <c r="B764" s="465" t="s">
        <v>77</v>
      </c>
      <c r="C764" s="466" t="s">
        <v>76</v>
      </c>
      <c r="D764" s="466" t="s">
        <v>78</v>
      </c>
      <c r="E764" s="466" t="s">
        <v>2892</v>
      </c>
      <c r="F764" s="465" t="s">
        <v>2893</v>
      </c>
      <c r="G764" s="465" t="s">
        <v>2894</v>
      </c>
      <c r="H764" s="465" t="s">
        <v>2895</v>
      </c>
      <c r="I764" s="465" t="s">
        <v>2896</v>
      </c>
      <c r="J764" s="465" t="s">
        <v>2897</v>
      </c>
      <c r="K764" s="465" t="s">
        <v>7141</v>
      </c>
      <c r="L764" s="465" t="s">
        <v>8361</v>
      </c>
      <c r="M764" s="467" t="s">
        <v>7706</v>
      </c>
    </row>
    <row r="765" spans="1:13">
      <c r="A765" s="472" t="s">
        <v>79</v>
      </c>
      <c r="B765" s="461" t="s">
        <v>12997</v>
      </c>
      <c r="C765" s="468" t="s">
        <v>12998</v>
      </c>
      <c r="D765" s="468" t="s">
        <v>78</v>
      </c>
      <c r="E765" s="468" t="s">
        <v>12999</v>
      </c>
      <c r="F765" s="461" t="s">
        <v>13000</v>
      </c>
      <c r="G765" s="461" t="s">
        <v>13001</v>
      </c>
      <c r="H765" s="461" t="s">
        <v>13002</v>
      </c>
      <c r="I765" s="461" t="s">
        <v>13003</v>
      </c>
      <c r="J765" s="461" t="s">
        <v>13004</v>
      </c>
      <c r="K765" s="461" t="s">
        <v>13005</v>
      </c>
      <c r="L765" s="461" t="s">
        <v>13006</v>
      </c>
      <c r="M765" s="469" t="s">
        <v>13007</v>
      </c>
    </row>
    <row r="766" spans="1:13">
      <c r="A766" s="465" t="s">
        <v>2214</v>
      </c>
      <c r="B766" s="465" t="s">
        <v>2496</v>
      </c>
      <c r="C766" s="466" t="s">
        <v>2593</v>
      </c>
      <c r="D766" s="466" t="s">
        <v>2672</v>
      </c>
      <c r="E766" s="466" t="s">
        <v>2853</v>
      </c>
      <c r="F766" s="465" t="s">
        <v>2854</v>
      </c>
      <c r="G766" s="465" t="s">
        <v>2855</v>
      </c>
      <c r="H766" s="465" t="s">
        <v>2856</v>
      </c>
      <c r="I766" s="465" t="s">
        <v>2857</v>
      </c>
      <c r="J766" s="465" t="s">
        <v>2858</v>
      </c>
      <c r="K766" s="465" t="s">
        <v>7135</v>
      </c>
      <c r="L766" s="465" t="s">
        <v>8355</v>
      </c>
      <c r="M766" s="467" t="s">
        <v>7700</v>
      </c>
    </row>
    <row r="767" spans="1:13">
      <c r="A767" s="461" t="s">
        <v>9066</v>
      </c>
      <c r="B767" s="461" t="s">
        <v>9314</v>
      </c>
      <c r="C767" s="468" t="s">
        <v>9313</v>
      </c>
      <c r="D767" s="468" t="s">
        <v>9315</v>
      </c>
      <c r="E767" s="468" t="s">
        <v>2911</v>
      </c>
      <c r="F767" s="461" t="s">
        <v>9316</v>
      </c>
      <c r="G767" s="461" t="s">
        <v>9317</v>
      </c>
      <c r="H767" s="461" t="s">
        <v>2914</v>
      </c>
      <c r="I767" s="461" t="s">
        <v>2915</v>
      </c>
      <c r="J767" s="461" t="s">
        <v>2916</v>
      </c>
      <c r="K767" s="461" t="s">
        <v>7144</v>
      </c>
      <c r="L767" s="461" t="s">
        <v>8364</v>
      </c>
      <c r="M767" s="469" t="s">
        <v>7709</v>
      </c>
    </row>
    <row r="768" spans="1:13">
      <c r="A768" s="465" t="s">
        <v>9142</v>
      </c>
      <c r="B768" s="465" t="s">
        <v>9319</v>
      </c>
      <c r="C768" s="466" t="s">
        <v>9318</v>
      </c>
      <c r="D768" s="466" t="s">
        <v>10431</v>
      </c>
      <c r="E768" s="466" t="s">
        <v>10423</v>
      </c>
      <c r="F768" s="465" t="s">
        <v>10424</v>
      </c>
      <c r="G768" s="465" t="s">
        <v>10425</v>
      </c>
      <c r="H768" s="465" t="s">
        <v>10423</v>
      </c>
      <c r="I768" s="465" t="s">
        <v>10426</v>
      </c>
      <c r="J768" s="465" t="s">
        <v>10430</v>
      </c>
      <c r="K768" s="470" t="s">
        <v>10427</v>
      </c>
      <c r="L768" s="465" t="s">
        <v>10428</v>
      </c>
      <c r="M768" s="467" t="s">
        <v>10429</v>
      </c>
    </row>
    <row r="769" spans="1:13">
      <c r="A769" s="461" t="s">
        <v>97</v>
      </c>
      <c r="B769" s="461" t="s">
        <v>95</v>
      </c>
      <c r="C769" s="468" t="s">
        <v>94</v>
      </c>
      <c r="D769" s="468" t="s">
        <v>96</v>
      </c>
      <c r="E769" s="468" t="s">
        <v>2911</v>
      </c>
      <c r="F769" s="461" t="s">
        <v>2912</v>
      </c>
      <c r="G769" s="461" t="s">
        <v>2913</v>
      </c>
      <c r="H769" s="461" t="s">
        <v>2914</v>
      </c>
      <c r="I769" s="461" t="s">
        <v>2915</v>
      </c>
      <c r="J769" s="461" t="s">
        <v>2916</v>
      </c>
      <c r="K769" s="471" t="s">
        <v>7144</v>
      </c>
      <c r="L769" s="461" t="s">
        <v>8364</v>
      </c>
      <c r="M769" s="469" t="s">
        <v>7709</v>
      </c>
    </row>
    <row r="770" spans="1:13">
      <c r="A770" s="475" t="s">
        <v>11185</v>
      </c>
      <c r="B770" s="475" t="s">
        <v>11384</v>
      </c>
      <c r="C770" s="475" t="s">
        <v>11385</v>
      </c>
      <c r="D770" s="475" t="s">
        <v>11386</v>
      </c>
      <c r="E770" s="475" t="s">
        <v>11387</v>
      </c>
      <c r="F770" s="475" t="s">
        <v>11388</v>
      </c>
      <c r="G770" s="475" t="s">
        <v>11389</v>
      </c>
      <c r="H770" s="475" t="s">
        <v>11390</v>
      </c>
      <c r="I770" s="475" t="s">
        <v>11391</v>
      </c>
      <c r="J770" s="475" t="s">
        <v>11392</v>
      </c>
      <c r="K770" s="475" t="s">
        <v>11393</v>
      </c>
      <c r="L770" s="475" t="s">
        <v>11394</v>
      </c>
      <c r="M770" s="476" t="s">
        <v>11395</v>
      </c>
    </row>
    <row r="771" spans="1:13">
      <c r="A771" s="461" t="s">
        <v>69</v>
      </c>
      <c r="B771" s="461" t="s">
        <v>73</v>
      </c>
      <c r="C771" s="468" t="s">
        <v>72</v>
      </c>
      <c r="D771" s="468" t="s">
        <v>74</v>
      </c>
      <c r="E771" s="468" t="s">
        <v>2886</v>
      </c>
      <c r="F771" s="461" t="s">
        <v>2887</v>
      </c>
      <c r="G771" s="461" t="s">
        <v>2888</v>
      </c>
      <c r="H771" s="461" t="s">
        <v>2889</v>
      </c>
      <c r="I771" s="461" t="s">
        <v>2890</v>
      </c>
      <c r="J771" s="461" t="s">
        <v>2891</v>
      </c>
      <c r="K771" s="461" t="s">
        <v>7140</v>
      </c>
      <c r="L771" s="461" t="s">
        <v>8360</v>
      </c>
      <c r="M771" s="469" t="s">
        <v>7705</v>
      </c>
    </row>
    <row r="772" spans="1:13">
      <c r="A772" s="465" t="s">
        <v>84</v>
      </c>
      <c r="B772" s="465" t="s">
        <v>86</v>
      </c>
      <c r="C772" s="466" t="s">
        <v>85</v>
      </c>
      <c r="D772" s="466" t="s">
        <v>87</v>
      </c>
      <c r="E772" s="466" t="s">
        <v>2898</v>
      </c>
      <c r="F772" s="465" t="s">
        <v>2899</v>
      </c>
      <c r="G772" s="465" t="s">
        <v>2900</v>
      </c>
      <c r="H772" s="465" t="s">
        <v>2901</v>
      </c>
      <c r="I772" s="465" t="s">
        <v>2902</v>
      </c>
      <c r="J772" s="465" t="s">
        <v>2903</v>
      </c>
      <c r="K772" s="465" t="s">
        <v>7142</v>
      </c>
      <c r="L772" s="465" t="s">
        <v>8362</v>
      </c>
      <c r="M772" s="467" t="s">
        <v>7707</v>
      </c>
    </row>
    <row r="773" spans="1:13">
      <c r="A773" s="461" t="s">
        <v>88</v>
      </c>
      <c r="B773" s="461" t="s">
        <v>86</v>
      </c>
      <c r="C773" s="468" t="s">
        <v>85</v>
      </c>
      <c r="D773" s="468" t="s">
        <v>87</v>
      </c>
      <c r="E773" s="468" t="s">
        <v>2898</v>
      </c>
      <c r="F773" s="461" t="s">
        <v>2899</v>
      </c>
      <c r="G773" s="461" t="s">
        <v>2900</v>
      </c>
      <c r="H773" s="461" t="s">
        <v>2901</v>
      </c>
      <c r="I773" s="461" t="s">
        <v>2902</v>
      </c>
      <c r="J773" s="461" t="s">
        <v>2903</v>
      </c>
      <c r="K773" s="461" t="s">
        <v>7142</v>
      </c>
      <c r="L773" s="461" t="s">
        <v>8362</v>
      </c>
      <c r="M773" s="469" t="s">
        <v>7707</v>
      </c>
    </row>
    <row r="774" spans="1:13">
      <c r="A774" s="465" t="s">
        <v>17</v>
      </c>
      <c r="B774" s="465" t="s">
        <v>23</v>
      </c>
      <c r="C774" s="466" t="s">
        <v>22</v>
      </c>
      <c r="D774" s="466" t="s">
        <v>24</v>
      </c>
      <c r="E774" s="466" t="s">
        <v>2847</v>
      </c>
      <c r="F774" s="465" t="s">
        <v>2848</v>
      </c>
      <c r="G774" s="465" t="s">
        <v>2849</v>
      </c>
      <c r="H774" s="465" t="s">
        <v>2850</v>
      </c>
      <c r="I774" s="465" t="s">
        <v>2851</v>
      </c>
      <c r="J774" s="465" t="s">
        <v>2852</v>
      </c>
      <c r="K774" s="465" t="s">
        <v>7134</v>
      </c>
      <c r="L774" s="465" t="s">
        <v>8354</v>
      </c>
      <c r="M774" s="467" t="s">
        <v>7699</v>
      </c>
    </row>
    <row r="775" spans="1:13">
      <c r="A775" s="461" t="s">
        <v>25</v>
      </c>
      <c r="B775" s="461" t="s">
        <v>23</v>
      </c>
      <c r="C775" s="468" t="s">
        <v>22</v>
      </c>
      <c r="D775" s="468" t="s">
        <v>24</v>
      </c>
      <c r="E775" s="468" t="s">
        <v>2847</v>
      </c>
      <c r="F775" s="461" t="s">
        <v>2848</v>
      </c>
      <c r="G775" s="461" t="s">
        <v>2849</v>
      </c>
      <c r="H775" s="461" t="s">
        <v>2850</v>
      </c>
      <c r="I775" s="461" t="s">
        <v>2851</v>
      </c>
      <c r="J775" s="461" t="s">
        <v>2852</v>
      </c>
      <c r="K775" s="461" t="s">
        <v>7134</v>
      </c>
      <c r="L775" s="461" t="s">
        <v>8354</v>
      </c>
      <c r="M775" s="469" t="s">
        <v>7699</v>
      </c>
    </row>
    <row r="776" spans="1:13">
      <c r="A776" s="472" t="s">
        <v>2864</v>
      </c>
      <c r="B776" s="465" t="s">
        <v>2867</v>
      </c>
      <c r="C776" s="466" t="s">
        <v>2866</v>
      </c>
      <c r="D776" s="466" t="s">
        <v>2868</v>
      </c>
      <c r="E776" s="466" t="s">
        <v>2869</v>
      </c>
      <c r="F776" s="465" t="s">
        <v>2870</v>
      </c>
      <c r="G776" s="465" t="s">
        <v>2871</v>
      </c>
      <c r="H776" s="465" t="s">
        <v>2872</v>
      </c>
      <c r="I776" s="465" t="s">
        <v>2873</v>
      </c>
      <c r="J776" s="465" t="s">
        <v>2874</v>
      </c>
      <c r="K776" s="465" t="s">
        <v>7137</v>
      </c>
      <c r="L776" s="465" t="s">
        <v>8357</v>
      </c>
      <c r="M776" s="467" t="s">
        <v>7702</v>
      </c>
    </row>
    <row r="777" spans="1:13">
      <c r="A777" s="461" t="s">
        <v>31</v>
      </c>
      <c r="B777" s="461" t="s">
        <v>34</v>
      </c>
      <c r="C777" s="468" t="s">
        <v>33</v>
      </c>
      <c r="D777" s="468" t="s">
        <v>35</v>
      </c>
      <c r="E777" s="468" t="s">
        <v>2875</v>
      </c>
      <c r="F777" s="461" t="s">
        <v>2876</v>
      </c>
      <c r="G777" s="461" t="s">
        <v>2877</v>
      </c>
      <c r="H777" s="461" t="s">
        <v>2878</v>
      </c>
      <c r="I777" s="461" t="s">
        <v>2851</v>
      </c>
      <c r="J777" s="461" t="s">
        <v>2879</v>
      </c>
      <c r="K777" s="461" t="s">
        <v>7138</v>
      </c>
      <c r="L777" s="461" t="s">
        <v>8358</v>
      </c>
      <c r="M777" s="469" t="s">
        <v>7703</v>
      </c>
    </row>
    <row r="778" spans="1:13">
      <c r="A778" s="465" t="s">
        <v>36</v>
      </c>
      <c r="B778" s="465" t="s">
        <v>34</v>
      </c>
      <c r="C778" s="466" t="s">
        <v>33</v>
      </c>
      <c r="D778" s="466" t="s">
        <v>35</v>
      </c>
      <c r="E778" s="466" t="s">
        <v>2875</v>
      </c>
      <c r="F778" s="465" t="s">
        <v>2876</v>
      </c>
      <c r="G778" s="465" t="s">
        <v>2877</v>
      </c>
      <c r="H778" s="465" t="s">
        <v>2878</v>
      </c>
      <c r="I778" s="465" t="s">
        <v>2851</v>
      </c>
      <c r="J778" s="465" t="s">
        <v>2879</v>
      </c>
      <c r="K778" s="465" t="s">
        <v>7138</v>
      </c>
      <c r="L778" s="465" t="s">
        <v>8358</v>
      </c>
      <c r="M778" s="467" t="s">
        <v>7703</v>
      </c>
    </row>
    <row r="779" spans="1:13">
      <c r="A779" s="461" t="s">
        <v>2210</v>
      </c>
      <c r="B779" s="461" t="s">
        <v>2494</v>
      </c>
      <c r="C779" s="468" t="s">
        <v>2591</v>
      </c>
      <c r="D779" s="468" t="s">
        <v>2670</v>
      </c>
      <c r="E779" s="468" t="s">
        <v>2835</v>
      </c>
      <c r="F779" s="461" t="s">
        <v>2836</v>
      </c>
      <c r="G779" s="461" t="s">
        <v>2837</v>
      </c>
      <c r="H779" s="461" t="s">
        <v>2838</v>
      </c>
      <c r="I779" s="461" t="s">
        <v>2839</v>
      </c>
      <c r="J779" s="461" t="s">
        <v>2840</v>
      </c>
      <c r="K779" s="461" t="s">
        <v>7132</v>
      </c>
      <c r="L779" s="461" t="s">
        <v>8352</v>
      </c>
      <c r="M779" s="469" t="s">
        <v>7697</v>
      </c>
    </row>
    <row r="780" spans="1:13">
      <c r="A780" s="465" t="s">
        <v>2374</v>
      </c>
      <c r="B780" s="465" t="s">
        <v>2494</v>
      </c>
      <c r="C780" s="466" t="s">
        <v>2591</v>
      </c>
      <c r="D780" s="466" t="s">
        <v>2670</v>
      </c>
      <c r="E780" s="466" t="s">
        <v>2835</v>
      </c>
      <c r="F780" s="465" t="s">
        <v>2836</v>
      </c>
      <c r="G780" s="465" t="s">
        <v>2837</v>
      </c>
      <c r="H780" s="465" t="s">
        <v>2838</v>
      </c>
      <c r="I780" s="465" t="s">
        <v>2839</v>
      </c>
      <c r="J780" s="465" t="s">
        <v>2840</v>
      </c>
      <c r="K780" s="465" t="s">
        <v>7132</v>
      </c>
      <c r="L780" s="465" t="s">
        <v>8352</v>
      </c>
      <c r="M780" s="467" t="s">
        <v>7697</v>
      </c>
    </row>
    <row r="781" spans="1:13">
      <c r="A781" s="461" t="s">
        <v>40</v>
      </c>
      <c r="B781" s="461" t="s">
        <v>42</v>
      </c>
      <c r="C781" s="468" t="s">
        <v>41</v>
      </c>
      <c r="D781" s="468" t="s">
        <v>43</v>
      </c>
      <c r="E781" s="468" t="s">
        <v>2944</v>
      </c>
      <c r="F781" s="461" t="s">
        <v>2945</v>
      </c>
      <c r="G781" s="461" t="s">
        <v>2946</v>
      </c>
      <c r="H781" s="461" t="s">
        <v>2947</v>
      </c>
      <c r="I781" s="461" t="s">
        <v>2948</v>
      </c>
      <c r="J781" s="461" t="s">
        <v>2949</v>
      </c>
      <c r="K781" s="461" t="s">
        <v>7149</v>
      </c>
      <c r="L781" s="461" t="s">
        <v>8369</v>
      </c>
      <c r="M781" s="469" t="s">
        <v>7714</v>
      </c>
    </row>
    <row r="782" spans="1:13">
      <c r="A782" s="465" t="s">
        <v>44</v>
      </c>
      <c r="B782" s="465" t="s">
        <v>42</v>
      </c>
      <c r="C782" s="466" t="s">
        <v>41</v>
      </c>
      <c r="D782" s="466" t="s">
        <v>43</v>
      </c>
      <c r="E782" s="466" t="s">
        <v>2944</v>
      </c>
      <c r="F782" s="465" t="s">
        <v>2945</v>
      </c>
      <c r="G782" s="465" t="s">
        <v>2946</v>
      </c>
      <c r="H782" s="465" t="s">
        <v>2947</v>
      </c>
      <c r="I782" s="465" t="s">
        <v>2948</v>
      </c>
      <c r="J782" s="465" t="s">
        <v>2949</v>
      </c>
      <c r="K782" s="465" t="s">
        <v>7149</v>
      </c>
      <c r="L782" s="465" t="s">
        <v>8369</v>
      </c>
      <c r="M782" s="467" t="s">
        <v>7714</v>
      </c>
    </row>
    <row r="783" spans="1:13">
      <c r="A783" s="461" t="s">
        <v>26</v>
      </c>
      <c r="B783" s="461" t="s">
        <v>29</v>
      </c>
      <c r="C783" s="468" t="s">
        <v>28</v>
      </c>
      <c r="D783" s="468" t="s">
        <v>30</v>
      </c>
      <c r="E783" s="468" t="s">
        <v>2859</v>
      </c>
      <c r="F783" s="461" t="s">
        <v>2848</v>
      </c>
      <c r="G783" s="461" t="s">
        <v>2860</v>
      </c>
      <c r="H783" s="461" t="s">
        <v>2861</v>
      </c>
      <c r="I783" s="461" t="s">
        <v>2862</v>
      </c>
      <c r="J783" s="461" t="s">
        <v>2863</v>
      </c>
      <c r="K783" s="461" t="s">
        <v>7136</v>
      </c>
      <c r="L783" s="461" t="s">
        <v>8356</v>
      </c>
      <c r="M783" s="469" t="s">
        <v>7701</v>
      </c>
    </row>
    <row r="784" spans="1:13">
      <c r="A784" s="465" t="s">
        <v>37</v>
      </c>
      <c r="B784" s="465" t="s">
        <v>2497</v>
      </c>
      <c r="C784" s="466" t="s">
        <v>2594</v>
      </c>
      <c r="D784" s="466" t="s">
        <v>2673</v>
      </c>
      <c r="E784" s="466" t="s">
        <v>2880</v>
      </c>
      <c r="F784" s="465" t="s">
        <v>2881</v>
      </c>
      <c r="G784" s="465" t="s">
        <v>2882</v>
      </c>
      <c r="H784" s="465" t="s">
        <v>2883</v>
      </c>
      <c r="I784" s="465" t="s">
        <v>2884</v>
      </c>
      <c r="J784" s="465" t="s">
        <v>2885</v>
      </c>
      <c r="K784" s="465" t="s">
        <v>7139</v>
      </c>
      <c r="L784" s="465" t="s">
        <v>8359</v>
      </c>
      <c r="M784" s="467" t="s">
        <v>7704</v>
      </c>
    </row>
    <row r="785" spans="1:13">
      <c r="A785" s="461" t="s">
        <v>9141</v>
      </c>
      <c r="B785" s="461" t="s">
        <v>10047</v>
      </c>
      <c r="C785" s="468" t="s">
        <v>10048</v>
      </c>
      <c r="D785" s="468" t="s">
        <v>10049</v>
      </c>
      <c r="E785" s="468" t="s">
        <v>9304</v>
      </c>
      <c r="F785" s="461" t="s">
        <v>9305</v>
      </c>
      <c r="G785" s="461" t="s">
        <v>9306</v>
      </c>
      <c r="H785" s="461" t="s">
        <v>9307</v>
      </c>
      <c r="I785" s="461" t="s">
        <v>10050</v>
      </c>
      <c r="J785" s="461" t="s">
        <v>9308</v>
      </c>
      <c r="K785" s="461" t="s">
        <v>9310</v>
      </c>
      <c r="L785" s="461" t="s">
        <v>9311</v>
      </c>
      <c r="M785" s="469" t="s">
        <v>9309</v>
      </c>
    </row>
    <row r="786" spans="1:13">
      <c r="A786" s="472" t="s">
        <v>4240</v>
      </c>
      <c r="B786" s="465" t="s">
        <v>4243</v>
      </c>
      <c r="C786" s="466" t="s">
        <v>4242</v>
      </c>
      <c r="D786" s="466" t="s">
        <v>4244</v>
      </c>
      <c r="E786" s="466" t="s">
        <v>4245</v>
      </c>
      <c r="F786" s="465" t="s">
        <v>4246</v>
      </c>
      <c r="G786" s="465" t="s">
        <v>4247</v>
      </c>
      <c r="H786" s="465" t="s">
        <v>4248</v>
      </c>
      <c r="I786" s="465" t="s">
        <v>4249</v>
      </c>
      <c r="J786" s="465" t="s">
        <v>4250</v>
      </c>
      <c r="K786" s="465" t="s">
        <v>7339</v>
      </c>
      <c r="L786" s="465" t="s">
        <v>8555</v>
      </c>
      <c r="M786" s="467" t="s">
        <v>7909</v>
      </c>
    </row>
    <row r="787" spans="1:13">
      <c r="A787" s="461" t="s">
        <v>2904</v>
      </c>
      <c r="B787" s="461" t="s">
        <v>86</v>
      </c>
      <c r="C787" s="468" t="s">
        <v>85</v>
      </c>
      <c r="D787" s="468" t="s">
        <v>87</v>
      </c>
      <c r="E787" s="468" t="s">
        <v>2898</v>
      </c>
      <c r="F787" s="461" t="s">
        <v>2899</v>
      </c>
      <c r="G787" s="461" t="s">
        <v>2900</v>
      </c>
      <c r="H787" s="461" t="s">
        <v>2901</v>
      </c>
      <c r="I787" s="461" t="s">
        <v>2902</v>
      </c>
      <c r="J787" s="461" t="s">
        <v>2903</v>
      </c>
      <c r="K787" s="461" t="s">
        <v>7142</v>
      </c>
      <c r="L787" s="461" t="s">
        <v>8362</v>
      </c>
      <c r="M787" s="469" t="s">
        <v>7707</v>
      </c>
    </row>
    <row r="788" spans="1:13">
      <c r="A788" s="472" t="s">
        <v>115</v>
      </c>
      <c r="B788" s="465" t="s">
        <v>117</v>
      </c>
      <c r="C788" s="466" t="s">
        <v>2599</v>
      </c>
      <c r="D788" s="465" t="s">
        <v>118</v>
      </c>
      <c r="E788" s="465" t="s">
        <v>3020</v>
      </c>
      <c r="F788" s="465" t="s">
        <v>3021</v>
      </c>
      <c r="G788" s="465" t="s">
        <v>3022</v>
      </c>
      <c r="H788" s="465" t="s">
        <v>3023</v>
      </c>
      <c r="I788" s="465" t="s">
        <v>3024</v>
      </c>
      <c r="J788" s="465" t="s">
        <v>3025</v>
      </c>
      <c r="K788" s="465" t="s">
        <v>7160</v>
      </c>
      <c r="L788" s="465" t="s">
        <v>8868</v>
      </c>
      <c r="M788" s="467" t="s">
        <v>7725</v>
      </c>
    </row>
    <row r="789" spans="1:13">
      <c r="A789" s="461" t="s">
        <v>80</v>
      </c>
      <c r="B789" s="461" t="s">
        <v>82</v>
      </c>
      <c r="C789" s="468" t="s">
        <v>81</v>
      </c>
      <c r="D789" s="468" t="s">
        <v>83</v>
      </c>
      <c r="E789" s="468" t="s">
        <v>4252</v>
      </c>
      <c r="F789" s="461" t="s">
        <v>4253</v>
      </c>
      <c r="G789" s="461" t="s">
        <v>4254</v>
      </c>
      <c r="H789" s="461" t="s">
        <v>4255</v>
      </c>
      <c r="I789" s="461" t="s">
        <v>4256</v>
      </c>
      <c r="J789" s="461" t="s">
        <v>4257</v>
      </c>
      <c r="K789" s="461" t="s">
        <v>7340</v>
      </c>
      <c r="L789" s="461" t="s">
        <v>8556</v>
      </c>
      <c r="M789" s="469" t="s">
        <v>7910</v>
      </c>
    </row>
    <row r="790" spans="1:13">
      <c r="A790" s="472" t="s">
        <v>2221</v>
      </c>
      <c r="B790" s="465" t="s">
        <v>13037</v>
      </c>
      <c r="C790" s="466" t="s">
        <v>13038</v>
      </c>
      <c r="D790" s="466" t="s">
        <v>13039</v>
      </c>
      <c r="E790" s="466" t="s">
        <v>13040</v>
      </c>
      <c r="F790" s="465" t="s">
        <v>13041</v>
      </c>
      <c r="G790" s="465" t="s">
        <v>13042</v>
      </c>
      <c r="H790" s="465" t="s">
        <v>13043</v>
      </c>
      <c r="I790" s="465" t="s">
        <v>13044</v>
      </c>
      <c r="J790" s="465" t="s">
        <v>13045</v>
      </c>
      <c r="K790" s="465" t="s">
        <v>13046</v>
      </c>
      <c r="L790" s="465" t="s">
        <v>13047</v>
      </c>
      <c r="M790" s="467" t="s">
        <v>13048</v>
      </c>
    </row>
    <row r="791" spans="1:13">
      <c r="A791" s="461" t="s">
        <v>2075</v>
      </c>
      <c r="B791" s="461" t="s">
        <v>2077</v>
      </c>
      <c r="C791" s="468" t="s">
        <v>2076</v>
      </c>
      <c r="D791" s="468" t="s">
        <v>2078</v>
      </c>
      <c r="E791" s="468" t="s">
        <v>6376</v>
      </c>
      <c r="F791" s="461" t="s">
        <v>6377</v>
      </c>
      <c r="G791" s="461" t="s">
        <v>2076</v>
      </c>
      <c r="H791" s="468" t="s">
        <v>6378</v>
      </c>
      <c r="I791" s="461" t="s">
        <v>6379</v>
      </c>
      <c r="J791" s="461" t="s">
        <v>6380</v>
      </c>
      <c r="K791" s="461" t="s">
        <v>7669</v>
      </c>
      <c r="L791" s="461" t="s">
        <v>12357</v>
      </c>
      <c r="M791" s="469" t="s">
        <v>12318</v>
      </c>
    </row>
    <row r="792" spans="1:13">
      <c r="A792" s="465" t="s">
        <v>2045</v>
      </c>
      <c r="B792" s="475" t="s">
        <v>2048</v>
      </c>
      <c r="C792" s="475" t="s">
        <v>2047</v>
      </c>
      <c r="D792" s="475" t="s">
        <v>2049</v>
      </c>
      <c r="E792" s="475" t="s">
        <v>6342</v>
      </c>
      <c r="F792" s="475" t="s">
        <v>6343</v>
      </c>
      <c r="G792" s="475" t="s">
        <v>2047</v>
      </c>
      <c r="H792" s="475" t="s">
        <v>6344</v>
      </c>
      <c r="I792" s="475" t="s">
        <v>6345</v>
      </c>
      <c r="J792" s="475" t="s">
        <v>6346</v>
      </c>
      <c r="K792" s="475" t="s">
        <v>7662</v>
      </c>
      <c r="L792" s="465" t="s">
        <v>2047</v>
      </c>
      <c r="M792" s="476" t="s">
        <v>8289</v>
      </c>
    </row>
    <row r="793" spans="1:13">
      <c r="A793" s="461" t="s">
        <v>2050</v>
      </c>
      <c r="B793" s="473" t="s">
        <v>2053</v>
      </c>
      <c r="C793" s="473" t="s">
        <v>2052</v>
      </c>
      <c r="D793" s="473" t="s">
        <v>2054</v>
      </c>
      <c r="E793" s="473" t="s">
        <v>6347</v>
      </c>
      <c r="F793" s="473" t="s">
        <v>6348</v>
      </c>
      <c r="G793" s="473" t="s">
        <v>2052</v>
      </c>
      <c r="H793" s="473" t="s">
        <v>6349</v>
      </c>
      <c r="I793" s="473" t="s">
        <v>6350</v>
      </c>
      <c r="J793" s="473" t="s">
        <v>6351</v>
      </c>
      <c r="K793" s="473" t="s">
        <v>7663</v>
      </c>
      <c r="L793" s="461" t="s">
        <v>2052</v>
      </c>
      <c r="M793" s="474" t="s">
        <v>8290</v>
      </c>
    </row>
    <row r="794" spans="1:13">
      <c r="A794" s="465" t="s">
        <v>2055</v>
      </c>
      <c r="B794" s="475" t="s">
        <v>2057</v>
      </c>
      <c r="C794" s="475" t="s">
        <v>2056</v>
      </c>
      <c r="D794" s="475" t="s">
        <v>2058</v>
      </c>
      <c r="E794" s="475" t="s">
        <v>6352</v>
      </c>
      <c r="F794" s="475" t="s">
        <v>6353</v>
      </c>
      <c r="G794" s="475" t="s">
        <v>2056</v>
      </c>
      <c r="H794" s="475" t="s">
        <v>6354</v>
      </c>
      <c r="I794" s="475" t="s">
        <v>6355</v>
      </c>
      <c r="J794" s="475" t="s">
        <v>6356</v>
      </c>
      <c r="K794" s="475" t="s">
        <v>7664</v>
      </c>
      <c r="L794" s="465" t="s">
        <v>2056</v>
      </c>
      <c r="M794" s="476" t="s">
        <v>8291</v>
      </c>
    </row>
    <row r="795" spans="1:13">
      <c r="A795" s="461" t="s">
        <v>2059</v>
      </c>
      <c r="B795" s="473" t="s">
        <v>2061</v>
      </c>
      <c r="C795" s="473" t="s">
        <v>2060</v>
      </c>
      <c r="D795" s="473" t="s">
        <v>2062</v>
      </c>
      <c r="E795" s="473" t="s">
        <v>6357</v>
      </c>
      <c r="F795" s="473" t="s">
        <v>6358</v>
      </c>
      <c r="G795" s="473" t="s">
        <v>2060</v>
      </c>
      <c r="H795" s="473" t="s">
        <v>6359</v>
      </c>
      <c r="I795" s="473" t="s">
        <v>6360</v>
      </c>
      <c r="J795" s="473" t="s">
        <v>6361</v>
      </c>
      <c r="K795" s="473" t="s">
        <v>7665</v>
      </c>
      <c r="L795" s="461" t="s">
        <v>2060</v>
      </c>
      <c r="M795" s="474" t="s">
        <v>8292</v>
      </c>
    </row>
    <row r="796" spans="1:13">
      <c r="A796" s="465" t="s">
        <v>2063</v>
      </c>
      <c r="B796" s="475" t="s">
        <v>2065</v>
      </c>
      <c r="C796" s="475" t="s">
        <v>2064</v>
      </c>
      <c r="D796" s="475" t="s">
        <v>2066</v>
      </c>
      <c r="E796" s="475" t="s">
        <v>6362</v>
      </c>
      <c r="F796" s="475" t="s">
        <v>6363</v>
      </c>
      <c r="G796" s="475" t="s">
        <v>2064</v>
      </c>
      <c r="H796" s="475" t="s">
        <v>6364</v>
      </c>
      <c r="I796" s="475" t="s">
        <v>6365</v>
      </c>
      <c r="J796" s="475" t="s">
        <v>6366</v>
      </c>
      <c r="K796" s="475" t="s">
        <v>7666</v>
      </c>
      <c r="L796" s="465" t="s">
        <v>2064</v>
      </c>
      <c r="M796" s="476" t="s">
        <v>8293</v>
      </c>
    </row>
    <row r="797" spans="1:13">
      <c r="A797" s="461" t="s">
        <v>413</v>
      </c>
      <c r="B797" s="461" t="s">
        <v>415</v>
      </c>
      <c r="C797" s="468" t="s">
        <v>414</v>
      </c>
      <c r="D797" s="468" t="s">
        <v>416</v>
      </c>
      <c r="E797" s="468" t="s">
        <v>3738</v>
      </c>
      <c r="F797" s="461" t="s">
        <v>3739</v>
      </c>
      <c r="G797" s="461" t="s">
        <v>3740</v>
      </c>
      <c r="H797" s="461" t="s">
        <v>3741</v>
      </c>
      <c r="I797" s="461" t="s">
        <v>3742</v>
      </c>
      <c r="J797" s="461" t="s">
        <v>3743</v>
      </c>
      <c r="K797" s="461" t="s">
        <v>7266</v>
      </c>
      <c r="L797" s="461" t="s">
        <v>8482</v>
      </c>
      <c r="M797" s="469" t="s">
        <v>7831</v>
      </c>
    </row>
    <row r="798" spans="1:13">
      <c r="A798" s="465" t="s">
        <v>405</v>
      </c>
      <c r="B798" s="465" t="s">
        <v>407</v>
      </c>
      <c r="C798" s="466" t="s">
        <v>406</v>
      </c>
      <c r="D798" s="466" t="s">
        <v>408</v>
      </c>
      <c r="E798" s="466" t="s">
        <v>3726</v>
      </c>
      <c r="F798" s="465" t="s">
        <v>3727</v>
      </c>
      <c r="G798" s="465" t="s">
        <v>3728</v>
      </c>
      <c r="H798" s="465" t="s">
        <v>3729</v>
      </c>
      <c r="I798" s="465" t="s">
        <v>3730</v>
      </c>
      <c r="J798" s="465" t="s">
        <v>3731</v>
      </c>
      <c r="K798" s="465" t="s">
        <v>7264</v>
      </c>
      <c r="L798" s="465" t="s">
        <v>8480</v>
      </c>
      <c r="M798" s="467" t="s">
        <v>7829</v>
      </c>
    </row>
    <row r="799" spans="1:13">
      <c r="A799" s="461" t="s">
        <v>409</v>
      </c>
      <c r="B799" s="461" t="s">
        <v>411</v>
      </c>
      <c r="C799" s="468" t="s">
        <v>410</v>
      </c>
      <c r="D799" s="468" t="s">
        <v>412</v>
      </c>
      <c r="E799" s="468" t="s">
        <v>3732</v>
      </c>
      <c r="F799" s="461" t="s">
        <v>3733</v>
      </c>
      <c r="G799" s="461" t="s">
        <v>3734</v>
      </c>
      <c r="H799" s="461" t="s">
        <v>3735</v>
      </c>
      <c r="I799" s="461" t="s">
        <v>3736</v>
      </c>
      <c r="J799" s="461" t="s">
        <v>3737</v>
      </c>
      <c r="K799" s="461" t="s">
        <v>7265</v>
      </c>
      <c r="L799" s="461" t="s">
        <v>8481</v>
      </c>
      <c r="M799" s="469" t="s">
        <v>7830</v>
      </c>
    </row>
    <row r="800" spans="1:13">
      <c r="A800" s="465" t="s">
        <v>375</v>
      </c>
      <c r="B800" s="465" t="s">
        <v>2509</v>
      </c>
      <c r="C800" s="466" t="s">
        <v>2605</v>
      </c>
      <c r="D800" s="466" t="s">
        <v>2679</v>
      </c>
      <c r="E800" s="466" t="s">
        <v>3673</v>
      </c>
      <c r="F800" s="465" t="s">
        <v>3674</v>
      </c>
      <c r="G800" s="465" t="s">
        <v>3675</v>
      </c>
      <c r="H800" s="465" t="s">
        <v>3676</v>
      </c>
      <c r="I800" s="465" t="s">
        <v>3677</v>
      </c>
      <c r="J800" s="465" t="s">
        <v>3678</v>
      </c>
      <c r="K800" s="465" t="s">
        <v>7255</v>
      </c>
      <c r="L800" s="465" t="s">
        <v>8471</v>
      </c>
      <c r="M800" s="467" t="s">
        <v>7821</v>
      </c>
    </row>
    <row r="801" spans="1:13">
      <c r="A801" s="461" t="s">
        <v>378</v>
      </c>
      <c r="B801" s="461" t="s">
        <v>2510</v>
      </c>
      <c r="C801" s="468" t="s">
        <v>2606</v>
      </c>
      <c r="D801" s="468" t="s">
        <v>2680</v>
      </c>
      <c r="E801" s="468" t="s">
        <v>3679</v>
      </c>
      <c r="F801" s="461" t="s">
        <v>3680</v>
      </c>
      <c r="G801" s="461" t="s">
        <v>3681</v>
      </c>
      <c r="H801" s="461" t="s">
        <v>3682</v>
      </c>
      <c r="I801" s="461" t="s">
        <v>3683</v>
      </c>
      <c r="J801" s="461" t="s">
        <v>3684</v>
      </c>
      <c r="K801" s="461" t="s">
        <v>7256</v>
      </c>
      <c r="L801" s="461" t="s">
        <v>8472</v>
      </c>
      <c r="M801" s="469" t="s">
        <v>7822</v>
      </c>
    </row>
    <row r="802" spans="1:13">
      <c r="A802" s="465" t="s">
        <v>2228</v>
      </c>
      <c r="B802" s="465" t="s">
        <v>2507</v>
      </c>
      <c r="C802" s="466" t="s">
        <v>2604</v>
      </c>
      <c r="D802" s="466" t="s">
        <v>2678</v>
      </c>
      <c r="E802" s="466" t="s">
        <v>3647</v>
      </c>
      <c r="F802" s="465" t="s">
        <v>3648</v>
      </c>
      <c r="G802" s="465" t="s">
        <v>3649</v>
      </c>
      <c r="H802" s="465" t="s">
        <v>3650</v>
      </c>
      <c r="I802" s="465" t="s">
        <v>3651</v>
      </c>
      <c r="J802" s="465" t="s">
        <v>3652</v>
      </c>
      <c r="K802" s="465" t="s">
        <v>7251</v>
      </c>
      <c r="L802" s="465" t="s">
        <v>8467</v>
      </c>
      <c r="M802" s="467" t="s">
        <v>7818</v>
      </c>
    </row>
    <row r="803" spans="1:13">
      <c r="A803" s="472" t="s">
        <v>370</v>
      </c>
      <c r="B803" s="461" t="s">
        <v>356</v>
      </c>
      <c r="C803" s="468" t="s">
        <v>355</v>
      </c>
      <c r="D803" s="468" t="s">
        <v>357</v>
      </c>
      <c r="E803" s="468" t="s">
        <v>3608</v>
      </c>
      <c r="F803" s="461" t="s">
        <v>3609</v>
      </c>
      <c r="G803" s="461" t="s">
        <v>3653</v>
      </c>
      <c r="H803" s="461" t="s">
        <v>3611</v>
      </c>
      <c r="I803" s="461" t="s">
        <v>3612</v>
      </c>
      <c r="J803" s="461" t="s">
        <v>3613</v>
      </c>
      <c r="K803" s="461" t="s">
        <v>7246</v>
      </c>
      <c r="L803" s="461" t="s">
        <v>8462</v>
      </c>
      <c r="M803" s="469" t="s">
        <v>7813</v>
      </c>
    </row>
    <row r="804" spans="1:13">
      <c r="A804" s="472" t="s">
        <v>371</v>
      </c>
      <c r="B804" s="465" t="s">
        <v>2508</v>
      </c>
      <c r="C804" s="466" t="s">
        <v>373</v>
      </c>
      <c r="D804" s="466" t="s">
        <v>374</v>
      </c>
      <c r="E804" s="466" t="s">
        <v>3658</v>
      </c>
      <c r="F804" s="465" t="s">
        <v>3659</v>
      </c>
      <c r="G804" s="465" t="s">
        <v>3660</v>
      </c>
      <c r="H804" s="465" t="s">
        <v>3658</v>
      </c>
      <c r="I804" s="465" t="s">
        <v>3661</v>
      </c>
      <c r="J804" s="465" t="s">
        <v>3662</v>
      </c>
      <c r="K804" s="465" t="s">
        <v>7253</v>
      </c>
      <c r="L804" s="465" t="s">
        <v>8469</v>
      </c>
      <c r="M804" s="467" t="s">
        <v>7819</v>
      </c>
    </row>
    <row r="805" spans="1:13">
      <c r="A805" s="472" t="s">
        <v>9394</v>
      </c>
      <c r="B805" s="461" t="s">
        <v>2508</v>
      </c>
      <c r="C805" s="468" t="s">
        <v>373</v>
      </c>
      <c r="D805" s="468" t="s">
        <v>374</v>
      </c>
      <c r="E805" s="468" t="s">
        <v>3658</v>
      </c>
      <c r="F805" s="461" t="s">
        <v>3659</v>
      </c>
      <c r="G805" s="461" t="s">
        <v>3660</v>
      </c>
      <c r="H805" s="461" t="s">
        <v>3658</v>
      </c>
      <c r="I805" s="461" t="s">
        <v>3661</v>
      </c>
      <c r="J805" s="461" t="s">
        <v>3662</v>
      </c>
      <c r="K805" s="461" t="s">
        <v>7253</v>
      </c>
      <c r="L805" s="461" t="s">
        <v>8469</v>
      </c>
      <c r="M805" s="469" t="s">
        <v>7819</v>
      </c>
    </row>
    <row r="806" spans="1:13">
      <c r="A806" s="465" t="s">
        <v>420</v>
      </c>
      <c r="B806" s="465" t="s">
        <v>422</v>
      </c>
      <c r="C806" s="466" t="s">
        <v>421</v>
      </c>
      <c r="D806" s="466" t="s">
        <v>423</v>
      </c>
      <c r="E806" s="466" t="s">
        <v>3738</v>
      </c>
      <c r="F806" s="465" t="s">
        <v>3750</v>
      </c>
      <c r="G806" s="465" t="s">
        <v>3751</v>
      </c>
      <c r="H806" s="465" t="s">
        <v>3752</v>
      </c>
      <c r="I806" s="465" t="s">
        <v>3753</v>
      </c>
      <c r="J806" s="465" t="s">
        <v>3754</v>
      </c>
      <c r="K806" s="465" t="s">
        <v>7268</v>
      </c>
      <c r="L806" s="465" t="s">
        <v>8484</v>
      </c>
      <c r="M806" s="467" t="s">
        <v>7833</v>
      </c>
    </row>
    <row r="807" spans="1:13">
      <c r="A807" s="461" t="s">
        <v>417</v>
      </c>
      <c r="B807" s="461" t="s">
        <v>2511</v>
      </c>
      <c r="C807" s="468" t="s">
        <v>418</v>
      </c>
      <c r="D807" s="468" t="s">
        <v>419</v>
      </c>
      <c r="E807" s="468" t="s">
        <v>3744</v>
      </c>
      <c r="F807" s="461" t="s">
        <v>3745</v>
      </c>
      <c r="G807" s="461" t="s">
        <v>3746</v>
      </c>
      <c r="H807" s="461" t="s">
        <v>3747</v>
      </c>
      <c r="I807" s="461" t="s">
        <v>3748</v>
      </c>
      <c r="J807" s="461" t="s">
        <v>3749</v>
      </c>
      <c r="K807" s="461" t="s">
        <v>7267</v>
      </c>
      <c r="L807" s="461" t="s">
        <v>8483</v>
      </c>
      <c r="M807" s="469" t="s">
        <v>7832</v>
      </c>
    </row>
    <row r="808" spans="1:13">
      <c r="A808" s="465" t="s">
        <v>3663</v>
      </c>
      <c r="B808" s="465" t="s">
        <v>3665</v>
      </c>
      <c r="C808" s="466" t="s">
        <v>3664</v>
      </c>
      <c r="D808" s="466" t="s">
        <v>3666</v>
      </c>
      <c r="E808" s="466" t="s">
        <v>3667</v>
      </c>
      <c r="F808" s="465" t="s">
        <v>3668</v>
      </c>
      <c r="G808" s="465" t="s">
        <v>3669</v>
      </c>
      <c r="H808" s="465" t="s">
        <v>3670</v>
      </c>
      <c r="I808" s="465" t="s">
        <v>3671</v>
      </c>
      <c r="J808" s="465" t="s">
        <v>3672</v>
      </c>
      <c r="K808" s="465" t="s">
        <v>7254</v>
      </c>
      <c r="L808" s="465" t="s">
        <v>8470</v>
      </c>
      <c r="M808" s="467" t="s">
        <v>7820</v>
      </c>
    </row>
    <row r="809" spans="1:13">
      <c r="A809" s="461" t="s">
        <v>3624</v>
      </c>
      <c r="B809" s="461" t="s">
        <v>3627</v>
      </c>
      <c r="C809" s="468" t="s">
        <v>3626</v>
      </c>
      <c r="D809" s="468" t="s">
        <v>3628</v>
      </c>
      <c r="E809" s="468" t="s">
        <v>3629</v>
      </c>
      <c r="F809" s="461" t="s">
        <v>3630</v>
      </c>
      <c r="G809" s="461" t="s">
        <v>3631</v>
      </c>
      <c r="H809" s="461" t="s">
        <v>3632</v>
      </c>
      <c r="I809" s="461" t="s">
        <v>3633</v>
      </c>
      <c r="J809" s="461" t="s">
        <v>3634</v>
      </c>
      <c r="K809" s="471" t="s">
        <v>7248</v>
      </c>
      <c r="L809" s="461" t="s">
        <v>8464</v>
      </c>
      <c r="M809" s="469" t="s">
        <v>7815</v>
      </c>
    </row>
    <row r="810" spans="1:13">
      <c r="A810" s="475" t="s">
        <v>11192</v>
      </c>
      <c r="B810" s="475" t="s">
        <v>11419</v>
      </c>
      <c r="C810" s="475" t="s">
        <v>11420</v>
      </c>
      <c r="D810" s="475" t="s">
        <v>11421</v>
      </c>
      <c r="E810" s="475" t="s">
        <v>11422</v>
      </c>
      <c r="F810" s="475" t="s">
        <v>11423</v>
      </c>
      <c r="G810" s="475" t="s">
        <v>11424</v>
      </c>
      <c r="H810" s="475" t="s">
        <v>11425</v>
      </c>
      <c r="I810" s="475" t="s">
        <v>11426</v>
      </c>
      <c r="J810" s="475" t="s">
        <v>11427</v>
      </c>
      <c r="K810" s="475" t="s">
        <v>11428</v>
      </c>
      <c r="L810" s="475" t="s">
        <v>11429</v>
      </c>
      <c r="M810" s="476" t="s">
        <v>11430</v>
      </c>
    </row>
    <row r="811" spans="1:13">
      <c r="A811" s="473" t="s">
        <v>11194</v>
      </c>
      <c r="B811" s="473" t="s">
        <v>11431</v>
      </c>
      <c r="C811" s="473" t="s">
        <v>11432</v>
      </c>
      <c r="D811" s="473" t="s">
        <v>11433</v>
      </c>
      <c r="E811" s="473" t="s">
        <v>11434</v>
      </c>
      <c r="F811" s="473" t="s">
        <v>11435</v>
      </c>
      <c r="G811" s="473" t="s">
        <v>11436</v>
      </c>
      <c r="H811" s="473" t="s">
        <v>11437</v>
      </c>
      <c r="I811" s="473" t="s">
        <v>11438</v>
      </c>
      <c r="J811" s="473" t="s">
        <v>11439</v>
      </c>
      <c r="K811" s="473" t="s">
        <v>11440</v>
      </c>
      <c r="L811" s="473" t="s">
        <v>11441</v>
      </c>
      <c r="M811" s="474" t="s">
        <v>11442</v>
      </c>
    </row>
    <row r="812" spans="1:13">
      <c r="A812" s="484" t="s">
        <v>12003</v>
      </c>
      <c r="B812" s="475" t="s">
        <v>707</v>
      </c>
      <c r="C812" s="475" t="s">
        <v>12303</v>
      </c>
      <c r="D812" s="475" t="s">
        <v>12304</v>
      </c>
      <c r="E812" s="475" t="s">
        <v>12305</v>
      </c>
      <c r="F812" s="475" t="s">
        <v>5007</v>
      </c>
      <c r="G812" s="475" t="s">
        <v>12306</v>
      </c>
      <c r="H812" s="475" t="s">
        <v>12307</v>
      </c>
      <c r="I812" s="475" t="s">
        <v>12308</v>
      </c>
      <c r="J812" s="475" t="s">
        <v>12309</v>
      </c>
      <c r="K812" s="475" t="s">
        <v>12310</v>
      </c>
      <c r="L812" s="475" t="s">
        <v>12311</v>
      </c>
      <c r="M812" s="476" t="s">
        <v>12312</v>
      </c>
    </row>
    <row r="813" spans="1:13">
      <c r="A813" s="461" t="s">
        <v>340</v>
      </c>
      <c r="B813" s="461" t="s">
        <v>343</v>
      </c>
      <c r="C813" s="468" t="s">
        <v>342</v>
      </c>
      <c r="D813" s="468" t="s">
        <v>344</v>
      </c>
      <c r="E813" s="468" t="s">
        <v>3580</v>
      </c>
      <c r="F813" s="461" t="s">
        <v>3581</v>
      </c>
      <c r="G813" s="461" t="s">
        <v>3582</v>
      </c>
      <c r="H813" s="461" t="s">
        <v>3583</v>
      </c>
      <c r="I813" s="461" t="s">
        <v>3584</v>
      </c>
      <c r="J813" s="461" t="s">
        <v>3585</v>
      </c>
      <c r="K813" s="471" t="s">
        <v>7242</v>
      </c>
      <c r="L813" s="461" t="s">
        <v>8458</v>
      </c>
      <c r="M813" s="469" t="s">
        <v>7809</v>
      </c>
    </row>
    <row r="814" spans="1:13">
      <c r="A814" s="483" t="s">
        <v>12006</v>
      </c>
      <c r="B814" s="483" t="s">
        <v>12313</v>
      </c>
      <c r="C814" s="483" t="s">
        <v>605</v>
      </c>
      <c r="D814" s="483" t="s">
        <v>605</v>
      </c>
      <c r="E814" s="483" t="s">
        <v>605</v>
      </c>
      <c r="F814" s="483" t="s">
        <v>605</v>
      </c>
      <c r="G814" s="483" t="s">
        <v>605</v>
      </c>
      <c r="H814" s="483" t="s">
        <v>605</v>
      </c>
      <c r="I814" s="483" t="s">
        <v>605</v>
      </c>
      <c r="J814" s="483" t="s">
        <v>605</v>
      </c>
      <c r="K814" s="483" t="s">
        <v>605</v>
      </c>
      <c r="L814" s="483" t="s">
        <v>605</v>
      </c>
      <c r="M814" s="485" t="s">
        <v>605</v>
      </c>
    </row>
    <row r="815" spans="1:13">
      <c r="A815" s="486" t="s">
        <v>12007</v>
      </c>
      <c r="B815" s="486" t="s">
        <v>12413</v>
      </c>
      <c r="C815" s="486" t="s">
        <v>12414</v>
      </c>
      <c r="D815" s="486" t="s">
        <v>12415</v>
      </c>
      <c r="E815" s="486" t="s">
        <v>605</v>
      </c>
      <c r="F815" s="486" t="s">
        <v>605</v>
      </c>
      <c r="G815" s="486" t="s">
        <v>605</v>
      </c>
      <c r="H815" s="486" t="s">
        <v>605</v>
      </c>
      <c r="I815" s="486" t="s">
        <v>605</v>
      </c>
      <c r="J815" s="486" t="s">
        <v>605</v>
      </c>
      <c r="K815" s="486" t="s">
        <v>605</v>
      </c>
      <c r="L815" s="486" t="s">
        <v>605</v>
      </c>
      <c r="M815" s="487" t="s">
        <v>605</v>
      </c>
    </row>
    <row r="816" spans="1:13">
      <c r="A816" s="465" t="s">
        <v>387</v>
      </c>
      <c r="B816" s="465" t="s">
        <v>376</v>
      </c>
      <c r="C816" s="466" t="s">
        <v>388</v>
      </c>
      <c r="D816" s="466" t="s">
        <v>377</v>
      </c>
      <c r="E816" s="466" t="s">
        <v>3697</v>
      </c>
      <c r="F816" s="465" t="s">
        <v>3698</v>
      </c>
      <c r="G816" s="465" t="s">
        <v>3699</v>
      </c>
      <c r="H816" s="465" t="s">
        <v>3700</v>
      </c>
      <c r="I816" s="465" t="s">
        <v>3701</v>
      </c>
      <c r="J816" s="465" t="s">
        <v>3702</v>
      </c>
      <c r="K816" s="470" t="s">
        <v>7259</v>
      </c>
      <c r="L816" s="465" t="s">
        <v>8475</v>
      </c>
      <c r="M816" s="467" t="s">
        <v>7821</v>
      </c>
    </row>
    <row r="817" spans="1:13">
      <c r="A817" s="461" t="s">
        <v>383</v>
      </c>
      <c r="B817" s="461" t="s">
        <v>385</v>
      </c>
      <c r="C817" s="468" t="s">
        <v>384</v>
      </c>
      <c r="D817" s="468" t="s">
        <v>386</v>
      </c>
      <c r="E817" s="468" t="s">
        <v>3691</v>
      </c>
      <c r="F817" s="461" t="s">
        <v>3692</v>
      </c>
      <c r="G817" s="461" t="s">
        <v>3693</v>
      </c>
      <c r="H817" s="461" t="s">
        <v>3694</v>
      </c>
      <c r="I817" s="461" t="s">
        <v>3695</v>
      </c>
      <c r="J817" s="461" t="s">
        <v>3696</v>
      </c>
      <c r="K817" s="471" t="s">
        <v>7258</v>
      </c>
      <c r="L817" s="461" t="s">
        <v>8474</v>
      </c>
      <c r="M817" s="469" t="s">
        <v>7824</v>
      </c>
    </row>
    <row r="818" spans="1:13">
      <c r="A818" s="465" t="s">
        <v>379</v>
      </c>
      <c r="B818" s="465" t="s">
        <v>381</v>
      </c>
      <c r="C818" s="466" t="s">
        <v>380</v>
      </c>
      <c r="D818" s="466" t="s">
        <v>382</v>
      </c>
      <c r="E818" s="466" t="s">
        <v>3685</v>
      </c>
      <c r="F818" s="465" t="s">
        <v>3686</v>
      </c>
      <c r="G818" s="465" t="s">
        <v>3687</v>
      </c>
      <c r="H818" s="465" t="s">
        <v>3688</v>
      </c>
      <c r="I818" s="465" t="s">
        <v>3689</v>
      </c>
      <c r="J818" s="465" t="s">
        <v>3690</v>
      </c>
      <c r="K818" s="465" t="s">
        <v>7257</v>
      </c>
      <c r="L818" s="465" t="s">
        <v>8473</v>
      </c>
      <c r="M818" s="467" t="s">
        <v>7823</v>
      </c>
    </row>
    <row r="819" spans="1:13">
      <c r="A819" s="461" t="s">
        <v>345</v>
      </c>
      <c r="B819" s="461" t="s">
        <v>347</v>
      </c>
      <c r="C819" s="468" t="s">
        <v>346</v>
      </c>
      <c r="D819" s="468" t="s">
        <v>348</v>
      </c>
      <c r="E819" s="468" t="s">
        <v>3586</v>
      </c>
      <c r="F819" s="461" t="s">
        <v>3587</v>
      </c>
      <c r="G819" s="461" t="s">
        <v>3588</v>
      </c>
      <c r="H819" s="461" t="s">
        <v>3589</v>
      </c>
      <c r="I819" s="461" t="s">
        <v>3590</v>
      </c>
      <c r="J819" s="461" t="s">
        <v>3591</v>
      </c>
      <c r="K819" s="461" t="s">
        <v>7243</v>
      </c>
      <c r="L819" s="461" t="s">
        <v>8459</v>
      </c>
      <c r="M819" s="469" t="s">
        <v>7810</v>
      </c>
    </row>
    <row r="820" spans="1:13">
      <c r="A820" s="472" t="s">
        <v>3592</v>
      </c>
      <c r="B820" s="465" t="s">
        <v>3594</v>
      </c>
      <c r="C820" s="466" t="s">
        <v>3593</v>
      </c>
      <c r="D820" s="466" t="s">
        <v>3595</v>
      </c>
      <c r="E820" s="466" t="s">
        <v>3596</v>
      </c>
      <c r="F820" s="465" t="s">
        <v>3597</v>
      </c>
      <c r="G820" s="465" t="s">
        <v>3598</v>
      </c>
      <c r="H820" s="465" t="s">
        <v>3599</v>
      </c>
      <c r="I820" s="465" t="s">
        <v>3600</v>
      </c>
      <c r="J820" s="465" t="s">
        <v>3601</v>
      </c>
      <c r="K820" s="465" t="s">
        <v>7244</v>
      </c>
      <c r="L820" s="465" t="s">
        <v>8460</v>
      </c>
      <c r="M820" s="467" t="s">
        <v>7811</v>
      </c>
    </row>
    <row r="821" spans="1:13">
      <c r="A821" s="461" t="s">
        <v>424</v>
      </c>
      <c r="B821" s="461" t="s">
        <v>427</v>
      </c>
      <c r="C821" s="468" t="s">
        <v>426</v>
      </c>
      <c r="D821" s="468" t="s">
        <v>428</v>
      </c>
      <c r="E821" s="468" t="s">
        <v>3755</v>
      </c>
      <c r="F821" s="461" t="s">
        <v>3756</v>
      </c>
      <c r="G821" s="461" t="s">
        <v>3757</v>
      </c>
      <c r="H821" s="461" t="s">
        <v>3758</v>
      </c>
      <c r="I821" s="461" t="s">
        <v>3759</v>
      </c>
      <c r="J821" s="461" t="s">
        <v>3760</v>
      </c>
      <c r="K821" s="461" t="s">
        <v>7269</v>
      </c>
      <c r="L821" s="461" t="s">
        <v>8485</v>
      </c>
      <c r="M821" s="469" t="s">
        <v>7834</v>
      </c>
    </row>
    <row r="822" spans="1:13">
      <c r="A822" s="465" t="s">
        <v>349</v>
      </c>
      <c r="B822" s="465" t="s">
        <v>351</v>
      </c>
      <c r="C822" s="466" t="s">
        <v>350</v>
      </c>
      <c r="D822" s="466" t="s">
        <v>352</v>
      </c>
      <c r="E822" s="466" t="s">
        <v>3602</v>
      </c>
      <c r="F822" s="465" t="s">
        <v>3603</v>
      </c>
      <c r="G822" s="465" t="s">
        <v>3604</v>
      </c>
      <c r="H822" s="465" t="s">
        <v>3605</v>
      </c>
      <c r="I822" s="465" t="s">
        <v>3606</v>
      </c>
      <c r="J822" s="465" t="s">
        <v>3607</v>
      </c>
      <c r="K822" s="465" t="s">
        <v>7245</v>
      </c>
      <c r="L822" s="465" t="s">
        <v>8461</v>
      </c>
      <c r="M822" s="467" t="s">
        <v>7812</v>
      </c>
    </row>
    <row r="823" spans="1:13">
      <c r="A823" s="461" t="s">
        <v>401</v>
      </c>
      <c r="B823" s="461" t="s">
        <v>403</v>
      </c>
      <c r="C823" s="468" t="s">
        <v>402</v>
      </c>
      <c r="D823" s="468" t="s">
        <v>404</v>
      </c>
      <c r="E823" s="468" t="s">
        <v>3720</v>
      </c>
      <c r="F823" s="461" t="s">
        <v>3721</v>
      </c>
      <c r="G823" s="461" t="s">
        <v>3722</v>
      </c>
      <c r="H823" s="461" t="s">
        <v>3723</v>
      </c>
      <c r="I823" s="461" t="s">
        <v>3724</v>
      </c>
      <c r="J823" s="461" t="s">
        <v>3725</v>
      </c>
      <c r="K823" s="461" t="s">
        <v>7263</v>
      </c>
      <c r="L823" s="461" t="s">
        <v>8479</v>
      </c>
      <c r="M823" s="469" t="s">
        <v>7828</v>
      </c>
    </row>
    <row r="824" spans="1:13">
      <c r="A824" s="488" t="s">
        <v>393</v>
      </c>
      <c r="B824" s="465" t="s">
        <v>395</v>
      </c>
      <c r="C824" s="466" t="s">
        <v>394</v>
      </c>
      <c r="D824" s="466" t="s">
        <v>396</v>
      </c>
      <c r="E824" s="466" t="s">
        <v>3709</v>
      </c>
      <c r="F824" s="465" t="s">
        <v>3710</v>
      </c>
      <c r="G824" s="465" t="s">
        <v>3711</v>
      </c>
      <c r="H824" s="465" t="s">
        <v>3712</v>
      </c>
      <c r="I824" s="465" t="s">
        <v>3713</v>
      </c>
      <c r="J824" s="465" t="s">
        <v>3714</v>
      </c>
      <c r="K824" s="465" t="s">
        <v>7261</v>
      </c>
      <c r="L824" s="465" t="s">
        <v>8477</v>
      </c>
      <c r="M824" s="467" t="s">
        <v>7826</v>
      </c>
    </row>
    <row r="825" spans="1:13">
      <c r="A825" s="472" t="s">
        <v>389</v>
      </c>
      <c r="B825" s="461" t="s">
        <v>391</v>
      </c>
      <c r="C825" s="468" t="s">
        <v>390</v>
      </c>
      <c r="D825" s="468" t="s">
        <v>392</v>
      </c>
      <c r="E825" s="468" t="s">
        <v>3703</v>
      </c>
      <c r="F825" s="461" t="s">
        <v>3704</v>
      </c>
      <c r="G825" s="461" t="s">
        <v>3705</v>
      </c>
      <c r="H825" s="461" t="s">
        <v>3706</v>
      </c>
      <c r="I825" s="461" t="s">
        <v>3707</v>
      </c>
      <c r="J825" s="461" t="s">
        <v>3708</v>
      </c>
      <c r="K825" s="461" t="s">
        <v>7260</v>
      </c>
      <c r="L825" s="461" t="s">
        <v>8476</v>
      </c>
      <c r="M825" s="469" t="s">
        <v>7825</v>
      </c>
    </row>
    <row r="826" spans="1:13">
      <c r="A826" s="465" t="s">
        <v>397</v>
      </c>
      <c r="B826" s="465" t="s">
        <v>399</v>
      </c>
      <c r="C826" s="466" t="s">
        <v>398</v>
      </c>
      <c r="D826" s="466" t="s">
        <v>400</v>
      </c>
      <c r="E826" s="466" t="s">
        <v>3715</v>
      </c>
      <c r="F826" s="465" t="s">
        <v>3710</v>
      </c>
      <c r="G826" s="465" t="s">
        <v>3716</v>
      </c>
      <c r="H826" s="465" t="s">
        <v>3717</v>
      </c>
      <c r="I826" s="465" t="s">
        <v>3718</v>
      </c>
      <c r="J826" s="465" t="s">
        <v>3719</v>
      </c>
      <c r="K826" s="465" t="s">
        <v>7262</v>
      </c>
      <c r="L826" s="465" t="s">
        <v>8478</v>
      </c>
      <c r="M826" s="467" t="s">
        <v>7827</v>
      </c>
    </row>
    <row r="827" spans="1:13">
      <c r="A827" s="461" t="s">
        <v>353</v>
      </c>
      <c r="B827" s="461" t="s">
        <v>356</v>
      </c>
      <c r="C827" s="468" t="s">
        <v>355</v>
      </c>
      <c r="D827" s="468" t="s">
        <v>357</v>
      </c>
      <c r="E827" s="468" t="s">
        <v>3608</v>
      </c>
      <c r="F827" s="461" t="s">
        <v>3609</v>
      </c>
      <c r="G827" s="461" t="s">
        <v>3610</v>
      </c>
      <c r="H827" s="461" t="s">
        <v>3611</v>
      </c>
      <c r="I827" s="461" t="s">
        <v>3612</v>
      </c>
      <c r="J827" s="461" t="s">
        <v>3613</v>
      </c>
      <c r="K827" s="461" t="s">
        <v>7246</v>
      </c>
      <c r="L827" s="461" t="s">
        <v>8462</v>
      </c>
      <c r="M827" s="469" t="s">
        <v>7813</v>
      </c>
    </row>
    <row r="828" spans="1:13">
      <c r="A828" s="465" t="s">
        <v>3614</v>
      </c>
      <c r="B828" s="465" t="s">
        <v>3616</v>
      </c>
      <c r="C828" s="466" t="s">
        <v>3615</v>
      </c>
      <c r="D828" s="466" t="s">
        <v>3617</v>
      </c>
      <c r="E828" s="466" t="s">
        <v>3618</v>
      </c>
      <c r="F828" s="465" t="s">
        <v>3619</v>
      </c>
      <c r="G828" s="465" t="s">
        <v>3620</v>
      </c>
      <c r="H828" s="465" t="s">
        <v>3621</v>
      </c>
      <c r="I828" s="465" t="s">
        <v>3622</v>
      </c>
      <c r="J828" s="465" t="s">
        <v>3623</v>
      </c>
      <c r="K828" s="470" t="s">
        <v>7247</v>
      </c>
      <c r="L828" s="465" t="s">
        <v>8463</v>
      </c>
      <c r="M828" s="467" t="s">
        <v>7814</v>
      </c>
    </row>
    <row r="829" spans="1:13">
      <c r="A829" s="461" t="s">
        <v>361</v>
      </c>
      <c r="B829" s="461" t="s">
        <v>364</v>
      </c>
      <c r="C829" s="468" t="s">
        <v>363</v>
      </c>
      <c r="D829" s="468" t="s">
        <v>365</v>
      </c>
      <c r="E829" s="468" t="s">
        <v>3635</v>
      </c>
      <c r="F829" s="461" t="s">
        <v>3636</v>
      </c>
      <c r="G829" s="461" t="s">
        <v>3637</v>
      </c>
      <c r="H829" s="461" t="s">
        <v>3638</v>
      </c>
      <c r="I829" s="461" t="s">
        <v>3639</v>
      </c>
      <c r="J829" s="461" t="s">
        <v>3640</v>
      </c>
      <c r="K829" s="461" t="s">
        <v>7249</v>
      </c>
      <c r="L829" s="461" t="s">
        <v>8465</v>
      </c>
      <c r="M829" s="469" t="s">
        <v>7816</v>
      </c>
    </row>
    <row r="830" spans="1:13">
      <c r="A830" s="472" t="s">
        <v>366</v>
      </c>
      <c r="B830" s="465" t="s">
        <v>368</v>
      </c>
      <c r="C830" s="466" t="s">
        <v>367</v>
      </c>
      <c r="D830" s="466" t="s">
        <v>369</v>
      </c>
      <c r="E830" s="466" t="s">
        <v>3641</v>
      </c>
      <c r="F830" s="465" t="s">
        <v>3642</v>
      </c>
      <c r="G830" s="465" t="s">
        <v>3643</v>
      </c>
      <c r="H830" s="465" t="s">
        <v>3644</v>
      </c>
      <c r="I830" s="465" t="s">
        <v>3645</v>
      </c>
      <c r="J830" s="465" t="s">
        <v>3646</v>
      </c>
      <c r="K830" s="465" t="s">
        <v>7250</v>
      </c>
      <c r="L830" s="465" t="s">
        <v>8466</v>
      </c>
      <c r="M830" s="467" t="s">
        <v>7817</v>
      </c>
    </row>
    <row r="831" spans="1:13">
      <c r="A831" s="461" t="s">
        <v>609</v>
      </c>
      <c r="B831" s="461" t="s">
        <v>611</v>
      </c>
      <c r="C831" s="468" t="s">
        <v>610</v>
      </c>
      <c r="D831" s="468" t="s">
        <v>612</v>
      </c>
      <c r="E831" s="468" t="s">
        <v>4028</v>
      </c>
      <c r="F831" s="461" t="s">
        <v>4029</v>
      </c>
      <c r="G831" s="461" t="s">
        <v>4030</v>
      </c>
      <c r="H831" s="461" t="s">
        <v>4031</v>
      </c>
      <c r="I831" s="461" t="s">
        <v>4032</v>
      </c>
      <c r="J831" s="461" t="s">
        <v>4033</v>
      </c>
      <c r="K831" s="461" t="s">
        <v>7313</v>
      </c>
      <c r="L831" s="461" t="s">
        <v>8530</v>
      </c>
      <c r="M831" s="469" t="s">
        <v>7880</v>
      </c>
    </row>
    <row r="832" spans="1:13">
      <c r="A832" s="465" t="s">
        <v>2224</v>
      </c>
      <c r="B832" s="465" t="s">
        <v>2502</v>
      </c>
      <c r="C832" s="466" t="s">
        <v>2601</v>
      </c>
      <c r="D832" s="466" t="s">
        <v>2675</v>
      </c>
      <c r="E832" s="466" t="s">
        <v>3041</v>
      </c>
      <c r="F832" s="465" t="s">
        <v>3042</v>
      </c>
      <c r="G832" s="465" t="s">
        <v>3043</v>
      </c>
      <c r="H832" s="465" t="s">
        <v>3044</v>
      </c>
      <c r="I832" s="465" t="s">
        <v>3045</v>
      </c>
      <c r="J832" s="465" t="s">
        <v>3046</v>
      </c>
      <c r="K832" s="465" t="s">
        <v>7163</v>
      </c>
      <c r="L832" s="465" t="s">
        <v>8880</v>
      </c>
      <c r="M832" s="467" t="s">
        <v>7728</v>
      </c>
    </row>
    <row r="833" spans="1:13">
      <c r="A833" s="473" t="s">
        <v>11629</v>
      </c>
      <c r="B833" s="473" t="s">
        <v>11820</v>
      </c>
      <c r="C833" s="473" t="s">
        <v>11821</v>
      </c>
      <c r="D833" s="473" t="s">
        <v>11822</v>
      </c>
      <c r="E833" s="473" t="s">
        <v>11823</v>
      </c>
      <c r="F833" s="473" t="s">
        <v>11824</v>
      </c>
      <c r="G833" s="473" t="s">
        <v>11825</v>
      </c>
      <c r="H833" s="473" t="s">
        <v>11826</v>
      </c>
      <c r="I833" s="473" t="s">
        <v>11821</v>
      </c>
      <c r="J833" s="473" t="s">
        <v>11821</v>
      </c>
      <c r="K833" s="473" t="s">
        <v>11821</v>
      </c>
      <c r="L833" s="473" t="s">
        <v>11821</v>
      </c>
      <c r="M833" s="474" t="s">
        <v>11821</v>
      </c>
    </row>
    <row r="834" spans="1:13">
      <c r="A834" s="475" t="s">
        <v>910</v>
      </c>
      <c r="B834" s="465" t="s">
        <v>913</v>
      </c>
      <c r="C834" s="466" t="s">
        <v>912</v>
      </c>
      <c r="D834" s="466" t="s">
        <v>914</v>
      </c>
      <c r="E834" s="466" t="s">
        <v>4666</v>
      </c>
      <c r="F834" s="465" t="s">
        <v>4667</v>
      </c>
      <c r="G834" s="465" t="s">
        <v>4668</v>
      </c>
      <c r="H834" s="465" t="s">
        <v>4669</v>
      </c>
      <c r="I834" s="465" t="s">
        <v>4670</v>
      </c>
      <c r="J834" s="465" t="s">
        <v>4671</v>
      </c>
      <c r="K834" s="470" t="s">
        <v>12358</v>
      </c>
      <c r="L834" s="465" t="s">
        <v>8624</v>
      </c>
      <c r="M834" s="467" t="s">
        <v>7979</v>
      </c>
    </row>
    <row r="835" spans="1:13">
      <c r="A835" s="461" t="s">
        <v>3451</v>
      </c>
      <c r="B835" s="461" t="s">
        <v>3453</v>
      </c>
      <c r="C835" s="468" t="s">
        <v>3452</v>
      </c>
      <c r="D835" s="468" t="s">
        <v>3454</v>
      </c>
      <c r="E835" s="468" t="s">
        <v>3455</v>
      </c>
      <c r="F835" s="461" t="s">
        <v>3456</v>
      </c>
      <c r="G835" s="461" t="s">
        <v>3457</v>
      </c>
      <c r="H835" s="461" t="s">
        <v>3458</v>
      </c>
      <c r="I835" s="461" t="s">
        <v>3459</v>
      </c>
      <c r="J835" s="461" t="s">
        <v>3460</v>
      </c>
      <c r="K835" s="461" t="s">
        <v>7226</v>
      </c>
      <c r="L835" s="461" t="s">
        <v>8442</v>
      </c>
      <c r="M835" s="469" t="s">
        <v>7793</v>
      </c>
    </row>
    <row r="836" spans="1:13">
      <c r="A836" s="465" t="s">
        <v>3461</v>
      </c>
      <c r="B836" s="465" t="s">
        <v>3464</v>
      </c>
      <c r="C836" s="466" t="s">
        <v>3463</v>
      </c>
      <c r="D836" s="466" t="s">
        <v>3465</v>
      </c>
      <c r="E836" s="466" t="s">
        <v>3466</v>
      </c>
      <c r="F836" s="465" t="s">
        <v>3467</v>
      </c>
      <c r="G836" s="465" t="s">
        <v>3468</v>
      </c>
      <c r="H836" s="465" t="s">
        <v>3469</v>
      </c>
      <c r="I836" s="465" t="s">
        <v>3470</v>
      </c>
      <c r="J836" s="465" t="s">
        <v>3471</v>
      </c>
      <c r="K836" s="465" t="s">
        <v>7227</v>
      </c>
      <c r="L836" s="465" t="s">
        <v>8443</v>
      </c>
      <c r="M836" s="467" t="s">
        <v>7794</v>
      </c>
    </row>
    <row r="837" spans="1:13">
      <c r="A837" s="472" t="s">
        <v>3514</v>
      </c>
      <c r="B837" s="461" t="s">
        <v>3516</v>
      </c>
      <c r="C837" s="468" t="s">
        <v>3515</v>
      </c>
      <c r="D837" s="468" t="s">
        <v>3517</v>
      </c>
      <c r="E837" s="468" t="s">
        <v>3518</v>
      </c>
      <c r="F837" s="461" t="s">
        <v>3467</v>
      </c>
      <c r="G837" s="461" t="s">
        <v>3519</v>
      </c>
      <c r="H837" s="461" t="s">
        <v>3520</v>
      </c>
      <c r="I837" s="461" t="s">
        <v>3521</v>
      </c>
      <c r="J837" s="461" t="s">
        <v>3522</v>
      </c>
      <c r="K837" s="461" t="s">
        <v>7232</v>
      </c>
      <c r="L837" s="461" t="s">
        <v>8448</v>
      </c>
      <c r="M837" s="469" t="s">
        <v>7799</v>
      </c>
    </row>
    <row r="838" spans="1:13">
      <c r="A838" s="465" t="s">
        <v>3472</v>
      </c>
      <c r="B838" s="465" t="s">
        <v>3475</v>
      </c>
      <c r="C838" s="466" t="s">
        <v>3474</v>
      </c>
      <c r="D838" s="466" t="s">
        <v>3476</v>
      </c>
      <c r="E838" s="466" t="s">
        <v>3477</v>
      </c>
      <c r="F838" s="465" t="s">
        <v>3478</v>
      </c>
      <c r="G838" s="465" t="s">
        <v>3479</v>
      </c>
      <c r="H838" s="465" t="s">
        <v>3480</v>
      </c>
      <c r="I838" s="465" t="s">
        <v>3481</v>
      </c>
      <c r="J838" s="465" t="s">
        <v>3482</v>
      </c>
      <c r="K838" s="465" t="s">
        <v>7228</v>
      </c>
      <c r="L838" s="465" t="s">
        <v>8444</v>
      </c>
      <c r="M838" s="467" t="s">
        <v>7795</v>
      </c>
    </row>
    <row r="839" spans="1:13">
      <c r="A839" s="472" t="s">
        <v>3504</v>
      </c>
      <c r="B839" s="461" t="s">
        <v>3506</v>
      </c>
      <c r="C839" s="468" t="s">
        <v>3505</v>
      </c>
      <c r="D839" s="468" t="s">
        <v>3507</v>
      </c>
      <c r="E839" s="468" t="s">
        <v>3508</v>
      </c>
      <c r="F839" s="461" t="s">
        <v>3509</v>
      </c>
      <c r="G839" s="461" t="s">
        <v>3510</v>
      </c>
      <c r="H839" s="461" t="s">
        <v>3511</v>
      </c>
      <c r="I839" s="461" t="s">
        <v>3512</v>
      </c>
      <c r="J839" s="461" t="s">
        <v>3513</v>
      </c>
      <c r="K839" s="461" t="s">
        <v>7231</v>
      </c>
      <c r="L839" s="461" t="s">
        <v>8447</v>
      </c>
      <c r="M839" s="469" t="s">
        <v>7798</v>
      </c>
    </row>
    <row r="840" spans="1:13">
      <c r="A840" s="472" t="s">
        <v>3493</v>
      </c>
      <c r="B840" s="465" t="s">
        <v>3496</v>
      </c>
      <c r="C840" s="466" t="s">
        <v>3495</v>
      </c>
      <c r="D840" s="466" t="s">
        <v>3497</v>
      </c>
      <c r="E840" s="466" t="s">
        <v>3498</v>
      </c>
      <c r="F840" s="465" t="s">
        <v>3499</v>
      </c>
      <c r="G840" s="465" t="s">
        <v>3500</v>
      </c>
      <c r="H840" s="465" t="s">
        <v>3501</v>
      </c>
      <c r="I840" s="465" t="s">
        <v>3502</v>
      </c>
      <c r="J840" s="465" t="s">
        <v>3503</v>
      </c>
      <c r="K840" s="465" t="s">
        <v>7230</v>
      </c>
      <c r="L840" s="465" t="s">
        <v>8446</v>
      </c>
      <c r="M840" s="467" t="s">
        <v>7797</v>
      </c>
    </row>
    <row r="841" spans="1:13">
      <c r="A841" s="472" t="s">
        <v>3483</v>
      </c>
      <c r="B841" s="461" t="s">
        <v>3485</v>
      </c>
      <c r="C841" s="468" t="s">
        <v>3484</v>
      </c>
      <c r="D841" s="468" t="s">
        <v>3486</v>
      </c>
      <c r="E841" s="468" t="s">
        <v>3487</v>
      </c>
      <c r="F841" s="461" t="s">
        <v>3488</v>
      </c>
      <c r="G841" s="461" t="s">
        <v>3489</v>
      </c>
      <c r="H841" s="461" t="s">
        <v>3490</v>
      </c>
      <c r="I841" s="461" t="s">
        <v>3491</v>
      </c>
      <c r="J841" s="461" t="s">
        <v>3492</v>
      </c>
      <c r="K841" s="461" t="s">
        <v>7229</v>
      </c>
      <c r="L841" s="461" t="s">
        <v>8445</v>
      </c>
      <c r="M841" s="469" t="s">
        <v>7796</v>
      </c>
    </row>
    <row r="842" spans="1:13">
      <c r="A842" s="475" t="s">
        <v>11224</v>
      </c>
      <c r="B842" s="475" t="s">
        <v>11493</v>
      </c>
      <c r="C842" s="475" t="s">
        <v>11494</v>
      </c>
      <c r="D842" s="475" t="s">
        <v>11495</v>
      </c>
      <c r="E842" s="475" t="s">
        <v>11496</v>
      </c>
      <c r="F842" s="475" t="s">
        <v>11497</v>
      </c>
      <c r="G842" s="475" t="s">
        <v>11498</v>
      </c>
      <c r="H842" s="475" t="s">
        <v>11499</v>
      </c>
      <c r="I842" s="475" t="s">
        <v>11500</v>
      </c>
      <c r="J842" s="475" t="s">
        <v>11501</v>
      </c>
      <c r="K842" s="475" t="s">
        <v>11502</v>
      </c>
      <c r="L842" s="475" t="s">
        <v>11503</v>
      </c>
      <c r="M842" s="476" t="s">
        <v>11504</v>
      </c>
    </row>
    <row r="843" spans="1:13">
      <c r="A843" s="473" t="s">
        <v>11223</v>
      </c>
      <c r="B843" s="473" t="s">
        <v>11481</v>
      </c>
      <c r="C843" s="473" t="s">
        <v>11482</v>
      </c>
      <c r="D843" s="473" t="s">
        <v>11483</v>
      </c>
      <c r="E843" s="473" t="s">
        <v>11484</v>
      </c>
      <c r="F843" s="473" t="s">
        <v>11485</v>
      </c>
      <c r="G843" s="473" t="s">
        <v>11486</v>
      </c>
      <c r="H843" s="473" t="s">
        <v>11487</v>
      </c>
      <c r="I843" s="473" t="s">
        <v>11488</v>
      </c>
      <c r="J843" s="473" t="s">
        <v>11489</v>
      </c>
      <c r="K843" s="473" t="s">
        <v>11490</v>
      </c>
      <c r="L843" s="473" t="s">
        <v>11491</v>
      </c>
      <c r="M843" s="474" t="s">
        <v>11492</v>
      </c>
    </row>
    <row r="844" spans="1:13">
      <c r="A844" s="475" t="s">
        <v>11225</v>
      </c>
      <c r="B844" s="475" t="s">
        <v>11445</v>
      </c>
      <c r="C844" s="475" t="s">
        <v>11446</v>
      </c>
      <c r="D844" s="475" t="s">
        <v>11447</v>
      </c>
      <c r="E844" s="475" t="s">
        <v>11448</v>
      </c>
      <c r="F844" s="475" t="s">
        <v>11449</v>
      </c>
      <c r="G844" s="475" t="s">
        <v>11450</v>
      </c>
      <c r="H844" s="475" t="s">
        <v>11451</v>
      </c>
      <c r="I844" s="475" t="s">
        <v>11452</v>
      </c>
      <c r="J844" s="475" t="s">
        <v>11453</v>
      </c>
      <c r="K844" s="475" t="s">
        <v>11454</v>
      </c>
      <c r="L844" s="475" t="s">
        <v>11455</v>
      </c>
      <c r="M844" s="476" t="s">
        <v>11456</v>
      </c>
    </row>
    <row r="845" spans="1:13">
      <c r="A845" s="473" t="s">
        <v>11638</v>
      </c>
      <c r="B845" s="473" t="s">
        <v>11929</v>
      </c>
      <c r="C845" s="473" t="s">
        <v>11930</v>
      </c>
      <c r="D845" s="473" t="s">
        <v>11931</v>
      </c>
      <c r="E845" s="473" t="s">
        <v>11932</v>
      </c>
      <c r="F845" s="473" t="s">
        <v>11933</v>
      </c>
      <c r="G845" s="473" t="s">
        <v>11934</v>
      </c>
      <c r="H845" s="473" t="s">
        <v>11935</v>
      </c>
      <c r="I845" s="473" t="s">
        <v>11936</v>
      </c>
      <c r="J845" s="473" t="s">
        <v>11937</v>
      </c>
      <c r="K845" s="473" t="s">
        <v>11938</v>
      </c>
      <c r="L845" s="473" t="s">
        <v>11939</v>
      </c>
      <c r="M845" s="474" t="s">
        <v>11940</v>
      </c>
    </row>
    <row r="846" spans="1:13">
      <c r="A846" s="475" t="s">
        <v>11625</v>
      </c>
      <c r="B846" s="475" t="s">
        <v>11541</v>
      </c>
      <c r="C846" s="475" t="s">
        <v>11542</v>
      </c>
      <c r="D846" s="475" t="s">
        <v>11543</v>
      </c>
      <c r="E846" s="475" t="s">
        <v>11544</v>
      </c>
      <c r="F846" s="475" t="s">
        <v>11545</v>
      </c>
      <c r="G846" s="475" t="s">
        <v>11546</v>
      </c>
      <c r="H846" s="475" t="s">
        <v>11547</v>
      </c>
      <c r="I846" s="475" t="s">
        <v>11548</v>
      </c>
      <c r="J846" s="475" t="s">
        <v>11549</v>
      </c>
      <c r="K846" s="475" t="s">
        <v>11550</v>
      </c>
      <c r="L846" s="475" t="s">
        <v>11551</v>
      </c>
      <c r="M846" s="476" t="s">
        <v>11552</v>
      </c>
    </row>
    <row r="847" spans="1:13">
      <c r="A847" s="473" t="s">
        <v>11639</v>
      </c>
      <c r="B847" s="473" t="s">
        <v>1503</v>
      </c>
      <c r="C847" s="473" t="s">
        <v>11554</v>
      </c>
      <c r="D847" s="473" t="s">
        <v>11555</v>
      </c>
      <c r="E847" s="473" t="s">
        <v>11556</v>
      </c>
      <c r="F847" s="473" t="s">
        <v>11557</v>
      </c>
      <c r="G847" s="473" t="s">
        <v>11558</v>
      </c>
      <c r="H847" s="473" t="s">
        <v>11559</v>
      </c>
      <c r="I847" s="473" t="s">
        <v>11560</v>
      </c>
      <c r="J847" s="473" t="s">
        <v>11561</v>
      </c>
      <c r="K847" s="473" t="s">
        <v>11562</v>
      </c>
      <c r="L847" s="473" t="s">
        <v>11563</v>
      </c>
      <c r="M847" s="474" t="s">
        <v>11564</v>
      </c>
    </row>
    <row r="848" spans="1:13">
      <c r="A848" s="475" t="s">
        <v>11640</v>
      </c>
      <c r="B848" s="475" t="s">
        <v>1207</v>
      </c>
      <c r="C848" s="475" t="s">
        <v>11963</v>
      </c>
      <c r="D848" s="475" t="s">
        <v>11964</v>
      </c>
      <c r="E848" s="475" t="s">
        <v>11965</v>
      </c>
      <c r="F848" s="475" t="s">
        <v>11966</v>
      </c>
      <c r="G848" s="475" t="s">
        <v>11967</v>
      </c>
      <c r="H848" s="475" t="s">
        <v>11968</v>
      </c>
      <c r="I848" s="475" t="s">
        <v>11969</v>
      </c>
      <c r="J848" s="475" t="s">
        <v>11970</v>
      </c>
      <c r="K848" s="475" t="s">
        <v>11971</v>
      </c>
      <c r="L848" s="475" t="s">
        <v>11972</v>
      </c>
      <c r="M848" s="476" t="s">
        <v>11973</v>
      </c>
    </row>
    <row r="849" spans="1:13">
      <c r="A849" s="473" t="s">
        <v>11221</v>
      </c>
      <c r="B849" s="473" t="s">
        <v>11457</v>
      </c>
      <c r="C849" s="473" t="s">
        <v>11458</v>
      </c>
      <c r="D849" s="473" t="s">
        <v>11459</v>
      </c>
      <c r="E849" s="473" t="s">
        <v>11460</v>
      </c>
      <c r="F849" s="473" t="s">
        <v>11461</v>
      </c>
      <c r="G849" s="473" t="s">
        <v>11462</v>
      </c>
      <c r="H849" s="473" t="s">
        <v>11463</v>
      </c>
      <c r="I849" s="473" t="s">
        <v>11464</v>
      </c>
      <c r="J849" s="473" t="s">
        <v>11465</v>
      </c>
      <c r="K849" s="473" t="s">
        <v>11466</v>
      </c>
      <c r="L849" s="473" t="s">
        <v>11467</v>
      </c>
      <c r="M849" s="474" t="s">
        <v>11468</v>
      </c>
    </row>
    <row r="850" spans="1:13">
      <c r="A850" s="475" t="s">
        <v>11220</v>
      </c>
      <c r="B850" s="475" t="s">
        <v>11445</v>
      </c>
      <c r="C850" s="475" t="s">
        <v>11446</v>
      </c>
      <c r="D850" s="475" t="s">
        <v>11447</v>
      </c>
      <c r="E850" s="475" t="s">
        <v>11448</v>
      </c>
      <c r="F850" s="475" t="s">
        <v>11449</v>
      </c>
      <c r="G850" s="475" t="s">
        <v>11450</v>
      </c>
      <c r="H850" s="475" t="s">
        <v>11451</v>
      </c>
      <c r="I850" s="475" t="s">
        <v>11452</v>
      </c>
      <c r="J850" s="475" t="s">
        <v>11453</v>
      </c>
      <c r="K850" s="475" t="s">
        <v>11454</v>
      </c>
      <c r="L850" s="475" t="s">
        <v>11455</v>
      </c>
      <c r="M850" s="476" t="s">
        <v>11456</v>
      </c>
    </row>
    <row r="851" spans="1:13">
      <c r="A851" s="473" t="s">
        <v>11635</v>
      </c>
      <c r="B851" s="473" t="s">
        <v>1315</v>
      </c>
      <c r="C851" s="473" t="s">
        <v>355</v>
      </c>
      <c r="D851" s="473" t="s">
        <v>357</v>
      </c>
      <c r="E851" s="473" t="s">
        <v>3608</v>
      </c>
      <c r="F851" s="473" t="s">
        <v>3609</v>
      </c>
      <c r="G851" s="473" t="s">
        <v>5036</v>
      </c>
      <c r="H851" s="473" t="s">
        <v>3611</v>
      </c>
      <c r="I851" s="473" t="s">
        <v>3612</v>
      </c>
      <c r="J851" s="473" t="s">
        <v>3613</v>
      </c>
      <c r="K851" s="473" t="s">
        <v>7246</v>
      </c>
      <c r="L851" s="473" t="s">
        <v>8462</v>
      </c>
      <c r="M851" s="474" t="s">
        <v>8034</v>
      </c>
    </row>
    <row r="852" spans="1:13">
      <c r="A852" s="475" t="s">
        <v>11906</v>
      </c>
      <c r="B852" s="475" t="s">
        <v>11445</v>
      </c>
      <c r="C852" s="475" t="s">
        <v>11446</v>
      </c>
      <c r="D852" s="475" t="s">
        <v>11447</v>
      </c>
      <c r="E852" s="475" t="s">
        <v>11448</v>
      </c>
      <c r="F852" s="475" t="s">
        <v>11449</v>
      </c>
      <c r="G852" s="475" t="s">
        <v>11450</v>
      </c>
      <c r="H852" s="475" t="s">
        <v>11451</v>
      </c>
      <c r="I852" s="475" t="s">
        <v>11452</v>
      </c>
      <c r="J852" s="475" t="s">
        <v>11453</v>
      </c>
      <c r="K852" s="475" t="s">
        <v>11454</v>
      </c>
      <c r="L852" s="475" t="s">
        <v>11455</v>
      </c>
      <c r="M852" s="476" t="s">
        <v>11456</v>
      </c>
    </row>
    <row r="853" spans="1:13">
      <c r="A853" s="473" t="s">
        <v>11641</v>
      </c>
      <c r="B853" s="473" t="s">
        <v>1115</v>
      </c>
      <c r="C853" s="473" t="s">
        <v>11941</v>
      </c>
      <c r="D853" s="473" t="s">
        <v>11942</v>
      </c>
      <c r="E853" s="473" t="s">
        <v>11943</v>
      </c>
      <c r="F853" s="473" t="s">
        <v>11944</v>
      </c>
      <c r="G853" s="473" t="s">
        <v>11945</v>
      </c>
      <c r="H853" s="473" t="s">
        <v>11946</v>
      </c>
      <c r="I853" s="473" t="s">
        <v>11947</v>
      </c>
      <c r="J853" s="473" t="s">
        <v>11948</v>
      </c>
      <c r="K853" s="473" t="s">
        <v>11949</v>
      </c>
      <c r="L853" s="473" t="s">
        <v>11950</v>
      </c>
      <c r="M853" s="474" t="s">
        <v>11951</v>
      </c>
    </row>
    <row r="854" spans="1:13">
      <c r="A854" s="475" t="s">
        <v>12201</v>
      </c>
      <c r="B854" s="475" t="s">
        <v>1083</v>
      </c>
      <c r="C854" s="475" t="s">
        <v>1082</v>
      </c>
      <c r="D854" s="475" t="s">
        <v>1084</v>
      </c>
      <c r="E854" s="475" t="s">
        <v>4733</v>
      </c>
      <c r="F854" s="475" t="s">
        <v>4734</v>
      </c>
      <c r="G854" s="475" t="s">
        <v>4735</v>
      </c>
      <c r="H854" s="475" t="s">
        <v>4736</v>
      </c>
      <c r="I854" s="475" t="s">
        <v>4737</v>
      </c>
      <c r="J854" s="475" t="s">
        <v>4828</v>
      </c>
      <c r="K854" s="475" t="s">
        <v>7371</v>
      </c>
      <c r="L854" s="475" t="s">
        <v>8634</v>
      </c>
      <c r="M854" s="476" t="s">
        <v>7989</v>
      </c>
    </row>
    <row r="855" spans="1:13">
      <c r="A855" s="473" t="s">
        <v>12068</v>
      </c>
      <c r="B855" s="473" t="s">
        <v>755</v>
      </c>
      <c r="C855" s="473" t="s">
        <v>11907</v>
      </c>
      <c r="D855" s="473" t="s">
        <v>11908</v>
      </c>
      <c r="E855" s="473" t="s">
        <v>11909</v>
      </c>
      <c r="F855" s="473" t="s">
        <v>11910</v>
      </c>
      <c r="G855" s="473" t="s">
        <v>11911</v>
      </c>
      <c r="H855" s="473" t="s">
        <v>11912</v>
      </c>
      <c r="I855" s="473" t="s">
        <v>11913</v>
      </c>
      <c r="J855" s="473" t="s">
        <v>11914</v>
      </c>
      <c r="K855" s="473" t="s">
        <v>11915</v>
      </c>
      <c r="L855" s="473" t="s">
        <v>11916</v>
      </c>
      <c r="M855" s="474" t="s">
        <v>11917</v>
      </c>
    </row>
    <row r="856" spans="1:13">
      <c r="A856" s="475" t="s">
        <v>11642</v>
      </c>
      <c r="B856" s="475" t="s">
        <v>1083</v>
      </c>
      <c r="C856" s="475" t="s">
        <v>11530</v>
      </c>
      <c r="D856" s="475" t="s">
        <v>11531</v>
      </c>
      <c r="E856" s="475" t="s">
        <v>11532</v>
      </c>
      <c r="F856" s="475" t="s">
        <v>11533</v>
      </c>
      <c r="G856" s="475" t="s">
        <v>11534</v>
      </c>
      <c r="H856" s="475" t="s">
        <v>11535</v>
      </c>
      <c r="I856" s="475" t="s">
        <v>11536</v>
      </c>
      <c r="J856" s="475" t="s">
        <v>11537</v>
      </c>
      <c r="K856" s="475" t="s">
        <v>11538</v>
      </c>
      <c r="L856" s="475" t="s">
        <v>11539</v>
      </c>
      <c r="M856" s="476" t="s">
        <v>11540</v>
      </c>
    </row>
    <row r="857" spans="1:13">
      <c r="A857" s="473" t="s">
        <v>11626</v>
      </c>
      <c r="B857" s="473" t="s">
        <v>11553</v>
      </c>
      <c r="C857" s="473" t="s">
        <v>11554</v>
      </c>
      <c r="D857" s="473" t="s">
        <v>11555</v>
      </c>
      <c r="E857" s="473" t="s">
        <v>11556</v>
      </c>
      <c r="F857" s="473" t="s">
        <v>11557</v>
      </c>
      <c r="G857" s="473" t="s">
        <v>11558</v>
      </c>
      <c r="H857" s="473" t="s">
        <v>11559</v>
      </c>
      <c r="I857" s="473" t="s">
        <v>11560</v>
      </c>
      <c r="J857" s="473" t="s">
        <v>11561</v>
      </c>
      <c r="K857" s="473" t="s">
        <v>11562</v>
      </c>
      <c r="L857" s="473" t="s">
        <v>11563</v>
      </c>
      <c r="M857" s="474" t="s">
        <v>11564</v>
      </c>
    </row>
    <row r="858" spans="1:13">
      <c r="A858" s="475" t="s">
        <v>11624</v>
      </c>
      <c r="B858" s="475" t="s">
        <v>11529</v>
      </c>
      <c r="C858" s="475" t="s">
        <v>11530</v>
      </c>
      <c r="D858" s="475" t="s">
        <v>11531</v>
      </c>
      <c r="E858" s="475" t="s">
        <v>11532</v>
      </c>
      <c r="F858" s="475" t="s">
        <v>11533</v>
      </c>
      <c r="G858" s="475" t="s">
        <v>11534</v>
      </c>
      <c r="H858" s="475" t="s">
        <v>11535</v>
      </c>
      <c r="I858" s="475" t="s">
        <v>11536</v>
      </c>
      <c r="J858" s="475" t="s">
        <v>11537</v>
      </c>
      <c r="K858" s="475" t="s">
        <v>11538</v>
      </c>
      <c r="L858" s="475" t="s">
        <v>11539</v>
      </c>
      <c r="M858" s="476" t="s">
        <v>11540</v>
      </c>
    </row>
    <row r="859" spans="1:13">
      <c r="A859" s="473" t="s">
        <v>11222</v>
      </c>
      <c r="B859" s="473" t="s">
        <v>11469</v>
      </c>
      <c r="C859" s="473" t="s">
        <v>11470</v>
      </c>
      <c r="D859" s="473" t="s">
        <v>11471</v>
      </c>
      <c r="E859" s="473" t="s">
        <v>11472</v>
      </c>
      <c r="F859" s="473" t="s">
        <v>11473</v>
      </c>
      <c r="G859" s="473" t="s">
        <v>11474</v>
      </c>
      <c r="H859" s="473" t="s">
        <v>11475</v>
      </c>
      <c r="I859" s="473" t="s">
        <v>11476</v>
      </c>
      <c r="J859" s="473" t="s">
        <v>11477</v>
      </c>
      <c r="K859" s="473" t="s">
        <v>11478</v>
      </c>
      <c r="L859" s="473" t="s">
        <v>11479</v>
      </c>
      <c r="M859" s="474" t="s">
        <v>11480</v>
      </c>
    </row>
    <row r="860" spans="1:13">
      <c r="A860" s="475" t="s">
        <v>11637</v>
      </c>
      <c r="B860" s="475" t="s">
        <v>1397</v>
      </c>
      <c r="C860" s="475" t="s">
        <v>11918</v>
      </c>
      <c r="D860" s="475" t="s">
        <v>11919</v>
      </c>
      <c r="E860" s="475" t="s">
        <v>11920</v>
      </c>
      <c r="F860" s="475" t="s">
        <v>11921</v>
      </c>
      <c r="G860" s="475" t="s">
        <v>11922</v>
      </c>
      <c r="H860" s="475" t="s">
        <v>11923</v>
      </c>
      <c r="I860" s="475" t="s">
        <v>11924</v>
      </c>
      <c r="J860" s="475" t="s">
        <v>11925</v>
      </c>
      <c r="K860" s="475" t="s">
        <v>11926</v>
      </c>
      <c r="L860" s="475" t="s">
        <v>11927</v>
      </c>
      <c r="M860" s="476" t="s">
        <v>11928</v>
      </c>
    </row>
    <row r="861" spans="1:13">
      <c r="A861" s="473" t="s">
        <v>11643</v>
      </c>
      <c r="B861" s="473" t="s">
        <v>1119</v>
      </c>
      <c r="C861" s="473" t="s">
        <v>11952</v>
      </c>
      <c r="D861" s="473" t="s">
        <v>11953</v>
      </c>
      <c r="E861" s="473" t="s">
        <v>11954</v>
      </c>
      <c r="F861" s="473" t="s">
        <v>11955</v>
      </c>
      <c r="G861" s="473" t="s">
        <v>11956</v>
      </c>
      <c r="H861" s="473" t="s">
        <v>11957</v>
      </c>
      <c r="I861" s="473" t="s">
        <v>11958</v>
      </c>
      <c r="J861" s="473" t="s">
        <v>11959</v>
      </c>
      <c r="K861" s="473" t="s">
        <v>11960</v>
      </c>
      <c r="L861" s="473" t="s">
        <v>11961</v>
      </c>
      <c r="M861" s="474" t="s">
        <v>11962</v>
      </c>
    </row>
    <row r="862" spans="1:13">
      <c r="A862" s="465" t="s">
        <v>2022</v>
      </c>
      <c r="B862" s="475" t="s">
        <v>2025</v>
      </c>
      <c r="C862" s="475" t="s">
        <v>2024</v>
      </c>
      <c r="D862" s="475" t="s">
        <v>2026</v>
      </c>
      <c r="E862" s="475" t="s">
        <v>6312</v>
      </c>
      <c r="F862" s="475" t="s">
        <v>6313</v>
      </c>
      <c r="G862" s="475" t="s">
        <v>2024</v>
      </c>
      <c r="H862" s="475" t="s">
        <v>6314</v>
      </c>
      <c r="I862" s="475" t="s">
        <v>6315</v>
      </c>
      <c r="J862" s="475" t="s">
        <v>6316</v>
      </c>
      <c r="K862" s="475" t="s">
        <v>7656</v>
      </c>
      <c r="L862" s="465" t="s">
        <v>2024</v>
      </c>
      <c r="M862" s="476" t="s">
        <v>8283</v>
      </c>
    </row>
    <row r="863" spans="1:13">
      <c r="A863" s="461" t="s">
        <v>2027</v>
      </c>
      <c r="B863" s="473" t="s">
        <v>2030</v>
      </c>
      <c r="C863" s="473" t="s">
        <v>2029</v>
      </c>
      <c r="D863" s="473" t="s">
        <v>2031</v>
      </c>
      <c r="E863" s="473" t="s">
        <v>6317</v>
      </c>
      <c r="F863" s="473" t="s">
        <v>6318</v>
      </c>
      <c r="G863" s="473" t="s">
        <v>2029</v>
      </c>
      <c r="H863" s="473" t="s">
        <v>6319</v>
      </c>
      <c r="I863" s="473" t="s">
        <v>6320</v>
      </c>
      <c r="J863" s="473" t="s">
        <v>6321</v>
      </c>
      <c r="K863" s="473" t="s">
        <v>7657</v>
      </c>
      <c r="L863" s="461" t="s">
        <v>2029</v>
      </c>
      <c r="M863" s="474" t="s">
        <v>8284</v>
      </c>
    </row>
    <row r="864" spans="1:13">
      <c r="A864" s="465" t="s">
        <v>2035</v>
      </c>
      <c r="B864" s="475" t="s">
        <v>2033</v>
      </c>
      <c r="C864" s="475" t="s">
        <v>2032</v>
      </c>
      <c r="D864" s="475" t="s">
        <v>2034</v>
      </c>
      <c r="E864" s="475" t="s">
        <v>6322</v>
      </c>
      <c r="F864" s="475" t="s">
        <v>6323</v>
      </c>
      <c r="G864" s="475" t="s">
        <v>2032</v>
      </c>
      <c r="H864" s="475" t="s">
        <v>6324</v>
      </c>
      <c r="I864" s="475" t="s">
        <v>6325</v>
      </c>
      <c r="J864" s="475" t="s">
        <v>6326</v>
      </c>
      <c r="K864" s="475" t="s">
        <v>7658</v>
      </c>
      <c r="L864" s="465" t="s">
        <v>2032</v>
      </c>
      <c r="M864" s="476" t="s">
        <v>8285</v>
      </c>
    </row>
    <row r="865" spans="1:13">
      <c r="A865" s="461" t="s">
        <v>2564</v>
      </c>
      <c r="B865" s="473" t="s">
        <v>2562</v>
      </c>
      <c r="C865" s="473" t="s">
        <v>2650</v>
      </c>
      <c r="D865" s="473" t="s">
        <v>2705</v>
      </c>
      <c r="E865" s="473" t="s">
        <v>6327</v>
      </c>
      <c r="F865" s="473" t="s">
        <v>6328</v>
      </c>
      <c r="G865" s="473" t="s">
        <v>2650</v>
      </c>
      <c r="H865" s="473" t="s">
        <v>6329</v>
      </c>
      <c r="I865" s="473" t="s">
        <v>6330</v>
      </c>
      <c r="J865" s="473" t="s">
        <v>6331</v>
      </c>
      <c r="K865" s="473" t="s">
        <v>7659</v>
      </c>
      <c r="L865" s="461" t="s">
        <v>2650</v>
      </c>
      <c r="M865" s="474" t="s">
        <v>8286</v>
      </c>
    </row>
    <row r="866" spans="1:13">
      <c r="A866" s="465" t="s">
        <v>2037</v>
      </c>
      <c r="B866" s="475" t="s">
        <v>2039</v>
      </c>
      <c r="C866" s="475" t="s">
        <v>2038</v>
      </c>
      <c r="D866" s="475" t="s">
        <v>2040</v>
      </c>
      <c r="E866" s="475" t="s">
        <v>6332</v>
      </c>
      <c r="F866" s="475" t="s">
        <v>6333</v>
      </c>
      <c r="G866" s="475" t="s">
        <v>2038</v>
      </c>
      <c r="H866" s="475" t="s">
        <v>6334</v>
      </c>
      <c r="I866" s="475" t="s">
        <v>6335</v>
      </c>
      <c r="J866" s="475" t="s">
        <v>6336</v>
      </c>
      <c r="K866" s="475" t="s">
        <v>7660</v>
      </c>
      <c r="L866" s="465" t="s">
        <v>2038</v>
      </c>
      <c r="M866" s="476" t="s">
        <v>8287</v>
      </c>
    </row>
    <row r="867" spans="1:13">
      <c r="A867" s="461" t="s">
        <v>2014</v>
      </c>
      <c r="B867" s="473" t="s">
        <v>2016</v>
      </c>
      <c r="C867" s="473" t="s">
        <v>2015</v>
      </c>
      <c r="D867" s="473" t="s">
        <v>2017</v>
      </c>
      <c r="E867" s="473" t="s">
        <v>6302</v>
      </c>
      <c r="F867" s="473" t="s">
        <v>6303</v>
      </c>
      <c r="G867" s="473" t="s">
        <v>2015</v>
      </c>
      <c r="H867" s="473" t="s">
        <v>6304</v>
      </c>
      <c r="I867" s="473" t="s">
        <v>6305</v>
      </c>
      <c r="J867" s="473" t="s">
        <v>6306</v>
      </c>
      <c r="K867" s="473" t="s">
        <v>7654</v>
      </c>
      <c r="L867" s="461" t="s">
        <v>2015</v>
      </c>
      <c r="M867" s="474" t="s">
        <v>8281</v>
      </c>
    </row>
    <row r="868" spans="1:13">
      <c r="A868" s="465" t="s">
        <v>2018</v>
      </c>
      <c r="B868" s="475" t="s">
        <v>2020</v>
      </c>
      <c r="C868" s="475" t="s">
        <v>2019</v>
      </c>
      <c r="D868" s="475" t="s">
        <v>2021</v>
      </c>
      <c r="E868" s="475" t="s">
        <v>6307</v>
      </c>
      <c r="F868" s="475" t="s">
        <v>6308</v>
      </c>
      <c r="G868" s="475" t="s">
        <v>2019</v>
      </c>
      <c r="H868" s="475" t="s">
        <v>6309</v>
      </c>
      <c r="I868" s="475" t="s">
        <v>6310</v>
      </c>
      <c r="J868" s="475" t="s">
        <v>6311</v>
      </c>
      <c r="K868" s="475" t="s">
        <v>7655</v>
      </c>
      <c r="L868" s="465" t="s">
        <v>2019</v>
      </c>
      <c r="M868" s="476" t="s">
        <v>8282</v>
      </c>
    </row>
    <row r="869" spans="1:13">
      <c r="A869" s="472" t="s">
        <v>681</v>
      </c>
      <c r="B869" s="461" t="s">
        <v>2525</v>
      </c>
      <c r="C869" s="468" t="s">
        <v>682</v>
      </c>
      <c r="D869" s="468" t="s">
        <v>683</v>
      </c>
      <c r="E869" s="468" t="s">
        <v>4258</v>
      </c>
      <c r="F869" s="461" t="s">
        <v>4259</v>
      </c>
      <c r="G869" s="461" t="s">
        <v>4260</v>
      </c>
      <c r="H869" s="461" t="s">
        <v>4261</v>
      </c>
      <c r="I869" s="461" t="s">
        <v>4262</v>
      </c>
      <c r="J869" s="461" t="s">
        <v>4263</v>
      </c>
      <c r="K869" s="461" t="s">
        <v>7341</v>
      </c>
      <c r="L869" s="461" t="s">
        <v>8557</v>
      </c>
      <c r="M869" s="469" t="s">
        <v>7911</v>
      </c>
    </row>
    <row r="870" spans="1:13">
      <c r="A870" s="465" t="s">
        <v>2376</v>
      </c>
      <c r="B870" s="465" t="s">
        <v>2519</v>
      </c>
      <c r="C870" s="466" t="s">
        <v>2612</v>
      </c>
      <c r="D870" s="466" t="s">
        <v>2685</v>
      </c>
      <c r="E870" s="466" t="s">
        <v>4076</v>
      </c>
      <c r="F870" s="465" t="s">
        <v>4077</v>
      </c>
      <c r="G870" s="465" t="s">
        <v>4078</v>
      </c>
      <c r="H870" s="465" t="s">
        <v>4079</v>
      </c>
      <c r="I870" s="465" t="s">
        <v>4080</v>
      </c>
      <c r="J870" s="465" t="s">
        <v>4081</v>
      </c>
      <c r="K870" s="465" t="s">
        <v>7319</v>
      </c>
      <c r="L870" s="465" t="s">
        <v>8536</v>
      </c>
      <c r="M870" s="467" t="s">
        <v>7887</v>
      </c>
    </row>
    <row r="871" spans="1:13">
      <c r="A871" s="472" t="s">
        <v>618</v>
      </c>
      <c r="B871" s="461" t="s">
        <v>620</v>
      </c>
      <c r="C871" s="468" t="s">
        <v>619</v>
      </c>
      <c r="D871" s="468" t="s">
        <v>621</v>
      </c>
      <c r="E871" s="468" t="s">
        <v>4082</v>
      </c>
      <c r="F871" s="461" t="s">
        <v>4083</v>
      </c>
      <c r="G871" s="461" t="s">
        <v>4084</v>
      </c>
      <c r="H871" s="461" t="s">
        <v>4085</v>
      </c>
      <c r="I871" s="461" t="s">
        <v>4086</v>
      </c>
      <c r="J871" s="461" t="s">
        <v>4087</v>
      </c>
      <c r="K871" s="461" t="s">
        <v>7320</v>
      </c>
      <c r="L871" s="461" t="s">
        <v>8537</v>
      </c>
      <c r="M871" s="469" t="s">
        <v>7888</v>
      </c>
    </row>
    <row r="872" spans="1:13">
      <c r="A872" s="465" t="s">
        <v>2239</v>
      </c>
      <c r="B872" s="465" t="s">
        <v>620</v>
      </c>
      <c r="C872" s="466" t="s">
        <v>619</v>
      </c>
      <c r="D872" s="466" t="s">
        <v>621</v>
      </c>
      <c r="E872" s="466" t="s">
        <v>4082</v>
      </c>
      <c r="F872" s="465" t="s">
        <v>4083</v>
      </c>
      <c r="G872" s="465" t="s">
        <v>4084</v>
      </c>
      <c r="H872" s="465" t="s">
        <v>4085</v>
      </c>
      <c r="I872" s="465" t="s">
        <v>4086</v>
      </c>
      <c r="J872" s="465" t="s">
        <v>4087</v>
      </c>
      <c r="K872" s="465" t="s">
        <v>7320</v>
      </c>
      <c r="L872" s="465" t="s">
        <v>8537</v>
      </c>
      <c r="M872" s="467" t="s">
        <v>7888</v>
      </c>
    </row>
    <row r="873" spans="1:13">
      <c r="A873" s="461" t="s">
        <v>8776</v>
      </c>
      <c r="B873" s="461" t="s">
        <v>620</v>
      </c>
      <c r="C873" s="468" t="s">
        <v>619</v>
      </c>
      <c r="D873" s="468" t="s">
        <v>621</v>
      </c>
      <c r="E873" s="468" t="s">
        <v>4082</v>
      </c>
      <c r="F873" s="461" t="s">
        <v>4083</v>
      </c>
      <c r="G873" s="461" t="s">
        <v>4084</v>
      </c>
      <c r="H873" s="461" t="s">
        <v>4085</v>
      </c>
      <c r="I873" s="461" t="s">
        <v>4088</v>
      </c>
      <c r="J873" s="461" t="s">
        <v>4087</v>
      </c>
      <c r="K873" s="471" t="s">
        <v>7320</v>
      </c>
      <c r="L873" s="461" t="s">
        <v>8537</v>
      </c>
      <c r="M873" s="469" t="s">
        <v>7888</v>
      </c>
    </row>
    <row r="874" spans="1:13">
      <c r="A874" s="465" t="s">
        <v>2240</v>
      </c>
      <c r="B874" s="465" t="s">
        <v>2520</v>
      </c>
      <c r="C874" s="466" t="s">
        <v>2613</v>
      </c>
      <c r="D874" s="466" t="s">
        <v>2686</v>
      </c>
      <c r="E874" s="466" t="s">
        <v>4089</v>
      </c>
      <c r="F874" s="465" t="s">
        <v>4090</v>
      </c>
      <c r="G874" s="465" t="s">
        <v>4091</v>
      </c>
      <c r="H874" s="465" t="s">
        <v>4092</v>
      </c>
      <c r="I874" s="465" t="s">
        <v>4093</v>
      </c>
      <c r="J874" s="465" t="s">
        <v>4094</v>
      </c>
      <c r="K874" s="465" t="s">
        <v>7321</v>
      </c>
      <c r="L874" s="465" t="s">
        <v>8538</v>
      </c>
      <c r="M874" s="467" t="s">
        <v>7889</v>
      </c>
    </row>
    <row r="875" spans="1:13">
      <c r="A875" s="461" t="s">
        <v>2241</v>
      </c>
      <c r="B875" s="461" t="s">
        <v>2520</v>
      </c>
      <c r="C875" s="468" t="s">
        <v>2613</v>
      </c>
      <c r="D875" s="468" t="s">
        <v>2686</v>
      </c>
      <c r="E875" s="468" t="s">
        <v>4089</v>
      </c>
      <c r="F875" s="461" t="s">
        <v>4090</v>
      </c>
      <c r="G875" s="461" t="s">
        <v>4091</v>
      </c>
      <c r="H875" s="461" t="s">
        <v>4092</v>
      </c>
      <c r="I875" s="461" t="s">
        <v>4093</v>
      </c>
      <c r="J875" s="461" t="s">
        <v>4094</v>
      </c>
      <c r="K875" s="461" t="s">
        <v>7321</v>
      </c>
      <c r="L875" s="461" t="s">
        <v>8538</v>
      </c>
      <c r="M875" s="469" t="s">
        <v>7889</v>
      </c>
    </row>
    <row r="876" spans="1:13">
      <c r="A876" s="465" t="s">
        <v>4129</v>
      </c>
      <c r="B876" s="465" t="s">
        <v>9333</v>
      </c>
      <c r="C876" s="466" t="s">
        <v>9332</v>
      </c>
      <c r="D876" s="466" t="s">
        <v>9334</v>
      </c>
      <c r="E876" s="466" t="s">
        <v>9335</v>
      </c>
      <c r="F876" s="465" t="s">
        <v>9336</v>
      </c>
      <c r="G876" s="465" t="s">
        <v>9337</v>
      </c>
      <c r="H876" s="465" t="s">
        <v>9338</v>
      </c>
      <c r="I876" s="465" t="s">
        <v>9339</v>
      </c>
      <c r="J876" s="465" t="s">
        <v>9340</v>
      </c>
      <c r="K876" s="470" t="s">
        <v>9342</v>
      </c>
      <c r="L876" s="465" t="s">
        <v>9343</v>
      </c>
      <c r="M876" s="467" t="s">
        <v>9341</v>
      </c>
    </row>
    <row r="877" spans="1:13">
      <c r="A877" s="461" t="s">
        <v>632</v>
      </c>
      <c r="B877" s="461" t="s">
        <v>634</v>
      </c>
      <c r="C877" s="468" t="s">
        <v>633</v>
      </c>
      <c r="D877" s="468" t="s">
        <v>635</v>
      </c>
      <c r="E877" s="468" t="s">
        <v>4122</v>
      </c>
      <c r="F877" s="461" t="s">
        <v>4123</v>
      </c>
      <c r="G877" s="461" t="s">
        <v>4124</v>
      </c>
      <c r="H877" s="461" t="s">
        <v>4125</v>
      </c>
      <c r="I877" s="461" t="s">
        <v>4126</v>
      </c>
      <c r="J877" s="461" t="s">
        <v>4127</v>
      </c>
      <c r="K877" s="471" t="s">
        <v>7326</v>
      </c>
      <c r="L877" s="461" t="s">
        <v>8543</v>
      </c>
      <c r="M877" s="469" t="s">
        <v>7894</v>
      </c>
    </row>
    <row r="878" spans="1:13">
      <c r="A878" s="465" t="s">
        <v>4128</v>
      </c>
      <c r="B878" s="465" t="s">
        <v>634</v>
      </c>
      <c r="C878" s="466" t="s">
        <v>633</v>
      </c>
      <c r="D878" s="466" t="s">
        <v>635</v>
      </c>
      <c r="E878" s="466" t="s">
        <v>4122</v>
      </c>
      <c r="F878" s="465" t="s">
        <v>4123</v>
      </c>
      <c r="G878" s="465" t="s">
        <v>4124</v>
      </c>
      <c r="H878" s="465" t="s">
        <v>4125</v>
      </c>
      <c r="I878" s="465" t="s">
        <v>4126</v>
      </c>
      <c r="J878" s="465" t="s">
        <v>4127</v>
      </c>
      <c r="K878" s="470" t="s">
        <v>7327</v>
      </c>
      <c r="L878" s="465" t="s">
        <v>8543</v>
      </c>
      <c r="M878" s="467" t="s">
        <v>7894</v>
      </c>
    </row>
    <row r="879" spans="1:13">
      <c r="A879" s="461" t="s">
        <v>692</v>
      </c>
      <c r="B879" s="461" t="s">
        <v>694</v>
      </c>
      <c r="C879" s="468" t="s">
        <v>693</v>
      </c>
      <c r="D879" s="468" t="s">
        <v>695</v>
      </c>
      <c r="E879" s="468" t="s">
        <v>4276</v>
      </c>
      <c r="F879" s="461" t="s">
        <v>4277</v>
      </c>
      <c r="G879" s="461" t="s">
        <v>4278</v>
      </c>
      <c r="H879" s="461" t="s">
        <v>4279</v>
      </c>
      <c r="I879" s="461" t="s">
        <v>4280</v>
      </c>
      <c r="J879" s="461" t="s">
        <v>4281</v>
      </c>
      <c r="K879" s="471" t="s">
        <v>7344</v>
      </c>
      <c r="L879" s="461" t="s">
        <v>8560</v>
      </c>
      <c r="M879" s="469" t="s">
        <v>7914</v>
      </c>
    </row>
    <row r="880" spans="1:13">
      <c r="A880" s="475" t="s">
        <v>11633</v>
      </c>
      <c r="B880" s="475" t="s">
        <v>11841</v>
      </c>
      <c r="C880" s="475" t="s">
        <v>11842</v>
      </c>
      <c r="D880" s="475" t="s">
        <v>11843</v>
      </c>
      <c r="E880" s="475" t="s">
        <v>11844</v>
      </c>
      <c r="F880" s="475" t="s">
        <v>11845</v>
      </c>
      <c r="G880" s="475" t="s">
        <v>11846</v>
      </c>
      <c r="H880" s="475" t="s">
        <v>11847</v>
      </c>
      <c r="I880" s="475" t="s">
        <v>11848</v>
      </c>
      <c r="J880" s="475" t="s">
        <v>11849</v>
      </c>
      <c r="K880" s="475" t="s">
        <v>11850</v>
      </c>
      <c r="L880" s="475" t="s">
        <v>11851</v>
      </c>
      <c r="M880" s="476" t="s">
        <v>11852</v>
      </c>
    </row>
    <row r="881" spans="1:13">
      <c r="A881" s="472" t="s">
        <v>701</v>
      </c>
      <c r="B881" s="461" t="s">
        <v>704</v>
      </c>
      <c r="C881" s="468" t="s">
        <v>703</v>
      </c>
      <c r="D881" s="468" t="s">
        <v>705</v>
      </c>
      <c r="E881" s="468" t="s">
        <v>4288</v>
      </c>
      <c r="F881" s="461" t="s">
        <v>4289</v>
      </c>
      <c r="G881" s="461" t="s">
        <v>4290</v>
      </c>
      <c r="H881" s="461" t="s">
        <v>4291</v>
      </c>
      <c r="I881" s="461" t="s">
        <v>4292</v>
      </c>
      <c r="J881" s="461" t="s">
        <v>4293</v>
      </c>
      <c r="K881" s="471" t="s">
        <v>7346</v>
      </c>
      <c r="L881" s="461" t="s">
        <v>8562</v>
      </c>
      <c r="M881" s="469" t="s">
        <v>7916</v>
      </c>
    </row>
    <row r="882" spans="1:13">
      <c r="A882" s="465" t="s">
        <v>699</v>
      </c>
      <c r="B882" s="465" t="s">
        <v>697</v>
      </c>
      <c r="C882" s="466" t="s">
        <v>696</v>
      </c>
      <c r="D882" s="466" t="s">
        <v>698</v>
      </c>
      <c r="E882" s="466" t="s">
        <v>4282</v>
      </c>
      <c r="F882" s="465" t="s">
        <v>4283</v>
      </c>
      <c r="G882" s="465" t="s">
        <v>4284</v>
      </c>
      <c r="H882" s="465" t="s">
        <v>4285</v>
      </c>
      <c r="I882" s="465" t="s">
        <v>4286</v>
      </c>
      <c r="J882" s="465" t="s">
        <v>4287</v>
      </c>
      <c r="K882" s="470" t="s">
        <v>7345</v>
      </c>
      <c r="L882" s="465" t="s">
        <v>8561</v>
      </c>
      <c r="M882" s="467" t="s">
        <v>7915</v>
      </c>
    </row>
    <row r="883" spans="1:13">
      <c r="A883" s="461" t="s">
        <v>684</v>
      </c>
      <c r="B883" s="461" t="s">
        <v>686</v>
      </c>
      <c r="C883" s="468" t="s">
        <v>685</v>
      </c>
      <c r="D883" s="468" t="s">
        <v>687</v>
      </c>
      <c r="E883" s="468" t="s">
        <v>4264</v>
      </c>
      <c r="F883" s="461" t="s">
        <v>4265</v>
      </c>
      <c r="G883" s="461" t="s">
        <v>4266</v>
      </c>
      <c r="H883" s="461" t="s">
        <v>4267</v>
      </c>
      <c r="I883" s="461" t="s">
        <v>4268</v>
      </c>
      <c r="J883" s="461" t="s">
        <v>4269</v>
      </c>
      <c r="K883" s="461" t="s">
        <v>7342</v>
      </c>
      <c r="L883" s="461" t="s">
        <v>8558</v>
      </c>
      <c r="M883" s="469" t="s">
        <v>7912</v>
      </c>
    </row>
    <row r="884" spans="1:13">
      <c r="A884" s="472" t="s">
        <v>679</v>
      </c>
      <c r="B884" s="465" t="s">
        <v>9356</v>
      </c>
      <c r="C884" s="466" t="s">
        <v>9355</v>
      </c>
      <c r="D884" s="466" t="s">
        <v>9357</v>
      </c>
      <c r="E884" s="466" t="s">
        <v>9358</v>
      </c>
      <c r="F884" s="465" t="s">
        <v>9359</v>
      </c>
      <c r="G884" s="465" t="s">
        <v>9360</v>
      </c>
      <c r="H884" s="465" t="s">
        <v>9361</v>
      </c>
      <c r="I884" s="465" t="s">
        <v>9362</v>
      </c>
      <c r="J884" s="465" t="s">
        <v>9363</v>
      </c>
      <c r="K884" s="465" t="s">
        <v>9365</v>
      </c>
      <c r="L884" s="465" t="s">
        <v>9366</v>
      </c>
      <c r="M884" s="467" t="s">
        <v>9364</v>
      </c>
    </row>
    <row r="885" spans="1:13">
      <c r="A885" s="461" t="s">
        <v>688</v>
      </c>
      <c r="B885" s="461" t="s">
        <v>690</v>
      </c>
      <c r="C885" s="468" t="s">
        <v>689</v>
      </c>
      <c r="D885" s="468" t="s">
        <v>691</v>
      </c>
      <c r="E885" s="468" t="s">
        <v>4270</v>
      </c>
      <c r="F885" s="461" t="s">
        <v>4271</v>
      </c>
      <c r="G885" s="461" t="s">
        <v>4272</v>
      </c>
      <c r="H885" s="461" t="s">
        <v>4273</v>
      </c>
      <c r="I885" s="461" t="s">
        <v>4274</v>
      </c>
      <c r="J885" s="461" t="s">
        <v>4275</v>
      </c>
      <c r="K885" s="471" t="s">
        <v>7343</v>
      </c>
      <c r="L885" s="461" t="s">
        <v>8559</v>
      </c>
      <c r="M885" s="469" t="s">
        <v>7913</v>
      </c>
    </row>
    <row r="886" spans="1:13">
      <c r="A886" s="472" t="s">
        <v>680</v>
      </c>
      <c r="B886" s="465" t="s">
        <v>9368</v>
      </c>
      <c r="C886" s="466" t="s">
        <v>9367</v>
      </c>
      <c r="D886" s="466" t="s">
        <v>9369</v>
      </c>
      <c r="E886" s="466" t="s">
        <v>9370</v>
      </c>
      <c r="F886" s="465" t="s">
        <v>9371</v>
      </c>
      <c r="G886" s="465" t="s">
        <v>9372</v>
      </c>
      <c r="H886" s="465" t="s">
        <v>9373</v>
      </c>
      <c r="I886" s="465" t="s">
        <v>9374</v>
      </c>
      <c r="J886" s="465" t="s">
        <v>9375</v>
      </c>
      <c r="K886" s="465" t="s">
        <v>9377</v>
      </c>
      <c r="L886" s="465" t="s">
        <v>9378</v>
      </c>
      <c r="M886" s="467" t="s">
        <v>9376</v>
      </c>
    </row>
    <row r="887" spans="1:13">
      <c r="A887" s="473" t="s">
        <v>9160</v>
      </c>
      <c r="B887" s="473" t="s">
        <v>10605</v>
      </c>
      <c r="C887" s="473" t="s">
        <v>10609</v>
      </c>
      <c r="D887" s="473" t="s">
        <v>10611</v>
      </c>
      <c r="E887" s="473" t="s">
        <v>10613</v>
      </c>
      <c r="F887" s="473" t="s">
        <v>10615</v>
      </c>
      <c r="G887" s="473" t="s">
        <v>10617</v>
      </c>
      <c r="H887" s="473" t="s">
        <v>10607</v>
      </c>
      <c r="I887" s="473" t="s">
        <v>10619</v>
      </c>
      <c r="J887" s="473" t="s">
        <v>10621</v>
      </c>
      <c r="K887" s="473" t="s">
        <v>10623</v>
      </c>
      <c r="L887" s="473" t="s">
        <v>10625</v>
      </c>
      <c r="M887" s="474" t="s">
        <v>10627</v>
      </c>
    </row>
    <row r="888" spans="1:13">
      <c r="A888" s="475" t="s">
        <v>9161</v>
      </c>
      <c r="B888" s="475" t="s">
        <v>10605</v>
      </c>
      <c r="C888" s="475" t="s">
        <v>10609</v>
      </c>
      <c r="D888" s="475" t="s">
        <v>10611</v>
      </c>
      <c r="E888" s="475" t="s">
        <v>10613</v>
      </c>
      <c r="F888" s="475" t="s">
        <v>10615</v>
      </c>
      <c r="G888" s="475" t="s">
        <v>10617</v>
      </c>
      <c r="H888" s="475" t="s">
        <v>10607</v>
      </c>
      <c r="I888" s="475" t="s">
        <v>10619</v>
      </c>
      <c r="J888" s="475" t="s">
        <v>10621</v>
      </c>
      <c r="K888" s="475" t="s">
        <v>10623</v>
      </c>
      <c r="L888" s="475" t="s">
        <v>10625</v>
      </c>
      <c r="M888" s="476" t="s">
        <v>10627</v>
      </c>
    </row>
    <row r="889" spans="1:13">
      <c r="A889" s="473" t="s">
        <v>9162</v>
      </c>
      <c r="B889" s="473" t="s">
        <v>10605</v>
      </c>
      <c r="C889" s="473" t="s">
        <v>10609</v>
      </c>
      <c r="D889" s="473" t="s">
        <v>10611</v>
      </c>
      <c r="E889" s="473" t="s">
        <v>10613</v>
      </c>
      <c r="F889" s="473" t="s">
        <v>10615</v>
      </c>
      <c r="G889" s="473" t="s">
        <v>10617</v>
      </c>
      <c r="H889" s="473" t="s">
        <v>10607</v>
      </c>
      <c r="I889" s="473" t="s">
        <v>10619</v>
      </c>
      <c r="J889" s="473" t="s">
        <v>10621</v>
      </c>
      <c r="K889" s="473" t="s">
        <v>10623</v>
      </c>
      <c r="L889" s="473" t="s">
        <v>10625</v>
      </c>
      <c r="M889" s="474" t="s">
        <v>10627</v>
      </c>
    </row>
    <row r="890" spans="1:13">
      <c r="A890" s="475" t="s">
        <v>9163</v>
      </c>
      <c r="B890" s="475" t="s">
        <v>10605</v>
      </c>
      <c r="C890" s="475" t="s">
        <v>10609</v>
      </c>
      <c r="D890" s="475" t="s">
        <v>10611</v>
      </c>
      <c r="E890" s="475" t="s">
        <v>10613</v>
      </c>
      <c r="F890" s="475" t="s">
        <v>10615</v>
      </c>
      <c r="G890" s="475" t="s">
        <v>10617</v>
      </c>
      <c r="H890" s="475" t="s">
        <v>10607</v>
      </c>
      <c r="I890" s="475" t="s">
        <v>10619</v>
      </c>
      <c r="J890" s="475" t="s">
        <v>10621</v>
      </c>
      <c r="K890" s="475" t="s">
        <v>10623</v>
      </c>
      <c r="L890" s="475" t="s">
        <v>10625</v>
      </c>
      <c r="M890" s="476" t="s">
        <v>10627</v>
      </c>
    </row>
    <row r="891" spans="1:13">
      <c r="A891" s="473" t="s">
        <v>9164</v>
      </c>
      <c r="B891" s="473" t="s">
        <v>10605</v>
      </c>
      <c r="C891" s="473" t="s">
        <v>10609</v>
      </c>
      <c r="D891" s="473" t="s">
        <v>10611</v>
      </c>
      <c r="E891" s="473" t="s">
        <v>10613</v>
      </c>
      <c r="F891" s="473" t="s">
        <v>10615</v>
      </c>
      <c r="G891" s="473" t="s">
        <v>10617</v>
      </c>
      <c r="H891" s="473" t="s">
        <v>10607</v>
      </c>
      <c r="I891" s="473" t="s">
        <v>10619</v>
      </c>
      <c r="J891" s="473" t="s">
        <v>10621</v>
      </c>
      <c r="K891" s="473" t="s">
        <v>10623</v>
      </c>
      <c r="L891" s="473" t="s">
        <v>10625</v>
      </c>
      <c r="M891" s="474" t="s">
        <v>10627</v>
      </c>
    </row>
    <row r="892" spans="1:13">
      <c r="A892" s="475" t="s">
        <v>9165</v>
      </c>
      <c r="B892" s="475" t="s">
        <v>10605</v>
      </c>
      <c r="C892" s="475" t="s">
        <v>10609</v>
      </c>
      <c r="D892" s="475" t="s">
        <v>10611</v>
      </c>
      <c r="E892" s="475" t="s">
        <v>10613</v>
      </c>
      <c r="F892" s="475" t="s">
        <v>10615</v>
      </c>
      <c r="G892" s="475" t="s">
        <v>10617</v>
      </c>
      <c r="H892" s="475" t="s">
        <v>10607</v>
      </c>
      <c r="I892" s="475" t="s">
        <v>10619</v>
      </c>
      <c r="J892" s="475" t="s">
        <v>10621</v>
      </c>
      <c r="K892" s="475" t="s">
        <v>10623</v>
      </c>
      <c r="L892" s="475" t="s">
        <v>10625</v>
      </c>
      <c r="M892" s="476" t="s">
        <v>10627</v>
      </c>
    </row>
    <row r="893" spans="1:13">
      <c r="A893" s="473" t="s">
        <v>9166</v>
      </c>
      <c r="B893" s="473" t="s">
        <v>10605</v>
      </c>
      <c r="C893" s="473" t="s">
        <v>10609</v>
      </c>
      <c r="D893" s="473" t="s">
        <v>10611</v>
      </c>
      <c r="E893" s="473" t="s">
        <v>10613</v>
      </c>
      <c r="F893" s="473" t="s">
        <v>10615</v>
      </c>
      <c r="G893" s="473" t="s">
        <v>10617</v>
      </c>
      <c r="H893" s="473" t="s">
        <v>10607</v>
      </c>
      <c r="I893" s="473" t="s">
        <v>10619</v>
      </c>
      <c r="J893" s="473" t="s">
        <v>10621</v>
      </c>
      <c r="K893" s="473" t="s">
        <v>10623</v>
      </c>
      <c r="L893" s="473" t="s">
        <v>10625</v>
      </c>
      <c r="M893" s="474" t="s">
        <v>10627</v>
      </c>
    </row>
    <row r="894" spans="1:13">
      <c r="A894" s="475" t="s">
        <v>9167</v>
      </c>
      <c r="B894" s="475" t="s">
        <v>10605</v>
      </c>
      <c r="C894" s="475" t="s">
        <v>10609</v>
      </c>
      <c r="D894" s="475" t="s">
        <v>10611</v>
      </c>
      <c r="E894" s="475" t="s">
        <v>10613</v>
      </c>
      <c r="F894" s="475" t="s">
        <v>10615</v>
      </c>
      <c r="G894" s="475" t="s">
        <v>10617</v>
      </c>
      <c r="H894" s="475" t="s">
        <v>10607</v>
      </c>
      <c r="I894" s="475" t="s">
        <v>10619</v>
      </c>
      <c r="J894" s="475" t="s">
        <v>10621</v>
      </c>
      <c r="K894" s="475" t="s">
        <v>10623</v>
      </c>
      <c r="L894" s="475" t="s">
        <v>10625</v>
      </c>
      <c r="M894" s="476" t="s">
        <v>10627</v>
      </c>
    </row>
    <row r="895" spans="1:13">
      <c r="A895" s="473" t="s">
        <v>9168</v>
      </c>
      <c r="B895" s="473" t="s">
        <v>10605</v>
      </c>
      <c r="C895" s="473" t="s">
        <v>10609</v>
      </c>
      <c r="D895" s="473" t="s">
        <v>10611</v>
      </c>
      <c r="E895" s="473" t="s">
        <v>10613</v>
      </c>
      <c r="F895" s="473" t="s">
        <v>10615</v>
      </c>
      <c r="G895" s="473" t="s">
        <v>10617</v>
      </c>
      <c r="H895" s="473" t="s">
        <v>10607</v>
      </c>
      <c r="I895" s="473" t="s">
        <v>10619</v>
      </c>
      <c r="J895" s="473" t="s">
        <v>10621</v>
      </c>
      <c r="K895" s="473" t="s">
        <v>10623</v>
      </c>
      <c r="L895" s="473" t="s">
        <v>10625</v>
      </c>
      <c r="M895" s="474" t="s">
        <v>10627</v>
      </c>
    </row>
    <row r="896" spans="1:13">
      <c r="A896" s="475" t="s">
        <v>9169</v>
      </c>
      <c r="B896" s="475" t="s">
        <v>10605</v>
      </c>
      <c r="C896" s="475" t="s">
        <v>10609</v>
      </c>
      <c r="D896" s="475" t="s">
        <v>10611</v>
      </c>
      <c r="E896" s="475" t="s">
        <v>10613</v>
      </c>
      <c r="F896" s="475" t="s">
        <v>10615</v>
      </c>
      <c r="G896" s="475" t="s">
        <v>10617</v>
      </c>
      <c r="H896" s="475" t="s">
        <v>10607</v>
      </c>
      <c r="I896" s="475" t="s">
        <v>10619</v>
      </c>
      <c r="J896" s="475" t="s">
        <v>10621</v>
      </c>
      <c r="K896" s="475" t="s">
        <v>10623</v>
      </c>
      <c r="L896" s="475" t="s">
        <v>10625</v>
      </c>
      <c r="M896" s="476" t="s">
        <v>10627</v>
      </c>
    </row>
    <row r="897" spans="1:13">
      <c r="A897" s="473" t="s">
        <v>9170</v>
      </c>
      <c r="B897" s="473" t="s">
        <v>10605</v>
      </c>
      <c r="C897" s="473" t="s">
        <v>10609</v>
      </c>
      <c r="D897" s="473" t="s">
        <v>10611</v>
      </c>
      <c r="E897" s="473" t="s">
        <v>10613</v>
      </c>
      <c r="F897" s="473" t="s">
        <v>10615</v>
      </c>
      <c r="G897" s="473" t="s">
        <v>10617</v>
      </c>
      <c r="H897" s="473" t="s">
        <v>10607</v>
      </c>
      <c r="I897" s="473" t="s">
        <v>10619</v>
      </c>
      <c r="J897" s="473" t="s">
        <v>10621</v>
      </c>
      <c r="K897" s="473" t="s">
        <v>10623</v>
      </c>
      <c r="L897" s="473" t="s">
        <v>10625</v>
      </c>
      <c r="M897" s="474" t="s">
        <v>10627</v>
      </c>
    </row>
    <row r="898" spans="1:13">
      <c r="A898" s="475" t="s">
        <v>9171</v>
      </c>
      <c r="B898" s="475" t="s">
        <v>10605</v>
      </c>
      <c r="C898" s="475" t="s">
        <v>10609</v>
      </c>
      <c r="D898" s="475" t="s">
        <v>10611</v>
      </c>
      <c r="E898" s="475" t="s">
        <v>10613</v>
      </c>
      <c r="F898" s="475" t="s">
        <v>10615</v>
      </c>
      <c r="G898" s="475" t="s">
        <v>10617</v>
      </c>
      <c r="H898" s="475" t="s">
        <v>10607</v>
      </c>
      <c r="I898" s="475" t="s">
        <v>10619</v>
      </c>
      <c r="J898" s="475" t="s">
        <v>10621</v>
      </c>
      <c r="K898" s="475" t="s">
        <v>10623</v>
      </c>
      <c r="L898" s="475" t="s">
        <v>10625</v>
      </c>
      <c r="M898" s="476" t="s">
        <v>10627</v>
      </c>
    </row>
    <row r="899" spans="1:13">
      <c r="A899" s="473" t="s">
        <v>9172</v>
      </c>
      <c r="B899" s="473" t="s">
        <v>10605</v>
      </c>
      <c r="C899" s="473" t="s">
        <v>10609</v>
      </c>
      <c r="D899" s="473" t="s">
        <v>10611</v>
      </c>
      <c r="E899" s="473" t="s">
        <v>10613</v>
      </c>
      <c r="F899" s="473" t="s">
        <v>10615</v>
      </c>
      <c r="G899" s="473" t="s">
        <v>10617</v>
      </c>
      <c r="H899" s="473" t="s">
        <v>10607</v>
      </c>
      <c r="I899" s="473" t="s">
        <v>10619</v>
      </c>
      <c r="J899" s="473" t="s">
        <v>10621</v>
      </c>
      <c r="K899" s="473" t="s">
        <v>10623</v>
      </c>
      <c r="L899" s="473" t="s">
        <v>10625</v>
      </c>
      <c r="M899" s="474" t="s">
        <v>10627</v>
      </c>
    </row>
    <row r="900" spans="1:13">
      <c r="A900" s="475" t="s">
        <v>9173</v>
      </c>
      <c r="B900" s="475" t="s">
        <v>10605</v>
      </c>
      <c r="C900" s="475" t="s">
        <v>10609</v>
      </c>
      <c r="D900" s="475" t="s">
        <v>10611</v>
      </c>
      <c r="E900" s="475" t="s">
        <v>10613</v>
      </c>
      <c r="F900" s="475" t="s">
        <v>10615</v>
      </c>
      <c r="G900" s="475" t="s">
        <v>10617</v>
      </c>
      <c r="H900" s="475" t="s">
        <v>10607</v>
      </c>
      <c r="I900" s="475" t="s">
        <v>10619</v>
      </c>
      <c r="J900" s="475" t="s">
        <v>10621</v>
      </c>
      <c r="K900" s="475" t="s">
        <v>10623</v>
      </c>
      <c r="L900" s="475" t="s">
        <v>10625</v>
      </c>
      <c r="M900" s="476" t="s">
        <v>10627</v>
      </c>
    </row>
    <row r="901" spans="1:13">
      <c r="A901" s="473" t="s">
        <v>9174</v>
      </c>
      <c r="B901" s="473" t="s">
        <v>10605</v>
      </c>
      <c r="C901" s="473" t="s">
        <v>10609</v>
      </c>
      <c r="D901" s="473" t="s">
        <v>10611</v>
      </c>
      <c r="E901" s="473" t="s">
        <v>10613</v>
      </c>
      <c r="F901" s="473" t="s">
        <v>10615</v>
      </c>
      <c r="G901" s="473" t="s">
        <v>10617</v>
      </c>
      <c r="H901" s="473" t="s">
        <v>10607</v>
      </c>
      <c r="I901" s="473" t="s">
        <v>10619</v>
      </c>
      <c r="J901" s="473" t="s">
        <v>10621</v>
      </c>
      <c r="K901" s="473" t="s">
        <v>10623</v>
      </c>
      <c r="L901" s="473" t="s">
        <v>10625</v>
      </c>
      <c r="M901" s="474" t="s">
        <v>10627</v>
      </c>
    </row>
    <row r="902" spans="1:13">
      <c r="A902" s="475" t="s">
        <v>9175</v>
      </c>
      <c r="B902" s="475" t="s">
        <v>10605</v>
      </c>
      <c r="C902" s="475" t="s">
        <v>10609</v>
      </c>
      <c r="D902" s="475" t="s">
        <v>10611</v>
      </c>
      <c r="E902" s="475" t="s">
        <v>10613</v>
      </c>
      <c r="F902" s="475" t="s">
        <v>10615</v>
      </c>
      <c r="G902" s="475" t="s">
        <v>10617</v>
      </c>
      <c r="H902" s="475" t="s">
        <v>10607</v>
      </c>
      <c r="I902" s="475" t="s">
        <v>10619</v>
      </c>
      <c r="J902" s="475" t="s">
        <v>10621</v>
      </c>
      <c r="K902" s="475" t="s">
        <v>10623</v>
      </c>
      <c r="L902" s="475" t="s">
        <v>10625</v>
      </c>
      <c r="M902" s="476" t="s">
        <v>10627</v>
      </c>
    </row>
    <row r="903" spans="1:13">
      <c r="A903" s="473" t="s">
        <v>9176</v>
      </c>
      <c r="B903" s="473" t="s">
        <v>10605</v>
      </c>
      <c r="C903" s="473" t="s">
        <v>10609</v>
      </c>
      <c r="D903" s="473" t="s">
        <v>10611</v>
      </c>
      <c r="E903" s="473" t="s">
        <v>10613</v>
      </c>
      <c r="F903" s="473" t="s">
        <v>10615</v>
      </c>
      <c r="G903" s="473" t="s">
        <v>10617</v>
      </c>
      <c r="H903" s="473" t="s">
        <v>10607</v>
      </c>
      <c r="I903" s="473" t="s">
        <v>10619</v>
      </c>
      <c r="J903" s="473" t="s">
        <v>10621</v>
      </c>
      <c r="K903" s="473" t="s">
        <v>10623</v>
      </c>
      <c r="L903" s="473" t="s">
        <v>10625</v>
      </c>
      <c r="M903" s="474" t="s">
        <v>10627</v>
      </c>
    </row>
    <row r="904" spans="1:13">
      <c r="A904" s="475" t="s">
        <v>9177</v>
      </c>
      <c r="B904" s="475" t="s">
        <v>10605</v>
      </c>
      <c r="C904" s="475" t="s">
        <v>10609</v>
      </c>
      <c r="D904" s="475" t="s">
        <v>10611</v>
      </c>
      <c r="E904" s="475" t="s">
        <v>10613</v>
      </c>
      <c r="F904" s="475" t="s">
        <v>10615</v>
      </c>
      <c r="G904" s="475" t="s">
        <v>10617</v>
      </c>
      <c r="H904" s="475" t="s">
        <v>10607</v>
      </c>
      <c r="I904" s="475" t="s">
        <v>10619</v>
      </c>
      <c r="J904" s="475" t="s">
        <v>10621</v>
      </c>
      <c r="K904" s="475" t="s">
        <v>10623</v>
      </c>
      <c r="L904" s="475" t="s">
        <v>10625</v>
      </c>
      <c r="M904" s="476" t="s">
        <v>10627</v>
      </c>
    </row>
    <row r="905" spans="1:13">
      <c r="A905" s="473" t="s">
        <v>9178</v>
      </c>
      <c r="B905" s="473" t="s">
        <v>10605</v>
      </c>
      <c r="C905" s="473" t="s">
        <v>10609</v>
      </c>
      <c r="D905" s="473" t="s">
        <v>10611</v>
      </c>
      <c r="E905" s="473" t="s">
        <v>10613</v>
      </c>
      <c r="F905" s="473" t="s">
        <v>10615</v>
      </c>
      <c r="G905" s="473" t="s">
        <v>10617</v>
      </c>
      <c r="H905" s="473" t="s">
        <v>10607</v>
      </c>
      <c r="I905" s="473" t="s">
        <v>10619</v>
      </c>
      <c r="J905" s="473" t="s">
        <v>10621</v>
      </c>
      <c r="K905" s="473" t="s">
        <v>10623</v>
      </c>
      <c r="L905" s="473" t="s">
        <v>10625</v>
      </c>
      <c r="M905" s="474" t="s">
        <v>10627</v>
      </c>
    </row>
    <row r="906" spans="1:13">
      <c r="A906" s="475" t="s">
        <v>9179</v>
      </c>
      <c r="B906" s="475" t="s">
        <v>10605</v>
      </c>
      <c r="C906" s="475" t="s">
        <v>10609</v>
      </c>
      <c r="D906" s="475" t="s">
        <v>10611</v>
      </c>
      <c r="E906" s="475" t="s">
        <v>10613</v>
      </c>
      <c r="F906" s="475" t="s">
        <v>10615</v>
      </c>
      <c r="G906" s="475" t="s">
        <v>10617</v>
      </c>
      <c r="H906" s="475" t="s">
        <v>10607</v>
      </c>
      <c r="I906" s="475" t="s">
        <v>10619</v>
      </c>
      <c r="J906" s="475" t="s">
        <v>10621</v>
      </c>
      <c r="K906" s="475" t="s">
        <v>10623</v>
      </c>
      <c r="L906" s="475" t="s">
        <v>10625</v>
      </c>
      <c r="M906" s="476" t="s">
        <v>10627</v>
      </c>
    </row>
    <row r="907" spans="1:13">
      <c r="A907" s="473" t="s">
        <v>9180</v>
      </c>
      <c r="B907" s="473" t="s">
        <v>10605</v>
      </c>
      <c r="C907" s="473" t="s">
        <v>10609</v>
      </c>
      <c r="D907" s="473" t="s">
        <v>10611</v>
      </c>
      <c r="E907" s="473" t="s">
        <v>10613</v>
      </c>
      <c r="F907" s="473" t="s">
        <v>10615</v>
      </c>
      <c r="G907" s="473" t="s">
        <v>10617</v>
      </c>
      <c r="H907" s="473" t="s">
        <v>10607</v>
      </c>
      <c r="I907" s="473" t="s">
        <v>10619</v>
      </c>
      <c r="J907" s="473" t="s">
        <v>10621</v>
      </c>
      <c r="K907" s="473" t="s">
        <v>10623</v>
      </c>
      <c r="L907" s="473" t="s">
        <v>10625</v>
      </c>
      <c r="M907" s="474" t="s">
        <v>10627</v>
      </c>
    </row>
    <row r="908" spans="1:13">
      <c r="A908" s="475" t="s">
        <v>9181</v>
      </c>
      <c r="B908" s="475" t="s">
        <v>10605</v>
      </c>
      <c r="C908" s="475" t="s">
        <v>10609</v>
      </c>
      <c r="D908" s="475" t="s">
        <v>10611</v>
      </c>
      <c r="E908" s="475" t="s">
        <v>10613</v>
      </c>
      <c r="F908" s="475" t="s">
        <v>10615</v>
      </c>
      <c r="G908" s="475" t="s">
        <v>10617</v>
      </c>
      <c r="H908" s="475" t="s">
        <v>10607</v>
      </c>
      <c r="I908" s="475" t="s">
        <v>10619</v>
      </c>
      <c r="J908" s="475" t="s">
        <v>10621</v>
      </c>
      <c r="K908" s="475" t="s">
        <v>10623</v>
      </c>
      <c r="L908" s="475" t="s">
        <v>10625</v>
      </c>
      <c r="M908" s="476" t="s">
        <v>10627</v>
      </c>
    </row>
    <row r="909" spans="1:13">
      <c r="A909" s="473" t="s">
        <v>9182</v>
      </c>
      <c r="B909" s="473" t="s">
        <v>10605</v>
      </c>
      <c r="C909" s="473" t="s">
        <v>10609</v>
      </c>
      <c r="D909" s="473" t="s">
        <v>10611</v>
      </c>
      <c r="E909" s="473" t="s">
        <v>10613</v>
      </c>
      <c r="F909" s="473" t="s">
        <v>10615</v>
      </c>
      <c r="G909" s="473" t="s">
        <v>10617</v>
      </c>
      <c r="H909" s="473" t="s">
        <v>10607</v>
      </c>
      <c r="I909" s="473" t="s">
        <v>10619</v>
      </c>
      <c r="J909" s="473" t="s">
        <v>10621</v>
      </c>
      <c r="K909" s="473" t="s">
        <v>10623</v>
      </c>
      <c r="L909" s="473" t="s">
        <v>10625</v>
      </c>
      <c r="M909" s="474" t="s">
        <v>10627</v>
      </c>
    </row>
    <row r="910" spans="1:13">
      <c r="A910" s="475" t="s">
        <v>9459</v>
      </c>
      <c r="B910" s="475" t="s">
        <v>10605</v>
      </c>
      <c r="C910" s="475" t="s">
        <v>10609</v>
      </c>
      <c r="D910" s="475" t="s">
        <v>10611</v>
      </c>
      <c r="E910" s="475" t="s">
        <v>10613</v>
      </c>
      <c r="F910" s="475" t="s">
        <v>10615</v>
      </c>
      <c r="G910" s="475" t="s">
        <v>10617</v>
      </c>
      <c r="H910" s="475" t="s">
        <v>10607</v>
      </c>
      <c r="I910" s="475" t="s">
        <v>10619</v>
      </c>
      <c r="J910" s="475" t="s">
        <v>10621</v>
      </c>
      <c r="K910" s="475" t="s">
        <v>10623</v>
      </c>
      <c r="L910" s="475" t="s">
        <v>10625</v>
      </c>
      <c r="M910" s="476" t="s">
        <v>10627</v>
      </c>
    </row>
    <row r="911" spans="1:13">
      <c r="A911" s="473" t="s">
        <v>9183</v>
      </c>
      <c r="B911" s="473" t="s">
        <v>10605</v>
      </c>
      <c r="C911" s="473" t="s">
        <v>10609</v>
      </c>
      <c r="D911" s="473" t="s">
        <v>10611</v>
      </c>
      <c r="E911" s="473" t="s">
        <v>10613</v>
      </c>
      <c r="F911" s="473" t="s">
        <v>10615</v>
      </c>
      <c r="G911" s="473" t="s">
        <v>10617</v>
      </c>
      <c r="H911" s="473" t="s">
        <v>10607</v>
      </c>
      <c r="I911" s="473" t="s">
        <v>10619</v>
      </c>
      <c r="J911" s="473" t="s">
        <v>10621</v>
      </c>
      <c r="K911" s="473" t="s">
        <v>10623</v>
      </c>
      <c r="L911" s="473" t="s">
        <v>10625</v>
      </c>
      <c r="M911" s="474" t="s">
        <v>10627</v>
      </c>
    </row>
    <row r="912" spans="1:13">
      <c r="A912" s="475" t="s">
        <v>9184</v>
      </c>
      <c r="B912" s="475" t="s">
        <v>10605</v>
      </c>
      <c r="C912" s="475" t="s">
        <v>10609</v>
      </c>
      <c r="D912" s="475" t="s">
        <v>10611</v>
      </c>
      <c r="E912" s="475" t="s">
        <v>10613</v>
      </c>
      <c r="F912" s="475" t="s">
        <v>10615</v>
      </c>
      <c r="G912" s="475" t="s">
        <v>10617</v>
      </c>
      <c r="H912" s="475" t="s">
        <v>10607</v>
      </c>
      <c r="I912" s="475" t="s">
        <v>10619</v>
      </c>
      <c r="J912" s="475" t="s">
        <v>10621</v>
      </c>
      <c r="K912" s="475" t="s">
        <v>10623</v>
      </c>
      <c r="L912" s="475" t="s">
        <v>10625</v>
      </c>
      <c r="M912" s="476" t="s">
        <v>10627</v>
      </c>
    </row>
    <row r="913" spans="1:13">
      <c r="A913" s="473" t="s">
        <v>9185</v>
      </c>
      <c r="B913" s="473" t="s">
        <v>10605</v>
      </c>
      <c r="C913" s="473" t="s">
        <v>10609</v>
      </c>
      <c r="D913" s="473" t="s">
        <v>10611</v>
      </c>
      <c r="E913" s="473" t="s">
        <v>10613</v>
      </c>
      <c r="F913" s="473" t="s">
        <v>10615</v>
      </c>
      <c r="G913" s="473" t="s">
        <v>10617</v>
      </c>
      <c r="H913" s="473" t="s">
        <v>10607</v>
      </c>
      <c r="I913" s="473" t="s">
        <v>10619</v>
      </c>
      <c r="J913" s="473" t="s">
        <v>10621</v>
      </c>
      <c r="K913" s="473" t="s">
        <v>10623</v>
      </c>
      <c r="L913" s="473" t="s">
        <v>10625</v>
      </c>
      <c r="M913" s="474" t="s">
        <v>10627</v>
      </c>
    </row>
    <row r="914" spans="1:13">
      <c r="A914" s="475" t="s">
        <v>9460</v>
      </c>
      <c r="B914" s="475" t="s">
        <v>10605</v>
      </c>
      <c r="C914" s="475" t="s">
        <v>10609</v>
      </c>
      <c r="D914" s="475" t="s">
        <v>10611</v>
      </c>
      <c r="E914" s="475" t="s">
        <v>10613</v>
      </c>
      <c r="F914" s="475" t="s">
        <v>10615</v>
      </c>
      <c r="G914" s="475" t="s">
        <v>10617</v>
      </c>
      <c r="H914" s="475" t="s">
        <v>10607</v>
      </c>
      <c r="I914" s="475" t="s">
        <v>10619</v>
      </c>
      <c r="J914" s="475" t="s">
        <v>10621</v>
      </c>
      <c r="K914" s="475" t="s">
        <v>10623</v>
      </c>
      <c r="L914" s="475" t="s">
        <v>10625</v>
      </c>
      <c r="M914" s="476" t="s">
        <v>10627</v>
      </c>
    </row>
    <row r="915" spans="1:13">
      <c r="A915" s="473" t="s">
        <v>9186</v>
      </c>
      <c r="B915" s="473" t="s">
        <v>10605</v>
      </c>
      <c r="C915" s="473" t="s">
        <v>10609</v>
      </c>
      <c r="D915" s="473" t="s">
        <v>10611</v>
      </c>
      <c r="E915" s="473" t="s">
        <v>10613</v>
      </c>
      <c r="F915" s="473" t="s">
        <v>10615</v>
      </c>
      <c r="G915" s="473" t="s">
        <v>10617</v>
      </c>
      <c r="H915" s="473" t="s">
        <v>10607</v>
      </c>
      <c r="I915" s="473" t="s">
        <v>10619</v>
      </c>
      <c r="J915" s="473" t="s">
        <v>10621</v>
      </c>
      <c r="K915" s="473" t="s">
        <v>10623</v>
      </c>
      <c r="L915" s="473" t="s">
        <v>10625</v>
      </c>
      <c r="M915" s="474" t="s">
        <v>10627</v>
      </c>
    </row>
    <row r="916" spans="1:13">
      <c r="A916" s="475" t="s">
        <v>9187</v>
      </c>
      <c r="B916" s="475" t="s">
        <v>10605</v>
      </c>
      <c r="C916" s="475" t="s">
        <v>10609</v>
      </c>
      <c r="D916" s="475" t="s">
        <v>10611</v>
      </c>
      <c r="E916" s="475" t="s">
        <v>10613</v>
      </c>
      <c r="F916" s="475" t="s">
        <v>10615</v>
      </c>
      <c r="G916" s="475" t="s">
        <v>10617</v>
      </c>
      <c r="H916" s="475" t="s">
        <v>10607</v>
      </c>
      <c r="I916" s="475" t="s">
        <v>10619</v>
      </c>
      <c r="J916" s="475" t="s">
        <v>10621</v>
      </c>
      <c r="K916" s="475" t="s">
        <v>10623</v>
      </c>
      <c r="L916" s="475" t="s">
        <v>10625</v>
      </c>
      <c r="M916" s="476" t="s">
        <v>10627</v>
      </c>
    </row>
    <row r="917" spans="1:13">
      <c r="A917" s="473" t="s">
        <v>9188</v>
      </c>
      <c r="B917" s="473" t="s">
        <v>10605</v>
      </c>
      <c r="C917" s="473" t="s">
        <v>10609</v>
      </c>
      <c r="D917" s="473" t="s">
        <v>10611</v>
      </c>
      <c r="E917" s="473" t="s">
        <v>10613</v>
      </c>
      <c r="F917" s="473" t="s">
        <v>10615</v>
      </c>
      <c r="G917" s="473" t="s">
        <v>10617</v>
      </c>
      <c r="H917" s="473" t="s">
        <v>10607</v>
      </c>
      <c r="I917" s="473" t="s">
        <v>10619</v>
      </c>
      <c r="J917" s="473" t="s">
        <v>10621</v>
      </c>
      <c r="K917" s="473" t="s">
        <v>10623</v>
      </c>
      <c r="L917" s="473" t="s">
        <v>10625</v>
      </c>
      <c r="M917" s="474" t="s">
        <v>10627</v>
      </c>
    </row>
    <row r="918" spans="1:13">
      <c r="A918" s="475" t="s">
        <v>9189</v>
      </c>
      <c r="B918" s="475" t="s">
        <v>10605</v>
      </c>
      <c r="C918" s="475" t="s">
        <v>10609</v>
      </c>
      <c r="D918" s="475" t="s">
        <v>10611</v>
      </c>
      <c r="E918" s="475" t="s">
        <v>10613</v>
      </c>
      <c r="F918" s="475" t="s">
        <v>10615</v>
      </c>
      <c r="G918" s="475" t="s">
        <v>10617</v>
      </c>
      <c r="H918" s="475" t="s">
        <v>10607</v>
      </c>
      <c r="I918" s="475" t="s">
        <v>10619</v>
      </c>
      <c r="J918" s="475" t="s">
        <v>10621</v>
      </c>
      <c r="K918" s="475" t="s">
        <v>10623</v>
      </c>
      <c r="L918" s="475" t="s">
        <v>10625</v>
      </c>
      <c r="M918" s="476" t="s">
        <v>10627</v>
      </c>
    </row>
    <row r="919" spans="1:13">
      <c r="A919" s="473" t="s">
        <v>9461</v>
      </c>
      <c r="B919" s="473" t="s">
        <v>10605</v>
      </c>
      <c r="C919" s="473" t="s">
        <v>10609</v>
      </c>
      <c r="D919" s="473" t="s">
        <v>10611</v>
      </c>
      <c r="E919" s="473" t="s">
        <v>10613</v>
      </c>
      <c r="F919" s="473" t="s">
        <v>10615</v>
      </c>
      <c r="G919" s="473" t="s">
        <v>10617</v>
      </c>
      <c r="H919" s="473" t="s">
        <v>10607</v>
      </c>
      <c r="I919" s="473" t="s">
        <v>10619</v>
      </c>
      <c r="J919" s="473" t="s">
        <v>10621</v>
      </c>
      <c r="K919" s="473" t="s">
        <v>10623</v>
      </c>
      <c r="L919" s="473" t="s">
        <v>10625</v>
      </c>
      <c r="M919" s="474" t="s">
        <v>10627</v>
      </c>
    </row>
    <row r="920" spans="1:13">
      <c r="A920" s="475" t="s">
        <v>9190</v>
      </c>
      <c r="B920" s="475" t="s">
        <v>10605</v>
      </c>
      <c r="C920" s="475" t="s">
        <v>10609</v>
      </c>
      <c r="D920" s="475" t="s">
        <v>10611</v>
      </c>
      <c r="E920" s="475" t="s">
        <v>10613</v>
      </c>
      <c r="F920" s="475" t="s">
        <v>10615</v>
      </c>
      <c r="G920" s="475" t="s">
        <v>10617</v>
      </c>
      <c r="H920" s="475" t="s">
        <v>10607</v>
      </c>
      <c r="I920" s="475" t="s">
        <v>10619</v>
      </c>
      <c r="J920" s="475" t="s">
        <v>10621</v>
      </c>
      <c r="K920" s="475" t="s">
        <v>10623</v>
      </c>
      <c r="L920" s="475" t="s">
        <v>10625</v>
      </c>
      <c r="M920" s="476" t="s">
        <v>10627</v>
      </c>
    </row>
    <row r="921" spans="1:13">
      <c r="A921" s="473" t="s">
        <v>9191</v>
      </c>
      <c r="B921" s="473" t="s">
        <v>10605</v>
      </c>
      <c r="C921" s="473" t="s">
        <v>10609</v>
      </c>
      <c r="D921" s="473" t="s">
        <v>10611</v>
      </c>
      <c r="E921" s="473" t="s">
        <v>10613</v>
      </c>
      <c r="F921" s="473" t="s">
        <v>10615</v>
      </c>
      <c r="G921" s="473" t="s">
        <v>10617</v>
      </c>
      <c r="H921" s="473" t="s">
        <v>10607</v>
      </c>
      <c r="I921" s="473" t="s">
        <v>10619</v>
      </c>
      <c r="J921" s="473" t="s">
        <v>10621</v>
      </c>
      <c r="K921" s="473" t="s">
        <v>10623</v>
      </c>
      <c r="L921" s="473" t="s">
        <v>10625</v>
      </c>
      <c r="M921" s="474" t="s">
        <v>10627</v>
      </c>
    </row>
    <row r="922" spans="1:13">
      <c r="A922" s="475" t="s">
        <v>9462</v>
      </c>
      <c r="B922" s="475" t="s">
        <v>10605</v>
      </c>
      <c r="C922" s="475" t="s">
        <v>10609</v>
      </c>
      <c r="D922" s="475" t="s">
        <v>10611</v>
      </c>
      <c r="E922" s="475" t="s">
        <v>10613</v>
      </c>
      <c r="F922" s="475" t="s">
        <v>10615</v>
      </c>
      <c r="G922" s="475" t="s">
        <v>10617</v>
      </c>
      <c r="H922" s="475" t="s">
        <v>10607</v>
      </c>
      <c r="I922" s="475" t="s">
        <v>10619</v>
      </c>
      <c r="J922" s="475" t="s">
        <v>10621</v>
      </c>
      <c r="K922" s="475" t="s">
        <v>10623</v>
      </c>
      <c r="L922" s="475" t="s">
        <v>10625</v>
      </c>
      <c r="M922" s="476" t="s">
        <v>10627</v>
      </c>
    </row>
    <row r="923" spans="1:13">
      <c r="A923" s="473" t="s">
        <v>9192</v>
      </c>
      <c r="B923" s="473" t="s">
        <v>10605</v>
      </c>
      <c r="C923" s="473" t="s">
        <v>10609</v>
      </c>
      <c r="D923" s="473" t="s">
        <v>10611</v>
      </c>
      <c r="E923" s="473" t="s">
        <v>10613</v>
      </c>
      <c r="F923" s="473" t="s">
        <v>10615</v>
      </c>
      <c r="G923" s="473" t="s">
        <v>10617</v>
      </c>
      <c r="H923" s="473" t="s">
        <v>10607</v>
      </c>
      <c r="I923" s="473" t="s">
        <v>10619</v>
      </c>
      <c r="J923" s="473" t="s">
        <v>10621</v>
      </c>
      <c r="K923" s="473" t="s">
        <v>10623</v>
      </c>
      <c r="L923" s="473" t="s">
        <v>10625</v>
      </c>
      <c r="M923" s="474" t="s">
        <v>10627</v>
      </c>
    </row>
    <row r="924" spans="1:13">
      <c r="A924" s="475" t="s">
        <v>9193</v>
      </c>
      <c r="B924" s="475" t="s">
        <v>10605</v>
      </c>
      <c r="C924" s="475" t="s">
        <v>10609</v>
      </c>
      <c r="D924" s="475" t="s">
        <v>10611</v>
      </c>
      <c r="E924" s="475" t="s">
        <v>10613</v>
      </c>
      <c r="F924" s="475" t="s">
        <v>10615</v>
      </c>
      <c r="G924" s="475" t="s">
        <v>10617</v>
      </c>
      <c r="H924" s="475" t="s">
        <v>10607</v>
      </c>
      <c r="I924" s="475" t="s">
        <v>10619</v>
      </c>
      <c r="J924" s="475" t="s">
        <v>10621</v>
      </c>
      <c r="K924" s="475" t="s">
        <v>10623</v>
      </c>
      <c r="L924" s="475" t="s">
        <v>10625</v>
      </c>
      <c r="M924" s="476" t="s">
        <v>10627</v>
      </c>
    </row>
    <row r="925" spans="1:13">
      <c r="A925" s="473" t="s">
        <v>9194</v>
      </c>
      <c r="B925" s="473" t="s">
        <v>10605</v>
      </c>
      <c r="C925" s="473" t="s">
        <v>10609</v>
      </c>
      <c r="D925" s="473" t="s">
        <v>10611</v>
      </c>
      <c r="E925" s="473" t="s">
        <v>10613</v>
      </c>
      <c r="F925" s="473" t="s">
        <v>10615</v>
      </c>
      <c r="G925" s="473" t="s">
        <v>10617</v>
      </c>
      <c r="H925" s="473" t="s">
        <v>10607</v>
      </c>
      <c r="I925" s="473" t="s">
        <v>10619</v>
      </c>
      <c r="J925" s="473" t="s">
        <v>10621</v>
      </c>
      <c r="K925" s="473" t="s">
        <v>10623</v>
      </c>
      <c r="L925" s="473" t="s">
        <v>10625</v>
      </c>
      <c r="M925" s="474" t="s">
        <v>10627</v>
      </c>
    </row>
    <row r="926" spans="1:13">
      <c r="A926" s="475" t="s">
        <v>9195</v>
      </c>
      <c r="B926" s="475" t="s">
        <v>10605</v>
      </c>
      <c r="C926" s="475" t="s">
        <v>10609</v>
      </c>
      <c r="D926" s="475" t="s">
        <v>10611</v>
      </c>
      <c r="E926" s="475" t="s">
        <v>10613</v>
      </c>
      <c r="F926" s="475" t="s">
        <v>10615</v>
      </c>
      <c r="G926" s="475" t="s">
        <v>10617</v>
      </c>
      <c r="H926" s="475" t="s">
        <v>10607</v>
      </c>
      <c r="I926" s="475" t="s">
        <v>10619</v>
      </c>
      <c r="J926" s="475" t="s">
        <v>10621</v>
      </c>
      <c r="K926" s="475" t="s">
        <v>10623</v>
      </c>
      <c r="L926" s="475" t="s">
        <v>10625</v>
      </c>
      <c r="M926" s="476" t="s">
        <v>10627</v>
      </c>
    </row>
    <row r="927" spans="1:13">
      <c r="A927" s="473" t="s">
        <v>9196</v>
      </c>
      <c r="B927" s="473" t="s">
        <v>10605</v>
      </c>
      <c r="C927" s="473" t="s">
        <v>10609</v>
      </c>
      <c r="D927" s="473" t="s">
        <v>10611</v>
      </c>
      <c r="E927" s="473" t="s">
        <v>10613</v>
      </c>
      <c r="F927" s="473" t="s">
        <v>10615</v>
      </c>
      <c r="G927" s="473" t="s">
        <v>10617</v>
      </c>
      <c r="H927" s="473" t="s">
        <v>10607</v>
      </c>
      <c r="I927" s="473" t="s">
        <v>10619</v>
      </c>
      <c r="J927" s="473" t="s">
        <v>10621</v>
      </c>
      <c r="K927" s="473" t="s">
        <v>10623</v>
      </c>
      <c r="L927" s="473" t="s">
        <v>10625</v>
      </c>
      <c r="M927" s="474" t="s">
        <v>10627</v>
      </c>
    </row>
    <row r="928" spans="1:13">
      <c r="A928" s="475" t="s">
        <v>9197</v>
      </c>
      <c r="B928" s="475" t="s">
        <v>10605</v>
      </c>
      <c r="C928" s="475" t="s">
        <v>10609</v>
      </c>
      <c r="D928" s="475" t="s">
        <v>10611</v>
      </c>
      <c r="E928" s="475" t="s">
        <v>10613</v>
      </c>
      <c r="F928" s="475" t="s">
        <v>10615</v>
      </c>
      <c r="G928" s="475" t="s">
        <v>10617</v>
      </c>
      <c r="H928" s="475" t="s">
        <v>10607</v>
      </c>
      <c r="I928" s="475" t="s">
        <v>10619</v>
      </c>
      <c r="J928" s="475" t="s">
        <v>10621</v>
      </c>
      <c r="K928" s="475" t="s">
        <v>10623</v>
      </c>
      <c r="L928" s="475" t="s">
        <v>10625</v>
      </c>
      <c r="M928" s="476" t="s">
        <v>10627</v>
      </c>
    </row>
    <row r="929" spans="1:13">
      <c r="A929" s="473" t="s">
        <v>9198</v>
      </c>
      <c r="B929" s="473" t="s">
        <v>10605</v>
      </c>
      <c r="C929" s="473" t="s">
        <v>10609</v>
      </c>
      <c r="D929" s="473" t="s">
        <v>10611</v>
      </c>
      <c r="E929" s="473" t="s">
        <v>10613</v>
      </c>
      <c r="F929" s="473" t="s">
        <v>10615</v>
      </c>
      <c r="G929" s="473" t="s">
        <v>10617</v>
      </c>
      <c r="H929" s="473" t="s">
        <v>10607</v>
      </c>
      <c r="I929" s="473" t="s">
        <v>10619</v>
      </c>
      <c r="J929" s="473" t="s">
        <v>10621</v>
      </c>
      <c r="K929" s="473" t="s">
        <v>10623</v>
      </c>
      <c r="L929" s="473" t="s">
        <v>10625</v>
      </c>
      <c r="M929" s="474" t="s">
        <v>10627</v>
      </c>
    </row>
    <row r="930" spans="1:13">
      <c r="A930" s="475" t="s">
        <v>9199</v>
      </c>
      <c r="B930" s="475" t="s">
        <v>10605</v>
      </c>
      <c r="C930" s="475" t="s">
        <v>10609</v>
      </c>
      <c r="D930" s="475" t="s">
        <v>10611</v>
      </c>
      <c r="E930" s="475" t="s">
        <v>10613</v>
      </c>
      <c r="F930" s="475" t="s">
        <v>10615</v>
      </c>
      <c r="G930" s="475" t="s">
        <v>10617</v>
      </c>
      <c r="H930" s="475" t="s">
        <v>10607</v>
      </c>
      <c r="I930" s="475" t="s">
        <v>10619</v>
      </c>
      <c r="J930" s="475" t="s">
        <v>10621</v>
      </c>
      <c r="K930" s="475" t="s">
        <v>10623</v>
      </c>
      <c r="L930" s="475" t="s">
        <v>10625</v>
      </c>
      <c r="M930" s="476" t="s">
        <v>10627</v>
      </c>
    </row>
    <row r="931" spans="1:13">
      <c r="A931" s="473" t="s">
        <v>9200</v>
      </c>
      <c r="B931" s="473" t="s">
        <v>10605</v>
      </c>
      <c r="C931" s="473" t="s">
        <v>10609</v>
      </c>
      <c r="D931" s="473" t="s">
        <v>10611</v>
      </c>
      <c r="E931" s="473" t="s">
        <v>10613</v>
      </c>
      <c r="F931" s="473" t="s">
        <v>10615</v>
      </c>
      <c r="G931" s="473" t="s">
        <v>10617</v>
      </c>
      <c r="H931" s="473" t="s">
        <v>10607</v>
      </c>
      <c r="I931" s="473" t="s">
        <v>10619</v>
      </c>
      <c r="J931" s="473" t="s">
        <v>10621</v>
      </c>
      <c r="K931" s="473" t="s">
        <v>10623</v>
      </c>
      <c r="L931" s="473" t="s">
        <v>10625</v>
      </c>
      <c r="M931" s="474" t="s">
        <v>10627</v>
      </c>
    </row>
    <row r="932" spans="1:13">
      <c r="A932" s="475" t="s">
        <v>9201</v>
      </c>
      <c r="B932" s="475" t="s">
        <v>10605</v>
      </c>
      <c r="C932" s="475" t="s">
        <v>10609</v>
      </c>
      <c r="D932" s="475" t="s">
        <v>10611</v>
      </c>
      <c r="E932" s="475" t="s">
        <v>10613</v>
      </c>
      <c r="F932" s="475" t="s">
        <v>10615</v>
      </c>
      <c r="G932" s="475" t="s">
        <v>10617</v>
      </c>
      <c r="H932" s="475" t="s">
        <v>10607</v>
      </c>
      <c r="I932" s="475" t="s">
        <v>10619</v>
      </c>
      <c r="J932" s="475" t="s">
        <v>10621</v>
      </c>
      <c r="K932" s="475" t="s">
        <v>10623</v>
      </c>
      <c r="L932" s="475" t="s">
        <v>10625</v>
      </c>
      <c r="M932" s="476" t="s">
        <v>10627</v>
      </c>
    </row>
    <row r="933" spans="1:13">
      <c r="A933" s="473" t="s">
        <v>10509</v>
      </c>
      <c r="B933" s="473" t="s">
        <v>10605</v>
      </c>
      <c r="C933" s="473" t="s">
        <v>10609</v>
      </c>
      <c r="D933" s="473" t="s">
        <v>10611</v>
      </c>
      <c r="E933" s="473" t="s">
        <v>10613</v>
      </c>
      <c r="F933" s="473" t="s">
        <v>10615</v>
      </c>
      <c r="G933" s="473" t="s">
        <v>10617</v>
      </c>
      <c r="H933" s="473" t="s">
        <v>10607</v>
      </c>
      <c r="I933" s="473" t="s">
        <v>10619</v>
      </c>
      <c r="J933" s="473" t="s">
        <v>10621</v>
      </c>
      <c r="K933" s="473" t="s">
        <v>10623</v>
      </c>
      <c r="L933" s="473" t="s">
        <v>10625</v>
      </c>
      <c r="M933" s="474" t="s">
        <v>10627</v>
      </c>
    </row>
    <row r="934" spans="1:13">
      <c r="A934" s="475" t="s">
        <v>9202</v>
      </c>
      <c r="B934" s="475" t="s">
        <v>10605</v>
      </c>
      <c r="C934" s="475" t="s">
        <v>10609</v>
      </c>
      <c r="D934" s="475" t="s">
        <v>10611</v>
      </c>
      <c r="E934" s="475" t="s">
        <v>10613</v>
      </c>
      <c r="F934" s="475" t="s">
        <v>10615</v>
      </c>
      <c r="G934" s="475" t="s">
        <v>10617</v>
      </c>
      <c r="H934" s="475" t="s">
        <v>10607</v>
      </c>
      <c r="I934" s="475" t="s">
        <v>10619</v>
      </c>
      <c r="J934" s="475" t="s">
        <v>10621</v>
      </c>
      <c r="K934" s="475" t="s">
        <v>10623</v>
      </c>
      <c r="L934" s="475" t="s">
        <v>10625</v>
      </c>
      <c r="M934" s="476" t="s">
        <v>10627</v>
      </c>
    </row>
    <row r="935" spans="1:13">
      <c r="A935" s="473" t="s">
        <v>9463</v>
      </c>
      <c r="B935" s="473" t="s">
        <v>10605</v>
      </c>
      <c r="C935" s="473" t="s">
        <v>10609</v>
      </c>
      <c r="D935" s="473" t="s">
        <v>10611</v>
      </c>
      <c r="E935" s="473" t="s">
        <v>10613</v>
      </c>
      <c r="F935" s="473" t="s">
        <v>10615</v>
      </c>
      <c r="G935" s="473" t="s">
        <v>10617</v>
      </c>
      <c r="H935" s="473" t="s">
        <v>10607</v>
      </c>
      <c r="I935" s="473" t="s">
        <v>10619</v>
      </c>
      <c r="J935" s="473" t="s">
        <v>10621</v>
      </c>
      <c r="K935" s="473" t="s">
        <v>10623</v>
      </c>
      <c r="L935" s="473" t="s">
        <v>10625</v>
      </c>
      <c r="M935" s="474" t="s">
        <v>10627</v>
      </c>
    </row>
    <row r="936" spans="1:13">
      <c r="A936" s="475" t="s">
        <v>9203</v>
      </c>
      <c r="B936" s="475" t="s">
        <v>10605</v>
      </c>
      <c r="C936" s="475" t="s">
        <v>10609</v>
      </c>
      <c r="D936" s="475" t="s">
        <v>10611</v>
      </c>
      <c r="E936" s="475" t="s">
        <v>10613</v>
      </c>
      <c r="F936" s="475" t="s">
        <v>10615</v>
      </c>
      <c r="G936" s="475" t="s">
        <v>10617</v>
      </c>
      <c r="H936" s="475" t="s">
        <v>10607</v>
      </c>
      <c r="I936" s="475" t="s">
        <v>10619</v>
      </c>
      <c r="J936" s="475" t="s">
        <v>10621</v>
      </c>
      <c r="K936" s="475" t="s">
        <v>10623</v>
      </c>
      <c r="L936" s="475" t="s">
        <v>10625</v>
      </c>
      <c r="M936" s="476" t="s">
        <v>10627</v>
      </c>
    </row>
    <row r="937" spans="1:13">
      <c r="A937" s="473" t="s">
        <v>9204</v>
      </c>
      <c r="B937" s="473" t="s">
        <v>10605</v>
      </c>
      <c r="C937" s="473" t="s">
        <v>10609</v>
      </c>
      <c r="D937" s="473" t="s">
        <v>10611</v>
      </c>
      <c r="E937" s="473" t="s">
        <v>10613</v>
      </c>
      <c r="F937" s="473" t="s">
        <v>10615</v>
      </c>
      <c r="G937" s="473" t="s">
        <v>10617</v>
      </c>
      <c r="H937" s="473" t="s">
        <v>10607</v>
      </c>
      <c r="I937" s="473" t="s">
        <v>10619</v>
      </c>
      <c r="J937" s="473" t="s">
        <v>10621</v>
      </c>
      <c r="K937" s="473" t="s">
        <v>10623</v>
      </c>
      <c r="L937" s="473" t="s">
        <v>10625</v>
      </c>
      <c r="M937" s="474" t="s">
        <v>10627</v>
      </c>
    </row>
    <row r="938" spans="1:13">
      <c r="A938" s="475" t="s">
        <v>9464</v>
      </c>
      <c r="B938" s="475" t="s">
        <v>10605</v>
      </c>
      <c r="C938" s="475" t="s">
        <v>10609</v>
      </c>
      <c r="D938" s="475" t="s">
        <v>10611</v>
      </c>
      <c r="E938" s="475" t="s">
        <v>10613</v>
      </c>
      <c r="F938" s="475" t="s">
        <v>10615</v>
      </c>
      <c r="G938" s="475" t="s">
        <v>10617</v>
      </c>
      <c r="H938" s="475" t="s">
        <v>10607</v>
      </c>
      <c r="I938" s="475" t="s">
        <v>10619</v>
      </c>
      <c r="J938" s="475" t="s">
        <v>10621</v>
      </c>
      <c r="K938" s="475" t="s">
        <v>10623</v>
      </c>
      <c r="L938" s="475" t="s">
        <v>10625</v>
      </c>
      <c r="M938" s="476" t="s">
        <v>10627</v>
      </c>
    </row>
    <row r="939" spans="1:13">
      <c r="A939" s="473" t="s">
        <v>9205</v>
      </c>
      <c r="B939" s="473" t="s">
        <v>10605</v>
      </c>
      <c r="C939" s="473" t="s">
        <v>10609</v>
      </c>
      <c r="D939" s="473" t="s">
        <v>10611</v>
      </c>
      <c r="E939" s="473" t="s">
        <v>10613</v>
      </c>
      <c r="F939" s="473" t="s">
        <v>10615</v>
      </c>
      <c r="G939" s="473" t="s">
        <v>10617</v>
      </c>
      <c r="H939" s="473" t="s">
        <v>10607</v>
      </c>
      <c r="I939" s="473" t="s">
        <v>10619</v>
      </c>
      <c r="J939" s="473" t="s">
        <v>10621</v>
      </c>
      <c r="K939" s="473" t="s">
        <v>10623</v>
      </c>
      <c r="L939" s="473" t="s">
        <v>10625</v>
      </c>
      <c r="M939" s="474" t="s">
        <v>10627</v>
      </c>
    </row>
    <row r="940" spans="1:13">
      <c r="A940" s="475" t="s">
        <v>9206</v>
      </c>
      <c r="B940" s="475" t="s">
        <v>10605</v>
      </c>
      <c r="C940" s="475" t="s">
        <v>10609</v>
      </c>
      <c r="D940" s="475" t="s">
        <v>10611</v>
      </c>
      <c r="E940" s="475" t="s">
        <v>10613</v>
      </c>
      <c r="F940" s="475" t="s">
        <v>10615</v>
      </c>
      <c r="G940" s="475" t="s">
        <v>10617</v>
      </c>
      <c r="H940" s="475" t="s">
        <v>10607</v>
      </c>
      <c r="I940" s="475" t="s">
        <v>10619</v>
      </c>
      <c r="J940" s="475" t="s">
        <v>10621</v>
      </c>
      <c r="K940" s="475" t="s">
        <v>10623</v>
      </c>
      <c r="L940" s="475" t="s">
        <v>10625</v>
      </c>
      <c r="M940" s="476" t="s">
        <v>10627</v>
      </c>
    </row>
    <row r="941" spans="1:13">
      <c r="A941" s="473" t="s">
        <v>9207</v>
      </c>
      <c r="B941" s="473" t="s">
        <v>10605</v>
      </c>
      <c r="C941" s="473" t="s">
        <v>10609</v>
      </c>
      <c r="D941" s="473" t="s">
        <v>10611</v>
      </c>
      <c r="E941" s="473" t="s">
        <v>10613</v>
      </c>
      <c r="F941" s="473" t="s">
        <v>10615</v>
      </c>
      <c r="G941" s="473" t="s">
        <v>10617</v>
      </c>
      <c r="H941" s="473" t="s">
        <v>10607</v>
      </c>
      <c r="I941" s="473" t="s">
        <v>10619</v>
      </c>
      <c r="J941" s="473" t="s">
        <v>10621</v>
      </c>
      <c r="K941" s="473" t="s">
        <v>10623</v>
      </c>
      <c r="L941" s="473" t="s">
        <v>10625</v>
      </c>
      <c r="M941" s="474" t="s">
        <v>10627</v>
      </c>
    </row>
    <row r="942" spans="1:13">
      <c r="A942" s="475" t="s">
        <v>9208</v>
      </c>
      <c r="B942" s="475" t="s">
        <v>10605</v>
      </c>
      <c r="C942" s="475" t="s">
        <v>10609</v>
      </c>
      <c r="D942" s="475" t="s">
        <v>10611</v>
      </c>
      <c r="E942" s="475" t="s">
        <v>10613</v>
      </c>
      <c r="F942" s="475" t="s">
        <v>10615</v>
      </c>
      <c r="G942" s="475" t="s">
        <v>10617</v>
      </c>
      <c r="H942" s="475" t="s">
        <v>10607</v>
      </c>
      <c r="I942" s="475" t="s">
        <v>10619</v>
      </c>
      <c r="J942" s="475" t="s">
        <v>10621</v>
      </c>
      <c r="K942" s="475" t="s">
        <v>10623</v>
      </c>
      <c r="L942" s="475" t="s">
        <v>10625</v>
      </c>
      <c r="M942" s="476" t="s">
        <v>10627</v>
      </c>
    </row>
    <row r="943" spans="1:13">
      <c r="A943" s="473" t="s">
        <v>9209</v>
      </c>
      <c r="B943" s="473" t="s">
        <v>10605</v>
      </c>
      <c r="C943" s="473" t="s">
        <v>10609</v>
      </c>
      <c r="D943" s="473" t="s">
        <v>10611</v>
      </c>
      <c r="E943" s="473" t="s">
        <v>10613</v>
      </c>
      <c r="F943" s="473" t="s">
        <v>10615</v>
      </c>
      <c r="G943" s="473" t="s">
        <v>10617</v>
      </c>
      <c r="H943" s="473" t="s">
        <v>10607</v>
      </c>
      <c r="I943" s="473" t="s">
        <v>10619</v>
      </c>
      <c r="J943" s="473" t="s">
        <v>10621</v>
      </c>
      <c r="K943" s="473" t="s">
        <v>10623</v>
      </c>
      <c r="L943" s="473" t="s">
        <v>10625</v>
      </c>
      <c r="M943" s="474" t="s">
        <v>10627</v>
      </c>
    </row>
    <row r="944" spans="1:13">
      <c r="A944" s="475" t="s">
        <v>10510</v>
      </c>
      <c r="B944" s="475" t="s">
        <v>10605</v>
      </c>
      <c r="C944" s="475" t="s">
        <v>10609</v>
      </c>
      <c r="D944" s="475" t="s">
        <v>10611</v>
      </c>
      <c r="E944" s="475" t="s">
        <v>10613</v>
      </c>
      <c r="F944" s="475" t="s">
        <v>10615</v>
      </c>
      <c r="G944" s="475" t="s">
        <v>10617</v>
      </c>
      <c r="H944" s="475" t="s">
        <v>10607</v>
      </c>
      <c r="I944" s="475" t="s">
        <v>10619</v>
      </c>
      <c r="J944" s="475" t="s">
        <v>10621</v>
      </c>
      <c r="K944" s="475" t="s">
        <v>10623</v>
      </c>
      <c r="L944" s="475" t="s">
        <v>10625</v>
      </c>
      <c r="M944" s="476" t="s">
        <v>10627</v>
      </c>
    </row>
    <row r="945" spans="1:13">
      <c r="A945" s="473" t="s">
        <v>9210</v>
      </c>
      <c r="B945" s="473" t="s">
        <v>10605</v>
      </c>
      <c r="C945" s="473" t="s">
        <v>10609</v>
      </c>
      <c r="D945" s="473" t="s">
        <v>10611</v>
      </c>
      <c r="E945" s="473" t="s">
        <v>10613</v>
      </c>
      <c r="F945" s="473" t="s">
        <v>10615</v>
      </c>
      <c r="G945" s="473" t="s">
        <v>10617</v>
      </c>
      <c r="H945" s="473" t="s">
        <v>10607</v>
      </c>
      <c r="I945" s="473" t="s">
        <v>10619</v>
      </c>
      <c r="J945" s="473" t="s">
        <v>10621</v>
      </c>
      <c r="K945" s="473" t="s">
        <v>10623</v>
      </c>
      <c r="L945" s="473" t="s">
        <v>10625</v>
      </c>
      <c r="M945" s="474" t="s">
        <v>10627</v>
      </c>
    </row>
    <row r="946" spans="1:13">
      <c r="A946" s="475" t="s">
        <v>9465</v>
      </c>
      <c r="B946" s="475" t="s">
        <v>10605</v>
      </c>
      <c r="C946" s="475" t="s">
        <v>10609</v>
      </c>
      <c r="D946" s="475" t="s">
        <v>10611</v>
      </c>
      <c r="E946" s="475" t="s">
        <v>10613</v>
      </c>
      <c r="F946" s="475" t="s">
        <v>10615</v>
      </c>
      <c r="G946" s="475" t="s">
        <v>10617</v>
      </c>
      <c r="H946" s="475" t="s">
        <v>10607</v>
      </c>
      <c r="I946" s="475" t="s">
        <v>10619</v>
      </c>
      <c r="J946" s="475" t="s">
        <v>10621</v>
      </c>
      <c r="K946" s="475" t="s">
        <v>10623</v>
      </c>
      <c r="L946" s="475" t="s">
        <v>10625</v>
      </c>
      <c r="M946" s="476" t="s">
        <v>10627</v>
      </c>
    </row>
    <row r="947" spans="1:13">
      <c r="A947" s="473" t="s">
        <v>9211</v>
      </c>
      <c r="B947" s="473" t="s">
        <v>10605</v>
      </c>
      <c r="C947" s="473" t="s">
        <v>10609</v>
      </c>
      <c r="D947" s="473" t="s">
        <v>10611</v>
      </c>
      <c r="E947" s="473" t="s">
        <v>10613</v>
      </c>
      <c r="F947" s="473" t="s">
        <v>10615</v>
      </c>
      <c r="G947" s="473" t="s">
        <v>10617</v>
      </c>
      <c r="H947" s="473" t="s">
        <v>10607</v>
      </c>
      <c r="I947" s="473" t="s">
        <v>10619</v>
      </c>
      <c r="J947" s="473" t="s">
        <v>10621</v>
      </c>
      <c r="K947" s="473" t="s">
        <v>10623</v>
      </c>
      <c r="L947" s="473" t="s">
        <v>10625</v>
      </c>
      <c r="M947" s="474" t="s">
        <v>10627</v>
      </c>
    </row>
    <row r="948" spans="1:13">
      <c r="A948" s="475" t="s">
        <v>9212</v>
      </c>
      <c r="B948" s="475" t="s">
        <v>10605</v>
      </c>
      <c r="C948" s="475" t="s">
        <v>10609</v>
      </c>
      <c r="D948" s="475" t="s">
        <v>10611</v>
      </c>
      <c r="E948" s="475" t="s">
        <v>10613</v>
      </c>
      <c r="F948" s="475" t="s">
        <v>10615</v>
      </c>
      <c r="G948" s="475" t="s">
        <v>10617</v>
      </c>
      <c r="H948" s="475" t="s">
        <v>10607</v>
      </c>
      <c r="I948" s="475" t="s">
        <v>10619</v>
      </c>
      <c r="J948" s="475" t="s">
        <v>10621</v>
      </c>
      <c r="K948" s="475" t="s">
        <v>10623</v>
      </c>
      <c r="L948" s="475" t="s">
        <v>10625</v>
      </c>
      <c r="M948" s="476" t="s">
        <v>10627</v>
      </c>
    </row>
    <row r="949" spans="1:13">
      <c r="A949" s="473" t="s">
        <v>9213</v>
      </c>
      <c r="B949" s="473" t="s">
        <v>10605</v>
      </c>
      <c r="C949" s="473" t="s">
        <v>10609</v>
      </c>
      <c r="D949" s="473" t="s">
        <v>10611</v>
      </c>
      <c r="E949" s="473" t="s">
        <v>10613</v>
      </c>
      <c r="F949" s="473" t="s">
        <v>10615</v>
      </c>
      <c r="G949" s="473" t="s">
        <v>10617</v>
      </c>
      <c r="H949" s="473" t="s">
        <v>10607</v>
      </c>
      <c r="I949" s="473" t="s">
        <v>10619</v>
      </c>
      <c r="J949" s="473" t="s">
        <v>10621</v>
      </c>
      <c r="K949" s="473" t="s">
        <v>10623</v>
      </c>
      <c r="L949" s="473" t="s">
        <v>10625</v>
      </c>
      <c r="M949" s="474" t="s">
        <v>10627</v>
      </c>
    </row>
    <row r="950" spans="1:13">
      <c r="A950" s="475" t="s">
        <v>9214</v>
      </c>
      <c r="B950" s="475" t="s">
        <v>10605</v>
      </c>
      <c r="C950" s="475" t="s">
        <v>10609</v>
      </c>
      <c r="D950" s="475" t="s">
        <v>10611</v>
      </c>
      <c r="E950" s="475" t="s">
        <v>10613</v>
      </c>
      <c r="F950" s="475" t="s">
        <v>10615</v>
      </c>
      <c r="G950" s="475" t="s">
        <v>10617</v>
      </c>
      <c r="H950" s="475" t="s">
        <v>10607</v>
      </c>
      <c r="I950" s="475" t="s">
        <v>10619</v>
      </c>
      <c r="J950" s="475" t="s">
        <v>10621</v>
      </c>
      <c r="K950" s="475" t="s">
        <v>10623</v>
      </c>
      <c r="L950" s="475" t="s">
        <v>10625</v>
      </c>
      <c r="M950" s="476" t="s">
        <v>10627</v>
      </c>
    </row>
    <row r="951" spans="1:13">
      <c r="A951" s="473" t="s">
        <v>9215</v>
      </c>
      <c r="B951" s="473" t="s">
        <v>10605</v>
      </c>
      <c r="C951" s="473" t="s">
        <v>10609</v>
      </c>
      <c r="D951" s="473" t="s">
        <v>10611</v>
      </c>
      <c r="E951" s="473" t="s">
        <v>10613</v>
      </c>
      <c r="F951" s="473" t="s">
        <v>10615</v>
      </c>
      <c r="G951" s="473" t="s">
        <v>10617</v>
      </c>
      <c r="H951" s="473" t="s">
        <v>10607</v>
      </c>
      <c r="I951" s="473" t="s">
        <v>10619</v>
      </c>
      <c r="J951" s="473" t="s">
        <v>10621</v>
      </c>
      <c r="K951" s="473" t="s">
        <v>10623</v>
      </c>
      <c r="L951" s="473" t="s">
        <v>10625</v>
      </c>
      <c r="M951" s="474" t="s">
        <v>10627</v>
      </c>
    </row>
    <row r="952" spans="1:13">
      <c r="A952" s="475" t="s">
        <v>9216</v>
      </c>
      <c r="B952" s="475" t="s">
        <v>10605</v>
      </c>
      <c r="C952" s="475" t="s">
        <v>10609</v>
      </c>
      <c r="D952" s="475" t="s">
        <v>10611</v>
      </c>
      <c r="E952" s="475" t="s">
        <v>10613</v>
      </c>
      <c r="F952" s="475" t="s">
        <v>10615</v>
      </c>
      <c r="G952" s="475" t="s">
        <v>10617</v>
      </c>
      <c r="H952" s="475" t="s">
        <v>10607</v>
      </c>
      <c r="I952" s="475" t="s">
        <v>10619</v>
      </c>
      <c r="J952" s="475" t="s">
        <v>10621</v>
      </c>
      <c r="K952" s="475" t="s">
        <v>10623</v>
      </c>
      <c r="L952" s="475" t="s">
        <v>10625</v>
      </c>
      <c r="M952" s="476" t="s">
        <v>10627</v>
      </c>
    </row>
    <row r="953" spans="1:13">
      <c r="A953" s="473" t="s">
        <v>9217</v>
      </c>
      <c r="B953" s="473" t="s">
        <v>10605</v>
      </c>
      <c r="C953" s="473" t="s">
        <v>10609</v>
      </c>
      <c r="D953" s="473" t="s">
        <v>10611</v>
      </c>
      <c r="E953" s="473" t="s">
        <v>10613</v>
      </c>
      <c r="F953" s="473" t="s">
        <v>10615</v>
      </c>
      <c r="G953" s="473" t="s">
        <v>10617</v>
      </c>
      <c r="H953" s="473" t="s">
        <v>10607</v>
      </c>
      <c r="I953" s="473" t="s">
        <v>10619</v>
      </c>
      <c r="J953" s="473" t="s">
        <v>10621</v>
      </c>
      <c r="K953" s="473" t="s">
        <v>10623</v>
      </c>
      <c r="L953" s="473" t="s">
        <v>10625</v>
      </c>
      <c r="M953" s="474" t="s">
        <v>10627</v>
      </c>
    </row>
    <row r="954" spans="1:13">
      <c r="A954" s="475" t="s">
        <v>9466</v>
      </c>
      <c r="B954" s="475" t="s">
        <v>10605</v>
      </c>
      <c r="C954" s="475" t="s">
        <v>10609</v>
      </c>
      <c r="D954" s="475" t="s">
        <v>10611</v>
      </c>
      <c r="E954" s="475" t="s">
        <v>10613</v>
      </c>
      <c r="F954" s="475" t="s">
        <v>10615</v>
      </c>
      <c r="G954" s="475" t="s">
        <v>10617</v>
      </c>
      <c r="H954" s="475" t="s">
        <v>10607</v>
      </c>
      <c r="I954" s="475" t="s">
        <v>10619</v>
      </c>
      <c r="J954" s="475" t="s">
        <v>10621</v>
      </c>
      <c r="K954" s="475" t="s">
        <v>10623</v>
      </c>
      <c r="L954" s="475" t="s">
        <v>10625</v>
      </c>
      <c r="M954" s="476" t="s">
        <v>10627</v>
      </c>
    </row>
    <row r="955" spans="1:13">
      <c r="A955" s="473" t="s">
        <v>10941</v>
      </c>
      <c r="B955" s="473" t="s">
        <v>10605</v>
      </c>
      <c r="C955" s="473" t="s">
        <v>10609</v>
      </c>
      <c r="D955" s="473" t="s">
        <v>10611</v>
      </c>
      <c r="E955" s="473" t="s">
        <v>10613</v>
      </c>
      <c r="F955" s="473" t="s">
        <v>10615</v>
      </c>
      <c r="G955" s="473" t="s">
        <v>10617</v>
      </c>
      <c r="H955" s="473" t="s">
        <v>10607</v>
      </c>
      <c r="I955" s="473" t="s">
        <v>10619</v>
      </c>
      <c r="J955" s="473" t="s">
        <v>10621</v>
      </c>
      <c r="K955" s="473" t="s">
        <v>10623</v>
      </c>
      <c r="L955" s="473" t="s">
        <v>10625</v>
      </c>
      <c r="M955" s="474" t="s">
        <v>10627</v>
      </c>
    </row>
    <row r="956" spans="1:13">
      <c r="A956" s="475" t="s">
        <v>9218</v>
      </c>
      <c r="B956" s="475" t="s">
        <v>10605</v>
      </c>
      <c r="C956" s="475" t="s">
        <v>10609</v>
      </c>
      <c r="D956" s="475" t="s">
        <v>10611</v>
      </c>
      <c r="E956" s="475" t="s">
        <v>10613</v>
      </c>
      <c r="F956" s="475" t="s">
        <v>10615</v>
      </c>
      <c r="G956" s="475" t="s">
        <v>10617</v>
      </c>
      <c r="H956" s="475" t="s">
        <v>10607</v>
      </c>
      <c r="I956" s="475" t="s">
        <v>10619</v>
      </c>
      <c r="J956" s="475" t="s">
        <v>10621</v>
      </c>
      <c r="K956" s="475" t="s">
        <v>10623</v>
      </c>
      <c r="L956" s="475" t="s">
        <v>10625</v>
      </c>
      <c r="M956" s="476" t="s">
        <v>10627</v>
      </c>
    </row>
    <row r="957" spans="1:13">
      <c r="A957" s="473" t="s">
        <v>9219</v>
      </c>
      <c r="B957" s="473" t="s">
        <v>10605</v>
      </c>
      <c r="C957" s="473" t="s">
        <v>10609</v>
      </c>
      <c r="D957" s="473" t="s">
        <v>10611</v>
      </c>
      <c r="E957" s="473" t="s">
        <v>10613</v>
      </c>
      <c r="F957" s="473" t="s">
        <v>10615</v>
      </c>
      <c r="G957" s="473" t="s">
        <v>10617</v>
      </c>
      <c r="H957" s="473" t="s">
        <v>10607</v>
      </c>
      <c r="I957" s="473" t="s">
        <v>10619</v>
      </c>
      <c r="J957" s="473" t="s">
        <v>10621</v>
      </c>
      <c r="K957" s="473" t="s">
        <v>10623</v>
      </c>
      <c r="L957" s="473" t="s">
        <v>10625</v>
      </c>
      <c r="M957" s="474" t="s">
        <v>10627</v>
      </c>
    </row>
    <row r="958" spans="1:13">
      <c r="A958" s="475" t="s">
        <v>9220</v>
      </c>
      <c r="B958" s="475" t="s">
        <v>10605</v>
      </c>
      <c r="C958" s="475" t="s">
        <v>10609</v>
      </c>
      <c r="D958" s="475" t="s">
        <v>10611</v>
      </c>
      <c r="E958" s="475" t="s">
        <v>10613</v>
      </c>
      <c r="F958" s="475" t="s">
        <v>10615</v>
      </c>
      <c r="G958" s="475" t="s">
        <v>10617</v>
      </c>
      <c r="H958" s="475" t="s">
        <v>10607</v>
      </c>
      <c r="I958" s="475" t="s">
        <v>10619</v>
      </c>
      <c r="J958" s="475" t="s">
        <v>10621</v>
      </c>
      <c r="K958" s="475" t="s">
        <v>10623</v>
      </c>
      <c r="L958" s="475" t="s">
        <v>10625</v>
      </c>
      <c r="M958" s="476" t="s">
        <v>10627</v>
      </c>
    </row>
    <row r="959" spans="1:13">
      <c r="A959" s="473" t="s">
        <v>9221</v>
      </c>
      <c r="B959" s="473" t="s">
        <v>10605</v>
      </c>
      <c r="C959" s="473" t="s">
        <v>10609</v>
      </c>
      <c r="D959" s="473" t="s">
        <v>10611</v>
      </c>
      <c r="E959" s="473" t="s">
        <v>10613</v>
      </c>
      <c r="F959" s="473" t="s">
        <v>10615</v>
      </c>
      <c r="G959" s="473" t="s">
        <v>10617</v>
      </c>
      <c r="H959" s="473" t="s">
        <v>10607</v>
      </c>
      <c r="I959" s="473" t="s">
        <v>10619</v>
      </c>
      <c r="J959" s="473" t="s">
        <v>10621</v>
      </c>
      <c r="K959" s="473" t="s">
        <v>10623</v>
      </c>
      <c r="L959" s="473" t="s">
        <v>10625</v>
      </c>
      <c r="M959" s="474" t="s">
        <v>10627</v>
      </c>
    </row>
    <row r="960" spans="1:13">
      <c r="A960" s="475" t="s">
        <v>9222</v>
      </c>
      <c r="B960" s="475" t="s">
        <v>10605</v>
      </c>
      <c r="C960" s="475" t="s">
        <v>10609</v>
      </c>
      <c r="D960" s="475" t="s">
        <v>10611</v>
      </c>
      <c r="E960" s="475" t="s">
        <v>10613</v>
      </c>
      <c r="F960" s="475" t="s">
        <v>10615</v>
      </c>
      <c r="G960" s="475" t="s">
        <v>10617</v>
      </c>
      <c r="H960" s="475" t="s">
        <v>10607</v>
      </c>
      <c r="I960" s="475" t="s">
        <v>10619</v>
      </c>
      <c r="J960" s="475" t="s">
        <v>10621</v>
      </c>
      <c r="K960" s="475" t="s">
        <v>10623</v>
      </c>
      <c r="L960" s="475" t="s">
        <v>10625</v>
      </c>
      <c r="M960" s="476" t="s">
        <v>10627</v>
      </c>
    </row>
    <row r="961" spans="1:13">
      <c r="A961" s="473" t="s">
        <v>9223</v>
      </c>
      <c r="B961" s="473" t="s">
        <v>10605</v>
      </c>
      <c r="C961" s="473" t="s">
        <v>10609</v>
      </c>
      <c r="D961" s="473" t="s">
        <v>10611</v>
      </c>
      <c r="E961" s="473" t="s">
        <v>10613</v>
      </c>
      <c r="F961" s="473" t="s">
        <v>10615</v>
      </c>
      <c r="G961" s="473" t="s">
        <v>10617</v>
      </c>
      <c r="H961" s="473" t="s">
        <v>10607</v>
      </c>
      <c r="I961" s="473" t="s">
        <v>10619</v>
      </c>
      <c r="J961" s="473" t="s">
        <v>10621</v>
      </c>
      <c r="K961" s="473" t="s">
        <v>10623</v>
      </c>
      <c r="L961" s="473" t="s">
        <v>10625</v>
      </c>
      <c r="M961" s="474" t="s">
        <v>10627</v>
      </c>
    </row>
    <row r="962" spans="1:13">
      <c r="A962" s="475" t="s">
        <v>9224</v>
      </c>
      <c r="B962" s="475" t="s">
        <v>10605</v>
      </c>
      <c r="C962" s="475" t="s">
        <v>10609</v>
      </c>
      <c r="D962" s="475" t="s">
        <v>10611</v>
      </c>
      <c r="E962" s="475" t="s">
        <v>10613</v>
      </c>
      <c r="F962" s="475" t="s">
        <v>10615</v>
      </c>
      <c r="G962" s="475" t="s">
        <v>10617</v>
      </c>
      <c r="H962" s="475" t="s">
        <v>10607</v>
      </c>
      <c r="I962" s="475" t="s">
        <v>10619</v>
      </c>
      <c r="J962" s="475" t="s">
        <v>10621</v>
      </c>
      <c r="K962" s="475" t="s">
        <v>10623</v>
      </c>
      <c r="L962" s="475" t="s">
        <v>10625</v>
      </c>
      <c r="M962" s="476" t="s">
        <v>10627</v>
      </c>
    </row>
    <row r="963" spans="1:13">
      <c r="A963" s="461" t="s">
        <v>841</v>
      </c>
      <c r="B963" s="461" t="s">
        <v>843</v>
      </c>
      <c r="C963" s="468" t="s">
        <v>842</v>
      </c>
      <c r="D963" s="468" t="s">
        <v>844</v>
      </c>
      <c r="E963" s="468" t="s">
        <v>4439</v>
      </c>
      <c r="F963" s="461" t="s">
        <v>4440</v>
      </c>
      <c r="G963" s="461" t="s">
        <v>4441</v>
      </c>
      <c r="H963" s="461" t="s">
        <v>4442</v>
      </c>
      <c r="I963" s="461" t="s">
        <v>4443</v>
      </c>
      <c r="J963" s="461" t="s">
        <v>4444</v>
      </c>
      <c r="K963" s="461" t="s">
        <v>12359</v>
      </c>
      <c r="L963" s="461" t="s">
        <v>8587</v>
      </c>
      <c r="M963" s="469" t="s">
        <v>7941</v>
      </c>
    </row>
    <row r="964" spans="1:13">
      <c r="A964" s="465" t="s">
        <v>2417</v>
      </c>
      <c r="B964" s="465" t="s">
        <v>2418</v>
      </c>
      <c r="C964" s="466" t="s">
        <v>2642</v>
      </c>
      <c r="D964" s="466" t="s">
        <v>2642</v>
      </c>
      <c r="E964" s="466" t="s">
        <v>4571</v>
      </c>
      <c r="F964" s="465" t="s">
        <v>4572</v>
      </c>
      <c r="G964" s="465" t="s">
        <v>4573</v>
      </c>
      <c r="H964" s="465" t="s">
        <v>4574</v>
      </c>
      <c r="I964" s="465" t="s">
        <v>4575</v>
      </c>
      <c r="J964" s="465" t="s">
        <v>4576</v>
      </c>
      <c r="K964" s="470" t="s">
        <v>12360</v>
      </c>
      <c r="L964" s="465" t="s">
        <v>8609</v>
      </c>
      <c r="M964" s="467" t="s">
        <v>7963</v>
      </c>
    </row>
    <row r="965" spans="1:13">
      <c r="A965" s="473" t="s">
        <v>11206</v>
      </c>
      <c r="B965" s="461" t="s">
        <v>11565</v>
      </c>
      <c r="C965" s="468" t="s">
        <v>11566</v>
      </c>
      <c r="D965" s="468" t="s">
        <v>11567</v>
      </c>
      <c r="E965" s="468" t="s">
        <v>4664</v>
      </c>
      <c r="F965" s="461" t="s">
        <v>11568</v>
      </c>
      <c r="G965" s="461" t="s">
        <v>11569</v>
      </c>
      <c r="H965" s="461" t="s">
        <v>4665</v>
      </c>
      <c r="I965" s="461" t="s">
        <v>11570</v>
      </c>
      <c r="J965" s="461" t="s">
        <v>11571</v>
      </c>
      <c r="K965" s="471" t="s">
        <v>11574</v>
      </c>
      <c r="L965" s="461" t="s">
        <v>11572</v>
      </c>
      <c r="M965" s="469" t="s">
        <v>11573</v>
      </c>
    </row>
    <row r="966" spans="1:13">
      <c r="A966" s="475" t="s">
        <v>10491</v>
      </c>
      <c r="B966" s="465" t="s">
        <v>10833</v>
      </c>
      <c r="C966" s="466" t="s">
        <v>10834</v>
      </c>
      <c r="D966" s="466" t="s">
        <v>10835</v>
      </c>
      <c r="E966" s="466" t="s">
        <v>10836</v>
      </c>
      <c r="F966" s="465" t="s">
        <v>10837</v>
      </c>
      <c r="G966" s="465" t="s">
        <v>10838</v>
      </c>
      <c r="H966" s="465" t="s">
        <v>10836</v>
      </c>
      <c r="I966" s="465" t="s">
        <v>10839</v>
      </c>
      <c r="J966" s="465" t="s">
        <v>10840</v>
      </c>
      <c r="K966" s="470" t="s">
        <v>10841</v>
      </c>
      <c r="L966" s="465" t="s">
        <v>10842</v>
      </c>
      <c r="M966" s="467" t="s">
        <v>10843</v>
      </c>
    </row>
    <row r="967" spans="1:13">
      <c r="A967" s="472" t="s">
        <v>2950</v>
      </c>
      <c r="B967" s="461" t="s">
        <v>2953</v>
      </c>
      <c r="C967" s="468" t="s">
        <v>2952</v>
      </c>
      <c r="D967" s="468" t="s">
        <v>2954</v>
      </c>
      <c r="E967" s="468" t="s">
        <v>2955</v>
      </c>
      <c r="F967" s="461" t="s">
        <v>2956</v>
      </c>
      <c r="G967" s="461" t="s">
        <v>2957</v>
      </c>
      <c r="H967" s="461" t="s">
        <v>2958</v>
      </c>
      <c r="I967" s="461" t="s">
        <v>2959</v>
      </c>
      <c r="J967" s="461" t="s">
        <v>2960</v>
      </c>
      <c r="K967" s="461" t="s">
        <v>7150</v>
      </c>
      <c r="L967" s="461" t="s">
        <v>8370</v>
      </c>
      <c r="M967" s="469" t="s">
        <v>7715</v>
      </c>
    </row>
    <row r="968" spans="1:13">
      <c r="A968" s="465" t="s">
        <v>8865</v>
      </c>
      <c r="B968" s="465" t="s">
        <v>2953</v>
      </c>
      <c r="C968" s="466" t="s">
        <v>2952</v>
      </c>
      <c r="D968" s="466" t="s">
        <v>2954</v>
      </c>
      <c r="E968" s="466" t="s">
        <v>2955</v>
      </c>
      <c r="F968" s="465" t="s">
        <v>2956</v>
      </c>
      <c r="G968" s="465" t="s">
        <v>2957</v>
      </c>
      <c r="H968" s="465" t="s">
        <v>2958</v>
      </c>
      <c r="I968" s="465" t="s">
        <v>2959</v>
      </c>
      <c r="J968" s="465" t="s">
        <v>2960</v>
      </c>
      <c r="K968" s="465" t="s">
        <v>7150</v>
      </c>
      <c r="L968" s="465" t="s">
        <v>8370</v>
      </c>
      <c r="M968" s="467" t="s">
        <v>7715</v>
      </c>
    </row>
    <row r="969" spans="1:13">
      <c r="A969" s="461" t="s">
        <v>64</v>
      </c>
      <c r="B969" s="461" t="s">
        <v>67</v>
      </c>
      <c r="C969" s="468" t="s">
        <v>66</v>
      </c>
      <c r="D969" s="468" t="s">
        <v>68</v>
      </c>
      <c r="E969" s="468" t="s">
        <v>2961</v>
      </c>
      <c r="F969" s="461" t="s">
        <v>2962</v>
      </c>
      <c r="G969" s="461" t="s">
        <v>2963</v>
      </c>
      <c r="H969" s="461" t="s">
        <v>2964</v>
      </c>
      <c r="I969" s="461" t="s">
        <v>2965</v>
      </c>
      <c r="J969" s="461" t="s">
        <v>2966</v>
      </c>
      <c r="K969" s="461" t="s">
        <v>7151</v>
      </c>
      <c r="L969" s="461" t="s">
        <v>8371</v>
      </c>
      <c r="M969" s="469" t="s">
        <v>7716</v>
      </c>
    </row>
    <row r="970" spans="1:13">
      <c r="A970" s="465" t="s">
        <v>59</v>
      </c>
      <c r="B970" s="465" t="s">
        <v>62</v>
      </c>
      <c r="C970" s="466" t="s">
        <v>61</v>
      </c>
      <c r="D970" s="466" t="s">
        <v>63</v>
      </c>
      <c r="E970" s="466" t="s">
        <v>2967</v>
      </c>
      <c r="F970" s="465" t="s">
        <v>2968</v>
      </c>
      <c r="G970" s="465" t="s">
        <v>2969</v>
      </c>
      <c r="H970" s="465" t="s">
        <v>2970</v>
      </c>
      <c r="I970" s="465" t="s">
        <v>2971</v>
      </c>
      <c r="J970" s="465" t="s">
        <v>2972</v>
      </c>
      <c r="K970" s="465" t="s">
        <v>7152</v>
      </c>
      <c r="L970" s="465" t="s">
        <v>8372</v>
      </c>
      <c r="M970" s="467" t="s">
        <v>7717</v>
      </c>
    </row>
    <row r="971" spans="1:13">
      <c r="A971" s="461" t="s">
        <v>54</v>
      </c>
      <c r="B971" s="461" t="s">
        <v>57</v>
      </c>
      <c r="C971" s="468" t="s">
        <v>56</v>
      </c>
      <c r="D971" s="468" t="s">
        <v>58</v>
      </c>
      <c r="E971" s="468" t="s">
        <v>2973</v>
      </c>
      <c r="F971" s="461" t="s">
        <v>2974</v>
      </c>
      <c r="G971" s="461" t="s">
        <v>2975</v>
      </c>
      <c r="H971" s="461" t="s">
        <v>2976</v>
      </c>
      <c r="I971" s="461" t="s">
        <v>2873</v>
      </c>
      <c r="J971" s="461" t="s">
        <v>2977</v>
      </c>
      <c r="K971" s="461" t="s">
        <v>7153</v>
      </c>
      <c r="L971" s="461" t="s">
        <v>8373</v>
      </c>
      <c r="M971" s="469" t="s">
        <v>7718</v>
      </c>
    </row>
    <row r="972" spans="1:13">
      <c r="A972" s="465" t="s">
        <v>50</v>
      </c>
      <c r="B972" s="465" t="s">
        <v>52</v>
      </c>
      <c r="C972" s="466" t="s">
        <v>51</v>
      </c>
      <c r="D972" s="466" t="s">
        <v>53</v>
      </c>
      <c r="E972" s="466" t="s">
        <v>2978</v>
      </c>
      <c r="F972" s="465" t="s">
        <v>2979</v>
      </c>
      <c r="G972" s="465" t="s">
        <v>2980</v>
      </c>
      <c r="H972" s="465" t="s">
        <v>2981</v>
      </c>
      <c r="I972" s="465" t="s">
        <v>2982</v>
      </c>
      <c r="J972" s="465" t="s">
        <v>2983</v>
      </c>
      <c r="K972" s="465" t="s">
        <v>7154</v>
      </c>
      <c r="L972" s="465" t="s">
        <v>8374</v>
      </c>
      <c r="M972" s="467" t="s">
        <v>7719</v>
      </c>
    </row>
    <row r="973" spans="1:13">
      <c r="A973" s="472" t="s">
        <v>45</v>
      </c>
      <c r="B973" s="461" t="s">
        <v>48</v>
      </c>
      <c r="C973" s="468" t="s">
        <v>47</v>
      </c>
      <c r="D973" s="468" t="s">
        <v>49</v>
      </c>
      <c r="E973" s="468" t="s">
        <v>2984</v>
      </c>
      <c r="F973" s="461" t="s">
        <v>2985</v>
      </c>
      <c r="G973" s="461" t="s">
        <v>2986</v>
      </c>
      <c r="H973" s="461" t="s">
        <v>2987</v>
      </c>
      <c r="I973" s="461" t="s">
        <v>2988</v>
      </c>
      <c r="J973" s="461" t="s">
        <v>2989</v>
      </c>
      <c r="K973" s="461" t="s">
        <v>7155</v>
      </c>
      <c r="L973" s="461" t="s">
        <v>8375</v>
      </c>
      <c r="M973" s="469" t="s">
        <v>7720</v>
      </c>
    </row>
    <row r="974" spans="1:13">
      <c r="A974" s="472" t="s">
        <v>2215</v>
      </c>
      <c r="B974" s="465" t="s">
        <v>2499</v>
      </c>
      <c r="C974" s="466" t="s">
        <v>2596</v>
      </c>
      <c r="D974" s="466" t="s">
        <v>8763</v>
      </c>
      <c r="E974" s="466" t="s">
        <v>2990</v>
      </c>
      <c r="F974" s="465" t="s">
        <v>2991</v>
      </c>
      <c r="G974" s="465" t="s">
        <v>2992</v>
      </c>
      <c r="H974" s="465" t="s">
        <v>2993</v>
      </c>
      <c r="I974" s="465" t="s">
        <v>2994</v>
      </c>
      <c r="J974" s="465" t="s">
        <v>2995</v>
      </c>
      <c r="K974" s="465" t="s">
        <v>7156</v>
      </c>
      <c r="L974" s="465" t="s">
        <v>8376</v>
      </c>
      <c r="M974" s="467" t="s">
        <v>7721</v>
      </c>
    </row>
    <row r="975" spans="1:13">
      <c r="A975" s="461" t="s">
        <v>2217</v>
      </c>
      <c r="B975" s="461" t="s">
        <v>2500</v>
      </c>
      <c r="C975" s="468" t="s">
        <v>2597</v>
      </c>
      <c r="D975" s="468" t="s">
        <v>8764</v>
      </c>
      <c r="E975" s="468" t="s">
        <v>2996</v>
      </c>
      <c r="F975" s="461" t="s">
        <v>2997</v>
      </c>
      <c r="G975" s="461" t="s">
        <v>2998</v>
      </c>
      <c r="H975" s="461" t="s">
        <v>2999</v>
      </c>
      <c r="I975" s="461" t="s">
        <v>3000</v>
      </c>
      <c r="J975" s="461" t="s">
        <v>3001</v>
      </c>
      <c r="K975" s="471" t="s">
        <v>7157</v>
      </c>
      <c r="L975" s="461" t="s">
        <v>8377</v>
      </c>
      <c r="M975" s="469" t="s">
        <v>7722</v>
      </c>
    </row>
    <row r="976" spans="1:13">
      <c r="A976" s="465" t="s">
        <v>2219</v>
      </c>
      <c r="B976" s="465" t="s">
        <v>2501</v>
      </c>
      <c r="C976" s="466" t="s">
        <v>2598</v>
      </c>
      <c r="D976" s="466" t="s">
        <v>2598</v>
      </c>
      <c r="E976" s="466" t="s">
        <v>3002</v>
      </c>
      <c r="F976" s="465" t="s">
        <v>3003</v>
      </c>
      <c r="G976" s="465" t="s">
        <v>3004</v>
      </c>
      <c r="H976" s="465" t="s">
        <v>3005</v>
      </c>
      <c r="I976" s="465" t="s">
        <v>3006</v>
      </c>
      <c r="J976" s="465" t="s">
        <v>3007</v>
      </c>
      <c r="K976" s="470" t="s">
        <v>7158</v>
      </c>
      <c r="L976" s="465" t="s">
        <v>8378</v>
      </c>
      <c r="M976" s="467" t="s">
        <v>7723</v>
      </c>
    </row>
    <row r="977" spans="1:13">
      <c r="A977" s="461" t="s">
        <v>3008</v>
      </c>
      <c r="B977" s="461" t="s">
        <v>2501</v>
      </c>
      <c r="C977" s="468" t="s">
        <v>2598</v>
      </c>
      <c r="D977" s="468" t="s">
        <v>2598</v>
      </c>
      <c r="E977" s="468" t="s">
        <v>3002</v>
      </c>
      <c r="F977" s="461" t="s">
        <v>3003</v>
      </c>
      <c r="G977" s="461" t="s">
        <v>3004</v>
      </c>
      <c r="H977" s="461" t="s">
        <v>3005</v>
      </c>
      <c r="I977" s="461" t="s">
        <v>3006</v>
      </c>
      <c r="J977" s="461" t="s">
        <v>3009</v>
      </c>
      <c r="K977" s="461" t="s">
        <v>7158</v>
      </c>
      <c r="L977" s="461" t="s">
        <v>8378</v>
      </c>
      <c r="M977" s="469" t="s">
        <v>7723</v>
      </c>
    </row>
    <row r="978" spans="1:13">
      <c r="A978" s="475" t="s">
        <v>11628</v>
      </c>
      <c r="B978" s="475" t="s">
        <v>11808</v>
      </c>
      <c r="C978" s="475" t="s">
        <v>11809</v>
      </c>
      <c r="D978" s="475" t="s">
        <v>11810</v>
      </c>
      <c r="E978" s="475" t="s">
        <v>11811</v>
      </c>
      <c r="F978" s="475" t="s">
        <v>11812</v>
      </c>
      <c r="G978" s="475" t="s">
        <v>11813</v>
      </c>
      <c r="H978" s="475" t="s">
        <v>11814</v>
      </c>
      <c r="I978" s="475" t="s">
        <v>11815</v>
      </c>
      <c r="J978" s="475" t="s">
        <v>11816</v>
      </c>
      <c r="K978" s="475" t="s">
        <v>11817</v>
      </c>
      <c r="L978" s="475" t="s">
        <v>11818</v>
      </c>
      <c r="M978" s="476" t="s">
        <v>11819</v>
      </c>
    </row>
    <row r="979" spans="1:13">
      <c r="A979" s="461" t="s">
        <v>1987</v>
      </c>
      <c r="B979" s="473" t="s">
        <v>1989</v>
      </c>
      <c r="C979" s="473" t="s">
        <v>1988</v>
      </c>
      <c r="D979" s="473" t="s">
        <v>1990</v>
      </c>
      <c r="E979" s="473" t="s">
        <v>6272</v>
      </c>
      <c r="F979" s="473" t="s">
        <v>6273</v>
      </c>
      <c r="G979" s="473" t="s">
        <v>1988</v>
      </c>
      <c r="H979" s="473" t="s">
        <v>6274</v>
      </c>
      <c r="I979" s="473" t="s">
        <v>6275</v>
      </c>
      <c r="J979" s="473" t="s">
        <v>6276</v>
      </c>
      <c r="K979" s="473" t="s">
        <v>7648</v>
      </c>
      <c r="L979" s="461" t="s">
        <v>1988</v>
      </c>
      <c r="M979" s="474" t="s">
        <v>8275</v>
      </c>
    </row>
    <row r="980" spans="1:13">
      <c r="A980" s="465" t="s">
        <v>1991</v>
      </c>
      <c r="B980" s="475" t="s">
        <v>1993</v>
      </c>
      <c r="C980" s="475" t="s">
        <v>1992</v>
      </c>
      <c r="D980" s="475" t="s">
        <v>1994</v>
      </c>
      <c r="E980" s="475" t="s">
        <v>6277</v>
      </c>
      <c r="F980" s="475" t="s">
        <v>6278</v>
      </c>
      <c r="G980" s="475" t="s">
        <v>1992</v>
      </c>
      <c r="H980" s="475" t="s">
        <v>6279</v>
      </c>
      <c r="I980" s="475" t="s">
        <v>6280</v>
      </c>
      <c r="J980" s="475" t="s">
        <v>6281</v>
      </c>
      <c r="K980" s="475" t="s">
        <v>7649</v>
      </c>
      <c r="L980" s="465" t="s">
        <v>1992</v>
      </c>
      <c r="M980" s="476" t="s">
        <v>8276</v>
      </c>
    </row>
    <row r="981" spans="1:13">
      <c r="A981" s="461" t="s">
        <v>1995</v>
      </c>
      <c r="B981" s="473" t="s">
        <v>1998</v>
      </c>
      <c r="C981" s="473" t="s">
        <v>1997</v>
      </c>
      <c r="D981" s="473" t="s">
        <v>1999</v>
      </c>
      <c r="E981" s="473" t="s">
        <v>6282</v>
      </c>
      <c r="F981" s="473" t="s">
        <v>6283</v>
      </c>
      <c r="G981" s="473" t="s">
        <v>1997</v>
      </c>
      <c r="H981" s="473" t="s">
        <v>6284</v>
      </c>
      <c r="I981" s="473" t="s">
        <v>6285</v>
      </c>
      <c r="J981" s="473" t="s">
        <v>6286</v>
      </c>
      <c r="K981" s="473" t="s">
        <v>7650</v>
      </c>
      <c r="L981" s="461" t="s">
        <v>1997</v>
      </c>
      <c r="M981" s="474" t="s">
        <v>8277</v>
      </c>
    </row>
    <row r="982" spans="1:13">
      <c r="A982" s="465" t="s">
        <v>2000</v>
      </c>
      <c r="B982" s="475" t="s">
        <v>2561</v>
      </c>
      <c r="C982" s="475" t="s">
        <v>2002</v>
      </c>
      <c r="D982" s="475" t="s">
        <v>2003</v>
      </c>
      <c r="E982" s="475" t="s">
        <v>6287</v>
      </c>
      <c r="F982" s="475" t="s">
        <v>6288</v>
      </c>
      <c r="G982" s="475" t="s">
        <v>2002</v>
      </c>
      <c r="H982" s="475" t="s">
        <v>6289</v>
      </c>
      <c r="I982" s="475" t="s">
        <v>6290</v>
      </c>
      <c r="J982" s="475" t="s">
        <v>6291</v>
      </c>
      <c r="K982" s="475" t="s">
        <v>7651</v>
      </c>
      <c r="L982" s="465" t="s">
        <v>2002</v>
      </c>
      <c r="M982" s="476" t="s">
        <v>8278</v>
      </c>
    </row>
    <row r="983" spans="1:13">
      <c r="A983" s="461" t="s">
        <v>2004</v>
      </c>
      <c r="B983" s="473" t="s">
        <v>2007</v>
      </c>
      <c r="C983" s="473" t="s">
        <v>2006</v>
      </c>
      <c r="D983" s="473" t="s">
        <v>2008</v>
      </c>
      <c r="E983" s="473" t="s">
        <v>6292</v>
      </c>
      <c r="F983" s="473" t="s">
        <v>6293</v>
      </c>
      <c r="G983" s="473" t="s">
        <v>2006</v>
      </c>
      <c r="H983" s="473" t="s">
        <v>6294</v>
      </c>
      <c r="I983" s="473" t="s">
        <v>6295</v>
      </c>
      <c r="J983" s="473" t="s">
        <v>6296</v>
      </c>
      <c r="K983" s="473" t="s">
        <v>7652</v>
      </c>
      <c r="L983" s="461" t="s">
        <v>2006</v>
      </c>
      <c r="M983" s="474" t="s">
        <v>8279</v>
      </c>
    </row>
    <row r="984" spans="1:13">
      <c r="A984" s="465" t="s">
        <v>2009</v>
      </c>
      <c r="B984" s="475" t="s">
        <v>2012</v>
      </c>
      <c r="C984" s="475" t="s">
        <v>2011</v>
      </c>
      <c r="D984" s="475" t="s">
        <v>2013</v>
      </c>
      <c r="E984" s="475" t="s">
        <v>6297</v>
      </c>
      <c r="F984" s="475" t="s">
        <v>6298</v>
      </c>
      <c r="G984" s="475" t="s">
        <v>2011</v>
      </c>
      <c r="H984" s="475" t="s">
        <v>6299</v>
      </c>
      <c r="I984" s="475" t="s">
        <v>6300</v>
      </c>
      <c r="J984" s="475" t="s">
        <v>6301</v>
      </c>
      <c r="K984" s="475" t="s">
        <v>7653</v>
      </c>
      <c r="L984" s="465" t="s">
        <v>2011</v>
      </c>
      <c r="M984" s="476" t="s">
        <v>8280</v>
      </c>
    </row>
    <row r="985" spans="1:13">
      <c r="A985" s="461" t="s">
        <v>2411</v>
      </c>
      <c r="B985" s="461" t="s">
        <v>2412</v>
      </c>
      <c r="C985" s="468" t="s">
        <v>2639</v>
      </c>
      <c r="D985" s="468" t="s">
        <v>2639</v>
      </c>
      <c r="E985" s="468" t="s">
        <v>4553</v>
      </c>
      <c r="F985" s="461" t="s">
        <v>4554</v>
      </c>
      <c r="G985" s="461" t="s">
        <v>4555</v>
      </c>
      <c r="H985" s="461" t="s">
        <v>4556</v>
      </c>
      <c r="I985" s="461" t="s">
        <v>4557</v>
      </c>
      <c r="J985" s="461" t="s">
        <v>4558</v>
      </c>
      <c r="K985" s="471" t="s">
        <v>12361</v>
      </c>
      <c r="L985" s="461" t="s">
        <v>8606</v>
      </c>
      <c r="M985" s="469" t="s">
        <v>7960</v>
      </c>
    </row>
    <row r="986" spans="1:13">
      <c r="A986" s="465" t="s">
        <v>2409</v>
      </c>
      <c r="B986" s="465" t="s">
        <v>2410</v>
      </c>
      <c r="C986" s="466" t="s">
        <v>2638</v>
      </c>
      <c r="D986" s="466" t="s">
        <v>2638</v>
      </c>
      <c r="E986" s="466" t="s">
        <v>4547</v>
      </c>
      <c r="F986" s="465" t="s">
        <v>4548</v>
      </c>
      <c r="G986" s="465" t="s">
        <v>4549</v>
      </c>
      <c r="H986" s="465" t="s">
        <v>4550</v>
      </c>
      <c r="I986" s="465" t="s">
        <v>4551</v>
      </c>
      <c r="J986" s="465" t="s">
        <v>4552</v>
      </c>
      <c r="K986" s="470" t="s">
        <v>12362</v>
      </c>
      <c r="L986" s="465" t="s">
        <v>8605</v>
      </c>
      <c r="M986" s="467" t="s">
        <v>7959</v>
      </c>
    </row>
    <row r="987" spans="1:13">
      <c r="A987" s="461" t="s">
        <v>2413</v>
      </c>
      <c r="B987" s="461" t="s">
        <v>2414</v>
      </c>
      <c r="C987" s="468" t="s">
        <v>2640</v>
      </c>
      <c r="D987" s="468" t="s">
        <v>2640</v>
      </c>
      <c r="E987" s="468" t="s">
        <v>4559</v>
      </c>
      <c r="F987" s="461" t="s">
        <v>4560</v>
      </c>
      <c r="G987" s="461" t="s">
        <v>4561</v>
      </c>
      <c r="H987" s="461" t="s">
        <v>4562</v>
      </c>
      <c r="I987" s="461" t="s">
        <v>4563</v>
      </c>
      <c r="J987" s="461" t="s">
        <v>4564</v>
      </c>
      <c r="K987" s="471" t="s">
        <v>12363</v>
      </c>
      <c r="L987" s="461" t="s">
        <v>8607</v>
      </c>
      <c r="M987" s="469" t="s">
        <v>7961</v>
      </c>
    </row>
    <row r="988" spans="1:13">
      <c r="A988" s="465" t="s">
        <v>2415</v>
      </c>
      <c r="B988" s="465" t="s">
        <v>2416</v>
      </c>
      <c r="C988" s="466" t="s">
        <v>2641</v>
      </c>
      <c r="D988" s="466" t="s">
        <v>2641</v>
      </c>
      <c r="E988" s="466" t="s">
        <v>4565</v>
      </c>
      <c r="F988" s="465" t="s">
        <v>4566</v>
      </c>
      <c r="G988" s="465" t="s">
        <v>4567</v>
      </c>
      <c r="H988" s="465" t="s">
        <v>4568</v>
      </c>
      <c r="I988" s="465" t="s">
        <v>4569</v>
      </c>
      <c r="J988" s="465" t="s">
        <v>4570</v>
      </c>
      <c r="K988" s="470" t="s">
        <v>12364</v>
      </c>
      <c r="L988" s="465" t="s">
        <v>8608</v>
      </c>
      <c r="M988" s="467" t="s">
        <v>7962</v>
      </c>
    </row>
    <row r="989" spans="1:13">
      <c r="A989" s="461" t="s">
        <v>10952</v>
      </c>
      <c r="B989" s="461" t="s">
        <v>11023</v>
      </c>
      <c r="C989" s="468" t="s">
        <v>11024</v>
      </c>
      <c r="D989" s="468" t="s">
        <v>11025</v>
      </c>
      <c r="E989" s="468" t="s">
        <v>11026</v>
      </c>
      <c r="F989" s="461" t="s">
        <v>11027</v>
      </c>
      <c r="G989" s="461" t="s">
        <v>11028</v>
      </c>
      <c r="H989" s="461" t="s">
        <v>11029</v>
      </c>
      <c r="I989" s="461" t="s">
        <v>11030</v>
      </c>
      <c r="J989" s="461" t="s">
        <v>11031</v>
      </c>
      <c r="K989" s="471" t="s">
        <v>11032</v>
      </c>
      <c r="L989" s="461" t="s">
        <v>11033</v>
      </c>
      <c r="M989" s="469" t="s">
        <v>11034</v>
      </c>
    </row>
    <row r="990" spans="1:13">
      <c r="A990" s="465" t="s">
        <v>10950</v>
      </c>
      <c r="B990" s="465" t="s">
        <v>11011</v>
      </c>
      <c r="C990" s="466" t="s">
        <v>11012</v>
      </c>
      <c r="D990" s="466" t="s">
        <v>11013</v>
      </c>
      <c r="E990" s="466" t="s">
        <v>11014</v>
      </c>
      <c r="F990" s="465" t="s">
        <v>11015</v>
      </c>
      <c r="G990" s="465" t="s">
        <v>11016</v>
      </c>
      <c r="H990" s="465" t="s">
        <v>11017</v>
      </c>
      <c r="I990" s="465" t="s">
        <v>11018</v>
      </c>
      <c r="J990" s="465" t="s">
        <v>11019</v>
      </c>
      <c r="K990" s="470" t="s">
        <v>11020</v>
      </c>
      <c r="L990" s="465" t="s">
        <v>11021</v>
      </c>
      <c r="M990" s="467" t="s">
        <v>11022</v>
      </c>
    </row>
    <row r="991" spans="1:13">
      <c r="A991" s="461" t="s">
        <v>10954</v>
      </c>
      <c r="B991" s="461" t="s">
        <v>11035</v>
      </c>
      <c r="C991" s="468" t="s">
        <v>11036</v>
      </c>
      <c r="D991" s="468" t="s">
        <v>11037</v>
      </c>
      <c r="E991" s="468" t="s">
        <v>11038</v>
      </c>
      <c r="F991" s="461" t="s">
        <v>11039</v>
      </c>
      <c r="G991" s="461" t="s">
        <v>11040</v>
      </c>
      <c r="H991" s="461" t="s">
        <v>11041</v>
      </c>
      <c r="I991" s="461" t="s">
        <v>11042</v>
      </c>
      <c r="J991" s="461" t="s">
        <v>11043</v>
      </c>
      <c r="K991" s="471" t="s">
        <v>11044</v>
      </c>
      <c r="L991" s="461" t="s">
        <v>11045</v>
      </c>
      <c r="M991" s="469" t="s">
        <v>11046</v>
      </c>
    </row>
    <row r="992" spans="1:13">
      <c r="A992" s="465" t="s">
        <v>10956</v>
      </c>
      <c r="B992" s="465" t="s">
        <v>11047</v>
      </c>
      <c r="C992" s="466" t="s">
        <v>11048</v>
      </c>
      <c r="D992" s="466" t="s">
        <v>11049</v>
      </c>
      <c r="E992" s="466" t="s">
        <v>11050</v>
      </c>
      <c r="F992" s="465" t="s">
        <v>11051</v>
      </c>
      <c r="G992" s="465" t="s">
        <v>11052</v>
      </c>
      <c r="H992" s="465" t="s">
        <v>11053</v>
      </c>
      <c r="I992" s="465" t="s">
        <v>11054</v>
      </c>
      <c r="J992" s="465" t="s">
        <v>11055</v>
      </c>
      <c r="K992" s="470" t="s">
        <v>11056</v>
      </c>
      <c r="L992" s="465" t="s">
        <v>11057</v>
      </c>
      <c r="M992" s="467" t="s">
        <v>11058</v>
      </c>
    </row>
    <row r="993" spans="1:13">
      <c r="A993" s="461" t="s">
        <v>849</v>
      </c>
      <c r="B993" s="461" t="s">
        <v>852</v>
      </c>
      <c r="C993" s="468" t="s">
        <v>851</v>
      </c>
      <c r="D993" s="468" t="s">
        <v>853</v>
      </c>
      <c r="E993" s="468" t="s">
        <v>4583</v>
      </c>
      <c r="F993" s="461" t="s">
        <v>851</v>
      </c>
      <c r="G993" s="461" t="s">
        <v>4584</v>
      </c>
      <c r="H993" s="461" t="s">
        <v>4585</v>
      </c>
      <c r="I993" s="461" t="s">
        <v>4586</v>
      </c>
      <c r="J993" s="461" t="s">
        <v>4587</v>
      </c>
      <c r="K993" s="471" t="s">
        <v>12365</v>
      </c>
      <c r="L993" s="461" t="s">
        <v>8611</v>
      </c>
      <c r="M993" s="469" t="s">
        <v>7965</v>
      </c>
    </row>
    <row r="994" spans="1:13">
      <c r="A994" s="475" t="s">
        <v>898</v>
      </c>
      <c r="B994" s="475" t="s">
        <v>901</v>
      </c>
      <c r="C994" s="489" t="s">
        <v>900</v>
      </c>
      <c r="D994" s="489" t="s">
        <v>902</v>
      </c>
      <c r="E994" s="489" t="s">
        <v>4646</v>
      </c>
      <c r="F994" s="465" t="s">
        <v>4647</v>
      </c>
      <c r="G994" s="465" t="s">
        <v>4648</v>
      </c>
      <c r="H994" s="465" t="s">
        <v>4649</v>
      </c>
      <c r="I994" s="465" t="s">
        <v>4650</v>
      </c>
      <c r="J994" s="465" t="s">
        <v>4651</v>
      </c>
      <c r="K994" s="470" t="s">
        <v>12366</v>
      </c>
      <c r="L994" s="465" t="s">
        <v>8621</v>
      </c>
      <c r="M994" s="467" t="s">
        <v>7976</v>
      </c>
    </row>
    <row r="995" spans="1:13">
      <c r="A995" s="461" t="s">
        <v>928</v>
      </c>
      <c r="B995" s="461" t="s">
        <v>931</v>
      </c>
      <c r="C995" s="468" t="s">
        <v>930</v>
      </c>
      <c r="D995" s="468" t="s">
        <v>932</v>
      </c>
      <c r="E995" s="468" t="s">
        <v>4696</v>
      </c>
      <c r="F995" s="461" t="s">
        <v>4697</v>
      </c>
      <c r="G995" s="461" t="s">
        <v>4698</v>
      </c>
      <c r="H995" s="461" t="s">
        <v>4699</v>
      </c>
      <c r="I995" s="461" t="s">
        <v>4700</v>
      </c>
      <c r="J995" s="461" t="s">
        <v>4701</v>
      </c>
      <c r="K995" s="471" t="s">
        <v>12367</v>
      </c>
      <c r="L995" s="461" t="s">
        <v>8629</v>
      </c>
      <c r="M995" s="469" t="s">
        <v>7984</v>
      </c>
    </row>
    <row r="996" spans="1:13">
      <c r="A996" s="465" t="s">
        <v>636</v>
      </c>
      <c r="B996" s="465" t="s">
        <v>638</v>
      </c>
      <c r="C996" s="466" t="s">
        <v>637</v>
      </c>
      <c r="D996" s="466" t="s">
        <v>2689</v>
      </c>
      <c r="E996" s="466" t="s">
        <v>4131</v>
      </c>
      <c r="F996" s="465" t="s">
        <v>4132</v>
      </c>
      <c r="G996" s="465" t="s">
        <v>4133</v>
      </c>
      <c r="H996" s="465" t="s">
        <v>4134</v>
      </c>
      <c r="I996" s="465" t="s">
        <v>4135</v>
      </c>
      <c r="J996" s="465" t="s">
        <v>4136</v>
      </c>
      <c r="K996" s="470" t="s">
        <v>7328</v>
      </c>
      <c r="L996" s="465" t="s">
        <v>8544</v>
      </c>
      <c r="M996" s="467" t="s">
        <v>7895</v>
      </c>
    </row>
    <row r="997" spans="1:13">
      <c r="A997" s="461" t="s">
        <v>10947</v>
      </c>
      <c r="B997" s="461" t="s">
        <v>11000</v>
      </c>
      <c r="C997" s="468" t="s">
        <v>11001</v>
      </c>
      <c r="D997" s="468" t="s">
        <v>11002</v>
      </c>
      <c r="E997" s="468" t="s">
        <v>11003</v>
      </c>
      <c r="F997" s="461" t="s">
        <v>11004</v>
      </c>
      <c r="G997" s="461" t="s">
        <v>4105</v>
      </c>
      <c r="H997" s="461" t="s">
        <v>11005</v>
      </c>
      <c r="I997" s="461" t="s">
        <v>11006</v>
      </c>
      <c r="J997" s="461" t="s">
        <v>11007</v>
      </c>
      <c r="K997" s="461" t="s">
        <v>11008</v>
      </c>
      <c r="L997" s="461" t="s">
        <v>11009</v>
      </c>
      <c r="M997" s="469" t="s">
        <v>11010</v>
      </c>
    </row>
    <row r="998" spans="1:13">
      <c r="A998" s="465" t="s">
        <v>643</v>
      </c>
      <c r="B998" s="465" t="s">
        <v>645</v>
      </c>
      <c r="C998" s="466" t="s">
        <v>644</v>
      </c>
      <c r="D998" s="466" t="s">
        <v>646</v>
      </c>
      <c r="E998" s="466" t="s">
        <v>4143</v>
      </c>
      <c r="F998" s="465" t="s">
        <v>4144</v>
      </c>
      <c r="G998" s="465" t="s">
        <v>4145</v>
      </c>
      <c r="H998" s="465" t="s">
        <v>4146</v>
      </c>
      <c r="I998" s="465" t="s">
        <v>4147</v>
      </c>
      <c r="J998" s="465" t="s">
        <v>4136</v>
      </c>
      <c r="K998" s="470" t="s">
        <v>7330</v>
      </c>
      <c r="L998" s="465" t="s">
        <v>8546</v>
      </c>
      <c r="M998" s="467" t="s">
        <v>7897</v>
      </c>
    </row>
    <row r="999" spans="1:13">
      <c r="A999" s="461" t="s">
        <v>10948</v>
      </c>
      <c r="B999" s="461" t="s">
        <v>645</v>
      </c>
      <c r="C999" s="468" t="s">
        <v>644</v>
      </c>
      <c r="D999" s="468" t="s">
        <v>646</v>
      </c>
      <c r="E999" s="468" t="s">
        <v>4143</v>
      </c>
      <c r="F999" s="461" t="s">
        <v>4144</v>
      </c>
      <c r="G999" s="461" t="s">
        <v>4145</v>
      </c>
      <c r="H999" s="461" t="s">
        <v>4146</v>
      </c>
      <c r="I999" s="461" t="s">
        <v>4147</v>
      </c>
      <c r="J999" s="461" t="s">
        <v>4136</v>
      </c>
      <c r="K999" s="461" t="s">
        <v>7330</v>
      </c>
      <c r="L999" s="461" t="s">
        <v>8546</v>
      </c>
      <c r="M999" s="469" t="s">
        <v>7897</v>
      </c>
    </row>
    <row r="1000" spans="1:13">
      <c r="A1000" s="465" t="s">
        <v>647</v>
      </c>
      <c r="B1000" s="465" t="s">
        <v>645</v>
      </c>
      <c r="C1000" s="466" t="s">
        <v>644</v>
      </c>
      <c r="D1000" s="466" t="s">
        <v>646</v>
      </c>
      <c r="E1000" s="466" t="s">
        <v>4143</v>
      </c>
      <c r="F1000" s="465" t="s">
        <v>4144</v>
      </c>
      <c r="G1000" s="465" t="s">
        <v>4145</v>
      </c>
      <c r="H1000" s="465" t="s">
        <v>4146</v>
      </c>
      <c r="I1000" s="465" t="s">
        <v>4148</v>
      </c>
      <c r="J1000" s="465" t="s">
        <v>4136</v>
      </c>
      <c r="K1000" s="470" t="s">
        <v>7330</v>
      </c>
      <c r="L1000" s="465" t="s">
        <v>8546</v>
      </c>
      <c r="M1000" s="467" t="s">
        <v>7897</v>
      </c>
    </row>
    <row r="1001" spans="1:13">
      <c r="A1001" s="461" t="s">
        <v>10949</v>
      </c>
      <c r="B1001" s="461" t="s">
        <v>11000</v>
      </c>
      <c r="C1001" s="468" t="s">
        <v>11001</v>
      </c>
      <c r="D1001" s="468" t="s">
        <v>11002</v>
      </c>
      <c r="E1001" s="468" t="s">
        <v>11003</v>
      </c>
      <c r="F1001" s="461" t="s">
        <v>11004</v>
      </c>
      <c r="G1001" s="461" t="s">
        <v>4105</v>
      </c>
      <c r="H1001" s="461" t="s">
        <v>11005</v>
      </c>
      <c r="I1001" s="461" t="s">
        <v>11006</v>
      </c>
      <c r="J1001" s="461" t="s">
        <v>11007</v>
      </c>
      <c r="K1001" s="461" t="s">
        <v>11008</v>
      </c>
      <c r="L1001" s="461" t="s">
        <v>11009</v>
      </c>
      <c r="M1001" s="469" t="s">
        <v>11010</v>
      </c>
    </row>
    <row r="1002" spans="1:13">
      <c r="A1002" s="465" t="s">
        <v>2246</v>
      </c>
      <c r="B1002" s="465" t="s">
        <v>2524</v>
      </c>
      <c r="C1002" s="466" t="s">
        <v>2616</v>
      </c>
      <c r="D1002" s="466" t="s">
        <v>2690</v>
      </c>
      <c r="E1002" s="466" t="s">
        <v>4234</v>
      </c>
      <c r="F1002" s="465" t="s">
        <v>4235</v>
      </c>
      <c r="G1002" s="465" t="s">
        <v>4236</v>
      </c>
      <c r="H1002" s="465" t="s">
        <v>4237</v>
      </c>
      <c r="I1002" s="465" t="s">
        <v>4238</v>
      </c>
      <c r="J1002" s="465" t="s">
        <v>4239</v>
      </c>
      <c r="K1002" s="465" t="s">
        <v>7338</v>
      </c>
      <c r="L1002" s="465" t="s">
        <v>8554</v>
      </c>
      <c r="M1002" s="467" t="s">
        <v>7908</v>
      </c>
    </row>
    <row r="1003" spans="1:13">
      <c r="A1003" s="472" t="s">
        <v>625</v>
      </c>
      <c r="B1003" s="461" t="s">
        <v>623</v>
      </c>
      <c r="C1003" s="468" t="s">
        <v>622</v>
      </c>
      <c r="D1003" s="468" t="s">
        <v>624</v>
      </c>
      <c r="E1003" s="468" t="s">
        <v>4110</v>
      </c>
      <c r="F1003" s="461" t="s">
        <v>4111</v>
      </c>
      <c r="G1003" s="461" t="s">
        <v>4112</v>
      </c>
      <c r="H1003" s="461" t="s">
        <v>4113</v>
      </c>
      <c r="I1003" s="461" t="s">
        <v>4114</v>
      </c>
      <c r="J1003" s="461" t="s">
        <v>4115</v>
      </c>
      <c r="K1003" s="461" t="s">
        <v>7324</v>
      </c>
      <c r="L1003" s="461" t="s">
        <v>8541</v>
      </c>
      <c r="M1003" s="469" t="s">
        <v>7891</v>
      </c>
    </row>
    <row r="1004" spans="1:13">
      <c r="A1004" s="465" t="s">
        <v>627</v>
      </c>
      <c r="B1004" s="465" t="s">
        <v>629</v>
      </c>
      <c r="C1004" s="466" t="s">
        <v>628</v>
      </c>
      <c r="D1004" s="466" t="s">
        <v>630</v>
      </c>
      <c r="E1004" s="466" t="s">
        <v>4116</v>
      </c>
      <c r="F1004" s="465" t="s">
        <v>4117</v>
      </c>
      <c r="G1004" s="465" t="s">
        <v>4118</v>
      </c>
      <c r="H1004" s="465" t="s">
        <v>4119</v>
      </c>
      <c r="I1004" s="465" t="s">
        <v>4120</v>
      </c>
      <c r="J1004" s="465" t="s">
        <v>4121</v>
      </c>
      <c r="K1004" s="465" t="s">
        <v>7325</v>
      </c>
      <c r="L1004" s="465" t="s">
        <v>8542</v>
      </c>
      <c r="M1004" s="467" t="s">
        <v>7892</v>
      </c>
    </row>
    <row r="1005" spans="1:13">
      <c r="A1005" s="461" t="s">
        <v>631</v>
      </c>
      <c r="B1005" s="461" t="s">
        <v>629</v>
      </c>
      <c r="C1005" s="468" t="s">
        <v>628</v>
      </c>
      <c r="D1005" s="468" t="s">
        <v>630</v>
      </c>
      <c r="E1005" s="468" t="s">
        <v>4116</v>
      </c>
      <c r="F1005" s="461" t="s">
        <v>4117</v>
      </c>
      <c r="G1005" s="461" t="s">
        <v>4118</v>
      </c>
      <c r="H1005" s="461" t="s">
        <v>4119</v>
      </c>
      <c r="I1005" s="461" t="s">
        <v>4120</v>
      </c>
      <c r="J1005" s="461" t="s">
        <v>4121</v>
      </c>
      <c r="K1005" s="471" t="s">
        <v>7325</v>
      </c>
      <c r="L1005" s="461" t="s">
        <v>8542</v>
      </c>
      <c r="M1005" s="469" t="s">
        <v>7893</v>
      </c>
    </row>
    <row r="1006" spans="1:13">
      <c r="A1006" s="475" t="s">
        <v>11632</v>
      </c>
      <c r="B1006" s="475" t="s">
        <v>645</v>
      </c>
      <c r="C1006" s="475" t="s">
        <v>644</v>
      </c>
      <c r="D1006" s="475" t="s">
        <v>646</v>
      </c>
      <c r="E1006" s="475" t="s">
        <v>4143</v>
      </c>
      <c r="F1006" s="475" t="s">
        <v>4144</v>
      </c>
      <c r="G1006" s="475" t="s">
        <v>4145</v>
      </c>
      <c r="H1006" s="475" t="s">
        <v>4146</v>
      </c>
      <c r="I1006" s="475" t="s">
        <v>4147</v>
      </c>
      <c r="J1006" s="475" t="s">
        <v>4136</v>
      </c>
      <c r="K1006" s="475" t="s">
        <v>7330</v>
      </c>
      <c r="L1006" s="475" t="s">
        <v>8546</v>
      </c>
      <c r="M1006" s="476" t="s">
        <v>7897</v>
      </c>
    </row>
    <row r="1007" spans="1:13">
      <c r="A1007" s="472" t="s">
        <v>667</v>
      </c>
      <c r="B1007" s="461" t="s">
        <v>669</v>
      </c>
      <c r="C1007" s="468" t="s">
        <v>668</v>
      </c>
      <c r="D1007" s="468" t="s">
        <v>670</v>
      </c>
      <c r="E1007" s="468" t="s">
        <v>4216</v>
      </c>
      <c r="F1007" s="461" t="s">
        <v>4217</v>
      </c>
      <c r="G1007" s="461" t="s">
        <v>4218</v>
      </c>
      <c r="H1007" s="461" t="s">
        <v>4219</v>
      </c>
      <c r="I1007" s="461" t="s">
        <v>4220</v>
      </c>
      <c r="J1007" s="461" t="s">
        <v>4221</v>
      </c>
      <c r="K1007" s="461" t="s">
        <v>7335</v>
      </c>
      <c r="L1007" s="461" t="s">
        <v>8551</v>
      </c>
      <c r="M1007" s="469" t="s">
        <v>7905</v>
      </c>
    </row>
    <row r="1008" spans="1:13">
      <c r="A1008" s="472" t="s">
        <v>3535</v>
      </c>
      <c r="B1008" s="465" t="s">
        <v>3537</v>
      </c>
      <c r="C1008" s="466" t="s">
        <v>3536</v>
      </c>
      <c r="D1008" s="466" t="s">
        <v>3538</v>
      </c>
      <c r="E1008" s="466" t="s">
        <v>3539</v>
      </c>
      <c r="F1008" s="465" t="s">
        <v>3540</v>
      </c>
      <c r="G1008" s="465" t="s">
        <v>3541</v>
      </c>
      <c r="H1008" s="465" t="s">
        <v>3542</v>
      </c>
      <c r="I1008" s="465" t="s">
        <v>3543</v>
      </c>
      <c r="J1008" s="465" t="s">
        <v>3544</v>
      </c>
      <c r="K1008" s="465" t="s">
        <v>7235</v>
      </c>
      <c r="L1008" s="465" t="s">
        <v>8451</v>
      </c>
      <c r="M1008" s="467" t="s">
        <v>7802</v>
      </c>
    </row>
    <row r="1009" spans="1:13">
      <c r="A1009" s="472" t="s">
        <v>810</v>
      </c>
      <c r="B1009" s="461" t="s">
        <v>803</v>
      </c>
      <c r="C1009" s="468" t="s">
        <v>802</v>
      </c>
      <c r="D1009" s="468" t="s">
        <v>804</v>
      </c>
      <c r="E1009" s="468" t="s">
        <v>3523</v>
      </c>
      <c r="F1009" s="461" t="s">
        <v>3524</v>
      </c>
      <c r="G1009" s="461" t="s">
        <v>3525</v>
      </c>
      <c r="H1009" s="461" t="s">
        <v>3526</v>
      </c>
      <c r="I1009" s="461" t="s">
        <v>3527</v>
      </c>
      <c r="J1009" s="461" t="s">
        <v>3528</v>
      </c>
      <c r="K1009" s="461" t="s">
        <v>7233</v>
      </c>
      <c r="L1009" s="461" t="s">
        <v>8449</v>
      </c>
      <c r="M1009" s="469" t="s">
        <v>7800</v>
      </c>
    </row>
    <row r="1010" spans="1:13">
      <c r="A1010" s="465" t="s">
        <v>2260</v>
      </c>
      <c r="B1010" s="465" t="s">
        <v>2532</v>
      </c>
      <c r="C1010" s="466" t="s">
        <v>2620</v>
      </c>
      <c r="D1010" s="466" t="s">
        <v>2695</v>
      </c>
      <c r="E1010" s="466" t="s">
        <v>3551</v>
      </c>
      <c r="F1010" s="465" t="s">
        <v>3552</v>
      </c>
      <c r="G1010" s="465" t="s">
        <v>3553</v>
      </c>
      <c r="H1010" s="465" t="s">
        <v>3554</v>
      </c>
      <c r="I1010" s="465" t="s">
        <v>3533</v>
      </c>
      <c r="J1010" s="465" t="s">
        <v>3555</v>
      </c>
      <c r="K1010" s="465" t="s">
        <v>7237</v>
      </c>
      <c r="L1010" s="465" t="s">
        <v>8453</v>
      </c>
      <c r="M1010" s="467" t="s">
        <v>7804</v>
      </c>
    </row>
    <row r="1011" spans="1:13">
      <c r="A1011" s="472" t="s">
        <v>811</v>
      </c>
      <c r="B1011" s="461" t="s">
        <v>806</v>
      </c>
      <c r="C1011" s="468" t="s">
        <v>805</v>
      </c>
      <c r="D1011" s="468" t="s">
        <v>807</v>
      </c>
      <c r="E1011" s="468" t="s">
        <v>3529</v>
      </c>
      <c r="F1011" s="461" t="s">
        <v>3530</v>
      </c>
      <c r="G1011" s="461" t="s">
        <v>3531</v>
      </c>
      <c r="H1011" s="461" t="s">
        <v>3532</v>
      </c>
      <c r="I1011" s="461" t="s">
        <v>3533</v>
      </c>
      <c r="J1011" s="461" t="s">
        <v>3534</v>
      </c>
      <c r="K1011" s="461" t="s">
        <v>7234</v>
      </c>
      <c r="L1011" s="461" t="s">
        <v>8450</v>
      </c>
      <c r="M1011" s="469" t="s">
        <v>7801</v>
      </c>
    </row>
    <row r="1012" spans="1:13">
      <c r="A1012" s="465" t="s">
        <v>812</v>
      </c>
      <c r="B1012" s="465" t="s">
        <v>2531</v>
      </c>
      <c r="C1012" s="466" t="s">
        <v>808</v>
      </c>
      <c r="D1012" s="466" t="s">
        <v>809</v>
      </c>
      <c r="E1012" s="466" t="s">
        <v>3545</v>
      </c>
      <c r="F1012" s="465" t="s">
        <v>3546</v>
      </c>
      <c r="G1012" s="465" t="s">
        <v>3547</v>
      </c>
      <c r="H1012" s="465" t="s">
        <v>3548</v>
      </c>
      <c r="I1012" s="465" t="s">
        <v>3549</v>
      </c>
      <c r="J1012" s="465" t="s">
        <v>3550</v>
      </c>
      <c r="K1012" s="465" t="s">
        <v>7236</v>
      </c>
      <c r="L1012" s="465" t="s">
        <v>8452</v>
      </c>
      <c r="M1012" s="467" t="s">
        <v>7803</v>
      </c>
    </row>
    <row r="1013" spans="1:13">
      <c r="A1013" s="461" t="s">
        <v>651</v>
      </c>
      <c r="B1013" s="461" t="s">
        <v>649</v>
      </c>
      <c r="C1013" s="468" t="s">
        <v>648</v>
      </c>
      <c r="D1013" s="468" t="s">
        <v>650</v>
      </c>
      <c r="E1013" s="468" t="s">
        <v>4168</v>
      </c>
      <c r="F1013" s="461" t="s">
        <v>4169</v>
      </c>
      <c r="G1013" s="461" t="s">
        <v>4170</v>
      </c>
      <c r="H1013" s="461" t="s">
        <v>4171</v>
      </c>
      <c r="I1013" s="461" t="s">
        <v>4172</v>
      </c>
      <c r="J1013" s="461" t="s">
        <v>4173</v>
      </c>
      <c r="K1013" s="471" t="s">
        <v>7333</v>
      </c>
      <c r="L1013" s="461" t="s">
        <v>8549</v>
      </c>
      <c r="M1013" s="469" t="s">
        <v>7900</v>
      </c>
    </row>
    <row r="1014" spans="1:13">
      <c r="A1014" s="465" t="s">
        <v>652</v>
      </c>
      <c r="B1014" s="465" t="s">
        <v>649</v>
      </c>
      <c r="C1014" s="466" t="s">
        <v>648</v>
      </c>
      <c r="D1014" s="466" t="s">
        <v>650</v>
      </c>
      <c r="E1014" s="466" t="s">
        <v>4168</v>
      </c>
      <c r="F1014" s="465" t="s">
        <v>4169</v>
      </c>
      <c r="G1014" s="465" t="s">
        <v>4170</v>
      </c>
      <c r="H1014" s="465" t="s">
        <v>4171</v>
      </c>
      <c r="I1014" s="465" t="s">
        <v>4172</v>
      </c>
      <c r="J1014" s="465" t="s">
        <v>4173</v>
      </c>
      <c r="K1014" s="465" t="s">
        <v>7333</v>
      </c>
      <c r="L1014" s="465" t="s">
        <v>8549</v>
      </c>
      <c r="M1014" s="467" t="s">
        <v>7901</v>
      </c>
    </row>
    <row r="1015" spans="1:13">
      <c r="A1015" s="461" t="s">
        <v>671</v>
      </c>
      <c r="B1015" s="461" t="s">
        <v>673</v>
      </c>
      <c r="C1015" s="468" t="s">
        <v>672</v>
      </c>
      <c r="D1015" s="468" t="s">
        <v>674</v>
      </c>
      <c r="E1015" s="468" t="s">
        <v>4222</v>
      </c>
      <c r="F1015" s="461" t="s">
        <v>4223</v>
      </c>
      <c r="G1015" s="461" t="s">
        <v>4224</v>
      </c>
      <c r="H1015" s="461" t="s">
        <v>4225</v>
      </c>
      <c r="I1015" s="461" t="s">
        <v>4226</v>
      </c>
      <c r="J1015" s="461" t="s">
        <v>4227</v>
      </c>
      <c r="K1015" s="461" t="s">
        <v>7336</v>
      </c>
      <c r="L1015" s="461" t="s">
        <v>8552</v>
      </c>
      <c r="M1015" s="469" t="s">
        <v>7906</v>
      </c>
    </row>
    <row r="1016" spans="1:13">
      <c r="A1016" s="472" t="s">
        <v>659</v>
      </c>
      <c r="B1016" s="465" t="s">
        <v>649</v>
      </c>
      <c r="C1016" s="466" t="s">
        <v>648</v>
      </c>
      <c r="D1016" s="466" t="s">
        <v>650</v>
      </c>
      <c r="E1016" s="466" t="s">
        <v>4168</v>
      </c>
      <c r="F1016" s="465" t="s">
        <v>4144</v>
      </c>
      <c r="G1016" s="465" t="s">
        <v>4170</v>
      </c>
      <c r="H1016" s="465" t="s">
        <v>4171</v>
      </c>
      <c r="I1016" s="465" t="s">
        <v>4185</v>
      </c>
      <c r="J1016" s="465" t="s">
        <v>4173</v>
      </c>
      <c r="K1016" s="465" t="s">
        <v>7333</v>
      </c>
      <c r="L1016" s="465" t="s">
        <v>8549</v>
      </c>
      <c r="M1016" s="467" t="s">
        <v>7903</v>
      </c>
    </row>
    <row r="1017" spans="1:13">
      <c r="A1017" s="472" t="s">
        <v>661</v>
      </c>
      <c r="B1017" s="461" t="s">
        <v>649</v>
      </c>
      <c r="C1017" s="468" t="s">
        <v>648</v>
      </c>
      <c r="D1017" s="468" t="s">
        <v>650</v>
      </c>
      <c r="E1017" s="468" t="s">
        <v>4168</v>
      </c>
      <c r="F1017" s="461" t="s">
        <v>4169</v>
      </c>
      <c r="G1017" s="461" t="s">
        <v>4170</v>
      </c>
      <c r="H1017" s="461" t="s">
        <v>4171</v>
      </c>
      <c r="I1017" s="461" t="s">
        <v>4185</v>
      </c>
      <c r="J1017" s="461" t="s">
        <v>4173</v>
      </c>
      <c r="K1017" s="461" t="s">
        <v>7333</v>
      </c>
      <c r="L1017" s="461" t="s">
        <v>8549</v>
      </c>
      <c r="M1017" s="469" t="s">
        <v>7900</v>
      </c>
    </row>
    <row r="1018" spans="1:13">
      <c r="A1018" s="465" t="s">
        <v>2244</v>
      </c>
      <c r="B1018" s="465" t="s">
        <v>649</v>
      </c>
      <c r="C1018" s="466" t="s">
        <v>648</v>
      </c>
      <c r="D1018" s="466" t="s">
        <v>650</v>
      </c>
      <c r="E1018" s="466" t="s">
        <v>4168</v>
      </c>
      <c r="F1018" s="465" t="s">
        <v>4169</v>
      </c>
      <c r="G1018" s="465" t="s">
        <v>4170</v>
      </c>
      <c r="H1018" s="465" t="s">
        <v>4171</v>
      </c>
      <c r="I1018" s="465" t="s">
        <v>4185</v>
      </c>
      <c r="J1018" s="465" t="s">
        <v>4173</v>
      </c>
      <c r="K1018" s="465" t="s">
        <v>7333</v>
      </c>
      <c r="L1018" s="465" t="s">
        <v>8549</v>
      </c>
      <c r="M1018" s="467" t="s">
        <v>7900</v>
      </c>
    </row>
    <row r="1019" spans="1:13">
      <c r="A1019" s="461" t="s">
        <v>658</v>
      </c>
      <c r="B1019" s="461" t="s">
        <v>645</v>
      </c>
      <c r="C1019" s="468" t="s">
        <v>644</v>
      </c>
      <c r="D1019" s="468" t="s">
        <v>646</v>
      </c>
      <c r="E1019" s="468" t="s">
        <v>4143</v>
      </c>
      <c r="F1019" s="461" t="s">
        <v>4181</v>
      </c>
      <c r="G1019" s="461" t="s">
        <v>4145</v>
      </c>
      <c r="H1019" s="461" t="s">
        <v>4146</v>
      </c>
      <c r="I1019" s="461" t="s">
        <v>4184</v>
      </c>
      <c r="J1019" s="461" t="s">
        <v>4136</v>
      </c>
      <c r="K1019" s="461" t="s">
        <v>7330</v>
      </c>
      <c r="L1019" s="461" t="s">
        <v>8546</v>
      </c>
      <c r="M1019" s="469" t="s">
        <v>7897</v>
      </c>
    </row>
    <row r="1020" spans="1:13">
      <c r="A1020" s="465" t="s">
        <v>653</v>
      </c>
      <c r="B1020" s="465" t="s">
        <v>656</v>
      </c>
      <c r="C1020" s="466" t="s">
        <v>655</v>
      </c>
      <c r="D1020" s="466" t="s">
        <v>657</v>
      </c>
      <c r="E1020" s="466" t="s">
        <v>4174</v>
      </c>
      <c r="F1020" s="465" t="s">
        <v>4169</v>
      </c>
      <c r="G1020" s="465" t="s">
        <v>4175</v>
      </c>
      <c r="H1020" s="465" t="s">
        <v>4176</v>
      </c>
      <c r="I1020" s="465" t="s">
        <v>4177</v>
      </c>
      <c r="J1020" s="465" t="s">
        <v>4178</v>
      </c>
      <c r="K1020" s="465" t="s">
        <v>7327</v>
      </c>
      <c r="L1020" s="465" t="s">
        <v>8550</v>
      </c>
      <c r="M1020" s="467" t="s">
        <v>7902</v>
      </c>
    </row>
    <row r="1021" spans="1:13">
      <c r="A1021" s="473" t="s">
        <v>11202</v>
      </c>
      <c r="B1021" s="473" t="s">
        <v>656</v>
      </c>
      <c r="C1021" s="473" t="s">
        <v>655</v>
      </c>
      <c r="D1021" s="473" t="s">
        <v>657</v>
      </c>
      <c r="E1021" s="473" t="s">
        <v>4174</v>
      </c>
      <c r="F1021" s="473" t="s">
        <v>4181</v>
      </c>
      <c r="G1021" s="473" t="s">
        <v>4175</v>
      </c>
      <c r="H1021" s="473" t="s">
        <v>4176</v>
      </c>
      <c r="I1021" s="473" t="s">
        <v>4200</v>
      </c>
      <c r="J1021" s="473" t="s">
        <v>4178</v>
      </c>
      <c r="K1021" s="473" t="s">
        <v>7327</v>
      </c>
      <c r="L1021" s="473" t="s">
        <v>8550</v>
      </c>
      <c r="M1021" s="474" t="s">
        <v>7902</v>
      </c>
    </row>
    <row r="1022" spans="1:13">
      <c r="A1022" s="465" t="s">
        <v>4179</v>
      </c>
      <c r="B1022" s="465" t="s">
        <v>4192</v>
      </c>
      <c r="C1022" s="466" t="s">
        <v>4191</v>
      </c>
      <c r="D1022" s="466" t="s">
        <v>4193</v>
      </c>
      <c r="E1022" s="466" t="s">
        <v>9013</v>
      </c>
      <c r="F1022" s="465" t="s">
        <v>9014</v>
      </c>
      <c r="G1022" s="465" t="s">
        <v>9015</v>
      </c>
      <c r="H1022" s="465" t="s">
        <v>4196</v>
      </c>
      <c r="I1022" s="465" t="s">
        <v>4183</v>
      </c>
      <c r="J1022" s="465" t="s">
        <v>4178</v>
      </c>
      <c r="K1022" s="465" t="s">
        <v>7327</v>
      </c>
      <c r="L1022" s="465" t="s">
        <v>8550</v>
      </c>
      <c r="M1022" s="467" t="s">
        <v>7902</v>
      </c>
    </row>
    <row r="1023" spans="1:13">
      <c r="A1023" s="461" t="s">
        <v>675</v>
      </c>
      <c r="B1023" s="461" t="s">
        <v>677</v>
      </c>
      <c r="C1023" s="468" t="s">
        <v>676</v>
      </c>
      <c r="D1023" s="468" t="s">
        <v>678</v>
      </c>
      <c r="E1023" s="468" t="s">
        <v>4228</v>
      </c>
      <c r="F1023" s="461" t="s">
        <v>4229</v>
      </c>
      <c r="G1023" s="461" t="s">
        <v>4230</v>
      </c>
      <c r="H1023" s="461" t="s">
        <v>4231</v>
      </c>
      <c r="I1023" s="461" t="s">
        <v>4232</v>
      </c>
      <c r="J1023" s="461" t="s">
        <v>4233</v>
      </c>
      <c r="K1023" s="461" t="s">
        <v>7337</v>
      </c>
      <c r="L1023" s="461" t="s">
        <v>8553</v>
      </c>
      <c r="M1023" s="469" t="s">
        <v>7907</v>
      </c>
    </row>
    <row r="1024" spans="1:13">
      <c r="A1024" s="465" t="s">
        <v>4203</v>
      </c>
      <c r="B1024" s="465" t="s">
        <v>656</v>
      </c>
      <c r="C1024" s="466" t="s">
        <v>655</v>
      </c>
      <c r="D1024" s="466" t="s">
        <v>657</v>
      </c>
      <c r="E1024" s="466" t="s">
        <v>4174</v>
      </c>
      <c r="F1024" s="465" t="s">
        <v>4181</v>
      </c>
      <c r="G1024" s="465" t="s">
        <v>4175</v>
      </c>
      <c r="H1024" s="465" t="s">
        <v>4176</v>
      </c>
      <c r="I1024" s="465" t="s">
        <v>4200</v>
      </c>
      <c r="J1024" s="465" t="s">
        <v>4178</v>
      </c>
      <c r="K1024" s="465" t="s">
        <v>7327</v>
      </c>
      <c r="L1024" s="465" t="s">
        <v>8550</v>
      </c>
      <c r="M1024" s="467" t="s">
        <v>7902</v>
      </c>
    </row>
    <row r="1025" spans="1:13">
      <c r="A1025" s="461" t="s">
        <v>4186</v>
      </c>
      <c r="B1025" s="461" t="s">
        <v>656</v>
      </c>
      <c r="C1025" s="468" t="s">
        <v>655</v>
      </c>
      <c r="D1025" s="468" t="s">
        <v>657</v>
      </c>
      <c r="E1025" s="468" t="s">
        <v>4180</v>
      </c>
      <c r="F1025" s="461" t="s">
        <v>4181</v>
      </c>
      <c r="G1025" s="461" t="s">
        <v>4175</v>
      </c>
      <c r="H1025" s="461" t="s">
        <v>4182</v>
      </c>
      <c r="I1025" s="461" t="s">
        <v>4183</v>
      </c>
      <c r="J1025" s="461" t="s">
        <v>4178</v>
      </c>
      <c r="K1025" s="461" t="s">
        <v>7327</v>
      </c>
      <c r="L1025" s="461" t="s">
        <v>8550</v>
      </c>
      <c r="M1025" s="469" t="s">
        <v>7902</v>
      </c>
    </row>
    <row r="1026" spans="1:13">
      <c r="A1026" s="465" t="s">
        <v>4188</v>
      </c>
      <c r="B1026" s="465" t="s">
        <v>656</v>
      </c>
      <c r="C1026" s="466" t="s">
        <v>655</v>
      </c>
      <c r="D1026" s="466" t="s">
        <v>657</v>
      </c>
      <c r="E1026" s="466" t="s">
        <v>4180</v>
      </c>
      <c r="F1026" s="465" t="s">
        <v>4181</v>
      </c>
      <c r="G1026" s="465" t="s">
        <v>4175</v>
      </c>
      <c r="H1026" s="465" t="s">
        <v>4182</v>
      </c>
      <c r="I1026" s="465" t="s">
        <v>4183</v>
      </c>
      <c r="J1026" s="465" t="s">
        <v>4178</v>
      </c>
      <c r="K1026" s="465" t="s">
        <v>7327</v>
      </c>
      <c r="L1026" s="465" t="s">
        <v>8550</v>
      </c>
      <c r="M1026" s="467" t="s">
        <v>7902</v>
      </c>
    </row>
    <row r="1027" spans="1:13">
      <c r="A1027" s="461" t="s">
        <v>4204</v>
      </c>
      <c r="B1027" s="461" t="s">
        <v>4192</v>
      </c>
      <c r="C1027" s="468" t="s">
        <v>4191</v>
      </c>
      <c r="D1027" s="468" t="s">
        <v>4193</v>
      </c>
      <c r="E1027" s="468" t="s">
        <v>4205</v>
      </c>
      <c r="F1027" s="461" t="s">
        <v>4181</v>
      </c>
      <c r="G1027" s="461" t="s">
        <v>4175</v>
      </c>
      <c r="H1027" s="461" t="s">
        <v>4206</v>
      </c>
      <c r="I1027" s="461" t="s">
        <v>4207</v>
      </c>
      <c r="J1027" s="461" t="s">
        <v>4178</v>
      </c>
      <c r="K1027" s="461" t="s">
        <v>7334</v>
      </c>
      <c r="L1027" s="461" t="s">
        <v>8550</v>
      </c>
      <c r="M1027" s="469" t="s">
        <v>7904</v>
      </c>
    </row>
    <row r="1028" spans="1:13">
      <c r="A1028" s="465" t="s">
        <v>4189</v>
      </c>
      <c r="B1028" s="465" t="s">
        <v>4192</v>
      </c>
      <c r="C1028" s="466" t="s">
        <v>4191</v>
      </c>
      <c r="D1028" s="466" t="s">
        <v>4193</v>
      </c>
      <c r="E1028" s="466" t="s">
        <v>4205</v>
      </c>
      <c r="F1028" s="465" t="s">
        <v>4194</v>
      </c>
      <c r="G1028" s="465" t="s">
        <v>4195</v>
      </c>
      <c r="H1028" s="465" t="s">
        <v>4196</v>
      </c>
      <c r="I1028" s="465" t="s">
        <v>4197</v>
      </c>
      <c r="J1028" s="465" t="s">
        <v>4198</v>
      </c>
      <c r="K1028" s="465" t="s">
        <v>7334</v>
      </c>
      <c r="L1028" s="465" t="s">
        <v>8550</v>
      </c>
      <c r="M1028" s="467" t="s">
        <v>7904</v>
      </c>
    </row>
    <row r="1029" spans="1:13">
      <c r="A1029" s="472" t="s">
        <v>4199</v>
      </c>
      <c r="B1029" s="461" t="s">
        <v>4192</v>
      </c>
      <c r="C1029" s="468" t="s">
        <v>4191</v>
      </c>
      <c r="D1029" s="468" t="s">
        <v>4193</v>
      </c>
      <c r="E1029" s="468" t="s">
        <v>4205</v>
      </c>
      <c r="F1029" s="461" t="s">
        <v>4194</v>
      </c>
      <c r="G1029" s="461" t="s">
        <v>4195</v>
      </c>
      <c r="H1029" s="461" t="s">
        <v>4196</v>
      </c>
      <c r="I1029" s="461" t="s">
        <v>4197</v>
      </c>
      <c r="J1029" s="461" t="s">
        <v>4198</v>
      </c>
      <c r="K1029" s="461" t="s">
        <v>7334</v>
      </c>
      <c r="L1029" s="461" t="s">
        <v>8550</v>
      </c>
      <c r="M1029" s="469" t="s">
        <v>7904</v>
      </c>
    </row>
    <row r="1030" spans="1:13">
      <c r="A1030" s="472" t="s">
        <v>2245</v>
      </c>
      <c r="B1030" s="465" t="s">
        <v>4151</v>
      </c>
      <c r="C1030" s="466" t="s">
        <v>4150</v>
      </c>
      <c r="D1030" s="466" t="s">
        <v>4152</v>
      </c>
      <c r="E1030" s="466" t="s">
        <v>4174</v>
      </c>
      <c r="F1030" s="465" t="s">
        <v>4154</v>
      </c>
      <c r="G1030" s="465" t="s">
        <v>4155</v>
      </c>
      <c r="H1030" s="465" t="s">
        <v>4201</v>
      </c>
      <c r="I1030" s="465" t="s">
        <v>4202</v>
      </c>
      <c r="J1030" s="465" t="s">
        <v>4157</v>
      </c>
      <c r="K1030" s="465" t="s">
        <v>7331</v>
      </c>
      <c r="L1030" s="465" t="s">
        <v>8547</v>
      </c>
      <c r="M1030" s="467" t="s">
        <v>7898</v>
      </c>
    </row>
    <row r="1031" spans="1:13">
      <c r="A1031" s="472" t="s">
        <v>4149</v>
      </c>
      <c r="B1031" s="461" t="s">
        <v>4151</v>
      </c>
      <c r="C1031" s="468" t="s">
        <v>4150</v>
      </c>
      <c r="D1031" s="468" t="s">
        <v>4152</v>
      </c>
      <c r="E1031" s="468" t="s">
        <v>9344</v>
      </c>
      <c r="F1031" s="461" t="s">
        <v>4154</v>
      </c>
      <c r="G1031" s="461" t="s">
        <v>4155</v>
      </c>
      <c r="H1031" s="461" t="s">
        <v>4156</v>
      </c>
      <c r="I1031" s="461" t="s">
        <v>4183</v>
      </c>
      <c r="J1031" s="461" t="s">
        <v>4157</v>
      </c>
      <c r="K1031" s="471" t="s">
        <v>7331</v>
      </c>
      <c r="L1031" s="461" t="s">
        <v>8547</v>
      </c>
      <c r="M1031" s="469" t="s">
        <v>7898</v>
      </c>
    </row>
    <row r="1032" spans="1:13">
      <c r="A1032" s="465" t="s">
        <v>9248</v>
      </c>
      <c r="B1032" s="465" t="s">
        <v>9346</v>
      </c>
      <c r="C1032" s="466" t="s">
        <v>9345</v>
      </c>
      <c r="D1032" s="466" t="s">
        <v>9347</v>
      </c>
      <c r="E1032" s="466" t="s">
        <v>9348</v>
      </c>
      <c r="F1032" s="465" t="s">
        <v>9349</v>
      </c>
      <c r="G1032" s="465" t="s">
        <v>9350</v>
      </c>
      <c r="H1032" s="465" t="s">
        <v>9351</v>
      </c>
      <c r="I1032" s="465" t="s">
        <v>9352</v>
      </c>
      <c r="J1032" s="465" t="s">
        <v>4157</v>
      </c>
      <c r="K1032" s="470" t="s">
        <v>9354</v>
      </c>
      <c r="L1032" s="465" t="s">
        <v>8547</v>
      </c>
      <c r="M1032" s="467" t="s">
        <v>9353</v>
      </c>
    </row>
    <row r="1033" spans="1:13">
      <c r="A1033" s="461" t="s">
        <v>664</v>
      </c>
      <c r="B1033" s="461" t="s">
        <v>665</v>
      </c>
      <c r="C1033" s="468" t="s">
        <v>4208</v>
      </c>
      <c r="D1033" s="468" t="s">
        <v>4209</v>
      </c>
      <c r="E1033" s="468" t="s">
        <v>4210</v>
      </c>
      <c r="F1033" s="461" t="s">
        <v>4211</v>
      </c>
      <c r="G1033" s="461" t="s">
        <v>4212</v>
      </c>
      <c r="H1033" s="461" t="s">
        <v>4213</v>
      </c>
      <c r="I1033" s="461" t="s">
        <v>4214</v>
      </c>
      <c r="J1033" s="461" t="s">
        <v>4215</v>
      </c>
      <c r="K1033" s="461" t="s">
        <v>12368</v>
      </c>
      <c r="L1033" s="461" t="s">
        <v>12369</v>
      </c>
      <c r="M1033" s="469" t="s">
        <v>12319</v>
      </c>
    </row>
    <row r="1034" spans="1:13">
      <c r="A1034" s="472" t="s">
        <v>4158</v>
      </c>
      <c r="B1034" s="465" t="s">
        <v>4161</v>
      </c>
      <c r="C1034" s="466" t="s">
        <v>4160</v>
      </c>
      <c r="D1034" s="466" t="s">
        <v>4162</v>
      </c>
      <c r="E1034" s="466" t="s">
        <v>4153</v>
      </c>
      <c r="F1034" s="465" t="s">
        <v>4163</v>
      </c>
      <c r="G1034" s="465" t="s">
        <v>4164</v>
      </c>
      <c r="H1034" s="465" t="s">
        <v>4165</v>
      </c>
      <c r="I1034" s="465" t="s">
        <v>4166</v>
      </c>
      <c r="J1034" s="465" t="s">
        <v>4167</v>
      </c>
      <c r="K1034" s="470" t="s">
        <v>7332</v>
      </c>
      <c r="L1034" s="465" t="s">
        <v>8548</v>
      </c>
      <c r="M1034" s="467" t="s">
        <v>7899</v>
      </c>
    </row>
    <row r="1035" spans="1:13">
      <c r="A1035" s="472" t="s">
        <v>3026</v>
      </c>
      <c r="B1035" s="461" t="s">
        <v>8869</v>
      </c>
      <c r="C1035" s="468" t="s">
        <v>8870</v>
      </c>
      <c r="D1035" s="468" t="s">
        <v>8871</v>
      </c>
      <c r="E1035" s="468" t="s">
        <v>8872</v>
      </c>
      <c r="F1035" s="461" t="s">
        <v>8873</v>
      </c>
      <c r="G1035" s="461" t="s">
        <v>8864</v>
      </c>
      <c r="H1035" s="461" t="s">
        <v>8874</v>
      </c>
      <c r="I1035" s="461" t="s">
        <v>8875</v>
      </c>
      <c r="J1035" s="461" t="s">
        <v>8876</v>
      </c>
      <c r="K1035" s="461" t="s">
        <v>9016</v>
      </c>
      <c r="L1035" s="461" t="s">
        <v>9017</v>
      </c>
      <c r="M1035" s="469" t="s">
        <v>7726</v>
      </c>
    </row>
    <row r="1036" spans="1:13">
      <c r="A1036" s="465" t="s">
        <v>8866</v>
      </c>
      <c r="B1036" s="465" t="s">
        <v>3028</v>
      </c>
      <c r="C1036" s="466" t="s">
        <v>3027</v>
      </c>
      <c r="D1036" s="466" t="s">
        <v>3029</v>
      </c>
      <c r="E1036" s="466" t="s">
        <v>3030</v>
      </c>
      <c r="F1036" s="465" t="s">
        <v>3031</v>
      </c>
      <c r="G1036" s="465" t="s">
        <v>8877</v>
      </c>
      <c r="H1036" s="465" t="s">
        <v>3032</v>
      </c>
      <c r="I1036" s="465" t="s">
        <v>3033</v>
      </c>
      <c r="J1036" s="465" t="s">
        <v>3034</v>
      </c>
      <c r="K1036" s="465" t="s">
        <v>7161</v>
      </c>
      <c r="L1036" s="465" t="s">
        <v>8380</v>
      </c>
      <c r="M1036" s="467" t="s">
        <v>8878</v>
      </c>
    </row>
    <row r="1037" spans="1:13">
      <c r="A1037" s="461" t="s">
        <v>9511</v>
      </c>
      <c r="B1037" s="473" t="s">
        <v>10657</v>
      </c>
      <c r="C1037" s="473" t="s">
        <v>10659</v>
      </c>
      <c r="D1037" s="473" t="s">
        <v>10658</v>
      </c>
      <c r="E1037" s="473" t="s">
        <v>10660</v>
      </c>
      <c r="F1037" s="473" t="s">
        <v>10661</v>
      </c>
      <c r="G1037" s="473" t="s">
        <v>10662</v>
      </c>
      <c r="H1037" s="473" t="s">
        <v>10660</v>
      </c>
      <c r="I1037" s="473" t="s">
        <v>10663</v>
      </c>
      <c r="J1037" s="473" t="s">
        <v>10664</v>
      </c>
      <c r="K1037" s="473" t="s">
        <v>10665</v>
      </c>
      <c r="L1037" s="473" t="s">
        <v>10666</v>
      </c>
      <c r="M1037" s="474" t="s">
        <v>10667</v>
      </c>
    </row>
    <row r="1038" spans="1:13">
      <c r="A1038" s="465" t="s">
        <v>639</v>
      </c>
      <c r="B1038" s="465" t="s">
        <v>2523</v>
      </c>
      <c r="C1038" s="466" t="s">
        <v>641</v>
      </c>
      <c r="D1038" s="466" t="s">
        <v>642</v>
      </c>
      <c r="E1038" s="466" t="s">
        <v>4137</v>
      </c>
      <c r="F1038" s="465" t="s">
        <v>4138</v>
      </c>
      <c r="G1038" s="465" t="s">
        <v>4139</v>
      </c>
      <c r="H1038" s="465" t="s">
        <v>4140</v>
      </c>
      <c r="I1038" s="465" t="s">
        <v>4141</v>
      </c>
      <c r="J1038" s="465" t="s">
        <v>4142</v>
      </c>
      <c r="K1038" s="470" t="s">
        <v>7329</v>
      </c>
      <c r="L1038" s="465" t="s">
        <v>8545</v>
      </c>
      <c r="M1038" s="467" t="s">
        <v>7896</v>
      </c>
    </row>
    <row r="1039" spans="1:13">
      <c r="A1039" s="473" t="s">
        <v>2366</v>
      </c>
      <c r="B1039" s="473" t="s">
        <v>10604</v>
      </c>
      <c r="C1039" s="473" t="s">
        <v>10608</v>
      </c>
      <c r="D1039" s="473" t="s">
        <v>10610</v>
      </c>
      <c r="E1039" s="473" t="s">
        <v>10612</v>
      </c>
      <c r="F1039" s="473" t="s">
        <v>10614</v>
      </c>
      <c r="G1039" s="473" t="s">
        <v>10616</v>
      </c>
      <c r="H1039" s="473" t="s">
        <v>10606</v>
      </c>
      <c r="I1039" s="473" t="s">
        <v>10618</v>
      </c>
      <c r="J1039" s="473" t="s">
        <v>10620</v>
      </c>
      <c r="K1039" s="473" t="s">
        <v>10622</v>
      </c>
      <c r="L1039" s="473" t="s">
        <v>10624</v>
      </c>
      <c r="M1039" s="474" t="s">
        <v>10626</v>
      </c>
    </row>
    <row r="1040" spans="1:13">
      <c r="A1040" s="475" t="s">
        <v>11631</v>
      </c>
      <c r="B1040" s="475" t="s">
        <v>11829</v>
      </c>
      <c r="C1040" s="475" t="s">
        <v>11830</v>
      </c>
      <c r="D1040" s="475" t="s">
        <v>11831</v>
      </c>
      <c r="E1040" s="475" t="s">
        <v>11832</v>
      </c>
      <c r="F1040" s="475" t="s">
        <v>11833</v>
      </c>
      <c r="G1040" s="475" t="s">
        <v>11834</v>
      </c>
      <c r="H1040" s="475" t="s">
        <v>11835</v>
      </c>
      <c r="I1040" s="475" t="s">
        <v>11836</v>
      </c>
      <c r="J1040" s="475" t="s">
        <v>11837</v>
      </c>
      <c r="K1040" s="475" t="s">
        <v>11838</v>
      </c>
      <c r="L1040" s="475" t="s">
        <v>11839</v>
      </c>
      <c r="M1040" s="476" t="s">
        <v>11840</v>
      </c>
    </row>
    <row r="1041" spans="1:13">
      <c r="A1041" s="461" t="s">
        <v>10742</v>
      </c>
      <c r="B1041" s="461" t="s">
        <v>10821</v>
      </c>
      <c r="C1041" s="468" t="s">
        <v>10822</v>
      </c>
      <c r="D1041" s="468" t="s">
        <v>10823</v>
      </c>
      <c r="E1041" s="468" t="s">
        <v>10824</v>
      </c>
      <c r="F1041" s="461" t="s">
        <v>10825</v>
      </c>
      <c r="G1041" s="461" t="s">
        <v>10826</v>
      </c>
      <c r="H1041" s="461" t="s">
        <v>10827</v>
      </c>
      <c r="I1041" s="461" t="s">
        <v>10828</v>
      </c>
      <c r="J1041" s="461" t="s">
        <v>10829</v>
      </c>
      <c r="K1041" s="471" t="s">
        <v>10830</v>
      </c>
      <c r="L1041" s="461" t="s">
        <v>10831</v>
      </c>
      <c r="M1041" s="469" t="s">
        <v>10832</v>
      </c>
    </row>
    <row r="1042" spans="1:13">
      <c r="A1042" s="465" t="s">
        <v>2067</v>
      </c>
      <c r="B1042" s="475" t="s">
        <v>2069</v>
      </c>
      <c r="C1042" s="475" t="s">
        <v>2068</v>
      </c>
      <c r="D1042" s="475" t="s">
        <v>2070</v>
      </c>
      <c r="E1042" s="475" t="s">
        <v>6367</v>
      </c>
      <c r="F1042" s="475" t="s">
        <v>6368</v>
      </c>
      <c r="G1042" s="475" t="s">
        <v>2068</v>
      </c>
      <c r="H1042" s="475" t="s">
        <v>6369</v>
      </c>
      <c r="I1042" s="475" t="s">
        <v>6370</v>
      </c>
      <c r="J1042" s="475" t="s">
        <v>6371</v>
      </c>
      <c r="K1042" s="475" t="s">
        <v>7667</v>
      </c>
      <c r="L1042" s="465" t="s">
        <v>2068</v>
      </c>
      <c r="M1042" s="476" t="s">
        <v>8294</v>
      </c>
    </row>
    <row r="1043" spans="1:13">
      <c r="A1043" s="461" t="s">
        <v>2071</v>
      </c>
      <c r="B1043" s="473" t="s">
        <v>2073</v>
      </c>
      <c r="C1043" s="473" t="s">
        <v>2072</v>
      </c>
      <c r="D1043" s="473" t="s">
        <v>2074</v>
      </c>
      <c r="E1043" s="473" t="s">
        <v>6367</v>
      </c>
      <c r="F1043" s="473" t="s">
        <v>6372</v>
      </c>
      <c r="G1043" s="473" t="s">
        <v>2072</v>
      </c>
      <c r="H1043" s="473" t="s">
        <v>6373</v>
      </c>
      <c r="I1043" s="473" t="s">
        <v>6374</v>
      </c>
      <c r="J1043" s="473" t="s">
        <v>6375</v>
      </c>
      <c r="K1043" s="473" t="s">
        <v>7668</v>
      </c>
      <c r="L1043" s="461" t="s">
        <v>2072</v>
      </c>
      <c r="M1043" s="474" t="s">
        <v>8295</v>
      </c>
    </row>
    <row r="1044" spans="1:13">
      <c r="A1044" s="475" t="s">
        <v>876</v>
      </c>
      <c r="B1044" s="465" t="s">
        <v>878</v>
      </c>
      <c r="C1044" s="466" t="s">
        <v>877</v>
      </c>
      <c r="D1044" s="466" t="s">
        <v>879</v>
      </c>
      <c r="E1044" s="466" t="s">
        <v>4618</v>
      </c>
      <c r="F1044" s="465" t="s">
        <v>4619</v>
      </c>
      <c r="G1044" s="465" t="s">
        <v>4620</v>
      </c>
      <c r="H1044" s="465" t="s">
        <v>4621</v>
      </c>
      <c r="I1044" s="465" t="s">
        <v>4622</v>
      </c>
      <c r="J1044" s="465" t="s">
        <v>4623</v>
      </c>
      <c r="K1044" s="470" t="s">
        <v>12370</v>
      </c>
      <c r="L1044" s="465" t="s">
        <v>8617</v>
      </c>
      <c r="M1044" s="467" t="s">
        <v>7971</v>
      </c>
    </row>
    <row r="1045" spans="1:13">
      <c r="A1045" s="473" t="s">
        <v>886</v>
      </c>
      <c r="B1045" s="473" t="s">
        <v>878</v>
      </c>
      <c r="C1045" s="490" t="s">
        <v>888</v>
      </c>
      <c r="D1045" s="490" t="s">
        <v>879</v>
      </c>
      <c r="E1045" s="490" t="s">
        <v>4630</v>
      </c>
      <c r="F1045" s="461" t="s">
        <v>4631</v>
      </c>
      <c r="G1045" s="461" t="s">
        <v>4632</v>
      </c>
      <c r="H1045" s="461" t="s">
        <v>4633</v>
      </c>
      <c r="I1045" s="461" t="s">
        <v>4622</v>
      </c>
      <c r="J1045" s="461" t="s">
        <v>4634</v>
      </c>
      <c r="K1045" s="471" t="s">
        <v>12371</v>
      </c>
      <c r="L1045" s="461" t="s">
        <v>8617</v>
      </c>
      <c r="M1045" s="469" t="s">
        <v>7973</v>
      </c>
    </row>
    <row r="1046" spans="1:13">
      <c r="A1046" s="475" t="s">
        <v>884</v>
      </c>
      <c r="B1046" s="465" t="s">
        <v>878</v>
      </c>
      <c r="C1046" s="466" t="s">
        <v>877</v>
      </c>
      <c r="D1046" s="466" t="s">
        <v>879</v>
      </c>
      <c r="E1046" s="466" t="s">
        <v>4618</v>
      </c>
      <c r="F1046" s="465" t="s">
        <v>4619</v>
      </c>
      <c r="G1046" s="465" t="s">
        <v>4620</v>
      </c>
      <c r="H1046" s="465" t="s">
        <v>4621</v>
      </c>
      <c r="I1046" s="465" t="s">
        <v>4622</v>
      </c>
      <c r="J1046" s="465" t="s">
        <v>4623</v>
      </c>
      <c r="K1046" s="470" t="s">
        <v>12370</v>
      </c>
      <c r="L1046" s="465" t="s">
        <v>8617</v>
      </c>
      <c r="M1046" s="467" t="s">
        <v>7971</v>
      </c>
    </row>
    <row r="1047" spans="1:13">
      <c r="A1047" s="473" t="s">
        <v>880</v>
      </c>
      <c r="B1047" s="461" t="s">
        <v>882</v>
      </c>
      <c r="C1047" s="468" t="s">
        <v>881</v>
      </c>
      <c r="D1047" s="468" t="s">
        <v>883</v>
      </c>
      <c r="E1047" s="468" t="s">
        <v>4624</v>
      </c>
      <c r="F1047" s="461" t="s">
        <v>4625</v>
      </c>
      <c r="G1047" s="461" t="s">
        <v>4626</v>
      </c>
      <c r="H1047" s="461" t="s">
        <v>4627</v>
      </c>
      <c r="I1047" s="461" t="s">
        <v>4628</v>
      </c>
      <c r="J1047" s="461" t="s">
        <v>4629</v>
      </c>
      <c r="K1047" s="471" t="s">
        <v>12372</v>
      </c>
      <c r="L1047" s="461" t="s">
        <v>8618</v>
      </c>
      <c r="M1047" s="469" t="s">
        <v>7972</v>
      </c>
    </row>
    <row r="1048" spans="1:13">
      <c r="A1048" s="475" t="s">
        <v>885</v>
      </c>
      <c r="B1048" s="475" t="s">
        <v>882</v>
      </c>
      <c r="C1048" s="489" t="s">
        <v>881</v>
      </c>
      <c r="D1048" s="489" t="s">
        <v>883</v>
      </c>
      <c r="E1048" s="489" t="s">
        <v>4624</v>
      </c>
      <c r="F1048" s="465" t="s">
        <v>4625</v>
      </c>
      <c r="G1048" s="465" t="s">
        <v>4626</v>
      </c>
      <c r="H1048" s="465" t="s">
        <v>4627</v>
      </c>
      <c r="I1048" s="465" t="s">
        <v>4628</v>
      </c>
      <c r="J1048" s="465" t="s">
        <v>4629</v>
      </c>
      <c r="K1048" s="470" t="s">
        <v>12372</v>
      </c>
      <c r="L1048" s="465" t="s">
        <v>8618</v>
      </c>
      <c r="M1048" s="467" t="s">
        <v>7972</v>
      </c>
    </row>
    <row r="1049" spans="1:13">
      <c r="A1049" s="472" t="s">
        <v>9134</v>
      </c>
      <c r="B1049" s="461" t="s">
        <v>9135</v>
      </c>
      <c r="C1049" s="468" t="s">
        <v>9379</v>
      </c>
      <c r="D1049" s="468" t="s">
        <v>9380</v>
      </c>
      <c r="E1049" s="468" t="s">
        <v>9381</v>
      </c>
      <c r="F1049" s="461" t="s">
        <v>9382</v>
      </c>
      <c r="G1049" s="461" t="s">
        <v>9383</v>
      </c>
      <c r="H1049" s="461" t="s">
        <v>9384</v>
      </c>
      <c r="I1049" s="461" t="s">
        <v>9385</v>
      </c>
      <c r="J1049" s="461" t="s">
        <v>9386</v>
      </c>
      <c r="K1049" s="471" t="s">
        <v>9388</v>
      </c>
      <c r="L1049" s="461" t="s">
        <v>9389</v>
      </c>
      <c r="M1049" s="469" t="s">
        <v>9387</v>
      </c>
    </row>
    <row r="1050" spans="1:13">
      <c r="A1050" s="475" t="s">
        <v>915</v>
      </c>
      <c r="B1050" s="465" t="s">
        <v>918</v>
      </c>
      <c r="C1050" s="466" t="s">
        <v>917</v>
      </c>
      <c r="D1050" s="466" t="s">
        <v>919</v>
      </c>
      <c r="E1050" s="466" t="s">
        <v>4672</v>
      </c>
      <c r="F1050" s="465" t="s">
        <v>4673</v>
      </c>
      <c r="G1050" s="465" t="s">
        <v>4674</v>
      </c>
      <c r="H1050" s="465" t="s">
        <v>4675</v>
      </c>
      <c r="I1050" s="465" t="s">
        <v>4676</v>
      </c>
      <c r="J1050" s="465" t="s">
        <v>4677</v>
      </c>
      <c r="K1050" s="470" t="s">
        <v>12373</v>
      </c>
      <c r="L1050" s="465" t="s">
        <v>8625</v>
      </c>
      <c r="M1050" s="467" t="s">
        <v>7980</v>
      </c>
    </row>
    <row r="1051" spans="1:13">
      <c r="A1051" s="472" t="s">
        <v>2242</v>
      </c>
      <c r="B1051" s="461" t="s">
        <v>2521</v>
      </c>
      <c r="C1051" s="468" t="s">
        <v>2614</v>
      </c>
      <c r="D1051" s="468" t="s">
        <v>2687</v>
      </c>
      <c r="E1051" s="468" t="s">
        <v>4095</v>
      </c>
      <c r="F1051" s="461" t="s">
        <v>4096</v>
      </c>
      <c r="G1051" s="461" t="s">
        <v>4097</v>
      </c>
      <c r="H1051" s="461" t="s">
        <v>4098</v>
      </c>
      <c r="I1051" s="461" t="s">
        <v>4099</v>
      </c>
      <c r="J1051" s="461" t="s">
        <v>4100</v>
      </c>
      <c r="K1051" s="461" t="s">
        <v>7322</v>
      </c>
      <c r="L1051" s="461" t="s">
        <v>8539</v>
      </c>
      <c r="M1051" s="469" t="s">
        <v>7890</v>
      </c>
    </row>
    <row r="1052" spans="1:13">
      <c r="A1052" s="472" t="s">
        <v>4101</v>
      </c>
      <c r="B1052" s="465" t="s">
        <v>2521</v>
      </c>
      <c r="C1052" s="466" t="s">
        <v>2614</v>
      </c>
      <c r="D1052" s="466" t="s">
        <v>2687</v>
      </c>
      <c r="E1052" s="466" t="s">
        <v>4095</v>
      </c>
      <c r="F1052" s="465" t="s">
        <v>4096</v>
      </c>
      <c r="G1052" s="465" t="s">
        <v>4097</v>
      </c>
      <c r="H1052" s="465" t="s">
        <v>4098</v>
      </c>
      <c r="I1052" s="465" t="s">
        <v>4102</v>
      </c>
      <c r="J1052" s="465" t="s">
        <v>4100</v>
      </c>
      <c r="K1052" s="465" t="s">
        <v>7322</v>
      </c>
      <c r="L1052" s="465" t="s">
        <v>8539</v>
      </c>
      <c r="M1052" s="467" t="s">
        <v>7890</v>
      </c>
    </row>
    <row r="1053" spans="1:13">
      <c r="A1053" s="472" t="s">
        <v>2243</v>
      </c>
      <c r="B1053" s="461" t="s">
        <v>2522</v>
      </c>
      <c r="C1053" s="468" t="s">
        <v>2615</v>
      </c>
      <c r="D1053" s="468" t="s">
        <v>2688</v>
      </c>
      <c r="E1053" s="468" t="s">
        <v>4103</v>
      </c>
      <c r="F1053" s="461" t="s">
        <v>4104</v>
      </c>
      <c r="G1053" s="461" t="s">
        <v>4105</v>
      </c>
      <c r="H1053" s="461" t="s">
        <v>4106</v>
      </c>
      <c r="I1053" s="461" t="s">
        <v>4107</v>
      </c>
      <c r="J1053" s="461" t="s">
        <v>4108</v>
      </c>
      <c r="K1053" s="461" t="s">
        <v>7323</v>
      </c>
      <c r="L1053" s="461" t="s">
        <v>8540</v>
      </c>
      <c r="M1053" s="469" t="s">
        <v>7890</v>
      </c>
    </row>
    <row r="1054" spans="1:13">
      <c r="A1054" s="472" t="s">
        <v>4109</v>
      </c>
      <c r="B1054" s="465" t="s">
        <v>2522</v>
      </c>
      <c r="C1054" s="466" t="s">
        <v>2615</v>
      </c>
      <c r="D1054" s="466" t="s">
        <v>2688</v>
      </c>
      <c r="E1054" s="466" t="s">
        <v>4103</v>
      </c>
      <c r="F1054" s="465" t="s">
        <v>4104</v>
      </c>
      <c r="G1054" s="465" t="s">
        <v>4105</v>
      </c>
      <c r="H1054" s="465" t="s">
        <v>4106</v>
      </c>
      <c r="I1054" s="465" t="s">
        <v>4107</v>
      </c>
      <c r="J1054" s="465" t="s">
        <v>4108</v>
      </c>
      <c r="K1054" s="465" t="s">
        <v>7323</v>
      </c>
      <c r="L1054" s="465" t="s">
        <v>8540</v>
      </c>
      <c r="M1054" s="467" t="s">
        <v>7890</v>
      </c>
    </row>
    <row r="1055" spans="1:13">
      <c r="A1055" s="461" t="s">
        <v>10741</v>
      </c>
      <c r="B1055" s="461" t="s">
        <v>10809</v>
      </c>
      <c r="C1055" s="468" t="s">
        <v>10810</v>
      </c>
      <c r="D1055" s="468" t="s">
        <v>10811</v>
      </c>
      <c r="E1055" s="468" t="s">
        <v>10812</v>
      </c>
      <c r="F1055" s="461" t="s">
        <v>10813</v>
      </c>
      <c r="G1055" s="461" t="s">
        <v>10814</v>
      </c>
      <c r="H1055" s="461" t="s">
        <v>10815</v>
      </c>
      <c r="I1055" s="461" t="s">
        <v>10816</v>
      </c>
      <c r="J1055" s="461" t="s">
        <v>10817</v>
      </c>
      <c r="K1055" s="471" t="s">
        <v>10818</v>
      </c>
      <c r="L1055" s="461" t="s">
        <v>10819</v>
      </c>
      <c r="M1055" s="469" t="s">
        <v>10820</v>
      </c>
    </row>
    <row r="1056" spans="1:13">
      <c r="A1056" s="465" t="s">
        <v>581</v>
      </c>
      <c r="B1056" s="465" t="s">
        <v>583</v>
      </c>
      <c r="C1056" s="466" t="s">
        <v>582</v>
      </c>
      <c r="D1056" s="466" t="s">
        <v>584</v>
      </c>
      <c r="E1056" s="466" t="s">
        <v>3994</v>
      </c>
      <c r="F1056" s="465" t="s">
        <v>3995</v>
      </c>
      <c r="G1056" s="465" t="s">
        <v>3996</v>
      </c>
      <c r="H1056" s="465" t="s">
        <v>3997</v>
      </c>
      <c r="I1056" s="465" t="s">
        <v>3998</v>
      </c>
      <c r="J1056" s="465" t="s">
        <v>3999</v>
      </c>
      <c r="K1056" s="465" t="s">
        <v>7308</v>
      </c>
      <c r="L1056" s="465" t="s">
        <v>8524</v>
      </c>
      <c r="M1056" s="467" t="s">
        <v>7873</v>
      </c>
    </row>
    <row r="1057" spans="1:13">
      <c r="A1057" s="472" t="s">
        <v>727</v>
      </c>
      <c r="B1057" s="461" t="s">
        <v>730</v>
      </c>
      <c r="C1057" s="468" t="s">
        <v>729</v>
      </c>
      <c r="D1057" s="468" t="s">
        <v>731</v>
      </c>
      <c r="E1057" s="468" t="s">
        <v>4325</v>
      </c>
      <c r="F1057" s="461" t="s">
        <v>4326</v>
      </c>
      <c r="G1057" s="461" t="s">
        <v>4327</v>
      </c>
      <c r="H1057" s="461" t="s">
        <v>4328</v>
      </c>
      <c r="I1057" s="461" t="s">
        <v>4329</v>
      </c>
      <c r="J1057" s="461" t="s">
        <v>4330</v>
      </c>
      <c r="K1057" s="461" t="s">
        <v>7352</v>
      </c>
      <c r="L1057" s="461" t="s">
        <v>8568</v>
      </c>
      <c r="M1057" s="469" t="s">
        <v>7922</v>
      </c>
    </row>
    <row r="1058" spans="1:13">
      <c r="A1058" s="472" t="s">
        <v>2247</v>
      </c>
      <c r="B1058" s="465" t="s">
        <v>2527</v>
      </c>
      <c r="C1058" s="466" t="s">
        <v>2617</v>
      </c>
      <c r="D1058" s="466" t="s">
        <v>2691</v>
      </c>
      <c r="E1058" s="466" t="s">
        <v>4331</v>
      </c>
      <c r="F1058" s="465" t="s">
        <v>4332</v>
      </c>
      <c r="G1058" s="465" t="s">
        <v>4333</v>
      </c>
      <c r="H1058" s="465" t="s">
        <v>4334</v>
      </c>
      <c r="I1058" s="465" t="s">
        <v>4335</v>
      </c>
      <c r="J1058" s="465" t="s">
        <v>4336</v>
      </c>
      <c r="K1058" s="465" t="s">
        <v>7353</v>
      </c>
      <c r="L1058" s="465" t="s">
        <v>8569</v>
      </c>
      <c r="M1058" s="467" t="s">
        <v>7923</v>
      </c>
    </row>
    <row r="1059" spans="1:13">
      <c r="A1059" s="461" t="s">
        <v>785</v>
      </c>
      <c r="B1059" s="461" t="s">
        <v>2529</v>
      </c>
      <c r="C1059" s="468" t="s">
        <v>787</v>
      </c>
      <c r="D1059" s="468" t="s">
        <v>788</v>
      </c>
      <c r="E1059" s="468" t="s">
        <v>4409</v>
      </c>
      <c r="F1059" s="461" t="s">
        <v>4410</v>
      </c>
      <c r="G1059" s="461" t="s">
        <v>4411</v>
      </c>
      <c r="H1059" s="461" t="s">
        <v>4412</v>
      </c>
      <c r="I1059" s="461" t="s">
        <v>4413</v>
      </c>
      <c r="J1059" s="461" t="s">
        <v>4414</v>
      </c>
      <c r="K1059" s="461" t="s">
        <v>7366</v>
      </c>
      <c r="L1059" s="461" t="s">
        <v>8582</v>
      </c>
      <c r="M1059" s="469" t="s">
        <v>7936</v>
      </c>
    </row>
    <row r="1060" spans="1:13">
      <c r="A1060" s="465" t="s">
        <v>2258</v>
      </c>
      <c r="B1060" s="465" t="s">
        <v>772</v>
      </c>
      <c r="C1060" s="466" t="s">
        <v>706</v>
      </c>
      <c r="D1060" s="466" t="s">
        <v>708</v>
      </c>
      <c r="E1060" s="466" t="s">
        <v>4379</v>
      </c>
      <c r="F1060" s="465" t="s">
        <v>4380</v>
      </c>
      <c r="G1060" s="465" t="s">
        <v>4420</v>
      </c>
      <c r="H1060" s="465" t="s">
        <v>4382</v>
      </c>
      <c r="I1060" s="465" t="s">
        <v>4383</v>
      </c>
      <c r="J1060" s="465" t="s">
        <v>4421</v>
      </c>
      <c r="K1060" s="465" t="s">
        <v>7361</v>
      </c>
      <c r="L1060" s="465" t="s">
        <v>8577</v>
      </c>
      <c r="M1060" s="467" t="s">
        <v>7931</v>
      </c>
    </row>
    <row r="1061" spans="1:13">
      <c r="A1061" s="461" t="s">
        <v>2256</v>
      </c>
      <c r="B1061" s="461" t="s">
        <v>2530</v>
      </c>
      <c r="C1061" s="468" t="s">
        <v>2619</v>
      </c>
      <c r="D1061" s="468" t="s">
        <v>2694</v>
      </c>
      <c r="E1061" s="468" t="s">
        <v>4415</v>
      </c>
      <c r="F1061" s="461" t="s">
        <v>4416</v>
      </c>
      <c r="G1061" s="461" t="s">
        <v>4417</v>
      </c>
      <c r="H1061" s="461" t="s">
        <v>4412</v>
      </c>
      <c r="I1061" s="461" t="s">
        <v>4418</v>
      </c>
      <c r="J1061" s="461" t="s">
        <v>4419</v>
      </c>
      <c r="K1061" s="461" t="s">
        <v>7367</v>
      </c>
      <c r="L1061" s="461" t="s">
        <v>8583</v>
      </c>
      <c r="M1061" s="469" t="s">
        <v>7937</v>
      </c>
    </row>
    <row r="1062" spans="1:13">
      <c r="A1062" s="465" t="s">
        <v>509</v>
      </c>
      <c r="B1062" s="465" t="s">
        <v>512</v>
      </c>
      <c r="C1062" s="466" t="s">
        <v>511</v>
      </c>
      <c r="D1062" s="466" t="s">
        <v>513</v>
      </c>
      <c r="E1062" s="466" t="s">
        <v>3894</v>
      </c>
      <c r="F1062" s="465" t="s">
        <v>3895</v>
      </c>
      <c r="G1062" s="465" t="s">
        <v>3896</v>
      </c>
      <c r="H1062" s="465" t="s">
        <v>3897</v>
      </c>
      <c r="I1062" s="465" t="s">
        <v>3898</v>
      </c>
      <c r="J1062" s="465" t="s">
        <v>3899</v>
      </c>
      <c r="K1062" s="465" t="s">
        <v>7292</v>
      </c>
      <c r="L1062" s="465" t="s">
        <v>8508</v>
      </c>
      <c r="M1062" s="467" t="s">
        <v>7857</v>
      </c>
    </row>
    <row r="1063" spans="1:13">
      <c r="A1063" s="461" t="s">
        <v>518</v>
      </c>
      <c r="B1063" s="461" t="s">
        <v>521</v>
      </c>
      <c r="C1063" s="468" t="s">
        <v>520</v>
      </c>
      <c r="D1063" s="468" t="s">
        <v>522</v>
      </c>
      <c r="E1063" s="468" t="s">
        <v>3906</v>
      </c>
      <c r="F1063" s="461" t="s">
        <v>3907</v>
      </c>
      <c r="G1063" s="461" t="s">
        <v>3908</v>
      </c>
      <c r="H1063" s="461" t="s">
        <v>3909</v>
      </c>
      <c r="I1063" s="461" t="s">
        <v>3910</v>
      </c>
      <c r="J1063" s="461" t="s">
        <v>3911</v>
      </c>
      <c r="K1063" s="461" t="s">
        <v>7294</v>
      </c>
      <c r="L1063" s="461" t="s">
        <v>8510</v>
      </c>
      <c r="M1063" s="469" t="s">
        <v>7859</v>
      </c>
    </row>
    <row r="1064" spans="1:13">
      <c r="A1064" s="465" t="s">
        <v>523</v>
      </c>
      <c r="B1064" s="465" t="s">
        <v>526</v>
      </c>
      <c r="C1064" s="466" t="s">
        <v>525</v>
      </c>
      <c r="D1064" s="466" t="s">
        <v>527</v>
      </c>
      <c r="E1064" s="466" t="s">
        <v>3912</v>
      </c>
      <c r="F1064" s="465" t="s">
        <v>3913</v>
      </c>
      <c r="G1064" s="465" t="s">
        <v>3914</v>
      </c>
      <c r="H1064" s="465" t="s">
        <v>3915</v>
      </c>
      <c r="I1064" s="465" t="s">
        <v>3916</v>
      </c>
      <c r="J1064" s="465" t="s">
        <v>3917</v>
      </c>
      <c r="K1064" s="465" t="s">
        <v>7295</v>
      </c>
      <c r="L1064" s="465" t="s">
        <v>8511</v>
      </c>
      <c r="M1064" s="467" t="s">
        <v>7860</v>
      </c>
    </row>
    <row r="1065" spans="1:13">
      <c r="A1065" s="461" t="s">
        <v>553</v>
      </c>
      <c r="B1065" s="461" t="s">
        <v>556</v>
      </c>
      <c r="C1065" s="468" t="s">
        <v>555</v>
      </c>
      <c r="D1065" s="468" t="s">
        <v>557</v>
      </c>
      <c r="E1065" s="468" t="s">
        <v>3950</v>
      </c>
      <c r="F1065" s="461" t="s">
        <v>3951</v>
      </c>
      <c r="G1065" s="461" t="s">
        <v>3952</v>
      </c>
      <c r="H1065" s="461" t="s">
        <v>3953</v>
      </c>
      <c r="I1065" s="461" t="s">
        <v>3954</v>
      </c>
      <c r="J1065" s="461" t="s">
        <v>3955</v>
      </c>
      <c r="K1065" s="461" t="s">
        <v>7301</v>
      </c>
      <c r="L1065" s="461" t="s">
        <v>8517</v>
      </c>
      <c r="M1065" s="469" t="s">
        <v>7866</v>
      </c>
    </row>
    <row r="1066" spans="1:13">
      <c r="A1066" s="475" t="s">
        <v>11199</v>
      </c>
      <c r="B1066" s="475" t="s">
        <v>2518</v>
      </c>
      <c r="C1066" s="475" t="s">
        <v>2611</v>
      </c>
      <c r="D1066" s="475" t="s">
        <v>2684</v>
      </c>
      <c r="E1066" s="475" t="s">
        <v>4046</v>
      </c>
      <c r="F1066" s="475" t="s">
        <v>4047</v>
      </c>
      <c r="G1066" s="475" t="s">
        <v>4048</v>
      </c>
      <c r="H1066" s="475" t="s">
        <v>4049</v>
      </c>
      <c r="I1066" s="475" t="s">
        <v>4050</v>
      </c>
      <c r="J1066" s="475" t="s">
        <v>4051</v>
      </c>
      <c r="K1066" s="475" t="s">
        <v>7316</v>
      </c>
      <c r="L1066" s="475" t="s">
        <v>8533</v>
      </c>
      <c r="M1066" s="476" t="s">
        <v>7883</v>
      </c>
    </row>
    <row r="1067" spans="1:13">
      <c r="A1067" s="461" t="s">
        <v>558</v>
      </c>
      <c r="B1067" s="461" t="s">
        <v>561</v>
      </c>
      <c r="C1067" s="468" t="s">
        <v>560</v>
      </c>
      <c r="D1067" s="468" t="s">
        <v>562</v>
      </c>
      <c r="E1067" s="468" t="s">
        <v>3956</v>
      </c>
      <c r="F1067" s="461" t="s">
        <v>3957</v>
      </c>
      <c r="G1067" s="461" t="s">
        <v>3958</v>
      </c>
      <c r="H1067" s="461" t="s">
        <v>3959</v>
      </c>
      <c r="I1067" s="461" t="s">
        <v>3960</v>
      </c>
      <c r="J1067" s="461" t="s">
        <v>3961</v>
      </c>
      <c r="K1067" s="461" t="s">
        <v>7302</v>
      </c>
      <c r="L1067" s="461" t="s">
        <v>8518</v>
      </c>
      <c r="M1067" s="469" t="s">
        <v>7867</v>
      </c>
    </row>
    <row r="1068" spans="1:13">
      <c r="A1068" s="465" t="s">
        <v>563</v>
      </c>
      <c r="B1068" s="465" t="s">
        <v>2513</v>
      </c>
      <c r="C1068" s="466" t="s">
        <v>565</v>
      </c>
      <c r="D1068" s="466" t="s">
        <v>566</v>
      </c>
      <c r="E1068" s="466" t="s">
        <v>3962</v>
      </c>
      <c r="F1068" s="465" t="s">
        <v>3963</v>
      </c>
      <c r="G1068" s="465" t="s">
        <v>3964</v>
      </c>
      <c r="H1068" s="465" t="s">
        <v>3965</v>
      </c>
      <c r="I1068" s="465" t="s">
        <v>3966</v>
      </c>
      <c r="J1068" s="465" t="s">
        <v>3967</v>
      </c>
      <c r="K1068" s="465" t="s">
        <v>7303</v>
      </c>
      <c r="L1068" s="465" t="s">
        <v>8519</v>
      </c>
      <c r="M1068" s="467" t="s">
        <v>7868</v>
      </c>
    </row>
    <row r="1069" spans="1:13">
      <c r="A1069" s="461" t="s">
        <v>532</v>
      </c>
      <c r="B1069" s="461" t="s">
        <v>535</v>
      </c>
      <c r="C1069" s="468" t="s">
        <v>534</v>
      </c>
      <c r="D1069" s="468" t="s">
        <v>536</v>
      </c>
      <c r="E1069" s="468" t="s">
        <v>3924</v>
      </c>
      <c r="F1069" s="461" t="s">
        <v>3925</v>
      </c>
      <c r="G1069" s="461" t="s">
        <v>3926</v>
      </c>
      <c r="H1069" s="461" t="s">
        <v>3927</v>
      </c>
      <c r="I1069" s="461" t="s">
        <v>3928</v>
      </c>
      <c r="J1069" s="461" t="s">
        <v>3929</v>
      </c>
      <c r="K1069" s="461" t="s">
        <v>7297</v>
      </c>
      <c r="L1069" s="461" t="s">
        <v>8513</v>
      </c>
      <c r="M1069" s="469" t="s">
        <v>7862</v>
      </c>
    </row>
    <row r="1070" spans="1:13">
      <c r="A1070" s="465" t="s">
        <v>542</v>
      </c>
      <c r="B1070" s="465" t="s">
        <v>545</v>
      </c>
      <c r="C1070" s="466" t="s">
        <v>544</v>
      </c>
      <c r="D1070" s="466" t="s">
        <v>546</v>
      </c>
      <c r="E1070" s="466" t="s">
        <v>3936</v>
      </c>
      <c r="F1070" s="465" t="s">
        <v>3937</v>
      </c>
      <c r="G1070" s="465" t="s">
        <v>3938</v>
      </c>
      <c r="H1070" s="465" t="s">
        <v>3939</v>
      </c>
      <c r="I1070" s="465" t="s">
        <v>3940</v>
      </c>
      <c r="J1070" s="465" t="s">
        <v>3941</v>
      </c>
      <c r="K1070" s="465" t="s">
        <v>7299</v>
      </c>
      <c r="L1070" s="465" t="s">
        <v>8515</v>
      </c>
      <c r="M1070" s="467" t="s">
        <v>7864</v>
      </c>
    </row>
    <row r="1071" spans="1:13">
      <c r="A1071" s="473" t="s">
        <v>12009</v>
      </c>
      <c r="B1071" s="473" t="s">
        <v>12105</v>
      </c>
      <c r="C1071" s="473" t="s">
        <v>12106</v>
      </c>
      <c r="D1071" s="473" t="s">
        <v>12107</v>
      </c>
      <c r="E1071" s="473" t="s">
        <v>12108</v>
      </c>
      <c r="F1071" s="473" t="s">
        <v>12109</v>
      </c>
      <c r="G1071" s="473" t="s">
        <v>12110</v>
      </c>
      <c r="H1071" s="473" t="s">
        <v>12111</v>
      </c>
      <c r="I1071" s="473" t="s">
        <v>12112</v>
      </c>
      <c r="J1071" s="473" t="s">
        <v>12113</v>
      </c>
      <c r="K1071" s="473" t="s">
        <v>12114</v>
      </c>
      <c r="L1071" s="473" t="s">
        <v>12115</v>
      </c>
      <c r="M1071" s="474" t="s">
        <v>12116</v>
      </c>
    </row>
    <row r="1072" spans="1:13">
      <c r="A1072" s="465" t="s">
        <v>2232</v>
      </c>
      <c r="B1072" s="465" t="s">
        <v>2514</v>
      </c>
      <c r="C1072" s="466" t="s">
        <v>2608</v>
      </c>
      <c r="D1072" s="466" t="s">
        <v>2681</v>
      </c>
      <c r="E1072" s="466" t="s">
        <v>3968</v>
      </c>
      <c r="F1072" s="465" t="s">
        <v>3969</v>
      </c>
      <c r="G1072" s="465" t="s">
        <v>3970</v>
      </c>
      <c r="H1072" s="465" t="s">
        <v>3971</v>
      </c>
      <c r="I1072" s="465" t="s">
        <v>3972</v>
      </c>
      <c r="J1072" s="465" t="s">
        <v>3973</v>
      </c>
      <c r="K1072" s="465" t="s">
        <v>7304</v>
      </c>
      <c r="L1072" s="465" t="s">
        <v>8520</v>
      </c>
      <c r="M1072" s="467" t="s">
        <v>7869</v>
      </c>
    </row>
    <row r="1073" spans="1:13">
      <c r="A1073" s="461" t="s">
        <v>540</v>
      </c>
      <c r="B1073" s="461" t="s">
        <v>538</v>
      </c>
      <c r="C1073" s="468" t="s">
        <v>537</v>
      </c>
      <c r="D1073" s="468" t="s">
        <v>539</v>
      </c>
      <c r="E1073" s="468" t="s">
        <v>3930</v>
      </c>
      <c r="F1073" s="461" t="s">
        <v>3931</v>
      </c>
      <c r="G1073" s="461" t="s">
        <v>3932</v>
      </c>
      <c r="H1073" s="461" t="s">
        <v>3933</v>
      </c>
      <c r="I1073" s="461" t="s">
        <v>3934</v>
      </c>
      <c r="J1073" s="461" t="s">
        <v>3935</v>
      </c>
      <c r="K1073" s="461" t="s">
        <v>7298</v>
      </c>
      <c r="L1073" s="461" t="s">
        <v>8514</v>
      </c>
      <c r="M1073" s="469" t="s">
        <v>7863</v>
      </c>
    </row>
    <row r="1074" spans="1:13">
      <c r="A1074" s="465" t="s">
        <v>528</v>
      </c>
      <c r="B1074" s="465" t="s">
        <v>530</v>
      </c>
      <c r="C1074" s="466" t="s">
        <v>529</v>
      </c>
      <c r="D1074" s="466" t="s">
        <v>531</v>
      </c>
      <c r="E1074" s="466" t="s">
        <v>3918</v>
      </c>
      <c r="F1074" s="465" t="s">
        <v>3919</v>
      </c>
      <c r="G1074" s="465" t="s">
        <v>3920</v>
      </c>
      <c r="H1074" s="465" t="s">
        <v>3921</v>
      </c>
      <c r="I1074" s="465" t="s">
        <v>3922</v>
      </c>
      <c r="J1074" s="465" t="s">
        <v>3923</v>
      </c>
      <c r="K1074" s="465" t="s">
        <v>7296</v>
      </c>
      <c r="L1074" s="465" t="s">
        <v>8512</v>
      </c>
      <c r="M1074" s="467" t="s">
        <v>7861</v>
      </c>
    </row>
    <row r="1075" spans="1:13">
      <c r="A1075" s="488" t="s">
        <v>547</v>
      </c>
      <c r="B1075" s="461" t="s">
        <v>549</v>
      </c>
      <c r="C1075" s="468" t="s">
        <v>548</v>
      </c>
      <c r="D1075" s="468" t="s">
        <v>550</v>
      </c>
      <c r="E1075" s="468" t="s">
        <v>3942</v>
      </c>
      <c r="F1075" s="461" t="s">
        <v>3943</v>
      </c>
      <c r="G1075" s="461" t="s">
        <v>3944</v>
      </c>
      <c r="H1075" s="461" t="s">
        <v>3945</v>
      </c>
      <c r="I1075" s="461" t="s">
        <v>3946</v>
      </c>
      <c r="J1075" s="461" t="s">
        <v>3947</v>
      </c>
      <c r="K1075" s="471" t="s">
        <v>7300</v>
      </c>
      <c r="L1075" s="461" t="s">
        <v>8516</v>
      </c>
      <c r="M1075" s="469" t="s">
        <v>7865</v>
      </c>
    </row>
    <row r="1076" spans="1:13">
      <c r="A1076" s="465" t="s">
        <v>551</v>
      </c>
      <c r="B1076" s="465" t="s">
        <v>516</v>
      </c>
      <c r="C1076" s="466" t="s">
        <v>552</v>
      </c>
      <c r="D1076" s="466" t="s">
        <v>517</v>
      </c>
      <c r="E1076" s="466" t="s">
        <v>3900</v>
      </c>
      <c r="F1076" s="465" t="s">
        <v>3901</v>
      </c>
      <c r="G1076" s="465" t="s">
        <v>3902</v>
      </c>
      <c r="H1076" s="465" t="s">
        <v>3903</v>
      </c>
      <c r="I1076" s="465" t="s">
        <v>3948</v>
      </c>
      <c r="J1076" s="465" t="s">
        <v>3949</v>
      </c>
      <c r="K1076" s="465" t="s">
        <v>7293</v>
      </c>
      <c r="L1076" s="465" t="s">
        <v>8509</v>
      </c>
      <c r="M1076" s="467" t="s">
        <v>7858</v>
      </c>
    </row>
    <row r="1077" spans="1:13">
      <c r="A1077" s="461" t="s">
        <v>2231</v>
      </c>
      <c r="B1077" s="461" t="s">
        <v>516</v>
      </c>
      <c r="C1077" s="468" t="s">
        <v>2607</v>
      </c>
      <c r="D1077" s="468" t="s">
        <v>517</v>
      </c>
      <c r="E1077" s="468" t="s">
        <v>3900</v>
      </c>
      <c r="F1077" s="461" t="s">
        <v>3901</v>
      </c>
      <c r="G1077" s="461" t="s">
        <v>3902</v>
      </c>
      <c r="H1077" s="461" t="s">
        <v>3903</v>
      </c>
      <c r="I1077" s="461" t="s">
        <v>3904</v>
      </c>
      <c r="J1077" s="461" t="s">
        <v>3905</v>
      </c>
      <c r="K1077" s="461" t="s">
        <v>7293</v>
      </c>
      <c r="L1077" s="461" t="s">
        <v>8509</v>
      </c>
      <c r="M1077" s="469" t="s">
        <v>7858</v>
      </c>
    </row>
    <row r="1078" spans="1:13">
      <c r="A1078" s="465" t="s">
        <v>567</v>
      </c>
      <c r="B1078" s="465" t="s">
        <v>569</v>
      </c>
      <c r="C1078" s="466" t="s">
        <v>568</v>
      </c>
      <c r="D1078" s="466" t="s">
        <v>570</v>
      </c>
      <c r="E1078" s="466" t="s">
        <v>3974</v>
      </c>
      <c r="F1078" s="465" t="s">
        <v>3975</v>
      </c>
      <c r="G1078" s="465" t="s">
        <v>3976</v>
      </c>
      <c r="H1078" s="465" t="s">
        <v>3977</v>
      </c>
      <c r="I1078" s="465" t="s">
        <v>3978</v>
      </c>
      <c r="J1078" s="465" t="s">
        <v>3979</v>
      </c>
      <c r="K1078" s="465" t="s">
        <v>7305</v>
      </c>
      <c r="L1078" s="465" t="s">
        <v>8521</v>
      </c>
      <c r="M1078" s="467" t="s">
        <v>7870</v>
      </c>
    </row>
    <row r="1079" spans="1:13">
      <c r="A1079" s="461" t="s">
        <v>3980</v>
      </c>
      <c r="B1079" s="461" t="s">
        <v>569</v>
      </c>
      <c r="C1079" s="468" t="s">
        <v>568</v>
      </c>
      <c r="D1079" s="468" t="s">
        <v>570</v>
      </c>
      <c r="E1079" s="468" t="s">
        <v>3974</v>
      </c>
      <c r="F1079" s="461" t="s">
        <v>3975</v>
      </c>
      <c r="G1079" s="461" t="s">
        <v>3976</v>
      </c>
      <c r="H1079" s="461" t="s">
        <v>3977</v>
      </c>
      <c r="I1079" s="461" t="s">
        <v>3978</v>
      </c>
      <c r="J1079" s="461" t="s">
        <v>3979</v>
      </c>
      <c r="K1079" s="461" t="s">
        <v>7305</v>
      </c>
      <c r="L1079" s="461" t="s">
        <v>8521</v>
      </c>
      <c r="M1079" s="469" t="s">
        <v>7870</v>
      </c>
    </row>
    <row r="1080" spans="1:13">
      <c r="A1080" s="465" t="s">
        <v>1531</v>
      </c>
      <c r="B1080" s="465" t="s">
        <v>1532</v>
      </c>
      <c r="C1080" s="466" t="s">
        <v>1532</v>
      </c>
      <c r="D1080" s="466" t="s">
        <v>1532</v>
      </c>
      <c r="E1080" s="466" t="s">
        <v>5203</v>
      </c>
      <c r="F1080" s="465" t="s">
        <v>5204</v>
      </c>
      <c r="G1080" s="465" t="s">
        <v>1532</v>
      </c>
      <c r="H1080" s="465" t="s">
        <v>5205</v>
      </c>
      <c r="I1080" s="465" t="s">
        <v>5206</v>
      </c>
      <c r="J1080" s="465" t="s">
        <v>5207</v>
      </c>
      <c r="K1080" s="465" t="s">
        <v>7436</v>
      </c>
      <c r="L1080" s="465" t="s">
        <v>8697</v>
      </c>
      <c r="M1080" s="467" t="s">
        <v>8058</v>
      </c>
    </row>
    <row r="1081" spans="1:13">
      <c r="A1081" s="461" t="s">
        <v>1533</v>
      </c>
      <c r="B1081" s="461" t="s">
        <v>1534</v>
      </c>
      <c r="C1081" s="468" t="s">
        <v>1534</v>
      </c>
      <c r="D1081" s="468" t="s">
        <v>1534</v>
      </c>
      <c r="E1081" s="468" t="s">
        <v>5208</v>
      </c>
      <c r="F1081" s="461" t="s">
        <v>5209</v>
      </c>
      <c r="G1081" s="461" t="s">
        <v>1534</v>
      </c>
      <c r="H1081" s="461" t="s">
        <v>5210</v>
      </c>
      <c r="I1081" s="461" t="s">
        <v>5211</v>
      </c>
      <c r="J1081" s="461" t="s">
        <v>5212</v>
      </c>
      <c r="K1081" s="461" t="s">
        <v>7437</v>
      </c>
      <c r="L1081" s="461" t="s">
        <v>8698</v>
      </c>
      <c r="M1081" s="469" t="s">
        <v>8059</v>
      </c>
    </row>
    <row r="1082" spans="1:13">
      <c r="A1082" s="465" t="s">
        <v>1535</v>
      </c>
      <c r="B1082" s="465" t="s">
        <v>1536</v>
      </c>
      <c r="C1082" s="466" t="s">
        <v>1536</v>
      </c>
      <c r="D1082" s="466" t="s">
        <v>1536</v>
      </c>
      <c r="E1082" s="466" t="s">
        <v>5213</v>
      </c>
      <c r="F1082" s="465" t="s">
        <v>5214</v>
      </c>
      <c r="G1082" s="465" t="s">
        <v>1536</v>
      </c>
      <c r="H1082" s="465" t="s">
        <v>5215</v>
      </c>
      <c r="I1082" s="465" t="s">
        <v>5216</v>
      </c>
      <c r="J1082" s="465" t="s">
        <v>5217</v>
      </c>
      <c r="K1082" s="465" t="s">
        <v>7438</v>
      </c>
      <c r="L1082" s="465" t="s">
        <v>8699</v>
      </c>
      <c r="M1082" s="467" t="s">
        <v>8060</v>
      </c>
    </row>
    <row r="1083" spans="1:13">
      <c r="A1083" s="461" t="s">
        <v>1537</v>
      </c>
      <c r="B1083" s="461" t="s">
        <v>1538</v>
      </c>
      <c r="C1083" s="468" t="s">
        <v>1538</v>
      </c>
      <c r="D1083" s="468" t="s">
        <v>1538</v>
      </c>
      <c r="E1083" s="468" t="s">
        <v>5218</v>
      </c>
      <c r="F1083" s="461" t="s">
        <v>5219</v>
      </c>
      <c r="G1083" s="461" t="s">
        <v>1538</v>
      </c>
      <c r="H1083" s="461" t="s">
        <v>5220</v>
      </c>
      <c r="I1083" s="461" t="s">
        <v>5221</v>
      </c>
      <c r="J1083" s="461" t="s">
        <v>5222</v>
      </c>
      <c r="K1083" s="471" t="s">
        <v>7439</v>
      </c>
      <c r="L1083" s="461" t="s">
        <v>8700</v>
      </c>
      <c r="M1083" s="469" t="s">
        <v>8061</v>
      </c>
    </row>
    <row r="1084" spans="1:13">
      <c r="A1084" s="465" t="s">
        <v>576</v>
      </c>
      <c r="B1084" s="465" t="s">
        <v>574</v>
      </c>
      <c r="C1084" s="466" t="s">
        <v>573</v>
      </c>
      <c r="D1084" s="466" t="s">
        <v>575</v>
      </c>
      <c r="E1084" s="466" t="s">
        <v>3982</v>
      </c>
      <c r="F1084" s="465" t="s">
        <v>3983</v>
      </c>
      <c r="G1084" s="465" t="s">
        <v>3984</v>
      </c>
      <c r="H1084" s="465" t="s">
        <v>3985</v>
      </c>
      <c r="I1084" s="465" t="s">
        <v>3986</v>
      </c>
      <c r="J1084" s="465" t="s">
        <v>3987</v>
      </c>
      <c r="K1084" s="465" t="s">
        <v>7306</v>
      </c>
      <c r="L1084" s="465" t="s">
        <v>8522</v>
      </c>
      <c r="M1084" s="467" t="s">
        <v>7871</v>
      </c>
    </row>
    <row r="1085" spans="1:13">
      <c r="A1085" s="461" t="s">
        <v>1539</v>
      </c>
      <c r="B1085" s="461" t="s">
        <v>1540</v>
      </c>
      <c r="C1085" s="468" t="s">
        <v>1540</v>
      </c>
      <c r="D1085" s="468" t="s">
        <v>1540</v>
      </c>
      <c r="E1085" s="468" t="s">
        <v>5223</v>
      </c>
      <c r="F1085" s="461" t="s">
        <v>5224</v>
      </c>
      <c r="G1085" s="461" t="s">
        <v>1540</v>
      </c>
      <c r="H1085" s="461" t="s">
        <v>5225</v>
      </c>
      <c r="I1085" s="461" t="s">
        <v>5226</v>
      </c>
      <c r="J1085" s="461" t="s">
        <v>5227</v>
      </c>
      <c r="K1085" s="471" t="s">
        <v>7440</v>
      </c>
      <c r="L1085" s="461" t="s">
        <v>8701</v>
      </c>
      <c r="M1085" s="469" t="s">
        <v>8062</v>
      </c>
    </row>
    <row r="1086" spans="1:13">
      <c r="A1086" s="465" t="s">
        <v>1541</v>
      </c>
      <c r="B1086" s="465" t="s">
        <v>1542</v>
      </c>
      <c r="C1086" s="466" t="s">
        <v>1542</v>
      </c>
      <c r="D1086" s="466" t="s">
        <v>1542</v>
      </c>
      <c r="E1086" s="466" t="s">
        <v>5228</v>
      </c>
      <c r="F1086" s="465" t="s">
        <v>5229</v>
      </c>
      <c r="G1086" s="465" t="s">
        <v>1542</v>
      </c>
      <c r="H1086" s="465" t="s">
        <v>5230</v>
      </c>
      <c r="I1086" s="465" t="s">
        <v>5231</v>
      </c>
      <c r="J1086" s="465" t="s">
        <v>5232</v>
      </c>
      <c r="K1086" s="465" t="s">
        <v>7441</v>
      </c>
      <c r="L1086" s="465" t="s">
        <v>8702</v>
      </c>
      <c r="M1086" s="467" t="s">
        <v>8063</v>
      </c>
    </row>
    <row r="1087" spans="1:13">
      <c r="A1087" s="461" t="s">
        <v>1543</v>
      </c>
      <c r="B1087" s="461" t="s">
        <v>1544</v>
      </c>
      <c r="C1087" s="468" t="s">
        <v>1544</v>
      </c>
      <c r="D1087" s="468" t="s">
        <v>1544</v>
      </c>
      <c r="E1087" s="468" t="s">
        <v>5233</v>
      </c>
      <c r="F1087" s="461" t="s">
        <v>5234</v>
      </c>
      <c r="G1087" s="461" t="s">
        <v>1544</v>
      </c>
      <c r="H1087" s="461" t="s">
        <v>5235</v>
      </c>
      <c r="I1087" s="461" t="s">
        <v>5236</v>
      </c>
      <c r="J1087" s="461" t="s">
        <v>5237</v>
      </c>
      <c r="K1087" s="461" t="s">
        <v>7442</v>
      </c>
      <c r="L1087" s="461" t="s">
        <v>8703</v>
      </c>
      <c r="M1087" s="469" t="s">
        <v>8064</v>
      </c>
    </row>
    <row r="1088" spans="1:13">
      <c r="A1088" s="465" t="s">
        <v>1545</v>
      </c>
      <c r="B1088" s="465" t="s">
        <v>1546</v>
      </c>
      <c r="C1088" s="466" t="s">
        <v>1546</v>
      </c>
      <c r="D1088" s="466" t="s">
        <v>1546</v>
      </c>
      <c r="E1088" s="466" t="s">
        <v>5238</v>
      </c>
      <c r="F1088" s="465" t="s">
        <v>5239</v>
      </c>
      <c r="G1088" s="465" t="s">
        <v>1546</v>
      </c>
      <c r="H1088" s="465" t="s">
        <v>5240</v>
      </c>
      <c r="I1088" s="465" t="s">
        <v>5241</v>
      </c>
      <c r="J1088" s="465" t="s">
        <v>5242</v>
      </c>
      <c r="K1088" s="465" t="s">
        <v>7443</v>
      </c>
      <c r="L1088" s="465" t="s">
        <v>8704</v>
      </c>
      <c r="M1088" s="467" t="s">
        <v>8065</v>
      </c>
    </row>
    <row r="1089" spans="1:13">
      <c r="A1089" s="461" t="s">
        <v>577</v>
      </c>
      <c r="B1089" s="461" t="s">
        <v>579</v>
      </c>
      <c r="C1089" s="468" t="s">
        <v>578</v>
      </c>
      <c r="D1089" s="468" t="s">
        <v>580</v>
      </c>
      <c r="E1089" s="468" t="s">
        <v>3988</v>
      </c>
      <c r="F1089" s="461" t="s">
        <v>3989</v>
      </c>
      <c r="G1089" s="461" t="s">
        <v>3990</v>
      </c>
      <c r="H1089" s="461" t="s">
        <v>3991</v>
      </c>
      <c r="I1089" s="461" t="s">
        <v>3992</v>
      </c>
      <c r="J1089" s="461" t="s">
        <v>3993</v>
      </c>
      <c r="K1089" s="461" t="s">
        <v>7307</v>
      </c>
      <c r="L1089" s="461" t="s">
        <v>8523</v>
      </c>
      <c r="M1089" s="469" t="s">
        <v>7872</v>
      </c>
    </row>
    <row r="1090" spans="1:13">
      <c r="A1090" s="465" t="s">
        <v>571</v>
      </c>
      <c r="B1090" s="465" t="s">
        <v>574</v>
      </c>
      <c r="C1090" s="466" t="s">
        <v>573</v>
      </c>
      <c r="D1090" s="466" t="s">
        <v>575</v>
      </c>
      <c r="E1090" s="466" t="s">
        <v>3982</v>
      </c>
      <c r="F1090" s="465" t="s">
        <v>3983</v>
      </c>
      <c r="G1090" s="465" t="s">
        <v>3984</v>
      </c>
      <c r="H1090" s="465" t="s">
        <v>3985</v>
      </c>
      <c r="I1090" s="465" t="s">
        <v>3986</v>
      </c>
      <c r="J1090" s="465" t="s">
        <v>3987</v>
      </c>
      <c r="K1090" s="465" t="s">
        <v>7306</v>
      </c>
      <c r="L1090" s="465" t="s">
        <v>8522</v>
      </c>
      <c r="M1090" s="467" t="s">
        <v>7871</v>
      </c>
    </row>
    <row r="1091" spans="1:13">
      <c r="A1091" s="461" t="s">
        <v>119</v>
      </c>
      <c r="B1091" s="461" t="s">
        <v>121</v>
      </c>
      <c r="C1091" s="468" t="s">
        <v>2600</v>
      </c>
      <c r="D1091" s="468" t="s">
        <v>122</v>
      </c>
      <c r="E1091" s="468" t="s">
        <v>3035</v>
      </c>
      <c r="F1091" s="461" t="s">
        <v>3036</v>
      </c>
      <c r="G1091" s="461" t="s">
        <v>3037</v>
      </c>
      <c r="H1091" s="461" t="s">
        <v>3038</v>
      </c>
      <c r="I1091" s="461" t="s">
        <v>3039</v>
      </c>
      <c r="J1091" s="461" t="s">
        <v>3040</v>
      </c>
      <c r="K1091" s="461" t="s">
        <v>7162</v>
      </c>
      <c r="L1091" s="461" t="s">
        <v>8879</v>
      </c>
      <c r="M1091" s="469" t="s">
        <v>7727</v>
      </c>
    </row>
    <row r="1092" spans="1:13">
      <c r="A1092" s="465" t="s">
        <v>123</v>
      </c>
      <c r="B1092" s="465" t="s">
        <v>121</v>
      </c>
      <c r="C1092" s="466" t="s">
        <v>2600</v>
      </c>
      <c r="D1092" s="466" t="s">
        <v>122</v>
      </c>
      <c r="E1092" s="466" t="s">
        <v>3035</v>
      </c>
      <c r="F1092" s="465" t="s">
        <v>3036</v>
      </c>
      <c r="G1092" s="465" t="s">
        <v>3037</v>
      </c>
      <c r="H1092" s="465" t="s">
        <v>3038</v>
      </c>
      <c r="I1092" s="465" t="s">
        <v>3039</v>
      </c>
      <c r="J1092" s="465" t="s">
        <v>3040</v>
      </c>
      <c r="K1092" s="470" t="s">
        <v>7162</v>
      </c>
      <c r="L1092" s="465" t="s">
        <v>8879</v>
      </c>
      <c r="M1092" s="467" t="s">
        <v>7727</v>
      </c>
    </row>
    <row r="1093" spans="1:13">
      <c r="A1093" s="461" t="s">
        <v>9802</v>
      </c>
      <c r="B1093" s="473" t="s">
        <v>9807</v>
      </c>
      <c r="C1093" s="473" t="s">
        <v>9808</v>
      </c>
      <c r="D1093" s="473" t="s">
        <v>9809</v>
      </c>
      <c r="E1093" s="473" t="s">
        <v>9808</v>
      </c>
      <c r="F1093" s="473" t="s">
        <v>9808</v>
      </c>
      <c r="G1093" s="473" t="s">
        <v>9810</v>
      </c>
      <c r="H1093" s="473" t="s">
        <v>9808</v>
      </c>
      <c r="I1093" s="473" t="s">
        <v>9808</v>
      </c>
      <c r="J1093" s="473" t="s">
        <v>9808</v>
      </c>
      <c r="K1093" s="473" t="s">
        <v>9808</v>
      </c>
      <c r="L1093" s="461" t="s">
        <v>9808</v>
      </c>
      <c r="M1093" s="469" t="s">
        <v>9808</v>
      </c>
    </row>
    <row r="1094" spans="1:13">
      <c r="A1094" s="465" t="s">
        <v>206</v>
      </c>
      <c r="B1094" s="465" t="s">
        <v>210</v>
      </c>
      <c r="C1094" s="466" t="s">
        <v>209</v>
      </c>
      <c r="D1094" s="466" t="s">
        <v>211</v>
      </c>
      <c r="E1094" s="466" t="s">
        <v>3170</v>
      </c>
      <c r="F1094" s="465" t="s">
        <v>3171</v>
      </c>
      <c r="G1094" s="465" t="s">
        <v>3172</v>
      </c>
      <c r="H1094" s="465" t="s">
        <v>3173</v>
      </c>
      <c r="I1094" s="465" t="s">
        <v>3174</v>
      </c>
      <c r="J1094" s="465" t="s">
        <v>3175</v>
      </c>
      <c r="K1094" s="465" t="s">
        <v>7184</v>
      </c>
      <c r="L1094" s="465" t="s">
        <v>8401</v>
      </c>
      <c r="M1094" s="467" t="s">
        <v>7750</v>
      </c>
    </row>
    <row r="1095" spans="1:13">
      <c r="A1095" s="461" t="s">
        <v>212</v>
      </c>
      <c r="B1095" s="461" t="s">
        <v>210</v>
      </c>
      <c r="C1095" s="468" t="s">
        <v>209</v>
      </c>
      <c r="D1095" s="468" t="s">
        <v>211</v>
      </c>
      <c r="E1095" s="468" t="s">
        <v>3170</v>
      </c>
      <c r="F1095" s="461" t="s">
        <v>3171</v>
      </c>
      <c r="G1095" s="461" t="s">
        <v>3172</v>
      </c>
      <c r="H1095" s="461" t="s">
        <v>3173</v>
      </c>
      <c r="I1095" s="461" t="s">
        <v>3174</v>
      </c>
      <c r="J1095" s="461" t="s">
        <v>3175</v>
      </c>
      <c r="K1095" s="461" t="s">
        <v>7184</v>
      </c>
      <c r="L1095" s="461" t="s">
        <v>8401</v>
      </c>
      <c r="M1095" s="469" t="s">
        <v>7750</v>
      </c>
    </row>
    <row r="1096" spans="1:13">
      <c r="A1096" s="465" t="s">
        <v>311</v>
      </c>
      <c r="B1096" s="465" t="s">
        <v>313</v>
      </c>
      <c r="C1096" s="466" t="s">
        <v>312</v>
      </c>
      <c r="D1096" s="466" t="s">
        <v>314</v>
      </c>
      <c r="E1096" s="466" t="s">
        <v>3392</v>
      </c>
      <c r="F1096" s="465" t="s">
        <v>3393</v>
      </c>
      <c r="G1096" s="465" t="s">
        <v>3394</v>
      </c>
      <c r="H1096" s="465" t="s">
        <v>3395</v>
      </c>
      <c r="I1096" s="465" t="s">
        <v>3396</v>
      </c>
      <c r="J1096" s="465" t="s">
        <v>3397</v>
      </c>
      <c r="K1096" s="465" t="s">
        <v>7215</v>
      </c>
      <c r="L1096" s="465" t="s">
        <v>8432</v>
      </c>
      <c r="M1096" s="467" t="s">
        <v>7782</v>
      </c>
    </row>
    <row r="1097" spans="1:13">
      <c r="A1097" s="461" t="s">
        <v>315</v>
      </c>
      <c r="B1097" s="461" t="s">
        <v>313</v>
      </c>
      <c r="C1097" s="468" t="s">
        <v>312</v>
      </c>
      <c r="D1097" s="468" t="s">
        <v>314</v>
      </c>
      <c r="E1097" s="468" t="s">
        <v>3392</v>
      </c>
      <c r="F1097" s="461" t="s">
        <v>3393</v>
      </c>
      <c r="G1097" s="461" t="s">
        <v>3394</v>
      </c>
      <c r="H1097" s="461" t="s">
        <v>3395</v>
      </c>
      <c r="I1097" s="461" t="s">
        <v>3396</v>
      </c>
      <c r="J1097" s="461" t="s">
        <v>3398</v>
      </c>
      <c r="K1097" s="461" t="s">
        <v>7215</v>
      </c>
      <c r="L1097" s="461" t="s">
        <v>8432</v>
      </c>
      <c r="M1097" s="469" t="s">
        <v>7782</v>
      </c>
    </row>
    <row r="1098" spans="1:13">
      <c r="A1098" s="465" t="s">
        <v>213</v>
      </c>
      <c r="B1098" s="465" t="s">
        <v>216</v>
      </c>
      <c r="C1098" s="466" t="s">
        <v>215</v>
      </c>
      <c r="D1098" s="466" t="s">
        <v>217</v>
      </c>
      <c r="E1098" s="466" t="s">
        <v>3176</v>
      </c>
      <c r="F1098" s="465" t="s">
        <v>3177</v>
      </c>
      <c r="G1098" s="465" t="s">
        <v>3178</v>
      </c>
      <c r="H1098" s="465" t="s">
        <v>3179</v>
      </c>
      <c r="I1098" s="465" t="s">
        <v>3180</v>
      </c>
      <c r="J1098" s="465" t="s">
        <v>3181</v>
      </c>
      <c r="K1098" s="465" t="s">
        <v>7185</v>
      </c>
      <c r="L1098" s="465" t="s">
        <v>8402</v>
      </c>
      <c r="M1098" s="467" t="s">
        <v>7751</v>
      </c>
    </row>
    <row r="1099" spans="1:13">
      <c r="A1099" s="461" t="s">
        <v>218</v>
      </c>
      <c r="B1099" s="461" t="s">
        <v>216</v>
      </c>
      <c r="C1099" s="468" t="s">
        <v>215</v>
      </c>
      <c r="D1099" s="468" t="s">
        <v>217</v>
      </c>
      <c r="E1099" s="468" t="s">
        <v>3176</v>
      </c>
      <c r="F1099" s="461" t="s">
        <v>3182</v>
      </c>
      <c r="G1099" s="461" t="s">
        <v>3178</v>
      </c>
      <c r="H1099" s="461" t="s">
        <v>3179</v>
      </c>
      <c r="I1099" s="461" t="s">
        <v>3180</v>
      </c>
      <c r="J1099" s="461" t="s">
        <v>3181</v>
      </c>
      <c r="K1099" s="461" t="s">
        <v>7185</v>
      </c>
      <c r="L1099" s="461" t="s">
        <v>8402</v>
      </c>
      <c r="M1099" s="469" t="s">
        <v>7752</v>
      </c>
    </row>
    <row r="1100" spans="1:13">
      <c r="A1100" s="465" t="s">
        <v>316</v>
      </c>
      <c r="B1100" s="465" t="s">
        <v>318</v>
      </c>
      <c r="C1100" s="466" t="s">
        <v>317</v>
      </c>
      <c r="D1100" s="466" t="s">
        <v>319</v>
      </c>
      <c r="E1100" s="466" t="s">
        <v>3399</v>
      </c>
      <c r="F1100" s="465" t="s">
        <v>3400</v>
      </c>
      <c r="G1100" s="465" t="s">
        <v>3401</v>
      </c>
      <c r="H1100" s="465" t="s">
        <v>3402</v>
      </c>
      <c r="I1100" s="465" t="s">
        <v>3403</v>
      </c>
      <c r="J1100" s="465" t="s">
        <v>3404</v>
      </c>
      <c r="K1100" s="465" t="s">
        <v>7216</v>
      </c>
      <c r="L1100" s="465" t="s">
        <v>8433</v>
      </c>
      <c r="M1100" s="467" t="s">
        <v>7783</v>
      </c>
    </row>
    <row r="1101" spans="1:13">
      <c r="A1101" s="461" t="s">
        <v>219</v>
      </c>
      <c r="B1101" s="461" t="s">
        <v>222</v>
      </c>
      <c r="C1101" s="468" t="s">
        <v>221</v>
      </c>
      <c r="D1101" s="468" t="s">
        <v>223</v>
      </c>
      <c r="E1101" s="468" t="s">
        <v>3183</v>
      </c>
      <c r="F1101" s="461" t="s">
        <v>3184</v>
      </c>
      <c r="G1101" s="461" t="s">
        <v>3185</v>
      </c>
      <c r="H1101" s="461" t="s">
        <v>3186</v>
      </c>
      <c r="I1101" s="461" t="s">
        <v>3187</v>
      </c>
      <c r="J1101" s="461" t="s">
        <v>3188</v>
      </c>
      <c r="K1101" s="461" t="s">
        <v>7186</v>
      </c>
      <c r="L1101" s="461" t="s">
        <v>8403</v>
      </c>
      <c r="M1101" s="469" t="s">
        <v>7753</v>
      </c>
    </row>
    <row r="1102" spans="1:13">
      <c r="A1102" s="465" t="s">
        <v>224</v>
      </c>
      <c r="B1102" s="465" t="s">
        <v>222</v>
      </c>
      <c r="C1102" s="466" t="s">
        <v>221</v>
      </c>
      <c r="D1102" s="466" t="s">
        <v>223</v>
      </c>
      <c r="E1102" s="466" t="s">
        <v>3183</v>
      </c>
      <c r="F1102" s="465" t="s">
        <v>3184</v>
      </c>
      <c r="G1102" s="465" t="s">
        <v>3185</v>
      </c>
      <c r="H1102" s="465" t="s">
        <v>3186</v>
      </c>
      <c r="I1102" s="465" t="s">
        <v>3187</v>
      </c>
      <c r="J1102" s="465" t="s">
        <v>3188</v>
      </c>
      <c r="K1102" s="465" t="s">
        <v>7186</v>
      </c>
      <c r="L1102" s="465" t="s">
        <v>8403</v>
      </c>
      <c r="M1102" s="467" t="s">
        <v>7753</v>
      </c>
    </row>
    <row r="1103" spans="1:13">
      <c r="A1103" s="461" t="s">
        <v>320</v>
      </c>
      <c r="B1103" s="461" t="s">
        <v>322</v>
      </c>
      <c r="C1103" s="468" t="s">
        <v>321</v>
      </c>
      <c r="D1103" s="468" t="s">
        <v>323</v>
      </c>
      <c r="E1103" s="468" t="s">
        <v>3405</v>
      </c>
      <c r="F1103" s="461" t="s">
        <v>3406</v>
      </c>
      <c r="G1103" s="461" t="s">
        <v>3407</v>
      </c>
      <c r="H1103" s="461" t="s">
        <v>3408</v>
      </c>
      <c r="I1103" s="461" t="s">
        <v>3409</v>
      </c>
      <c r="J1103" s="461" t="s">
        <v>3410</v>
      </c>
      <c r="K1103" s="461" t="s">
        <v>7217</v>
      </c>
      <c r="L1103" s="461" t="s">
        <v>8434</v>
      </c>
      <c r="M1103" s="469" t="s">
        <v>7784</v>
      </c>
    </row>
    <row r="1104" spans="1:13">
      <c r="A1104" s="465" t="s">
        <v>324</v>
      </c>
      <c r="B1104" s="465" t="s">
        <v>322</v>
      </c>
      <c r="C1104" s="466" t="s">
        <v>321</v>
      </c>
      <c r="D1104" s="466" t="s">
        <v>323</v>
      </c>
      <c r="E1104" s="466" t="s">
        <v>3405</v>
      </c>
      <c r="F1104" s="465" t="s">
        <v>3406</v>
      </c>
      <c r="G1104" s="465" t="s">
        <v>3407</v>
      </c>
      <c r="H1104" s="465" t="s">
        <v>3408</v>
      </c>
      <c r="I1104" s="465" t="s">
        <v>3411</v>
      </c>
      <c r="J1104" s="465" t="s">
        <v>3412</v>
      </c>
      <c r="K1104" s="465" t="s">
        <v>7218</v>
      </c>
      <c r="L1104" s="465" t="s">
        <v>8434</v>
      </c>
      <c r="M1104" s="467" t="s">
        <v>7784</v>
      </c>
    </row>
    <row r="1105" spans="1:13">
      <c r="A1105" s="461" t="s">
        <v>237</v>
      </c>
      <c r="B1105" s="461" t="s">
        <v>240</v>
      </c>
      <c r="C1105" s="468" t="s">
        <v>239</v>
      </c>
      <c r="D1105" s="468" t="s">
        <v>241</v>
      </c>
      <c r="E1105" s="468" t="s">
        <v>3202</v>
      </c>
      <c r="F1105" s="461" t="s">
        <v>3203</v>
      </c>
      <c r="G1105" s="461" t="s">
        <v>3204</v>
      </c>
      <c r="H1105" s="461" t="s">
        <v>3205</v>
      </c>
      <c r="I1105" s="461" t="s">
        <v>3206</v>
      </c>
      <c r="J1105" s="461" t="s">
        <v>3207</v>
      </c>
      <c r="K1105" s="461" t="s">
        <v>7189</v>
      </c>
      <c r="L1105" s="461" t="s">
        <v>8406</v>
      </c>
      <c r="M1105" s="469" t="s">
        <v>7756</v>
      </c>
    </row>
    <row r="1106" spans="1:13">
      <c r="A1106" s="465" t="s">
        <v>242</v>
      </c>
      <c r="B1106" s="465" t="s">
        <v>240</v>
      </c>
      <c r="C1106" s="466" t="s">
        <v>239</v>
      </c>
      <c r="D1106" s="466" t="s">
        <v>241</v>
      </c>
      <c r="E1106" s="466" t="s">
        <v>3202</v>
      </c>
      <c r="F1106" s="465" t="s">
        <v>3203</v>
      </c>
      <c r="G1106" s="465" t="s">
        <v>3204</v>
      </c>
      <c r="H1106" s="465" t="s">
        <v>3205</v>
      </c>
      <c r="I1106" s="465" t="s">
        <v>3206</v>
      </c>
      <c r="J1106" s="465" t="s">
        <v>3207</v>
      </c>
      <c r="K1106" s="465" t="s">
        <v>7189</v>
      </c>
      <c r="L1106" s="465" t="s">
        <v>8406</v>
      </c>
      <c r="M1106" s="467" t="s">
        <v>7756</v>
      </c>
    </row>
    <row r="1107" spans="1:13">
      <c r="A1107" s="461" t="s">
        <v>335</v>
      </c>
      <c r="B1107" s="461" t="s">
        <v>337</v>
      </c>
      <c r="C1107" s="468" t="s">
        <v>336</v>
      </c>
      <c r="D1107" s="468" t="s">
        <v>338</v>
      </c>
      <c r="E1107" s="468" t="s">
        <v>3425</v>
      </c>
      <c r="F1107" s="461" t="s">
        <v>3426</v>
      </c>
      <c r="G1107" s="461" t="s">
        <v>3427</v>
      </c>
      <c r="H1107" s="461" t="s">
        <v>3428</v>
      </c>
      <c r="I1107" s="461" t="s">
        <v>3429</v>
      </c>
      <c r="J1107" s="461" t="s">
        <v>3430</v>
      </c>
      <c r="K1107" s="461" t="s">
        <v>7221</v>
      </c>
      <c r="L1107" s="461" t="s">
        <v>8437</v>
      </c>
      <c r="M1107" s="469" t="s">
        <v>7787</v>
      </c>
    </row>
    <row r="1108" spans="1:13">
      <c r="A1108" s="465" t="s">
        <v>339</v>
      </c>
      <c r="B1108" s="465" t="s">
        <v>337</v>
      </c>
      <c r="C1108" s="466" t="s">
        <v>336</v>
      </c>
      <c r="D1108" s="466" t="s">
        <v>338</v>
      </c>
      <c r="E1108" s="466" t="s">
        <v>3425</v>
      </c>
      <c r="F1108" s="465" t="s">
        <v>3426</v>
      </c>
      <c r="G1108" s="465" t="s">
        <v>3427</v>
      </c>
      <c r="H1108" s="465" t="s">
        <v>3428</v>
      </c>
      <c r="I1108" s="465" t="s">
        <v>3429</v>
      </c>
      <c r="J1108" s="465" t="s">
        <v>3430</v>
      </c>
      <c r="K1108" s="465" t="s">
        <v>7221</v>
      </c>
      <c r="L1108" s="465" t="s">
        <v>8437</v>
      </c>
      <c r="M1108" s="467" t="s">
        <v>7788</v>
      </c>
    </row>
    <row r="1109" spans="1:13">
      <c r="A1109" s="461" t="s">
        <v>231</v>
      </c>
      <c r="B1109" s="461" t="s">
        <v>234</v>
      </c>
      <c r="C1109" s="468" t="s">
        <v>233</v>
      </c>
      <c r="D1109" s="468" t="s">
        <v>235</v>
      </c>
      <c r="E1109" s="468" t="s">
        <v>3196</v>
      </c>
      <c r="F1109" s="461" t="s">
        <v>3197</v>
      </c>
      <c r="G1109" s="461" t="s">
        <v>3198</v>
      </c>
      <c r="H1109" s="461" t="s">
        <v>3199</v>
      </c>
      <c r="I1109" s="461" t="s">
        <v>3200</v>
      </c>
      <c r="J1109" s="461" t="s">
        <v>3201</v>
      </c>
      <c r="K1109" s="461" t="s">
        <v>7188</v>
      </c>
      <c r="L1109" s="461" t="s">
        <v>8405</v>
      </c>
      <c r="M1109" s="469" t="s">
        <v>7755</v>
      </c>
    </row>
    <row r="1110" spans="1:13">
      <c r="A1110" s="465" t="s">
        <v>236</v>
      </c>
      <c r="B1110" s="465" t="s">
        <v>234</v>
      </c>
      <c r="C1110" s="466" t="s">
        <v>233</v>
      </c>
      <c r="D1110" s="466" t="s">
        <v>235</v>
      </c>
      <c r="E1110" s="466" t="s">
        <v>3196</v>
      </c>
      <c r="F1110" s="465" t="s">
        <v>3197</v>
      </c>
      <c r="G1110" s="465" t="s">
        <v>3198</v>
      </c>
      <c r="H1110" s="465" t="s">
        <v>3199</v>
      </c>
      <c r="I1110" s="465" t="s">
        <v>3200</v>
      </c>
      <c r="J1110" s="465" t="s">
        <v>3201</v>
      </c>
      <c r="K1110" s="465" t="s">
        <v>7188</v>
      </c>
      <c r="L1110" s="465" t="s">
        <v>8405</v>
      </c>
      <c r="M1110" s="467" t="s">
        <v>7755</v>
      </c>
    </row>
    <row r="1111" spans="1:13">
      <c r="A1111" s="461" t="s">
        <v>330</v>
      </c>
      <c r="B1111" s="461" t="s">
        <v>332</v>
      </c>
      <c r="C1111" s="468" t="s">
        <v>331</v>
      </c>
      <c r="D1111" s="468" t="s">
        <v>333</v>
      </c>
      <c r="E1111" s="468" t="s">
        <v>3419</v>
      </c>
      <c r="F1111" s="461" t="s">
        <v>3420</v>
      </c>
      <c r="G1111" s="461" t="s">
        <v>3421</v>
      </c>
      <c r="H1111" s="461" t="s">
        <v>3422</v>
      </c>
      <c r="I1111" s="461" t="s">
        <v>3423</v>
      </c>
      <c r="J1111" s="461" t="s">
        <v>3424</v>
      </c>
      <c r="K1111" s="461" t="s">
        <v>7220</v>
      </c>
      <c r="L1111" s="461" t="s">
        <v>8436</v>
      </c>
      <c r="M1111" s="469" t="s">
        <v>7786</v>
      </c>
    </row>
    <row r="1112" spans="1:13">
      <c r="A1112" s="465" t="s">
        <v>334</v>
      </c>
      <c r="B1112" s="465" t="s">
        <v>332</v>
      </c>
      <c r="C1112" s="466" t="s">
        <v>331</v>
      </c>
      <c r="D1112" s="466" t="s">
        <v>333</v>
      </c>
      <c r="E1112" s="466" t="s">
        <v>3419</v>
      </c>
      <c r="F1112" s="465" t="s">
        <v>3420</v>
      </c>
      <c r="G1112" s="465" t="s">
        <v>3421</v>
      </c>
      <c r="H1112" s="465" t="s">
        <v>3422</v>
      </c>
      <c r="I1112" s="465" t="s">
        <v>3423</v>
      </c>
      <c r="J1112" s="465" t="s">
        <v>3424</v>
      </c>
      <c r="K1112" s="465" t="s">
        <v>7220</v>
      </c>
      <c r="L1112" s="465" t="s">
        <v>8436</v>
      </c>
      <c r="M1112" s="467" t="s">
        <v>7786</v>
      </c>
    </row>
    <row r="1113" spans="1:13">
      <c r="A1113" s="461" t="s">
        <v>225</v>
      </c>
      <c r="B1113" s="461" t="s">
        <v>228</v>
      </c>
      <c r="C1113" s="468" t="s">
        <v>227</v>
      </c>
      <c r="D1113" s="468" t="s">
        <v>229</v>
      </c>
      <c r="E1113" s="468" t="s">
        <v>3189</v>
      </c>
      <c r="F1113" s="461" t="s">
        <v>3190</v>
      </c>
      <c r="G1113" s="461" t="s">
        <v>3191</v>
      </c>
      <c r="H1113" s="461" t="s">
        <v>3192</v>
      </c>
      <c r="I1113" s="461" t="s">
        <v>3193</v>
      </c>
      <c r="J1113" s="461" t="s">
        <v>3194</v>
      </c>
      <c r="K1113" s="461" t="s">
        <v>7187</v>
      </c>
      <c r="L1113" s="461" t="s">
        <v>8404</v>
      </c>
      <c r="M1113" s="469" t="s">
        <v>7754</v>
      </c>
    </row>
    <row r="1114" spans="1:13">
      <c r="A1114" s="465" t="s">
        <v>230</v>
      </c>
      <c r="B1114" s="465" t="s">
        <v>228</v>
      </c>
      <c r="C1114" s="466" t="s">
        <v>227</v>
      </c>
      <c r="D1114" s="466" t="s">
        <v>229</v>
      </c>
      <c r="E1114" s="466" t="s">
        <v>3189</v>
      </c>
      <c r="F1114" s="465" t="s">
        <v>3195</v>
      </c>
      <c r="G1114" s="465" t="s">
        <v>3191</v>
      </c>
      <c r="H1114" s="465" t="s">
        <v>3192</v>
      </c>
      <c r="I1114" s="465" t="s">
        <v>3193</v>
      </c>
      <c r="J1114" s="465" t="s">
        <v>3194</v>
      </c>
      <c r="K1114" s="465" t="s">
        <v>7187</v>
      </c>
      <c r="L1114" s="465" t="s">
        <v>8404</v>
      </c>
      <c r="M1114" s="467" t="s">
        <v>7754</v>
      </c>
    </row>
    <row r="1115" spans="1:13">
      <c r="A1115" s="461" t="s">
        <v>325</v>
      </c>
      <c r="B1115" s="461" t="s">
        <v>327</v>
      </c>
      <c r="C1115" s="468" t="s">
        <v>326</v>
      </c>
      <c r="D1115" s="468" t="s">
        <v>328</v>
      </c>
      <c r="E1115" s="468" t="s">
        <v>3413</v>
      </c>
      <c r="F1115" s="461" t="s">
        <v>3414</v>
      </c>
      <c r="G1115" s="461" t="s">
        <v>3415</v>
      </c>
      <c r="H1115" s="461" t="s">
        <v>3416</v>
      </c>
      <c r="I1115" s="461" t="s">
        <v>3417</v>
      </c>
      <c r="J1115" s="461" t="s">
        <v>3418</v>
      </c>
      <c r="K1115" s="461" t="s">
        <v>7219</v>
      </c>
      <c r="L1115" s="461" t="s">
        <v>8435</v>
      </c>
      <c r="M1115" s="469" t="s">
        <v>7785</v>
      </c>
    </row>
    <row r="1116" spans="1:13">
      <c r="A1116" s="465" t="s">
        <v>329</v>
      </c>
      <c r="B1116" s="465" t="s">
        <v>327</v>
      </c>
      <c r="C1116" s="466" t="s">
        <v>326</v>
      </c>
      <c r="D1116" s="466" t="s">
        <v>328</v>
      </c>
      <c r="E1116" s="466" t="s">
        <v>3413</v>
      </c>
      <c r="F1116" s="465" t="s">
        <v>3414</v>
      </c>
      <c r="G1116" s="465" t="s">
        <v>3415</v>
      </c>
      <c r="H1116" s="465" t="s">
        <v>3416</v>
      </c>
      <c r="I1116" s="465" t="s">
        <v>3417</v>
      </c>
      <c r="J1116" s="465" t="s">
        <v>3418</v>
      </c>
      <c r="K1116" s="465" t="s">
        <v>7219</v>
      </c>
      <c r="L1116" s="465" t="s">
        <v>8435</v>
      </c>
      <c r="M1116" s="467" t="s">
        <v>7785</v>
      </c>
    </row>
    <row r="1117" spans="1:13">
      <c r="A1117" s="461" t="s">
        <v>9478</v>
      </c>
      <c r="B1117" s="461" t="s">
        <v>280</v>
      </c>
      <c r="C1117" s="468" t="s">
        <v>279</v>
      </c>
      <c r="D1117" s="468" t="s">
        <v>281</v>
      </c>
      <c r="E1117" s="468" t="s">
        <v>3267</v>
      </c>
      <c r="F1117" s="461" t="s">
        <v>3268</v>
      </c>
      <c r="G1117" s="461" t="s">
        <v>3269</v>
      </c>
      <c r="H1117" s="461" t="s">
        <v>3270</v>
      </c>
      <c r="I1117" s="461" t="s">
        <v>3271</v>
      </c>
      <c r="J1117" s="461" t="s">
        <v>3272</v>
      </c>
      <c r="K1117" s="461" t="s">
        <v>7200</v>
      </c>
      <c r="L1117" s="461" t="s">
        <v>8417</v>
      </c>
      <c r="M1117" s="469" t="s">
        <v>7767</v>
      </c>
    </row>
    <row r="1118" spans="1:13">
      <c r="A1118" s="465" t="s">
        <v>9479</v>
      </c>
      <c r="B1118" s="465" t="s">
        <v>283</v>
      </c>
      <c r="C1118" s="466" t="s">
        <v>282</v>
      </c>
      <c r="D1118" s="466" t="s">
        <v>284</v>
      </c>
      <c r="E1118" s="466" t="s">
        <v>3273</v>
      </c>
      <c r="F1118" s="465" t="s">
        <v>3274</v>
      </c>
      <c r="G1118" s="465" t="s">
        <v>3275</v>
      </c>
      <c r="H1118" s="465" t="s">
        <v>3276</v>
      </c>
      <c r="I1118" s="465" t="s">
        <v>3277</v>
      </c>
      <c r="J1118" s="465" t="s">
        <v>3278</v>
      </c>
      <c r="K1118" s="465" t="s">
        <v>7201</v>
      </c>
      <c r="L1118" s="465" t="s">
        <v>8418</v>
      </c>
      <c r="M1118" s="467" t="s">
        <v>7768</v>
      </c>
    </row>
    <row r="1119" spans="1:13">
      <c r="A1119" s="472" t="s">
        <v>9484</v>
      </c>
      <c r="B1119" s="461" t="s">
        <v>297</v>
      </c>
      <c r="C1119" s="468" t="s">
        <v>296</v>
      </c>
      <c r="D1119" s="468" t="s">
        <v>298</v>
      </c>
      <c r="E1119" s="468" t="s">
        <v>3303</v>
      </c>
      <c r="F1119" s="461" t="s">
        <v>3304</v>
      </c>
      <c r="G1119" s="461" t="s">
        <v>3305</v>
      </c>
      <c r="H1119" s="461" t="s">
        <v>3306</v>
      </c>
      <c r="I1119" s="461" t="s">
        <v>3307</v>
      </c>
      <c r="J1119" s="461" t="s">
        <v>3308</v>
      </c>
      <c r="K1119" s="461" t="s">
        <v>7206</v>
      </c>
      <c r="L1119" s="461" t="s">
        <v>8423</v>
      </c>
      <c r="M1119" s="469" t="s">
        <v>7773</v>
      </c>
    </row>
    <row r="1120" spans="1:13">
      <c r="A1120" s="465" t="s">
        <v>9480</v>
      </c>
      <c r="B1120" s="465" t="s">
        <v>286</v>
      </c>
      <c r="C1120" s="466" t="s">
        <v>285</v>
      </c>
      <c r="D1120" s="466" t="s">
        <v>287</v>
      </c>
      <c r="E1120" s="466" t="s">
        <v>3279</v>
      </c>
      <c r="F1120" s="465" t="s">
        <v>3280</v>
      </c>
      <c r="G1120" s="465" t="s">
        <v>3281</v>
      </c>
      <c r="H1120" s="465" t="s">
        <v>3282</v>
      </c>
      <c r="I1120" s="465" t="s">
        <v>3283</v>
      </c>
      <c r="J1120" s="465" t="s">
        <v>3284</v>
      </c>
      <c r="K1120" s="465" t="s">
        <v>7202</v>
      </c>
      <c r="L1120" s="465" t="s">
        <v>8419</v>
      </c>
      <c r="M1120" s="467" t="s">
        <v>7769</v>
      </c>
    </row>
    <row r="1121" spans="1:13">
      <c r="A1121" s="461" t="s">
        <v>9483</v>
      </c>
      <c r="B1121" s="461" t="s">
        <v>294</v>
      </c>
      <c r="C1121" s="468" t="s">
        <v>293</v>
      </c>
      <c r="D1121" s="468" t="s">
        <v>295</v>
      </c>
      <c r="E1121" s="468" t="s">
        <v>3297</v>
      </c>
      <c r="F1121" s="461" t="s">
        <v>3298</v>
      </c>
      <c r="G1121" s="461" t="s">
        <v>3299</v>
      </c>
      <c r="H1121" s="461" t="s">
        <v>3300</v>
      </c>
      <c r="I1121" s="461" t="s">
        <v>3301</v>
      </c>
      <c r="J1121" s="461" t="s">
        <v>3302</v>
      </c>
      <c r="K1121" s="461" t="s">
        <v>7205</v>
      </c>
      <c r="L1121" s="461" t="s">
        <v>8422</v>
      </c>
      <c r="M1121" s="469" t="s">
        <v>7772</v>
      </c>
    </row>
    <row r="1122" spans="1:13">
      <c r="A1122" s="465" t="s">
        <v>9482</v>
      </c>
      <c r="B1122" s="465" t="s">
        <v>2506</v>
      </c>
      <c r="C1122" s="466" t="s">
        <v>291</v>
      </c>
      <c r="D1122" s="466" t="s">
        <v>292</v>
      </c>
      <c r="E1122" s="466" t="s">
        <v>3291</v>
      </c>
      <c r="F1122" s="465" t="s">
        <v>3292</v>
      </c>
      <c r="G1122" s="465" t="s">
        <v>3293</v>
      </c>
      <c r="H1122" s="465" t="s">
        <v>3294</v>
      </c>
      <c r="I1122" s="465" t="s">
        <v>3295</v>
      </c>
      <c r="J1122" s="465" t="s">
        <v>3296</v>
      </c>
      <c r="K1122" s="465" t="s">
        <v>7204</v>
      </c>
      <c r="L1122" s="465" t="s">
        <v>8421</v>
      </c>
      <c r="M1122" s="467" t="s">
        <v>7771</v>
      </c>
    </row>
    <row r="1123" spans="1:13">
      <c r="A1123" s="461" t="s">
        <v>9481</v>
      </c>
      <c r="B1123" s="461" t="s">
        <v>289</v>
      </c>
      <c r="C1123" s="468" t="s">
        <v>288</v>
      </c>
      <c r="D1123" s="468" t="s">
        <v>290</v>
      </c>
      <c r="E1123" s="468" t="s">
        <v>3285</v>
      </c>
      <c r="F1123" s="461" t="s">
        <v>3286</v>
      </c>
      <c r="G1123" s="461" t="s">
        <v>3287</v>
      </c>
      <c r="H1123" s="461" t="s">
        <v>3288</v>
      </c>
      <c r="I1123" s="461" t="s">
        <v>3289</v>
      </c>
      <c r="J1123" s="461" t="s">
        <v>3290</v>
      </c>
      <c r="K1123" s="461" t="s">
        <v>7203</v>
      </c>
      <c r="L1123" s="461" t="s">
        <v>8420</v>
      </c>
      <c r="M1123" s="469" t="s">
        <v>7770</v>
      </c>
    </row>
    <row r="1124" spans="1:13">
      <c r="A1124" s="465" t="s">
        <v>243</v>
      </c>
      <c r="B1124" s="465" t="s">
        <v>246</v>
      </c>
      <c r="C1124" s="466" t="s">
        <v>245</v>
      </c>
      <c r="D1124" s="466" t="s">
        <v>247</v>
      </c>
      <c r="E1124" s="466" t="s">
        <v>3208</v>
      </c>
      <c r="F1124" s="465" t="s">
        <v>3209</v>
      </c>
      <c r="G1124" s="465" t="s">
        <v>3210</v>
      </c>
      <c r="H1124" s="465" t="s">
        <v>3211</v>
      </c>
      <c r="I1124" s="465" t="s">
        <v>3212</v>
      </c>
      <c r="J1124" s="465" t="s">
        <v>3213</v>
      </c>
      <c r="K1124" s="465" t="s">
        <v>7190</v>
      </c>
      <c r="L1124" s="465" t="s">
        <v>8407</v>
      </c>
      <c r="M1124" s="467" t="s">
        <v>7757</v>
      </c>
    </row>
    <row r="1125" spans="1:13">
      <c r="A1125" s="461" t="s">
        <v>248</v>
      </c>
      <c r="B1125" s="461" t="s">
        <v>251</v>
      </c>
      <c r="C1125" s="468" t="s">
        <v>250</v>
      </c>
      <c r="D1125" s="468" t="s">
        <v>252</v>
      </c>
      <c r="E1125" s="468" t="s">
        <v>3214</v>
      </c>
      <c r="F1125" s="461" t="s">
        <v>3215</v>
      </c>
      <c r="G1125" s="461" t="s">
        <v>3216</v>
      </c>
      <c r="H1125" s="461" t="s">
        <v>3217</v>
      </c>
      <c r="I1125" s="461" t="s">
        <v>3218</v>
      </c>
      <c r="J1125" s="461" t="s">
        <v>3219</v>
      </c>
      <c r="K1125" s="461" t="s">
        <v>7191</v>
      </c>
      <c r="L1125" s="461" t="s">
        <v>8408</v>
      </c>
      <c r="M1125" s="469" t="s">
        <v>7758</v>
      </c>
    </row>
    <row r="1126" spans="1:13">
      <c r="A1126" s="465" t="s">
        <v>253</v>
      </c>
      <c r="B1126" s="465" t="s">
        <v>256</v>
      </c>
      <c r="C1126" s="466" t="s">
        <v>255</v>
      </c>
      <c r="D1126" s="466" t="s">
        <v>257</v>
      </c>
      <c r="E1126" s="466" t="s">
        <v>3220</v>
      </c>
      <c r="F1126" s="465" t="s">
        <v>3221</v>
      </c>
      <c r="G1126" s="465" t="s">
        <v>3222</v>
      </c>
      <c r="H1126" s="465" t="s">
        <v>3223</v>
      </c>
      <c r="I1126" s="465" t="s">
        <v>3224</v>
      </c>
      <c r="J1126" s="465" t="s">
        <v>3225</v>
      </c>
      <c r="K1126" s="465" t="s">
        <v>7192</v>
      </c>
      <c r="L1126" s="465" t="s">
        <v>8409</v>
      </c>
      <c r="M1126" s="467" t="s">
        <v>7759</v>
      </c>
    </row>
    <row r="1127" spans="1:13">
      <c r="A1127" s="461" t="s">
        <v>9471</v>
      </c>
      <c r="B1127" s="461" t="s">
        <v>259</v>
      </c>
      <c r="C1127" s="468" t="s">
        <v>258</v>
      </c>
      <c r="D1127" s="468" t="s">
        <v>260</v>
      </c>
      <c r="E1127" s="468" t="s">
        <v>3226</v>
      </c>
      <c r="F1127" s="461" t="s">
        <v>3227</v>
      </c>
      <c r="G1127" s="461" t="s">
        <v>3228</v>
      </c>
      <c r="H1127" s="461" t="s">
        <v>3229</v>
      </c>
      <c r="I1127" s="461" t="s">
        <v>3230</v>
      </c>
      <c r="J1127" s="461" t="s">
        <v>3231</v>
      </c>
      <c r="K1127" s="461" t="s">
        <v>7193</v>
      </c>
      <c r="L1127" s="461" t="s">
        <v>8410</v>
      </c>
      <c r="M1127" s="469" t="s">
        <v>7760</v>
      </c>
    </row>
    <row r="1128" spans="1:13">
      <c r="A1128" s="472" t="s">
        <v>3309</v>
      </c>
      <c r="B1128" s="465" t="s">
        <v>3312</v>
      </c>
      <c r="C1128" s="466" t="s">
        <v>3311</v>
      </c>
      <c r="D1128" s="466" t="s">
        <v>3313</v>
      </c>
      <c r="E1128" s="466" t="s">
        <v>3314</v>
      </c>
      <c r="F1128" s="465" t="s">
        <v>3315</v>
      </c>
      <c r="G1128" s="465" t="s">
        <v>3316</v>
      </c>
      <c r="H1128" s="465" t="s">
        <v>3317</v>
      </c>
      <c r="I1128" s="465" t="s">
        <v>3318</v>
      </c>
      <c r="J1128" s="465" t="s">
        <v>3319</v>
      </c>
      <c r="K1128" s="465" t="s">
        <v>7207</v>
      </c>
      <c r="L1128" s="465" t="s">
        <v>8424</v>
      </c>
      <c r="M1128" s="467" t="s">
        <v>7774</v>
      </c>
    </row>
    <row r="1129" spans="1:13">
      <c r="A1129" s="461" t="s">
        <v>9472</v>
      </c>
      <c r="B1129" s="461" t="s">
        <v>262</v>
      </c>
      <c r="C1129" s="468" t="s">
        <v>261</v>
      </c>
      <c r="D1129" s="468" t="s">
        <v>263</v>
      </c>
      <c r="E1129" s="468" t="s">
        <v>3232</v>
      </c>
      <c r="F1129" s="461" t="s">
        <v>3233</v>
      </c>
      <c r="G1129" s="461" t="s">
        <v>3234</v>
      </c>
      <c r="H1129" s="461" t="s">
        <v>3235</v>
      </c>
      <c r="I1129" s="461" t="s">
        <v>3236</v>
      </c>
      <c r="J1129" s="461" t="s">
        <v>3237</v>
      </c>
      <c r="K1129" s="461" t="s">
        <v>7194</v>
      </c>
      <c r="L1129" s="461" t="s">
        <v>8411</v>
      </c>
      <c r="M1129" s="469" t="s">
        <v>7761</v>
      </c>
    </row>
    <row r="1130" spans="1:13">
      <c r="A1130" s="472" t="s">
        <v>3320</v>
      </c>
      <c r="B1130" s="465" t="s">
        <v>3322</v>
      </c>
      <c r="C1130" s="466" t="s">
        <v>3321</v>
      </c>
      <c r="D1130" s="466" t="s">
        <v>3323</v>
      </c>
      <c r="E1130" s="466" t="s">
        <v>3324</v>
      </c>
      <c r="F1130" s="465" t="s">
        <v>3325</v>
      </c>
      <c r="G1130" s="465" t="s">
        <v>3326</v>
      </c>
      <c r="H1130" s="465" t="s">
        <v>3327</v>
      </c>
      <c r="I1130" s="465" t="s">
        <v>3328</v>
      </c>
      <c r="J1130" s="465" t="s">
        <v>3329</v>
      </c>
      <c r="K1130" s="465" t="s">
        <v>7208</v>
      </c>
      <c r="L1130" s="465" t="s">
        <v>8425</v>
      </c>
      <c r="M1130" s="467" t="s">
        <v>7775</v>
      </c>
    </row>
    <row r="1131" spans="1:13">
      <c r="A1131" s="461" t="s">
        <v>9477</v>
      </c>
      <c r="B1131" s="461" t="s">
        <v>277</v>
      </c>
      <c r="C1131" s="468" t="s">
        <v>276</v>
      </c>
      <c r="D1131" s="468" t="s">
        <v>278</v>
      </c>
      <c r="E1131" s="468" t="s">
        <v>3232</v>
      </c>
      <c r="F1131" s="461" t="s">
        <v>3262</v>
      </c>
      <c r="G1131" s="461" t="s">
        <v>3263</v>
      </c>
      <c r="H1131" s="461" t="s">
        <v>3264</v>
      </c>
      <c r="I1131" s="461" t="s">
        <v>3265</v>
      </c>
      <c r="J1131" s="461" t="s">
        <v>3266</v>
      </c>
      <c r="K1131" s="461" t="s">
        <v>7199</v>
      </c>
      <c r="L1131" s="461" t="s">
        <v>8416</v>
      </c>
      <c r="M1131" s="469" t="s">
        <v>7766</v>
      </c>
    </row>
    <row r="1132" spans="1:13">
      <c r="A1132" s="472" t="s">
        <v>3371</v>
      </c>
      <c r="B1132" s="465" t="s">
        <v>3373</v>
      </c>
      <c r="C1132" s="466" t="s">
        <v>3372</v>
      </c>
      <c r="D1132" s="466" t="s">
        <v>3374</v>
      </c>
      <c r="E1132" s="466" t="s">
        <v>3375</v>
      </c>
      <c r="F1132" s="465" t="s">
        <v>3376</v>
      </c>
      <c r="G1132" s="465" t="s">
        <v>3377</v>
      </c>
      <c r="H1132" s="465" t="s">
        <v>3378</v>
      </c>
      <c r="I1132" s="465" t="s">
        <v>3379</v>
      </c>
      <c r="J1132" s="465" t="s">
        <v>3380</v>
      </c>
      <c r="K1132" s="465" t="s">
        <v>7213</v>
      </c>
      <c r="L1132" s="465" t="s">
        <v>8430</v>
      </c>
      <c r="M1132" s="467" t="s">
        <v>7780</v>
      </c>
    </row>
    <row r="1133" spans="1:13">
      <c r="A1133" s="461" t="s">
        <v>9473</v>
      </c>
      <c r="B1133" s="461" t="s">
        <v>265</v>
      </c>
      <c r="C1133" s="468" t="s">
        <v>264</v>
      </c>
      <c r="D1133" s="468" t="s">
        <v>266</v>
      </c>
      <c r="E1133" s="468" t="s">
        <v>3238</v>
      </c>
      <c r="F1133" s="461" t="s">
        <v>3239</v>
      </c>
      <c r="G1133" s="461" t="s">
        <v>3240</v>
      </c>
      <c r="H1133" s="461" t="s">
        <v>3241</v>
      </c>
      <c r="I1133" s="461" t="s">
        <v>3242</v>
      </c>
      <c r="J1133" s="461" t="s">
        <v>3243</v>
      </c>
      <c r="K1133" s="461" t="s">
        <v>7195</v>
      </c>
      <c r="L1133" s="461" t="s">
        <v>8412</v>
      </c>
      <c r="M1133" s="469" t="s">
        <v>7762</v>
      </c>
    </row>
    <row r="1134" spans="1:13">
      <c r="A1134" s="472" t="s">
        <v>3330</v>
      </c>
      <c r="B1134" s="465" t="s">
        <v>3332</v>
      </c>
      <c r="C1134" s="466" t="s">
        <v>3331</v>
      </c>
      <c r="D1134" s="466" t="s">
        <v>3333</v>
      </c>
      <c r="E1134" s="466" t="s">
        <v>3334</v>
      </c>
      <c r="F1134" s="465" t="s">
        <v>3335</v>
      </c>
      <c r="G1134" s="465" t="s">
        <v>3336</v>
      </c>
      <c r="H1134" s="465" t="s">
        <v>3337</v>
      </c>
      <c r="I1134" s="465" t="s">
        <v>3338</v>
      </c>
      <c r="J1134" s="465" t="s">
        <v>3339</v>
      </c>
      <c r="K1134" s="465" t="s">
        <v>7209</v>
      </c>
      <c r="L1134" s="465" t="s">
        <v>8426</v>
      </c>
      <c r="M1134" s="467" t="s">
        <v>7776</v>
      </c>
    </row>
    <row r="1135" spans="1:13">
      <c r="A1135" s="461" t="s">
        <v>9476</v>
      </c>
      <c r="B1135" s="461" t="s">
        <v>274</v>
      </c>
      <c r="C1135" s="468" t="s">
        <v>273</v>
      </c>
      <c r="D1135" s="468" t="s">
        <v>275</v>
      </c>
      <c r="E1135" s="468" t="s">
        <v>3256</v>
      </c>
      <c r="F1135" s="461" t="s">
        <v>3257</v>
      </c>
      <c r="G1135" s="461" t="s">
        <v>3258</v>
      </c>
      <c r="H1135" s="461" t="s">
        <v>3259</v>
      </c>
      <c r="I1135" s="461" t="s">
        <v>3260</v>
      </c>
      <c r="J1135" s="461" t="s">
        <v>3261</v>
      </c>
      <c r="K1135" s="461" t="s">
        <v>7198</v>
      </c>
      <c r="L1135" s="461" t="s">
        <v>8415</v>
      </c>
      <c r="M1135" s="469" t="s">
        <v>7765</v>
      </c>
    </row>
    <row r="1136" spans="1:13">
      <c r="A1136" s="472" t="s">
        <v>3361</v>
      </c>
      <c r="B1136" s="465" t="s">
        <v>3363</v>
      </c>
      <c r="C1136" s="466" t="s">
        <v>3362</v>
      </c>
      <c r="D1136" s="466" t="s">
        <v>3364</v>
      </c>
      <c r="E1136" s="466" t="s">
        <v>3365</v>
      </c>
      <c r="F1136" s="465" t="s">
        <v>3366</v>
      </c>
      <c r="G1136" s="465" t="s">
        <v>3367</v>
      </c>
      <c r="H1136" s="465" t="s">
        <v>3368</v>
      </c>
      <c r="I1136" s="465" t="s">
        <v>3369</v>
      </c>
      <c r="J1136" s="465" t="s">
        <v>3370</v>
      </c>
      <c r="K1136" s="465" t="s">
        <v>7212</v>
      </c>
      <c r="L1136" s="465" t="s">
        <v>8429</v>
      </c>
      <c r="M1136" s="467" t="s">
        <v>7779</v>
      </c>
    </row>
    <row r="1137" spans="1:13">
      <c r="A1137" s="461" t="s">
        <v>3381</v>
      </c>
      <c r="B1137" s="461" t="s">
        <v>3384</v>
      </c>
      <c r="C1137" s="468" t="s">
        <v>3383</v>
      </c>
      <c r="D1137" s="468" t="s">
        <v>3385</v>
      </c>
      <c r="E1137" s="468" t="s">
        <v>3386</v>
      </c>
      <c r="F1137" s="461" t="s">
        <v>3387</v>
      </c>
      <c r="G1137" s="461" t="s">
        <v>3388</v>
      </c>
      <c r="H1137" s="461" t="s">
        <v>3389</v>
      </c>
      <c r="I1137" s="461" t="s">
        <v>3390</v>
      </c>
      <c r="J1137" s="461" t="s">
        <v>3391</v>
      </c>
      <c r="K1137" s="461" t="s">
        <v>7214</v>
      </c>
      <c r="L1137" s="461" t="s">
        <v>8431</v>
      </c>
      <c r="M1137" s="469" t="s">
        <v>7781</v>
      </c>
    </row>
    <row r="1138" spans="1:13">
      <c r="A1138" s="465" t="s">
        <v>9475</v>
      </c>
      <c r="B1138" s="465" t="s">
        <v>271</v>
      </c>
      <c r="C1138" s="466" t="s">
        <v>270</v>
      </c>
      <c r="D1138" s="466" t="s">
        <v>272</v>
      </c>
      <c r="E1138" s="466" t="s">
        <v>3250</v>
      </c>
      <c r="F1138" s="465" t="s">
        <v>3251</v>
      </c>
      <c r="G1138" s="465" t="s">
        <v>3252</v>
      </c>
      <c r="H1138" s="465" t="s">
        <v>3253</v>
      </c>
      <c r="I1138" s="465" t="s">
        <v>3254</v>
      </c>
      <c r="J1138" s="465" t="s">
        <v>3255</v>
      </c>
      <c r="K1138" s="465" t="s">
        <v>7197</v>
      </c>
      <c r="L1138" s="465" t="s">
        <v>8414</v>
      </c>
      <c r="M1138" s="467" t="s">
        <v>7764</v>
      </c>
    </row>
    <row r="1139" spans="1:13">
      <c r="A1139" s="472" t="s">
        <v>3351</v>
      </c>
      <c r="B1139" s="461" t="s">
        <v>3353</v>
      </c>
      <c r="C1139" s="468" t="s">
        <v>3352</v>
      </c>
      <c r="D1139" s="468" t="s">
        <v>3354</v>
      </c>
      <c r="E1139" s="468" t="s">
        <v>3355</v>
      </c>
      <c r="F1139" s="461" t="s">
        <v>3356</v>
      </c>
      <c r="G1139" s="461" t="s">
        <v>3357</v>
      </c>
      <c r="H1139" s="461" t="s">
        <v>3358</v>
      </c>
      <c r="I1139" s="461" t="s">
        <v>3359</v>
      </c>
      <c r="J1139" s="461" t="s">
        <v>3360</v>
      </c>
      <c r="K1139" s="461" t="s">
        <v>7211</v>
      </c>
      <c r="L1139" s="461" t="s">
        <v>8428</v>
      </c>
      <c r="M1139" s="469" t="s">
        <v>7778</v>
      </c>
    </row>
    <row r="1140" spans="1:13">
      <c r="A1140" s="475" t="s">
        <v>11188</v>
      </c>
      <c r="B1140" s="475" t="s">
        <v>11396</v>
      </c>
      <c r="C1140" s="475" t="s">
        <v>11397</v>
      </c>
      <c r="D1140" s="475" t="s">
        <v>11398</v>
      </c>
      <c r="E1140" s="475" t="s">
        <v>11399</v>
      </c>
      <c r="F1140" s="475" t="s">
        <v>12314</v>
      </c>
      <c r="G1140" s="475" t="s">
        <v>11400</v>
      </c>
      <c r="H1140" s="475" t="s">
        <v>11401</v>
      </c>
      <c r="I1140" s="475" t="s">
        <v>11402</v>
      </c>
      <c r="J1140" s="475" t="s">
        <v>11403</v>
      </c>
      <c r="K1140" s="475" t="s">
        <v>11404</v>
      </c>
      <c r="L1140" s="475" t="s">
        <v>11405</v>
      </c>
      <c r="M1140" s="476" t="s">
        <v>11406</v>
      </c>
    </row>
    <row r="1141" spans="1:13">
      <c r="A1141" s="461" t="s">
        <v>9474</v>
      </c>
      <c r="B1141" s="461" t="s">
        <v>268</v>
      </c>
      <c r="C1141" s="468" t="s">
        <v>267</v>
      </c>
      <c r="D1141" s="468" t="s">
        <v>269</v>
      </c>
      <c r="E1141" s="468" t="s">
        <v>3244</v>
      </c>
      <c r="F1141" s="461" t="s">
        <v>3245</v>
      </c>
      <c r="G1141" s="461" t="s">
        <v>3246</v>
      </c>
      <c r="H1141" s="461" t="s">
        <v>3247</v>
      </c>
      <c r="I1141" s="461" t="s">
        <v>3248</v>
      </c>
      <c r="J1141" s="461" t="s">
        <v>3249</v>
      </c>
      <c r="K1141" s="461" t="s">
        <v>7196</v>
      </c>
      <c r="L1141" s="461" t="s">
        <v>8413</v>
      </c>
      <c r="M1141" s="469" t="s">
        <v>7763</v>
      </c>
    </row>
    <row r="1142" spans="1:13">
      <c r="A1142" s="472" t="s">
        <v>3340</v>
      </c>
      <c r="B1142" s="465" t="s">
        <v>3343</v>
      </c>
      <c r="C1142" s="466" t="s">
        <v>3342</v>
      </c>
      <c r="D1142" s="466" t="s">
        <v>3344</v>
      </c>
      <c r="E1142" s="466" t="s">
        <v>3345</v>
      </c>
      <c r="F1142" s="465" t="s">
        <v>3346</v>
      </c>
      <c r="G1142" s="465" t="s">
        <v>3347</v>
      </c>
      <c r="H1142" s="465" t="s">
        <v>3348</v>
      </c>
      <c r="I1142" s="465" t="s">
        <v>3349</v>
      </c>
      <c r="J1142" s="465" t="s">
        <v>3350</v>
      </c>
      <c r="K1142" s="465" t="s">
        <v>7210</v>
      </c>
      <c r="L1142" s="465" t="s">
        <v>8427</v>
      </c>
      <c r="M1142" s="467" t="s">
        <v>7777</v>
      </c>
    </row>
    <row r="1143" spans="1:13">
      <c r="A1143" s="461" t="s">
        <v>9568</v>
      </c>
      <c r="B1143" s="461" t="s">
        <v>9570</v>
      </c>
      <c r="C1143" s="468" t="s">
        <v>9572</v>
      </c>
      <c r="D1143" s="468" t="s">
        <v>9573</v>
      </c>
      <c r="E1143" s="468" t="s">
        <v>9574</v>
      </c>
      <c r="F1143" s="461" t="s">
        <v>9575</v>
      </c>
      <c r="G1143" s="461" t="s">
        <v>9576</v>
      </c>
      <c r="H1143" s="461" t="s">
        <v>3235</v>
      </c>
      <c r="I1143" s="461" t="s">
        <v>9577</v>
      </c>
      <c r="J1143" s="461" t="s">
        <v>9578</v>
      </c>
      <c r="K1143" s="461" t="s">
        <v>9579</v>
      </c>
      <c r="L1143" s="461" t="s">
        <v>9580</v>
      </c>
      <c r="M1143" s="469" t="s">
        <v>9581</v>
      </c>
    </row>
    <row r="1144" spans="1:13">
      <c r="A1144" s="465" t="s">
        <v>9488</v>
      </c>
      <c r="B1144" s="465" t="s">
        <v>309</v>
      </c>
      <c r="C1144" s="466" t="s">
        <v>308</v>
      </c>
      <c r="D1144" s="466" t="s">
        <v>310</v>
      </c>
      <c r="E1144" s="466" t="s">
        <v>3446</v>
      </c>
      <c r="F1144" s="465" t="s">
        <v>3447</v>
      </c>
      <c r="G1144" s="465" t="s">
        <v>3448</v>
      </c>
      <c r="H1144" s="465" t="s">
        <v>3264</v>
      </c>
      <c r="I1144" s="465" t="s">
        <v>3449</v>
      </c>
      <c r="J1144" s="465" t="s">
        <v>3450</v>
      </c>
      <c r="K1144" s="465" t="s">
        <v>7225</v>
      </c>
      <c r="L1144" s="465" t="s">
        <v>8441</v>
      </c>
      <c r="M1144" s="467" t="s">
        <v>7792</v>
      </c>
    </row>
    <row r="1145" spans="1:13">
      <c r="A1145" s="461" t="s">
        <v>9569</v>
      </c>
      <c r="B1145" s="461" t="s">
        <v>9571</v>
      </c>
      <c r="C1145" s="468" t="s">
        <v>9582</v>
      </c>
      <c r="D1145" s="468" t="s">
        <v>9583</v>
      </c>
      <c r="E1145" s="468" t="s">
        <v>9584</v>
      </c>
      <c r="F1145" s="461" t="s">
        <v>9585</v>
      </c>
      <c r="G1145" s="461" t="s">
        <v>9586</v>
      </c>
      <c r="H1145" s="461" t="s">
        <v>3241</v>
      </c>
      <c r="I1145" s="461" t="s">
        <v>9587</v>
      </c>
      <c r="J1145" s="461" t="s">
        <v>9588</v>
      </c>
      <c r="K1145" s="461" t="s">
        <v>9589</v>
      </c>
      <c r="L1145" s="461" t="s">
        <v>9590</v>
      </c>
      <c r="M1145" s="469" t="s">
        <v>9591</v>
      </c>
    </row>
    <row r="1146" spans="1:13">
      <c r="A1146" s="465" t="s">
        <v>9487</v>
      </c>
      <c r="B1146" s="465" t="s">
        <v>306</v>
      </c>
      <c r="C1146" s="466" t="s">
        <v>305</v>
      </c>
      <c r="D1146" s="466" t="s">
        <v>307</v>
      </c>
      <c r="E1146" s="466" t="s">
        <v>3441</v>
      </c>
      <c r="F1146" s="465" t="s">
        <v>3442</v>
      </c>
      <c r="G1146" s="465" t="s">
        <v>3443</v>
      </c>
      <c r="H1146" s="465" t="s">
        <v>3259</v>
      </c>
      <c r="I1146" s="465" t="s">
        <v>3444</v>
      </c>
      <c r="J1146" s="465" t="s">
        <v>3445</v>
      </c>
      <c r="K1146" s="465" t="s">
        <v>7224</v>
      </c>
      <c r="L1146" s="465" t="s">
        <v>8440</v>
      </c>
      <c r="M1146" s="467" t="s">
        <v>7791</v>
      </c>
    </row>
    <row r="1147" spans="1:13">
      <c r="A1147" s="461" t="s">
        <v>9486</v>
      </c>
      <c r="B1147" s="461" t="s">
        <v>303</v>
      </c>
      <c r="C1147" s="468" t="s">
        <v>302</v>
      </c>
      <c r="D1147" s="468" t="s">
        <v>304</v>
      </c>
      <c r="E1147" s="468" t="s">
        <v>3436</v>
      </c>
      <c r="F1147" s="461" t="s">
        <v>3437</v>
      </c>
      <c r="G1147" s="461" t="s">
        <v>3438</v>
      </c>
      <c r="H1147" s="461" t="s">
        <v>3253</v>
      </c>
      <c r="I1147" s="461" t="s">
        <v>3439</v>
      </c>
      <c r="J1147" s="461" t="s">
        <v>3440</v>
      </c>
      <c r="K1147" s="461" t="s">
        <v>7223</v>
      </c>
      <c r="L1147" s="461" t="s">
        <v>8439</v>
      </c>
      <c r="M1147" s="469" t="s">
        <v>7790</v>
      </c>
    </row>
    <row r="1148" spans="1:13">
      <c r="A1148" s="465" t="s">
        <v>9485</v>
      </c>
      <c r="B1148" s="465" t="s">
        <v>300</v>
      </c>
      <c r="C1148" s="466" t="s">
        <v>299</v>
      </c>
      <c r="D1148" s="466" t="s">
        <v>301</v>
      </c>
      <c r="E1148" s="466" t="s">
        <v>3431</v>
      </c>
      <c r="F1148" s="465" t="s">
        <v>3432</v>
      </c>
      <c r="G1148" s="465" t="s">
        <v>3433</v>
      </c>
      <c r="H1148" s="465" t="s">
        <v>3247</v>
      </c>
      <c r="I1148" s="465" t="s">
        <v>3434</v>
      </c>
      <c r="J1148" s="465" t="s">
        <v>3435</v>
      </c>
      <c r="K1148" s="465" t="s">
        <v>7222</v>
      </c>
      <c r="L1148" s="465" t="s">
        <v>8438</v>
      </c>
      <c r="M1148" s="467" t="s">
        <v>7789</v>
      </c>
    </row>
    <row r="1149" spans="1:13">
      <c r="A1149" s="473" t="s">
        <v>11226</v>
      </c>
      <c r="B1149" s="473" t="s">
        <v>11505</v>
      </c>
      <c r="C1149" s="473" t="s">
        <v>11506</v>
      </c>
      <c r="D1149" s="473" t="s">
        <v>11507</v>
      </c>
      <c r="E1149" s="473" t="s">
        <v>11508</v>
      </c>
      <c r="F1149" s="473" t="s">
        <v>11509</v>
      </c>
      <c r="G1149" s="473" t="s">
        <v>11510</v>
      </c>
      <c r="H1149" s="473" t="s">
        <v>11511</v>
      </c>
      <c r="I1149" s="473" t="s">
        <v>11512</v>
      </c>
      <c r="J1149" s="473" t="s">
        <v>11513</v>
      </c>
      <c r="K1149" s="473" t="s">
        <v>11514</v>
      </c>
      <c r="L1149" s="473" t="s">
        <v>11515</v>
      </c>
      <c r="M1149" s="474" t="s">
        <v>11516</v>
      </c>
    </row>
    <row r="1150" spans="1:13">
      <c r="A1150" s="475" t="s">
        <v>11227</v>
      </c>
      <c r="B1150" s="475" t="s">
        <v>11517</v>
      </c>
      <c r="C1150" s="475" t="s">
        <v>11518</v>
      </c>
      <c r="D1150" s="475" t="s">
        <v>11519</v>
      </c>
      <c r="E1150" s="475" t="s">
        <v>11520</v>
      </c>
      <c r="F1150" s="475" t="s">
        <v>11521</v>
      </c>
      <c r="G1150" s="475" t="s">
        <v>11522</v>
      </c>
      <c r="H1150" s="475" t="s">
        <v>11523</v>
      </c>
      <c r="I1150" s="475" t="s">
        <v>11524</v>
      </c>
      <c r="J1150" s="475" t="s">
        <v>11525</v>
      </c>
      <c r="K1150" s="475" t="s">
        <v>11526</v>
      </c>
      <c r="L1150" s="475" t="s">
        <v>11527</v>
      </c>
      <c r="M1150" s="476" t="s">
        <v>11528</v>
      </c>
    </row>
    <row r="1151" spans="1:13">
      <c r="A1151" s="473" t="s">
        <v>11644</v>
      </c>
      <c r="B1151" s="473" t="s">
        <v>11667</v>
      </c>
      <c r="C1151" s="473" t="s">
        <v>11667</v>
      </c>
      <c r="D1151" s="473" t="s">
        <v>11667</v>
      </c>
      <c r="E1151" s="473" t="s">
        <v>11667</v>
      </c>
      <c r="F1151" s="473" t="s">
        <v>11667</v>
      </c>
      <c r="G1151" s="473" t="s">
        <v>11667</v>
      </c>
      <c r="H1151" s="473" t="s">
        <v>11667</v>
      </c>
      <c r="I1151" s="473" t="s">
        <v>11667</v>
      </c>
      <c r="J1151" s="473" t="s">
        <v>11667</v>
      </c>
      <c r="K1151" s="473" t="s">
        <v>11667</v>
      </c>
      <c r="L1151" s="473" t="s">
        <v>11667</v>
      </c>
      <c r="M1151" s="474" t="s">
        <v>11667</v>
      </c>
    </row>
    <row r="1152" spans="1:13">
      <c r="A1152" s="475" t="s">
        <v>11645</v>
      </c>
      <c r="B1152" s="475" t="s">
        <v>11668</v>
      </c>
      <c r="C1152" s="475" t="s">
        <v>11668</v>
      </c>
      <c r="D1152" s="475" t="s">
        <v>11668</v>
      </c>
      <c r="E1152" s="475" t="s">
        <v>11668</v>
      </c>
      <c r="F1152" s="475" t="s">
        <v>11668</v>
      </c>
      <c r="G1152" s="475" t="s">
        <v>11668</v>
      </c>
      <c r="H1152" s="475" t="s">
        <v>11668</v>
      </c>
      <c r="I1152" s="475" t="s">
        <v>11668</v>
      </c>
      <c r="J1152" s="475" t="s">
        <v>11668</v>
      </c>
      <c r="K1152" s="475" t="s">
        <v>11668</v>
      </c>
      <c r="L1152" s="475" t="s">
        <v>11668</v>
      </c>
      <c r="M1152" s="476" t="s">
        <v>11668</v>
      </c>
    </row>
    <row r="1153" spans="1:13">
      <c r="A1153" s="473" t="s">
        <v>11646</v>
      </c>
      <c r="B1153" s="473" t="s">
        <v>11669</v>
      </c>
      <c r="C1153" s="473" t="s">
        <v>11669</v>
      </c>
      <c r="D1153" s="473" t="s">
        <v>11669</v>
      </c>
      <c r="E1153" s="473" t="s">
        <v>11669</v>
      </c>
      <c r="F1153" s="473" t="s">
        <v>11669</v>
      </c>
      <c r="G1153" s="473" t="s">
        <v>11669</v>
      </c>
      <c r="H1153" s="473" t="s">
        <v>11669</v>
      </c>
      <c r="I1153" s="473" t="s">
        <v>11669</v>
      </c>
      <c r="J1153" s="473" t="s">
        <v>11669</v>
      </c>
      <c r="K1153" s="473" t="s">
        <v>11669</v>
      </c>
      <c r="L1153" s="473" t="s">
        <v>11669</v>
      </c>
      <c r="M1153" s="474" t="s">
        <v>11669</v>
      </c>
    </row>
    <row r="1154" spans="1:13">
      <c r="A1154" s="475" t="s">
        <v>11647</v>
      </c>
      <c r="B1154" s="475" t="s">
        <v>11670</v>
      </c>
      <c r="C1154" s="475" t="s">
        <v>11670</v>
      </c>
      <c r="D1154" s="475" t="s">
        <v>11670</v>
      </c>
      <c r="E1154" s="475" t="s">
        <v>11670</v>
      </c>
      <c r="F1154" s="475" t="s">
        <v>11670</v>
      </c>
      <c r="G1154" s="475" t="s">
        <v>11670</v>
      </c>
      <c r="H1154" s="475" t="s">
        <v>11670</v>
      </c>
      <c r="I1154" s="475" t="s">
        <v>11670</v>
      </c>
      <c r="J1154" s="475" t="s">
        <v>11670</v>
      </c>
      <c r="K1154" s="475" t="s">
        <v>11670</v>
      </c>
      <c r="L1154" s="475" t="s">
        <v>11670</v>
      </c>
      <c r="M1154" s="476" t="s">
        <v>11670</v>
      </c>
    </row>
    <row r="1155" spans="1:13">
      <c r="A1155" s="473" t="s">
        <v>11648</v>
      </c>
      <c r="B1155" s="473" t="s">
        <v>11671</v>
      </c>
      <c r="C1155" s="473" t="s">
        <v>11671</v>
      </c>
      <c r="D1155" s="473" t="s">
        <v>11671</v>
      </c>
      <c r="E1155" s="473" t="s">
        <v>11671</v>
      </c>
      <c r="F1155" s="473" t="s">
        <v>11671</v>
      </c>
      <c r="G1155" s="473" t="s">
        <v>11671</v>
      </c>
      <c r="H1155" s="473" t="s">
        <v>11671</v>
      </c>
      <c r="I1155" s="473" t="s">
        <v>11671</v>
      </c>
      <c r="J1155" s="473" t="s">
        <v>11671</v>
      </c>
      <c r="K1155" s="473" t="s">
        <v>11671</v>
      </c>
      <c r="L1155" s="473" t="s">
        <v>11671</v>
      </c>
      <c r="M1155" s="474" t="s">
        <v>11671</v>
      </c>
    </row>
    <row r="1156" spans="1:13">
      <c r="A1156" s="475" t="s">
        <v>11649</v>
      </c>
      <c r="B1156" s="475" t="s">
        <v>11672</v>
      </c>
      <c r="C1156" s="475" t="s">
        <v>11672</v>
      </c>
      <c r="D1156" s="475" t="s">
        <v>11672</v>
      </c>
      <c r="E1156" s="475" t="s">
        <v>11672</v>
      </c>
      <c r="F1156" s="475" t="s">
        <v>11672</v>
      </c>
      <c r="G1156" s="475" t="s">
        <v>11672</v>
      </c>
      <c r="H1156" s="475" t="s">
        <v>11672</v>
      </c>
      <c r="I1156" s="475" t="s">
        <v>11672</v>
      </c>
      <c r="J1156" s="475" t="s">
        <v>11672</v>
      </c>
      <c r="K1156" s="475" t="s">
        <v>11672</v>
      </c>
      <c r="L1156" s="475" t="s">
        <v>11672</v>
      </c>
      <c r="M1156" s="476" t="s">
        <v>11672</v>
      </c>
    </row>
    <row r="1157" spans="1:13">
      <c r="A1157" s="473" t="s">
        <v>11650</v>
      </c>
      <c r="B1157" s="473" t="s">
        <v>11673</v>
      </c>
      <c r="C1157" s="473" t="s">
        <v>11673</v>
      </c>
      <c r="D1157" s="473" t="s">
        <v>11673</v>
      </c>
      <c r="E1157" s="473" t="s">
        <v>11673</v>
      </c>
      <c r="F1157" s="473" t="s">
        <v>11673</v>
      </c>
      <c r="G1157" s="473" t="s">
        <v>11673</v>
      </c>
      <c r="H1157" s="473" t="s">
        <v>11673</v>
      </c>
      <c r="I1157" s="473" t="s">
        <v>11673</v>
      </c>
      <c r="J1157" s="473" t="s">
        <v>11673</v>
      </c>
      <c r="K1157" s="473" t="s">
        <v>11673</v>
      </c>
      <c r="L1157" s="473" t="s">
        <v>11673</v>
      </c>
      <c r="M1157" s="474" t="s">
        <v>11673</v>
      </c>
    </row>
    <row r="1158" spans="1:13">
      <c r="A1158" s="475" t="s">
        <v>11651</v>
      </c>
      <c r="B1158" s="475" t="s">
        <v>11674</v>
      </c>
      <c r="C1158" s="475" t="s">
        <v>11674</v>
      </c>
      <c r="D1158" s="475" t="s">
        <v>11674</v>
      </c>
      <c r="E1158" s="475" t="s">
        <v>11674</v>
      </c>
      <c r="F1158" s="475" t="s">
        <v>11674</v>
      </c>
      <c r="G1158" s="475" t="s">
        <v>11674</v>
      </c>
      <c r="H1158" s="475" t="s">
        <v>11674</v>
      </c>
      <c r="I1158" s="475" t="s">
        <v>11674</v>
      </c>
      <c r="J1158" s="475" t="s">
        <v>11674</v>
      </c>
      <c r="K1158" s="475" t="s">
        <v>11674</v>
      </c>
      <c r="L1158" s="475" t="s">
        <v>11674</v>
      </c>
      <c r="M1158" s="476" t="s">
        <v>11674</v>
      </c>
    </row>
    <row r="1159" spans="1:13">
      <c r="A1159" s="473" t="s">
        <v>11652</v>
      </c>
      <c r="B1159" s="473" t="s">
        <v>11675</v>
      </c>
      <c r="C1159" s="473" t="s">
        <v>11675</v>
      </c>
      <c r="D1159" s="473" t="s">
        <v>11675</v>
      </c>
      <c r="E1159" s="473" t="s">
        <v>11675</v>
      </c>
      <c r="F1159" s="473" t="s">
        <v>11675</v>
      </c>
      <c r="G1159" s="473" t="s">
        <v>11675</v>
      </c>
      <c r="H1159" s="473" t="s">
        <v>11675</v>
      </c>
      <c r="I1159" s="473" t="s">
        <v>11675</v>
      </c>
      <c r="J1159" s="473" t="s">
        <v>11675</v>
      </c>
      <c r="K1159" s="473" t="s">
        <v>11675</v>
      </c>
      <c r="L1159" s="473" t="s">
        <v>11675</v>
      </c>
      <c r="M1159" s="474" t="s">
        <v>11675</v>
      </c>
    </row>
    <row r="1160" spans="1:13">
      <c r="A1160" s="475" t="s">
        <v>11653</v>
      </c>
      <c r="B1160" s="475" t="s">
        <v>11676</v>
      </c>
      <c r="C1160" s="475" t="s">
        <v>11676</v>
      </c>
      <c r="D1160" s="475" t="s">
        <v>11676</v>
      </c>
      <c r="E1160" s="475" t="s">
        <v>11676</v>
      </c>
      <c r="F1160" s="475" t="s">
        <v>11676</v>
      </c>
      <c r="G1160" s="475" t="s">
        <v>11676</v>
      </c>
      <c r="H1160" s="475" t="s">
        <v>11676</v>
      </c>
      <c r="I1160" s="475" t="s">
        <v>11676</v>
      </c>
      <c r="J1160" s="475" t="s">
        <v>11676</v>
      </c>
      <c r="K1160" s="475" t="s">
        <v>11676</v>
      </c>
      <c r="L1160" s="475" t="s">
        <v>11676</v>
      </c>
      <c r="M1160" s="476" t="s">
        <v>11676</v>
      </c>
    </row>
    <row r="1161" spans="1:13">
      <c r="A1161" s="473" t="s">
        <v>11654</v>
      </c>
      <c r="B1161" s="473" t="s">
        <v>11677</v>
      </c>
      <c r="C1161" s="473" t="s">
        <v>11677</v>
      </c>
      <c r="D1161" s="473" t="s">
        <v>11677</v>
      </c>
      <c r="E1161" s="473" t="s">
        <v>11677</v>
      </c>
      <c r="F1161" s="473" t="s">
        <v>11677</v>
      </c>
      <c r="G1161" s="473" t="s">
        <v>11677</v>
      </c>
      <c r="H1161" s="473" t="s">
        <v>11677</v>
      </c>
      <c r="I1161" s="473" t="s">
        <v>11677</v>
      </c>
      <c r="J1161" s="473" t="s">
        <v>11677</v>
      </c>
      <c r="K1161" s="473" t="s">
        <v>11677</v>
      </c>
      <c r="L1161" s="473" t="s">
        <v>11677</v>
      </c>
      <c r="M1161" s="474" t="s">
        <v>11677</v>
      </c>
    </row>
    <row r="1162" spans="1:13">
      <c r="A1162" s="475" t="s">
        <v>11655</v>
      </c>
      <c r="B1162" s="475" t="s">
        <v>11678</v>
      </c>
      <c r="C1162" s="475" t="s">
        <v>11678</v>
      </c>
      <c r="D1162" s="475" t="s">
        <v>11678</v>
      </c>
      <c r="E1162" s="475" t="s">
        <v>11678</v>
      </c>
      <c r="F1162" s="475" t="s">
        <v>11678</v>
      </c>
      <c r="G1162" s="475" t="s">
        <v>11678</v>
      </c>
      <c r="H1162" s="475" t="s">
        <v>11678</v>
      </c>
      <c r="I1162" s="475" t="s">
        <v>11678</v>
      </c>
      <c r="J1162" s="475" t="s">
        <v>11678</v>
      </c>
      <c r="K1162" s="475" t="s">
        <v>11678</v>
      </c>
      <c r="L1162" s="475" t="s">
        <v>11678</v>
      </c>
      <c r="M1162" s="476" t="s">
        <v>11678</v>
      </c>
    </row>
    <row r="1163" spans="1:13">
      <c r="A1163" s="473" t="s">
        <v>11656</v>
      </c>
      <c r="B1163" s="473" t="s">
        <v>11679</v>
      </c>
      <c r="C1163" s="473" t="s">
        <v>11679</v>
      </c>
      <c r="D1163" s="473" t="s">
        <v>11679</v>
      </c>
      <c r="E1163" s="473" t="s">
        <v>11679</v>
      </c>
      <c r="F1163" s="473" t="s">
        <v>11679</v>
      </c>
      <c r="G1163" s="473" t="s">
        <v>11679</v>
      </c>
      <c r="H1163" s="473" t="s">
        <v>11679</v>
      </c>
      <c r="I1163" s="473" t="s">
        <v>11679</v>
      </c>
      <c r="J1163" s="473" t="s">
        <v>11679</v>
      </c>
      <c r="K1163" s="473" t="s">
        <v>11679</v>
      </c>
      <c r="L1163" s="473" t="s">
        <v>11679</v>
      </c>
      <c r="M1163" s="474" t="s">
        <v>11679</v>
      </c>
    </row>
    <row r="1164" spans="1:13">
      <c r="A1164" s="475" t="s">
        <v>11657</v>
      </c>
      <c r="B1164" s="475" t="s">
        <v>11680</v>
      </c>
      <c r="C1164" s="475" t="s">
        <v>11680</v>
      </c>
      <c r="D1164" s="475" t="s">
        <v>11680</v>
      </c>
      <c r="E1164" s="475" t="s">
        <v>11680</v>
      </c>
      <c r="F1164" s="475" t="s">
        <v>11680</v>
      </c>
      <c r="G1164" s="475" t="s">
        <v>11680</v>
      </c>
      <c r="H1164" s="475" t="s">
        <v>11680</v>
      </c>
      <c r="I1164" s="475" t="s">
        <v>11680</v>
      </c>
      <c r="J1164" s="475" t="s">
        <v>11680</v>
      </c>
      <c r="K1164" s="475" t="s">
        <v>11680</v>
      </c>
      <c r="L1164" s="475" t="s">
        <v>11680</v>
      </c>
      <c r="M1164" s="476" t="s">
        <v>11680</v>
      </c>
    </row>
    <row r="1165" spans="1:13">
      <c r="A1165" s="473" t="s">
        <v>11658</v>
      </c>
      <c r="B1165" s="473" t="s">
        <v>11681</v>
      </c>
      <c r="C1165" s="473" t="s">
        <v>11681</v>
      </c>
      <c r="D1165" s="473" t="s">
        <v>11681</v>
      </c>
      <c r="E1165" s="473" t="s">
        <v>11681</v>
      </c>
      <c r="F1165" s="473" t="s">
        <v>11681</v>
      </c>
      <c r="G1165" s="473" t="s">
        <v>11681</v>
      </c>
      <c r="H1165" s="473" t="s">
        <v>11681</v>
      </c>
      <c r="I1165" s="473" t="s">
        <v>11681</v>
      </c>
      <c r="J1165" s="473" t="s">
        <v>11681</v>
      </c>
      <c r="K1165" s="473" t="s">
        <v>11681</v>
      </c>
      <c r="L1165" s="473" t="s">
        <v>11681</v>
      </c>
      <c r="M1165" s="474" t="s">
        <v>11681</v>
      </c>
    </row>
    <row r="1166" spans="1:13">
      <c r="A1166" s="475" t="s">
        <v>11659</v>
      </c>
      <c r="B1166" s="475" t="s">
        <v>11682</v>
      </c>
      <c r="C1166" s="475" t="s">
        <v>11682</v>
      </c>
      <c r="D1166" s="475" t="s">
        <v>11682</v>
      </c>
      <c r="E1166" s="475" t="s">
        <v>11682</v>
      </c>
      <c r="F1166" s="475" t="s">
        <v>11682</v>
      </c>
      <c r="G1166" s="475" t="s">
        <v>11682</v>
      </c>
      <c r="H1166" s="475" t="s">
        <v>11682</v>
      </c>
      <c r="I1166" s="475" t="s">
        <v>11682</v>
      </c>
      <c r="J1166" s="475" t="s">
        <v>11682</v>
      </c>
      <c r="K1166" s="475" t="s">
        <v>11682</v>
      </c>
      <c r="L1166" s="475" t="s">
        <v>11682</v>
      </c>
      <c r="M1166" s="476" t="s">
        <v>11682</v>
      </c>
    </row>
    <row r="1167" spans="1:13">
      <c r="A1167" s="473" t="s">
        <v>11660</v>
      </c>
      <c r="B1167" s="473" t="s">
        <v>11683</v>
      </c>
      <c r="C1167" s="473" t="s">
        <v>11683</v>
      </c>
      <c r="D1167" s="473" t="s">
        <v>11683</v>
      </c>
      <c r="E1167" s="473" t="s">
        <v>11683</v>
      </c>
      <c r="F1167" s="473" t="s">
        <v>11683</v>
      </c>
      <c r="G1167" s="473" t="s">
        <v>11683</v>
      </c>
      <c r="H1167" s="473" t="s">
        <v>11683</v>
      </c>
      <c r="I1167" s="473" t="s">
        <v>11683</v>
      </c>
      <c r="J1167" s="473" t="s">
        <v>11683</v>
      </c>
      <c r="K1167" s="473" t="s">
        <v>11683</v>
      </c>
      <c r="L1167" s="473" t="s">
        <v>11683</v>
      </c>
      <c r="M1167" s="474" t="s">
        <v>11683</v>
      </c>
    </row>
    <row r="1168" spans="1:13">
      <c r="A1168" s="475" t="s">
        <v>11661</v>
      </c>
      <c r="B1168" s="475" t="s">
        <v>11684</v>
      </c>
      <c r="C1168" s="475" t="s">
        <v>11684</v>
      </c>
      <c r="D1168" s="475" t="s">
        <v>11684</v>
      </c>
      <c r="E1168" s="475" t="s">
        <v>11684</v>
      </c>
      <c r="F1168" s="475" t="s">
        <v>11684</v>
      </c>
      <c r="G1168" s="475" t="s">
        <v>11684</v>
      </c>
      <c r="H1168" s="475" t="s">
        <v>11684</v>
      </c>
      <c r="I1168" s="475" t="s">
        <v>11684</v>
      </c>
      <c r="J1168" s="475" t="s">
        <v>11684</v>
      </c>
      <c r="K1168" s="475" t="s">
        <v>11684</v>
      </c>
      <c r="L1168" s="475" t="s">
        <v>11684</v>
      </c>
      <c r="M1168" s="476" t="s">
        <v>11684</v>
      </c>
    </row>
    <row r="1169" spans="1:13">
      <c r="A1169" s="473" t="s">
        <v>11662</v>
      </c>
      <c r="B1169" s="473" t="s">
        <v>11685</v>
      </c>
      <c r="C1169" s="473" t="s">
        <v>11685</v>
      </c>
      <c r="D1169" s="473" t="s">
        <v>11685</v>
      </c>
      <c r="E1169" s="473" t="s">
        <v>11685</v>
      </c>
      <c r="F1169" s="473" t="s">
        <v>11685</v>
      </c>
      <c r="G1169" s="473" t="s">
        <v>11685</v>
      </c>
      <c r="H1169" s="473" t="s">
        <v>11685</v>
      </c>
      <c r="I1169" s="473" t="s">
        <v>11685</v>
      </c>
      <c r="J1169" s="473" t="s">
        <v>11685</v>
      </c>
      <c r="K1169" s="473" t="s">
        <v>11685</v>
      </c>
      <c r="L1169" s="473" t="s">
        <v>11685</v>
      </c>
      <c r="M1169" s="474" t="s">
        <v>11685</v>
      </c>
    </row>
    <row r="1170" spans="1:13">
      <c r="A1170" s="472" t="s">
        <v>813</v>
      </c>
      <c r="B1170" s="465" t="s">
        <v>815</v>
      </c>
      <c r="C1170" s="466" t="s">
        <v>814</v>
      </c>
      <c r="D1170" s="466" t="s">
        <v>816</v>
      </c>
      <c r="E1170" s="466" t="s">
        <v>3556</v>
      </c>
      <c r="F1170" s="465" t="s">
        <v>3557</v>
      </c>
      <c r="G1170" s="465" t="s">
        <v>3558</v>
      </c>
      <c r="H1170" s="465" t="s">
        <v>3559</v>
      </c>
      <c r="I1170" s="465" t="s">
        <v>3560</v>
      </c>
      <c r="J1170" s="465" t="s">
        <v>3561</v>
      </c>
      <c r="K1170" s="465" t="s">
        <v>7238</v>
      </c>
      <c r="L1170" s="465" t="s">
        <v>8454</v>
      </c>
      <c r="M1170" s="467" t="s">
        <v>7805</v>
      </c>
    </row>
    <row r="1171" spans="1:13">
      <c r="A1171" s="461" t="s">
        <v>2237</v>
      </c>
      <c r="B1171" s="461" t="s">
        <v>2518</v>
      </c>
      <c r="C1171" s="468" t="s">
        <v>2611</v>
      </c>
      <c r="D1171" s="468" t="s">
        <v>2684</v>
      </c>
      <c r="E1171" s="468" t="s">
        <v>4046</v>
      </c>
      <c r="F1171" s="461" t="s">
        <v>4047</v>
      </c>
      <c r="G1171" s="461" t="s">
        <v>4048</v>
      </c>
      <c r="H1171" s="461" t="s">
        <v>4049</v>
      </c>
      <c r="I1171" s="461" t="s">
        <v>4050</v>
      </c>
      <c r="J1171" s="461" t="s">
        <v>4051</v>
      </c>
      <c r="K1171" s="461" t="s">
        <v>7316</v>
      </c>
      <c r="L1171" s="461" t="s">
        <v>8533</v>
      </c>
      <c r="M1171" s="469" t="s">
        <v>7883</v>
      </c>
    </row>
    <row r="1172" spans="1:13">
      <c r="A1172" s="465" t="s">
        <v>4052</v>
      </c>
      <c r="B1172" s="465" t="s">
        <v>2518</v>
      </c>
      <c r="C1172" s="466" t="s">
        <v>2611</v>
      </c>
      <c r="D1172" s="466" t="s">
        <v>2684</v>
      </c>
      <c r="E1172" s="466" t="s">
        <v>4046</v>
      </c>
      <c r="F1172" s="465" t="s">
        <v>4047</v>
      </c>
      <c r="G1172" s="465" t="s">
        <v>4048</v>
      </c>
      <c r="H1172" s="465" t="s">
        <v>4049</v>
      </c>
      <c r="I1172" s="465" t="s">
        <v>4050</v>
      </c>
      <c r="J1172" s="465" t="s">
        <v>4051</v>
      </c>
      <c r="K1172" s="465" t="s">
        <v>7316</v>
      </c>
      <c r="L1172" s="465" t="s">
        <v>8533</v>
      </c>
      <c r="M1172" s="467" t="s">
        <v>7883</v>
      </c>
    </row>
    <row r="1173" spans="1:13">
      <c r="A1173" s="461" t="s">
        <v>709</v>
      </c>
      <c r="B1173" s="461" t="s">
        <v>711</v>
      </c>
      <c r="C1173" s="468" t="s">
        <v>710</v>
      </c>
      <c r="D1173" s="468" t="s">
        <v>712</v>
      </c>
      <c r="E1173" s="468" t="s">
        <v>4302</v>
      </c>
      <c r="F1173" s="461" t="s">
        <v>4303</v>
      </c>
      <c r="G1173" s="461" t="s">
        <v>4304</v>
      </c>
      <c r="H1173" s="461" t="s">
        <v>4305</v>
      </c>
      <c r="I1173" s="461" t="s">
        <v>4306</v>
      </c>
      <c r="J1173" s="461" t="s">
        <v>4307</v>
      </c>
      <c r="K1173" s="461" t="s">
        <v>7348</v>
      </c>
      <c r="L1173" s="461" t="s">
        <v>8564</v>
      </c>
      <c r="M1173" s="469" t="s">
        <v>7918</v>
      </c>
    </row>
    <row r="1174" spans="1:13">
      <c r="A1174" s="465" t="s">
        <v>778</v>
      </c>
      <c r="B1174" s="465" t="s">
        <v>758</v>
      </c>
      <c r="C1174" s="466" t="s">
        <v>757</v>
      </c>
      <c r="D1174" s="465" t="s">
        <v>759</v>
      </c>
      <c r="E1174" s="465" t="s">
        <v>4391</v>
      </c>
      <c r="F1174" s="465" t="s">
        <v>4392</v>
      </c>
      <c r="G1174" s="465" t="s">
        <v>4393</v>
      </c>
      <c r="H1174" s="465" t="s">
        <v>4394</v>
      </c>
      <c r="I1174" s="465" t="s">
        <v>4395</v>
      </c>
      <c r="J1174" s="465" t="s">
        <v>4396</v>
      </c>
      <c r="K1174" s="465" t="s">
        <v>7363</v>
      </c>
      <c r="L1174" s="465" t="s">
        <v>8579</v>
      </c>
      <c r="M1174" s="467" t="s">
        <v>7933</v>
      </c>
    </row>
    <row r="1175" spans="1:13">
      <c r="A1175" s="473" t="s">
        <v>12013</v>
      </c>
      <c r="B1175" s="473" t="s">
        <v>758</v>
      </c>
      <c r="C1175" s="473" t="s">
        <v>757</v>
      </c>
      <c r="D1175" s="473" t="s">
        <v>759</v>
      </c>
      <c r="E1175" s="473" t="s">
        <v>4391</v>
      </c>
      <c r="F1175" s="473" t="s">
        <v>4392</v>
      </c>
      <c r="G1175" s="473" t="s">
        <v>4393</v>
      </c>
      <c r="H1175" s="473" t="s">
        <v>4394</v>
      </c>
      <c r="I1175" s="473" t="s">
        <v>4395</v>
      </c>
      <c r="J1175" s="473" t="s">
        <v>4396</v>
      </c>
      <c r="K1175" s="473" t="s">
        <v>7363</v>
      </c>
      <c r="L1175" s="473" t="s">
        <v>8579</v>
      </c>
      <c r="M1175" s="474" t="s">
        <v>7933</v>
      </c>
    </row>
    <row r="1176" spans="1:13">
      <c r="A1176" s="465" t="s">
        <v>781</v>
      </c>
      <c r="B1176" s="465" t="s">
        <v>764</v>
      </c>
      <c r="C1176" s="466" t="s">
        <v>763</v>
      </c>
      <c r="D1176" s="466" t="s">
        <v>765</v>
      </c>
      <c r="E1176" s="466" t="s">
        <v>4403</v>
      </c>
      <c r="F1176" s="465" t="s">
        <v>4404</v>
      </c>
      <c r="G1176" s="465" t="s">
        <v>4405</v>
      </c>
      <c r="H1176" s="465" t="s">
        <v>4406</v>
      </c>
      <c r="I1176" s="465" t="s">
        <v>4407</v>
      </c>
      <c r="J1176" s="465" t="s">
        <v>4408</v>
      </c>
      <c r="K1176" s="465" t="s">
        <v>7365</v>
      </c>
      <c r="L1176" s="465" t="s">
        <v>8581</v>
      </c>
      <c r="M1176" s="467" t="s">
        <v>7935</v>
      </c>
    </row>
    <row r="1177" spans="1:13">
      <c r="A1177" s="473" t="s">
        <v>12016</v>
      </c>
      <c r="B1177" s="473" t="s">
        <v>764</v>
      </c>
      <c r="C1177" s="473" t="s">
        <v>763</v>
      </c>
      <c r="D1177" s="473" t="s">
        <v>765</v>
      </c>
      <c r="E1177" s="473" t="s">
        <v>4403</v>
      </c>
      <c r="F1177" s="473" t="s">
        <v>4404</v>
      </c>
      <c r="G1177" s="473" t="s">
        <v>4405</v>
      </c>
      <c r="H1177" s="473" t="s">
        <v>4406</v>
      </c>
      <c r="I1177" s="473" t="s">
        <v>4407</v>
      </c>
      <c r="J1177" s="473" t="s">
        <v>4408</v>
      </c>
      <c r="K1177" s="473" t="s">
        <v>7365</v>
      </c>
      <c r="L1177" s="473" t="s">
        <v>8581</v>
      </c>
      <c r="M1177" s="474" t="s">
        <v>7935</v>
      </c>
    </row>
    <row r="1178" spans="1:13">
      <c r="A1178" s="465" t="s">
        <v>780</v>
      </c>
      <c r="B1178" s="465" t="s">
        <v>764</v>
      </c>
      <c r="C1178" s="466" t="s">
        <v>763</v>
      </c>
      <c r="D1178" s="466" t="s">
        <v>765</v>
      </c>
      <c r="E1178" s="466" t="s">
        <v>4403</v>
      </c>
      <c r="F1178" s="465" t="s">
        <v>4404</v>
      </c>
      <c r="G1178" s="465" t="s">
        <v>4405</v>
      </c>
      <c r="H1178" s="465" t="s">
        <v>4406</v>
      </c>
      <c r="I1178" s="465" t="s">
        <v>4407</v>
      </c>
      <c r="J1178" s="465" t="s">
        <v>4408</v>
      </c>
      <c r="K1178" s="465" t="s">
        <v>7365</v>
      </c>
      <c r="L1178" s="465" t="s">
        <v>8581</v>
      </c>
      <c r="M1178" s="467" t="s">
        <v>7935</v>
      </c>
    </row>
    <row r="1179" spans="1:13">
      <c r="A1179" s="473" t="s">
        <v>12015</v>
      </c>
      <c r="B1179" s="473" t="s">
        <v>764</v>
      </c>
      <c r="C1179" s="473" t="s">
        <v>763</v>
      </c>
      <c r="D1179" s="473" t="s">
        <v>765</v>
      </c>
      <c r="E1179" s="473" t="s">
        <v>4403</v>
      </c>
      <c r="F1179" s="473" t="s">
        <v>4404</v>
      </c>
      <c r="G1179" s="473" t="s">
        <v>4405</v>
      </c>
      <c r="H1179" s="473" t="s">
        <v>4406</v>
      </c>
      <c r="I1179" s="473" t="s">
        <v>4407</v>
      </c>
      <c r="J1179" s="473" t="s">
        <v>4408</v>
      </c>
      <c r="K1179" s="473" t="s">
        <v>7365</v>
      </c>
      <c r="L1179" s="473" t="s">
        <v>8581</v>
      </c>
      <c r="M1179" s="474" t="s">
        <v>7935</v>
      </c>
    </row>
    <row r="1180" spans="1:13">
      <c r="A1180" s="465" t="s">
        <v>2255</v>
      </c>
      <c r="B1180" s="465" t="s">
        <v>1503</v>
      </c>
      <c r="C1180" s="466" t="s">
        <v>1502</v>
      </c>
      <c r="D1180" s="466" t="s">
        <v>2693</v>
      </c>
      <c r="E1180" s="466" t="s">
        <v>4368</v>
      </c>
      <c r="F1180" s="465" t="s">
        <v>4369</v>
      </c>
      <c r="G1180" s="465" t="s">
        <v>4370</v>
      </c>
      <c r="H1180" s="465" t="s">
        <v>4371</v>
      </c>
      <c r="I1180" s="465" t="s">
        <v>4372</v>
      </c>
      <c r="J1180" s="465" t="s">
        <v>4373</v>
      </c>
      <c r="K1180" s="465" t="s">
        <v>7359</v>
      </c>
      <c r="L1180" s="465" t="s">
        <v>8575</v>
      </c>
      <c r="M1180" s="467" t="s">
        <v>7929</v>
      </c>
    </row>
    <row r="1181" spans="1:13">
      <c r="A1181" s="472" t="s">
        <v>2251</v>
      </c>
      <c r="B1181" s="461" t="s">
        <v>1503</v>
      </c>
      <c r="C1181" s="468" t="s">
        <v>1502</v>
      </c>
      <c r="D1181" s="468" t="s">
        <v>2693</v>
      </c>
      <c r="E1181" s="468" t="s">
        <v>4368</v>
      </c>
      <c r="F1181" s="461" t="s">
        <v>4369</v>
      </c>
      <c r="G1181" s="461" t="s">
        <v>4370</v>
      </c>
      <c r="H1181" s="461" t="s">
        <v>4371</v>
      </c>
      <c r="I1181" s="461" t="s">
        <v>4372</v>
      </c>
      <c r="J1181" s="461" t="s">
        <v>4373</v>
      </c>
      <c r="K1181" s="461" t="s">
        <v>7359</v>
      </c>
      <c r="L1181" s="461" t="s">
        <v>8575</v>
      </c>
      <c r="M1181" s="469" t="s">
        <v>7929</v>
      </c>
    </row>
    <row r="1182" spans="1:13">
      <c r="A1182" s="465" t="s">
        <v>782</v>
      </c>
      <c r="B1182" s="465" t="s">
        <v>768</v>
      </c>
      <c r="C1182" s="466" t="s">
        <v>767</v>
      </c>
      <c r="D1182" s="466" t="s">
        <v>769</v>
      </c>
      <c r="E1182" s="466" t="s">
        <v>4374</v>
      </c>
      <c r="F1182" s="465" t="s">
        <v>4375</v>
      </c>
      <c r="G1182" s="465" t="s">
        <v>4376</v>
      </c>
      <c r="H1182" s="465" t="s">
        <v>4374</v>
      </c>
      <c r="I1182" s="465" t="s">
        <v>4377</v>
      </c>
      <c r="J1182" s="465" t="s">
        <v>4378</v>
      </c>
      <c r="K1182" s="465" t="s">
        <v>7360</v>
      </c>
      <c r="L1182" s="465" t="s">
        <v>8576</v>
      </c>
      <c r="M1182" s="467" t="s">
        <v>7930</v>
      </c>
    </row>
    <row r="1183" spans="1:13">
      <c r="A1183" s="473" t="s">
        <v>10496</v>
      </c>
      <c r="B1183" s="473" t="s">
        <v>10604</v>
      </c>
      <c r="C1183" s="473" t="s">
        <v>10608</v>
      </c>
      <c r="D1183" s="473" t="s">
        <v>10610</v>
      </c>
      <c r="E1183" s="473" t="s">
        <v>10612</v>
      </c>
      <c r="F1183" s="473" t="s">
        <v>10614</v>
      </c>
      <c r="G1183" s="473" t="s">
        <v>10616</v>
      </c>
      <c r="H1183" s="473" t="s">
        <v>10606</v>
      </c>
      <c r="I1183" s="473" t="s">
        <v>10618</v>
      </c>
      <c r="J1183" s="473" t="s">
        <v>10620</v>
      </c>
      <c r="K1183" s="473" t="s">
        <v>10622</v>
      </c>
      <c r="L1183" s="473" t="s">
        <v>10624</v>
      </c>
      <c r="M1183" s="474" t="s">
        <v>10626</v>
      </c>
    </row>
    <row r="1184" spans="1:13">
      <c r="A1184" s="472" t="s">
        <v>2253</v>
      </c>
      <c r="B1184" s="465" t="s">
        <v>768</v>
      </c>
      <c r="C1184" s="466" t="s">
        <v>767</v>
      </c>
      <c r="D1184" s="466" t="s">
        <v>769</v>
      </c>
      <c r="E1184" s="466" t="s">
        <v>4374</v>
      </c>
      <c r="F1184" s="465" t="s">
        <v>4375</v>
      </c>
      <c r="G1184" s="465" t="s">
        <v>4376</v>
      </c>
      <c r="H1184" s="465" t="s">
        <v>4374</v>
      </c>
      <c r="I1184" s="465" t="s">
        <v>4377</v>
      </c>
      <c r="J1184" s="465" t="s">
        <v>4378</v>
      </c>
      <c r="K1184" s="465" t="s">
        <v>7360</v>
      </c>
      <c r="L1184" s="465" t="s">
        <v>8576</v>
      </c>
      <c r="M1184" s="467" t="s">
        <v>7930</v>
      </c>
    </row>
    <row r="1185" spans="1:13">
      <c r="A1185" s="461" t="s">
        <v>773</v>
      </c>
      <c r="B1185" s="461" t="s">
        <v>776</v>
      </c>
      <c r="C1185" s="468" t="s">
        <v>775</v>
      </c>
      <c r="D1185" s="461" t="s">
        <v>777</v>
      </c>
      <c r="E1185" s="461" t="s">
        <v>4385</v>
      </c>
      <c r="F1185" s="461" t="s">
        <v>4386</v>
      </c>
      <c r="G1185" s="461" t="s">
        <v>4387</v>
      </c>
      <c r="H1185" s="461" t="s">
        <v>4388</v>
      </c>
      <c r="I1185" s="461" t="s">
        <v>4389</v>
      </c>
      <c r="J1185" s="461" t="s">
        <v>4390</v>
      </c>
      <c r="K1185" s="461" t="s">
        <v>7362</v>
      </c>
      <c r="L1185" s="461" t="s">
        <v>8578</v>
      </c>
      <c r="M1185" s="469" t="s">
        <v>7932</v>
      </c>
    </row>
    <row r="1186" spans="1:13">
      <c r="A1186" s="465" t="s">
        <v>740</v>
      </c>
      <c r="B1186" s="465" t="s">
        <v>359</v>
      </c>
      <c r="C1186" s="466" t="s">
        <v>358</v>
      </c>
      <c r="D1186" s="466" t="s">
        <v>360</v>
      </c>
      <c r="E1186" s="466" t="s">
        <v>3654</v>
      </c>
      <c r="F1186" s="465" t="s">
        <v>3655</v>
      </c>
      <c r="G1186" s="465" t="s">
        <v>4355</v>
      </c>
      <c r="H1186" s="465" t="s">
        <v>3654</v>
      </c>
      <c r="I1186" s="465" t="s">
        <v>3656</v>
      </c>
      <c r="J1186" s="465" t="s">
        <v>3657</v>
      </c>
      <c r="K1186" s="465" t="s">
        <v>7252</v>
      </c>
      <c r="L1186" s="465" t="s">
        <v>8468</v>
      </c>
      <c r="M1186" s="467" t="s">
        <v>7877</v>
      </c>
    </row>
    <row r="1187" spans="1:13">
      <c r="A1187" s="461" t="s">
        <v>2249</v>
      </c>
      <c r="B1187" s="461" t="s">
        <v>2528</v>
      </c>
      <c r="C1187" s="468" t="s">
        <v>2618</v>
      </c>
      <c r="D1187" s="468" t="s">
        <v>2692</v>
      </c>
      <c r="E1187" s="468" t="s">
        <v>4349</v>
      </c>
      <c r="F1187" s="461" t="s">
        <v>4350</v>
      </c>
      <c r="G1187" s="461" t="s">
        <v>4351</v>
      </c>
      <c r="H1187" s="461" t="s">
        <v>4352</v>
      </c>
      <c r="I1187" s="461" t="s">
        <v>4353</v>
      </c>
      <c r="J1187" s="461" t="s">
        <v>4354</v>
      </c>
      <c r="K1187" s="461" t="s">
        <v>7356</v>
      </c>
      <c r="L1187" s="461" t="s">
        <v>8572</v>
      </c>
      <c r="M1187" s="469" t="s">
        <v>7926</v>
      </c>
    </row>
    <row r="1188" spans="1:13">
      <c r="A1188" s="465" t="s">
        <v>736</v>
      </c>
      <c r="B1188" s="465" t="s">
        <v>738</v>
      </c>
      <c r="C1188" s="466" t="s">
        <v>737</v>
      </c>
      <c r="D1188" s="466" t="s">
        <v>739</v>
      </c>
      <c r="E1188" s="466" t="s">
        <v>4343</v>
      </c>
      <c r="F1188" s="465" t="s">
        <v>4344</v>
      </c>
      <c r="G1188" s="465" t="s">
        <v>4345</v>
      </c>
      <c r="H1188" s="465" t="s">
        <v>4346</v>
      </c>
      <c r="I1188" s="465" t="s">
        <v>4347</v>
      </c>
      <c r="J1188" s="465" t="s">
        <v>4348</v>
      </c>
      <c r="K1188" s="465" t="s">
        <v>7355</v>
      </c>
      <c r="L1188" s="465" t="s">
        <v>8571</v>
      </c>
      <c r="M1188" s="467" t="s">
        <v>7925</v>
      </c>
    </row>
    <row r="1189" spans="1:13">
      <c r="A1189" s="461" t="s">
        <v>717</v>
      </c>
      <c r="B1189" s="461" t="s">
        <v>720</v>
      </c>
      <c r="C1189" s="468" t="s">
        <v>719</v>
      </c>
      <c r="D1189" s="468" t="s">
        <v>721</v>
      </c>
      <c r="E1189" s="468" t="s">
        <v>4313</v>
      </c>
      <c r="F1189" s="461" t="s">
        <v>4314</v>
      </c>
      <c r="G1189" s="461" t="s">
        <v>4315</v>
      </c>
      <c r="H1189" s="461" t="s">
        <v>4316</v>
      </c>
      <c r="I1189" s="461" t="s">
        <v>4317</v>
      </c>
      <c r="J1189" s="461" t="s">
        <v>4318</v>
      </c>
      <c r="K1189" s="471" t="s">
        <v>7350</v>
      </c>
      <c r="L1189" s="461" t="s">
        <v>8566</v>
      </c>
      <c r="M1189" s="469" t="s">
        <v>7920</v>
      </c>
    </row>
    <row r="1190" spans="1:13">
      <c r="A1190" s="465" t="s">
        <v>713</v>
      </c>
      <c r="B1190" s="465" t="s">
        <v>2526</v>
      </c>
      <c r="C1190" s="466" t="s">
        <v>715</v>
      </c>
      <c r="D1190" s="466" t="s">
        <v>716</v>
      </c>
      <c r="E1190" s="466" t="s">
        <v>4308</v>
      </c>
      <c r="F1190" s="465" t="s">
        <v>4309</v>
      </c>
      <c r="G1190" s="465" t="s">
        <v>4310</v>
      </c>
      <c r="H1190" s="465" t="s">
        <v>4308</v>
      </c>
      <c r="I1190" s="465" t="s">
        <v>4311</v>
      </c>
      <c r="J1190" s="465" t="s">
        <v>4312</v>
      </c>
      <c r="K1190" s="465" t="s">
        <v>7349</v>
      </c>
      <c r="L1190" s="465" t="s">
        <v>8565</v>
      </c>
      <c r="M1190" s="467" t="s">
        <v>7919</v>
      </c>
    </row>
    <row r="1191" spans="1:13">
      <c r="A1191" s="461" t="s">
        <v>722</v>
      </c>
      <c r="B1191" s="461" t="s">
        <v>725</v>
      </c>
      <c r="C1191" s="468" t="s">
        <v>724</v>
      </c>
      <c r="D1191" s="468" t="s">
        <v>726</v>
      </c>
      <c r="E1191" s="468" t="s">
        <v>4319</v>
      </c>
      <c r="F1191" s="461" t="s">
        <v>4320</v>
      </c>
      <c r="G1191" s="461" t="s">
        <v>4321</v>
      </c>
      <c r="H1191" s="461" t="s">
        <v>4322</v>
      </c>
      <c r="I1191" s="461" t="s">
        <v>4323</v>
      </c>
      <c r="J1191" s="461" t="s">
        <v>4324</v>
      </c>
      <c r="K1191" s="461" t="s">
        <v>7351</v>
      </c>
      <c r="L1191" s="461" t="s">
        <v>8567</v>
      </c>
      <c r="M1191" s="469" t="s">
        <v>7921</v>
      </c>
    </row>
    <row r="1192" spans="1:13">
      <c r="A1192" s="475" t="s">
        <v>11634</v>
      </c>
      <c r="B1192" s="475" t="s">
        <v>11853</v>
      </c>
      <c r="C1192" s="475" t="s">
        <v>11854</v>
      </c>
      <c r="D1192" s="475" t="s">
        <v>11855</v>
      </c>
      <c r="E1192" s="475" t="s">
        <v>11856</v>
      </c>
      <c r="F1192" s="475" t="s">
        <v>11857</v>
      </c>
      <c r="G1192" s="475" t="s">
        <v>11858</v>
      </c>
      <c r="H1192" s="475" t="s">
        <v>11859</v>
      </c>
      <c r="I1192" s="475" t="s">
        <v>11860</v>
      </c>
      <c r="J1192" s="475" t="s">
        <v>11861</v>
      </c>
      <c r="K1192" s="475" t="s">
        <v>11862</v>
      </c>
      <c r="L1192" s="475" t="s">
        <v>11863</v>
      </c>
      <c r="M1192" s="476" t="s">
        <v>11864</v>
      </c>
    </row>
    <row r="1193" spans="1:13">
      <c r="A1193" s="461" t="s">
        <v>732</v>
      </c>
      <c r="B1193" s="461" t="s">
        <v>734</v>
      </c>
      <c r="C1193" s="468" t="s">
        <v>733</v>
      </c>
      <c r="D1193" s="468" t="s">
        <v>735</v>
      </c>
      <c r="E1193" s="468" t="s">
        <v>4337</v>
      </c>
      <c r="F1193" s="461" t="s">
        <v>4338</v>
      </c>
      <c r="G1193" s="461" t="s">
        <v>4339</v>
      </c>
      <c r="H1193" s="461" t="s">
        <v>4340</v>
      </c>
      <c r="I1193" s="461" t="s">
        <v>4341</v>
      </c>
      <c r="J1193" s="461" t="s">
        <v>4342</v>
      </c>
      <c r="K1193" s="461" t="s">
        <v>7354</v>
      </c>
      <c r="L1193" s="461" t="s">
        <v>8570</v>
      </c>
      <c r="M1193" s="469" t="s">
        <v>7924</v>
      </c>
    </row>
    <row r="1194" spans="1:13">
      <c r="A1194" s="465" t="s">
        <v>741</v>
      </c>
      <c r="B1194" s="465" t="s">
        <v>744</v>
      </c>
      <c r="C1194" s="466" t="s">
        <v>743</v>
      </c>
      <c r="D1194" s="466" t="s">
        <v>745</v>
      </c>
      <c r="E1194" s="466" t="s">
        <v>4356</v>
      </c>
      <c r="F1194" s="465" t="s">
        <v>4357</v>
      </c>
      <c r="G1194" s="465" t="s">
        <v>4358</v>
      </c>
      <c r="H1194" s="465" t="s">
        <v>4359</v>
      </c>
      <c r="I1194" s="465" t="s">
        <v>4360</v>
      </c>
      <c r="J1194" s="465" t="s">
        <v>4361</v>
      </c>
      <c r="K1194" s="465" t="s">
        <v>7357</v>
      </c>
      <c r="L1194" s="465" t="s">
        <v>8573</v>
      </c>
      <c r="M1194" s="467" t="s">
        <v>7927</v>
      </c>
    </row>
    <row r="1195" spans="1:13">
      <c r="A1195" s="461" t="s">
        <v>746</v>
      </c>
      <c r="B1195" s="461" t="s">
        <v>744</v>
      </c>
      <c r="C1195" s="468" t="s">
        <v>743</v>
      </c>
      <c r="D1195" s="468" t="s">
        <v>745</v>
      </c>
      <c r="E1195" s="468" t="s">
        <v>4356</v>
      </c>
      <c r="F1195" s="461" t="s">
        <v>4357</v>
      </c>
      <c r="G1195" s="461" t="s">
        <v>4358</v>
      </c>
      <c r="H1195" s="461" t="s">
        <v>4359</v>
      </c>
      <c r="I1195" s="461" t="s">
        <v>4360</v>
      </c>
      <c r="J1195" s="461" t="s">
        <v>4361</v>
      </c>
      <c r="K1195" s="461" t="s">
        <v>7357</v>
      </c>
      <c r="L1195" s="461" t="s">
        <v>8573</v>
      </c>
      <c r="M1195" s="469" t="s">
        <v>7927</v>
      </c>
    </row>
    <row r="1196" spans="1:13">
      <c r="A1196" s="465" t="s">
        <v>2250</v>
      </c>
      <c r="B1196" s="465" t="s">
        <v>748</v>
      </c>
      <c r="C1196" s="466" t="s">
        <v>747</v>
      </c>
      <c r="D1196" s="466" t="s">
        <v>749</v>
      </c>
      <c r="E1196" s="466" t="s">
        <v>4362</v>
      </c>
      <c r="F1196" s="465" t="s">
        <v>4363</v>
      </c>
      <c r="G1196" s="465" t="s">
        <v>4364</v>
      </c>
      <c r="H1196" s="465" t="s">
        <v>4365</v>
      </c>
      <c r="I1196" s="465" t="s">
        <v>4366</v>
      </c>
      <c r="J1196" s="465" t="s">
        <v>4367</v>
      </c>
      <c r="K1196" s="465" t="s">
        <v>7358</v>
      </c>
      <c r="L1196" s="465" t="s">
        <v>8574</v>
      </c>
      <c r="M1196" s="467" t="s">
        <v>7928</v>
      </c>
    </row>
    <row r="1197" spans="1:13">
      <c r="A1197" s="461" t="s">
        <v>752</v>
      </c>
      <c r="B1197" s="461" t="s">
        <v>748</v>
      </c>
      <c r="C1197" s="468" t="s">
        <v>747</v>
      </c>
      <c r="D1197" s="468" t="s">
        <v>749</v>
      </c>
      <c r="E1197" s="468" t="s">
        <v>4362</v>
      </c>
      <c r="F1197" s="461" t="s">
        <v>4363</v>
      </c>
      <c r="G1197" s="461" t="s">
        <v>4364</v>
      </c>
      <c r="H1197" s="461" t="s">
        <v>4365</v>
      </c>
      <c r="I1197" s="461" t="s">
        <v>4366</v>
      </c>
      <c r="J1197" s="461" t="s">
        <v>4367</v>
      </c>
      <c r="K1197" s="461" t="s">
        <v>7358</v>
      </c>
      <c r="L1197" s="461" t="s">
        <v>8574</v>
      </c>
      <c r="M1197" s="469" t="s">
        <v>7928</v>
      </c>
    </row>
    <row r="1198" spans="1:13">
      <c r="A1198" s="465" t="s">
        <v>750</v>
      </c>
      <c r="B1198" s="465" t="s">
        <v>748</v>
      </c>
      <c r="C1198" s="466" t="s">
        <v>747</v>
      </c>
      <c r="D1198" s="466" t="s">
        <v>749</v>
      </c>
      <c r="E1198" s="466" t="s">
        <v>4362</v>
      </c>
      <c r="F1198" s="465" t="s">
        <v>4363</v>
      </c>
      <c r="G1198" s="465" t="s">
        <v>4364</v>
      </c>
      <c r="H1198" s="465" t="s">
        <v>4365</v>
      </c>
      <c r="I1198" s="465" t="s">
        <v>4366</v>
      </c>
      <c r="J1198" s="465" t="s">
        <v>4367</v>
      </c>
      <c r="K1198" s="465" t="s">
        <v>7358</v>
      </c>
      <c r="L1198" s="465" t="s">
        <v>8574</v>
      </c>
      <c r="M1198" s="467" t="s">
        <v>7928</v>
      </c>
    </row>
    <row r="1199" spans="1:13">
      <c r="A1199" s="461" t="s">
        <v>9052</v>
      </c>
      <c r="B1199" s="461" t="s">
        <v>9053</v>
      </c>
      <c r="C1199" s="468" t="s">
        <v>9054</v>
      </c>
      <c r="D1199" s="468" t="s">
        <v>9055</v>
      </c>
      <c r="E1199" s="468" t="s">
        <v>9054</v>
      </c>
      <c r="F1199" s="461" t="s">
        <v>9054</v>
      </c>
      <c r="G1199" s="461" t="s">
        <v>9054</v>
      </c>
      <c r="H1199" s="461" t="s">
        <v>9054</v>
      </c>
      <c r="I1199" s="461" t="s">
        <v>9054</v>
      </c>
      <c r="J1199" s="461" t="s">
        <v>9054</v>
      </c>
      <c r="K1199" s="461" t="s">
        <v>9054</v>
      </c>
      <c r="L1199" s="461" t="s">
        <v>9054</v>
      </c>
      <c r="M1199" s="469" t="s">
        <v>9054</v>
      </c>
    </row>
    <row r="1200" spans="1:13">
      <c r="A1200" s="465" t="s">
        <v>783</v>
      </c>
      <c r="B1200" s="465" t="s">
        <v>772</v>
      </c>
      <c r="C1200" s="466" t="s">
        <v>706</v>
      </c>
      <c r="D1200" s="466" t="s">
        <v>708</v>
      </c>
      <c r="E1200" s="466" t="s">
        <v>4379</v>
      </c>
      <c r="F1200" s="465" t="s">
        <v>4380</v>
      </c>
      <c r="G1200" s="465" t="s">
        <v>4381</v>
      </c>
      <c r="H1200" s="465" t="s">
        <v>4382</v>
      </c>
      <c r="I1200" s="465" t="s">
        <v>4383</v>
      </c>
      <c r="J1200" s="465" t="s">
        <v>4384</v>
      </c>
      <c r="K1200" s="465" t="s">
        <v>7361</v>
      </c>
      <c r="L1200" s="465" t="s">
        <v>8577</v>
      </c>
      <c r="M1200" s="467" t="s">
        <v>7931</v>
      </c>
    </row>
    <row r="1201" spans="1:13">
      <c r="A1201" s="473" t="s">
        <v>11204</v>
      </c>
      <c r="B1201" s="473" t="s">
        <v>1315</v>
      </c>
      <c r="C1201" s="473" t="s">
        <v>355</v>
      </c>
      <c r="D1201" s="473" t="s">
        <v>357</v>
      </c>
      <c r="E1201" s="473" t="s">
        <v>3608</v>
      </c>
      <c r="F1201" s="473" t="s">
        <v>3609</v>
      </c>
      <c r="G1201" s="473" t="s">
        <v>5036</v>
      </c>
      <c r="H1201" s="473" t="s">
        <v>3611</v>
      </c>
      <c r="I1201" s="473" t="s">
        <v>3612</v>
      </c>
      <c r="J1201" s="473" t="s">
        <v>3613</v>
      </c>
      <c r="K1201" s="473" t="s">
        <v>7246</v>
      </c>
      <c r="L1201" s="473" t="s">
        <v>8462</v>
      </c>
      <c r="M1201" s="474" t="s">
        <v>8034</v>
      </c>
    </row>
    <row r="1202" spans="1:13">
      <c r="A1202" s="465" t="s">
        <v>770</v>
      </c>
      <c r="B1202" s="465" t="s">
        <v>772</v>
      </c>
      <c r="C1202" s="466" t="s">
        <v>706</v>
      </c>
      <c r="D1202" s="466" t="s">
        <v>708</v>
      </c>
      <c r="E1202" s="466" t="s">
        <v>4379</v>
      </c>
      <c r="F1202" s="465" t="s">
        <v>4380</v>
      </c>
      <c r="G1202" s="465" t="s">
        <v>4381</v>
      </c>
      <c r="H1202" s="465" t="s">
        <v>4382</v>
      </c>
      <c r="I1202" s="465" t="s">
        <v>4383</v>
      </c>
      <c r="J1202" s="465" t="s">
        <v>4384</v>
      </c>
      <c r="K1202" s="465" t="s">
        <v>7361</v>
      </c>
      <c r="L1202" s="465" t="s">
        <v>8577</v>
      </c>
      <c r="M1202" s="467" t="s">
        <v>7931</v>
      </c>
    </row>
    <row r="1203" spans="1:13">
      <c r="A1203" s="473" t="s">
        <v>10495</v>
      </c>
      <c r="B1203" s="473" t="s">
        <v>10604</v>
      </c>
      <c r="C1203" s="473" t="s">
        <v>10608</v>
      </c>
      <c r="D1203" s="473" t="s">
        <v>10610</v>
      </c>
      <c r="E1203" s="473" t="s">
        <v>10612</v>
      </c>
      <c r="F1203" s="473" t="s">
        <v>10614</v>
      </c>
      <c r="G1203" s="473" t="s">
        <v>10616</v>
      </c>
      <c r="H1203" s="473" t="s">
        <v>10606</v>
      </c>
      <c r="I1203" s="473" t="s">
        <v>10618</v>
      </c>
      <c r="J1203" s="473" t="s">
        <v>10620</v>
      </c>
      <c r="K1203" s="473" t="s">
        <v>10622</v>
      </c>
      <c r="L1203" s="473" t="s">
        <v>10624</v>
      </c>
      <c r="M1203" s="474" t="s">
        <v>10626</v>
      </c>
    </row>
    <row r="1204" spans="1:13">
      <c r="A1204" s="465" t="s">
        <v>789</v>
      </c>
      <c r="B1204" s="465" t="s">
        <v>772</v>
      </c>
      <c r="C1204" s="466" t="s">
        <v>706</v>
      </c>
      <c r="D1204" s="466" t="s">
        <v>708</v>
      </c>
      <c r="E1204" s="466" t="s">
        <v>4379</v>
      </c>
      <c r="F1204" s="465" t="s">
        <v>4380</v>
      </c>
      <c r="G1204" s="465" t="s">
        <v>4422</v>
      </c>
      <c r="H1204" s="465" t="s">
        <v>4382</v>
      </c>
      <c r="I1204" s="465" t="s">
        <v>4383</v>
      </c>
      <c r="J1204" s="465" t="s">
        <v>4421</v>
      </c>
      <c r="K1204" s="465" t="s">
        <v>7361</v>
      </c>
      <c r="L1204" s="465" t="s">
        <v>8577</v>
      </c>
      <c r="M1204" s="467" t="s">
        <v>7931</v>
      </c>
    </row>
    <row r="1205" spans="1:13">
      <c r="A1205" s="473" t="s">
        <v>871</v>
      </c>
      <c r="B1205" s="461" t="s">
        <v>873</v>
      </c>
      <c r="C1205" s="468" t="s">
        <v>872</v>
      </c>
      <c r="D1205" s="468" t="s">
        <v>874</v>
      </c>
      <c r="E1205" s="468" t="s">
        <v>4612</v>
      </c>
      <c r="F1205" s="461" t="s">
        <v>4613</v>
      </c>
      <c r="G1205" s="461" t="s">
        <v>4614</v>
      </c>
      <c r="H1205" s="461" t="s">
        <v>4615</v>
      </c>
      <c r="I1205" s="461" t="s">
        <v>4616</v>
      </c>
      <c r="J1205" s="461" t="s">
        <v>4617</v>
      </c>
      <c r="K1205" s="471" t="s">
        <v>12374</v>
      </c>
      <c r="L1205" s="461" t="s">
        <v>8616</v>
      </c>
      <c r="M1205" s="469" t="s">
        <v>7970</v>
      </c>
    </row>
    <row r="1206" spans="1:13">
      <c r="A1206" s="475" t="s">
        <v>10744</v>
      </c>
      <c r="B1206" s="465" t="s">
        <v>873</v>
      </c>
      <c r="C1206" s="466" t="s">
        <v>872</v>
      </c>
      <c r="D1206" s="466" t="s">
        <v>874</v>
      </c>
      <c r="E1206" s="466" t="s">
        <v>4612</v>
      </c>
      <c r="F1206" s="465" t="s">
        <v>4613</v>
      </c>
      <c r="G1206" s="465" t="s">
        <v>4614</v>
      </c>
      <c r="H1206" s="465" t="s">
        <v>4615</v>
      </c>
      <c r="I1206" s="465" t="s">
        <v>4616</v>
      </c>
      <c r="J1206" s="465" t="s">
        <v>4617</v>
      </c>
      <c r="K1206" s="470" t="s">
        <v>10844</v>
      </c>
      <c r="L1206" s="465" t="s">
        <v>8616</v>
      </c>
      <c r="M1206" s="467" t="s">
        <v>7970</v>
      </c>
    </row>
    <row r="1207" spans="1:13">
      <c r="A1207" s="473" t="s">
        <v>875</v>
      </c>
      <c r="B1207" s="461" t="s">
        <v>873</v>
      </c>
      <c r="C1207" s="468" t="s">
        <v>872</v>
      </c>
      <c r="D1207" s="468" t="s">
        <v>874</v>
      </c>
      <c r="E1207" s="468" t="s">
        <v>4612</v>
      </c>
      <c r="F1207" s="461" t="s">
        <v>4613</v>
      </c>
      <c r="G1207" s="461" t="s">
        <v>4614</v>
      </c>
      <c r="H1207" s="461" t="s">
        <v>4615</v>
      </c>
      <c r="I1207" s="461" t="s">
        <v>4616</v>
      </c>
      <c r="J1207" s="461" t="s">
        <v>4617</v>
      </c>
      <c r="K1207" s="471" t="s">
        <v>12374</v>
      </c>
      <c r="L1207" s="461" t="s">
        <v>8616</v>
      </c>
      <c r="M1207" s="469" t="s">
        <v>7970</v>
      </c>
    </row>
    <row r="1208" spans="1:13">
      <c r="A1208" s="475" t="s">
        <v>858</v>
      </c>
      <c r="B1208" s="465" t="s">
        <v>860</v>
      </c>
      <c r="C1208" s="466" t="s">
        <v>859</v>
      </c>
      <c r="D1208" s="466" t="s">
        <v>861</v>
      </c>
      <c r="E1208" s="466" t="s">
        <v>4594</v>
      </c>
      <c r="F1208" s="465" t="s">
        <v>4595</v>
      </c>
      <c r="G1208" s="465" t="s">
        <v>4596</v>
      </c>
      <c r="H1208" s="465" t="s">
        <v>4597</v>
      </c>
      <c r="I1208" s="465" t="s">
        <v>4598</v>
      </c>
      <c r="J1208" s="465" t="s">
        <v>4599</v>
      </c>
      <c r="K1208" s="470" t="s">
        <v>12375</v>
      </c>
      <c r="L1208" s="465" t="s">
        <v>8613</v>
      </c>
      <c r="M1208" s="467" t="s">
        <v>7967</v>
      </c>
    </row>
    <row r="1209" spans="1:13">
      <c r="A1209" s="473" t="s">
        <v>862</v>
      </c>
      <c r="B1209" s="461" t="s">
        <v>865</v>
      </c>
      <c r="C1209" s="468" t="s">
        <v>864</v>
      </c>
      <c r="D1209" s="468" t="s">
        <v>866</v>
      </c>
      <c r="E1209" s="468" t="s">
        <v>4600</v>
      </c>
      <c r="F1209" s="461" t="s">
        <v>4601</v>
      </c>
      <c r="G1209" s="461" t="s">
        <v>4602</v>
      </c>
      <c r="H1209" s="461" t="s">
        <v>4603</v>
      </c>
      <c r="I1209" s="461" t="s">
        <v>4604</v>
      </c>
      <c r="J1209" s="461" t="s">
        <v>4605</v>
      </c>
      <c r="K1209" s="471" t="s">
        <v>12376</v>
      </c>
      <c r="L1209" s="461" t="s">
        <v>8614</v>
      </c>
      <c r="M1209" s="469" t="s">
        <v>7968</v>
      </c>
    </row>
    <row r="1210" spans="1:13">
      <c r="A1210" s="475" t="s">
        <v>867</v>
      </c>
      <c r="B1210" s="465" t="s">
        <v>869</v>
      </c>
      <c r="C1210" s="466" t="s">
        <v>868</v>
      </c>
      <c r="D1210" s="466" t="s">
        <v>870</v>
      </c>
      <c r="E1210" s="466" t="s">
        <v>4606</v>
      </c>
      <c r="F1210" s="465" t="s">
        <v>4607</v>
      </c>
      <c r="G1210" s="465" t="s">
        <v>4608</v>
      </c>
      <c r="H1210" s="465" t="s">
        <v>4609</v>
      </c>
      <c r="I1210" s="465" t="s">
        <v>4610</v>
      </c>
      <c r="J1210" s="465" t="s">
        <v>4611</v>
      </c>
      <c r="K1210" s="470" t="s">
        <v>12377</v>
      </c>
      <c r="L1210" s="465" t="s">
        <v>8615</v>
      </c>
      <c r="M1210" s="467" t="s">
        <v>7969</v>
      </c>
    </row>
    <row r="1211" spans="1:13">
      <c r="A1211" s="472" t="s">
        <v>98</v>
      </c>
      <c r="B1211" s="461" t="s">
        <v>101</v>
      </c>
      <c r="C1211" s="468" t="s">
        <v>100</v>
      </c>
      <c r="D1211" s="468" t="s">
        <v>102</v>
      </c>
      <c r="E1211" s="468" t="s">
        <v>2917</v>
      </c>
      <c r="F1211" s="461" t="s">
        <v>2918</v>
      </c>
      <c r="G1211" s="461" t="s">
        <v>2919</v>
      </c>
      <c r="H1211" s="461" t="s">
        <v>2920</v>
      </c>
      <c r="I1211" s="461" t="s">
        <v>2921</v>
      </c>
      <c r="J1211" s="461" t="s">
        <v>2922</v>
      </c>
      <c r="K1211" s="461" t="s">
        <v>7145</v>
      </c>
      <c r="L1211" s="461" t="s">
        <v>8365</v>
      </c>
      <c r="M1211" s="469" t="s">
        <v>7710</v>
      </c>
    </row>
    <row r="1212" spans="1:13">
      <c r="A1212" s="465" t="s">
        <v>103</v>
      </c>
      <c r="B1212" s="465" t="s">
        <v>101</v>
      </c>
      <c r="C1212" s="466" t="s">
        <v>100</v>
      </c>
      <c r="D1212" s="466" t="s">
        <v>102</v>
      </c>
      <c r="E1212" s="466" t="s">
        <v>2917</v>
      </c>
      <c r="F1212" s="465" t="s">
        <v>2918</v>
      </c>
      <c r="G1212" s="465" t="s">
        <v>2919</v>
      </c>
      <c r="H1212" s="465" t="s">
        <v>2920</v>
      </c>
      <c r="I1212" s="465" t="s">
        <v>2921</v>
      </c>
      <c r="J1212" s="465" t="s">
        <v>2922</v>
      </c>
      <c r="K1212" s="465" t="s">
        <v>7145</v>
      </c>
      <c r="L1212" s="465" t="s">
        <v>8365</v>
      </c>
      <c r="M1212" s="467" t="s">
        <v>7710</v>
      </c>
    </row>
    <row r="1213" spans="1:13">
      <c r="A1213" s="461" t="s">
        <v>1795</v>
      </c>
      <c r="B1213" s="461" t="s">
        <v>1796</v>
      </c>
      <c r="C1213" s="468" t="s">
        <v>1796</v>
      </c>
      <c r="D1213" s="468" t="s">
        <v>1796</v>
      </c>
      <c r="E1213" s="468" t="s">
        <v>5836</v>
      </c>
      <c r="F1213" s="461" t="s">
        <v>5837</v>
      </c>
      <c r="G1213" s="461" t="s">
        <v>1796</v>
      </c>
      <c r="H1213" s="468" t="s">
        <v>5838</v>
      </c>
      <c r="I1213" s="461" t="s">
        <v>5839</v>
      </c>
      <c r="J1213" s="461" t="s">
        <v>5840</v>
      </c>
      <c r="K1213" s="471" t="s">
        <v>7562</v>
      </c>
      <c r="L1213" s="461" t="s">
        <v>1796</v>
      </c>
      <c r="M1213" s="469" t="s">
        <v>8186</v>
      </c>
    </row>
    <row r="1214" spans="1:13">
      <c r="A1214" s="465" t="s">
        <v>1797</v>
      </c>
      <c r="B1214" s="465" t="s">
        <v>1798</v>
      </c>
      <c r="C1214" s="466" t="s">
        <v>1798</v>
      </c>
      <c r="D1214" s="466" t="s">
        <v>1798</v>
      </c>
      <c r="E1214" s="466" t="s">
        <v>5841</v>
      </c>
      <c r="F1214" s="465" t="s">
        <v>5842</v>
      </c>
      <c r="G1214" s="465" t="s">
        <v>1798</v>
      </c>
      <c r="H1214" s="466" t="s">
        <v>5843</v>
      </c>
      <c r="I1214" s="465" t="s">
        <v>5844</v>
      </c>
      <c r="J1214" s="465" t="s">
        <v>5845</v>
      </c>
      <c r="K1214" s="470" t="s">
        <v>7563</v>
      </c>
      <c r="L1214" s="465" t="s">
        <v>1798</v>
      </c>
      <c r="M1214" s="467" t="s">
        <v>8187</v>
      </c>
    </row>
    <row r="1215" spans="1:13">
      <c r="A1215" s="461" t="s">
        <v>1799</v>
      </c>
      <c r="B1215" s="461" t="s">
        <v>1800</v>
      </c>
      <c r="C1215" s="468" t="s">
        <v>1800</v>
      </c>
      <c r="D1215" s="468" t="s">
        <v>1800</v>
      </c>
      <c r="E1215" s="468" t="s">
        <v>5846</v>
      </c>
      <c r="F1215" s="461" t="s">
        <v>5847</v>
      </c>
      <c r="G1215" s="461" t="s">
        <v>1800</v>
      </c>
      <c r="H1215" s="468" t="s">
        <v>5848</v>
      </c>
      <c r="I1215" s="461" t="s">
        <v>5849</v>
      </c>
      <c r="J1215" s="461" t="s">
        <v>5850</v>
      </c>
      <c r="K1215" s="471" t="s">
        <v>7564</v>
      </c>
      <c r="L1215" s="461" t="s">
        <v>1800</v>
      </c>
      <c r="M1215" s="469" t="s">
        <v>8188</v>
      </c>
    </row>
    <row r="1216" spans="1:13">
      <c r="A1216" s="465" t="s">
        <v>1801</v>
      </c>
      <c r="B1216" s="465" t="s">
        <v>1579</v>
      </c>
      <c r="C1216" s="466" t="s">
        <v>1579</v>
      </c>
      <c r="D1216" s="466" t="s">
        <v>1579</v>
      </c>
      <c r="E1216" s="466" t="s">
        <v>5851</v>
      </c>
      <c r="F1216" s="465" t="s">
        <v>5852</v>
      </c>
      <c r="G1216" s="465" t="s">
        <v>1579</v>
      </c>
      <c r="H1216" s="466" t="s">
        <v>5853</v>
      </c>
      <c r="I1216" s="465" t="s">
        <v>5854</v>
      </c>
      <c r="J1216" s="465" t="s">
        <v>5855</v>
      </c>
      <c r="K1216" s="470" t="s">
        <v>7565</v>
      </c>
      <c r="L1216" s="465" t="s">
        <v>1579</v>
      </c>
      <c r="M1216" s="467" t="s">
        <v>8189</v>
      </c>
    </row>
    <row r="1217" spans="1:13">
      <c r="A1217" s="461" t="s">
        <v>1802</v>
      </c>
      <c r="B1217" s="461" t="s">
        <v>1803</v>
      </c>
      <c r="C1217" s="468" t="s">
        <v>1803</v>
      </c>
      <c r="D1217" s="468" t="s">
        <v>1803</v>
      </c>
      <c r="E1217" s="468" t="s">
        <v>5856</v>
      </c>
      <c r="F1217" s="461" t="s">
        <v>5857</v>
      </c>
      <c r="G1217" s="461" t="s">
        <v>1803</v>
      </c>
      <c r="H1217" s="468" t="s">
        <v>5858</v>
      </c>
      <c r="I1217" s="461" t="s">
        <v>5859</v>
      </c>
      <c r="J1217" s="461" t="s">
        <v>5860</v>
      </c>
      <c r="K1217" s="471" t="s">
        <v>7566</v>
      </c>
      <c r="L1217" s="461" t="s">
        <v>1803</v>
      </c>
      <c r="M1217" s="469" t="s">
        <v>8190</v>
      </c>
    </row>
    <row r="1218" spans="1:13">
      <c r="A1218" s="465" t="s">
        <v>1804</v>
      </c>
      <c r="B1218" s="465" t="s">
        <v>1247</v>
      </c>
      <c r="C1218" s="466" t="s">
        <v>1247</v>
      </c>
      <c r="D1218" s="466" t="s">
        <v>1247</v>
      </c>
      <c r="E1218" s="466" t="s">
        <v>5861</v>
      </c>
      <c r="F1218" s="465" t="s">
        <v>4990</v>
      </c>
      <c r="G1218" s="465" t="s">
        <v>1247</v>
      </c>
      <c r="H1218" s="466" t="s">
        <v>4991</v>
      </c>
      <c r="I1218" s="465" t="s">
        <v>5333</v>
      </c>
      <c r="J1218" s="465" t="s">
        <v>5334</v>
      </c>
      <c r="K1218" s="465" t="s">
        <v>7406</v>
      </c>
      <c r="L1218" s="465" t="s">
        <v>1247</v>
      </c>
      <c r="M1218" s="467" t="s">
        <v>8191</v>
      </c>
    </row>
    <row r="1219" spans="1:13">
      <c r="A1219" s="461" t="s">
        <v>1805</v>
      </c>
      <c r="B1219" s="461" t="s">
        <v>1806</v>
      </c>
      <c r="C1219" s="468" t="s">
        <v>1806</v>
      </c>
      <c r="D1219" s="468" t="s">
        <v>1806</v>
      </c>
      <c r="E1219" s="468" t="s">
        <v>5862</v>
      </c>
      <c r="F1219" s="461" t="s">
        <v>5863</v>
      </c>
      <c r="G1219" s="461" t="s">
        <v>1806</v>
      </c>
      <c r="H1219" s="468" t="s">
        <v>5864</v>
      </c>
      <c r="I1219" s="461" t="s">
        <v>5865</v>
      </c>
      <c r="J1219" s="461" t="s">
        <v>5866</v>
      </c>
      <c r="K1219" s="461" t="s">
        <v>7567</v>
      </c>
      <c r="L1219" s="461" t="s">
        <v>1806</v>
      </c>
      <c r="M1219" s="469" t="s">
        <v>8192</v>
      </c>
    </row>
    <row r="1220" spans="1:13">
      <c r="A1220" s="465" t="s">
        <v>1807</v>
      </c>
      <c r="B1220" s="465" t="s">
        <v>1808</v>
      </c>
      <c r="C1220" s="466" t="s">
        <v>1808</v>
      </c>
      <c r="D1220" s="466" t="s">
        <v>1808</v>
      </c>
      <c r="E1220" s="466" t="s">
        <v>5068</v>
      </c>
      <c r="F1220" s="465" t="s">
        <v>5867</v>
      </c>
      <c r="G1220" s="465" t="s">
        <v>1808</v>
      </c>
      <c r="H1220" s="466" t="s">
        <v>5092</v>
      </c>
      <c r="I1220" s="465" t="s">
        <v>5868</v>
      </c>
      <c r="J1220" s="465" t="s">
        <v>5869</v>
      </c>
      <c r="K1220" s="465" t="s">
        <v>7418</v>
      </c>
      <c r="L1220" s="465" t="s">
        <v>1808</v>
      </c>
      <c r="M1220" s="467" t="s">
        <v>8193</v>
      </c>
    </row>
    <row r="1221" spans="1:13">
      <c r="A1221" s="461" t="s">
        <v>1812</v>
      </c>
      <c r="B1221" s="461" t="s">
        <v>1814</v>
      </c>
      <c r="C1221" s="468" t="s">
        <v>1814</v>
      </c>
      <c r="D1221" s="468" t="s">
        <v>1814</v>
      </c>
      <c r="E1221" s="468" t="s">
        <v>5878</v>
      </c>
      <c r="F1221" s="461" t="s">
        <v>5879</v>
      </c>
      <c r="G1221" s="461" t="s">
        <v>1814</v>
      </c>
      <c r="H1221" s="468" t="s">
        <v>5880</v>
      </c>
      <c r="I1221" s="461" t="s">
        <v>5881</v>
      </c>
      <c r="J1221" s="461" t="s">
        <v>5882</v>
      </c>
      <c r="K1221" s="461" t="s">
        <v>7570</v>
      </c>
      <c r="L1221" s="461" t="s">
        <v>1814</v>
      </c>
      <c r="M1221" s="469" t="s">
        <v>8196</v>
      </c>
    </row>
    <row r="1222" spans="1:13">
      <c r="A1222" s="465" t="s">
        <v>613</v>
      </c>
      <c r="B1222" s="465" t="s">
        <v>2516</v>
      </c>
      <c r="C1222" s="466" t="s">
        <v>615</v>
      </c>
      <c r="D1222" s="466" t="s">
        <v>616</v>
      </c>
      <c r="E1222" s="466" t="s">
        <v>4034</v>
      </c>
      <c r="F1222" s="465" t="s">
        <v>4035</v>
      </c>
      <c r="G1222" s="465" t="s">
        <v>4036</v>
      </c>
      <c r="H1222" s="465" t="s">
        <v>4037</v>
      </c>
      <c r="I1222" s="465" t="s">
        <v>4038</v>
      </c>
      <c r="J1222" s="465" t="s">
        <v>4039</v>
      </c>
      <c r="K1222" s="465" t="s">
        <v>7314</v>
      </c>
      <c r="L1222" s="465" t="s">
        <v>8531</v>
      </c>
      <c r="M1222" s="467" t="s">
        <v>7881</v>
      </c>
    </row>
    <row r="1223" spans="1:13">
      <c r="A1223" s="461" t="s">
        <v>1809</v>
      </c>
      <c r="B1223" s="461" t="s">
        <v>1810</v>
      </c>
      <c r="C1223" s="468" t="s">
        <v>1810</v>
      </c>
      <c r="D1223" s="468" t="s">
        <v>1810</v>
      </c>
      <c r="E1223" s="468" t="s">
        <v>5870</v>
      </c>
      <c r="F1223" s="461" t="s">
        <v>5871</v>
      </c>
      <c r="G1223" s="461" t="s">
        <v>1810</v>
      </c>
      <c r="H1223" s="468" t="s">
        <v>5872</v>
      </c>
      <c r="I1223" s="461" t="s">
        <v>5873</v>
      </c>
      <c r="J1223" s="461" t="s">
        <v>5874</v>
      </c>
      <c r="K1223" s="461" t="s">
        <v>7568</v>
      </c>
      <c r="L1223" s="461" t="s">
        <v>1810</v>
      </c>
      <c r="M1223" s="469" t="s">
        <v>8194</v>
      </c>
    </row>
    <row r="1224" spans="1:13">
      <c r="A1224" s="465" t="s">
        <v>1811</v>
      </c>
      <c r="B1224" s="465" t="s">
        <v>1298</v>
      </c>
      <c r="C1224" s="466" t="s">
        <v>1298</v>
      </c>
      <c r="D1224" s="466" t="s">
        <v>1298</v>
      </c>
      <c r="E1224" s="466" t="s">
        <v>5875</v>
      </c>
      <c r="F1224" s="465" t="s">
        <v>5114</v>
      </c>
      <c r="G1224" s="465" t="s">
        <v>1298</v>
      </c>
      <c r="H1224" s="466" t="s">
        <v>5876</v>
      </c>
      <c r="I1224" s="465" t="s">
        <v>5877</v>
      </c>
      <c r="J1224" s="465" t="s">
        <v>5117</v>
      </c>
      <c r="K1224" s="465" t="s">
        <v>7569</v>
      </c>
      <c r="L1224" s="465" t="s">
        <v>1298</v>
      </c>
      <c r="M1224" s="467" t="s">
        <v>8195</v>
      </c>
    </row>
    <row r="1225" spans="1:13">
      <c r="A1225" s="461" t="s">
        <v>1836</v>
      </c>
      <c r="B1225" s="461" t="s">
        <v>1740</v>
      </c>
      <c r="C1225" s="468" t="s">
        <v>1740</v>
      </c>
      <c r="D1225" s="468" t="s">
        <v>1740</v>
      </c>
      <c r="E1225" s="468" t="s">
        <v>5888</v>
      </c>
      <c r="F1225" s="461" t="s">
        <v>5889</v>
      </c>
      <c r="G1225" s="461" t="s">
        <v>1740</v>
      </c>
      <c r="H1225" s="468" t="s">
        <v>5890</v>
      </c>
      <c r="I1225" s="461" t="s">
        <v>5891</v>
      </c>
      <c r="J1225" s="461" t="s">
        <v>5892</v>
      </c>
      <c r="K1225" s="461" t="s">
        <v>7572</v>
      </c>
      <c r="L1225" s="461" t="s">
        <v>1740</v>
      </c>
      <c r="M1225" s="469" t="s">
        <v>8198</v>
      </c>
    </row>
    <row r="1226" spans="1:13">
      <c r="A1226" s="465" t="s">
        <v>1837</v>
      </c>
      <c r="B1226" s="465" t="s">
        <v>1815</v>
      </c>
      <c r="C1226" s="466" t="s">
        <v>1815</v>
      </c>
      <c r="D1226" s="466" t="s">
        <v>1815</v>
      </c>
      <c r="E1226" s="466" t="s">
        <v>5523</v>
      </c>
      <c r="F1226" s="465" t="s">
        <v>5893</v>
      </c>
      <c r="G1226" s="465" t="s">
        <v>1815</v>
      </c>
      <c r="H1226" s="466" t="s">
        <v>5894</v>
      </c>
      <c r="I1226" s="465" t="s">
        <v>5895</v>
      </c>
      <c r="J1226" s="465" t="s">
        <v>5527</v>
      </c>
      <c r="K1226" s="465" t="s">
        <v>7573</v>
      </c>
      <c r="L1226" s="465" t="s">
        <v>1815</v>
      </c>
      <c r="M1226" s="467" t="s">
        <v>8199</v>
      </c>
    </row>
    <row r="1227" spans="1:13">
      <c r="A1227" s="461" t="s">
        <v>1838</v>
      </c>
      <c r="B1227" s="461" t="s">
        <v>1839</v>
      </c>
      <c r="C1227" s="468" t="s">
        <v>1839</v>
      </c>
      <c r="D1227" s="468" t="s">
        <v>1839</v>
      </c>
      <c r="E1227" s="468" t="s">
        <v>5896</v>
      </c>
      <c r="F1227" s="461" t="s">
        <v>5897</v>
      </c>
      <c r="G1227" s="461" t="s">
        <v>1839</v>
      </c>
      <c r="H1227" s="468" t="s">
        <v>5898</v>
      </c>
      <c r="I1227" s="461" t="s">
        <v>5899</v>
      </c>
      <c r="J1227" s="461" t="s">
        <v>5900</v>
      </c>
      <c r="K1227" s="471" t="s">
        <v>7574</v>
      </c>
      <c r="L1227" s="461" t="s">
        <v>1839</v>
      </c>
      <c r="M1227" s="469" t="s">
        <v>8200</v>
      </c>
    </row>
    <row r="1228" spans="1:13">
      <c r="A1228" s="465" t="s">
        <v>1840</v>
      </c>
      <c r="B1228" s="465" t="s">
        <v>1810</v>
      </c>
      <c r="C1228" s="466" t="s">
        <v>1810</v>
      </c>
      <c r="D1228" s="466" t="s">
        <v>1810</v>
      </c>
      <c r="E1228" s="466" t="s">
        <v>5870</v>
      </c>
      <c r="F1228" s="465" t="s">
        <v>5871</v>
      </c>
      <c r="G1228" s="465" t="s">
        <v>1810</v>
      </c>
      <c r="H1228" s="466" t="s">
        <v>5872</v>
      </c>
      <c r="I1228" s="465" t="s">
        <v>5873</v>
      </c>
      <c r="J1228" s="465" t="s">
        <v>5874</v>
      </c>
      <c r="K1228" s="470" t="s">
        <v>7568</v>
      </c>
      <c r="L1228" s="465" t="s">
        <v>1810</v>
      </c>
      <c r="M1228" s="467" t="s">
        <v>8194</v>
      </c>
    </row>
    <row r="1229" spans="1:13">
      <c r="A1229" s="461" t="s">
        <v>1841</v>
      </c>
      <c r="B1229" s="461" t="s">
        <v>1816</v>
      </c>
      <c r="C1229" s="468" t="s">
        <v>1816</v>
      </c>
      <c r="D1229" s="468" t="s">
        <v>1816</v>
      </c>
      <c r="E1229" s="468" t="s">
        <v>5901</v>
      </c>
      <c r="F1229" s="461" t="s">
        <v>5902</v>
      </c>
      <c r="G1229" s="461" t="s">
        <v>1816</v>
      </c>
      <c r="H1229" s="468" t="s">
        <v>5903</v>
      </c>
      <c r="I1229" s="461" t="s">
        <v>5904</v>
      </c>
      <c r="J1229" s="461" t="s">
        <v>5905</v>
      </c>
      <c r="K1229" s="471" t="s">
        <v>7575</v>
      </c>
      <c r="L1229" s="461" t="s">
        <v>1816</v>
      </c>
      <c r="M1229" s="469" t="s">
        <v>8201</v>
      </c>
    </row>
    <row r="1230" spans="1:13">
      <c r="A1230" s="465" t="s">
        <v>1842</v>
      </c>
      <c r="B1230" s="465" t="s">
        <v>1796</v>
      </c>
      <c r="C1230" s="466" t="s">
        <v>1796</v>
      </c>
      <c r="D1230" s="466" t="s">
        <v>1796</v>
      </c>
      <c r="E1230" s="466" t="s">
        <v>5836</v>
      </c>
      <c r="F1230" s="465" t="s">
        <v>5837</v>
      </c>
      <c r="G1230" s="465" t="s">
        <v>1796</v>
      </c>
      <c r="H1230" s="466" t="s">
        <v>5838</v>
      </c>
      <c r="I1230" s="465" t="s">
        <v>5839</v>
      </c>
      <c r="J1230" s="465" t="s">
        <v>5840</v>
      </c>
      <c r="K1230" s="465" t="s">
        <v>7576</v>
      </c>
      <c r="L1230" s="465" t="s">
        <v>1796</v>
      </c>
      <c r="M1230" s="467" t="s">
        <v>8202</v>
      </c>
    </row>
    <row r="1231" spans="1:13">
      <c r="A1231" s="461" t="s">
        <v>1843</v>
      </c>
      <c r="B1231" s="461" t="s">
        <v>1818</v>
      </c>
      <c r="C1231" s="468" t="s">
        <v>1818</v>
      </c>
      <c r="D1231" s="468" t="s">
        <v>1818</v>
      </c>
      <c r="E1231" s="468" t="s">
        <v>5906</v>
      </c>
      <c r="F1231" s="461" t="s">
        <v>5907</v>
      </c>
      <c r="G1231" s="461" t="s">
        <v>1818</v>
      </c>
      <c r="H1231" s="468" t="s">
        <v>5908</v>
      </c>
      <c r="I1231" s="461" t="s">
        <v>5909</v>
      </c>
      <c r="J1231" s="461" t="s">
        <v>5910</v>
      </c>
      <c r="K1231" s="461" t="s">
        <v>7577</v>
      </c>
      <c r="L1231" s="461" t="s">
        <v>1818</v>
      </c>
      <c r="M1231" s="469" t="s">
        <v>8203</v>
      </c>
    </row>
    <row r="1232" spans="1:13">
      <c r="A1232" s="465" t="s">
        <v>1844</v>
      </c>
      <c r="B1232" s="465" t="s">
        <v>1819</v>
      </c>
      <c r="C1232" s="466" t="s">
        <v>1819</v>
      </c>
      <c r="D1232" s="466" t="s">
        <v>1819</v>
      </c>
      <c r="E1232" s="466" t="s">
        <v>5911</v>
      </c>
      <c r="F1232" s="465" t="s">
        <v>5912</v>
      </c>
      <c r="G1232" s="465" t="s">
        <v>1819</v>
      </c>
      <c r="H1232" s="466" t="s">
        <v>5913</v>
      </c>
      <c r="I1232" s="465" t="s">
        <v>5914</v>
      </c>
      <c r="J1232" s="465" t="s">
        <v>5915</v>
      </c>
      <c r="K1232" s="465" t="s">
        <v>7578</v>
      </c>
      <c r="L1232" s="465" t="s">
        <v>1819</v>
      </c>
      <c r="M1232" s="467" t="s">
        <v>8204</v>
      </c>
    </row>
    <row r="1233" spans="1:13">
      <c r="A1233" s="461" t="s">
        <v>1845</v>
      </c>
      <c r="B1233" s="461" t="s">
        <v>1808</v>
      </c>
      <c r="C1233" s="468" t="s">
        <v>1808</v>
      </c>
      <c r="D1233" s="468" t="s">
        <v>1808</v>
      </c>
      <c r="E1233" s="468" t="s">
        <v>5068</v>
      </c>
      <c r="F1233" s="461" t="s">
        <v>5867</v>
      </c>
      <c r="G1233" s="461" t="s">
        <v>1808</v>
      </c>
      <c r="H1233" s="468" t="s">
        <v>5092</v>
      </c>
      <c r="I1233" s="461" t="s">
        <v>5868</v>
      </c>
      <c r="J1233" s="461" t="s">
        <v>5869</v>
      </c>
      <c r="K1233" s="461" t="s">
        <v>7579</v>
      </c>
      <c r="L1233" s="461" t="s">
        <v>1808</v>
      </c>
      <c r="M1233" s="469" t="s">
        <v>8205</v>
      </c>
    </row>
    <row r="1234" spans="1:13">
      <c r="A1234" s="465" t="s">
        <v>1846</v>
      </c>
      <c r="B1234" s="465" t="s">
        <v>1822</v>
      </c>
      <c r="C1234" s="466" t="s">
        <v>1822</v>
      </c>
      <c r="D1234" s="466" t="s">
        <v>1822</v>
      </c>
      <c r="E1234" s="466" t="s">
        <v>5916</v>
      </c>
      <c r="F1234" s="465" t="s">
        <v>5917</v>
      </c>
      <c r="G1234" s="465" t="s">
        <v>1822</v>
      </c>
      <c r="H1234" s="466" t="s">
        <v>5918</v>
      </c>
      <c r="I1234" s="465" t="s">
        <v>5919</v>
      </c>
      <c r="J1234" s="465" t="s">
        <v>5920</v>
      </c>
      <c r="K1234" s="465" t="s">
        <v>7580</v>
      </c>
      <c r="L1234" s="465" t="s">
        <v>1822</v>
      </c>
      <c r="M1234" s="467" t="s">
        <v>8206</v>
      </c>
    </row>
    <row r="1235" spans="1:13">
      <c r="A1235" s="461" t="s">
        <v>1850</v>
      </c>
      <c r="B1235" s="461" t="s">
        <v>1823</v>
      </c>
      <c r="C1235" s="468" t="s">
        <v>1823</v>
      </c>
      <c r="D1235" s="468" t="s">
        <v>1823</v>
      </c>
      <c r="E1235" s="468" t="s">
        <v>5931</v>
      </c>
      <c r="F1235" s="461" t="s">
        <v>5932</v>
      </c>
      <c r="G1235" s="461" t="s">
        <v>1823</v>
      </c>
      <c r="H1235" s="468" t="s">
        <v>5933</v>
      </c>
      <c r="I1235" s="461" t="s">
        <v>5934</v>
      </c>
      <c r="J1235" s="461" t="s">
        <v>5935</v>
      </c>
      <c r="K1235" s="461" t="s">
        <v>7583</v>
      </c>
      <c r="L1235" s="461" t="s">
        <v>1823</v>
      </c>
      <c r="M1235" s="469" t="s">
        <v>8210</v>
      </c>
    </row>
    <row r="1236" spans="1:13">
      <c r="A1236" s="465" t="s">
        <v>1847</v>
      </c>
      <c r="B1236" s="465" t="s">
        <v>1824</v>
      </c>
      <c r="C1236" s="466" t="s">
        <v>1824</v>
      </c>
      <c r="D1236" s="466" t="s">
        <v>1824</v>
      </c>
      <c r="E1236" s="466" t="s">
        <v>5921</v>
      </c>
      <c r="F1236" s="465" t="s">
        <v>5922</v>
      </c>
      <c r="G1236" s="465" t="s">
        <v>1824</v>
      </c>
      <c r="H1236" s="466" t="s">
        <v>5923</v>
      </c>
      <c r="I1236" s="465" t="s">
        <v>5924</v>
      </c>
      <c r="J1236" s="465" t="s">
        <v>5925</v>
      </c>
      <c r="K1236" s="465" t="s">
        <v>7581</v>
      </c>
      <c r="L1236" s="465" t="s">
        <v>1824</v>
      </c>
      <c r="M1236" s="467" t="s">
        <v>8207</v>
      </c>
    </row>
    <row r="1237" spans="1:13">
      <c r="A1237" s="461" t="s">
        <v>1857</v>
      </c>
      <c r="B1237" s="461" t="s">
        <v>1859</v>
      </c>
      <c r="C1237" s="468" t="s">
        <v>1859</v>
      </c>
      <c r="D1237" s="468" t="s">
        <v>1859</v>
      </c>
      <c r="E1237" s="468" t="s">
        <v>5961</v>
      </c>
      <c r="F1237" s="461" t="s">
        <v>5962</v>
      </c>
      <c r="G1237" s="461" t="s">
        <v>1859</v>
      </c>
      <c r="H1237" s="468" t="s">
        <v>5963</v>
      </c>
      <c r="I1237" s="461" t="s">
        <v>5964</v>
      </c>
      <c r="J1237" s="461" t="s">
        <v>5965</v>
      </c>
      <c r="K1237" s="461" t="s">
        <v>7589</v>
      </c>
      <c r="L1237" s="461" t="s">
        <v>1859</v>
      </c>
      <c r="M1237" s="469" t="s">
        <v>1859</v>
      </c>
    </row>
    <row r="1238" spans="1:13">
      <c r="A1238" s="465" t="s">
        <v>1848</v>
      </c>
      <c r="B1238" s="465" t="s">
        <v>1806</v>
      </c>
      <c r="C1238" s="466" t="s">
        <v>1806</v>
      </c>
      <c r="D1238" s="466" t="s">
        <v>1806</v>
      </c>
      <c r="E1238" s="466" t="s">
        <v>5862</v>
      </c>
      <c r="F1238" s="465" t="s">
        <v>5863</v>
      </c>
      <c r="G1238" s="465" t="s">
        <v>1806</v>
      </c>
      <c r="H1238" s="466" t="s">
        <v>5864</v>
      </c>
      <c r="I1238" s="465" t="s">
        <v>5865</v>
      </c>
      <c r="J1238" s="465" t="s">
        <v>5866</v>
      </c>
      <c r="K1238" s="465" t="s">
        <v>7567</v>
      </c>
      <c r="L1238" s="465" t="s">
        <v>1806</v>
      </c>
      <c r="M1238" s="467" t="s">
        <v>8208</v>
      </c>
    </row>
    <row r="1239" spans="1:13">
      <c r="A1239" s="461" t="s">
        <v>1825</v>
      </c>
      <c r="B1239" s="461" t="s">
        <v>1247</v>
      </c>
      <c r="C1239" s="468" t="s">
        <v>1247</v>
      </c>
      <c r="D1239" s="468" t="s">
        <v>1247</v>
      </c>
      <c r="E1239" s="468" t="s">
        <v>5861</v>
      </c>
      <c r="F1239" s="461" t="s">
        <v>4990</v>
      </c>
      <c r="G1239" s="461" t="s">
        <v>1247</v>
      </c>
      <c r="H1239" s="468" t="s">
        <v>4991</v>
      </c>
      <c r="I1239" s="461" t="s">
        <v>5333</v>
      </c>
      <c r="J1239" s="461" t="s">
        <v>5334</v>
      </c>
      <c r="K1239" s="461" t="s">
        <v>7406</v>
      </c>
      <c r="L1239" s="461" t="s">
        <v>1247</v>
      </c>
      <c r="M1239" s="469" t="s">
        <v>8027</v>
      </c>
    </row>
    <row r="1240" spans="1:13">
      <c r="A1240" s="465" t="s">
        <v>1849</v>
      </c>
      <c r="B1240" s="465" t="s">
        <v>1826</v>
      </c>
      <c r="C1240" s="466" t="s">
        <v>1826</v>
      </c>
      <c r="D1240" s="466" t="s">
        <v>1826</v>
      </c>
      <c r="E1240" s="466" t="s">
        <v>5926</v>
      </c>
      <c r="F1240" s="465" t="s">
        <v>5927</v>
      </c>
      <c r="G1240" s="465" t="s">
        <v>1826</v>
      </c>
      <c r="H1240" s="466" t="s">
        <v>5928</v>
      </c>
      <c r="I1240" s="465" t="s">
        <v>5929</v>
      </c>
      <c r="J1240" s="465" t="s">
        <v>5930</v>
      </c>
      <c r="K1240" s="465" t="s">
        <v>7582</v>
      </c>
      <c r="L1240" s="465" t="s">
        <v>1826</v>
      </c>
      <c r="M1240" s="467" t="s">
        <v>8209</v>
      </c>
    </row>
    <row r="1241" spans="1:13">
      <c r="A1241" s="461" t="s">
        <v>1851</v>
      </c>
      <c r="B1241" s="461" t="s">
        <v>1827</v>
      </c>
      <c r="C1241" s="468" t="s">
        <v>1827</v>
      </c>
      <c r="D1241" s="468" t="s">
        <v>1827</v>
      </c>
      <c r="E1241" s="468" t="s">
        <v>5936</v>
      </c>
      <c r="F1241" s="461" t="s">
        <v>5937</v>
      </c>
      <c r="G1241" s="461" t="s">
        <v>1827</v>
      </c>
      <c r="H1241" s="468" t="s">
        <v>5938</v>
      </c>
      <c r="I1241" s="461" t="s">
        <v>5939</v>
      </c>
      <c r="J1241" s="461" t="s">
        <v>5940</v>
      </c>
      <c r="K1241" s="461" t="s">
        <v>7584</v>
      </c>
      <c r="L1241" s="461" t="s">
        <v>1827</v>
      </c>
      <c r="M1241" s="469" t="s">
        <v>8211</v>
      </c>
    </row>
    <row r="1242" spans="1:13">
      <c r="A1242" s="465" t="s">
        <v>1852</v>
      </c>
      <c r="B1242" s="465" t="s">
        <v>1829</v>
      </c>
      <c r="C1242" s="466" t="s">
        <v>1829</v>
      </c>
      <c r="D1242" s="466" t="s">
        <v>1829</v>
      </c>
      <c r="E1242" s="466" t="s">
        <v>5941</v>
      </c>
      <c r="F1242" s="465" t="s">
        <v>5942</v>
      </c>
      <c r="G1242" s="465" t="s">
        <v>1829</v>
      </c>
      <c r="H1242" s="466" t="s">
        <v>5943</v>
      </c>
      <c r="I1242" s="465" t="s">
        <v>5944</v>
      </c>
      <c r="J1242" s="465" t="s">
        <v>5945</v>
      </c>
      <c r="K1242" s="465" t="s">
        <v>7585</v>
      </c>
      <c r="L1242" s="465" t="s">
        <v>1829</v>
      </c>
      <c r="M1242" s="467" t="s">
        <v>8212</v>
      </c>
    </row>
    <row r="1243" spans="1:13">
      <c r="A1243" s="461" t="s">
        <v>1835</v>
      </c>
      <c r="B1243" s="461" t="s">
        <v>1298</v>
      </c>
      <c r="C1243" s="468" t="s">
        <v>1298</v>
      </c>
      <c r="D1243" s="468" t="s">
        <v>1298</v>
      </c>
      <c r="E1243" s="468" t="s">
        <v>5875</v>
      </c>
      <c r="F1243" s="461" t="s">
        <v>5114</v>
      </c>
      <c r="G1243" s="461" t="s">
        <v>1298</v>
      </c>
      <c r="H1243" s="468" t="s">
        <v>5876</v>
      </c>
      <c r="I1243" s="461" t="s">
        <v>5877</v>
      </c>
      <c r="J1243" s="461" t="s">
        <v>5117</v>
      </c>
      <c r="K1243" s="461" t="s">
        <v>7569</v>
      </c>
      <c r="L1243" s="461" t="s">
        <v>1298</v>
      </c>
      <c r="M1243" s="469" t="s">
        <v>8195</v>
      </c>
    </row>
    <row r="1244" spans="1:13">
      <c r="A1244" s="465" t="s">
        <v>1831</v>
      </c>
      <c r="B1244" s="465" t="s">
        <v>1832</v>
      </c>
      <c r="C1244" s="466" t="s">
        <v>1832</v>
      </c>
      <c r="D1244" s="466" t="s">
        <v>1832</v>
      </c>
      <c r="E1244" s="466" t="s">
        <v>5883</v>
      </c>
      <c r="F1244" s="465" t="s">
        <v>5884</v>
      </c>
      <c r="G1244" s="465" t="s">
        <v>1832</v>
      </c>
      <c r="H1244" s="466" t="s">
        <v>5885</v>
      </c>
      <c r="I1244" s="465" t="s">
        <v>5886</v>
      </c>
      <c r="J1244" s="465" t="s">
        <v>5887</v>
      </c>
      <c r="K1244" s="465" t="s">
        <v>7571</v>
      </c>
      <c r="L1244" s="465" t="s">
        <v>1832</v>
      </c>
      <c r="M1244" s="467" t="s">
        <v>8197</v>
      </c>
    </row>
    <row r="1245" spans="1:13">
      <c r="A1245" s="461" t="s">
        <v>1853</v>
      </c>
      <c r="B1245" s="461" t="s">
        <v>1833</v>
      </c>
      <c r="C1245" s="468" t="s">
        <v>1833</v>
      </c>
      <c r="D1245" s="468" t="s">
        <v>1833</v>
      </c>
      <c r="E1245" s="468" t="s">
        <v>5946</v>
      </c>
      <c r="F1245" s="461" t="s">
        <v>5947</v>
      </c>
      <c r="G1245" s="461" t="s">
        <v>1833</v>
      </c>
      <c r="H1245" s="468" t="s">
        <v>5948</v>
      </c>
      <c r="I1245" s="461" t="s">
        <v>5949</v>
      </c>
      <c r="J1245" s="461" t="s">
        <v>5950</v>
      </c>
      <c r="K1245" s="461" t="s">
        <v>7586</v>
      </c>
      <c r="L1245" s="461" t="s">
        <v>1833</v>
      </c>
      <c r="M1245" s="469" t="s">
        <v>8213</v>
      </c>
    </row>
    <row r="1246" spans="1:13">
      <c r="A1246" s="465" t="s">
        <v>1854</v>
      </c>
      <c r="B1246" s="465" t="s">
        <v>1855</v>
      </c>
      <c r="C1246" s="466" t="s">
        <v>1855</v>
      </c>
      <c r="D1246" s="466" t="s">
        <v>1855</v>
      </c>
      <c r="E1246" s="466" t="s">
        <v>5951</v>
      </c>
      <c r="F1246" s="465" t="s">
        <v>5952</v>
      </c>
      <c r="G1246" s="465" t="s">
        <v>1855</v>
      </c>
      <c r="H1246" s="466" t="s">
        <v>5953</v>
      </c>
      <c r="I1246" s="465" t="s">
        <v>5954</v>
      </c>
      <c r="J1246" s="465" t="s">
        <v>5955</v>
      </c>
      <c r="K1246" s="465" t="s">
        <v>7587</v>
      </c>
      <c r="L1246" s="465" t="s">
        <v>1855</v>
      </c>
      <c r="M1246" s="467" t="s">
        <v>8214</v>
      </c>
    </row>
    <row r="1247" spans="1:13">
      <c r="A1247" s="461" t="s">
        <v>1856</v>
      </c>
      <c r="B1247" s="461" t="s">
        <v>1834</v>
      </c>
      <c r="C1247" s="468" t="s">
        <v>1834</v>
      </c>
      <c r="D1247" s="468" t="s">
        <v>1834</v>
      </c>
      <c r="E1247" s="468" t="s">
        <v>5956</v>
      </c>
      <c r="F1247" s="461" t="s">
        <v>5957</v>
      </c>
      <c r="G1247" s="461" t="s">
        <v>1834</v>
      </c>
      <c r="H1247" s="468" t="s">
        <v>5958</v>
      </c>
      <c r="I1247" s="461" t="s">
        <v>5959</v>
      </c>
      <c r="J1247" s="461" t="s">
        <v>5960</v>
      </c>
      <c r="K1247" s="461" t="s">
        <v>7588</v>
      </c>
      <c r="L1247" s="461" t="s">
        <v>1834</v>
      </c>
      <c r="M1247" s="469" t="s">
        <v>8215</v>
      </c>
    </row>
    <row r="1248" spans="1:13">
      <c r="A1248" s="465" t="s">
        <v>1902</v>
      </c>
      <c r="B1248" s="465" t="s">
        <v>1860</v>
      </c>
      <c r="C1248" s="466" t="s">
        <v>1860</v>
      </c>
      <c r="D1248" s="466" t="s">
        <v>1860</v>
      </c>
      <c r="E1248" s="466" t="s">
        <v>5971</v>
      </c>
      <c r="F1248" s="465" t="s">
        <v>5972</v>
      </c>
      <c r="G1248" s="465" t="s">
        <v>1860</v>
      </c>
      <c r="H1248" s="466" t="s">
        <v>5973</v>
      </c>
      <c r="I1248" s="465" t="s">
        <v>5974</v>
      </c>
      <c r="J1248" s="465" t="s">
        <v>5975</v>
      </c>
      <c r="K1248" s="465" t="s">
        <v>7591</v>
      </c>
      <c r="L1248" s="465" t="s">
        <v>1860</v>
      </c>
      <c r="M1248" s="467" t="s">
        <v>8216</v>
      </c>
    </row>
    <row r="1249" spans="1:13">
      <c r="A1249" s="461" t="s">
        <v>1903</v>
      </c>
      <c r="B1249" s="461" t="s">
        <v>1861</v>
      </c>
      <c r="C1249" s="468" t="s">
        <v>1861</v>
      </c>
      <c r="D1249" s="468" t="s">
        <v>1861</v>
      </c>
      <c r="E1249" s="468" t="s">
        <v>5976</v>
      </c>
      <c r="F1249" s="461" t="s">
        <v>5977</v>
      </c>
      <c r="G1249" s="461" t="s">
        <v>1861</v>
      </c>
      <c r="H1249" s="468" t="s">
        <v>5978</v>
      </c>
      <c r="I1249" s="461" t="s">
        <v>5979</v>
      </c>
      <c r="J1249" s="461" t="s">
        <v>5980</v>
      </c>
      <c r="K1249" s="461" t="s">
        <v>7592</v>
      </c>
      <c r="L1249" s="461" t="s">
        <v>1861</v>
      </c>
      <c r="M1249" s="469" t="s">
        <v>8217</v>
      </c>
    </row>
    <row r="1250" spans="1:13">
      <c r="A1250" s="465" t="s">
        <v>1904</v>
      </c>
      <c r="B1250" s="465" t="s">
        <v>1863</v>
      </c>
      <c r="C1250" s="466" t="s">
        <v>1863</v>
      </c>
      <c r="D1250" s="466" t="s">
        <v>1863</v>
      </c>
      <c r="E1250" s="466" t="s">
        <v>5981</v>
      </c>
      <c r="F1250" s="465" t="s">
        <v>5982</v>
      </c>
      <c r="G1250" s="465" t="s">
        <v>1863</v>
      </c>
      <c r="H1250" s="466" t="s">
        <v>5983</v>
      </c>
      <c r="I1250" s="465" t="s">
        <v>5984</v>
      </c>
      <c r="J1250" s="465" t="s">
        <v>5985</v>
      </c>
      <c r="K1250" s="465" t="s">
        <v>7593</v>
      </c>
      <c r="L1250" s="465" t="s">
        <v>1863</v>
      </c>
      <c r="M1250" s="467" t="s">
        <v>8218</v>
      </c>
    </row>
    <row r="1251" spans="1:13">
      <c r="A1251" s="461" t="s">
        <v>1905</v>
      </c>
      <c r="B1251" s="461" t="s">
        <v>1247</v>
      </c>
      <c r="C1251" s="468" t="s">
        <v>1247</v>
      </c>
      <c r="D1251" s="468" t="s">
        <v>1247</v>
      </c>
      <c r="E1251" s="468" t="s">
        <v>4989</v>
      </c>
      <c r="F1251" s="461" t="s">
        <v>4990</v>
      </c>
      <c r="G1251" s="461" t="s">
        <v>1247</v>
      </c>
      <c r="H1251" s="468" t="s">
        <v>4991</v>
      </c>
      <c r="I1251" s="461" t="s">
        <v>5333</v>
      </c>
      <c r="J1251" s="461" t="s">
        <v>5334</v>
      </c>
      <c r="K1251" s="461" t="s">
        <v>7406</v>
      </c>
      <c r="L1251" s="461" t="s">
        <v>1247</v>
      </c>
      <c r="M1251" s="469" t="s">
        <v>8191</v>
      </c>
    </row>
    <row r="1252" spans="1:13">
      <c r="A1252" s="465" t="s">
        <v>1906</v>
      </c>
      <c r="B1252" s="465" t="s">
        <v>1864</v>
      </c>
      <c r="C1252" s="466" t="s">
        <v>1864</v>
      </c>
      <c r="D1252" s="466" t="s">
        <v>1864</v>
      </c>
      <c r="E1252" s="466" t="s">
        <v>5986</v>
      </c>
      <c r="F1252" s="465" t="s">
        <v>5987</v>
      </c>
      <c r="G1252" s="465" t="s">
        <v>1864</v>
      </c>
      <c r="H1252" s="466" t="s">
        <v>5988</v>
      </c>
      <c r="I1252" s="465" t="s">
        <v>5989</v>
      </c>
      <c r="J1252" s="465" t="s">
        <v>5990</v>
      </c>
      <c r="K1252" s="470" t="s">
        <v>7594</v>
      </c>
      <c r="L1252" s="465" t="s">
        <v>1864</v>
      </c>
      <c r="M1252" s="467" t="s">
        <v>8219</v>
      </c>
    </row>
    <row r="1253" spans="1:13">
      <c r="A1253" s="461" t="s">
        <v>1907</v>
      </c>
      <c r="B1253" s="461" t="s">
        <v>1865</v>
      </c>
      <c r="C1253" s="468" t="s">
        <v>1865</v>
      </c>
      <c r="D1253" s="468" t="s">
        <v>1865</v>
      </c>
      <c r="E1253" s="468" t="s">
        <v>5991</v>
      </c>
      <c r="F1253" s="461" t="s">
        <v>5992</v>
      </c>
      <c r="G1253" s="461" t="s">
        <v>1865</v>
      </c>
      <c r="H1253" s="468" t="s">
        <v>5993</v>
      </c>
      <c r="I1253" s="461" t="s">
        <v>5994</v>
      </c>
      <c r="J1253" s="461" t="s">
        <v>5995</v>
      </c>
      <c r="K1253" s="461" t="s">
        <v>7595</v>
      </c>
      <c r="L1253" s="461" t="s">
        <v>1865</v>
      </c>
      <c r="M1253" s="469" t="s">
        <v>8220</v>
      </c>
    </row>
    <row r="1254" spans="1:13">
      <c r="A1254" s="465" t="s">
        <v>1908</v>
      </c>
      <c r="B1254" s="465" t="s">
        <v>1740</v>
      </c>
      <c r="C1254" s="466" t="s">
        <v>1740</v>
      </c>
      <c r="D1254" s="466" t="s">
        <v>1740</v>
      </c>
      <c r="E1254" s="466" t="s">
        <v>5996</v>
      </c>
      <c r="F1254" s="465" t="s">
        <v>5889</v>
      </c>
      <c r="G1254" s="465" t="s">
        <v>1740</v>
      </c>
      <c r="H1254" s="466" t="s">
        <v>5997</v>
      </c>
      <c r="I1254" s="465" t="s">
        <v>5891</v>
      </c>
      <c r="J1254" s="465" t="s">
        <v>5892</v>
      </c>
      <c r="K1254" s="465" t="s">
        <v>7572</v>
      </c>
      <c r="L1254" s="465" t="s">
        <v>1740</v>
      </c>
      <c r="M1254" s="467" t="s">
        <v>8221</v>
      </c>
    </row>
    <row r="1255" spans="1:13">
      <c r="A1255" s="461" t="s">
        <v>1909</v>
      </c>
      <c r="B1255" s="461" t="s">
        <v>1866</v>
      </c>
      <c r="C1255" s="468" t="s">
        <v>1866</v>
      </c>
      <c r="D1255" s="468" t="s">
        <v>1866</v>
      </c>
      <c r="E1255" s="468" t="s">
        <v>5998</v>
      </c>
      <c r="F1255" s="461" t="s">
        <v>5999</v>
      </c>
      <c r="G1255" s="461" t="s">
        <v>1866</v>
      </c>
      <c r="H1255" s="468" t="s">
        <v>6000</v>
      </c>
      <c r="I1255" s="461" t="s">
        <v>6001</v>
      </c>
      <c r="J1255" s="461" t="s">
        <v>6002</v>
      </c>
      <c r="K1255" s="461" t="s">
        <v>7596</v>
      </c>
      <c r="L1255" s="461" t="s">
        <v>1866</v>
      </c>
      <c r="M1255" s="469" t="s">
        <v>8222</v>
      </c>
    </row>
    <row r="1256" spans="1:13">
      <c r="A1256" s="465" t="s">
        <v>1910</v>
      </c>
      <c r="B1256" s="465" t="s">
        <v>1867</v>
      </c>
      <c r="C1256" s="466" t="s">
        <v>1867</v>
      </c>
      <c r="D1256" s="466" t="s">
        <v>1867</v>
      </c>
      <c r="E1256" s="466" t="s">
        <v>6003</v>
      </c>
      <c r="F1256" s="465" t="s">
        <v>6004</v>
      </c>
      <c r="G1256" s="465" t="s">
        <v>1867</v>
      </c>
      <c r="H1256" s="466" t="s">
        <v>6005</v>
      </c>
      <c r="I1256" s="465" t="s">
        <v>6006</v>
      </c>
      <c r="J1256" s="465" t="s">
        <v>6007</v>
      </c>
      <c r="K1256" s="465" t="s">
        <v>7597</v>
      </c>
      <c r="L1256" s="465" t="s">
        <v>1867</v>
      </c>
      <c r="M1256" s="467" t="s">
        <v>8223</v>
      </c>
    </row>
    <row r="1257" spans="1:13">
      <c r="A1257" s="461" t="s">
        <v>1911</v>
      </c>
      <c r="B1257" s="461" t="s">
        <v>1869</v>
      </c>
      <c r="C1257" s="468" t="s">
        <v>1869</v>
      </c>
      <c r="D1257" s="468" t="s">
        <v>1869</v>
      </c>
      <c r="E1257" s="468" t="s">
        <v>6008</v>
      </c>
      <c r="F1257" s="461" t="s">
        <v>6009</v>
      </c>
      <c r="G1257" s="461" t="s">
        <v>1869</v>
      </c>
      <c r="H1257" s="468" t="s">
        <v>6010</v>
      </c>
      <c r="I1257" s="461" t="s">
        <v>6011</v>
      </c>
      <c r="J1257" s="461" t="s">
        <v>6012</v>
      </c>
      <c r="K1257" s="461" t="s">
        <v>7598</v>
      </c>
      <c r="L1257" s="461" t="s">
        <v>1869</v>
      </c>
      <c r="M1257" s="469" t="s">
        <v>8224</v>
      </c>
    </row>
    <row r="1258" spans="1:13">
      <c r="A1258" s="465" t="s">
        <v>1912</v>
      </c>
      <c r="B1258" s="465" t="s">
        <v>1871</v>
      </c>
      <c r="C1258" s="466" t="s">
        <v>1871</v>
      </c>
      <c r="D1258" s="466" t="s">
        <v>1871</v>
      </c>
      <c r="E1258" s="466" t="s">
        <v>6013</v>
      </c>
      <c r="F1258" s="465" t="s">
        <v>6014</v>
      </c>
      <c r="G1258" s="465" t="s">
        <v>1871</v>
      </c>
      <c r="H1258" s="466" t="s">
        <v>6015</v>
      </c>
      <c r="I1258" s="465" t="s">
        <v>6016</v>
      </c>
      <c r="J1258" s="465" t="s">
        <v>6017</v>
      </c>
      <c r="K1258" s="465" t="s">
        <v>7599</v>
      </c>
      <c r="L1258" s="465" t="s">
        <v>1871</v>
      </c>
      <c r="M1258" s="467" t="s">
        <v>8225</v>
      </c>
    </row>
    <row r="1259" spans="1:13">
      <c r="A1259" s="461" t="s">
        <v>1913</v>
      </c>
      <c r="B1259" s="461" t="s">
        <v>1830</v>
      </c>
      <c r="C1259" s="468" t="s">
        <v>1830</v>
      </c>
      <c r="D1259" s="468" t="s">
        <v>1830</v>
      </c>
      <c r="E1259" s="468" t="s">
        <v>6018</v>
      </c>
      <c r="F1259" s="461" t="s">
        <v>6019</v>
      </c>
      <c r="G1259" s="461" t="s">
        <v>1830</v>
      </c>
      <c r="H1259" s="468" t="s">
        <v>5943</v>
      </c>
      <c r="I1259" s="461" t="s">
        <v>5944</v>
      </c>
      <c r="J1259" s="461" t="s">
        <v>5945</v>
      </c>
      <c r="K1259" s="461" t="s">
        <v>7585</v>
      </c>
      <c r="L1259" s="461" t="s">
        <v>1830</v>
      </c>
      <c r="M1259" s="469" t="s">
        <v>8226</v>
      </c>
    </row>
    <row r="1260" spans="1:13">
      <c r="A1260" s="465" t="s">
        <v>1934</v>
      </c>
      <c r="B1260" s="475" t="s">
        <v>1936</v>
      </c>
      <c r="C1260" s="475" t="s">
        <v>1936</v>
      </c>
      <c r="D1260" s="475" t="s">
        <v>1936</v>
      </c>
      <c r="E1260" s="475" t="s">
        <v>6134</v>
      </c>
      <c r="F1260" s="475" t="s">
        <v>6135</v>
      </c>
      <c r="G1260" s="475" t="s">
        <v>1936</v>
      </c>
      <c r="H1260" s="475" t="s">
        <v>6136</v>
      </c>
      <c r="I1260" s="475" t="s">
        <v>6137</v>
      </c>
      <c r="J1260" s="475" t="s">
        <v>6138</v>
      </c>
      <c r="K1260" s="475" t="s">
        <v>7623</v>
      </c>
      <c r="L1260" s="465" t="s">
        <v>1936</v>
      </c>
      <c r="M1260" s="467" t="s">
        <v>1936</v>
      </c>
    </row>
    <row r="1261" spans="1:13">
      <c r="A1261" s="461" t="s">
        <v>1900</v>
      </c>
      <c r="B1261" s="461" t="s">
        <v>1901</v>
      </c>
      <c r="C1261" s="468" t="s">
        <v>1901</v>
      </c>
      <c r="D1261" s="468" t="s">
        <v>1901</v>
      </c>
      <c r="E1261" s="468" t="s">
        <v>5966</v>
      </c>
      <c r="F1261" s="461" t="s">
        <v>5967</v>
      </c>
      <c r="G1261" s="461" t="s">
        <v>1901</v>
      </c>
      <c r="H1261" s="468" t="s">
        <v>5968</v>
      </c>
      <c r="I1261" s="461" t="s">
        <v>5969</v>
      </c>
      <c r="J1261" s="461" t="s">
        <v>5970</v>
      </c>
      <c r="K1261" s="461" t="s">
        <v>7590</v>
      </c>
      <c r="L1261" s="461" t="s">
        <v>1901</v>
      </c>
      <c r="M1261" s="469" t="s">
        <v>1901</v>
      </c>
    </row>
    <row r="1262" spans="1:13">
      <c r="A1262" s="465" t="s">
        <v>1914</v>
      </c>
      <c r="B1262" s="475" t="s">
        <v>1808</v>
      </c>
      <c r="C1262" s="475" t="s">
        <v>1808</v>
      </c>
      <c r="D1262" s="475" t="s">
        <v>1808</v>
      </c>
      <c r="E1262" s="475" t="s">
        <v>5068</v>
      </c>
      <c r="F1262" s="475" t="s">
        <v>5867</v>
      </c>
      <c r="G1262" s="475" t="s">
        <v>1808</v>
      </c>
      <c r="H1262" s="475" t="s">
        <v>5092</v>
      </c>
      <c r="I1262" s="475" t="s">
        <v>5868</v>
      </c>
      <c r="J1262" s="475" t="s">
        <v>5869</v>
      </c>
      <c r="K1262" s="475" t="s">
        <v>7418</v>
      </c>
      <c r="L1262" s="465" t="s">
        <v>1808</v>
      </c>
      <c r="M1262" s="476" t="s">
        <v>8193</v>
      </c>
    </row>
    <row r="1263" spans="1:13">
      <c r="A1263" s="461" t="s">
        <v>1915</v>
      </c>
      <c r="B1263" s="473" t="s">
        <v>1875</v>
      </c>
      <c r="C1263" s="473" t="s">
        <v>1875</v>
      </c>
      <c r="D1263" s="473" t="s">
        <v>1875</v>
      </c>
      <c r="E1263" s="473" t="s">
        <v>6020</v>
      </c>
      <c r="F1263" s="473" t="s">
        <v>6021</v>
      </c>
      <c r="G1263" s="473" t="s">
        <v>1875</v>
      </c>
      <c r="H1263" s="473" t="s">
        <v>6022</v>
      </c>
      <c r="I1263" s="473" t="s">
        <v>6023</v>
      </c>
      <c r="J1263" s="473" t="s">
        <v>6024</v>
      </c>
      <c r="K1263" s="473" t="s">
        <v>7600</v>
      </c>
      <c r="L1263" s="461" t="s">
        <v>1875</v>
      </c>
      <c r="M1263" s="474" t="s">
        <v>8227</v>
      </c>
    </row>
    <row r="1264" spans="1:13">
      <c r="A1264" s="465" t="s">
        <v>1916</v>
      </c>
      <c r="B1264" s="475" t="s">
        <v>1806</v>
      </c>
      <c r="C1264" s="475" t="s">
        <v>1806</v>
      </c>
      <c r="D1264" s="475" t="s">
        <v>1806</v>
      </c>
      <c r="E1264" s="475" t="s">
        <v>5862</v>
      </c>
      <c r="F1264" s="475" t="s">
        <v>5863</v>
      </c>
      <c r="G1264" s="475" t="s">
        <v>1806</v>
      </c>
      <c r="H1264" s="475" t="s">
        <v>5864</v>
      </c>
      <c r="I1264" s="475" t="s">
        <v>5865</v>
      </c>
      <c r="J1264" s="475" t="s">
        <v>5866</v>
      </c>
      <c r="K1264" s="475" t="s">
        <v>7567</v>
      </c>
      <c r="L1264" s="465" t="s">
        <v>1806</v>
      </c>
      <c r="M1264" s="476" t="s">
        <v>8208</v>
      </c>
    </row>
    <row r="1265" spans="1:13">
      <c r="A1265" s="461" t="s">
        <v>1917</v>
      </c>
      <c r="B1265" s="473" t="s">
        <v>1878</v>
      </c>
      <c r="C1265" s="473" t="s">
        <v>1878</v>
      </c>
      <c r="D1265" s="473" t="s">
        <v>1878</v>
      </c>
      <c r="E1265" s="473" t="s">
        <v>6025</v>
      </c>
      <c r="F1265" s="473" t="s">
        <v>6026</v>
      </c>
      <c r="G1265" s="473" t="s">
        <v>1878</v>
      </c>
      <c r="H1265" s="473" t="s">
        <v>6027</v>
      </c>
      <c r="I1265" s="473" t="s">
        <v>6028</v>
      </c>
      <c r="J1265" s="473" t="s">
        <v>6029</v>
      </c>
      <c r="K1265" s="473" t="s">
        <v>7601</v>
      </c>
      <c r="L1265" s="461" t="s">
        <v>1878</v>
      </c>
      <c r="M1265" s="474" t="s">
        <v>8228</v>
      </c>
    </row>
    <row r="1266" spans="1:13">
      <c r="A1266" s="465" t="s">
        <v>1918</v>
      </c>
      <c r="B1266" s="475" t="s">
        <v>1879</v>
      </c>
      <c r="C1266" s="475" t="s">
        <v>1879</v>
      </c>
      <c r="D1266" s="475" t="s">
        <v>1879</v>
      </c>
      <c r="E1266" s="475" t="s">
        <v>6030</v>
      </c>
      <c r="F1266" s="475" t="s">
        <v>6031</v>
      </c>
      <c r="G1266" s="475" t="s">
        <v>1879</v>
      </c>
      <c r="H1266" s="475" t="s">
        <v>6032</v>
      </c>
      <c r="I1266" s="475" t="s">
        <v>6033</v>
      </c>
      <c r="J1266" s="475" t="s">
        <v>6034</v>
      </c>
      <c r="K1266" s="475" t="s">
        <v>7602</v>
      </c>
      <c r="L1266" s="465" t="s">
        <v>1879</v>
      </c>
      <c r="M1266" s="476" t="s">
        <v>8229</v>
      </c>
    </row>
    <row r="1267" spans="1:13" ht="15" customHeight="1">
      <c r="A1267" s="461" t="s">
        <v>1919</v>
      </c>
      <c r="B1267" s="473" t="s">
        <v>1881</v>
      </c>
      <c r="C1267" s="473" t="s">
        <v>1881</v>
      </c>
      <c r="D1267" s="473" t="s">
        <v>1881</v>
      </c>
      <c r="E1267" s="473" t="s">
        <v>6035</v>
      </c>
      <c r="F1267" s="473" t="s">
        <v>6036</v>
      </c>
      <c r="G1267" s="473" t="s">
        <v>1881</v>
      </c>
      <c r="H1267" s="473" t="s">
        <v>6037</v>
      </c>
      <c r="I1267" s="473" t="s">
        <v>6038</v>
      </c>
      <c r="J1267" s="473" t="s">
        <v>6039</v>
      </c>
      <c r="K1267" s="473" t="s">
        <v>7603</v>
      </c>
      <c r="L1267" s="461" t="s">
        <v>1881</v>
      </c>
      <c r="M1267" s="474" t="s">
        <v>8230</v>
      </c>
    </row>
    <row r="1268" spans="1:13" ht="15" customHeight="1">
      <c r="A1268" s="465" t="s">
        <v>1898</v>
      </c>
      <c r="B1268" s="465" t="s">
        <v>1298</v>
      </c>
      <c r="C1268" s="466" t="s">
        <v>1298</v>
      </c>
      <c r="D1268" s="466" t="s">
        <v>1298</v>
      </c>
      <c r="E1268" s="466" t="s">
        <v>5875</v>
      </c>
      <c r="F1268" s="465" t="s">
        <v>5114</v>
      </c>
      <c r="G1268" s="465" t="s">
        <v>1298</v>
      </c>
      <c r="H1268" s="466" t="s">
        <v>5876</v>
      </c>
      <c r="I1268" s="465" t="s">
        <v>5877</v>
      </c>
      <c r="J1268" s="465" t="s">
        <v>5117</v>
      </c>
      <c r="K1268" s="465" t="s">
        <v>7569</v>
      </c>
      <c r="L1268" s="465" t="s">
        <v>1298</v>
      </c>
      <c r="M1268" s="467" t="s">
        <v>8195</v>
      </c>
    </row>
    <row r="1269" spans="1:13" ht="15" customHeight="1">
      <c r="A1269" s="461" t="s">
        <v>1920</v>
      </c>
      <c r="B1269" s="473" t="s">
        <v>1882</v>
      </c>
      <c r="C1269" s="473" t="s">
        <v>1882</v>
      </c>
      <c r="D1269" s="473" t="s">
        <v>1882</v>
      </c>
      <c r="E1269" s="473" t="s">
        <v>6040</v>
      </c>
      <c r="F1269" s="473" t="s">
        <v>6041</v>
      </c>
      <c r="G1269" s="473" t="s">
        <v>1882</v>
      </c>
      <c r="H1269" s="473" t="s">
        <v>6042</v>
      </c>
      <c r="I1269" s="473" t="s">
        <v>6043</v>
      </c>
      <c r="J1269" s="473" t="s">
        <v>6044</v>
      </c>
      <c r="K1269" s="473" t="s">
        <v>7604</v>
      </c>
      <c r="L1269" s="461" t="s">
        <v>1882</v>
      </c>
      <c r="M1269" s="474" t="s">
        <v>8231</v>
      </c>
    </row>
    <row r="1270" spans="1:13" ht="15" customHeight="1">
      <c r="A1270" s="465" t="s">
        <v>1921</v>
      </c>
      <c r="B1270" s="475" t="s">
        <v>1822</v>
      </c>
      <c r="C1270" s="475" t="s">
        <v>1822</v>
      </c>
      <c r="D1270" s="475" t="s">
        <v>1822</v>
      </c>
      <c r="E1270" s="475" t="s">
        <v>6045</v>
      </c>
      <c r="F1270" s="475" t="s">
        <v>6046</v>
      </c>
      <c r="G1270" s="475" t="s">
        <v>1822</v>
      </c>
      <c r="H1270" s="475" t="s">
        <v>6047</v>
      </c>
      <c r="I1270" s="475" t="s">
        <v>5919</v>
      </c>
      <c r="J1270" s="475" t="s">
        <v>6048</v>
      </c>
      <c r="K1270" s="475" t="s">
        <v>7605</v>
      </c>
      <c r="L1270" s="465" t="s">
        <v>1822</v>
      </c>
      <c r="M1270" s="476" t="s">
        <v>8232</v>
      </c>
    </row>
    <row r="1271" spans="1:13" ht="15" customHeight="1">
      <c r="A1271" s="461" t="s">
        <v>1922</v>
      </c>
      <c r="B1271" s="473" t="s">
        <v>1884</v>
      </c>
      <c r="C1271" s="473" t="s">
        <v>1884</v>
      </c>
      <c r="D1271" s="473" t="s">
        <v>1884</v>
      </c>
      <c r="E1271" s="473" t="s">
        <v>6049</v>
      </c>
      <c r="F1271" s="473" t="s">
        <v>6050</v>
      </c>
      <c r="G1271" s="473" t="s">
        <v>1884</v>
      </c>
      <c r="H1271" s="473" t="s">
        <v>6051</v>
      </c>
      <c r="I1271" s="473" t="s">
        <v>6052</v>
      </c>
      <c r="J1271" s="473" t="s">
        <v>6053</v>
      </c>
      <c r="K1271" s="473" t="s">
        <v>7606</v>
      </c>
      <c r="L1271" s="461" t="s">
        <v>1884</v>
      </c>
      <c r="M1271" s="474" t="s">
        <v>8233</v>
      </c>
    </row>
    <row r="1272" spans="1:13" ht="15" customHeight="1">
      <c r="A1272" s="465" t="s">
        <v>1923</v>
      </c>
      <c r="B1272" s="475" t="s">
        <v>1832</v>
      </c>
      <c r="C1272" s="475" t="s">
        <v>1832</v>
      </c>
      <c r="D1272" s="475" t="s">
        <v>1832</v>
      </c>
      <c r="E1272" s="475" t="s">
        <v>5883</v>
      </c>
      <c r="F1272" s="475" t="s">
        <v>6054</v>
      </c>
      <c r="G1272" s="475" t="s">
        <v>1832</v>
      </c>
      <c r="H1272" s="475" t="s">
        <v>6055</v>
      </c>
      <c r="I1272" s="475" t="s">
        <v>5886</v>
      </c>
      <c r="J1272" s="475" t="s">
        <v>5887</v>
      </c>
      <c r="K1272" s="475" t="s">
        <v>7571</v>
      </c>
      <c r="L1272" s="465" t="s">
        <v>1832</v>
      </c>
      <c r="M1272" s="476" t="s">
        <v>8197</v>
      </c>
    </row>
    <row r="1273" spans="1:13" ht="15" customHeight="1">
      <c r="A1273" s="461" t="s">
        <v>1924</v>
      </c>
      <c r="B1273" s="473" t="s">
        <v>1885</v>
      </c>
      <c r="C1273" s="473" t="s">
        <v>1885</v>
      </c>
      <c r="D1273" s="473" t="s">
        <v>1885</v>
      </c>
      <c r="E1273" s="473" t="s">
        <v>6056</v>
      </c>
      <c r="F1273" s="473" t="s">
        <v>6057</v>
      </c>
      <c r="G1273" s="473" t="s">
        <v>1885</v>
      </c>
      <c r="H1273" s="473" t="s">
        <v>6058</v>
      </c>
      <c r="I1273" s="473" t="s">
        <v>6059</v>
      </c>
      <c r="J1273" s="473" t="s">
        <v>6060</v>
      </c>
      <c r="K1273" s="473" t="s">
        <v>7607</v>
      </c>
      <c r="L1273" s="461" t="s">
        <v>1885</v>
      </c>
      <c r="M1273" s="474" t="s">
        <v>8234</v>
      </c>
    </row>
    <row r="1274" spans="1:13" ht="15" customHeight="1">
      <c r="A1274" s="465" t="s">
        <v>1925</v>
      </c>
      <c r="B1274" s="475" t="s">
        <v>1886</v>
      </c>
      <c r="C1274" s="475" t="s">
        <v>1886</v>
      </c>
      <c r="D1274" s="475" t="s">
        <v>1886</v>
      </c>
      <c r="E1274" s="475" t="s">
        <v>6061</v>
      </c>
      <c r="F1274" s="475" t="s">
        <v>6062</v>
      </c>
      <c r="G1274" s="475" t="s">
        <v>1886</v>
      </c>
      <c r="H1274" s="475" t="s">
        <v>6063</v>
      </c>
      <c r="I1274" s="475" t="s">
        <v>6064</v>
      </c>
      <c r="J1274" s="475" t="s">
        <v>6065</v>
      </c>
      <c r="K1274" s="475" t="s">
        <v>7608</v>
      </c>
      <c r="L1274" s="465" t="s">
        <v>1886</v>
      </c>
      <c r="M1274" s="476" t="s">
        <v>8235</v>
      </c>
    </row>
    <row r="1275" spans="1:13" ht="15" customHeight="1">
      <c r="A1275" s="461" t="s">
        <v>1926</v>
      </c>
      <c r="B1275" s="473" t="s">
        <v>1887</v>
      </c>
      <c r="C1275" s="473" t="s">
        <v>1887</v>
      </c>
      <c r="D1275" s="473" t="s">
        <v>1887</v>
      </c>
      <c r="E1275" s="473" t="s">
        <v>6066</v>
      </c>
      <c r="F1275" s="473" t="s">
        <v>6067</v>
      </c>
      <c r="G1275" s="473" t="s">
        <v>1887</v>
      </c>
      <c r="H1275" s="473" t="s">
        <v>6068</v>
      </c>
      <c r="I1275" s="473" t="s">
        <v>6069</v>
      </c>
      <c r="J1275" s="473" t="s">
        <v>6070</v>
      </c>
      <c r="K1275" s="473" t="s">
        <v>7609</v>
      </c>
      <c r="L1275" s="461" t="s">
        <v>1887</v>
      </c>
      <c r="M1275" s="474" t="s">
        <v>8236</v>
      </c>
    </row>
    <row r="1276" spans="1:13" ht="15" customHeight="1">
      <c r="A1276" s="465" t="s">
        <v>2350</v>
      </c>
      <c r="B1276" s="475" t="s">
        <v>2551</v>
      </c>
      <c r="C1276" s="475" t="s">
        <v>2551</v>
      </c>
      <c r="D1276" s="475" t="s">
        <v>2551</v>
      </c>
      <c r="E1276" s="475" t="s">
        <v>6110</v>
      </c>
      <c r="F1276" s="475" t="s">
        <v>6111</v>
      </c>
      <c r="G1276" s="475" t="s">
        <v>2551</v>
      </c>
      <c r="H1276" s="475" t="s">
        <v>6112</v>
      </c>
      <c r="I1276" s="475" t="s">
        <v>6113</v>
      </c>
      <c r="J1276" s="475" t="s">
        <v>6114</v>
      </c>
      <c r="K1276" s="475" t="s">
        <v>7618</v>
      </c>
      <c r="L1276" s="465" t="s">
        <v>2551</v>
      </c>
      <c r="M1276" s="476" t="s">
        <v>8245</v>
      </c>
    </row>
    <row r="1277" spans="1:13" ht="15" customHeight="1">
      <c r="A1277" s="461" t="s">
        <v>2351</v>
      </c>
      <c r="B1277" s="473" t="s">
        <v>2552</v>
      </c>
      <c r="C1277" s="473" t="s">
        <v>2552</v>
      </c>
      <c r="D1277" s="473" t="s">
        <v>2552</v>
      </c>
      <c r="E1277" s="473" t="s">
        <v>6115</v>
      </c>
      <c r="F1277" s="473" t="s">
        <v>6116</v>
      </c>
      <c r="G1277" s="473" t="s">
        <v>2552</v>
      </c>
      <c r="H1277" s="473" t="s">
        <v>6115</v>
      </c>
      <c r="I1277" s="473" t="s">
        <v>6117</v>
      </c>
      <c r="J1277" s="473" t="s">
        <v>6118</v>
      </c>
      <c r="K1277" s="473" t="s">
        <v>7619</v>
      </c>
      <c r="L1277" s="461" t="s">
        <v>2552</v>
      </c>
      <c r="M1277" s="474" t="s">
        <v>8246</v>
      </c>
    </row>
    <row r="1278" spans="1:13" ht="15" customHeight="1">
      <c r="A1278" s="465" t="s">
        <v>2353</v>
      </c>
      <c r="B1278" s="475" t="s">
        <v>2553</v>
      </c>
      <c r="C1278" s="475" t="s">
        <v>2553</v>
      </c>
      <c r="D1278" s="475" t="s">
        <v>2553</v>
      </c>
      <c r="E1278" s="475" t="s">
        <v>6119</v>
      </c>
      <c r="F1278" s="475" t="s">
        <v>6120</v>
      </c>
      <c r="G1278" s="475" t="s">
        <v>2553</v>
      </c>
      <c r="H1278" s="475" t="s">
        <v>6121</v>
      </c>
      <c r="I1278" s="475" t="s">
        <v>6122</v>
      </c>
      <c r="J1278" s="475" t="s">
        <v>6123</v>
      </c>
      <c r="K1278" s="475" t="s">
        <v>7620</v>
      </c>
      <c r="L1278" s="465" t="s">
        <v>2553</v>
      </c>
      <c r="M1278" s="476" t="s">
        <v>8247</v>
      </c>
    </row>
    <row r="1279" spans="1:13" ht="15" customHeight="1">
      <c r="A1279" s="461" t="s">
        <v>2354</v>
      </c>
      <c r="B1279" s="473" t="s">
        <v>2554</v>
      </c>
      <c r="C1279" s="473" t="s">
        <v>2554</v>
      </c>
      <c r="D1279" s="473" t="s">
        <v>2554</v>
      </c>
      <c r="E1279" s="473" t="s">
        <v>6124</v>
      </c>
      <c r="F1279" s="473" t="s">
        <v>6125</v>
      </c>
      <c r="G1279" s="473" t="s">
        <v>2554</v>
      </c>
      <c r="H1279" s="473" t="s">
        <v>6126</v>
      </c>
      <c r="I1279" s="473" t="s">
        <v>6127</v>
      </c>
      <c r="J1279" s="473" t="s">
        <v>6128</v>
      </c>
      <c r="K1279" s="473" t="s">
        <v>7621</v>
      </c>
      <c r="L1279" s="461" t="s">
        <v>2554</v>
      </c>
      <c r="M1279" s="474" t="s">
        <v>8248</v>
      </c>
    </row>
    <row r="1280" spans="1:13" ht="15" customHeight="1">
      <c r="A1280" s="465" t="s">
        <v>2355</v>
      </c>
      <c r="B1280" s="475" t="s">
        <v>2555</v>
      </c>
      <c r="C1280" s="475" t="s">
        <v>2555</v>
      </c>
      <c r="D1280" s="475" t="s">
        <v>2555</v>
      </c>
      <c r="E1280" s="475" t="s">
        <v>6129</v>
      </c>
      <c r="F1280" s="475" t="s">
        <v>6130</v>
      </c>
      <c r="G1280" s="475" t="s">
        <v>2555</v>
      </c>
      <c r="H1280" s="475" t="s">
        <v>6131</v>
      </c>
      <c r="I1280" s="475" t="s">
        <v>6132</v>
      </c>
      <c r="J1280" s="475" t="s">
        <v>6133</v>
      </c>
      <c r="K1280" s="475" t="s">
        <v>7622</v>
      </c>
      <c r="L1280" s="465" t="s">
        <v>2555</v>
      </c>
      <c r="M1280" s="476" t="s">
        <v>8249</v>
      </c>
    </row>
    <row r="1281" spans="1:13" ht="15" customHeight="1">
      <c r="A1281" s="461" t="s">
        <v>1927</v>
      </c>
      <c r="B1281" s="473" t="s">
        <v>1888</v>
      </c>
      <c r="C1281" s="473" t="s">
        <v>1888</v>
      </c>
      <c r="D1281" s="473" t="s">
        <v>1888</v>
      </c>
      <c r="E1281" s="473" t="s">
        <v>6071</v>
      </c>
      <c r="F1281" s="473" t="s">
        <v>6072</v>
      </c>
      <c r="G1281" s="473" t="s">
        <v>1888</v>
      </c>
      <c r="H1281" s="473" t="s">
        <v>6073</v>
      </c>
      <c r="I1281" s="473" t="s">
        <v>6074</v>
      </c>
      <c r="J1281" s="473" t="s">
        <v>6075</v>
      </c>
      <c r="K1281" s="473" t="s">
        <v>7610</v>
      </c>
      <c r="L1281" s="461" t="s">
        <v>1888</v>
      </c>
      <c r="M1281" s="474" t="s">
        <v>8237</v>
      </c>
    </row>
    <row r="1282" spans="1:13" ht="15" customHeight="1">
      <c r="A1282" s="465" t="s">
        <v>1928</v>
      </c>
      <c r="B1282" s="475" t="s">
        <v>1889</v>
      </c>
      <c r="C1282" s="475" t="s">
        <v>1889</v>
      </c>
      <c r="D1282" s="475" t="s">
        <v>1889</v>
      </c>
      <c r="E1282" s="475" t="s">
        <v>6076</v>
      </c>
      <c r="F1282" s="475" t="s">
        <v>6077</v>
      </c>
      <c r="G1282" s="475" t="s">
        <v>1889</v>
      </c>
      <c r="H1282" s="475" t="s">
        <v>6078</v>
      </c>
      <c r="I1282" s="475" t="s">
        <v>6079</v>
      </c>
      <c r="J1282" s="475" t="s">
        <v>6080</v>
      </c>
      <c r="K1282" s="475" t="s">
        <v>7611</v>
      </c>
      <c r="L1282" s="465" t="s">
        <v>1889</v>
      </c>
      <c r="M1282" s="476" t="s">
        <v>8238</v>
      </c>
    </row>
    <row r="1283" spans="1:13" ht="15" customHeight="1">
      <c r="A1283" s="461" t="s">
        <v>1929</v>
      </c>
      <c r="B1283" s="473" t="s">
        <v>1890</v>
      </c>
      <c r="C1283" s="473" t="s">
        <v>1890</v>
      </c>
      <c r="D1283" s="473" t="s">
        <v>1890</v>
      </c>
      <c r="E1283" s="473" t="s">
        <v>6081</v>
      </c>
      <c r="F1283" s="473" t="s">
        <v>6082</v>
      </c>
      <c r="G1283" s="473" t="s">
        <v>1890</v>
      </c>
      <c r="H1283" s="473" t="s">
        <v>6083</v>
      </c>
      <c r="I1283" s="473" t="s">
        <v>6084</v>
      </c>
      <c r="J1283" s="473" t="s">
        <v>6085</v>
      </c>
      <c r="K1283" s="473" t="s">
        <v>7612</v>
      </c>
      <c r="L1283" s="461" t="s">
        <v>1890</v>
      </c>
      <c r="M1283" s="474" t="s">
        <v>8239</v>
      </c>
    </row>
    <row r="1284" spans="1:13" ht="15" customHeight="1">
      <c r="A1284" s="465" t="s">
        <v>1930</v>
      </c>
      <c r="B1284" s="475" t="s">
        <v>1892</v>
      </c>
      <c r="C1284" s="475" t="s">
        <v>1892</v>
      </c>
      <c r="D1284" s="475" t="s">
        <v>1892</v>
      </c>
      <c r="E1284" s="475" t="s">
        <v>5062</v>
      </c>
      <c r="F1284" s="475" t="s">
        <v>6086</v>
      </c>
      <c r="G1284" s="475" t="s">
        <v>1892</v>
      </c>
      <c r="H1284" s="475" t="s">
        <v>6087</v>
      </c>
      <c r="I1284" s="475" t="s">
        <v>6088</v>
      </c>
      <c r="J1284" s="475" t="s">
        <v>6089</v>
      </c>
      <c r="K1284" s="475" t="s">
        <v>7613</v>
      </c>
      <c r="L1284" s="465" t="s">
        <v>1892</v>
      </c>
      <c r="M1284" s="476" t="s">
        <v>8240</v>
      </c>
    </row>
    <row r="1285" spans="1:13" ht="15" customHeight="1">
      <c r="A1285" s="461" t="s">
        <v>1931</v>
      </c>
      <c r="B1285" s="473" t="s">
        <v>1894</v>
      </c>
      <c r="C1285" s="473" t="s">
        <v>1894</v>
      </c>
      <c r="D1285" s="473" t="s">
        <v>1894</v>
      </c>
      <c r="E1285" s="473" t="s">
        <v>6090</v>
      </c>
      <c r="F1285" s="473" t="s">
        <v>6091</v>
      </c>
      <c r="G1285" s="473" t="s">
        <v>1894</v>
      </c>
      <c r="H1285" s="473" t="s">
        <v>6092</v>
      </c>
      <c r="I1285" s="473" t="s">
        <v>6093</v>
      </c>
      <c r="J1285" s="473" t="s">
        <v>6094</v>
      </c>
      <c r="K1285" s="473" t="s">
        <v>7614</v>
      </c>
      <c r="L1285" s="461" t="s">
        <v>1894</v>
      </c>
      <c r="M1285" s="474" t="s">
        <v>8241</v>
      </c>
    </row>
    <row r="1286" spans="1:13" ht="15" customHeight="1">
      <c r="A1286" s="465" t="s">
        <v>1932</v>
      </c>
      <c r="B1286" s="475" t="s">
        <v>1895</v>
      </c>
      <c r="C1286" s="475" t="s">
        <v>1895</v>
      </c>
      <c r="D1286" s="475" t="s">
        <v>1895</v>
      </c>
      <c r="E1286" s="475" t="s">
        <v>6095</v>
      </c>
      <c r="F1286" s="475" t="s">
        <v>6096</v>
      </c>
      <c r="G1286" s="475" t="s">
        <v>1895</v>
      </c>
      <c r="H1286" s="475" t="s">
        <v>6097</v>
      </c>
      <c r="I1286" s="475" t="s">
        <v>6098</v>
      </c>
      <c r="J1286" s="475" t="s">
        <v>6099</v>
      </c>
      <c r="K1286" s="475" t="s">
        <v>7615</v>
      </c>
      <c r="L1286" s="465" t="s">
        <v>1895</v>
      </c>
      <c r="M1286" s="476" t="s">
        <v>8242</v>
      </c>
    </row>
    <row r="1287" spans="1:13" ht="15" customHeight="1">
      <c r="A1287" s="461" t="s">
        <v>1933</v>
      </c>
      <c r="B1287" s="473" t="s">
        <v>1897</v>
      </c>
      <c r="C1287" s="473" t="s">
        <v>1897</v>
      </c>
      <c r="D1287" s="473" t="s">
        <v>1897</v>
      </c>
      <c r="E1287" s="473" t="s">
        <v>6100</v>
      </c>
      <c r="F1287" s="473" t="s">
        <v>6101</v>
      </c>
      <c r="G1287" s="473" t="s">
        <v>1897</v>
      </c>
      <c r="H1287" s="473" t="s">
        <v>6102</v>
      </c>
      <c r="I1287" s="473" t="s">
        <v>6103</v>
      </c>
      <c r="J1287" s="473" t="s">
        <v>6104</v>
      </c>
      <c r="K1287" s="473" t="s">
        <v>7616</v>
      </c>
      <c r="L1287" s="461" t="s">
        <v>1897</v>
      </c>
      <c r="M1287" s="474" t="s">
        <v>8243</v>
      </c>
    </row>
    <row r="1288" spans="1:13" ht="15" customHeight="1">
      <c r="A1288" s="465" t="s">
        <v>2349</v>
      </c>
      <c r="B1288" s="475" t="s">
        <v>2550</v>
      </c>
      <c r="C1288" s="475" t="s">
        <v>2550</v>
      </c>
      <c r="D1288" s="475" t="s">
        <v>2550</v>
      </c>
      <c r="E1288" s="475" t="s">
        <v>6105</v>
      </c>
      <c r="F1288" s="475" t="s">
        <v>6106</v>
      </c>
      <c r="G1288" s="475" t="s">
        <v>2550</v>
      </c>
      <c r="H1288" s="475" t="s">
        <v>6107</v>
      </c>
      <c r="I1288" s="475" t="s">
        <v>6108</v>
      </c>
      <c r="J1288" s="475" t="s">
        <v>6109</v>
      </c>
      <c r="K1288" s="475" t="s">
        <v>7617</v>
      </c>
      <c r="L1288" s="465" t="s">
        <v>2550</v>
      </c>
      <c r="M1288" s="476" t="s">
        <v>8244</v>
      </c>
    </row>
    <row r="1289" spans="1:13" ht="15" customHeight="1">
      <c r="A1289" s="461" t="s">
        <v>1944</v>
      </c>
      <c r="B1289" s="473" t="s">
        <v>1937</v>
      </c>
      <c r="C1289" s="473" t="s">
        <v>1937</v>
      </c>
      <c r="D1289" s="473" t="s">
        <v>1937</v>
      </c>
      <c r="E1289" s="473" t="s">
        <v>6139</v>
      </c>
      <c r="F1289" s="473" t="s">
        <v>6140</v>
      </c>
      <c r="G1289" s="473" t="s">
        <v>1937</v>
      </c>
      <c r="H1289" s="473" t="s">
        <v>6141</v>
      </c>
      <c r="I1289" s="473" t="s">
        <v>6142</v>
      </c>
      <c r="J1289" s="473" t="s">
        <v>6143</v>
      </c>
      <c r="K1289" s="473" t="s">
        <v>7624</v>
      </c>
      <c r="L1289" s="461" t="s">
        <v>1937</v>
      </c>
      <c r="M1289" s="474" t="s">
        <v>8250</v>
      </c>
    </row>
    <row r="1290" spans="1:13" ht="15" customHeight="1">
      <c r="A1290" s="465" t="s">
        <v>1945</v>
      </c>
      <c r="B1290" s="475" t="s">
        <v>1946</v>
      </c>
      <c r="C1290" s="475" t="s">
        <v>1946</v>
      </c>
      <c r="D1290" s="475" t="s">
        <v>1946</v>
      </c>
      <c r="E1290" s="475" t="s">
        <v>6144</v>
      </c>
      <c r="F1290" s="475" t="s">
        <v>6145</v>
      </c>
      <c r="G1290" s="475" t="s">
        <v>1946</v>
      </c>
      <c r="H1290" s="475" t="s">
        <v>6146</v>
      </c>
      <c r="I1290" s="475" t="s">
        <v>6147</v>
      </c>
      <c r="J1290" s="475" t="s">
        <v>6148</v>
      </c>
      <c r="K1290" s="475" t="s">
        <v>7625</v>
      </c>
      <c r="L1290" s="465" t="s">
        <v>1946</v>
      </c>
      <c r="M1290" s="476" t="s">
        <v>8251</v>
      </c>
    </row>
    <row r="1291" spans="1:13" ht="15" customHeight="1">
      <c r="A1291" s="473" t="s">
        <v>12228</v>
      </c>
      <c r="B1291" s="473" t="s">
        <v>12231</v>
      </c>
      <c r="C1291" s="473" t="s">
        <v>12232</v>
      </c>
      <c r="D1291" s="473" t="s">
        <v>12242</v>
      </c>
      <c r="E1291" s="473" t="s">
        <v>12239</v>
      </c>
      <c r="F1291" s="473" t="s">
        <v>12240</v>
      </c>
      <c r="G1291" s="473" t="s">
        <v>12241</v>
      </c>
      <c r="H1291" s="473" t="s">
        <v>12238</v>
      </c>
      <c r="I1291" s="473" t="s">
        <v>12237</v>
      </c>
      <c r="J1291" s="473" t="s">
        <v>12236</v>
      </c>
      <c r="K1291" s="473" t="s">
        <v>12234</v>
      </c>
      <c r="L1291" s="473" t="s">
        <v>12235</v>
      </c>
      <c r="M1291" s="474" t="s">
        <v>12233</v>
      </c>
    </row>
    <row r="1292" spans="1:13" ht="15" customHeight="1">
      <c r="A1292" s="465" t="s">
        <v>1947</v>
      </c>
      <c r="B1292" s="475" t="s">
        <v>1948</v>
      </c>
      <c r="C1292" s="475" t="s">
        <v>1948</v>
      </c>
      <c r="D1292" s="475" t="s">
        <v>1948</v>
      </c>
      <c r="E1292" s="475" t="s">
        <v>6149</v>
      </c>
      <c r="F1292" s="475" t="s">
        <v>6150</v>
      </c>
      <c r="G1292" s="475" t="s">
        <v>1948</v>
      </c>
      <c r="H1292" s="475" t="s">
        <v>6151</v>
      </c>
      <c r="I1292" s="475" t="s">
        <v>6152</v>
      </c>
      <c r="J1292" s="475" t="s">
        <v>6153</v>
      </c>
      <c r="K1292" s="475" t="s">
        <v>7626</v>
      </c>
      <c r="L1292" s="465" t="s">
        <v>1948</v>
      </c>
      <c r="M1292" s="476" t="s">
        <v>8252</v>
      </c>
    </row>
    <row r="1293" spans="1:13" ht="15" customHeight="1">
      <c r="A1293" s="461" t="s">
        <v>1949</v>
      </c>
      <c r="B1293" s="473" t="s">
        <v>1938</v>
      </c>
      <c r="C1293" s="473" t="s">
        <v>1938</v>
      </c>
      <c r="D1293" s="473" t="s">
        <v>1938</v>
      </c>
      <c r="E1293" s="473" t="s">
        <v>5068</v>
      </c>
      <c r="F1293" s="473" t="s">
        <v>6154</v>
      </c>
      <c r="G1293" s="473" t="s">
        <v>1938</v>
      </c>
      <c r="H1293" s="473" t="s">
        <v>5092</v>
      </c>
      <c r="I1293" s="473" t="s">
        <v>6155</v>
      </c>
      <c r="J1293" s="473" t="s">
        <v>5869</v>
      </c>
      <c r="K1293" s="473" t="s">
        <v>7418</v>
      </c>
      <c r="L1293" s="461" t="s">
        <v>1938</v>
      </c>
      <c r="M1293" s="474" t="s">
        <v>8193</v>
      </c>
    </row>
    <row r="1294" spans="1:13" ht="15" customHeight="1">
      <c r="A1294" s="465" t="s">
        <v>1950</v>
      </c>
      <c r="B1294" s="475" t="s">
        <v>1806</v>
      </c>
      <c r="C1294" s="475" t="s">
        <v>1806</v>
      </c>
      <c r="D1294" s="475" t="s">
        <v>1806</v>
      </c>
      <c r="E1294" s="475" t="s">
        <v>5862</v>
      </c>
      <c r="F1294" s="475" t="s">
        <v>5863</v>
      </c>
      <c r="G1294" s="475" t="s">
        <v>1806</v>
      </c>
      <c r="H1294" s="475" t="s">
        <v>5864</v>
      </c>
      <c r="I1294" s="475" t="s">
        <v>5865</v>
      </c>
      <c r="J1294" s="475" t="s">
        <v>5866</v>
      </c>
      <c r="K1294" s="475" t="s">
        <v>7567</v>
      </c>
      <c r="L1294" s="465" t="s">
        <v>1806</v>
      </c>
      <c r="M1294" s="476" t="s">
        <v>8208</v>
      </c>
    </row>
    <row r="1295" spans="1:13" ht="15" customHeight="1">
      <c r="A1295" s="461" t="s">
        <v>1951</v>
      </c>
      <c r="B1295" s="473" t="s">
        <v>1869</v>
      </c>
      <c r="C1295" s="473" t="s">
        <v>1869</v>
      </c>
      <c r="D1295" s="473" t="s">
        <v>1869</v>
      </c>
      <c r="E1295" s="473" t="s">
        <v>6008</v>
      </c>
      <c r="F1295" s="473" t="s">
        <v>6009</v>
      </c>
      <c r="G1295" s="473" t="s">
        <v>1869</v>
      </c>
      <c r="H1295" s="473" t="s">
        <v>6156</v>
      </c>
      <c r="I1295" s="473" t="s">
        <v>6011</v>
      </c>
      <c r="J1295" s="473" t="s">
        <v>6012</v>
      </c>
      <c r="K1295" s="473" t="s">
        <v>7598</v>
      </c>
      <c r="L1295" s="461" t="s">
        <v>1869</v>
      </c>
      <c r="M1295" s="474" t="s">
        <v>8253</v>
      </c>
    </row>
    <row r="1296" spans="1:13" ht="15" customHeight="1">
      <c r="A1296" s="465" t="s">
        <v>1952</v>
      </c>
      <c r="B1296" s="475" t="s">
        <v>1282</v>
      </c>
      <c r="C1296" s="475" t="s">
        <v>1282</v>
      </c>
      <c r="D1296" s="475" t="s">
        <v>1282</v>
      </c>
      <c r="E1296" s="475" t="s">
        <v>6157</v>
      </c>
      <c r="F1296" s="475" t="s">
        <v>6158</v>
      </c>
      <c r="G1296" s="475" t="s">
        <v>1282</v>
      </c>
      <c r="H1296" s="475" t="s">
        <v>6159</v>
      </c>
      <c r="I1296" s="475" t="s">
        <v>6160</v>
      </c>
      <c r="J1296" s="475" t="s">
        <v>6161</v>
      </c>
      <c r="K1296" s="475" t="s">
        <v>7627</v>
      </c>
      <c r="L1296" s="465" t="s">
        <v>1282</v>
      </c>
      <c r="M1296" s="476" t="s">
        <v>8254</v>
      </c>
    </row>
    <row r="1297" spans="1:13" ht="15" customHeight="1">
      <c r="A1297" s="461" t="s">
        <v>1955</v>
      </c>
      <c r="B1297" s="473" t="s">
        <v>1943</v>
      </c>
      <c r="C1297" s="473" t="s">
        <v>1943</v>
      </c>
      <c r="D1297" s="473" t="s">
        <v>1943</v>
      </c>
      <c r="E1297" s="473" t="s">
        <v>6177</v>
      </c>
      <c r="F1297" s="473" t="s">
        <v>6178</v>
      </c>
      <c r="G1297" s="473" t="s">
        <v>1943</v>
      </c>
      <c r="H1297" s="473" t="s">
        <v>6179</v>
      </c>
      <c r="I1297" s="473" t="s">
        <v>6180</v>
      </c>
      <c r="J1297" s="473" t="s">
        <v>6181</v>
      </c>
      <c r="K1297" s="473" t="s">
        <v>7631</v>
      </c>
      <c r="L1297" s="461" t="s">
        <v>1943</v>
      </c>
      <c r="M1297" s="469" t="s">
        <v>1943</v>
      </c>
    </row>
    <row r="1298" spans="1:13" ht="15" customHeight="1">
      <c r="A1298" s="465" t="s">
        <v>1953</v>
      </c>
      <c r="B1298" s="475" t="s">
        <v>1941</v>
      </c>
      <c r="C1298" s="475" t="s">
        <v>1941</v>
      </c>
      <c r="D1298" s="475" t="s">
        <v>1941</v>
      </c>
      <c r="E1298" s="475" t="s">
        <v>6162</v>
      </c>
      <c r="F1298" s="475" t="s">
        <v>6163</v>
      </c>
      <c r="G1298" s="475" t="s">
        <v>1941</v>
      </c>
      <c r="H1298" s="475" t="s">
        <v>6164</v>
      </c>
      <c r="I1298" s="475" t="s">
        <v>6165</v>
      </c>
      <c r="J1298" s="475" t="s">
        <v>6166</v>
      </c>
      <c r="K1298" s="475" t="s">
        <v>7628</v>
      </c>
      <c r="L1298" s="465" t="s">
        <v>1941</v>
      </c>
      <c r="M1298" s="476" t="s">
        <v>8255</v>
      </c>
    </row>
    <row r="1299" spans="1:13" ht="15" customHeight="1">
      <c r="A1299" s="461" t="s">
        <v>1954</v>
      </c>
      <c r="B1299" s="473" t="s">
        <v>1942</v>
      </c>
      <c r="C1299" s="473" t="s">
        <v>1942</v>
      </c>
      <c r="D1299" s="473" t="s">
        <v>1942</v>
      </c>
      <c r="E1299" s="473" t="s">
        <v>6167</v>
      </c>
      <c r="F1299" s="473" t="s">
        <v>6168</v>
      </c>
      <c r="G1299" s="473" t="s">
        <v>1942</v>
      </c>
      <c r="H1299" s="473" t="s">
        <v>6169</v>
      </c>
      <c r="I1299" s="473" t="s">
        <v>6170</v>
      </c>
      <c r="J1299" s="473" t="s">
        <v>6171</v>
      </c>
      <c r="K1299" s="473" t="s">
        <v>7629</v>
      </c>
      <c r="L1299" s="461" t="s">
        <v>1942</v>
      </c>
      <c r="M1299" s="474" t="s">
        <v>8256</v>
      </c>
    </row>
    <row r="1300" spans="1:13" ht="15" customHeight="1">
      <c r="A1300" s="465" t="s">
        <v>2356</v>
      </c>
      <c r="B1300" s="475" t="s">
        <v>2556</v>
      </c>
      <c r="C1300" s="475" t="s">
        <v>2556</v>
      </c>
      <c r="D1300" s="475" t="s">
        <v>2556</v>
      </c>
      <c r="E1300" s="475" t="s">
        <v>6172</v>
      </c>
      <c r="F1300" s="475" t="s">
        <v>6173</v>
      </c>
      <c r="G1300" s="475" t="s">
        <v>2556</v>
      </c>
      <c r="H1300" s="475" t="s">
        <v>6174</v>
      </c>
      <c r="I1300" s="475" t="s">
        <v>6175</v>
      </c>
      <c r="J1300" s="475" t="s">
        <v>6176</v>
      </c>
      <c r="K1300" s="475" t="s">
        <v>7630</v>
      </c>
      <c r="L1300" s="465" t="s">
        <v>2556</v>
      </c>
      <c r="M1300" s="476" t="s">
        <v>8257</v>
      </c>
    </row>
    <row r="1301" spans="1:13" ht="15" customHeight="1">
      <c r="A1301" s="461" t="s">
        <v>796</v>
      </c>
      <c r="B1301" s="461" t="s">
        <v>794</v>
      </c>
      <c r="C1301" s="468" t="s">
        <v>793</v>
      </c>
      <c r="D1301" s="468" t="s">
        <v>795</v>
      </c>
      <c r="E1301" s="468" t="s">
        <v>3568</v>
      </c>
      <c r="F1301" s="461" t="s">
        <v>3569</v>
      </c>
      <c r="G1301" s="461" t="s">
        <v>3573</v>
      </c>
      <c r="H1301" s="461" t="s">
        <v>3571</v>
      </c>
      <c r="I1301" s="461" t="s">
        <v>2921</v>
      </c>
      <c r="J1301" s="461" t="s">
        <v>3572</v>
      </c>
      <c r="K1301" s="461" t="s">
        <v>7240</v>
      </c>
      <c r="L1301" s="461" t="s">
        <v>8456</v>
      </c>
      <c r="M1301" s="469" t="s">
        <v>7807</v>
      </c>
    </row>
    <row r="1302" spans="1:13" ht="15" customHeight="1">
      <c r="A1302" s="465" t="s">
        <v>798</v>
      </c>
      <c r="B1302" s="465" t="s">
        <v>800</v>
      </c>
      <c r="C1302" s="466" t="s">
        <v>799</v>
      </c>
      <c r="D1302" s="466" t="s">
        <v>801</v>
      </c>
      <c r="E1302" s="466" t="s">
        <v>3574</v>
      </c>
      <c r="F1302" s="465" t="s">
        <v>3575</v>
      </c>
      <c r="G1302" s="465" t="s">
        <v>3576</v>
      </c>
      <c r="H1302" s="465" t="s">
        <v>3577</v>
      </c>
      <c r="I1302" s="465" t="s">
        <v>3578</v>
      </c>
      <c r="J1302" s="465" t="s">
        <v>3579</v>
      </c>
      <c r="K1302" s="465" t="s">
        <v>7241</v>
      </c>
      <c r="L1302" s="465" t="s">
        <v>8457</v>
      </c>
      <c r="M1302" s="467" t="s">
        <v>7808</v>
      </c>
    </row>
    <row r="1303" spans="1:13" ht="15" customHeight="1">
      <c r="A1303" s="461" t="s">
        <v>6222</v>
      </c>
      <c r="B1303" s="473" t="s">
        <v>1957</v>
      </c>
      <c r="C1303" s="473" t="s">
        <v>1957</v>
      </c>
      <c r="D1303" s="473" t="s">
        <v>1957</v>
      </c>
      <c r="E1303" s="473" t="s">
        <v>6223</v>
      </c>
      <c r="F1303" s="473" t="s">
        <v>6224</v>
      </c>
      <c r="G1303" s="473" t="s">
        <v>1957</v>
      </c>
      <c r="H1303" s="473" t="s">
        <v>6225</v>
      </c>
      <c r="I1303" s="473" t="s">
        <v>6226</v>
      </c>
      <c r="J1303" s="473" t="s">
        <v>6227</v>
      </c>
      <c r="K1303" s="473" t="s">
        <v>7639</v>
      </c>
      <c r="L1303" s="461" t="s">
        <v>1957</v>
      </c>
      <c r="M1303" s="474" t="s">
        <v>8265</v>
      </c>
    </row>
    <row r="1304" spans="1:13" ht="15" customHeight="1">
      <c r="A1304" s="465" t="s">
        <v>1983</v>
      </c>
      <c r="B1304" s="475" t="s">
        <v>1958</v>
      </c>
      <c r="C1304" s="475" t="s">
        <v>1958</v>
      </c>
      <c r="D1304" s="475" t="s">
        <v>1958</v>
      </c>
      <c r="E1304" s="475" t="s">
        <v>6228</v>
      </c>
      <c r="F1304" s="475" t="s">
        <v>6229</v>
      </c>
      <c r="G1304" s="475" t="s">
        <v>1958</v>
      </c>
      <c r="H1304" s="475" t="s">
        <v>6228</v>
      </c>
      <c r="I1304" s="475" t="s">
        <v>6230</v>
      </c>
      <c r="J1304" s="475" t="s">
        <v>6231</v>
      </c>
      <c r="K1304" s="475" t="s">
        <v>7640</v>
      </c>
      <c r="L1304" s="465" t="s">
        <v>1958</v>
      </c>
      <c r="M1304" s="476" t="s">
        <v>8266</v>
      </c>
    </row>
    <row r="1305" spans="1:13" ht="15" customHeight="1">
      <c r="A1305" s="461" t="s">
        <v>1973</v>
      </c>
      <c r="B1305" s="473" t="s">
        <v>1959</v>
      </c>
      <c r="C1305" s="473" t="s">
        <v>1959</v>
      </c>
      <c r="D1305" s="473" t="s">
        <v>1959</v>
      </c>
      <c r="E1305" s="473" t="s">
        <v>6187</v>
      </c>
      <c r="F1305" s="473" t="s">
        <v>6188</v>
      </c>
      <c r="G1305" s="473" t="s">
        <v>1959</v>
      </c>
      <c r="H1305" s="473" t="s">
        <v>6189</v>
      </c>
      <c r="I1305" s="473" t="s">
        <v>6190</v>
      </c>
      <c r="J1305" s="473" t="s">
        <v>6191</v>
      </c>
      <c r="K1305" s="473" t="s">
        <v>7633</v>
      </c>
      <c r="L1305" s="461" t="s">
        <v>1959</v>
      </c>
      <c r="M1305" s="474" t="s">
        <v>8258</v>
      </c>
    </row>
    <row r="1306" spans="1:13" ht="15" customHeight="1">
      <c r="A1306" s="465" t="s">
        <v>2358</v>
      </c>
      <c r="B1306" s="475" t="s">
        <v>1960</v>
      </c>
      <c r="C1306" s="475" t="s">
        <v>1960</v>
      </c>
      <c r="D1306" s="475" t="s">
        <v>1960</v>
      </c>
      <c r="E1306" s="475" t="s">
        <v>6232</v>
      </c>
      <c r="F1306" s="475" t="s">
        <v>6233</v>
      </c>
      <c r="G1306" s="475" t="s">
        <v>1960</v>
      </c>
      <c r="H1306" s="475" t="s">
        <v>6234</v>
      </c>
      <c r="I1306" s="475" t="s">
        <v>6235</v>
      </c>
      <c r="J1306" s="475" t="s">
        <v>6236</v>
      </c>
      <c r="K1306" s="475" t="s">
        <v>7641</v>
      </c>
      <c r="L1306" s="465" t="s">
        <v>1960</v>
      </c>
      <c r="M1306" s="476" t="s">
        <v>8267</v>
      </c>
    </row>
    <row r="1307" spans="1:13" ht="15" customHeight="1">
      <c r="A1307" s="461" t="s">
        <v>1974</v>
      </c>
      <c r="B1307" s="473" t="s">
        <v>1961</v>
      </c>
      <c r="C1307" s="473" t="s">
        <v>1961</v>
      </c>
      <c r="D1307" s="473" t="s">
        <v>1961</v>
      </c>
      <c r="E1307" s="473" t="s">
        <v>6192</v>
      </c>
      <c r="F1307" s="473" t="s">
        <v>6193</v>
      </c>
      <c r="G1307" s="473" t="s">
        <v>1961</v>
      </c>
      <c r="H1307" s="473" t="s">
        <v>6194</v>
      </c>
      <c r="I1307" s="473" t="s">
        <v>6195</v>
      </c>
      <c r="J1307" s="473" t="s">
        <v>6196</v>
      </c>
      <c r="K1307" s="473" t="s">
        <v>7634</v>
      </c>
      <c r="L1307" s="461" t="s">
        <v>1961</v>
      </c>
      <c r="M1307" s="474" t="s">
        <v>8259</v>
      </c>
    </row>
    <row r="1308" spans="1:13" ht="15" customHeight="1">
      <c r="A1308" s="465" t="s">
        <v>1975</v>
      </c>
      <c r="B1308" s="475" t="s">
        <v>1963</v>
      </c>
      <c r="C1308" s="475" t="s">
        <v>1963</v>
      </c>
      <c r="D1308" s="475" t="s">
        <v>1963</v>
      </c>
      <c r="E1308" s="475" t="s">
        <v>6197</v>
      </c>
      <c r="F1308" s="475" t="s">
        <v>6198</v>
      </c>
      <c r="G1308" s="475" t="s">
        <v>1963</v>
      </c>
      <c r="H1308" s="475" t="s">
        <v>6199</v>
      </c>
      <c r="I1308" s="475" t="s">
        <v>6200</v>
      </c>
      <c r="J1308" s="475" t="s">
        <v>6201</v>
      </c>
      <c r="K1308" s="475" t="s">
        <v>7635</v>
      </c>
      <c r="L1308" s="465" t="s">
        <v>1963</v>
      </c>
      <c r="M1308" s="476" t="s">
        <v>8260</v>
      </c>
    </row>
    <row r="1309" spans="1:13" ht="15" customHeight="1">
      <c r="A1309" s="461" t="s">
        <v>2359</v>
      </c>
      <c r="B1309" s="473" t="s">
        <v>1963</v>
      </c>
      <c r="C1309" s="473" t="s">
        <v>1963</v>
      </c>
      <c r="D1309" s="473" t="s">
        <v>1963</v>
      </c>
      <c r="E1309" s="473" t="s">
        <v>6197</v>
      </c>
      <c r="F1309" s="473" t="s">
        <v>6198</v>
      </c>
      <c r="G1309" s="473" t="s">
        <v>1963</v>
      </c>
      <c r="H1309" s="473" t="s">
        <v>6199</v>
      </c>
      <c r="I1309" s="473" t="s">
        <v>6200</v>
      </c>
      <c r="J1309" s="473" t="s">
        <v>6201</v>
      </c>
      <c r="K1309" s="473" t="s">
        <v>7635</v>
      </c>
      <c r="L1309" s="461" t="s">
        <v>1963</v>
      </c>
      <c r="M1309" s="474" t="s">
        <v>8260</v>
      </c>
    </row>
    <row r="1310" spans="1:13" ht="15" customHeight="1">
      <c r="A1310" s="465" t="s">
        <v>1984</v>
      </c>
      <c r="B1310" s="475" t="s">
        <v>1976</v>
      </c>
      <c r="C1310" s="475" t="s">
        <v>1976</v>
      </c>
      <c r="D1310" s="475" t="s">
        <v>1976</v>
      </c>
      <c r="E1310" s="475" t="s">
        <v>6237</v>
      </c>
      <c r="F1310" s="475" t="s">
        <v>6238</v>
      </c>
      <c r="G1310" s="475" t="s">
        <v>1976</v>
      </c>
      <c r="H1310" s="475" t="s">
        <v>6239</v>
      </c>
      <c r="I1310" s="475" t="s">
        <v>6240</v>
      </c>
      <c r="J1310" s="475" t="s">
        <v>6241</v>
      </c>
      <c r="K1310" s="475" t="s">
        <v>7642</v>
      </c>
      <c r="L1310" s="465" t="s">
        <v>1976</v>
      </c>
      <c r="M1310" s="476" t="s">
        <v>8268</v>
      </c>
    </row>
    <row r="1311" spans="1:13" ht="15" customHeight="1">
      <c r="A1311" s="461" t="s">
        <v>1977</v>
      </c>
      <c r="B1311" s="473" t="s">
        <v>1964</v>
      </c>
      <c r="C1311" s="473" t="s">
        <v>1964</v>
      </c>
      <c r="D1311" s="473" t="s">
        <v>1964</v>
      </c>
      <c r="E1311" s="473" t="s">
        <v>5883</v>
      </c>
      <c r="F1311" s="473" t="s">
        <v>6202</v>
      </c>
      <c r="G1311" s="473" t="s">
        <v>1964</v>
      </c>
      <c r="H1311" s="473" t="s">
        <v>6203</v>
      </c>
      <c r="I1311" s="473" t="s">
        <v>6204</v>
      </c>
      <c r="J1311" s="473" t="s">
        <v>5887</v>
      </c>
      <c r="K1311" s="473" t="s">
        <v>7571</v>
      </c>
      <c r="L1311" s="461" t="s">
        <v>1964</v>
      </c>
      <c r="M1311" s="474" t="s">
        <v>8197</v>
      </c>
    </row>
    <row r="1312" spans="1:13" ht="15" customHeight="1">
      <c r="A1312" s="465" t="s">
        <v>2360</v>
      </c>
      <c r="B1312" s="475" t="s">
        <v>1978</v>
      </c>
      <c r="C1312" s="475" t="s">
        <v>1978</v>
      </c>
      <c r="D1312" s="475" t="s">
        <v>1978</v>
      </c>
      <c r="E1312" s="475" t="s">
        <v>6242</v>
      </c>
      <c r="F1312" s="475" t="s">
        <v>6243</v>
      </c>
      <c r="G1312" s="475" t="s">
        <v>1978</v>
      </c>
      <c r="H1312" s="475" t="s">
        <v>6244</v>
      </c>
      <c r="I1312" s="475" t="s">
        <v>6245</v>
      </c>
      <c r="J1312" s="475" t="s">
        <v>6246</v>
      </c>
      <c r="K1312" s="475" t="s">
        <v>7643</v>
      </c>
      <c r="L1312" s="465" t="s">
        <v>1978</v>
      </c>
      <c r="M1312" s="476" t="s">
        <v>8269</v>
      </c>
    </row>
    <row r="1313" spans="1:13" ht="15" customHeight="1">
      <c r="A1313" s="461" t="s">
        <v>1985</v>
      </c>
      <c r="B1313" s="473" t="s">
        <v>1808</v>
      </c>
      <c r="C1313" s="473" t="s">
        <v>1808</v>
      </c>
      <c r="D1313" s="473" t="s">
        <v>1808</v>
      </c>
      <c r="E1313" s="473" t="s">
        <v>5068</v>
      </c>
      <c r="F1313" s="473" t="s">
        <v>5867</v>
      </c>
      <c r="G1313" s="473" t="s">
        <v>1808</v>
      </c>
      <c r="H1313" s="473" t="s">
        <v>5092</v>
      </c>
      <c r="I1313" s="473" t="s">
        <v>5868</v>
      </c>
      <c r="J1313" s="473" t="s">
        <v>5869</v>
      </c>
      <c r="K1313" s="473" t="s">
        <v>7418</v>
      </c>
      <c r="L1313" s="461" t="s">
        <v>1808</v>
      </c>
      <c r="M1313" s="474" t="s">
        <v>8193</v>
      </c>
    </row>
    <row r="1314" spans="1:13" ht="15" customHeight="1">
      <c r="A1314" s="465" t="s">
        <v>1979</v>
      </c>
      <c r="B1314" s="475" t="s">
        <v>1966</v>
      </c>
      <c r="C1314" s="475" t="s">
        <v>1966</v>
      </c>
      <c r="D1314" s="475" t="s">
        <v>1966</v>
      </c>
      <c r="E1314" s="475" t="s">
        <v>6205</v>
      </c>
      <c r="F1314" s="475" t="s">
        <v>6206</v>
      </c>
      <c r="G1314" s="475" t="s">
        <v>1966</v>
      </c>
      <c r="H1314" s="475" t="s">
        <v>6207</v>
      </c>
      <c r="I1314" s="475" t="s">
        <v>6208</v>
      </c>
      <c r="J1314" s="475" t="s">
        <v>6209</v>
      </c>
      <c r="K1314" s="475" t="s">
        <v>7636</v>
      </c>
      <c r="L1314" s="465" t="s">
        <v>1966</v>
      </c>
      <c r="M1314" s="476" t="s">
        <v>8261</v>
      </c>
    </row>
    <row r="1315" spans="1:13" ht="15" customHeight="1">
      <c r="A1315" s="461" t="s">
        <v>2357</v>
      </c>
      <c r="B1315" s="473" t="s">
        <v>2557</v>
      </c>
      <c r="C1315" s="473" t="s">
        <v>2557</v>
      </c>
      <c r="D1315" s="473" t="s">
        <v>2557</v>
      </c>
      <c r="E1315" s="473" t="s">
        <v>6182</v>
      </c>
      <c r="F1315" s="473" t="s">
        <v>6183</v>
      </c>
      <c r="G1315" s="473" t="s">
        <v>2557</v>
      </c>
      <c r="H1315" s="473" t="s">
        <v>6184</v>
      </c>
      <c r="I1315" s="473" t="s">
        <v>6185</v>
      </c>
      <c r="J1315" s="473" t="s">
        <v>6186</v>
      </c>
      <c r="K1315" s="473" t="s">
        <v>7632</v>
      </c>
      <c r="L1315" s="461" t="s">
        <v>2557</v>
      </c>
      <c r="M1315" s="469" t="s">
        <v>2557</v>
      </c>
    </row>
    <row r="1316" spans="1:13" ht="15" customHeight="1">
      <c r="A1316" s="465" t="s">
        <v>2361</v>
      </c>
      <c r="B1316" s="475" t="s">
        <v>1967</v>
      </c>
      <c r="C1316" s="475" t="s">
        <v>1967</v>
      </c>
      <c r="D1316" s="475" t="s">
        <v>1967</v>
      </c>
      <c r="E1316" s="475" t="s">
        <v>6247</v>
      </c>
      <c r="F1316" s="475" t="s">
        <v>6248</v>
      </c>
      <c r="G1316" s="475" t="s">
        <v>1967</v>
      </c>
      <c r="H1316" s="475" t="s">
        <v>6249</v>
      </c>
      <c r="I1316" s="475" t="s">
        <v>6250</v>
      </c>
      <c r="J1316" s="475" t="s">
        <v>6251</v>
      </c>
      <c r="K1316" s="475" t="s">
        <v>7644</v>
      </c>
      <c r="L1316" s="465" t="s">
        <v>1967</v>
      </c>
      <c r="M1316" s="476" t="s">
        <v>8270</v>
      </c>
    </row>
    <row r="1317" spans="1:13" ht="15" customHeight="1">
      <c r="A1317" s="461" t="s">
        <v>1986</v>
      </c>
      <c r="B1317" s="473" t="s">
        <v>1969</v>
      </c>
      <c r="C1317" s="473" t="s">
        <v>1969</v>
      </c>
      <c r="D1317" s="473" t="s">
        <v>1969</v>
      </c>
      <c r="E1317" s="473" t="s">
        <v>6252</v>
      </c>
      <c r="F1317" s="473" t="s">
        <v>6253</v>
      </c>
      <c r="G1317" s="473" t="s">
        <v>1969</v>
      </c>
      <c r="H1317" s="473" t="s">
        <v>6254</v>
      </c>
      <c r="I1317" s="473" t="s">
        <v>6255</v>
      </c>
      <c r="J1317" s="473" t="s">
        <v>6256</v>
      </c>
      <c r="K1317" s="473" t="s">
        <v>7626</v>
      </c>
      <c r="L1317" s="461" t="s">
        <v>1969</v>
      </c>
      <c r="M1317" s="474" t="s">
        <v>8271</v>
      </c>
    </row>
    <row r="1318" spans="1:13" ht="15" customHeight="1">
      <c r="A1318" s="465" t="s">
        <v>1980</v>
      </c>
      <c r="B1318" s="475" t="s">
        <v>1970</v>
      </c>
      <c r="C1318" s="475" t="s">
        <v>1970</v>
      </c>
      <c r="D1318" s="475" t="s">
        <v>1970</v>
      </c>
      <c r="E1318" s="475" t="s">
        <v>5862</v>
      </c>
      <c r="F1318" s="475" t="s">
        <v>6210</v>
      </c>
      <c r="G1318" s="475" t="s">
        <v>1970</v>
      </c>
      <c r="H1318" s="475" t="s">
        <v>5864</v>
      </c>
      <c r="I1318" s="475" t="s">
        <v>6211</v>
      </c>
      <c r="J1318" s="475" t="s">
        <v>5866</v>
      </c>
      <c r="K1318" s="475" t="s">
        <v>7567</v>
      </c>
      <c r="L1318" s="465" t="s">
        <v>1970</v>
      </c>
      <c r="M1318" s="476" t="s">
        <v>8262</v>
      </c>
    </row>
    <row r="1319" spans="1:13" ht="15" customHeight="1">
      <c r="A1319" s="461" t="s">
        <v>2362</v>
      </c>
      <c r="B1319" s="473" t="s">
        <v>1970</v>
      </c>
      <c r="C1319" s="473" t="s">
        <v>1970</v>
      </c>
      <c r="D1319" s="473" t="s">
        <v>1970</v>
      </c>
      <c r="E1319" s="473" t="s">
        <v>5862</v>
      </c>
      <c r="F1319" s="473" t="s">
        <v>6210</v>
      </c>
      <c r="G1319" s="473" t="s">
        <v>1970</v>
      </c>
      <c r="H1319" s="473" t="s">
        <v>5864</v>
      </c>
      <c r="I1319" s="473" t="s">
        <v>6211</v>
      </c>
      <c r="J1319" s="473" t="s">
        <v>5866</v>
      </c>
      <c r="K1319" s="473" t="s">
        <v>7567</v>
      </c>
      <c r="L1319" s="461" t="s">
        <v>1970</v>
      </c>
      <c r="M1319" s="474" t="s">
        <v>8262</v>
      </c>
    </row>
    <row r="1320" spans="1:13" ht="15" customHeight="1">
      <c r="A1320" s="465" t="s">
        <v>1981</v>
      </c>
      <c r="B1320" s="475" t="s">
        <v>1971</v>
      </c>
      <c r="C1320" s="475" t="s">
        <v>1971</v>
      </c>
      <c r="D1320" s="475" t="s">
        <v>1971</v>
      </c>
      <c r="E1320" s="475" t="s">
        <v>6212</v>
      </c>
      <c r="F1320" s="475" t="s">
        <v>6213</v>
      </c>
      <c r="G1320" s="475" t="s">
        <v>1971</v>
      </c>
      <c r="H1320" s="475" t="s">
        <v>6214</v>
      </c>
      <c r="I1320" s="475" t="s">
        <v>6215</v>
      </c>
      <c r="J1320" s="475" t="s">
        <v>6216</v>
      </c>
      <c r="K1320" s="475" t="s">
        <v>7637</v>
      </c>
      <c r="L1320" s="465" t="s">
        <v>1971</v>
      </c>
      <c r="M1320" s="476" t="s">
        <v>8263</v>
      </c>
    </row>
    <row r="1321" spans="1:13" ht="15" customHeight="1">
      <c r="A1321" s="461" t="s">
        <v>1982</v>
      </c>
      <c r="B1321" s="473" t="s">
        <v>1939</v>
      </c>
      <c r="C1321" s="473" t="s">
        <v>1939</v>
      </c>
      <c r="D1321" s="473" t="s">
        <v>1939</v>
      </c>
      <c r="E1321" s="473" t="s">
        <v>6217</v>
      </c>
      <c r="F1321" s="473" t="s">
        <v>6218</v>
      </c>
      <c r="G1321" s="473" t="s">
        <v>1939</v>
      </c>
      <c r="H1321" s="473" t="s">
        <v>6219</v>
      </c>
      <c r="I1321" s="473" t="s">
        <v>6220</v>
      </c>
      <c r="J1321" s="473" t="s">
        <v>6221</v>
      </c>
      <c r="K1321" s="473" t="s">
        <v>7638</v>
      </c>
      <c r="L1321" s="461" t="s">
        <v>1939</v>
      </c>
      <c r="M1321" s="474" t="s">
        <v>8264</v>
      </c>
    </row>
    <row r="1322" spans="1:13" ht="15" customHeight="1">
      <c r="A1322" s="465" t="s">
        <v>2363</v>
      </c>
      <c r="B1322" s="475" t="s">
        <v>2558</v>
      </c>
      <c r="C1322" s="475" t="s">
        <v>2558</v>
      </c>
      <c r="D1322" s="475" t="s">
        <v>2558</v>
      </c>
      <c r="E1322" s="475" t="s">
        <v>6257</v>
      </c>
      <c r="F1322" s="475" t="s">
        <v>6258</v>
      </c>
      <c r="G1322" s="475" t="s">
        <v>2558</v>
      </c>
      <c r="H1322" s="475" t="s">
        <v>6259</v>
      </c>
      <c r="I1322" s="475" t="s">
        <v>6260</v>
      </c>
      <c r="J1322" s="475" t="s">
        <v>6261</v>
      </c>
      <c r="K1322" s="475" t="s">
        <v>7645</v>
      </c>
      <c r="L1322" s="465" t="s">
        <v>2558</v>
      </c>
      <c r="M1322" s="476" t="s">
        <v>8272</v>
      </c>
    </row>
    <row r="1323" spans="1:13" ht="15" customHeight="1">
      <c r="A1323" s="461" t="s">
        <v>2364</v>
      </c>
      <c r="B1323" s="473" t="s">
        <v>2559</v>
      </c>
      <c r="C1323" s="473" t="s">
        <v>2559</v>
      </c>
      <c r="D1323" s="473" t="s">
        <v>2559</v>
      </c>
      <c r="E1323" s="473" t="s">
        <v>6262</v>
      </c>
      <c r="F1323" s="473" t="s">
        <v>6263</v>
      </c>
      <c r="G1323" s="473" t="s">
        <v>2559</v>
      </c>
      <c r="H1323" s="473" t="s">
        <v>6264</v>
      </c>
      <c r="I1323" s="473" t="s">
        <v>6265</v>
      </c>
      <c r="J1323" s="473" t="s">
        <v>6266</v>
      </c>
      <c r="K1323" s="473" t="s">
        <v>7646</v>
      </c>
      <c r="L1323" s="461" t="s">
        <v>2559</v>
      </c>
      <c r="M1323" s="474" t="s">
        <v>8273</v>
      </c>
    </row>
    <row r="1324" spans="1:13" ht="15" customHeight="1">
      <c r="A1324" s="465" t="s">
        <v>2365</v>
      </c>
      <c r="B1324" s="475" t="s">
        <v>2560</v>
      </c>
      <c r="C1324" s="475" t="s">
        <v>2560</v>
      </c>
      <c r="D1324" s="475" t="s">
        <v>2560</v>
      </c>
      <c r="E1324" s="475" t="s">
        <v>6267</v>
      </c>
      <c r="F1324" s="475" t="s">
        <v>6268</v>
      </c>
      <c r="G1324" s="475" t="s">
        <v>2560</v>
      </c>
      <c r="H1324" s="475" t="s">
        <v>6269</v>
      </c>
      <c r="I1324" s="475" t="s">
        <v>6270</v>
      </c>
      <c r="J1324" s="475" t="s">
        <v>6271</v>
      </c>
      <c r="K1324" s="475" t="s">
        <v>7647</v>
      </c>
      <c r="L1324" s="465" t="s">
        <v>2560</v>
      </c>
      <c r="M1324" s="476" t="s">
        <v>8274</v>
      </c>
    </row>
    <row r="1325" spans="1:13" ht="15" customHeight="1">
      <c r="A1325" s="461" t="s">
        <v>791</v>
      </c>
      <c r="B1325" s="461" t="s">
        <v>794</v>
      </c>
      <c r="C1325" s="468" t="s">
        <v>793</v>
      </c>
      <c r="D1325" s="468" t="s">
        <v>795</v>
      </c>
      <c r="E1325" s="468" t="s">
        <v>3568</v>
      </c>
      <c r="F1325" s="461" t="s">
        <v>3569</v>
      </c>
      <c r="G1325" s="461" t="s">
        <v>3570</v>
      </c>
      <c r="H1325" s="461" t="s">
        <v>3571</v>
      </c>
      <c r="I1325" s="461" t="s">
        <v>2921</v>
      </c>
      <c r="J1325" s="461" t="s">
        <v>3572</v>
      </c>
      <c r="K1325" s="461" t="s">
        <v>7240</v>
      </c>
      <c r="L1325" s="461" t="s">
        <v>8456</v>
      </c>
      <c r="M1325" s="469" t="s">
        <v>7807</v>
      </c>
    </row>
    <row r="1326" spans="1:13" ht="15" customHeight="1">
      <c r="A1326" s="475" t="s">
        <v>854</v>
      </c>
      <c r="B1326" s="465" t="s">
        <v>856</v>
      </c>
      <c r="C1326" s="466" t="s">
        <v>855</v>
      </c>
      <c r="D1326" s="466" t="s">
        <v>857</v>
      </c>
      <c r="E1326" s="466" t="s">
        <v>4588</v>
      </c>
      <c r="F1326" s="465" t="s">
        <v>4589</v>
      </c>
      <c r="G1326" s="465" t="s">
        <v>4590</v>
      </c>
      <c r="H1326" s="465" t="s">
        <v>4591</v>
      </c>
      <c r="I1326" s="465" t="s">
        <v>4592</v>
      </c>
      <c r="J1326" s="465" t="s">
        <v>4593</v>
      </c>
      <c r="K1326" s="470" t="s">
        <v>12378</v>
      </c>
      <c r="L1326" s="465" t="s">
        <v>8612</v>
      </c>
      <c r="M1326" s="467" t="s">
        <v>7966</v>
      </c>
    </row>
    <row r="1327" spans="1:13" ht="15" customHeight="1">
      <c r="A1327" s="473" t="s">
        <v>925</v>
      </c>
      <c r="B1327" s="461" t="s">
        <v>2534</v>
      </c>
      <c r="C1327" s="468" t="s">
        <v>926</v>
      </c>
      <c r="D1327" s="468" t="s">
        <v>927</v>
      </c>
      <c r="E1327" s="468" t="s">
        <v>4684</v>
      </c>
      <c r="F1327" s="461" t="s">
        <v>4685</v>
      </c>
      <c r="G1327" s="461" t="s">
        <v>4686</v>
      </c>
      <c r="H1327" s="461" t="s">
        <v>4687</v>
      </c>
      <c r="I1327" s="461" t="s">
        <v>4688</v>
      </c>
      <c r="J1327" s="461" t="s">
        <v>4689</v>
      </c>
      <c r="K1327" s="471" t="s">
        <v>12379</v>
      </c>
      <c r="L1327" s="461" t="s">
        <v>8627</v>
      </c>
      <c r="M1327" s="469" t="s">
        <v>7982</v>
      </c>
    </row>
    <row r="1328" spans="1:13" ht="15" customHeight="1">
      <c r="A1328" s="465" t="s">
        <v>779</v>
      </c>
      <c r="B1328" s="491" t="s">
        <v>755</v>
      </c>
      <c r="C1328" s="466" t="s">
        <v>754</v>
      </c>
      <c r="D1328" s="465" t="s">
        <v>756</v>
      </c>
      <c r="E1328" s="492" t="s">
        <v>4397</v>
      </c>
      <c r="F1328" s="465" t="s">
        <v>4398</v>
      </c>
      <c r="G1328" s="465" t="s">
        <v>4399</v>
      </c>
      <c r="H1328" s="465" t="s">
        <v>4400</v>
      </c>
      <c r="I1328" s="465" t="s">
        <v>4401</v>
      </c>
      <c r="J1328" s="465" t="s">
        <v>4402</v>
      </c>
      <c r="K1328" s="465" t="s">
        <v>7364</v>
      </c>
      <c r="L1328" s="465" t="s">
        <v>8580</v>
      </c>
      <c r="M1328" s="467" t="s">
        <v>7934</v>
      </c>
    </row>
    <row r="1329" spans="1:13" ht="15" customHeight="1">
      <c r="A1329" s="473" t="s">
        <v>12014</v>
      </c>
      <c r="B1329" s="473" t="s">
        <v>755</v>
      </c>
      <c r="C1329" s="473" t="s">
        <v>754</v>
      </c>
      <c r="D1329" s="473" t="s">
        <v>756</v>
      </c>
      <c r="E1329" s="473" t="s">
        <v>4397</v>
      </c>
      <c r="F1329" s="473" t="s">
        <v>4398</v>
      </c>
      <c r="G1329" s="473" t="s">
        <v>4399</v>
      </c>
      <c r="H1329" s="473" t="s">
        <v>4400</v>
      </c>
      <c r="I1329" s="473" t="s">
        <v>4401</v>
      </c>
      <c r="J1329" s="473" t="s">
        <v>4402</v>
      </c>
      <c r="K1329" s="473" t="s">
        <v>7364</v>
      </c>
      <c r="L1329" s="473" t="s">
        <v>8580</v>
      </c>
      <c r="M1329" s="474" t="s">
        <v>7934</v>
      </c>
    </row>
    <row r="1330" spans="1:13" ht="15" customHeight="1">
      <c r="A1330" s="475" t="s">
        <v>11190</v>
      </c>
      <c r="B1330" s="475" t="s">
        <v>11407</v>
      </c>
      <c r="C1330" s="475" t="s">
        <v>11408</v>
      </c>
      <c r="D1330" s="475" t="s">
        <v>11409</v>
      </c>
      <c r="E1330" s="475" t="s">
        <v>11410</v>
      </c>
      <c r="F1330" s="475" t="s">
        <v>11411</v>
      </c>
      <c r="G1330" s="475" t="s">
        <v>11412</v>
      </c>
      <c r="H1330" s="475" t="s">
        <v>11413</v>
      </c>
      <c r="I1330" s="475" t="s">
        <v>11414</v>
      </c>
      <c r="J1330" s="475" t="s">
        <v>11415</v>
      </c>
      <c r="K1330" s="475" t="s">
        <v>11416</v>
      </c>
      <c r="L1330" s="475" t="s">
        <v>11417</v>
      </c>
      <c r="M1330" s="476" t="s">
        <v>11418</v>
      </c>
    </row>
    <row r="1331" spans="1:13" ht="15" customHeight="1">
      <c r="A1331" s="461" t="s">
        <v>2654</v>
      </c>
      <c r="B1331" s="461" t="s">
        <v>2656</v>
      </c>
      <c r="C1331" s="468" t="s">
        <v>2664</v>
      </c>
      <c r="D1331" s="468" t="s">
        <v>2697</v>
      </c>
      <c r="E1331" s="468" t="s">
        <v>4690</v>
      </c>
      <c r="F1331" s="461" t="s">
        <v>4691</v>
      </c>
      <c r="G1331" s="461" t="s">
        <v>4692</v>
      </c>
      <c r="H1331" s="461" t="s">
        <v>4693</v>
      </c>
      <c r="I1331" s="461" t="s">
        <v>4694</v>
      </c>
      <c r="J1331" s="461" t="s">
        <v>4695</v>
      </c>
      <c r="K1331" s="461" t="s">
        <v>12380</v>
      </c>
      <c r="L1331" s="461" t="s">
        <v>8628</v>
      </c>
      <c r="M1331" s="469" t="s">
        <v>7983</v>
      </c>
    </row>
    <row r="1332" spans="1:13" ht="15" customHeight="1">
      <c r="A1332" s="465" t="s">
        <v>1753</v>
      </c>
      <c r="B1332" s="465" t="s">
        <v>1754</v>
      </c>
      <c r="C1332" s="466" t="s">
        <v>1754</v>
      </c>
      <c r="D1332" s="466" t="s">
        <v>1754</v>
      </c>
      <c r="E1332" s="466" t="s">
        <v>5731</v>
      </c>
      <c r="F1332" s="465" t="s">
        <v>5732</v>
      </c>
      <c r="G1332" s="465" t="s">
        <v>1754</v>
      </c>
      <c r="H1332" s="466" t="s">
        <v>5733</v>
      </c>
      <c r="I1332" s="465" t="s">
        <v>5734</v>
      </c>
      <c r="J1332" s="465" t="s">
        <v>5735</v>
      </c>
      <c r="K1332" s="465" t="s">
        <v>7541</v>
      </c>
      <c r="L1332" s="465" t="s">
        <v>1754</v>
      </c>
      <c r="M1332" s="467" t="s">
        <v>8166</v>
      </c>
    </row>
    <row r="1333" spans="1:13" ht="15" customHeight="1">
      <c r="A1333" s="461" t="s">
        <v>1755</v>
      </c>
      <c r="B1333" s="461" t="s">
        <v>1756</v>
      </c>
      <c r="C1333" s="468" t="s">
        <v>1756</v>
      </c>
      <c r="D1333" s="468" t="s">
        <v>1756</v>
      </c>
      <c r="E1333" s="468" t="s">
        <v>5736</v>
      </c>
      <c r="F1333" s="461" t="s">
        <v>5737</v>
      </c>
      <c r="G1333" s="461" t="s">
        <v>1756</v>
      </c>
      <c r="H1333" s="468" t="s">
        <v>5738</v>
      </c>
      <c r="I1333" s="461" t="s">
        <v>5739</v>
      </c>
      <c r="J1333" s="461" t="s">
        <v>5740</v>
      </c>
      <c r="K1333" s="461" t="s">
        <v>7542</v>
      </c>
      <c r="L1333" s="461" t="s">
        <v>1756</v>
      </c>
      <c r="M1333" s="469" t="s">
        <v>8167</v>
      </c>
    </row>
    <row r="1334" spans="1:13" ht="15" customHeight="1">
      <c r="A1334" s="465" t="s">
        <v>1757</v>
      </c>
      <c r="B1334" s="465" t="s">
        <v>1758</v>
      </c>
      <c r="C1334" s="466" t="s">
        <v>1758</v>
      </c>
      <c r="D1334" s="466" t="s">
        <v>1758</v>
      </c>
      <c r="E1334" s="466" t="s">
        <v>5741</v>
      </c>
      <c r="F1334" s="465" t="s">
        <v>5742</v>
      </c>
      <c r="G1334" s="465" t="s">
        <v>1758</v>
      </c>
      <c r="H1334" s="466" t="s">
        <v>5743</v>
      </c>
      <c r="I1334" s="465" t="s">
        <v>5744</v>
      </c>
      <c r="J1334" s="465" t="s">
        <v>5745</v>
      </c>
      <c r="K1334" s="465" t="s">
        <v>7543</v>
      </c>
      <c r="L1334" s="465" t="s">
        <v>1758</v>
      </c>
      <c r="M1334" s="467" t="s">
        <v>8168</v>
      </c>
    </row>
    <row r="1335" spans="1:13" ht="15" customHeight="1">
      <c r="A1335" s="461" t="s">
        <v>1759</v>
      </c>
      <c r="B1335" s="461" t="s">
        <v>1760</v>
      </c>
      <c r="C1335" s="468" t="s">
        <v>1760</v>
      </c>
      <c r="D1335" s="468" t="s">
        <v>1760</v>
      </c>
      <c r="E1335" s="468" t="s">
        <v>5746</v>
      </c>
      <c r="F1335" s="461" t="s">
        <v>5747</v>
      </c>
      <c r="G1335" s="461" t="s">
        <v>1760</v>
      </c>
      <c r="H1335" s="468" t="s">
        <v>5748</v>
      </c>
      <c r="I1335" s="461" t="s">
        <v>5749</v>
      </c>
      <c r="J1335" s="461" t="s">
        <v>5750</v>
      </c>
      <c r="K1335" s="461" t="s">
        <v>7544</v>
      </c>
      <c r="L1335" s="461" t="s">
        <v>1760</v>
      </c>
      <c r="M1335" s="469" t="s">
        <v>8169</v>
      </c>
    </row>
    <row r="1336" spans="1:13" ht="15" customHeight="1">
      <c r="A1336" s="465" t="s">
        <v>1761</v>
      </c>
      <c r="B1336" s="465" t="s">
        <v>1762</v>
      </c>
      <c r="C1336" s="466" t="s">
        <v>1762</v>
      </c>
      <c r="D1336" s="466" t="s">
        <v>1762</v>
      </c>
      <c r="E1336" s="466" t="s">
        <v>5751</v>
      </c>
      <c r="F1336" s="465" t="s">
        <v>5752</v>
      </c>
      <c r="G1336" s="465" t="s">
        <v>1762</v>
      </c>
      <c r="H1336" s="466" t="s">
        <v>5753</v>
      </c>
      <c r="I1336" s="465" t="s">
        <v>5754</v>
      </c>
      <c r="J1336" s="465" t="s">
        <v>5755</v>
      </c>
      <c r="K1336" s="465" t="s">
        <v>7545</v>
      </c>
      <c r="L1336" s="465" t="s">
        <v>1762</v>
      </c>
      <c r="M1336" s="467" t="s">
        <v>8170</v>
      </c>
    </row>
    <row r="1337" spans="1:13" ht="15" customHeight="1">
      <c r="A1337" s="461" t="s">
        <v>1763</v>
      </c>
      <c r="B1337" s="461" t="s">
        <v>1764</v>
      </c>
      <c r="C1337" s="468" t="s">
        <v>1764</v>
      </c>
      <c r="D1337" s="468" t="s">
        <v>1764</v>
      </c>
      <c r="E1337" s="468" t="s">
        <v>5756</v>
      </c>
      <c r="F1337" s="461" t="s">
        <v>5757</v>
      </c>
      <c r="G1337" s="461" t="s">
        <v>1764</v>
      </c>
      <c r="H1337" s="468" t="s">
        <v>5758</v>
      </c>
      <c r="I1337" s="461" t="s">
        <v>5759</v>
      </c>
      <c r="J1337" s="461" t="s">
        <v>5760</v>
      </c>
      <c r="K1337" s="461" t="s">
        <v>7546</v>
      </c>
      <c r="L1337" s="461" t="s">
        <v>1764</v>
      </c>
      <c r="M1337" s="469" t="s">
        <v>8171</v>
      </c>
    </row>
    <row r="1338" spans="1:13" ht="15" customHeight="1">
      <c r="A1338" s="465" t="s">
        <v>1765</v>
      </c>
      <c r="B1338" s="465" t="s">
        <v>1766</v>
      </c>
      <c r="C1338" s="466" t="s">
        <v>1766</v>
      </c>
      <c r="D1338" s="466" t="s">
        <v>1766</v>
      </c>
      <c r="E1338" s="466" t="s">
        <v>5761</v>
      </c>
      <c r="F1338" s="465" t="s">
        <v>5762</v>
      </c>
      <c r="G1338" s="465" t="s">
        <v>1766</v>
      </c>
      <c r="H1338" s="466" t="s">
        <v>5763</v>
      </c>
      <c r="I1338" s="465" t="s">
        <v>5764</v>
      </c>
      <c r="J1338" s="465" t="s">
        <v>5765</v>
      </c>
      <c r="K1338" s="465" t="s">
        <v>7547</v>
      </c>
      <c r="L1338" s="465" t="s">
        <v>1766</v>
      </c>
      <c r="M1338" s="467" t="s">
        <v>8171</v>
      </c>
    </row>
    <row r="1339" spans="1:13" ht="15" customHeight="1">
      <c r="A1339" s="461" t="s">
        <v>1767</v>
      </c>
      <c r="B1339" s="461" t="s">
        <v>1768</v>
      </c>
      <c r="C1339" s="468" t="s">
        <v>1768</v>
      </c>
      <c r="D1339" s="468" t="s">
        <v>1768</v>
      </c>
      <c r="E1339" s="468" t="s">
        <v>5766</v>
      </c>
      <c r="F1339" s="461" t="s">
        <v>5767</v>
      </c>
      <c r="G1339" s="461" t="s">
        <v>1768</v>
      </c>
      <c r="H1339" s="468" t="s">
        <v>5768</v>
      </c>
      <c r="I1339" s="461" t="s">
        <v>5769</v>
      </c>
      <c r="J1339" s="461" t="s">
        <v>5770</v>
      </c>
      <c r="K1339" s="471" t="s">
        <v>7548</v>
      </c>
      <c r="L1339" s="461" t="s">
        <v>1768</v>
      </c>
      <c r="M1339" s="469" t="s">
        <v>8172</v>
      </c>
    </row>
    <row r="1340" spans="1:13" ht="15" customHeight="1">
      <c r="A1340" s="465" t="s">
        <v>1769</v>
      </c>
      <c r="B1340" s="465" t="s">
        <v>1770</v>
      </c>
      <c r="C1340" s="466" t="s">
        <v>1770</v>
      </c>
      <c r="D1340" s="466" t="s">
        <v>1770</v>
      </c>
      <c r="E1340" s="466" t="s">
        <v>5771</v>
      </c>
      <c r="F1340" s="465" t="s">
        <v>5772</v>
      </c>
      <c r="G1340" s="465" t="s">
        <v>1770</v>
      </c>
      <c r="H1340" s="466" t="s">
        <v>5773</v>
      </c>
      <c r="I1340" s="465" t="s">
        <v>5774</v>
      </c>
      <c r="J1340" s="465" t="s">
        <v>5775</v>
      </c>
      <c r="K1340" s="465" t="s">
        <v>7549</v>
      </c>
      <c r="L1340" s="465" t="s">
        <v>1770</v>
      </c>
      <c r="M1340" s="467" t="s">
        <v>8173</v>
      </c>
    </row>
    <row r="1341" spans="1:13" ht="15" customHeight="1">
      <c r="A1341" s="461" t="s">
        <v>1771</v>
      </c>
      <c r="B1341" s="461" t="s">
        <v>1772</v>
      </c>
      <c r="C1341" s="468" t="s">
        <v>1772</v>
      </c>
      <c r="D1341" s="468" t="s">
        <v>1772</v>
      </c>
      <c r="E1341" s="468" t="s">
        <v>5776</v>
      </c>
      <c r="F1341" s="461" t="s">
        <v>5777</v>
      </c>
      <c r="G1341" s="461" t="s">
        <v>1772</v>
      </c>
      <c r="H1341" s="468" t="s">
        <v>5778</v>
      </c>
      <c r="I1341" s="461" t="s">
        <v>5779</v>
      </c>
      <c r="J1341" s="461" t="s">
        <v>5780</v>
      </c>
      <c r="K1341" s="461" t="s">
        <v>7550</v>
      </c>
      <c r="L1341" s="461" t="s">
        <v>1772</v>
      </c>
      <c r="M1341" s="469" t="s">
        <v>8174</v>
      </c>
    </row>
    <row r="1342" spans="1:13" ht="15" customHeight="1">
      <c r="A1342" s="465" t="s">
        <v>1773</v>
      </c>
      <c r="B1342" s="465" t="s">
        <v>1774</v>
      </c>
      <c r="C1342" s="466" t="s">
        <v>1774</v>
      </c>
      <c r="D1342" s="466" t="s">
        <v>1774</v>
      </c>
      <c r="E1342" s="466" t="s">
        <v>5781</v>
      </c>
      <c r="F1342" s="465" t="s">
        <v>5782</v>
      </c>
      <c r="G1342" s="465" t="s">
        <v>1774</v>
      </c>
      <c r="H1342" s="466" t="s">
        <v>5783</v>
      </c>
      <c r="I1342" s="465" t="s">
        <v>5784</v>
      </c>
      <c r="J1342" s="465" t="s">
        <v>5785</v>
      </c>
      <c r="K1342" s="470" t="s">
        <v>7551</v>
      </c>
      <c r="L1342" s="465" t="s">
        <v>1774</v>
      </c>
      <c r="M1342" s="467" t="s">
        <v>8175</v>
      </c>
    </row>
    <row r="1343" spans="1:13" ht="15" customHeight="1">
      <c r="A1343" s="461" t="s">
        <v>1775</v>
      </c>
      <c r="B1343" s="461" t="s">
        <v>1776</v>
      </c>
      <c r="C1343" s="468" t="s">
        <v>1776</v>
      </c>
      <c r="D1343" s="468" t="s">
        <v>1776</v>
      </c>
      <c r="E1343" s="468" t="s">
        <v>5786</v>
      </c>
      <c r="F1343" s="461" t="s">
        <v>5787</v>
      </c>
      <c r="G1343" s="461" t="s">
        <v>1776</v>
      </c>
      <c r="H1343" s="468" t="s">
        <v>5788</v>
      </c>
      <c r="I1343" s="461" t="s">
        <v>5789</v>
      </c>
      <c r="J1343" s="461" t="s">
        <v>5790</v>
      </c>
      <c r="K1343" s="471" t="s">
        <v>7552</v>
      </c>
      <c r="L1343" s="461" t="s">
        <v>1776</v>
      </c>
      <c r="M1343" s="469" t="s">
        <v>8176</v>
      </c>
    </row>
    <row r="1344" spans="1:13" ht="15" customHeight="1">
      <c r="A1344" s="465" t="s">
        <v>1777</v>
      </c>
      <c r="B1344" s="465" t="s">
        <v>1778</v>
      </c>
      <c r="C1344" s="466" t="s">
        <v>1778</v>
      </c>
      <c r="D1344" s="466" t="s">
        <v>1778</v>
      </c>
      <c r="E1344" s="466" t="s">
        <v>5791</v>
      </c>
      <c r="F1344" s="465" t="s">
        <v>5792</v>
      </c>
      <c r="G1344" s="465" t="s">
        <v>1778</v>
      </c>
      <c r="H1344" s="466" t="s">
        <v>5793</v>
      </c>
      <c r="I1344" s="465" t="s">
        <v>5794</v>
      </c>
      <c r="J1344" s="465" t="s">
        <v>5795</v>
      </c>
      <c r="K1344" s="470" t="s">
        <v>7553</v>
      </c>
      <c r="L1344" s="465" t="s">
        <v>1778</v>
      </c>
      <c r="M1344" s="467" t="s">
        <v>8177</v>
      </c>
    </row>
    <row r="1345" spans="1:13" ht="15" customHeight="1">
      <c r="A1345" s="461" t="s">
        <v>1779</v>
      </c>
      <c r="B1345" s="461" t="s">
        <v>1780</v>
      </c>
      <c r="C1345" s="468" t="s">
        <v>1780</v>
      </c>
      <c r="D1345" s="468" t="s">
        <v>1780</v>
      </c>
      <c r="E1345" s="468" t="s">
        <v>5796</v>
      </c>
      <c r="F1345" s="461" t="s">
        <v>5797</v>
      </c>
      <c r="G1345" s="461" t="s">
        <v>1780</v>
      </c>
      <c r="H1345" s="468" t="s">
        <v>5798</v>
      </c>
      <c r="I1345" s="461" t="s">
        <v>5799</v>
      </c>
      <c r="J1345" s="461" t="s">
        <v>5800</v>
      </c>
      <c r="K1345" s="461" t="s">
        <v>7554</v>
      </c>
      <c r="L1345" s="461" t="s">
        <v>1780</v>
      </c>
      <c r="M1345" s="469" t="s">
        <v>8178</v>
      </c>
    </row>
    <row r="1346" spans="1:13" ht="15" customHeight="1">
      <c r="A1346" s="465" t="s">
        <v>1781</v>
      </c>
      <c r="B1346" s="465" t="s">
        <v>1782</v>
      </c>
      <c r="C1346" s="466" t="s">
        <v>1782</v>
      </c>
      <c r="D1346" s="466" t="s">
        <v>1782</v>
      </c>
      <c r="E1346" s="466" t="s">
        <v>5801</v>
      </c>
      <c r="F1346" s="465" t="s">
        <v>5802</v>
      </c>
      <c r="G1346" s="465" t="s">
        <v>1782</v>
      </c>
      <c r="H1346" s="466" t="s">
        <v>5803</v>
      </c>
      <c r="I1346" s="465" t="s">
        <v>5804</v>
      </c>
      <c r="J1346" s="465" t="s">
        <v>5805</v>
      </c>
      <c r="K1346" s="465" t="s">
        <v>7555</v>
      </c>
      <c r="L1346" s="465" t="s">
        <v>1782</v>
      </c>
      <c r="M1346" s="467" t="s">
        <v>8179</v>
      </c>
    </row>
    <row r="1347" spans="1:13" ht="15" customHeight="1">
      <c r="A1347" s="461" t="s">
        <v>1783</v>
      </c>
      <c r="B1347" s="461" t="s">
        <v>1784</v>
      </c>
      <c r="C1347" s="468" t="s">
        <v>1784</v>
      </c>
      <c r="D1347" s="468" t="s">
        <v>1784</v>
      </c>
      <c r="E1347" s="468" t="s">
        <v>5806</v>
      </c>
      <c r="F1347" s="461" t="s">
        <v>5807</v>
      </c>
      <c r="G1347" s="461" t="s">
        <v>1784</v>
      </c>
      <c r="H1347" s="468" t="s">
        <v>5808</v>
      </c>
      <c r="I1347" s="461" t="s">
        <v>5809</v>
      </c>
      <c r="J1347" s="461" t="s">
        <v>5810</v>
      </c>
      <c r="K1347" s="461" t="s">
        <v>7556</v>
      </c>
      <c r="L1347" s="461" t="s">
        <v>1784</v>
      </c>
      <c r="M1347" s="469" t="s">
        <v>8180</v>
      </c>
    </row>
    <row r="1348" spans="1:13" ht="15" customHeight="1">
      <c r="A1348" s="465" t="s">
        <v>1785</v>
      </c>
      <c r="B1348" s="465" t="s">
        <v>1786</v>
      </c>
      <c r="C1348" s="466" t="s">
        <v>1786</v>
      </c>
      <c r="D1348" s="466" t="s">
        <v>1786</v>
      </c>
      <c r="E1348" s="466" t="s">
        <v>5811</v>
      </c>
      <c r="F1348" s="465" t="s">
        <v>5812</v>
      </c>
      <c r="G1348" s="465" t="s">
        <v>1786</v>
      </c>
      <c r="H1348" s="466" t="s">
        <v>5813</v>
      </c>
      <c r="I1348" s="465" t="s">
        <v>5814</v>
      </c>
      <c r="J1348" s="465" t="s">
        <v>5815</v>
      </c>
      <c r="K1348" s="465" t="s">
        <v>7557</v>
      </c>
      <c r="L1348" s="465" t="s">
        <v>1786</v>
      </c>
      <c r="M1348" s="467" t="s">
        <v>8181</v>
      </c>
    </row>
    <row r="1349" spans="1:13" ht="15" customHeight="1">
      <c r="A1349" s="461" t="s">
        <v>1787</v>
      </c>
      <c r="B1349" s="461" t="s">
        <v>1788</v>
      </c>
      <c r="C1349" s="468" t="s">
        <v>1788</v>
      </c>
      <c r="D1349" s="468" t="s">
        <v>1788</v>
      </c>
      <c r="E1349" s="468" t="s">
        <v>5816</v>
      </c>
      <c r="F1349" s="461" t="s">
        <v>5817</v>
      </c>
      <c r="G1349" s="461" t="s">
        <v>1788</v>
      </c>
      <c r="H1349" s="468" t="s">
        <v>5818</v>
      </c>
      <c r="I1349" s="461" t="s">
        <v>5819</v>
      </c>
      <c r="J1349" s="461" t="s">
        <v>5820</v>
      </c>
      <c r="K1349" s="471" t="s">
        <v>7558</v>
      </c>
      <c r="L1349" s="461" t="s">
        <v>1788</v>
      </c>
      <c r="M1349" s="469" t="s">
        <v>8182</v>
      </c>
    </row>
    <row r="1350" spans="1:13" ht="15" customHeight="1">
      <c r="A1350" s="465" t="s">
        <v>1789</v>
      </c>
      <c r="B1350" s="465" t="s">
        <v>1790</v>
      </c>
      <c r="C1350" s="466" t="s">
        <v>1790</v>
      </c>
      <c r="D1350" s="466" t="s">
        <v>1790</v>
      </c>
      <c r="E1350" s="493" t="s">
        <v>5821</v>
      </c>
      <c r="F1350" s="494" t="s">
        <v>5822</v>
      </c>
      <c r="G1350" s="494" t="s">
        <v>1790</v>
      </c>
      <c r="H1350" s="493" t="s">
        <v>5823</v>
      </c>
      <c r="I1350" s="494" t="s">
        <v>5824</v>
      </c>
      <c r="J1350" s="494" t="s">
        <v>5825</v>
      </c>
      <c r="K1350" s="494" t="s">
        <v>7559</v>
      </c>
      <c r="L1350" s="494" t="s">
        <v>1790</v>
      </c>
      <c r="M1350" s="495" t="s">
        <v>8183</v>
      </c>
    </row>
    <row r="1351" spans="1:13" ht="15" customHeight="1">
      <c r="A1351" s="496" t="s">
        <v>1791</v>
      </c>
      <c r="B1351" s="497" t="s">
        <v>1792</v>
      </c>
      <c r="C1351" s="498" t="s">
        <v>1792</v>
      </c>
      <c r="D1351" s="498" t="s">
        <v>1792</v>
      </c>
      <c r="E1351" s="498" t="s">
        <v>5826</v>
      </c>
      <c r="F1351" s="497" t="s">
        <v>5827</v>
      </c>
      <c r="G1351" s="497" t="s">
        <v>1792</v>
      </c>
      <c r="H1351" s="498" t="s">
        <v>5828</v>
      </c>
      <c r="I1351" s="497" t="s">
        <v>5829</v>
      </c>
      <c r="J1351" s="497" t="s">
        <v>5830</v>
      </c>
      <c r="K1351" s="497" t="s">
        <v>7560</v>
      </c>
      <c r="L1351" s="497" t="s">
        <v>1792</v>
      </c>
      <c r="M1351" s="499" t="s">
        <v>8184</v>
      </c>
    </row>
    <row r="1352" spans="1:13" ht="15" customHeight="1">
      <c r="A1352" s="500" t="s">
        <v>1793</v>
      </c>
      <c r="B1352" s="501" t="s">
        <v>1794</v>
      </c>
      <c r="C1352" s="502" t="s">
        <v>1794</v>
      </c>
      <c r="D1352" s="502" t="s">
        <v>1794</v>
      </c>
      <c r="E1352" s="502" t="s">
        <v>5831</v>
      </c>
      <c r="F1352" s="501" t="s">
        <v>5832</v>
      </c>
      <c r="G1352" s="501" t="s">
        <v>1794</v>
      </c>
      <c r="H1352" s="502" t="s">
        <v>5833</v>
      </c>
      <c r="I1352" s="501" t="s">
        <v>5834</v>
      </c>
      <c r="J1352" s="501" t="s">
        <v>5835</v>
      </c>
      <c r="K1352" s="503" t="s">
        <v>7561</v>
      </c>
      <c r="L1352" s="501" t="s">
        <v>1794</v>
      </c>
      <c r="M1352" s="504" t="s">
        <v>8185</v>
      </c>
    </row>
    <row r="1353" spans="1:13" ht="15" customHeight="1">
      <c r="A1353" s="505" t="s">
        <v>11630</v>
      </c>
      <c r="B1353" s="506" t="s">
        <v>11827</v>
      </c>
      <c r="C1353" s="506" t="s">
        <v>11828</v>
      </c>
      <c r="D1353" s="506" t="s">
        <v>11828</v>
      </c>
      <c r="E1353" s="506" t="s">
        <v>11828</v>
      </c>
      <c r="F1353" s="506" t="s">
        <v>11828</v>
      </c>
      <c r="G1353" s="506" t="s">
        <v>11828</v>
      </c>
      <c r="H1353" s="506" t="s">
        <v>11828</v>
      </c>
      <c r="I1353" s="506" t="s">
        <v>11828</v>
      </c>
      <c r="J1353" s="506" t="s">
        <v>11828</v>
      </c>
      <c r="K1353" s="506" t="s">
        <v>11828</v>
      </c>
      <c r="L1353" s="506" t="s">
        <v>11828</v>
      </c>
      <c r="M1353" s="507" t="s">
        <v>11828</v>
      </c>
    </row>
    <row r="1354" spans="1:13" ht="15" customHeight="1">
      <c r="A1354" s="500" t="s">
        <v>585</v>
      </c>
      <c r="B1354" s="501" t="s">
        <v>588</v>
      </c>
      <c r="C1354" s="502" t="s">
        <v>587</v>
      </c>
      <c r="D1354" s="502" t="s">
        <v>589</v>
      </c>
      <c r="E1354" s="502" t="s">
        <v>4000</v>
      </c>
      <c r="F1354" s="501" t="s">
        <v>4001</v>
      </c>
      <c r="G1354" s="501" t="s">
        <v>4002</v>
      </c>
      <c r="H1354" s="501" t="s">
        <v>4003</v>
      </c>
      <c r="I1354" s="501" t="s">
        <v>4004</v>
      </c>
      <c r="J1354" s="501" t="s">
        <v>4005</v>
      </c>
      <c r="K1354" s="501" t="s">
        <v>7309</v>
      </c>
      <c r="L1354" s="501" t="s">
        <v>8525</v>
      </c>
      <c r="M1354" s="504" t="s">
        <v>7874</v>
      </c>
    </row>
    <row r="1355" spans="1:13" ht="15" customHeight="1">
      <c r="A1355" s="496" t="s">
        <v>590</v>
      </c>
      <c r="B1355" s="497" t="s">
        <v>588</v>
      </c>
      <c r="C1355" s="498" t="s">
        <v>587</v>
      </c>
      <c r="D1355" s="498" t="s">
        <v>589</v>
      </c>
      <c r="E1355" s="498" t="s">
        <v>4000</v>
      </c>
      <c r="F1355" s="497" t="s">
        <v>4001</v>
      </c>
      <c r="G1355" s="497" t="s">
        <v>4002</v>
      </c>
      <c r="H1355" s="497" t="s">
        <v>4003</v>
      </c>
      <c r="I1355" s="497" t="s">
        <v>4004</v>
      </c>
      <c r="J1355" s="497" t="s">
        <v>4005</v>
      </c>
      <c r="K1355" s="497" t="s">
        <v>7309</v>
      </c>
      <c r="L1355" s="497" t="s">
        <v>8525</v>
      </c>
      <c r="M1355" s="499" t="s">
        <v>7874</v>
      </c>
    </row>
    <row r="1356" spans="1:13" ht="15" customHeight="1">
      <c r="A1356" s="508" t="s">
        <v>12011</v>
      </c>
      <c r="B1356" s="509" t="s">
        <v>707</v>
      </c>
      <c r="C1356" s="509" t="s">
        <v>706</v>
      </c>
      <c r="D1356" s="509" t="s">
        <v>708</v>
      </c>
      <c r="E1356" s="509" t="s">
        <v>4759</v>
      </c>
      <c r="F1356" s="509" t="s">
        <v>4380</v>
      </c>
      <c r="G1356" s="509" t="s">
        <v>4760</v>
      </c>
      <c r="H1356" s="509" t="s">
        <v>4382</v>
      </c>
      <c r="I1356" s="509" t="s">
        <v>4761</v>
      </c>
      <c r="J1356" s="509" t="s">
        <v>4762</v>
      </c>
      <c r="K1356" s="509" t="s">
        <v>7361</v>
      </c>
      <c r="L1356" s="509" t="s">
        <v>8577</v>
      </c>
      <c r="M1356" s="510" t="s">
        <v>7931</v>
      </c>
    </row>
    <row r="1357" spans="1:13" ht="15" customHeight="1">
      <c r="A1357" s="496" t="s">
        <v>591</v>
      </c>
      <c r="B1357" s="497" t="s">
        <v>593</v>
      </c>
      <c r="C1357" s="498" t="s">
        <v>592</v>
      </c>
      <c r="D1357" s="498" t="s">
        <v>594</v>
      </c>
      <c r="E1357" s="498" t="s">
        <v>4006</v>
      </c>
      <c r="F1357" s="497" t="s">
        <v>4007</v>
      </c>
      <c r="G1357" s="497" t="s">
        <v>4008</v>
      </c>
      <c r="H1357" s="497" t="s">
        <v>4009</v>
      </c>
      <c r="I1357" s="497" t="s">
        <v>4010</v>
      </c>
      <c r="J1357" s="497" t="s">
        <v>4011</v>
      </c>
      <c r="K1357" s="497" t="s">
        <v>7310</v>
      </c>
      <c r="L1357" s="497" t="s">
        <v>8526</v>
      </c>
      <c r="M1357" s="499" t="s">
        <v>7875</v>
      </c>
    </row>
    <row r="1358" spans="1:13" ht="15" customHeight="1">
      <c r="A1358" s="500" t="s">
        <v>2234</v>
      </c>
      <c r="B1358" s="501" t="s">
        <v>2515</v>
      </c>
      <c r="C1358" s="502" t="s">
        <v>2609</v>
      </c>
      <c r="D1358" s="502" t="s">
        <v>2682</v>
      </c>
      <c r="E1358" s="502" t="s">
        <v>4012</v>
      </c>
      <c r="F1358" s="501" t="s">
        <v>4013</v>
      </c>
      <c r="G1358" s="501" t="s">
        <v>4014</v>
      </c>
      <c r="H1358" s="501" t="s">
        <v>4012</v>
      </c>
      <c r="I1358" s="501" t="s">
        <v>4015</v>
      </c>
      <c r="J1358" s="501" t="s">
        <v>4016</v>
      </c>
      <c r="K1358" s="501" t="s">
        <v>7311</v>
      </c>
      <c r="L1358" s="501" t="s">
        <v>8527</v>
      </c>
      <c r="M1358" s="504" t="s">
        <v>7876</v>
      </c>
    </row>
    <row r="1359" spans="1:13" ht="15" customHeight="1">
      <c r="A1359" s="505" t="s">
        <v>12175</v>
      </c>
      <c r="B1359" s="506" t="s">
        <v>356</v>
      </c>
      <c r="C1359" s="506" t="s">
        <v>355</v>
      </c>
      <c r="D1359" s="506" t="s">
        <v>357</v>
      </c>
      <c r="E1359" s="506" t="s">
        <v>3608</v>
      </c>
      <c r="F1359" s="506" t="s">
        <v>3609</v>
      </c>
      <c r="G1359" s="506" t="s">
        <v>5036</v>
      </c>
      <c r="H1359" s="506" t="s">
        <v>3611</v>
      </c>
      <c r="I1359" s="506" t="s">
        <v>3612</v>
      </c>
      <c r="J1359" s="506" t="s">
        <v>3613</v>
      </c>
      <c r="K1359" s="506" t="s">
        <v>7246</v>
      </c>
      <c r="L1359" s="506" t="s">
        <v>8462</v>
      </c>
      <c r="M1359" s="507" t="s">
        <v>8034</v>
      </c>
    </row>
    <row r="1360" spans="1:13" ht="15" customHeight="1">
      <c r="A1360" s="500" t="s">
        <v>603</v>
      </c>
      <c r="B1360" s="501" t="s">
        <v>359</v>
      </c>
      <c r="C1360" s="502" t="s">
        <v>358</v>
      </c>
      <c r="D1360" s="502" t="s">
        <v>360</v>
      </c>
      <c r="E1360" s="502" t="s">
        <v>3654</v>
      </c>
      <c r="F1360" s="501" t="s">
        <v>3655</v>
      </c>
      <c r="G1360" s="501" t="s">
        <v>4017</v>
      </c>
      <c r="H1360" s="501" t="s">
        <v>3654</v>
      </c>
      <c r="I1360" s="501" t="s">
        <v>3656</v>
      </c>
      <c r="J1360" s="501" t="s">
        <v>3657</v>
      </c>
      <c r="K1360" s="501" t="s">
        <v>7252</v>
      </c>
      <c r="L1360" s="501" t="s">
        <v>8468</v>
      </c>
      <c r="M1360" s="504" t="s">
        <v>7877</v>
      </c>
    </row>
    <row r="1361" spans="1:13" ht="15" customHeight="1">
      <c r="A1361" s="496" t="s">
        <v>601</v>
      </c>
      <c r="B1361" s="497" t="s">
        <v>588</v>
      </c>
      <c r="C1361" s="498" t="s">
        <v>587</v>
      </c>
      <c r="D1361" s="498" t="s">
        <v>589</v>
      </c>
      <c r="E1361" s="498" t="s">
        <v>4024</v>
      </c>
      <c r="F1361" s="497" t="s">
        <v>4001</v>
      </c>
      <c r="G1361" s="497" t="s">
        <v>4002</v>
      </c>
      <c r="H1361" s="497" t="s">
        <v>4003</v>
      </c>
      <c r="I1361" s="497" t="s">
        <v>4004</v>
      </c>
      <c r="J1361" s="497" t="s">
        <v>4005</v>
      </c>
      <c r="K1361" s="497" t="s">
        <v>7309</v>
      </c>
      <c r="L1361" s="497" t="s">
        <v>8525</v>
      </c>
      <c r="M1361" s="499" t="s">
        <v>7879</v>
      </c>
    </row>
    <row r="1362" spans="1:13" ht="15" customHeight="1">
      <c r="A1362" s="500" t="s">
        <v>2343</v>
      </c>
      <c r="B1362" s="501" t="s">
        <v>1540</v>
      </c>
      <c r="C1362" s="502" t="s">
        <v>1540</v>
      </c>
      <c r="D1362" s="502" t="s">
        <v>1540</v>
      </c>
      <c r="E1362" s="502" t="s">
        <v>5223</v>
      </c>
      <c r="F1362" s="501" t="s">
        <v>5224</v>
      </c>
      <c r="G1362" s="501" t="s">
        <v>1540</v>
      </c>
      <c r="H1362" s="501" t="s">
        <v>5225</v>
      </c>
      <c r="I1362" s="501" t="s">
        <v>5226</v>
      </c>
      <c r="J1362" s="501" t="s">
        <v>5227</v>
      </c>
      <c r="K1362" s="501" t="s">
        <v>7440</v>
      </c>
      <c r="L1362" s="501" t="s">
        <v>8701</v>
      </c>
      <c r="M1362" s="504" t="s">
        <v>8066</v>
      </c>
    </row>
    <row r="1363" spans="1:13" ht="15" customHeight="1">
      <c r="A1363" s="496" t="s">
        <v>1547</v>
      </c>
      <c r="B1363" s="497" t="s">
        <v>1542</v>
      </c>
      <c r="C1363" s="498" t="s">
        <v>1542</v>
      </c>
      <c r="D1363" s="498" t="s">
        <v>1542</v>
      </c>
      <c r="E1363" s="498" t="s">
        <v>5228</v>
      </c>
      <c r="F1363" s="497" t="s">
        <v>5229</v>
      </c>
      <c r="G1363" s="497" t="s">
        <v>1542</v>
      </c>
      <c r="H1363" s="497" t="s">
        <v>5230</v>
      </c>
      <c r="I1363" s="497" t="s">
        <v>5231</v>
      </c>
      <c r="J1363" s="497" t="s">
        <v>5232</v>
      </c>
      <c r="K1363" s="497" t="s">
        <v>7441</v>
      </c>
      <c r="L1363" s="497" t="s">
        <v>8702</v>
      </c>
      <c r="M1363" s="499" t="s">
        <v>8067</v>
      </c>
    </row>
    <row r="1364" spans="1:13" ht="15" customHeight="1">
      <c r="A1364" s="500" t="s">
        <v>2344</v>
      </c>
      <c r="B1364" s="501" t="s">
        <v>1544</v>
      </c>
      <c r="C1364" s="502" t="s">
        <v>1544</v>
      </c>
      <c r="D1364" s="502" t="s">
        <v>1544</v>
      </c>
      <c r="E1364" s="502" t="s">
        <v>5233</v>
      </c>
      <c r="F1364" s="501" t="s">
        <v>5234</v>
      </c>
      <c r="G1364" s="501" t="s">
        <v>1544</v>
      </c>
      <c r="H1364" s="501" t="s">
        <v>5235</v>
      </c>
      <c r="I1364" s="501" t="s">
        <v>5236</v>
      </c>
      <c r="J1364" s="501" t="s">
        <v>5237</v>
      </c>
      <c r="K1364" s="501" t="s">
        <v>7442</v>
      </c>
      <c r="L1364" s="501" t="s">
        <v>8703</v>
      </c>
      <c r="M1364" s="504" t="s">
        <v>8064</v>
      </c>
    </row>
    <row r="1365" spans="1:13" ht="15" customHeight="1">
      <c r="A1365" s="496" t="s">
        <v>1548</v>
      </c>
      <c r="B1365" s="497" t="s">
        <v>1546</v>
      </c>
      <c r="C1365" s="498" t="s">
        <v>1546</v>
      </c>
      <c r="D1365" s="498" t="s">
        <v>1546</v>
      </c>
      <c r="E1365" s="498" t="s">
        <v>5238</v>
      </c>
      <c r="F1365" s="497" t="s">
        <v>5239</v>
      </c>
      <c r="G1365" s="497" t="s">
        <v>1546</v>
      </c>
      <c r="H1365" s="497" t="s">
        <v>5243</v>
      </c>
      <c r="I1365" s="497" t="s">
        <v>5241</v>
      </c>
      <c r="J1365" s="497" t="s">
        <v>5242</v>
      </c>
      <c r="K1365" s="497" t="s">
        <v>7443</v>
      </c>
      <c r="L1365" s="497" t="s">
        <v>8704</v>
      </c>
      <c r="M1365" s="499" t="s">
        <v>8065</v>
      </c>
    </row>
    <row r="1366" spans="1:13" ht="15" customHeight="1">
      <c r="A1366" s="511" t="s">
        <v>597</v>
      </c>
      <c r="B1366" s="501" t="s">
        <v>599</v>
      </c>
      <c r="C1366" s="502" t="s">
        <v>598</v>
      </c>
      <c r="D1366" s="502" t="s">
        <v>600</v>
      </c>
      <c r="E1366" s="502" t="s">
        <v>4018</v>
      </c>
      <c r="F1366" s="501" t="s">
        <v>4019</v>
      </c>
      <c r="G1366" s="501" t="s">
        <v>4020</v>
      </c>
      <c r="H1366" s="501" t="s">
        <v>4021</v>
      </c>
      <c r="I1366" s="501" t="s">
        <v>4022</v>
      </c>
      <c r="J1366" s="501" t="s">
        <v>4023</v>
      </c>
      <c r="K1366" s="501" t="s">
        <v>7312</v>
      </c>
      <c r="L1366" s="501" t="s">
        <v>8528</v>
      </c>
      <c r="M1366" s="504" t="s">
        <v>7878</v>
      </c>
    </row>
    <row r="1367" spans="1:13" ht="15" customHeight="1">
      <c r="A1367" s="496" t="s">
        <v>595</v>
      </c>
      <c r="B1367" s="497" t="s">
        <v>359</v>
      </c>
      <c r="C1367" s="498" t="s">
        <v>358</v>
      </c>
      <c r="D1367" s="498" t="s">
        <v>360</v>
      </c>
      <c r="E1367" s="498" t="s">
        <v>3654</v>
      </c>
      <c r="F1367" s="497" t="s">
        <v>3655</v>
      </c>
      <c r="G1367" s="497" t="s">
        <v>4017</v>
      </c>
      <c r="H1367" s="497" t="s">
        <v>3654</v>
      </c>
      <c r="I1367" s="497" t="s">
        <v>3656</v>
      </c>
      <c r="J1367" s="497" t="s">
        <v>3657</v>
      </c>
      <c r="K1367" s="497" t="s">
        <v>7252</v>
      </c>
      <c r="L1367" s="497" t="s">
        <v>8468</v>
      </c>
      <c r="M1367" s="499" t="s">
        <v>7877</v>
      </c>
    </row>
    <row r="1368" spans="1:13" ht="15" customHeight="1">
      <c r="A1368" s="500" t="s">
        <v>606</v>
      </c>
      <c r="B1368" s="501" t="s">
        <v>359</v>
      </c>
      <c r="C1368" s="502" t="s">
        <v>358</v>
      </c>
      <c r="D1368" s="502" t="s">
        <v>360</v>
      </c>
      <c r="E1368" s="502" t="s">
        <v>3654</v>
      </c>
      <c r="F1368" s="501" t="s">
        <v>3655</v>
      </c>
      <c r="G1368" s="501" t="s">
        <v>4017</v>
      </c>
      <c r="H1368" s="501" t="s">
        <v>3654</v>
      </c>
      <c r="I1368" s="501" t="s">
        <v>3656</v>
      </c>
      <c r="J1368" s="501" t="s">
        <v>3657</v>
      </c>
      <c r="K1368" s="501" t="s">
        <v>7252</v>
      </c>
      <c r="L1368" s="501" t="s">
        <v>8468</v>
      </c>
      <c r="M1368" s="504" t="s">
        <v>7877</v>
      </c>
    </row>
    <row r="1369" spans="1:13" ht="15" customHeight="1">
      <c r="A1369" s="496" t="s">
        <v>2345</v>
      </c>
      <c r="B1369" s="497" t="s">
        <v>2545</v>
      </c>
      <c r="C1369" s="498" t="s">
        <v>2545</v>
      </c>
      <c r="D1369" s="498" t="s">
        <v>2545</v>
      </c>
      <c r="E1369" s="498" t="s">
        <v>5244</v>
      </c>
      <c r="F1369" s="497" t="s">
        <v>5245</v>
      </c>
      <c r="G1369" s="497" t="s">
        <v>2545</v>
      </c>
      <c r="H1369" s="497" t="s">
        <v>5246</v>
      </c>
      <c r="I1369" s="497" t="s">
        <v>5247</v>
      </c>
      <c r="J1369" s="497" t="s">
        <v>5248</v>
      </c>
      <c r="K1369" s="497" t="s">
        <v>7444</v>
      </c>
      <c r="L1369" s="497" t="s">
        <v>12381</v>
      </c>
      <c r="M1369" s="499" t="s">
        <v>8068</v>
      </c>
    </row>
    <row r="1370" spans="1:13" ht="15" customHeight="1">
      <c r="A1370" s="500" t="s">
        <v>2346</v>
      </c>
      <c r="B1370" s="501" t="s">
        <v>2546</v>
      </c>
      <c r="C1370" s="502" t="s">
        <v>2546</v>
      </c>
      <c r="D1370" s="502" t="s">
        <v>2546</v>
      </c>
      <c r="E1370" s="502" t="s">
        <v>5249</v>
      </c>
      <c r="F1370" s="501" t="s">
        <v>5250</v>
      </c>
      <c r="G1370" s="501" t="s">
        <v>2546</v>
      </c>
      <c r="H1370" s="501" t="s">
        <v>5251</v>
      </c>
      <c r="I1370" s="501" t="s">
        <v>5252</v>
      </c>
      <c r="J1370" s="501" t="s">
        <v>5253</v>
      </c>
      <c r="K1370" s="501" t="s">
        <v>7445</v>
      </c>
      <c r="L1370" s="501" t="s">
        <v>12382</v>
      </c>
      <c r="M1370" s="504" t="s">
        <v>8069</v>
      </c>
    </row>
    <row r="1371" spans="1:13" ht="15" customHeight="1">
      <c r="A1371" s="496" t="s">
        <v>1549</v>
      </c>
      <c r="B1371" s="497" t="s">
        <v>1550</v>
      </c>
      <c r="C1371" s="498" t="s">
        <v>1550</v>
      </c>
      <c r="D1371" s="498" t="s">
        <v>1550</v>
      </c>
      <c r="E1371" s="498" t="s">
        <v>5254</v>
      </c>
      <c r="F1371" s="497" t="s">
        <v>5255</v>
      </c>
      <c r="G1371" s="497" t="s">
        <v>1550</v>
      </c>
      <c r="H1371" s="497" t="s">
        <v>5256</v>
      </c>
      <c r="I1371" s="497" t="s">
        <v>5257</v>
      </c>
      <c r="J1371" s="497" t="s">
        <v>5258</v>
      </c>
      <c r="K1371" s="497" t="s">
        <v>7446</v>
      </c>
      <c r="L1371" s="497" t="s">
        <v>12383</v>
      </c>
      <c r="M1371" s="499" t="s">
        <v>8070</v>
      </c>
    </row>
    <row r="1372" spans="1:13" ht="15" customHeight="1">
      <c r="A1372" s="500" t="s">
        <v>2347</v>
      </c>
      <c r="B1372" s="501" t="s">
        <v>2547</v>
      </c>
      <c r="C1372" s="502" t="s">
        <v>2547</v>
      </c>
      <c r="D1372" s="502" t="s">
        <v>2547</v>
      </c>
      <c r="E1372" s="502" t="s">
        <v>5259</v>
      </c>
      <c r="F1372" s="501" t="s">
        <v>5260</v>
      </c>
      <c r="G1372" s="501" t="s">
        <v>2547</v>
      </c>
      <c r="H1372" s="501" t="s">
        <v>5261</v>
      </c>
      <c r="I1372" s="501" t="s">
        <v>5262</v>
      </c>
      <c r="J1372" s="501" t="s">
        <v>5263</v>
      </c>
      <c r="K1372" s="501" t="s">
        <v>7447</v>
      </c>
      <c r="L1372" s="501" t="s">
        <v>12384</v>
      </c>
      <c r="M1372" s="504" t="s">
        <v>8071</v>
      </c>
    </row>
    <row r="1373" spans="1:13" ht="15" customHeight="1">
      <c r="A1373" s="496" t="s">
        <v>608</v>
      </c>
      <c r="B1373" s="497" t="s">
        <v>359</v>
      </c>
      <c r="C1373" s="498" t="s">
        <v>358</v>
      </c>
      <c r="D1373" s="498" t="s">
        <v>360</v>
      </c>
      <c r="E1373" s="498" t="s">
        <v>3654</v>
      </c>
      <c r="F1373" s="497" t="s">
        <v>3655</v>
      </c>
      <c r="G1373" s="497" t="s">
        <v>4017</v>
      </c>
      <c r="H1373" s="497" t="s">
        <v>3654</v>
      </c>
      <c r="I1373" s="497" t="s">
        <v>3656</v>
      </c>
      <c r="J1373" s="497" t="s">
        <v>3657</v>
      </c>
      <c r="K1373" s="497" t="s">
        <v>7252</v>
      </c>
      <c r="L1373" s="497" t="s">
        <v>8468</v>
      </c>
      <c r="M1373" s="499" t="s">
        <v>7877</v>
      </c>
    </row>
    <row r="1374" spans="1:13" ht="15" customHeight="1">
      <c r="A1374" s="508" t="s">
        <v>10508</v>
      </c>
      <c r="B1374" s="509" t="s">
        <v>10604</v>
      </c>
      <c r="C1374" s="509" t="s">
        <v>10608</v>
      </c>
      <c r="D1374" s="509" t="s">
        <v>10610</v>
      </c>
      <c r="E1374" s="509" t="s">
        <v>10612</v>
      </c>
      <c r="F1374" s="509" t="s">
        <v>10614</v>
      </c>
      <c r="G1374" s="509" t="s">
        <v>10616</v>
      </c>
      <c r="H1374" s="509" t="s">
        <v>10606</v>
      </c>
      <c r="I1374" s="509" t="s">
        <v>10618</v>
      </c>
      <c r="J1374" s="509" t="s">
        <v>10620</v>
      </c>
      <c r="K1374" s="509" t="s">
        <v>10622</v>
      </c>
      <c r="L1374" s="509" t="s">
        <v>10624</v>
      </c>
      <c r="M1374" s="510" t="s">
        <v>10626</v>
      </c>
    </row>
    <row r="1375" spans="1:13" ht="15" customHeight="1">
      <c r="A1375" s="496" t="s">
        <v>2348</v>
      </c>
      <c r="B1375" s="497" t="s">
        <v>2548</v>
      </c>
      <c r="C1375" s="498" t="s">
        <v>2548</v>
      </c>
      <c r="D1375" s="498" t="s">
        <v>2548</v>
      </c>
      <c r="E1375" s="498" t="s">
        <v>5264</v>
      </c>
      <c r="F1375" s="497" t="s">
        <v>5265</v>
      </c>
      <c r="G1375" s="497" t="s">
        <v>2548</v>
      </c>
      <c r="H1375" s="497" t="s">
        <v>5266</v>
      </c>
      <c r="I1375" s="497" t="s">
        <v>5267</v>
      </c>
      <c r="J1375" s="497" t="s">
        <v>5268</v>
      </c>
      <c r="K1375" s="497" t="s">
        <v>7448</v>
      </c>
      <c r="L1375" s="497" t="s">
        <v>12385</v>
      </c>
      <c r="M1375" s="499" t="s">
        <v>8072</v>
      </c>
    </row>
    <row r="1376" spans="1:13" ht="15" customHeight="1">
      <c r="A1376" s="500" t="s">
        <v>3010</v>
      </c>
      <c r="B1376" s="501" t="s">
        <v>3013</v>
      </c>
      <c r="C1376" s="502" t="s">
        <v>3012</v>
      </c>
      <c r="D1376" s="502" t="s">
        <v>3012</v>
      </c>
      <c r="E1376" s="502" t="s">
        <v>3014</v>
      </c>
      <c r="F1376" s="501" t="s">
        <v>3015</v>
      </c>
      <c r="G1376" s="501" t="s">
        <v>3016</v>
      </c>
      <c r="H1376" s="501" t="s">
        <v>3017</v>
      </c>
      <c r="I1376" s="501" t="s">
        <v>3018</v>
      </c>
      <c r="J1376" s="501" t="s">
        <v>3019</v>
      </c>
      <c r="K1376" s="501" t="s">
        <v>7159</v>
      </c>
      <c r="L1376" s="501" t="s">
        <v>8379</v>
      </c>
      <c r="M1376" s="504" t="s">
        <v>7724</v>
      </c>
    </row>
    <row r="1377" spans="1:13" ht="15" customHeight="1">
      <c r="A1377" s="505" t="s">
        <v>193</v>
      </c>
      <c r="B1377" s="506" t="s">
        <v>904</v>
      </c>
      <c r="C1377" s="512" t="s">
        <v>903</v>
      </c>
      <c r="D1377" s="512" t="s">
        <v>905</v>
      </c>
      <c r="E1377" s="512" t="s">
        <v>4652</v>
      </c>
      <c r="F1377" s="497" t="s">
        <v>4653</v>
      </c>
      <c r="G1377" s="497" t="s">
        <v>4654</v>
      </c>
      <c r="H1377" s="497" t="s">
        <v>4655</v>
      </c>
      <c r="I1377" s="497" t="s">
        <v>4656</v>
      </c>
      <c r="J1377" s="497" t="s">
        <v>4657</v>
      </c>
      <c r="K1377" s="513" t="s">
        <v>12386</v>
      </c>
      <c r="L1377" s="497" t="s">
        <v>8622</v>
      </c>
      <c r="M1377" s="499" t="s">
        <v>7977</v>
      </c>
    </row>
    <row r="1378" spans="1:13" ht="15" customHeight="1">
      <c r="A1378" s="508" t="s">
        <v>666</v>
      </c>
      <c r="B1378" s="509" t="s">
        <v>908</v>
      </c>
      <c r="C1378" s="514" t="s">
        <v>907</v>
      </c>
      <c r="D1378" s="514" t="s">
        <v>909</v>
      </c>
      <c r="E1378" s="514" t="s">
        <v>4658</v>
      </c>
      <c r="F1378" s="501" t="s">
        <v>4659</v>
      </c>
      <c r="G1378" s="501" t="s">
        <v>4660</v>
      </c>
      <c r="H1378" s="501" t="s">
        <v>4661</v>
      </c>
      <c r="I1378" s="501" t="s">
        <v>4662</v>
      </c>
      <c r="J1378" s="501" t="s">
        <v>4663</v>
      </c>
      <c r="K1378" s="503" t="s">
        <v>12387</v>
      </c>
      <c r="L1378" s="501" t="s">
        <v>8623</v>
      </c>
      <c r="M1378" s="504" t="s">
        <v>7978</v>
      </c>
    </row>
    <row r="1379" spans="1:13" ht="15" customHeight="1">
      <c r="A1379" s="496" t="s">
        <v>820</v>
      </c>
      <c r="B1379" s="497" t="s">
        <v>818</v>
      </c>
      <c r="C1379" s="498" t="s">
        <v>817</v>
      </c>
      <c r="D1379" s="498" t="s">
        <v>819</v>
      </c>
      <c r="E1379" s="498" t="s">
        <v>4423</v>
      </c>
      <c r="F1379" s="497" t="s">
        <v>817</v>
      </c>
      <c r="G1379" s="497" t="s">
        <v>4424</v>
      </c>
      <c r="H1379" s="497" t="s">
        <v>4425</v>
      </c>
      <c r="I1379" s="497" t="s">
        <v>4426</v>
      </c>
      <c r="J1379" s="497" t="s">
        <v>4427</v>
      </c>
      <c r="K1379" s="497" t="s">
        <v>12388</v>
      </c>
      <c r="L1379" s="497" t="s">
        <v>8584</v>
      </c>
      <c r="M1379" s="499" t="s">
        <v>7938</v>
      </c>
    </row>
    <row r="1380" spans="1:13" ht="15" customHeight="1">
      <c r="A1380" s="500" t="s">
        <v>821</v>
      </c>
      <c r="B1380" s="501" t="s">
        <v>818</v>
      </c>
      <c r="C1380" s="502" t="s">
        <v>817</v>
      </c>
      <c r="D1380" s="502" t="s">
        <v>819</v>
      </c>
      <c r="E1380" s="502" t="s">
        <v>4423</v>
      </c>
      <c r="F1380" s="501" t="s">
        <v>817</v>
      </c>
      <c r="G1380" s="501" t="s">
        <v>4424</v>
      </c>
      <c r="H1380" s="501" t="s">
        <v>4425</v>
      </c>
      <c r="I1380" s="501" t="s">
        <v>4426</v>
      </c>
      <c r="J1380" s="501" t="s">
        <v>4427</v>
      </c>
      <c r="K1380" s="501" t="s">
        <v>12388</v>
      </c>
      <c r="L1380" s="501" t="s">
        <v>8584</v>
      </c>
      <c r="M1380" s="504" t="s">
        <v>7938</v>
      </c>
    </row>
    <row r="1381" spans="1:13" ht="15" customHeight="1">
      <c r="A1381" s="496" t="s">
        <v>2379</v>
      </c>
      <c r="B1381" s="497" t="s">
        <v>2380</v>
      </c>
      <c r="C1381" s="498" t="s">
        <v>2623</v>
      </c>
      <c r="D1381" s="498" t="s">
        <v>2623</v>
      </c>
      <c r="E1381" s="498" t="s">
        <v>4457</v>
      </c>
      <c r="F1381" s="497" t="s">
        <v>4458</v>
      </c>
      <c r="G1381" s="497" t="s">
        <v>4459</v>
      </c>
      <c r="H1381" s="497" t="s">
        <v>4460</v>
      </c>
      <c r="I1381" s="497" t="s">
        <v>4461</v>
      </c>
      <c r="J1381" s="497" t="s">
        <v>4462</v>
      </c>
      <c r="K1381" s="497" t="s">
        <v>12389</v>
      </c>
      <c r="L1381" s="497" t="s">
        <v>8590</v>
      </c>
      <c r="M1381" s="499" t="s">
        <v>7944</v>
      </c>
    </row>
    <row r="1382" spans="1:13" ht="15" customHeight="1">
      <c r="A1382" s="500" t="s">
        <v>2377</v>
      </c>
      <c r="B1382" s="501" t="s">
        <v>2378</v>
      </c>
      <c r="C1382" s="502" t="s">
        <v>2622</v>
      </c>
      <c r="D1382" s="502" t="s">
        <v>2622</v>
      </c>
      <c r="E1382" s="502" t="s">
        <v>4451</v>
      </c>
      <c r="F1382" s="501" t="s">
        <v>4452</v>
      </c>
      <c r="G1382" s="501" t="s">
        <v>4453</v>
      </c>
      <c r="H1382" s="501" t="s">
        <v>4454</v>
      </c>
      <c r="I1382" s="501" t="s">
        <v>4455</v>
      </c>
      <c r="J1382" s="501" t="s">
        <v>4456</v>
      </c>
      <c r="K1382" s="501" t="s">
        <v>12390</v>
      </c>
      <c r="L1382" s="501" t="s">
        <v>8589</v>
      </c>
      <c r="M1382" s="504" t="s">
        <v>7943</v>
      </c>
    </row>
    <row r="1383" spans="1:13" ht="15" customHeight="1">
      <c r="A1383" s="496" t="s">
        <v>2381</v>
      </c>
      <c r="B1383" s="497" t="s">
        <v>2382</v>
      </c>
      <c r="C1383" s="498" t="s">
        <v>2624</v>
      </c>
      <c r="D1383" s="498" t="s">
        <v>2624</v>
      </c>
      <c r="E1383" s="498" t="s">
        <v>4463</v>
      </c>
      <c r="F1383" s="497" t="s">
        <v>4464</v>
      </c>
      <c r="G1383" s="497" t="s">
        <v>4465</v>
      </c>
      <c r="H1383" s="497" t="s">
        <v>4466</v>
      </c>
      <c r="I1383" s="497" t="s">
        <v>4467</v>
      </c>
      <c r="J1383" s="497" t="s">
        <v>4468</v>
      </c>
      <c r="K1383" s="497" t="s">
        <v>12391</v>
      </c>
      <c r="L1383" s="497" t="s">
        <v>8591</v>
      </c>
      <c r="M1383" s="499" t="s">
        <v>7945</v>
      </c>
    </row>
    <row r="1384" spans="1:13" ht="15" customHeight="1">
      <c r="A1384" s="500" t="s">
        <v>2383</v>
      </c>
      <c r="B1384" s="501" t="s">
        <v>2384</v>
      </c>
      <c r="C1384" s="502" t="s">
        <v>2625</v>
      </c>
      <c r="D1384" s="502" t="s">
        <v>2625</v>
      </c>
      <c r="E1384" s="502" t="s">
        <v>4469</v>
      </c>
      <c r="F1384" s="501" t="s">
        <v>4470</v>
      </c>
      <c r="G1384" s="501" t="s">
        <v>4471</v>
      </c>
      <c r="H1384" s="501" t="s">
        <v>4472</v>
      </c>
      <c r="I1384" s="501" t="s">
        <v>4473</v>
      </c>
      <c r="J1384" s="501" t="s">
        <v>4474</v>
      </c>
      <c r="K1384" s="503" t="s">
        <v>12392</v>
      </c>
      <c r="L1384" s="501" t="s">
        <v>8592</v>
      </c>
      <c r="M1384" s="504" t="s">
        <v>7946</v>
      </c>
    </row>
    <row r="1385" spans="1:13" ht="15" customHeight="1">
      <c r="A1385" s="496" t="s">
        <v>827</v>
      </c>
      <c r="B1385" s="497" t="s">
        <v>818</v>
      </c>
      <c r="C1385" s="498" t="s">
        <v>817</v>
      </c>
      <c r="D1385" s="498" t="s">
        <v>819</v>
      </c>
      <c r="E1385" s="498" t="s">
        <v>4423</v>
      </c>
      <c r="F1385" s="497" t="s">
        <v>817</v>
      </c>
      <c r="G1385" s="497" t="s">
        <v>4424</v>
      </c>
      <c r="H1385" s="497" t="s">
        <v>4425</v>
      </c>
      <c r="I1385" s="497" t="s">
        <v>4426</v>
      </c>
      <c r="J1385" s="497" t="s">
        <v>4427</v>
      </c>
      <c r="K1385" s="497" t="s">
        <v>12388</v>
      </c>
      <c r="L1385" s="497" t="s">
        <v>8584</v>
      </c>
      <c r="M1385" s="499" t="s">
        <v>7938</v>
      </c>
    </row>
    <row r="1386" spans="1:13" ht="15" customHeight="1">
      <c r="A1386" s="500" t="s">
        <v>826</v>
      </c>
      <c r="B1386" s="501" t="s">
        <v>818</v>
      </c>
      <c r="C1386" s="502" t="s">
        <v>817</v>
      </c>
      <c r="D1386" s="502" t="s">
        <v>819</v>
      </c>
      <c r="E1386" s="502" t="s">
        <v>4423</v>
      </c>
      <c r="F1386" s="501" t="s">
        <v>817</v>
      </c>
      <c r="G1386" s="501" t="s">
        <v>4424</v>
      </c>
      <c r="H1386" s="501" t="s">
        <v>4425</v>
      </c>
      <c r="I1386" s="501" t="s">
        <v>4426</v>
      </c>
      <c r="J1386" s="501" t="s">
        <v>4427</v>
      </c>
      <c r="K1386" s="501" t="s">
        <v>12388</v>
      </c>
      <c r="L1386" s="501" t="s">
        <v>8584</v>
      </c>
      <c r="M1386" s="504" t="s">
        <v>7938</v>
      </c>
    </row>
    <row r="1387" spans="1:13" ht="15" customHeight="1">
      <c r="A1387" s="496" t="s">
        <v>828</v>
      </c>
      <c r="B1387" s="497" t="s">
        <v>818</v>
      </c>
      <c r="C1387" s="498" t="s">
        <v>817</v>
      </c>
      <c r="D1387" s="498" t="s">
        <v>819</v>
      </c>
      <c r="E1387" s="498" t="s">
        <v>4423</v>
      </c>
      <c r="F1387" s="497" t="s">
        <v>817</v>
      </c>
      <c r="G1387" s="497" t="s">
        <v>4424</v>
      </c>
      <c r="H1387" s="497" t="s">
        <v>4425</v>
      </c>
      <c r="I1387" s="497" t="s">
        <v>4426</v>
      </c>
      <c r="J1387" s="497" t="s">
        <v>4427</v>
      </c>
      <c r="K1387" s="497" t="s">
        <v>12388</v>
      </c>
      <c r="L1387" s="497" t="s">
        <v>8584</v>
      </c>
      <c r="M1387" s="499" t="s">
        <v>7938</v>
      </c>
    </row>
    <row r="1388" spans="1:13" ht="15" customHeight="1">
      <c r="A1388" s="500" t="s">
        <v>823</v>
      </c>
      <c r="B1388" s="501" t="s">
        <v>818</v>
      </c>
      <c r="C1388" s="502" t="s">
        <v>817</v>
      </c>
      <c r="D1388" s="502" t="s">
        <v>819</v>
      </c>
      <c r="E1388" s="502" t="s">
        <v>4423</v>
      </c>
      <c r="F1388" s="501" t="s">
        <v>817</v>
      </c>
      <c r="G1388" s="501" t="s">
        <v>4424</v>
      </c>
      <c r="H1388" s="501" t="s">
        <v>4425</v>
      </c>
      <c r="I1388" s="501" t="s">
        <v>4426</v>
      </c>
      <c r="J1388" s="501" t="s">
        <v>4427</v>
      </c>
      <c r="K1388" s="501" t="s">
        <v>12388</v>
      </c>
      <c r="L1388" s="501" t="s">
        <v>8584</v>
      </c>
      <c r="M1388" s="504" t="s">
        <v>7938</v>
      </c>
    </row>
    <row r="1389" spans="1:13" ht="15" customHeight="1">
      <c r="A1389" s="496" t="s">
        <v>822</v>
      </c>
      <c r="B1389" s="497" t="s">
        <v>818</v>
      </c>
      <c r="C1389" s="498" t="s">
        <v>817</v>
      </c>
      <c r="D1389" s="498" t="s">
        <v>819</v>
      </c>
      <c r="E1389" s="498" t="s">
        <v>4423</v>
      </c>
      <c r="F1389" s="497" t="s">
        <v>817</v>
      </c>
      <c r="G1389" s="497" t="s">
        <v>4424</v>
      </c>
      <c r="H1389" s="497" t="s">
        <v>4425</v>
      </c>
      <c r="I1389" s="497" t="s">
        <v>4426</v>
      </c>
      <c r="J1389" s="497" t="s">
        <v>4427</v>
      </c>
      <c r="K1389" s="497" t="s">
        <v>12388</v>
      </c>
      <c r="L1389" s="497" t="s">
        <v>8584</v>
      </c>
      <c r="M1389" s="499" t="s">
        <v>7938</v>
      </c>
    </row>
    <row r="1390" spans="1:13" ht="15" customHeight="1">
      <c r="A1390" s="500" t="s">
        <v>824</v>
      </c>
      <c r="B1390" s="501" t="s">
        <v>818</v>
      </c>
      <c r="C1390" s="502" t="s">
        <v>817</v>
      </c>
      <c r="D1390" s="502" t="s">
        <v>819</v>
      </c>
      <c r="E1390" s="502" t="s">
        <v>4423</v>
      </c>
      <c r="F1390" s="501" t="s">
        <v>817</v>
      </c>
      <c r="G1390" s="501" t="s">
        <v>4424</v>
      </c>
      <c r="H1390" s="501" t="s">
        <v>4425</v>
      </c>
      <c r="I1390" s="501" t="s">
        <v>4426</v>
      </c>
      <c r="J1390" s="501" t="s">
        <v>4427</v>
      </c>
      <c r="K1390" s="501" t="s">
        <v>12388</v>
      </c>
      <c r="L1390" s="501" t="s">
        <v>8584</v>
      </c>
      <c r="M1390" s="504" t="s">
        <v>7938</v>
      </c>
    </row>
    <row r="1391" spans="1:13" ht="15" customHeight="1">
      <c r="A1391" s="496" t="s">
        <v>825</v>
      </c>
      <c r="B1391" s="497" t="s">
        <v>818</v>
      </c>
      <c r="C1391" s="498" t="s">
        <v>817</v>
      </c>
      <c r="D1391" s="498" t="s">
        <v>819</v>
      </c>
      <c r="E1391" s="498" t="s">
        <v>4423</v>
      </c>
      <c r="F1391" s="497" t="s">
        <v>817</v>
      </c>
      <c r="G1391" s="497" t="s">
        <v>4424</v>
      </c>
      <c r="H1391" s="497" t="s">
        <v>4425</v>
      </c>
      <c r="I1391" s="497" t="s">
        <v>4426</v>
      </c>
      <c r="J1391" s="497" t="s">
        <v>4427</v>
      </c>
      <c r="K1391" s="497" t="s">
        <v>12388</v>
      </c>
      <c r="L1391" s="497" t="s">
        <v>8584</v>
      </c>
      <c r="M1391" s="499" t="s">
        <v>7938</v>
      </c>
    </row>
    <row r="1392" spans="1:13" ht="15" customHeight="1">
      <c r="A1392" s="500" t="s">
        <v>833</v>
      </c>
      <c r="B1392" s="501" t="s">
        <v>831</v>
      </c>
      <c r="C1392" s="502" t="s">
        <v>830</v>
      </c>
      <c r="D1392" s="502" t="s">
        <v>832</v>
      </c>
      <c r="E1392" s="502" t="s">
        <v>4428</v>
      </c>
      <c r="F1392" s="501" t="s">
        <v>830</v>
      </c>
      <c r="G1392" s="501" t="s">
        <v>4429</v>
      </c>
      <c r="H1392" s="501" t="s">
        <v>4430</v>
      </c>
      <c r="I1392" s="501" t="s">
        <v>4431</v>
      </c>
      <c r="J1392" s="501" t="s">
        <v>4432</v>
      </c>
      <c r="K1392" s="501" t="s">
        <v>12393</v>
      </c>
      <c r="L1392" s="501" t="s">
        <v>8585</v>
      </c>
      <c r="M1392" s="504" t="s">
        <v>7939</v>
      </c>
    </row>
    <row r="1393" spans="1:13" ht="15" customHeight="1">
      <c r="A1393" s="496" t="s">
        <v>829</v>
      </c>
      <c r="B1393" s="497" t="s">
        <v>831</v>
      </c>
      <c r="C1393" s="498" t="s">
        <v>830</v>
      </c>
      <c r="D1393" s="498" t="s">
        <v>832</v>
      </c>
      <c r="E1393" s="498" t="s">
        <v>4428</v>
      </c>
      <c r="F1393" s="497" t="s">
        <v>830</v>
      </c>
      <c r="G1393" s="497" t="s">
        <v>4429</v>
      </c>
      <c r="H1393" s="497" t="s">
        <v>4430</v>
      </c>
      <c r="I1393" s="497" t="s">
        <v>4431</v>
      </c>
      <c r="J1393" s="497" t="s">
        <v>4432</v>
      </c>
      <c r="K1393" s="497" t="s">
        <v>12393</v>
      </c>
      <c r="L1393" s="497" t="s">
        <v>8585</v>
      </c>
      <c r="M1393" s="499" t="s">
        <v>7939</v>
      </c>
    </row>
    <row r="1394" spans="1:13" ht="15" customHeight="1">
      <c r="A1394" s="500" t="s">
        <v>834</v>
      </c>
      <c r="B1394" s="501" t="s">
        <v>831</v>
      </c>
      <c r="C1394" s="502" t="s">
        <v>830</v>
      </c>
      <c r="D1394" s="502" t="s">
        <v>832</v>
      </c>
      <c r="E1394" s="502" t="s">
        <v>4428</v>
      </c>
      <c r="F1394" s="501" t="s">
        <v>830</v>
      </c>
      <c r="G1394" s="501" t="s">
        <v>4429</v>
      </c>
      <c r="H1394" s="501" t="s">
        <v>4430</v>
      </c>
      <c r="I1394" s="501" t="s">
        <v>4431</v>
      </c>
      <c r="J1394" s="501" t="s">
        <v>4432</v>
      </c>
      <c r="K1394" s="501" t="s">
        <v>12393</v>
      </c>
      <c r="L1394" s="501" t="s">
        <v>8585</v>
      </c>
      <c r="M1394" s="504" t="s">
        <v>7939</v>
      </c>
    </row>
    <row r="1395" spans="1:13" ht="15" customHeight="1">
      <c r="A1395" s="496" t="s">
        <v>2387</v>
      </c>
      <c r="B1395" s="497" t="s">
        <v>2388</v>
      </c>
      <c r="C1395" s="498" t="s">
        <v>2627</v>
      </c>
      <c r="D1395" s="498" t="s">
        <v>2627</v>
      </c>
      <c r="E1395" s="498" t="s">
        <v>4481</v>
      </c>
      <c r="F1395" s="497" t="s">
        <v>4482</v>
      </c>
      <c r="G1395" s="497" t="s">
        <v>4483</v>
      </c>
      <c r="H1395" s="497" t="s">
        <v>4484</v>
      </c>
      <c r="I1395" s="497" t="s">
        <v>4485</v>
      </c>
      <c r="J1395" s="497" t="s">
        <v>4486</v>
      </c>
      <c r="K1395" s="513" t="s">
        <v>12394</v>
      </c>
      <c r="L1395" s="497" t="s">
        <v>8594</v>
      </c>
      <c r="M1395" s="499" t="s">
        <v>7948</v>
      </c>
    </row>
    <row r="1396" spans="1:13" ht="15" customHeight="1">
      <c r="A1396" s="500" t="s">
        <v>2385</v>
      </c>
      <c r="B1396" s="501" t="s">
        <v>2386</v>
      </c>
      <c r="C1396" s="502" t="s">
        <v>2626</v>
      </c>
      <c r="D1396" s="502" t="s">
        <v>2626</v>
      </c>
      <c r="E1396" s="502" t="s">
        <v>4475</v>
      </c>
      <c r="F1396" s="501" t="s">
        <v>4476</v>
      </c>
      <c r="G1396" s="501" t="s">
        <v>4477</v>
      </c>
      <c r="H1396" s="501" t="s">
        <v>4478</v>
      </c>
      <c r="I1396" s="501" t="s">
        <v>4479</v>
      </c>
      <c r="J1396" s="501" t="s">
        <v>4480</v>
      </c>
      <c r="K1396" s="503" t="s">
        <v>12395</v>
      </c>
      <c r="L1396" s="501" t="s">
        <v>8593</v>
      </c>
      <c r="M1396" s="504" t="s">
        <v>7947</v>
      </c>
    </row>
    <row r="1397" spans="1:13" ht="15" customHeight="1">
      <c r="A1397" s="496" t="s">
        <v>2389</v>
      </c>
      <c r="B1397" s="497" t="s">
        <v>2390</v>
      </c>
      <c r="C1397" s="498" t="s">
        <v>2628</v>
      </c>
      <c r="D1397" s="498" t="s">
        <v>2628</v>
      </c>
      <c r="E1397" s="498" t="s">
        <v>4487</v>
      </c>
      <c r="F1397" s="497" t="s">
        <v>4488</v>
      </c>
      <c r="G1397" s="497" t="s">
        <v>4489</v>
      </c>
      <c r="H1397" s="497" t="s">
        <v>4490</v>
      </c>
      <c r="I1397" s="497" t="s">
        <v>4491</v>
      </c>
      <c r="J1397" s="497" t="s">
        <v>4492</v>
      </c>
      <c r="K1397" s="513" t="s">
        <v>12396</v>
      </c>
      <c r="L1397" s="497" t="s">
        <v>8595</v>
      </c>
      <c r="M1397" s="499" t="s">
        <v>7949</v>
      </c>
    </row>
    <row r="1398" spans="1:13" ht="15" customHeight="1">
      <c r="A1398" s="500" t="s">
        <v>2391</v>
      </c>
      <c r="B1398" s="501" t="s">
        <v>2392</v>
      </c>
      <c r="C1398" s="502" t="s">
        <v>2629</v>
      </c>
      <c r="D1398" s="502" t="s">
        <v>2629</v>
      </c>
      <c r="E1398" s="502" t="s">
        <v>4493</v>
      </c>
      <c r="F1398" s="501" t="s">
        <v>4494</v>
      </c>
      <c r="G1398" s="501" t="s">
        <v>4495</v>
      </c>
      <c r="H1398" s="501" t="s">
        <v>4496</v>
      </c>
      <c r="I1398" s="501" t="s">
        <v>4497</v>
      </c>
      <c r="J1398" s="501" t="s">
        <v>4498</v>
      </c>
      <c r="K1398" s="503" t="s">
        <v>12397</v>
      </c>
      <c r="L1398" s="501" t="s">
        <v>8596</v>
      </c>
      <c r="M1398" s="504" t="s">
        <v>7950</v>
      </c>
    </row>
    <row r="1399" spans="1:13" ht="15" customHeight="1">
      <c r="A1399" s="505" t="s">
        <v>894</v>
      </c>
      <c r="B1399" s="497" t="s">
        <v>895</v>
      </c>
      <c r="C1399" s="498" t="s">
        <v>896</v>
      </c>
      <c r="D1399" s="498" t="s">
        <v>897</v>
      </c>
      <c r="E1399" s="498" t="s">
        <v>4641</v>
      </c>
      <c r="F1399" s="497" t="s">
        <v>4642</v>
      </c>
      <c r="G1399" s="497" t="s">
        <v>4643</v>
      </c>
      <c r="H1399" s="497" t="s">
        <v>4641</v>
      </c>
      <c r="I1399" s="497" t="s">
        <v>4644</v>
      </c>
      <c r="J1399" s="497" t="s">
        <v>4645</v>
      </c>
      <c r="K1399" s="513" t="s">
        <v>12398</v>
      </c>
      <c r="L1399" s="497" t="s">
        <v>8620</v>
      </c>
      <c r="M1399" s="499" t="s">
        <v>7975</v>
      </c>
    </row>
    <row r="1400" spans="1:13" ht="15" customHeight="1">
      <c r="A1400" s="500" t="s">
        <v>2395</v>
      </c>
      <c r="B1400" s="501" t="s">
        <v>2396</v>
      </c>
      <c r="C1400" s="502" t="s">
        <v>2631</v>
      </c>
      <c r="D1400" s="502" t="s">
        <v>2631</v>
      </c>
      <c r="E1400" s="502" t="s">
        <v>4505</v>
      </c>
      <c r="F1400" s="501" t="s">
        <v>4506</v>
      </c>
      <c r="G1400" s="501" t="s">
        <v>4507</v>
      </c>
      <c r="H1400" s="501" t="s">
        <v>4508</v>
      </c>
      <c r="I1400" s="501" t="s">
        <v>4509</v>
      </c>
      <c r="J1400" s="501" t="s">
        <v>4510</v>
      </c>
      <c r="K1400" s="503" t="s">
        <v>12399</v>
      </c>
      <c r="L1400" s="501" t="s">
        <v>8598</v>
      </c>
      <c r="M1400" s="504" t="s">
        <v>7952</v>
      </c>
    </row>
    <row r="1401" spans="1:13" ht="15" customHeight="1">
      <c r="A1401" s="496" t="s">
        <v>2393</v>
      </c>
      <c r="B1401" s="497" t="s">
        <v>2394</v>
      </c>
      <c r="C1401" s="498" t="s">
        <v>2630</v>
      </c>
      <c r="D1401" s="498" t="s">
        <v>2630</v>
      </c>
      <c r="E1401" s="498" t="s">
        <v>4499</v>
      </c>
      <c r="F1401" s="497" t="s">
        <v>4500</v>
      </c>
      <c r="G1401" s="497" t="s">
        <v>4501</v>
      </c>
      <c r="H1401" s="497" t="s">
        <v>4502</v>
      </c>
      <c r="I1401" s="497" t="s">
        <v>4503</v>
      </c>
      <c r="J1401" s="497" t="s">
        <v>4504</v>
      </c>
      <c r="K1401" s="513" t="s">
        <v>12400</v>
      </c>
      <c r="L1401" s="497" t="s">
        <v>8597</v>
      </c>
      <c r="M1401" s="499" t="s">
        <v>7951</v>
      </c>
    </row>
    <row r="1402" spans="1:13" ht="15" customHeight="1">
      <c r="A1402" s="500" t="s">
        <v>2397</v>
      </c>
      <c r="B1402" s="501" t="s">
        <v>2398</v>
      </c>
      <c r="C1402" s="502" t="s">
        <v>2632</v>
      </c>
      <c r="D1402" s="502" t="s">
        <v>2632</v>
      </c>
      <c r="E1402" s="502" t="s">
        <v>4511</v>
      </c>
      <c r="F1402" s="501" t="s">
        <v>4512</v>
      </c>
      <c r="G1402" s="501" t="s">
        <v>4513</v>
      </c>
      <c r="H1402" s="501" t="s">
        <v>4514</v>
      </c>
      <c r="I1402" s="501" t="s">
        <v>4515</v>
      </c>
      <c r="J1402" s="501" t="s">
        <v>4516</v>
      </c>
      <c r="K1402" s="503" t="s">
        <v>12401</v>
      </c>
      <c r="L1402" s="501" t="s">
        <v>8599</v>
      </c>
      <c r="M1402" s="504" t="s">
        <v>7953</v>
      </c>
    </row>
    <row r="1403" spans="1:13" ht="15" customHeight="1">
      <c r="A1403" s="496" t="s">
        <v>2399</v>
      </c>
      <c r="B1403" s="497" t="s">
        <v>2400</v>
      </c>
      <c r="C1403" s="498" t="s">
        <v>2633</v>
      </c>
      <c r="D1403" s="498" t="s">
        <v>2633</v>
      </c>
      <c r="E1403" s="498" t="s">
        <v>4517</v>
      </c>
      <c r="F1403" s="497" t="s">
        <v>4518</v>
      </c>
      <c r="G1403" s="497" t="s">
        <v>4519</v>
      </c>
      <c r="H1403" s="497" t="s">
        <v>4520</v>
      </c>
      <c r="I1403" s="497" t="s">
        <v>4521</v>
      </c>
      <c r="J1403" s="497" t="s">
        <v>4522</v>
      </c>
      <c r="K1403" s="513" t="s">
        <v>12402</v>
      </c>
      <c r="L1403" s="497" t="s">
        <v>8600</v>
      </c>
      <c r="M1403" s="499" t="s">
        <v>7954</v>
      </c>
    </row>
    <row r="1404" spans="1:13" ht="15" customHeight="1">
      <c r="A1404" s="500" t="s">
        <v>186</v>
      </c>
      <c r="B1404" s="501" t="s">
        <v>189</v>
      </c>
      <c r="C1404" s="502" t="s">
        <v>188</v>
      </c>
      <c r="D1404" s="502" t="s">
        <v>190</v>
      </c>
      <c r="E1404" s="502" t="s">
        <v>3139</v>
      </c>
      <c r="F1404" s="501" t="s">
        <v>3140</v>
      </c>
      <c r="G1404" s="501" t="s">
        <v>3141</v>
      </c>
      <c r="H1404" s="501" t="s">
        <v>3142</v>
      </c>
      <c r="I1404" s="501" t="s">
        <v>3143</v>
      </c>
      <c r="J1404" s="501" t="s">
        <v>3144</v>
      </c>
      <c r="K1404" s="501" t="s">
        <v>7179</v>
      </c>
      <c r="L1404" s="501" t="s">
        <v>8396</v>
      </c>
      <c r="M1404" s="504" t="s">
        <v>7744</v>
      </c>
    </row>
    <row r="1405" spans="1:13" ht="15" customHeight="1">
      <c r="A1405" s="496" t="s">
        <v>174</v>
      </c>
      <c r="B1405" s="497" t="s">
        <v>176</v>
      </c>
      <c r="C1405" s="498" t="s">
        <v>175</v>
      </c>
      <c r="D1405" s="498" t="s">
        <v>177</v>
      </c>
      <c r="E1405" s="498" t="s">
        <v>3121</v>
      </c>
      <c r="F1405" s="497" t="s">
        <v>3122</v>
      </c>
      <c r="G1405" s="497" t="s">
        <v>3123</v>
      </c>
      <c r="H1405" s="497" t="s">
        <v>3124</v>
      </c>
      <c r="I1405" s="497" t="s">
        <v>3125</v>
      </c>
      <c r="J1405" s="497" t="s">
        <v>3126</v>
      </c>
      <c r="K1405" s="497" t="s">
        <v>7176</v>
      </c>
      <c r="L1405" s="497" t="s">
        <v>8393</v>
      </c>
      <c r="M1405" s="499" t="s">
        <v>7741</v>
      </c>
    </row>
    <row r="1406" spans="1:13" ht="15" customHeight="1">
      <c r="A1406" s="500" t="s">
        <v>182</v>
      </c>
      <c r="B1406" s="501" t="s">
        <v>184</v>
      </c>
      <c r="C1406" s="502" t="s">
        <v>183</v>
      </c>
      <c r="D1406" s="502" t="s">
        <v>185</v>
      </c>
      <c r="E1406" s="502" t="s">
        <v>3133</v>
      </c>
      <c r="F1406" s="501" t="s">
        <v>3134</v>
      </c>
      <c r="G1406" s="501" t="s">
        <v>3135</v>
      </c>
      <c r="H1406" s="501" t="s">
        <v>3136</v>
      </c>
      <c r="I1406" s="501" t="s">
        <v>3137</v>
      </c>
      <c r="J1406" s="501" t="s">
        <v>3138</v>
      </c>
      <c r="K1406" s="501" t="s">
        <v>7178</v>
      </c>
      <c r="L1406" s="501" t="s">
        <v>8395</v>
      </c>
      <c r="M1406" s="504" t="s">
        <v>7743</v>
      </c>
    </row>
    <row r="1407" spans="1:13" ht="15" customHeight="1">
      <c r="A1407" s="496" t="s">
        <v>178</v>
      </c>
      <c r="B1407" s="497" t="s">
        <v>180</v>
      </c>
      <c r="C1407" s="498" t="s">
        <v>179</v>
      </c>
      <c r="D1407" s="498" t="s">
        <v>181</v>
      </c>
      <c r="E1407" s="498" t="s">
        <v>3127</v>
      </c>
      <c r="F1407" s="497" t="s">
        <v>3128</v>
      </c>
      <c r="G1407" s="497" t="s">
        <v>3129</v>
      </c>
      <c r="H1407" s="497" t="s">
        <v>3130</v>
      </c>
      <c r="I1407" s="497" t="s">
        <v>3131</v>
      </c>
      <c r="J1407" s="497" t="s">
        <v>3132</v>
      </c>
      <c r="K1407" s="497" t="s">
        <v>7177</v>
      </c>
      <c r="L1407" s="497" t="s">
        <v>8394</v>
      </c>
      <c r="M1407" s="499" t="s">
        <v>7742</v>
      </c>
    </row>
    <row r="1408" spans="1:13" ht="15" customHeight="1">
      <c r="A1408" s="500" t="s">
        <v>157</v>
      </c>
      <c r="B1408" s="501" t="s">
        <v>160</v>
      </c>
      <c r="C1408" s="502" t="s">
        <v>159</v>
      </c>
      <c r="D1408" s="502" t="s">
        <v>161</v>
      </c>
      <c r="E1408" s="502" t="s">
        <v>3097</v>
      </c>
      <c r="F1408" s="501" t="s">
        <v>3098</v>
      </c>
      <c r="G1408" s="501" t="s">
        <v>3099</v>
      </c>
      <c r="H1408" s="501" t="s">
        <v>3100</v>
      </c>
      <c r="I1408" s="501" t="s">
        <v>3101</v>
      </c>
      <c r="J1408" s="501" t="s">
        <v>3102</v>
      </c>
      <c r="K1408" s="501" t="s">
        <v>7172</v>
      </c>
      <c r="L1408" s="501" t="s">
        <v>8389</v>
      </c>
      <c r="M1408" s="504" t="s">
        <v>7737</v>
      </c>
    </row>
    <row r="1409" spans="1:13" ht="15" customHeight="1">
      <c r="A1409" s="496" t="s">
        <v>162</v>
      </c>
      <c r="B1409" s="497" t="s">
        <v>160</v>
      </c>
      <c r="C1409" s="498" t="s">
        <v>159</v>
      </c>
      <c r="D1409" s="498" t="s">
        <v>161</v>
      </c>
      <c r="E1409" s="498" t="s">
        <v>3097</v>
      </c>
      <c r="F1409" s="497" t="s">
        <v>3098</v>
      </c>
      <c r="G1409" s="497" t="s">
        <v>3099</v>
      </c>
      <c r="H1409" s="497" t="s">
        <v>3100</v>
      </c>
      <c r="I1409" s="497" t="s">
        <v>3101</v>
      </c>
      <c r="J1409" s="497" t="s">
        <v>3102</v>
      </c>
      <c r="K1409" s="497" t="s">
        <v>7172</v>
      </c>
      <c r="L1409" s="497" t="s">
        <v>8389</v>
      </c>
      <c r="M1409" s="499" t="s">
        <v>7737</v>
      </c>
    </row>
    <row r="1410" spans="1:13" ht="15" customHeight="1">
      <c r="A1410" s="500" t="s">
        <v>152</v>
      </c>
      <c r="B1410" s="501" t="s">
        <v>155</v>
      </c>
      <c r="C1410" s="502" t="s">
        <v>154</v>
      </c>
      <c r="D1410" s="502" t="s">
        <v>156</v>
      </c>
      <c r="E1410" s="502" t="s">
        <v>3091</v>
      </c>
      <c r="F1410" s="501" t="s">
        <v>3092</v>
      </c>
      <c r="G1410" s="501" t="s">
        <v>3093</v>
      </c>
      <c r="H1410" s="501" t="s">
        <v>3094</v>
      </c>
      <c r="I1410" s="501" t="s">
        <v>3095</v>
      </c>
      <c r="J1410" s="501" t="s">
        <v>3096</v>
      </c>
      <c r="K1410" s="501" t="s">
        <v>7171</v>
      </c>
      <c r="L1410" s="501" t="s">
        <v>8388</v>
      </c>
      <c r="M1410" s="504" t="s">
        <v>7736</v>
      </c>
    </row>
    <row r="1411" spans="1:13" ht="15" customHeight="1">
      <c r="A1411" s="496" t="s">
        <v>131</v>
      </c>
      <c r="B1411" s="497" t="s">
        <v>133</v>
      </c>
      <c r="C1411" s="498" t="s">
        <v>132</v>
      </c>
      <c r="D1411" s="498" t="s">
        <v>134</v>
      </c>
      <c r="E1411" s="498" t="s">
        <v>3059</v>
      </c>
      <c r="F1411" s="497" t="s">
        <v>3060</v>
      </c>
      <c r="G1411" s="497" t="s">
        <v>3061</v>
      </c>
      <c r="H1411" s="497" t="s">
        <v>3062</v>
      </c>
      <c r="I1411" s="497" t="s">
        <v>3063</v>
      </c>
      <c r="J1411" s="497" t="s">
        <v>3064</v>
      </c>
      <c r="K1411" s="497" t="s">
        <v>7166</v>
      </c>
      <c r="L1411" s="497" t="s">
        <v>8383</v>
      </c>
      <c r="M1411" s="499" t="s">
        <v>7731</v>
      </c>
    </row>
    <row r="1412" spans="1:13" ht="15" customHeight="1">
      <c r="A1412" s="500" t="s">
        <v>163</v>
      </c>
      <c r="B1412" s="501" t="s">
        <v>2504</v>
      </c>
      <c r="C1412" s="502" t="s">
        <v>2602</v>
      </c>
      <c r="D1412" s="502" t="s">
        <v>2676</v>
      </c>
      <c r="E1412" s="502" t="s">
        <v>3103</v>
      </c>
      <c r="F1412" s="501" t="s">
        <v>3104</v>
      </c>
      <c r="G1412" s="501" t="s">
        <v>3105</v>
      </c>
      <c r="H1412" s="501" t="s">
        <v>3106</v>
      </c>
      <c r="I1412" s="501" t="s">
        <v>3107</v>
      </c>
      <c r="J1412" s="501" t="s">
        <v>3108</v>
      </c>
      <c r="K1412" s="501" t="s">
        <v>7173</v>
      </c>
      <c r="L1412" s="501" t="s">
        <v>8390</v>
      </c>
      <c r="M1412" s="504" t="s">
        <v>7738</v>
      </c>
    </row>
    <row r="1413" spans="1:13" ht="15" customHeight="1">
      <c r="A1413" s="496" t="s">
        <v>146</v>
      </c>
      <c r="B1413" s="497" t="s">
        <v>149</v>
      </c>
      <c r="C1413" s="498" t="s">
        <v>148</v>
      </c>
      <c r="D1413" s="498" t="s">
        <v>150</v>
      </c>
      <c r="E1413" s="498" t="s">
        <v>3085</v>
      </c>
      <c r="F1413" s="497" t="s">
        <v>3086</v>
      </c>
      <c r="G1413" s="497" t="s">
        <v>3087</v>
      </c>
      <c r="H1413" s="497" t="s">
        <v>3088</v>
      </c>
      <c r="I1413" s="497" t="s">
        <v>3089</v>
      </c>
      <c r="J1413" s="497" t="s">
        <v>3090</v>
      </c>
      <c r="K1413" s="497" t="s">
        <v>7170</v>
      </c>
      <c r="L1413" s="497" t="s">
        <v>8387</v>
      </c>
      <c r="M1413" s="499" t="s">
        <v>7735</v>
      </c>
    </row>
    <row r="1414" spans="1:13" ht="15" customHeight="1">
      <c r="A1414" s="500" t="s">
        <v>151</v>
      </c>
      <c r="B1414" s="501" t="s">
        <v>149</v>
      </c>
      <c r="C1414" s="502" t="s">
        <v>148</v>
      </c>
      <c r="D1414" s="502" t="s">
        <v>150</v>
      </c>
      <c r="E1414" s="502" t="s">
        <v>3085</v>
      </c>
      <c r="F1414" s="501" t="s">
        <v>3086</v>
      </c>
      <c r="G1414" s="501" t="s">
        <v>3087</v>
      </c>
      <c r="H1414" s="501" t="s">
        <v>3088</v>
      </c>
      <c r="I1414" s="501" t="s">
        <v>3089</v>
      </c>
      <c r="J1414" s="501" t="s">
        <v>3090</v>
      </c>
      <c r="K1414" s="501" t="s">
        <v>7170</v>
      </c>
      <c r="L1414" s="501" t="s">
        <v>8387</v>
      </c>
      <c r="M1414" s="504" t="s">
        <v>7735</v>
      </c>
    </row>
    <row r="1415" spans="1:13" ht="15" customHeight="1">
      <c r="A1415" s="496" t="s">
        <v>127</v>
      </c>
      <c r="B1415" s="497" t="s">
        <v>129</v>
      </c>
      <c r="C1415" s="498" t="s">
        <v>128</v>
      </c>
      <c r="D1415" s="498" t="s">
        <v>130</v>
      </c>
      <c r="E1415" s="498" t="s">
        <v>3053</v>
      </c>
      <c r="F1415" s="497" t="s">
        <v>3054</v>
      </c>
      <c r="G1415" s="497" t="s">
        <v>3055</v>
      </c>
      <c r="H1415" s="497" t="s">
        <v>3056</v>
      </c>
      <c r="I1415" s="497" t="s">
        <v>3057</v>
      </c>
      <c r="J1415" s="497" t="s">
        <v>3058</v>
      </c>
      <c r="K1415" s="497" t="s">
        <v>7165</v>
      </c>
      <c r="L1415" s="497" t="s">
        <v>8382</v>
      </c>
      <c r="M1415" s="499" t="s">
        <v>7730</v>
      </c>
    </row>
    <row r="1416" spans="1:13" ht="15" customHeight="1">
      <c r="A1416" s="500" t="s">
        <v>165</v>
      </c>
      <c r="B1416" s="501" t="s">
        <v>168</v>
      </c>
      <c r="C1416" s="502" t="s">
        <v>167</v>
      </c>
      <c r="D1416" s="502" t="s">
        <v>169</v>
      </c>
      <c r="E1416" s="502" t="s">
        <v>3109</v>
      </c>
      <c r="F1416" s="501" t="s">
        <v>3110</v>
      </c>
      <c r="G1416" s="501" t="s">
        <v>3111</v>
      </c>
      <c r="H1416" s="501" t="s">
        <v>3112</v>
      </c>
      <c r="I1416" s="501" t="s">
        <v>3113</v>
      </c>
      <c r="J1416" s="501" t="s">
        <v>3114</v>
      </c>
      <c r="K1416" s="501" t="s">
        <v>7174</v>
      </c>
      <c r="L1416" s="501" t="s">
        <v>8391</v>
      </c>
      <c r="M1416" s="504" t="s">
        <v>7739</v>
      </c>
    </row>
    <row r="1417" spans="1:13" ht="15" customHeight="1">
      <c r="A1417" s="496" t="s">
        <v>170</v>
      </c>
      <c r="B1417" s="497" t="s">
        <v>172</v>
      </c>
      <c r="C1417" s="498" t="s">
        <v>171</v>
      </c>
      <c r="D1417" s="498" t="s">
        <v>173</v>
      </c>
      <c r="E1417" s="498" t="s">
        <v>3115</v>
      </c>
      <c r="F1417" s="497" t="s">
        <v>3116</v>
      </c>
      <c r="G1417" s="497" t="s">
        <v>3117</v>
      </c>
      <c r="H1417" s="497" t="s">
        <v>3118</v>
      </c>
      <c r="I1417" s="497" t="s">
        <v>3119</v>
      </c>
      <c r="J1417" s="497" t="s">
        <v>3120</v>
      </c>
      <c r="K1417" s="497" t="s">
        <v>7175</v>
      </c>
      <c r="L1417" s="497" t="s">
        <v>8392</v>
      </c>
      <c r="M1417" s="499" t="s">
        <v>7740</v>
      </c>
    </row>
    <row r="1418" spans="1:13" ht="15" customHeight="1">
      <c r="A1418" s="500" t="s">
        <v>9145</v>
      </c>
      <c r="B1418" s="501" t="s">
        <v>149</v>
      </c>
      <c r="C1418" s="502" t="s">
        <v>148</v>
      </c>
      <c r="D1418" s="502" t="s">
        <v>150</v>
      </c>
      <c r="E1418" s="502" t="s">
        <v>3085</v>
      </c>
      <c r="F1418" s="501" t="s">
        <v>3086</v>
      </c>
      <c r="G1418" s="501" t="s">
        <v>3087</v>
      </c>
      <c r="H1418" s="501" t="s">
        <v>3088</v>
      </c>
      <c r="I1418" s="501" t="s">
        <v>3089</v>
      </c>
      <c r="J1418" s="501" t="s">
        <v>3090</v>
      </c>
      <c r="K1418" s="501" t="s">
        <v>7170</v>
      </c>
      <c r="L1418" s="501" t="s">
        <v>8387</v>
      </c>
      <c r="M1418" s="504" t="s">
        <v>7735</v>
      </c>
    </row>
    <row r="1419" spans="1:13" ht="15" customHeight="1">
      <c r="A1419" s="496" t="s">
        <v>141</v>
      </c>
      <c r="B1419" s="497" t="s">
        <v>144</v>
      </c>
      <c r="C1419" s="498" t="s">
        <v>143</v>
      </c>
      <c r="D1419" s="498" t="s">
        <v>145</v>
      </c>
      <c r="E1419" s="498" t="s">
        <v>3080</v>
      </c>
      <c r="F1419" s="497" t="s">
        <v>3081</v>
      </c>
      <c r="G1419" s="497" t="s">
        <v>3049</v>
      </c>
      <c r="H1419" s="497" t="s">
        <v>3082</v>
      </c>
      <c r="I1419" s="497" t="s">
        <v>3083</v>
      </c>
      <c r="J1419" s="497" t="s">
        <v>3084</v>
      </c>
      <c r="K1419" s="497" t="s">
        <v>7169</v>
      </c>
      <c r="L1419" s="497" t="s">
        <v>8386</v>
      </c>
      <c r="M1419" s="499" t="s">
        <v>7734</v>
      </c>
    </row>
    <row r="1420" spans="1:13" ht="15" customHeight="1">
      <c r="A1420" s="500" t="s">
        <v>124</v>
      </c>
      <c r="B1420" s="501" t="s">
        <v>2503</v>
      </c>
      <c r="C1420" s="502" t="s">
        <v>125</v>
      </c>
      <c r="D1420" s="502" t="s">
        <v>126</v>
      </c>
      <c r="E1420" s="502" t="s">
        <v>3047</v>
      </c>
      <c r="F1420" s="501" t="s">
        <v>3048</v>
      </c>
      <c r="G1420" s="501" t="s">
        <v>3049</v>
      </c>
      <c r="H1420" s="501" t="s">
        <v>3050</v>
      </c>
      <c r="I1420" s="501" t="s">
        <v>3051</v>
      </c>
      <c r="J1420" s="501" t="s">
        <v>3052</v>
      </c>
      <c r="K1420" s="501" t="s">
        <v>7164</v>
      </c>
      <c r="L1420" s="501" t="s">
        <v>8381</v>
      </c>
      <c r="M1420" s="504" t="s">
        <v>7729</v>
      </c>
    </row>
    <row r="1421" spans="1:13" ht="15" customHeight="1">
      <c r="A1421" s="496" t="s">
        <v>9143</v>
      </c>
      <c r="B1421" s="497" t="s">
        <v>144</v>
      </c>
      <c r="C1421" s="498" t="s">
        <v>143</v>
      </c>
      <c r="D1421" s="498" t="s">
        <v>145</v>
      </c>
      <c r="E1421" s="498" t="s">
        <v>3080</v>
      </c>
      <c r="F1421" s="497" t="s">
        <v>3081</v>
      </c>
      <c r="G1421" s="497" t="s">
        <v>3049</v>
      </c>
      <c r="H1421" s="497" t="s">
        <v>3082</v>
      </c>
      <c r="I1421" s="497" t="s">
        <v>3083</v>
      </c>
      <c r="J1421" s="497" t="s">
        <v>3084</v>
      </c>
      <c r="K1421" s="497" t="s">
        <v>7169</v>
      </c>
      <c r="L1421" s="497" t="s">
        <v>8386</v>
      </c>
      <c r="M1421" s="499" t="s">
        <v>7734</v>
      </c>
    </row>
    <row r="1422" spans="1:13" ht="15" customHeight="1">
      <c r="A1422" s="500" t="s">
        <v>135</v>
      </c>
      <c r="B1422" s="501" t="s">
        <v>138</v>
      </c>
      <c r="C1422" s="502" t="s">
        <v>137</v>
      </c>
      <c r="D1422" s="502" t="s">
        <v>139</v>
      </c>
      <c r="E1422" s="502" t="s">
        <v>3065</v>
      </c>
      <c r="F1422" s="501" t="s">
        <v>3066</v>
      </c>
      <c r="G1422" s="501" t="s">
        <v>3067</v>
      </c>
      <c r="H1422" s="501" t="s">
        <v>3068</v>
      </c>
      <c r="I1422" s="501" t="s">
        <v>3069</v>
      </c>
      <c r="J1422" s="501" t="s">
        <v>3070</v>
      </c>
      <c r="K1422" s="501" t="s">
        <v>7167</v>
      </c>
      <c r="L1422" s="501" t="s">
        <v>8384</v>
      </c>
      <c r="M1422" s="504" t="s">
        <v>7732</v>
      </c>
    </row>
    <row r="1423" spans="1:13" ht="15" customHeight="1">
      <c r="A1423" s="496" t="s">
        <v>140</v>
      </c>
      <c r="B1423" s="497" t="s">
        <v>3072</v>
      </c>
      <c r="C1423" s="498" t="s">
        <v>3071</v>
      </c>
      <c r="D1423" s="498" t="s">
        <v>3073</v>
      </c>
      <c r="E1423" s="498" t="s">
        <v>3074</v>
      </c>
      <c r="F1423" s="497" t="s">
        <v>3075</v>
      </c>
      <c r="G1423" s="497" t="s">
        <v>3076</v>
      </c>
      <c r="H1423" s="497" t="s">
        <v>3077</v>
      </c>
      <c r="I1423" s="497" t="s">
        <v>3078</v>
      </c>
      <c r="J1423" s="497" t="s">
        <v>3079</v>
      </c>
      <c r="K1423" s="497" t="s">
        <v>7168</v>
      </c>
      <c r="L1423" s="497" t="s">
        <v>8385</v>
      </c>
      <c r="M1423" s="499" t="s">
        <v>7733</v>
      </c>
    </row>
    <row r="1424" spans="1:13" ht="15" customHeight="1">
      <c r="A1424" s="500" t="s">
        <v>2041</v>
      </c>
      <c r="B1424" s="509" t="s">
        <v>2043</v>
      </c>
      <c r="C1424" s="509" t="s">
        <v>2042</v>
      </c>
      <c r="D1424" s="509" t="s">
        <v>2044</v>
      </c>
      <c r="E1424" s="509" t="s">
        <v>6337</v>
      </c>
      <c r="F1424" s="509" t="s">
        <v>6338</v>
      </c>
      <c r="G1424" s="509" t="s">
        <v>2042</v>
      </c>
      <c r="H1424" s="509" t="s">
        <v>6339</v>
      </c>
      <c r="I1424" s="509" t="s">
        <v>6340</v>
      </c>
      <c r="J1424" s="509" t="s">
        <v>6341</v>
      </c>
      <c r="K1424" s="509" t="s">
        <v>7661</v>
      </c>
      <c r="L1424" s="501" t="s">
        <v>2042</v>
      </c>
      <c r="M1424" s="510" t="s">
        <v>8288</v>
      </c>
    </row>
    <row r="1425" spans="1:13" ht="15" customHeight="1">
      <c r="A1425" s="505" t="s">
        <v>889</v>
      </c>
      <c r="B1425" s="506" t="s">
        <v>892</v>
      </c>
      <c r="C1425" s="512" t="s">
        <v>891</v>
      </c>
      <c r="D1425" s="512" t="s">
        <v>893</v>
      </c>
      <c r="E1425" s="512" t="s">
        <v>4635</v>
      </c>
      <c r="F1425" s="497" t="s">
        <v>4636</v>
      </c>
      <c r="G1425" s="497" t="s">
        <v>4637</v>
      </c>
      <c r="H1425" s="497" t="s">
        <v>4638</v>
      </c>
      <c r="I1425" s="497" t="s">
        <v>4639</v>
      </c>
      <c r="J1425" s="497" t="s">
        <v>4640</v>
      </c>
      <c r="K1425" s="513" t="s">
        <v>12403</v>
      </c>
      <c r="L1425" s="497" t="s">
        <v>8619</v>
      </c>
      <c r="M1425" s="499" t="s">
        <v>7974</v>
      </c>
    </row>
    <row r="1426" spans="1:13" ht="15" customHeight="1">
      <c r="A1426" s="783" t="s">
        <v>933</v>
      </c>
      <c r="B1426" s="515" t="s">
        <v>936</v>
      </c>
      <c r="C1426" s="516" t="s">
        <v>935</v>
      </c>
      <c r="D1426" s="516" t="s">
        <v>937</v>
      </c>
      <c r="E1426" s="516" t="s">
        <v>4702</v>
      </c>
      <c r="F1426" s="515" t="s">
        <v>4703</v>
      </c>
      <c r="G1426" s="515" t="s">
        <v>4704</v>
      </c>
      <c r="H1426" s="515" t="s">
        <v>4705</v>
      </c>
      <c r="I1426" s="515" t="s">
        <v>4706</v>
      </c>
      <c r="J1426" s="515" t="s">
        <v>4707</v>
      </c>
      <c r="K1426" s="517" t="s">
        <v>12404</v>
      </c>
      <c r="L1426" s="515" t="s">
        <v>8630</v>
      </c>
      <c r="M1426" s="518" t="s">
        <v>7985</v>
      </c>
    </row>
    <row r="1427" spans="1:13" ht="15" customHeight="1">
      <c r="A1427" s="783" t="s">
        <v>12440</v>
      </c>
      <c r="B1427" s="515" t="s">
        <v>12924</v>
      </c>
      <c r="C1427" s="516" t="s">
        <v>12925</v>
      </c>
      <c r="D1427" s="516" t="s">
        <v>12926</v>
      </c>
      <c r="E1427" s="516" t="s">
        <v>12927</v>
      </c>
      <c r="F1427" s="515" t="s">
        <v>12928</v>
      </c>
      <c r="G1427" s="515" t="s">
        <v>12929</v>
      </c>
      <c r="H1427" s="515" t="s">
        <v>12930</v>
      </c>
      <c r="I1427" s="515" t="s">
        <v>12931</v>
      </c>
      <c r="J1427" s="515" t="s">
        <v>12932</v>
      </c>
      <c r="K1427" s="517" t="s">
        <v>12933</v>
      </c>
      <c r="L1427" s="515" t="s">
        <v>12934</v>
      </c>
      <c r="M1427" s="518" t="s">
        <v>12935</v>
      </c>
    </row>
    <row r="1428" spans="1:13" ht="15" customHeight="1">
      <c r="A1428" s="783" t="s">
        <v>12441</v>
      </c>
      <c r="B1428" s="515" t="s">
        <v>9312</v>
      </c>
      <c r="C1428" s="516" t="s">
        <v>72</v>
      </c>
      <c r="D1428" s="516" t="s">
        <v>74</v>
      </c>
      <c r="E1428" s="516" t="s">
        <v>2886</v>
      </c>
      <c r="F1428" s="515" t="s">
        <v>2887</v>
      </c>
      <c r="G1428" s="515" t="s">
        <v>2888</v>
      </c>
      <c r="H1428" s="515" t="s">
        <v>2889</v>
      </c>
      <c r="I1428" s="515" t="s">
        <v>2890</v>
      </c>
      <c r="J1428" s="515" t="s">
        <v>2891</v>
      </c>
      <c r="K1428" s="517" t="s">
        <v>7140</v>
      </c>
      <c r="L1428" s="515" t="s">
        <v>8360</v>
      </c>
      <c r="M1428" s="518" t="s">
        <v>12936</v>
      </c>
    </row>
    <row r="1429" spans="1:13" ht="15" customHeight="1">
      <c r="A1429" s="783" t="s">
        <v>12442</v>
      </c>
      <c r="B1429" s="515" t="s">
        <v>2497</v>
      </c>
      <c r="C1429" s="516" t="s">
        <v>2594</v>
      </c>
      <c r="D1429" s="516" t="s">
        <v>2673</v>
      </c>
      <c r="E1429" s="516" t="s">
        <v>2880</v>
      </c>
      <c r="F1429" s="515" t="s">
        <v>2881</v>
      </c>
      <c r="G1429" s="515" t="s">
        <v>2882</v>
      </c>
      <c r="H1429" s="515" t="s">
        <v>2883</v>
      </c>
      <c r="I1429" s="515" t="s">
        <v>2884</v>
      </c>
      <c r="J1429" s="515" t="s">
        <v>2885</v>
      </c>
      <c r="K1429" s="517" t="s">
        <v>7139</v>
      </c>
      <c r="L1429" s="515" t="s">
        <v>8359</v>
      </c>
      <c r="M1429" s="518" t="s">
        <v>7704</v>
      </c>
    </row>
    <row r="1430" spans="1:13" ht="15" customHeight="1">
      <c r="A1430" s="783" t="s">
        <v>12443</v>
      </c>
      <c r="B1430" s="515" t="s">
        <v>12937</v>
      </c>
      <c r="C1430" s="516" t="s">
        <v>12937</v>
      </c>
      <c r="D1430" s="516" t="s">
        <v>12937</v>
      </c>
      <c r="E1430" s="516" t="s">
        <v>12937</v>
      </c>
      <c r="F1430" s="515" t="s">
        <v>12937</v>
      </c>
      <c r="G1430" s="515" t="s">
        <v>12937</v>
      </c>
      <c r="H1430" s="515" t="s">
        <v>12937</v>
      </c>
      <c r="I1430" s="515" t="s">
        <v>12937</v>
      </c>
      <c r="J1430" s="515" t="s">
        <v>12937</v>
      </c>
      <c r="K1430" s="517" t="s">
        <v>12937</v>
      </c>
      <c r="L1430" s="515" t="s">
        <v>12937</v>
      </c>
      <c r="M1430" s="518" t="s">
        <v>12937</v>
      </c>
    </row>
    <row r="1431" spans="1:13" ht="15" customHeight="1">
      <c r="A1431" s="783" t="s">
        <v>12444</v>
      </c>
      <c r="B1431" s="515" t="s">
        <v>12938</v>
      </c>
      <c r="C1431" s="516" t="s">
        <v>12939</v>
      </c>
      <c r="D1431" s="516" t="s">
        <v>12940</v>
      </c>
      <c r="E1431" s="516" t="s">
        <v>12941</v>
      </c>
      <c r="F1431" s="515" t="s">
        <v>12942</v>
      </c>
      <c r="G1431" s="515" t="s">
        <v>12943</v>
      </c>
      <c r="H1431" s="515" t="s">
        <v>12944</v>
      </c>
      <c r="I1431" s="515" t="s">
        <v>12945</v>
      </c>
      <c r="J1431" s="515" t="s">
        <v>12946</v>
      </c>
      <c r="K1431" s="517" t="s">
        <v>12947</v>
      </c>
      <c r="L1431" s="515" t="s">
        <v>12948</v>
      </c>
      <c r="M1431" s="518" t="s">
        <v>12949</v>
      </c>
    </row>
    <row r="1432" spans="1:13" ht="15" customHeight="1">
      <c r="A1432" s="783" t="s">
        <v>12445</v>
      </c>
      <c r="B1432" s="515" t="s">
        <v>588</v>
      </c>
      <c r="C1432" s="516" t="s">
        <v>587</v>
      </c>
      <c r="D1432" s="516" t="s">
        <v>589</v>
      </c>
      <c r="E1432" s="516" t="s">
        <v>4000</v>
      </c>
      <c r="F1432" s="515" t="s">
        <v>4001</v>
      </c>
      <c r="G1432" s="515" t="s">
        <v>4002</v>
      </c>
      <c r="H1432" s="515" t="s">
        <v>4003</v>
      </c>
      <c r="I1432" s="515" t="s">
        <v>4004</v>
      </c>
      <c r="J1432" s="515" t="s">
        <v>4005</v>
      </c>
      <c r="K1432" s="517" t="s">
        <v>7309</v>
      </c>
      <c r="L1432" s="515" t="s">
        <v>8525</v>
      </c>
      <c r="M1432" s="518" t="s">
        <v>7874</v>
      </c>
    </row>
    <row r="1433" spans="1:13" ht="15" customHeight="1">
      <c r="A1433" s="783" t="s">
        <v>12446</v>
      </c>
      <c r="B1433" s="515" t="s">
        <v>359</v>
      </c>
      <c r="C1433" s="516" t="s">
        <v>358</v>
      </c>
      <c r="D1433" s="516" t="s">
        <v>360</v>
      </c>
      <c r="E1433" s="516" t="s">
        <v>3654</v>
      </c>
      <c r="F1433" s="515" t="s">
        <v>3655</v>
      </c>
      <c r="G1433" s="515" t="s">
        <v>4017</v>
      </c>
      <c r="H1433" s="515" t="s">
        <v>3654</v>
      </c>
      <c r="I1433" s="515" t="s">
        <v>3656</v>
      </c>
      <c r="J1433" s="515" t="s">
        <v>3657</v>
      </c>
      <c r="K1433" s="517" t="s">
        <v>7252</v>
      </c>
      <c r="L1433" s="515" t="s">
        <v>8468</v>
      </c>
      <c r="M1433" s="518" t="s">
        <v>7877</v>
      </c>
    </row>
    <row r="1434" spans="1:13" ht="15" customHeight="1">
      <c r="A1434" s="783" t="s">
        <v>12447</v>
      </c>
      <c r="B1434" s="515" t="s">
        <v>359</v>
      </c>
      <c r="C1434" s="516" t="s">
        <v>358</v>
      </c>
      <c r="D1434" s="516" t="s">
        <v>360</v>
      </c>
      <c r="E1434" s="516" t="s">
        <v>3654</v>
      </c>
      <c r="F1434" s="515" t="s">
        <v>3655</v>
      </c>
      <c r="G1434" s="515" t="s">
        <v>4017</v>
      </c>
      <c r="H1434" s="515" t="s">
        <v>3654</v>
      </c>
      <c r="I1434" s="515" t="s">
        <v>3656</v>
      </c>
      <c r="J1434" s="515" t="s">
        <v>3657</v>
      </c>
      <c r="K1434" s="517" t="s">
        <v>7252</v>
      </c>
      <c r="L1434" s="515" t="s">
        <v>8468</v>
      </c>
      <c r="M1434" s="518" t="s">
        <v>7877</v>
      </c>
    </row>
    <row r="1435" spans="1:13" ht="15" customHeight="1">
      <c r="A1435" s="783" t="s">
        <v>12448</v>
      </c>
      <c r="B1435" s="515" t="s">
        <v>11827</v>
      </c>
      <c r="C1435" s="516" t="s">
        <v>11828</v>
      </c>
      <c r="D1435" s="516" t="s">
        <v>11828</v>
      </c>
      <c r="E1435" s="516" t="s">
        <v>11828</v>
      </c>
      <c r="F1435" s="515" t="s">
        <v>11828</v>
      </c>
      <c r="G1435" s="515" t="s">
        <v>11828</v>
      </c>
      <c r="H1435" s="515" t="s">
        <v>11828</v>
      </c>
      <c r="I1435" s="515" t="s">
        <v>11828</v>
      </c>
      <c r="J1435" s="515" t="s">
        <v>11828</v>
      </c>
      <c r="K1435" s="517" t="s">
        <v>11828</v>
      </c>
      <c r="L1435" s="515" t="s">
        <v>11828</v>
      </c>
      <c r="M1435" s="518" t="s">
        <v>11828</v>
      </c>
    </row>
    <row r="1436" spans="1:13" ht="15" customHeight="1">
      <c r="A1436" s="783" t="s">
        <v>12449</v>
      </c>
      <c r="B1436" s="515" t="s">
        <v>707</v>
      </c>
      <c r="C1436" s="516" t="s">
        <v>706</v>
      </c>
      <c r="D1436" s="516" t="s">
        <v>708</v>
      </c>
      <c r="E1436" s="516" t="s">
        <v>4759</v>
      </c>
      <c r="F1436" s="515" t="s">
        <v>4380</v>
      </c>
      <c r="G1436" s="515" t="s">
        <v>4760</v>
      </c>
      <c r="H1436" s="515" t="s">
        <v>4382</v>
      </c>
      <c r="I1436" s="515" t="s">
        <v>4761</v>
      </c>
      <c r="J1436" s="515" t="s">
        <v>4762</v>
      </c>
      <c r="K1436" s="517" t="s">
        <v>7361</v>
      </c>
      <c r="L1436" s="515" t="s">
        <v>8577</v>
      </c>
      <c r="M1436" s="518" t="s">
        <v>7931</v>
      </c>
    </row>
    <row r="1437" spans="1:13" ht="15" customHeight="1">
      <c r="A1437" s="783" t="s">
        <v>12450</v>
      </c>
      <c r="B1437" s="515" t="s">
        <v>1315</v>
      </c>
      <c r="C1437" s="516" t="s">
        <v>355</v>
      </c>
      <c r="D1437" s="516" t="s">
        <v>357</v>
      </c>
      <c r="E1437" s="516" t="s">
        <v>3608</v>
      </c>
      <c r="F1437" s="515" t="s">
        <v>3609</v>
      </c>
      <c r="G1437" s="515" t="s">
        <v>5036</v>
      </c>
      <c r="H1437" s="515" t="s">
        <v>3611</v>
      </c>
      <c r="I1437" s="515" t="s">
        <v>3612</v>
      </c>
      <c r="J1437" s="515" t="s">
        <v>3613</v>
      </c>
      <c r="K1437" s="517" t="s">
        <v>7246</v>
      </c>
      <c r="L1437" s="515" t="s">
        <v>8462</v>
      </c>
      <c r="M1437" s="518" t="s">
        <v>8034</v>
      </c>
    </row>
    <row r="1438" spans="1:13" ht="15" customHeight="1">
      <c r="A1438" s="783" t="s">
        <v>12405</v>
      </c>
      <c r="B1438" s="515" t="s">
        <v>15034</v>
      </c>
      <c r="C1438" s="516" t="s">
        <v>15035</v>
      </c>
      <c r="D1438" s="516" t="s">
        <v>15036</v>
      </c>
      <c r="E1438" s="516" t="s">
        <v>4665</v>
      </c>
      <c r="F1438" s="515" t="s">
        <v>15037</v>
      </c>
      <c r="G1438" s="515" t="s">
        <v>15038</v>
      </c>
      <c r="H1438" s="515" t="s">
        <v>4665</v>
      </c>
      <c r="I1438" s="515" t="s">
        <v>15039</v>
      </c>
      <c r="J1438" s="515" t="s">
        <v>15040</v>
      </c>
      <c r="K1438" s="517" t="s">
        <v>15041</v>
      </c>
      <c r="L1438" s="515" t="s">
        <v>15042</v>
      </c>
      <c r="M1438" s="518" t="s">
        <v>15043</v>
      </c>
    </row>
    <row r="1439" spans="1:13" ht="15" customHeight="1">
      <c r="A1439" s="783" t="s">
        <v>12451</v>
      </c>
      <c r="B1439" s="515" t="s">
        <v>12533</v>
      </c>
      <c r="C1439" s="516" t="s">
        <v>12533</v>
      </c>
      <c r="D1439" s="516" t="s">
        <v>12533</v>
      </c>
      <c r="E1439" s="516" t="s">
        <v>12533</v>
      </c>
      <c r="F1439" s="515" t="s">
        <v>12533</v>
      </c>
      <c r="G1439" s="515" t="s">
        <v>12533</v>
      </c>
      <c r="H1439" s="515" t="s">
        <v>12533</v>
      </c>
      <c r="I1439" s="515" t="s">
        <v>12533</v>
      </c>
      <c r="J1439" s="515" t="s">
        <v>12533</v>
      </c>
      <c r="K1439" s="517" t="s">
        <v>12533</v>
      </c>
      <c r="L1439" s="515" t="s">
        <v>12533</v>
      </c>
      <c r="M1439" s="518" t="s">
        <v>12533</v>
      </c>
    </row>
    <row r="1440" spans="1:13" ht="15" customHeight="1">
      <c r="A1440" s="783" t="s">
        <v>12452</v>
      </c>
      <c r="B1440" s="515" t="s">
        <v>1224</v>
      </c>
      <c r="C1440" s="516" t="s">
        <v>1223</v>
      </c>
      <c r="D1440" s="516" t="s">
        <v>1225</v>
      </c>
      <c r="E1440" s="516" t="s">
        <v>4852</v>
      </c>
      <c r="F1440" s="515" t="s">
        <v>4853</v>
      </c>
      <c r="G1440" s="515" t="s">
        <v>4854</v>
      </c>
      <c r="H1440" s="515" t="s">
        <v>4855</v>
      </c>
      <c r="I1440" s="515" t="s">
        <v>4856</v>
      </c>
      <c r="J1440" s="515" t="s">
        <v>4857</v>
      </c>
      <c r="K1440" s="517" t="s">
        <v>7387</v>
      </c>
      <c r="L1440" s="515" t="s">
        <v>8650</v>
      </c>
      <c r="M1440" s="518" t="s">
        <v>8007</v>
      </c>
    </row>
    <row r="1441" spans="1:13" ht="15" customHeight="1">
      <c r="A1441" s="783" t="s">
        <v>12453</v>
      </c>
      <c r="B1441" s="515" t="s">
        <v>1083</v>
      </c>
      <c r="C1441" s="516" t="s">
        <v>1082</v>
      </c>
      <c r="D1441" s="516" t="s">
        <v>1084</v>
      </c>
      <c r="E1441" s="516" t="s">
        <v>4733</v>
      </c>
      <c r="F1441" s="515" t="s">
        <v>4734</v>
      </c>
      <c r="G1441" s="515" t="s">
        <v>4735</v>
      </c>
      <c r="H1441" s="515" t="s">
        <v>4736</v>
      </c>
      <c r="I1441" s="515" t="s">
        <v>4737</v>
      </c>
      <c r="J1441" s="515" t="s">
        <v>4738</v>
      </c>
      <c r="K1441" s="517" t="s">
        <v>7371</v>
      </c>
      <c r="L1441" s="515" t="s">
        <v>8634</v>
      </c>
      <c r="M1441" s="518" t="s">
        <v>7989</v>
      </c>
    </row>
    <row r="1442" spans="1:13" ht="15" customHeight="1">
      <c r="A1442" s="783" t="s">
        <v>12454</v>
      </c>
      <c r="B1442" s="515" t="s">
        <v>2543</v>
      </c>
      <c r="C1442" s="516" t="s">
        <v>2647</v>
      </c>
      <c r="D1442" s="516" t="s">
        <v>12950</v>
      </c>
      <c r="E1442" s="516" t="s">
        <v>12951</v>
      </c>
      <c r="F1442" s="515" t="s">
        <v>5148</v>
      </c>
      <c r="G1442" s="515" t="s">
        <v>12952</v>
      </c>
      <c r="H1442" s="515" t="s">
        <v>5147</v>
      </c>
      <c r="I1442" s="515" t="s">
        <v>12953</v>
      </c>
      <c r="J1442" s="515" t="s">
        <v>5151</v>
      </c>
      <c r="K1442" s="517" t="s">
        <v>8052</v>
      </c>
      <c r="L1442" s="515" t="s">
        <v>8690</v>
      </c>
      <c r="M1442" s="518" t="s">
        <v>7429</v>
      </c>
    </row>
    <row r="1443" spans="1:13" ht="15" customHeight="1">
      <c r="A1443" s="783" t="s">
        <v>12455</v>
      </c>
      <c r="B1443" s="515" t="s">
        <v>1224</v>
      </c>
      <c r="C1443" s="516" t="s">
        <v>1223</v>
      </c>
      <c r="D1443" s="516" t="s">
        <v>1225</v>
      </c>
      <c r="E1443" s="516" t="s">
        <v>4852</v>
      </c>
      <c r="F1443" s="515" t="s">
        <v>4853</v>
      </c>
      <c r="G1443" s="515" t="s">
        <v>4854</v>
      </c>
      <c r="H1443" s="515" t="s">
        <v>4855</v>
      </c>
      <c r="I1443" s="515" t="s">
        <v>4856</v>
      </c>
      <c r="J1443" s="515" t="s">
        <v>4857</v>
      </c>
      <c r="K1443" s="517" t="s">
        <v>7387</v>
      </c>
      <c r="L1443" s="515" t="s">
        <v>8650</v>
      </c>
      <c r="M1443" s="518" t="s">
        <v>8007</v>
      </c>
    </row>
    <row r="1444" spans="1:13" ht="15" customHeight="1">
      <c r="A1444" s="783" t="s">
        <v>12456</v>
      </c>
      <c r="B1444" s="515" t="s">
        <v>1083</v>
      </c>
      <c r="C1444" s="516" t="s">
        <v>1082</v>
      </c>
      <c r="D1444" s="516" t="s">
        <v>1084</v>
      </c>
      <c r="E1444" s="516" t="s">
        <v>4733</v>
      </c>
      <c r="F1444" s="515" t="s">
        <v>4734</v>
      </c>
      <c r="G1444" s="515" t="s">
        <v>4735</v>
      </c>
      <c r="H1444" s="515" t="s">
        <v>4736</v>
      </c>
      <c r="I1444" s="515" t="s">
        <v>4737</v>
      </c>
      <c r="J1444" s="515" t="s">
        <v>4828</v>
      </c>
      <c r="K1444" s="517" t="s">
        <v>7371</v>
      </c>
      <c r="L1444" s="515" t="s">
        <v>8634</v>
      </c>
      <c r="M1444" s="518" t="s">
        <v>7989</v>
      </c>
    </row>
    <row r="1445" spans="1:13" ht="15" customHeight="1">
      <c r="A1445" s="783" t="s">
        <v>12457</v>
      </c>
      <c r="B1445" s="515" t="s">
        <v>1220</v>
      </c>
      <c r="C1445" s="516" t="s">
        <v>1219</v>
      </c>
      <c r="D1445" s="516" t="s">
        <v>1221</v>
      </c>
      <c r="E1445" s="516" t="s">
        <v>4965</v>
      </c>
      <c r="F1445" s="515" t="s">
        <v>4963</v>
      </c>
      <c r="G1445" s="515" t="s">
        <v>12954</v>
      </c>
      <c r="H1445" s="515" t="s">
        <v>4965</v>
      </c>
      <c r="I1445" s="515" t="s">
        <v>4966</v>
      </c>
      <c r="J1445" s="515" t="s">
        <v>4967</v>
      </c>
      <c r="K1445" s="517" t="s">
        <v>7402</v>
      </c>
      <c r="L1445" s="515" t="s">
        <v>8666</v>
      </c>
      <c r="M1445" s="518" t="s">
        <v>8023</v>
      </c>
    </row>
    <row r="1446" spans="1:13" ht="15" customHeight="1">
      <c r="A1446" s="783" t="s">
        <v>12458</v>
      </c>
      <c r="B1446" s="515" t="s">
        <v>1224</v>
      </c>
      <c r="C1446" s="516" t="s">
        <v>1223</v>
      </c>
      <c r="D1446" s="516" t="s">
        <v>1225</v>
      </c>
      <c r="E1446" s="516" t="s">
        <v>4852</v>
      </c>
      <c r="F1446" s="515" t="s">
        <v>4853</v>
      </c>
      <c r="G1446" s="515" t="s">
        <v>4854</v>
      </c>
      <c r="H1446" s="515" t="s">
        <v>4855</v>
      </c>
      <c r="I1446" s="515" t="s">
        <v>4856</v>
      </c>
      <c r="J1446" s="515" t="s">
        <v>4857</v>
      </c>
      <c r="K1446" s="517" t="s">
        <v>7387</v>
      </c>
      <c r="L1446" s="515" t="s">
        <v>8650</v>
      </c>
      <c r="M1446" s="518" t="s">
        <v>8007</v>
      </c>
    </row>
    <row r="1447" spans="1:13" ht="15" customHeight="1">
      <c r="A1447" s="783" t="s">
        <v>12955</v>
      </c>
      <c r="B1447" s="515" t="s">
        <v>12956</v>
      </c>
      <c r="C1447" s="516" t="s">
        <v>12957</v>
      </c>
      <c r="D1447" s="516" t="s">
        <v>12958</v>
      </c>
      <c r="E1447" s="516" t="s">
        <v>12959</v>
      </c>
      <c r="F1447" s="515" t="s">
        <v>12960</v>
      </c>
      <c r="G1447" s="515" t="s">
        <v>12961</v>
      </c>
      <c r="H1447" s="515" t="s">
        <v>12959</v>
      </c>
      <c r="I1447" s="515" t="s">
        <v>12962</v>
      </c>
      <c r="J1447" s="515" t="s">
        <v>12963</v>
      </c>
      <c r="K1447" s="517" t="s">
        <v>12964</v>
      </c>
      <c r="L1447" s="515" t="s">
        <v>12965</v>
      </c>
      <c r="M1447" s="518" t="s">
        <v>12966</v>
      </c>
    </row>
    <row r="1448" spans="1:13" ht="15" customHeight="1">
      <c r="A1448" s="783" t="s">
        <v>12967</v>
      </c>
      <c r="B1448" s="515" t="s">
        <v>1224</v>
      </c>
      <c r="C1448" s="516" t="s">
        <v>1223</v>
      </c>
      <c r="D1448" s="516" t="s">
        <v>1225</v>
      </c>
      <c r="E1448" s="516" t="s">
        <v>4852</v>
      </c>
      <c r="F1448" s="515" t="s">
        <v>4853</v>
      </c>
      <c r="G1448" s="515" t="s">
        <v>4854</v>
      </c>
      <c r="H1448" s="515" t="s">
        <v>4855</v>
      </c>
      <c r="I1448" s="515" t="s">
        <v>4856</v>
      </c>
      <c r="J1448" s="515" t="s">
        <v>4857</v>
      </c>
      <c r="K1448" s="517" t="s">
        <v>7387</v>
      </c>
      <c r="L1448" s="515" t="s">
        <v>8650</v>
      </c>
      <c r="M1448" s="518" t="s">
        <v>8007</v>
      </c>
    </row>
    <row r="1449" spans="1:13" ht="15" customHeight="1">
      <c r="A1449" s="783" t="s">
        <v>12968</v>
      </c>
      <c r="B1449" s="515" t="s">
        <v>1224</v>
      </c>
      <c r="C1449" s="516" t="s">
        <v>1223</v>
      </c>
      <c r="D1449" s="516" t="s">
        <v>1225</v>
      </c>
      <c r="E1449" s="516" t="s">
        <v>4852</v>
      </c>
      <c r="F1449" s="515" t="s">
        <v>4853</v>
      </c>
      <c r="G1449" s="515" t="s">
        <v>4854</v>
      </c>
      <c r="H1449" s="515" t="s">
        <v>4855</v>
      </c>
      <c r="I1449" s="515" t="s">
        <v>4856</v>
      </c>
      <c r="J1449" s="515" t="s">
        <v>4857</v>
      </c>
      <c r="K1449" s="517" t="s">
        <v>7387</v>
      </c>
      <c r="L1449" s="515" t="s">
        <v>8650</v>
      </c>
      <c r="M1449" s="518" t="s">
        <v>8007</v>
      </c>
    </row>
    <row r="1450" spans="1:13" ht="15" customHeight="1">
      <c r="A1450" s="783" t="s">
        <v>12459</v>
      </c>
      <c r="B1450" s="515" t="s">
        <v>12969</v>
      </c>
      <c r="C1450" s="516" t="s">
        <v>12970</v>
      </c>
      <c r="D1450" s="516" t="s">
        <v>12971</v>
      </c>
      <c r="E1450" s="516" t="s">
        <v>12972</v>
      </c>
      <c r="F1450" s="515" t="s">
        <v>12973</v>
      </c>
      <c r="G1450" s="515" t="s">
        <v>5100</v>
      </c>
      <c r="H1450" s="515" t="s">
        <v>12974</v>
      </c>
      <c r="I1450" s="515" t="s">
        <v>12975</v>
      </c>
      <c r="J1450" s="515" t="s">
        <v>12976</v>
      </c>
      <c r="K1450" s="517" t="s">
        <v>12977</v>
      </c>
      <c r="L1450" s="515" t="s">
        <v>12978</v>
      </c>
      <c r="M1450" s="518" t="s">
        <v>12979</v>
      </c>
    </row>
    <row r="1451" spans="1:13" ht="15" customHeight="1">
      <c r="A1451" s="783" t="s">
        <v>12460</v>
      </c>
      <c r="B1451" s="515" t="s">
        <v>744</v>
      </c>
      <c r="C1451" s="516" t="s">
        <v>743</v>
      </c>
      <c r="D1451" s="516" t="s">
        <v>1012</v>
      </c>
      <c r="E1451" s="516" t="s">
        <v>4356</v>
      </c>
      <c r="F1451" s="515" t="s">
        <v>4357</v>
      </c>
      <c r="G1451" s="515" t="s">
        <v>4789</v>
      </c>
      <c r="H1451" s="515" t="s">
        <v>4359</v>
      </c>
      <c r="I1451" s="515" t="s">
        <v>4360</v>
      </c>
      <c r="J1451" s="515" t="s">
        <v>4361</v>
      </c>
      <c r="K1451" s="517" t="s">
        <v>7357</v>
      </c>
      <c r="L1451" s="515" t="s">
        <v>8573</v>
      </c>
      <c r="M1451" s="518" t="s">
        <v>7927</v>
      </c>
    </row>
    <row r="1452" spans="1:13" ht="15" customHeight="1">
      <c r="A1452" s="783" t="s">
        <v>12461</v>
      </c>
      <c r="B1452" s="515" t="s">
        <v>1178</v>
      </c>
      <c r="C1452" s="516" t="s">
        <v>1177</v>
      </c>
      <c r="D1452" s="516" t="s">
        <v>1179</v>
      </c>
      <c r="E1452" s="516" t="s">
        <v>4915</v>
      </c>
      <c r="F1452" s="515" t="s">
        <v>4916</v>
      </c>
      <c r="G1452" s="515" t="s">
        <v>4917</v>
      </c>
      <c r="H1452" s="515" t="s">
        <v>4918</v>
      </c>
      <c r="I1452" s="515" t="s">
        <v>4919</v>
      </c>
      <c r="J1452" s="515" t="s">
        <v>4920</v>
      </c>
      <c r="K1452" s="517" t="s">
        <v>7396</v>
      </c>
      <c r="L1452" s="515" t="s">
        <v>8660</v>
      </c>
      <c r="M1452" s="518" t="s">
        <v>8016</v>
      </c>
    </row>
    <row r="1453" spans="1:13" ht="15" customHeight="1">
      <c r="A1453" s="783" t="s">
        <v>12462</v>
      </c>
      <c r="B1453" s="515" t="s">
        <v>961</v>
      </c>
      <c r="C1453" s="516" t="s">
        <v>587</v>
      </c>
      <c r="D1453" s="516" t="s">
        <v>962</v>
      </c>
      <c r="E1453" s="516" t="s">
        <v>4744</v>
      </c>
      <c r="F1453" s="515" t="s">
        <v>4001</v>
      </c>
      <c r="G1453" s="515" t="s">
        <v>4002</v>
      </c>
      <c r="H1453" s="515" t="s">
        <v>4745</v>
      </c>
      <c r="I1453" s="515" t="s">
        <v>4025</v>
      </c>
      <c r="J1453" s="515" t="s">
        <v>4005</v>
      </c>
      <c r="K1453" s="517" t="s">
        <v>7373</v>
      </c>
      <c r="L1453" s="515" t="s">
        <v>8636</v>
      </c>
      <c r="M1453" s="518" t="s">
        <v>7879</v>
      </c>
    </row>
    <row r="1454" spans="1:13" ht="15" customHeight="1">
      <c r="A1454" s="783" t="s">
        <v>12980</v>
      </c>
      <c r="B1454" s="515" t="s">
        <v>1224</v>
      </c>
      <c r="C1454" s="516" t="s">
        <v>1223</v>
      </c>
      <c r="D1454" s="516" t="s">
        <v>1225</v>
      </c>
      <c r="E1454" s="516" t="s">
        <v>4852</v>
      </c>
      <c r="F1454" s="515" t="s">
        <v>4853</v>
      </c>
      <c r="G1454" s="515" t="s">
        <v>4854</v>
      </c>
      <c r="H1454" s="515" t="s">
        <v>4855</v>
      </c>
      <c r="I1454" s="515" t="s">
        <v>4856</v>
      </c>
      <c r="J1454" s="515" t="s">
        <v>4857</v>
      </c>
      <c r="K1454" s="517" t="s">
        <v>7387</v>
      </c>
      <c r="L1454" s="515" t="s">
        <v>8650</v>
      </c>
      <c r="M1454" s="518" t="s">
        <v>8007</v>
      </c>
    </row>
    <row r="1455" spans="1:13" ht="15" customHeight="1">
      <c r="A1455" s="783" t="s">
        <v>12463</v>
      </c>
      <c r="B1455" s="515" t="s">
        <v>1083</v>
      </c>
      <c r="C1455" s="516" t="s">
        <v>1082</v>
      </c>
      <c r="D1455" s="516" t="s">
        <v>1084</v>
      </c>
      <c r="E1455" s="516" t="s">
        <v>4733</v>
      </c>
      <c r="F1455" s="515" t="s">
        <v>4734</v>
      </c>
      <c r="G1455" s="515" t="s">
        <v>4735</v>
      </c>
      <c r="H1455" s="515" t="s">
        <v>4736</v>
      </c>
      <c r="I1455" s="515" t="s">
        <v>4737</v>
      </c>
      <c r="J1455" s="515" t="s">
        <v>4828</v>
      </c>
      <c r="K1455" s="517" t="s">
        <v>7371</v>
      </c>
      <c r="L1455" s="515" t="s">
        <v>8634</v>
      </c>
      <c r="M1455" s="518" t="s">
        <v>7989</v>
      </c>
    </row>
    <row r="1456" spans="1:13" ht="15" customHeight="1">
      <c r="A1456" s="783" t="s">
        <v>12981</v>
      </c>
      <c r="B1456" s="515" t="s">
        <v>1397</v>
      </c>
      <c r="C1456" s="516" t="s">
        <v>1396</v>
      </c>
      <c r="D1456" s="516" t="s">
        <v>1398</v>
      </c>
      <c r="E1456" s="516" t="s">
        <v>5086</v>
      </c>
      <c r="F1456" s="515" t="s">
        <v>5087</v>
      </c>
      <c r="G1456" s="515" t="s">
        <v>5088</v>
      </c>
      <c r="H1456" s="515" t="s">
        <v>5089</v>
      </c>
      <c r="I1456" s="515" t="s">
        <v>5090</v>
      </c>
      <c r="J1456" s="515" t="s">
        <v>5091</v>
      </c>
      <c r="K1456" s="517" t="s">
        <v>7420</v>
      </c>
      <c r="L1456" s="515" t="s">
        <v>8683</v>
      </c>
      <c r="M1456" s="518" t="s">
        <v>8044</v>
      </c>
    </row>
    <row r="1457" spans="1:13" ht="15" customHeight="1">
      <c r="A1457" s="783" t="s">
        <v>12982</v>
      </c>
      <c r="B1457" s="515" t="s">
        <v>1083</v>
      </c>
      <c r="C1457" s="516" t="s">
        <v>1082</v>
      </c>
      <c r="D1457" s="516" t="s">
        <v>1084</v>
      </c>
      <c r="E1457" s="516" t="s">
        <v>4733</v>
      </c>
      <c r="F1457" s="515" t="s">
        <v>4734</v>
      </c>
      <c r="G1457" s="515" t="s">
        <v>4735</v>
      </c>
      <c r="H1457" s="515" t="s">
        <v>4736</v>
      </c>
      <c r="I1457" s="515" t="s">
        <v>4737</v>
      </c>
      <c r="J1457" s="515" t="s">
        <v>4828</v>
      </c>
      <c r="K1457" s="517" t="s">
        <v>7371</v>
      </c>
      <c r="L1457" s="515" t="s">
        <v>8634</v>
      </c>
      <c r="M1457" s="518" t="s">
        <v>7989</v>
      </c>
    </row>
    <row r="1458" spans="1:13" ht="15" customHeight="1">
      <c r="A1458" s="783" t="s">
        <v>12464</v>
      </c>
      <c r="B1458" s="515" t="s">
        <v>11827</v>
      </c>
      <c r="C1458" s="516" t="s">
        <v>11828</v>
      </c>
      <c r="D1458" s="516" t="s">
        <v>11828</v>
      </c>
      <c r="E1458" s="516" t="s">
        <v>11828</v>
      </c>
      <c r="F1458" s="515" t="s">
        <v>11828</v>
      </c>
      <c r="G1458" s="515" t="s">
        <v>11828</v>
      </c>
      <c r="H1458" s="515" t="s">
        <v>11828</v>
      </c>
      <c r="I1458" s="515" t="s">
        <v>11828</v>
      </c>
      <c r="J1458" s="515" t="s">
        <v>11828</v>
      </c>
      <c r="K1458" s="517" t="s">
        <v>11828</v>
      </c>
      <c r="L1458" s="515" t="s">
        <v>11828</v>
      </c>
      <c r="M1458" s="518" t="s">
        <v>11828</v>
      </c>
    </row>
    <row r="1459" spans="1:13" ht="15" customHeight="1">
      <c r="A1459" s="783" t="s">
        <v>12465</v>
      </c>
      <c r="B1459" s="515" t="s">
        <v>2535</v>
      </c>
      <c r="C1459" s="516" t="s">
        <v>358</v>
      </c>
      <c r="D1459" s="516" t="s">
        <v>360</v>
      </c>
      <c r="E1459" s="516" t="s">
        <v>3654</v>
      </c>
      <c r="F1459" s="515" t="s">
        <v>3655</v>
      </c>
      <c r="G1459" s="515" t="s">
        <v>4017</v>
      </c>
      <c r="H1459" s="515" t="s">
        <v>3654</v>
      </c>
      <c r="I1459" s="515" t="s">
        <v>4758</v>
      </c>
      <c r="J1459" s="515" t="s">
        <v>4757</v>
      </c>
      <c r="K1459" s="517" t="s">
        <v>7252</v>
      </c>
      <c r="L1459" s="515" t="s">
        <v>8468</v>
      </c>
      <c r="M1459" s="518" t="s">
        <v>7877</v>
      </c>
    </row>
    <row r="1460" spans="1:13" ht="15" customHeight="1">
      <c r="A1460" s="783" t="s">
        <v>12466</v>
      </c>
      <c r="B1460" s="515" t="s">
        <v>1035</v>
      </c>
      <c r="C1460" s="516" t="s">
        <v>1034</v>
      </c>
      <c r="D1460" s="516" t="s">
        <v>12130</v>
      </c>
      <c r="E1460" s="516" t="s">
        <v>4901</v>
      </c>
      <c r="F1460" s="515" t="s">
        <v>4792</v>
      </c>
      <c r="G1460" s="515" t="s">
        <v>11450</v>
      </c>
      <c r="H1460" s="515" t="s">
        <v>4794</v>
      </c>
      <c r="I1460" s="515" t="s">
        <v>4795</v>
      </c>
      <c r="J1460" s="515" t="s">
        <v>4796</v>
      </c>
      <c r="K1460" s="517" t="s">
        <v>7997</v>
      </c>
      <c r="L1460" s="515" t="s">
        <v>8642</v>
      </c>
      <c r="M1460" s="518" t="s">
        <v>7379</v>
      </c>
    </row>
    <row r="1461" spans="1:13" ht="15" customHeight="1">
      <c r="A1461" s="783" t="s">
        <v>12467</v>
      </c>
      <c r="B1461" s="515" t="s">
        <v>1207</v>
      </c>
      <c r="C1461" s="516" t="s">
        <v>1206</v>
      </c>
      <c r="D1461" s="516" t="s">
        <v>12243</v>
      </c>
      <c r="E1461" s="516" t="s">
        <v>4921</v>
      </c>
      <c r="F1461" s="515" t="s">
        <v>4922</v>
      </c>
      <c r="G1461" s="515" t="s">
        <v>11967</v>
      </c>
      <c r="H1461" s="515" t="s">
        <v>4924</v>
      </c>
      <c r="I1461" s="515" t="s">
        <v>12244</v>
      </c>
      <c r="J1461" s="515" t="s">
        <v>4926</v>
      </c>
      <c r="K1461" s="517" t="s">
        <v>8017</v>
      </c>
      <c r="L1461" s="515" t="s">
        <v>8661</v>
      </c>
      <c r="M1461" s="518" t="s">
        <v>7397</v>
      </c>
    </row>
    <row r="1462" spans="1:13" ht="15" customHeight="1">
      <c r="A1462" s="783" t="s">
        <v>12468</v>
      </c>
      <c r="B1462" s="515" t="s">
        <v>1207</v>
      </c>
      <c r="C1462" s="516" t="s">
        <v>1206</v>
      </c>
      <c r="D1462" s="516" t="s">
        <v>12243</v>
      </c>
      <c r="E1462" s="516" t="s">
        <v>4921</v>
      </c>
      <c r="F1462" s="515" t="s">
        <v>4922</v>
      </c>
      <c r="G1462" s="515" t="s">
        <v>11967</v>
      </c>
      <c r="H1462" s="515" t="s">
        <v>4924</v>
      </c>
      <c r="I1462" s="515" t="s">
        <v>12244</v>
      </c>
      <c r="J1462" s="515" t="s">
        <v>4926</v>
      </c>
      <c r="K1462" s="517" t="s">
        <v>8017</v>
      </c>
      <c r="L1462" s="515" t="s">
        <v>8661</v>
      </c>
      <c r="M1462" s="518" t="s">
        <v>7397</v>
      </c>
    </row>
    <row r="1463" spans="1:13" ht="15" customHeight="1">
      <c r="A1463" s="783" t="s">
        <v>12469</v>
      </c>
      <c r="B1463" s="515" t="s">
        <v>1213</v>
      </c>
      <c r="C1463" s="516" t="s">
        <v>1212</v>
      </c>
      <c r="D1463" s="516" t="s">
        <v>1214</v>
      </c>
      <c r="E1463" s="516" t="s">
        <v>4948</v>
      </c>
      <c r="F1463" s="515" t="s">
        <v>4949</v>
      </c>
      <c r="G1463" s="515" t="s">
        <v>4950</v>
      </c>
      <c r="H1463" s="515" t="s">
        <v>4951</v>
      </c>
      <c r="I1463" s="515" t="s">
        <v>4952</v>
      </c>
      <c r="J1463" s="515" t="s">
        <v>4953</v>
      </c>
      <c r="K1463" s="517" t="s">
        <v>7401</v>
      </c>
      <c r="L1463" s="515" t="s">
        <v>8665</v>
      </c>
      <c r="M1463" s="518" t="s">
        <v>8051</v>
      </c>
    </row>
    <row r="1464" spans="1:13" ht="15" customHeight="1">
      <c r="A1464" s="783" t="s">
        <v>12470</v>
      </c>
      <c r="B1464" s="515" t="s">
        <v>1213</v>
      </c>
      <c r="C1464" s="516" t="s">
        <v>1212</v>
      </c>
      <c r="D1464" s="516" t="s">
        <v>1214</v>
      </c>
      <c r="E1464" s="516" t="s">
        <v>4948</v>
      </c>
      <c r="F1464" s="515" t="s">
        <v>4949</v>
      </c>
      <c r="G1464" s="515" t="s">
        <v>4950</v>
      </c>
      <c r="H1464" s="515" t="s">
        <v>4951</v>
      </c>
      <c r="I1464" s="515" t="s">
        <v>4952</v>
      </c>
      <c r="J1464" s="515" t="s">
        <v>4953</v>
      </c>
      <c r="K1464" s="517" t="s">
        <v>7401</v>
      </c>
      <c r="L1464" s="515" t="s">
        <v>8665</v>
      </c>
      <c r="M1464" s="518" t="s">
        <v>8051</v>
      </c>
    </row>
    <row r="1465" spans="1:13" ht="15" customHeight="1">
      <c r="A1465" s="783" t="s">
        <v>12471</v>
      </c>
      <c r="B1465" s="515" t="s">
        <v>2543</v>
      </c>
      <c r="C1465" s="516" t="s">
        <v>2647</v>
      </c>
      <c r="D1465" s="516" t="s">
        <v>2701</v>
      </c>
      <c r="E1465" s="516" t="s">
        <v>5147</v>
      </c>
      <c r="F1465" s="515" t="s">
        <v>5148</v>
      </c>
      <c r="G1465" s="515" t="s">
        <v>5149</v>
      </c>
      <c r="H1465" s="515" t="s">
        <v>5147</v>
      </c>
      <c r="I1465" s="515" t="s">
        <v>5150</v>
      </c>
      <c r="J1465" s="515" t="s">
        <v>5151</v>
      </c>
      <c r="K1465" s="517" t="s">
        <v>7429</v>
      </c>
      <c r="L1465" s="515" t="s">
        <v>8690</v>
      </c>
      <c r="M1465" s="518" t="s">
        <v>8052</v>
      </c>
    </row>
    <row r="1466" spans="1:13" ht="15" customHeight="1">
      <c r="A1466" s="783" t="s">
        <v>12983</v>
      </c>
      <c r="B1466" s="515" t="s">
        <v>12984</v>
      </c>
      <c r="C1466" s="516" t="s">
        <v>12985</v>
      </c>
      <c r="D1466" s="516" t="s">
        <v>12986</v>
      </c>
      <c r="E1466" s="516" t="s">
        <v>12987</v>
      </c>
      <c r="F1466" s="515" t="s">
        <v>12988</v>
      </c>
      <c r="G1466" s="515" t="s">
        <v>12989</v>
      </c>
      <c r="H1466" s="515" t="s">
        <v>12990</v>
      </c>
      <c r="I1466" s="515" t="s">
        <v>12991</v>
      </c>
      <c r="J1466" s="515" t="s">
        <v>12992</v>
      </c>
      <c r="K1466" s="517" t="s">
        <v>12993</v>
      </c>
      <c r="L1466" s="515" t="s">
        <v>12994</v>
      </c>
      <c r="M1466" s="518" t="s">
        <v>12995</v>
      </c>
    </row>
    <row r="1467" spans="1:13" ht="15" customHeight="1">
      <c r="A1467" s="783" t="s">
        <v>12472</v>
      </c>
      <c r="B1467" s="515" t="s">
        <v>2535</v>
      </c>
      <c r="C1467" s="516" t="s">
        <v>358</v>
      </c>
      <c r="D1467" s="516" t="s">
        <v>360</v>
      </c>
      <c r="E1467" s="516" t="s">
        <v>3654</v>
      </c>
      <c r="F1467" s="515" t="s">
        <v>3655</v>
      </c>
      <c r="G1467" s="515" t="s">
        <v>4017</v>
      </c>
      <c r="H1467" s="515" t="s">
        <v>3654</v>
      </c>
      <c r="I1467" s="515" t="s">
        <v>4758</v>
      </c>
      <c r="J1467" s="515" t="s">
        <v>4757</v>
      </c>
      <c r="K1467" s="517" t="s">
        <v>7252</v>
      </c>
      <c r="L1467" s="515" t="s">
        <v>8468</v>
      </c>
      <c r="M1467" s="518" t="s">
        <v>7877</v>
      </c>
    </row>
    <row r="1468" spans="1:13" ht="15" customHeight="1">
      <c r="A1468" s="783" t="s">
        <v>12473</v>
      </c>
      <c r="B1468" s="515" t="s">
        <v>2535</v>
      </c>
      <c r="C1468" s="516" t="s">
        <v>358</v>
      </c>
      <c r="D1468" s="516" t="s">
        <v>360</v>
      </c>
      <c r="E1468" s="516" t="s">
        <v>3654</v>
      </c>
      <c r="F1468" s="515" t="s">
        <v>3655</v>
      </c>
      <c r="G1468" s="515" t="s">
        <v>4017</v>
      </c>
      <c r="H1468" s="515" t="s">
        <v>3654</v>
      </c>
      <c r="I1468" s="515" t="s">
        <v>4758</v>
      </c>
      <c r="J1468" s="515" t="s">
        <v>4757</v>
      </c>
      <c r="K1468" s="517" t="s">
        <v>7252</v>
      </c>
      <c r="L1468" s="515" t="s">
        <v>8468</v>
      </c>
      <c r="M1468" s="518" t="s">
        <v>7877</v>
      </c>
    </row>
    <row r="1469" spans="1:13" ht="15" customHeight="1">
      <c r="A1469" s="783" t="s">
        <v>12474</v>
      </c>
      <c r="B1469" s="515" t="s">
        <v>2535</v>
      </c>
      <c r="C1469" s="516" t="s">
        <v>358</v>
      </c>
      <c r="D1469" s="516" t="s">
        <v>360</v>
      </c>
      <c r="E1469" s="516" t="s">
        <v>3654</v>
      </c>
      <c r="F1469" s="515" t="s">
        <v>3655</v>
      </c>
      <c r="G1469" s="515" t="s">
        <v>4017</v>
      </c>
      <c r="H1469" s="515" t="s">
        <v>3654</v>
      </c>
      <c r="I1469" s="515" t="s">
        <v>4758</v>
      </c>
      <c r="J1469" s="515" t="s">
        <v>4757</v>
      </c>
      <c r="K1469" s="517" t="s">
        <v>7252</v>
      </c>
      <c r="L1469" s="515" t="s">
        <v>8468</v>
      </c>
      <c r="M1469" s="518" t="s">
        <v>7877</v>
      </c>
    </row>
    <row r="1470" spans="1:13" ht="15" customHeight="1">
      <c r="A1470" s="783" t="s">
        <v>12475</v>
      </c>
      <c r="B1470" s="515" t="s">
        <v>2535</v>
      </c>
      <c r="C1470" s="516" t="s">
        <v>358</v>
      </c>
      <c r="D1470" s="516" t="s">
        <v>360</v>
      </c>
      <c r="E1470" s="516" t="s">
        <v>3654</v>
      </c>
      <c r="F1470" s="515" t="s">
        <v>3655</v>
      </c>
      <c r="G1470" s="515" t="s">
        <v>4017</v>
      </c>
      <c r="H1470" s="515" t="s">
        <v>3654</v>
      </c>
      <c r="I1470" s="515" t="s">
        <v>4758</v>
      </c>
      <c r="J1470" s="515" t="s">
        <v>4757</v>
      </c>
      <c r="K1470" s="517" t="s">
        <v>7252</v>
      </c>
      <c r="L1470" s="515" t="s">
        <v>8468</v>
      </c>
      <c r="M1470" s="518" t="s">
        <v>7877</v>
      </c>
    </row>
    <row r="1471" spans="1:13" ht="15" customHeight="1">
      <c r="A1471" s="783" t="s">
        <v>12476</v>
      </c>
      <c r="B1471" s="515" t="s">
        <v>2535</v>
      </c>
      <c r="C1471" s="516" t="s">
        <v>358</v>
      </c>
      <c r="D1471" s="516" t="s">
        <v>360</v>
      </c>
      <c r="E1471" s="516" t="s">
        <v>3654</v>
      </c>
      <c r="F1471" s="515" t="s">
        <v>3655</v>
      </c>
      <c r="G1471" s="515" t="s">
        <v>4017</v>
      </c>
      <c r="H1471" s="515" t="s">
        <v>3654</v>
      </c>
      <c r="I1471" s="515" t="s">
        <v>4758</v>
      </c>
      <c r="J1471" s="515" t="s">
        <v>4757</v>
      </c>
      <c r="K1471" s="517" t="s">
        <v>7252</v>
      </c>
      <c r="L1471" s="515" t="s">
        <v>8468</v>
      </c>
      <c r="M1471" s="518" t="s">
        <v>7877</v>
      </c>
    </row>
    <row r="1472" spans="1:13" ht="15" customHeight="1">
      <c r="A1472" s="783" t="s">
        <v>12477</v>
      </c>
      <c r="B1472" s="515" t="s">
        <v>1275</v>
      </c>
      <c r="C1472" s="516" t="s">
        <v>706</v>
      </c>
      <c r="D1472" s="516" t="s">
        <v>708</v>
      </c>
      <c r="E1472" s="516" t="s">
        <v>4379</v>
      </c>
      <c r="F1472" s="515" t="s">
        <v>4380</v>
      </c>
      <c r="G1472" s="515" t="s">
        <v>4760</v>
      </c>
      <c r="H1472" s="515" t="s">
        <v>4382</v>
      </c>
      <c r="I1472" s="515" t="s">
        <v>4761</v>
      </c>
      <c r="J1472" s="515" t="s">
        <v>4384</v>
      </c>
      <c r="K1472" s="517" t="s">
        <v>7361</v>
      </c>
      <c r="L1472" s="515" t="s">
        <v>8577</v>
      </c>
      <c r="M1472" s="518" t="s">
        <v>7927</v>
      </c>
    </row>
    <row r="1473" spans="1:13" ht="15" customHeight="1">
      <c r="A1473" s="783" t="s">
        <v>12478</v>
      </c>
      <c r="B1473" s="515" t="s">
        <v>11457</v>
      </c>
      <c r="C1473" s="516" t="s">
        <v>11458</v>
      </c>
      <c r="D1473" s="516" t="s">
        <v>11459</v>
      </c>
      <c r="E1473" s="516" t="s">
        <v>11460</v>
      </c>
      <c r="F1473" s="515" t="s">
        <v>11461</v>
      </c>
      <c r="G1473" s="515" t="s">
        <v>11462</v>
      </c>
      <c r="H1473" s="515" t="s">
        <v>11463</v>
      </c>
      <c r="I1473" s="515" t="s">
        <v>11464</v>
      </c>
      <c r="J1473" s="515" t="s">
        <v>11465</v>
      </c>
      <c r="K1473" s="517" t="s">
        <v>11466</v>
      </c>
      <c r="L1473" s="515" t="s">
        <v>11467</v>
      </c>
      <c r="M1473" s="518" t="s">
        <v>11468</v>
      </c>
    </row>
    <row r="1474" spans="1:13" ht="15" customHeight="1">
      <c r="A1474" s="783" t="s">
        <v>12479</v>
      </c>
      <c r="B1474" s="515" t="s">
        <v>11457</v>
      </c>
      <c r="C1474" s="516" t="s">
        <v>11458</v>
      </c>
      <c r="D1474" s="516" t="s">
        <v>11459</v>
      </c>
      <c r="E1474" s="516" t="s">
        <v>11460</v>
      </c>
      <c r="F1474" s="515" t="s">
        <v>11461</v>
      </c>
      <c r="G1474" s="515" t="s">
        <v>11462</v>
      </c>
      <c r="H1474" s="515" t="s">
        <v>11463</v>
      </c>
      <c r="I1474" s="515" t="s">
        <v>11464</v>
      </c>
      <c r="J1474" s="515" t="s">
        <v>11465</v>
      </c>
      <c r="K1474" s="517" t="s">
        <v>11466</v>
      </c>
      <c r="L1474" s="515" t="s">
        <v>11467</v>
      </c>
      <c r="M1474" s="518" t="s">
        <v>11468</v>
      </c>
    </row>
    <row r="1475" spans="1:13" ht="15" customHeight="1">
      <c r="A1475" s="783" t="s">
        <v>12480</v>
      </c>
      <c r="B1475" s="515" t="s">
        <v>11445</v>
      </c>
      <c r="C1475" s="516" t="s">
        <v>11446</v>
      </c>
      <c r="D1475" s="516" t="s">
        <v>11447</v>
      </c>
      <c r="E1475" s="516" t="s">
        <v>11448</v>
      </c>
      <c r="F1475" s="515" t="s">
        <v>11449</v>
      </c>
      <c r="G1475" s="515" t="s">
        <v>11450</v>
      </c>
      <c r="H1475" s="515" t="s">
        <v>11451</v>
      </c>
      <c r="I1475" s="515" t="s">
        <v>11452</v>
      </c>
      <c r="J1475" s="515" t="s">
        <v>11453</v>
      </c>
      <c r="K1475" s="517" t="s">
        <v>11454</v>
      </c>
      <c r="L1475" s="515" t="s">
        <v>11455</v>
      </c>
      <c r="M1475" s="518" t="s">
        <v>11456</v>
      </c>
    </row>
    <row r="1476" spans="1:13" ht="15" customHeight="1">
      <c r="A1476" s="783" t="s">
        <v>12481</v>
      </c>
      <c r="B1476" s="515" t="s">
        <v>11445</v>
      </c>
      <c r="C1476" s="516" t="s">
        <v>11446</v>
      </c>
      <c r="D1476" s="516" t="s">
        <v>11447</v>
      </c>
      <c r="E1476" s="516" t="s">
        <v>11448</v>
      </c>
      <c r="F1476" s="515" t="s">
        <v>11449</v>
      </c>
      <c r="G1476" s="515" t="s">
        <v>11450</v>
      </c>
      <c r="H1476" s="515" t="s">
        <v>11451</v>
      </c>
      <c r="I1476" s="515" t="s">
        <v>11452</v>
      </c>
      <c r="J1476" s="515" t="s">
        <v>11453</v>
      </c>
      <c r="K1476" s="517" t="s">
        <v>11454</v>
      </c>
      <c r="L1476" s="515" t="s">
        <v>11455</v>
      </c>
      <c r="M1476" s="518" t="s">
        <v>11456</v>
      </c>
    </row>
    <row r="1477" spans="1:13" ht="15" customHeight="1">
      <c r="A1477" s="783" t="s">
        <v>12482</v>
      </c>
      <c r="B1477" s="515" t="s">
        <v>11445</v>
      </c>
      <c r="C1477" s="516" t="s">
        <v>11446</v>
      </c>
      <c r="D1477" s="516" t="s">
        <v>11447</v>
      </c>
      <c r="E1477" s="516" t="s">
        <v>11448</v>
      </c>
      <c r="F1477" s="515" t="s">
        <v>11449</v>
      </c>
      <c r="G1477" s="515" t="s">
        <v>11450</v>
      </c>
      <c r="H1477" s="515" t="s">
        <v>11451</v>
      </c>
      <c r="I1477" s="515" t="s">
        <v>11452</v>
      </c>
      <c r="J1477" s="515" t="s">
        <v>11453</v>
      </c>
      <c r="K1477" s="517" t="s">
        <v>11454</v>
      </c>
      <c r="L1477" s="515" t="s">
        <v>11455</v>
      </c>
      <c r="M1477" s="518" t="s">
        <v>11456</v>
      </c>
    </row>
    <row r="1478" spans="1:13" ht="15" customHeight="1">
      <c r="A1478" s="783" t="s">
        <v>12483</v>
      </c>
      <c r="B1478" s="515" t="s">
        <v>11445</v>
      </c>
      <c r="C1478" s="516" t="s">
        <v>11446</v>
      </c>
      <c r="D1478" s="516" t="s">
        <v>11447</v>
      </c>
      <c r="E1478" s="516" t="s">
        <v>11448</v>
      </c>
      <c r="F1478" s="515" t="s">
        <v>11449</v>
      </c>
      <c r="G1478" s="515" t="s">
        <v>11450</v>
      </c>
      <c r="H1478" s="515" t="s">
        <v>11451</v>
      </c>
      <c r="I1478" s="515" t="s">
        <v>11452</v>
      </c>
      <c r="J1478" s="515" t="s">
        <v>11453</v>
      </c>
      <c r="K1478" s="517" t="s">
        <v>11454</v>
      </c>
      <c r="L1478" s="515" t="s">
        <v>11455</v>
      </c>
      <c r="M1478" s="518" t="s">
        <v>11456</v>
      </c>
    </row>
    <row r="1479" spans="1:13" ht="15" customHeight="1">
      <c r="A1479" s="783" t="s">
        <v>12484</v>
      </c>
      <c r="B1479" s="515" t="s">
        <v>11445</v>
      </c>
      <c r="C1479" s="516" t="s">
        <v>11446</v>
      </c>
      <c r="D1479" s="516" t="s">
        <v>11447</v>
      </c>
      <c r="E1479" s="516" t="s">
        <v>11448</v>
      </c>
      <c r="F1479" s="515" t="s">
        <v>11449</v>
      </c>
      <c r="G1479" s="515" t="s">
        <v>11450</v>
      </c>
      <c r="H1479" s="515" t="s">
        <v>11451</v>
      </c>
      <c r="I1479" s="515" t="s">
        <v>11452</v>
      </c>
      <c r="J1479" s="515" t="s">
        <v>11453</v>
      </c>
      <c r="K1479" s="517" t="s">
        <v>11454</v>
      </c>
      <c r="L1479" s="515" t="s">
        <v>11455</v>
      </c>
      <c r="M1479" s="518" t="s">
        <v>11456</v>
      </c>
    </row>
    <row r="1480" spans="1:13" ht="15" customHeight="1">
      <c r="A1480" s="783" t="s">
        <v>12485</v>
      </c>
      <c r="B1480" s="515" t="s">
        <v>11469</v>
      </c>
      <c r="C1480" s="516" t="s">
        <v>11470</v>
      </c>
      <c r="D1480" s="516" t="s">
        <v>11471</v>
      </c>
      <c r="E1480" s="516" t="s">
        <v>11472</v>
      </c>
      <c r="F1480" s="515" t="s">
        <v>11473</v>
      </c>
      <c r="G1480" s="515" t="s">
        <v>11474</v>
      </c>
      <c r="H1480" s="515" t="s">
        <v>11475</v>
      </c>
      <c r="I1480" s="515" t="s">
        <v>11476</v>
      </c>
      <c r="J1480" s="515" t="s">
        <v>11477</v>
      </c>
      <c r="K1480" s="517" t="s">
        <v>11478</v>
      </c>
      <c r="L1480" s="515" t="s">
        <v>11479</v>
      </c>
      <c r="M1480" s="518" t="s">
        <v>11480</v>
      </c>
    </row>
    <row r="1481" spans="1:13" ht="15" customHeight="1">
      <c r="A1481" s="783" t="s">
        <v>12486</v>
      </c>
      <c r="B1481" s="515" t="s">
        <v>1083</v>
      </c>
      <c r="C1481" s="516" t="s">
        <v>11530</v>
      </c>
      <c r="D1481" s="516" t="s">
        <v>11531</v>
      </c>
      <c r="E1481" s="516" t="s">
        <v>11532</v>
      </c>
      <c r="F1481" s="515" t="s">
        <v>11533</v>
      </c>
      <c r="G1481" s="515" t="s">
        <v>11534</v>
      </c>
      <c r="H1481" s="515" t="s">
        <v>11535</v>
      </c>
      <c r="I1481" s="515" t="s">
        <v>11536</v>
      </c>
      <c r="J1481" s="515" t="s">
        <v>11537</v>
      </c>
      <c r="K1481" s="517" t="s">
        <v>11538</v>
      </c>
      <c r="L1481" s="515" t="s">
        <v>11539</v>
      </c>
      <c r="M1481" s="518" t="s">
        <v>11540</v>
      </c>
    </row>
    <row r="1482" spans="1:13" ht="15" customHeight="1">
      <c r="A1482" s="783" t="s">
        <v>12487</v>
      </c>
      <c r="B1482" s="515" t="s">
        <v>1083</v>
      </c>
      <c r="C1482" s="516" t="s">
        <v>11530</v>
      </c>
      <c r="D1482" s="516" t="s">
        <v>11531</v>
      </c>
      <c r="E1482" s="516" t="s">
        <v>11532</v>
      </c>
      <c r="F1482" s="515" t="s">
        <v>11533</v>
      </c>
      <c r="G1482" s="515" t="s">
        <v>11534</v>
      </c>
      <c r="H1482" s="515" t="s">
        <v>11535</v>
      </c>
      <c r="I1482" s="515" t="s">
        <v>11536</v>
      </c>
      <c r="J1482" s="515" t="s">
        <v>11537</v>
      </c>
      <c r="K1482" s="517" t="s">
        <v>11538</v>
      </c>
      <c r="L1482" s="515" t="s">
        <v>11539</v>
      </c>
      <c r="M1482" s="518" t="s">
        <v>11540</v>
      </c>
    </row>
    <row r="1483" spans="1:13" ht="15" customHeight="1">
      <c r="A1483" s="808" t="s">
        <v>15096</v>
      </c>
      <c r="B1483" s="809" t="s">
        <v>15100</v>
      </c>
      <c r="C1483" s="809" t="s">
        <v>15100</v>
      </c>
      <c r="D1483" s="809" t="s">
        <v>15100</v>
      </c>
      <c r="E1483" s="809" t="s">
        <v>15100</v>
      </c>
      <c r="F1483" s="809" t="s">
        <v>15100</v>
      </c>
      <c r="G1483" s="809" t="s">
        <v>15100</v>
      </c>
      <c r="H1483" s="809" t="s">
        <v>15100</v>
      </c>
      <c r="I1483" s="809" t="s">
        <v>15100</v>
      </c>
      <c r="J1483" s="809" t="s">
        <v>15100</v>
      </c>
      <c r="K1483" s="809" t="s">
        <v>15100</v>
      </c>
      <c r="L1483" s="809" t="s">
        <v>15100</v>
      </c>
      <c r="M1483" s="809" t="s">
        <v>15100</v>
      </c>
    </row>
    <row r="1484" spans="1:13" ht="15" customHeight="1">
      <c r="A1484" s="808" t="s">
        <v>15094</v>
      </c>
      <c r="B1484" s="99" t="s">
        <v>2507</v>
      </c>
      <c r="C1484" t="s">
        <v>2604</v>
      </c>
      <c r="D1484" t="s">
        <v>2604</v>
      </c>
      <c r="E1484" t="s">
        <v>2604</v>
      </c>
      <c r="F1484" t="s">
        <v>2604</v>
      </c>
      <c r="G1484" t="s">
        <v>2604</v>
      </c>
      <c r="H1484" t="s">
        <v>2604</v>
      </c>
      <c r="I1484" t="s">
        <v>2604</v>
      </c>
      <c r="J1484" t="s">
        <v>2604</v>
      </c>
      <c r="K1484" t="s">
        <v>2604</v>
      </c>
      <c r="L1484" t="s">
        <v>2604</v>
      </c>
      <c r="M1484" t="s">
        <v>2604</v>
      </c>
    </row>
  </sheetData>
  <conditionalFormatting sqref="A1:A1048576">
    <cfRule type="duplicateValues" dxfId="2" priority="19128"/>
  </conditionalFormatting>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D6C7F-5185-4BA6-8546-8C7EAF3E8A86}">
  <sheetPr codeName="List7">
    <tabColor theme="1"/>
  </sheetPr>
  <dimension ref="A1:AW1100"/>
  <sheetViews>
    <sheetView workbookViewId="0">
      <pane xSplit="1" ySplit="3" topLeftCell="B4" activePane="bottomRight" state="frozen"/>
      <selection pane="topRight" activeCell="B1" sqref="B1"/>
      <selection pane="bottomLeft" activeCell="A4" sqref="A4"/>
      <selection pane="bottomRight" activeCell="Q44" sqref="Q44"/>
    </sheetView>
  </sheetViews>
  <sheetFormatPr defaultRowHeight="15" customHeight="1"/>
  <cols>
    <col min="1" max="1" width="2.28515625" customWidth="1"/>
    <col min="2" max="2" width="8.28515625" customWidth="1"/>
    <col min="3" max="3" width="8.7109375" customWidth="1"/>
    <col min="4" max="4" width="6" customWidth="1"/>
    <col min="5" max="6" width="5.5703125" customWidth="1"/>
    <col min="7" max="7" width="5" customWidth="1"/>
    <col min="8" max="8" width="4" customWidth="1"/>
    <col min="9" max="9" width="10.85546875" customWidth="1"/>
    <col min="10" max="10" width="7.42578125" customWidth="1"/>
    <col min="11" max="11" width="9.140625" customWidth="1"/>
    <col min="12" max="12" width="13.5703125" customWidth="1"/>
    <col min="13" max="17" width="9.140625" customWidth="1"/>
    <col min="23" max="23" width="12.7109375" customWidth="1"/>
    <col min="27" max="29" width="0" hidden="1" customWidth="1"/>
    <col min="34" max="39" width="9.140625" hidden="1" customWidth="1"/>
  </cols>
  <sheetData>
    <row r="1" spans="1:49" ht="15.75" thickBot="1">
      <c r="A1" s="91"/>
      <c r="B1" s="42"/>
      <c r="C1" s="43"/>
      <c r="D1" s="43">
        <v>1</v>
      </c>
      <c r="E1" s="43">
        <v>2</v>
      </c>
      <c r="F1" s="43">
        <v>3</v>
      </c>
      <c r="G1" s="43">
        <v>4</v>
      </c>
      <c r="H1" s="43">
        <v>5</v>
      </c>
      <c r="I1" s="43">
        <v>6</v>
      </c>
      <c r="J1" s="43">
        <v>7</v>
      </c>
      <c r="K1" s="43">
        <v>8</v>
      </c>
      <c r="L1" s="43">
        <v>9</v>
      </c>
      <c r="M1" s="43">
        <v>10</v>
      </c>
      <c r="N1" s="43">
        <v>11</v>
      </c>
      <c r="O1" s="43">
        <v>12</v>
      </c>
      <c r="P1" s="43">
        <v>13</v>
      </c>
      <c r="Q1" s="43">
        <v>14</v>
      </c>
      <c r="R1" s="43">
        <v>15</v>
      </c>
      <c r="S1" s="43">
        <v>16</v>
      </c>
      <c r="T1" s="43">
        <v>17</v>
      </c>
      <c r="U1" s="43">
        <v>18</v>
      </c>
      <c r="V1" s="43">
        <v>19</v>
      </c>
      <c r="W1" s="43">
        <v>20</v>
      </c>
      <c r="X1" s="43">
        <v>21</v>
      </c>
      <c r="Y1" s="43">
        <v>22</v>
      </c>
      <c r="Z1" s="43">
        <v>23</v>
      </c>
      <c r="AA1" s="43">
        <v>24</v>
      </c>
      <c r="AB1" s="43">
        <v>25</v>
      </c>
      <c r="AC1" s="43">
        <v>26</v>
      </c>
      <c r="AD1" s="43">
        <v>27</v>
      </c>
      <c r="AE1" s="43">
        <v>28</v>
      </c>
      <c r="AF1" s="43">
        <v>29</v>
      </c>
      <c r="AG1" s="43">
        <v>30</v>
      </c>
      <c r="AH1" s="43">
        <v>31</v>
      </c>
      <c r="AI1" s="43">
        <v>32</v>
      </c>
      <c r="AJ1" s="43">
        <v>33</v>
      </c>
      <c r="AK1" s="43">
        <v>34</v>
      </c>
      <c r="AL1" s="43">
        <v>35</v>
      </c>
      <c r="AM1" s="43"/>
      <c r="AN1" s="43"/>
      <c r="AO1" s="43"/>
      <c r="AP1" s="43"/>
      <c r="AQ1" s="43"/>
      <c r="AR1" s="43"/>
      <c r="AS1" s="43"/>
      <c r="AT1" s="43"/>
      <c r="AU1" s="43"/>
      <c r="AV1" s="43"/>
      <c r="AW1" s="43"/>
    </row>
    <row r="2" spans="1:49" ht="16.5" thickTop="1" thickBot="1">
      <c r="A2" s="5"/>
      <c r="B2" s="44" t="s">
        <v>2139</v>
      </c>
      <c r="C2" s="10" t="s">
        <v>6469</v>
      </c>
      <c r="D2" s="10" t="s">
        <v>6470</v>
      </c>
      <c r="E2" s="10" t="s">
        <v>6471</v>
      </c>
      <c r="F2" s="933" t="s">
        <v>6472</v>
      </c>
      <c r="G2" s="934"/>
      <c r="H2" s="935"/>
      <c r="I2" s="10" t="s">
        <v>6473</v>
      </c>
      <c r="J2" s="10" t="s">
        <v>6474</v>
      </c>
      <c r="K2" s="67"/>
      <c r="L2" s="5"/>
      <c r="M2" s="10" t="s">
        <v>6475</v>
      </c>
      <c r="N2" s="10" t="s">
        <v>6476</v>
      </c>
      <c r="O2" s="10" t="s">
        <v>6477</v>
      </c>
      <c r="P2" s="10" t="s">
        <v>6478</v>
      </c>
      <c r="Q2" s="10" t="s">
        <v>6479</v>
      </c>
      <c r="R2" s="936" t="s">
        <v>6480</v>
      </c>
      <c r="S2" s="937"/>
      <c r="T2" s="937"/>
      <c r="U2" s="937"/>
      <c r="V2" s="937"/>
      <c r="W2" s="937"/>
      <c r="X2" s="937"/>
      <c r="Y2" s="937"/>
      <c r="Z2" s="937"/>
      <c r="AA2" s="937"/>
      <c r="AB2" s="938"/>
      <c r="AD2" s="945" t="s">
        <v>6481</v>
      </c>
      <c r="AE2" s="946"/>
      <c r="AF2" s="945" t="s">
        <v>6482</v>
      </c>
      <c r="AG2" s="946"/>
      <c r="AH2" s="5"/>
      <c r="AI2" s="5"/>
      <c r="AJ2" s="5"/>
      <c r="AK2" s="5"/>
      <c r="AL2" s="5"/>
      <c r="AM2" s="5"/>
      <c r="AN2" s="5"/>
      <c r="AO2" s="5"/>
      <c r="AP2" s="5"/>
      <c r="AQ2" s="5"/>
      <c r="AR2" s="5"/>
      <c r="AS2" s="5"/>
      <c r="AT2" s="5"/>
      <c r="AU2" s="5"/>
      <c r="AV2" s="5"/>
      <c r="AW2" s="5"/>
    </row>
    <row r="3" spans="1:49" ht="15.75" thickTop="1">
      <c r="A3" s="5"/>
      <c r="B3" s="11" t="s">
        <v>2140</v>
      </c>
      <c r="C3" s="10" t="s">
        <v>6483</v>
      </c>
      <c r="D3" s="10" t="s">
        <v>6484</v>
      </c>
      <c r="E3" s="10" t="s">
        <v>6485</v>
      </c>
      <c r="F3" s="10" t="s">
        <v>6486</v>
      </c>
      <c r="G3" s="10" t="s">
        <v>6487</v>
      </c>
      <c r="H3" s="10" t="s">
        <v>6488</v>
      </c>
      <c r="I3" s="10" t="s">
        <v>6489</v>
      </c>
      <c r="J3" s="10" t="s">
        <v>10936</v>
      </c>
      <c r="K3" s="5"/>
      <c r="L3" s="5"/>
      <c r="M3" s="10" t="s">
        <v>6490</v>
      </c>
      <c r="N3" s="10" t="s">
        <v>6491</v>
      </c>
      <c r="O3" s="10" t="s">
        <v>6492</v>
      </c>
      <c r="P3" s="10" t="s">
        <v>6493</v>
      </c>
      <c r="Q3" s="46" t="s">
        <v>6494</v>
      </c>
      <c r="R3" s="47" t="s">
        <v>6495</v>
      </c>
      <c r="S3" s="45" t="s">
        <v>6496</v>
      </c>
      <c r="T3" s="45" t="s">
        <v>6497</v>
      </c>
      <c r="U3" s="45" t="s">
        <v>6498</v>
      </c>
      <c r="V3" s="45" t="s">
        <v>6499</v>
      </c>
      <c r="W3" s="45" t="s">
        <v>6500</v>
      </c>
      <c r="X3" s="939" t="s">
        <v>6501</v>
      </c>
      <c r="Y3" s="939"/>
      <c r="Z3" s="939"/>
      <c r="AA3" s="45" t="s">
        <v>6502</v>
      </c>
      <c r="AB3" s="45" t="s">
        <v>6502</v>
      </c>
      <c r="AC3" s="45" t="s">
        <v>2</v>
      </c>
      <c r="AD3" s="45" t="s">
        <v>6503</v>
      </c>
      <c r="AE3" s="45" t="s">
        <v>6544</v>
      </c>
      <c r="AF3" s="45" t="s">
        <v>6503</v>
      </c>
      <c r="AG3" s="10" t="s">
        <v>6544</v>
      </c>
      <c r="AH3" s="5"/>
      <c r="AI3" s="5"/>
      <c r="AJ3" s="5"/>
      <c r="AK3" s="5"/>
      <c r="AL3" s="5"/>
      <c r="AM3" s="5"/>
      <c r="AN3" s="5"/>
      <c r="AO3" s="5"/>
      <c r="AP3" s="5"/>
      <c r="AQ3" s="5"/>
      <c r="AR3" s="5"/>
      <c r="AS3" s="5"/>
      <c r="AT3" s="5"/>
      <c r="AU3" s="5"/>
      <c r="AV3" s="5"/>
      <c r="AW3" s="5"/>
    </row>
    <row r="4" spans="1:49" ht="15.75" thickBot="1">
      <c r="A4" s="5"/>
      <c r="B4" s="12" t="str">
        <f>'General price list'!C22</f>
        <v>BK1P</v>
      </c>
      <c r="C4" s="1" t="str">
        <f>IFERROR(VLOOKUP(B4,'General price list'!C:BA,MATCH("PAL",'General price list'!$C$20:$BA$20,0),FALSE),"")</f>
        <v/>
      </c>
      <c r="D4" s="1">
        <f>IFERROR(VLOOKUP(B4,'General price list'!C:BA,MATCH("OBJ",'General price list'!$C$20:$BA$20,0),FALSE),"")</f>
        <v>0</v>
      </c>
      <c r="E4" s="1">
        <f>IFERROR(D4/C4,0)</f>
        <v>0</v>
      </c>
      <c r="F4" s="1">
        <f>IFERROR(FLOOR(IF(E4-1&lt;0,0,E4),1),0)</f>
        <v>0</v>
      </c>
      <c r="G4" s="1">
        <f>IFERROR(IF(H4&gt;E4,F4-E4,E4-F4),0)</f>
        <v>0</v>
      </c>
      <c r="H4" s="1">
        <f>IFERROR(IF(E4=0,0,F4),0)</f>
        <v>0</v>
      </c>
      <c r="I4" s="1">
        <f t="shared" ref="I4" si="0">IFERROR(IF(D4=0,0,IF(F4=0,(D4*nextVK)+(prvniVK-nextVK),(G4*C4*nextVK)+(F4*PALzKoje))),0)</f>
        <v>0</v>
      </c>
      <c r="J4">
        <f>IFERROR(IF(C4="",VLOOKUP(B4,'General price list'!C:BA,MATCH("CBM",'General price list'!$C$20:$BA$20,0),FALSE)*D4,VLOOKUP(B4,'General price list'!C:BA,MATCH("CBM",'General price list'!$C$20:$BA$20,0),FALSE)*(G4*C4)),0)</f>
        <v>0</v>
      </c>
      <c r="K4" s="5"/>
      <c r="L4" s="48" t="s">
        <v>6504</v>
      </c>
      <c r="M4" s="49">
        <f>SUM(I4:I1100)</f>
        <v>0</v>
      </c>
      <c r="N4" s="49">
        <f>SUM(J4:J1100)</f>
        <v>0</v>
      </c>
      <c r="O4" s="49">
        <f>CEILING(N4/AC5,1)</f>
        <v>0</v>
      </c>
      <c r="P4" s="49">
        <f>SUM(H4:H1100)</f>
        <v>0</v>
      </c>
      <c r="Q4" s="49">
        <f>O4+P4</f>
        <v>0</v>
      </c>
      <c r="R4" s="45" t="s">
        <v>6505</v>
      </c>
      <c r="S4" s="45"/>
      <c r="T4" s="45" t="s">
        <v>6506</v>
      </c>
      <c r="U4" s="45" t="s">
        <v>6507</v>
      </c>
      <c r="V4" s="45" t="s">
        <v>6508</v>
      </c>
      <c r="W4" s="45" t="s">
        <v>6509</v>
      </c>
      <c r="X4" s="45" t="s">
        <v>6510</v>
      </c>
      <c r="Y4" s="45" t="s">
        <v>6511</v>
      </c>
      <c r="Z4" s="45" t="s">
        <v>2801</v>
      </c>
      <c r="AA4" s="45" t="s">
        <v>6512</v>
      </c>
      <c r="AB4" s="45" t="s">
        <v>6513</v>
      </c>
      <c r="AC4" s="45" t="s">
        <v>6514</v>
      </c>
      <c r="AD4" s="77" t="s">
        <v>6515</v>
      </c>
      <c r="AE4" s="77" t="s">
        <v>6545</v>
      </c>
      <c r="AF4" s="77" t="s">
        <v>6515</v>
      </c>
      <c r="AG4" s="78" t="s">
        <v>6545</v>
      </c>
      <c r="AH4" s="5"/>
      <c r="AI4" s="5"/>
      <c r="AJ4" s="5"/>
      <c r="AK4" s="5"/>
      <c r="AL4" s="5"/>
      <c r="AM4" s="5"/>
      <c r="AN4" s="5"/>
      <c r="AO4" s="5"/>
      <c r="AP4" s="5"/>
      <c r="AQ4" s="5"/>
      <c r="AR4" s="5"/>
      <c r="AS4" s="5"/>
      <c r="AT4" s="5"/>
      <c r="AU4" s="5"/>
      <c r="AV4" s="5"/>
      <c r="AW4" s="5"/>
    </row>
    <row r="5" spans="1:49" ht="15.75" thickBot="1">
      <c r="A5" s="5"/>
      <c r="B5" s="790" t="str">
        <f>IF(B4="PAL","",'General price list'!C23)</f>
        <v>BK1P(1)</v>
      </c>
      <c r="C5" s="1" t="str">
        <f>IF(B5="PAL","",IFERROR(VLOOKUP(B5,'General price list'!C:BA,MATCH("PAL",'General price list'!$C$20:$BA$20,0),FALSE),""))</f>
        <v/>
      </c>
      <c r="D5" s="1">
        <f>IF(B5="PAL","",IFERROR(VLOOKUP(B5,'General price list'!C:BA,MATCH("OBJ",'General price list'!$C$20:$BA$20,0),FALSE),""))</f>
        <v>0</v>
      </c>
      <c r="E5" s="1">
        <f t="shared" ref="E5" si="1">IF(B5="PAL","",IFERROR(D5/C5,0))</f>
        <v>0</v>
      </c>
      <c r="F5" s="1">
        <f t="shared" ref="F5" si="2">IF(B5="PAL","",IFERROR(FLOOR(IF(E5-1&lt;0,0,E5),1),0))</f>
        <v>0</v>
      </c>
      <c r="G5" s="1">
        <f t="shared" ref="G5" si="3">IF(B5="PAL","",IFERROR(IF(H5&gt;E5,F5-E5,E5-F5),0))</f>
        <v>0</v>
      </c>
      <c r="H5" s="1">
        <f t="shared" ref="H5" si="4">IF(B5="PAL","",IFERROR(IF(E5=0,0,F5),0))</f>
        <v>0</v>
      </c>
      <c r="I5" s="1">
        <f t="shared" ref="I5" si="5">IF(B5="PAL","",IFERROR(IF(D5=0,0,IF(F5=0,(D5*nextVK)+(prvniVK-nextVK),(G5*C5*nextVK)+(F5*PALzKoje))),0))</f>
        <v>0</v>
      </c>
      <c r="J5">
        <f>IF(B5="PAL","",IFERROR(IF(C5="",VLOOKUP(B5,'General price list'!C:BA,MATCH("CBM",'General price list'!$C$20:$BA$20,0),FALSE)*D5,VLOOKUP(B5,'General price list'!C:BA,MATCH("CBM",'General price list'!$C$20:$BA$20,0),FALSE)*(G5*C5)),0))</f>
        <v>0</v>
      </c>
      <c r="K5" s="5"/>
      <c r="L5" s="48" t="s">
        <v>6516</v>
      </c>
      <c r="M5" s="1">
        <f>odhPAL*tvorbaPAL</f>
        <v>0</v>
      </c>
      <c r="N5" s="68"/>
      <c r="O5" s="5"/>
      <c r="P5" s="5"/>
      <c r="Q5" s="5"/>
      <c r="R5" s="50">
        <v>300</v>
      </c>
      <c r="S5" s="50">
        <v>60</v>
      </c>
      <c r="T5" s="50">
        <v>20</v>
      </c>
      <c r="U5" s="50">
        <v>180</v>
      </c>
      <c r="V5" s="50">
        <v>600</v>
      </c>
      <c r="W5" s="50">
        <v>10</v>
      </c>
      <c r="X5" s="50">
        <v>300</v>
      </c>
      <c r="Y5" s="50">
        <v>120</v>
      </c>
      <c r="Z5" s="50">
        <v>20</v>
      </c>
      <c r="AA5" s="50">
        <v>1800</v>
      </c>
      <c r="AB5" s="50">
        <v>900</v>
      </c>
      <c r="AC5" s="50">
        <v>1.3</v>
      </c>
      <c r="AD5" s="51">
        <v>5</v>
      </c>
      <c r="AE5" s="51"/>
      <c r="AF5" s="51">
        <v>2</v>
      </c>
      <c r="AG5" s="51"/>
      <c r="AH5" s="5"/>
      <c r="AI5" s="5"/>
      <c r="AJ5" s="5"/>
      <c r="AK5" s="5"/>
      <c r="AL5" s="5"/>
      <c r="AM5" s="5"/>
      <c r="AN5" s="5" t="s">
        <v>6543</v>
      </c>
      <c r="AO5" s="5"/>
      <c r="AP5" s="5"/>
      <c r="AQ5" s="5"/>
      <c r="AR5" s="5"/>
      <c r="AS5" s="5"/>
      <c r="AT5" s="5"/>
      <c r="AU5" s="5"/>
      <c r="AV5" s="5"/>
      <c r="AW5" s="5"/>
    </row>
    <row r="6" spans="1:49" ht="15.75" thickBot="1">
      <c r="A6" s="5"/>
      <c r="B6" s="790" t="str">
        <f>IF(B5="PAL","",'General price list'!C24)</f>
        <v>BK2V</v>
      </c>
      <c r="C6" s="1" t="str">
        <f>IF(B6="PAL","",IFERROR(VLOOKUP(B6,'General price list'!C:BA,MATCH("PAL",'General price list'!$C$20:$BA$20,0),FALSE),""))</f>
        <v/>
      </c>
      <c r="D6" s="1">
        <f>IF(B6="PAL","",IFERROR(VLOOKUP(B6,'General price list'!C:BA,MATCH("OBJ",'General price list'!$C$20:$BA$20,0),FALSE),""))</f>
        <v>0</v>
      </c>
      <c r="E6" s="1">
        <f t="shared" ref="E6:E11" si="6">IF(B6="PAL","",IFERROR(D6/C6,0))</f>
        <v>0</v>
      </c>
      <c r="F6" s="1">
        <f t="shared" ref="F6:F11" si="7">IF(B6="PAL","",IFERROR(FLOOR(IF(E6-1&lt;0,0,E6),1),0))</f>
        <v>0</v>
      </c>
      <c r="G6" s="1">
        <f t="shared" ref="G6:G11" si="8">IF(B6="PAL","",IFERROR(IF(H6&gt;E6,F6-E6,E6-F6),0))</f>
        <v>0</v>
      </c>
      <c r="H6" s="1">
        <f t="shared" ref="H6:H11" si="9">IF(B6="PAL","",IFERROR(IF(E6=0,0,F6),0))</f>
        <v>0</v>
      </c>
      <c r="I6" s="1">
        <f t="shared" ref="I6:I11" si="10">IF(B6="PAL","",IFERROR(IF(D6=0,0,IF(F6=0,(D6*nextVK)+(prvniVK-nextVK),(G6*C6*nextVK)+(F6*PALzKoje))),0))</f>
        <v>0</v>
      </c>
      <c r="J6">
        <f>IF(B6="PAL","",IFERROR(IF(C6="",VLOOKUP(B6,'General price list'!C:BA,MATCH("CBM",'General price list'!$C$20:$BA$20,0),FALSE)*D6,VLOOKUP(B6,'General price list'!C:BA,MATCH("CBM",'General price list'!$C$20:$BA$20,0),FALSE)*(G6*C6)),0))</f>
        <v>0</v>
      </c>
      <c r="K6" s="5"/>
      <c r="L6" s="48" t="s">
        <v>6517</v>
      </c>
      <c r="M6" s="1">
        <f>SUM(D:D)*vystKONTROLA</f>
        <v>10</v>
      </c>
      <c r="N6" s="5"/>
      <c r="O6" s="5"/>
      <c r="P6" s="5"/>
      <c r="Q6" s="5"/>
      <c r="R6" s="5"/>
      <c r="S6" s="5"/>
      <c r="T6" s="5"/>
      <c r="U6" s="5"/>
      <c r="V6" s="5"/>
      <c r="W6" s="5"/>
      <c r="X6" s="5"/>
      <c r="Y6" s="5"/>
      <c r="Z6" s="5" t="s">
        <v>6542</v>
      </c>
      <c r="AA6" s="5"/>
      <c r="AB6" s="5"/>
      <c r="AD6" s="82"/>
      <c r="AE6" s="87"/>
      <c r="AF6" s="88"/>
      <c r="AG6" s="89"/>
      <c r="AI6" s="5"/>
      <c r="AJ6" s="5"/>
      <c r="AK6" s="5"/>
      <c r="AL6" s="5"/>
      <c r="AM6" s="5"/>
      <c r="AN6" s="5"/>
      <c r="AO6" s="5"/>
      <c r="AP6" s="5"/>
      <c r="AQ6" s="5"/>
      <c r="AR6" s="5"/>
      <c r="AS6" s="5"/>
      <c r="AT6" s="5"/>
      <c r="AU6" s="5"/>
      <c r="AV6" s="5"/>
      <c r="AW6" s="5"/>
    </row>
    <row r="7" spans="1:49" ht="15.75" thickBot="1">
      <c r="A7" s="5"/>
      <c r="B7" s="790" t="str">
        <f>IF(B6="PAL","",'General price list'!C25)</f>
        <v>S5DU14</v>
      </c>
      <c r="C7" s="1" t="str">
        <f>IF(B7="PAL","",IFERROR(VLOOKUP(B7,'General price list'!C:BA,MATCH("PAL",'General price list'!$C$20:$BA$20,0),FALSE),""))</f>
        <v/>
      </c>
      <c r="D7" s="1">
        <f>IF(B7="PAL","",IFERROR(VLOOKUP(B7,'General price list'!C:BA,MATCH("OBJ",'General price list'!$C$20:$BA$20,0),FALSE),""))</f>
        <v>0</v>
      </c>
      <c r="E7" s="1">
        <f t="shared" si="6"/>
        <v>0</v>
      </c>
      <c r="F7" s="1">
        <f t="shared" si="7"/>
        <v>0</v>
      </c>
      <c r="G7" s="1">
        <f t="shared" si="8"/>
        <v>0</v>
      </c>
      <c r="H7" s="1">
        <f t="shared" si="9"/>
        <v>0</v>
      </c>
      <c r="I7" s="1">
        <f t="shared" si="10"/>
        <v>0</v>
      </c>
      <c r="J7">
        <f>IF(B7="PAL","",IFERROR(IF(C7="",VLOOKUP(B7,'General price list'!C:BA,MATCH("CBM",'General price list'!$C$20:$BA$20,0),FALSE)*D7,VLOOKUP(B7,'General price list'!C:BA,MATCH("CBM",'General price list'!$C$20:$BA$20,0),FALSE)*(G7*C7)),0))</f>
        <v>0</v>
      </c>
      <c r="K7" s="5"/>
      <c r="L7" s="48" t="s">
        <v>6518</v>
      </c>
      <c r="M7" s="1">
        <f>prvniPAL+(Q4-1)*nextPAL</f>
        <v>180</v>
      </c>
      <c r="N7" s="5"/>
      <c r="O7" s="5"/>
      <c r="P7" s="5"/>
      <c r="Q7" s="5"/>
      <c r="R7" s="5"/>
      <c r="S7" s="69"/>
      <c r="T7" s="5" t="s">
        <v>6523</v>
      </c>
      <c r="U7" s="5"/>
      <c r="V7" s="5"/>
      <c r="W7" s="5"/>
      <c r="X7" s="5"/>
      <c r="Y7" s="5"/>
      <c r="Z7" s="5"/>
      <c r="AA7" s="5"/>
      <c r="AB7" s="5"/>
      <c r="AC7" s="5"/>
      <c r="AD7" s="83"/>
      <c r="AE7" s="85"/>
      <c r="AF7" s="86"/>
      <c r="AG7" s="84"/>
      <c r="AH7" s="5"/>
      <c r="AI7" s="5"/>
      <c r="AJ7" s="5"/>
      <c r="AK7" s="5"/>
      <c r="AL7" s="5"/>
      <c r="AM7" s="5"/>
      <c r="AN7" s="5"/>
      <c r="AO7" s="5"/>
      <c r="AP7" s="5"/>
      <c r="AQ7" s="5"/>
      <c r="AR7" s="5"/>
      <c r="AS7" s="5"/>
      <c r="AT7" s="5"/>
      <c r="AU7" s="5"/>
      <c r="AV7" s="5"/>
      <c r="AW7" s="5"/>
    </row>
    <row r="8" spans="1:49">
      <c r="A8" s="5"/>
      <c r="B8" s="790" t="str">
        <f>IF(B7="PAL","",'General price list'!C26)</f>
        <v>R5DU14</v>
      </c>
      <c r="C8" s="1" t="str">
        <f>IF(B8="PAL","",IFERROR(VLOOKUP(B8,'General price list'!C:BA,MATCH("PAL",'General price list'!$C$20:$BA$20,0),FALSE),""))</f>
        <v/>
      </c>
      <c r="D8" s="1">
        <f>IF(B8="PAL","",IFERROR(VLOOKUP(B8,'General price list'!C:BA,MATCH("OBJ",'General price list'!$C$20:$BA$20,0),FALSE),""))</f>
        <v>0</v>
      </c>
      <c r="E8" s="1">
        <f t="shared" si="6"/>
        <v>0</v>
      </c>
      <c r="F8" s="1">
        <f t="shared" si="7"/>
        <v>0</v>
      </c>
      <c r="G8" s="1">
        <f t="shared" si="8"/>
        <v>0</v>
      </c>
      <c r="H8" s="1">
        <f t="shared" si="9"/>
        <v>0</v>
      </c>
      <c r="I8" s="1">
        <f t="shared" si="10"/>
        <v>0</v>
      </c>
      <c r="J8">
        <f>IF(B8="PAL","",IFERROR(IF(C8="",VLOOKUP(B8,'General price list'!C:BA,MATCH("CBM",'General price list'!$C$20:$BA$20,0),FALSE)*D8,VLOOKUP(B8,'General price list'!C:BA,MATCH("CBM",'General price list'!$C$20:$BA$20,0),FALSE)*(G8*C8)),0))</f>
        <v>0</v>
      </c>
      <c r="K8" s="5"/>
      <c r="L8" s="48" t="s">
        <v>6519</v>
      </c>
      <c r="M8" s="1">
        <f>SUM(D:D)*VK</f>
        <v>20</v>
      </c>
      <c r="N8" s="5"/>
      <c r="O8" s="5"/>
      <c r="P8" s="5"/>
      <c r="Q8" s="5"/>
      <c r="R8" s="5"/>
      <c r="S8" s="5"/>
      <c r="T8" s="5"/>
      <c r="U8" s="5"/>
      <c r="V8" s="5"/>
      <c r="W8" s="5"/>
      <c r="X8" s="5"/>
      <c r="Y8" s="5"/>
      <c r="Z8" s="5"/>
      <c r="AA8" s="5"/>
      <c r="AB8" s="5"/>
      <c r="AC8" s="5"/>
      <c r="AD8" s="83"/>
      <c r="AE8" s="85"/>
      <c r="AF8" s="86"/>
      <c r="AG8" s="84"/>
      <c r="AH8" s="5"/>
      <c r="AI8" s="5"/>
      <c r="AJ8" s="5"/>
      <c r="AK8" s="5"/>
      <c r="AL8" s="5"/>
      <c r="AM8" s="5"/>
      <c r="AN8" s="5"/>
      <c r="AO8" s="5"/>
      <c r="AP8" s="5"/>
      <c r="AQ8" s="5"/>
      <c r="AR8" s="5"/>
      <c r="AS8" s="5"/>
      <c r="AT8" s="5"/>
      <c r="AU8" s="5"/>
      <c r="AV8" s="5"/>
      <c r="AW8" s="5"/>
    </row>
    <row r="9" spans="1:49">
      <c r="A9" s="5"/>
      <c r="B9" s="790" t="str">
        <f>IF(B8="PAL","",'General price list'!C27)</f>
        <v>C5DU14</v>
      </c>
      <c r="C9" s="1" t="str">
        <f>IF(B9="PAL","",IFERROR(VLOOKUP(B9,'General price list'!C:BA,MATCH("PAL",'General price list'!$C$20:$BA$20,0),FALSE),""))</f>
        <v/>
      </c>
      <c r="D9" s="1">
        <f>IF(B9="PAL","",IFERROR(VLOOKUP(B9,'General price list'!C:BA,MATCH("OBJ",'General price list'!$C$20:$BA$20,0),FALSE),""))</f>
        <v>0</v>
      </c>
      <c r="E9" s="1">
        <f t="shared" si="6"/>
        <v>0</v>
      </c>
      <c r="F9" s="1">
        <f t="shared" si="7"/>
        <v>0</v>
      </c>
      <c r="G9" s="1">
        <f t="shared" si="8"/>
        <v>0</v>
      </c>
      <c r="H9" s="1">
        <f t="shared" si="9"/>
        <v>0</v>
      </c>
      <c r="I9" s="1">
        <f t="shared" si="10"/>
        <v>0</v>
      </c>
      <c r="J9">
        <f>IF(B9="PAL","",IFERROR(IF(C9="",VLOOKUP(B9,'General price list'!C:BA,MATCH("CBM",'General price list'!$C$20:$BA$20,0),FALSE)*D9,VLOOKUP(B9,'General price list'!C:BA,MATCH("CBM",'General price list'!$C$20:$BA$20,0),FALSE)*(G9*C9)),0))</f>
        <v>0</v>
      </c>
      <c r="K9" s="5"/>
      <c r="O9" s="5"/>
      <c r="P9" s="5"/>
      <c r="Q9" s="5"/>
      <c r="R9" s="5"/>
      <c r="S9" s="79"/>
      <c r="T9" s="5" t="s">
        <v>6546</v>
      </c>
      <c r="U9" s="5"/>
      <c r="V9" s="5"/>
      <c r="W9" s="5"/>
      <c r="X9" s="5"/>
      <c r="Y9" s="5"/>
      <c r="Z9" s="5"/>
      <c r="AA9" s="5"/>
      <c r="AB9" s="5"/>
      <c r="AC9" s="5"/>
      <c r="AD9" s="83"/>
      <c r="AE9" s="85"/>
      <c r="AF9" s="86"/>
      <c r="AG9" s="84"/>
      <c r="AH9" s="5"/>
      <c r="AI9" s="5"/>
      <c r="AJ9" s="5"/>
      <c r="AK9" s="5"/>
      <c r="AL9" s="5"/>
      <c r="AM9" s="5"/>
      <c r="AN9" s="5"/>
      <c r="AO9" s="5"/>
      <c r="AP9" s="5"/>
      <c r="AQ9" s="5"/>
      <c r="AR9" s="5"/>
      <c r="AS9" s="5"/>
      <c r="AT9" s="5"/>
      <c r="AU9" s="5"/>
      <c r="AV9" s="5"/>
      <c r="AW9" s="5"/>
    </row>
    <row r="10" spans="1:49">
      <c r="A10" s="5"/>
      <c r="B10" s="790" t="str">
        <f>IF(B9="PAL","",'General price list'!C28)</f>
        <v>DP1CB</v>
      </c>
      <c r="C10" s="1" t="str">
        <f>IF(B10="PAL","",IFERROR(VLOOKUP(B10,'General price list'!C:BA,MATCH("PAL",'General price list'!$C$20:$BA$20,0),FALSE),""))</f>
        <v/>
      </c>
      <c r="D10" s="1">
        <f>IF(B10="PAL","",IFERROR(VLOOKUP(B10,'General price list'!C:BA,MATCH("OBJ",'General price list'!$C$20:$BA$20,0),FALSE),""))</f>
        <v>0</v>
      </c>
      <c r="E10" s="1">
        <f t="shared" si="6"/>
        <v>0</v>
      </c>
      <c r="F10" s="1">
        <f t="shared" si="7"/>
        <v>0</v>
      </c>
      <c r="G10" s="1">
        <f t="shared" si="8"/>
        <v>0</v>
      </c>
      <c r="H10" s="1">
        <f t="shared" si="9"/>
        <v>0</v>
      </c>
      <c r="I10" s="1">
        <f t="shared" si="10"/>
        <v>0</v>
      </c>
      <c r="J10">
        <f>IF(B10="PAL","",IFERROR(IF(C10="",VLOOKUP(B10,'General price list'!C:BA,MATCH("CBM",'General price list'!$C$20:$BA$20,0),FALSE)*D10,VLOOKUP(B10,'General price list'!C:BA,MATCH("CBM",'General price list'!$C$20:$BA$20,0),FALSE)*(G10*C10)),0))</f>
        <v>0</v>
      </c>
      <c r="K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c r="A11" s="5"/>
      <c r="B11" s="790" t="str">
        <f>IF(B10="PAL","",'General price list'!C29)</f>
        <v>DP1CB(1)</v>
      </c>
      <c r="C11" s="1" t="str">
        <f>IF(B11="PAL","",IFERROR(VLOOKUP(B11,'General price list'!C:BA,MATCH("PAL",'General price list'!$C$20:$BA$20,0),FALSE),""))</f>
        <v/>
      </c>
      <c r="D11" s="1">
        <f>IF(B11="PAL","",IFERROR(VLOOKUP(B11,'General price list'!C:BA,MATCH("OBJ",'General price list'!$C$20:$BA$20,0),FALSE),""))</f>
        <v>0</v>
      </c>
      <c r="E11" s="1">
        <f t="shared" si="6"/>
        <v>0</v>
      </c>
      <c r="F11" s="1">
        <f t="shared" si="7"/>
        <v>0</v>
      </c>
      <c r="G11" s="1">
        <f t="shared" si="8"/>
        <v>0</v>
      </c>
      <c r="H11" s="1">
        <f t="shared" si="9"/>
        <v>0</v>
      </c>
      <c r="I11" s="1">
        <f t="shared" si="10"/>
        <v>0</v>
      </c>
      <c r="J11">
        <f>IF(B11="PAL","",IFERROR(IF(C11="",VLOOKUP(B11,'General price list'!C:BA,MATCH("CBM",'General price list'!$C$20:$BA$20,0),FALSE)*D11,VLOOKUP(B11,'General price list'!C:BA,MATCH("CBM",'General price list'!$C$20:$BA$20,0),FALSE)*(G11*C11)),0))</f>
        <v>0</v>
      </c>
      <c r="K11" s="5"/>
      <c r="O11" s="5"/>
      <c r="P11" s="5"/>
      <c r="Q11" s="5"/>
      <c r="R11" s="5"/>
      <c r="S11" s="52"/>
      <c r="T11" s="53"/>
      <c r="U11" s="52" t="s">
        <v>6520</v>
      </c>
      <c r="V11" s="53" t="s">
        <v>6521</v>
      </c>
      <c r="W11" s="52" t="s">
        <v>6522</v>
      </c>
      <c r="X11" s="53" t="s">
        <v>6521</v>
      </c>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c r="A12" s="5"/>
      <c r="B12" s="790" t="str">
        <f>IF(B11="PAL","",'General price list'!C30)</f>
        <v>DP2CB</v>
      </c>
      <c r="C12" s="1" t="str">
        <f>IF(B12="PAL","",IFERROR(VLOOKUP(B12,'General price list'!C:BA,MATCH("PAL",'General price list'!$C$20:$BA$20,0),FALSE),""))</f>
        <v/>
      </c>
      <c r="D12" s="1">
        <f>IF(B12="PAL","",IFERROR(VLOOKUP(B12,'General price list'!C:BA,MATCH("OBJ",'General price list'!$C$20:$BA$20,0),FALSE),""))</f>
        <v>0</v>
      </c>
      <c r="E12" s="1">
        <f t="shared" ref="E12:E75" si="11">IF(B12="PAL","",IFERROR(D12/C12,0))</f>
        <v>0</v>
      </c>
      <c r="F12" s="1">
        <f t="shared" ref="F12:F75" si="12">IF(B12="PAL","",IFERROR(FLOOR(IF(E12-1&lt;0,0,E12),1),0))</f>
        <v>0</v>
      </c>
      <c r="G12" s="1">
        <f t="shared" ref="G12:G75" si="13">IF(B12="PAL","",IFERROR(IF(H12&gt;E12,F12-E12,E12-F12),0))</f>
        <v>0</v>
      </c>
      <c r="H12" s="1">
        <f t="shared" ref="H12:H75" si="14">IF(B12="PAL","",IFERROR(IF(E12=0,0,F12),0))</f>
        <v>0</v>
      </c>
      <c r="I12" s="1">
        <f t="shared" ref="I12:I75" si="15">IF(B12="PAL","",IFERROR(IF(D12=0,0,IF(F12=0,(D12*nextVK)+(prvniVK-nextVK),(G12*C12*nextVK)+(F12*PALzKoje))),0))</f>
        <v>0</v>
      </c>
      <c r="J12">
        <f>IF(B12="PAL","",IFERROR(IF(C12="",VLOOKUP(B12,'General price list'!C:BA,MATCH("CBM",'General price list'!$C$20:$BA$20,0),FALSE)*D12,VLOOKUP(B12,'General price list'!C:BA,MATCH("CBM",'General price list'!$C$20:$BA$20,0),FALSE)*(G12*C12)),0))</f>
        <v>0</v>
      </c>
      <c r="K12" s="5"/>
      <c r="O12" s="5"/>
      <c r="P12" s="5"/>
      <c r="Q12" s="5"/>
      <c r="R12" s="5"/>
      <c r="S12" s="54" t="s">
        <v>6524</v>
      </c>
      <c r="T12" s="55" t="s">
        <v>10570</v>
      </c>
      <c r="U12" s="56">
        <f>M4+M6+R5</f>
        <v>310</v>
      </c>
      <c r="V12" s="57">
        <f>ROUND(U12/60,0)</f>
        <v>5</v>
      </c>
      <c r="W12" s="56">
        <f>M8</f>
        <v>20</v>
      </c>
      <c r="X12" s="57">
        <f>ROUND(W12/60,0)</f>
        <v>0</v>
      </c>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c r="A13" s="5"/>
      <c r="B13" s="790" t="str">
        <f>IF(B12="PAL","",'General price list'!C31)</f>
        <v>DP2CB(1)</v>
      </c>
      <c r="C13" s="1" t="str">
        <f>IF(B13="PAL","",IFERROR(VLOOKUP(B13,'General price list'!C:BA,MATCH("PAL",'General price list'!$C$20:$BA$20,0),FALSE),""))</f>
        <v/>
      </c>
      <c r="D13" s="1">
        <f>IF(B13="PAL","",IFERROR(VLOOKUP(B13,'General price list'!C:BA,MATCH("OBJ",'General price list'!$C$20:$BA$20,0),FALSE),""))</f>
        <v>0</v>
      </c>
      <c r="E13" s="1">
        <f t="shared" si="11"/>
        <v>0</v>
      </c>
      <c r="F13" s="1">
        <f t="shared" si="12"/>
        <v>0</v>
      </c>
      <c r="G13" s="1">
        <f t="shared" si="13"/>
        <v>0</v>
      </c>
      <c r="H13" s="1">
        <f t="shared" si="14"/>
        <v>0</v>
      </c>
      <c r="I13" s="1">
        <f t="shared" si="15"/>
        <v>0</v>
      </c>
      <c r="J13">
        <f>IF(B13="PAL","",IFERROR(IF(C13="",VLOOKUP(B13,'General price list'!C:BA,MATCH("CBM",'General price list'!$C$20:$BA$20,0),FALSE)*D13,VLOOKUP(B13,'General price list'!C:BA,MATCH("CBM",'General price list'!$C$20:$BA$20,0),FALSE)*(G13*C13)),0))</f>
        <v>0</v>
      </c>
      <c r="K13" s="5"/>
      <c r="O13" s="5"/>
      <c r="P13" s="5"/>
      <c r="Q13" s="5"/>
      <c r="R13" s="5"/>
      <c r="S13" s="54"/>
      <c r="T13" s="55" t="s">
        <v>2578</v>
      </c>
      <c r="U13" s="56">
        <f>M4+M5+R5</f>
        <v>300</v>
      </c>
      <c r="V13" s="57">
        <f>ROUND(U13/60,0)</f>
        <v>5</v>
      </c>
      <c r="W13" s="56">
        <f>M7</f>
        <v>180</v>
      </c>
      <c r="X13" s="57">
        <f>ROUND(W13/60,0)</f>
        <v>3</v>
      </c>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ht="15.75" thickBot="1">
      <c r="A14" s="5"/>
      <c r="B14" s="790" t="str">
        <f>IF(B13="PAL","",'General price list'!C32)</f>
        <v>DP1M</v>
      </c>
      <c r="C14" s="1" t="str">
        <f>IF(B14="PAL","",IFERROR(VLOOKUP(B14,'General price list'!C:BA,MATCH("PAL",'General price list'!$C$20:$BA$20,0),FALSE),""))</f>
        <v/>
      </c>
      <c r="D14" s="1">
        <f>IF(B14="PAL","",IFERROR(VLOOKUP(B14,'General price list'!C:BA,MATCH("OBJ",'General price list'!$C$20:$BA$20,0),FALSE),""))</f>
        <v>0</v>
      </c>
      <c r="E14" s="1">
        <f t="shared" si="11"/>
        <v>0</v>
      </c>
      <c r="F14" s="1">
        <f t="shared" si="12"/>
        <v>0</v>
      </c>
      <c r="G14" s="1">
        <f t="shared" si="13"/>
        <v>0</v>
      </c>
      <c r="H14" s="1">
        <f t="shared" si="14"/>
        <v>0</v>
      </c>
      <c r="I14" s="1">
        <f t="shared" si="15"/>
        <v>0</v>
      </c>
      <c r="J14">
        <f>IF(B14="PAL","",IFERROR(IF(C14="",VLOOKUP(B14,'General price list'!C:BA,MATCH("CBM",'General price list'!$C$20:$BA$20,0),FALSE)*D14,VLOOKUP(B14,'General price list'!C:BA,MATCH("CBM",'General price list'!$C$20:$BA$20,0),FALSE)*(G14*C14)),0))</f>
        <v>0</v>
      </c>
      <c r="K14" s="5"/>
      <c r="O14" s="5"/>
      <c r="P14" s="5"/>
      <c r="Q14" s="5"/>
      <c r="R14" s="5"/>
      <c r="S14" s="54"/>
      <c r="T14" s="58">
        <v>1</v>
      </c>
      <c r="U14" s="54">
        <v>2</v>
      </c>
      <c r="V14" s="58">
        <v>3</v>
      </c>
      <c r="W14" s="54">
        <v>4</v>
      </c>
      <c r="X14" s="58">
        <v>5</v>
      </c>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16.5" thickTop="1" thickBot="1">
      <c r="A15" s="5"/>
      <c r="B15" s="790" t="str">
        <f>IF(B14="PAL","",'General price list'!C33)</f>
        <v>DP1M(1)</v>
      </c>
      <c r="C15" s="1" t="str">
        <f>IF(B15="PAL","",IFERROR(VLOOKUP(B15,'General price list'!C:BA,MATCH("PAL",'General price list'!$C$20:$BA$20,0),FALSE),""))</f>
        <v/>
      </c>
      <c r="D15" s="1">
        <f>IF(B15="PAL","",IFERROR(VLOOKUP(B15,'General price list'!C:BA,MATCH("OBJ",'General price list'!$C$20:$BA$20,0),FALSE),""))</f>
        <v>0</v>
      </c>
      <c r="E15" s="1">
        <f t="shared" si="11"/>
        <v>0</v>
      </c>
      <c r="F15" s="1">
        <f t="shared" si="12"/>
        <v>0</v>
      </c>
      <c r="G15" s="1">
        <f t="shared" si="13"/>
        <v>0</v>
      </c>
      <c r="H15" s="1">
        <f t="shared" si="14"/>
        <v>0</v>
      </c>
      <c r="I15" s="1">
        <f t="shared" si="15"/>
        <v>0</v>
      </c>
      <c r="J15">
        <f>IF(B15="PAL","",IFERROR(IF(C15="",VLOOKUP(B15,'General price list'!C:BA,MATCH("CBM",'General price list'!$C$20:$BA$20,0),FALSE)*D15,VLOOKUP(B15,'General price list'!C:BA,MATCH("CBM",'General price list'!$C$20:$BA$20,0),FALSE)*(G15*C15)),0))</f>
        <v>0</v>
      </c>
      <c r="K15" s="5"/>
      <c r="O15" s="5"/>
      <c r="P15" s="5"/>
      <c r="Q15" s="5"/>
      <c r="R15" s="5"/>
      <c r="S15" s="940" t="s">
        <v>6525</v>
      </c>
      <c r="T15" s="941"/>
      <c r="U15" s="942" t="s">
        <v>6526</v>
      </c>
      <c r="V15" s="943"/>
      <c r="W15" s="941" t="s">
        <v>6527</v>
      </c>
      <c r="X15" s="944"/>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6.5" thickTop="1" thickBot="1">
      <c r="A16" s="5"/>
      <c r="B16" s="790" t="str">
        <f>IF(B15="PAL","",'General price list'!C34)</f>
        <v>DP1Z20</v>
      </c>
      <c r="C16" s="1" t="str">
        <f>IF(B16="PAL","",IFERROR(VLOOKUP(B16,'General price list'!C:BA,MATCH("PAL",'General price list'!$C$20:$BA$20,0),FALSE),""))</f>
        <v/>
      </c>
      <c r="D16" s="1">
        <f>IF(B16="PAL","",IFERROR(VLOOKUP(B16,'General price list'!C:BA,MATCH("OBJ",'General price list'!$C$20:$BA$20,0),FALSE),""))</f>
        <v>0</v>
      </c>
      <c r="E16" s="1">
        <f t="shared" si="11"/>
        <v>0</v>
      </c>
      <c r="F16" s="1">
        <f t="shared" si="12"/>
        <v>0</v>
      </c>
      <c r="G16" s="1">
        <f t="shared" si="13"/>
        <v>0</v>
      </c>
      <c r="H16" s="1">
        <f t="shared" si="14"/>
        <v>0</v>
      </c>
      <c r="I16" s="1">
        <f t="shared" si="15"/>
        <v>0</v>
      </c>
      <c r="J16">
        <f>IF(B16="PAL","",IFERROR(IF(C16="",VLOOKUP(B16,'General price list'!C:BA,MATCH("CBM",'General price list'!$C$20:$BA$20,0),FALSE)*D16,VLOOKUP(B16,'General price list'!C:BA,MATCH("CBM",'General price list'!$C$20:$BA$20,0),FALSE)*(G16*C16)),0))</f>
        <v>0</v>
      </c>
      <c r="K16" s="5"/>
      <c r="O16" s="5"/>
      <c r="P16" s="5"/>
      <c r="Q16" s="5"/>
      <c r="R16" s="5"/>
      <c r="S16" s="949" t="s">
        <v>6531</v>
      </c>
      <c r="T16" s="950"/>
      <c r="U16" s="950"/>
      <c r="V16" s="950"/>
      <c r="W16" s="950"/>
      <c r="X16" s="951"/>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6.5" thickTop="1" thickBot="1">
      <c r="A17" s="5"/>
      <c r="B17" s="790" t="str">
        <f>IF(B16="PAL","",'General price list'!C35)</f>
        <v>DP1Z20(1)</v>
      </c>
      <c r="C17" s="1" t="str">
        <f>IF(B17="PAL","",IFERROR(VLOOKUP(B17,'General price list'!C:BA,MATCH("PAL",'General price list'!$C$20:$BA$20,0),FALSE),""))</f>
        <v/>
      </c>
      <c r="D17" s="1">
        <f>IF(B17="PAL","",IFERROR(VLOOKUP(B17,'General price list'!C:BA,MATCH("OBJ",'General price list'!$C$20:$BA$20,0),FALSE),""))</f>
        <v>0</v>
      </c>
      <c r="E17" s="1">
        <f t="shared" si="11"/>
        <v>0</v>
      </c>
      <c r="F17" s="1">
        <f t="shared" si="12"/>
        <v>0</v>
      </c>
      <c r="G17" s="1">
        <f t="shared" si="13"/>
        <v>0</v>
      </c>
      <c r="H17" s="1">
        <f t="shared" si="14"/>
        <v>0</v>
      </c>
      <c r="I17" s="1">
        <f t="shared" si="15"/>
        <v>0</v>
      </c>
      <c r="J17">
        <f>IF(B17="PAL","",IFERROR(IF(C17="",VLOOKUP(B17,'General price list'!C:BA,MATCH("CBM",'General price list'!$C$20:$BA$20,0),FALSE)*D17,VLOOKUP(B17,'General price list'!C:BA,MATCH("CBM",'General price list'!$C$20:$BA$20,0),FALSE)*(G17*C17)),0))</f>
        <v>0</v>
      </c>
      <c r="K17" s="5"/>
      <c r="O17" s="5"/>
      <c r="P17" s="5"/>
      <c r="Q17" s="5"/>
      <c r="R17" s="5"/>
      <c r="S17" s="940" t="s">
        <v>6541</v>
      </c>
      <c r="T17" s="941"/>
      <c r="U17" s="66" t="s">
        <v>6540</v>
      </c>
      <c r="V17" s="64" t="s">
        <v>2163</v>
      </c>
      <c r="W17" s="63" t="s">
        <v>6540</v>
      </c>
      <c r="X17" s="65" t="s">
        <v>2163</v>
      </c>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6.5" thickTop="1" thickBot="1">
      <c r="A18" s="5"/>
      <c r="B18" s="790" t="str">
        <f>IF(B17="PAL","",'General price list'!C36)</f>
        <v>CDK1</v>
      </c>
      <c r="C18" s="1" t="str">
        <f>IF(B18="PAL","",IFERROR(VLOOKUP(B18,'General price list'!C:BA,MATCH("PAL",'General price list'!$C$20:$BA$20,0),FALSE),""))</f>
        <v/>
      </c>
      <c r="D18" s="1">
        <f>IF(B18="PAL","",IFERROR(VLOOKUP(B18,'General price list'!C:BA,MATCH("OBJ",'General price list'!$C$20:$BA$20,0),FALSE),""))</f>
        <v>0</v>
      </c>
      <c r="E18" s="1">
        <f t="shared" si="11"/>
        <v>0</v>
      </c>
      <c r="F18" s="1">
        <f t="shared" si="12"/>
        <v>0</v>
      </c>
      <c r="G18" s="1">
        <f t="shared" si="13"/>
        <v>0</v>
      </c>
      <c r="H18" s="1">
        <f t="shared" si="14"/>
        <v>0</v>
      </c>
      <c r="I18" s="1">
        <f t="shared" si="15"/>
        <v>0</v>
      </c>
      <c r="J18">
        <f>IF(B18="PAL","",IFERROR(IF(C18="",VLOOKUP(B18,'General price list'!C:BA,MATCH("CBM",'General price list'!$C$20:$BA$20,0),FALSE)*D18,VLOOKUP(B18,'General price list'!C:BA,MATCH("CBM",'General price list'!$C$20:$BA$20,0),FALSE)*(G18*C18)),0))</f>
        <v>0</v>
      </c>
      <c r="K18" s="5"/>
      <c r="L18" s="5"/>
      <c r="M18" s="5"/>
      <c r="N18" s="5"/>
      <c r="O18" s="5"/>
      <c r="P18" s="5"/>
      <c r="Q18" s="5"/>
      <c r="R18" s="5"/>
      <c r="S18" s="952" t="str">
        <f>W21</f>
        <v>NA PALETÁCH!!!</v>
      </c>
      <c r="T18" s="953"/>
      <c r="U18" s="92">
        <f>AD5</f>
        <v>5</v>
      </c>
      <c r="V18" s="93" t="str">
        <f>ROUND(IF('General price list'!AC6=1,VLOOKUP(U18,AH25:AM39,3,FALSE),VLOOKUP(U19,AH25:AM39,4,FALSE)),0)&amp;" min"</f>
        <v>1 min</v>
      </c>
      <c r="W18" s="93">
        <f>AF5</f>
        <v>2</v>
      </c>
      <c r="X18" s="94" t="str">
        <f>ROUND(IF('General price list'!AC6=1,VLOOKUP(W18,AH25:AM39,5,FALSE),VLOOKUP(W19,AH25:AM39,6,FALSE)),0)&amp;" min"</f>
        <v>2 min</v>
      </c>
      <c r="Y18" s="5"/>
      <c r="Z18" s="5"/>
      <c r="AA18" s="5"/>
      <c r="AB18" s="5"/>
      <c r="AC18" s="5">
        <v>14</v>
      </c>
      <c r="AD18" s="5"/>
      <c r="AE18" s="5"/>
      <c r="AF18" s="5"/>
      <c r="AG18" s="5"/>
      <c r="AH18" s="5"/>
      <c r="AI18" s="5"/>
      <c r="AJ18" s="5"/>
      <c r="AK18" s="5"/>
      <c r="AL18" s="5"/>
      <c r="AM18" s="5"/>
      <c r="AN18" s="5"/>
      <c r="AO18" s="5"/>
      <c r="AP18" s="5"/>
      <c r="AQ18" s="5"/>
      <c r="AR18" s="5"/>
      <c r="AS18" s="5"/>
      <c r="AT18" s="5"/>
      <c r="AU18" s="5"/>
      <c r="AV18" s="5"/>
      <c r="AW18" s="5"/>
    </row>
    <row r="19" spans="1:49" ht="16.5" thickTop="1" thickBot="1">
      <c r="A19" s="5"/>
      <c r="B19" s="790" t="str">
        <f>IF(B18="PAL","",'General price list'!C37)</f>
        <v>CDK1(1)</v>
      </c>
      <c r="C19" s="1" t="str">
        <f>IF(B19="PAL","",IFERROR(VLOOKUP(B19,'General price list'!C:BA,MATCH("PAL",'General price list'!$C$20:$BA$20,0),FALSE),""))</f>
        <v/>
      </c>
      <c r="D19" s="1">
        <f>IF(B19="PAL","",IFERROR(VLOOKUP(B19,'General price list'!C:BA,MATCH("OBJ",'General price list'!$C$20:$BA$20,0),FALSE),""))</f>
        <v>0</v>
      </c>
      <c r="E19" s="1">
        <f t="shared" si="11"/>
        <v>0</v>
      </c>
      <c r="F19" s="1">
        <f t="shared" si="12"/>
        <v>0</v>
      </c>
      <c r="G19" s="1">
        <f t="shared" si="13"/>
        <v>0</v>
      </c>
      <c r="H19" s="1">
        <f t="shared" si="14"/>
        <v>0</v>
      </c>
      <c r="I19" s="1">
        <f t="shared" si="15"/>
        <v>0</v>
      </c>
      <c r="J19">
        <f>IF(B19="PAL","",IFERROR(IF(C19="",VLOOKUP(B19,'General price list'!C:BA,MATCH("CBM",'General price list'!$C$20:$BA$20,0),FALSE)*D19,VLOOKUP(B19,'General price list'!C:BA,MATCH("CBM",'General price list'!$C$20:$BA$20,0),FALSE)*(G19*C19)),0))</f>
        <v>0</v>
      </c>
      <c r="K19" s="5"/>
      <c r="L19" s="5"/>
      <c r="M19" s="5"/>
      <c r="N19" s="5"/>
      <c r="O19" s="5"/>
      <c r="P19" s="5"/>
      <c r="Q19" s="5"/>
      <c r="R19" s="5"/>
      <c r="S19" s="954" t="s">
        <v>2578</v>
      </c>
      <c r="T19" s="955"/>
      <c r="U19" s="95">
        <f>AD5</f>
        <v>5</v>
      </c>
      <c r="V19" s="96" t="str">
        <f>ROUND(VLOOKUP(U19,AH25:AM39,4,FALSE),0)&amp;" min"</f>
        <v>1 min</v>
      </c>
      <c r="W19" s="96">
        <f>AF5</f>
        <v>2</v>
      </c>
      <c r="X19" s="97" t="str">
        <f>ROUND(VLOOKUP(W19,AH25:AM39,6,FALSE),0)&amp;" min"</f>
        <v>2 min</v>
      </c>
      <c r="Y19" s="5"/>
      <c r="Z19" s="5"/>
      <c r="AA19" s="90"/>
      <c r="AB19" s="90"/>
      <c r="AC19" s="90"/>
      <c r="AD19" s="5"/>
      <c r="AE19" s="5"/>
      <c r="AF19" s="5"/>
      <c r="AG19" s="5"/>
      <c r="AH19" s="5"/>
      <c r="AI19" s="5"/>
      <c r="AJ19" s="5"/>
      <c r="AK19" s="5"/>
      <c r="AL19" s="5"/>
      <c r="AM19" s="5"/>
      <c r="AN19" s="5"/>
      <c r="AO19" s="5"/>
      <c r="AP19" s="5"/>
      <c r="AQ19" s="5"/>
      <c r="AR19" s="5"/>
      <c r="AS19" s="5"/>
      <c r="AT19" s="5"/>
      <c r="AU19" s="5"/>
      <c r="AV19" s="5"/>
      <c r="AW19" s="5"/>
    </row>
    <row r="20" spans="1:49" ht="15.75" thickTop="1">
      <c r="A20" s="5"/>
      <c r="B20" s="790" t="str">
        <f>IF(B19="PAL","",'General price list'!C38)</f>
        <v>DP1BP</v>
      </c>
      <c r="C20" s="1" t="str">
        <f>IF(B20="PAL","",IFERROR(VLOOKUP(B20,'General price list'!C:BA,MATCH("PAL",'General price list'!$C$20:$BA$20,0),FALSE),""))</f>
        <v/>
      </c>
      <c r="D20" s="1">
        <f>IF(B20="PAL","",IFERROR(VLOOKUP(B20,'General price list'!C:BA,MATCH("OBJ",'General price list'!$C$20:$BA$20,0),FALSE),""))</f>
        <v>0</v>
      </c>
      <c r="E20" s="1">
        <f t="shared" si="11"/>
        <v>0</v>
      </c>
      <c r="F20" s="1">
        <f t="shared" si="12"/>
        <v>0</v>
      </c>
      <c r="G20" s="1">
        <f t="shared" si="13"/>
        <v>0</v>
      </c>
      <c r="H20" s="1">
        <f t="shared" si="14"/>
        <v>0</v>
      </c>
      <c r="I20" s="1">
        <f t="shared" si="15"/>
        <v>0</v>
      </c>
      <c r="J20">
        <f>IF(B20="PAL","",IFERROR(IF(C20="",VLOOKUP(B20,'General price list'!C:BA,MATCH("CBM",'General price list'!$C$20:$BA$20,0),FALSE)*D20,VLOOKUP(B20,'General price list'!C:BA,MATCH("CBM",'General price list'!$C$20:$BA$20,0),FALSE)*(G20*C20)),0))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c r="A21" s="5"/>
      <c r="B21" s="790">
        <f>IF(B20="PAL","",'General price list'!C39)</f>
        <v>0</v>
      </c>
      <c r="C21" s="1" t="str">
        <f>IF(B21="PAL","",IFERROR(VLOOKUP(B21,'General price list'!C:BA,MATCH("PAL",'General price list'!$C$20:$BA$20,0),FALSE),""))</f>
        <v/>
      </c>
      <c r="D21" s="1" t="str">
        <f>IF(B21="PAL","",IFERROR(VLOOKUP(B21,'General price list'!C:BA,MATCH("OBJ",'General price list'!$C$20:$BA$20,0),FALSE),""))</f>
        <v/>
      </c>
      <c r="E21" s="1">
        <f t="shared" si="11"/>
        <v>0</v>
      </c>
      <c r="F21" s="1">
        <f t="shared" si="12"/>
        <v>0</v>
      </c>
      <c r="G21" s="1">
        <f t="shared" si="13"/>
        <v>0</v>
      </c>
      <c r="H21" s="1">
        <f t="shared" si="14"/>
        <v>0</v>
      </c>
      <c r="I21" s="1">
        <f t="shared" si="15"/>
        <v>0</v>
      </c>
      <c r="J21">
        <f>IF(B21="PAL","",IFERROR(IF(C21="",VLOOKUP(B21,'General price list'!C:BA,MATCH("CBM",'General price list'!$C$20:$BA$20,0),FALSE)*D21,VLOOKUP(B21,'General price list'!C:BA,MATCH("CBM",'General price list'!$C$20:$BA$20,0),FALSE)*(G21*C21)),0))</f>
        <v>0</v>
      </c>
      <c r="K21" s="5"/>
      <c r="L21" s="5"/>
      <c r="M21" s="5"/>
      <c r="N21" s="5"/>
      <c r="O21" s="958" t="s">
        <v>6554</v>
      </c>
      <c r="P21" s="958"/>
      <c r="Q21" s="958"/>
      <c r="R21" s="958"/>
      <c r="S21" s="958"/>
      <c r="T21" s="958"/>
      <c r="U21" s="958"/>
      <c r="V21" s="958"/>
      <c r="W21" s="959" t="str">
        <f>IF('General price list'!AC6=2,"NA PALETÁCH!!!","NA VOLNO!!")</f>
        <v>NA PALETÁCH!!!</v>
      </c>
      <c r="X21" s="959"/>
      <c r="Y21" s="959"/>
      <c r="Z21" s="959"/>
      <c r="AA21" s="5"/>
      <c r="AB21" s="5"/>
      <c r="AC21" s="5"/>
      <c r="AD21" s="5"/>
      <c r="AE21" s="5"/>
      <c r="AF21" s="5"/>
      <c r="AG21" s="5"/>
      <c r="AH21" s="71" t="s">
        <v>6532</v>
      </c>
      <c r="AI21" s="6">
        <v>1</v>
      </c>
      <c r="AJ21" s="5"/>
      <c r="AK21" s="5"/>
      <c r="AL21" s="5"/>
      <c r="AM21" s="5"/>
      <c r="AN21" s="5"/>
      <c r="AO21" s="5"/>
      <c r="AP21" s="5"/>
      <c r="AQ21" s="5"/>
      <c r="AR21" s="5"/>
      <c r="AS21" s="5"/>
      <c r="AT21" s="5"/>
      <c r="AU21" s="5"/>
      <c r="AV21" s="5"/>
      <c r="AW21" s="5"/>
    </row>
    <row r="22" spans="1:49" ht="15" customHeight="1">
      <c r="A22" s="5"/>
      <c r="B22" s="790" t="str">
        <f>IF(B21="PAL","",'General price list'!C40)</f>
        <v>DP1T</v>
      </c>
      <c r="C22" s="1" t="str">
        <f>IF(B22="PAL","",IFERROR(VLOOKUP(B22,'General price list'!C:BA,MATCH("PAL",'General price list'!$C$20:$BA$20,0),FALSE),""))</f>
        <v/>
      </c>
      <c r="D22" s="1">
        <f>IF(B22="PAL","",IFERROR(VLOOKUP(B22,'General price list'!C:BA,MATCH("OBJ",'General price list'!$C$20:$BA$20,0),FALSE),""))</f>
        <v>0</v>
      </c>
      <c r="E22" s="1">
        <f t="shared" si="11"/>
        <v>0</v>
      </c>
      <c r="F22" s="1">
        <f t="shared" si="12"/>
        <v>0</v>
      </c>
      <c r="G22" s="1">
        <f t="shared" si="13"/>
        <v>0</v>
      </c>
      <c r="H22" s="1">
        <f t="shared" si="14"/>
        <v>0</v>
      </c>
      <c r="I22" s="1">
        <f t="shared" si="15"/>
        <v>0</v>
      </c>
      <c r="J22">
        <f>IF(B22="PAL","",IFERROR(IF(C22="",VLOOKUP(B22,'General price list'!C:BA,MATCH("CBM",'General price list'!$C$20:$BA$20,0),FALSE)*D22,VLOOKUP(B22,'General price list'!C:BA,MATCH("CBM",'General price list'!$C$20:$BA$20,0),FALSE)*(G22*C22)),0))</f>
        <v>0</v>
      </c>
      <c r="K22" s="5"/>
      <c r="L22" s="5"/>
      <c r="M22" s="5"/>
      <c r="N22" s="5"/>
      <c r="O22" s="958"/>
      <c r="P22" s="958"/>
      <c r="Q22" s="958"/>
      <c r="R22" s="958"/>
      <c r="S22" s="958"/>
      <c r="T22" s="958"/>
      <c r="U22" s="958"/>
      <c r="V22" s="958"/>
      <c r="W22" s="959"/>
      <c r="X22" s="959"/>
      <c r="Y22" s="959"/>
      <c r="Z22" s="959"/>
      <c r="AA22" s="5"/>
      <c r="AB22" s="5"/>
      <c r="AC22" s="5"/>
      <c r="AD22" s="5"/>
      <c r="AE22" s="5"/>
      <c r="AF22" s="5"/>
      <c r="AG22" s="5"/>
      <c r="AH22" s="6">
        <v>1</v>
      </c>
      <c r="AI22" s="6">
        <v>2</v>
      </c>
      <c r="AJ22" s="6">
        <v>3</v>
      </c>
      <c r="AK22" s="6">
        <v>4</v>
      </c>
      <c r="AL22" s="6">
        <v>5</v>
      </c>
      <c r="AM22" s="6">
        <v>6</v>
      </c>
      <c r="AN22" s="5"/>
      <c r="AO22" s="5"/>
      <c r="AP22" s="5"/>
      <c r="AQ22" s="5"/>
      <c r="AR22" s="5"/>
      <c r="AS22" s="5"/>
      <c r="AT22" s="5"/>
      <c r="AU22" s="5"/>
      <c r="AV22" s="5"/>
      <c r="AW22" s="5"/>
    </row>
    <row r="23" spans="1:49" ht="15" customHeight="1">
      <c r="A23" s="5"/>
      <c r="B23" s="790" t="str">
        <f>IF(B22="PAL","",'General price list'!C41)</f>
        <v>DP1R</v>
      </c>
      <c r="C23" s="1" t="str">
        <f>IF(B23="PAL","",IFERROR(VLOOKUP(B23,'General price list'!C:BA,MATCH("PAL",'General price list'!$C$20:$BA$20,0),FALSE),""))</f>
        <v/>
      </c>
      <c r="D23" s="1">
        <f>IF(B23="PAL","",IFERROR(VLOOKUP(B23,'General price list'!C:BA,MATCH("OBJ",'General price list'!$C$20:$BA$20,0),FALSE),""))</f>
        <v>0</v>
      </c>
      <c r="E23" s="1">
        <f t="shared" si="11"/>
        <v>0</v>
      </c>
      <c r="F23" s="1">
        <f t="shared" si="12"/>
        <v>0</v>
      </c>
      <c r="G23" s="1">
        <f t="shared" si="13"/>
        <v>0</v>
      </c>
      <c r="H23" s="1">
        <f t="shared" si="14"/>
        <v>0</v>
      </c>
      <c r="I23" s="1">
        <f t="shared" si="15"/>
        <v>0</v>
      </c>
      <c r="J23">
        <f>IF(B23="PAL","",IFERROR(IF(C23="",VLOOKUP(B23,'General price list'!C:BA,MATCH("CBM",'General price list'!$C$20:$BA$20,0),FALSE)*D23,VLOOKUP(B23,'General price list'!C:BA,MATCH("CBM",'General price list'!$C$20:$BA$20,0),FALSE)*(G23*C23)),0))</f>
        <v>0</v>
      </c>
      <c r="K23" s="5"/>
      <c r="L23" s="5"/>
      <c r="M23" s="5"/>
      <c r="N23" s="5"/>
      <c r="O23" s="5"/>
      <c r="P23" s="5"/>
      <c r="Q23" s="5"/>
      <c r="R23" s="5"/>
      <c r="S23" s="5"/>
      <c r="T23" s="5"/>
      <c r="U23" s="5"/>
      <c r="V23" s="5"/>
      <c r="W23" s="5"/>
      <c r="X23" s="5"/>
      <c r="Y23" s="5"/>
      <c r="Z23" s="5"/>
      <c r="AA23" s="5"/>
      <c r="AB23" s="5"/>
      <c r="AC23" s="5"/>
      <c r="AD23" s="5"/>
      <c r="AE23" s="5"/>
      <c r="AF23" s="5"/>
      <c r="AG23" s="5"/>
      <c r="AH23" s="72" t="s">
        <v>6529</v>
      </c>
      <c r="AI23" s="72" t="s">
        <v>6533</v>
      </c>
      <c r="AJ23" s="956" t="s">
        <v>6534</v>
      </c>
      <c r="AK23" s="957"/>
      <c r="AL23" s="956" t="s">
        <v>6535</v>
      </c>
      <c r="AM23" s="957"/>
      <c r="AN23" s="5"/>
      <c r="AO23" s="5"/>
      <c r="AP23" s="5"/>
      <c r="AQ23" s="5"/>
      <c r="AR23" s="5"/>
      <c r="AS23" s="5"/>
      <c r="AT23" s="5"/>
      <c r="AU23" s="5"/>
      <c r="AV23" s="5"/>
      <c r="AW23" s="5"/>
    </row>
    <row r="24" spans="1:49" ht="15.75" thickBot="1">
      <c r="A24" s="5"/>
      <c r="B24" s="790" t="str">
        <f>IF(B23="PAL","",'General price list'!C42)</f>
        <v>DP1VR</v>
      </c>
      <c r="C24" s="1" t="str">
        <f>IF(B24="PAL","",IFERROR(VLOOKUP(B24,'General price list'!C:BA,MATCH("PAL",'General price list'!$C$20:$BA$20,0),FALSE),""))</f>
        <v/>
      </c>
      <c r="D24" s="1">
        <f>IF(B24="PAL","",IFERROR(VLOOKUP(B24,'General price list'!C:BA,MATCH("OBJ",'General price list'!$C$20:$BA$20,0),FALSE),""))</f>
        <v>0</v>
      </c>
      <c r="E24" s="1">
        <f t="shared" si="11"/>
        <v>0</v>
      </c>
      <c r="F24" s="1">
        <f t="shared" si="12"/>
        <v>0</v>
      </c>
      <c r="G24" s="1">
        <f t="shared" si="13"/>
        <v>0</v>
      </c>
      <c r="H24" s="1">
        <f t="shared" si="14"/>
        <v>0</v>
      </c>
      <c r="I24" s="1">
        <f t="shared" si="15"/>
        <v>0</v>
      </c>
      <c r="J24">
        <f>IF(B24="PAL","",IFERROR(IF(C24="",VLOOKUP(B24,'General price list'!C:BA,MATCH("CBM",'General price list'!$C$20:$BA$20,0),FALSE)*D24,VLOOKUP(B24,'General price list'!C:BA,MATCH("CBM",'General price list'!$C$20:$BA$20,0),FALSE)*(G24*C24)),0))</f>
        <v>0</v>
      </c>
      <c r="K24" s="5"/>
      <c r="L24" s="5"/>
      <c r="M24" s="5"/>
      <c r="N24" s="5"/>
      <c r="O24" s="5"/>
      <c r="P24" s="5"/>
      <c r="Q24" s="5"/>
      <c r="R24" s="5"/>
      <c r="S24" s="5"/>
      <c r="T24" s="973" t="str">
        <f>"Uvést skutečný počet palet! Odhad je "&amp;Q4&amp;" palet."</f>
        <v>Uvést skutečný počet palet! Odhad je 0 palet.</v>
      </c>
      <c r="U24" s="973"/>
      <c r="V24" s="973"/>
      <c r="W24" s="973"/>
      <c r="X24" s="973"/>
      <c r="Y24" s="5"/>
      <c r="Z24" s="5"/>
      <c r="AA24" s="5"/>
      <c r="AB24" s="5"/>
      <c r="AC24" s="5"/>
      <c r="AD24" s="5"/>
      <c r="AE24" s="5"/>
      <c r="AF24" s="5"/>
      <c r="AG24" s="5"/>
      <c r="AH24" s="73" t="s">
        <v>6536</v>
      </c>
      <c r="AI24" s="73" t="s">
        <v>6537</v>
      </c>
      <c r="AJ24" s="73" t="s">
        <v>2817</v>
      </c>
      <c r="AK24" s="73" t="s">
        <v>6538</v>
      </c>
      <c r="AL24" s="73" t="s">
        <v>2817</v>
      </c>
      <c r="AM24" s="73" t="s">
        <v>6539</v>
      </c>
      <c r="AN24" s="5"/>
      <c r="AO24" s="5"/>
      <c r="AP24" s="5"/>
      <c r="AQ24" s="5"/>
      <c r="AR24" s="5"/>
      <c r="AS24" s="5"/>
      <c r="AT24" s="5"/>
      <c r="AU24" s="5"/>
      <c r="AV24" s="5"/>
      <c r="AW24" s="5"/>
    </row>
    <row r="25" spans="1:49">
      <c r="A25" s="5"/>
      <c r="B25" s="790" t="str">
        <f>IF(B24="PAL","",'General price list'!C43)</f>
        <v>DP1EM</v>
      </c>
      <c r="C25" s="1" t="str">
        <f>IF(B25="PAL","",IFERROR(VLOOKUP(B25,'General price list'!C:BA,MATCH("PAL",'General price list'!$C$20:$BA$20,0),FALSE),""))</f>
        <v/>
      </c>
      <c r="D25" s="1">
        <f>IF(B25="PAL","",IFERROR(VLOOKUP(B25,'General price list'!C:BA,MATCH("OBJ",'General price list'!$C$20:$BA$20,0),FALSE),""))</f>
        <v>0</v>
      </c>
      <c r="E25" s="1">
        <f t="shared" si="11"/>
        <v>0</v>
      </c>
      <c r="F25" s="1">
        <f t="shared" si="12"/>
        <v>0</v>
      </c>
      <c r="G25" s="1">
        <f t="shared" si="13"/>
        <v>0</v>
      </c>
      <c r="H25" s="1">
        <f t="shared" si="14"/>
        <v>0</v>
      </c>
      <c r="I25" s="1">
        <f t="shared" si="15"/>
        <v>0</v>
      </c>
      <c r="J25">
        <f>IF(B25="PAL","",IFERROR(IF(C25="",VLOOKUP(B25,'General price list'!C:BA,MATCH("CBM",'General price list'!$C$20:$BA$20,0),FALSE)*D25,VLOOKUP(B25,'General price list'!C:BA,MATCH("CBM",'General price list'!$C$20:$BA$20,0),FALSE)*(G25*C25)),0))</f>
        <v>0</v>
      </c>
      <c r="K25" s="5"/>
      <c r="L25" s="5"/>
      <c r="M25" s="5"/>
      <c r="N25" s="5"/>
      <c r="O25" s="5"/>
      <c r="P25" s="5"/>
      <c r="Q25" s="5"/>
      <c r="R25" s="5"/>
      <c r="S25" s="5"/>
      <c r="T25" s="964"/>
      <c r="U25" s="965"/>
      <c r="V25" s="965"/>
      <c r="W25" s="965"/>
      <c r="X25" s="966"/>
      <c r="Y25" s="5"/>
      <c r="Z25" s="5"/>
      <c r="AA25" s="5"/>
      <c r="AB25" s="5"/>
      <c r="AC25" s="5"/>
      <c r="AD25" s="5"/>
      <c r="AE25" s="5"/>
      <c r="AF25" s="5"/>
      <c r="AG25" s="5"/>
      <c r="AH25" s="74">
        <v>1</v>
      </c>
      <c r="AI25" s="74">
        <v>1</v>
      </c>
      <c r="AJ25" s="74">
        <f>V12</f>
        <v>5</v>
      </c>
      <c r="AK25" s="74">
        <f>V13</f>
        <v>5</v>
      </c>
      <c r="AL25" s="74">
        <f t="shared" ref="AL25:AL39" si="16">((($W$12-300)/AI25)+300)/60</f>
        <v>0.33333333333333331</v>
      </c>
      <c r="AM25" s="74">
        <f t="shared" ref="AM25:AM39" si="17">($W$13/AI25)/60</f>
        <v>3</v>
      </c>
      <c r="AN25" s="5"/>
      <c r="AO25" s="5"/>
      <c r="AP25" s="5"/>
      <c r="AQ25" s="5"/>
      <c r="AR25" s="5"/>
      <c r="AS25" s="5"/>
      <c r="AT25" s="5"/>
      <c r="AU25" s="5"/>
      <c r="AV25" s="5"/>
      <c r="AW25" s="5"/>
    </row>
    <row r="26" spans="1:49">
      <c r="A26" s="5"/>
      <c r="B26" s="790" t="str">
        <f>IF(B25="PAL","",'General price list'!C44)</f>
        <v>DP1SW</v>
      </c>
      <c r="C26" s="1" t="str">
        <f>IF(B26="PAL","",IFERROR(VLOOKUP(B26,'General price list'!C:BA,MATCH("PAL",'General price list'!$C$20:$BA$20,0),FALSE),""))</f>
        <v/>
      </c>
      <c r="D26" s="1">
        <f>IF(B26="PAL","",IFERROR(VLOOKUP(B26,'General price list'!C:BA,MATCH("OBJ",'General price list'!$C$20:$BA$20,0),FALSE),""))</f>
        <v>0</v>
      </c>
      <c r="E26" s="1">
        <f t="shared" si="11"/>
        <v>0</v>
      </c>
      <c r="F26" s="1">
        <f t="shared" si="12"/>
        <v>0</v>
      </c>
      <c r="G26" s="1">
        <f t="shared" si="13"/>
        <v>0</v>
      </c>
      <c r="H26" s="1">
        <f t="shared" si="14"/>
        <v>0</v>
      </c>
      <c r="I26" s="1">
        <f t="shared" si="15"/>
        <v>0</v>
      </c>
      <c r="J26">
        <f>IF(B26="PAL","",IFERROR(IF(C26="",VLOOKUP(B26,'General price list'!C:BA,MATCH("CBM",'General price list'!$C$20:$BA$20,0),FALSE)*D26,VLOOKUP(B26,'General price list'!C:BA,MATCH("CBM",'General price list'!$C$20:$BA$20,0),FALSE)*(G26*C26)),0))</f>
        <v>0</v>
      </c>
      <c r="K26" s="5"/>
      <c r="L26" s="5"/>
      <c r="M26" s="5"/>
      <c r="N26" s="5"/>
      <c r="O26" s="5"/>
      <c r="P26" s="5"/>
      <c r="Q26" s="5"/>
      <c r="R26" s="5"/>
      <c r="S26" s="5"/>
      <c r="T26" s="967"/>
      <c r="U26" s="968"/>
      <c r="V26" s="968"/>
      <c r="W26" s="968"/>
      <c r="X26" s="969"/>
      <c r="Y26" s="5"/>
      <c r="Z26" s="5"/>
      <c r="AA26" s="5"/>
      <c r="AB26" s="5"/>
      <c r="AC26" s="5"/>
      <c r="AD26" s="5"/>
      <c r="AE26" s="5"/>
      <c r="AF26" s="5"/>
      <c r="AG26" s="5"/>
      <c r="AH26" s="75">
        <v>2</v>
      </c>
      <c r="AI26" s="75">
        <f t="shared" ref="AI26:AI39" si="18">AH26*$AI$21</f>
        <v>2</v>
      </c>
      <c r="AJ26" s="75">
        <f t="shared" ref="AJ26:AJ39" si="19">AJ$25/AI26</f>
        <v>2.5</v>
      </c>
      <c r="AK26" s="75">
        <f t="shared" ref="AK26:AK39" si="20">AK$25/AI26</f>
        <v>2.5</v>
      </c>
      <c r="AL26" s="75">
        <f t="shared" si="16"/>
        <v>2.6666666666666665</v>
      </c>
      <c r="AM26" s="75">
        <f t="shared" si="17"/>
        <v>1.5</v>
      </c>
      <c r="AN26" s="5"/>
      <c r="AO26" s="5"/>
      <c r="AP26" s="5"/>
      <c r="AQ26" s="5"/>
      <c r="AR26" s="5"/>
      <c r="AS26" s="5"/>
      <c r="AT26" s="5"/>
      <c r="AU26" s="5"/>
      <c r="AV26" s="5"/>
      <c r="AW26" s="5"/>
    </row>
    <row r="27" spans="1:49" ht="15.75" thickBot="1">
      <c r="A27" s="5"/>
      <c r="B27" s="790">
        <f>IF(B26="PAL","",'General price list'!C45)</f>
        <v>0</v>
      </c>
      <c r="C27" s="1" t="str">
        <f>IF(B27="PAL","",IFERROR(VLOOKUP(B27,'General price list'!C:BA,MATCH("PAL",'General price list'!$C$20:$BA$20,0),FALSE),""))</f>
        <v/>
      </c>
      <c r="D27" s="1" t="str">
        <f>IF(B27="PAL","",IFERROR(VLOOKUP(B27,'General price list'!C:BA,MATCH("OBJ",'General price list'!$C$20:$BA$20,0),FALSE),""))</f>
        <v/>
      </c>
      <c r="E27" s="1">
        <f t="shared" si="11"/>
        <v>0</v>
      </c>
      <c r="F27" s="1">
        <f t="shared" si="12"/>
        <v>0</v>
      </c>
      <c r="G27" s="1">
        <f t="shared" si="13"/>
        <v>0</v>
      </c>
      <c r="H27" s="1">
        <f t="shared" si="14"/>
        <v>0</v>
      </c>
      <c r="I27" s="1">
        <f t="shared" si="15"/>
        <v>0</v>
      </c>
      <c r="J27">
        <f>IF(B27="PAL","",IFERROR(IF(C27="",VLOOKUP(B27,'General price list'!C:BA,MATCH("CBM",'General price list'!$C$20:$BA$20,0),FALSE)*D27,VLOOKUP(B27,'General price list'!C:BA,MATCH("CBM",'General price list'!$C$20:$BA$20,0),FALSE)*(G27*C27)),0))</f>
        <v>0</v>
      </c>
      <c r="K27" s="5"/>
      <c r="L27" s="5"/>
      <c r="M27" s="5"/>
      <c r="N27" s="5"/>
      <c r="O27" s="5"/>
      <c r="P27" s="5"/>
      <c r="Q27" s="5"/>
      <c r="R27" s="5"/>
      <c r="S27" s="5"/>
      <c r="T27" s="970"/>
      <c r="U27" s="971"/>
      <c r="V27" s="971"/>
      <c r="W27" s="971"/>
      <c r="X27" s="972"/>
      <c r="Y27" s="5"/>
      <c r="Z27" s="5"/>
      <c r="AA27" s="5"/>
      <c r="AB27" s="5"/>
      <c r="AC27" s="5"/>
      <c r="AD27" s="5"/>
      <c r="AE27" s="5"/>
      <c r="AF27" s="5"/>
      <c r="AG27" s="5"/>
      <c r="AH27" s="74">
        <v>3</v>
      </c>
      <c r="AI27" s="74">
        <f t="shared" si="18"/>
        <v>3</v>
      </c>
      <c r="AJ27" s="74">
        <f t="shared" si="19"/>
        <v>1.6666666666666667</v>
      </c>
      <c r="AK27" s="74">
        <f t="shared" si="20"/>
        <v>1.6666666666666667</v>
      </c>
      <c r="AL27" s="74">
        <f t="shared" si="16"/>
        <v>3.4444444444444446</v>
      </c>
      <c r="AM27" s="74">
        <f t="shared" si="17"/>
        <v>1</v>
      </c>
      <c r="AN27" s="5"/>
      <c r="AO27" s="5"/>
      <c r="AP27" s="5"/>
      <c r="AQ27" s="5"/>
      <c r="AR27" s="5"/>
      <c r="AS27" s="5"/>
      <c r="AT27" s="5"/>
      <c r="AU27" s="5"/>
      <c r="AV27" s="5"/>
      <c r="AW27" s="5"/>
    </row>
    <row r="28" spans="1:49">
      <c r="A28" s="5"/>
      <c r="B28" s="790" t="str">
        <f>IF(B27="PAL","",'General price list'!C46)</f>
        <v>DP1FR</v>
      </c>
      <c r="C28" s="1" t="str">
        <f>IF(B28="PAL","",IFERROR(VLOOKUP(B28,'General price list'!C:BA,MATCH("PAL",'General price list'!$C$20:$BA$20,0),FALSE),""))</f>
        <v/>
      </c>
      <c r="D28" s="1">
        <f>IF(B28="PAL","",IFERROR(VLOOKUP(B28,'General price list'!C:BA,MATCH("OBJ",'General price list'!$C$20:$BA$20,0),FALSE),""))</f>
        <v>0</v>
      </c>
      <c r="E28" s="1">
        <f t="shared" si="11"/>
        <v>0</v>
      </c>
      <c r="F28" s="1">
        <f t="shared" si="12"/>
        <v>0</v>
      </c>
      <c r="G28" s="1">
        <f t="shared" si="13"/>
        <v>0</v>
      </c>
      <c r="H28" s="1">
        <f t="shared" si="14"/>
        <v>0</v>
      </c>
      <c r="I28" s="1">
        <f t="shared" si="15"/>
        <v>0</v>
      </c>
      <c r="J28">
        <f>IF(B28="PAL","",IFERROR(IF(C28="",VLOOKUP(B28,'General price list'!C:BA,MATCH("CBM",'General price list'!$C$20:$BA$20,0),FALSE)*D28,VLOOKUP(B28,'General price list'!C:BA,MATCH("CBM",'General price list'!$C$20:$BA$20,0),FALSE)*(G28*C28)),0))</f>
        <v>0</v>
      </c>
      <c r="K28" s="5"/>
      <c r="L28" s="5"/>
      <c r="M28" s="5"/>
      <c r="N28" s="5"/>
      <c r="O28" s="5"/>
      <c r="P28" s="5"/>
      <c r="Q28" s="5"/>
      <c r="R28" s="5"/>
      <c r="S28" s="5"/>
      <c r="T28" s="5"/>
      <c r="U28" s="5"/>
      <c r="V28" s="5"/>
      <c r="W28" s="5"/>
      <c r="X28" s="5"/>
      <c r="Y28" s="5"/>
      <c r="Z28" s="5"/>
      <c r="AA28" s="5"/>
      <c r="AB28" s="5"/>
      <c r="AC28" s="5"/>
      <c r="AD28" s="5"/>
      <c r="AE28" s="5"/>
      <c r="AF28" s="5"/>
      <c r="AG28" s="5"/>
      <c r="AH28" s="75">
        <v>4</v>
      </c>
      <c r="AI28" s="75">
        <f t="shared" si="18"/>
        <v>4</v>
      </c>
      <c r="AJ28" s="75">
        <f t="shared" si="19"/>
        <v>1.25</v>
      </c>
      <c r="AK28" s="75">
        <f t="shared" si="20"/>
        <v>1.25</v>
      </c>
      <c r="AL28" s="75">
        <f t="shared" si="16"/>
        <v>3.8333333333333335</v>
      </c>
      <c r="AM28" s="75">
        <f t="shared" si="17"/>
        <v>0.75</v>
      </c>
      <c r="AN28" s="5"/>
      <c r="AO28" s="5"/>
      <c r="AP28" s="5"/>
      <c r="AQ28" s="5"/>
      <c r="AR28" s="5"/>
      <c r="AS28" s="5"/>
      <c r="AT28" s="5"/>
      <c r="AU28" s="5"/>
      <c r="AV28" s="5"/>
      <c r="AW28" s="5"/>
    </row>
    <row r="29" spans="1:49">
      <c r="A29" s="5"/>
      <c r="B29" s="790" t="str">
        <f>IF(B28="PAL","",'General price list'!C47)</f>
        <v>DP1FM</v>
      </c>
      <c r="C29" s="1" t="str">
        <f>IF(B29="PAL","",IFERROR(VLOOKUP(B29,'General price list'!C:BA,MATCH("PAL",'General price list'!$C$20:$BA$20,0),FALSE),""))</f>
        <v/>
      </c>
      <c r="D29" s="1">
        <f>IF(B29="PAL","",IFERROR(VLOOKUP(B29,'General price list'!C:BA,MATCH("OBJ",'General price list'!$C$20:$BA$20,0),FALSE),""))</f>
        <v>0</v>
      </c>
      <c r="E29" s="1">
        <f t="shared" si="11"/>
        <v>0</v>
      </c>
      <c r="F29" s="1">
        <f t="shared" si="12"/>
        <v>0</v>
      </c>
      <c r="G29" s="1">
        <f t="shared" si="13"/>
        <v>0</v>
      </c>
      <c r="H29" s="1">
        <f t="shared" si="14"/>
        <v>0</v>
      </c>
      <c r="I29" s="1">
        <f t="shared" si="15"/>
        <v>0</v>
      </c>
      <c r="J29">
        <f>IF(B29="PAL","",IFERROR(IF(C29="",VLOOKUP(B29,'General price list'!C:BA,MATCH("CBM",'General price list'!$C$20:$BA$20,0),FALSE)*D29,VLOOKUP(B29,'General price list'!C:BA,MATCH("CBM",'General price list'!$C$20:$BA$20,0),FALSE)*(G29*C29)),0))</f>
        <v>0</v>
      </c>
      <c r="K29" s="5"/>
      <c r="L29" s="5"/>
      <c r="M29" s="5"/>
      <c r="N29" s="5"/>
      <c r="R29" s="5"/>
      <c r="S29" s="5"/>
      <c r="T29" s="5"/>
      <c r="U29" s="5"/>
      <c r="V29" s="5"/>
      <c r="W29" s="5"/>
      <c r="X29" s="5"/>
      <c r="Y29" s="5"/>
      <c r="Z29" s="5"/>
      <c r="AA29" s="5"/>
      <c r="AB29" s="5"/>
      <c r="AC29" s="5"/>
      <c r="AD29" s="5"/>
      <c r="AE29" s="5"/>
      <c r="AF29" s="5"/>
      <c r="AG29" s="5"/>
      <c r="AH29" s="74">
        <v>5</v>
      </c>
      <c r="AI29" s="74">
        <f t="shared" si="18"/>
        <v>5</v>
      </c>
      <c r="AJ29" s="74">
        <f t="shared" si="19"/>
        <v>1</v>
      </c>
      <c r="AK29" s="74">
        <f t="shared" si="20"/>
        <v>1</v>
      </c>
      <c r="AL29" s="74">
        <f t="shared" si="16"/>
        <v>4.0666666666666664</v>
      </c>
      <c r="AM29" s="74">
        <f t="shared" si="17"/>
        <v>0.6</v>
      </c>
      <c r="AN29" s="5"/>
      <c r="AO29" s="5"/>
      <c r="AP29" s="5"/>
      <c r="AQ29" s="5"/>
      <c r="AR29" s="5"/>
      <c r="AS29" s="5"/>
      <c r="AT29" s="5"/>
      <c r="AU29" s="5"/>
      <c r="AV29" s="5"/>
      <c r="AW29" s="5"/>
    </row>
    <row r="30" spans="1:49">
      <c r="A30" s="5"/>
      <c r="B30" s="790" t="str">
        <f>IF(B29="PAL","",'General price list'!C48)</f>
        <v>DP1FV</v>
      </c>
      <c r="C30" s="1" t="str">
        <f>IF(B30="PAL","",IFERROR(VLOOKUP(B30,'General price list'!C:BA,MATCH("PAL",'General price list'!$C$20:$BA$20,0),FALSE),""))</f>
        <v/>
      </c>
      <c r="D30" s="1">
        <f>IF(B30="PAL","",IFERROR(VLOOKUP(B30,'General price list'!C:BA,MATCH("OBJ",'General price list'!$C$20:$BA$20,0),FALSE),""))</f>
        <v>0</v>
      </c>
      <c r="E30" s="1">
        <f t="shared" si="11"/>
        <v>0</v>
      </c>
      <c r="F30" s="1">
        <f t="shared" si="12"/>
        <v>0</v>
      </c>
      <c r="G30" s="1">
        <f t="shared" si="13"/>
        <v>0</v>
      </c>
      <c r="H30" s="1">
        <f t="shared" si="14"/>
        <v>0</v>
      </c>
      <c r="I30" s="1">
        <f t="shared" si="15"/>
        <v>0</v>
      </c>
      <c r="J30">
        <f>IF(B30="PAL","",IFERROR(IF(C30="",VLOOKUP(B30,'General price list'!C:BA,MATCH("CBM",'General price list'!$C$20:$BA$20,0),FALSE)*D30,VLOOKUP(B30,'General price list'!C:BA,MATCH("CBM",'General price list'!$C$20:$BA$20,0),FALSE)*(G30*C30)),0))</f>
        <v>0</v>
      </c>
      <c r="K30" s="5"/>
      <c r="L30" s="5"/>
      <c r="M30" s="5"/>
      <c r="N30" s="5"/>
      <c r="R30" s="5"/>
      <c r="S30" s="5"/>
      <c r="T30" s="5"/>
      <c r="U30" s="5"/>
      <c r="V30" s="5"/>
      <c r="W30" s="5"/>
      <c r="X30" s="5"/>
      <c r="Y30" s="5"/>
      <c r="Z30" s="5"/>
      <c r="AA30" s="5"/>
      <c r="AB30" s="5"/>
      <c r="AC30" s="5"/>
      <c r="AD30" s="5"/>
      <c r="AE30" s="5"/>
      <c r="AF30" s="5"/>
      <c r="AG30" s="5"/>
      <c r="AH30" s="75">
        <v>6</v>
      </c>
      <c r="AI30" s="75">
        <f t="shared" si="18"/>
        <v>6</v>
      </c>
      <c r="AJ30" s="75">
        <f t="shared" si="19"/>
        <v>0.83333333333333337</v>
      </c>
      <c r="AK30" s="75">
        <f t="shared" si="20"/>
        <v>0.83333333333333337</v>
      </c>
      <c r="AL30" s="75">
        <f t="shared" si="16"/>
        <v>4.2222222222222223</v>
      </c>
      <c r="AM30" s="75">
        <f t="shared" si="17"/>
        <v>0.5</v>
      </c>
      <c r="AN30" s="5"/>
      <c r="AO30" s="5"/>
      <c r="AP30" s="5"/>
      <c r="AQ30" s="5"/>
      <c r="AR30" s="5"/>
      <c r="AS30" s="5"/>
      <c r="AT30" s="5"/>
      <c r="AU30" s="5"/>
      <c r="AV30" s="5"/>
      <c r="AW30" s="5"/>
    </row>
    <row r="31" spans="1:49">
      <c r="A31" s="5"/>
      <c r="B31" s="790" t="str">
        <f>IF(B30="PAL","",'General price list'!C49)</f>
        <v>DP1FD</v>
      </c>
      <c r="C31" s="1" t="str">
        <f>IF(B31="PAL","",IFERROR(VLOOKUP(B31,'General price list'!C:BA,MATCH("PAL",'General price list'!$C$20:$BA$20,0),FALSE),""))</f>
        <v/>
      </c>
      <c r="D31" s="1">
        <f>IF(B31="PAL","",IFERROR(VLOOKUP(B31,'General price list'!C:BA,MATCH("OBJ",'General price list'!$C$20:$BA$20,0),FALSE),""))</f>
        <v>0</v>
      </c>
      <c r="E31" s="1">
        <f t="shared" si="11"/>
        <v>0</v>
      </c>
      <c r="F31" s="1">
        <f t="shared" si="12"/>
        <v>0</v>
      </c>
      <c r="G31" s="1">
        <f t="shared" si="13"/>
        <v>0</v>
      </c>
      <c r="H31" s="1">
        <f t="shared" si="14"/>
        <v>0</v>
      </c>
      <c r="I31" s="1">
        <f t="shared" si="15"/>
        <v>0</v>
      </c>
      <c r="J31">
        <f>IF(B31="PAL","",IFERROR(IF(C31="",VLOOKUP(B31,'General price list'!C:BA,MATCH("CBM",'General price list'!$C$20:$BA$20,0),FALSE)*D31,VLOOKUP(B31,'General price list'!C:BA,MATCH("CBM",'General price list'!$C$20:$BA$20,0),FALSE)*(G31*C31)),0))</f>
        <v>0</v>
      </c>
      <c r="K31" s="5"/>
      <c r="L31" s="5"/>
      <c r="M31" s="5"/>
      <c r="N31" s="5"/>
      <c r="O31" s="5"/>
      <c r="P31" s="5"/>
      <c r="Q31" s="5"/>
      <c r="R31" s="5"/>
      <c r="S31" s="5"/>
      <c r="T31" s="5"/>
      <c r="U31" s="5"/>
      <c r="V31" s="5"/>
      <c r="W31" s="5"/>
      <c r="X31" s="5"/>
      <c r="Y31" s="5"/>
      <c r="Z31" s="5"/>
      <c r="AA31" s="5"/>
      <c r="AB31" s="5"/>
      <c r="AC31" s="5"/>
      <c r="AD31" s="5"/>
      <c r="AE31" s="5"/>
      <c r="AF31" s="5"/>
      <c r="AG31" s="5"/>
      <c r="AH31" s="74">
        <v>7</v>
      </c>
      <c r="AI31" s="74">
        <f t="shared" si="18"/>
        <v>7</v>
      </c>
      <c r="AJ31" s="74">
        <f t="shared" si="19"/>
        <v>0.7142857142857143</v>
      </c>
      <c r="AK31" s="74">
        <f t="shared" si="20"/>
        <v>0.7142857142857143</v>
      </c>
      <c r="AL31" s="74">
        <f t="shared" si="16"/>
        <v>4.333333333333333</v>
      </c>
      <c r="AM31" s="74">
        <f t="shared" si="17"/>
        <v>0.4285714285714286</v>
      </c>
      <c r="AN31" s="5"/>
      <c r="AO31" s="5"/>
      <c r="AP31" s="5"/>
      <c r="AQ31" s="5"/>
      <c r="AR31" s="5"/>
      <c r="AS31" s="5"/>
      <c r="AT31" s="5"/>
      <c r="AU31" s="5"/>
      <c r="AV31" s="5"/>
      <c r="AW31" s="5"/>
    </row>
    <row r="32" spans="1:49">
      <c r="A32" s="5"/>
      <c r="B32" s="790" t="str">
        <f>IF(B31="PAL","",'General price list'!C51)</f>
        <v>F19MF1</v>
      </c>
      <c r="C32" s="1" t="str">
        <f>IF(B32="PAL","",IFERROR(VLOOKUP(B32,'General price list'!C:BA,MATCH("PAL",'General price list'!$C$20:$BA$20,0),FALSE),""))</f>
        <v/>
      </c>
      <c r="D32" s="1">
        <f>IF(B32="PAL","",IFERROR(VLOOKUP(B32,'General price list'!C:BA,MATCH("OBJ",'General price list'!$C$20:$BA$20,0),FALSE),""))</f>
        <v>0</v>
      </c>
      <c r="E32" s="1">
        <f t="shared" si="11"/>
        <v>0</v>
      </c>
      <c r="F32" s="1">
        <f t="shared" si="12"/>
        <v>0</v>
      </c>
      <c r="G32" s="1">
        <f t="shared" si="13"/>
        <v>0</v>
      </c>
      <c r="H32" s="1">
        <f t="shared" si="14"/>
        <v>0</v>
      </c>
      <c r="I32" s="1">
        <f t="shared" si="15"/>
        <v>0</v>
      </c>
      <c r="J32">
        <f>IF(B32="PAL","",IFERROR(IF(C32="",VLOOKUP(B32,'General price list'!C:BA,MATCH("CBM",'General price list'!$C$20:$BA$20,0),FALSE)*D32,VLOOKUP(B32,'General price list'!C:BA,MATCH("CBM",'General price list'!$C$20:$BA$20,0),FALSE)*(G32*C32)),0))</f>
        <v>0</v>
      </c>
      <c r="K32" s="5"/>
      <c r="L32" s="5"/>
      <c r="M32" s="5"/>
      <c r="N32" s="5"/>
      <c r="O32" s="5"/>
      <c r="P32" s="5"/>
      <c r="Q32" s="5"/>
      <c r="R32" s="5"/>
      <c r="S32" s="5"/>
      <c r="T32" s="5"/>
      <c r="U32" s="5"/>
      <c r="V32" s="5"/>
      <c r="W32" s="5"/>
      <c r="X32" s="5"/>
      <c r="Y32" s="5"/>
      <c r="Z32" s="5"/>
      <c r="AA32" s="5"/>
      <c r="AB32" s="5"/>
      <c r="AC32" s="5"/>
      <c r="AD32" s="5"/>
      <c r="AE32" s="5"/>
      <c r="AF32" s="5"/>
      <c r="AG32" s="5"/>
      <c r="AH32" s="75">
        <v>8</v>
      </c>
      <c r="AI32" s="75">
        <f t="shared" si="18"/>
        <v>8</v>
      </c>
      <c r="AJ32" s="75">
        <f t="shared" si="19"/>
        <v>0.625</v>
      </c>
      <c r="AK32" s="75">
        <f t="shared" si="20"/>
        <v>0.625</v>
      </c>
      <c r="AL32" s="75">
        <f t="shared" si="16"/>
        <v>4.416666666666667</v>
      </c>
      <c r="AM32" s="75">
        <f t="shared" si="17"/>
        <v>0.375</v>
      </c>
      <c r="AN32" s="5"/>
      <c r="AO32" s="5"/>
      <c r="AP32" s="5"/>
      <c r="AQ32" s="5"/>
      <c r="AR32" s="5"/>
      <c r="AS32" s="5"/>
      <c r="AT32" s="5"/>
      <c r="AU32" s="5"/>
      <c r="AV32" s="5"/>
      <c r="AW32" s="5"/>
    </row>
    <row r="33" spans="1:49">
      <c r="A33" s="5"/>
      <c r="B33" s="790" t="str">
        <f>IF(B32="PAL","",'General price list'!C52)</f>
        <v>BP30S</v>
      </c>
      <c r="C33" s="1" t="str">
        <f>IF(B33="PAL","",IFERROR(VLOOKUP(B33,'General price list'!C:BA,MATCH("PAL",'General price list'!$C$20:$BA$20,0),FALSE),""))</f>
        <v/>
      </c>
      <c r="D33" s="1">
        <f>IF(B33="PAL","",IFERROR(VLOOKUP(B33,'General price list'!C:BA,MATCH("OBJ",'General price list'!$C$20:$BA$20,0),FALSE),""))</f>
        <v>0</v>
      </c>
      <c r="E33" s="1">
        <f t="shared" si="11"/>
        <v>0</v>
      </c>
      <c r="F33" s="1">
        <f t="shared" si="12"/>
        <v>0</v>
      </c>
      <c r="G33" s="1">
        <f t="shared" si="13"/>
        <v>0</v>
      </c>
      <c r="H33" s="1">
        <f t="shared" si="14"/>
        <v>0</v>
      </c>
      <c r="I33" s="1">
        <f t="shared" si="15"/>
        <v>0</v>
      </c>
      <c r="J33">
        <f>IF(B33="PAL","",IFERROR(IF(C33="",VLOOKUP(B33,'General price list'!C:BA,MATCH("CBM",'General price list'!$C$20:$BA$20,0),FALSE)*D33,VLOOKUP(B33,'General price list'!C:BA,MATCH("CBM",'General price list'!$C$20:$BA$20,0),FALSE)*(G33*C33)),0))</f>
        <v>0</v>
      </c>
      <c r="K33" s="5"/>
      <c r="L33" s="5"/>
      <c r="M33" s="5"/>
      <c r="N33" s="5"/>
      <c r="O33" s="5"/>
      <c r="P33" s="5"/>
      <c r="Q33" s="5"/>
      <c r="R33" s="5"/>
      <c r="S33" s="5"/>
      <c r="T33" s="5"/>
      <c r="U33" s="5"/>
      <c r="V33" s="5"/>
      <c r="W33" s="5"/>
      <c r="X33" s="5"/>
      <c r="Y33" s="5"/>
      <c r="Z33" s="5"/>
      <c r="AA33" s="5"/>
      <c r="AB33" s="5"/>
      <c r="AC33" s="5"/>
      <c r="AD33" s="5"/>
      <c r="AE33" s="5"/>
      <c r="AF33" s="5"/>
      <c r="AG33" s="5"/>
      <c r="AH33" s="74">
        <v>9</v>
      </c>
      <c r="AI33" s="74">
        <f t="shared" si="18"/>
        <v>9</v>
      </c>
      <c r="AJ33" s="74">
        <f t="shared" si="19"/>
        <v>0.55555555555555558</v>
      </c>
      <c r="AK33" s="74">
        <f t="shared" si="20"/>
        <v>0.55555555555555558</v>
      </c>
      <c r="AL33" s="74">
        <f t="shared" si="16"/>
        <v>4.4814814814814818</v>
      </c>
      <c r="AM33" s="74">
        <f t="shared" si="17"/>
        <v>0.33333333333333331</v>
      </c>
      <c r="AN33" s="5"/>
      <c r="AO33" s="5"/>
      <c r="AP33" s="5"/>
      <c r="AQ33" s="5"/>
      <c r="AR33" s="5"/>
      <c r="AS33" s="5"/>
      <c r="AT33" s="5"/>
      <c r="AU33" s="5"/>
      <c r="AV33" s="5"/>
      <c r="AW33" s="5"/>
    </row>
    <row r="34" spans="1:49">
      <c r="A34" s="5"/>
      <c r="B34" s="790" t="str">
        <f>IF(B33="PAL","",'General price list'!C53)</f>
        <v>CST12S</v>
      </c>
      <c r="C34" s="1" t="str">
        <f>IF(B34="PAL","",IFERROR(VLOOKUP(B34,'General price list'!C:BA,MATCH("PAL",'General price list'!$C$20:$BA$20,0),FALSE),""))</f>
        <v/>
      </c>
      <c r="D34" s="1">
        <f>IF(B34="PAL","",IFERROR(VLOOKUP(B34,'General price list'!C:BA,MATCH("OBJ",'General price list'!$C$20:$BA$20,0),FALSE),""))</f>
        <v>0</v>
      </c>
      <c r="E34" s="1">
        <f t="shared" si="11"/>
        <v>0</v>
      </c>
      <c r="F34" s="1">
        <f t="shared" si="12"/>
        <v>0</v>
      </c>
      <c r="G34" s="1">
        <f t="shared" si="13"/>
        <v>0</v>
      </c>
      <c r="H34" s="1">
        <f t="shared" si="14"/>
        <v>0</v>
      </c>
      <c r="I34" s="1">
        <f t="shared" si="15"/>
        <v>0</v>
      </c>
      <c r="J34">
        <f>IF(B34="PAL","",IFERROR(IF(C34="",VLOOKUP(B34,'General price list'!C:BA,MATCH("CBM",'General price list'!$C$20:$BA$20,0),FALSE)*D34,VLOOKUP(B34,'General price list'!C:BA,MATCH("CBM",'General price list'!$C$20:$BA$20,0),FALSE)*(G34*C34)),0))</f>
        <v>0</v>
      </c>
      <c r="K34" s="5"/>
      <c r="L34" s="5"/>
      <c r="M34" s="5"/>
      <c r="N34" s="5"/>
      <c r="O34" s="5"/>
      <c r="P34" s="5"/>
      <c r="Q34" s="5"/>
      <c r="R34" s="5"/>
      <c r="S34" s="5"/>
      <c r="T34" s="5"/>
      <c r="U34" s="5"/>
      <c r="V34" s="5"/>
      <c r="W34" s="5"/>
      <c r="X34" s="5"/>
      <c r="Y34" s="5"/>
      <c r="Z34" s="5"/>
      <c r="AA34" s="5"/>
      <c r="AB34" s="5"/>
      <c r="AC34" s="5"/>
      <c r="AD34" s="5"/>
      <c r="AE34" s="5"/>
      <c r="AF34" s="5"/>
      <c r="AG34" s="5"/>
      <c r="AH34" s="75">
        <v>10</v>
      </c>
      <c r="AI34" s="75">
        <f t="shared" si="18"/>
        <v>10</v>
      </c>
      <c r="AJ34" s="75">
        <f t="shared" si="19"/>
        <v>0.5</v>
      </c>
      <c r="AK34" s="75">
        <f t="shared" si="20"/>
        <v>0.5</v>
      </c>
      <c r="AL34" s="75">
        <f t="shared" si="16"/>
        <v>4.5333333333333332</v>
      </c>
      <c r="AM34" s="75">
        <f t="shared" si="17"/>
        <v>0.3</v>
      </c>
      <c r="AN34" s="5"/>
      <c r="AO34" s="5"/>
      <c r="AP34" s="5"/>
      <c r="AQ34" s="5"/>
      <c r="AR34" s="5"/>
      <c r="AS34" s="5"/>
      <c r="AT34" s="5"/>
      <c r="AU34" s="5"/>
      <c r="AV34" s="5"/>
      <c r="AW34" s="5"/>
    </row>
    <row r="35" spans="1:49">
      <c r="A35" s="5"/>
      <c r="B35" s="790" t="str">
        <f>IF(B34="PAL","",'General price list'!C54)</f>
        <v>CST40S</v>
      </c>
      <c r="C35" s="1" t="str">
        <f>IF(B35="PAL","",IFERROR(VLOOKUP(B35,'General price list'!C:BA,MATCH("PAL",'General price list'!$C$20:$BA$20,0),FALSE),""))</f>
        <v/>
      </c>
      <c r="D35" s="1">
        <f>IF(B35="PAL","",IFERROR(VLOOKUP(B35,'General price list'!C:BA,MATCH("OBJ",'General price list'!$C$20:$BA$20,0),FALSE),""))</f>
        <v>0</v>
      </c>
      <c r="E35" s="1">
        <f t="shared" si="11"/>
        <v>0</v>
      </c>
      <c r="F35" s="1">
        <f t="shared" si="12"/>
        <v>0</v>
      </c>
      <c r="G35" s="1">
        <f t="shared" si="13"/>
        <v>0</v>
      </c>
      <c r="H35" s="1">
        <f t="shared" si="14"/>
        <v>0</v>
      </c>
      <c r="I35" s="1">
        <f t="shared" si="15"/>
        <v>0</v>
      </c>
      <c r="J35">
        <f>IF(B35="PAL","",IFERROR(IF(C35="",VLOOKUP(B35,'General price list'!C:BA,MATCH("CBM",'General price list'!$C$20:$BA$20,0),FALSE)*D35,VLOOKUP(B35,'General price list'!C:BA,MATCH("CBM",'General price list'!$C$20:$BA$20,0),FALSE)*(G35*C35)),0))</f>
        <v>0</v>
      </c>
      <c r="K35" s="5"/>
      <c r="L35" s="5"/>
      <c r="M35" s="5"/>
      <c r="N35" s="5"/>
      <c r="O35" s="5"/>
      <c r="P35" s="5"/>
      <c r="Q35" s="5"/>
      <c r="R35" s="5"/>
      <c r="S35" s="5"/>
      <c r="T35" s="5"/>
      <c r="U35" s="5"/>
      <c r="V35" s="5"/>
      <c r="W35" s="5"/>
      <c r="X35" s="5"/>
      <c r="Y35" s="5"/>
      <c r="Z35" s="5"/>
      <c r="AA35" s="5"/>
      <c r="AB35" s="5"/>
      <c r="AC35" s="5"/>
      <c r="AD35" s="5"/>
      <c r="AE35" s="5"/>
      <c r="AF35" s="5"/>
      <c r="AG35" s="5"/>
      <c r="AH35" s="74">
        <v>11</v>
      </c>
      <c r="AI35" s="74">
        <f t="shared" si="18"/>
        <v>11</v>
      </c>
      <c r="AJ35" s="74">
        <f t="shared" si="19"/>
        <v>0.45454545454545453</v>
      </c>
      <c r="AK35" s="74">
        <f t="shared" si="20"/>
        <v>0.45454545454545453</v>
      </c>
      <c r="AL35" s="74">
        <f t="shared" si="16"/>
        <v>4.5757575757575761</v>
      </c>
      <c r="AM35" s="74">
        <f t="shared" si="17"/>
        <v>0.27272727272727271</v>
      </c>
      <c r="AN35" s="5"/>
      <c r="AO35" s="5"/>
      <c r="AP35" s="5"/>
      <c r="AQ35" s="5"/>
      <c r="AR35" s="5"/>
      <c r="AS35" s="5"/>
      <c r="AT35" s="5"/>
      <c r="AU35" s="5"/>
      <c r="AV35" s="5"/>
      <c r="AW35" s="5"/>
    </row>
    <row r="36" spans="1:49" ht="15.75" thickBot="1">
      <c r="A36" s="5"/>
      <c r="B36" s="790">
        <f>IF(B35="PAL","",'General price list'!C55)</f>
        <v>0</v>
      </c>
      <c r="C36" s="1" t="str">
        <f>IF(B36="PAL","",IFERROR(VLOOKUP(B36,'General price list'!C:BA,MATCH("PAL",'General price list'!$C$20:$BA$20,0),FALSE),""))</f>
        <v/>
      </c>
      <c r="D36" s="1" t="str">
        <f>IF(B36="PAL","",IFERROR(VLOOKUP(B36,'General price list'!C:BA,MATCH("OBJ",'General price list'!$C$20:$BA$20,0),FALSE),""))</f>
        <v/>
      </c>
      <c r="E36" s="1">
        <f t="shared" si="11"/>
        <v>0</v>
      </c>
      <c r="F36" s="1">
        <f t="shared" si="12"/>
        <v>0</v>
      </c>
      <c r="G36" s="1">
        <f t="shared" si="13"/>
        <v>0</v>
      </c>
      <c r="H36" s="1">
        <f t="shared" si="14"/>
        <v>0</v>
      </c>
      <c r="I36" s="1">
        <f t="shared" si="15"/>
        <v>0</v>
      </c>
      <c r="J36">
        <f>IF(B36="PAL","",IFERROR(IF(C36="",VLOOKUP(B36,'General price list'!C:BA,MATCH("CBM",'General price list'!$C$20:$BA$20,0),FALSE)*D36,VLOOKUP(B36,'General price list'!C:BA,MATCH("CBM",'General price list'!$C$20:$BA$20,0),FALSE)*(G36*C36)),0))</f>
        <v>0</v>
      </c>
      <c r="K36" s="5"/>
      <c r="L36" s="5"/>
      <c r="M36" s="5"/>
      <c r="N36" s="5"/>
      <c r="O36" s="5"/>
      <c r="P36" s="5"/>
      <c r="Q36" s="5"/>
      <c r="R36" s="5"/>
      <c r="S36" s="5"/>
      <c r="T36" s="5"/>
      <c r="U36" s="5"/>
      <c r="V36" s="5"/>
      <c r="W36" s="5"/>
      <c r="X36" s="5"/>
      <c r="Y36" s="5"/>
      <c r="Z36" s="5"/>
      <c r="AA36" s="5"/>
      <c r="AB36" s="5"/>
      <c r="AC36" s="5"/>
      <c r="AD36" s="5"/>
      <c r="AE36" s="5"/>
      <c r="AF36" s="5"/>
      <c r="AG36" s="5"/>
      <c r="AH36" s="75">
        <v>12</v>
      </c>
      <c r="AI36" s="75">
        <f t="shared" si="18"/>
        <v>12</v>
      </c>
      <c r="AJ36" s="75">
        <f t="shared" si="19"/>
        <v>0.41666666666666669</v>
      </c>
      <c r="AK36" s="75">
        <f t="shared" si="20"/>
        <v>0.41666666666666669</v>
      </c>
      <c r="AL36" s="75">
        <f t="shared" si="16"/>
        <v>4.6111111111111116</v>
      </c>
      <c r="AM36" s="75">
        <f t="shared" si="17"/>
        <v>0.25</v>
      </c>
      <c r="AN36" s="5"/>
      <c r="AO36" s="5"/>
      <c r="AP36" s="5"/>
      <c r="AQ36" s="5"/>
      <c r="AR36" s="5"/>
      <c r="AS36" s="5"/>
      <c r="AT36" s="5"/>
      <c r="AU36" s="5"/>
      <c r="AV36" s="5"/>
      <c r="AW36" s="5"/>
    </row>
    <row r="37" spans="1:49" ht="16.5" thickTop="1" thickBot="1">
      <c r="A37" s="5"/>
      <c r="B37" s="790" t="str">
        <f>IF(B36="PAL","",'General price list'!C56)</f>
        <v>DP1TA</v>
      </c>
      <c r="C37" s="1" t="str">
        <f>IF(B37="PAL","",IFERROR(VLOOKUP(B37,'General price list'!C:BA,MATCH("PAL",'General price list'!$C$20:$BA$20,0),FALSE),""))</f>
        <v/>
      </c>
      <c r="D37" s="1">
        <f>IF(B37="PAL","",IFERROR(VLOOKUP(B37,'General price list'!C:BA,MATCH("OBJ",'General price list'!$C$20:$BA$20,0),FALSE),""))</f>
        <v>0</v>
      </c>
      <c r="E37" s="1">
        <f t="shared" si="11"/>
        <v>0</v>
      </c>
      <c r="F37" s="1">
        <f t="shared" si="12"/>
        <v>0</v>
      </c>
      <c r="G37" s="1">
        <f t="shared" si="13"/>
        <v>0</v>
      </c>
      <c r="H37" s="1">
        <f t="shared" si="14"/>
        <v>0</v>
      </c>
      <c r="I37" s="1">
        <f t="shared" si="15"/>
        <v>0</v>
      </c>
      <c r="J37">
        <f>IF(B37="PAL","",IFERROR(IF(C37="",VLOOKUP(B37,'General price list'!C:BA,MATCH("CBM",'General price list'!$C$20:$BA$20,0),FALSE)*D37,VLOOKUP(B37,'General price list'!C:BA,MATCH("CBM",'General price list'!$C$20:$BA$20,0),FALSE)*(G37*C37)),0))</f>
        <v>0</v>
      </c>
      <c r="K37" s="5"/>
      <c r="L37" s="5"/>
      <c r="M37" s="5"/>
      <c r="N37" s="5"/>
      <c r="O37" s="5"/>
      <c r="P37" s="5"/>
      <c r="Q37" s="5"/>
      <c r="R37" s="5"/>
      <c r="S37" s="5"/>
      <c r="T37" s="5"/>
      <c r="U37" s="5"/>
      <c r="V37" s="5"/>
      <c r="W37" s="5"/>
      <c r="X37" s="5"/>
      <c r="Y37" s="5"/>
      <c r="Z37" s="5"/>
      <c r="AA37" s="5"/>
      <c r="AB37" s="5"/>
      <c r="AC37" s="5"/>
      <c r="AD37" s="5"/>
      <c r="AE37" s="5"/>
      <c r="AF37" s="5"/>
      <c r="AG37" s="5"/>
      <c r="AH37" s="74">
        <v>13</v>
      </c>
      <c r="AI37" s="74">
        <f t="shared" si="18"/>
        <v>13</v>
      </c>
      <c r="AJ37" s="74">
        <f t="shared" si="19"/>
        <v>0.38461538461538464</v>
      </c>
      <c r="AK37" s="74">
        <f t="shared" si="20"/>
        <v>0.38461538461538464</v>
      </c>
      <c r="AL37" s="74">
        <f t="shared" si="16"/>
        <v>4.6410256410256405</v>
      </c>
      <c r="AM37" s="74">
        <f t="shared" si="17"/>
        <v>0.23076923076923078</v>
      </c>
      <c r="AN37" s="5"/>
      <c r="AO37" s="5"/>
      <c r="AP37" s="947" t="s">
        <v>6528</v>
      </c>
      <c r="AQ37" s="948"/>
      <c r="AR37" s="76" t="s">
        <v>6529</v>
      </c>
      <c r="AS37" s="76" t="s">
        <v>2163</v>
      </c>
      <c r="AT37" s="76" t="s">
        <v>6529</v>
      </c>
      <c r="AU37" s="70" t="s">
        <v>2163</v>
      </c>
      <c r="AV37" s="5"/>
      <c r="AW37" s="5"/>
    </row>
    <row r="38" spans="1:49" ht="15.75" thickTop="1">
      <c r="A38" s="5"/>
      <c r="B38" s="790" t="str">
        <f>IF(B37="PAL","",'General price list'!C57)</f>
        <v>DP1TA(1)</v>
      </c>
      <c r="C38" s="1" t="str">
        <f>IF(B38="PAL","",IFERROR(VLOOKUP(B38,'General price list'!C:BA,MATCH("PAL",'General price list'!$C$20:$BA$20,0),FALSE),""))</f>
        <v/>
      </c>
      <c r="D38" s="1">
        <f>IF(B38="PAL","",IFERROR(VLOOKUP(B38,'General price list'!C:BA,MATCH("OBJ",'General price list'!$C$20:$BA$20,0),FALSE),""))</f>
        <v>0</v>
      </c>
      <c r="E38" s="1">
        <f t="shared" si="11"/>
        <v>0</v>
      </c>
      <c r="F38" s="1">
        <f t="shared" si="12"/>
        <v>0</v>
      </c>
      <c r="G38" s="1">
        <f t="shared" si="13"/>
        <v>0</v>
      </c>
      <c r="H38" s="1">
        <f t="shared" si="14"/>
        <v>0</v>
      </c>
      <c r="I38" s="1">
        <f t="shared" si="15"/>
        <v>0</v>
      </c>
      <c r="J38">
        <f>IF(B38="PAL","",IFERROR(IF(C38="",VLOOKUP(B38,'General price list'!C:BA,MATCH("CBM",'General price list'!$C$20:$BA$20,0),FALSE)*D38,VLOOKUP(B38,'General price list'!C:BA,MATCH("CBM",'General price list'!$C$20:$BA$20,0),FALSE)*(G38*C38)),0))</f>
        <v>0</v>
      </c>
      <c r="K38" s="5"/>
      <c r="L38" s="5"/>
      <c r="M38" s="5"/>
      <c r="N38" s="5"/>
      <c r="O38" s="5"/>
      <c r="P38" s="5"/>
      <c r="Q38" s="5"/>
      <c r="R38" s="5"/>
      <c r="S38" s="5"/>
      <c r="T38" s="5"/>
      <c r="U38" s="5"/>
      <c r="V38" s="5"/>
      <c r="W38" s="5"/>
      <c r="X38" s="5"/>
      <c r="Y38" s="5"/>
      <c r="Z38" s="5"/>
      <c r="AA38" s="5"/>
      <c r="AB38" s="5"/>
      <c r="AC38" s="5"/>
      <c r="AD38" s="5"/>
      <c r="AE38" s="5"/>
      <c r="AF38" s="5"/>
      <c r="AG38" s="5"/>
      <c r="AH38" s="75">
        <v>14</v>
      </c>
      <c r="AI38" s="75">
        <f t="shared" si="18"/>
        <v>14</v>
      </c>
      <c r="AJ38" s="75">
        <f t="shared" si="19"/>
        <v>0.35714285714285715</v>
      </c>
      <c r="AK38" s="75">
        <f t="shared" si="20"/>
        <v>0.35714285714285715</v>
      </c>
      <c r="AL38" s="75">
        <f t="shared" si="16"/>
        <v>4.666666666666667</v>
      </c>
      <c r="AM38" s="75">
        <f t="shared" si="17"/>
        <v>0.2142857142857143</v>
      </c>
      <c r="AN38" s="5"/>
      <c r="AO38" s="5"/>
      <c r="AP38" s="960" t="s">
        <v>6530</v>
      </c>
      <c r="AQ38" s="961"/>
      <c r="AR38" s="59">
        <f>ROUND(U12/$AA$5,0)</f>
        <v>0</v>
      </c>
      <c r="AS38" s="80" t="e">
        <f>ROUND(VLOOKUP(AR38,AH25:AM39,3,FALSE),0)&amp;" min"</f>
        <v>#N/A</v>
      </c>
      <c r="AT38" s="59">
        <f>ROUND(W12/$AB$5,0)</f>
        <v>0</v>
      </c>
      <c r="AU38" s="60" t="str">
        <f>IFERROR(ROUND(VLOOKUP(AT38,AH25:AM39,5,FALSE),0)&amp;" min","???")</f>
        <v>???</v>
      </c>
      <c r="AV38" s="5"/>
      <c r="AW38" s="5"/>
    </row>
    <row r="39" spans="1:49" ht="15.75" thickBot="1">
      <c r="A39" s="5"/>
      <c r="B39" s="790" t="str">
        <f>IF(B38="PAL","",'General price list'!C58)</f>
        <v>DP1BS(1)</v>
      </c>
      <c r="C39" s="1" t="str">
        <f>IF(B39="PAL","",IFERROR(VLOOKUP(B39,'General price list'!C:BA,MATCH("PAL",'General price list'!$C$20:$BA$20,0),FALSE),""))</f>
        <v/>
      </c>
      <c r="D39" s="1">
        <f>IF(B39="PAL","",IFERROR(VLOOKUP(B39,'General price list'!C:BA,MATCH("OBJ",'General price list'!$C$20:$BA$20,0),FALSE),""))</f>
        <v>0</v>
      </c>
      <c r="E39" s="1">
        <f t="shared" si="11"/>
        <v>0</v>
      </c>
      <c r="F39" s="1">
        <f t="shared" si="12"/>
        <v>0</v>
      </c>
      <c r="G39" s="1">
        <f t="shared" si="13"/>
        <v>0</v>
      </c>
      <c r="H39" s="1">
        <f t="shared" si="14"/>
        <v>0</v>
      </c>
      <c r="I39" s="1">
        <f t="shared" si="15"/>
        <v>0</v>
      </c>
      <c r="J39">
        <f>IF(B39="PAL","",IFERROR(IF(C39="",VLOOKUP(B39,'General price list'!C:BA,MATCH("CBM",'General price list'!$C$20:$BA$20,0),FALSE)*D39,VLOOKUP(B39,'General price list'!C:BA,MATCH("CBM",'General price list'!$C$20:$BA$20,0),FALSE)*(G39*C39)),0))</f>
        <v>0</v>
      </c>
      <c r="K39" s="5"/>
      <c r="L39" s="5"/>
      <c r="M39" s="5"/>
      <c r="N39" s="5"/>
      <c r="O39" s="5"/>
      <c r="P39" s="5"/>
      <c r="Q39" s="5"/>
      <c r="R39" s="5"/>
      <c r="S39" s="5"/>
      <c r="T39" s="5"/>
      <c r="U39" s="5"/>
      <c r="V39" s="5"/>
      <c r="W39" s="5"/>
      <c r="X39" s="5"/>
      <c r="Y39" s="5"/>
      <c r="Z39" s="5"/>
      <c r="AA39" s="5"/>
      <c r="AB39" s="5"/>
      <c r="AC39" s="5"/>
      <c r="AD39" s="5"/>
      <c r="AE39" s="5"/>
      <c r="AF39" s="5"/>
      <c r="AG39" s="5"/>
      <c r="AH39" s="74">
        <v>15</v>
      </c>
      <c r="AI39" s="74">
        <f t="shared" si="18"/>
        <v>15</v>
      </c>
      <c r="AJ39" s="74">
        <f t="shared" si="19"/>
        <v>0.33333333333333331</v>
      </c>
      <c r="AK39" s="74">
        <f t="shared" si="20"/>
        <v>0.33333333333333331</v>
      </c>
      <c r="AL39" s="74">
        <f t="shared" si="16"/>
        <v>4.6888888888888882</v>
      </c>
      <c r="AM39" s="74">
        <f t="shared" si="17"/>
        <v>0.2</v>
      </c>
      <c r="AN39" s="5"/>
      <c r="AO39" s="5"/>
      <c r="AP39" s="962" t="s">
        <v>2130</v>
      </c>
      <c r="AQ39" s="963"/>
      <c r="AR39" s="61">
        <f>ROUND(U13/$AA$5,0)</f>
        <v>0</v>
      </c>
      <c r="AS39" s="81" t="e">
        <f>ROUND(VLOOKUP(AR39,AH25:AM39,4,FALSE),0)&amp;" min"</f>
        <v>#N/A</v>
      </c>
      <c r="AT39" s="61">
        <f>ROUND(W13/$AB$5,0)</f>
        <v>0</v>
      </c>
      <c r="AU39" s="62" t="e">
        <f>ROUND(VLOOKUP(AT39,AH25:AM39,6,FALSE),0)&amp;" min"</f>
        <v>#N/A</v>
      </c>
      <c r="AV39" s="5"/>
      <c r="AW39" s="5"/>
    </row>
    <row r="40" spans="1:49" ht="15.75" thickTop="1">
      <c r="A40" s="5"/>
      <c r="B40" s="790" t="str">
        <f>IF(B39="PAL","",'General price list'!C59)</f>
        <v>DP1P</v>
      </c>
      <c r="C40" s="1" t="str">
        <f>IF(B40="PAL","",IFERROR(VLOOKUP(B40,'General price list'!C:BA,MATCH("PAL",'General price list'!$C$20:$BA$20,0),FALSE),""))</f>
        <v/>
      </c>
      <c r="D40" s="1">
        <f>IF(B40="PAL","",IFERROR(VLOOKUP(B40,'General price list'!C:BA,MATCH("OBJ",'General price list'!$C$20:$BA$20,0),FALSE),""))</f>
        <v>0</v>
      </c>
      <c r="E40" s="1">
        <f t="shared" si="11"/>
        <v>0</v>
      </c>
      <c r="F40" s="1">
        <f t="shared" si="12"/>
        <v>0</v>
      </c>
      <c r="G40" s="1">
        <f t="shared" si="13"/>
        <v>0</v>
      </c>
      <c r="H40" s="1">
        <f t="shared" si="14"/>
        <v>0</v>
      </c>
      <c r="I40" s="1">
        <f t="shared" si="15"/>
        <v>0</v>
      </c>
      <c r="J40">
        <f>IF(B40="PAL","",IFERROR(IF(C40="",VLOOKUP(B40,'General price list'!C:BA,MATCH("CBM",'General price list'!$C$20:$BA$20,0),FALSE)*D40,VLOOKUP(B40,'General price list'!C:BA,MATCH("CBM",'General price list'!$C$20:$BA$20,0),FALSE)*(G40*C40)),0))</f>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c r="A41" s="5"/>
      <c r="B41" s="790" t="str">
        <f>IF(B40="PAL","",'General price list'!C60)</f>
        <v>DP2W</v>
      </c>
      <c r="C41" s="1" t="str">
        <f>IF(B41="PAL","",IFERROR(VLOOKUP(B41,'General price list'!C:BA,MATCH("PAL",'General price list'!$C$20:$BA$20,0),FALSE),""))</f>
        <v/>
      </c>
      <c r="D41" s="1">
        <f>IF(B41="PAL","",IFERROR(VLOOKUP(B41,'General price list'!C:BA,MATCH("OBJ",'General price list'!$C$20:$BA$20,0),FALSE),""))</f>
        <v>0</v>
      </c>
      <c r="E41" s="1">
        <f t="shared" si="11"/>
        <v>0</v>
      </c>
      <c r="F41" s="1">
        <f t="shared" si="12"/>
        <v>0</v>
      </c>
      <c r="G41" s="1">
        <f t="shared" si="13"/>
        <v>0</v>
      </c>
      <c r="H41" s="1">
        <f t="shared" si="14"/>
        <v>0</v>
      </c>
      <c r="I41" s="1">
        <f t="shared" si="15"/>
        <v>0</v>
      </c>
      <c r="J41">
        <f>IF(B41="PAL","",IFERROR(IF(C41="",VLOOKUP(B41,'General price list'!C:BA,MATCH("CBM",'General price list'!$C$20:$BA$20,0),FALSE)*D41,VLOOKUP(B41,'General price list'!C:BA,MATCH("CBM",'General price list'!$C$20:$BA$20,0),FALSE)*(G41*C41)),0))</f>
        <v>0</v>
      </c>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c r="A42" s="5"/>
      <c r="B42" s="790" t="str">
        <f>IF(B41="PAL","",'General price list'!C61)</f>
        <v>S12S</v>
      </c>
      <c r="C42" s="1" t="str">
        <f>IF(B42="PAL","",IFERROR(VLOOKUP(B42,'General price list'!C:BA,MATCH("PAL",'General price list'!$C$20:$BA$20,0),FALSE),""))</f>
        <v/>
      </c>
      <c r="D42" s="1">
        <f>IF(B42="PAL","",IFERROR(VLOOKUP(B42,'General price list'!C:BA,MATCH("OBJ",'General price list'!$C$20:$BA$20,0),FALSE),""))</f>
        <v>0</v>
      </c>
      <c r="E42" s="1">
        <f t="shared" si="11"/>
        <v>0</v>
      </c>
      <c r="F42" s="1">
        <f t="shared" si="12"/>
        <v>0</v>
      </c>
      <c r="G42" s="1">
        <f t="shared" si="13"/>
        <v>0</v>
      </c>
      <c r="H42" s="1">
        <f t="shared" si="14"/>
        <v>0</v>
      </c>
      <c r="I42" s="1">
        <f t="shared" si="15"/>
        <v>0</v>
      </c>
      <c r="J42">
        <f>IF(B42="PAL","",IFERROR(IF(C42="",VLOOKUP(B42,'General price list'!C:BA,MATCH("CBM",'General price list'!$C$20:$BA$20,0),FALSE)*D42,VLOOKUP(B42,'General price list'!C:BA,MATCH("CBM",'General price list'!$C$20:$BA$20,0),FALSE)*(G42*C42)),0))</f>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c r="A43" s="5"/>
      <c r="B43" s="790" t="str">
        <f>IF(B42="PAL","",'General price list'!C62)</f>
        <v>S12S(1)</v>
      </c>
      <c r="C43" s="1" t="str">
        <f>IF(B43="PAL","",IFERROR(VLOOKUP(B43,'General price list'!C:BA,MATCH("PAL",'General price list'!$C$20:$BA$20,0),FALSE),""))</f>
        <v/>
      </c>
      <c r="D43" s="1">
        <f>IF(B43="PAL","",IFERROR(VLOOKUP(B43,'General price list'!C:BA,MATCH("OBJ",'General price list'!$C$20:$BA$20,0),FALSE),""))</f>
        <v>0</v>
      </c>
      <c r="E43" s="1">
        <f t="shared" si="11"/>
        <v>0</v>
      </c>
      <c r="F43" s="1">
        <f t="shared" si="12"/>
        <v>0</v>
      </c>
      <c r="G43" s="1">
        <f t="shared" si="13"/>
        <v>0</v>
      </c>
      <c r="H43" s="1">
        <f t="shared" si="14"/>
        <v>0</v>
      </c>
      <c r="I43" s="1">
        <f t="shared" si="15"/>
        <v>0</v>
      </c>
      <c r="J43">
        <f>IF(B43="PAL","",IFERROR(IF(C43="",VLOOKUP(B43,'General price list'!C:BA,MATCH("CBM",'General price list'!$C$20:$BA$20,0),FALSE)*D43,VLOOKUP(B43,'General price list'!C:BA,MATCH("CBM",'General price list'!$C$20:$BA$20,0),FALSE)*(G43*C43)),0))</f>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c r="A44" s="5"/>
      <c r="B44" s="790">
        <f>IF(B43="PAL","",'General price list'!C63)</f>
        <v>0</v>
      </c>
      <c r="C44" s="1" t="str">
        <f>IF(B44="PAL","",IFERROR(VLOOKUP(B44,'General price list'!C:BA,MATCH("PAL",'General price list'!$C$20:$BA$20,0),FALSE),""))</f>
        <v/>
      </c>
      <c r="D44" s="1" t="str">
        <f>IF(B44="PAL","",IFERROR(VLOOKUP(B44,'General price list'!C:BA,MATCH("OBJ",'General price list'!$C$20:$BA$20,0),FALSE),""))</f>
        <v/>
      </c>
      <c r="E44" s="1">
        <f t="shared" si="11"/>
        <v>0</v>
      </c>
      <c r="F44" s="1">
        <f t="shared" si="12"/>
        <v>0</v>
      </c>
      <c r="G44" s="1">
        <f t="shared" si="13"/>
        <v>0</v>
      </c>
      <c r="H44" s="1">
        <f t="shared" si="14"/>
        <v>0</v>
      </c>
      <c r="I44" s="1">
        <f t="shared" si="15"/>
        <v>0</v>
      </c>
      <c r="J44">
        <f>IF(B44="PAL","",IFERROR(IF(C44="",VLOOKUP(B44,'General price list'!C:BA,MATCH("CBM",'General price list'!$C$20:$BA$20,0),FALSE)*D44,VLOOKUP(B44,'General price list'!C:BA,MATCH("CBM",'General price list'!$C$20:$BA$20,0),FALSE)*(G44*C44)),0))</f>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c r="A45" s="5"/>
      <c r="B45" s="790" t="str">
        <f>IF(B44="PAL","",'General price list'!C65)</f>
        <v>DP1VC</v>
      </c>
      <c r="C45" s="1" t="str">
        <f>IF(B45="PAL","",IFERROR(VLOOKUP(B45,'General price list'!C:BA,MATCH("PAL",'General price list'!$C$20:$BA$20,0),FALSE),""))</f>
        <v/>
      </c>
      <c r="D45" s="1">
        <f>IF(B45="PAL","",IFERROR(VLOOKUP(B45,'General price list'!C:BA,MATCH("OBJ",'General price list'!$C$20:$BA$20,0),FALSE),""))</f>
        <v>0</v>
      </c>
      <c r="E45" s="1">
        <f t="shared" si="11"/>
        <v>0</v>
      </c>
      <c r="F45" s="1">
        <f t="shared" si="12"/>
        <v>0</v>
      </c>
      <c r="G45" s="1">
        <f t="shared" si="13"/>
        <v>0</v>
      </c>
      <c r="H45" s="1">
        <f t="shared" si="14"/>
        <v>0</v>
      </c>
      <c r="I45" s="1">
        <f t="shared" si="15"/>
        <v>0</v>
      </c>
      <c r="J45">
        <f>IF(B45="PAL","",IFERROR(IF(C45="",VLOOKUP(B45,'General price list'!C:BA,MATCH("CBM",'General price list'!$C$20:$BA$20,0),FALSE)*D45,VLOOKUP(B45,'General price list'!C:BA,MATCH("CBM",'General price list'!$C$20:$BA$20,0),FALSE)*(G45*C45)),0))</f>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c r="A46" s="5"/>
      <c r="B46" s="790" t="str">
        <f>IF(B45="PAL","",'General price list'!C66)</f>
        <v>LM0SW</v>
      </c>
      <c r="C46" s="1" t="str">
        <f>IF(B46="PAL","",IFERROR(VLOOKUP(B46,'General price list'!C:BA,MATCH("PAL",'General price list'!$C$20:$BA$20,0),FALSE),""))</f>
        <v/>
      </c>
      <c r="D46" s="1">
        <f>IF(B46="PAL","",IFERROR(VLOOKUP(B46,'General price list'!C:BA,MATCH("OBJ",'General price list'!$C$20:$BA$20,0),FALSE),""))</f>
        <v>0</v>
      </c>
      <c r="E46" s="1">
        <f t="shared" si="11"/>
        <v>0</v>
      </c>
      <c r="F46" s="1">
        <f t="shared" si="12"/>
        <v>0</v>
      </c>
      <c r="G46" s="1">
        <f t="shared" si="13"/>
        <v>0</v>
      </c>
      <c r="H46" s="1">
        <f t="shared" si="14"/>
        <v>0</v>
      </c>
      <c r="I46" s="1">
        <f t="shared" si="15"/>
        <v>0</v>
      </c>
      <c r="J46">
        <f>IF(B46="PAL","",IFERROR(IF(C46="",VLOOKUP(B46,'General price list'!C:BA,MATCH("CBM",'General price list'!$C$20:$BA$20,0),FALSE)*D46,VLOOKUP(B46,'General price list'!C:BA,MATCH("CBM",'General price list'!$C$20:$BA$20,0),FALSE)*(G46*C46)),0))</f>
        <v>0</v>
      </c>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c r="A47" s="5"/>
      <c r="B47" s="790" t="str">
        <f>IF(B46="PAL","",'General price list'!C67)</f>
        <v>LM1O</v>
      </c>
      <c r="C47" s="1" t="str">
        <f>IF(B47="PAL","",IFERROR(VLOOKUP(B47,'General price list'!C:BA,MATCH("PAL",'General price list'!$C$20:$BA$20,0),FALSE),""))</f>
        <v/>
      </c>
      <c r="D47" s="1">
        <f>IF(B47="PAL","",IFERROR(VLOOKUP(B47,'General price list'!C:BA,MATCH("OBJ",'General price list'!$C$20:$BA$20,0),FALSE),""))</f>
        <v>0</v>
      </c>
      <c r="E47" s="1">
        <f t="shared" si="11"/>
        <v>0</v>
      </c>
      <c r="F47" s="1">
        <f t="shared" si="12"/>
        <v>0</v>
      </c>
      <c r="G47" s="1">
        <f t="shared" si="13"/>
        <v>0</v>
      </c>
      <c r="H47" s="1">
        <f t="shared" si="14"/>
        <v>0</v>
      </c>
      <c r="I47" s="1">
        <f t="shared" si="15"/>
        <v>0</v>
      </c>
      <c r="J47">
        <f>IF(B47="PAL","",IFERROR(IF(C47="",VLOOKUP(B47,'General price list'!C:BA,MATCH("CBM",'General price list'!$C$20:$BA$20,0),FALSE)*D47,VLOOKUP(B47,'General price list'!C:BA,MATCH("CBM",'General price list'!$C$20:$BA$20,0),FALSE)*(G47*C47)),0))</f>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c r="A48" s="5"/>
      <c r="B48" s="790" t="str">
        <f>IF(B47="PAL","",'General price list'!C68)</f>
        <v>LM2C</v>
      </c>
      <c r="C48" s="1" t="str">
        <f>IF(B48="PAL","",IFERROR(VLOOKUP(B48,'General price list'!C:BA,MATCH("PAL",'General price list'!$C$20:$BA$20,0),FALSE),""))</f>
        <v/>
      </c>
      <c r="D48" s="1">
        <f>IF(B48="PAL","",IFERROR(VLOOKUP(B48,'General price list'!C:BA,MATCH("OBJ",'General price list'!$C$20:$BA$20,0),FALSE),""))</f>
        <v>0</v>
      </c>
      <c r="E48" s="1">
        <f t="shared" si="11"/>
        <v>0</v>
      </c>
      <c r="F48" s="1">
        <f t="shared" si="12"/>
        <v>0</v>
      </c>
      <c r="G48" s="1">
        <f t="shared" si="13"/>
        <v>0</v>
      </c>
      <c r="H48" s="1">
        <f t="shared" si="14"/>
        <v>0</v>
      </c>
      <c r="I48" s="1">
        <f t="shared" si="15"/>
        <v>0</v>
      </c>
      <c r="J48">
        <f>IF(B48="PAL","",IFERROR(IF(C48="",VLOOKUP(B48,'General price list'!C:BA,MATCH("CBM",'General price list'!$C$20:$BA$20,0),FALSE)*D48,VLOOKUP(B48,'General price list'!C:BA,MATCH("CBM",'General price list'!$C$20:$BA$20,0),FALSE)*(G48*C48)),0))</f>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c r="A49" s="5"/>
      <c r="B49" s="790" t="str">
        <f>IF(B48="PAL","",'General price list'!C69)</f>
        <v>LM2V</v>
      </c>
      <c r="C49" s="1" t="str">
        <f>IF(B49="PAL","",IFERROR(VLOOKUP(B49,'General price list'!C:BA,MATCH("PAL",'General price list'!$C$20:$BA$20,0),FALSE),""))</f>
        <v/>
      </c>
      <c r="D49" s="1">
        <f>IF(B49="PAL","",IFERROR(VLOOKUP(B49,'General price list'!C:BA,MATCH("OBJ",'General price list'!$C$20:$BA$20,0),FALSE),""))</f>
        <v>0</v>
      </c>
      <c r="E49" s="1">
        <f t="shared" si="11"/>
        <v>0</v>
      </c>
      <c r="F49" s="1">
        <f t="shared" si="12"/>
        <v>0</v>
      </c>
      <c r="G49" s="1">
        <f t="shared" si="13"/>
        <v>0</v>
      </c>
      <c r="H49" s="1">
        <f t="shared" si="14"/>
        <v>0</v>
      </c>
      <c r="I49" s="1">
        <f t="shared" si="15"/>
        <v>0</v>
      </c>
      <c r="J49">
        <f>IF(B49="PAL","",IFERROR(IF(C49="",VLOOKUP(B49,'General price list'!C:BA,MATCH("CBM",'General price list'!$C$20:$BA$20,0),FALSE)*D49,VLOOKUP(B49,'General price list'!C:BA,MATCH("CBM",'General price list'!$C$20:$BA$20,0),FALSE)*(G49*C49)),0))</f>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c r="A50" s="5"/>
      <c r="B50" s="790" t="str">
        <f>IF(B49="PAL","",'General price list'!C70)</f>
        <v>LM3T</v>
      </c>
      <c r="C50" s="1" t="str">
        <f>IF(B50="PAL","",IFERROR(VLOOKUP(B50,'General price list'!C:BA,MATCH("PAL",'General price list'!$C$20:$BA$20,0),FALSE),""))</f>
        <v/>
      </c>
      <c r="D50" s="1">
        <f>IF(B50="PAL","",IFERROR(VLOOKUP(B50,'General price list'!C:BA,MATCH("OBJ",'General price list'!$C$20:$BA$20,0),FALSE),""))</f>
        <v>0</v>
      </c>
      <c r="E50" s="1">
        <f t="shared" si="11"/>
        <v>0</v>
      </c>
      <c r="F50" s="1">
        <f t="shared" si="12"/>
        <v>0</v>
      </c>
      <c r="G50" s="1">
        <f t="shared" si="13"/>
        <v>0</v>
      </c>
      <c r="H50" s="1">
        <f t="shared" si="14"/>
        <v>0</v>
      </c>
      <c r="I50" s="1">
        <f t="shared" si="15"/>
        <v>0</v>
      </c>
      <c r="J50">
        <f>IF(B50="PAL","",IFERROR(IF(C50="",VLOOKUP(B50,'General price list'!C:BA,MATCH("CBM",'General price list'!$C$20:$BA$20,0),FALSE)*D50,VLOOKUP(B50,'General price list'!C:BA,MATCH("CBM",'General price list'!$C$20:$BA$20,0),FALSE)*(G50*C50)),0))</f>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c r="A51" s="5"/>
      <c r="B51" s="790" t="str">
        <f>IF(B50="PAL","",'General price list'!C71)</f>
        <v>LM4O</v>
      </c>
      <c r="C51" s="1" t="str">
        <f>IF(B51="PAL","",IFERROR(VLOOKUP(B51,'General price list'!C:BA,MATCH("PAL",'General price list'!$C$20:$BA$20,0),FALSE),""))</f>
        <v/>
      </c>
      <c r="D51" s="1">
        <f>IF(B51="PAL","",IFERROR(VLOOKUP(B51,'General price list'!C:BA,MATCH("OBJ",'General price list'!$C$20:$BA$20,0),FALSE),""))</f>
        <v>0</v>
      </c>
      <c r="E51" s="1">
        <f t="shared" si="11"/>
        <v>0</v>
      </c>
      <c r="F51" s="1">
        <f t="shared" si="12"/>
        <v>0</v>
      </c>
      <c r="G51" s="1">
        <f t="shared" si="13"/>
        <v>0</v>
      </c>
      <c r="H51" s="1">
        <f t="shared" si="14"/>
        <v>0</v>
      </c>
      <c r="I51" s="1">
        <f t="shared" si="15"/>
        <v>0</v>
      </c>
      <c r="J51">
        <f>IF(B51="PAL","",IFERROR(IF(C51="",VLOOKUP(B51,'General price list'!C:BA,MATCH("CBM",'General price list'!$C$20:$BA$20,0),FALSE)*D51,VLOOKUP(B51,'General price list'!C:BA,MATCH("CBM",'General price list'!$C$20:$BA$20,0),FALSE)*(G51*C51)),0))</f>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c r="A52" s="5"/>
      <c r="B52" s="790" t="str">
        <f>IF(B51="PAL","",'General price list'!C72)</f>
        <v>LM5W</v>
      </c>
      <c r="C52" s="1" t="str">
        <f>IF(B52="PAL","",IFERROR(VLOOKUP(B52,'General price list'!C:BA,MATCH("PAL",'General price list'!$C$20:$BA$20,0),FALSE),""))</f>
        <v/>
      </c>
      <c r="D52" s="1">
        <f>IF(B52="PAL","",IFERROR(VLOOKUP(B52,'General price list'!C:BA,MATCH("OBJ",'General price list'!$C$20:$BA$20,0),FALSE),""))</f>
        <v>0</v>
      </c>
      <c r="E52" s="1">
        <f t="shared" si="11"/>
        <v>0</v>
      </c>
      <c r="F52" s="1">
        <f t="shared" si="12"/>
        <v>0</v>
      </c>
      <c r="G52" s="1">
        <f t="shared" si="13"/>
        <v>0</v>
      </c>
      <c r="H52" s="1">
        <f t="shared" si="14"/>
        <v>0</v>
      </c>
      <c r="I52" s="1">
        <f t="shared" si="15"/>
        <v>0</v>
      </c>
      <c r="J52">
        <f>IF(B52="PAL","",IFERROR(IF(C52="",VLOOKUP(B52,'General price list'!C:BA,MATCH("CBM",'General price list'!$C$20:$BA$20,0),FALSE)*D52,VLOOKUP(B52,'General price list'!C:BA,MATCH("CBM",'General price list'!$C$20:$BA$20,0),FALSE)*(G52*C52)),0))</f>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c r="A53" s="5"/>
      <c r="B53" s="790" t="str">
        <f>IF(B52="PAL","",'General price list'!C73)</f>
        <v>LM6M</v>
      </c>
      <c r="C53" s="1" t="str">
        <f>IF(B53="PAL","",IFERROR(VLOOKUP(B53,'General price list'!C:BA,MATCH("PAL",'General price list'!$C$20:$BA$20,0),FALSE),""))</f>
        <v/>
      </c>
      <c r="D53" s="1">
        <f>IF(B53="PAL","",IFERROR(VLOOKUP(B53,'General price list'!C:BA,MATCH("OBJ",'General price list'!$C$20:$BA$20,0),FALSE),""))</f>
        <v>0</v>
      </c>
      <c r="E53" s="1">
        <f t="shared" si="11"/>
        <v>0</v>
      </c>
      <c r="F53" s="1">
        <f t="shared" si="12"/>
        <v>0</v>
      </c>
      <c r="G53" s="1">
        <f t="shared" si="13"/>
        <v>0</v>
      </c>
      <c r="H53" s="1">
        <f t="shared" si="14"/>
        <v>0</v>
      </c>
      <c r="I53" s="1">
        <f t="shared" si="15"/>
        <v>0</v>
      </c>
      <c r="J53">
        <f>IF(B53="PAL","",IFERROR(IF(C53="",VLOOKUP(B53,'General price list'!C:BA,MATCH("CBM",'General price list'!$C$20:$BA$20,0),FALSE)*D53,VLOOKUP(B53,'General price list'!C:BA,MATCH("CBM",'General price list'!$C$20:$BA$20,0),FALSE)*(G53*C53)),0))</f>
        <v>0</v>
      </c>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c r="A54" s="5"/>
      <c r="B54" s="790" t="str">
        <f>IF(B53="PAL","",'General price list'!C74)</f>
        <v>LM7S</v>
      </c>
      <c r="C54" s="1" t="str">
        <f>IF(B54="PAL","",IFERROR(VLOOKUP(B54,'General price list'!C:BA,MATCH("PAL",'General price list'!$C$20:$BA$20,0),FALSE),""))</f>
        <v/>
      </c>
      <c r="D54" s="1">
        <f>IF(B54="PAL","",IFERROR(VLOOKUP(B54,'General price list'!C:BA,MATCH("OBJ",'General price list'!$C$20:$BA$20,0),FALSE),""))</f>
        <v>0</v>
      </c>
      <c r="E54" s="1">
        <f t="shared" si="11"/>
        <v>0</v>
      </c>
      <c r="F54" s="1">
        <f t="shared" si="12"/>
        <v>0</v>
      </c>
      <c r="G54" s="1">
        <f t="shared" si="13"/>
        <v>0</v>
      </c>
      <c r="H54" s="1">
        <f t="shared" si="14"/>
        <v>0</v>
      </c>
      <c r="I54" s="1">
        <f t="shared" si="15"/>
        <v>0</v>
      </c>
      <c r="J54">
        <f>IF(B54="PAL","",IFERROR(IF(C54="",VLOOKUP(B54,'General price list'!C:BA,MATCH("CBM",'General price list'!$C$20:$BA$20,0),FALSE)*D54,VLOOKUP(B54,'General price list'!C:BA,MATCH("CBM",'General price list'!$C$20:$BA$20,0),FALSE)*(G54*C54)),0))</f>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c r="A55" s="5"/>
      <c r="B55" s="790" t="str">
        <f>IF(B54="PAL","",'General price list'!C75)</f>
        <v>LM8SA</v>
      </c>
      <c r="C55" s="1" t="str">
        <f>IF(B55="PAL","",IFERROR(VLOOKUP(B55,'General price list'!C:BA,MATCH("PAL",'General price list'!$C$20:$BA$20,0),FALSE),""))</f>
        <v/>
      </c>
      <c r="D55" s="1">
        <f>IF(B55="PAL","",IFERROR(VLOOKUP(B55,'General price list'!C:BA,MATCH("OBJ",'General price list'!$C$20:$BA$20,0),FALSE),""))</f>
        <v>0</v>
      </c>
      <c r="E55" s="1">
        <f t="shared" si="11"/>
        <v>0</v>
      </c>
      <c r="F55" s="1">
        <f t="shared" si="12"/>
        <v>0</v>
      </c>
      <c r="G55" s="1">
        <f t="shared" si="13"/>
        <v>0</v>
      </c>
      <c r="H55" s="1">
        <f t="shared" si="14"/>
        <v>0</v>
      </c>
      <c r="I55" s="1">
        <f t="shared" si="15"/>
        <v>0</v>
      </c>
      <c r="J55">
        <f>IF(B55="PAL","",IFERROR(IF(C55="",VLOOKUP(B55,'General price list'!C:BA,MATCH("CBM",'General price list'!$C$20:$BA$20,0),FALSE)*D55,VLOOKUP(B55,'General price list'!C:BA,MATCH("CBM",'General price list'!$C$20:$BA$20,0),FALSE)*(G55*C55)),0))</f>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c r="A56" s="5"/>
      <c r="B56" s="790" t="str">
        <f>IF(B55="PAL","",'General price list'!C76)</f>
        <v>SU45B</v>
      </c>
      <c r="C56" s="1" t="str">
        <f>IF(B56="PAL","",IFERROR(VLOOKUP(B56,'General price list'!C:BA,MATCH("PAL",'General price list'!$C$20:$BA$20,0),FALSE),""))</f>
        <v/>
      </c>
      <c r="D56" s="1">
        <f>IF(B56="PAL","",IFERROR(VLOOKUP(B56,'General price list'!C:BA,MATCH("OBJ",'General price list'!$C$20:$BA$20,0),FALSE),""))</f>
        <v>0</v>
      </c>
      <c r="E56" s="1">
        <f t="shared" si="11"/>
        <v>0</v>
      </c>
      <c r="F56" s="1">
        <f t="shared" si="12"/>
        <v>0</v>
      </c>
      <c r="G56" s="1">
        <f t="shared" si="13"/>
        <v>0</v>
      </c>
      <c r="H56" s="1">
        <f t="shared" si="14"/>
        <v>0</v>
      </c>
      <c r="I56" s="1">
        <f t="shared" si="15"/>
        <v>0</v>
      </c>
      <c r="J56">
        <f>IF(B56="PAL","",IFERROR(IF(C56="",VLOOKUP(B56,'General price list'!C:BA,MATCH("CBM",'General price list'!$C$20:$BA$20,0),FALSE)*D56,VLOOKUP(B56,'General price list'!C:BA,MATCH("CBM",'General price list'!$C$20:$BA$20,0),FALSE)*(G56*C56)),0))</f>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c r="A57" s="5"/>
      <c r="B57" s="790" t="str">
        <f>IF(B56="PAL","",'General price list'!C77)</f>
        <v>RD8</v>
      </c>
      <c r="C57" s="1" t="str">
        <f>IF(B57="PAL","",IFERROR(VLOOKUP(B57,'General price list'!C:BA,MATCH("PAL",'General price list'!$C$20:$BA$20,0),FALSE),""))</f>
        <v/>
      </c>
      <c r="D57" s="1">
        <f>IF(B57="PAL","",IFERROR(VLOOKUP(B57,'General price list'!C:BA,MATCH("OBJ",'General price list'!$C$20:$BA$20,0),FALSE),""))</f>
        <v>0</v>
      </c>
      <c r="E57" s="1">
        <f t="shared" si="11"/>
        <v>0</v>
      </c>
      <c r="F57" s="1">
        <f t="shared" si="12"/>
        <v>0</v>
      </c>
      <c r="G57" s="1">
        <f t="shared" si="13"/>
        <v>0</v>
      </c>
      <c r="H57" s="1">
        <f t="shared" si="14"/>
        <v>0</v>
      </c>
      <c r="I57" s="1">
        <f t="shared" si="15"/>
        <v>0</v>
      </c>
      <c r="J57">
        <f>IF(B57="PAL","",IFERROR(IF(C57="",VLOOKUP(B57,'General price list'!C:BA,MATCH("CBM",'General price list'!$C$20:$BA$20,0),FALSE)*D57,VLOOKUP(B57,'General price list'!C:BA,MATCH("CBM",'General price list'!$C$20:$BA$20,0),FALSE)*(G57*C57)),0))</f>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c r="A58" s="5"/>
      <c r="B58" s="790">
        <f>IF(B57="PAL","",'General price list'!C78)</f>
        <v>0</v>
      </c>
      <c r="C58" s="1" t="str">
        <f>IF(B58="PAL","",IFERROR(VLOOKUP(B58,'General price list'!C:BA,MATCH("PAL",'General price list'!$C$20:$BA$20,0),FALSE),""))</f>
        <v/>
      </c>
      <c r="D58" s="1" t="str">
        <f>IF(B58="PAL","",IFERROR(VLOOKUP(B58,'General price list'!C:BA,MATCH("OBJ",'General price list'!$C$20:$BA$20,0),FALSE),""))</f>
        <v/>
      </c>
      <c r="E58" s="1">
        <f t="shared" si="11"/>
        <v>0</v>
      </c>
      <c r="F58" s="1">
        <f t="shared" si="12"/>
        <v>0</v>
      </c>
      <c r="G58" s="1">
        <f t="shared" si="13"/>
        <v>0</v>
      </c>
      <c r="H58" s="1">
        <f t="shared" si="14"/>
        <v>0</v>
      </c>
      <c r="I58" s="1">
        <f t="shared" si="15"/>
        <v>0</v>
      </c>
      <c r="J58">
        <f>IF(B58="PAL","",IFERROR(IF(C58="",VLOOKUP(B58,'General price list'!C:BA,MATCH("CBM",'General price list'!$C$20:$BA$20,0),FALSE)*D58,VLOOKUP(B58,'General price list'!C:BA,MATCH("CBM",'General price list'!$C$20:$BA$20,0),FALSE)*(G58*C58)),0))</f>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c r="A59" s="5"/>
      <c r="B59" s="790" t="str">
        <f>IF(B58="PAL","",'General price list'!C79)</f>
        <v>DS1</v>
      </c>
      <c r="C59" s="1" t="str">
        <f>IF(B59="PAL","",IFERROR(VLOOKUP(B59,'General price list'!C:BA,MATCH("PAL",'General price list'!$C$20:$BA$20,0),FALSE),""))</f>
        <v/>
      </c>
      <c r="D59" s="1">
        <f>IF(B59="PAL","",IFERROR(VLOOKUP(B59,'General price list'!C:BA,MATCH("OBJ",'General price list'!$C$20:$BA$20,0),FALSE),""))</f>
        <v>0</v>
      </c>
      <c r="E59" s="1">
        <f t="shared" si="11"/>
        <v>0</v>
      </c>
      <c r="F59" s="1">
        <f t="shared" si="12"/>
        <v>0</v>
      </c>
      <c r="G59" s="1">
        <f t="shared" si="13"/>
        <v>0</v>
      </c>
      <c r="H59" s="1">
        <f t="shared" si="14"/>
        <v>0</v>
      </c>
      <c r="I59" s="1">
        <f t="shared" si="15"/>
        <v>0</v>
      </c>
      <c r="J59">
        <f>IF(B59="PAL","",IFERROR(IF(C59="",VLOOKUP(B59,'General price list'!C:BA,MATCH("CBM",'General price list'!$C$20:$BA$20,0),FALSE)*D59,VLOOKUP(B59,'General price list'!C:BA,MATCH("CBM",'General price list'!$C$20:$BA$20,0),FALSE)*(G59*C59)),0))</f>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c r="A60" s="5"/>
      <c r="B60" s="790" t="str">
        <f>IF(B59="PAL","",'General price list'!C80)</f>
        <v>RB1</v>
      </c>
      <c r="C60" s="1" t="str">
        <f>IF(B60="PAL","",IFERROR(VLOOKUP(B60,'General price list'!C:BA,MATCH("PAL",'General price list'!$C$20:$BA$20,0),FALSE),""))</f>
        <v/>
      </c>
      <c r="D60" s="1">
        <f>IF(B60="PAL","",IFERROR(VLOOKUP(B60,'General price list'!C:BA,MATCH("OBJ",'General price list'!$C$20:$BA$20,0),FALSE),""))</f>
        <v>0</v>
      </c>
      <c r="E60" s="1">
        <f t="shared" si="11"/>
        <v>0</v>
      </c>
      <c r="F60" s="1">
        <f t="shared" si="12"/>
        <v>0</v>
      </c>
      <c r="G60" s="1">
        <f t="shared" si="13"/>
        <v>0</v>
      </c>
      <c r="H60" s="1">
        <f t="shared" si="14"/>
        <v>0</v>
      </c>
      <c r="I60" s="1">
        <f t="shared" si="15"/>
        <v>0</v>
      </c>
      <c r="J60">
        <f>IF(B60="PAL","",IFERROR(IF(C60="",VLOOKUP(B60,'General price list'!C:BA,MATCH("CBM",'General price list'!$C$20:$BA$20,0),FALSE)*D60,VLOOKUP(B60,'General price list'!C:BA,MATCH("CBM",'General price list'!$C$20:$BA$20,0),FALSE)*(G60*C60)),0))</f>
        <v>0</v>
      </c>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c r="A61" s="5"/>
      <c r="B61" s="790" t="str">
        <f>IF(B60="PAL","",'General price list'!C81)</f>
        <v>FPS1</v>
      </c>
      <c r="C61" s="1" t="str">
        <f>IF(B61="PAL","",IFERROR(VLOOKUP(B61,'General price list'!C:BA,MATCH("PAL",'General price list'!$C$20:$BA$20,0),FALSE),""))</f>
        <v/>
      </c>
      <c r="D61" s="1">
        <f>IF(B61="PAL","",IFERROR(VLOOKUP(B61,'General price list'!C:BA,MATCH("OBJ",'General price list'!$C$20:$BA$20,0),FALSE),""))</f>
        <v>0</v>
      </c>
      <c r="E61" s="1">
        <f t="shared" si="11"/>
        <v>0</v>
      </c>
      <c r="F61" s="1">
        <f t="shared" si="12"/>
        <v>0</v>
      </c>
      <c r="G61" s="1">
        <f t="shared" si="13"/>
        <v>0</v>
      </c>
      <c r="H61" s="1">
        <f t="shared" si="14"/>
        <v>0</v>
      </c>
      <c r="I61" s="1">
        <f t="shared" si="15"/>
        <v>0</v>
      </c>
      <c r="J61">
        <f>IF(B61="PAL","",IFERROR(IF(C61="",VLOOKUP(B61,'General price list'!C:BA,MATCH("CBM",'General price list'!$C$20:$BA$20,0),FALSE)*D61,VLOOKUP(B61,'General price list'!C:BA,MATCH("CBM",'General price list'!$C$20:$BA$20,0),FALSE)*(G61*C61)),0))</f>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c r="A62" s="5"/>
      <c r="B62" s="790">
        <f>IF(B61="PAL","",'General price list'!C82)</f>
        <v>0</v>
      </c>
      <c r="C62" s="1" t="str">
        <f>IF(B62="PAL","",IFERROR(VLOOKUP(B62,'General price list'!C:BA,MATCH("PAL",'General price list'!$C$20:$BA$20,0),FALSE),""))</f>
        <v/>
      </c>
      <c r="D62" s="1" t="str">
        <f>IF(B62="PAL","",IFERROR(VLOOKUP(B62,'General price list'!C:BA,MATCH("OBJ",'General price list'!$C$20:$BA$20,0),FALSE),""))</f>
        <v/>
      </c>
      <c r="E62" s="1">
        <f t="shared" si="11"/>
        <v>0</v>
      </c>
      <c r="F62" s="1">
        <f t="shared" si="12"/>
        <v>0</v>
      </c>
      <c r="G62" s="1">
        <f t="shared" si="13"/>
        <v>0</v>
      </c>
      <c r="H62" s="1">
        <f t="shared" si="14"/>
        <v>0</v>
      </c>
      <c r="I62" s="1">
        <f t="shared" si="15"/>
        <v>0</v>
      </c>
      <c r="J62">
        <f>IF(B62="PAL","",IFERROR(IF(C62="",VLOOKUP(B62,'General price list'!C:BA,MATCH("CBM",'General price list'!$C$20:$BA$20,0),FALSE)*D62,VLOOKUP(B62,'General price list'!C:BA,MATCH("CBM",'General price list'!$C$20:$BA$20,0),FALSE)*(G62*C62)),0))</f>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c r="A63" s="5"/>
      <c r="B63" s="790" t="str">
        <f>IF(B62="PAL","",'General price list'!C83)</f>
        <v>VP90</v>
      </c>
      <c r="C63" s="1" t="str">
        <f>IF(B63="PAL","",IFERROR(VLOOKUP(B63,'General price list'!C:BA,MATCH("PAL",'General price list'!$C$20:$BA$20,0),FALSE),""))</f>
        <v/>
      </c>
      <c r="D63" s="1">
        <f>IF(B63="PAL","",IFERROR(VLOOKUP(B63,'General price list'!C:BA,MATCH("OBJ",'General price list'!$C$20:$BA$20,0),FALSE),""))</f>
        <v>0</v>
      </c>
      <c r="E63" s="1">
        <f t="shared" si="11"/>
        <v>0</v>
      </c>
      <c r="F63" s="1">
        <f t="shared" si="12"/>
        <v>0</v>
      </c>
      <c r="G63" s="1">
        <f t="shared" si="13"/>
        <v>0</v>
      </c>
      <c r="H63" s="1">
        <f t="shared" si="14"/>
        <v>0</v>
      </c>
      <c r="I63" s="1">
        <f t="shared" si="15"/>
        <v>0</v>
      </c>
      <c r="J63">
        <f>IF(B63="PAL","",IFERROR(IF(C63="",VLOOKUP(B63,'General price list'!C:BA,MATCH("CBM",'General price list'!$C$20:$BA$20,0),FALSE)*D63,VLOOKUP(B63,'General price list'!C:BA,MATCH("CBM",'General price list'!$C$20:$BA$20,0),FALSE)*(G63*C63)),0))</f>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c r="A64" s="5"/>
      <c r="B64" s="790" t="str">
        <f>IF(B63="PAL","",'General price list'!C84)</f>
        <v>VP70</v>
      </c>
      <c r="C64" s="1" t="str">
        <f>IF(B64="PAL","",IFERROR(VLOOKUP(B64,'General price list'!C:BA,MATCH("PAL",'General price list'!$C$20:$BA$20,0),FALSE),""))</f>
        <v/>
      </c>
      <c r="D64" s="1">
        <f>IF(B64="PAL","",IFERROR(VLOOKUP(B64,'General price list'!C:BA,MATCH("OBJ",'General price list'!$C$20:$BA$20,0),FALSE),""))</f>
        <v>0</v>
      </c>
      <c r="E64" s="1">
        <f t="shared" si="11"/>
        <v>0</v>
      </c>
      <c r="F64" s="1">
        <f t="shared" si="12"/>
        <v>0</v>
      </c>
      <c r="G64" s="1">
        <f t="shared" si="13"/>
        <v>0</v>
      </c>
      <c r="H64" s="1">
        <f t="shared" si="14"/>
        <v>0</v>
      </c>
      <c r="I64" s="1">
        <f t="shared" si="15"/>
        <v>0</v>
      </c>
      <c r="J64">
        <f>IF(B64="PAL","",IFERROR(IF(C64="",VLOOKUP(B64,'General price list'!C:BA,MATCH("CBM",'General price list'!$C$20:$BA$20,0),FALSE)*D64,VLOOKUP(B64,'General price list'!C:BA,MATCH("CBM",'General price list'!$C$20:$BA$20,0),FALSE)*(G64*C64)),0))</f>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c r="A65" s="5"/>
      <c r="B65" s="790" t="str">
        <f>IF(B64="PAL","",'General price list'!C85)</f>
        <v>VP70W</v>
      </c>
      <c r="C65" s="1" t="str">
        <f>IF(B65="PAL","",IFERROR(VLOOKUP(B65,'General price list'!C:BA,MATCH("PAL",'General price list'!$C$20:$BA$20,0),FALSE),""))</f>
        <v/>
      </c>
      <c r="D65" s="1">
        <f>IF(B65="PAL","",IFERROR(VLOOKUP(B65,'General price list'!C:BA,MATCH("OBJ",'General price list'!$C$20:$BA$20,0),FALSE),""))</f>
        <v>0</v>
      </c>
      <c r="E65" s="1">
        <f t="shared" si="11"/>
        <v>0</v>
      </c>
      <c r="F65" s="1">
        <f t="shared" si="12"/>
        <v>0</v>
      </c>
      <c r="G65" s="1">
        <f t="shared" si="13"/>
        <v>0</v>
      </c>
      <c r="H65" s="1">
        <f t="shared" si="14"/>
        <v>0</v>
      </c>
      <c r="I65" s="1">
        <f t="shared" si="15"/>
        <v>0</v>
      </c>
      <c r="J65">
        <f>IF(B65="PAL","",IFERROR(IF(C65="",VLOOKUP(B65,'General price list'!C:BA,MATCH("CBM",'General price list'!$C$20:$BA$20,0),FALSE)*D65,VLOOKUP(B65,'General price list'!C:BA,MATCH("CBM",'General price list'!$C$20:$BA$20,0),FALSE)*(G65*C65)),0))</f>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c r="A66" s="5"/>
      <c r="B66" s="790" t="str">
        <f>IF(B65="PAL","",'General price list'!C86)</f>
        <v>VP40</v>
      </c>
      <c r="C66" s="1" t="str">
        <f>IF(B66="PAL","",IFERROR(VLOOKUP(B66,'General price list'!C:BA,MATCH("PAL",'General price list'!$C$20:$BA$20,0),FALSE),""))</f>
        <v/>
      </c>
      <c r="D66" s="1">
        <f>IF(B66="PAL","",IFERROR(VLOOKUP(B66,'General price list'!C:BA,MATCH("OBJ",'General price list'!$C$20:$BA$20,0),FALSE),""))</f>
        <v>0</v>
      </c>
      <c r="E66" s="1">
        <f t="shared" si="11"/>
        <v>0</v>
      </c>
      <c r="F66" s="1">
        <f t="shared" si="12"/>
        <v>0</v>
      </c>
      <c r="G66" s="1">
        <f t="shared" si="13"/>
        <v>0</v>
      </c>
      <c r="H66" s="1">
        <f t="shared" si="14"/>
        <v>0</v>
      </c>
      <c r="I66" s="1">
        <f t="shared" si="15"/>
        <v>0</v>
      </c>
      <c r="J66">
        <f>IF(B66="PAL","",IFERROR(IF(C66="",VLOOKUP(B66,'General price list'!C:BA,MATCH("CBM",'General price list'!$C$20:$BA$20,0),FALSE)*D66,VLOOKUP(B66,'General price list'!C:BA,MATCH("CBM",'General price list'!$C$20:$BA$20,0),FALSE)*(G66*C66)),0))</f>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c r="A67" s="5"/>
      <c r="B67" s="790" t="str">
        <f>IF(B66="PAL","",'General price list'!C87)</f>
        <v>VP40/20</v>
      </c>
      <c r="C67" s="1" t="str">
        <f>IF(B67="PAL","",IFERROR(VLOOKUP(B67,'General price list'!C:BA,MATCH("PAL",'General price list'!$C$20:$BA$20,0),FALSE),""))</f>
        <v/>
      </c>
      <c r="D67" s="1">
        <f>IF(B67="PAL","",IFERROR(VLOOKUP(B67,'General price list'!C:BA,MATCH("OBJ",'General price list'!$C$20:$BA$20,0),FALSE),""))</f>
        <v>0</v>
      </c>
      <c r="E67" s="1">
        <f t="shared" si="11"/>
        <v>0</v>
      </c>
      <c r="F67" s="1">
        <f t="shared" si="12"/>
        <v>0</v>
      </c>
      <c r="G67" s="1">
        <f t="shared" si="13"/>
        <v>0</v>
      </c>
      <c r="H67" s="1">
        <f t="shared" si="14"/>
        <v>0</v>
      </c>
      <c r="I67" s="1">
        <f t="shared" si="15"/>
        <v>0</v>
      </c>
      <c r="J67">
        <f>IF(B67="PAL","",IFERROR(IF(C67="",VLOOKUP(B67,'General price list'!C:BA,MATCH("CBM",'General price list'!$C$20:$BA$20,0),FALSE)*D67,VLOOKUP(B67,'General price list'!C:BA,MATCH("CBM",'General price list'!$C$20:$BA$20,0),FALSE)*(G67*C67)),0))</f>
        <v>0</v>
      </c>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c r="A68" s="5"/>
      <c r="B68" s="790" t="str">
        <f>IF(B67="PAL","",'General price list'!C88)</f>
        <v>VP40W</v>
      </c>
      <c r="C68" s="1" t="str">
        <f>IF(B68="PAL","",IFERROR(VLOOKUP(B68,'General price list'!C:BA,MATCH("PAL",'General price list'!$C$20:$BA$20,0),FALSE),""))</f>
        <v/>
      </c>
      <c r="D68" s="1">
        <f>IF(B68="PAL","",IFERROR(VLOOKUP(B68,'General price list'!C:BA,MATCH("OBJ",'General price list'!$C$20:$BA$20,0),FALSE),""))</f>
        <v>0</v>
      </c>
      <c r="E68" s="1">
        <f t="shared" si="11"/>
        <v>0</v>
      </c>
      <c r="F68" s="1">
        <f t="shared" si="12"/>
        <v>0</v>
      </c>
      <c r="G68" s="1">
        <f t="shared" si="13"/>
        <v>0</v>
      </c>
      <c r="H68" s="1">
        <f t="shared" si="14"/>
        <v>0</v>
      </c>
      <c r="I68" s="1">
        <f t="shared" si="15"/>
        <v>0</v>
      </c>
      <c r="J68">
        <f>IF(B68="PAL","",IFERROR(IF(C68="",VLOOKUP(B68,'General price list'!C:BA,MATCH("CBM",'General price list'!$C$20:$BA$20,0),FALSE)*D68,VLOOKUP(B68,'General price list'!C:BA,MATCH("CBM",'General price list'!$C$20:$BA$20,0),FALSE)*(G68*C68)),0))</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c r="A69" s="5"/>
      <c r="B69" s="790" t="str">
        <f>IF(B68="PAL","",'General price list'!C89)</f>
        <v>VP28</v>
      </c>
      <c r="C69" s="1" t="str">
        <f>IF(B69="PAL","",IFERROR(VLOOKUP(B69,'General price list'!C:BA,MATCH("PAL",'General price list'!$C$20:$BA$20,0),FALSE),""))</f>
        <v/>
      </c>
      <c r="D69" s="1">
        <f>IF(B69="PAL","",IFERROR(VLOOKUP(B69,'General price list'!C:BA,MATCH("OBJ",'General price list'!$C$20:$BA$20,0),FALSE),""))</f>
        <v>0</v>
      </c>
      <c r="E69" s="1">
        <f t="shared" si="11"/>
        <v>0</v>
      </c>
      <c r="F69" s="1">
        <f t="shared" si="12"/>
        <v>0</v>
      </c>
      <c r="G69" s="1">
        <f t="shared" si="13"/>
        <v>0</v>
      </c>
      <c r="H69" s="1">
        <f t="shared" si="14"/>
        <v>0</v>
      </c>
      <c r="I69" s="1">
        <f t="shared" si="15"/>
        <v>0</v>
      </c>
      <c r="J69">
        <f>IF(B69="PAL","",IFERROR(IF(C69="",VLOOKUP(B69,'General price list'!C:BA,MATCH("CBM",'General price list'!$C$20:$BA$20,0),FALSE)*D69,VLOOKUP(B69,'General price list'!C:BA,MATCH("CBM",'General price list'!$C$20:$BA$20,0),FALSE)*(G69*C69)),0))</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c r="A70" s="5"/>
      <c r="B70" s="790" t="str">
        <f>IF(B69="PAL","",'General price list'!C90)</f>
        <v>VP16A</v>
      </c>
      <c r="C70" s="1" t="str">
        <f>IF(B70="PAL","",IFERROR(VLOOKUP(B70,'General price list'!C:BA,MATCH("PAL",'General price list'!$C$20:$BA$20,0),FALSE),""))</f>
        <v/>
      </c>
      <c r="D70" s="1">
        <f>IF(B70="PAL","",IFERROR(VLOOKUP(B70,'General price list'!C:BA,MATCH("OBJ",'General price list'!$C$20:$BA$20,0),FALSE),""))</f>
        <v>0</v>
      </c>
      <c r="E70" s="1">
        <f t="shared" si="11"/>
        <v>0</v>
      </c>
      <c r="F70" s="1">
        <f t="shared" si="12"/>
        <v>0</v>
      </c>
      <c r="G70" s="1">
        <f t="shared" si="13"/>
        <v>0</v>
      </c>
      <c r="H70" s="1">
        <f t="shared" si="14"/>
        <v>0</v>
      </c>
      <c r="I70" s="1">
        <f t="shared" si="15"/>
        <v>0</v>
      </c>
      <c r="J70">
        <f>IF(B70="PAL","",IFERROR(IF(C70="",VLOOKUP(B70,'General price list'!C:BA,MATCH("CBM",'General price list'!$C$20:$BA$20,0),FALSE)*D70,VLOOKUP(B70,'General price list'!C:BA,MATCH("CBM",'General price list'!$C$20:$BA$20,0),FALSE)*(G70*C70)),0))</f>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c r="A71" s="5"/>
      <c r="B71" s="790" t="str">
        <f>IF(B70="PAL","",'General price list'!C91)</f>
        <v>VP16A(1)</v>
      </c>
      <c r="C71" s="1" t="str">
        <f>IF(B71="PAL","",IFERROR(VLOOKUP(B71,'General price list'!C:BA,MATCH("PAL",'General price list'!$C$20:$BA$20,0),FALSE),""))</f>
        <v/>
      </c>
      <c r="D71" s="1">
        <f>IF(B71="PAL","",IFERROR(VLOOKUP(B71,'General price list'!C:BA,MATCH("OBJ",'General price list'!$C$20:$BA$20,0),FALSE),""))</f>
        <v>0</v>
      </c>
      <c r="E71" s="1">
        <f t="shared" si="11"/>
        <v>0</v>
      </c>
      <c r="F71" s="1">
        <f t="shared" si="12"/>
        <v>0</v>
      </c>
      <c r="G71" s="1">
        <f t="shared" si="13"/>
        <v>0</v>
      </c>
      <c r="H71" s="1">
        <f t="shared" si="14"/>
        <v>0</v>
      </c>
      <c r="I71" s="1">
        <f t="shared" si="15"/>
        <v>0</v>
      </c>
      <c r="J71">
        <f>IF(B71="PAL","",IFERROR(IF(C71="",VLOOKUP(B71,'General price list'!C:BA,MATCH("CBM",'General price list'!$C$20:$BA$20,0),FALSE)*D71,VLOOKUP(B71,'General price list'!C:BA,MATCH("CBM",'General price list'!$C$20:$BA$20,0),FALSE)*(G71*C71)),0))</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c r="A72" s="5"/>
      <c r="B72" s="790">
        <f>IF(B71="PAL","",'General price list'!C92)</f>
        <v>0</v>
      </c>
      <c r="C72" s="1" t="str">
        <f>IF(B72="PAL","",IFERROR(VLOOKUP(B72,'General price list'!C:BA,MATCH("PAL",'General price list'!$C$20:$BA$20,0),FALSE),""))</f>
        <v/>
      </c>
      <c r="D72" s="1" t="str">
        <f>IF(B72="PAL","",IFERROR(VLOOKUP(B72,'General price list'!C:BA,MATCH("OBJ",'General price list'!$C$20:$BA$20,0),FALSE),""))</f>
        <v/>
      </c>
      <c r="E72" s="1">
        <f t="shared" si="11"/>
        <v>0</v>
      </c>
      <c r="F72" s="1">
        <f t="shared" si="12"/>
        <v>0</v>
      </c>
      <c r="G72" s="1">
        <f t="shared" si="13"/>
        <v>0</v>
      </c>
      <c r="H72" s="1">
        <f t="shared" si="14"/>
        <v>0</v>
      </c>
      <c r="I72" s="1">
        <f t="shared" si="15"/>
        <v>0</v>
      </c>
      <c r="J72">
        <f>IF(B72="PAL","",IFERROR(IF(C72="",VLOOKUP(B72,'General price list'!C:BA,MATCH("CBM",'General price list'!$C$20:$BA$20,0),FALSE)*D72,VLOOKUP(B72,'General price list'!C:BA,MATCH("CBM",'General price list'!$C$20:$BA$20,0),FALSE)*(G72*C72)),0))</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c r="A73" s="5"/>
      <c r="B73" s="790" t="str">
        <f>IF(B72="PAL","",'General price list'!C93)</f>
        <v>VP28N</v>
      </c>
      <c r="C73" s="1" t="str">
        <f>IF(B73="PAL","",IFERROR(VLOOKUP(B73,'General price list'!C:BA,MATCH("PAL",'General price list'!$C$20:$BA$20,0),FALSE),""))</f>
        <v/>
      </c>
      <c r="D73" s="1">
        <f>IF(B73="PAL","",IFERROR(VLOOKUP(B73,'General price list'!C:BA,MATCH("OBJ",'General price list'!$C$20:$BA$20,0),FALSE),""))</f>
        <v>0</v>
      </c>
      <c r="E73" s="1">
        <f t="shared" si="11"/>
        <v>0</v>
      </c>
      <c r="F73" s="1">
        <f t="shared" si="12"/>
        <v>0</v>
      </c>
      <c r="G73" s="1">
        <f t="shared" si="13"/>
        <v>0</v>
      </c>
      <c r="H73" s="1">
        <f t="shared" si="14"/>
        <v>0</v>
      </c>
      <c r="I73" s="1">
        <f t="shared" si="15"/>
        <v>0</v>
      </c>
      <c r="J73">
        <f>IF(B73="PAL","",IFERROR(IF(C73="",VLOOKUP(B73,'General price list'!C:BA,MATCH("CBM",'General price list'!$C$20:$BA$20,0),FALSE)*D73,VLOOKUP(B73,'General price list'!C:BA,MATCH("CBM",'General price list'!$C$20:$BA$20,0),FALSE)*(G73*C73)),0))</f>
        <v>0</v>
      </c>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c r="A74" s="5"/>
      <c r="B74" s="790" t="str">
        <f>IF(B73="PAL","",'General price list'!C94)</f>
        <v>VP40N</v>
      </c>
      <c r="C74" s="1" t="str">
        <f>IF(B74="PAL","",IFERROR(VLOOKUP(B74,'General price list'!C:BA,MATCH("PAL",'General price list'!$C$20:$BA$20,0),FALSE),""))</f>
        <v/>
      </c>
      <c r="D74" s="1">
        <f>IF(B74="PAL","",IFERROR(VLOOKUP(B74,'General price list'!C:BA,MATCH("OBJ",'General price list'!$C$20:$BA$20,0),FALSE),""))</f>
        <v>0</v>
      </c>
      <c r="E74" s="1">
        <f t="shared" si="11"/>
        <v>0</v>
      </c>
      <c r="F74" s="1">
        <f t="shared" si="12"/>
        <v>0</v>
      </c>
      <c r="G74" s="1">
        <f t="shared" si="13"/>
        <v>0</v>
      </c>
      <c r="H74" s="1">
        <f t="shared" si="14"/>
        <v>0</v>
      </c>
      <c r="I74" s="1">
        <f t="shared" si="15"/>
        <v>0</v>
      </c>
      <c r="J74">
        <f>IF(B74="PAL","",IFERROR(IF(C74="",VLOOKUP(B74,'General price list'!C:BA,MATCH("CBM",'General price list'!$C$20:$BA$20,0),FALSE)*D74,VLOOKUP(B74,'General price list'!C:BA,MATCH("CBM",'General price list'!$C$20:$BA$20,0),FALSE)*(G74*C74)),0))</f>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c r="A75" s="5"/>
      <c r="B75" s="790" t="str">
        <f>IF(B74="PAL","",'General price list'!C95)</f>
        <v>VP12MIX</v>
      </c>
      <c r="C75" s="1" t="str">
        <f>IF(B75="PAL","",IFERROR(VLOOKUP(B75,'General price list'!C:BA,MATCH("PAL",'General price list'!$C$20:$BA$20,0),FALSE),""))</f>
        <v/>
      </c>
      <c r="D75" s="1">
        <f>IF(B75="PAL","",IFERROR(VLOOKUP(B75,'General price list'!C:BA,MATCH("OBJ",'General price list'!$C$20:$BA$20,0),FALSE),""))</f>
        <v>0</v>
      </c>
      <c r="E75" s="1">
        <f t="shared" si="11"/>
        <v>0</v>
      </c>
      <c r="F75" s="1">
        <f t="shared" si="12"/>
        <v>0</v>
      </c>
      <c r="G75" s="1">
        <f t="shared" si="13"/>
        <v>0</v>
      </c>
      <c r="H75" s="1">
        <f t="shared" si="14"/>
        <v>0</v>
      </c>
      <c r="I75" s="1">
        <f t="shared" si="15"/>
        <v>0</v>
      </c>
      <c r="J75">
        <f>IF(B75="PAL","",IFERROR(IF(C75="",VLOOKUP(B75,'General price list'!C:BA,MATCH("CBM",'General price list'!$C$20:$BA$20,0),FALSE)*D75,VLOOKUP(B75,'General price list'!C:BA,MATCH("CBM",'General price list'!$C$20:$BA$20,0),FALSE)*(G75*C75)),0))</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c r="A76" s="5"/>
      <c r="B76" s="790" t="str">
        <f>IF(B75="PAL","",'General price list'!C96)</f>
        <v>SPRS1E</v>
      </c>
      <c r="C76" s="1" t="str">
        <f>IF(B76="PAL","",IFERROR(VLOOKUP(B76,'General price list'!C:BA,MATCH("PAL",'General price list'!$C$20:$BA$20,0),FALSE),""))</f>
        <v/>
      </c>
      <c r="D76" s="1">
        <f>IF(B76="PAL","",IFERROR(VLOOKUP(B76,'General price list'!C:BA,MATCH("OBJ",'General price list'!$C$20:$BA$20,0),FALSE),""))</f>
        <v>0</v>
      </c>
      <c r="E76" s="1">
        <f t="shared" ref="E76:E139" si="21">IF(B76="PAL","",IFERROR(D76/C76,0))</f>
        <v>0</v>
      </c>
      <c r="F76" s="1">
        <f t="shared" ref="F76:F139" si="22">IF(B76="PAL","",IFERROR(FLOOR(IF(E76-1&lt;0,0,E76),1),0))</f>
        <v>0</v>
      </c>
      <c r="G76" s="1">
        <f t="shared" ref="G76:G139" si="23">IF(B76="PAL","",IFERROR(IF(H76&gt;E76,F76-E76,E76-F76),0))</f>
        <v>0</v>
      </c>
      <c r="H76" s="1">
        <f t="shared" ref="H76:H139" si="24">IF(B76="PAL","",IFERROR(IF(E76=0,0,F76),0))</f>
        <v>0</v>
      </c>
      <c r="I76" s="1">
        <f t="shared" ref="I76:I139" si="25">IF(B76="PAL","",IFERROR(IF(D76=0,0,IF(F76=0,(D76*nextVK)+(prvniVK-nextVK),(G76*C76*nextVK)+(F76*PALzKoje))),0))</f>
        <v>0</v>
      </c>
      <c r="J76">
        <f>IF(B76="PAL","",IFERROR(IF(C76="",VLOOKUP(B76,'General price list'!C:BA,MATCH("CBM",'General price list'!$C$20:$BA$20,0),FALSE)*D76,VLOOKUP(B76,'General price list'!C:BA,MATCH("CBM",'General price list'!$C$20:$BA$20,0),FALSE)*(G76*C76)),0))</f>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c r="A77" s="5"/>
      <c r="B77" s="790">
        <f>IF(B76="PAL","",'General price list'!C97)</f>
        <v>0</v>
      </c>
      <c r="C77" s="1" t="str">
        <f>IF(B77="PAL","",IFERROR(VLOOKUP(B77,'General price list'!C:BA,MATCH("PAL",'General price list'!$C$20:$BA$20,0),FALSE),""))</f>
        <v/>
      </c>
      <c r="D77" s="1" t="str">
        <f>IF(B77="PAL","",IFERROR(VLOOKUP(B77,'General price list'!C:BA,MATCH("OBJ",'General price list'!$C$20:$BA$20,0),FALSE),""))</f>
        <v/>
      </c>
      <c r="E77" s="1">
        <f t="shared" si="21"/>
        <v>0</v>
      </c>
      <c r="F77" s="1">
        <f t="shared" si="22"/>
        <v>0</v>
      </c>
      <c r="G77" s="1">
        <f t="shared" si="23"/>
        <v>0</v>
      </c>
      <c r="H77" s="1">
        <f t="shared" si="24"/>
        <v>0</v>
      </c>
      <c r="I77" s="1">
        <f t="shared" si="25"/>
        <v>0</v>
      </c>
      <c r="J77">
        <f>IF(B77="PAL","",IFERROR(IF(C77="",VLOOKUP(B77,'General price list'!C:BA,MATCH("CBM",'General price list'!$C$20:$BA$20,0),FALSE)*D77,VLOOKUP(B77,'General price list'!C:BA,MATCH("CBM",'General price list'!$C$20:$BA$20,0),FALSE)*(G77*C77)),0))</f>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c r="A78" s="5"/>
      <c r="B78" s="790" t="str">
        <f>IF(B77="PAL","",'General price list'!C98)</f>
        <v>D1D</v>
      </c>
      <c r="C78" s="1" t="str">
        <f>IF(B78="PAL","",IFERROR(VLOOKUP(B78,'General price list'!C:BA,MATCH("PAL",'General price list'!$C$20:$BA$20,0),FALSE),""))</f>
        <v/>
      </c>
      <c r="D78" s="1">
        <f>IF(B78="PAL","",IFERROR(VLOOKUP(B78,'General price list'!C:BA,MATCH("OBJ",'General price list'!$C$20:$BA$20,0),FALSE),""))</f>
        <v>0</v>
      </c>
      <c r="E78" s="1">
        <f t="shared" si="21"/>
        <v>0</v>
      </c>
      <c r="F78" s="1">
        <f t="shared" si="22"/>
        <v>0</v>
      </c>
      <c r="G78" s="1">
        <f t="shared" si="23"/>
        <v>0</v>
      </c>
      <c r="H78" s="1">
        <f t="shared" si="24"/>
        <v>0</v>
      </c>
      <c r="I78" s="1">
        <f t="shared" si="25"/>
        <v>0</v>
      </c>
      <c r="J78">
        <f>IF(B78="PAL","",IFERROR(IF(C78="",VLOOKUP(B78,'General price list'!C:BA,MATCH("CBM",'General price list'!$C$20:$BA$20,0),FALSE)*D78,VLOOKUP(B78,'General price list'!C:BA,MATCH("CBM",'General price list'!$C$20:$BA$20,0),FALSE)*(G78*C78)),0))</f>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c r="A79" s="5"/>
      <c r="B79" s="790" t="str">
        <f>IF(B78="PAL","",'General price list'!C99)</f>
        <v>D1M</v>
      </c>
      <c r="C79" s="1" t="str">
        <f>IF(B79="PAL","",IFERROR(VLOOKUP(B79,'General price list'!C:BA,MATCH("PAL",'General price list'!$C$20:$BA$20,0),FALSE),""))</f>
        <v/>
      </c>
      <c r="D79" s="1">
        <f>IF(B79="PAL","",IFERROR(VLOOKUP(B79,'General price list'!C:BA,MATCH("OBJ",'General price list'!$C$20:$BA$20,0),FALSE),""))</f>
        <v>0</v>
      </c>
      <c r="E79" s="1">
        <f t="shared" si="21"/>
        <v>0</v>
      </c>
      <c r="F79" s="1">
        <f t="shared" si="22"/>
        <v>0</v>
      </c>
      <c r="G79" s="1">
        <f t="shared" si="23"/>
        <v>0</v>
      </c>
      <c r="H79" s="1">
        <f t="shared" si="24"/>
        <v>0</v>
      </c>
      <c r="I79" s="1">
        <f t="shared" si="25"/>
        <v>0</v>
      </c>
      <c r="J79">
        <f>IF(B79="PAL","",IFERROR(IF(C79="",VLOOKUP(B79,'General price list'!C:BA,MATCH("CBM",'General price list'!$C$20:$BA$20,0),FALSE)*D79,VLOOKUP(B79,'General price list'!C:BA,MATCH("CBM",'General price list'!$C$20:$BA$20,0),FALSE)*(G79*C79)),0))</f>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c r="A80" s="5"/>
      <c r="B80" s="790" t="str">
        <f>IF(B79="PAL","",'General price list'!C100)</f>
        <v>D2C</v>
      </c>
      <c r="C80" s="1" t="str">
        <f>IF(B80="PAL","",IFERROR(VLOOKUP(B80,'General price list'!C:BA,MATCH("PAL",'General price list'!$C$20:$BA$20,0),FALSE),""))</f>
        <v/>
      </c>
      <c r="D80" s="1">
        <f>IF(B80="PAL","",IFERROR(VLOOKUP(B80,'General price list'!C:BA,MATCH("OBJ",'General price list'!$C$20:$BA$20,0),FALSE),""))</f>
        <v>0</v>
      </c>
      <c r="E80" s="1">
        <f t="shared" si="21"/>
        <v>0</v>
      </c>
      <c r="F80" s="1">
        <f t="shared" si="22"/>
        <v>0</v>
      </c>
      <c r="G80" s="1">
        <f t="shared" si="23"/>
        <v>0</v>
      </c>
      <c r="H80" s="1">
        <f t="shared" si="24"/>
        <v>0</v>
      </c>
      <c r="I80" s="1">
        <f t="shared" si="25"/>
        <v>0</v>
      </c>
      <c r="J80">
        <f>IF(B80="PAL","",IFERROR(IF(C80="",VLOOKUP(B80,'General price list'!C:BA,MATCH("CBM",'General price list'!$C$20:$BA$20,0),FALSE)*D80,VLOOKUP(B80,'General price list'!C:BA,MATCH("CBM",'General price list'!$C$20:$BA$20,0),FALSE)*(G80*C80)),0))</f>
        <v>0</v>
      </c>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1:49">
      <c r="A81" s="5"/>
      <c r="B81" s="790" t="str">
        <f>IF(B80="PAL","",'General price list'!C101)</f>
        <v>D2CN(1)</v>
      </c>
      <c r="C81" s="1" t="str">
        <f>IF(B81="PAL","",IFERROR(VLOOKUP(B81,'General price list'!C:BA,MATCH("PAL",'General price list'!$C$20:$BA$20,0),FALSE),""))</f>
        <v/>
      </c>
      <c r="D81" s="1">
        <f>IF(B81="PAL","",IFERROR(VLOOKUP(B81,'General price list'!C:BA,MATCH("OBJ",'General price list'!$C$20:$BA$20,0),FALSE),""))</f>
        <v>0</v>
      </c>
      <c r="E81" s="1">
        <f t="shared" si="21"/>
        <v>0</v>
      </c>
      <c r="F81" s="1">
        <f t="shared" si="22"/>
        <v>0</v>
      </c>
      <c r="G81" s="1">
        <f t="shared" si="23"/>
        <v>0</v>
      </c>
      <c r="H81" s="1">
        <f t="shared" si="24"/>
        <v>0</v>
      </c>
      <c r="I81" s="1">
        <f t="shared" si="25"/>
        <v>0</v>
      </c>
      <c r="J81">
        <f>IF(B81="PAL","",IFERROR(IF(C81="",VLOOKUP(B81,'General price list'!C:BA,MATCH("CBM",'General price list'!$C$20:$BA$20,0),FALSE)*D81,VLOOKUP(B81,'General price list'!C:BA,MATCH("CBM",'General price list'!$C$20:$BA$20,0),FALSE)*(G81*C81)),0))</f>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1:49">
      <c r="A82" s="5"/>
      <c r="B82" s="790" t="str">
        <f>IF(B81="PAL","",'General price list'!C102)</f>
        <v>D3SK</v>
      </c>
      <c r="C82" s="1" t="str">
        <f>IF(B82="PAL","",IFERROR(VLOOKUP(B82,'General price list'!C:BA,MATCH("PAL",'General price list'!$C$20:$BA$20,0),FALSE),""))</f>
        <v/>
      </c>
      <c r="D82" s="1">
        <f>IF(B82="PAL","",IFERROR(VLOOKUP(B82,'General price list'!C:BA,MATCH("OBJ",'General price list'!$C$20:$BA$20,0),FALSE),""))</f>
        <v>0</v>
      </c>
      <c r="E82" s="1">
        <f t="shared" si="21"/>
        <v>0</v>
      </c>
      <c r="F82" s="1">
        <f t="shared" si="22"/>
        <v>0</v>
      </c>
      <c r="G82" s="1">
        <f t="shared" si="23"/>
        <v>0</v>
      </c>
      <c r="H82" s="1">
        <f t="shared" si="24"/>
        <v>0</v>
      </c>
      <c r="I82" s="1">
        <f t="shared" si="25"/>
        <v>0</v>
      </c>
      <c r="J82">
        <f>IF(B82="PAL","",IFERROR(IF(C82="",VLOOKUP(B82,'General price list'!C:BA,MATCH("CBM",'General price list'!$C$20:$BA$20,0),FALSE)*D82,VLOOKUP(B82,'General price list'!C:BA,MATCH("CBM",'General price list'!$C$20:$BA$20,0),FALSE)*(G82*C82)),0))</f>
        <v>0</v>
      </c>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c r="A83" s="5"/>
      <c r="B83" s="790" t="str">
        <f>IF(B82="PAL","",'General price list'!C103)</f>
        <v>RDG1B</v>
      </c>
      <c r="C83" s="1" t="str">
        <f>IF(B83="PAL","",IFERROR(VLOOKUP(B83,'General price list'!C:BA,MATCH("PAL",'General price list'!$C$20:$BA$20,0),FALSE),""))</f>
        <v/>
      </c>
      <c r="D83" s="1">
        <f>IF(B83="PAL","",IFERROR(VLOOKUP(B83,'General price list'!C:BA,MATCH("OBJ",'General price list'!$C$20:$BA$20,0),FALSE),""))</f>
        <v>0</v>
      </c>
      <c r="E83" s="1">
        <f t="shared" si="21"/>
        <v>0</v>
      </c>
      <c r="F83" s="1">
        <f t="shared" si="22"/>
        <v>0</v>
      </c>
      <c r="G83" s="1">
        <f t="shared" si="23"/>
        <v>0</v>
      </c>
      <c r="H83" s="1">
        <f t="shared" si="24"/>
        <v>0</v>
      </c>
      <c r="I83" s="1">
        <f t="shared" si="25"/>
        <v>0</v>
      </c>
      <c r="J83">
        <f>IF(B83="PAL","",IFERROR(IF(C83="",VLOOKUP(B83,'General price list'!C:BA,MATCH("CBM",'General price list'!$C$20:$BA$20,0),FALSE)*D83,VLOOKUP(B83,'General price list'!C:BA,MATCH("CBM",'General price list'!$C$20:$BA$20,0),FALSE)*(G83*C83)),0))</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c r="A84" s="5"/>
      <c r="B84" s="790" t="str">
        <f>IF(B83="PAL","",'General price list'!C104)</f>
        <v>RDG1C</v>
      </c>
      <c r="C84" s="1" t="str">
        <f>IF(B84="PAL","",IFERROR(VLOOKUP(B84,'General price list'!C:BA,MATCH("PAL",'General price list'!$C$20:$BA$20,0),FALSE),""))</f>
        <v/>
      </c>
      <c r="D84" s="1">
        <f>IF(B84="PAL","",IFERROR(VLOOKUP(B84,'General price list'!C:BA,MATCH("OBJ",'General price list'!$C$20:$BA$20,0),FALSE),""))</f>
        <v>0</v>
      </c>
      <c r="E84" s="1">
        <f t="shared" si="21"/>
        <v>0</v>
      </c>
      <c r="F84" s="1">
        <f t="shared" si="22"/>
        <v>0</v>
      </c>
      <c r="G84" s="1">
        <f t="shared" si="23"/>
        <v>0</v>
      </c>
      <c r="H84" s="1">
        <f t="shared" si="24"/>
        <v>0</v>
      </c>
      <c r="I84" s="1">
        <f t="shared" si="25"/>
        <v>0</v>
      </c>
      <c r="J84">
        <f>IF(B84="PAL","",IFERROR(IF(C84="",VLOOKUP(B84,'General price list'!C:BA,MATCH("CBM",'General price list'!$C$20:$BA$20,0),FALSE)*D84,VLOOKUP(B84,'General price list'!C:BA,MATCH("CBM",'General price list'!$C$20:$BA$20,0),FALSE)*(G84*C84)),0))</f>
        <v>0</v>
      </c>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c r="A85" s="5"/>
      <c r="B85" s="790" t="str">
        <f>IF(B84="PAL","",'General price list'!C105)</f>
        <v>RDG1M</v>
      </c>
      <c r="C85" s="1" t="str">
        <f>IF(B85="PAL","",IFERROR(VLOOKUP(B85,'General price list'!C:BA,MATCH("PAL",'General price list'!$C$20:$BA$20,0),FALSE),""))</f>
        <v/>
      </c>
      <c r="D85" s="1">
        <f>IF(B85="PAL","",IFERROR(VLOOKUP(B85,'General price list'!C:BA,MATCH("OBJ",'General price list'!$C$20:$BA$20,0),FALSE),""))</f>
        <v>0</v>
      </c>
      <c r="E85" s="1">
        <f t="shared" si="21"/>
        <v>0</v>
      </c>
      <c r="F85" s="1">
        <f t="shared" si="22"/>
        <v>0</v>
      </c>
      <c r="G85" s="1">
        <f t="shared" si="23"/>
        <v>0</v>
      </c>
      <c r="H85" s="1">
        <f t="shared" si="24"/>
        <v>0</v>
      </c>
      <c r="I85" s="1">
        <f t="shared" si="25"/>
        <v>0</v>
      </c>
      <c r="J85">
        <f>IF(B85="PAL","",IFERROR(IF(C85="",VLOOKUP(B85,'General price list'!C:BA,MATCH("CBM",'General price list'!$C$20:$BA$20,0),FALSE)*D85,VLOOKUP(B85,'General price list'!C:BA,MATCH("CBM",'General price list'!$C$20:$BA$20,0),FALSE)*(G85*C85)),0))</f>
        <v>0</v>
      </c>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c r="A86" s="5"/>
      <c r="B86" s="790" t="str">
        <f>IF(B85="PAL","",'General price list'!C106)</f>
        <v>RDG1ZL</v>
      </c>
      <c r="C86" s="1" t="str">
        <f>IF(B86="PAL","",IFERROR(VLOOKUP(B86,'General price list'!C:BA,MATCH("PAL",'General price list'!$C$20:$BA$20,0),FALSE),""))</f>
        <v/>
      </c>
      <c r="D86" s="1">
        <f>IF(B86="PAL","",IFERROR(VLOOKUP(B86,'General price list'!C:BA,MATCH("OBJ",'General price list'!$C$20:$BA$20,0),FALSE),""))</f>
        <v>0</v>
      </c>
      <c r="E86" s="1">
        <f t="shared" si="21"/>
        <v>0</v>
      </c>
      <c r="F86" s="1">
        <f t="shared" si="22"/>
        <v>0</v>
      </c>
      <c r="G86" s="1">
        <f t="shared" si="23"/>
        <v>0</v>
      </c>
      <c r="H86" s="1">
        <f t="shared" si="24"/>
        <v>0</v>
      </c>
      <c r="I86" s="1">
        <f t="shared" si="25"/>
        <v>0</v>
      </c>
      <c r="J86">
        <f>IF(B86="PAL","",IFERROR(IF(C86="",VLOOKUP(B86,'General price list'!C:BA,MATCH("CBM",'General price list'!$C$20:$BA$20,0),FALSE)*D86,VLOOKUP(B86,'General price list'!C:BA,MATCH("CBM",'General price list'!$C$20:$BA$20,0),FALSE)*(G86*C86)),0))</f>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c r="A87" s="5"/>
      <c r="B87" s="790" t="str">
        <f>IF(B86="PAL","",'General price list'!C107)</f>
        <v>RDG1ZL(1)</v>
      </c>
      <c r="C87" s="1" t="str">
        <f>IF(B87="PAL","",IFERROR(VLOOKUP(B87,'General price list'!C:BA,MATCH("PAL",'General price list'!$C$20:$BA$20,0),FALSE),""))</f>
        <v/>
      </c>
      <c r="D87" s="1">
        <f>IF(B87="PAL","",IFERROR(VLOOKUP(B87,'General price list'!C:BA,MATCH("OBJ",'General price list'!$C$20:$BA$20,0),FALSE),""))</f>
        <v>0</v>
      </c>
      <c r="E87" s="1">
        <f t="shared" si="21"/>
        <v>0</v>
      </c>
      <c r="F87" s="1">
        <f t="shared" si="22"/>
        <v>0</v>
      </c>
      <c r="G87" s="1">
        <f t="shared" si="23"/>
        <v>0</v>
      </c>
      <c r="H87" s="1">
        <f t="shared" si="24"/>
        <v>0</v>
      </c>
      <c r="I87" s="1">
        <f t="shared" si="25"/>
        <v>0</v>
      </c>
      <c r="J87">
        <f>IF(B87="PAL","",IFERROR(IF(C87="",VLOOKUP(B87,'General price list'!C:BA,MATCH("CBM",'General price list'!$C$20:$BA$20,0),FALSE)*D87,VLOOKUP(B87,'General price list'!C:BA,MATCH("CBM",'General price list'!$C$20:$BA$20,0),FALSE)*(G87*C87)),0))</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c r="A88" s="5"/>
      <c r="B88" s="790" t="str">
        <f>IF(B87="PAL","",'General price list'!C108)</f>
        <v>RDG1ZE</v>
      </c>
      <c r="C88" s="1" t="str">
        <f>IF(B88="PAL","",IFERROR(VLOOKUP(B88,'General price list'!C:BA,MATCH("PAL",'General price list'!$C$20:$BA$20,0),FALSE),""))</f>
        <v/>
      </c>
      <c r="D88" s="1">
        <f>IF(B88="PAL","",IFERROR(VLOOKUP(B88,'General price list'!C:BA,MATCH("OBJ",'General price list'!$C$20:$BA$20,0),FALSE),""))</f>
        <v>0</v>
      </c>
      <c r="E88" s="1">
        <f t="shared" si="21"/>
        <v>0</v>
      </c>
      <c r="F88" s="1">
        <f t="shared" si="22"/>
        <v>0</v>
      </c>
      <c r="G88" s="1">
        <f t="shared" si="23"/>
        <v>0</v>
      </c>
      <c r="H88" s="1">
        <f t="shared" si="24"/>
        <v>0</v>
      </c>
      <c r="I88" s="1">
        <f t="shared" si="25"/>
        <v>0</v>
      </c>
      <c r="J88">
        <f>IF(B88="PAL","",IFERROR(IF(C88="",VLOOKUP(B88,'General price list'!C:BA,MATCH("CBM",'General price list'!$C$20:$BA$20,0),FALSE)*D88,VLOOKUP(B88,'General price list'!C:BA,MATCH("CBM",'General price list'!$C$20:$BA$20,0),FALSE)*(G88*C88)),0))</f>
        <v>0</v>
      </c>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c r="A89" s="5"/>
      <c r="B89" s="790" t="str">
        <f>IF(B88="PAL","",'General price list'!C109)</f>
        <v>RDG2B</v>
      </c>
      <c r="C89" s="1" t="str">
        <f>IF(B89="PAL","",IFERROR(VLOOKUP(B89,'General price list'!C:BA,MATCH("PAL",'General price list'!$C$20:$BA$20,0),FALSE),""))</f>
        <v/>
      </c>
      <c r="D89" s="1">
        <f>IF(B89="PAL","",IFERROR(VLOOKUP(B89,'General price list'!C:BA,MATCH("OBJ",'General price list'!$C$20:$BA$20,0),FALSE),""))</f>
        <v>0</v>
      </c>
      <c r="E89" s="1">
        <f t="shared" si="21"/>
        <v>0</v>
      </c>
      <c r="F89" s="1">
        <f t="shared" si="22"/>
        <v>0</v>
      </c>
      <c r="G89" s="1">
        <f t="shared" si="23"/>
        <v>0</v>
      </c>
      <c r="H89" s="1">
        <f t="shared" si="24"/>
        <v>0</v>
      </c>
      <c r="I89" s="1">
        <f t="shared" si="25"/>
        <v>0</v>
      </c>
      <c r="J89">
        <f>IF(B89="PAL","",IFERROR(IF(C89="",VLOOKUP(B89,'General price list'!C:BA,MATCH("CBM",'General price list'!$C$20:$BA$20,0),FALSE)*D89,VLOOKUP(B89,'General price list'!C:BA,MATCH("CBM",'General price list'!$C$20:$BA$20,0),FALSE)*(G89*C89)),0))</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ht="15" customHeight="1">
      <c r="B90" s="790" t="str">
        <f>IF(B89="PAL","",'General price list'!C110)</f>
        <v>RDG2C</v>
      </c>
      <c r="C90" s="1" t="str">
        <f>IF(B90="PAL","",IFERROR(VLOOKUP(B90,'General price list'!C:BA,MATCH("PAL",'General price list'!$C$20:$BA$20,0),FALSE),""))</f>
        <v/>
      </c>
      <c r="D90" s="1">
        <f>IF(B90="PAL","",IFERROR(VLOOKUP(B90,'General price list'!C:BA,MATCH("OBJ",'General price list'!$C$20:$BA$20,0),FALSE),""))</f>
        <v>0</v>
      </c>
      <c r="E90" s="1">
        <f t="shared" si="21"/>
        <v>0</v>
      </c>
      <c r="F90" s="1">
        <f t="shared" si="22"/>
        <v>0</v>
      </c>
      <c r="G90" s="1">
        <f t="shared" si="23"/>
        <v>0</v>
      </c>
      <c r="H90" s="1">
        <f t="shared" si="24"/>
        <v>0</v>
      </c>
      <c r="I90" s="1">
        <f t="shared" si="25"/>
        <v>0</v>
      </c>
      <c r="J90">
        <f>IF(B90="PAL","",IFERROR(IF(C90="",VLOOKUP(B90,'General price list'!C:BA,MATCH("CBM",'General price list'!$C$20:$BA$20,0),FALSE)*D90,VLOOKUP(B90,'General price list'!C:BA,MATCH("CBM",'General price list'!$C$20:$BA$20,0),FALSE)*(G90*C90)),0))</f>
        <v>0</v>
      </c>
    </row>
    <row r="91" spans="1:49" ht="15" customHeight="1">
      <c r="B91" s="790" t="str">
        <f>IF(B90="PAL","",'General price list'!C111)</f>
        <v>RDG2M</v>
      </c>
      <c r="C91" s="1" t="str">
        <f>IF(B91="PAL","",IFERROR(VLOOKUP(B91,'General price list'!C:BA,MATCH("PAL",'General price list'!$C$20:$BA$20,0),FALSE),""))</f>
        <v/>
      </c>
      <c r="D91" s="1">
        <f>IF(B91="PAL","",IFERROR(VLOOKUP(B91,'General price list'!C:BA,MATCH("OBJ",'General price list'!$C$20:$BA$20,0),FALSE),""))</f>
        <v>0</v>
      </c>
      <c r="E91" s="1">
        <f t="shared" si="21"/>
        <v>0</v>
      </c>
      <c r="F91" s="1">
        <f t="shared" si="22"/>
        <v>0</v>
      </c>
      <c r="G91" s="1">
        <f t="shared" si="23"/>
        <v>0</v>
      </c>
      <c r="H91" s="1">
        <f t="shared" si="24"/>
        <v>0</v>
      </c>
      <c r="I91" s="1">
        <f t="shared" si="25"/>
        <v>0</v>
      </c>
      <c r="J91">
        <f>IF(B91="PAL","",IFERROR(IF(C91="",VLOOKUP(B91,'General price list'!C:BA,MATCH("CBM",'General price list'!$C$20:$BA$20,0),FALSE)*D91,VLOOKUP(B91,'General price list'!C:BA,MATCH("CBM",'General price list'!$C$20:$BA$20,0),FALSE)*(G91*C91)),0))</f>
        <v>0</v>
      </c>
    </row>
    <row r="92" spans="1:49" ht="15" customHeight="1">
      <c r="B92" s="790">
        <f>IF(B91="PAL","",'General price list'!C112)</f>
        <v>0</v>
      </c>
      <c r="C92" s="1" t="str">
        <f>IF(B92="PAL","",IFERROR(VLOOKUP(B92,'General price list'!C:BA,MATCH("PAL",'General price list'!$C$20:$BA$20,0),FALSE),""))</f>
        <v/>
      </c>
      <c r="D92" s="1" t="str">
        <f>IF(B92="PAL","",IFERROR(VLOOKUP(B92,'General price list'!C:BA,MATCH("OBJ",'General price list'!$C$20:$BA$20,0),FALSE),""))</f>
        <v/>
      </c>
      <c r="E92" s="1">
        <f t="shared" si="21"/>
        <v>0</v>
      </c>
      <c r="F92" s="1">
        <f t="shared" si="22"/>
        <v>0</v>
      </c>
      <c r="G92" s="1">
        <f t="shared" si="23"/>
        <v>0</v>
      </c>
      <c r="H92" s="1">
        <f t="shared" si="24"/>
        <v>0</v>
      </c>
      <c r="I92" s="1">
        <f t="shared" si="25"/>
        <v>0</v>
      </c>
      <c r="J92">
        <f>IF(B92="PAL","",IFERROR(IF(C92="",VLOOKUP(B92,'General price list'!C:BA,MATCH("CBM",'General price list'!$C$20:$BA$20,0),FALSE)*D92,VLOOKUP(B92,'General price list'!C:BA,MATCH("CBM",'General price list'!$C$20:$BA$20,0),FALSE)*(G92*C92)),0))</f>
        <v>0</v>
      </c>
    </row>
    <row r="93" spans="1:49" ht="15" customHeight="1">
      <c r="B93" s="790" t="str">
        <f>IF(B92="PAL","",'General price list'!C113)</f>
        <v>RDG60B(SH)</v>
      </c>
      <c r="C93" s="1" t="str">
        <f>IF(B93="PAL","",IFERROR(VLOOKUP(B93,'General price list'!C:BA,MATCH("PAL",'General price list'!$C$20:$BA$20,0),FALSE),""))</f>
        <v/>
      </c>
      <c r="D93" s="1">
        <f>IF(B93="PAL","",IFERROR(VLOOKUP(B93,'General price list'!C:BA,MATCH("OBJ",'General price list'!$C$20:$BA$20,0),FALSE),""))</f>
        <v>0</v>
      </c>
      <c r="E93" s="1">
        <f t="shared" si="21"/>
        <v>0</v>
      </c>
      <c r="F93" s="1">
        <f t="shared" si="22"/>
        <v>0</v>
      </c>
      <c r="G93" s="1">
        <f t="shared" si="23"/>
        <v>0</v>
      </c>
      <c r="H93" s="1">
        <f t="shared" si="24"/>
        <v>0</v>
      </c>
      <c r="I93" s="1">
        <f t="shared" si="25"/>
        <v>0</v>
      </c>
      <c r="J93">
        <f>IF(B93="PAL","",IFERROR(IF(C93="",VLOOKUP(B93,'General price list'!C:BA,MATCH("CBM",'General price list'!$C$20:$BA$20,0),FALSE)*D93,VLOOKUP(B93,'General price list'!C:BA,MATCH("CBM",'General price list'!$C$20:$BA$20,0),FALSE)*(G93*C93)),0))</f>
        <v>0</v>
      </c>
    </row>
    <row r="94" spans="1:49" ht="15" customHeight="1">
      <c r="B94" s="790" t="str">
        <f>IF(B93="PAL","",'General price list'!C114)</f>
        <v>RDG60ZL(SH)</v>
      </c>
      <c r="C94" s="1" t="str">
        <f>IF(B94="PAL","",IFERROR(VLOOKUP(B94,'General price list'!C:BA,MATCH("PAL",'General price list'!$C$20:$BA$20,0),FALSE),""))</f>
        <v/>
      </c>
      <c r="D94" s="1">
        <f>IF(B94="PAL","",IFERROR(VLOOKUP(B94,'General price list'!C:BA,MATCH("OBJ",'General price list'!$C$20:$BA$20,0),FALSE),""))</f>
        <v>0</v>
      </c>
      <c r="E94" s="1">
        <f t="shared" si="21"/>
        <v>0</v>
      </c>
      <c r="F94" s="1">
        <f t="shared" si="22"/>
        <v>0</v>
      </c>
      <c r="G94" s="1">
        <f t="shared" si="23"/>
        <v>0</v>
      </c>
      <c r="H94" s="1">
        <f t="shared" si="24"/>
        <v>0</v>
      </c>
      <c r="I94" s="1">
        <f t="shared" si="25"/>
        <v>0</v>
      </c>
      <c r="J94">
        <f>IF(B94="PAL","",IFERROR(IF(C94="",VLOOKUP(B94,'General price list'!C:BA,MATCH("CBM",'General price list'!$C$20:$BA$20,0),FALSE)*D94,VLOOKUP(B94,'General price list'!C:BA,MATCH("CBM",'General price list'!$C$20:$BA$20,0),FALSE)*(G94*C94)),0))</f>
        <v>0</v>
      </c>
    </row>
    <row r="95" spans="1:49" ht="15" customHeight="1">
      <c r="B95" s="790" t="str">
        <f>IF(B94="PAL","",'General price list'!C115)</f>
        <v>RDG60R(SH)</v>
      </c>
      <c r="C95" s="1" t="str">
        <f>IF(B95="PAL","",IFERROR(VLOOKUP(B95,'General price list'!C:BA,MATCH("PAL",'General price list'!$C$20:$BA$20,0),FALSE),""))</f>
        <v/>
      </c>
      <c r="D95" s="1">
        <f>IF(B95="PAL","",IFERROR(VLOOKUP(B95,'General price list'!C:BA,MATCH("OBJ",'General price list'!$C$20:$BA$20,0),FALSE),""))</f>
        <v>0</v>
      </c>
      <c r="E95" s="1">
        <f t="shared" si="21"/>
        <v>0</v>
      </c>
      <c r="F95" s="1">
        <f t="shared" si="22"/>
        <v>0</v>
      </c>
      <c r="G95" s="1">
        <f t="shared" si="23"/>
        <v>0</v>
      </c>
      <c r="H95" s="1">
        <f t="shared" si="24"/>
        <v>0</v>
      </c>
      <c r="I95" s="1">
        <f t="shared" si="25"/>
        <v>0</v>
      </c>
      <c r="J95">
        <f>IF(B95="PAL","",IFERROR(IF(C95="",VLOOKUP(B95,'General price list'!C:BA,MATCH("CBM",'General price list'!$C$20:$BA$20,0),FALSE)*D95,VLOOKUP(B95,'General price list'!C:BA,MATCH("CBM",'General price list'!$C$20:$BA$20,0),FALSE)*(G95*C95)),0))</f>
        <v>0</v>
      </c>
    </row>
    <row r="96" spans="1:49" ht="15" customHeight="1">
      <c r="B96" s="790" t="str">
        <f>IF(B95="PAL","",'General price list'!C116)</f>
        <v>RDG60ZEOCER(SH)</v>
      </c>
      <c r="C96" s="1" t="str">
        <f>IF(B96="PAL","",IFERROR(VLOOKUP(B96,'General price list'!C:BA,MATCH("PAL",'General price list'!$C$20:$BA$20,0),FALSE),""))</f>
        <v/>
      </c>
      <c r="D96" s="1">
        <f>IF(B96="PAL","",IFERROR(VLOOKUP(B96,'General price list'!C:BA,MATCH("OBJ",'General price list'!$C$20:$BA$20,0),FALSE),""))</f>
        <v>0</v>
      </c>
      <c r="E96" s="1">
        <f t="shared" si="21"/>
        <v>0</v>
      </c>
      <c r="F96" s="1">
        <f t="shared" si="22"/>
        <v>0</v>
      </c>
      <c r="G96" s="1">
        <f t="shared" si="23"/>
        <v>0</v>
      </c>
      <c r="H96" s="1">
        <f t="shared" si="24"/>
        <v>0</v>
      </c>
      <c r="I96" s="1">
        <f t="shared" si="25"/>
        <v>0</v>
      </c>
      <c r="J96">
        <f>IF(B96="PAL","",IFERROR(IF(C96="",VLOOKUP(B96,'General price list'!C:BA,MATCH("CBM",'General price list'!$C$20:$BA$20,0),FALSE)*D96,VLOOKUP(B96,'General price list'!C:BA,MATCH("CBM",'General price list'!$C$20:$BA$20,0),FALSE)*(G96*C96)),0))</f>
        <v>0</v>
      </c>
    </row>
    <row r="97" spans="2:10" ht="15" customHeight="1">
      <c r="B97" s="790">
        <f>IF(B96="PAL","",'General price list'!C117)</f>
        <v>0</v>
      </c>
      <c r="C97" s="1" t="str">
        <f>IF(B97="PAL","",IFERROR(VLOOKUP(B97,'General price list'!C:BA,MATCH("PAL",'General price list'!$C$20:$BA$20,0),FALSE),""))</f>
        <v/>
      </c>
      <c r="D97" s="1" t="str">
        <f>IF(B97="PAL","",IFERROR(VLOOKUP(B97,'General price list'!C:BA,MATCH("OBJ",'General price list'!$C$20:$BA$20,0),FALSE),""))</f>
        <v/>
      </c>
      <c r="E97" s="1">
        <f t="shared" si="21"/>
        <v>0</v>
      </c>
      <c r="F97" s="1">
        <f t="shared" si="22"/>
        <v>0</v>
      </c>
      <c r="G97" s="1">
        <f t="shared" si="23"/>
        <v>0</v>
      </c>
      <c r="H97" s="1">
        <f t="shared" si="24"/>
        <v>0</v>
      </c>
      <c r="I97" s="1">
        <f t="shared" si="25"/>
        <v>0</v>
      </c>
      <c r="J97">
        <f>IF(B97="PAL","",IFERROR(IF(C97="",VLOOKUP(B97,'General price list'!C:BA,MATCH("CBM",'General price list'!$C$20:$BA$20,0),FALSE)*D97,VLOOKUP(B97,'General price list'!C:BA,MATCH("CBM",'General price list'!$C$20:$BA$20,0),FALSE)*(G97*C97)),0))</f>
        <v>0</v>
      </c>
    </row>
    <row r="98" spans="2:10" ht="15" customHeight="1">
      <c r="B98" s="790" t="str">
        <f>IF(B97="PAL","",'General price list'!C118)</f>
        <v>RDG1ZL-P</v>
      </c>
      <c r="C98" s="1" t="str">
        <f>IF(B98="PAL","",IFERROR(VLOOKUP(B98,'General price list'!C:BA,MATCH("PAL",'General price list'!$C$20:$BA$20,0),FALSE),""))</f>
        <v/>
      </c>
      <c r="D98" s="1">
        <f>IF(B98="PAL","",IFERROR(VLOOKUP(B98,'General price list'!C:BA,MATCH("OBJ",'General price list'!$C$20:$BA$20,0),FALSE),""))</f>
        <v>0</v>
      </c>
      <c r="E98" s="1">
        <f t="shared" si="21"/>
        <v>0</v>
      </c>
      <c r="F98" s="1">
        <f t="shared" si="22"/>
        <v>0</v>
      </c>
      <c r="G98" s="1">
        <f t="shared" si="23"/>
        <v>0</v>
      </c>
      <c r="H98" s="1">
        <f t="shared" si="24"/>
        <v>0</v>
      </c>
      <c r="I98" s="1">
        <f t="shared" si="25"/>
        <v>0</v>
      </c>
      <c r="J98">
        <f>IF(B98="PAL","",IFERROR(IF(C98="",VLOOKUP(B98,'General price list'!C:BA,MATCH("CBM",'General price list'!$C$20:$BA$20,0),FALSE)*D98,VLOOKUP(B98,'General price list'!C:BA,MATCH("CBM",'General price list'!$C$20:$BA$20,0),FALSE)*(G98*C98)),0))</f>
        <v>0</v>
      </c>
    </row>
    <row r="99" spans="2:10" ht="15" customHeight="1">
      <c r="B99" s="790" t="str">
        <f>IF(B98="PAL","",'General price list'!C119)</f>
        <v>RDG1ZL-P(1)</v>
      </c>
      <c r="C99" s="1" t="str">
        <f>IF(B99="PAL","",IFERROR(VLOOKUP(B99,'General price list'!C:BA,MATCH("PAL",'General price list'!$C$20:$BA$20,0),FALSE),""))</f>
        <v/>
      </c>
      <c r="D99" s="1">
        <f>IF(B99="PAL","",IFERROR(VLOOKUP(B99,'General price list'!C:BA,MATCH("OBJ",'General price list'!$C$20:$BA$20,0),FALSE),""))</f>
        <v>0</v>
      </c>
      <c r="E99" s="1">
        <f t="shared" si="21"/>
        <v>0</v>
      </c>
      <c r="F99" s="1">
        <f t="shared" si="22"/>
        <v>0</v>
      </c>
      <c r="G99" s="1">
        <f t="shared" si="23"/>
        <v>0</v>
      </c>
      <c r="H99" s="1">
        <f t="shared" si="24"/>
        <v>0</v>
      </c>
      <c r="I99" s="1">
        <f t="shared" si="25"/>
        <v>0</v>
      </c>
      <c r="J99">
        <f>IF(B99="PAL","",IFERROR(IF(C99="",VLOOKUP(B99,'General price list'!C:BA,MATCH("CBM",'General price list'!$C$20:$BA$20,0),FALSE)*D99,VLOOKUP(B99,'General price list'!C:BA,MATCH("CBM",'General price list'!$C$20:$BA$20,0),FALSE)*(G99*C99)),0))</f>
        <v>0</v>
      </c>
    </row>
    <row r="100" spans="2:10" ht="15" customHeight="1">
      <c r="B100" s="790" t="str">
        <f>IF(B99="PAL","",'General price list'!C120)</f>
        <v>RDG1O-P</v>
      </c>
      <c r="C100" s="1" t="str">
        <f>IF(B100="PAL","",IFERROR(VLOOKUP(B100,'General price list'!C:BA,MATCH("PAL",'General price list'!$C$20:$BA$20,0),FALSE),""))</f>
        <v/>
      </c>
      <c r="D100" s="1">
        <f>IF(B100="PAL","",IFERROR(VLOOKUP(B100,'General price list'!C:BA,MATCH("OBJ",'General price list'!$C$20:$BA$20,0),FALSE),""))</f>
        <v>0</v>
      </c>
      <c r="E100" s="1">
        <f t="shared" si="21"/>
        <v>0</v>
      </c>
      <c r="F100" s="1">
        <f t="shared" si="22"/>
        <v>0</v>
      </c>
      <c r="G100" s="1">
        <f t="shared" si="23"/>
        <v>0</v>
      </c>
      <c r="H100" s="1">
        <f t="shared" si="24"/>
        <v>0</v>
      </c>
      <c r="I100" s="1">
        <f t="shared" si="25"/>
        <v>0</v>
      </c>
      <c r="J100">
        <f>IF(B100="PAL","",IFERROR(IF(C100="",VLOOKUP(B100,'General price list'!C:BA,MATCH("CBM",'General price list'!$C$20:$BA$20,0),FALSE)*D100,VLOOKUP(B100,'General price list'!C:BA,MATCH("CBM",'General price list'!$C$20:$BA$20,0),FALSE)*(G100*C100)),0))</f>
        <v>0</v>
      </c>
    </row>
    <row r="101" spans="2:10" ht="15" customHeight="1">
      <c r="B101" s="790" t="str">
        <f>IF(B100="PAL","",'General price list'!C121)</f>
        <v>RDG1O-P(1)</v>
      </c>
      <c r="C101" s="1" t="str">
        <f>IF(B101="PAL","",IFERROR(VLOOKUP(B101,'General price list'!C:BA,MATCH("PAL",'General price list'!$C$20:$BA$20,0),FALSE),""))</f>
        <v/>
      </c>
      <c r="D101" s="1">
        <f>IF(B101="PAL","",IFERROR(VLOOKUP(B101,'General price list'!C:BA,MATCH("OBJ",'General price list'!$C$20:$BA$20,0),FALSE),""))</f>
        <v>0</v>
      </c>
      <c r="E101" s="1">
        <f t="shared" si="21"/>
        <v>0</v>
      </c>
      <c r="F101" s="1">
        <f t="shared" si="22"/>
        <v>0</v>
      </c>
      <c r="G101" s="1">
        <f t="shared" si="23"/>
        <v>0</v>
      </c>
      <c r="H101" s="1">
        <f t="shared" si="24"/>
        <v>0</v>
      </c>
      <c r="I101" s="1">
        <f t="shared" si="25"/>
        <v>0</v>
      </c>
      <c r="J101">
        <f>IF(B101="PAL","",IFERROR(IF(C101="",VLOOKUP(B101,'General price list'!C:BA,MATCH("CBM",'General price list'!$C$20:$BA$20,0),FALSE)*D101,VLOOKUP(B101,'General price list'!C:BA,MATCH("CBM",'General price list'!$C$20:$BA$20,0),FALSE)*(G101*C101)),0))</f>
        <v>0</v>
      </c>
    </row>
    <row r="102" spans="2:10" ht="15" customHeight="1">
      <c r="B102" s="790">
        <f>IF(B101="PAL","",'General price list'!C122)</f>
        <v>0</v>
      </c>
      <c r="C102" s="1" t="str">
        <f>IF(B102="PAL","",IFERROR(VLOOKUP(B102,'General price list'!C:BA,MATCH("PAL",'General price list'!$C$20:$BA$20,0),FALSE),""))</f>
        <v/>
      </c>
      <c r="D102" s="1" t="str">
        <f>IF(B102="PAL","",IFERROR(VLOOKUP(B102,'General price list'!C:BA,MATCH("OBJ",'General price list'!$C$20:$BA$20,0),FALSE),""))</f>
        <v/>
      </c>
      <c r="E102" s="1">
        <f t="shared" si="21"/>
        <v>0</v>
      </c>
      <c r="F102" s="1">
        <f t="shared" si="22"/>
        <v>0</v>
      </c>
      <c r="G102" s="1">
        <f t="shared" si="23"/>
        <v>0</v>
      </c>
      <c r="H102" s="1">
        <f t="shared" si="24"/>
        <v>0</v>
      </c>
      <c r="I102" s="1">
        <f t="shared" si="25"/>
        <v>0</v>
      </c>
      <c r="J102">
        <f>IF(B102="PAL","",IFERROR(IF(C102="",VLOOKUP(B102,'General price list'!C:BA,MATCH("CBM",'General price list'!$C$20:$BA$20,0),FALSE)*D102,VLOOKUP(B102,'General price list'!C:BA,MATCH("CBM",'General price list'!$C$20:$BA$20,0),FALSE)*(G102*C102)),0))</f>
        <v>0</v>
      </c>
    </row>
    <row r="103" spans="2:10" ht="15" customHeight="1">
      <c r="B103" s="790" t="str">
        <f>IF(B102="PAL","",'General price list'!C123)</f>
        <v>RDP60M</v>
      </c>
      <c r="C103" s="1" t="str">
        <f>IF(B103="PAL","",IFERROR(VLOOKUP(B103,'General price list'!C:BA,MATCH("PAL",'General price list'!$C$20:$BA$20,0),FALSE),""))</f>
        <v/>
      </c>
      <c r="D103" s="1">
        <f>IF(B103="PAL","",IFERROR(VLOOKUP(B103,'General price list'!C:BA,MATCH("OBJ",'General price list'!$C$20:$BA$20,0),FALSE),""))</f>
        <v>0</v>
      </c>
      <c r="E103" s="1">
        <f t="shared" si="21"/>
        <v>0</v>
      </c>
      <c r="F103" s="1">
        <f t="shared" si="22"/>
        <v>0</v>
      </c>
      <c r="G103" s="1">
        <f t="shared" si="23"/>
        <v>0</v>
      </c>
      <c r="H103" s="1">
        <f t="shared" si="24"/>
        <v>0</v>
      </c>
      <c r="I103" s="1">
        <f t="shared" si="25"/>
        <v>0</v>
      </c>
      <c r="J103">
        <f>IF(B103="PAL","",IFERROR(IF(C103="",VLOOKUP(B103,'General price list'!C:BA,MATCH("CBM",'General price list'!$C$20:$BA$20,0),FALSE)*D103,VLOOKUP(B103,'General price list'!C:BA,MATCH("CBM",'General price list'!$C$20:$BA$20,0),FALSE)*(G103*C103)),0))</f>
        <v>0</v>
      </c>
    </row>
    <row r="104" spans="2:10" ht="15" customHeight="1">
      <c r="B104" s="790" t="str">
        <f>IF(B103="PAL","",'General price list'!C124)</f>
        <v>HDP60B</v>
      </c>
      <c r="C104" s="1" t="str">
        <f>IF(B104="PAL","",IFERROR(VLOOKUP(B104,'General price list'!C:BA,MATCH("PAL",'General price list'!$C$20:$BA$20,0),FALSE),""))</f>
        <v/>
      </c>
      <c r="D104" s="1">
        <f>IF(B104="PAL","",IFERROR(VLOOKUP(B104,'General price list'!C:BA,MATCH("OBJ",'General price list'!$C$20:$BA$20,0),FALSE),""))</f>
        <v>0</v>
      </c>
      <c r="E104" s="1">
        <f t="shared" si="21"/>
        <v>0</v>
      </c>
      <c r="F104" s="1">
        <f t="shared" si="22"/>
        <v>0</v>
      </c>
      <c r="G104" s="1">
        <f t="shared" si="23"/>
        <v>0</v>
      </c>
      <c r="H104" s="1">
        <f t="shared" si="24"/>
        <v>0</v>
      </c>
      <c r="I104" s="1">
        <f t="shared" si="25"/>
        <v>0</v>
      </c>
      <c r="J104">
        <f>IF(B104="PAL","",IFERROR(IF(C104="",VLOOKUP(B104,'General price list'!C:BA,MATCH("CBM",'General price list'!$C$20:$BA$20,0),FALSE)*D104,VLOOKUP(B104,'General price list'!C:BA,MATCH("CBM",'General price list'!$C$20:$BA$20,0),FALSE)*(G104*C104)),0))</f>
        <v>0</v>
      </c>
    </row>
    <row r="105" spans="2:10" ht="15" customHeight="1">
      <c r="B105" s="790" t="str">
        <f>IF(B104="PAL","",'General price list'!C125)</f>
        <v>HDP60C</v>
      </c>
      <c r="C105" s="1" t="str">
        <f>IF(B105="PAL","",IFERROR(VLOOKUP(B105,'General price list'!C:BA,MATCH("PAL",'General price list'!$C$20:$BA$20,0),FALSE),""))</f>
        <v/>
      </c>
      <c r="D105" s="1">
        <f>IF(B105="PAL","",IFERROR(VLOOKUP(B105,'General price list'!C:BA,MATCH("OBJ",'General price list'!$C$20:$BA$20,0),FALSE),""))</f>
        <v>0</v>
      </c>
      <c r="E105" s="1">
        <f t="shared" si="21"/>
        <v>0</v>
      </c>
      <c r="F105" s="1">
        <f t="shared" si="22"/>
        <v>0</v>
      </c>
      <c r="G105" s="1">
        <f t="shared" si="23"/>
        <v>0</v>
      </c>
      <c r="H105" s="1">
        <f t="shared" si="24"/>
        <v>0</v>
      </c>
      <c r="I105" s="1">
        <f t="shared" si="25"/>
        <v>0</v>
      </c>
      <c r="J105">
        <f>IF(B105="PAL","",IFERROR(IF(C105="",VLOOKUP(B105,'General price list'!C:BA,MATCH("CBM",'General price list'!$C$20:$BA$20,0),FALSE)*D105,VLOOKUP(B105,'General price list'!C:BA,MATCH("CBM",'General price list'!$C$20:$BA$20,0),FALSE)*(G105*C105)),0))</f>
        <v>0</v>
      </c>
    </row>
    <row r="106" spans="2:10" ht="15" customHeight="1">
      <c r="B106" s="790" t="str">
        <f>IF(B105="PAL","",'General price list'!C126)</f>
        <v>HDP60M</v>
      </c>
      <c r="C106" s="1" t="str">
        <f>IF(B106="PAL","",IFERROR(VLOOKUP(B106,'General price list'!C:BA,MATCH("PAL",'General price list'!$C$20:$BA$20,0),FALSE),""))</f>
        <v/>
      </c>
      <c r="D106" s="1">
        <f>IF(B106="PAL","",IFERROR(VLOOKUP(B106,'General price list'!C:BA,MATCH("OBJ",'General price list'!$C$20:$BA$20,0),FALSE),""))</f>
        <v>0</v>
      </c>
      <c r="E106" s="1">
        <f t="shared" si="21"/>
        <v>0</v>
      </c>
      <c r="F106" s="1">
        <f t="shared" si="22"/>
        <v>0</v>
      </c>
      <c r="G106" s="1">
        <f t="shared" si="23"/>
        <v>0</v>
      </c>
      <c r="H106" s="1">
        <f t="shared" si="24"/>
        <v>0</v>
      </c>
      <c r="I106" s="1">
        <f t="shared" si="25"/>
        <v>0</v>
      </c>
      <c r="J106">
        <f>IF(B106="PAL","",IFERROR(IF(C106="",VLOOKUP(B106,'General price list'!C:BA,MATCH("CBM",'General price list'!$C$20:$BA$20,0),FALSE)*D106,VLOOKUP(B106,'General price list'!C:BA,MATCH("CBM",'General price list'!$C$20:$BA$20,0),FALSE)*(G106*C106)),0))</f>
        <v>0</v>
      </c>
    </row>
    <row r="107" spans="2:10" ht="15" customHeight="1">
      <c r="B107" s="790" t="str">
        <f>IF(B106="PAL","",'General price list'!C127)</f>
        <v>HDP60ZE</v>
      </c>
      <c r="C107" s="1" t="str">
        <f>IF(B107="PAL","",IFERROR(VLOOKUP(B107,'General price list'!C:BA,MATCH("PAL",'General price list'!$C$20:$BA$20,0),FALSE),""))</f>
        <v/>
      </c>
      <c r="D107" s="1">
        <f>IF(B107="PAL","",IFERROR(VLOOKUP(B107,'General price list'!C:BA,MATCH("OBJ",'General price list'!$C$20:$BA$20,0),FALSE),""))</f>
        <v>0</v>
      </c>
      <c r="E107" s="1">
        <f t="shared" si="21"/>
        <v>0</v>
      </c>
      <c r="F107" s="1">
        <f t="shared" si="22"/>
        <v>0</v>
      </c>
      <c r="G107" s="1">
        <f t="shared" si="23"/>
        <v>0</v>
      </c>
      <c r="H107" s="1">
        <f t="shared" si="24"/>
        <v>0</v>
      </c>
      <c r="I107" s="1">
        <f t="shared" si="25"/>
        <v>0</v>
      </c>
      <c r="J107">
        <f>IF(B107="PAL","",IFERROR(IF(C107="",VLOOKUP(B107,'General price list'!C:BA,MATCH("CBM",'General price list'!$C$20:$BA$20,0),FALSE)*D107,VLOOKUP(B107,'General price list'!C:BA,MATCH("CBM",'General price list'!$C$20:$BA$20,0),FALSE)*(G107*C107)),0))</f>
        <v>0</v>
      </c>
    </row>
    <row r="108" spans="2:10" ht="15" customHeight="1">
      <c r="B108" s="790">
        <f>IF(B107="PAL","",'General price list'!C128)</f>
        <v>0</v>
      </c>
      <c r="C108" s="1" t="str">
        <f>IF(B108="PAL","",IFERROR(VLOOKUP(B108,'General price list'!C:BA,MATCH("PAL",'General price list'!$C$20:$BA$20,0),FALSE),""))</f>
        <v/>
      </c>
      <c r="D108" s="1" t="str">
        <f>IF(B108="PAL","",IFERROR(VLOOKUP(B108,'General price list'!C:BA,MATCH("OBJ",'General price list'!$C$20:$BA$20,0),FALSE),""))</f>
        <v/>
      </c>
      <c r="E108" s="1">
        <f t="shared" si="21"/>
        <v>0</v>
      </c>
      <c r="F108" s="1">
        <f t="shared" si="22"/>
        <v>0</v>
      </c>
      <c r="G108" s="1">
        <f t="shared" si="23"/>
        <v>0</v>
      </c>
      <c r="H108" s="1">
        <f t="shared" si="24"/>
        <v>0</v>
      </c>
      <c r="I108" s="1">
        <f t="shared" si="25"/>
        <v>0</v>
      </c>
      <c r="J108">
        <f>IF(B108="PAL","",IFERROR(IF(C108="",VLOOKUP(B108,'General price list'!C:BA,MATCH("CBM",'General price list'!$C$20:$BA$20,0),FALSE)*D108,VLOOKUP(B108,'General price list'!C:BA,MATCH("CBM",'General price list'!$C$20:$BA$20,0),FALSE)*(G108*C108)),0))</f>
        <v>0</v>
      </c>
    </row>
    <row r="109" spans="2:10" ht="15" customHeight="1">
      <c r="B109" s="790" t="str">
        <f>IF(B108="PAL","",'General price list'!C129)</f>
        <v>P40C25</v>
      </c>
      <c r="C109" s="1" t="str">
        <f>IF(B109="PAL","",IFERROR(VLOOKUP(B109,'General price list'!C:BA,MATCH("PAL",'General price list'!$C$20:$BA$20,0),FALSE),""))</f>
        <v/>
      </c>
      <c r="D109" s="1">
        <f>IF(B109="PAL","",IFERROR(VLOOKUP(B109,'General price list'!C:BA,MATCH("OBJ",'General price list'!$C$20:$BA$20,0),FALSE),""))</f>
        <v>0</v>
      </c>
      <c r="E109" s="1">
        <f t="shared" si="21"/>
        <v>0</v>
      </c>
      <c r="F109" s="1">
        <f t="shared" si="22"/>
        <v>0</v>
      </c>
      <c r="G109" s="1">
        <f t="shared" si="23"/>
        <v>0</v>
      </c>
      <c r="H109" s="1">
        <f t="shared" si="24"/>
        <v>0</v>
      </c>
      <c r="I109" s="1">
        <f t="shared" si="25"/>
        <v>0</v>
      </c>
      <c r="J109">
        <f>IF(B109="PAL","",IFERROR(IF(C109="",VLOOKUP(B109,'General price list'!C:BA,MATCH("CBM",'General price list'!$C$20:$BA$20,0),FALSE)*D109,VLOOKUP(B109,'General price list'!C:BA,MATCH("CBM",'General price list'!$C$20:$BA$20,0),FALSE)*(G109*C109)),0))</f>
        <v>0</v>
      </c>
    </row>
    <row r="110" spans="2:10" ht="15" customHeight="1">
      <c r="B110" s="790" t="str">
        <f>IF(B109="PAL","",'General price list'!C130)</f>
        <v>P40Z25</v>
      </c>
      <c r="C110" s="1" t="str">
        <f>IF(B110="PAL","",IFERROR(VLOOKUP(B110,'General price list'!C:BA,MATCH("PAL",'General price list'!$C$20:$BA$20,0),FALSE),""))</f>
        <v/>
      </c>
      <c r="D110" s="1">
        <f>IF(B110="PAL","",IFERROR(VLOOKUP(B110,'General price list'!C:BA,MATCH("OBJ",'General price list'!$C$20:$BA$20,0),FALSE),""))</f>
        <v>0</v>
      </c>
      <c r="E110" s="1">
        <f t="shared" si="21"/>
        <v>0</v>
      </c>
      <c r="F110" s="1">
        <f t="shared" si="22"/>
        <v>0</v>
      </c>
      <c r="G110" s="1">
        <f t="shared" si="23"/>
        <v>0</v>
      </c>
      <c r="H110" s="1">
        <f t="shared" si="24"/>
        <v>0</v>
      </c>
      <c r="I110" s="1">
        <f t="shared" si="25"/>
        <v>0</v>
      </c>
      <c r="J110">
        <f>IF(B110="PAL","",IFERROR(IF(C110="",VLOOKUP(B110,'General price list'!C:BA,MATCH("CBM",'General price list'!$C$20:$BA$20,0),FALSE)*D110,VLOOKUP(B110,'General price list'!C:BA,MATCH("CBM",'General price list'!$C$20:$BA$20,0),FALSE)*(G110*C110)),0))</f>
        <v>0</v>
      </c>
    </row>
    <row r="111" spans="2:10" ht="15" customHeight="1">
      <c r="B111" s="790" t="str">
        <f>IF(B110="PAL","",'General price list'!C131)</f>
        <v>P40B25</v>
      </c>
      <c r="C111" s="1" t="str">
        <f>IF(B111="PAL","",IFERROR(VLOOKUP(B111,'General price list'!C:BA,MATCH("PAL",'General price list'!$C$20:$BA$20,0),FALSE),""))</f>
        <v/>
      </c>
      <c r="D111" s="1">
        <f>IF(B111="PAL","",IFERROR(VLOOKUP(B111,'General price list'!C:BA,MATCH("OBJ",'General price list'!$C$20:$BA$20,0),FALSE),""))</f>
        <v>0</v>
      </c>
      <c r="E111" s="1">
        <f t="shared" si="21"/>
        <v>0</v>
      </c>
      <c r="F111" s="1">
        <f t="shared" si="22"/>
        <v>0</v>
      </c>
      <c r="G111" s="1">
        <f t="shared" si="23"/>
        <v>0</v>
      </c>
      <c r="H111" s="1">
        <f t="shared" si="24"/>
        <v>0</v>
      </c>
      <c r="I111" s="1">
        <f t="shared" si="25"/>
        <v>0</v>
      </c>
      <c r="J111">
        <f>IF(B111="PAL","",IFERROR(IF(C111="",VLOOKUP(B111,'General price list'!C:BA,MATCH("CBM",'General price list'!$C$20:$BA$20,0),FALSE)*D111,VLOOKUP(B111,'General price list'!C:BA,MATCH("CBM",'General price list'!$C$20:$BA$20,0),FALSE)*(G111*C111)),0))</f>
        <v>0</v>
      </c>
    </row>
    <row r="112" spans="2:10" ht="15" customHeight="1">
      <c r="B112" s="790" t="str">
        <f>IF(B111="PAL","",'General price list'!C132)</f>
        <v>P40MO25</v>
      </c>
      <c r="C112" s="1" t="str">
        <f>IF(B112="PAL","",IFERROR(VLOOKUP(B112,'General price list'!C:BA,MATCH("PAL",'General price list'!$C$20:$BA$20,0),FALSE),""))</f>
        <v/>
      </c>
      <c r="D112" s="1">
        <f>IF(B112="PAL","",IFERROR(VLOOKUP(B112,'General price list'!C:BA,MATCH("OBJ",'General price list'!$C$20:$BA$20,0),FALSE),""))</f>
        <v>0</v>
      </c>
      <c r="E112" s="1">
        <f t="shared" si="21"/>
        <v>0</v>
      </c>
      <c r="F112" s="1">
        <f t="shared" si="22"/>
        <v>0</v>
      </c>
      <c r="G112" s="1">
        <f t="shared" si="23"/>
        <v>0</v>
      </c>
      <c r="H112" s="1">
        <f t="shared" si="24"/>
        <v>0</v>
      </c>
      <c r="I112" s="1">
        <f t="shared" si="25"/>
        <v>0</v>
      </c>
      <c r="J112">
        <f>IF(B112="PAL","",IFERROR(IF(C112="",VLOOKUP(B112,'General price list'!C:BA,MATCH("CBM",'General price list'!$C$20:$BA$20,0),FALSE)*D112,VLOOKUP(B112,'General price list'!C:BA,MATCH("CBM",'General price list'!$C$20:$BA$20,0),FALSE)*(G112*C112)),0))</f>
        <v>0</v>
      </c>
    </row>
    <row r="113" spans="2:10" ht="15" customHeight="1">
      <c r="B113" s="790" t="str">
        <f>IF(B112="PAL","",'General price list'!C133)</f>
        <v>SP60S</v>
      </c>
      <c r="C113" s="1" t="str">
        <f>IF(B113="PAL","",IFERROR(VLOOKUP(B113,'General price list'!C:BA,MATCH("PAL",'General price list'!$C$20:$BA$20,0),FALSE),""))</f>
        <v/>
      </c>
      <c r="D113" s="1">
        <f>IF(B113="PAL","",IFERROR(VLOOKUP(B113,'General price list'!C:BA,MATCH("OBJ",'General price list'!$C$20:$BA$20,0),FALSE),""))</f>
        <v>0</v>
      </c>
      <c r="E113" s="1">
        <f t="shared" si="21"/>
        <v>0</v>
      </c>
      <c r="F113" s="1">
        <f t="shared" si="22"/>
        <v>0</v>
      </c>
      <c r="G113" s="1">
        <f t="shared" si="23"/>
        <v>0</v>
      </c>
      <c r="H113" s="1">
        <f t="shared" si="24"/>
        <v>0</v>
      </c>
      <c r="I113" s="1">
        <f t="shared" si="25"/>
        <v>0</v>
      </c>
      <c r="J113">
        <f>IF(B113="PAL","",IFERROR(IF(C113="",VLOOKUP(B113,'General price list'!C:BA,MATCH("CBM",'General price list'!$C$20:$BA$20,0),FALSE)*D113,VLOOKUP(B113,'General price list'!C:BA,MATCH("CBM",'General price list'!$C$20:$BA$20,0),FALSE)*(G113*C113)),0))</f>
        <v>0</v>
      </c>
    </row>
    <row r="114" spans="2:10" ht="15" customHeight="1">
      <c r="B114" s="790" t="str">
        <f>IF(B113="PAL","",'General price list'!C134)</f>
        <v>BP60S</v>
      </c>
      <c r="C114" s="1" t="str">
        <f>IF(B114="PAL","",IFERROR(VLOOKUP(B114,'General price list'!C:BA,MATCH("PAL",'General price list'!$C$20:$BA$20,0),FALSE),""))</f>
        <v/>
      </c>
      <c r="D114" s="1">
        <f>IF(B114="PAL","",IFERROR(VLOOKUP(B114,'General price list'!C:BA,MATCH("OBJ",'General price list'!$C$20:$BA$20,0),FALSE),""))</f>
        <v>0</v>
      </c>
      <c r="E114" s="1">
        <f t="shared" si="21"/>
        <v>0</v>
      </c>
      <c r="F114" s="1">
        <f t="shared" si="22"/>
        <v>0</v>
      </c>
      <c r="G114" s="1">
        <f t="shared" si="23"/>
        <v>0</v>
      </c>
      <c r="H114" s="1">
        <f t="shared" si="24"/>
        <v>0</v>
      </c>
      <c r="I114" s="1">
        <f t="shared" si="25"/>
        <v>0</v>
      </c>
      <c r="J114">
        <f>IF(B114="PAL","",IFERROR(IF(C114="",VLOOKUP(B114,'General price list'!C:BA,MATCH("CBM",'General price list'!$C$20:$BA$20,0),FALSE)*D114,VLOOKUP(B114,'General price list'!C:BA,MATCH("CBM",'General price list'!$C$20:$BA$20,0),FALSE)*(G114*C114)),0))</f>
        <v>0</v>
      </c>
    </row>
    <row r="115" spans="2:10" ht="15" customHeight="1">
      <c r="B115" s="790">
        <f>IF(B114="PAL","",'General price list'!C135)</f>
        <v>0</v>
      </c>
      <c r="C115" s="1" t="str">
        <f>IF(B115="PAL","",IFERROR(VLOOKUP(B115,'General price list'!C:BA,MATCH("PAL",'General price list'!$C$20:$BA$20,0),FALSE),""))</f>
        <v/>
      </c>
      <c r="D115" s="1" t="str">
        <f>IF(B115="PAL","",IFERROR(VLOOKUP(B115,'General price list'!C:BA,MATCH("OBJ",'General price list'!$C$20:$BA$20,0),FALSE),""))</f>
        <v/>
      </c>
      <c r="E115" s="1">
        <f t="shared" si="21"/>
        <v>0</v>
      </c>
      <c r="F115" s="1">
        <f t="shared" si="22"/>
        <v>0</v>
      </c>
      <c r="G115" s="1">
        <f t="shared" si="23"/>
        <v>0</v>
      </c>
      <c r="H115" s="1">
        <f t="shared" si="24"/>
        <v>0</v>
      </c>
      <c r="I115" s="1">
        <f t="shared" si="25"/>
        <v>0</v>
      </c>
      <c r="J115">
        <f>IF(B115="PAL","",IFERROR(IF(C115="",VLOOKUP(B115,'General price list'!C:BA,MATCH("CBM",'General price list'!$C$20:$BA$20,0),FALSE)*D115,VLOOKUP(B115,'General price list'!C:BA,MATCH("CBM",'General price list'!$C$20:$BA$20,0),FALSE)*(G115*C115)),0))</f>
        <v>0</v>
      </c>
    </row>
    <row r="116" spans="2:10" ht="15" customHeight="1">
      <c r="B116" s="790" t="str">
        <f>IF(B115="PAL","",'General price list'!C136)</f>
        <v>S90S</v>
      </c>
      <c r="C116" s="1" t="str">
        <f>IF(B116="PAL","",IFERROR(VLOOKUP(B116,'General price list'!C:BA,MATCH("PAL",'General price list'!$C$20:$BA$20,0),FALSE),""))</f>
        <v/>
      </c>
      <c r="D116" s="1">
        <f>IF(B116="PAL","",IFERROR(VLOOKUP(B116,'General price list'!C:BA,MATCH("OBJ",'General price list'!$C$20:$BA$20,0),FALSE),""))</f>
        <v>0</v>
      </c>
      <c r="E116" s="1">
        <f t="shared" si="21"/>
        <v>0</v>
      </c>
      <c r="F116" s="1">
        <f t="shared" si="22"/>
        <v>0</v>
      </c>
      <c r="G116" s="1">
        <f t="shared" si="23"/>
        <v>0</v>
      </c>
      <c r="H116" s="1">
        <f t="shared" si="24"/>
        <v>0</v>
      </c>
      <c r="I116" s="1">
        <f t="shared" si="25"/>
        <v>0</v>
      </c>
      <c r="J116">
        <f>IF(B116="PAL","",IFERROR(IF(C116="",VLOOKUP(B116,'General price list'!C:BA,MATCH("CBM",'General price list'!$C$20:$BA$20,0),FALSE)*D116,VLOOKUP(B116,'General price list'!C:BA,MATCH("CBM",'General price list'!$C$20:$BA$20,0),FALSE)*(G116*C116)),0))</f>
        <v>0</v>
      </c>
    </row>
    <row r="117" spans="2:10" ht="15" customHeight="1">
      <c r="B117" s="790" t="str">
        <f>IF(B116="PAL","",'General price list'!C137)</f>
        <v>S60S</v>
      </c>
      <c r="C117" s="1" t="str">
        <f>IF(B117="PAL","",IFERROR(VLOOKUP(B117,'General price list'!C:BA,MATCH("PAL",'General price list'!$C$20:$BA$20,0),FALSE),""))</f>
        <v/>
      </c>
      <c r="D117" s="1">
        <f>IF(B117="PAL","",IFERROR(VLOOKUP(B117,'General price list'!C:BA,MATCH("OBJ",'General price list'!$C$20:$BA$20,0),FALSE),""))</f>
        <v>0</v>
      </c>
      <c r="E117" s="1">
        <f t="shared" si="21"/>
        <v>0</v>
      </c>
      <c r="F117" s="1">
        <f t="shared" si="22"/>
        <v>0</v>
      </c>
      <c r="G117" s="1">
        <f t="shared" si="23"/>
        <v>0</v>
      </c>
      <c r="H117" s="1">
        <f t="shared" si="24"/>
        <v>0</v>
      </c>
      <c r="I117" s="1">
        <f t="shared" si="25"/>
        <v>0</v>
      </c>
      <c r="J117">
        <f>IF(B117="PAL","",IFERROR(IF(C117="",VLOOKUP(B117,'General price list'!C:BA,MATCH("CBM",'General price list'!$C$20:$BA$20,0),FALSE)*D117,VLOOKUP(B117,'General price list'!C:BA,MATCH("CBM",'General price list'!$C$20:$BA$20,0),FALSE)*(G117*C117)),0))</f>
        <v>0</v>
      </c>
    </row>
    <row r="118" spans="2:10" ht="15" customHeight="1">
      <c r="B118" s="790">
        <f>IF(B117="PAL","",'General price list'!C138)</f>
        <v>0</v>
      </c>
      <c r="C118" s="1" t="str">
        <f>IF(B118="PAL","",IFERROR(VLOOKUP(B118,'General price list'!C:BA,MATCH("PAL",'General price list'!$C$20:$BA$20,0),FALSE),""))</f>
        <v/>
      </c>
      <c r="D118" s="1" t="str">
        <f>IF(B118="PAL","",IFERROR(VLOOKUP(B118,'General price list'!C:BA,MATCH("OBJ",'General price list'!$C$20:$BA$20,0),FALSE),""))</f>
        <v/>
      </c>
      <c r="E118" s="1">
        <f t="shared" si="21"/>
        <v>0</v>
      </c>
      <c r="F118" s="1">
        <f t="shared" si="22"/>
        <v>0</v>
      </c>
      <c r="G118" s="1">
        <f t="shared" si="23"/>
        <v>0</v>
      </c>
      <c r="H118" s="1">
        <f t="shared" si="24"/>
        <v>0</v>
      </c>
      <c r="I118" s="1">
        <f t="shared" si="25"/>
        <v>0</v>
      </c>
      <c r="J118">
        <f>IF(B118="PAL","",IFERROR(IF(C118="",VLOOKUP(B118,'General price list'!C:BA,MATCH("CBM",'General price list'!$C$20:$BA$20,0),FALSE)*D118,VLOOKUP(B118,'General price list'!C:BA,MATCH("CBM",'General price list'!$C$20:$BA$20,0),FALSE)*(G118*C118)),0))</f>
        <v>0</v>
      </c>
    </row>
    <row r="119" spans="2:10" ht="15" customHeight="1">
      <c r="B119" s="790" t="str">
        <f>IF(B118="PAL","",'General price list'!C139)</f>
        <v>F1M</v>
      </c>
      <c r="C119" s="1" t="str">
        <f>IF(B119="PAL","",IFERROR(VLOOKUP(B119,'General price list'!C:BA,MATCH("PAL",'General price list'!$C$20:$BA$20,0),FALSE),""))</f>
        <v/>
      </c>
      <c r="D119" s="1">
        <f>IF(B119="PAL","",IFERROR(VLOOKUP(B119,'General price list'!C:BA,MATCH("OBJ",'General price list'!$C$20:$BA$20,0),FALSE),""))</f>
        <v>0</v>
      </c>
      <c r="E119" s="1">
        <f t="shared" si="21"/>
        <v>0</v>
      </c>
      <c r="F119" s="1">
        <f t="shared" si="22"/>
        <v>0</v>
      </c>
      <c r="G119" s="1">
        <f t="shared" si="23"/>
        <v>0</v>
      </c>
      <c r="H119" s="1">
        <f t="shared" si="24"/>
        <v>0</v>
      </c>
      <c r="I119" s="1">
        <f t="shared" si="25"/>
        <v>0</v>
      </c>
      <c r="J119">
        <f>IF(B119="PAL","",IFERROR(IF(C119="",VLOOKUP(B119,'General price list'!C:BA,MATCH("CBM",'General price list'!$C$20:$BA$20,0),FALSE)*D119,VLOOKUP(B119,'General price list'!C:BA,MATCH("CBM",'General price list'!$C$20:$BA$20,0),FALSE)*(G119*C119)),0))</f>
        <v>0</v>
      </c>
    </row>
    <row r="120" spans="2:10" ht="15" customHeight="1">
      <c r="B120" s="790" t="str">
        <f>IF(B119="PAL","",'General price list'!C140)</f>
        <v>F2M</v>
      </c>
      <c r="C120" s="1" t="str">
        <f>IF(B120="PAL","",IFERROR(VLOOKUP(B120,'General price list'!C:BA,MATCH("PAL",'General price list'!$C$20:$BA$20,0),FALSE),""))</f>
        <v/>
      </c>
      <c r="D120" s="1">
        <f>IF(B120="PAL","",IFERROR(VLOOKUP(B120,'General price list'!C:BA,MATCH("OBJ",'General price list'!$C$20:$BA$20,0),FALSE),""))</f>
        <v>0</v>
      </c>
      <c r="E120" s="1">
        <f t="shared" si="21"/>
        <v>0</v>
      </c>
      <c r="F120" s="1">
        <f t="shared" si="22"/>
        <v>0</v>
      </c>
      <c r="G120" s="1">
        <f t="shared" si="23"/>
        <v>0</v>
      </c>
      <c r="H120" s="1">
        <f t="shared" si="24"/>
        <v>0</v>
      </c>
      <c r="I120" s="1">
        <f t="shared" si="25"/>
        <v>0</v>
      </c>
      <c r="J120">
        <f>IF(B120="PAL","",IFERROR(IF(C120="",VLOOKUP(B120,'General price list'!C:BA,MATCH("CBM",'General price list'!$C$20:$BA$20,0),FALSE)*D120,VLOOKUP(B120,'General price list'!C:BA,MATCH("CBM",'General price list'!$C$20:$BA$20,0),FALSE)*(G120*C120)),0))</f>
        <v>0</v>
      </c>
    </row>
    <row r="121" spans="2:10" ht="15" customHeight="1">
      <c r="B121" s="790" t="str">
        <f>IF(B120="PAL","",'General price list'!C141)</f>
        <v>F3CC</v>
      </c>
      <c r="C121" s="1" t="str">
        <f>IF(B121="PAL","",IFERROR(VLOOKUP(B121,'General price list'!C:BA,MATCH("PAL",'General price list'!$C$20:$BA$20,0),FALSE),""))</f>
        <v/>
      </c>
      <c r="D121" s="1">
        <f>IF(B121="PAL","",IFERROR(VLOOKUP(B121,'General price list'!C:BA,MATCH("OBJ",'General price list'!$C$20:$BA$20,0),FALSE),""))</f>
        <v>0</v>
      </c>
      <c r="E121" s="1">
        <f t="shared" si="21"/>
        <v>0</v>
      </c>
      <c r="F121" s="1">
        <f t="shared" si="22"/>
        <v>0</v>
      </c>
      <c r="G121" s="1">
        <f t="shared" si="23"/>
        <v>0</v>
      </c>
      <c r="H121" s="1">
        <f t="shared" si="24"/>
        <v>0</v>
      </c>
      <c r="I121" s="1">
        <f t="shared" si="25"/>
        <v>0</v>
      </c>
      <c r="J121">
        <f>IF(B121="PAL","",IFERROR(IF(C121="",VLOOKUP(B121,'General price list'!C:BA,MATCH("CBM",'General price list'!$C$20:$BA$20,0),FALSE)*D121,VLOOKUP(B121,'General price list'!C:BA,MATCH("CBM",'General price list'!$C$20:$BA$20,0),FALSE)*(G121*C121)),0))</f>
        <v>0</v>
      </c>
    </row>
    <row r="122" spans="2:10" ht="15" customHeight="1">
      <c r="B122" s="790" t="str">
        <f>IF(B121="PAL","",'General price list'!C142)</f>
        <v>F6K</v>
      </c>
      <c r="C122" s="1" t="str">
        <f>IF(B122="PAL","",IFERROR(VLOOKUP(B122,'General price list'!C:BA,MATCH("PAL",'General price list'!$C$20:$BA$20,0),FALSE),""))</f>
        <v/>
      </c>
      <c r="D122" s="1">
        <f>IF(B122="PAL","",IFERROR(VLOOKUP(B122,'General price list'!C:BA,MATCH("OBJ",'General price list'!$C$20:$BA$20,0),FALSE),""))</f>
        <v>0</v>
      </c>
      <c r="E122" s="1">
        <f t="shared" si="21"/>
        <v>0</v>
      </c>
      <c r="F122" s="1">
        <f t="shared" si="22"/>
        <v>0</v>
      </c>
      <c r="G122" s="1">
        <f t="shared" si="23"/>
        <v>0</v>
      </c>
      <c r="H122" s="1">
        <f t="shared" si="24"/>
        <v>0</v>
      </c>
      <c r="I122" s="1">
        <f t="shared" si="25"/>
        <v>0</v>
      </c>
      <c r="J122">
        <f>IF(B122="PAL","",IFERROR(IF(C122="",VLOOKUP(B122,'General price list'!C:BA,MATCH("CBM",'General price list'!$C$20:$BA$20,0),FALSE)*D122,VLOOKUP(B122,'General price list'!C:BA,MATCH("CBM",'General price list'!$C$20:$BA$20,0),FALSE)*(G122*C122)),0))</f>
        <v>0</v>
      </c>
    </row>
    <row r="123" spans="2:10" ht="15" customHeight="1">
      <c r="B123" s="790" t="str">
        <f>IF(B122="PAL","",'General price list'!C143)</f>
        <v>F16CS</v>
      </c>
      <c r="C123" s="1" t="str">
        <f>IF(B123="PAL","",IFERROR(VLOOKUP(B123,'General price list'!C:BA,MATCH("PAL",'General price list'!$C$20:$BA$20,0),FALSE),""))</f>
        <v/>
      </c>
      <c r="D123" s="1">
        <f>IF(B123="PAL","",IFERROR(VLOOKUP(B123,'General price list'!C:BA,MATCH("OBJ",'General price list'!$C$20:$BA$20,0),FALSE),""))</f>
        <v>0</v>
      </c>
      <c r="E123" s="1">
        <f t="shared" si="21"/>
        <v>0</v>
      </c>
      <c r="F123" s="1">
        <f t="shared" si="22"/>
        <v>0</v>
      </c>
      <c r="G123" s="1">
        <f t="shared" si="23"/>
        <v>0</v>
      </c>
      <c r="H123" s="1">
        <f t="shared" si="24"/>
        <v>0</v>
      </c>
      <c r="I123" s="1">
        <f t="shared" si="25"/>
        <v>0</v>
      </c>
      <c r="J123">
        <f>IF(B123="PAL","",IFERROR(IF(C123="",VLOOKUP(B123,'General price list'!C:BA,MATCH("CBM",'General price list'!$C$20:$BA$20,0),FALSE)*D123,VLOOKUP(B123,'General price list'!C:BA,MATCH("CBM",'General price list'!$C$20:$BA$20,0),FALSE)*(G123*C123)),0))</f>
        <v>0</v>
      </c>
    </row>
    <row r="124" spans="2:10" ht="15" customHeight="1">
      <c r="B124" s="790" t="str">
        <f>IF(B123="PAL","",'General price list'!C144)</f>
        <v>F8B</v>
      </c>
      <c r="C124" s="1" t="str">
        <f>IF(B124="PAL","",IFERROR(VLOOKUP(B124,'General price list'!C:BA,MATCH("PAL",'General price list'!$C$20:$BA$20,0),FALSE),""))</f>
        <v/>
      </c>
      <c r="D124" s="1">
        <f>IF(B124="PAL","",IFERROR(VLOOKUP(B124,'General price list'!C:BA,MATCH("OBJ",'General price list'!$C$20:$BA$20,0),FALSE),""))</f>
        <v>0</v>
      </c>
      <c r="E124" s="1">
        <f t="shared" si="21"/>
        <v>0</v>
      </c>
      <c r="F124" s="1">
        <f t="shared" si="22"/>
        <v>0</v>
      </c>
      <c r="G124" s="1">
        <f t="shared" si="23"/>
        <v>0</v>
      </c>
      <c r="H124" s="1">
        <f t="shared" si="24"/>
        <v>0</v>
      </c>
      <c r="I124" s="1">
        <f t="shared" si="25"/>
        <v>0</v>
      </c>
      <c r="J124">
        <f>IF(B124="PAL","",IFERROR(IF(C124="",VLOOKUP(B124,'General price list'!C:BA,MATCH("CBM",'General price list'!$C$20:$BA$20,0),FALSE)*D124,VLOOKUP(B124,'General price list'!C:BA,MATCH("CBM",'General price list'!$C$20:$BA$20,0),FALSE)*(G124*C124)),0))</f>
        <v>0</v>
      </c>
    </row>
    <row r="125" spans="2:10" ht="15" customHeight="1">
      <c r="B125" s="790" t="str">
        <f>IF(B124="PAL","",'General price list'!C145)</f>
        <v>F10E</v>
      </c>
      <c r="C125" s="1" t="str">
        <f>IF(B125="PAL","",IFERROR(VLOOKUP(B125,'General price list'!C:BA,MATCH("PAL",'General price list'!$C$20:$BA$20,0),FALSE),""))</f>
        <v/>
      </c>
      <c r="D125" s="1">
        <f>IF(B125="PAL","",IFERROR(VLOOKUP(B125,'General price list'!C:BA,MATCH("OBJ",'General price list'!$C$20:$BA$20,0),FALSE),""))</f>
        <v>0</v>
      </c>
      <c r="E125" s="1">
        <f t="shared" si="21"/>
        <v>0</v>
      </c>
      <c r="F125" s="1">
        <f t="shared" si="22"/>
        <v>0</v>
      </c>
      <c r="G125" s="1">
        <f t="shared" si="23"/>
        <v>0</v>
      </c>
      <c r="H125" s="1">
        <f t="shared" si="24"/>
        <v>0</v>
      </c>
      <c r="I125" s="1">
        <f t="shared" si="25"/>
        <v>0</v>
      </c>
      <c r="J125">
        <f>IF(B125="PAL","",IFERROR(IF(C125="",VLOOKUP(B125,'General price list'!C:BA,MATCH("CBM",'General price list'!$C$20:$BA$20,0),FALSE)*D125,VLOOKUP(B125,'General price list'!C:BA,MATCH("CBM",'General price list'!$C$20:$BA$20,0),FALSE)*(G125*C125)),0))</f>
        <v>0</v>
      </c>
    </row>
    <row r="126" spans="2:10" ht="15" customHeight="1">
      <c r="B126" s="790" t="str">
        <f>IF(B125="PAL","",'General price list'!C146)</f>
        <v>F11M</v>
      </c>
      <c r="C126" s="1" t="str">
        <f>IF(B126="PAL","",IFERROR(VLOOKUP(B126,'General price list'!C:BA,MATCH("PAL",'General price list'!$C$20:$BA$20,0),FALSE),""))</f>
        <v/>
      </c>
      <c r="D126" s="1">
        <f>IF(B126="PAL","",IFERROR(VLOOKUP(B126,'General price list'!C:BA,MATCH("OBJ",'General price list'!$C$20:$BA$20,0),FALSE),""))</f>
        <v>0</v>
      </c>
      <c r="E126" s="1">
        <f t="shared" si="21"/>
        <v>0</v>
      </c>
      <c r="F126" s="1">
        <f t="shared" si="22"/>
        <v>0</v>
      </c>
      <c r="G126" s="1">
        <f t="shared" si="23"/>
        <v>0</v>
      </c>
      <c r="H126" s="1">
        <f t="shared" si="24"/>
        <v>0</v>
      </c>
      <c r="I126" s="1">
        <f t="shared" si="25"/>
        <v>0</v>
      </c>
      <c r="J126">
        <f>IF(B126="PAL","",IFERROR(IF(C126="",VLOOKUP(B126,'General price list'!C:BA,MATCH("CBM",'General price list'!$C$20:$BA$20,0),FALSE)*D126,VLOOKUP(B126,'General price list'!C:BA,MATCH("CBM",'General price list'!$C$20:$BA$20,0),FALSE)*(G126*C126)),0))</f>
        <v>0</v>
      </c>
    </row>
    <row r="127" spans="2:10" ht="15" customHeight="1">
      <c r="B127" s="790" t="str">
        <f>IF(B126="PAL","",'General price list'!C147)</f>
        <v>F14R</v>
      </c>
      <c r="C127" s="1" t="str">
        <f>IF(B127="PAL","",IFERROR(VLOOKUP(B127,'General price list'!C:BA,MATCH("PAL",'General price list'!$C$20:$BA$20,0),FALSE),""))</f>
        <v/>
      </c>
      <c r="D127" s="1">
        <f>IF(B127="PAL","",IFERROR(VLOOKUP(B127,'General price list'!C:BA,MATCH("OBJ",'General price list'!$C$20:$BA$20,0),FALSE),""))</f>
        <v>0</v>
      </c>
      <c r="E127" s="1">
        <f t="shared" si="21"/>
        <v>0</v>
      </c>
      <c r="F127" s="1">
        <f t="shared" si="22"/>
        <v>0</v>
      </c>
      <c r="G127" s="1">
        <f t="shared" si="23"/>
        <v>0</v>
      </c>
      <c r="H127" s="1">
        <f t="shared" si="24"/>
        <v>0</v>
      </c>
      <c r="I127" s="1">
        <f t="shared" si="25"/>
        <v>0</v>
      </c>
      <c r="J127">
        <f>IF(B127="PAL","",IFERROR(IF(C127="",VLOOKUP(B127,'General price list'!C:BA,MATCH("CBM",'General price list'!$C$20:$BA$20,0),FALSE)*D127,VLOOKUP(B127,'General price list'!C:BA,MATCH("CBM",'General price list'!$C$20:$BA$20,0),FALSE)*(G127*C127)),0))</f>
        <v>0</v>
      </c>
    </row>
    <row r="128" spans="2:10" ht="15" customHeight="1">
      <c r="B128" s="790" t="str">
        <f>IF(B127="PAL","",'General price list'!C148)</f>
        <v>F14R F</v>
      </c>
      <c r="C128" s="1" t="str">
        <f>IF(B128="PAL","",IFERROR(VLOOKUP(B128,'General price list'!C:BA,MATCH("PAL",'General price list'!$C$20:$BA$20,0),FALSE),""))</f>
        <v/>
      </c>
      <c r="D128" s="1">
        <f>IF(B128="PAL","",IFERROR(VLOOKUP(B128,'General price list'!C:BA,MATCH("OBJ",'General price list'!$C$20:$BA$20,0),FALSE),""))</f>
        <v>0</v>
      </c>
      <c r="E128" s="1">
        <f t="shared" si="21"/>
        <v>0</v>
      </c>
      <c r="F128" s="1">
        <f t="shared" si="22"/>
        <v>0</v>
      </c>
      <c r="G128" s="1">
        <f t="shared" si="23"/>
        <v>0</v>
      </c>
      <c r="H128" s="1">
        <f t="shared" si="24"/>
        <v>0</v>
      </c>
      <c r="I128" s="1">
        <f t="shared" si="25"/>
        <v>0</v>
      </c>
      <c r="J128">
        <f>IF(B128="PAL","",IFERROR(IF(C128="",VLOOKUP(B128,'General price list'!C:BA,MATCH("CBM",'General price list'!$C$20:$BA$20,0),FALSE)*D128,VLOOKUP(B128,'General price list'!C:BA,MATCH("CBM",'General price list'!$C$20:$BA$20,0),FALSE)*(G128*C128)),0))</f>
        <v>0</v>
      </c>
    </row>
    <row r="129" spans="2:10" ht="15" customHeight="1">
      <c r="B129" s="790" t="str">
        <f>IF(B128="PAL","",'General price list'!C149)</f>
        <v>F17S</v>
      </c>
      <c r="C129" s="1" t="str">
        <f>IF(B129="PAL","",IFERROR(VLOOKUP(B129,'General price list'!C:BA,MATCH("PAL",'General price list'!$C$20:$BA$20,0),FALSE),""))</f>
        <v/>
      </c>
      <c r="D129" s="1">
        <f>IF(B129="PAL","",IFERROR(VLOOKUP(B129,'General price list'!C:BA,MATCH("OBJ",'General price list'!$C$20:$BA$20,0),FALSE),""))</f>
        <v>0</v>
      </c>
      <c r="E129" s="1">
        <f t="shared" si="21"/>
        <v>0</v>
      </c>
      <c r="F129" s="1">
        <f t="shared" si="22"/>
        <v>0</v>
      </c>
      <c r="G129" s="1">
        <f t="shared" si="23"/>
        <v>0</v>
      </c>
      <c r="H129" s="1">
        <f t="shared" si="24"/>
        <v>0</v>
      </c>
      <c r="I129" s="1">
        <f t="shared" si="25"/>
        <v>0</v>
      </c>
      <c r="J129">
        <f>IF(B129="PAL","",IFERROR(IF(C129="",VLOOKUP(B129,'General price list'!C:BA,MATCH("CBM",'General price list'!$C$20:$BA$20,0),FALSE)*D129,VLOOKUP(B129,'General price list'!C:BA,MATCH("CBM",'General price list'!$C$20:$BA$20,0),FALSE)*(G129*C129)),0))</f>
        <v>0</v>
      </c>
    </row>
    <row r="130" spans="2:10" ht="15" customHeight="1">
      <c r="B130" s="790" t="str">
        <f>IF(B129="PAL","",'General price list'!C150)</f>
        <v>F18NB</v>
      </c>
      <c r="C130" s="1" t="str">
        <f>IF(B130="PAL","",IFERROR(VLOOKUP(B130,'General price list'!C:BA,MATCH("PAL",'General price list'!$C$20:$BA$20,0),FALSE),""))</f>
        <v/>
      </c>
      <c r="D130" s="1">
        <f>IF(B130="PAL","",IFERROR(VLOOKUP(B130,'General price list'!C:BA,MATCH("OBJ",'General price list'!$C$20:$BA$20,0),FALSE),""))</f>
        <v>0</v>
      </c>
      <c r="E130" s="1">
        <f t="shared" si="21"/>
        <v>0</v>
      </c>
      <c r="F130" s="1">
        <f t="shared" si="22"/>
        <v>0</v>
      </c>
      <c r="G130" s="1">
        <f t="shared" si="23"/>
        <v>0</v>
      </c>
      <c r="H130" s="1">
        <f t="shared" si="24"/>
        <v>0</v>
      </c>
      <c r="I130" s="1">
        <f t="shared" si="25"/>
        <v>0</v>
      </c>
      <c r="J130">
        <f>IF(B130="PAL","",IFERROR(IF(C130="",VLOOKUP(B130,'General price list'!C:BA,MATCH("CBM",'General price list'!$C$20:$BA$20,0),FALSE)*D130,VLOOKUP(B130,'General price list'!C:BA,MATCH("CBM",'General price list'!$C$20:$BA$20,0),FALSE)*(G130*C130)),0))</f>
        <v>0</v>
      </c>
    </row>
    <row r="131" spans="2:10" ht="15" customHeight="1">
      <c r="B131" s="790" t="str">
        <f>IF(B130="PAL","",'General price list'!C151)</f>
        <v>F216M</v>
      </c>
      <c r="C131" s="1" t="str">
        <f>IF(B131="PAL","",IFERROR(VLOOKUP(B131,'General price list'!C:BA,MATCH("PAL",'General price list'!$C$20:$BA$20,0),FALSE),""))</f>
        <v/>
      </c>
      <c r="D131" s="1">
        <f>IF(B131="PAL","",IFERROR(VLOOKUP(B131,'General price list'!C:BA,MATCH("OBJ",'General price list'!$C$20:$BA$20,0),FALSE),""))</f>
        <v>0</v>
      </c>
      <c r="E131" s="1">
        <f t="shared" si="21"/>
        <v>0</v>
      </c>
      <c r="F131" s="1">
        <f t="shared" si="22"/>
        <v>0</v>
      </c>
      <c r="G131" s="1">
        <f t="shared" si="23"/>
        <v>0</v>
      </c>
      <c r="H131" s="1">
        <f t="shared" si="24"/>
        <v>0</v>
      </c>
      <c r="I131" s="1">
        <f t="shared" si="25"/>
        <v>0</v>
      </c>
      <c r="J131">
        <f>IF(B131="PAL","",IFERROR(IF(C131="",VLOOKUP(B131,'General price list'!C:BA,MATCH("CBM",'General price list'!$C$20:$BA$20,0),FALSE)*D131,VLOOKUP(B131,'General price list'!C:BA,MATCH("CBM",'General price list'!$C$20:$BA$20,0),FALSE)*(G131*C131)),0))</f>
        <v>0</v>
      </c>
    </row>
    <row r="132" spans="2:10" ht="15" customHeight="1">
      <c r="B132" s="790" t="str">
        <f>IF(B131="PAL","",'General price list'!C152)</f>
        <v>RK25002F</v>
      </c>
      <c r="C132" s="1" t="str">
        <f>IF(B132="PAL","",IFERROR(VLOOKUP(B132,'General price list'!C:BA,MATCH("PAL",'General price list'!$C$20:$BA$20,0),FALSE),""))</f>
        <v/>
      </c>
      <c r="D132" s="1">
        <f>IF(B132="PAL","",IFERROR(VLOOKUP(B132,'General price list'!C:BA,MATCH("OBJ",'General price list'!$C$20:$BA$20,0),FALSE),""))</f>
        <v>0</v>
      </c>
      <c r="E132" s="1">
        <f t="shared" si="21"/>
        <v>0</v>
      </c>
      <c r="F132" s="1">
        <f t="shared" si="22"/>
        <v>0</v>
      </c>
      <c r="G132" s="1">
        <f t="shared" si="23"/>
        <v>0</v>
      </c>
      <c r="H132" s="1">
        <f t="shared" si="24"/>
        <v>0</v>
      </c>
      <c r="I132" s="1">
        <f t="shared" si="25"/>
        <v>0</v>
      </c>
      <c r="J132">
        <f>IF(B132="PAL","",IFERROR(IF(C132="",VLOOKUP(B132,'General price list'!C:BA,MATCH("CBM",'General price list'!$C$20:$BA$20,0),FALSE)*D132,VLOOKUP(B132,'General price list'!C:BA,MATCH("CBM",'General price list'!$C$20:$BA$20,0),FALSE)*(G132*C132)),0))</f>
        <v>0</v>
      </c>
    </row>
    <row r="133" spans="2:10" ht="15" customHeight="1">
      <c r="B133" s="790">
        <f>IF(B132="PAL","",'General price list'!C153)</f>
        <v>0</v>
      </c>
      <c r="C133" s="1" t="str">
        <f>IF(B133="PAL","",IFERROR(VLOOKUP(B133,'General price list'!C:BA,MATCH("PAL",'General price list'!$C$20:$BA$20,0),FALSE),""))</f>
        <v/>
      </c>
      <c r="D133" s="1" t="str">
        <f>IF(B133="PAL","",IFERROR(VLOOKUP(B133,'General price list'!C:BA,MATCH("OBJ",'General price list'!$C$20:$BA$20,0),FALSE),""))</f>
        <v/>
      </c>
      <c r="E133" s="1">
        <f t="shared" si="21"/>
        <v>0</v>
      </c>
      <c r="F133" s="1">
        <f t="shared" si="22"/>
        <v>0</v>
      </c>
      <c r="G133" s="1">
        <f t="shared" si="23"/>
        <v>0</v>
      </c>
      <c r="H133" s="1">
        <f t="shared" si="24"/>
        <v>0</v>
      </c>
      <c r="I133" s="1">
        <f t="shared" si="25"/>
        <v>0</v>
      </c>
      <c r="J133">
        <f>IF(B133="PAL","",IFERROR(IF(C133="",VLOOKUP(B133,'General price list'!C:BA,MATCH("CBM",'General price list'!$C$20:$BA$20,0),FALSE)*D133,VLOOKUP(B133,'General price list'!C:BA,MATCH("CBM",'General price list'!$C$20:$BA$20,0),FALSE)*(G133*C133)),0))</f>
        <v>0</v>
      </c>
    </row>
    <row r="134" spans="2:10" ht="15" customHeight="1">
      <c r="B134" s="790" t="str">
        <f>IF(B133="PAL","",'General price list'!C154)</f>
        <v>F100C</v>
      </c>
      <c r="C134" s="1" t="str">
        <f>IF(B134="PAL","",IFERROR(VLOOKUP(B134,'General price list'!C:BA,MATCH("PAL",'General price list'!$C$20:$BA$20,0),FALSE),""))</f>
        <v/>
      </c>
      <c r="D134" s="1">
        <f>IF(B134="PAL","",IFERROR(VLOOKUP(B134,'General price list'!C:BA,MATCH("OBJ",'General price list'!$C$20:$BA$20,0),FALSE),""))</f>
        <v>0</v>
      </c>
      <c r="E134" s="1">
        <f t="shared" si="21"/>
        <v>0</v>
      </c>
      <c r="F134" s="1">
        <f t="shared" si="22"/>
        <v>0</v>
      </c>
      <c r="G134" s="1">
        <f t="shared" si="23"/>
        <v>0</v>
      </c>
      <c r="H134" s="1">
        <f t="shared" si="24"/>
        <v>0</v>
      </c>
      <c r="I134" s="1">
        <f t="shared" si="25"/>
        <v>0</v>
      </c>
      <c r="J134">
        <f>IF(B134="PAL","",IFERROR(IF(C134="",VLOOKUP(B134,'General price list'!C:BA,MATCH("CBM",'General price list'!$C$20:$BA$20,0),FALSE)*D134,VLOOKUP(B134,'General price list'!C:BA,MATCH("CBM",'General price list'!$C$20:$BA$20,0),FALSE)*(G134*C134)),0))</f>
        <v>0</v>
      </c>
    </row>
    <row r="135" spans="2:10" ht="15" customHeight="1">
      <c r="B135" s="790" t="str">
        <f>IF(B134="PAL","",'General price list'!C155)</f>
        <v>F100DC</v>
      </c>
      <c r="C135" s="1" t="str">
        <f>IF(B135="PAL","",IFERROR(VLOOKUP(B135,'General price list'!C:BA,MATCH("PAL",'General price list'!$C$20:$BA$20,0),FALSE),""))</f>
        <v/>
      </c>
      <c r="D135" s="1">
        <f>IF(B135="PAL","",IFERROR(VLOOKUP(B135,'General price list'!C:BA,MATCH("OBJ",'General price list'!$C$20:$BA$20,0),FALSE),""))</f>
        <v>0</v>
      </c>
      <c r="E135" s="1">
        <f t="shared" si="21"/>
        <v>0</v>
      </c>
      <c r="F135" s="1">
        <f t="shared" si="22"/>
        <v>0</v>
      </c>
      <c r="G135" s="1">
        <f t="shared" si="23"/>
        <v>0</v>
      </c>
      <c r="H135" s="1">
        <f t="shared" si="24"/>
        <v>0</v>
      </c>
      <c r="I135" s="1">
        <f t="shared" si="25"/>
        <v>0</v>
      </c>
      <c r="J135">
        <f>IF(B135="PAL","",IFERROR(IF(C135="",VLOOKUP(B135,'General price list'!C:BA,MATCH("CBM",'General price list'!$C$20:$BA$20,0),FALSE)*D135,VLOOKUP(B135,'General price list'!C:BA,MATCH("CBM",'General price list'!$C$20:$BA$20,0),FALSE)*(G135*C135)),0))</f>
        <v>0</v>
      </c>
    </row>
    <row r="136" spans="2:10" ht="15" customHeight="1">
      <c r="B136" s="790" t="str">
        <f>IF(B135="PAL","",'General price list'!C156)</f>
        <v>F250SC</v>
      </c>
      <c r="C136" s="1" t="str">
        <f>IF(B136="PAL","",IFERROR(VLOOKUP(B136,'General price list'!C:BA,MATCH("PAL",'General price list'!$C$20:$BA$20,0),FALSE),""))</f>
        <v/>
      </c>
      <c r="D136" s="1">
        <f>IF(B136="PAL","",IFERROR(VLOOKUP(B136,'General price list'!C:BA,MATCH("OBJ",'General price list'!$C$20:$BA$20,0),FALSE),""))</f>
        <v>0</v>
      </c>
      <c r="E136" s="1">
        <f t="shared" si="21"/>
        <v>0</v>
      </c>
      <c r="F136" s="1">
        <f t="shared" si="22"/>
        <v>0</v>
      </c>
      <c r="G136" s="1">
        <f t="shared" si="23"/>
        <v>0</v>
      </c>
      <c r="H136" s="1">
        <f t="shared" si="24"/>
        <v>0</v>
      </c>
      <c r="I136" s="1">
        <f t="shared" si="25"/>
        <v>0</v>
      </c>
      <c r="J136">
        <f>IF(B136="PAL","",IFERROR(IF(C136="",VLOOKUP(B136,'General price list'!C:BA,MATCH("CBM",'General price list'!$C$20:$BA$20,0),FALSE)*D136,VLOOKUP(B136,'General price list'!C:BA,MATCH("CBM",'General price list'!$C$20:$BA$20,0),FALSE)*(G136*C136)),0))</f>
        <v>0</v>
      </c>
    </row>
    <row r="137" spans="2:10" ht="15" customHeight="1">
      <c r="B137" s="790" t="str">
        <f>IF(B136="PAL","",'General price list'!C157)</f>
        <v>F250C</v>
      </c>
      <c r="C137" s="1" t="str">
        <f>IF(B137="PAL","",IFERROR(VLOOKUP(B137,'General price list'!C:BA,MATCH("PAL",'General price list'!$C$20:$BA$20,0),FALSE),""))</f>
        <v/>
      </c>
      <c r="D137" s="1">
        <f>IF(B137="PAL","",IFERROR(VLOOKUP(B137,'General price list'!C:BA,MATCH("OBJ",'General price list'!$C$20:$BA$20,0),FALSE),""))</f>
        <v>0</v>
      </c>
      <c r="E137" s="1">
        <f t="shared" si="21"/>
        <v>0</v>
      </c>
      <c r="F137" s="1">
        <f t="shared" si="22"/>
        <v>0</v>
      </c>
      <c r="G137" s="1">
        <f t="shared" si="23"/>
        <v>0</v>
      </c>
      <c r="H137" s="1">
        <f t="shared" si="24"/>
        <v>0</v>
      </c>
      <c r="I137" s="1">
        <f t="shared" si="25"/>
        <v>0</v>
      </c>
      <c r="J137">
        <f>IF(B137="PAL","",IFERROR(IF(C137="",VLOOKUP(B137,'General price list'!C:BA,MATCH("CBM",'General price list'!$C$20:$BA$20,0),FALSE)*D137,VLOOKUP(B137,'General price list'!C:BA,MATCH("CBM",'General price list'!$C$20:$BA$20,0),FALSE)*(G137*C137)),0))</f>
        <v>0</v>
      </c>
    </row>
    <row r="138" spans="2:10" ht="15" customHeight="1">
      <c r="B138" s="790" t="str">
        <f>IF(B137="PAL","",'General price list'!C158)</f>
        <v>F500SIG</v>
      </c>
      <c r="C138" s="1" t="str">
        <f>IF(B138="PAL","",IFERROR(VLOOKUP(B138,'General price list'!C:BA,MATCH("PAL",'General price list'!$C$20:$BA$20,0),FALSE),""))</f>
        <v/>
      </c>
      <c r="D138" s="1">
        <f>IF(B138="PAL","",IFERROR(VLOOKUP(B138,'General price list'!C:BA,MATCH("OBJ",'General price list'!$C$20:$BA$20,0),FALSE),""))</f>
        <v>0</v>
      </c>
      <c r="E138" s="1">
        <f t="shared" si="21"/>
        <v>0</v>
      </c>
      <c r="F138" s="1">
        <f t="shared" si="22"/>
        <v>0</v>
      </c>
      <c r="G138" s="1">
        <f t="shared" si="23"/>
        <v>0</v>
      </c>
      <c r="H138" s="1">
        <f t="shared" si="24"/>
        <v>0</v>
      </c>
      <c r="I138" s="1">
        <f t="shared" si="25"/>
        <v>0</v>
      </c>
      <c r="J138">
        <f>IF(B138="PAL","",IFERROR(IF(C138="",VLOOKUP(B138,'General price list'!C:BA,MATCH("CBM",'General price list'!$C$20:$BA$20,0),FALSE)*D138,VLOOKUP(B138,'General price list'!C:BA,MATCH("CBM",'General price list'!$C$20:$BA$20,0),FALSE)*(G138*C138)),0))</f>
        <v>0</v>
      </c>
    </row>
    <row r="139" spans="2:10" ht="15" customHeight="1">
      <c r="B139" s="790" t="str">
        <f>IF(B138="PAL","",'General price list'!C159)</f>
        <v>F500SS</v>
      </c>
      <c r="C139" s="1" t="str">
        <f>IF(B139="PAL","",IFERROR(VLOOKUP(B139,'General price list'!C:BA,MATCH("PAL",'General price list'!$C$20:$BA$20,0),FALSE),""))</f>
        <v/>
      </c>
      <c r="D139" s="1">
        <f>IF(B139="PAL","",IFERROR(VLOOKUP(B139,'General price list'!C:BA,MATCH("OBJ",'General price list'!$C$20:$BA$20,0),FALSE),""))</f>
        <v>0</v>
      </c>
      <c r="E139" s="1">
        <f t="shared" si="21"/>
        <v>0</v>
      </c>
      <c r="F139" s="1">
        <f t="shared" si="22"/>
        <v>0</v>
      </c>
      <c r="G139" s="1">
        <f t="shared" si="23"/>
        <v>0</v>
      </c>
      <c r="H139" s="1">
        <f t="shared" si="24"/>
        <v>0</v>
      </c>
      <c r="I139" s="1">
        <f t="shared" si="25"/>
        <v>0</v>
      </c>
      <c r="J139">
        <f>IF(B139="PAL","",IFERROR(IF(C139="",VLOOKUP(B139,'General price list'!C:BA,MATCH("CBM",'General price list'!$C$20:$BA$20,0),FALSE)*D139,VLOOKUP(B139,'General price list'!C:BA,MATCH("CBM",'General price list'!$C$20:$BA$20,0),FALSE)*(G139*C139)),0))</f>
        <v>0</v>
      </c>
    </row>
    <row r="140" spans="2:10" ht="15" customHeight="1">
      <c r="B140" s="790" t="str">
        <f>IF(B139="PAL","",'General price list'!C160)</f>
        <v>F500C</v>
      </c>
      <c r="C140" s="1" t="str">
        <f>IF(B140="PAL","",IFERROR(VLOOKUP(B140,'General price list'!C:BA,MATCH("PAL",'General price list'!$C$20:$BA$20,0),FALSE),""))</f>
        <v/>
      </c>
      <c r="D140" s="1">
        <f>IF(B140="PAL","",IFERROR(VLOOKUP(B140,'General price list'!C:BA,MATCH("OBJ",'General price list'!$C$20:$BA$20,0),FALSE),""))</f>
        <v>0</v>
      </c>
      <c r="E140" s="1">
        <f t="shared" ref="E140:E203" si="26">IF(B140="PAL","",IFERROR(D140/C140,0))</f>
        <v>0</v>
      </c>
      <c r="F140" s="1">
        <f t="shared" ref="F140:F203" si="27">IF(B140="PAL","",IFERROR(FLOOR(IF(E140-1&lt;0,0,E140),1),0))</f>
        <v>0</v>
      </c>
      <c r="G140" s="1">
        <f t="shared" ref="G140:G203" si="28">IF(B140="PAL","",IFERROR(IF(H140&gt;E140,F140-E140,E140-F140),0))</f>
        <v>0</v>
      </c>
      <c r="H140" s="1">
        <f t="shared" ref="H140:H203" si="29">IF(B140="PAL","",IFERROR(IF(E140=0,0,F140),0))</f>
        <v>0</v>
      </c>
      <c r="I140" s="1">
        <f t="shared" ref="I140:I203" si="30">IF(B140="PAL","",IFERROR(IF(D140=0,0,IF(F140=0,(D140*nextVK)+(prvniVK-nextVK),(G140*C140*nextVK)+(F140*PALzKoje))),0))</f>
        <v>0</v>
      </c>
      <c r="J140">
        <f>IF(B140="PAL","",IFERROR(IF(C140="",VLOOKUP(B140,'General price list'!C:BA,MATCH("CBM",'General price list'!$C$20:$BA$20,0),FALSE)*D140,VLOOKUP(B140,'General price list'!C:BA,MATCH("CBM",'General price list'!$C$20:$BA$20,0),FALSE)*(G140*C140)),0))</f>
        <v>0</v>
      </c>
    </row>
    <row r="141" spans="2:10" ht="15" customHeight="1">
      <c r="B141" s="790" t="str">
        <f>IF(B140="PAL","",'General price list'!C161)</f>
        <v>F1000SS</v>
      </c>
      <c r="C141" s="1" t="str">
        <f>IF(B141="PAL","",IFERROR(VLOOKUP(B141,'General price list'!C:BA,MATCH("PAL",'General price list'!$C$20:$BA$20,0),FALSE),""))</f>
        <v/>
      </c>
      <c r="D141" s="1">
        <f>IF(B141="PAL","",IFERROR(VLOOKUP(B141,'General price list'!C:BA,MATCH("OBJ",'General price list'!$C$20:$BA$20,0),FALSE),""))</f>
        <v>0</v>
      </c>
      <c r="E141" s="1">
        <f t="shared" si="26"/>
        <v>0</v>
      </c>
      <c r="F141" s="1">
        <f t="shared" si="27"/>
        <v>0</v>
      </c>
      <c r="G141" s="1">
        <f t="shared" si="28"/>
        <v>0</v>
      </c>
      <c r="H141" s="1">
        <f t="shared" si="29"/>
        <v>0</v>
      </c>
      <c r="I141" s="1">
        <f t="shared" si="30"/>
        <v>0</v>
      </c>
      <c r="J141">
        <f>IF(B141="PAL","",IFERROR(IF(C141="",VLOOKUP(B141,'General price list'!C:BA,MATCH("CBM",'General price list'!$C$20:$BA$20,0),FALSE)*D141,VLOOKUP(B141,'General price list'!C:BA,MATCH("CBM",'General price list'!$C$20:$BA$20,0),FALSE)*(G141*C141)),0))</f>
        <v>0</v>
      </c>
    </row>
    <row r="142" spans="2:10" ht="15" customHeight="1">
      <c r="B142" s="790" t="str">
        <f>IF(B141="PAL","",'General price list'!C162)</f>
        <v>F1500C</v>
      </c>
      <c r="C142" s="1" t="str">
        <f>IF(B142="PAL","",IFERROR(VLOOKUP(B142,'General price list'!C:BA,MATCH("PAL",'General price list'!$C$20:$BA$20,0),FALSE),""))</f>
        <v/>
      </c>
      <c r="D142" s="1">
        <f>IF(B142="PAL","",IFERROR(VLOOKUP(B142,'General price list'!C:BA,MATCH("OBJ",'General price list'!$C$20:$BA$20,0),FALSE),""))</f>
        <v>0</v>
      </c>
      <c r="E142" s="1">
        <f t="shared" si="26"/>
        <v>0</v>
      </c>
      <c r="F142" s="1">
        <f t="shared" si="27"/>
        <v>0</v>
      </c>
      <c r="G142" s="1">
        <f t="shared" si="28"/>
        <v>0</v>
      </c>
      <c r="H142" s="1">
        <f t="shared" si="29"/>
        <v>0</v>
      </c>
      <c r="I142" s="1">
        <f t="shared" si="30"/>
        <v>0</v>
      </c>
      <c r="J142">
        <f>IF(B142="PAL","",IFERROR(IF(C142="",VLOOKUP(B142,'General price list'!C:BA,MATCH("CBM",'General price list'!$C$20:$BA$20,0),FALSE)*D142,VLOOKUP(B142,'General price list'!C:BA,MATCH("CBM",'General price list'!$C$20:$BA$20,0),FALSE)*(G142*C142)),0))</f>
        <v>0</v>
      </c>
    </row>
    <row r="143" spans="2:10" ht="15" customHeight="1">
      <c r="B143" s="790">
        <f>IF(B142="PAL","",'General price list'!C163)</f>
        <v>0</v>
      </c>
      <c r="C143" s="1" t="str">
        <f>IF(B143="PAL","",IFERROR(VLOOKUP(B143,'General price list'!C:BA,MATCH("PAL",'General price list'!$C$20:$BA$20,0),FALSE),""))</f>
        <v/>
      </c>
      <c r="D143" s="1" t="str">
        <f>IF(B143="PAL","",IFERROR(VLOOKUP(B143,'General price list'!C:BA,MATCH("OBJ",'General price list'!$C$20:$BA$20,0),FALSE),""))</f>
        <v/>
      </c>
      <c r="E143" s="1">
        <f t="shared" si="26"/>
        <v>0</v>
      </c>
      <c r="F143" s="1">
        <f t="shared" si="27"/>
        <v>0</v>
      </c>
      <c r="G143" s="1">
        <f t="shared" si="28"/>
        <v>0</v>
      </c>
      <c r="H143" s="1">
        <f t="shared" si="29"/>
        <v>0</v>
      </c>
      <c r="I143" s="1">
        <f t="shared" si="30"/>
        <v>0</v>
      </c>
      <c r="J143">
        <f>IF(B143="PAL","",IFERROR(IF(C143="",VLOOKUP(B143,'General price list'!C:BA,MATCH("CBM",'General price list'!$C$20:$BA$20,0),FALSE)*D143,VLOOKUP(B143,'General price list'!C:BA,MATCH("CBM",'General price list'!$C$20:$BA$20,0),FALSE)*(G143*C143)),0))</f>
        <v>0</v>
      </c>
    </row>
    <row r="144" spans="2:10" ht="15" customHeight="1">
      <c r="B144" s="790" t="str">
        <f>IF(B143="PAL","",'General price list'!C164)</f>
        <v>F3N</v>
      </c>
      <c r="C144" s="1" t="str">
        <f>IF(B144="PAL","",IFERROR(VLOOKUP(B144,'General price list'!C:BA,MATCH("PAL",'General price list'!$C$20:$BA$20,0),FALSE),""))</f>
        <v/>
      </c>
      <c r="D144" s="1">
        <f>IF(B144="PAL","",IFERROR(VLOOKUP(B144,'General price list'!C:BA,MATCH("OBJ",'General price list'!$C$20:$BA$20,0),FALSE),""))</f>
        <v>0</v>
      </c>
      <c r="E144" s="1">
        <f t="shared" si="26"/>
        <v>0</v>
      </c>
      <c r="F144" s="1">
        <f t="shared" si="27"/>
        <v>0</v>
      </c>
      <c r="G144" s="1">
        <f t="shared" si="28"/>
        <v>0</v>
      </c>
      <c r="H144" s="1">
        <f t="shared" si="29"/>
        <v>0</v>
      </c>
      <c r="I144" s="1">
        <f t="shared" si="30"/>
        <v>0</v>
      </c>
      <c r="J144">
        <f>IF(B144="PAL","",IFERROR(IF(C144="",VLOOKUP(B144,'General price list'!C:BA,MATCH("CBM",'General price list'!$C$20:$BA$20,0),FALSE)*D144,VLOOKUP(B144,'General price list'!C:BA,MATCH("CBM",'General price list'!$C$20:$BA$20,0),FALSE)*(G144*C144)),0))</f>
        <v>0</v>
      </c>
    </row>
    <row r="145" spans="2:10" ht="15" customHeight="1">
      <c r="B145" s="790" t="str">
        <f>IF(B144="PAL","",'General price list'!C165)</f>
        <v>DF10CM</v>
      </c>
      <c r="C145" s="1" t="str">
        <f>IF(B145="PAL","",IFERROR(VLOOKUP(B145,'General price list'!C:BA,MATCH("PAL",'General price list'!$C$20:$BA$20,0),FALSE),""))</f>
        <v/>
      </c>
      <c r="D145" s="1">
        <f>IF(B145="PAL","",IFERROR(VLOOKUP(B145,'General price list'!C:BA,MATCH("OBJ",'General price list'!$C$20:$BA$20,0),FALSE),""))</f>
        <v>0</v>
      </c>
      <c r="E145" s="1">
        <f t="shared" si="26"/>
        <v>0</v>
      </c>
      <c r="F145" s="1">
        <f t="shared" si="27"/>
        <v>0</v>
      </c>
      <c r="G145" s="1">
        <f t="shared" si="28"/>
        <v>0</v>
      </c>
      <c r="H145" s="1">
        <f t="shared" si="29"/>
        <v>0</v>
      </c>
      <c r="I145" s="1">
        <f t="shared" si="30"/>
        <v>0</v>
      </c>
      <c r="J145">
        <f>IF(B145="PAL","",IFERROR(IF(C145="",VLOOKUP(B145,'General price list'!C:BA,MATCH("CBM",'General price list'!$C$20:$BA$20,0),FALSE)*D145,VLOOKUP(B145,'General price list'!C:BA,MATCH("CBM",'General price list'!$C$20:$BA$20,0),FALSE)*(G145*C145)),0))</f>
        <v>0</v>
      </c>
    </row>
    <row r="146" spans="2:10" ht="15" customHeight="1">
      <c r="B146" s="790" t="str">
        <f>IF(B145="PAL","",'General price list'!C166)</f>
        <v>DF20CM</v>
      </c>
      <c r="C146" s="1" t="str">
        <f>IF(B146="PAL","",IFERROR(VLOOKUP(B146,'General price list'!C:BA,MATCH("PAL",'General price list'!$C$20:$BA$20,0),FALSE),""))</f>
        <v/>
      </c>
      <c r="D146" s="1">
        <f>IF(B146="PAL","",IFERROR(VLOOKUP(B146,'General price list'!C:BA,MATCH("OBJ",'General price list'!$C$20:$BA$20,0),FALSE),""))</f>
        <v>0</v>
      </c>
      <c r="E146" s="1">
        <f t="shared" si="26"/>
        <v>0</v>
      </c>
      <c r="F146" s="1">
        <f t="shared" si="27"/>
        <v>0</v>
      </c>
      <c r="G146" s="1">
        <f t="shared" si="28"/>
        <v>0</v>
      </c>
      <c r="H146" s="1">
        <f t="shared" si="29"/>
        <v>0</v>
      </c>
      <c r="I146" s="1">
        <f t="shared" si="30"/>
        <v>0</v>
      </c>
      <c r="J146">
        <f>IF(B146="PAL","",IFERROR(IF(C146="",VLOOKUP(B146,'General price list'!C:BA,MATCH("CBM",'General price list'!$C$20:$BA$20,0),FALSE)*D146,VLOOKUP(B146,'General price list'!C:BA,MATCH("CBM",'General price list'!$C$20:$BA$20,0),FALSE)*(G146*C146)),0))</f>
        <v>0</v>
      </c>
    </row>
    <row r="147" spans="2:10" ht="15" customHeight="1">
      <c r="B147" s="790" t="str">
        <f>IF(B146="PAL","",'General price list'!C167)</f>
        <v>DF30CM</v>
      </c>
      <c r="C147" s="1" t="str">
        <f>IF(B147="PAL","",IFERROR(VLOOKUP(B147,'General price list'!C:BA,MATCH("PAL",'General price list'!$C$20:$BA$20,0),FALSE),""))</f>
        <v/>
      </c>
      <c r="D147" s="1">
        <f>IF(B147="PAL","",IFERROR(VLOOKUP(B147,'General price list'!C:BA,MATCH("OBJ",'General price list'!$C$20:$BA$20,0),FALSE),""))</f>
        <v>0</v>
      </c>
      <c r="E147" s="1">
        <f t="shared" si="26"/>
        <v>0</v>
      </c>
      <c r="F147" s="1">
        <f t="shared" si="27"/>
        <v>0</v>
      </c>
      <c r="G147" s="1">
        <f t="shared" si="28"/>
        <v>0</v>
      </c>
      <c r="H147" s="1">
        <f t="shared" si="29"/>
        <v>0</v>
      </c>
      <c r="I147" s="1">
        <f t="shared" si="30"/>
        <v>0</v>
      </c>
      <c r="J147">
        <f>IF(B147="PAL","",IFERROR(IF(C147="",VLOOKUP(B147,'General price list'!C:BA,MATCH("CBM",'General price list'!$C$20:$BA$20,0),FALSE)*D147,VLOOKUP(B147,'General price list'!C:BA,MATCH("CBM",'General price list'!$C$20:$BA$20,0),FALSE)*(G147*C147)),0))</f>
        <v>0</v>
      </c>
    </row>
    <row r="148" spans="2:10" ht="15" customHeight="1">
      <c r="B148" s="790">
        <f>IF(B147="PAL","",'General price list'!C168)</f>
        <v>0</v>
      </c>
      <c r="C148" s="1" t="str">
        <f>IF(B148="PAL","",IFERROR(VLOOKUP(B148,'General price list'!C:BA,MATCH("PAL",'General price list'!$C$20:$BA$20,0),FALSE),""))</f>
        <v/>
      </c>
      <c r="D148" s="1" t="str">
        <f>IF(B148="PAL","",IFERROR(VLOOKUP(B148,'General price list'!C:BA,MATCH("OBJ",'General price list'!$C$20:$BA$20,0),FALSE),""))</f>
        <v/>
      </c>
      <c r="E148" s="1">
        <f t="shared" si="26"/>
        <v>0</v>
      </c>
      <c r="F148" s="1">
        <f t="shared" si="27"/>
        <v>0</v>
      </c>
      <c r="G148" s="1">
        <f t="shared" si="28"/>
        <v>0</v>
      </c>
      <c r="H148" s="1">
        <f t="shared" si="29"/>
        <v>0</v>
      </c>
      <c r="I148" s="1">
        <f t="shared" si="30"/>
        <v>0</v>
      </c>
      <c r="J148">
        <f>IF(B148="PAL","",IFERROR(IF(C148="",VLOOKUP(B148,'General price list'!C:BA,MATCH("CBM",'General price list'!$C$20:$BA$20,0),FALSE)*D148,VLOOKUP(B148,'General price list'!C:BA,MATCH("CBM",'General price list'!$C$20:$BA$20,0),FALSE)*(G148*C148)),0))</f>
        <v>0</v>
      </c>
    </row>
    <row r="149" spans="2:10" ht="15" customHeight="1">
      <c r="B149" s="790" t="str">
        <f>IF(B148="PAL","",'General price list'!C169)</f>
        <v>CON80P</v>
      </c>
      <c r="C149" s="1" t="str">
        <f>IF(B149="PAL","",IFERROR(VLOOKUP(B149,'General price list'!C:BA,MATCH("PAL",'General price list'!$C$20:$BA$20,0),FALSE),""))</f>
        <v/>
      </c>
      <c r="D149" s="1">
        <f>IF(B149="PAL","",IFERROR(VLOOKUP(B149,'General price list'!C:BA,MATCH("OBJ",'General price list'!$C$20:$BA$20,0),FALSE),""))</f>
        <v>0</v>
      </c>
      <c r="E149" s="1">
        <f t="shared" si="26"/>
        <v>0</v>
      </c>
      <c r="F149" s="1">
        <f t="shared" si="27"/>
        <v>0</v>
      </c>
      <c r="G149" s="1">
        <f t="shared" si="28"/>
        <v>0</v>
      </c>
      <c r="H149" s="1">
        <f t="shared" si="29"/>
        <v>0</v>
      </c>
      <c r="I149" s="1">
        <f t="shared" si="30"/>
        <v>0</v>
      </c>
      <c r="J149">
        <f>IF(B149="PAL","",IFERROR(IF(C149="",VLOOKUP(B149,'General price list'!C:BA,MATCH("CBM",'General price list'!$C$20:$BA$20,0),FALSE)*D149,VLOOKUP(B149,'General price list'!C:BA,MATCH("CBM",'General price list'!$C$20:$BA$20,0),FALSE)*(G149*C149)),0))</f>
        <v>0</v>
      </c>
    </row>
    <row r="150" spans="2:10" ht="15" customHeight="1">
      <c r="B150" s="790">
        <f>IF(B149="PAL","",'General price list'!C170)</f>
        <v>0</v>
      </c>
      <c r="C150" s="1" t="str">
        <f>IF(B150="PAL","",IFERROR(VLOOKUP(B150,'General price list'!C:BA,MATCH("PAL",'General price list'!$C$20:$BA$20,0),FALSE),""))</f>
        <v/>
      </c>
      <c r="D150" s="1" t="str">
        <f>IF(B150="PAL","",IFERROR(VLOOKUP(B150,'General price list'!C:BA,MATCH("OBJ",'General price list'!$C$20:$BA$20,0),FALSE),""))</f>
        <v/>
      </c>
      <c r="E150" s="1">
        <f t="shared" si="26"/>
        <v>0</v>
      </c>
      <c r="F150" s="1">
        <f t="shared" si="27"/>
        <v>0</v>
      </c>
      <c r="G150" s="1">
        <f t="shared" si="28"/>
        <v>0</v>
      </c>
      <c r="H150" s="1">
        <f t="shared" si="29"/>
        <v>0</v>
      </c>
      <c r="I150" s="1">
        <f t="shared" si="30"/>
        <v>0</v>
      </c>
      <c r="J150">
        <f>IF(B150="PAL","",IFERROR(IF(C150="",VLOOKUP(B150,'General price list'!C:BA,MATCH("CBM",'General price list'!$C$20:$BA$20,0),FALSE)*D150,VLOOKUP(B150,'General price list'!C:BA,MATCH("CBM",'General price list'!$C$20:$BA$20,0),FALSE)*(G150*C150)),0))</f>
        <v>0</v>
      </c>
    </row>
    <row r="151" spans="2:10" ht="15" customHeight="1">
      <c r="B151" s="790" t="str">
        <f>IF(B150="PAL","",'General price list'!C171)</f>
        <v>R4420B</v>
      </c>
      <c r="C151" s="1" t="str">
        <f>IF(B151="PAL","",IFERROR(VLOOKUP(B151,'General price list'!C:BA,MATCH("PAL",'General price list'!$C$20:$BA$20,0),FALSE),""))</f>
        <v/>
      </c>
      <c r="D151" s="1">
        <f>IF(B151="PAL","",IFERROR(VLOOKUP(B151,'General price list'!C:BA,MATCH("OBJ",'General price list'!$C$20:$BA$20,0),FALSE),""))</f>
        <v>0</v>
      </c>
      <c r="E151" s="1">
        <f t="shared" si="26"/>
        <v>0</v>
      </c>
      <c r="F151" s="1">
        <f t="shared" si="27"/>
        <v>0</v>
      </c>
      <c r="G151" s="1">
        <f t="shared" si="28"/>
        <v>0</v>
      </c>
      <c r="H151" s="1">
        <f t="shared" si="29"/>
        <v>0</v>
      </c>
      <c r="I151" s="1">
        <f t="shared" si="30"/>
        <v>0</v>
      </c>
      <c r="J151">
        <f>IF(B151="PAL","",IFERROR(IF(C151="",VLOOKUP(B151,'General price list'!C:BA,MATCH("CBM",'General price list'!$C$20:$BA$20,0),FALSE)*D151,VLOOKUP(B151,'General price list'!C:BA,MATCH("CBM",'General price list'!$C$20:$BA$20,0),FALSE)*(G151*C151)),0))</f>
        <v>0</v>
      </c>
    </row>
    <row r="152" spans="2:10" ht="15" customHeight="1">
      <c r="B152" s="790" t="str">
        <f>IF(B151="PAL","",'General price list'!C172)</f>
        <v>R7040C</v>
      </c>
      <c r="C152" s="1" t="str">
        <f>IF(B152="PAL","",IFERROR(VLOOKUP(B152,'General price list'!C:BA,MATCH("PAL",'General price list'!$C$20:$BA$20,0),FALSE),""))</f>
        <v/>
      </c>
      <c r="D152" s="1">
        <f>IF(B152="PAL","",IFERROR(VLOOKUP(B152,'General price list'!C:BA,MATCH("OBJ",'General price list'!$C$20:$BA$20,0),FALSE),""))</f>
        <v>0</v>
      </c>
      <c r="E152" s="1">
        <f t="shared" si="26"/>
        <v>0</v>
      </c>
      <c r="F152" s="1">
        <f t="shared" si="27"/>
        <v>0</v>
      </c>
      <c r="G152" s="1">
        <f t="shared" si="28"/>
        <v>0</v>
      </c>
      <c r="H152" s="1">
        <f t="shared" si="29"/>
        <v>0</v>
      </c>
      <c r="I152" s="1">
        <f t="shared" si="30"/>
        <v>0</v>
      </c>
      <c r="J152">
        <f>IF(B152="PAL","",IFERROR(IF(C152="",VLOOKUP(B152,'General price list'!C:BA,MATCH("CBM",'General price list'!$C$20:$BA$20,0),FALSE)*D152,VLOOKUP(B152,'General price list'!C:BA,MATCH("CBM",'General price list'!$C$20:$BA$20,0),FALSE)*(G152*C152)),0))</f>
        <v>0</v>
      </c>
    </row>
    <row r="153" spans="2:10" ht="15" customHeight="1">
      <c r="B153" s="790">
        <f>IF(B152="PAL","",'General price list'!C173)</f>
        <v>0</v>
      </c>
      <c r="C153" s="1" t="str">
        <f>IF(B153="PAL","",IFERROR(VLOOKUP(B153,'General price list'!C:BA,MATCH("PAL",'General price list'!$C$20:$BA$20,0),FALSE),""))</f>
        <v/>
      </c>
      <c r="D153" s="1" t="str">
        <f>IF(B153="PAL","",IFERROR(VLOOKUP(B153,'General price list'!C:BA,MATCH("OBJ",'General price list'!$C$20:$BA$20,0),FALSE),""))</f>
        <v/>
      </c>
      <c r="E153" s="1">
        <f t="shared" si="26"/>
        <v>0</v>
      </c>
      <c r="F153" s="1">
        <f t="shared" si="27"/>
        <v>0</v>
      </c>
      <c r="G153" s="1">
        <f t="shared" si="28"/>
        <v>0</v>
      </c>
      <c r="H153" s="1">
        <f t="shared" si="29"/>
        <v>0</v>
      </c>
      <c r="I153" s="1">
        <f t="shared" si="30"/>
        <v>0</v>
      </c>
      <c r="J153">
        <f>IF(B153="PAL","",IFERROR(IF(C153="",VLOOKUP(B153,'General price list'!C:BA,MATCH("CBM",'General price list'!$C$20:$BA$20,0),FALSE)*D153,VLOOKUP(B153,'General price list'!C:BA,MATCH("CBM",'General price list'!$C$20:$BA$20,0),FALSE)*(G153*C153)),0))</f>
        <v>0</v>
      </c>
    </row>
    <row r="154" spans="2:10" ht="15" customHeight="1">
      <c r="B154" s="790" t="str">
        <f>IF(B153="PAL","",'General price list'!C174)</f>
        <v>R5410B</v>
      </c>
      <c r="C154" s="1" t="str">
        <f>IF(B154="PAL","",IFERROR(VLOOKUP(B154,'General price list'!C:BA,MATCH("PAL",'General price list'!$C$20:$BA$20,0),FALSE),""))</f>
        <v/>
      </c>
      <c r="D154" s="1">
        <f>IF(B154="PAL","",IFERROR(VLOOKUP(B154,'General price list'!C:BA,MATCH("OBJ",'General price list'!$C$20:$BA$20,0),FALSE),""))</f>
        <v>0</v>
      </c>
      <c r="E154" s="1">
        <f t="shared" si="26"/>
        <v>0</v>
      </c>
      <c r="F154" s="1">
        <f t="shared" si="27"/>
        <v>0</v>
      </c>
      <c r="G154" s="1">
        <f t="shared" si="28"/>
        <v>0</v>
      </c>
      <c r="H154" s="1">
        <f t="shared" si="29"/>
        <v>0</v>
      </c>
      <c r="I154" s="1">
        <f t="shared" si="30"/>
        <v>0</v>
      </c>
      <c r="J154">
        <f>IF(B154="PAL","",IFERROR(IF(C154="",VLOOKUP(B154,'General price list'!C:BA,MATCH("CBM",'General price list'!$C$20:$BA$20,0),FALSE)*D154,VLOOKUP(B154,'General price list'!C:BA,MATCH("CBM",'General price list'!$C$20:$BA$20,0),FALSE)*(G154*C154)),0))</f>
        <v>0</v>
      </c>
    </row>
    <row r="155" spans="2:10" ht="15" customHeight="1">
      <c r="B155" s="790" t="str">
        <f>IF(B154="PAL","",'General price list'!C175)</f>
        <v>R5420K</v>
      </c>
      <c r="C155" s="1" t="str">
        <f>IF(B155="PAL","",IFERROR(VLOOKUP(B155,'General price list'!C:BA,MATCH("PAL",'General price list'!$C$20:$BA$20,0),FALSE),""))</f>
        <v/>
      </c>
      <c r="D155" s="1">
        <f>IF(B155="PAL","",IFERROR(VLOOKUP(B155,'General price list'!C:BA,MATCH("OBJ",'General price list'!$C$20:$BA$20,0),FALSE),""))</f>
        <v>0</v>
      </c>
      <c r="E155" s="1">
        <f t="shared" si="26"/>
        <v>0</v>
      </c>
      <c r="F155" s="1">
        <f t="shared" si="27"/>
        <v>0</v>
      </c>
      <c r="G155" s="1">
        <f t="shared" si="28"/>
        <v>0</v>
      </c>
      <c r="H155" s="1">
        <f t="shared" si="29"/>
        <v>0</v>
      </c>
      <c r="I155" s="1">
        <f t="shared" si="30"/>
        <v>0</v>
      </c>
      <c r="J155">
        <f>IF(B155="PAL","",IFERROR(IF(C155="",VLOOKUP(B155,'General price list'!C:BA,MATCH("CBM",'General price list'!$C$20:$BA$20,0),FALSE)*D155,VLOOKUP(B155,'General price list'!C:BA,MATCH("CBM",'General price list'!$C$20:$BA$20,0),FALSE)*(G155*C155)),0))</f>
        <v>0</v>
      </c>
    </row>
    <row r="156" spans="2:10" ht="15" customHeight="1">
      <c r="B156" s="790" t="str">
        <f>IF(B155="PAL","",'General price list'!C176)</f>
        <v>R7020K</v>
      </c>
      <c r="C156" s="1" t="str">
        <f>IF(B156="PAL","",IFERROR(VLOOKUP(B156,'General price list'!C:BA,MATCH("PAL",'General price list'!$C$20:$BA$20,0),FALSE),""))</f>
        <v/>
      </c>
      <c r="D156" s="1">
        <f>IF(B156="PAL","",IFERROR(VLOOKUP(B156,'General price list'!C:BA,MATCH("OBJ",'General price list'!$C$20:$BA$20,0),FALSE),""))</f>
        <v>0</v>
      </c>
      <c r="E156" s="1">
        <f t="shared" si="26"/>
        <v>0</v>
      </c>
      <c r="F156" s="1">
        <f t="shared" si="27"/>
        <v>0</v>
      </c>
      <c r="G156" s="1">
        <f t="shared" si="28"/>
        <v>0</v>
      </c>
      <c r="H156" s="1">
        <f t="shared" si="29"/>
        <v>0</v>
      </c>
      <c r="I156" s="1">
        <f t="shared" si="30"/>
        <v>0</v>
      </c>
      <c r="J156">
        <f>IF(B156="PAL","",IFERROR(IF(C156="",VLOOKUP(B156,'General price list'!C:BA,MATCH("CBM",'General price list'!$C$20:$BA$20,0),FALSE)*D156,VLOOKUP(B156,'General price list'!C:BA,MATCH("CBM",'General price list'!$C$20:$BA$20,0),FALSE)*(G156*C156)),0))</f>
        <v>0</v>
      </c>
    </row>
    <row r="157" spans="2:10" ht="15" customHeight="1">
      <c r="B157" s="790" t="str">
        <f>IF(B156="PAL","",'General price list'!C177)</f>
        <v>R6020B</v>
      </c>
      <c r="C157" s="1" t="str">
        <f>IF(B157="PAL","",IFERROR(VLOOKUP(B157,'General price list'!C:BA,MATCH("PAL",'General price list'!$C$20:$BA$20,0),FALSE),""))</f>
        <v/>
      </c>
      <c r="D157" s="1">
        <f>IF(B157="PAL","",IFERROR(VLOOKUP(B157,'General price list'!C:BA,MATCH("OBJ",'General price list'!$C$20:$BA$20,0),FALSE),""))</f>
        <v>0</v>
      </c>
      <c r="E157" s="1">
        <f t="shared" si="26"/>
        <v>0</v>
      </c>
      <c r="F157" s="1">
        <f t="shared" si="27"/>
        <v>0</v>
      </c>
      <c r="G157" s="1">
        <f t="shared" si="28"/>
        <v>0</v>
      </c>
      <c r="H157" s="1">
        <f t="shared" si="29"/>
        <v>0</v>
      </c>
      <c r="I157" s="1">
        <f t="shared" si="30"/>
        <v>0</v>
      </c>
      <c r="J157">
        <f>IF(B157="PAL","",IFERROR(IF(C157="",VLOOKUP(B157,'General price list'!C:BA,MATCH("CBM",'General price list'!$C$20:$BA$20,0),FALSE)*D157,VLOOKUP(B157,'General price list'!C:BA,MATCH("CBM",'General price list'!$C$20:$BA$20,0),FALSE)*(G157*C157)),0))</f>
        <v>0</v>
      </c>
    </row>
    <row r="158" spans="2:10" ht="15" customHeight="1">
      <c r="B158" s="790" t="str">
        <f>IF(B157="PAL","",'General price list'!C178)</f>
        <v>R6520BK/2</v>
      </c>
      <c r="C158" s="1" t="str">
        <f>IF(B158="PAL","",IFERROR(VLOOKUP(B158,'General price list'!C:BA,MATCH("PAL",'General price list'!$C$20:$BA$20,0),FALSE),""))</f>
        <v/>
      </c>
      <c r="D158" s="1">
        <f>IF(B158="PAL","",IFERROR(VLOOKUP(B158,'General price list'!C:BA,MATCH("OBJ",'General price list'!$C$20:$BA$20,0),FALSE),""))</f>
        <v>0</v>
      </c>
      <c r="E158" s="1">
        <f t="shared" si="26"/>
        <v>0</v>
      </c>
      <c r="F158" s="1">
        <f t="shared" si="27"/>
        <v>0</v>
      </c>
      <c r="G158" s="1">
        <f t="shared" si="28"/>
        <v>0</v>
      </c>
      <c r="H158" s="1">
        <f t="shared" si="29"/>
        <v>0</v>
      </c>
      <c r="I158" s="1">
        <f t="shared" si="30"/>
        <v>0</v>
      </c>
      <c r="J158">
        <f>IF(B158="PAL","",IFERROR(IF(C158="",VLOOKUP(B158,'General price list'!C:BA,MATCH("CBM",'General price list'!$C$20:$BA$20,0),FALSE)*D158,VLOOKUP(B158,'General price list'!C:BA,MATCH("CBM",'General price list'!$C$20:$BA$20,0),FALSE)*(G158*C158)),0))</f>
        <v>0</v>
      </c>
    </row>
    <row r="159" spans="2:10" ht="15" customHeight="1">
      <c r="B159" s="790" t="str">
        <f>IF(B158="PAL","",'General price list'!C179)</f>
        <v>R6020M</v>
      </c>
      <c r="C159" s="1" t="str">
        <f>IF(B159="PAL","",IFERROR(VLOOKUP(B159,'General price list'!C:BA,MATCH("PAL",'General price list'!$C$20:$BA$20,0),FALSE),""))</f>
        <v/>
      </c>
      <c r="D159" s="1">
        <f>IF(B159="PAL","",IFERROR(VLOOKUP(B159,'General price list'!C:BA,MATCH("OBJ",'General price list'!$C$20:$BA$20,0),FALSE),""))</f>
        <v>0</v>
      </c>
      <c r="E159" s="1">
        <f t="shared" si="26"/>
        <v>0</v>
      </c>
      <c r="F159" s="1">
        <f t="shared" si="27"/>
        <v>0</v>
      </c>
      <c r="G159" s="1">
        <f t="shared" si="28"/>
        <v>0</v>
      </c>
      <c r="H159" s="1">
        <f t="shared" si="29"/>
        <v>0</v>
      </c>
      <c r="I159" s="1">
        <f t="shared" si="30"/>
        <v>0</v>
      </c>
      <c r="J159">
        <f>IF(B159="PAL","",IFERROR(IF(C159="",VLOOKUP(B159,'General price list'!C:BA,MATCH("CBM",'General price list'!$C$20:$BA$20,0),FALSE)*D159,VLOOKUP(B159,'General price list'!C:BA,MATCH("CBM",'General price list'!$C$20:$BA$20,0),FALSE)*(G159*C159)),0))</f>
        <v>0</v>
      </c>
    </row>
    <row r="160" spans="2:10" ht="15" customHeight="1">
      <c r="B160" s="790" t="str">
        <f>IF(B159="PAL","",'General price list'!C180)</f>
        <v>R7020M</v>
      </c>
      <c r="C160" s="1" t="str">
        <f>IF(B160="PAL","",IFERROR(VLOOKUP(B160,'General price list'!C:BA,MATCH("PAL",'General price list'!$C$20:$BA$20,0),FALSE),""))</f>
        <v/>
      </c>
      <c r="D160" s="1">
        <f>IF(B160="PAL","",IFERROR(VLOOKUP(B160,'General price list'!C:BA,MATCH("OBJ",'General price list'!$C$20:$BA$20,0),FALSE),""))</f>
        <v>0</v>
      </c>
      <c r="E160" s="1">
        <f t="shared" si="26"/>
        <v>0</v>
      </c>
      <c r="F160" s="1">
        <f t="shared" si="27"/>
        <v>0</v>
      </c>
      <c r="G160" s="1">
        <f t="shared" si="28"/>
        <v>0</v>
      </c>
      <c r="H160" s="1">
        <f t="shared" si="29"/>
        <v>0</v>
      </c>
      <c r="I160" s="1">
        <f t="shared" si="30"/>
        <v>0</v>
      </c>
      <c r="J160">
        <f>IF(B160="PAL","",IFERROR(IF(C160="",VLOOKUP(B160,'General price list'!C:BA,MATCH("CBM",'General price list'!$C$20:$BA$20,0),FALSE)*D160,VLOOKUP(B160,'General price list'!C:BA,MATCH("CBM",'General price list'!$C$20:$BA$20,0),FALSE)*(G160*C160)),0))</f>
        <v>0</v>
      </c>
    </row>
    <row r="161" spans="2:10" ht="15" customHeight="1">
      <c r="B161" s="790">
        <f>IF(B160="PAL","",'General price list'!C181)</f>
        <v>0</v>
      </c>
      <c r="C161" s="1" t="str">
        <f>IF(B161="PAL","",IFERROR(VLOOKUP(B161,'General price list'!C:BA,MATCH("PAL",'General price list'!$C$20:$BA$20,0),FALSE),""))</f>
        <v/>
      </c>
      <c r="D161" s="1" t="str">
        <f>IF(B161="PAL","",IFERROR(VLOOKUP(B161,'General price list'!C:BA,MATCH("OBJ",'General price list'!$C$20:$BA$20,0),FALSE),""))</f>
        <v/>
      </c>
      <c r="E161" s="1">
        <f t="shared" si="26"/>
        <v>0</v>
      </c>
      <c r="F161" s="1">
        <f t="shared" si="27"/>
        <v>0</v>
      </c>
      <c r="G161" s="1">
        <f t="shared" si="28"/>
        <v>0</v>
      </c>
      <c r="H161" s="1">
        <f t="shared" si="29"/>
        <v>0</v>
      </c>
      <c r="I161" s="1">
        <f t="shared" si="30"/>
        <v>0</v>
      </c>
      <c r="J161">
        <f>IF(B161="PAL","",IFERROR(IF(C161="",VLOOKUP(B161,'General price list'!C:BA,MATCH("CBM",'General price list'!$C$20:$BA$20,0),FALSE)*D161,VLOOKUP(B161,'General price list'!C:BA,MATCH("CBM",'General price list'!$C$20:$BA$20,0),FALSE)*(G161*C161)),0))</f>
        <v>0</v>
      </c>
    </row>
    <row r="162" spans="2:10" ht="15" customHeight="1">
      <c r="B162" s="790" t="str">
        <f>IF(B161="PAL","",'General price list'!C182)</f>
        <v>R60508E</v>
      </c>
      <c r="C162" s="1" t="str">
        <f>IF(B162="PAL","",IFERROR(VLOOKUP(B162,'General price list'!C:BA,MATCH("PAL",'General price list'!$C$20:$BA$20,0),FALSE),""))</f>
        <v/>
      </c>
      <c r="D162" s="1">
        <f>IF(B162="PAL","",IFERROR(VLOOKUP(B162,'General price list'!C:BA,MATCH("OBJ",'General price list'!$C$20:$BA$20,0),FALSE),""))</f>
        <v>0</v>
      </c>
      <c r="E162" s="1">
        <f t="shared" si="26"/>
        <v>0</v>
      </c>
      <c r="F162" s="1">
        <f t="shared" si="27"/>
        <v>0</v>
      </c>
      <c r="G162" s="1">
        <f t="shared" si="28"/>
        <v>0</v>
      </c>
      <c r="H162" s="1">
        <f t="shared" si="29"/>
        <v>0</v>
      </c>
      <c r="I162" s="1">
        <f t="shared" si="30"/>
        <v>0</v>
      </c>
      <c r="J162">
        <f>IF(B162="PAL","",IFERROR(IF(C162="",VLOOKUP(B162,'General price list'!C:BA,MATCH("CBM",'General price list'!$C$20:$BA$20,0),FALSE)*D162,VLOOKUP(B162,'General price list'!C:BA,MATCH("CBM",'General price list'!$C$20:$BA$20,0),FALSE)*(G162*C162)),0))</f>
        <v>0</v>
      </c>
    </row>
    <row r="163" spans="2:10" ht="15" customHeight="1">
      <c r="B163" s="790" t="str">
        <f>IF(B162="PAL","",'General price list'!C183)</f>
        <v>R6508S</v>
      </c>
      <c r="C163" s="1" t="str">
        <f>IF(B163="PAL","",IFERROR(VLOOKUP(B163,'General price list'!C:BA,MATCH("PAL",'General price list'!$C$20:$BA$20,0),FALSE),""))</f>
        <v/>
      </c>
      <c r="D163" s="1">
        <f>IF(B163="PAL","",IFERROR(VLOOKUP(B163,'General price list'!C:BA,MATCH("OBJ",'General price list'!$C$20:$BA$20,0),FALSE),""))</f>
        <v>0</v>
      </c>
      <c r="E163" s="1">
        <f t="shared" si="26"/>
        <v>0</v>
      </c>
      <c r="F163" s="1">
        <f t="shared" si="27"/>
        <v>0</v>
      </c>
      <c r="G163" s="1">
        <f t="shared" si="28"/>
        <v>0</v>
      </c>
      <c r="H163" s="1">
        <f t="shared" si="29"/>
        <v>0</v>
      </c>
      <c r="I163" s="1">
        <f t="shared" si="30"/>
        <v>0</v>
      </c>
      <c r="J163">
        <f>IF(B163="PAL","",IFERROR(IF(C163="",VLOOKUP(B163,'General price list'!C:BA,MATCH("CBM",'General price list'!$C$20:$BA$20,0),FALSE)*D163,VLOOKUP(B163,'General price list'!C:BA,MATCH("CBM",'General price list'!$C$20:$BA$20,0),FALSE)*(G163*C163)),0))</f>
        <v>0</v>
      </c>
    </row>
    <row r="164" spans="2:10" ht="15" customHeight="1">
      <c r="B164" s="790" t="str">
        <f>IF(B163="PAL","",'General price list'!C184)</f>
        <v>R75508SIG</v>
      </c>
      <c r="C164" s="1" t="str">
        <f>IF(B164="PAL","",IFERROR(VLOOKUP(B164,'General price list'!C:BA,MATCH("PAL",'General price list'!$C$20:$BA$20,0),FALSE),""))</f>
        <v/>
      </c>
      <c r="D164" s="1">
        <f>IF(B164="PAL","",IFERROR(VLOOKUP(B164,'General price list'!C:BA,MATCH("OBJ",'General price list'!$C$20:$BA$20,0),FALSE),""))</f>
        <v>0</v>
      </c>
      <c r="E164" s="1">
        <f t="shared" si="26"/>
        <v>0</v>
      </c>
      <c r="F164" s="1">
        <f t="shared" si="27"/>
        <v>0</v>
      </c>
      <c r="G164" s="1">
        <f t="shared" si="28"/>
        <v>0</v>
      </c>
      <c r="H164" s="1">
        <f t="shared" si="29"/>
        <v>0</v>
      </c>
      <c r="I164" s="1">
        <f t="shared" si="30"/>
        <v>0</v>
      </c>
      <c r="J164">
        <f>IF(B164="PAL","",IFERROR(IF(C164="",VLOOKUP(B164,'General price list'!C:BA,MATCH("CBM",'General price list'!$C$20:$BA$20,0),FALSE)*D164,VLOOKUP(B164,'General price list'!C:BA,MATCH("CBM",'General price list'!$C$20:$BA$20,0),FALSE)*(G164*C164)),0))</f>
        <v>0</v>
      </c>
    </row>
    <row r="165" spans="2:10" ht="15" customHeight="1">
      <c r="B165" s="790">
        <f>IF(B164="PAL","",'General price list'!C185)</f>
        <v>0</v>
      </c>
      <c r="C165" s="1" t="str">
        <f>IF(B165="PAL","",IFERROR(VLOOKUP(B165,'General price list'!C:BA,MATCH("PAL",'General price list'!$C$20:$BA$20,0),FALSE),""))</f>
        <v/>
      </c>
      <c r="D165" s="1" t="str">
        <f>IF(B165="PAL","",IFERROR(VLOOKUP(B165,'General price list'!C:BA,MATCH("OBJ",'General price list'!$C$20:$BA$20,0),FALSE),""))</f>
        <v/>
      </c>
      <c r="E165" s="1">
        <f t="shared" si="26"/>
        <v>0</v>
      </c>
      <c r="F165" s="1">
        <f t="shared" si="27"/>
        <v>0</v>
      </c>
      <c r="G165" s="1">
        <f t="shared" si="28"/>
        <v>0</v>
      </c>
      <c r="H165" s="1">
        <f t="shared" si="29"/>
        <v>0</v>
      </c>
      <c r="I165" s="1">
        <f t="shared" si="30"/>
        <v>0</v>
      </c>
      <c r="J165">
        <f>IF(B165="PAL","",IFERROR(IF(C165="",VLOOKUP(B165,'General price list'!C:BA,MATCH("CBM",'General price list'!$C$20:$BA$20,0),FALSE)*D165,VLOOKUP(B165,'General price list'!C:BA,MATCH("CBM",'General price list'!$C$20:$BA$20,0),FALSE)*(G165*C165)),0))</f>
        <v>0</v>
      </c>
    </row>
    <row r="166" spans="2:10" ht="15" customHeight="1">
      <c r="B166" s="790" t="str">
        <f>IF(B165="PAL","",'General price list'!C186)</f>
        <v>R5808D</v>
      </c>
      <c r="C166" s="1" t="str">
        <f>IF(B166="PAL","",IFERROR(VLOOKUP(B166,'General price list'!C:BA,MATCH("PAL",'General price list'!$C$20:$BA$20,0),FALSE),""))</f>
        <v/>
      </c>
      <c r="D166" s="1">
        <f>IF(B166="PAL","",IFERROR(VLOOKUP(B166,'General price list'!C:BA,MATCH("OBJ",'General price list'!$C$20:$BA$20,0),FALSE),""))</f>
        <v>0</v>
      </c>
      <c r="E166" s="1">
        <f t="shared" si="26"/>
        <v>0</v>
      </c>
      <c r="F166" s="1">
        <f t="shared" si="27"/>
        <v>0</v>
      </c>
      <c r="G166" s="1">
        <f t="shared" si="28"/>
        <v>0</v>
      </c>
      <c r="H166" s="1">
        <f t="shared" si="29"/>
        <v>0</v>
      </c>
      <c r="I166" s="1">
        <f t="shared" si="30"/>
        <v>0</v>
      </c>
      <c r="J166">
        <f>IF(B166="PAL","",IFERROR(IF(C166="",VLOOKUP(B166,'General price list'!C:BA,MATCH("CBM",'General price list'!$C$20:$BA$20,0),FALSE)*D166,VLOOKUP(B166,'General price list'!C:BA,MATCH("CBM",'General price list'!$C$20:$BA$20,0),FALSE)*(G166*C166)),0))</f>
        <v>0</v>
      </c>
    </row>
    <row r="167" spans="2:10" ht="15" customHeight="1">
      <c r="B167" s="790" t="str">
        <f>IF(B166="PAL","",'General price list'!C187)</f>
        <v>R6008E</v>
      </c>
      <c r="C167" s="1" t="str">
        <f>IF(B167="PAL","",IFERROR(VLOOKUP(B167,'General price list'!C:BA,MATCH("PAL",'General price list'!$C$20:$BA$20,0),FALSE),""))</f>
        <v/>
      </c>
      <c r="D167" s="1">
        <f>IF(B167="PAL","",IFERROR(VLOOKUP(B167,'General price list'!C:BA,MATCH("OBJ",'General price list'!$C$20:$BA$20,0),FALSE),""))</f>
        <v>0</v>
      </c>
      <c r="E167" s="1">
        <f t="shared" si="26"/>
        <v>0</v>
      </c>
      <c r="F167" s="1">
        <f t="shared" si="27"/>
        <v>0</v>
      </c>
      <c r="G167" s="1">
        <f t="shared" si="28"/>
        <v>0</v>
      </c>
      <c r="H167" s="1">
        <f t="shared" si="29"/>
        <v>0</v>
      </c>
      <c r="I167" s="1">
        <f t="shared" si="30"/>
        <v>0</v>
      </c>
      <c r="J167">
        <f>IF(B167="PAL","",IFERROR(IF(C167="",VLOOKUP(B167,'General price list'!C:BA,MATCH("CBM",'General price list'!$C$20:$BA$20,0),FALSE)*D167,VLOOKUP(B167,'General price list'!C:BA,MATCH("CBM",'General price list'!$C$20:$BA$20,0),FALSE)*(G167*C167)),0))</f>
        <v>0</v>
      </c>
    </row>
    <row r="168" spans="2:10" ht="15" customHeight="1">
      <c r="B168" s="790" t="str">
        <f>IF(B167="PAL","",'General price list'!C188)</f>
        <v>R6008M</v>
      </c>
      <c r="C168" s="1" t="str">
        <f>IF(B168="PAL","",IFERROR(VLOOKUP(B168,'General price list'!C:BA,MATCH("PAL",'General price list'!$C$20:$BA$20,0),FALSE),""))</f>
        <v/>
      </c>
      <c r="D168" s="1">
        <f>IF(B168="PAL","",IFERROR(VLOOKUP(B168,'General price list'!C:BA,MATCH("OBJ",'General price list'!$C$20:$BA$20,0),FALSE),""))</f>
        <v>0</v>
      </c>
      <c r="E168" s="1">
        <f t="shared" si="26"/>
        <v>0</v>
      </c>
      <c r="F168" s="1">
        <f t="shared" si="27"/>
        <v>0</v>
      </c>
      <c r="G168" s="1">
        <f t="shared" si="28"/>
        <v>0</v>
      </c>
      <c r="H168" s="1">
        <f t="shared" si="29"/>
        <v>0</v>
      </c>
      <c r="I168" s="1">
        <f t="shared" si="30"/>
        <v>0</v>
      </c>
      <c r="J168">
        <f>IF(B168="PAL","",IFERROR(IF(C168="",VLOOKUP(B168,'General price list'!C:BA,MATCH("CBM",'General price list'!$C$20:$BA$20,0),FALSE)*D168,VLOOKUP(B168,'General price list'!C:BA,MATCH("CBM",'General price list'!$C$20:$BA$20,0),FALSE)*(G168*C168)),0))</f>
        <v>0</v>
      </c>
    </row>
    <row r="169" spans="2:10" ht="15" customHeight="1">
      <c r="B169" s="790" t="str">
        <f>IF(B168="PAL","",'General price list'!C189)</f>
        <v>R7508E</v>
      </c>
      <c r="C169" s="1" t="str">
        <f>IF(B169="PAL","",IFERROR(VLOOKUP(B169,'General price list'!C:BA,MATCH("PAL",'General price list'!$C$20:$BA$20,0),FALSE),""))</f>
        <v/>
      </c>
      <c r="D169" s="1">
        <f>IF(B169="PAL","",IFERROR(VLOOKUP(B169,'General price list'!C:BA,MATCH("OBJ",'General price list'!$C$20:$BA$20,0),FALSE),""))</f>
        <v>0</v>
      </c>
      <c r="E169" s="1">
        <f t="shared" si="26"/>
        <v>0</v>
      </c>
      <c r="F169" s="1">
        <f t="shared" si="27"/>
        <v>0</v>
      </c>
      <c r="G169" s="1">
        <f t="shared" si="28"/>
        <v>0</v>
      </c>
      <c r="H169" s="1">
        <f t="shared" si="29"/>
        <v>0</v>
      </c>
      <c r="I169" s="1">
        <f t="shared" si="30"/>
        <v>0</v>
      </c>
      <c r="J169">
        <f>IF(B169="PAL","",IFERROR(IF(C169="",VLOOKUP(B169,'General price list'!C:BA,MATCH("CBM",'General price list'!$C$20:$BA$20,0),FALSE)*D169,VLOOKUP(B169,'General price list'!C:BA,MATCH("CBM",'General price list'!$C$20:$BA$20,0),FALSE)*(G169*C169)),0))</f>
        <v>0</v>
      </c>
    </row>
    <row r="170" spans="2:10" ht="15" customHeight="1">
      <c r="B170" s="790" t="str">
        <f>IF(B169="PAL","",'General price list'!C190)</f>
        <v>R7508SIG</v>
      </c>
      <c r="C170" s="1" t="str">
        <f>IF(B170="PAL","",IFERROR(VLOOKUP(B170,'General price list'!C:BA,MATCH("PAL",'General price list'!$C$20:$BA$20,0),FALSE),""))</f>
        <v/>
      </c>
      <c r="D170" s="1">
        <f>IF(B170="PAL","",IFERROR(VLOOKUP(B170,'General price list'!C:BA,MATCH("OBJ",'General price list'!$C$20:$BA$20,0),FALSE),""))</f>
        <v>0</v>
      </c>
      <c r="E170" s="1">
        <f t="shared" si="26"/>
        <v>0</v>
      </c>
      <c r="F170" s="1">
        <f t="shared" si="27"/>
        <v>0</v>
      </c>
      <c r="G170" s="1">
        <f t="shared" si="28"/>
        <v>0</v>
      </c>
      <c r="H170" s="1">
        <f t="shared" si="29"/>
        <v>0</v>
      </c>
      <c r="I170" s="1">
        <f t="shared" si="30"/>
        <v>0</v>
      </c>
      <c r="J170">
        <f>IF(B170="PAL","",IFERROR(IF(C170="",VLOOKUP(B170,'General price list'!C:BA,MATCH("CBM",'General price list'!$C$20:$BA$20,0),FALSE)*D170,VLOOKUP(B170,'General price list'!C:BA,MATCH("CBM",'General price list'!$C$20:$BA$20,0),FALSE)*(G170*C170)),0))</f>
        <v>0</v>
      </c>
    </row>
    <row r="171" spans="2:10" ht="15" customHeight="1">
      <c r="B171" s="790">
        <f>IF(B170="PAL","",'General price list'!C191)</f>
        <v>0</v>
      </c>
      <c r="C171" s="1" t="str">
        <f>IF(B171="PAL","",IFERROR(VLOOKUP(B171,'General price list'!C:BA,MATCH("PAL",'General price list'!$C$20:$BA$20,0),FALSE),""))</f>
        <v/>
      </c>
      <c r="D171" s="1" t="str">
        <f>IF(B171="PAL","",IFERROR(VLOOKUP(B171,'General price list'!C:BA,MATCH("OBJ",'General price list'!$C$20:$BA$20,0),FALSE),""))</f>
        <v/>
      </c>
      <c r="E171" s="1">
        <f t="shared" si="26"/>
        <v>0</v>
      </c>
      <c r="F171" s="1">
        <f t="shared" si="27"/>
        <v>0</v>
      </c>
      <c r="G171" s="1">
        <f t="shared" si="28"/>
        <v>0</v>
      </c>
      <c r="H171" s="1">
        <f t="shared" si="29"/>
        <v>0</v>
      </c>
      <c r="I171" s="1">
        <f t="shared" si="30"/>
        <v>0</v>
      </c>
      <c r="J171">
        <f>IF(B171="PAL","",IFERROR(IF(C171="",VLOOKUP(B171,'General price list'!C:BA,MATCH("CBM",'General price list'!$C$20:$BA$20,0),FALSE)*D171,VLOOKUP(B171,'General price list'!C:BA,MATCH("CBM",'General price list'!$C$20:$BA$20,0),FALSE)*(G171*C171)),0))</f>
        <v>0</v>
      </c>
    </row>
    <row r="172" spans="2:10" ht="15" customHeight="1">
      <c r="B172" s="790" t="str">
        <f>IF(B171="PAL","",'General price list'!C192)</f>
        <v>R7538S</v>
      </c>
      <c r="C172" s="1" t="str">
        <f>IF(B172="PAL","",IFERROR(VLOOKUP(B172,'General price list'!C:BA,MATCH("PAL",'General price list'!$C$20:$BA$20,0),FALSE),""))</f>
        <v/>
      </c>
      <c r="D172" s="1">
        <f>IF(B172="PAL","",IFERROR(VLOOKUP(B172,'General price list'!C:BA,MATCH("OBJ",'General price list'!$C$20:$BA$20,0),FALSE),""))</f>
        <v>0</v>
      </c>
      <c r="E172" s="1">
        <f t="shared" si="26"/>
        <v>0</v>
      </c>
      <c r="F172" s="1">
        <f t="shared" si="27"/>
        <v>0</v>
      </c>
      <c r="G172" s="1">
        <f t="shared" si="28"/>
        <v>0</v>
      </c>
      <c r="H172" s="1">
        <f t="shared" si="29"/>
        <v>0</v>
      </c>
      <c r="I172" s="1">
        <f t="shared" si="30"/>
        <v>0</v>
      </c>
      <c r="J172">
        <f>IF(B172="PAL","",IFERROR(IF(C172="",VLOOKUP(B172,'General price list'!C:BA,MATCH("CBM",'General price list'!$C$20:$BA$20,0),FALSE)*D172,VLOOKUP(B172,'General price list'!C:BA,MATCH("CBM",'General price list'!$C$20:$BA$20,0),FALSE)*(G172*C172)),0))</f>
        <v>0</v>
      </c>
    </row>
    <row r="173" spans="2:10" ht="15" customHeight="1">
      <c r="B173" s="790" t="str">
        <f>IF(B172="PAL","",'General price list'!C193)</f>
        <v>R7538I</v>
      </c>
      <c r="C173" s="1" t="str">
        <f>IF(B173="PAL","",IFERROR(VLOOKUP(B173,'General price list'!C:BA,MATCH("PAL",'General price list'!$C$20:$BA$20,0),FALSE),""))</f>
        <v/>
      </c>
      <c r="D173" s="1">
        <f>IF(B173="PAL","",IFERROR(VLOOKUP(B173,'General price list'!C:BA,MATCH("OBJ",'General price list'!$C$20:$BA$20,0),FALSE),""))</f>
        <v>0</v>
      </c>
      <c r="E173" s="1">
        <f t="shared" si="26"/>
        <v>0</v>
      </c>
      <c r="F173" s="1">
        <f t="shared" si="27"/>
        <v>0</v>
      </c>
      <c r="G173" s="1">
        <f t="shared" si="28"/>
        <v>0</v>
      </c>
      <c r="H173" s="1">
        <f t="shared" si="29"/>
        <v>0</v>
      </c>
      <c r="I173" s="1">
        <f t="shared" si="30"/>
        <v>0</v>
      </c>
      <c r="J173">
        <f>IF(B173="PAL","",IFERROR(IF(C173="",VLOOKUP(B173,'General price list'!C:BA,MATCH("CBM",'General price list'!$C$20:$BA$20,0),FALSE)*D173,VLOOKUP(B173,'General price list'!C:BA,MATCH("CBM",'General price list'!$C$20:$BA$20,0),FALSE)*(G173*C173)),0))</f>
        <v>0</v>
      </c>
    </row>
    <row r="174" spans="2:10" ht="15" customHeight="1">
      <c r="B174" s="790">
        <f>IF(B173="PAL","",'General price list'!C194)</f>
        <v>0</v>
      </c>
      <c r="C174" s="1" t="str">
        <f>IF(B174="PAL","",IFERROR(VLOOKUP(B174,'General price list'!C:BA,MATCH("PAL",'General price list'!$C$20:$BA$20,0),FALSE),""))</f>
        <v/>
      </c>
      <c r="D174" s="1" t="str">
        <f>IF(B174="PAL","",IFERROR(VLOOKUP(B174,'General price list'!C:BA,MATCH("OBJ",'General price list'!$C$20:$BA$20,0),FALSE),""))</f>
        <v/>
      </c>
      <c r="E174" s="1">
        <f t="shared" si="26"/>
        <v>0</v>
      </c>
      <c r="F174" s="1">
        <f t="shared" si="27"/>
        <v>0</v>
      </c>
      <c r="G174" s="1">
        <f t="shared" si="28"/>
        <v>0</v>
      </c>
      <c r="H174" s="1">
        <f t="shared" si="29"/>
        <v>0</v>
      </c>
      <c r="I174" s="1">
        <f t="shared" si="30"/>
        <v>0</v>
      </c>
      <c r="J174">
        <f>IF(B174="PAL","",IFERROR(IF(C174="",VLOOKUP(B174,'General price list'!C:BA,MATCH("CBM",'General price list'!$C$20:$BA$20,0),FALSE)*D174,VLOOKUP(B174,'General price list'!C:BA,MATCH("CBM",'General price list'!$C$20:$BA$20,0),FALSE)*(G174*C174)),0))</f>
        <v>0</v>
      </c>
    </row>
    <row r="175" spans="2:10" ht="15" customHeight="1">
      <c r="B175" s="790" t="str">
        <f>IF(B174="PAL","",'General price list'!C195)</f>
        <v>GAT300</v>
      </c>
      <c r="C175" s="1" t="str">
        <f>IF(B175="PAL","",IFERROR(VLOOKUP(B175,'General price list'!C:BA,MATCH("PAL",'General price list'!$C$20:$BA$20,0),FALSE),""))</f>
        <v/>
      </c>
      <c r="D175" s="1">
        <f>IF(B175="PAL","",IFERROR(VLOOKUP(B175,'General price list'!C:BA,MATCH("OBJ",'General price list'!$C$20:$BA$20,0),FALSE),""))</f>
        <v>0</v>
      </c>
      <c r="E175" s="1">
        <f t="shared" si="26"/>
        <v>0</v>
      </c>
      <c r="F175" s="1">
        <f t="shared" si="27"/>
        <v>0</v>
      </c>
      <c r="G175" s="1">
        <f t="shared" si="28"/>
        <v>0</v>
      </c>
      <c r="H175" s="1">
        <f t="shared" si="29"/>
        <v>0</v>
      </c>
      <c r="I175" s="1">
        <f t="shared" si="30"/>
        <v>0</v>
      </c>
      <c r="J175">
        <f>IF(B175="PAL","",IFERROR(IF(C175="",VLOOKUP(B175,'General price list'!C:BA,MATCH("CBM",'General price list'!$C$20:$BA$20,0),FALSE)*D175,VLOOKUP(B175,'General price list'!C:BA,MATCH("CBM",'General price list'!$C$20:$BA$20,0),FALSE)*(G175*C175)),0))</f>
        <v>0</v>
      </c>
    </row>
    <row r="176" spans="2:10" ht="15" customHeight="1">
      <c r="B176" s="790" t="str">
        <f>IF(B175="PAL","",'General price list'!C196)</f>
        <v>R100M</v>
      </c>
      <c r="C176" s="1" t="str">
        <f>IF(B176="PAL","",IFERROR(VLOOKUP(B176,'General price list'!C:BA,MATCH("PAL",'General price list'!$C$20:$BA$20,0),FALSE),""))</f>
        <v/>
      </c>
      <c r="D176" s="1">
        <f>IF(B176="PAL","",IFERROR(VLOOKUP(B176,'General price list'!C:BA,MATCH("OBJ",'General price list'!$C$20:$BA$20,0),FALSE),""))</f>
        <v>0</v>
      </c>
      <c r="E176" s="1">
        <f t="shared" si="26"/>
        <v>0</v>
      </c>
      <c r="F176" s="1">
        <f t="shared" si="27"/>
        <v>0</v>
      </c>
      <c r="G176" s="1">
        <f t="shared" si="28"/>
        <v>0</v>
      </c>
      <c r="H176" s="1">
        <f t="shared" si="29"/>
        <v>0</v>
      </c>
      <c r="I176" s="1">
        <f t="shared" si="30"/>
        <v>0</v>
      </c>
      <c r="J176">
        <f>IF(B176="PAL","",IFERROR(IF(C176="",VLOOKUP(B176,'General price list'!C:BA,MATCH("CBM",'General price list'!$C$20:$BA$20,0),FALSE)*D176,VLOOKUP(B176,'General price list'!C:BA,MATCH("CBM",'General price list'!$C$20:$BA$20,0),FALSE)*(G176*C176)),0))</f>
        <v>0</v>
      </c>
    </row>
    <row r="177" spans="2:10" ht="15" customHeight="1">
      <c r="B177" s="790">
        <f>IF(B176="PAL","",'General price list'!C197)</f>
        <v>0</v>
      </c>
      <c r="C177" s="1" t="str">
        <f>IF(B177="PAL","",IFERROR(VLOOKUP(B177,'General price list'!C:BA,MATCH("PAL",'General price list'!$C$20:$BA$20,0),FALSE),""))</f>
        <v/>
      </c>
      <c r="D177" s="1" t="str">
        <f>IF(B177="PAL","",IFERROR(VLOOKUP(B177,'General price list'!C:BA,MATCH("OBJ",'General price list'!$C$20:$BA$20,0),FALSE),""))</f>
        <v/>
      </c>
      <c r="E177" s="1">
        <f t="shared" si="26"/>
        <v>0</v>
      </c>
      <c r="F177" s="1">
        <f t="shared" si="27"/>
        <v>0</v>
      </c>
      <c r="G177" s="1">
        <f t="shared" si="28"/>
        <v>0</v>
      </c>
      <c r="H177" s="1">
        <f t="shared" si="29"/>
        <v>0</v>
      </c>
      <c r="I177" s="1">
        <f t="shared" si="30"/>
        <v>0</v>
      </c>
      <c r="J177">
        <f>IF(B177="PAL","",IFERROR(IF(C177="",VLOOKUP(B177,'General price list'!C:BA,MATCH("CBM",'General price list'!$C$20:$BA$20,0),FALSE)*D177,VLOOKUP(B177,'General price list'!C:BA,MATCH("CBM",'General price list'!$C$20:$BA$20,0),FALSE)*(G177*C177)),0))</f>
        <v>0</v>
      </c>
    </row>
    <row r="178" spans="2:10" ht="15" customHeight="1">
      <c r="B178" s="790" t="str">
        <f>IF(B177="PAL","",'General price list'!C198)</f>
        <v>SS14D</v>
      </c>
      <c r="C178" s="1" t="str">
        <f>IF(B178="PAL","",IFERROR(VLOOKUP(B178,'General price list'!C:BA,MATCH("PAL",'General price list'!$C$20:$BA$20,0),FALSE),""))</f>
        <v/>
      </c>
      <c r="D178" s="1">
        <f>IF(B178="PAL","",IFERROR(VLOOKUP(B178,'General price list'!C:BA,MATCH("OBJ",'General price list'!$C$20:$BA$20,0),FALSE),""))</f>
        <v>0</v>
      </c>
      <c r="E178" s="1">
        <f t="shared" si="26"/>
        <v>0</v>
      </c>
      <c r="F178" s="1">
        <f t="shared" si="27"/>
        <v>0</v>
      </c>
      <c r="G178" s="1">
        <f t="shared" si="28"/>
        <v>0</v>
      </c>
      <c r="H178" s="1">
        <f t="shared" si="29"/>
        <v>0</v>
      </c>
      <c r="I178" s="1">
        <f t="shared" si="30"/>
        <v>0</v>
      </c>
      <c r="J178">
        <f>IF(B178="PAL","",IFERROR(IF(C178="",VLOOKUP(B178,'General price list'!C:BA,MATCH("CBM",'General price list'!$C$20:$BA$20,0),FALSE)*D178,VLOOKUP(B178,'General price list'!C:BA,MATCH("CBM",'General price list'!$C$20:$BA$20,0),FALSE)*(G178*C178)),0))</f>
        <v>0</v>
      </c>
    </row>
    <row r="179" spans="2:10" ht="15" customHeight="1">
      <c r="B179" s="790" t="str">
        <f>IF(B178="PAL","",'General price list'!C199)</f>
        <v>SS20D</v>
      </c>
      <c r="C179" s="1" t="str">
        <f>IF(B179="PAL","",IFERROR(VLOOKUP(B179,'General price list'!C:BA,MATCH("PAL",'General price list'!$C$20:$BA$20,0),FALSE),""))</f>
        <v/>
      </c>
      <c r="D179" s="1">
        <f>IF(B179="PAL","",IFERROR(VLOOKUP(B179,'General price list'!C:BA,MATCH("OBJ",'General price list'!$C$20:$BA$20,0),FALSE),""))</f>
        <v>0</v>
      </c>
      <c r="E179" s="1">
        <f t="shared" si="26"/>
        <v>0</v>
      </c>
      <c r="F179" s="1">
        <f t="shared" si="27"/>
        <v>0</v>
      </c>
      <c r="G179" s="1">
        <f t="shared" si="28"/>
        <v>0</v>
      </c>
      <c r="H179" s="1">
        <f t="shared" si="29"/>
        <v>0</v>
      </c>
      <c r="I179" s="1">
        <f t="shared" si="30"/>
        <v>0</v>
      </c>
      <c r="J179">
        <f>IF(B179="PAL","",IFERROR(IF(C179="",VLOOKUP(B179,'General price list'!C:BA,MATCH("CBM",'General price list'!$C$20:$BA$20,0),FALSE)*D179,VLOOKUP(B179,'General price list'!C:BA,MATCH("CBM",'General price list'!$C$20:$BA$20,0),FALSE)*(G179*C179)),0))</f>
        <v>0</v>
      </c>
    </row>
    <row r="180" spans="2:10" ht="15" customHeight="1">
      <c r="B180" s="790" t="str">
        <f>IF(B179="PAL","",'General price list'!C200)</f>
        <v>SS20SIG14</v>
      </c>
      <c r="C180" s="1" t="str">
        <f>IF(B180="PAL","",IFERROR(VLOOKUP(B180,'General price list'!C:BA,MATCH("PAL",'General price list'!$C$20:$BA$20,0),FALSE),""))</f>
        <v/>
      </c>
      <c r="D180" s="1">
        <f>IF(B180="PAL","",IFERROR(VLOOKUP(B180,'General price list'!C:BA,MATCH("OBJ",'General price list'!$C$20:$BA$20,0),FALSE),""))</f>
        <v>0</v>
      </c>
      <c r="E180" s="1">
        <f t="shared" si="26"/>
        <v>0</v>
      </c>
      <c r="F180" s="1">
        <f t="shared" si="27"/>
        <v>0</v>
      </c>
      <c r="G180" s="1">
        <f t="shared" si="28"/>
        <v>0</v>
      </c>
      <c r="H180" s="1">
        <f t="shared" si="29"/>
        <v>0</v>
      </c>
      <c r="I180" s="1">
        <f t="shared" si="30"/>
        <v>0</v>
      </c>
      <c r="J180">
        <f>IF(B180="PAL","",IFERROR(IF(C180="",VLOOKUP(B180,'General price list'!C:BA,MATCH("CBM",'General price list'!$C$20:$BA$20,0),FALSE)*D180,VLOOKUP(B180,'General price list'!C:BA,MATCH("CBM",'General price list'!$C$20:$BA$20,0),FALSE)*(G180*C180)),0))</f>
        <v>0</v>
      </c>
    </row>
    <row r="181" spans="2:10" ht="15" customHeight="1">
      <c r="B181" s="790" t="str">
        <f>IF(B180="PAL","",'General price list'!C201)</f>
        <v>SS25SC</v>
      </c>
      <c r="C181" s="1" t="str">
        <f>IF(B181="PAL","",IFERROR(VLOOKUP(B181,'General price list'!C:BA,MATCH("PAL",'General price list'!$C$20:$BA$20,0),FALSE),""))</f>
        <v/>
      </c>
      <c r="D181" s="1">
        <f>IF(B181="PAL","",IFERROR(VLOOKUP(B181,'General price list'!C:BA,MATCH("OBJ",'General price list'!$C$20:$BA$20,0),FALSE),""))</f>
        <v>0</v>
      </c>
      <c r="E181" s="1">
        <f t="shared" si="26"/>
        <v>0</v>
      </c>
      <c r="F181" s="1">
        <f t="shared" si="27"/>
        <v>0</v>
      </c>
      <c r="G181" s="1">
        <f t="shared" si="28"/>
        <v>0</v>
      </c>
      <c r="H181" s="1">
        <f t="shared" si="29"/>
        <v>0</v>
      </c>
      <c r="I181" s="1">
        <f t="shared" si="30"/>
        <v>0</v>
      </c>
      <c r="J181">
        <f>IF(B181="PAL","",IFERROR(IF(C181="",VLOOKUP(B181,'General price list'!C:BA,MATCH("CBM",'General price list'!$C$20:$BA$20,0),FALSE)*D181,VLOOKUP(B181,'General price list'!C:BA,MATCH("CBM",'General price list'!$C$20:$BA$20,0),FALSE)*(G181*C181)),0))</f>
        <v>0</v>
      </c>
    </row>
    <row r="182" spans="2:10" ht="15" customHeight="1">
      <c r="B182" s="790" t="str">
        <f>IF(B181="PAL","",'General price list'!C202)</f>
        <v>SS25SIG14</v>
      </c>
      <c r="C182" s="1" t="str">
        <f>IF(B182="PAL","",IFERROR(VLOOKUP(B182,'General price list'!C:BA,MATCH("PAL",'General price list'!$C$20:$BA$20,0),FALSE),""))</f>
        <v/>
      </c>
      <c r="D182" s="1">
        <f>IF(B182="PAL","",IFERROR(VLOOKUP(B182,'General price list'!C:BA,MATCH("OBJ",'General price list'!$C$20:$BA$20,0),FALSE),""))</f>
        <v>0</v>
      </c>
      <c r="E182" s="1">
        <f t="shared" si="26"/>
        <v>0</v>
      </c>
      <c r="F182" s="1">
        <f t="shared" si="27"/>
        <v>0</v>
      </c>
      <c r="G182" s="1">
        <f t="shared" si="28"/>
        <v>0</v>
      </c>
      <c r="H182" s="1">
        <f t="shared" si="29"/>
        <v>0</v>
      </c>
      <c r="I182" s="1">
        <f t="shared" si="30"/>
        <v>0</v>
      </c>
      <c r="J182">
        <f>IF(B182="PAL","",IFERROR(IF(C182="",VLOOKUP(B182,'General price list'!C:BA,MATCH("CBM",'General price list'!$C$20:$BA$20,0),FALSE)*D182,VLOOKUP(B182,'General price list'!C:BA,MATCH("CBM",'General price list'!$C$20:$BA$20,0),FALSE)*(G182*C182)),0))</f>
        <v>0</v>
      </c>
    </row>
    <row r="183" spans="2:10" ht="15" customHeight="1">
      <c r="B183" s="790" t="str">
        <f>IF(B182="PAL","",'General price list'!C203)</f>
        <v>SS25DU14</v>
      </c>
      <c r="C183" s="1" t="str">
        <f>IF(B183="PAL","",IFERROR(VLOOKUP(B183,'General price list'!C:BA,MATCH("PAL",'General price list'!$C$20:$BA$20,0),FALSE),""))</f>
        <v/>
      </c>
      <c r="D183" s="1">
        <f>IF(B183="PAL","",IFERROR(VLOOKUP(B183,'General price list'!C:BA,MATCH("OBJ",'General price list'!$C$20:$BA$20,0),FALSE),""))</f>
        <v>0</v>
      </c>
      <c r="E183" s="1">
        <f t="shared" si="26"/>
        <v>0</v>
      </c>
      <c r="F183" s="1">
        <f t="shared" si="27"/>
        <v>0</v>
      </c>
      <c r="G183" s="1">
        <f t="shared" si="28"/>
        <v>0</v>
      </c>
      <c r="H183" s="1">
        <f t="shared" si="29"/>
        <v>0</v>
      </c>
      <c r="I183" s="1">
        <f t="shared" si="30"/>
        <v>0</v>
      </c>
      <c r="J183">
        <f>IF(B183="PAL","",IFERROR(IF(C183="",VLOOKUP(B183,'General price list'!C:BA,MATCH("CBM",'General price list'!$C$20:$BA$20,0),FALSE)*D183,VLOOKUP(B183,'General price list'!C:BA,MATCH("CBM",'General price list'!$C$20:$BA$20,0),FALSE)*(G183*C183)),0))</f>
        <v>0</v>
      </c>
    </row>
    <row r="184" spans="2:10" ht="15" customHeight="1">
      <c r="B184" s="790" t="str">
        <f>IF(B183="PAL","",'General price list'!C204)</f>
        <v>SS30A14</v>
      </c>
      <c r="C184" s="1" t="str">
        <f>IF(B184="PAL","",IFERROR(VLOOKUP(B184,'General price list'!C:BA,MATCH("PAL",'General price list'!$C$20:$BA$20,0),FALSE),""))</f>
        <v/>
      </c>
      <c r="D184" s="1">
        <f>IF(B184="PAL","",IFERROR(VLOOKUP(B184,'General price list'!C:BA,MATCH("OBJ",'General price list'!$C$20:$BA$20,0),FALSE),""))</f>
        <v>0</v>
      </c>
      <c r="E184" s="1">
        <f t="shared" si="26"/>
        <v>0</v>
      </c>
      <c r="F184" s="1">
        <f t="shared" si="27"/>
        <v>0</v>
      </c>
      <c r="G184" s="1">
        <f t="shared" si="28"/>
        <v>0</v>
      </c>
      <c r="H184" s="1">
        <f t="shared" si="29"/>
        <v>0</v>
      </c>
      <c r="I184" s="1">
        <f t="shared" si="30"/>
        <v>0</v>
      </c>
      <c r="J184">
        <f>IF(B184="PAL","",IFERROR(IF(C184="",VLOOKUP(B184,'General price list'!C:BA,MATCH("CBM",'General price list'!$C$20:$BA$20,0),FALSE)*D184,VLOOKUP(B184,'General price list'!C:BA,MATCH("CBM",'General price list'!$C$20:$BA$20,0),FALSE)*(G184*C184)),0))</f>
        <v>0</v>
      </c>
    </row>
    <row r="185" spans="2:10" ht="15" customHeight="1">
      <c r="B185" s="790" t="str">
        <f>IF(B184="PAL","",'General price list'!C205)</f>
        <v>SS30SIGF2</v>
      </c>
      <c r="C185" s="1" t="str">
        <f>IF(B185="PAL","",IFERROR(VLOOKUP(B185,'General price list'!C:BA,MATCH("PAL",'General price list'!$C$20:$BA$20,0),FALSE),""))</f>
        <v/>
      </c>
      <c r="D185" s="1">
        <f>IF(B185="PAL","",IFERROR(VLOOKUP(B185,'General price list'!C:BA,MATCH("OBJ",'General price list'!$C$20:$BA$20,0),FALSE),""))</f>
        <v>0</v>
      </c>
      <c r="E185" s="1">
        <f t="shared" si="26"/>
        <v>0</v>
      </c>
      <c r="F185" s="1">
        <f t="shared" si="27"/>
        <v>0</v>
      </c>
      <c r="G185" s="1">
        <f t="shared" si="28"/>
        <v>0</v>
      </c>
      <c r="H185" s="1">
        <f t="shared" si="29"/>
        <v>0</v>
      </c>
      <c r="I185" s="1">
        <f t="shared" si="30"/>
        <v>0</v>
      </c>
      <c r="J185">
        <f>IF(B185="PAL","",IFERROR(IF(C185="",VLOOKUP(B185,'General price list'!C:BA,MATCH("CBM",'General price list'!$C$20:$BA$20,0),FALSE)*D185,VLOOKUP(B185,'General price list'!C:BA,MATCH("CBM",'General price list'!$C$20:$BA$20,0),FALSE)*(G185*C185)),0))</f>
        <v>0</v>
      </c>
    </row>
    <row r="186" spans="2:10" ht="15" customHeight="1">
      <c r="B186" s="790">
        <f>IF(B185="PAL","",'General price list'!C206)</f>
        <v>0</v>
      </c>
      <c r="C186" s="1" t="str">
        <f>IF(B186="PAL","",IFERROR(VLOOKUP(B186,'General price list'!C:BA,MATCH("PAL",'General price list'!$C$20:$BA$20,0),FALSE),""))</f>
        <v/>
      </c>
      <c r="D186" s="1" t="str">
        <f>IF(B186="PAL","",IFERROR(VLOOKUP(B186,'General price list'!C:BA,MATCH("OBJ",'General price list'!$C$20:$BA$20,0),FALSE),""))</f>
        <v/>
      </c>
      <c r="E186" s="1">
        <f t="shared" si="26"/>
        <v>0</v>
      </c>
      <c r="F186" s="1">
        <f t="shared" si="27"/>
        <v>0</v>
      </c>
      <c r="G186" s="1">
        <f t="shared" si="28"/>
        <v>0</v>
      </c>
      <c r="H186" s="1">
        <f t="shared" si="29"/>
        <v>0</v>
      </c>
      <c r="I186" s="1">
        <f t="shared" si="30"/>
        <v>0</v>
      </c>
      <c r="J186">
        <f>IF(B186="PAL","",IFERROR(IF(C186="",VLOOKUP(B186,'General price list'!C:BA,MATCH("CBM",'General price list'!$C$20:$BA$20,0),FALSE)*D186,VLOOKUP(B186,'General price list'!C:BA,MATCH("CBM",'General price list'!$C$20:$BA$20,0),FALSE)*(G186*C186)),0))</f>
        <v>0</v>
      </c>
    </row>
    <row r="187" spans="2:10" ht="15" customHeight="1">
      <c r="B187" s="790" t="str">
        <f>IF(B186="PAL","",'General price list'!C207)</f>
        <v>SS30D</v>
      </c>
      <c r="C187" s="1" t="str">
        <f>IF(B187="PAL","",IFERROR(VLOOKUP(B187,'General price list'!C:BA,MATCH("PAL",'General price list'!$C$20:$BA$20,0),FALSE),""))</f>
        <v/>
      </c>
      <c r="D187" s="1">
        <f>IF(B187="PAL","",IFERROR(VLOOKUP(B187,'General price list'!C:BA,MATCH("OBJ",'General price list'!$C$20:$BA$20,0),FALSE),""))</f>
        <v>0</v>
      </c>
      <c r="E187" s="1">
        <f t="shared" si="26"/>
        <v>0</v>
      </c>
      <c r="F187" s="1">
        <f t="shared" si="27"/>
        <v>0</v>
      </c>
      <c r="G187" s="1">
        <f t="shared" si="28"/>
        <v>0</v>
      </c>
      <c r="H187" s="1">
        <f t="shared" si="29"/>
        <v>0</v>
      </c>
      <c r="I187" s="1">
        <f t="shared" si="30"/>
        <v>0</v>
      </c>
      <c r="J187">
        <f>IF(B187="PAL","",IFERROR(IF(C187="",VLOOKUP(B187,'General price list'!C:BA,MATCH("CBM",'General price list'!$C$20:$BA$20,0),FALSE)*D187,VLOOKUP(B187,'General price list'!C:BA,MATCH("CBM",'General price list'!$C$20:$BA$20,0),FALSE)*(G187*C187)),0))</f>
        <v>0</v>
      </c>
    </row>
    <row r="188" spans="2:10" ht="15" customHeight="1">
      <c r="B188" s="790" t="str">
        <f>IF(B187="PAL","",'General price list'!C208)</f>
        <v>SS30A</v>
      </c>
      <c r="C188" s="1" t="str">
        <f>IF(B188="PAL","",IFERROR(VLOOKUP(B188,'General price list'!C:BA,MATCH("PAL",'General price list'!$C$20:$BA$20,0),FALSE),""))</f>
        <v/>
      </c>
      <c r="D188" s="1">
        <f>IF(B188="PAL","",IFERROR(VLOOKUP(B188,'General price list'!C:BA,MATCH("OBJ",'General price list'!$C$20:$BA$20,0),FALSE),""))</f>
        <v>0</v>
      </c>
      <c r="E188" s="1">
        <f t="shared" si="26"/>
        <v>0</v>
      </c>
      <c r="F188" s="1">
        <f t="shared" si="27"/>
        <v>0</v>
      </c>
      <c r="G188" s="1">
        <f t="shared" si="28"/>
        <v>0</v>
      </c>
      <c r="H188" s="1">
        <f t="shared" si="29"/>
        <v>0</v>
      </c>
      <c r="I188" s="1">
        <f t="shared" si="30"/>
        <v>0</v>
      </c>
      <c r="J188">
        <f>IF(B188="PAL","",IFERROR(IF(C188="",VLOOKUP(B188,'General price list'!C:BA,MATCH("CBM",'General price list'!$C$20:$BA$20,0),FALSE)*D188,VLOOKUP(B188,'General price list'!C:BA,MATCH("CBM",'General price list'!$C$20:$BA$20,0),FALSE)*(G188*C188)),0))</f>
        <v>0</v>
      </c>
    </row>
    <row r="189" spans="2:10" ht="15" customHeight="1">
      <c r="B189" s="790" t="str">
        <f>IF(B188="PAL","",'General price list'!C209)</f>
        <v>SS37K</v>
      </c>
      <c r="C189" s="1" t="str">
        <f>IF(B189="PAL","",IFERROR(VLOOKUP(B189,'General price list'!C:BA,MATCH("PAL",'General price list'!$C$20:$BA$20,0),FALSE),""))</f>
        <v/>
      </c>
      <c r="D189" s="1">
        <f>IF(B189="PAL","",IFERROR(VLOOKUP(B189,'General price list'!C:BA,MATCH("OBJ",'General price list'!$C$20:$BA$20,0),FALSE),""))</f>
        <v>0</v>
      </c>
      <c r="E189" s="1">
        <f t="shared" si="26"/>
        <v>0</v>
      </c>
      <c r="F189" s="1">
        <f t="shared" si="27"/>
        <v>0</v>
      </c>
      <c r="G189" s="1">
        <f t="shared" si="28"/>
        <v>0</v>
      </c>
      <c r="H189" s="1">
        <f t="shared" si="29"/>
        <v>0</v>
      </c>
      <c r="I189" s="1">
        <f t="shared" si="30"/>
        <v>0</v>
      </c>
      <c r="J189">
        <f>IF(B189="PAL","",IFERROR(IF(C189="",VLOOKUP(B189,'General price list'!C:BA,MATCH("CBM",'General price list'!$C$20:$BA$20,0),FALSE)*D189,VLOOKUP(B189,'General price list'!C:BA,MATCH("CBM",'General price list'!$C$20:$BA$20,0),FALSE)*(G189*C189)),0))</f>
        <v>0</v>
      </c>
    </row>
    <row r="190" spans="2:10" ht="15" customHeight="1">
      <c r="B190" s="790" t="str">
        <f>IF(B189="PAL","",'General price list'!C210)</f>
        <v>SS50K</v>
      </c>
      <c r="C190" s="1" t="str">
        <f>IF(B190="PAL","",IFERROR(VLOOKUP(B190,'General price list'!C:BA,MATCH("PAL",'General price list'!$C$20:$BA$20,0),FALSE),""))</f>
        <v/>
      </c>
      <c r="D190" s="1">
        <f>IF(B190="PAL","",IFERROR(VLOOKUP(B190,'General price list'!C:BA,MATCH("OBJ",'General price list'!$C$20:$BA$20,0),FALSE),""))</f>
        <v>0</v>
      </c>
      <c r="E190" s="1">
        <f t="shared" si="26"/>
        <v>0</v>
      </c>
      <c r="F190" s="1">
        <f t="shared" si="27"/>
        <v>0</v>
      </c>
      <c r="G190" s="1">
        <f t="shared" si="28"/>
        <v>0</v>
      </c>
      <c r="H190" s="1">
        <f t="shared" si="29"/>
        <v>0</v>
      </c>
      <c r="I190" s="1">
        <f t="shared" si="30"/>
        <v>0</v>
      </c>
      <c r="J190">
        <f>IF(B190="PAL","",IFERROR(IF(C190="",VLOOKUP(B190,'General price list'!C:BA,MATCH("CBM",'General price list'!$C$20:$BA$20,0),FALSE)*D190,VLOOKUP(B190,'General price list'!C:BA,MATCH("CBM",'General price list'!$C$20:$BA$20,0),FALSE)*(G190*C190)),0))</f>
        <v>0</v>
      </c>
    </row>
    <row r="191" spans="2:10" ht="15" customHeight="1">
      <c r="B191" s="790">
        <f>IF(B190="PAL","",'General price list'!C211)</f>
        <v>0</v>
      </c>
      <c r="C191" s="1" t="str">
        <f>IF(B191="PAL","",IFERROR(VLOOKUP(B191,'General price list'!C:BA,MATCH("PAL",'General price list'!$C$20:$BA$20,0),FALSE),""))</f>
        <v/>
      </c>
      <c r="D191" s="1" t="str">
        <f>IF(B191="PAL","",IFERROR(VLOOKUP(B191,'General price list'!C:BA,MATCH("OBJ",'General price list'!$C$20:$BA$20,0),FALSE),""))</f>
        <v/>
      </c>
      <c r="E191" s="1">
        <f t="shared" si="26"/>
        <v>0</v>
      </c>
      <c r="F191" s="1">
        <f t="shared" si="27"/>
        <v>0</v>
      </c>
      <c r="G191" s="1">
        <f t="shared" si="28"/>
        <v>0</v>
      </c>
      <c r="H191" s="1">
        <f t="shared" si="29"/>
        <v>0</v>
      </c>
      <c r="I191" s="1">
        <f t="shared" si="30"/>
        <v>0</v>
      </c>
      <c r="J191">
        <f>IF(B191="PAL","",IFERROR(IF(C191="",VLOOKUP(B191,'General price list'!C:BA,MATCH("CBM",'General price list'!$C$20:$BA$20,0),FALSE)*D191,VLOOKUP(B191,'General price list'!C:BA,MATCH("CBM",'General price list'!$C$20:$BA$20,0),FALSE)*(G191*C191)),0))</f>
        <v>0</v>
      </c>
    </row>
    <row r="192" spans="2:10" ht="15" customHeight="1">
      <c r="B192" s="790" t="str">
        <f>IF(B191="PAL","",'General price list'!C212)</f>
        <v>SS50NO14</v>
      </c>
      <c r="C192" s="1" t="str">
        <f>IF(B192="PAL","",IFERROR(VLOOKUP(B192,'General price list'!C:BA,MATCH("PAL",'General price list'!$C$20:$BA$20,0),FALSE),""))</f>
        <v/>
      </c>
      <c r="D192" s="1">
        <f>IF(B192="PAL","",IFERROR(VLOOKUP(B192,'General price list'!C:BA,MATCH("OBJ",'General price list'!$C$20:$BA$20,0),FALSE),""))</f>
        <v>0</v>
      </c>
      <c r="E192" s="1">
        <f t="shared" si="26"/>
        <v>0</v>
      </c>
      <c r="F192" s="1">
        <f t="shared" si="27"/>
        <v>0</v>
      </c>
      <c r="G192" s="1">
        <f t="shared" si="28"/>
        <v>0</v>
      </c>
      <c r="H192" s="1">
        <f t="shared" si="29"/>
        <v>0</v>
      </c>
      <c r="I192" s="1">
        <f t="shared" si="30"/>
        <v>0</v>
      </c>
      <c r="J192">
        <f>IF(B192="PAL","",IFERROR(IF(C192="",VLOOKUP(B192,'General price list'!C:BA,MATCH("CBM",'General price list'!$C$20:$BA$20,0),FALSE)*D192,VLOOKUP(B192,'General price list'!C:BA,MATCH("CBM",'General price list'!$C$20:$BA$20,0),FALSE)*(G192*C192)),0))</f>
        <v>0</v>
      </c>
    </row>
    <row r="193" spans="2:10" ht="15" customHeight="1">
      <c r="B193" s="790" t="str">
        <f>IF(B192="PAL","",'General price list'!C213)</f>
        <v>SS50DU14</v>
      </c>
      <c r="C193" s="1" t="str">
        <f>IF(B193="PAL","",IFERROR(VLOOKUP(B193,'General price list'!C:BA,MATCH("PAL",'General price list'!$C$20:$BA$20,0),FALSE),""))</f>
        <v/>
      </c>
      <c r="D193" s="1">
        <f>IF(B193="PAL","",IFERROR(VLOOKUP(B193,'General price list'!C:BA,MATCH("OBJ",'General price list'!$C$20:$BA$20,0),FALSE),""))</f>
        <v>0</v>
      </c>
      <c r="E193" s="1">
        <f t="shared" si="26"/>
        <v>0</v>
      </c>
      <c r="F193" s="1">
        <f t="shared" si="27"/>
        <v>0</v>
      </c>
      <c r="G193" s="1">
        <f t="shared" si="28"/>
        <v>0</v>
      </c>
      <c r="H193" s="1">
        <f t="shared" si="29"/>
        <v>0</v>
      </c>
      <c r="I193" s="1">
        <f t="shared" si="30"/>
        <v>0</v>
      </c>
      <c r="J193">
        <f>IF(B193="PAL","",IFERROR(IF(C193="",VLOOKUP(B193,'General price list'!C:BA,MATCH("CBM",'General price list'!$C$20:$BA$20,0),FALSE)*D193,VLOOKUP(B193,'General price list'!C:BA,MATCH("CBM",'General price list'!$C$20:$BA$20,0),FALSE)*(G193*C193)),0))</f>
        <v>0</v>
      </c>
    </row>
    <row r="194" spans="2:10" ht="15" customHeight="1">
      <c r="B194" s="790">
        <f>IF(B193="PAL","",'General price list'!C214)</f>
        <v>0</v>
      </c>
      <c r="C194" s="1" t="str">
        <f>IF(B194="PAL","",IFERROR(VLOOKUP(B194,'General price list'!C:BA,MATCH("PAL",'General price list'!$C$20:$BA$20,0),FALSE),""))</f>
        <v/>
      </c>
      <c r="D194" s="1" t="str">
        <f>IF(B194="PAL","",IFERROR(VLOOKUP(B194,'General price list'!C:BA,MATCH("OBJ",'General price list'!$C$20:$BA$20,0),FALSE),""))</f>
        <v/>
      </c>
      <c r="E194" s="1">
        <f t="shared" si="26"/>
        <v>0</v>
      </c>
      <c r="F194" s="1">
        <f t="shared" si="27"/>
        <v>0</v>
      </c>
      <c r="G194" s="1">
        <f t="shared" si="28"/>
        <v>0</v>
      </c>
      <c r="H194" s="1">
        <f t="shared" si="29"/>
        <v>0</v>
      </c>
      <c r="I194" s="1">
        <f t="shared" si="30"/>
        <v>0</v>
      </c>
      <c r="J194">
        <f>IF(B194="PAL","",IFERROR(IF(C194="",VLOOKUP(B194,'General price list'!C:BA,MATCH("CBM",'General price list'!$C$20:$BA$20,0),FALSE)*D194,VLOOKUP(B194,'General price list'!C:BA,MATCH("CBM",'General price list'!$C$20:$BA$20,0),FALSE)*(G194*C194)),0))</f>
        <v>0</v>
      </c>
    </row>
    <row r="195" spans="2:10" ht="15" customHeight="1">
      <c r="B195" s="790" t="str">
        <f>IF(B194="PAL","",'General price list'!C215)</f>
        <v>C320D</v>
      </c>
      <c r="C195" s="1" t="str">
        <f>IF(B195="PAL","",IFERROR(VLOOKUP(B195,'General price list'!C:BA,MATCH("PAL",'General price list'!$C$20:$BA$20,0),FALSE),""))</f>
        <v/>
      </c>
      <c r="D195" s="1">
        <f>IF(B195="PAL","",IFERROR(VLOOKUP(B195,'General price list'!C:BA,MATCH("OBJ",'General price list'!$C$20:$BA$20,0),FALSE),""))</f>
        <v>0</v>
      </c>
      <c r="E195" s="1">
        <f t="shared" si="26"/>
        <v>0</v>
      </c>
      <c r="F195" s="1">
        <f t="shared" si="27"/>
        <v>0</v>
      </c>
      <c r="G195" s="1">
        <f t="shared" si="28"/>
        <v>0</v>
      </c>
      <c r="H195" s="1">
        <f t="shared" si="29"/>
        <v>0</v>
      </c>
      <c r="I195" s="1">
        <f t="shared" si="30"/>
        <v>0</v>
      </c>
      <c r="J195">
        <f>IF(B195="PAL","",IFERROR(IF(C195="",VLOOKUP(B195,'General price list'!C:BA,MATCH("CBM",'General price list'!$C$20:$BA$20,0),FALSE)*D195,VLOOKUP(B195,'General price list'!C:BA,MATCH("CBM",'General price list'!$C$20:$BA$20,0),FALSE)*(G195*C195)),0))</f>
        <v>0</v>
      </c>
    </row>
    <row r="196" spans="2:10" ht="15" customHeight="1">
      <c r="B196" s="790" t="str">
        <f>IF(B195="PAL","",'General price list'!C216)</f>
        <v>C320B</v>
      </c>
      <c r="C196" s="1" t="str">
        <f>IF(B196="PAL","",IFERROR(VLOOKUP(B196,'General price list'!C:BA,MATCH("PAL",'General price list'!$C$20:$BA$20,0),FALSE),""))</f>
        <v/>
      </c>
      <c r="D196" s="1">
        <f>IF(B196="PAL","",IFERROR(VLOOKUP(B196,'General price list'!C:BA,MATCH("OBJ",'General price list'!$C$20:$BA$20,0),FALSE),""))</f>
        <v>0</v>
      </c>
      <c r="E196" s="1">
        <f t="shared" si="26"/>
        <v>0</v>
      </c>
      <c r="F196" s="1">
        <f t="shared" si="27"/>
        <v>0</v>
      </c>
      <c r="G196" s="1">
        <f t="shared" si="28"/>
        <v>0</v>
      </c>
      <c r="H196" s="1">
        <f t="shared" si="29"/>
        <v>0</v>
      </c>
      <c r="I196" s="1">
        <f t="shared" si="30"/>
        <v>0</v>
      </c>
      <c r="J196">
        <f>IF(B196="PAL","",IFERROR(IF(C196="",VLOOKUP(B196,'General price list'!C:BA,MATCH("CBM",'General price list'!$C$20:$BA$20,0),FALSE)*D196,VLOOKUP(B196,'General price list'!C:BA,MATCH("CBM",'General price list'!$C$20:$BA$20,0),FALSE)*(G196*C196)),0))</f>
        <v>0</v>
      </c>
    </row>
    <row r="197" spans="2:10" ht="15" customHeight="1">
      <c r="B197" s="790" t="str">
        <f>IF(B196="PAL","",'General price list'!C217)</f>
        <v>C320X14</v>
      </c>
      <c r="C197" s="1" t="str">
        <f>IF(B197="PAL","",IFERROR(VLOOKUP(B197,'General price list'!C:BA,MATCH("PAL",'General price list'!$C$20:$BA$20,0),FALSE),""))</f>
        <v/>
      </c>
      <c r="D197" s="1">
        <f>IF(B197="PAL","",IFERROR(VLOOKUP(B197,'General price list'!C:BA,MATCH("OBJ",'General price list'!$C$20:$BA$20,0),FALSE),""))</f>
        <v>0</v>
      </c>
      <c r="E197" s="1">
        <f t="shared" si="26"/>
        <v>0</v>
      </c>
      <c r="F197" s="1">
        <f t="shared" si="27"/>
        <v>0</v>
      </c>
      <c r="G197" s="1">
        <f t="shared" si="28"/>
        <v>0</v>
      </c>
      <c r="H197" s="1">
        <f t="shared" si="29"/>
        <v>0</v>
      </c>
      <c r="I197" s="1">
        <f t="shared" si="30"/>
        <v>0</v>
      </c>
      <c r="J197">
        <f>IF(B197="PAL","",IFERROR(IF(C197="",VLOOKUP(B197,'General price list'!C:BA,MATCH("CBM",'General price list'!$C$20:$BA$20,0),FALSE)*D197,VLOOKUP(B197,'General price list'!C:BA,MATCH("CBM",'General price list'!$C$20:$BA$20,0),FALSE)*(G197*C197)),0))</f>
        <v>0</v>
      </c>
    </row>
    <row r="198" spans="2:10" ht="15" customHeight="1">
      <c r="B198" s="790">
        <f>IF(B197="PAL","",'General price list'!C218)</f>
        <v>0</v>
      </c>
      <c r="C198" s="1" t="str">
        <f>IF(B198="PAL","",IFERROR(VLOOKUP(B198,'General price list'!C:BA,MATCH("PAL",'General price list'!$C$20:$BA$20,0),FALSE),""))</f>
        <v/>
      </c>
      <c r="D198" s="1" t="str">
        <f>IF(B198="PAL","",IFERROR(VLOOKUP(B198,'General price list'!C:BA,MATCH("OBJ",'General price list'!$C$20:$BA$20,0),FALSE),""))</f>
        <v/>
      </c>
      <c r="E198" s="1">
        <f t="shared" si="26"/>
        <v>0</v>
      </c>
      <c r="F198" s="1">
        <f t="shared" si="27"/>
        <v>0</v>
      </c>
      <c r="G198" s="1">
        <f t="shared" si="28"/>
        <v>0</v>
      </c>
      <c r="H198" s="1">
        <f t="shared" si="29"/>
        <v>0</v>
      </c>
      <c r="I198" s="1">
        <f t="shared" si="30"/>
        <v>0</v>
      </c>
      <c r="J198">
        <f>IF(B198="PAL","",IFERROR(IF(C198="",VLOOKUP(B198,'General price list'!C:BA,MATCH("CBM",'General price list'!$C$20:$BA$20,0),FALSE)*D198,VLOOKUP(B198,'General price list'!C:BA,MATCH("CBM",'General price list'!$C$20:$BA$20,0),FALSE)*(G198*C198)),0))</f>
        <v>0</v>
      </c>
    </row>
    <row r="199" spans="2:10" ht="15" customHeight="1">
      <c r="B199" s="790" t="str">
        <f>IF(B198="PAL","",'General price list'!C219)</f>
        <v>C330D</v>
      </c>
      <c r="C199" s="1" t="str">
        <f>IF(B199="PAL","",IFERROR(VLOOKUP(B199,'General price list'!C:BA,MATCH("PAL",'General price list'!$C$20:$BA$20,0),FALSE),""))</f>
        <v/>
      </c>
      <c r="D199" s="1">
        <f>IF(B199="PAL","",IFERROR(VLOOKUP(B199,'General price list'!C:BA,MATCH("OBJ",'General price list'!$C$20:$BA$20,0),FALSE),""))</f>
        <v>0</v>
      </c>
      <c r="E199" s="1">
        <f t="shared" si="26"/>
        <v>0</v>
      </c>
      <c r="F199" s="1">
        <f t="shared" si="27"/>
        <v>0</v>
      </c>
      <c r="G199" s="1">
        <f t="shared" si="28"/>
        <v>0</v>
      </c>
      <c r="H199" s="1">
        <f t="shared" si="29"/>
        <v>0</v>
      </c>
      <c r="I199" s="1">
        <f t="shared" si="30"/>
        <v>0</v>
      </c>
      <c r="J199">
        <f>IF(B199="PAL","",IFERROR(IF(C199="",VLOOKUP(B199,'General price list'!C:BA,MATCH("CBM",'General price list'!$C$20:$BA$20,0),FALSE)*D199,VLOOKUP(B199,'General price list'!C:BA,MATCH("CBM",'General price list'!$C$20:$BA$20,0),FALSE)*(G199*C199)),0))</f>
        <v>0</v>
      </c>
    </row>
    <row r="200" spans="2:10" ht="15" customHeight="1">
      <c r="B200" s="790" t="str">
        <f>IF(B199="PAL","",'General price list'!C220)</f>
        <v>C330B</v>
      </c>
      <c r="C200" s="1" t="str">
        <f>IF(B200="PAL","",IFERROR(VLOOKUP(B200,'General price list'!C:BA,MATCH("PAL",'General price list'!$C$20:$BA$20,0),FALSE),""))</f>
        <v/>
      </c>
      <c r="D200" s="1">
        <f>IF(B200="PAL","",IFERROR(VLOOKUP(B200,'General price list'!C:BA,MATCH("OBJ",'General price list'!$C$20:$BA$20,0),FALSE),""))</f>
        <v>0</v>
      </c>
      <c r="E200" s="1">
        <f t="shared" si="26"/>
        <v>0</v>
      </c>
      <c r="F200" s="1">
        <f t="shared" si="27"/>
        <v>0</v>
      </c>
      <c r="G200" s="1">
        <f t="shared" si="28"/>
        <v>0</v>
      </c>
      <c r="H200" s="1">
        <f t="shared" si="29"/>
        <v>0</v>
      </c>
      <c r="I200" s="1">
        <f t="shared" si="30"/>
        <v>0</v>
      </c>
      <c r="J200">
        <f>IF(B200="PAL","",IFERROR(IF(C200="",VLOOKUP(B200,'General price list'!C:BA,MATCH("CBM",'General price list'!$C$20:$BA$20,0),FALSE)*D200,VLOOKUP(B200,'General price list'!C:BA,MATCH("CBM",'General price list'!$C$20:$BA$20,0),FALSE)*(G200*C200)),0))</f>
        <v>0</v>
      </c>
    </row>
    <row r="201" spans="2:10" ht="15" customHeight="1">
      <c r="B201" s="790">
        <f>IF(B200="PAL","",'General price list'!C221)</f>
        <v>0</v>
      </c>
      <c r="C201" s="1" t="str">
        <f>IF(B201="PAL","",IFERROR(VLOOKUP(B201,'General price list'!C:BA,MATCH("PAL",'General price list'!$C$20:$BA$20,0),FALSE),""))</f>
        <v/>
      </c>
      <c r="D201" s="1" t="str">
        <f>IF(B201="PAL","",IFERROR(VLOOKUP(B201,'General price list'!C:BA,MATCH("OBJ",'General price list'!$C$20:$BA$20,0),FALSE),""))</f>
        <v/>
      </c>
      <c r="E201" s="1">
        <f t="shared" si="26"/>
        <v>0</v>
      </c>
      <c r="F201" s="1">
        <f t="shared" si="27"/>
        <v>0</v>
      </c>
      <c r="G201" s="1">
        <f t="shared" si="28"/>
        <v>0</v>
      </c>
      <c r="H201" s="1">
        <f t="shared" si="29"/>
        <v>0</v>
      </c>
      <c r="I201" s="1">
        <f t="shared" si="30"/>
        <v>0</v>
      </c>
      <c r="J201">
        <f>IF(B201="PAL","",IFERROR(IF(C201="",VLOOKUP(B201,'General price list'!C:BA,MATCH("CBM",'General price list'!$C$20:$BA$20,0),FALSE)*D201,VLOOKUP(B201,'General price list'!C:BA,MATCH("CBM",'General price list'!$C$20:$BA$20,0),FALSE)*(G201*C201)),0))</f>
        <v>0</v>
      </c>
    </row>
    <row r="202" spans="2:10" ht="15" customHeight="1">
      <c r="B202" s="790" t="str">
        <f>IF(B201="PAL","",'General price list'!C222)</f>
        <v>CS2BB</v>
      </c>
      <c r="C202" s="1" t="str">
        <f>IF(B202="PAL","",IFERROR(VLOOKUP(B202,'General price list'!C:BA,MATCH("PAL",'General price list'!$C$20:$BA$20,0),FALSE),""))</f>
        <v/>
      </c>
      <c r="D202" s="1">
        <f>IF(B202="PAL","",IFERROR(VLOOKUP(B202,'General price list'!C:BA,MATCH("OBJ",'General price list'!$C$20:$BA$20,0),FALSE),""))</f>
        <v>0</v>
      </c>
      <c r="E202" s="1">
        <f t="shared" si="26"/>
        <v>0</v>
      </c>
      <c r="F202" s="1">
        <f t="shared" si="27"/>
        <v>0</v>
      </c>
      <c r="G202" s="1">
        <f t="shared" si="28"/>
        <v>0</v>
      </c>
      <c r="H202" s="1">
        <f t="shared" si="29"/>
        <v>0</v>
      </c>
      <c r="I202" s="1">
        <f t="shared" si="30"/>
        <v>0</v>
      </c>
      <c r="J202">
        <f>IF(B202="PAL","",IFERROR(IF(C202="",VLOOKUP(B202,'General price list'!C:BA,MATCH("CBM",'General price list'!$C$20:$BA$20,0),FALSE)*D202,VLOOKUP(B202,'General price list'!C:BA,MATCH("CBM",'General price list'!$C$20:$BA$20,0),FALSE)*(G202*C202)),0))</f>
        <v>0</v>
      </c>
    </row>
    <row r="203" spans="2:10" ht="15" customHeight="1">
      <c r="B203" s="790">
        <f>IF(B202="PAL","",'General price list'!C223)</f>
        <v>0</v>
      </c>
      <c r="C203" s="1" t="str">
        <f>IF(B203="PAL","",IFERROR(VLOOKUP(B203,'General price list'!C:BA,MATCH("PAL",'General price list'!$C$20:$BA$20,0),FALSE),""))</f>
        <v/>
      </c>
      <c r="D203" s="1" t="str">
        <f>IF(B203="PAL","",IFERROR(VLOOKUP(B203,'General price list'!C:BA,MATCH("OBJ",'General price list'!$C$20:$BA$20,0),FALSE),""))</f>
        <v/>
      </c>
      <c r="E203" s="1">
        <f t="shared" si="26"/>
        <v>0</v>
      </c>
      <c r="F203" s="1">
        <f t="shared" si="27"/>
        <v>0</v>
      </c>
      <c r="G203" s="1">
        <f t="shared" si="28"/>
        <v>0</v>
      </c>
      <c r="H203" s="1">
        <f t="shared" si="29"/>
        <v>0</v>
      </c>
      <c r="I203" s="1">
        <f t="shared" si="30"/>
        <v>0</v>
      </c>
      <c r="J203">
        <f>IF(B203="PAL","",IFERROR(IF(C203="",VLOOKUP(B203,'General price list'!C:BA,MATCH("CBM",'General price list'!$C$20:$BA$20,0),FALSE)*D203,VLOOKUP(B203,'General price list'!C:BA,MATCH("CBM",'General price list'!$C$20:$BA$20,0),FALSE)*(G203*C203)),0))</f>
        <v>0</v>
      </c>
    </row>
    <row r="204" spans="2:10" ht="15" customHeight="1">
      <c r="B204" s="790" t="str">
        <f>IF(B203="PAL","",'General price list'!C224)</f>
        <v>K0203BP</v>
      </c>
      <c r="C204" s="1" t="str">
        <f>IF(B204="PAL","",IFERROR(VLOOKUP(B204,'General price list'!C:BA,MATCH("PAL",'General price list'!$C$20:$BA$20,0),FALSE),""))</f>
        <v/>
      </c>
      <c r="D204" s="1">
        <f>IF(B204="PAL","",IFERROR(VLOOKUP(B204,'General price list'!C:BA,MATCH("OBJ",'General price list'!$C$20:$BA$20,0),FALSE),""))</f>
        <v>0</v>
      </c>
      <c r="E204" s="1">
        <f t="shared" ref="E204:E267" si="31">IF(B204="PAL","",IFERROR(D204/C204,0))</f>
        <v>0</v>
      </c>
      <c r="F204" s="1">
        <f t="shared" ref="F204:F267" si="32">IF(B204="PAL","",IFERROR(FLOOR(IF(E204-1&lt;0,0,E204),1),0))</f>
        <v>0</v>
      </c>
      <c r="G204" s="1">
        <f t="shared" ref="G204:G267" si="33">IF(B204="PAL","",IFERROR(IF(H204&gt;E204,F204-E204,E204-F204),0))</f>
        <v>0</v>
      </c>
      <c r="H204" s="1">
        <f t="shared" ref="H204:H267" si="34">IF(B204="PAL","",IFERROR(IF(E204=0,0,F204),0))</f>
        <v>0</v>
      </c>
      <c r="I204" s="1">
        <f t="shared" ref="I204:I267" si="35">IF(B204="PAL","",IFERROR(IF(D204=0,0,IF(F204=0,(D204*nextVK)+(prvniVK-nextVK),(G204*C204*nextVK)+(F204*PALzKoje))),0))</f>
        <v>0</v>
      </c>
      <c r="J204">
        <f>IF(B204="PAL","",IFERROR(IF(C204="",VLOOKUP(B204,'General price list'!C:BA,MATCH("CBM",'General price list'!$C$20:$BA$20,0),FALSE)*D204,VLOOKUP(B204,'General price list'!C:BA,MATCH("CBM",'General price list'!$C$20:$BA$20,0),FALSE)*(G204*C204)),0))</f>
        <v>0</v>
      </c>
    </row>
    <row r="205" spans="2:10" ht="15" customHeight="1">
      <c r="B205" s="790" t="str">
        <f>IF(B204="PAL","",'General price list'!C225)</f>
        <v>P05DSP1</v>
      </c>
      <c r="C205" s="1" t="str">
        <f>IF(B205="PAL","",IFERROR(VLOOKUP(B205,'General price list'!C:BA,MATCH("PAL",'General price list'!$C$20:$BA$20,0),FALSE),""))</f>
        <v/>
      </c>
      <c r="D205" s="1">
        <f>IF(B205="PAL","",IFERROR(VLOOKUP(B205,'General price list'!C:BA,MATCH("OBJ",'General price list'!$C$20:$BA$20,0),FALSE),""))</f>
        <v>0</v>
      </c>
      <c r="E205" s="1">
        <f t="shared" si="31"/>
        <v>0</v>
      </c>
      <c r="F205" s="1">
        <f t="shared" si="32"/>
        <v>0</v>
      </c>
      <c r="G205" s="1">
        <f t="shared" si="33"/>
        <v>0</v>
      </c>
      <c r="H205" s="1">
        <f t="shared" si="34"/>
        <v>0</v>
      </c>
      <c r="I205" s="1">
        <f t="shared" si="35"/>
        <v>0</v>
      </c>
      <c r="J205">
        <f>IF(B205="PAL","",IFERROR(IF(C205="",VLOOKUP(B205,'General price list'!C:BA,MATCH("CBM",'General price list'!$C$20:$BA$20,0),FALSE)*D205,VLOOKUP(B205,'General price list'!C:BA,MATCH("CBM",'General price list'!$C$20:$BA$20,0),FALSE)*(G205*C205)),0))</f>
        <v>0</v>
      </c>
    </row>
    <row r="206" spans="2:10" ht="15" customHeight="1">
      <c r="B206" s="790" t="str">
        <f>IF(B205="PAL","",'General price list'!C226)</f>
        <v>P10D20SP1</v>
      </c>
      <c r="C206" s="1" t="str">
        <f>IF(B206="PAL","",IFERROR(VLOOKUP(B206,'General price list'!C:BA,MATCH("PAL",'General price list'!$C$20:$BA$20,0),FALSE),""))</f>
        <v/>
      </c>
      <c r="D206" s="1">
        <f>IF(B206="PAL","",IFERROR(VLOOKUP(B206,'General price list'!C:BA,MATCH("OBJ",'General price list'!$C$20:$BA$20,0),FALSE),""))</f>
        <v>0</v>
      </c>
      <c r="E206" s="1">
        <f t="shared" si="31"/>
        <v>0</v>
      </c>
      <c r="F206" s="1">
        <f t="shared" si="32"/>
        <v>0</v>
      </c>
      <c r="G206" s="1">
        <f t="shared" si="33"/>
        <v>0</v>
      </c>
      <c r="H206" s="1">
        <f t="shared" si="34"/>
        <v>0</v>
      </c>
      <c r="I206" s="1">
        <f t="shared" si="35"/>
        <v>0</v>
      </c>
      <c r="J206">
        <f>IF(B206="PAL","",IFERROR(IF(C206="",VLOOKUP(B206,'General price list'!C:BA,MATCH("CBM",'General price list'!$C$20:$BA$20,0),FALSE)*D206,VLOOKUP(B206,'General price list'!C:BA,MATCH("CBM",'General price list'!$C$20:$BA$20,0),FALSE)*(G206*C206)),0))</f>
        <v>0</v>
      </c>
    </row>
    <row r="207" spans="2:10" ht="15" customHeight="1">
      <c r="B207" s="790">
        <f>IF(B206="PAL","",'General price list'!C227)</f>
        <v>0</v>
      </c>
      <c r="C207" s="1" t="str">
        <f>IF(B207="PAL","",IFERROR(VLOOKUP(B207,'General price list'!C:BA,MATCH("PAL",'General price list'!$C$20:$BA$20,0),FALSE),""))</f>
        <v/>
      </c>
      <c r="D207" s="1" t="str">
        <f>IF(B207="PAL","",IFERROR(VLOOKUP(B207,'General price list'!C:BA,MATCH("OBJ",'General price list'!$C$20:$BA$20,0),FALSE),""))</f>
        <v/>
      </c>
      <c r="E207" s="1">
        <f t="shared" si="31"/>
        <v>0</v>
      </c>
      <c r="F207" s="1">
        <f t="shared" si="32"/>
        <v>0</v>
      </c>
      <c r="G207" s="1">
        <f t="shared" si="33"/>
        <v>0</v>
      </c>
      <c r="H207" s="1">
        <f t="shared" si="34"/>
        <v>0</v>
      </c>
      <c r="I207" s="1">
        <f t="shared" si="35"/>
        <v>0</v>
      </c>
      <c r="J207">
        <f>IF(B207="PAL","",IFERROR(IF(C207="",VLOOKUP(B207,'General price list'!C:BA,MATCH("CBM",'General price list'!$C$20:$BA$20,0),FALSE)*D207,VLOOKUP(B207,'General price list'!C:BA,MATCH("CBM",'General price list'!$C$20:$BA$20,0),FALSE)*(G207*C207)),0))</f>
        <v>0</v>
      </c>
    </row>
    <row r="208" spans="2:10" ht="15" customHeight="1">
      <c r="B208" s="790" t="str">
        <f>IF(B207="PAL","",'General price list'!C228)</f>
        <v>P1D</v>
      </c>
      <c r="C208" s="1" t="str">
        <f>IF(B208="PAL","",IFERROR(VLOOKUP(B208,'General price list'!C:BA,MATCH("PAL",'General price list'!$C$20:$BA$20,0),FALSE),""))</f>
        <v/>
      </c>
      <c r="D208" s="1">
        <f>IF(B208="PAL","",IFERROR(VLOOKUP(B208,'General price list'!C:BA,MATCH("OBJ",'General price list'!$C$20:$BA$20,0),FALSE),""))</f>
        <v>0</v>
      </c>
      <c r="E208" s="1">
        <f t="shared" si="31"/>
        <v>0</v>
      </c>
      <c r="F208" s="1">
        <f t="shared" si="32"/>
        <v>0</v>
      </c>
      <c r="G208" s="1">
        <f t="shared" si="33"/>
        <v>0</v>
      </c>
      <c r="H208" s="1">
        <f t="shared" si="34"/>
        <v>0</v>
      </c>
      <c r="I208" s="1">
        <f t="shared" si="35"/>
        <v>0</v>
      </c>
      <c r="J208">
        <f>IF(B208="PAL","",IFERROR(IF(C208="",VLOOKUP(B208,'General price list'!C:BA,MATCH("CBM",'General price list'!$C$20:$BA$20,0),FALSE)*D208,VLOOKUP(B208,'General price list'!C:BA,MATCH("CBM",'General price list'!$C$20:$BA$20,0),FALSE)*(G208*C208)),0))</f>
        <v>0</v>
      </c>
    </row>
    <row r="209" spans="2:10" ht="15" customHeight="1">
      <c r="B209" s="790" t="str">
        <f>IF(B208="PAL","",'General price list'!C229)</f>
        <v>P2D</v>
      </c>
      <c r="C209" s="1" t="str">
        <f>IF(B209="PAL","",IFERROR(VLOOKUP(B209,'General price list'!C:BA,MATCH("PAL",'General price list'!$C$20:$BA$20,0),FALSE),""))</f>
        <v/>
      </c>
      <c r="D209" s="1">
        <f>IF(B209="PAL","",IFERROR(VLOOKUP(B209,'General price list'!C:BA,MATCH("OBJ",'General price list'!$C$20:$BA$20,0),FALSE),""))</f>
        <v>0</v>
      </c>
      <c r="E209" s="1">
        <f t="shared" si="31"/>
        <v>0</v>
      </c>
      <c r="F209" s="1">
        <f t="shared" si="32"/>
        <v>0</v>
      </c>
      <c r="G209" s="1">
        <f t="shared" si="33"/>
        <v>0</v>
      </c>
      <c r="H209" s="1">
        <f t="shared" si="34"/>
        <v>0</v>
      </c>
      <c r="I209" s="1">
        <f t="shared" si="35"/>
        <v>0</v>
      </c>
      <c r="J209">
        <f>IF(B209="PAL","",IFERROR(IF(C209="",VLOOKUP(B209,'General price list'!C:BA,MATCH("CBM",'General price list'!$C$20:$BA$20,0),FALSE)*D209,VLOOKUP(B209,'General price list'!C:BA,MATCH("CBM",'General price list'!$C$20:$BA$20,0),FALSE)*(G209*C209)),0))</f>
        <v>0</v>
      </c>
    </row>
    <row r="210" spans="2:10" ht="15" customHeight="1">
      <c r="B210" s="790" t="str">
        <f>IF(B209="PAL","",'General price list'!C230)</f>
        <v>K0203K</v>
      </c>
      <c r="C210" s="1" t="str">
        <f>IF(B210="PAL","",IFERROR(VLOOKUP(B210,'General price list'!C:BA,MATCH("PAL",'General price list'!$C$20:$BA$20,0),FALSE),""))</f>
        <v/>
      </c>
      <c r="D210" s="1">
        <f>IF(B210="PAL","",IFERROR(VLOOKUP(B210,'General price list'!C:BA,MATCH("OBJ",'General price list'!$C$20:$BA$20,0),FALSE),""))</f>
        <v>0</v>
      </c>
      <c r="E210" s="1">
        <f t="shared" si="31"/>
        <v>0</v>
      </c>
      <c r="F210" s="1">
        <f t="shared" si="32"/>
        <v>0</v>
      </c>
      <c r="G210" s="1">
        <f t="shared" si="33"/>
        <v>0</v>
      </c>
      <c r="H210" s="1">
        <f t="shared" si="34"/>
        <v>0</v>
      </c>
      <c r="I210" s="1">
        <f t="shared" si="35"/>
        <v>0</v>
      </c>
      <c r="J210">
        <f>IF(B210="PAL","",IFERROR(IF(C210="",VLOOKUP(B210,'General price list'!C:BA,MATCH("CBM",'General price list'!$C$20:$BA$20,0),FALSE)*D210,VLOOKUP(B210,'General price list'!C:BA,MATCH("CBM",'General price list'!$C$20:$BA$20,0),FALSE)*(G210*C210)),0))</f>
        <v>0</v>
      </c>
    </row>
    <row r="211" spans="2:10" ht="15" customHeight="1">
      <c r="B211" s="790" t="str">
        <f>IF(B210="PAL","",'General price list'!C231)</f>
        <v>K0203KB</v>
      </c>
      <c r="C211" s="1" t="str">
        <f>IF(B211="PAL","",IFERROR(VLOOKUP(B211,'General price list'!C:BA,MATCH("PAL",'General price list'!$C$20:$BA$20,0),FALSE),""))</f>
        <v/>
      </c>
      <c r="D211" s="1">
        <f>IF(B211="PAL","",IFERROR(VLOOKUP(B211,'General price list'!C:BA,MATCH("OBJ",'General price list'!$C$20:$BA$20,0),FALSE),""))</f>
        <v>0</v>
      </c>
      <c r="E211" s="1">
        <f t="shared" si="31"/>
        <v>0</v>
      </c>
      <c r="F211" s="1">
        <f t="shared" si="32"/>
        <v>0</v>
      </c>
      <c r="G211" s="1">
        <f t="shared" si="33"/>
        <v>0</v>
      </c>
      <c r="H211" s="1">
        <f t="shared" si="34"/>
        <v>0</v>
      </c>
      <c r="I211" s="1">
        <f t="shared" si="35"/>
        <v>0</v>
      </c>
      <c r="J211">
        <f>IF(B211="PAL","",IFERROR(IF(C211="",VLOOKUP(B211,'General price list'!C:BA,MATCH("CBM",'General price list'!$C$20:$BA$20,0),FALSE)*D211,VLOOKUP(B211,'General price list'!C:BA,MATCH("CBM",'General price list'!$C$20:$BA$20,0),FALSE)*(G211*C211)),0))</f>
        <v>0</v>
      </c>
    </row>
    <row r="212" spans="2:10" ht="15" customHeight="1">
      <c r="B212" s="790" t="str">
        <f>IF(B211="PAL","",'General price list'!C232)</f>
        <v>P05D</v>
      </c>
      <c r="C212" s="1" t="str">
        <f>IF(B212="PAL","",IFERROR(VLOOKUP(B212,'General price list'!C:BA,MATCH("PAL",'General price list'!$C$20:$BA$20,0),FALSE),""))</f>
        <v/>
      </c>
      <c r="D212" s="1">
        <f>IF(B212="PAL","",IFERROR(VLOOKUP(B212,'General price list'!C:BA,MATCH("OBJ",'General price list'!$C$20:$BA$20,0),FALSE),""))</f>
        <v>0</v>
      </c>
      <c r="E212" s="1">
        <f t="shared" si="31"/>
        <v>0</v>
      </c>
      <c r="F212" s="1">
        <f t="shared" si="32"/>
        <v>0</v>
      </c>
      <c r="G212" s="1">
        <f t="shared" si="33"/>
        <v>0</v>
      </c>
      <c r="H212" s="1">
        <f t="shared" si="34"/>
        <v>0</v>
      </c>
      <c r="I212" s="1">
        <f t="shared" si="35"/>
        <v>0</v>
      </c>
      <c r="J212">
        <f>IF(B212="PAL","",IFERROR(IF(C212="",VLOOKUP(B212,'General price list'!C:BA,MATCH("CBM",'General price list'!$C$20:$BA$20,0),FALSE)*D212,VLOOKUP(B212,'General price list'!C:BA,MATCH("CBM",'General price list'!$C$20:$BA$20,0),FALSE)*(G212*C212)),0))</f>
        <v>0</v>
      </c>
    </row>
    <row r="213" spans="2:10" ht="15" customHeight="1">
      <c r="B213" s="790" t="str">
        <f>IF(B212="PAL","",'General price list'!C233)</f>
        <v>PSF2D</v>
      </c>
      <c r="C213" s="1" t="str">
        <f>IF(B213="PAL","",IFERROR(VLOOKUP(B213,'General price list'!C:BA,MATCH("PAL",'General price list'!$C$20:$BA$20,0),FALSE),""))</f>
        <v/>
      </c>
      <c r="D213" s="1">
        <f>IF(B213="PAL","",IFERROR(VLOOKUP(B213,'General price list'!C:BA,MATCH("OBJ",'General price list'!$C$20:$BA$20,0),FALSE),""))</f>
        <v>0</v>
      </c>
      <c r="E213" s="1">
        <f t="shared" si="31"/>
        <v>0</v>
      </c>
      <c r="F213" s="1">
        <f t="shared" si="32"/>
        <v>0</v>
      </c>
      <c r="G213" s="1">
        <f t="shared" si="33"/>
        <v>0</v>
      </c>
      <c r="H213" s="1">
        <f t="shared" si="34"/>
        <v>0</v>
      </c>
      <c r="I213" s="1">
        <f t="shared" si="35"/>
        <v>0</v>
      </c>
      <c r="J213">
        <f>IF(B213="PAL","",IFERROR(IF(C213="",VLOOKUP(B213,'General price list'!C:BA,MATCH("CBM",'General price list'!$C$20:$BA$20,0),FALSE)*D213,VLOOKUP(B213,'General price list'!C:BA,MATCH("CBM",'General price list'!$C$20:$BA$20,0),FALSE)*(G213*C213)),0))</f>
        <v>0</v>
      </c>
    </row>
    <row r="214" spans="2:10" ht="15" customHeight="1">
      <c r="B214" s="790">
        <f>IF(B213="PAL","",'General price list'!C234)</f>
        <v>0</v>
      </c>
      <c r="C214" s="1" t="str">
        <f>IF(B214="PAL","",IFERROR(VLOOKUP(B214,'General price list'!C:BA,MATCH("PAL",'General price list'!$C$20:$BA$20,0),FALSE),""))</f>
        <v/>
      </c>
      <c r="D214" s="1" t="str">
        <f>IF(B214="PAL","",IFERROR(VLOOKUP(B214,'General price list'!C:BA,MATCH("OBJ",'General price list'!$C$20:$BA$20,0),FALSE),""))</f>
        <v/>
      </c>
      <c r="E214" s="1">
        <f t="shared" si="31"/>
        <v>0</v>
      </c>
      <c r="F214" s="1">
        <f t="shared" si="32"/>
        <v>0</v>
      </c>
      <c r="G214" s="1">
        <f t="shared" si="33"/>
        <v>0</v>
      </c>
      <c r="H214" s="1">
        <f t="shared" si="34"/>
        <v>0</v>
      </c>
      <c r="I214" s="1">
        <f t="shared" si="35"/>
        <v>0</v>
      </c>
      <c r="J214">
        <f>IF(B214="PAL","",IFERROR(IF(C214="",VLOOKUP(B214,'General price list'!C:BA,MATCH("CBM",'General price list'!$C$20:$BA$20,0),FALSE)*D214,VLOOKUP(B214,'General price list'!C:BA,MATCH("CBM",'General price list'!$C$20:$BA$20,0),FALSE)*(G214*C214)),0))</f>
        <v>0</v>
      </c>
    </row>
    <row r="215" spans="2:10" ht="15" customHeight="1">
      <c r="B215" s="790" t="str">
        <f>IF(B214="PAL","",'General price list'!C235)</f>
        <v>PBDF2</v>
      </c>
      <c r="C215" s="1" t="str">
        <f>IF(B215="PAL","",IFERROR(VLOOKUP(B215,'General price list'!C:BA,MATCH("PAL",'General price list'!$C$20:$BA$20,0),FALSE),""))</f>
        <v/>
      </c>
      <c r="D215" s="1">
        <f>IF(B215="PAL","",IFERROR(VLOOKUP(B215,'General price list'!C:BA,MATCH("OBJ",'General price list'!$C$20:$BA$20,0),FALSE),""))</f>
        <v>0</v>
      </c>
      <c r="E215" s="1">
        <f t="shared" si="31"/>
        <v>0</v>
      </c>
      <c r="F215" s="1">
        <f t="shared" si="32"/>
        <v>0</v>
      </c>
      <c r="G215" s="1">
        <f t="shared" si="33"/>
        <v>0</v>
      </c>
      <c r="H215" s="1">
        <f t="shared" si="34"/>
        <v>0</v>
      </c>
      <c r="I215" s="1">
        <f t="shared" si="35"/>
        <v>0</v>
      </c>
      <c r="J215">
        <f>IF(B215="PAL","",IFERROR(IF(C215="",VLOOKUP(B215,'General price list'!C:BA,MATCH("CBM",'General price list'!$C$20:$BA$20,0),FALSE)*D215,VLOOKUP(B215,'General price list'!C:BA,MATCH("CBM",'General price list'!$C$20:$BA$20,0),FALSE)*(G215*C215)),0))</f>
        <v>0</v>
      </c>
    </row>
    <row r="216" spans="2:10" ht="15" customHeight="1">
      <c r="B216" s="790" t="str">
        <f>IF(B215="PAL","",'General price list'!C236)</f>
        <v>PBF2D</v>
      </c>
      <c r="C216" s="1" t="str">
        <f>IF(B216="PAL","",IFERROR(VLOOKUP(B216,'General price list'!C:BA,MATCH("PAL",'General price list'!$C$20:$BA$20,0),FALSE),""))</f>
        <v/>
      </c>
      <c r="D216" s="1">
        <f>IF(B216="PAL","",IFERROR(VLOOKUP(B216,'General price list'!C:BA,MATCH("OBJ",'General price list'!$C$20:$BA$20,0),FALSE),""))</f>
        <v>0</v>
      </c>
      <c r="E216" s="1">
        <f t="shared" si="31"/>
        <v>0</v>
      </c>
      <c r="F216" s="1">
        <f t="shared" si="32"/>
        <v>0</v>
      </c>
      <c r="G216" s="1">
        <f t="shared" si="33"/>
        <v>0</v>
      </c>
      <c r="H216" s="1">
        <f t="shared" si="34"/>
        <v>0</v>
      </c>
      <c r="I216" s="1">
        <f t="shared" si="35"/>
        <v>0</v>
      </c>
      <c r="J216">
        <f>IF(B216="PAL","",IFERROR(IF(C216="",VLOOKUP(B216,'General price list'!C:BA,MATCH("CBM",'General price list'!$C$20:$BA$20,0),FALSE)*D216,VLOOKUP(B216,'General price list'!C:BA,MATCH("CBM",'General price list'!$C$20:$BA$20,0),FALSE)*(G216*C216)),0))</f>
        <v>0</v>
      </c>
    </row>
    <row r="217" spans="2:10" ht="15" customHeight="1">
      <c r="B217" s="790" t="str">
        <f>IF(B216="PAL","",'General price list'!C237)</f>
        <v>PB120D</v>
      </c>
      <c r="C217" s="1" t="str">
        <f>IF(B217="PAL","",IFERROR(VLOOKUP(B217,'General price list'!C:BA,MATCH("PAL",'General price list'!$C$20:$BA$20,0),FALSE),""))</f>
        <v/>
      </c>
      <c r="D217" s="1">
        <f>IF(B217="PAL","",IFERROR(VLOOKUP(B217,'General price list'!C:BA,MATCH("OBJ",'General price list'!$C$20:$BA$20,0),FALSE),""))</f>
        <v>0</v>
      </c>
      <c r="E217" s="1">
        <f t="shared" si="31"/>
        <v>0</v>
      </c>
      <c r="F217" s="1">
        <f t="shared" si="32"/>
        <v>0</v>
      </c>
      <c r="G217" s="1">
        <f t="shared" si="33"/>
        <v>0</v>
      </c>
      <c r="H217" s="1">
        <f t="shared" si="34"/>
        <v>0</v>
      </c>
      <c r="I217" s="1">
        <f t="shared" si="35"/>
        <v>0</v>
      </c>
      <c r="J217">
        <f>IF(B217="PAL","",IFERROR(IF(C217="",VLOOKUP(B217,'General price list'!C:BA,MATCH("CBM",'General price list'!$C$20:$BA$20,0),FALSE)*D217,VLOOKUP(B217,'General price list'!C:BA,MATCH("CBM",'General price list'!$C$20:$BA$20,0),FALSE)*(G217*C217)),0))</f>
        <v>0</v>
      </c>
    </row>
    <row r="218" spans="2:10" ht="15" customHeight="1">
      <c r="B218" s="790">
        <f>IF(B217="PAL","",'General price list'!C238)</f>
        <v>0</v>
      </c>
      <c r="C218" s="1" t="str">
        <f>IF(B218="PAL","",IFERROR(VLOOKUP(B218,'General price list'!C:BA,MATCH("PAL",'General price list'!$C$20:$BA$20,0),FALSE),""))</f>
        <v/>
      </c>
      <c r="D218" s="1" t="str">
        <f>IF(B218="PAL","",IFERROR(VLOOKUP(B218,'General price list'!C:BA,MATCH("OBJ",'General price list'!$C$20:$BA$20,0),FALSE),""))</f>
        <v/>
      </c>
      <c r="E218" s="1">
        <f t="shared" si="31"/>
        <v>0</v>
      </c>
      <c r="F218" s="1">
        <f t="shared" si="32"/>
        <v>0</v>
      </c>
      <c r="G218" s="1">
        <f t="shared" si="33"/>
        <v>0</v>
      </c>
      <c r="H218" s="1">
        <f t="shared" si="34"/>
        <v>0</v>
      </c>
      <c r="I218" s="1">
        <f t="shared" si="35"/>
        <v>0</v>
      </c>
      <c r="J218">
        <f>IF(B218="PAL","",IFERROR(IF(C218="",VLOOKUP(B218,'General price list'!C:BA,MATCH("CBM",'General price list'!$C$20:$BA$20,0),FALSE)*D218,VLOOKUP(B218,'General price list'!C:BA,MATCH("CBM",'General price list'!$C$20:$BA$20,0),FALSE)*(G218*C218)),0))</f>
        <v>0</v>
      </c>
    </row>
    <row r="219" spans="2:10" ht="15" customHeight="1">
      <c r="B219" s="790" t="str">
        <f>IF(B218="PAL","",'General price list'!C239)</f>
        <v>P6A14F3</v>
      </c>
      <c r="C219" s="1" t="str">
        <f>IF(B219="PAL","",IFERROR(VLOOKUP(B219,'General price list'!C:BA,MATCH("PAL",'General price list'!$C$20:$BA$20,0),FALSE),""))</f>
        <v/>
      </c>
      <c r="D219" s="1">
        <f>IF(B219="PAL","",IFERROR(VLOOKUP(B219,'General price list'!C:BA,MATCH("OBJ",'General price list'!$C$20:$BA$20,0),FALSE),""))</f>
        <v>0</v>
      </c>
      <c r="E219" s="1">
        <f t="shared" si="31"/>
        <v>0</v>
      </c>
      <c r="F219" s="1">
        <f t="shared" si="32"/>
        <v>0</v>
      </c>
      <c r="G219" s="1">
        <f t="shared" si="33"/>
        <v>0</v>
      </c>
      <c r="H219" s="1">
        <f t="shared" si="34"/>
        <v>0</v>
      </c>
      <c r="I219" s="1">
        <f t="shared" si="35"/>
        <v>0</v>
      </c>
      <c r="J219">
        <f>IF(B219="PAL","",IFERROR(IF(C219="",VLOOKUP(B219,'General price list'!C:BA,MATCH("CBM",'General price list'!$C$20:$BA$20,0),FALSE)*D219,VLOOKUP(B219,'General price list'!C:BA,MATCH("CBM",'General price list'!$C$20:$BA$20,0),FALSE)*(G219*C219)),0))</f>
        <v>0</v>
      </c>
    </row>
    <row r="220" spans="2:10" ht="15" customHeight="1">
      <c r="B220" s="790" t="str">
        <f>IF(B219="PAL","",'General price list'!C240)</f>
        <v>P7A14</v>
      </c>
      <c r="C220" s="1" t="str">
        <f>IF(B220="PAL","",IFERROR(VLOOKUP(B220,'General price list'!C:BA,MATCH("PAL",'General price list'!$C$20:$BA$20,0),FALSE),""))</f>
        <v/>
      </c>
      <c r="D220" s="1">
        <f>IF(B220="PAL","",IFERROR(VLOOKUP(B220,'General price list'!C:BA,MATCH("OBJ",'General price list'!$C$20:$BA$20,0),FALSE),""))</f>
        <v>0</v>
      </c>
      <c r="E220" s="1">
        <f t="shared" si="31"/>
        <v>0</v>
      </c>
      <c r="F220" s="1">
        <f t="shared" si="32"/>
        <v>0</v>
      </c>
      <c r="G220" s="1">
        <f t="shared" si="33"/>
        <v>0</v>
      </c>
      <c r="H220" s="1">
        <f t="shared" si="34"/>
        <v>0</v>
      </c>
      <c r="I220" s="1">
        <f t="shared" si="35"/>
        <v>0</v>
      </c>
      <c r="J220">
        <f>IF(B220="PAL","",IFERROR(IF(C220="",VLOOKUP(B220,'General price list'!C:BA,MATCH("CBM",'General price list'!$C$20:$BA$20,0),FALSE)*D220,VLOOKUP(B220,'General price list'!C:BA,MATCH("CBM",'General price list'!$C$20:$BA$20,0),FALSE)*(G220*C220)),0))</f>
        <v>0</v>
      </c>
    </row>
    <row r="221" spans="2:10" ht="15" customHeight="1">
      <c r="B221" s="790" t="str">
        <f>IF(B220="PAL","",'General price list'!C241)</f>
        <v>P4B</v>
      </c>
      <c r="C221" s="1" t="str">
        <f>IF(B221="PAL","",IFERROR(VLOOKUP(B221,'General price list'!C:BA,MATCH("PAL",'General price list'!$C$20:$BA$20,0),FALSE),""))</f>
        <v/>
      </c>
      <c r="D221" s="1">
        <f>IF(B221="PAL","",IFERROR(VLOOKUP(B221,'General price list'!C:BA,MATCH("OBJ",'General price list'!$C$20:$BA$20,0),FALSE),""))</f>
        <v>0</v>
      </c>
      <c r="E221" s="1">
        <f t="shared" si="31"/>
        <v>0</v>
      </c>
      <c r="F221" s="1">
        <f t="shared" si="32"/>
        <v>0</v>
      </c>
      <c r="G221" s="1">
        <f t="shared" si="33"/>
        <v>0</v>
      </c>
      <c r="H221" s="1">
        <f t="shared" si="34"/>
        <v>0</v>
      </c>
      <c r="I221" s="1">
        <f t="shared" si="35"/>
        <v>0</v>
      </c>
      <c r="J221">
        <f>IF(B221="PAL","",IFERROR(IF(C221="",VLOOKUP(B221,'General price list'!C:BA,MATCH("CBM",'General price list'!$C$20:$BA$20,0),FALSE)*D221,VLOOKUP(B221,'General price list'!C:BA,MATCH("CBM",'General price list'!$C$20:$BA$20,0),FALSE)*(G221*C221)),0))</f>
        <v>0</v>
      </c>
    </row>
    <row r="222" spans="2:10" ht="15" customHeight="1">
      <c r="B222" s="790" t="str">
        <f>IF(B221="PAL","",'General price list'!C242)</f>
        <v>P5DU13</v>
      </c>
      <c r="C222" s="1" t="str">
        <f>IF(B222="PAL","",IFERROR(VLOOKUP(B222,'General price list'!C:BA,MATCH("PAL",'General price list'!$C$20:$BA$20,0),FALSE),""))</f>
        <v/>
      </c>
      <c r="D222" s="1">
        <f>IF(B222="PAL","",IFERROR(VLOOKUP(B222,'General price list'!C:BA,MATCH("OBJ",'General price list'!$C$20:$BA$20,0),FALSE),""))</f>
        <v>0</v>
      </c>
      <c r="E222" s="1">
        <f t="shared" si="31"/>
        <v>0</v>
      </c>
      <c r="F222" s="1">
        <f t="shared" si="32"/>
        <v>0</v>
      </c>
      <c r="G222" s="1">
        <f t="shared" si="33"/>
        <v>0</v>
      </c>
      <c r="H222" s="1">
        <f t="shared" si="34"/>
        <v>0</v>
      </c>
      <c r="I222" s="1">
        <f t="shared" si="35"/>
        <v>0</v>
      </c>
      <c r="J222">
        <f>IF(B222="PAL","",IFERROR(IF(C222="",VLOOKUP(B222,'General price list'!C:BA,MATCH("CBM",'General price list'!$C$20:$BA$20,0),FALSE)*D222,VLOOKUP(B222,'General price list'!C:BA,MATCH("CBM",'General price list'!$C$20:$BA$20,0),FALSE)*(G222*C222)),0))</f>
        <v>0</v>
      </c>
    </row>
    <row r="223" spans="2:10" ht="15" customHeight="1">
      <c r="B223" s="790" t="str">
        <f>IF(B222="PAL","",'General price list'!C243)</f>
        <v>P5DU13(M)</v>
      </c>
      <c r="C223" s="1" t="str">
        <f>IF(B223="PAL","",IFERROR(VLOOKUP(B223,'General price list'!C:BA,MATCH("PAL",'General price list'!$C$20:$BA$20,0),FALSE),""))</f>
        <v/>
      </c>
      <c r="D223" s="1">
        <f>IF(B223="PAL","",IFERROR(VLOOKUP(B223,'General price list'!C:BA,MATCH("OBJ",'General price list'!$C$20:$BA$20,0),FALSE),""))</f>
        <v>0</v>
      </c>
      <c r="E223" s="1">
        <f t="shared" si="31"/>
        <v>0</v>
      </c>
      <c r="F223" s="1">
        <f t="shared" si="32"/>
        <v>0</v>
      </c>
      <c r="G223" s="1">
        <f t="shared" si="33"/>
        <v>0</v>
      </c>
      <c r="H223" s="1">
        <f t="shared" si="34"/>
        <v>0</v>
      </c>
      <c r="I223" s="1">
        <f t="shared" si="35"/>
        <v>0</v>
      </c>
      <c r="J223">
        <f>IF(B223="PAL","",IFERROR(IF(C223="",VLOOKUP(B223,'General price list'!C:BA,MATCH("CBM",'General price list'!$C$20:$BA$20,0),FALSE)*D223,VLOOKUP(B223,'General price list'!C:BA,MATCH("CBM",'General price list'!$C$20:$BA$20,0),FALSE)*(G223*C223)),0))</f>
        <v>0</v>
      </c>
    </row>
    <row r="224" spans="2:10" ht="15" customHeight="1">
      <c r="B224" s="790" t="str">
        <f>IF(B223="PAL","",'General price list'!C244)</f>
        <v>P5DU</v>
      </c>
      <c r="C224" s="1" t="str">
        <f>IF(B224="PAL","",IFERROR(VLOOKUP(B224,'General price list'!C:BA,MATCH("PAL",'General price list'!$C$20:$BA$20,0),FALSE),""))</f>
        <v/>
      </c>
      <c r="D224" s="1">
        <f>IF(B224="PAL","",IFERROR(VLOOKUP(B224,'General price list'!C:BA,MATCH("OBJ",'General price list'!$C$20:$BA$20,0),FALSE),""))</f>
        <v>0</v>
      </c>
      <c r="E224" s="1">
        <f t="shared" si="31"/>
        <v>0</v>
      </c>
      <c r="F224" s="1">
        <f t="shared" si="32"/>
        <v>0</v>
      </c>
      <c r="G224" s="1">
        <f t="shared" si="33"/>
        <v>0</v>
      </c>
      <c r="H224" s="1">
        <f t="shared" si="34"/>
        <v>0</v>
      </c>
      <c r="I224" s="1">
        <f t="shared" si="35"/>
        <v>0</v>
      </c>
      <c r="J224">
        <f>IF(B224="PAL","",IFERROR(IF(C224="",VLOOKUP(B224,'General price list'!C:BA,MATCH("CBM",'General price list'!$C$20:$BA$20,0),FALSE)*D224,VLOOKUP(B224,'General price list'!C:BA,MATCH("CBM",'General price list'!$C$20:$BA$20,0),FALSE)*(G224*C224)),0))</f>
        <v>0</v>
      </c>
    </row>
    <row r="225" spans="2:10" ht="15" customHeight="1">
      <c r="B225" s="790" t="str">
        <f>IF(B224="PAL","",'General price list'!C245)</f>
        <v>P5A13</v>
      </c>
      <c r="C225" s="1" t="str">
        <f>IF(B225="PAL","",IFERROR(VLOOKUP(B225,'General price list'!C:BA,MATCH("PAL",'General price list'!$C$20:$BA$20,0),FALSE),""))</f>
        <v/>
      </c>
      <c r="D225" s="1">
        <f>IF(B225="PAL","",IFERROR(VLOOKUP(B225,'General price list'!C:BA,MATCH("OBJ",'General price list'!$C$20:$BA$20,0),FALSE),""))</f>
        <v>0</v>
      </c>
      <c r="E225" s="1">
        <f t="shared" si="31"/>
        <v>0</v>
      </c>
      <c r="F225" s="1">
        <f t="shared" si="32"/>
        <v>0</v>
      </c>
      <c r="G225" s="1">
        <f t="shared" si="33"/>
        <v>0</v>
      </c>
      <c r="H225" s="1">
        <f t="shared" si="34"/>
        <v>0</v>
      </c>
      <c r="I225" s="1">
        <f t="shared" si="35"/>
        <v>0</v>
      </c>
      <c r="J225">
        <f>IF(B225="PAL","",IFERROR(IF(C225="",VLOOKUP(B225,'General price list'!C:BA,MATCH("CBM",'General price list'!$C$20:$BA$20,0),FALSE)*D225,VLOOKUP(B225,'General price list'!C:BA,MATCH("CBM",'General price list'!$C$20:$BA$20,0),FALSE)*(G225*C225)),0))</f>
        <v>0</v>
      </c>
    </row>
    <row r="226" spans="2:10" ht="15" customHeight="1">
      <c r="B226" s="790" t="str">
        <f>IF(B225="PAL","",'General price list'!C246)</f>
        <v>P5D13</v>
      </c>
      <c r="C226" s="1" t="str">
        <f>IF(B226="PAL","",IFERROR(VLOOKUP(B226,'General price list'!C:BA,MATCH("PAL",'General price list'!$C$20:$BA$20,0),FALSE),""))</f>
        <v/>
      </c>
      <c r="D226" s="1">
        <f>IF(B226="PAL","",IFERROR(VLOOKUP(B226,'General price list'!C:BA,MATCH("OBJ",'General price list'!$C$20:$BA$20,0),FALSE),""))</f>
        <v>0</v>
      </c>
      <c r="E226" s="1">
        <f t="shared" si="31"/>
        <v>0</v>
      </c>
      <c r="F226" s="1">
        <f t="shared" si="32"/>
        <v>0</v>
      </c>
      <c r="G226" s="1">
        <f t="shared" si="33"/>
        <v>0</v>
      </c>
      <c r="H226" s="1">
        <f t="shared" si="34"/>
        <v>0</v>
      </c>
      <c r="I226" s="1">
        <f t="shared" si="35"/>
        <v>0</v>
      </c>
      <c r="J226">
        <f>IF(B226="PAL","",IFERROR(IF(C226="",VLOOKUP(B226,'General price list'!C:BA,MATCH("CBM",'General price list'!$C$20:$BA$20,0),FALSE)*D226,VLOOKUP(B226,'General price list'!C:BA,MATCH("CBM",'General price list'!$C$20:$BA$20,0),FALSE)*(G226*C226)),0))</f>
        <v>0</v>
      </c>
    </row>
    <row r="227" spans="2:10" ht="15" customHeight="1">
      <c r="B227" s="790" t="str">
        <f>IF(B226="PAL","",'General price list'!C247)</f>
        <v>P5D13(W)</v>
      </c>
      <c r="C227" s="1" t="str">
        <f>IF(B227="PAL","",IFERROR(VLOOKUP(B227,'General price list'!C:BA,MATCH("PAL",'General price list'!$C$20:$BA$20,0),FALSE),""))</f>
        <v/>
      </c>
      <c r="D227" s="1">
        <f>IF(B227="PAL","",IFERROR(VLOOKUP(B227,'General price list'!C:BA,MATCH("OBJ",'General price list'!$C$20:$BA$20,0),FALSE),""))</f>
        <v>0</v>
      </c>
      <c r="E227" s="1">
        <f t="shared" si="31"/>
        <v>0</v>
      </c>
      <c r="F227" s="1">
        <f t="shared" si="32"/>
        <v>0</v>
      </c>
      <c r="G227" s="1">
        <f t="shared" si="33"/>
        <v>0</v>
      </c>
      <c r="H227" s="1">
        <f t="shared" si="34"/>
        <v>0</v>
      </c>
      <c r="I227" s="1">
        <f t="shared" si="35"/>
        <v>0</v>
      </c>
      <c r="J227">
        <f>IF(B227="PAL","",IFERROR(IF(C227="",VLOOKUP(B227,'General price list'!C:BA,MATCH("CBM",'General price list'!$C$20:$BA$20,0),FALSE)*D227,VLOOKUP(B227,'General price list'!C:BA,MATCH("CBM",'General price list'!$C$20:$BA$20,0),FALSE)*(G227*C227)),0))</f>
        <v>0</v>
      </c>
    </row>
    <row r="228" spans="2:10" ht="15" customHeight="1">
      <c r="B228" s="790" t="str">
        <f>IF(B227="PAL","",'General price list'!C248)</f>
        <v>P6A13(G)F3</v>
      </c>
      <c r="C228" s="1" t="str">
        <f>IF(B228="PAL","",IFERROR(VLOOKUP(B228,'General price list'!C:BA,MATCH("PAL",'General price list'!$C$20:$BA$20,0),FALSE),""))</f>
        <v/>
      </c>
      <c r="D228" s="1">
        <f>IF(B228="PAL","",IFERROR(VLOOKUP(B228,'General price list'!C:BA,MATCH("OBJ",'General price list'!$C$20:$BA$20,0),FALSE),""))</f>
        <v>0</v>
      </c>
      <c r="E228" s="1">
        <f t="shared" si="31"/>
        <v>0</v>
      </c>
      <c r="F228" s="1">
        <f t="shared" si="32"/>
        <v>0</v>
      </c>
      <c r="G228" s="1">
        <f t="shared" si="33"/>
        <v>0</v>
      </c>
      <c r="H228" s="1">
        <f t="shared" si="34"/>
        <v>0</v>
      </c>
      <c r="I228" s="1">
        <f t="shared" si="35"/>
        <v>0</v>
      </c>
      <c r="J228">
        <f>IF(B228="PAL","",IFERROR(IF(C228="",VLOOKUP(B228,'General price list'!C:BA,MATCH("CBM",'General price list'!$C$20:$BA$20,0),FALSE)*D228,VLOOKUP(B228,'General price list'!C:BA,MATCH("CBM",'General price list'!$C$20:$BA$20,0),FALSE)*(G228*C228)),0))</f>
        <v>0</v>
      </c>
    </row>
    <row r="229" spans="2:10" ht="15" customHeight="1">
      <c r="B229" s="790" t="str">
        <f>IF(B228="PAL","",'General price list'!C249)</f>
        <v>P6A13(R)F3</v>
      </c>
      <c r="C229" s="1" t="str">
        <f>IF(B229="PAL","",IFERROR(VLOOKUP(B229,'General price list'!C:BA,MATCH("PAL",'General price list'!$C$20:$BA$20,0),FALSE),""))</f>
        <v/>
      </c>
      <c r="D229" s="1">
        <f>IF(B229="PAL","",IFERROR(VLOOKUP(B229,'General price list'!C:BA,MATCH("OBJ",'General price list'!$C$20:$BA$20,0),FALSE),""))</f>
        <v>0</v>
      </c>
      <c r="E229" s="1">
        <f t="shared" si="31"/>
        <v>0</v>
      </c>
      <c r="F229" s="1">
        <f t="shared" si="32"/>
        <v>0</v>
      </c>
      <c r="G229" s="1">
        <f t="shared" si="33"/>
        <v>0</v>
      </c>
      <c r="H229" s="1">
        <f t="shared" si="34"/>
        <v>0</v>
      </c>
      <c r="I229" s="1">
        <f t="shared" si="35"/>
        <v>0</v>
      </c>
      <c r="J229">
        <f>IF(B229="PAL","",IFERROR(IF(C229="",VLOOKUP(B229,'General price list'!C:BA,MATCH("CBM",'General price list'!$C$20:$BA$20,0),FALSE)*D229,VLOOKUP(B229,'General price list'!C:BA,MATCH("CBM",'General price list'!$C$20:$BA$20,0),FALSE)*(G229*C229)),0))</f>
        <v>0</v>
      </c>
    </row>
    <row r="230" spans="2:10" ht="15" customHeight="1">
      <c r="B230" s="790">
        <f>IF(B229="PAL","",'General price list'!C250)</f>
        <v>0</v>
      </c>
      <c r="C230" s="1" t="str">
        <f>IF(B230="PAL","",IFERROR(VLOOKUP(B230,'General price list'!C:BA,MATCH("PAL",'General price list'!$C$20:$BA$20,0),FALSE),""))</f>
        <v/>
      </c>
      <c r="D230" s="1" t="str">
        <f>IF(B230="PAL","",IFERROR(VLOOKUP(B230,'General price list'!C:BA,MATCH("OBJ",'General price list'!$C$20:$BA$20,0),FALSE),""))</f>
        <v/>
      </c>
      <c r="E230" s="1">
        <f t="shared" si="31"/>
        <v>0</v>
      </c>
      <c r="F230" s="1">
        <f t="shared" si="32"/>
        <v>0</v>
      </c>
      <c r="G230" s="1">
        <f t="shared" si="33"/>
        <v>0</v>
      </c>
      <c r="H230" s="1">
        <f t="shared" si="34"/>
        <v>0</v>
      </c>
      <c r="I230" s="1">
        <f t="shared" si="35"/>
        <v>0</v>
      </c>
      <c r="J230">
        <f>IF(B230="PAL","",IFERROR(IF(C230="",VLOOKUP(B230,'General price list'!C:BA,MATCH("CBM",'General price list'!$C$20:$BA$20,0),FALSE)*D230,VLOOKUP(B230,'General price list'!C:BA,MATCH("CBM",'General price list'!$C$20:$BA$20,0),FALSE)*(G230*C230)),0))</f>
        <v>0</v>
      </c>
    </row>
    <row r="231" spans="2:10" ht="15" customHeight="1">
      <c r="B231" s="790" t="str">
        <f>IF(B230="PAL","",'General price list'!C251)</f>
        <v>P066D20P1</v>
      </c>
      <c r="C231" s="1" t="str">
        <f>IF(B231="PAL","",IFERROR(VLOOKUP(B231,'General price list'!C:BA,MATCH("PAL",'General price list'!$C$20:$BA$20,0),FALSE),""))</f>
        <v/>
      </c>
      <c r="D231" s="1">
        <f>IF(B231="PAL","",IFERROR(VLOOKUP(B231,'General price list'!C:BA,MATCH("OBJ",'General price list'!$C$20:$BA$20,0),FALSE),""))</f>
        <v>0</v>
      </c>
      <c r="E231" s="1">
        <f t="shared" si="31"/>
        <v>0</v>
      </c>
      <c r="F231" s="1">
        <f t="shared" si="32"/>
        <v>0</v>
      </c>
      <c r="G231" s="1">
        <f t="shared" si="33"/>
        <v>0</v>
      </c>
      <c r="H231" s="1">
        <f t="shared" si="34"/>
        <v>0</v>
      </c>
      <c r="I231" s="1">
        <f t="shared" si="35"/>
        <v>0</v>
      </c>
      <c r="J231">
        <f>IF(B231="PAL","",IFERROR(IF(C231="",VLOOKUP(B231,'General price list'!C:BA,MATCH("CBM",'General price list'!$C$20:$BA$20,0),FALSE)*D231,VLOOKUP(B231,'General price list'!C:BA,MATCH("CBM",'General price list'!$C$20:$BA$20,0),FALSE)*(G231*C231)),0))</f>
        <v>0</v>
      </c>
    </row>
    <row r="232" spans="2:10" ht="15" customHeight="1">
      <c r="B232" s="790" t="str">
        <f>IF(B231="PAL","",'General price list'!C252)</f>
        <v>P5DU13(1)</v>
      </c>
      <c r="C232" s="1" t="str">
        <f>IF(B232="PAL","",IFERROR(VLOOKUP(B232,'General price list'!C:BA,MATCH("PAL",'General price list'!$C$20:$BA$20,0),FALSE),""))</f>
        <v/>
      </c>
      <c r="D232" s="1">
        <f>IF(B232="PAL","",IFERROR(VLOOKUP(B232,'General price list'!C:BA,MATCH("OBJ",'General price list'!$C$20:$BA$20,0),FALSE),""))</f>
        <v>0</v>
      </c>
      <c r="E232" s="1">
        <f t="shared" si="31"/>
        <v>0</v>
      </c>
      <c r="F232" s="1">
        <f t="shared" si="32"/>
        <v>0</v>
      </c>
      <c r="G232" s="1">
        <f t="shared" si="33"/>
        <v>0</v>
      </c>
      <c r="H232" s="1">
        <f t="shared" si="34"/>
        <v>0</v>
      </c>
      <c r="I232" s="1">
        <f t="shared" si="35"/>
        <v>0</v>
      </c>
      <c r="J232">
        <f>IF(B232="PAL","",IFERROR(IF(C232="",VLOOKUP(B232,'General price list'!C:BA,MATCH("CBM",'General price list'!$C$20:$BA$20,0),FALSE)*D232,VLOOKUP(B232,'General price list'!C:BA,MATCH("CBM",'General price list'!$C$20:$BA$20,0),FALSE)*(G232*C232)),0))</f>
        <v>0</v>
      </c>
    </row>
    <row r="233" spans="2:10" ht="15" customHeight="1">
      <c r="B233" s="790" t="str">
        <f>IF(B232="PAL","",'General price list'!C253)</f>
        <v>P2GP1</v>
      </c>
      <c r="C233" s="1" t="str">
        <f>IF(B233="PAL","",IFERROR(VLOOKUP(B233,'General price list'!C:BA,MATCH("PAL",'General price list'!$C$20:$BA$20,0),FALSE),""))</f>
        <v/>
      </c>
      <c r="D233" s="1">
        <f>IF(B233="PAL","",IFERROR(VLOOKUP(B233,'General price list'!C:BA,MATCH("OBJ",'General price list'!$C$20:$BA$20,0),FALSE),""))</f>
        <v>0</v>
      </c>
      <c r="E233" s="1">
        <f t="shared" si="31"/>
        <v>0</v>
      </c>
      <c r="F233" s="1">
        <f t="shared" si="32"/>
        <v>0</v>
      </c>
      <c r="G233" s="1">
        <f t="shared" si="33"/>
        <v>0</v>
      </c>
      <c r="H233" s="1">
        <f t="shared" si="34"/>
        <v>0</v>
      </c>
      <c r="I233" s="1">
        <f t="shared" si="35"/>
        <v>0</v>
      </c>
      <c r="J233">
        <f>IF(B233="PAL","",IFERROR(IF(C233="",VLOOKUP(B233,'General price list'!C:BA,MATCH("CBM",'General price list'!$C$20:$BA$20,0),FALSE)*D233,VLOOKUP(B233,'General price list'!C:BA,MATCH("CBM",'General price list'!$C$20:$BA$20,0),FALSE)*(G233*C233)),0))</f>
        <v>0</v>
      </c>
    </row>
    <row r="234" spans="2:10" ht="15" customHeight="1">
      <c r="B234" s="790">
        <f>IF(B233="PAL","",'General price list'!C254)</f>
        <v>0</v>
      </c>
      <c r="C234" s="1" t="str">
        <f>IF(B234="PAL","",IFERROR(VLOOKUP(B234,'General price list'!C:BA,MATCH("PAL",'General price list'!$C$20:$BA$20,0),FALSE),""))</f>
        <v/>
      </c>
      <c r="D234" s="1" t="str">
        <f>IF(B234="PAL","",IFERROR(VLOOKUP(B234,'General price list'!C:BA,MATCH("OBJ",'General price list'!$C$20:$BA$20,0),FALSE),""))</f>
        <v/>
      </c>
      <c r="E234" s="1">
        <f t="shared" si="31"/>
        <v>0</v>
      </c>
      <c r="F234" s="1">
        <f t="shared" si="32"/>
        <v>0</v>
      </c>
      <c r="G234" s="1">
        <f t="shared" si="33"/>
        <v>0</v>
      </c>
      <c r="H234" s="1">
        <f t="shared" si="34"/>
        <v>0</v>
      </c>
      <c r="I234" s="1">
        <f t="shared" si="35"/>
        <v>0</v>
      </c>
      <c r="J234">
        <f>IF(B234="PAL","",IFERROR(IF(C234="",VLOOKUP(B234,'General price list'!C:BA,MATCH("CBM",'General price list'!$C$20:$BA$20,0),FALSE)*D234,VLOOKUP(B234,'General price list'!C:BA,MATCH("CBM",'General price list'!$C$20:$BA$20,0),FALSE)*(G234*C234)),0))</f>
        <v>0</v>
      </c>
    </row>
    <row r="235" spans="2:10" ht="15" customHeight="1">
      <c r="B235" s="790" t="str">
        <f>IF(B234="PAL","",'General price list'!C255)</f>
        <v>P6AE</v>
      </c>
      <c r="C235" s="1" t="str">
        <f>IF(B235="PAL","",IFERROR(VLOOKUP(B235,'General price list'!C:BA,MATCH("PAL",'General price list'!$C$20:$BA$20,0),FALSE),""))</f>
        <v/>
      </c>
      <c r="D235" s="1">
        <f>IF(B235="PAL","",IFERROR(VLOOKUP(B235,'General price list'!C:BA,MATCH("OBJ",'General price list'!$C$20:$BA$20,0),FALSE),""))</f>
        <v>0</v>
      </c>
      <c r="E235" s="1">
        <f t="shared" si="31"/>
        <v>0</v>
      </c>
      <c r="F235" s="1">
        <f t="shared" si="32"/>
        <v>0</v>
      </c>
      <c r="G235" s="1">
        <f t="shared" si="33"/>
        <v>0</v>
      </c>
      <c r="H235" s="1">
        <f t="shared" si="34"/>
        <v>0</v>
      </c>
      <c r="I235" s="1">
        <f t="shared" si="35"/>
        <v>0</v>
      </c>
      <c r="J235">
        <f>IF(B235="PAL","",IFERROR(IF(C235="",VLOOKUP(B235,'General price list'!C:BA,MATCH("CBM",'General price list'!$C$20:$BA$20,0),FALSE)*D235,VLOOKUP(B235,'General price list'!C:BA,MATCH("CBM",'General price list'!$C$20:$BA$20,0),FALSE)*(G235*C235)),0))</f>
        <v>0</v>
      </c>
    </row>
    <row r="236" spans="2:10" ht="15" customHeight="1">
      <c r="B236" s="790" t="str">
        <f>IF(B235="PAL","",'General price list'!C256)</f>
        <v>P30D</v>
      </c>
      <c r="C236" s="1" t="str">
        <f>IF(B236="PAL","",IFERROR(VLOOKUP(B236,'General price list'!C:BA,MATCH("PAL",'General price list'!$C$20:$BA$20,0),FALSE),""))</f>
        <v/>
      </c>
      <c r="D236" s="1">
        <f>IF(B236="PAL","",IFERROR(VLOOKUP(B236,'General price list'!C:BA,MATCH("OBJ",'General price list'!$C$20:$BA$20,0),FALSE),""))</f>
        <v>0</v>
      </c>
      <c r="E236" s="1">
        <f t="shared" si="31"/>
        <v>0</v>
      </c>
      <c r="F236" s="1">
        <f t="shared" si="32"/>
        <v>0</v>
      </c>
      <c r="G236" s="1">
        <f t="shared" si="33"/>
        <v>0</v>
      </c>
      <c r="H236" s="1">
        <f t="shared" si="34"/>
        <v>0</v>
      </c>
      <c r="I236" s="1">
        <f t="shared" si="35"/>
        <v>0</v>
      </c>
      <c r="J236">
        <f>IF(B236="PAL","",IFERROR(IF(C236="",VLOOKUP(B236,'General price list'!C:BA,MATCH("CBM",'General price list'!$C$20:$BA$20,0),FALSE)*D236,VLOOKUP(B236,'General price list'!C:BA,MATCH("CBM",'General price list'!$C$20:$BA$20,0),FALSE)*(G236*C236)),0))</f>
        <v>0</v>
      </c>
    </row>
    <row r="237" spans="2:10" ht="15" customHeight="1">
      <c r="B237" s="790" t="str">
        <f>IF(B236="PAL","",'General price list'!C257)</f>
        <v>P50D</v>
      </c>
      <c r="C237" s="1" t="str">
        <f>IF(B237="PAL","",IFERROR(VLOOKUP(B237,'General price list'!C:BA,MATCH("PAL",'General price list'!$C$20:$BA$20,0),FALSE),""))</f>
        <v/>
      </c>
      <c r="D237" s="1">
        <f>IF(B237="PAL","",IFERROR(VLOOKUP(B237,'General price list'!C:BA,MATCH("OBJ",'General price list'!$C$20:$BA$20,0),FALSE),""))</f>
        <v>0</v>
      </c>
      <c r="E237" s="1">
        <f t="shared" si="31"/>
        <v>0</v>
      </c>
      <c r="F237" s="1">
        <f t="shared" si="32"/>
        <v>0</v>
      </c>
      <c r="G237" s="1">
        <f t="shared" si="33"/>
        <v>0</v>
      </c>
      <c r="H237" s="1">
        <f t="shared" si="34"/>
        <v>0</v>
      </c>
      <c r="I237" s="1">
        <f t="shared" si="35"/>
        <v>0</v>
      </c>
      <c r="J237">
        <f>IF(B237="PAL","",IFERROR(IF(C237="",VLOOKUP(B237,'General price list'!C:BA,MATCH("CBM",'General price list'!$C$20:$BA$20,0),FALSE)*D237,VLOOKUP(B237,'General price list'!C:BA,MATCH("CBM",'General price list'!$C$20:$BA$20,0),FALSE)*(G237*C237)),0))</f>
        <v>0</v>
      </c>
    </row>
    <row r="238" spans="2:10" ht="15" customHeight="1">
      <c r="B238" s="790" t="str">
        <f>IF(B237="PAL","",'General price list'!C258)</f>
        <v>P170</v>
      </c>
      <c r="C238" s="1" t="str">
        <f>IF(B238="PAL","",IFERROR(VLOOKUP(B238,'General price list'!C:BA,MATCH("PAL",'General price list'!$C$20:$BA$20,0),FALSE),""))</f>
        <v/>
      </c>
      <c r="D238" s="1">
        <f>IF(B238="PAL","",IFERROR(VLOOKUP(B238,'General price list'!C:BA,MATCH("OBJ",'General price list'!$C$20:$BA$20,0),FALSE),""))</f>
        <v>0</v>
      </c>
      <c r="E238" s="1">
        <f t="shared" si="31"/>
        <v>0</v>
      </c>
      <c r="F238" s="1">
        <f t="shared" si="32"/>
        <v>0</v>
      </c>
      <c r="G238" s="1">
        <f t="shared" si="33"/>
        <v>0</v>
      </c>
      <c r="H238" s="1">
        <f t="shared" si="34"/>
        <v>0</v>
      </c>
      <c r="I238" s="1">
        <f t="shared" si="35"/>
        <v>0</v>
      </c>
      <c r="J238">
        <f>IF(B238="PAL","",IFERROR(IF(C238="",VLOOKUP(B238,'General price list'!C:BA,MATCH("CBM",'General price list'!$C$20:$BA$20,0),FALSE)*D238,VLOOKUP(B238,'General price list'!C:BA,MATCH("CBM",'General price list'!$C$20:$BA$20,0),FALSE)*(G238*C238)),0))</f>
        <v>0</v>
      </c>
    </row>
    <row r="239" spans="2:10" ht="15" customHeight="1">
      <c r="B239" s="790">
        <f>IF(B238="PAL","",'General price list'!C259)</f>
        <v>0</v>
      </c>
      <c r="C239" s="1" t="str">
        <f>IF(B239="PAL","",IFERROR(VLOOKUP(B239,'General price list'!C:BA,MATCH("PAL",'General price list'!$C$20:$BA$20,0),FALSE),""))</f>
        <v/>
      </c>
      <c r="D239" s="1" t="str">
        <f>IF(B239="PAL","",IFERROR(VLOOKUP(B239,'General price list'!C:BA,MATCH("OBJ",'General price list'!$C$20:$BA$20,0),FALSE),""))</f>
        <v/>
      </c>
      <c r="E239" s="1">
        <f t="shared" si="31"/>
        <v>0</v>
      </c>
      <c r="F239" s="1">
        <f t="shared" si="32"/>
        <v>0</v>
      </c>
      <c r="G239" s="1">
        <f t="shared" si="33"/>
        <v>0</v>
      </c>
      <c r="H239" s="1">
        <f t="shared" si="34"/>
        <v>0</v>
      </c>
      <c r="I239" s="1">
        <f t="shared" si="35"/>
        <v>0</v>
      </c>
      <c r="J239">
        <f>IF(B239="PAL","",IFERROR(IF(C239="",VLOOKUP(B239,'General price list'!C:BA,MATCH("CBM",'General price list'!$C$20:$BA$20,0),FALSE)*D239,VLOOKUP(B239,'General price list'!C:BA,MATCH("CBM",'General price list'!$C$20:$BA$20,0),FALSE)*(G239*C239)),0))</f>
        <v>0</v>
      </c>
    </row>
    <row r="240" spans="2:10" ht="15" customHeight="1">
      <c r="B240" s="790" t="str">
        <f>IF(B239="PAL","",'General price list'!C260)</f>
        <v>EB15</v>
      </c>
      <c r="C240" s="1" t="str">
        <f>IF(B240="PAL","",IFERROR(VLOOKUP(B240,'General price list'!C:BA,MATCH("PAL",'General price list'!$C$20:$BA$20,0),FALSE),""))</f>
        <v/>
      </c>
      <c r="D240" s="1">
        <f>IF(B240="PAL","",IFERROR(VLOOKUP(B240,'General price list'!C:BA,MATCH("OBJ",'General price list'!$C$20:$BA$20,0),FALSE),""))</f>
        <v>0</v>
      </c>
      <c r="E240" s="1">
        <f t="shared" si="31"/>
        <v>0</v>
      </c>
      <c r="F240" s="1">
        <f t="shared" si="32"/>
        <v>0</v>
      </c>
      <c r="G240" s="1">
        <f t="shared" si="33"/>
        <v>0</v>
      </c>
      <c r="H240" s="1">
        <f t="shared" si="34"/>
        <v>0</v>
      </c>
      <c r="I240" s="1">
        <f t="shared" si="35"/>
        <v>0</v>
      </c>
      <c r="J240">
        <f>IF(B240="PAL","",IFERROR(IF(C240="",VLOOKUP(B240,'General price list'!C:BA,MATCH("CBM",'General price list'!$C$20:$BA$20,0),FALSE)*D240,VLOOKUP(B240,'General price list'!C:BA,MATCH("CBM",'General price list'!$C$20:$BA$20,0),FALSE)*(G240*C240)),0))</f>
        <v>0</v>
      </c>
    </row>
    <row r="241" spans="2:10" ht="15" customHeight="1">
      <c r="B241" s="790" t="str">
        <f>IF(B240="PAL","",'General price list'!C261)</f>
        <v>EB9</v>
      </c>
      <c r="C241" s="1" t="str">
        <f>IF(B241="PAL","",IFERROR(VLOOKUP(B241,'General price list'!C:BA,MATCH("PAL",'General price list'!$C$20:$BA$20,0),FALSE),""))</f>
        <v/>
      </c>
      <c r="D241" s="1">
        <f>IF(B241="PAL","",IFERROR(VLOOKUP(B241,'General price list'!C:BA,MATCH("OBJ",'General price list'!$C$20:$BA$20,0),FALSE),""))</f>
        <v>0</v>
      </c>
      <c r="E241" s="1">
        <f t="shared" si="31"/>
        <v>0</v>
      </c>
      <c r="F241" s="1">
        <f t="shared" si="32"/>
        <v>0</v>
      </c>
      <c r="G241" s="1">
        <f t="shared" si="33"/>
        <v>0</v>
      </c>
      <c r="H241" s="1">
        <f t="shared" si="34"/>
        <v>0</v>
      </c>
      <c r="I241" s="1">
        <f t="shared" si="35"/>
        <v>0</v>
      </c>
      <c r="J241">
        <f>IF(B241="PAL","",IFERROR(IF(C241="",VLOOKUP(B241,'General price list'!C:BA,MATCH("CBM",'General price list'!$C$20:$BA$20,0),FALSE)*D241,VLOOKUP(B241,'General price list'!C:BA,MATCH("CBM",'General price list'!$C$20:$BA$20,0),FALSE)*(G241*C241)),0))</f>
        <v>0</v>
      </c>
    </row>
    <row r="242" spans="2:10" ht="15" customHeight="1">
      <c r="B242" s="790" t="str">
        <f>IF(B241="PAL","",'General price list'!C262)</f>
        <v>K20K</v>
      </c>
      <c r="C242" s="1" t="str">
        <f>IF(B242="PAL","",IFERROR(VLOOKUP(B242,'General price list'!C:BA,MATCH("PAL",'General price list'!$C$20:$BA$20,0),FALSE),""))</f>
        <v/>
      </c>
      <c r="D242" s="1">
        <f>IF(B242="PAL","",IFERROR(VLOOKUP(B242,'General price list'!C:BA,MATCH("OBJ",'General price list'!$C$20:$BA$20,0),FALSE),""))</f>
        <v>0</v>
      </c>
      <c r="E242" s="1">
        <f t="shared" si="31"/>
        <v>0</v>
      </c>
      <c r="F242" s="1">
        <f t="shared" si="32"/>
        <v>0</v>
      </c>
      <c r="G242" s="1">
        <f t="shared" si="33"/>
        <v>0</v>
      </c>
      <c r="H242" s="1">
        <f t="shared" si="34"/>
        <v>0</v>
      </c>
      <c r="I242" s="1">
        <f t="shared" si="35"/>
        <v>0</v>
      </c>
      <c r="J242">
        <f>IF(B242="PAL","",IFERROR(IF(C242="",VLOOKUP(B242,'General price list'!C:BA,MATCH("CBM",'General price list'!$C$20:$BA$20,0),FALSE)*D242,VLOOKUP(B242,'General price list'!C:BA,MATCH("CBM",'General price list'!$C$20:$BA$20,0),FALSE)*(G242*C242)),0))</f>
        <v>0</v>
      </c>
    </row>
    <row r="243" spans="2:10" ht="15" customHeight="1">
      <c r="B243" s="790" t="str">
        <f>IF(B242="PAL","",'General price list'!C263)</f>
        <v>K60K</v>
      </c>
      <c r="C243" s="1" t="str">
        <f>IF(B243="PAL","",IFERROR(VLOOKUP(B243,'General price list'!C:BA,MATCH("PAL",'General price list'!$C$20:$BA$20,0),FALSE),""))</f>
        <v/>
      </c>
      <c r="D243" s="1">
        <f>IF(B243="PAL","",IFERROR(VLOOKUP(B243,'General price list'!C:BA,MATCH("OBJ",'General price list'!$C$20:$BA$20,0),FALSE),""))</f>
        <v>0</v>
      </c>
      <c r="E243" s="1">
        <f t="shared" si="31"/>
        <v>0</v>
      </c>
      <c r="F243" s="1">
        <f t="shared" si="32"/>
        <v>0</v>
      </c>
      <c r="G243" s="1">
        <f t="shared" si="33"/>
        <v>0</v>
      </c>
      <c r="H243" s="1">
        <f t="shared" si="34"/>
        <v>0</v>
      </c>
      <c r="I243" s="1">
        <f t="shared" si="35"/>
        <v>0</v>
      </c>
      <c r="J243">
        <f>IF(B243="PAL","",IFERROR(IF(C243="",VLOOKUP(B243,'General price list'!C:BA,MATCH("CBM",'General price list'!$C$20:$BA$20,0),FALSE)*D243,VLOOKUP(B243,'General price list'!C:BA,MATCH("CBM",'General price list'!$C$20:$BA$20,0),FALSE)*(G243*C243)),0))</f>
        <v>0</v>
      </c>
    </row>
    <row r="244" spans="2:10" ht="15" customHeight="1">
      <c r="B244" s="790" t="str">
        <f>IF(B243="PAL","",'General price list'!C264)</f>
        <v>K01M</v>
      </c>
      <c r="C244" s="1" t="str">
        <f>IF(B244="PAL","",IFERROR(VLOOKUP(B244,'General price list'!C:BA,MATCH("PAL",'General price list'!$C$20:$BA$20,0),FALSE),""))</f>
        <v/>
      </c>
      <c r="D244" s="1">
        <f>IF(B244="PAL","",IFERROR(VLOOKUP(B244,'General price list'!C:BA,MATCH("OBJ",'General price list'!$C$20:$BA$20,0),FALSE),""))</f>
        <v>0</v>
      </c>
      <c r="E244" s="1">
        <f t="shared" si="31"/>
        <v>0</v>
      </c>
      <c r="F244" s="1">
        <f t="shared" si="32"/>
        <v>0</v>
      </c>
      <c r="G244" s="1">
        <f t="shared" si="33"/>
        <v>0</v>
      </c>
      <c r="H244" s="1">
        <f t="shared" si="34"/>
        <v>0</v>
      </c>
      <c r="I244" s="1">
        <f t="shared" si="35"/>
        <v>0</v>
      </c>
      <c r="J244">
        <f>IF(B244="PAL","",IFERROR(IF(C244="",VLOOKUP(B244,'General price list'!C:BA,MATCH("CBM",'General price list'!$C$20:$BA$20,0),FALSE)*D244,VLOOKUP(B244,'General price list'!C:BA,MATCH("CBM",'General price list'!$C$20:$BA$20,0),FALSE)*(G244*C244)),0))</f>
        <v>0</v>
      </c>
    </row>
    <row r="245" spans="2:10" ht="15" customHeight="1">
      <c r="B245" s="790" t="str">
        <f>IF(B244="PAL","",'General price list'!C265)</f>
        <v>K100R</v>
      </c>
      <c r="C245" s="1" t="str">
        <f>IF(B245="PAL","",IFERROR(VLOOKUP(B245,'General price list'!C:BA,MATCH("PAL",'General price list'!$C$20:$BA$20,0),FALSE),""))</f>
        <v/>
      </c>
      <c r="D245" s="1">
        <f>IF(B245="PAL","",IFERROR(VLOOKUP(B245,'General price list'!C:BA,MATCH("OBJ",'General price list'!$C$20:$BA$20,0),FALSE),""))</f>
        <v>0</v>
      </c>
      <c r="E245" s="1">
        <f t="shared" si="31"/>
        <v>0</v>
      </c>
      <c r="F245" s="1">
        <f t="shared" si="32"/>
        <v>0</v>
      </c>
      <c r="G245" s="1">
        <f t="shared" si="33"/>
        <v>0</v>
      </c>
      <c r="H245" s="1">
        <f t="shared" si="34"/>
        <v>0</v>
      </c>
      <c r="I245" s="1">
        <f t="shared" si="35"/>
        <v>0</v>
      </c>
      <c r="J245">
        <f>IF(B245="PAL","",IFERROR(IF(C245="",VLOOKUP(B245,'General price list'!C:BA,MATCH("CBM",'General price list'!$C$20:$BA$20,0),FALSE)*D245,VLOOKUP(B245,'General price list'!C:BA,MATCH("CBM",'General price list'!$C$20:$BA$20,0),FALSE)*(G245*C245)),0))</f>
        <v>0</v>
      </c>
    </row>
    <row r="246" spans="2:10" ht="15" customHeight="1">
      <c r="B246" s="790" t="str">
        <f>IF(B245="PAL","",'General price list'!C266)</f>
        <v>K200R</v>
      </c>
      <c r="C246" s="1" t="str">
        <f>IF(B246="PAL","",IFERROR(VLOOKUP(B246,'General price list'!C:BA,MATCH("PAL",'General price list'!$C$20:$BA$20,0),FALSE),""))</f>
        <v/>
      </c>
      <c r="D246" s="1">
        <f>IF(B246="PAL","",IFERROR(VLOOKUP(B246,'General price list'!C:BA,MATCH("OBJ",'General price list'!$C$20:$BA$20,0),FALSE),""))</f>
        <v>0</v>
      </c>
      <c r="E246" s="1">
        <f t="shared" si="31"/>
        <v>0</v>
      </c>
      <c r="F246" s="1">
        <f t="shared" si="32"/>
        <v>0</v>
      </c>
      <c r="G246" s="1">
        <f t="shared" si="33"/>
        <v>0</v>
      </c>
      <c r="H246" s="1">
        <f t="shared" si="34"/>
        <v>0</v>
      </c>
      <c r="I246" s="1">
        <f t="shared" si="35"/>
        <v>0</v>
      </c>
      <c r="J246">
        <f>IF(B246="PAL","",IFERROR(IF(C246="",VLOOKUP(B246,'General price list'!C:BA,MATCH("CBM",'General price list'!$C$20:$BA$20,0),FALSE)*D246,VLOOKUP(B246,'General price list'!C:BA,MATCH("CBM",'General price list'!$C$20:$BA$20,0),FALSE)*(G246*C246)),0))</f>
        <v>0</v>
      </c>
    </row>
    <row r="247" spans="2:10" ht="15" customHeight="1">
      <c r="B247" s="790" t="str">
        <f>IF(B246="PAL","",'General price list'!C267)</f>
        <v>K500R</v>
      </c>
      <c r="C247" s="1" t="str">
        <f>IF(B247="PAL","",IFERROR(VLOOKUP(B247,'General price list'!C:BA,MATCH("PAL",'General price list'!$C$20:$BA$20,0),FALSE),""))</f>
        <v/>
      </c>
      <c r="D247" s="1">
        <f>IF(B247="PAL","",IFERROR(VLOOKUP(B247,'General price list'!C:BA,MATCH("OBJ",'General price list'!$C$20:$BA$20,0),FALSE),""))</f>
        <v>0</v>
      </c>
      <c r="E247" s="1">
        <f t="shared" si="31"/>
        <v>0</v>
      </c>
      <c r="F247" s="1">
        <f t="shared" si="32"/>
        <v>0</v>
      </c>
      <c r="G247" s="1">
        <f t="shared" si="33"/>
        <v>0</v>
      </c>
      <c r="H247" s="1">
        <f t="shared" si="34"/>
        <v>0</v>
      </c>
      <c r="I247" s="1">
        <f t="shared" si="35"/>
        <v>0</v>
      </c>
      <c r="J247">
        <f>IF(B247="PAL","",IFERROR(IF(C247="",VLOOKUP(B247,'General price list'!C:BA,MATCH("CBM",'General price list'!$C$20:$BA$20,0),FALSE)*D247,VLOOKUP(B247,'General price list'!C:BA,MATCH("CBM",'General price list'!$C$20:$BA$20,0),FALSE)*(G247*C247)),0))</f>
        <v>0</v>
      </c>
    </row>
    <row r="248" spans="2:10" ht="15" customHeight="1">
      <c r="B248" s="790" t="str">
        <f>IF(B247="PAL","",'General price list'!C268)</f>
        <v>K1000R</v>
      </c>
      <c r="C248" s="1" t="str">
        <f>IF(B248="PAL","",IFERROR(VLOOKUP(B248,'General price list'!C:BA,MATCH("PAL",'General price list'!$C$20:$BA$20,0),FALSE),""))</f>
        <v/>
      </c>
      <c r="D248" s="1">
        <f>IF(B248="PAL","",IFERROR(VLOOKUP(B248,'General price list'!C:BA,MATCH("OBJ",'General price list'!$C$20:$BA$20,0),FALSE),""))</f>
        <v>0</v>
      </c>
      <c r="E248" s="1">
        <f t="shared" si="31"/>
        <v>0</v>
      </c>
      <c r="F248" s="1">
        <f t="shared" si="32"/>
        <v>0</v>
      </c>
      <c r="G248" s="1">
        <f t="shared" si="33"/>
        <v>0</v>
      </c>
      <c r="H248" s="1">
        <f t="shared" si="34"/>
        <v>0</v>
      </c>
      <c r="I248" s="1">
        <f t="shared" si="35"/>
        <v>0</v>
      </c>
      <c r="J248">
        <f>IF(B248="PAL","",IFERROR(IF(C248="",VLOOKUP(B248,'General price list'!C:BA,MATCH("CBM",'General price list'!$C$20:$BA$20,0),FALSE)*D248,VLOOKUP(B248,'General price list'!C:BA,MATCH("CBM",'General price list'!$C$20:$BA$20,0),FALSE)*(G248*C248)),0))</f>
        <v>0</v>
      </c>
    </row>
    <row r="249" spans="2:10" ht="15" customHeight="1">
      <c r="B249" s="790" t="str">
        <f>IF(B248="PAL","",'General price list'!C269)</f>
        <v>K1969R</v>
      </c>
      <c r="C249" s="1" t="str">
        <f>IF(B249="PAL","",IFERROR(VLOOKUP(B249,'General price list'!C:BA,MATCH("PAL",'General price list'!$C$20:$BA$20,0),FALSE),""))</f>
        <v/>
      </c>
      <c r="D249" s="1">
        <f>IF(B249="PAL","",IFERROR(VLOOKUP(B249,'General price list'!C:BA,MATCH("OBJ",'General price list'!$C$20:$BA$20,0),FALSE),""))</f>
        <v>0</v>
      </c>
      <c r="E249" s="1">
        <f t="shared" si="31"/>
        <v>0</v>
      </c>
      <c r="F249" s="1">
        <f t="shared" si="32"/>
        <v>0</v>
      </c>
      <c r="G249" s="1">
        <f t="shared" si="33"/>
        <v>0</v>
      </c>
      <c r="H249" s="1">
        <f t="shared" si="34"/>
        <v>0</v>
      </c>
      <c r="I249" s="1">
        <f t="shared" si="35"/>
        <v>0</v>
      </c>
      <c r="J249">
        <f>IF(B249="PAL","",IFERROR(IF(C249="",VLOOKUP(B249,'General price list'!C:BA,MATCH("CBM",'General price list'!$C$20:$BA$20,0),FALSE)*D249,VLOOKUP(B249,'General price list'!C:BA,MATCH("CBM",'General price list'!$C$20:$BA$20,0),FALSE)*(G249*C249)),0))</f>
        <v>0</v>
      </c>
    </row>
    <row r="250" spans="2:10" ht="15" customHeight="1">
      <c r="B250" s="790" t="str">
        <f>IF(B249="PAL","",'General price list'!C270)</f>
        <v>K10M</v>
      </c>
      <c r="C250" s="1" t="str">
        <f>IF(B250="PAL","",IFERROR(VLOOKUP(B250,'General price list'!C:BA,MATCH("PAL",'General price list'!$C$20:$BA$20,0),FALSE),""))</f>
        <v/>
      </c>
      <c r="D250" s="1">
        <f>IF(B250="PAL","",IFERROR(VLOOKUP(B250,'General price list'!C:BA,MATCH("OBJ",'General price list'!$C$20:$BA$20,0),FALSE),""))</f>
        <v>0</v>
      </c>
      <c r="E250" s="1">
        <f t="shared" si="31"/>
        <v>0</v>
      </c>
      <c r="F250" s="1">
        <f t="shared" si="32"/>
        <v>0</v>
      </c>
      <c r="G250" s="1">
        <f t="shared" si="33"/>
        <v>0</v>
      </c>
      <c r="H250" s="1">
        <f t="shared" si="34"/>
        <v>0</v>
      </c>
      <c r="I250" s="1">
        <f t="shared" si="35"/>
        <v>0</v>
      </c>
      <c r="J250">
        <f>IF(B250="PAL","",IFERROR(IF(C250="",VLOOKUP(B250,'General price list'!C:BA,MATCH("CBM",'General price list'!$C$20:$BA$20,0),FALSE)*D250,VLOOKUP(B250,'General price list'!C:BA,MATCH("CBM",'General price list'!$C$20:$BA$20,0),FALSE)*(G250*C250)),0))</f>
        <v>0</v>
      </c>
    </row>
    <row r="251" spans="2:10" ht="15" customHeight="1">
      <c r="B251" s="790" t="str">
        <f>IF(B250="PAL","",'General price list'!C271)</f>
        <v>DBB1E</v>
      </c>
      <c r="C251" s="1" t="str">
        <f>IF(B251="PAL","",IFERROR(VLOOKUP(B251,'General price list'!C:BA,MATCH("PAL",'General price list'!$C$20:$BA$20,0),FALSE),""))</f>
        <v/>
      </c>
      <c r="D251" s="1">
        <f>IF(B251="PAL","",IFERROR(VLOOKUP(B251,'General price list'!C:BA,MATCH("OBJ",'General price list'!$C$20:$BA$20,0),FALSE),""))</f>
        <v>0</v>
      </c>
      <c r="E251" s="1">
        <f t="shared" si="31"/>
        <v>0</v>
      </c>
      <c r="F251" s="1">
        <f t="shared" si="32"/>
        <v>0</v>
      </c>
      <c r="G251" s="1">
        <f t="shared" si="33"/>
        <v>0</v>
      </c>
      <c r="H251" s="1">
        <f t="shared" si="34"/>
        <v>0</v>
      </c>
      <c r="I251" s="1">
        <f t="shared" si="35"/>
        <v>0</v>
      </c>
      <c r="J251">
        <f>IF(B251="PAL","",IFERROR(IF(C251="",VLOOKUP(B251,'General price list'!C:BA,MATCH("CBM",'General price list'!$C$20:$BA$20,0),FALSE)*D251,VLOOKUP(B251,'General price list'!C:BA,MATCH("CBM",'General price list'!$C$20:$BA$20,0),FALSE)*(G251*C251)),0))</f>
        <v>0</v>
      </c>
    </row>
    <row r="252" spans="2:10" ht="15" customHeight="1">
      <c r="B252" s="790">
        <f>IF(B251="PAL","",'General price list'!C272)</f>
        <v>0</v>
      </c>
      <c r="C252" s="1" t="str">
        <f>IF(B252="PAL","",IFERROR(VLOOKUP(B252,'General price list'!C:BA,MATCH("PAL",'General price list'!$C$20:$BA$20,0),FALSE),""))</f>
        <v/>
      </c>
      <c r="D252" s="1" t="str">
        <f>IF(B252="PAL","",IFERROR(VLOOKUP(B252,'General price list'!C:BA,MATCH("OBJ",'General price list'!$C$20:$BA$20,0),FALSE),""))</f>
        <v/>
      </c>
      <c r="E252" s="1">
        <f t="shared" si="31"/>
        <v>0</v>
      </c>
      <c r="F252" s="1">
        <f t="shared" si="32"/>
        <v>0</v>
      </c>
      <c r="G252" s="1">
        <f t="shared" si="33"/>
        <v>0</v>
      </c>
      <c r="H252" s="1">
        <f t="shared" si="34"/>
        <v>0</v>
      </c>
      <c r="I252" s="1">
        <f t="shared" si="35"/>
        <v>0</v>
      </c>
      <c r="J252">
        <f>IF(B252="PAL","",IFERROR(IF(C252="",VLOOKUP(B252,'General price list'!C:BA,MATCH("CBM",'General price list'!$C$20:$BA$20,0),FALSE)*D252,VLOOKUP(B252,'General price list'!C:BA,MATCH("CBM",'General price list'!$C$20:$BA$20,0),FALSE)*(G252*C252)),0))</f>
        <v>0</v>
      </c>
    </row>
    <row r="253" spans="2:10" ht="15" customHeight="1">
      <c r="B253" s="790" t="str">
        <f>IF(B252="PAL","",'General price list'!C273)</f>
        <v>RS1</v>
      </c>
      <c r="C253" s="1" t="str">
        <f>IF(B253="PAL","",IFERROR(VLOOKUP(B253,'General price list'!C:BA,MATCH("PAL",'General price list'!$C$20:$BA$20,0),FALSE),""))</f>
        <v/>
      </c>
      <c r="D253" s="1">
        <f>IF(B253="PAL","",IFERROR(VLOOKUP(B253,'General price list'!C:BA,MATCH("OBJ",'General price list'!$C$20:$BA$20,0),FALSE),""))</f>
        <v>0</v>
      </c>
      <c r="E253" s="1">
        <f t="shared" si="31"/>
        <v>0</v>
      </c>
      <c r="F253" s="1">
        <f t="shared" si="32"/>
        <v>0</v>
      </c>
      <c r="G253" s="1">
        <f t="shared" si="33"/>
        <v>0</v>
      </c>
      <c r="H253" s="1">
        <f t="shared" si="34"/>
        <v>0</v>
      </c>
      <c r="I253" s="1">
        <f t="shared" si="35"/>
        <v>0</v>
      </c>
      <c r="J253">
        <f>IF(B253="PAL","",IFERROR(IF(C253="",VLOOKUP(B253,'General price list'!C:BA,MATCH("CBM",'General price list'!$C$20:$BA$20,0),FALSE)*D253,VLOOKUP(B253,'General price list'!C:BA,MATCH("CBM",'General price list'!$C$20:$BA$20,0),FALSE)*(G253*C253)),0))</f>
        <v>0</v>
      </c>
    </row>
    <row r="254" spans="2:10" ht="15" customHeight="1">
      <c r="B254" s="790" t="str">
        <f>IF(B253="PAL","",'General price list'!C274)</f>
        <v>RS6P</v>
      </c>
      <c r="C254" s="1" t="str">
        <f>IF(B254="PAL","",IFERROR(VLOOKUP(B254,'General price list'!C:BA,MATCH("PAL",'General price list'!$C$20:$BA$20,0),FALSE),""))</f>
        <v/>
      </c>
      <c r="D254" s="1">
        <f>IF(B254="PAL","",IFERROR(VLOOKUP(B254,'General price list'!C:BA,MATCH("OBJ",'General price list'!$C$20:$BA$20,0),FALSE),""))</f>
        <v>0</v>
      </c>
      <c r="E254" s="1">
        <f t="shared" si="31"/>
        <v>0</v>
      </c>
      <c r="F254" s="1">
        <f t="shared" si="32"/>
        <v>0</v>
      </c>
      <c r="G254" s="1">
        <f t="shared" si="33"/>
        <v>0</v>
      </c>
      <c r="H254" s="1">
        <f t="shared" si="34"/>
        <v>0</v>
      </c>
      <c r="I254" s="1">
        <f t="shared" si="35"/>
        <v>0</v>
      </c>
      <c r="J254">
        <f>IF(B254="PAL","",IFERROR(IF(C254="",VLOOKUP(B254,'General price list'!C:BA,MATCH("CBM",'General price list'!$C$20:$BA$20,0),FALSE)*D254,VLOOKUP(B254,'General price list'!C:BA,MATCH("CBM",'General price list'!$C$20:$BA$20,0),FALSE)*(G254*C254)),0))</f>
        <v>0</v>
      </c>
    </row>
    <row r="255" spans="2:10" ht="15" customHeight="1">
      <c r="B255" s="790" t="str">
        <f>IF(B254="PAL","",'General price list'!C275)</f>
        <v>RS6O</v>
      </c>
      <c r="C255" s="1" t="str">
        <f>IF(B255="PAL","",IFERROR(VLOOKUP(B255,'General price list'!C:BA,MATCH("PAL",'General price list'!$C$20:$BA$20,0),FALSE),""))</f>
        <v/>
      </c>
      <c r="D255" s="1">
        <f>IF(B255="PAL","",IFERROR(VLOOKUP(B255,'General price list'!C:BA,MATCH("OBJ",'General price list'!$C$20:$BA$20,0),FALSE),""))</f>
        <v>0</v>
      </c>
      <c r="E255" s="1">
        <f t="shared" si="31"/>
        <v>0</v>
      </c>
      <c r="F255" s="1">
        <f t="shared" si="32"/>
        <v>0</v>
      </c>
      <c r="G255" s="1">
        <f t="shared" si="33"/>
        <v>0</v>
      </c>
      <c r="H255" s="1">
        <f t="shared" si="34"/>
        <v>0</v>
      </c>
      <c r="I255" s="1">
        <f t="shared" si="35"/>
        <v>0</v>
      </c>
      <c r="J255">
        <f>IF(B255="PAL","",IFERROR(IF(C255="",VLOOKUP(B255,'General price list'!C:BA,MATCH("CBM",'General price list'!$C$20:$BA$20,0),FALSE)*D255,VLOOKUP(B255,'General price list'!C:BA,MATCH("CBM",'General price list'!$C$20:$BA$20,0),FALSE)*(G255*C255)),0))</f>
        <v>0</v>
      </c>
    </row>
    <row r="256" spans="2:10" ht="15" customHeight="1">
      <c r="B256" s="790" t="str">
        <f>IF(B255="PAL","",'General price list'!C276)</f>
        <v>RS6S</v>
      </c>
      <c r="C256" s="1" t="str">
        <f>IF(B256="PAL","",IFERROR(VLOOKUP(B256,'General price list'!C:BA,MATCH("PAL",'General price list'!$C$20:$BA$20,0),FALSE),""))</f>
        <v/>
      </c>
      <c r="D256" s="1">
        <f>IF(B256="PAL","",IFERROR(VLOOKUP(B256,'General price list'!C:BA,MATCH("OBJ",'General price list'!$C$20:$BA$20,0),FALSE),""))</f>
        <v>0</v>
      </c>
      <c r="E256" s="1">
        <f t="shared" si="31"/>
        <v>0</v>
      </c>
      <c r="F256" s="1">
        <f t="shared" si="32"/>
        <v>0</v>
      </c>
      <c r="G256" s="1">
        <f t="shared" si="33"/>
        <v>0</v>
      </c>
      <c r="H256" s="1">
        <f t="shared" si="34"/>
        <v>0</v>
      </c>
      <c r="I256" s="1">
        <f t="shared" si="35"/>
        <v>0</v>
      </c>
      <c r="J256">
        <f>IF(B256="PAL","",IFERROR(IF(C256="",VLOOKUP(B256,'General price list'!C:BA,MATCH("CBM",'General price list'!$C$20:$BA$20,0),FALSE)*D256,VLOOKUP(B256,'General price list'!C:BA,MATCH("CBM",'General price list'!$C$20:$BA$20,0),FALSE)*(G256*C256)),0))</f>
        <v>0</v>
      </c>
    </row>
    <row r="257" spans="2:10" ht="15" customHeight="1">
      <c r="B257" s="790" t="str">
        <f>IF(B256="PAL","",'General price list'!C277)</f>
        <v>RS6SM</v>
      </c>
      <c r="C257" s="1" t="str">
        <f>IF(B257="PAL","",IFERROR(VLOOKUP(B257,'General price list'!C:BA,MATCH("PAL",'General price list'!$C$20:$BA$20,0),FALSE),""))</f>
        <v/>
      </c>
      <c r="D257" s="1">
        <f>IF(B257="PAL","",IFERROR(VLOOKUP(B257,'General price list'!C:BA,MATCH("OBJ",'General price list'!$C$20:$BA$20,0),FALSE),""))</f>
        <v>0</v>
      </c>
      <c r="E257" s="1">
        <f t="shared" si="31"/>
        <v>0</v>
      </c>
      <c r="F257" s="1">
        <f t="shared" si="32"/>
        <v>0</v>
      </c>
      <c r="G257" s="1">
        <f t="shared" si="33"/>
        <v>0</v>
      </c>
      <c r="H257" s="1">
        <f t="shared" si="34"/>
        <v>0</v>
      </c>
      <c r="I257" s="1">
        <f t="shared" si="35"/>
        <v>0</v>
      </c>
      <c r="J257">
        <f>IF(B257="PAL","",IFERROR(IF(C257="",VLOOKUP(B257,'General price list'!C:BA,MATCH("CBM",'General price list'!$C$20:$BA$20,0),FALSE)*D257,VLOOKUP(B257,'General price list'!C:BA,MATCH("CBM",'General price list'!$C$20:$BA$20,0),FALSE)*(G257*C257)),0))</f>
        <v>0</v>
      </c>
    </row>
    <row r="258" spans="2:10" ht="15" customHeight="1">
      <c r="B258" s="790" t="str">
        <f>IF(B257="PAL","",'General price list'!C278)</f>
        <v>R12T1</v>
      </c>
      <c r="C258" s="1" t="str">
        <f>IF(B258="PAL","",IFERROR(VLOOKUP(B258,'General price list'!C:BA,MATCH("PAL",'General price list'!$C$20:$BA$20,0),FALSE),""))</f>
        <v/>
      </c>
      <c r="D258" s="1">
        <f>IF(B258="PAL","",IFERROR(VLOOKUP(B258,'General price list'!C:BA,MATCH("OBJ",'General price list'!$C$20:$BA$20,0),FALSE),""))</f>
        <v>0</v>
      </c>
      <c r="E258" s="1">
        <f t="shared" si="31"/>
        <v>0</v>
      </c>
      <c r="F258" s="1">
        <f t="shared" si="32"/>
        <v>0</v>
      </c>
      <c r="G258" s="1">
        <f t="shared" si="33"/>
        <v>0</v>
      </c>
      <c r="H258" s="1">
        <f t="shared" si="34"/>
        <v>0</v>
      </c>
      <c r="I258" s="1">
        <f t="shared" si="35"/>
        <v>0</v>
      </c>
      <c r="J258">
        <f>IF(B258="PAL","",IFERROR(IF(C258="",VLOOKUP(B258,'General price list'!C:BA,MATCH("CBM",'General price list'!$C$20:$BA$20,0),FALSE)*D258,VLOOKUP(B258,'General price list'!C:BA,MATCH("CBM",'General price list'!$C$20:$BA$20,0),FALSE)*(G258*C258)),0))</f>
        <v>0</v>
      </c>
    </row>
    <row r="259" spans="2:10" ht="15" customHeight="1">
      <c r="B259" s="790" t="str">
        <f>IF(B258="PAL","",'General price list'!C279)</f>
        <v>R12T3</v>
      </c>
      <c r="C259" s="1" t="str">
        <f>IF(B259="PAL","",IFERROR(VLOOKUP(B259,'General price list'!C:BA,MATCH("PAL",'General price list'!$C$20:$BA$20,0),FALSE),""))</f>
        <v/>
      </c>
      <c r="D259" s="1">
        <f>IF(B259="PAL","",IFERROR(VLOOKUP(B259,'General price list'!C:BA,MATCH("OBJ",'General price list'!$C$20:$BA$20,0),FALSE),""))</f>
        <v>0</v>
      </c>
      <c r="E259" s="1">
        <f t="shared" si="31"/>
        <v>0</v>
      </c>
      <c r="F259" s="1">
        <f t="shared" si="32"/>
        <v>0</v>
      </c>
      <c r="G259" s="1">
        <f t="shared" si="33"/>
        <v>0</v>
      </c>
      <c r="H259" s="1">
        <f t="shared" si="34"/>
        <v>0</v>
      </c>
      <c r="I259" s="1">
        <f t="shared" si="35"/>
        <v>0</v>
      </c>
      <c r="J259">
        <f>IF(B259="PAL","",IFERROR(IF(C259="",VLOOKUP(B259,'General price list'!C:BA,MATCH("CBM",'General price list'!$C$20:$BA$20,0),FALSE)*D259,VLOOKUP(B259,'General price list'!C:BA,MATCH("CBM",'General price list'!$C$20:$BA$20,0),FALSE)*(G259*C259)),0))</f>
        <v>0</v>
      </c>
    </row>
    <row r="260" spans="2:10" ht="15" customHeight="1">
      <c r="B260" s="790" t="str">
        <f>IF(B259="PAL","",'General price list'!C280)</f>
        <v>RSD6</v>
      </c>
      <c r="C260" s="1" t="str">
        <f>IF(B260="PAL","",IFERROR(VLOOKUP(B260,'General price list'!C:BA,MATCH("PAL",'General price list'!$C$20:$BA$20,0),FALSE),""))</f>
        <v/>
      </c>
      <c r="D260" s="1">
        <f>IF(B260="PAL","",IFERROR(VLOOKUP(B260,'General price list'!C:BA,MATCH("OBJ",'General price list'!$C$20:$BA$20,0),FALSE),""))</f>
        <v>0</v>
      </c>
      <c r="E260" s="1">
        <f t="shared" si="31"/>
        <v>0</v>
      </c>
      <c r="F260" s="1">
        <f t="shared" si="32"/>
        <v>0</v>
      </c>
      <c r="G260" s="1">
        <f t="shared" si="33"/>
        <v>0</v>
      </c>
      <c r="H260" s="1">
        <f t="shared" si="34"/>
        <v>0</v>
      </c>
      <c r="I260" s="1">
        <f t="shared" si="35"/>
        <v>0</v>
      </c>
      <c r="J260">
        <f>IF(B260="PAL","",IFERROR(IF(C260="",VLOOKUP(B260,'General price list'!C:BA,MATCH("CBM",'General price list'!$C$20:$BA$20,0),FALSE)*D260,VLOOKUP(B260,'General price list'!C:BA,MATCH("CBM",'General price list'!$C$20:$BA$20,0),FALSE)*(G260*C260)),0))</f>
        <v>0</v>
      </c>
    </row>
    <row r="261" spans="2:10" ht="15" customHeight="1">
      <c r="B261" s="790" t="str">
        <f>IF(B260="PAL","",'General price list'!C281)</f>
        <v>RS6XS</v>
      </c>
      <c r="C261" s="1" t="str">
        <f>IF(B261="PAL","",IFERROR(VLOOKUP(B261,'General price list'!C:BA,MATCH("PAL",'General price list'!$C$20:$BA$20,0),FALSE),""))</f>
        <v/>
      </c>
      <c r="D261" s="1">
        <f>IF(B261="PAL","",IFERROR(VLOOKUP(B261,'General price list'!C:BA,MATCH("OBJ",'General price list'!$C$20:$BA$20,0),FALSE),""))</f>
        <v>0</v>
      </c>
      <c r="E261" s="1">
        <f t="shared" si="31"/>
        <v>0</v>
      </c>
      <c r="F261" s="1">
        <f t="shared" si="32"/>
        <v>0</v>
      </c>
      <c r="G261" s="1">
        <f t="shared" si="33"/>
        <v>0</v>
      </c>
      <c r="H261" s="1">
        <f t="shared" si="34"/>
        <v>0</v>
      </c>
      <c r="I261" s="1">
        <f t="shared" si="35"/>
        <v>0</v>
      </c>
      <c r="J261">
        <f>IF(B261="PAL","",IFERROR(IF(C261="",VLOOKUP(B261,'General price list'!C:BA,MATCH("CBM",'General price list'!$C$20:$BA$20,0),FALSE)*D261,VLOOKUP(B261,'General price list'!C:BA,MATCH("CBM",'General price list'!$C$20:$BA$20,0),FALSE)*(G261*C261)),0))</f>
        <v>0</v>
      </c>
    </row>
    <row r="262" spans="2:10" ht="15" customHeight="1">
      <c r="B262" s="790" t="str">
        <f>IF(B261="PAL","",'General price list'!C282)</f>
        <v>RS5DU</v>
      </c>
      <c r="C262" s="1" t="str">
        <f>IF(B262="PAL","",IFERROR(VLOOKUP(B262,'General price list'!C:BA,MATCH("PAL",'General price list'!$C$20:$BA$20,0),FALSE),""))</f>
        <v/>
      </c>
      <c r="D262" s="1">
        <f>IF(B262="PAL","",IFERROR(VLOOKUP(B262,'General price list'!C:BA,MATCH("OBJ",'General price list'!$C$20:$BA$20,0),FALSE),""))</f>
        <v>0</v>
      </c>
      <c r="E262" s="1">
        <f t="shared" si="31"/>
        <v>0</v>
      </c>
      <c r="F262" s="1">
        <f t="shared" si="32"/>
        <v>0</v>
      </c>
      <c r="G262" s="1">
        <f t="shared" si="33"/>
        <v>0</v>
      </c>
      <c r="H262" s="1">
        <f t="shared" si="34"/>
        <v>0</v>
      </c>
      <c r="I262" s="1">
        <f t="shared" si="35"/>
        <v>0</v>
      </c>
      <c r="J262">
        <f>IF(B262="PAL","",IFERROR(IF(C262="",VLOOKUP(B262,'General price list'!C:BA,MATCH("CBM",'General price list'!$C$20:$BA$20,0),FALSE)*D262,VLOOKUP(B262,'General price list'!C:BA,MATCH("CBM",'General price list'!$C$20:$BA$20,0),FALSE)*(G262*C262)),0))</f>
        <v>0</v>
      </c>
    </row>
    <row r="263" spans="2:10" ht="15" customHeight="1">
      <c r="B263" s="790" t="str">
        <f>IF(B262="PAL","",'General price list'!C283)</f>
        <v>HF24733RK</v>
      </c>
      <c r="C263" s="1" t="str">
        <f>IF(B263="PAL","",IFERROR(VLOOKUP(B263,'General price list'!C:BA,MATCH("PAL",'General price list'!$C$20:$BA$20,0),FALSE),""))</f>
        <v/>
      </c>
      <c r="D263" s="1">
        <f>IF(B263="PAL","",IFERROR(VLOOKUP(B263,'General price list'!C:BA,MATCH("OBJ",'General price list'!$C$20:$BA$20,0),FALSE),""))</f>
        <v>0</v>
      </c>
      <c r="E263" s="1">
        <f t="shared" si="31"/>
        <v>0</v>
      </c>
      <c r="F263" s="1">
        <f t="shared" si="32"/>
        <v>0</v>
      </c>
      <c r="G263" s="1">
        <f t="shared" si="33"/>
        <v>0</v>
      </c>
      <c r="H263" s="1">
        <f t="shared" si="34"/>
        <v>0</v>
      </c>
      <c r="I263" s="1">
        <f t="shared" si="35"/>
        <v>0</v>
      </c>
      <c r="J263">
        <f>IF(B263="PAL","",IFERROR(IF(C263="",VLOOKUP(B263,'General price list'!C:BA,MATCH("CBM",'General price list'!$C$20:$BA$20,0),FALSE)*D263,VLOOKUP(B263,'General price list'!C:BA,MATCH("CBM",'General price list'!$C$20:$BA$20,0),FALSE)*(G263*C263)),0))</f>
        <v>0</v>
      </c>
    </row>
    <row r="264" spans="2:10" ht="15" customHeight="1">
      <c r="B264" s="790" t="str">
        <f>IF(B263="PAL","",'General price list'!C284)</f>
        <v>RS4H14</v>
      </c>
      <c r="C264" s="1" t="str">
        <f>IF(B264="PAL","",IFERROR(VLOOKUP(B264,'General price list'!C:BA,MATCH("PAL",'General price list'!$C$20:$BA$20,0),FALSE),""))</f>
        <v/>
      </c>
      <c r="D264" s="1">
        <f>IF(B264="PAL","",IFERROR(VLOOKUP(B264,'General price list'!C:BA,MATCH("OBJ",'General price list'!$C$20:$BA$20,0),FALSE),""))</f>
        <v>0</v>
      </c>
      <c r="E264" s="1">
        <f t="shared" si="31"/>
        <v>0</v>
      </c>
      <c r="F264" s="1">
        <f t="shared" si="32"/>
        <v>0</v>
      </c>
      <c r="G264" s="1">
        <f t="shared" si="33"/>
        <v>0</v>
      </c>
      <c r="H264" s="1">
        <f t="shared" si="34"/>
        <v>0</v>
      </c>
      <c r="I264" s="1">
        <f t="shared" si="35"/>
        <v>0</v>
      </c>
      <c r="J264">
        <f>IF(B264="PAL","",IFERROR(IF(C264="",VLOOKUP(B264,'General price list'!C:BA,MATCH("CBM",'General price list'!$C$20:$BA$20,0),FALSE)*D264,VLOOKUP(B264,'General price list'!C:BA,MATCH("CBM",'General price list'!$C$20:$BA$20,0),FALSE)*(G264*C264)),0))</f>
        <v>0</v>
      </c>
    </row>
    <row r="265" spans="2:10" ht="15" customHeight="1">
      <c r="B265" s="790" t="str">
        <f>IF(B264="PAL","",'General price list'!C285)</f>
        <v>RS7MD14</v>
      </c>
      <c r="C265" s="1" t="str">
        <f>IF(B265="PAL","",IFERROR(VLOOKUP(B265,'General price list'!C:BA,MATCH("PAL",'General price list'!$C$20:$BA$20,0),FALSE),""))</f>
        <v/>
      </c>
      <c r="D265" s="1">
        <f>IF(B265="PAL","",IFERROR(VLOOKUP(B265,'General price list'!C:BA,MATCH("OBJ",'General price list'!$C$20:$BA$20,0),FALSE),""))</f>
        <v>0</v>
      </c>
      <c r="E265" s="1">
        <f t="shared" si="31"/>
        <v>0</v>
      </c>
      <c r="F265" s="1">
        <f t="shared" si="32"/>
        <v>0</v>
      </c>
      <c r="G265" s="1">
        <f t="shared" si="33"/>
        <v>0</v>
      </c>
      <c r="H265" s="1">
        <f t="shared" si="34"/>
        <v>0</v>
      </c>
      <c r="I265" s="1">
        <f t="shared" si="35"/>
        <v>0</v>
      </c>
      <c r="J265">
        <f>IF(B265="PAL","",IFERROR(IF(C265="",VLOOKUP(B265,'General price list'!C:BA,MATCH("CBM",'General price list'!$C$20:$BA$20,0),FALSE)*D265,VLOOKUP(B265,'General price list'!C:BA,MATCH("CBM",'General price list'!$C$20:$BA$20,0),FALSE)*(G265*C265)),0))</f>
        <v>0</v>
      </c>
    </row>
    <row r="266" spans="2:10" ht="15" customHeight="1">
      <c r="B266" s="790" t="str">
        <f>IF(B265="PAL","",'General price list'!C286)</f>
        <v>RS7T14</v>
      </c>
      <c r="C266" s="1" t="str">
        <f>IF(B266="PAL","",IFERROR(VLOOKUP(B266,'General price list'!C:BA,MATCH("PAL",'General price list'!$C$20:$BA$20,0),FALSE),""))</f>
        <v/>
      </c>
      <c r="D266" s="1">
        <f>IF(B266="PAL","",IFERROR(VLOOKUP(B266,'General price list'!C:BA,MATCH("OBJ",'General price list'!$C$20:$BA$20,0),FALSE),""))</f>
        <v>0</v>
      </c>
      <c r="E266" s="1">
        <f t="shared" si="31"/>
        <v>0</v>
      </c>
      <c r="F266" s="1">
        <f t="shared" si="32"/>
        <v>0</v>
      </c>
      <c r="G266" s="1">
        <f t="shared" si="33"/>
        <v>0</v>
      </c>
      <c r="H266" s="1">
        <f t="shared" si="34"/>
        <v>0</v>
      </c>
      <c r="I266" s="1">
        <f t="shared" si="35"/>
        <v>0</v>
      </c>
      <c r="J266">
        <f>IF(B266="PAL","",IFERROR(IF(C266="",VLOOKUP(B266,'General price list'!C:BA,MATCH("CBM",'General price list'!$C$20:$BA$20,0),FALSE)*D266,VLOOKUP(B266,'General price list'!C:BA,MATCH("CBM",'General price list'!$C$20:$BA$20,0),FALSE)*(G266*C266)),0))</f>
        <v>0</v>
      </c>
    </row>
    <row r="267" spans="2:10" ht="15" customHeight="1">
      <c r="B267" s="790" t="str">
        <f>IF(B266="PAL","",'General price list'!C287)</f>
        <v>RS9T14</v>
      </c>
      <c r="C267" s="1" t="str">
        <f>IF(B267="PAL","",IFERROR(VLOOKUP(B267,'General price list'!C:BA,MATCH("PAL",'General price list'!$C$20:$BA$20,0),FALSE),""))</f>
        <v/>
      </c>
      <c r="D267" s="1">
        <f>IF(B267="PAL","",IFERROR(VLOOKUP(B267,'General price list'!C:BA,MATCH("OBJ",'General price list'!$C$20:$BA$20,0),FALSE),""))</f>
        <v>0</v>
      </c>
      <c r="E267" s="1">
        <f t="shared" si="31"/>
        <v>0</v>
      </c>
      <c r="F267" s="1">
        <f t="shared" si="32"/>
        <v>0</v>
      </c>
      <c r="G267" s="1">
        <f t="shared" si="33"/>
        <v>0</v>
      </c>
      <c r="H267" s="1">
        <f t="shared" si="34"/>
        <v>0</v>
      </c>
      <c r="I267" s="1">
        <f t="shared" si="35"/>
        <v>0</v>
      </c>
      <c r="J267">
        <f>IF(B267="PAL","",IFERROR(IF(C267="",VLOOKUP(B267,'General price list'!C:BA,MATCH("CBM",'General price list'!$C$20:$BA$20,0),FALSE)*D267,VLOOKUP(B267,'General price list'!C:BA,MATCH("CBM",'General price list'!$C$20:$BA$20,0),FALSE)*(G267*C267)),0))</f>
        <v>0</v>
      </c>
    </row>
    <row r="268" spans="2:10" ht="15" customHeight="1">
      <c r="B268" s="790" t="str">
        <f>IF(B267="PAL","",'General price list'!C288)</f>
        <v>RS9P14</v>
      </c>
      <c r="C268" s="1" t="str">
        <f>IF(B268="PAL","",IFERROR(VLOOKUP(B268,'General price list'!C:BA,MATCH("PAL",'General price list'!$C$20:$BA$20,0),FALSE),""))</f>
        <v/>
      </c>
      <c r="D268" s="1">
        <f>IF(B268="PAL","",IFERROR(VLOOKUP(B268,'General price list'!C:BA,MATCH("OBJ",'General price list'!$C$20:$BA$20,0),FALSE),""))</f>
        <v>0</v>
      </c>
      <c r="E268" s="1">
        <f t="shared" ref="E268:E331" si="36">IF(B268="PAL","",IFERROR(D268/C268,0))</f>
        <v>0</v>
      </c>
      <c r="F268" s="1">
        <f t="shared" ref="F268:F331" si="37">IF(B268="PAL","",IFERROR(FLOOR(IF(E268-1&lt;0,0,E268),1),0))</f>
        <v>0</v>
      </c>
      <c r="G268" s="1">
        <f t="shared" ref="G268:G331" si="38">IF(B268="PAL","",IFERROR(IF(H268&gt;E268,F268-E268,E268-F268),0))</f>
        <v>0</v>
      </c>
      <c r="H268" s="1">
        <f t="shared" ref="H268:H331" si="39">IF(B268="PAL","",IFERROR(IF(E268=0,0,F268),0))</f>
        <v>0</v>
      </c>
      <c r="I268" s="1">
        <f t="shared" ref="I268:I331" si="40">IF(B268="PAL","",IFERROR(IF(D268=0,0,IF(F268=0,(D268*nextVK)+(prvniVK-nextVK),(G268*C268*nextVK)+(F268*PALzKoje))),0))</f>
        <v>0</v>
      </c>
      <c r="J268">
        <f>IF(B268="PAL","",IFERROR(IF(C268="",VLOOKUP(B268,'General price list'!C:BA,MATCH("CBM",'General price list'!$C$20:$BA$20,0),FALSE)*D268,VLOOKUP(B268,'General price list'!C:BA,MATCH("CBM",'General price list'!$C$20:$BA$20,0),FALSE)*(G268*C268)),0))</f>
        <v>0</v>
      </c>
    </row>
    <row r="269" spans="2:10" ht="15" customHeight="1">
      <c r="B269" s="790" t="str">
        <f>IF(B268="PAL","",'General price list'!C289)</f>
        <v>RS11HF2</v>
      </c>
      <c r="C269" s="1" t="str">
        <f>IF(B269="PAL","",IFERROR(VLOOKUP(B269,'General price list'!C:BA,MATCH("PAL",'General price list'!$C$20:$BA$20,0),FALSE),""))</f>
        <v/>
      </c>
      <c r="D269" s="1">
        <f>IF(B269="PAL","",IFERROR(VLOOKUP(B269,'General price list'!C:BA,MATCH("OBJ",'General price list'!$C$20:$BA$20,0),FALSE),""))</f>
        <v>0</v>
      </c>
      <c r="E269" s="1">
        <f t="shared" si="36"/>
        <v>0</v>
      </c>
      <c r="F269" s="1">
        <f t="shared" si="37"/>
        <v>0</v>
      </c>
      <c r="G269" s="1">
        <f t="shared" si="38"/>
        <v>0</v>
      </c>
      <c r="H269" s="1">
        <f t="shared" si="39"/>
        <v>0</v>
      </c>
      <c r="I269" s="1">
        <f t="shared" si="40"/>
        <v>0</v>
      </c>
      <c r="J269">
        <f>IF(B269="PAL","",IFERROR(IF(C269="",VLOOKUP(B269,'General price list'!C:BA,MATCH("CBM",'General price list'!$C$20:$BA$20,0),FALSE)*D269,VLOOKUP(B269,'General price list'!C:BA,MATCH("CBM",'General price list'!$C$20:$BA$20,0),FALSE)*(G269*C269)),0))</f>
        <v>0</v>
      </c>
    </row>
    <row r="270" spans="2:10" ht="15" customHeight="1">
      <c r="B270" s="790" t="str">
        <f>IF(B269="PAL","",'General price list'!C290)</f>
        <v>SP3CF2</v>
      </c>
      <c r="C270" s="1" t="str">
        <f>IF(B270="PAL","",IFERROR(VLOOKUP(B270,'General price list'!C:BA,MATCH("PAL",'General price list'!$C$20:$BA$20,0),FALSE),""))</f>
        <v/>
      </c>
      <c r="D270" s="1">
        <f>IF(B270="PAL","",IFERROR(VLOOKUP(B270,'General price list'!C:BA,MATCH("OBJ",'General price list'!$C$20:$BA$20,0),FALSE),""))</f>
        <v>0</v>
      </c>
      <c r="E270" s="1">
        <f t="shared" si="36"/>
        <v>0</v>
      </c>
      <c r="F270" s="1">
        <f t="shared" si="37"/>
        <v>0</v>
      </c>
      <c r="G270" s="1">
        <f t="shared" si="38"/>
        <v>0</v>
      </c>
      <c r="H270" s="1">
        <f t="shared" si="39"/>
        <v>0</v>
      </c>
      <c r="I270" s="1">
        <f t="shared" si="40"/>
        <v>0</v>
      </c>
      <c r="J270">
        <f>IF(B270="PAL","",IFERROR(IF(C270="",VLOOKUP(B270,'General price list'!C:BA,MATCH("CBM",'General price list'!$C$20:$BA$20,0),FALSE)*D270,VLOOKUP(B270,'General price list'!C:BA,MATCH("CBM",'General price list'!$C$20:$BA$20,0),FALSE)*(G270*C270)),0))</f>
        <v>0</v>
      </c>
    </row>
    <row r="271" spans="2:10" ht="15" customHeight="1">
      <c r="B271" s="790" t="str">
        <f>IF(B270="PAL","",'General price list'!C291)</f>
        <v>RS18TF2</v>
      </c>
      <c r="C271" s="1" t="str">
        <f>IF(B271="PAL","",IFERROR(VLOOKUP(B271,'General price list'!C:BA,MATCH("PAL",'General price list'!$C$20:$BA$20,0),FALSE),""))</f>
        <v/>
      </c>
      <c r="D271" s="1">
        <f>IF(B271="PAL","",IFERROR(VLOOKUP(B271,'General price list'!C:BA,MATCH("OBJ",'General price list'!$C$20:$BA$20,0),FALSE),""))</f>
        <v>0</v>
      </c>
      <c r="E271" s="1">
        <f t="shared" si="36"/>
        <v>0</v>
      </c>
      <c r="F271" s="1">
        <f t="shared" si="37"/>
        <v>0</v>
      </c>
      <c r="G271" s="1">
        <f t="shared" si="38"/>
        <v>0</v>
      </c>
      <c r="H271" s="1">
        <f t="shared" si="39"/>
        <v>0</v>
      </c>
      <c r="I271" s="1">
        <f t="shared" si="40"/>
        <v>0</v>
      </c>
      <c r="J271">
        <f>IF(B271="PAL","",IFERROR(IF(C271="",VLOOKUP(B271,'General price list'!C:BA,MATCH("CBM",'General price list'!$C$20:$BA$20,0),FALSE)*D271,VLOOKUP(B271,'General price list'!C:BA,MATCH("CBM",'General price list'!$C$20:$BA$20,0),FALSE)*(G271*C271)),0))</f>
        <v>0</v>
      </c>
    </row>
    <row r="272" spans="2:10" ht="15" customHeight="1">
      <c r="B272" s="790" t="str">
        <f>IF(B271="PAL","",'General price list'!C292)</f>
        <v>RS18SF2</v>
      </c>
      <c r="C272" s="1" t="str">
        <f>IF(B272="PAL","",IFERROR(VLOOKUP(B272,'General price list'!C:BA,MATCH("PAL",'General price list'!$C$20:$BA$20,0),FALSE),""))</f>
        <v/>
      </c>
      <c r="D272" s="1">
        <f>IF(B272="PAL","",IFERROR(VLOOKUP(B272,'General price list'!C:BA,MATCH("OBJ",'General price list'!$C$20:$BA$20,0),FALSE),""))</f>
        <v>0</v>
      </c>
      <c r="E272" s="1">
        <f t="shared" si="36"/>
        <v>0</v>
      </c>
      <c r="F272" s="1">
        <f t="shared" si="37"/>
        <v>0</v>
      </c>
      <c r="G272" s="1">
        <f t="shared" si="38"/>
        <v>0</v>
      </c>
      <c r="H272" s="1">
        <f t="shared" si="39"/>
        <v>0</v>
      </c>
      <c r="I272" s="1">
        <f t="shared" si="40"/>
        <v>0</v>
      </c>
      <c r="J272">
        <f>IF(B272="PAL","",IFERROR(IF(C272="",VLOOKUP(B272,'General price list'!C:BA,MATCH("CBM",'General price list'!$C$20:$BA$20,0),FALSE)*D272,VLOOKUP(B272,'General price list'!C:BA,MATCH("CBM",'General price list'!$C$20:$BA$20,0),FALSE)*(G272*C272)),0))</f>
        <v>0</v>
      </c>
    </row>
    <row r="273" spans="2:10" ht="15" customHeight="1">
      <c r="B273" s="790" t="str">
        <f>IF(B272="PAL","",'General price list'!C293)</f>
        <v>RS21Z14</v>
      </c>
      <c r="C273" s="1" t="str">
        <f>IF(B273="PAL","",IFERROR(VLOOKUP(B273,'General price list'!C:BA,MATCH("PAL",'General price list'!$C$20:$BA$20,0),FALSE),""))</f>
        <v/>
      </c>
      <c r="D273" s="1">
        <f>IF(B273="PAL","",IFERROR(VLOOKUP(B273,'General price list'!C:BA,MATCH("OBJ",'General price list'!$C$20:$BA$20,0),FALSE),""))</f>
        <v>0</v>
      </c>
      <c r="E273" s="1">
        <f t="shared" si="36"/>
        <v>0</v>
      </c>
      <c r="F273" s="1">
        <f t="shared" si="37"/>
        <v>0</v>
      </c>
      <c r="G273" s="1">
        <f t="shared" si="38"/>
        <v>0</v>
      </c>
      <c r="H273" s="1">
        <f t="shared" si="39"/>
        <v>0</v>
      </c>
      <c r="I273" s="1">
        <f t="shared" si="40"/>
        <v>0</v>
      </c>
      <c r="J273">
        <f>IF(B273="PAL","",IFERROR(IF(C273="",VLOOKUP(B273,'General price list'!C:BA,MATCH("CBM",'General price list'!$C$20:$BA$20,0),FALSE)*D273,VLOOKUP(B273,'General price list'!C:BA,MATCH("CBM",'General price list'!$C$20:$BA$20,0),FALSE)*(G273*C273)),0))</f>
        <v>0</v>
      </c>
    </row>
    <row r="274" spans="2:10" ht="15" customHeight="1">
      <c r="B274" s="790" t="str">
        <f>IF(B273="PAL","",'General price list'!C294)</f>
        <v>RS33R14</v>
      </c>
      <c r="C274" s="1" t="str">
        <f>IF(B274="PAL","",IFERROR(VLOOKUP(B274,'General price list'!C:BA,MATCH("PAL",'General price list'!$C$20:$BA$20,0),FALSE),""))</f>
        <v/>
      </c>
      <c r="D274" s="1">
        <f>IF(B274="PAL","",IFERROR(VLOOKUP(B274,'General price list'!C:BA,MATCH("OBJ",'General price list'!$C$20:$BA$20,0),FALSE),""))</f>
        <v>0</v>
      </c>
      <c r="E274" s="1">
        <f t="shared" si="36"/>
        <v>0</v>
      </c>
      <c r="F274" s="1">
        <f t="shared" si="37"/>
        <v>0</v>
      </c>
      <c r="G274" s="1">
        <f t="shared" si="38"/>
        <v>0</v>
      </c>
      <c r="H274" s="1">
        <f t="shared" si="39"/>
        <v>0</v>
      </c>
      <c r="I274" s="1">
        <f t="shared" si="40"/>
        <v>0</v>
      </c>
      <c r="J274">
        <f>IF(B274="PAL","",IFERROR(IF(C274="",VLOOKUP(B274,'General price list'!C:BA,MATCH("CBM",'General price list'!$C$20:$BA$20,0),FALSE)*D274,VLOOKUP(B274,'General price list'!C:BA,MATCH("CBM",'General price list'!$C$20:$BA$20,0),FALSE)*(G274*C274)),0))</f>
        <v>0</v>
      </c>
    </row>
    <row r="275" spans="2:10" ht="15" customHeight="1">
      <c r="B275" s="790" t="str">
        <f>IF(B274="PAL","",'General price list'!C295)</f>
        <v>RSSF2</v>
      </c>
      <c r="C275" s="1" t="str">
        <f>IF(B275="PAL","",IFERROR(VLOOKUP(B275,'General price list'!C:BA,MATCH("PAL",'General price list'!$C$20:$BA$20,0),FALSE),""))</f>
        <v/>
      </c>
      <c r="D275" s="1">
        <f>IF(B275="PAL","",IFERROR(VLOOKUP(B275,'General price list'!C:BA,MATCH("OBJ",'General price list'!$C$20:$BA$20,0),FALSE),""))</f>
        <v>0</v>
      </c>
      <c r="E275" s="1">
        <f t="shared" si="36"/>
        <v>0</v>
      </c>
      <c r="F275" s="1">
        <f t="shared" si="37"/>
        <v>0</v>
      </c>
      <c r="G275" s="1">
        <f t="shared" si="38"/>
        <v>0</v>
      </c>
      <c r="H275" s="1">
        <f t="shared" si="39"/>
        <v>0</v>
      </c>
      <c r="I275" s="1">
        <f t="shared" si="40"/>
        <v>0</v>
      </c>
      <c r="J275">
        <f>IF(B275="PAL","",IFERROR(IF(C275="",VLOOKUP(B275,'General price list'!C:BA,MATCH("CBM",'General price list'!$C$20:$BA$20,0),FALSE)*D275,VLOOKUP(B275,'General price list'!C:BA,MATCH("CBM",'General price list'!$C$20:$BA$20,0),FALSE)*(G275*C275)),0))</f>
        <v>0</v>
      </c>
    </row>
    <row r="276" spans="2:10" ht="15" customHeight="1">
      <c r="B276" s="790" t="str">
        <f>IF(B275="PAL","",'General price list'!C296)</f>
        <v>RSS75</v>
      </c>
      <c r="C276" s="1" t="str">
        <f>IF(B276="PAL","",IFERROR(VLOOKUP(B276,'General price list'!C:BA,MATCH("PAL",'General price list'!$C$20:$BA$20,0),FALSE),""))</f>
        <v/>
      </c>
      <c r="D276" s="1">
        <f>IF(B276="PAL","",IFERROR(VLOOKUP(B276,'General price list'!C:BA,MATCH("OBJ",'General price list'!$C$20:$BA$20,0),FALSE),""))</f>
        <v>0</v>
      </c>
      <c r="E276" s="1">
        <f t="shared" si="36"/>
        <v>0</v>
      </c>
      <c r="F276" s="1">
        <f t="shared" si="37"/>
        <v>0</v>
      </c>
      <c r="G276" s="1">
        <f t="shared" si="38"/>
        <v>0</v>
      </c>
      <c r="H276" s="1">
        <f t="shared" si="39"/>
        <v>0</v>
      </c>
      <c r="I276" s="1">
        <f t="shared" si="40"/>
        <v>0</v>
      </c>
      <c r="J276">
        <f>IF(B276="PAL","",IFERROR(IF(C276="",VLOOKUP(B276,'General price list'!C:BA,MATCH("CBM",'General price list'!$C$20:$BA$20,0),FALSE)*D276,VLOOKUP(B276,'General price list'!C:BA,MATCH("CBM",'General price list'!$C$20:$BA$20,0),FALSE)*(G276*C276)),0))</f>
        <v>0</v>
      </c>
    </row>
    <row r="277" spans="2:10" ht="15" customHeight="1">
      <c r="B277" s="790">
        <f>IF(B276="PAL","",'General price list'!C297)</f>
        <v>0</v>
      </c>
      <c r="C277" s="1" t="str">
        <f>IF(B277="PAL","",IFERROR(VLOOKUP(B277,'General price list'!C:BA,MATCH("PAL",'General price list'!$C$20:$BA$20,0),FALSE),""))</f>
        <v/>
      </c>
      <c r="D277" s="1" t="str">
        <f>IF(B277="PAL","",IFERROR(VLOOKUP(B277,'General price list'!C:BA,MATCH("OBJ",'General price list'!$C$20:$BA$20,0),FALSE),""))</f>
        <v/>
      </c>
      <c r="E277" s="1">
        <f t="shared" si="36"/>
        <v>0</v>
      </c>
      <c r="F277" s="1">
        <f t="shared" si="37"/>
        <v>0</v>
      </c>
      <c r="G277" s="1">
        <f t="shared" si="38"/>
        <v>0</v>
      </c>
      <c r="H277" s="1">
        <f t="shared" si="39"/>
        <v>0</v>
      </c>
      <c r="I277" s="1">
        <f t="shared" si="40"/>
        <v>0</v>
      </c>
      <c r="J277">
        <f>IF(B277="PAL","",IFERROR(IF(C277="",VLOOKUP(B277,'General price list'!C:BA,MATCH("CBM",'General price list'!$C$20:$BA$20,0),FALSE)*D277,VLOOKUP(B277,'General price list'!C:BA,MATCH("CBM",'General price list'!$C$20:$BA$20,0),FALSE)*(G277*C277)),0))</f>
        <v>0</v>
      </c>
    </row>
    <row r="278" spans="2:10" ht="15" customHeight="1">
      <c r="B278" s="790" t="str">
        <f>IF(B277="PAL","",'General price list'!C298)</f>
        <v>RS4D</v>
      </c>
      <c r="C278" s="1" t="str">
        <f>IF(B278="PAL","",IFERROR(VLOOKUP(B278,'General price list'!C:BA,MATCH("PAL",'General price list'!$C$20:$BA$20,0),FALSE),""))</f>
        <v/>
      </c>
      <c r="D278" s="1">
        <f>IF(B278="PAL","",IFERROR(VLOOKUP(B278,'General price list'!C:BA,MATCH("OBJ",'General price list'!$C$20:$BA$20,0),FALSE),""))</f>
        <v>0</v>
      </c>
      <c r="E278" s="1">
        <f t="shared" si="36"/>
        <v>0</v>
      </c>
      <c r="F278" s="1">
        <f t="shared" si="37"/>
        <v>0</v>
      </c>
      <c r="G278" s="1">
        <f t="shared" si="38"/>
        <v>0</v>
      </c>
      <c r="H278" s="1">
        <f t="shared" si="39"/>
        <v>0</v>
      </c>
      <c r="I278" s="1">
        <f t="shared" si="40"/>
        <v>0</v>
      </c>
      <c r="J278">
        <f>IF(B278="PAL","",IFERROR(IF(C278="",VLOOKUP(B278,'General price list'!C:BA,MATCH("CBM",'General price list'!$C$20:$BA$20,0),FALSE)*D278,VLOOKUP(B278,'General price list'!C:BA,MATCH("CBM",'General price list'!$C$20:$BA$20,0),FALSE)*(G278*C278)),0))</f>
        <v>0</v>
      </c>
    </row>
    <row r="279" spans="2:10" ht="15" customHeight="1">
      <c r="B279" s="790" t="str">
        <f>IF(B278="PAL","",'General price list'!C299)</f>
        <v>SP3C</v>
      </c>
      <c r="C279" s="1" t="str">
        <f>IF(B279="PAL","",IFERROR(VLOOKUP(B279,'General price list'!C:BA,MATCH("PAL",'General price list'!$C$20:$BA$20,0),FALSE),""))</f>
        <v/>
      </c>
      <c r="D279" s="1">
        <f>IF(B279="PAL","",IFERROR(VLOOKUP(B279,'General price list'!C:BA,MATCH("OBJ",'General price list'!$C$20:$BA$20,0),FALSE),""))</f>
        <v>0</v>
      </c>
      <c r="E279" s="1">
        <f t="shared" si="36"/>
        <v>0</v>
      </c>
      <c r="F279" s="1">
        <f t="shared" si="37"/>
        <v>0</v>
      </c>
      <c r="G279" s="1">
        <f t="shared" si="38"/>
        <v>0</v>
      </c>
      <c r="H279" s="1">
        <f t="shared" si="39"/>
        <v>0</v>
      </c>
      <c r="I279" s="1">
        <f t="shared" si="40"/>
        <v>0</v>
      </c>
      <c r="J279">
        <f>IF(B279="PAL","",IFERROR(IF(C279="",VLOOKUP(B279,'General price list'!C:BA,MATCH("CBM",'General price list'!$C$20:$BA$20,0),FALSE)*D279,VLOOKUP(B279,'General price list'!C:BA,MATCH("CBM",'General price list'!$C$20:$BA$20,0),FALSE)*(G279*C279)),0))</f>
        <v>0</v>
      </c>
    </row>
    <row r="280" spans="2:10" ht="15" customHeight="1">
      <c r="B280" s="790" t="str">
        <f>IF(B279="PAL","",'General price list'!C300)</f>
        <v>RS18T</v>
      </c>
      <c r="C280" s="1" t="str">
        <f>IF(B280="PAL","",IFERROR(VLOOKUP(B280,'General price list'!C:BA,MATCH("PAL",'General price list'!$C$20:$BA$20,0),FALSE),""))</f>
        <v/>
      </c>
      <c r="D280" s="1">
        <f>IF(B280="PAL","",IFERROR(VLOOKUP(B280,'General price list'!C:BA,MATCH("OBJ",'General price list'!$C$20:$BA$20,0),FALSE),""))</f>
        <v>0</v>
      </c>
      <c r="E280" s="1">
        <f t="shared" si="36"/>
        <v>0</v>
      </c>
      <c r="F280" s="1">
        <f t="shared" si="37"/>
        <v>0</v>
      </c>
      <c r="G280" s="1">
        <f t="shared" si="38"/>
        <v>0</v>
      </c>
      <c r="H280" s="1">
        <f t="shared" si="39"/>
        <v>0</v>
      </c>
      <c r="I280" s="1">
        <f t="shared" si="40"/>
        <v>0</v>
      </c>
      <c r="J280">
        <f>IF(B280="PAL","",IFERROR(IF(C280="",VLOOKUP(B280,'General price list'!C:BA,MATCH("CBM",'General price list'!$C$20:$BA$20,0),FALSE)*D280,VLOOKUP(B280,'General price list'!C:BA,MATCH("CBM",'General price list'!$C$20:$BA$20,0),FALSE)*(G280*C280)),0))</f>
        <v>0</v>
      </c>
    </row>
    <row r="281" spans="2:10" ht="15" customHeight="1">
      <c r="B281" s="790" t="str">
        <f>IF(B280="PAL","",'General price list'!C301)</f>
        <v>RS18S</v>
      </c>
      <c r="C281" s="1" t="str">
        <f>IF(B281="PAL","",IFERROR(VLOOKUP(B281,'General price list'!C:BA,MATCH("PAL",'General price list'!$C$20:$BA$20,0),FALSE),""))</f>
        <v/>
      </c>
      <c r="D281" s="1">
        <f>IF(B281="PAL","",IFERROR(VLOOKUP(B281,'General price list'!C:BA,MATCH("OBJ",'General price list'!$C$20:$BA$20,0),FALSE),""))</f>
        <v>0</v>
      </c>
      <c r="E281" s="1">
        <f t="shared" si="36"/>
        <v>0</v>
      </c>
      <c r="F281" s="1">
        <f t="shared" si="37"/>
        <v>0</v>
      </c>
      <c r="G281" s="1">
        <f t="shared" si="38"/>
        <v>0</v>
      </c>
      <c r="H281" s="1">
        <f t="shared" si="39"/>
        <v>0</v>
      </c>
      <c r="I281" s="1">
        <f t="shared" si="40"/>
        <v>0</v>
      </c>
      <c r="J281">
        <f>IF(B281="PAL","",IFERROR(IF(C281="",VLOOKUP(B281,'General price list'!C:BA,MATCH("CBM",'General price list'!$C$20:$BA$20,0),FALSE)*D281,VLOOKUP(B281,'General price list'!C:BA,MATCH("CBM",'General price list'!$C$20:$BA$20,0),FALSE)*(G281*C281)),0))</f>
        <v>0</v>
      </c>
    </row>
    <row r="282" spans="2:10" ht="15" customHeight="1">
      <c r="B282" s="790" t="str">
        <f>IF(B281="PAL","",'General price list'!C302)</f>
        <v>RS33R</v>
      </c>
      <c r="C282" s="1" t="str">
        <f>IF(B282="PAL","",IFERROR(VLOOKUP(B282,'General price list'!C:BA,MATCH("PAL",'General price list'!$C$20:$BA$20,0),FALSE),""))</f>
        <v/>
      </c>
      <c r="D282" s="1">
        <f>IF(B282="PAL","",IFERROR(VLOOKUP(B282,'General price list'!C:BA,MATCH("OBJ",'General price list'!$C$20:$BA$20,0),FALSE),""))</f>
        <v>0</v>
      </c>
      <c r="E282" s="1">
        <f t="shared" si="36"/>
        <v>0</v>
      </c>
      <c r="F282" s="1">
        <f t="shared" si="37"/>
        <v>0</v>
      </c>
      <c r="G282" s="1">
        <f t="shared" si="38"/>
        <v>0</v>
      </c>
      <c r="H282" s="1">
        <f t="shared" si="39"/>
        <v>0</v>
      </c>
      <c r="I282" s="1">
        <f t="shared" si="40"/>
        <v>0</v>
      </c>
      <c r="J282">
        <f>IF(B282="PAL","",IFERROR(IF(C282="",VLOOKUP(B282,'General price list'!C:BA,MATCH("CBM",'General price list'!$C$20:$BA$20,0),FALSE)*D282,VLOOKUP(B282,'General price list'!C:BA,MATCH("CBM",'General price list'!$C$20:$BA$20,0),FALSE)*(G282*C282)),0))</f>
        <v>0</v>
      </c>
    </row>
    <row r="283" spans="2:10" ht="15" customHeight="1">
      <c r="B283" s="790" t="str">
        <f>IF(B282="PAL","",'General price list'!C303)</f>
        <v>RSS100</v>
      </c>
      <c r="C283" s="1" t="str">
        <f>IF(B283="PAL","",IFERROR(VLOOKUP(B283,'General price list'!C:BA,MATCH("PAL",'General price list'!$C$20:$BA$20,0),FALSE),""))</f>
        <v/>
      </c>
      <c r="D283" s="1">
        <f>IF(B283="PAL","",IFERROR(VLOOKUP(B283,'General price list'!C:BA,MATCH("OBJ",'General price list'!$C$20:$BA$20,0),FALSE),""))</f>
        <v>0</v>
      </c>
      <c r="E283" s="1">
        <f t="shared" si="36"/>
        <v>0</v>
      </c>
      <c r="F283" s="1">
        <f t="shared" si="37"/>
        <v>0</v>
      </c>
      <c r="G283" s="1">
        <f t="shared" si="38"/>
        <v>0</v>
      </c>
      <c r="H283" s="1">
        <f t="shared" si="39"/>
        <v>0</v>
      </c>
      <c r="I283" s="1">
        <f t="shared" si="40"/>
        <v>0</v>
      </c>
      <c r="J283">
        <f>IF(B283="PAL","",IFERROR(IF(C283="",VLOOKUP(B283,'General price list'!C:BA,MATCH("CBM",'General price list'!$C$20:$BA$20,0),FALSE)*D283,VLOOKUP(B283,'General price list'!C:BA,MATCH("CBM",'General price list'!$C$20:$BA$20,0),FALSE)*(G283*C283)),0))</f>
        <v>0</v>
      </c>
    </row>
    <row r="284" spans="2:10" ht="15" customHeight="1">
      <c r="B284" s="790" t="str">
        <f>IF(B283="PAL","",'General price list'!C304)</f>
        <v>R170B</v>
      </c>
      <c r="C284" s="1" t="str">
        <f>IF(B284="PAL","",IFERROR(VLOOKUP(B284,'General price list'!C:BA,MATCH("PAL",'General price list'!$C$20:$BA$20,0),FALSE),""))</f>
        <v/>
      </c>
      <c r="D284" s="1">
        <f>IF(B284="PAL","",IFERROR(VLOOKUP(B284,'General price list'!C:BA,MATCH("OBJ",'General price list'!$C$20:$BA$20,0),FALSE),""))</f>
        <v>0</v>
      </c>
      <c r="E284" s="1">
        <f t="shared" si="36"/>
        <v>0</v>
      </c>
      <c r="F284" s="1">
        <f t="shared" si="37"/>
        <v>0</v>
      </c>
      <c r="G284" s="1">
        <f t="shared" si="38"/>
        <v>0</v>
      </c>
      <c r="H284" s="1">
        <f t="shared" si="39"/>
        <v>0</v>
      </c>
      <c r="I284" s="1">
        <f t="shared" si="40"/>
        <v>0</v>
      </c>
      <c r="J284">
        <f>IF(B284="PAL","",IFERROR(IF(C284="",VLOOKUP(B284,'General price list'!C:BA,MATCH("CBM",'General price list'!$C$20:$BA$20,0),FALSE)*D284,VLOOKUP(B284,'General price list'!C:BA,MATCH("CBM",'General price list'!$C$20:$BA$20,0),FALSE)*(G284*C284)),0))</f>
        <v>0</v>
      </c>
    </row>
    <row r="285" spans="2:10" ht="15" customHeight="1">
      <c r="B285" s="790" t="str">
        <f>IF(B284="PAL","",'General price list'!C305)</f>
        <v>R170X</v>
      </c>
      <c r="C285" s="1" t="str">
        <f>IF(B285="PAL","",IFERROR(VLOOKUP(B285,'General price list'!C:BA,MATCH("PAL",'General price list'!$C$20:$BA$20,0),FALSE),""))</f>
        <v/>
      </c>
      <c r="D285" s="1">
        <f>IF(B285="PAL","",IFERROR(VLOOKUP(B285,'General price list'!C:BA,MATCH("OBJ",'General price list'!$C$20:$BA$20,0),FALSE),""))</f>
        <v>0</v>
      </c>
      <c r="E285" s="1">
        <f t="shared" si="36"/>
        <v>0</v>
      </c>
      <c r="F285" s="1">
        <f t="shared" si="37"/>
        <v>0</v>
      </c>
      <c r="G285" s="1">
        <f t="shared" si="38"/>
        <v>0</v>
      </c>
      <c r="H285" s="1">
        <f t="shared" si="39"/>
        <v>0</v>
      </c>
      <c r="I285" s="1">
        <f t="shared" si="40"/>
        <v>0</v>
      </c>
      <c r="J285">
        <f>IF(B285="PAL","",IFERROR(IF(C285="",VLOOKUP(B285,'General price list'!C:BA,MATCH("CBM",'General price list'!$C$20:$BA$20,0),FALSE)*D285,VLOOKUP(B285,'General price list'!C:BA,MATCH("CBM",'General price list'!$C$20:$BA$20,0),FALSE)*(G285*C285)),0))</f>
        <v>0</v>
      </c>
    </row>
    <row r="286" spans="2:10" ht="15" customHeight="1">
      <c r="B286" s="790" t="str">
        <f>IF(B285="PAL","",'General price list'!C306)</f>
        <v>R170M</v>
      </c>
      <c r="C286" s="1" t="str">
        <f>IF(B286="PAL","",IFERROR(VLOOKUP(B286,'General price list'!C:BA,MATCH("PAL",'General price list'!$C$20:$BA$20,0),FALSE),""))</f>
        <v/>
      </c>
      <c r="D286" s="1">
        <f>IF(B286="PAL","",IFERROR(VLOOKUP(B286,'General price list'!C:BA,MATCH("OBJ",'General price list'!$C$20:$BA$20,0),FALSE),""))</f>
        <v>0</v>
      </c>
      <c r="E286" s="1">
        <f t="shared" si="36"/>
        <v>0</v>
      </c>
      <c r="F286" s="1">
        <f t="shared" si="37"/>
        <v>0</v>
      </c>
      <c r="G286" s="1">
        <f t="shared" si="38"/>
        <v>0</v>
      </c>
      <c r="H286" s="1">
        <f t="shared" si="39"/>
        <v>0</v>
      </c>
      <c r="I286" s="1">
        <f t="shared" si="40"/>
        <v>0</v>
      </c>
      <c r="J286">
        <f>IF(B286="PAL","",IFERROR(IF(C286="",VLOOKUP(B286,'General price list'!C:BA,MATCH("CBM",'General price list'!$C$20:$BA$20,0),FALSE)*D286,VLOOKUP(B286,'General price list'!C:BA,MATCH("CBM",'General price list'!$C$20:$BA$20,0),FALSE)*(G286*C286)),0))</f>
        <v>0</v>
      </c>
    </row>
    <row r="287" spans="2:10" ht="15" customHeight="1">
      <c r="B287" s="790" t="str">
        <f>IF(B286="PAL","",'General price list'!C307)</f>
        <v>RSSF3</v>
      </c>
      <c r="C287" s="1" t="str">
        <f>IF(B287="PAL","",IFERROR(VLOOKUP(B287,'General price list'!C:BA,MATCH("PAL",'General price list'!$C$20:$BA$20,0),FALSE),""))</f>
        <v/>
      </c>
      <c r="D287" s="1">
        <f>IF(B287="PAL","",IFERROR(VLOOKUP(B287,'General price list'!C:BA,MATCH("OBJ",'General price list'!$C$20:$BA$20,0),FALSE),""))</f>
        <v>0</v>
      </c>
      <c r="E287" s="1">
        <f t="shared" si="36"/>
        <v>0</v>
      </c>
      <c r="F287" s="1">
        <f t="shared" si="37"/>
        <v>0</v>
      </c>
      <c r="G287" s="1">
        <f t="shared" si="38"/>
        <v>0</v>
      </c>
      <c r="H287" s="1">
        <f t="shared" si="39"/>
        <v>0</v>
      </c>
      <c r="I287" s="1">
        <f t="shared" si="40"/>
        <v>0</v>
      </c>
      <c r="J287">
        <f>IF(B287="PAL","",IFERROR(IF(C287="",VLOOKUP(B287,'General price list'!C:BA,MATCH("CBM",'General price list'!$C$20:$BA$20,0),FALSE)*D287,VLOOKUP(B287,'General price list'!C:BA,MATCH("CBM",'General price list'!$C$20:$BA$20,0),FALSE)*(G287*C287)),0))</f>
        <v>0</v>
      </c>
    </row>
    <row r="288" spans="2:10" ht="15" customHeight="1">
      <c r="B288" s="790">
        <f>IF(B287="PAL","",'General price list'!C308)</f>
        <v>0</v>
      </c>
      <c r="C288" s="1" t="str">
        <f>IF(B288="PAL","",IFERROR(VLOOKUP(B288,'General price list'!C:BA,MATCH("PAL",'General price list'!$C$20:$BA$20,0),FALSE),""))</f>
        <v/>
      </c>
      <c r="D288" s="1" t="str">
        <f>IF(B288="PAL","",IFERROR(VLOOKUP(B288,'General price list'!C:BA,MATCH("OBJ",'General price list'!$C$20:$BA$20,0),FALSE),""))</f>
        <v/>
      </c>
      <c r="E288" s="1">
        <f t="shared" si="36"/>
        <v>0</v>
      </c>
      <c r="F288" s="1">
        <f t="shared" si="37"/>
        <v>0</v>
      </c>
      <c r="G288" s="1">
        <f t="shared" si="38"/>
        <v>0</v>
      </c>
      <c r="H288" s="1">
        <f t="shared" si="39"/>
        <v>0</v>
      </c>
      <c r="I288" s="1">
        <f t="shared" si="40"/>
        <v>0</v>
      </c>
      <c r="J288">
        <f>IF(B288="PAL","",IFERROR(IF(C288="",VLOOKUP(B288,'General price list'!C:BA,MATCH("CBM",'General price list'!$C$20:$BA$20,0),FALSE)*D288,VLOOKUP(B288,'General price list'!C:BA,MATCH("CBM",'General price list'!$C$20:$BA$20,0),FALSE)*(G288*C288)),0))</f>
        <v>0</v>
      </c>
    </row>
    <row r="289" spans="2:10" ht="15" customHeight="1">
      <c r="B289" s="790" t="str">
        <f>IF(B288="PAL","",'General price list'!C309)</f>
        <v>TIDB1L</v>
      </c>
      <c r="C289" s="1" t="str">
        <f>IF(B289="PAL","",IFERROR(VLOOKUP(B289,'General price list'!C:BA,MATCH("PAL",'General price list'!$C$20:$BA$20,0),FALSE),""))</f>
        <v/>
      </c>
      <c r="D289" s="1">
        <f>IF(B289="PAL","",IFERROR(VLOOKUP(B289,'General price list'!C:BA,MATCH("OBJ",'General price list'!$C$20:$BA$20,0),FALSE),""))</f>
        <v>0</v>
      </c>
      <c r="E289" s="1">
        <f t="shared" si="36"/>
        <v>0</v>
      </c>
      <c r="F289" s="1">
        <f t="shared" si="37"/>
        <v>0</v>
      </c>
      <c r="G289" s="1">
        <f t="shared" si="38"/>
        <v>0</v>
      </c>
      <c r="H289" s="1">
        <f t="shared" si="39"/>
        <v>0</v>
      </c>
      <c r="I289" s="1">
        <f t="shared" si="40"/>
        <v>0</v>
      </c>
      <c r="J289">
        <f>IF(B289="PAL","",IFERROR(IF(C289="",VLOOKUP(B289,'General price list'!C:BA,MATCH("CBM",'General price list'!$C$20:$BA$20,0),FALSE)*D289,VLOOKUP(B289,'General price list'!C:BA,MATCH("CBM",'General price list'!$C$20:$BA$20,0),FALSE)*(G289*C289)),0))</f>
        <v>0</v>
      </c>
    </row>
    <row r="290" spans="2:10" ht="15" customHeight="1">
      <c r="B290" s="790" t="str">
        <f>IF(B289="PAL","",'General price list'!C310)</f>
        <v>TPD1L</v>
      </c>
      <c r="C290" s="1" t="str">
        <f>IF(B290="PAL","",IFERROR(VLOOKUP(B290,'General price list'!C:BA,MATCH("PAL",'General price list'!$C$20:$BA$20,0),FALSE),""))</f>
        <v/>
      </c>
      <c r="D290" s="1">
        <f>IF(B290="PAL","",IFERROR(VLOOKUP(B290,'General price list'!C:BA,MATCH("OBJ",'General price list'!$C$20:$BA$20,0),FALSE),""))</f>
        <v>0</v>
      </c>
      <c r="E290" s="1">
        <f t="shared" si="36"/>
        <v>0</v>
      </c>
      <c r="F290" s="1">
        <f t="shared" si="37"/>
        <v>0</v>
      </c>
      <c r="G290" s="1">
        <f t="shared" si="38"/>
        <v>0</v>
      </c>
      <c r="H290" s="1">
        <f t="shared" si="39"/>
        <v>0</v>
      </c>
      <c r="I290" s="1">
        <f t="shared" si="40"/>
        <v>0</v>
      </c>
      <c r="J290">
        <f>IF(B290="PAL","",IFERROR(IF(C290="",VLOOKUP(B290,'General price list'!C:BA,MATCH("CBM",'General price list'!$C$20:$BA$20,0),FALSE)*D290,VLOOKUP(B290,'General price list'!C:BA,MATCH("CBM",'General price list'!$C$20:$BA$20,0),FALSE)*(G290*C290)),0))</f>
        <v>0</v>
      </c>
    </row>
    <row r="291" spans="2:10" ht="15" customHeight="1">
      <c r="B291" s="790" t="str">
        <f>IF(B290="PAL","",'General price list'!C311)</f>
        <v>TPD1XL</v>
      </c>
      <c r="C291" s="1" t="str">
        <f>IF(B291="PAL","",IFERROR(VLOOKUP(B291,'General price list'!C:BA,MATCH("PAL",'General price list'!$C$20:$BA$20,0),FALSE),""))</f>
        <v/>
      </c>
      <c r="D291" s="1">
        <f>IF(B291="PAL","",IFERROR(VLOOKUP(B291,'General price list'!C:BA,MATCH("OBJ",'General price list'!$C$20:$BA$20,0),FALSE),""))</f>
        <v>0</v>
      </c>
      <c r="E291" s="1">
        <f t="shared" si="36"/>
        <v>0</v>
      </c>
      <c r="F291" s="1">
        <f t="shared" si="37"/>
        <v>0</v>
      </c>
      <c r="G291" s="1">
        <f t="shared" si="38"/>
        <v>0</v>
      </c>
      <c r="H291" s="1">
        <f t="shared" si="39"/>
        <v>0</v>
      </c>
      <c r="I291" s="1">
        <f t="shared" si="40"/>
        <v>0</v>
      </c>
      <c r="J291">
        <f>IF(B291="PAL","",IFERROR(IF(C291="",VLOOKUP(B291,'General price list'!C:BA,MATCH("CBM",'General price list'!$C$20:$BA$20,0),FALSE)*D291,VLOOKUP(B291,'General price list'!C:BA,MATCH("CBM",'General price list'!$C$20:$BA$20,0),FALSE)*(G291*C291)),0))</f>
        <v>0</v>
      </c>
    </row>
    <row r="292" spans="2:10" ht="15" customHeight="1">
      <c r="B292" s="790" t="str">
        <f>IF(B291="PAL","",'General price list'!C312)</f>
        <v>BD1XXL</v>
      </c>
      <c r="C292" s="1" t="str">
        <f>IF(B292="PAL","",IFERROR(VLOOKUP(B292,'General price list'!C:BA,MATCH("PAL",'General price list'!$C$20:$BA$20,0),FALSE),""))</f>
        <v/>
      </c>
      <c r="D292" s="1">
        <f>IF(B292="PAL","",IFERROR(VLOOKUP(B292,'General price list'!C:BA,MATCH("OBJ",'General price list'!$C$20:$BA$20,0),FALSE),""))</f>
        <v>0</v>
      </c>
      <c r="E292" s="1">
        <f t="shared" si="36"/>
        <v>0</v>
      </c>
      <c r="F292" s="1">
        <f t="shared" si="37"/>
        <v>0</v>
      </c>
      <c r="G292" s="1">
        <f t="shared" si="38"/>
        <v>0</v>
      </c>
      <c r="H292" s="1">
        <f t="shared" si="39"/>
        <v>0</v>
      </c>
      <c r="I292" s="1">
        <f t="shared" si="40"/>
        <v>0</v>
      </c>
      <c r="J292">
        <f>IF(B292="PAL","",IFERROR(IF(C292="",VLOOKUP(B292,'General price list'!C:BA,MATCH("CBM",'General price list'!$C$20:$BA$20,0),FALSE)*D292,VLOOKUP(B292,'General price list'!C:BA,MATCH("CBM",'General price list'!$C$20:$BA$20,0),FALSE)*(G292*C292)),0))</f>
        <v>0</v>
      </c>
    </row>
    <row r="293" spans="2:10" ht="15" customHeight="1">
      <c r="B293" s="790">
        <f>IF(B292="PAL","",'General price list'!C313)</f>
        <v>0</v>
      </c>
      <c r="C293" s="1" t="str">
        <f>IF(B293="PAL","",IFERROR(VLOOKUP(B293,'General price list'!C:BA,MATCH("PAL",'General price list'!$C$20:$BA$20,0),FALSE),""))</f>
        <v/>
      </c>
      <c r="D293" s="1" t="str">
        <f>IF(B293="PAL","",IFERROR(VLOOKUP(B293,'General price list'!C:BA,MATCH("OBJ",'General price list'!$C$20:$BA$20,0),FALSE),""))</f>
        <v/>
      </c>
      <c r="E293" s="1">
        <f t="shared" si="36"/>
        <v>0</v>
      </c>
      <c r="F293" s="1">
        <f t="shared" si="37"/>
        <v>0</v>
      </c>
      <c r="G293" s="1">
        <f t="shared" si="38"/>
        <v>0</v>
      </c>
      <c r="H293" s="1">
        <f t="shared" si="39"/>
        <v>0</v>
      </c>
      <c r="I293" s="1">
        <f t="shared" si="40"/>
        <v>0</v>
      </c>
      <c r="J293">
        <f>IF(B293="PAL","",IFERROR(IF(C293="",VLOOKUP(B293,'General price list'!C:BA,MATCH("CBM",'General price list'!$C$20:$BA$20,0),FALSE)*D293,VLOOKUP(B293,'General price list'!C:BA,MATCH("CBM",'General price list'!$C$20:$BA$20,0),FALSE)*(G293*C293)),0))</f>
        <v>0</v>
      </c>
    </row>
    <row r="294" spans="2:10" ht="15" customHeight="1">
      <c r="B294" s="790" t="str">
        <f>IF(B293="PAL","",'General price list'!C314)</f>
        <v>TDLE1M</v>
      </c>
      <c r="C294" s="1" t="str">
        <f>IF(B294="PAL","",IFERROR(VLOOKUP(B294,'General price list'!C:BA,MATCH("PAL",'General price list'!$C$20:$BA$20,0),FALSE),""))</f>
        <v/>
      </c>
      <c r="D294" s="1">
        <f>IF(B294="PAL","",IFERROR(VLOOKUP(B294,'General price list'!C:BA,MATCH("OBJ",'General price list'!$C$20:$BA$20,0),FALSE),""))</f>
        <v>0</v>
      </c>
      <c r="E294" s="1">
        <f t="shared" si="36"/>
        <v>0</v>
      </c>
      <c r="F294" s="1">
        <f t="shared" si="37"/>
        <v>0</v>
      </c>
      <c r="G294" s="1">
        <f t="shared" si="38"/>
        <v>0</v>
      </c>
      <c r="H294" s="1">
        <f t="shared" si="39"/>
        <v>0</v>
      </c>
      <c r="I294" s="1">
        <f t="shared" si="40"/>
        <v>0</v>
      </c>
      <c r="J294">
        <f>IF(B294="PAL","",IFERROR(IF(C294="",VLOOKUP(B294,'General price list'!C:BA,MATCH("CBM",'General price list'!$C$20:$BA$20,0),FALSE)*D294,VLOOKUP(B294,'General price list'!C:BA,MATCH("CBM",'General price list'!$C$20:$BA$20,0),FALSE)*(G294*C294)),0))</f>
        <v>0</v>
      </c>
    </row>
    <row r="295" spans="2:10" ht="15" customHeight="1">
      <c r="B295" s="790" t="str">
        <f>IF(B294="PAL","",'General price list'!C315)</f>
        <v>TDLE1L</v>
      </c>
      <c r="C295" s="1" t="str">
        <f>IF(B295="PAL","",IFERROR(VLOOKUP(B295,'General price list'!C:BA,MATCH("PAL",'General price list'!$C$20:$BA$20,0),FALSE),""))</f>
        <v/>
      </c>
      <c r="D295" s="1">
        <f>IF(B295="PAL","",IFERROR(VLOOKUP(B295,'General price list'!C:BA,MATCH("OBJ",'General price list'!$C$20:$BA$20,0),FALSE),""))</f>
        <v>0</v>
      </c>
      <c r="E295" s="1">
        <f t="shared" si="36"/>
        <v>0</v>
      </c>
      <c r="F295" s="1">
        <f t="shared" si="37"/>
        <v>0</v>
      </c>
      <c r="G295" s="1">
        <f t="shared" si="38"/>
        <v>0</v>
      </c>
      <c r="H295" s="1">
        <f t="shared" si="39"/>
        <v>0</v>
      </c>
      <c r="I295" s="1">
        <f t="shared" si="40"/>
        <v>0</v>
      </c>
      <c r="J295">
        <f>IF(B295="PAL","",IFERROR(IF(C295="",VLOOKUP(B295,'General price list'!C:BA,MATCH("CBM",'General price list'!$C$20:$BA$20,0),FALSE)*D295,VLOOKUP(B295,'General price list'!C:BA,MATCH("CBM",'General price list'!$C$20:$BA$20,0),FALSE)*(G295*C295)),0))</f>
        <v>0</v>
      </c>
    </row>
    <row r="296" spans="2:10" ht="15" customHeight="1">
      <c r="B296" s="790" t="str">
        <f>IF(B295="PAL","",'General price list'!C316)</f>
        <v>TDLE1XL</v>
      </c>
      <c r="C296" s="1" t="str">
        <f>IF(B296="PAL","",IFERROR(VLOOKUP(B296,'General price list'!C:BA,MATCH("PAL",'General price list'!$C$20:$BA$20,0),FALSE),""))</f>
        <v/>
      </c>
      <c r="D296" s="1">
        <f>IF(B296="PAL","",IFERROR(VLOOKUP(B296,'General price list'!C:BA,MATCH("OBJ",'General price list'!$C$20:$BA$20,0),FALSE),""))</f>
        <v>0</v>
      </c>
      <c r="E296" s="1">
        <f t="shared" si="36"/>
        <v>0</v>
      </c>
      <c r="F296" s="1">
        <f t="shared" si="37"/>
        <v>0</v>
      </c>
      <c r="G296" s="1">
        <f t="shared" si="38"/>
        <v>0</v>
      </c>
      <c r="H296" s="1">
        <f t="shared" si="39"/>
        <v>0</v>
      </c>
      <c r="I296" s="1">
        <f t="shared" si="40"/>
        <v>0</v>
      </c>
      <c r="J296">
        <f>IF(B296="PAL","",IFERROR(IF(C296="",VLOOKUP(B296,'General price list'!C:BA,MATCH("CBM",'General price list'!$C$20:$BA$20,0),FALSE)*D296,VLOOKUP(B296,'General price list'!C:BA,MATCH("CBM",'General price list'!$C$20:$BA$20,0),FALSE)*(G296*C296)),0))</f>
        <v>0</v>
      </c>
    </row>
    <row r="297" spans="2:10" ht="15" customHeight="1">
      <c r="B297" s="790" t="str">
        <f>IF(B296="PAL","",'General price list'!C317)</f>
        <v>TDLE1XXL</v>
      </c>
      <c r="C297" s="1" t="str">
        <f>IF(B297="PAL","",IFERROR(VLOOKUP(B297,'General price list'!C:BA,MATCH("PAL",'General price list'!$C$20:$BA$20,0),FALSE),""))</f>
        <v/>
      </c>
      <c r="D297" s="1">
        <f>IF(B297="PAL","",IFERROR(VLOOKUP(B297,'General price list'!C:BA,MATCH("OBJ",'General price list'!$C$20:$BA$20,0),FALSE),""))</f>
        <v>0</v>
      </c>
      <c r="E297" s="1">
        <f t="shared" si="36"/>
        <v>0</v>
      </c>
      <c r="F297" s="1">
        <f t="shared" si="37"/>
        <v>0</v>
      </c>
      <c r="G297" s="1">
        <f t="shared" si="38"/>
        <v>0</v>
      </c>
      <c r="H297" s="1">
        <f t="shared" si="39"/>
        <v>0</v>
      </c>
      <c r="I297" s="1">
        <f t="shared" si="40"/>
        <v>0</v>
      </c>
      <c r="J297">
        <f>IF(B297="PAL","",IFERROR(IF(C297="",VLOOKUP(B297,'General price list'!C:BA,MATCH("CBM",'General price list'!$C$20:$BA$20,0),FALSE)*D297,VLOOKUP(B297,'General price list'!C:BA,MATCH("CBM",'General price list'!$C$20:$BA$20,0),FALSE)*(G297*C297)),0))</f>
        <v>0</v>
      </c>
    </row>
    <row r="298" spans="2:10" ht="15" customHeight="1">
      <c r="B298" s="790">
        <f>IF(B297="PAL","",'General price list'!C318)</f>
        <v>0</v>
      </c>
      <c r="C298" s="1" t="str">
        <f>IF(B298="PAL","",IFERROR(VLOOKUP(B298,'General price list'!C:BA,MATCH("PAL",'General price list'!$C$20:$BA$20,0),FALSE),""))</f>
        <v/>
      </c>
      <c r="D298" s="1" t="str">
        <f>IF(B298="PAL","",IFERROR(VLOOKUP(B298,'General price list'!C:BA,MATCH("OBJ",'General price list'!$C$20:$BA$20,0),FALSE),""))</f>
        <v/>
      </c>
      <c r="E298" s="1">
        <f t="shared" si="36"/>
        <v>0</v>
      </c>
      <c r="F298" s="1">
        <f t="shared" si="37"/>
        <v>0</v>
      </c>
      <c r="G298" s="1">
        <f t="shared" si="38"/>
        <v>0</v>
      </c>
      <c r="H298" s="1">
        <f t="shared" si="39"/>
        <v>0</v>
      </c>
      <c r="I298" s="1">
        <f t="shared" si="40"/>
        <v>0</v>
      </c>
      <c r="J298">
        <f>IF(B298="PAL","",IFERROR(IF(C298="",VLOOKUP(B298,'General price list'!C:BA,MATCH("CBM",'General price list'!$C$20:$BA$20,0),FALSE)*D298,VLOOKUP(B298,'General price list'!C:BA,MATCH("CBM",'General price list'!$C$20:$BA$20,0),FALSE)*(G298*C298)),0))</f>
        <v>0</v>
      </c>
    </row>
    <row r="299" spans="2:10" ht="15" customHeight="1">
      <c r="B299" s="790" t="str">
        <f>IF(B298="PAL","",'General price list'!C319)</f>
        <v>TPDLE1M</v>
      </c>
      <c r="C299" s="1" t="str">
        <f>IF(B299="PAL","",IFERROR(VLOOKUP(B299,'General price list'!C:BA,MATCH("PAL",'General price list'!$C$20:$BA$20,0),FALSE),""))</f>
        <v/>
      </c>
      <c r="D299" s="1">
        <f>IF(B299="PAL","",IFERROR(VLOOKUP(B299,'General price list'!C:BA,MATCH("OBJ",'General price list'!$C$20:$BA$20,0),FALSE),""))</f>
        <v>0</v>
      </c>
      <c r="E299" s="1">
        <f t="shared" si="36"/>
        <v>0</v>
      </c>
      <c r="F299" s="1">
        <f t="shared" si="37"/>
        <v>0</v>
      </c>
      <c r="G299" s="1">
        <f t="shared" si="38"/>
        <v>0</v>
      </c>
      <c r="H299" s="1">
        <f t="shared" si="39"/>
        <v>0</v>
      </c>
      <c r="I299" s="1">
        <f t="shared" si="40"/>
        <v>0</v>
      </c>
      <c r="J299">
        <f>IF(B299="PAL","",IFERROR(IF(C299="",VLOOKUP(B299,'General price list'!C:BA,MATCH("CBM",'General price list'!$C$20:$BA$20,0),FALSE)*D299,VLOOKUP(B299,'General price list'!C:BA,MATCH("CBM",'General price list'!$C$20:$BA$20,0),FALSE)*(G299*C299)),0))</f>
        <v>0</v>
      </c>
    </row>
    <row r="300" spans="2:10" ht="15" customHeight="1">
      <c r="B300" s="790" t="str">
        <f>IF(B299="PAL","",'General price list'!C320)</f>
        <v>TPDLE1L</v>
      </c>
      <c r="C300" s="1" t="str">
        <f>IF(B300="PAL","",IFERROR(VLOOKUP(B300,'General price list'!C:BA,MATCH("PAL",'General price list'!$C$20:$BA$20,0),FALSE),""))</f>
        <v/>
      </c>
      <c r="D300" s="1">
        <f>IF(B300="PAL","",IFERROR(VLOOKUP(B300,'General price list'!C:BA,MATCH("OBJ",'General price list'!$C$20:$BA$20,0),FALSE),""))</f>
        <v>0</v>
      </c>
      <c r="E300" s="1">
        <f t="shared" si="36"/>
        <v>0</v>
      </c>
      <c r="F300" s="1">
        <f t="shared" si="37"/>
        <v>0</v>
      </c>
      <c r="G300" s="1">
        <f t="shared" si="38"/>
        <v>0</v>
      </c>
      <c r="H300" s="1">
        <f t="shared" si="39"/>
        <v>0</v>
      </c>
      <c r="I300" s="1">
        <f t="shared" si="40"/>
        <v>0</v>
      </c>
      <c r="J300">
        <f>IF(B300="PAL","",IFERROR(IF(C300="",VLOOKUP(B300,'General price list'!C:BA,MATCH("CBM",'General price list'!$C$20:$BA$20,0),FALSE)*D300,VLOOKUP(B300,'General price list'!C:BA,MATCH("CBM",'General price list'!$C$20:$BA$20,0),FALSE)*(G300*C300)),0))</f>
        <v>0</v>
      </c>
    </row>
    <row r="301" spans="2:10" ht="15" customHeight="1">
      <c r="B301" s="790" t="str">
        <f>IF(B300="PAL","",'General price list'!C321)</f>
        <v>TPDLE1XL</v>
      </c>
      <c r="C301" s="1" t="str">
        <f>IF(B301="PAL","",IFERROR(VLOOKUP(B301,'General price list'!C:BA,MATCH("PAL",'General price list'!$C$20:$BA$20,0),FALSE),""))</f>
        <v/>
      </c>
      <c r="D301" s="1">
        <f>IF(B301="PAL","",IFERROR(VLOOKUP(B301,'General price list'!C:BA,MATCH("OBJ",'General price list'!$C$20:$BA$20,0),FALSE),""))</f>
        <v>0</v>
      </c>
      <c r="E301" s="1">
        <f t="shared" si="36"/>
        <v>0</v>
      </c>
      <c r="F301" s="1">
        <f t="shared" si="37"/>
        <v>0</v>
      </c>
      <c r="G301" s="1">
        <f t="shared" si="38"/>
        <v>0</v>
      </c>
      <c r="H301" s="1">
        <f t="shared" si="39"/>
        <v>0</v>
      </c>
      <c r="I301" s="1">
        <f t="shared" si="40"/>
        <v>0</v>
      </c>
      <c r="J301">
        <f>IF(B301="PAL","",IFERROR(IF(C301="",VLOOKUP(B301,'General price list'!C:BA,MATCH("CBM",'General price list'!$C$20:$BA$20,0),FALSE)*D301,VLOOKUP(B301,'General price list'!C:BA,MATCH("CBM",'General price list'!$C$20:$BA$20,0),FALSE)*(G301*C301)),0))</f>
        <v>0</v>
      </c>
    </row>
    <row r="302" spans="2:10" ht="15" customHeight="1">
      <c r="B302" s="790" t="str">
        <f>IF(B301="PAL","",'General price list'!C322)</f>
        <v>TPDLE1XXL</v>
      </c>
      <c r="C302" s="1" t="str">
        <f>IF(B302="PAL","",IFERROR(VLOOKUP(B302,'General price list'!C:BA,MATCH("PAL",'General price list'!$C$20:$BA$20,0),FALSE),""))</f>
        <v/>
      </c>
      <c r="D302" s="1">
        <f>IF(B302="PAL","",IFERROR(VLOOKUP(B302,'General price list'!C:BA,MATCH("OBJ",'General price list'!$C$20:$BA$20,0),FALSE),""))</f>
        <v>0</v>
      </c>
      <c r="E302" s="1">
        <f t="shared" si="36"/>
        <v>0</v>
      </c>
      <c r="F302" s="1">
        <f t="shared" si="37"/>
        <v>0</v>
      </c>
      <c r="G302" s="1">
        <f t="shared" si="38"/>
        <v>0</v>
      </c>
      <c r="H302" s="1">
        <f t="shared" si="39"/>
        <v>0</v>
      </c>
      <c r="I302" s="1">
        <f t="shared" si="40"/>
        <v>0</v>
      </c>
      <c r="J302">
        <f>IF(B302="PAL","",IFERROR(IF(C302="",VLOOKUP(B302,'General price list'!C:BA,MATCH("CBM",'General price list'!$C$20:$BA$20,0),FALSE)*D302,VLOOKUP(B302,'General price list'!C:BA,MATCH("CBM",'General price list'!$C$20:$BA$20,0),FALSE)*(G302*C302)),0))</f>
        <v>0</v>
      </c>
    </row>
    <row r="303" spans="2:10" ht="15" customHeight="1">
      <c r="B303" s="790">
        <f>IF(B302="PAL","",'General price list'!C323)</f>
        <v>0</v>
      </c>
      <c r="C303" s="1" t="str">
        <f>IF(B303="PAL","",IFERROR(VLOOKUP(B303,'General price list'!C:BA,MATCH("PAL",'General price list'!$C$20:$BA$20,0),FALSE),""))</f>
        <v/>
      </c>
      <c r="D303" s="1" t="str">
        <f>IF(B303="PAL","",IFERROR(VLOOKUP(B303,'General price list'!C:BA,MATCH("OBJ",'General price list'!$C$20:$BA$20,0),FALSE),""))</f>
        <v/>
      </c>
      <c r="E303" s="1">
        <f t="shared" si="36"/>
        <v>0</v>
      </c>
      <c r="F303" s="1">
        <f t="shared" si="37"/>
        <v>0</v>
      </c>
      <c r="G303" s="1">
        <f t="shared" si="38"/>
        <v>0</v>
      </c>
      <c r="H303" s="1">
        <f t="shared" si="39"/>
        <v>0</v>
      </c>
      <c r="I303" s="1">
        <f t="shared" si="40"/>
        <v>0</v>
      </c>
      <c r="J303">
        <f>IF(B303="PAL","",IFERROR(IF(C303="",VLOOKUP(B303,'General price list'!C:BA,MATCH("CBM",'General price list'!$C$20:$BA$20,0),FALSE)*D303,VLOOKUP(B303,'General price list'!C:BA,MATCH("CBM",'General price list'!$C$20:$BA$20,0),FALSE)*(G303*C303)),0))</f>
        <v>0</v>
      </c>
    </row>
    <row r="304" spans="2:10" ht="15" customHeight="1">
      <c r="B304" s="790" t="str">
        <f>IF(B303="PAL","",'General price list'!C324)</f>
        <v>VDLE1M</v>
      </c>
      <c r="C304" s="1" t="str">
        <f>IF(B304="PAL","",IFERROR(VLOOKUP(B304,'General price list'!C:BA,MATCH("PAL",'General price list'!$C$20:$BA$20,0),FALSE),""))</f>
        <v/>
      </c>
      <c r="D304" s="1">
        <f>IF(B304="PAL","",IFERROR(VLOOKUP(B304,'General price list'!C:BA,MATCH("OBJ",'General price list'!$C$20:$BA$20,0),FALSE),""))</f>
        <v>0</v>
      </c>
      <c r="E304" s="1">
        <f t="shared" si="36"/>
        <v>0</v>
      </c>
      <c r="F304" s="1">
        <f t="shared" si="37"/>
        <v>0</v>
      </c>
      <c r="G304" s="1">
        <f t="shared" si="38"/>
        <v>0</v>
      </c>
      <c r="H304" s="1">
        <f t="shared" si="39"/>
        <v>0</v>
      </c>
      <c r="I304" s="1">
        <f t="shared" si="40"/>
        <v>0</v>
      </c>
      <c r="J304">
        <f>IF(B304="PAL","",IFERROR(IF(C304="",VLOOKUP(B304,'General price list'!C:BA,MATCH("CBM",'General price list'!$C$20:$BA$20,0),FALSE)*D304,VLOOKUP(B304,'General price list'!C:BA,MATCH("CBM",'General price list'!$C$20:$BA$20,0),FALSE)*(G304*C304)),0))</f>
        <v>0</v>
      </c>
    </row>
    <row r="305" spans="2:10" ht="15" customHeight="1">
      <c r="B305" s="790" t="str">
        <f>IF(B304="PAL","",'General price list'!C325)</f>
        <v>VDLE1L</v>
      </c>
      <c r="C305" s="1" t="str">
        <f>IF(B305="PAL","",IFERROR(VLOOKUP(B305,'General price list'!C:BA,MATCH("PAL",'General price list'!$C$20:$BA$20,0),FALSE),""))</f>
        <v/>
      </c>
      <c r="D305" s="1">
        <f>IF(B305="PAL","",IFERROR(VLOOKUP(B305,'General price list'!C:BA,MATCH("OBJ",'General price list'!$C$20:$BA$20,0),FALSE),""))</f>
        <v>0</v>
      </c>
      <c r="E305" s="1">
        <f t="shared" si="36"/>
        <v>0</v>
      </c>
      <c r="F305" s="1">
        <f t="shared" si="37"/>
        <v>0</v>
      </c>
      <c r="G305" s="1">
        <f t="shared" si="38"/>
        <v>0</v>
      </c>
      <c r="H305" s="1">
        <f t="shared" si="39"/>
        <v>0</v>
      </c>
      <c r="I305" s="1">
        <f t="shared" si="40"/>
        <v>0</v>
      </c>
      <c r="J305">
        <f>IF(B305="PAL","",IFERROR(IF(C305="",VLOOKUP(B305,'General price list'!C:BA,MATCH("CBM",'General price list'!$C$20:$BA$20,0),FALSE)*D305,VLOOKUP(B305,'General price list'!C:BA,MATCH("CBM",'General price list'!$C$20:$BA$20,0),FALSE)*(G305*C305)),0))</f>
        <v>0</v>
      </c>
    </row>
    <row r="306" spans="2:10" ht="15" customHeight="1">
      <c r="B306" s="790" t="str">
        <f>IF(B305="PAL","",'General price list'!C326)</f>
        <v>VDLE1XL</v>
      </c>
      <c r="C306" s="1" t="str">
        <f>IF(B306="PAL","",IFERROR(VLOOKUP(B306,'General price list'!C:BA,MATCH("PAL",'General price list'!$C$20:$BA$20,0),FALSE),""))</f>
        <v/>
      </c>
      <c r="D306" s="1">
        <f>IF(B306="PAL","",IFERROR(VLOOKUP(B306,'General price list'!C:BA,MATCH("OBJ",'General price list'!$C$20:$BA$20,0),FALSE),""))</f>
        <v>0</v>
      </c>
      <c r="E306" s="1">
        <f t="shared" si="36"/>
        <v>0</v>
      </c>
      <c r="F306" s="1">
        <f t="shared" si="37"/>
        <v>0</v>
      </c>
      <c r="G306" s="1">
        <f t="shared" si="38"/>
        <v>0</v>
      </c>
      <c r="H306" s="1">
        <f t="shared" si="39"/>
        <v>0</v>
      </c>
      <c r="I306" s="1">
        <f t="shared" si="40"/>
        <v>0</v>
      </c>
      <c r="J306">
        <f>IF(B306="PAL","",IFERROR(IF(C306="",VLOOKUP(B306,'General price list'!C:BA,MATCH("CBM",'General price list'!$C$20:$BA$20,0),FALSE)*D306,VLOOKUP(B306,'General price list'!C:BA,MATCH("CBM",'General price list'!$C$20:$BA$20,0),FALSE)*(G306*C306)),0))</f>
        <v>0</v>
      </c>
    </row>
    <row r="307" spans="2:10" ht="15" customHeight="1">
      <c r="B307" s="790" t="str">
        <f>IF(B306="PAL","",'General price list'!C327)</f>
        <v>VDLE1XXL</v>
      </c>
      <c r="C307" s="1" t="str">
        <f>IF(B307="PAL","",IFERROR(VLOOKUP(B307,'General price list'!C:BA,MATCH("PAL",'General price list'!$C$20:$BA$20,0),FALSE),""))</f>
        <v/>
      </c>
      <c r="D307" s="1">
        <f>IF(B307="PAL","",IFERROR(VLOOKUP(B307,'General price list'!C:BA,MATCH("OBJ",'General price list'!$C$20:$BA$20,0),FALSE),""))</f>
        <v>0</v>
      </c>
      <c r="E307" s="1">
        <f t="shared" si="36"/>
        <v>0</v>
      </c>
      <c r="F307" s="1">
        <f t="shared" si="37"/>
        <v>0</v>
      </c>
      <c r="G307" s="1">
        <f t="shared" si="38"/>
        <v>0</v>
      </c>
      <c r="H307" s="1">
        <f t="shared" si="39"/>
        <v>0</v>
      </c>
      <c r="I307" s="1">
        <f t="shared" si="40"/>
        <v>0</v>
      </c>
      <c r="J307">
        <f>IF(B307="PAL","",IFERROR(IF(C307="",VLOOKUP(B307,'General price list'!C:BA,MATCH("CBM",'General price list'!$C$20:$BA$20,0),FALSE)*D307,VLOOKUP(B307,'General price list'!C:BA,MATCH("CBM",'General price list'!$C$20:$BA$20,0),FALSE)*(G307*C307)),0))</f>
        <v>0</v>
      </c>
    </row>
    <row r="308" spans="2:10" ht="15" customHeight="1">
      <c r="B308" s="790">
        <f>IF(B307="PAL","",'General price list'!C328)</f>
        <v>0</v>
      </c>
      <c r="C308" s="1" t="str">
        <f>IF(B308="PAL","",IFERROR(VLOOKUP(B308,'General price list'!C:BA,MATCH("PAL",'General price list'!$C$20:$BA$20,0),FALSE),""))</f>
        <v/>
      </c>
      <c r="D308" s="1" t="str">
        <f>IF(B308="PAL","",IFERROR(VLOOKUP(B308,'General price list'!C:BA,MATCH("OBJ",'General price list'!$C$20:$BA$20,0),FALSE),""))</f>
        <v/>
      </c>
      <c r="E308" s="1">
        <f t="shared" si="36"/>
        <v>0</v>
      </c>
      <c r="F308" s="1">
        <f t="shared" si="37"/>
        <v>0</v>
      </c>
      <c r="G308" s="1">
        <f t="shared" si="38"/>
        <v>0</v>
      </c>
      <c r="H308" s="1">
        <f t="shared" si="39"/>
        <v>0</v>
      </c>
      <c r="I308" s="1">
        <f t="shared" si="40"/>
        <v>0</v>
      </c>
      <c r="J308">
        <f>IF(B308="PAL","",IFERROR(IF(C308="",VLOOKUP(B308,'General price list'!C:BA,MATCH("CBM",'General price list'!$C$20:$BA$20,0),FALSE)*D308,VLOOKUP(B308,'General price list'!C:BA,MATCH("CBM",'General price list'!$C$20:$BA$20,0),FALSE)*(G308*C308)),0))</f>
        <v>0</v>
      </c>
    </row>
    <row r="309" spans="2:10" ht="15" customHeight="1">
      <c r="B309" s="790" t="str">
        <f>IF(B308="PAL","",'General price list'!C329)</f>
        <v>BDLE1M</v>
      </c>
      <c r="C309" s="1" t="str">
        <f>IF(B309="PAL","",IFERROR(VLOOKUP(B309,'General price list'!C:BA,MATCH("PAL",'General price list'!$C$20:$BA$20,0),FALSE),""))</f>
        <v/>
      </c>
      <c r="D309" s="1">
        <f>IF(B309="PAL","",IFERROR(VLOOKUP(B309,'General price list'!C:BA,MATCH("OBJ",'General price list'!$C$20:$BA$20,0),FALSE),""))</f>
        <v>0</v>
      </c>
      <c r="E309" s="1">
        <f t="shared" si="36"/>
        <v>0</v>
      </c>
      <c r="F309" s="1">
        <f t="shared" si="37"/>
        <v>0</v>
      </c>
      <c r="G309" s="1">
        <f t="shared" si="38"/>
        <v>0</v>
      </c>
      <c r="H309" s="1">
        <f t="shared" si="39"/>
        <v>0</v>
      </c>
      <c r="I309" s="1">
        <f t="shared" si="40"/>
        <v>0</v>
      </c>
      <c r="J309">
        <f>IF(B309="PAL","",IFERROR(IF(C309="",VLOOKUP(B309,'General price list'!C:BA,MATCH("CBM",'General price list'!$C$20:$BA$20,0),FALSE)*D309,VLOOKUP(B309,'General price list'!C:BA,MATCH("CBM",'General price list'!$C$20:$BA$20,0),FALSE)*(G309*C309)),0))</f>
        <v>0</v>
      </c>
    </row>
    <row r="310" spans="2:10" ht="15" customHeight="1">
      <c r="B310" s="790" t="str">
        <f>IF(B309="PAL","",'General price list'!C330)</f>
        <v>BDLE1L</v>
      </c>
      <c r="C310" s="1" t="str">
        <f>IF(B310="PAL","",IFERROR(VLOOKUP(B310,'General price list'!C:BA,MATCH("PAL",'General price list'!$C$20:$BA$20,0),FALSE),""))</f>
        <v/>
      </c>
      <c r="D310" s="1">
        <f>IF(B310="PAL","",IFERROR(VLOOKUP(B310,'General price list'!C:BA,MATCH("OBJ",'General price list'!$C$20:$BA$20,0),FALSE),""))</f>
        <v>0</v>
      </c>
      <c r="E310" s="1">
        <f t="shared" si="36"/>
        <v>0</v>
      </c>
      <c r="F310" s="1">
        <f t="shared" si="37"/>
        <v>0</v>
      </c>
      <c r="G310" s="1">
        <f t="shared" si="38"/>
        <v>0</v>
      </c>
      <c r="H310" s="1">
        <f t="shared" si="39"/>
        <v>0</v>
      </c>
      <c r="I310" s="1">
        <f t="shared" si="40"/>
        <v>0</v>
      </c>
      <c r="J310">
        <f>IF(B310="PAL","",IFERROR(IF(C310="",VLOOKUP(B310,'General price list'!C:BA,MATCH("CBM",'General price list'!$C$20:$BA$20,0),FALSE)*D310,VLOOKUP(B310,'General price list'!C:BA,MATCH("CBM",'General price list'!$C$20:$BA$20,0),FALSE)*(G310*C310)),0))</f>
        <v>0</v>
      </c>
    </row>
    <row r="311" spans="2:10" ht="15" customHeight="1">
      <c r="B311" s="790" t="str">
        <f>IF(B310="PAL","",'General price list'!C331)</f>
        <v>BDLE1XL</v>
      </c>
      <c r="C311" s="1" t="str">
        <f>IF(B311="PAL","",IFERROR(VLOOKUP(B311,'General price list'!C:BA,MATCH("PAL",'General price list'!$C$20:$BA$20,0),FALSE),""))</f>
        <v/>
      </c>
      <c r="D311" s="1">
        <f>IF(B311="PAL","",IFERROR(VLOOKUP(B311,'General price list'!C:BA,MATCH("OBJ",'General price list'!$C$20:$BA$20,0),FALSE),""))</f>
        <v>0</v>
      </c>
      <c r="E311" s="1">
        <f t="shared" si="36"/>
        <v>0</v>
      </c>
      <c r="F311" s="1">
        <f t="shared" si="37"/>
        <v>0</v>
      </c>
      <c r="G311" s="1">
        <f t="shared" si="38"/>
        <v>0</v>
      </c>
      <c r="H311" s="1">
        <f t="shared" si="39"/>
        <v>0</v>
      </c>
      <c r="I311" s="1">
        <f t="shared" si="40"/>
        <v>0</v>
      </c>
      <c r="J311">
        <f>IF(B311="PAL","",IFERROR(IF(C311="",VLOOKUP(B311,'General price list'!C:BA,MATCH("CBM",'General price list'!$C$20:$BA$20,0),FALSE)*D311,VLOOKUP(B311,'General price list'!C:BA,MATCH("CBM",'General price list'!$C$20:$BA$20,0),FALSE)*(G311*C311)),0))</f>
        <v>0</v>
      </c>
    </row>
    <row r="312" spans="2:10" ht="15" customHeight="1">
      <c r="B312" s="790" t="str">
        <f>IF(B311="PAL","",'General price list'!C332)</f>
        <v>BDLE1XXL</v>
      </c>
      <c r="C312" s="1" t="str">
        <f>IF(B312="PAL","",IFERROR(VLOOKUP(B312,'General price list'!C:BA,MATCH("PAL",'General price list'!$C$20:$BA$20,0),FALSE),""))</f>
        <v/>
      </c>
      <c r="D312" s="1">
        <f>IF(B312="PAL","",IFERROR(VLOOKUP(B312,'General price list'!C:BA,MATCH("OBJ",'General price list'!$C$20:$BA$20,0),FALSE),""))</f>
        <v>0</v>
      </c>
      <c r="E312" s="1">
        <f t="shared" si="36"/>
        <v>0</v>
      </c>
      <c r="F312" s="1">
        <f t="shared" si="37"/>
        <v>0</v>
      </c>
      <c r="G312" s="1">
        <f t="shared" si="38"/>
        <v>0</v>
      </c>
      <c r="H312" s="1">
        <f t="shared" si="39"/>
        <v>0</v>
      </c>
      <c r="I312" s="1">
        <f t="shared" si="40"/>
        <v>0</v>
      </c>
      <c r="J312">
        <f>IF(B312="PAL","",IFERROR(IF(C312="",VLOOKUP(B312,'General price list'!C:BA,MATCH("CBM",'General price list'!$C$20:$BA$20,0),FALSE)*D312,VLOOKUP(B312,'General price list'!C:BA,MATCH("CBM",'General price list'!$C$20:$BA$20,0),FALSE)*(G312*C312)),0))</f>
        <v>0</v>
      </c>
    </row>
    <row r="313" spans="2:10" ht="15" customHeight="1">
      <c r="B313" s="790">
        <f>IF(B312="PAL","",'General price list'!C333)</f>
        <v>0</v>
      </c>
      <c r="C313" s="1" t="str">
        <f>IF(B313="PAL","",IFERROR(VLOOKUP(B313,'General price list'!C:BA,MATCH("PAL",'General price list'!$C$20:$BA$20,0),FALSE),""))</f>
        <v/>
      </c>
      <c r="D313" s="1" t="str">
        <f>IF(B313="PAL","",IFERROR(VLOOKUP(B313,'General price list'!C:BA,MATCH("OBJ",'General price list'!$C$20:$BA$20,0),FALSE),""))</f>
        <v/>
      </c>
      <c r="E313" s="1">
        <f t="shared" si="36"/>
        <v>0</v>
      </c>
      <c r="F313" s="1">
        <f t="shared" si="37"/>
        <v>0</v>
      </c>
      <c r="G313" s="1">
        <f t="shared" si="38"/>
        <v>0</v>
      </c>
      <c r="H313" s="1">
        <f t="shared" si="39"/>
        <v>0</v>
      </c>
      <c r="I313" s="1">
        <f t="shared" si="40"/>
        <v>0</v>
      </c>
      <c r="J313">
        <f>IF(B313="PAL","",IFERROR(IF(C313="",VLOOKUP(B313,'General price list'!C:BA,MATCH("CBM",'General price list'!$C$20:$BA$20,0),FALSE)*D313,VLOOKUP(B313,'General price list'!C:BA,MATCH("CBM",'General price list'!$C$20:$BA$20,0),FALSE)*(G313*C313)),0))</f>
        <v>0</v>
      </c>
    </row>
    <row r="314" spans="2:10" ht="15" customHeight="1">
      <c r="B314" s="790" t="str">
        <f>IF(B313="PAL","",'General price list'!C334)</f>
        <v>MDLE1M</v>
      </c>
      <c r="C314" s="1" t="str">
        <f>IF(B314="PAL","",IFERROR(VLOOKUP(B314,'General price list'!C:BA,MATCH("PAL",'General price list'!$C$20:$BA$20,0),FALSE),""))</f>
        <v/>
      </c>
      <c r="D314" s="1">
        <f>IF(B314="PAL","",IFERROR(VLOOKUP(B314,'General price list'!C:BA,MATCH("OBJ",'General price list'!$C$20:$BA$20,0),FALSE),""))</f>
        <v>0</v>
      </c>
      <c r="E314" s="1">
        <f t="shared" si="36"/>
        <v>0</v>
      </c>
      <c r="F314" s="1">
        <f t="shared" si="37"/>
        <v>0</v>
      </c>
      <c r="G314" s="1">
        <f t="shared" si="38"/>
        <v>0</v>
      </c>
      <c r="H314" s="1">
        <f t="shared" si="39"/>
        <v>0</v>
      </c>
      <c r="I314" s="1">
        <f t="shared" si="40"/>
        <v>0</v>
      </c>
      <c r="J314">
        <f>IF(B314="PAL","",IFERROR(IF(C314="",VLOOKUP(B314,'General price list'!C:BA,MATCH("CBM",'General price list'!$C$20:$BA$20,0),FALSE)*D314,VLOOKUP(B314,'General price list'!C:BA,MATCH("CBM",'General price list'!$C$20:$BA$20,0),FALSE)*(G314*C314)),0))</f>
        <v>0</v>
      </c>
    </row>
    <row r="315" spans="2:10" ht="15" customHeight="1">
      <c r="B315" s="790" t="str">
        <f>IF(B314="PAL","",'General price list'!C335)</f>
        <v>MDLE1L</v>
      </c>
      <c r="C315" s="1" t="str">
        <f>IF(B315="PAL","",IFERROR(VLOOKUP(B315,'General price list'!C:BA,MATCH("PAL",'General price list'!$C$20:$BA$20,0),FALSE),""))</f>
        <v/>
      </c>
      <c r="D315" s="1">
        <f>IF(B315="PAL","",IFERROR(VLOOKUP(B315,'General price list'!C:BA,MATCH("OBJ",'General price list'!$C$20:$BA$20,0),FALSE),""))</f>
        <v>0</v>
      </c>
      <c r="E315" s="1">
        <f t="shared" si="36"/>
        <v>0</v>
      </c>
      <c r="F315" s="1">
        <f t="shared" si="37"/>
        <v>0</v>
      </c>
      <c r="G315" s="1">
        <f t="shared" si="38"/>
        <v>0</v>
      </c>
      <c r="H315" s="1">
        <f t="shared" si="39"/>
        <v>0</v>
      </c>
      <c r="I315" s="1">
        <f t="shared" si="40"/>
        <v>0</v>
      </c>
      <c r="J315">
        <f>IF(B315="PAL","",IFERROR(IF(C315="",VLOOKUP(B315,'General price list'!C:BA,MATCH("CBM",'General price list'!$C$20:$BA$20,0),FALSE)*D315,VLOOKUP(B315,'General price list'!C:BA,MATCH("CBM",'General price list'!$C$20:$BA$20,0),FALSE)*(G315*C315)),0))</f>
        <v>0</v>
      </c>
    </row>
    <row r="316" spans="2:10" ht="15" customHeight="1">
      <c r="B316" s="790" t="str">
        <f>IF(B315="PAL","",'General price list'!C336)</f>
        <v>MDLE1XL</v>
      </c>
      <c r="C316" s="1" t="str">
        <f>IF(B316="PAL","",IFERROR(VLOOKUP(B316,'General price list'!C:BA,MATCH("PAL",'General price list'!$C$20:$BA$20,0),FALSE),""))</f>
        <v/>
      </c>
      <c r="D316" s="1">
        <f>IF(B316="PAL","",IFERROR(VLOOKUP(B316,'General price list'!C:BA,MATCH("OBJ",'General price list'!$C$20:$BA$20,0),FALSE),""))</f>
        <v>0</v>
      </c>
      <c r="E316" s="1">
        <f t="shared" si="36"/>
        <v>0</v>
      </c>
      <c r="F316" s="1">
        <f t="shared" si="37"/>
        <v>0</v>
      </c>
      <c r="G316" s="1">
        <f t="shared" si="38"/>
        <v>0</v>
      </c>
      <c r="H316" s="1">
        <f t="shared" si="39"/>
        <v>0</v>
      </c>
      <c r="I316" s="1">
        <f t="shared" si="40"/>
        <v>0</v>
      </c>
      <c r="J316">
        <f>IF(B316="PAL","",IFERROR(IF(C316="",VLOOKUP(B316,'General price list'!C:BA,MATCH("CBM",'General price list'!$C$20:$BA$20,0),FALSE)*D316,VLOOKUP(B316,'General price list'!C:BA,MATCH("CBM",'General price list'!$C$20:$BA$20,0),FALSE)*(G316*C316)),0))</f>
        <v>0</v>
      </c>
    </row>
    <row r="317" spans="2:10" ht="15" customHeight="1">
      <c r="B317" s="790" t="str">
        <f>IF(B316="PAL","",'General price list'!C337)</f>
        <v>MDLE1XXL</v>
      </c>
      <c r="C317" s="1" t="str">
        <f>IF(B317="PAL","",IFERROR(VLOOKUP(B317,'General price list'!C:BA,MATCH("PAL",'General price list'!$C$20:$BA$20,0),FALSE),""))</f>
        <v/>
      </c>
      <c r="D317" s="1">
        <f>IF(B317="PAL","",IFERROR(VLOOKUP(B317,'General price list'!C:BA,MATCH("OBJ",'General price list'!$C$20:$BA$20,0),FALSE),""))</f>
        <v>0</v>
      </c>
      <c r="E317" s="1">
        <f t="shared" si="36"/>
        <v>0</v>
      </c>
      <c r="F317" s="1">
        <f t="shared" si="37"/>
        <v>0</v>
      </c>
      <c r="G317" s="1">
        <f t="shared" si="38"/>
        <v>0</v>
      </c>
      <c r="H317" s="1">
        <f t="shared" si="39"/>
        <v>0</v>
      </c>
      <c r="I317" s="1">
        <f t="shared" si="40"/>
        <v>0</v>
      </c>
      <c r="J317">
        <f>IF(B317="PAL","",IFERROR(IF(C317="",VLOOKUP(B317,'General price list'!C:BA,MATCH("CBM",'General price list'!$C$20:$BA$20,0),FALSE)*D317,VLOOKUP(B317,'General price list'!C:BA,MATCH("CBM",'General price list'!$C$20:$BA$20,0),FALSE)*(G317*C317)),0))</f>
        <v>0</v>
      </c>
    </row>
    <row r="318" spans="2:10" ht="15" customHeight="1">
      <c r="B318" s="790">
        <f>IF(B317="PAL","",'General price list'!C338)</f>
        <v>0</v>
      </c>
      <c r="C318" s="1" t="str">
        <f>IF(B318="PAL","",IFERROR(VLOOKUP(B318,'General price list'!C:BA,MATCH("PAL",'General price list'!$C$20:$BA$20,0),FALSE),""))</f>
        <v/>
      </c>
      <c r="D318" s="1" t="str">
        <f>IF(B318="PAL","",IFERROR(VLOOKUP(B318,'General price list'!C:BA,MATCH("OBJ",'General price list'!$C$20:$BA$20,0),FALSE),""))</f>
        <v/>
      </c>
      <c r="E318" s="1">
        <f t="shared" si="36"/>
        <v>0</v>
      </c>
      <c r="F318" s="1">
        <f t="shared" si="37"/>
        <v>0</v>
      </c>
      <c r="G318" s="1">
        <f t="shared" si="38"/>
        <v>0</v>
      </c>
      <c r="H318" s="1">
        <f t="shared" si="39"/>
        <v>0</v>
      </c>
      <c r="I318" s="1">
        <f t="shared" si="40"/>
        <v>0</v>
      </c>
      <c r="J318">
        <f>IF(B318="PAL","",IFERROR(IF(C318="",VLOOKUP(B318,'General price list'!C:BA,MATCH("CBM",'General price list'!$C$20:$BA$20,0),FALSE)*D318,VLOOKUP(B318,'General price list'!C:BA,MATCH("CBM",'General price list'!$C$20:$BA$20,0),FALSE)*(G318*C318)),0))</f>
        <v>0</v>
      </c>
    </row>
    <row r="319" spans="2:10" ht="15" customHeight="1">
      <c r="B319" s="790" t="str">
        <f>IF(B318="PAL","",'General price list'!C339)</f>
        <v>MDLEZ1M</v>
      </c>
      <c r="C319" s="1" t="str">
        <f>IF(B319="PAL","",IFERROR(VLOOKUP(B319,'General price list'!C:BA,MATCH("PAL",'General price list'!$C$20:$BA$20,0),FALSE),""))</f>
        <v/>
      </c>
      <c r="D319" s="1">
        <f>IF(B319="PAL","",IFERROR(VLOOKUP(B319,'General price list'!C:BA,MATCH("OBJ",'General price list'!$C$20:$BA$20,0),FALSE),""))</f>
        <v>0</v>
      </c>
      <c r="E319" s="1">
        <f t="shared" si="36"/>
        <v>0</v>
      </c>
      <c r="F319" s="1">
        <f t="shared" si="37"/>
        <v>0</v>
      </c>
      <c r="G319" s="1">
        <f t="shared" si="38"/>
        <v>0</v>
      </c>
      <c r="H319" s="1">
        <f t="shared" si="39"/>
        <v>0</v>
      </c>
      <c r="I319" s="1">
        <f t="shared" si="40"/>
        <v>0</v>
      </c>
      <c r="J319">
        <f>IF(B319="PAL","",IFERROR(IF(C319="",VLOOKUP(B319,'General price list'!C:BA,MATCH("CBM",'General price list'!$C$20:$BA$20,0),FALSE)*D319,VLOOKUP(B319,'General price list'!C:BA,MATCH("CBM",'General price list'!$C$20:$BA$20,0),FALSE)*(G319*C319)),0))</f>
        <v>0</v>
      </c>
    </row>
    <row r="320" spans="2:10" ht="15" customHeight="1">
      <c r="B320" s="790" t="str">
        <f>IF(B319="PAL","",'General price list'!C340)</f>
        <v>MDLEZ1L</v>
      </c>
      <c r="C320" s="1" t="str">
        <f>IF(B320="PAL","",IFERROR(VLOOKUP(B320,'General price list'!C:BA,MATCH("PAL",'General price list'!$C$20:$BA$20,0),FALSE),""))</f>
        <v/>
      </c>
      <c r="D320" s="1">
        <f>IF(B320="PAL","",IFERROR(VLOOKUP(B320,'General price list'!C:BA,MATCH("OBJ",'General price list'!$C$20:$BA$20,0),FALSE),""))</f>
        <v>0</v>
      </c>
      <c r="E320" s="1">
        <f t="shared" si="36"/>
        <v>0</v>
      </c>
      <c r="F320" s="1">
        <f t="shared" si="37"/>
        <v>0</v>
      </c>
      <c r="G320" s="1">
        <f t="shared" si="38"/>
        <v>0</v>
      </c>
      <c r="H320" s="1">
        <f t="shared" si="39"/>
        <v>0</v>
      </c>
      <c r="I320" s="1">
        <f t="shared" si="40"/>
        <v>0</v>
      </c>
      <c r="J320">
        <f>IF(B320="PAL","",IFERROR(IF(C320="",VLOOKUP(B320,'General price list'!C:BA,MATCH("CBM",'General price list'!$C$20:$BA$20,0),FALSE)*D320,VLOOKUP(B320,'General price list'!C:BA,MATCH("CBM",'General price list'!$C$20:$BA$20,0),FALSE)*(G320*C320)),0))</f>
        <v>0</v>
      </c>
    </row>
    <row r="321" spans="2:10" ht="15" customHeight="1">
      <c r="B321" s="790" t="str">
        <f>IF(B320="PAL","",'General price list'!C341)</f>
        <v>MDLEZ1XL</v>
      </c>
      <c r="C321" s="1" t="str">
        <f>IF(B321="PAL","",IFERROR(VLOOKUP(B321,'General price list'!C:BA,MATCH("PAL",'General price list'!$C$20:$BA$20,0),FALSE),""))</f>
        <v/>
      </c>
      <c r="D321" s="1">
        <f>IF(B321="PAL","",IFERROR(VLOOKUP(B321,'General price list'!C:BA,MATCH("OBJ",'General price list'!$C$20:$BA$20,0),FALSE),""))</f>
        <v>0</v>
      </c>
      <c r="E321" s="1">
        <f t="shared" si="36"/>
        <v>0</v>
      </c>
      <c r="F321" s="1">
        <f t="shared" si="37"/>
        <v>0</v>
      </c>
      <c r="G321" s="1">
        <f t="shared" si="38"/>
        <v>0</v>
      </c>
      <c r="H321" s="1">
        <f t="shared" si="39"/>
        <v>0</v>
      </c>
      <c r="I321" s="1">
        <f t="shared" si="40"/>
        <v>0</v>
      </c>
      <c r="J321">
        <f>IF(B321="PAL","",IFERROR(IF(C321="",VLOOKUP(B321,'General price list'!C:BA,MATCH("CBM",'General price list'!$C$20:$BA$20,0),FALSE)*D321,VLOOKUP(B321,'General price list'!C:BA,MATCH("CBM",'General price list'!$C$20:$BA$20,0),FALSE)*(G321*C321)),0))</f>
        <v>0</v>
      </c>
    </row>
    <row r="322" spans="2:10" ht="15" customHeight="1">
      <c r="B322" s="790" t="str">
        <f>IF(B321="PAL","",'General price list'!C342)</f>
        <v>MDLEZ1XXL</v>
      </c>
      <c r="C322" s="1" t="str">
        <f>IF(B322="PAL","",IFERROR(VLOOKUP(B322,'General price list'!C:BA,MATCH("PAL",'General price list'!$C$20:$BA$20,0),FALSE),""))</f>
        <v/>
      </c>
      <c r="D322" s="1">
        <f>IF(B322="PAL","",IFERROR(VLOOKUP(B322,'General price list'!C:BA,MATCH("OBJ",'General price list'!$C$20:$BA$20,0),FALSE),""))</f>
        <v>0</v>
      </c>
      <c r="E322" s="1">
        <f t="shared" si="36"/>
        <v>0</v>
      </c>
      <c r="F322" s="1">
        <f t="shared" si="37"/>
        <v>0</v>
      </c>
      <c r="G322" s="1">
        <f t="shared" si="38"/>
        <v>0</v>
      </c>
      <c r="H322" s="1">
        <f t="shared" si="39"/>
        <v>0</v>
      </c>
      <c r="I322" s="1">
        <f t="shared" si="40"/>
        <v>0</v>
      </c>
      <c r="J322">
        <f>IF(B322="PAL","",IFERROR(IF(C322="",VLOOKUP(B322,'General price list'!C:BA,MATCH("CBM",'General price list'!$C$20:$BA$20,0),FALSE)*D322,VLOOKUP(B322,'General price list'!C:BA,MATCH("CBM",'General price list'!$C$20:$BA$20,0),FALSE)*(G322*C322)),0))</f>
        <v>0</v>
      </c>
    </row>
    <row r="323" spans="2:10" ht="15" customHeight="1">
      <c r="B323" s="790">
        <f>IF(B322="PAL","",'General price list'!C343)</f>
        <v>0</v>
      </c>
      <c r="C323" s="1" t="str">
        <f>IF(B323="PAL","",IFERROR(VLOOKUP(B323,'General price list'!C:BA,MATCH("PAL",'General price list'!$C$20:$BA$20,0),FALSE),""))</f>
        <v/>
      </c>
      <c r="D323" s="1" t="str">
        <f>IF(B323="PAL","",IFERROR(VLOOKUP(B323,'General price list'!C:BA,MATCH("OBJ",'General price list'!$C$20:$BA$20,0),FALSE),""))</f>
        <v/>
      </c>
      <c r="E323" s="1">
        <f t="shared" si="36"/>
        <v>0</v>
      </c>
      <c r="F323" s="1">
        <f t="shared" si="37"/>
        <v>0</v>
      </c>
      <c r="G323" s="1">
        <f t="shared" si="38"/>
        <v>0</v>
      </c>
      <c r="H323" s="1">
        <f t="shared" si="39"/>
        <v>0</v>
      </c>
      <c r="I323" s="1">
        <f t="shared" si="40"/>
        <v>0</v>
      </c>
      <c r="J323">
        <f>IF(B323="PAL","",IFERROR(IF(C323="",VLOOKUP(B323,'General price list'!C:BA,MATCH("CBM",'General price list'!$C$20:$BA$20,0),FALSE)*D323,VLOOKUP(B323,'General price list'!C:BA,MATCH("CBM",'General price list'!$C$20:$BA$20,0),FALSE)*(G323*C323)),0))</f>
        <v>0</v>
      </c>
    </row>
    <row r="324" spans="2:10" ht="15" customHeight="1">
      <c r="B324" s="790" t="str">
        <f>IF(B323="PAL","",'General price list'!C344)</f>
        <v>KDLE1</v>
      </c>
      <c r="C324" s="1" t="str">
        <f>IF(B324="PAL","",IFERROR(VLOOKUP(B324,'General price list'!C:BA,MATCH("PAL",'General price list'!$C$20:$BA$20,0),FALSE),""))</f>
        <v/>
      </c>
      <c r="D324" s="1">
        <f>IF(B324="PAL","",IFERROR(VLOOKUP(B324,'General price list'!C:BA,MATCH("OBJ",'General price list'!$C$20:$BA$20,0),FALSE),""))</f>
        <v>0</v>
      </c>
      <c r="E324" s="1">
        <f t="shared" si="36"/>
        <v>0</v>
      </c>
      <c r="F324" s="1">
        <f t="shared" si="37"/>
        <v>0</v>
      </c>
      <c r="G324" s="1">
        <f t="shared" si="38"/>
        <v>0</v>
      </c>
      <c r="H324" s="1">
        <f t="shared" si="39"/>
        <v>0</v>
      </c>
      <c r="I324" s="1">
        <f t="shared" si="40"/>
        <v>0</v>
      </c>
      <c r="J324">
        <f>IF(B324="PAL","",IFERROR(IF(C324="",VLOOKUP(B324,'General price list'!C:BA,MATCH("CBM",'General price list'!$C$20:$BA$20,0),FALSE)*D324,VLOOKUP(B324,'General price list'!C:BA,MATCH("CBM",'General price list'!$C$20:$BA$20,0),FALSE)*(G324*C324)),0))</f>
        <v>0</v>
      </c>
    </row>
    <row r="325" spans="2:10" ht="15" customHeight="1">
      <c r="B325" s="790" t="str">
        <f>IF(B324="PAL","",'General price list'!C345)</f>
        <v>CDLE1</v>
      </c>
      <c r="C325" s="1" t="str">
        <f>IF(B325="PAL","",IFERROR(VLOOKUP(B325,'General price list'!C:BA,MATCH("PAL",'General price list'!$C$20:$BA$20,0),FALSE),""))</f>
        <v/>
      </c>
      <c r="D325" s="1">
        <f>IF(B325="PAL","",IFERROR(VLOOKUP(B325,'General price list'!C:BA,MATCH("OBJ",'General price list'!$C$20:$BA$20,0),FALSE),""))</f>
        <v>0</v>
      </c>
      <c r="E325" s="1">
        <f t="shared" si="36"/>
        <v>0</v>
      </c>
      <c r="F325" s="1">
        <f t="shared" si="37"/>
        <v>0</v>
      </c>
      <c r="G325" s="1">
        <f t="shared" si="38"/>
        <v>0</v>
      </c>
      <c r="H325" s="1">
        <f t="shared" si="39"/>
        <v>0</v>
      </c>
      <c r="I325" s="1">
        <f t="shared" si="40"/>
        <v>0</v>
      </c>
      <c r="J325">
        <f>IF(B325="PAL","",IFERROR(IF(C325="",VLOOKUP(B325,'General price list'!C:BA,MATCH("CBM",'General price list'!$C$20:$BA$20,0),FALSE)*D325,VLOOKUP(B325,'General price list'!C:BA,MATCH("CBM",'General price list'!$C$20:$BA$20,0),FALSE)*(G325*C325)),0))</f>
        <v>0</v>
      </c>
    </row>
    <row r="326" spans="2:10" ht="15" customHeight="1">
      <c r="B326" s="790">
        <f>IF(B325="PAL","",'General price list'!C346)</f>
        <v>0</v>
      </c>
      <c r="C326" s="1" t="str">
        <f>IF(B326="PAL","",IFERROR(VLOOKUP(B326,'General price list'!C:BA,MATCH("PAL",'General price list'!$C$20:$BA$20,0),FALSE),""))</f>
        <v/>
      </c>
      <c r="D326" s="1" t="str">
        <f>IF(B326="PAL","",IFERROR(VLOOKUP(B326,'General price list'!C:BA,MATCH("OBJ",'General price list'!$C$20:$BA$20,0),FALSE),""))</f>
        <v/>
      </c>
      <c r="E326" s="1">
        <f t="shared" si="36"/>
        <v>0</v>
      </c>
      <c r="F326" s="1">
        <f t="shared" si="37"/>
        <v>0</v>
      </c>
      <c r="G326" s="1">
        <f t="shared" si="38"/>
        <v>0</v>
      </c>
      <c r="H326" s="1">
        <f t="shared" si="39"/>
        <v>0</v>
      </c>
      <c r="I326" s="1">
        <f t="shared" si="40"/>
        <v>0</v>
      </c>
      <c r="J326">
        <f>IF(B326="PAL","",IFERROR(IF(C326="",VLOOKUP(B326,'General price list'!C:BA,MATCH("CBM",'General price list'!$C$20:$BA$20,0),FALSE)*D326,VLOOKUP(B326,'General price list'!C:BA,MATCH("CBM",'General price list'!$C$20:$BA$20,0),FALSE)*(G326*C326)),0))</f>
        <v>0</v>
      </c>
    </row>
    <row r="327" spans="2:10" ht="15" customHeight="1">
      <c r="B327" s="790" t="str">
        <f>IF(B326="PAL","",'General price list'!C347)</f>
        <v>N1</v>
      </c>
      <c r="C327" s="1" t="str">
        <f>IF(B327="PAL","",IFERROR(VLOOKUP(B327,'General price list'!C:BA,MATCH("PAL",'General price list'!$C$20:$BA$20,0),FALSE),""))</f>
        <v/>
      </c>
      <c r="D327" s="1">
        <f>IF(B327="PAL","",IFERROR(VLOOKUP(B327,'General price list'!C:BA,MATCH("OBJ",'General price list'!$C$20:$BA$20,0),FALSE),""))</f>
        <v>0</v>
      </c>
      <c r="E327" s="1">
        <f t="shared" si="36"/>
        <v>0</v>
      </c>
      <c r="F327" s="1">
        <f t="shared" si="37"/>
        <v>0</v>
      </c>
      <c r="G327" s="1">
        <f t="shared" si="38"/>
        <v>0</v>
      </c>
      <c r="H327" s="1">
        <f t="shared" si="39"/>
        <v>0</v>
      </c>
      <c r="I327" s="1">
        <f t="shared" si="40"/>
        <v>0</v>
      </c>
      <c r="J327">
        <f>IF(B327="PAL","",IFERROR(IF(C327="",VLOOKUP(B327,'General price list'!C:BA,MATCH("CBM",'General price list'!$C$20:$BA$20,0),FALSE)*D327,VLOOKUP(B327,'General price list'!C:BA,MATCH("CBM",'General price list'!$C$20:$BA$20,0),FALSE)*(G327*C327)),0))</f>
        <v>0</v>
      </c>
    </row>
    <row r="328" spans="2:10" ht="15" customHeight="1">
      <c r="B328" s="790" t="str">
        <f>IF(B327="PAL","",'General price list'!C348)</f>
        <v>RUN1</v>
      </c>
      <c r="C328" s="1" t="str">
        <f>IF(B328="PAL","",IFERROR(VLOOKUP(B328,'General price list'!C:BA,MATCH("PAL",'General price list'!$C$20:$BA$20,0),FALSE),""))</f>
        <v/>
      </c>
      <c r="D328" s="1">
        <f>IF(B328="PAL","",IFERROR(VLOOKUP(B328,'General price list'!C:BA,MATCH("OBJ",'General price list'!$C$20:$BA$20,0),FALSE),""))</f>
        <v>0</v>
      </c>
      <c r="E328" s="1">
        <f t="shared" si="36"/>
        <v>0</v>
      </c>
      <c r="F328" s="1">
        <f t="shared" si="37"/>
        <v>0</v>
      </c>
      <c r="G328" s="1">
        <f t="shared" si="38"/>
        <v>0</v>
      </c>
      <c r="H328" s="1">
        <f t="shared" si="39"/>
        <v>0</v>
      </c>
      <c r="I328" s="1">
        <f t="shared" si="40"/>
        <v>0</v>
      </c>
      <c r="J328">
        <f>IF(B328="PAL","",IFERROR(IF(C328="",VLOOKUP(B328,'General price list'!C:BA,MATCH("CBM",'General price list'!$C$20:$BA$20,0),FALSE)*D328,VLOOKUP(B328,'General price list'!C:BA,MATCH("CBM",'General price list'!$C$20:$BA$20,0),FALSE)*(G328*C328)),0))</f>
        <v>0</v>
      </c>
    </row>
    <row r="329" spans="2:10" ht="15" customHeight="1">
      <c r="B329" s="790" t="str">
        <f>IF(B328="PAL","",'General price list'!C349)</f>
        <v>RT1DU</v>
      </c>
      <c r="C329" s="1" t="str">
        <f>IF(B329="PAL","",IFERROR(VLOOKUP(B329,'General price list'!C:BA,MATCH("PAL",'General price list'!$C$20:$BA$20,0),FALSE),""))</f>
        <v/>
      </c>
      <c r="D329" s="1">
        <f>IF(B329="PAL","",IFERROR(VLOOKUP(B329,'General price list'!C:BA,MATCH("OBJ",'General price list'!$C$20:$BA$20,0),FALSE),""))</f>
        <v>0</v>
      </c>
      <c r="E329" s="1">
        <f t="shared" si="36"/>
        <v>0</v>
      </c>
      <c r="F329" s="1">
        <f t="shared" si="37"/>
        <v>0</v>
      </c>
      <c r="G329" s="1">
        <f t="shared" si="38"/>
        <v>0</v>
      </c>
      <c r="H329" s="1">
        <f t="shared" si="39"/>
        <v>0</v>
      </c>
      <c r="I329" s="1">
        <f t="shared" si="40"/>
        <v>0</v>
      </c>
      <c r="J329">
        <f>IF(B329="PAL","",IFERROR(IF(C329="",VLOOKUP(B329,'General price list'!C:BA,MATCH("CBM",'General price list'!$C$20:$BA$20,0),FALSE)*D329,VLOOKUP(B329,'General price list'!C:BA,MATCH("CBM",'General price list'!$C$20:$BA$20,0),FALSE)*(G329*C329)),0))</f>
        <v>0</v>
      </c>
    </row>
    <row r="330" spans="2:10" ht="15" customHeight="1">
      <c r="B330" s="790" t="str">
        <f>IF(B329="PAL","",'General price list'!C350)</f>
        <v>PL1DU</v>
      </c>
      <c r="C330" s="1" t="str">
        <f>IF(B330="PAL","",IFERROR(VLOOKUP(B330,'General price list'!C:BA,MATCH("PAL",'General price list'!$C$20:$BA$20,0),FALSE),""))</f>
        <v/>
      </c>
      <c r="D330" s="1">
        <f>IF(B330="PAL","",IFERROR(VLOOKUP(B330,'General price list'!C:BA,MATCH("OBJ",'General price list'!$C$20:$BA$20,0),FALSE),""))</f>
        <v>0</v>
      </c>
      <c r="E330" s="1">
        <f t="shared" si="36"/>
        <v>0</v>
      </c>
      <c r="F330" s="1">
        <f t="shared" si="37"/>
        <v>0</v>
      </c>
      <c r="G330" s="1">
        <f t="shared" si="38"/>
        <v>0</v>
      </c>
      <c r="H330" s="1">
        <f t="shared" si="39"/>
        <v>0</v>
      </c>
      <c r="I330" s="1">
        <f t="shared" si="40"/>
        <v>0</v>
      </c>
      <c r="J330">
        <f>IF(B330="PAL","",IFERROR(IF(C330="",VLOOKUP(B330,'General price list'!C:BA,MATCH("CBM",'General price list'!$C$20:$BA$20,0),FALSE)*D330,VLOOKUP(B330,'General price list'!C:BA,MATCH("CBM",'General price list'!$C$20:$BA$20,0),FALSE)*(G330*C330)),0))</f>
        <v>0</v>
      </c>
    </row>
    <row r="331" spans="2:10" ht="15" customHeight="1">
      <c r="B331" s="790" t="str">
        <f>IF(B330="PAL","",'General price list'!C351)</f>
        <v>ZD1</v>
      </c>
      <c r="C331" s="1" t="str">
        <f>IF(B331="PAL","",IFERROR(VLOOKUP(B331,'General price list'!C:BA,MATCH("PAL",'General price list'!$C$20:$BA$20,0),FALSE),""))</f>
        <v/>
      </c>
      <c r="D331" s="1">
        <f>IF(B331="PAL","",IFERROR(VLOOKUP(B331,'General price list'!C:BA,MATCH("OBJ",'General price list'!$C$20:$BA$20,0),FALSE),""))</f>
        <v>0</v>
      </c>
      <c r="E331" s="1">
        <f t="shared" si="36"/>
        <v>0</v>
      </c>
      <c r="F331" s="1">
        <f t="shared" si="37"/>
        <v>0</v>
      </c>
      <c r="G331" s="1">
        <f t="shared" si="38"/>
        <v>0</v>
      </c>
      <c r="H331" s="1">
        <f t="shared" si="39"/>
        <v>0</v>
      </c>
      <c r="I331" s="1">
        <f t="shared" si="40"/>
        <v>0</v>
      </c>
      <c r="J331">
        <f>IF(B331="PAL","",IFERROR(IF(C331="",VLOOKUP(B331,'General price list'!C:BA,MATCH("CBM",'General price list'!$C$20:$BA$20,0),FALSE)*D331,VLOOKUP(B331,'General price list'!C:BA,MATCH("CBM",'General price list'!$C$20:$BA$20,0),FALSE)*(G331*C331)),0))</f>
        <v>0</v>
      </c>
    </row>
    <row r="332" spans="2:10" ht="15" customHeight="1">
      <c r="B332" s="790" t="str">
        <f>IF(B331="PAL","",'General price list'!C352)</f>
        <v>UZD2</v>
      </c>
      <c r="C332" s="1" t="str">
        <f>IF(B332="PAL","",IFERROR(VLOOKUP(B332,'General price list'!C:BA,MATCH("PAL",'General price list'!$C$20:$BA$20,0),FALSE),""))</f>
        <v/>
      </c>
      <c r="D332" s="1">
        <f>IF(B332="PAL","",IFERROR(VLOOKUP(B332,'General price list'!C:BA,MATCH("OBJ",'General price list'!$C$20:$BA$20,0),FALSE),""))</f>
        <v>0</v>
      </c>
      <c r="E332" s="1">
        <f t="shared" ref="E332:E395" si="41">IF(B332="PAL","",IFERROR(D332/C332,0))</f>
        <v>0</v>
      </c>
      <c r="F332" s="1">
        <f t="shared" ref="F332:F395" si="42">IF(B332="PAL","",IFERROR(FLOOR(IF(E332-1&lt;0,0,E332),1),0))</f>
        <v>0</v>
      </c>
      <c r="G332" s="1">
        <f t="shared" ref="G332:G395" si="43">IF(B332="PAL","",IFERROR(IF(H332&gt;E332,F332-E332,E332-F332),0))</f>
        <v>0</v>
      </c>
      <c r="H332" s="1">
        <f t="shared" ref="H332:H395" si="44">IF(B332="PAL","",IFERROR(IF(E332=0,0,F332),0))</f>
        <v>0</v>
      </c>
      <c r="I332" s="1">
        <f t="shared" ref="I332:I395" si="45">IF(B332="PAL","",IFERROR(IF(D332=0,0,IF(F332=0,(D332*nextVK)+(prvniVK-nextVK),(G332*C332*nextVK)+(F332*PALzKoje))),0))</f>
        <v>0</v>
      </c>
      <c r="J332">
        <f>IF(B332="PAL","",IFERROR(IF(C332="",VLOOKUP(B332,'General price list'!C:BA,MATCH("CBM",'General price list'!$C$20:$BA$20,0),FALSE)*D332,VLOOKUP(B332,'General price list'!C:BA,MATCH("CBM",'General price list'!$C$20:$BA$20,0),FALSE)*(G332*C332)),0))</f>
        <v>0</v>
      </c>
    </row>
    <row r="333" spans="2:10" ht="15" customHeight="1">
      <c r="B333" s="790" t="str">
        <f>IF(B332="PAL","",'General price list'!C353)</f>
        <v>ND1</v>
      </c>
      <c r="C333" s="1" t="str">
        <f>IF(B333="PAL","",IFERROR(VLOOKUP(B333,'General price list'!C:BA,MATCH("PAL",'General price list'!$C$20:$BA$20,0),FALSE),""))</f>
        <v/>
      </c>
      <c r="D333" s="1">
        <f>IF(B333="PAL","",IFERROR(VLOOKUP(B333,'General price list'!C:BA,MATCH("OBJ",'General price list'!$C$20:$BA$20,0),FALSE),""))</f>
        <v>0</v>
      </c>
      <c r="E333" s="1">
        <f t="shared" si="41"/>
        <v>0</v>
      </c>
      <c r="F333" s="1">
        <f t="shared" si="42"/>
        <v>0</v>
      </c>
      <c r="G333" s="1">
        <f t="shared" si="43"/>
        <v>0</v>
      </c>
      <c r="H333" s="1">
        <f t="shared" si="44"/>
        <v>0</v>
      </c>
      <c r="I333" s="1">
        <f t="shared" si="45"/>
        <v>0</v>
      </c>
      <c r="J333">
        <f>IF(B333="PAL","",IFERROR(IF(C333="",VLOOKUP(B333,'General price list'!C:BA,MATCH("CBM",'General price list'!$C$20:$BA$20,0),FALSE)*D333,VLOOKUP(B333,'General price list'!C:BA,MATCH("CBM",'General price list'!$C$20:$BA$20,0),FALSE)*(G333*C333)),0))</f>
        <v>0</v>
      </c>
    </row>
    <row r="334" spans="2:10" ht="15" customHeight="1">
      <c r="B334" s="790" t="str">
        <f>IF(B333="PAL","",'General price list'!C354)</f>
        <v>T2</v>
      </c>
      <c r="C334" s="1" t="str">
        <f>IF(B334="PAL","",IFERROR(VLOOKUP(B334,'General price list'!C:BA,MATCH("PAL",'General price list'!$C$20:$BA$20,0),FALSE),""))</f>
        <v/>
      </c>
      <c r="D334" s="1">
        <f>IF(B334="PAL","",IFERROR(VLOOKUP(B334,'General price list'!C:BA,MATCH("OBJ",'General price list'!$C$20:$BA$20,0),FALSE),""))</f>
        <v>0</v>
      </c>
      <c r="E334" s="1">
        <f t="shared" si="41"/>
        <v>0</v>
      </c>
      <c r="F334" s="1">
        <f t="shared" si="42"/>
        <v>0</v>
      </c>
      <c r="G334" s="1">
        <f t="shared" si="43"/>
        <v>0</v>
      </c>
      <c r="H334" s="1">
        <f t="shared" si="44"/>
        <v>0</v>
      </c>
      <c r="I334" s="1">
        <f t="shared" si="45"/>
        <v>0</v>
      </c>
      <c r="J334">
        <f>IF(B334="PAL","",IFERROR(IF(C334="",VLOOKUP(B334,'General price list'!C:BA,MATCH("CBM",'General price list'!$C$20:$BA$20,0),FALSE)*D334,VLOOKUP(B334,'General price list'!C:BA,MATCH("CBM",'General price list'!$C$20:$BA$20,0),FALSE)*(G334*C334)),0))</f>
        <v>0</v>
      </c>
    </row>
    <row r="335" spans="2:10" ht="15" customHeight="1">
      <c r="B335" s="790" t="str">
        <f>IF(B334="PAL","",'General price list'!C355)</f>
        <v>KK2025</v>
      </c>
      <c r="C335" s="1" t="str">
        <f>IF(B335="PAL","",IFERROR(VLOOKUP(B335,'General price list'!C:BA,MATCH("PAL",'General price list'!$C$20:$BA$20,0),FALSE),""))</f>
        <v/>
      </c>
      <c r="D335" s="1">
        <f>IF(B335="PAL","",IFERROR(VLOOKUP(B335,'General price list'!C:BA,MATCH("OBJ",'General price list'!$C$20:$BA$20,0),FALSE),""))</f>
        <v>0</v>
      </c>
      <c r="E335" s="1">
        <f t="shared" si="41"/>
        <v>0</v>
      </c>
      <c r="F335" s="1">
        <f t="shared" si="42"/>
        <v>0</v>
      </c>
      <c r="G335" s="1">
        <f t="shared" si="43"/>
        <v>0</v>
      </c>
      <c r="H335" s="1">
        <f t="shared" si="44"/>
        <v>0</v>
      </c>
      <c r="I335" s="1">
        <f t="shared" si="45"/>
        <v>0</v>
      </c>
      <c r="J335">
        <f>IF(B335="PAL","",IFERROR(IF(C335="",VLOOKUP(B335,'General price list'!C:BA,MATCH("CBM",'General price list'!$C$20:$BA$20,0),FALSE)*D335,VLOOKUP(B335,'General price list'!C:BA,MATCH("CBM",'General price list'!$C$20:$BA$20,0),FALSE)*(G335*C335)),0))</f>
        <v>0</v>
      </c>
    </row>
    <row r="336" spans="2:10" ht="15" customHeight="1">
      <c r="B336" s="790" t="str">
        <f>IF(B335="PAL","",'General price list'!C356)</f>
        <v>HD1</v>
      </c>
      <c r="C336" s="1" t="str">
        <f>IF(B336="PAL","",IFERROR(VLOOKUP(B336,'General price list'!C:BA,MATCH("PAL",'General price list'!$C$20:$BA$20,0),FALSE),""))</f>
        <v/>
      </c>
      <c r="D336" s="1">
        <f>IF(B336="PAL","",IFERROR(VLOOKUP(B336,'General price list'!C:BA,MATCH("OBJ",'General price list'!$C$20:$BA$20,0),FALSE),""))</f>
        <v>0</v>
      </c>
      <c r="E336" s="1">
        <f t="shared" si="41"/>
        <v>0</v>
      </c>
      <c r="F336" s="1">
        <f t="shared" si="42"/>
        <v>0</v>
      </c>
      <c r="G336" s="1">
        <f t="shared" si="43"/>
        <v>0</v>
      </c>
      <c r="H336" s="1">
        <f t="shared" si="44"/>
        <v>0</v>
      </c>
      <c r="I336" s="1">
        <f t="shared" si="45"/>
        <v>0</v>
      </c>
      <c r="J336">
        <f>IF(B336="PAL","",IFERROR(IF(C336="",VLOOKUP(B336,'General price list'!C:BA,MATCH("CBM",'General price list'!$C$20:$BA$20,0),FALSE)*D336,VLOOKUP(B336,'General price list'!C:BA,MATCH("CBM",'General price list'!$C$20:$BA$20,0),FALSE)*(G336*C336)),0))</f>
        <v>0</v>
      </c>
    </row>
    <row r="337" spans="2:10" ht="15" customHeight="1">
      <c r="B337" s="790" t="str">
        <f>IF(B336="PAL","",'General price list'!C357)</f>
        <v>PPMD1</v>
      </c>
      <c r="C337" s="1" t="str">
        <f>IF(B337="PAL","",IFERROR(VLOOKUP(B337,'General price list'!C:BA,MATCH("PAL",'General price list'!$C$20:$BA$20,0),FALSE),""))</f>
        <v/>
      </c>
      <c r="D337" s="1">
        <f>IF(B337="PAL","",IFERROR(VLOOKUP(B337,'General price list'!C:BA,MATCH("OBJ",'General price list'!$C$20:$BA$20,0),FALSE),""))</f>
        <v>0</v>
      </c>
      <c r="E337" s="1">
        <f t="shared" si="41"/>
        <v>0</v>
      </c>
      <c r="F337" s="1">
        <f t="shared" si="42"/>
        <v>0</v>
      </c>
      <c r="G337" s="1">
        <f t="shared" si="43"/>
        <v>0</v>
      </c>
      <c r="H337" s="1">
        <f t="shared" si="44"/>
        <v>0</v>
      </c>
      <c r="I337" s="1">
        <f t="shared" si="45"/>
        <v>0</v>
      </c>
      <c r="J337">
        <f>IF(B337="PAL","",IFERROR(IF(C337="",VLOOKUP(B337,'General price list'!C:BA,MATCH("CBM",'General price list'!$C$20:$BA$20,0),FALSE)*D337,VLOOKUP(B337,'General price list'!C:BA,MATCH("CBM",'General price list'!$C$20:$BA$20,0),FALSE)*(G337*C337)),0))</f>
        <v>0</v>
      </c>
    </row>
    <row r="338" spans="2:10" ht="15" customHeight="1">
      <c r="B338" s="790" t="str">
        <f>IF(B337="PAL","",'General price list'!C358)</f>
        <v>DD1</v>
      </c>
      <c r="C338" s="1" t="str">
        <f>IF(B338="PAL","",IFERROR(VLOOKUP(B338,'General price list'!C:BA,MATCH("PAL",'General price list'!$C$20:$BA$20,0),FALSE),""))</f>
        <v/>
      </c>
      <c r="D338" s="1">
        <f>IF(B338="PAL","",IFERROR(VLOOKUP(B338,'General price list'!C:BA,MATCH("OBJ",'General price list'!$C$20:$BA$20,0),FALSE),""))</f>
        <v>0</v>
      </c>
      <c r="E338" s="1">
        <f t="shared" si="41"/>
        <v>0</v>
      </c>
      <c r="F338" s="1">
        <f t="shared" si="42"/>
        <v>0</v>
      </c>
      <c r="G338" s="1">
        <f t="shared" si="43"/>
        <v>0</v>
      </c>
      <c r="H338" s="1">
        <f t="shared" si="44"/>
        <v>0</v>
      </c>
      <c r="I338" s="1">
        <f t="shared" si="45"/>
        <v>0</v>
      </c>
      <c r="J338">
        <f>IF(B338="PAL","",IFERROR(IF(C338="",VLOOKUP(B338,'General price list'!C:BA,MATCH("CBM",'General price list'!$C$20:$BA$20,0),FALSE)*D338,VLOOKUP(B338,'General price list'!C:BA,MATCH("CBM",'General price list'!$C$20:$BA$20,0),FALSE)*(G338*C338)),0))</f>
        <v>0</v>
      </c>
    </row>
    <row r="339" spans="2:10" ht="15" customHeight="1">
      <c r="B339" s="790" t="str">
        <f>IF(B338="PAL","",'General price list'!C359)</f>
        <v>KKD1</v>
      </c>
      <c r="C339" s="1" t="str">
        <f>IF(B339="PAL","",IFERROR(VLOOKUP(B339,'General price list'!C:BA,MATCH("PAL",'General price list'!$C$20:$BA$20,0),FALSE),""))</f>
        <v/>
      </c>
      <c r="D339" s="1">
        <f>IF(B339="PAL","",IFERROR(VLOOKUP(B339,'General price list'!C:BA,MATCH("OBJ",'General price list'!$C$20:$BA$20,0),FALSE),""))</f>
        <v>0</v>
      </c>
      <c r="E339" s="1">
        <f t="shared" si="41"/>
        <v>0</v>
      </c>
      <c r="F339" s="1">
        <f t="shared" si="42"/>
        <v>0</v>
      </c>
      <c r="G339" s="1">
        <f t="shared" si="43"/>
        <v>0</v>
      </c>
      <c r="H339" s="1">
        <f t="shared" si="44"/>
        <v>0</v>
      </c>
      <c r="I339" s="1">
        <f t="shared" si="45"/>
        <v>0</v>
      </c>
      <c r="J339">
        <f>IF(B339="PAL","",IFERROR(IF(C339="",VLOOKUP(B339,'General price list'!C:BA,MATCH("CBM",'General price list'!$C$20:$BA$20,0),FALSE)*D339,VLOOKUP(B339,'General price list'!C:BA,MATCH("CBM",'General price list'!$C$20:$BA$20,0),FALSE)*(G339*C339)),0))</f>
        <v>0</v>
      </c>
    </row>
    <row r="340" spans="2:10" ht="15" customHeight="1">
      <c r="B340" s="790" t="str">
        <f>IF(B339="PAL","",'General price list'!C360)</f>
        <v>LO1DU</v>
      </c>
      <c r="C340" s="1" t="str">
        <f>IF(B340="PAL","",IFERROR(VLOOKUP(B340,'General price list'!C:BA,MATCH("PAL",'General price list'!$C$20:$BA$20,0),FALSE),""))</f>
        <v/>
      </c>
      <c r="D340" s="1">
        <f>IF(B340="PAL","",IFERROR(VLOOKUP(B340,'General price list'!C:BA,MATCH("OBJ",'General price list'!$C$20:$BA$20,0),FALSE),""))</f>
        <v>0</v>
      </c>
      <c r="E340" s="1">
        <f t="shared" si="41"/>
        <v>0</v>
      </c>
      <c r="F340" s="1">
        <f t="shared" si="42"/>
        <v>0</v>
      </c>
      <c r="G340" s="1">
        <f t="shared" si="43"/>
        <v>0</v>
      </c>
      <c r="H340" s="1">
        <f t="shared" si="44"/>
        <v>0</v>
      </c>
      <c r="I340" s="1">
        <f t="shared" si="45"/>
        <v>0</v>
      </c>
      <c r="J340">
        <f>IF(B340="PAL","",IFERROR(IF(C340="",VLOOKUP(B340,'General price list'!C:BA,MATCH("CBM",'General price list'!$C$20:$BA$20,0),FALSE)*D340,VLOOKUP(B340,'General price list'!C:BA,MATCH("CBM",'General price list'!$C$20:$BA$20,0),FALSE)*(G340*C340)),0))</f>
        <v>0</v>
      </c>
    </row>
    <row r="341" spans="2:10" ht="15" customHeight="1">
      <c r="B341" s="790">
        <f>IF(B340="PAL","",'General price list'!C361)</f>
        <v>0</v>
      </c>
      <c r="C341" s="1" t="str">
        <f>IF(B341="PAL","",IFERROR(VLOOKUP(B341,'General price list'!C:BA,MATCH("PAL",'General price list'!$C$20:$BA$20,0),FALSE),""))</f>
        <v/>
      </c>
      <c r="D341" s="1" t="str">
        <f>IF(B341="PAL","",IFERROR(VLOOKUP(B341,'General price list'!C:BA,MATCH("OBJ",'General price list'!$C$20:$BA$20,0),FALSE),""))</f>
        <v/>
      </c>
      <c r="E341" s="1">
        <f t="shared" si="41"/>
        <v>0</v>
      </c>
      <c r="F341" s="1">
        <f t="shared" si="42"/>
        <v>0</v>
      </c>
      <c r="G341" s="1">
        <f t="shared" si="43"/>
        <v>0</v>
      </c>
      <c r="H341" s="1">
        <f t="shared" si="44"/>
        <v>0</v>
      </c>
      <c r="I341" s="1">
        <f t="shared" si="45"/>
        <v>0</v>
      </c>
      <c r="J341">
        <f>IF(B341="PAL","",IFERROR(IF(C341="",VLOOKUP(B341,'General price list'!C:BA,MATCH("CBM",'General price list'!$C$20:$BA$20,0),FALSE)*D341,VLOOKUP(B341,'General price list'!C:BA,MATCH("CBM",'General price list'!$C$20:$BA$20,0),FALSE)*(G341*C341)),0))</f>
        <v>0</v>
      </c>
    </row>
    <row r="342" spans="2:10" ht="15" customHeight="1">
      <c r="B342" s="790" t="str">
        <f>IF(B341="PAL","",'General price list'!C362)</f>
        <v>OZ4</v>
      </c>
      <c r="C342" s="1" t="str">
        <f>IF(B342="PAL","",IFERROR(VLOOKUP(B342,'General price list'!C:BA,MATCH("PAL",'General price list'!$C$20:$BA$20,0),FALSE),""))</f>
        <v/>
      </c>
      <c r="D342" s="1">
        <f>IF(B342="PAL","",IFERROR(VLOOKUP(B342,'General price list'!C:BA,MATCH("OBJ",'General price list'!$C$20:$BA$20,0),FALSE),""))</f>
        <v>0</v>
      </c>
      <c r="E342" s="1">
        <f t="shared" si="41"/>
        <v>0</v>
      </c>
      <c r="F342" s="1">
        <f t="shared" si="42"/>
        <v>0</v>
      </c>
      <c r="G342" s="1">
        <f t="shared" si="43"/>
        <v>0</v>
      </c>
      <c r="H342" s="1">
        <f t="shared" si="44"/>
        <v>0</v>
      </c>
      <c r="I342" s="1">
        <f t="shared" si="45"/>
        <v>0</v>
      </c>
      <c r="J342">
        <f>IF(B342="PAL","",IFERROR(IF(C342="",VLOOKUP(B342,'General price list'!C:BA,MATCH("CBM",'General price list'!$C$20:$BA$20,0),FALSE)*D342,VLOOKUP(B342,'General price list'!C:BA,MATCH("CBM",'General price list'!$C$20:$BA$20,0),FALSE)*(G342*C342)),0))</f>
        <v>0</v>
      </c>
    </row>
    <row r="343" spans="2:10" ht="15" customHeight="1">
      <c r="B343" s="790" t="str">
        <f>IF(B342="PAL","",'General price list'!C363)</f>
        <v>ZS5M</v>
      </c>
      <c r="C343" s="1" t="str">
        <f>IF(B343="PAL","",IFERROR(VLOOKUP(B343,'General price list'!C:BA,MATCH("PAL",'General price list'!$C$20:$BA$20,0),FALSE),""))</f>
        <v/>
      </c>
      <c r="D343" s="1">
        <f>IF(B343="PAL","",IFERROR(VLOOKUP(B343,'General price list'!C:BA,MATCH("OBJ",'General price list'!$C$20:$BA$20,0),FALSE),""))</f>
        <v>0</v>
      </c>
      <c r="E343" s="1">
        <f t="shared" si="41"/>
        <v>0</v>
      </c>
      <c r="F343" s="1">
        <f t="shared" si="42"/>
        <v>0</v>
      </c>
      <c r="G343" s="1">
        <f t="shared" si="43"/>
        <v>0</v>
      </c>
      <c r="H343" s="1">
        <f t="shared" si="44"/>
        <v>0</v>
      </c>
      <c r="I343" s="1">
        <f t="shared" si="45"/>
        <v>0</v>
      </c>
      <c r="J343">
        <f>IF(B343="PAL","",IFERROR(IF(C343="",VLOOKUP(B343,'General price list'!C:BA,MATCH("CBM",'General price list'!$C$20:$BA$20,0),FALSE)*D343,VLOOKUP(B343,'General price list'!C:BA,MATCH("CBM",'General price list'!$C$20:$BA$20,0),FALSE)*(G343*C343)),0))</f>
        <v>0</v>
      </c>
    </row>
    <row r="344" spans="2:10" ht="15" customHeight="1">
      <c r="B344" s="790">
        <f>IF(B343="PAL","",'General price list'!C364)</f>
        <v>0</v>
      </c>
      <c r="C344" s="1" t="str">
        <f>IF(B344="PAL","",IFERROR(VLOOKUP(B344,'General price list'!C:BA,MATCH("PAL",'General price list'!$C$20:$BA$20,0),FALSE),""))</f>
        <v/>
      </c>
      <c r="D344" s="1" t="str">
        <f>IF(B344="PAL","",IFERROR(VLOOKUP(B344,'General price list'!C:BA,MATCH("OBJ",'General price list'!$C$20:$BA$20,0),FALSE),""))</f>
        <v/>
      </c>
      <c r="E344" s="1">
        <f t="shared" si="41"/>
        <v>0</v>
      </c>
      <c r="F344" s="1">
        <f t="shared" si="42"/>
        <v>0</v>
      </c>
      <c r="G344" s="1">
        <f t="shared" si="43"/>
        <v>0</v>
      </c>
      <c r="H344" s="1">
        <f t="shared" si="44"/>
        <v>0</v>
      </c>
      <c r="I344" s="1">
        <f t="shared" si="45"/>
        <v>0</v>
      </c>
      <c r="J344">
        <f>IF(B344="PAL","",IFERROR(IF(C344="",VLOOKUP(B344,'General price list'!C:BA,MATCH("CBM",'General price list'!$C$20:$BA$20,0),FALSE)*D344,VLOOKUP(B344,'General price list'!C:BA,MATCH("CBM",'General price list'!$C$20:$BA$20,0),FALSE)*(G344*C344)),0))</f>
        <v>0</v>
      </c>
    </row>
    <row r="345" spans="2:10" ht="15" customHeight="1">
      <c r="B345" s="790" t="str">
        <f>IF(B344="PAL","",'General price list'!C365)</f>
        <v>C2508R</v>
      </c>
      <c r="C345" s="1" t="str">
        <f>IF(B345="PAL","",IFERROR(VLOOKUP(B345,'General price list'!C:BA,MATCH("PAL",'General price list'!$C$20:$BA$20,0),FALSE),""))</f>
        <v/>
      </c>
      <c r="D345" s="1">
        <f>IF(B345="PAL","",IFERROR(VLOOKUP(B345,'General price list'!C:BA,MATCH("OBJ",'General price list'!$C$20:$BA$20,0),FALSE),""))</f>
        <v>0</v>
      </c>
      <c r="E345" s="1">
        <f t="shared" si="41"/>
        <v>0</v>
      </c>
      <c r="F345" s="1">
        <f t="shared" si="42"/>
        <v>0</v>
      </c>
      <c r="G345" s="1">
        <f t="shared" si="43"/>
        <v>0</v>
      </c>
      <c r="H345" s="1">
        <f t="shared" si="44"/>
        <v>0</v>
      </c>
      <c r="I345" s="1">
        <f t="shared" si="45"/>
        <v>0</v>
      </c>
      <c r="J345">
        <f>IF(B345="PAL","",IFERROR(IF(C345="",VLOOKUP(B345,'General price list'!C:BA,MATCH("CBM",'General price list'!$C$20:$BA$20,0),FALSE)*D345,VLOOKUP(B345,'General price list'!C:BA,MATCH("CBM",'General price list'!$C$20:$BA$20,0),FALSE)*(G345*C345)),0))</f>
        <v>0</v>
      </c>
    </row>
    <row r="346" spans="2:10" ht="15" customHeight="1">
      <c r="B346" s="790" t="str">
        <f>IF(B345="PAL","",'General price list'!C366)</f>
        <v>C10008R</v>
      </c>
      <c r="C346" s="1" t="str">
        <f>IF(B346="PAL","",IFERROR(VLOOKUP(B346,'General price list'!C:BA,MATCH("PAL",'General price list'!$C$20:$BA$20,0),FALSE),""))</f>
        <v/>
      </c>
      <c r="D346" s="1">
        <f>IF(B346="PAL","",IFERROR(VLOOKUP(B346,'General price list'!C:BA,MATCH("OBJ",'General price list'!$C$20:$BA$20,0),FALSE),""))</f>
        <v>0</v>
      </c>
      <c r="E346" s="1">
        <f t="shared" si="41"/>
        <v>0</v>
      </c>
      <c r="F346" s="1">
        <f t="shared" si="42"/>
        <v>0</v>
      </c>
      <c r="G346" s="1">
        <f t="shared" si="43"/>
        <v>0</v>
      </c>
      <c r="H346" s="1">
        <f t="shared" si="44"/>
        <v>0</v>
      </c>
      <c r="I346" s="1">
        <f t="shared" si="45"/>
        <v>0</v>
      </c>
      <c r="J346">
        <f>IF(B346="PAL","",IFERROR(IF(C346="",VLOOKUP(B346,'General price list'!C:BA,MATCH("CBM",'General price list'!$C$20:$BA$20,0),FALSE)*D346,VLOOKUP(B346,'General price list'!C:BA,MATCH("CBM",'General price list'!$C$20:$BA$20,0),FALSE)*(G346*C346)),0))</f>
        <v>0</v>
      </c>
    </row>
    <row r="347" spans="2:10" ht="15" customHeight="1">
      <c r="B347" s="790">
        <f>IF(B346="PAL","",'General price list'!C367)</f>
        <v>0</v>
      </c>
      <c r="C347" s="1" t="str">
        <f>IF(B347="PAL","",IFERROR(VLOOKUP(B347,'General price list'!C:BA,MATCH("PAL",'General price list'!$C$20:$BA$20,0),FALSE),""))</f>
        <v/>
      </c>
      <c r="D347" s="1" t="str">
        <f>IF(B347="PAL","",IFERROR(VLOOKUP(B347,'General price list'!C:BA,MATCH("OBJ",'General price list'!$C$20:$BA$20,0),FALSE),""))</f>
        <v/>
      </c>
      <c r="E347" s="1">
        <f t="shared" si="41"/>
        <v>0</v>
      </c>
      <c r="F347" s="1">
        <f t="shared" si="42"/>
        <v>0</v>
      </c>
      <c r="G347" s="1">
        <f t="shared" si="43"/>
        <v>0</v>
      </c>
      <c r="H347" s="1">
        <f t="shared" si="44"/>
        <v>0</v>
      </c>
      <c r="I347" s="1">
        <f t="shared" si="45"/>
        <v>0</v>
      </c>
      <c r="J347">
        <f>IF(B347="PAL","",IFERROR(IF(C347="",VLOOKUP(B347,'General price list'!C:BA,MATCH("CBM",'General price list'!$C$20:$BA$20,0),FALSE)*D347,VLOOKUP(B347,'General price list'!C:BA,MATCH("CBM",'General price list'!$C$20:$BA$20,0),FALSE)*(G347*C347)),0))</f>
        <v>0</v>
      </c>
    </row>
    <row r="348" spans="2:10" ht="15" customHeight="1">
      <c r="B348" s="790" t="str">
        <f>IF(B347="PAL","",'General price list'!C368)</f>
        <v>C1008CC</v>
      </c>
      <c r="C348" s="1" t="str">
        <f>IF(B348="PAL","",IFERROR(VLOOKUP(B348,'General price list'!C:BA,MATCH("PAL",'General price list'!$C$20:$BA$20,0),FALSE),""))</f>
        <v/>
      </c>
      <c r="D348" s="1">
        <f>IF(B348="PAL","",IFERROR(VLOOKUP(B348,'General price list'!C:BA,MATCH("OBJ",'General price list'!$C$20:$BA$20,0),FALSE),""))</f>
        <v>0</v>
      </c>
      <c r="E348" s="1">
        <f t="shared" si="41"/>
        <v>0</v>
      </c>
      <c r="F348" s="1">
        <f t="shared" si="42"/>
        <v>0</v>
      </c>
      <c r="G348" s="1">
        <f t="shared" si="43"/>
        <v>0</v>
      </c>
      <c r="H348" s="1">
        <f t="shared" si="44"/>
        <v>0</v>
      </c>
      <c r="I348" s="1">
        <f t="shared" si="45"/>
        <v>0</v>
      </c>
      <c r="J348">
        <f>IF(B348="PAL","",IFERROR(IF(C348="",VLOOKUP(B348,'General price list'!C:BA,MATCH("CBM",'General price list'!$C$20:$BA$20,0),FALSE)*D348,VLOOKUP(B348,'General price list'!C:BA,MATCH("CBM",'General price list'!$C$20:$BA$20,0),FALSE)*(G348*C348)),0))</f>
        <v>0</v>
      </c>
    </row>
    <row r="349" spans="2:10" ht="15" customHeight="1">
      <c r="B349" s="790">
        <f>IF(B348="PAL","",'General price list'!C369)</f>
        <v>0</v>
      </c>
      <c r="C349" s="1" t="str">
        <f>IF(B349="PAL","",IFERROR(VLOOKUP(B349,'General price list'!C:BA,MATCH("PAL",'General price list'!$C$20:$BA$20,0),FALSE),""))</f>
        <v/>
      </c>
      <c r="D349" s="1" t="str">
        <f>IF(B349="PAL","",IFERROR(VLOOKUP(B349,'General price list'!C:BA,MATCH("OBJ",'General price list'!$C$20:$BA$20,0),FALSE),""))</f>
        <v/>
      </c>
      <c r="E349" s="1">
        <f t="shared" si="41"/>
        <v>0</v>
      </c>
      <c r="F349" s="1">
        <f t="shared" si="42"/>
        <v>0</v>
      </c>
      <c r="G349" s="1">
        <f t="shared" si="43"/>
        <v>0</v>
      </c>
      <c r="H349" s="1">
        <f t="shared" si="44"/>
        <v>0</v>
      </c>
      <c r="I349" s="1">
        <f t="shared" si="45"/>
        <v>0</v>
      </c>
      <c r="J349">
        <f>IF(B349="PAL","",IFERROR(IF(C349="",VLOOKUP(B349,'General price list'!C:BA,MATCH("CBM",'General price list'!$C$20:$BA$20,0),FALSE)*D349,VLOOKUP(B349,'General price list'!C:BA,MATCH("CBM",'General price list'!$C$20:$BA$20,0),FALSE)*(G349*C349)),0))</f>
        <v>0</v>
      </c>
    </row>
    <row r="350" spans="2:10" ht="15" customHeight="1">
      <c r="B350" s="790" t="str">
        <f>IF(B349="PAL","",'General price list'!C370)</f>
        <v>C1614E14</v>
      </c>
      <c r="C350" s="1" t="str">
        <f>IF(B350="PAL","",IFERROR(VLOOKUP(B350,'General price list'!C:BA,MATCH("PAL",'General price list'!$C$20:$BA$20,0),FALSE),""))</f>
        <v/>
      </c>
      <c r="D350" s="1">
        <f>IF(B350="PAL","",IFERROR(VLOOKUP(B350,'General price list'!C:BA,MATCH("OBJ",'General price list'!$C$20:$BA$20,0),FALSE),""))</f>
        <v>0</v>
      </c>
      <c r="E350" s="1">
        <f t="shared" si="41"/>
        <v>0</v>
      </c>
      <c r="F350" s="1">
        <f t="shared" si="42"/>
        <v>0</v>
      </c>
      <c r="G350" s="1">
        <f t="shared" si="43"/>
        <v>0</v>
      </c>
      <c r="H350" s="1">
        <f t="shared" si="44"/>
        <v>0</v>
      </c>
      <c r="I350" s="1">
        <f t="shared" si="45"/>
        <v>0</v>
      </c>
      <c r="J350">
        <f>IF(B350="PAL","",IFERROR(IF(C350="",VLOOKUP(B350,'General price list'!C:BA,MATCH("CBM",'General price list'!$C$20:$BA$20,0),FALSE)*D350,VLOOKUP(B350,'General price list'!C:BA,MATCH("CBM",'General price list'!$C$20:$BA$20,0),FALSE)*(G350*C350)),0))</f>
        <v>0</v>
      </c>
    </row>
    <row r="351" spans="2:10" ht="15" customHeight="1">
      <c r="B351" s="790">
        <f>IF(B350="PAL","",'General price list'!C371)</f>
        <v>0</v>
      </c>
      <c r="C351" s="1" t="str">
        <f>IF(B351="PAL","",IFERROR(VLOOKUP(B351,'General price list'!C:BA,MATCH("PAL",'General price list'!$C$20:$BA$20,0),FALSE),""))</f>
        <v/>
      </c>
      <c r="D351" s="1" t="str">
        <f>IF(B351="PAL","",IFERROR(VLOOKUP(B351,'General price list'!C:BA,MATCH("OBJ",'General price list'!$C$20:$BA$20,0),FALSE),""))</f>
        <v/>
      </c>
      <c r="E351" s="1">
        <f t="shared" si="41"/>
        <v>0</v>
      </c>
      <c r="F351" s="1">
        <f t="shared" si="42"/>
        <v>0</v>
      </c>
      <c r="G351" s="1">
        <f t="shared" si="43"/>
        <v>0</v>
      </c>
      <c r="H351" s="1">
        <f t="shared" si="44"/>
        <v>0</v>
      </c>
      <c r="I351" s="1">
        <f t="shared" si="45"/>
        <v>0</v>
      </c>
      <c r="J351">
        <f>IF(B351="PAL","",IFERROR(IF(C351="",VLOOKUP(B351,'General price list'!C:BA,MATCH("CBM",'General price list'!$C$20:$BA$20,0),FALSE)*D351,VLOOKUP(B351,'General price list'!C:BA,MATCH("CBM",'General price list'!$C$20:$BA$20,0),FALSE)*(G351*C351)),0))</f>
        <v>0</v>
      </c>
    </row>
    <row r="352" spans="2:10" ht="15" customHeight="1">
      <c r="B352" s="790" t="str">
        <f>IF(B351="PAL","",'General price list'!C372)</f>
        <v>C3614B14</v>
      </c>
      <c r="C352" s="1" t="str">
        <f>IF(B352="PAL","",IFERROR(VLOOKUP(B352,'General price list'!C:BA,MATCH("PAL",'General price list'!$C$20:$BA$20,0),FALSE),""))</f>
        <v/>
      </c>
      <c r="D352" s="1">
        <f>IF(B352="PAL","",IFERROR(VLOOKUP(B352,'General price list'!C:BA,MATCH("OBJ",'General price list'!$C$20:$BA$20,0),FALSE),""))</f>
        <v>0</v>
      </c>
      <c r="E352" s="1">
        <f t="shared" si="41"/>
        <v>0</v>
      </c>
      <c r="F352" s="1">
        <f t="shared" si="42"/>
        <v>0</v>
      </c>
      <c r="G352" s="1">
        <f t="shared" si="43"/>
        <v>0</v>
      </c>
      <c r="H352" s="1">
        <f t="shared" si="44"/>
        <v>0</v>
      </c>
      <c r="I352" s="1">
        <f t="shared" si="45"/>
        <v>0</v>
      </c>
      <c r="J352">
        <f>IF(B352="PAL","",IFERROR(IF(C352="",VLOOKUP(B352,'General price list'!C:BA,MATCH("CBM",'General price list'!$C$20:$BA$20,0),FALSE)*D352,VLOOKUP(B352,'General price list'!C:BA,MATCH("CBM",'General price list'!$C$20:$BA$20,0),FALSE)*(G352*C352)),0))</f>
        <v>0</v>
      </c>
    </row>
    <row r="353" spans="2:10" ht="15" customHeight="1">
      <c r="B353" s="790">
        <f>IF(B352="PAL","",'General price list'!C373)</f>
        <v>0</v>
      </c>
      <c r="C353" s="1" t="str">
        <f>IF(B353="PAL","",IFERROR(VLOOKUP(B353,'General price list'!C:BA,MATCH("PAL",'General price list'!$C$20:$BA$20,0),FALSE),""))</f>
        <v/>
      </c>
      <c r="D353" s="1" t="str">
        <f>IF(B353="PAL","",IFERROR(VLOOKUP(B353,'General price list'!C:BA,MATCH("OBJ",'General price list'!$C$20:$BA$20,0),FALSE),""))</f>
        <v/>
      </c>
      <c r="E353" s="1">
        <f t="shared" si="41"/>
        <v>0</v>
      </c>
      <c r="F353" s="1">
        <f t="shared" si="42"/>
        <v>0</v>
      </c>
      <c r="G353" s="1">
        <f t="shared" si="43"/>
        <v>0</v>
      </c>
      <c r="H353" s="1">
        <f t="shared" si="44"/>
        <v>0</v>
      </c>
      <c r="I353" s="1">
        <f t="shared" si="45"/>
        <v>0</v>
      </c>
      <c r="J353">
        <f>IF(B353="PAL","",IFERROR(IF(C353="",VLOOKUP(B353,'General price list'!C:BA,MATCH("CBM",'General price list'!$C$20:$BA$20,0),FALSE)*D353,VLOOKUP(B353,'General price list'!C:BA,MATCH("CBM",'General price list'!$C$20:$BA$20,0),FALSE)*(G353*C353)),0))</f>
        <v>0</v>
      </c>
    </row>
    <row r="354" spans="2:10" ht="15" customHeight="1">
      <c r="B354" s="790" t="str">
        <f>IF(B353="PAL","",'General price list'!C374)</f>
        <v>C6414C14</v>
      </c>
      <c r="C354" s="1" t="str">
        <f>IF(B354="PAL","",IFERROR(VLOOKUP(B354,'General price list'!C:BA,MATCH("PAL",'General price list'!$C$20:$BA$20,0),FALSE),""))</f>
        <v/>
      </c>
      <c r="D354" s="1">
        <f>IF(B354="PAL","",IFERROR(VLOOKUP(B354,'General price list'!C:BA,MATCH("OBJ",'General price list'!$C$20:$BA$20,0),FALSE),""))</f>
        <v>0</v>
      </c>
      <c r="E354" s="1">
        <f t="shared" si="41"/>
        <v>0</v>
      </c>
      <c r="F354" s="1">
        <f t="shared" si="42"/>
        <v>0</v>
      </c>
      <c r="G354" s="1">
        <f t="shared" si="43"/>
        <v>0</v>
      </c>
      <c r="H354" s="1">
        <f t="shared" si="44"/>
        <v>0</v>
      </c>
      <c r="I354" s="1">
        <f t="shared" si="45"/>
        <v>0</v>
      </c>
      <c r="J354">
        <f>IF(B354="PAL","",IFERROR(IF(C354="",VLOOKUP(B354,'General price list'!C:BA,MATCH("CBM",'General price list'!$C$20:$BA$20,0),FALSE)*D354,VLOOKUP(B354,'General price list'!C:BA,MATCH("CBM",'General price list'!$C$20:$BA$20,0),FALSE)*(G354*C354)),0))</f>
        <v>0</v>
      </c>
    </row>
    <row r="355" spans="2:10" ht="15" customHeight="1">
      <c r="B355" s="790">
        <f>IF(B354="PAL","",'General price list'!C375)</f>
        <v>0</v>
      </c>
      <c r="C355" s="1" t="str">
        <f>IF(B355="PAL","",IFERROR(VLOOKUP(B355,'General price list'!C:BA,MATCH("PAL",'General price list'!$C$20:$BA$20,0),FALSE),""))</f>
        <v/>
      </c>
      <c r="D355" s="1" t="str">
        <f>IF(B355="PAL","",IFERROR(VLOOKUP(B355,'General price list'!C:BA,MATCH("OBJ",'General price list'!$C$20:$BA$20,0),FALSE),""))</f>
        <v/>
      </c>
      <c r="E355" s="1">
        <f t="shared" si="41"/>
        <v>0</v>
      </c>
      <c r="F355" s="1">
        <f t="shared" si="42"/>
        <v>0</v>
      </c>
      <c r="G355" s="1">
        <f t="shared" si="43"/>
        <v>0</v>
      </c>
      <c r="H355" s="1">
        <f t="shared" si="44"/>
        <v>0</v>
      </c>
      <c r="I355" s="1">
        <f t="shared" si="45"/>
        <v>0</v>
      </c>
      <c r="J355">
        <f>IF(B355="PAL","",IFERROR(IF(C355="",VLOOKUP(B355,'General price list'!C:BA,MATCH("CBM",'General price list'!$C$20:$BA$20,0),FALSE)*D355,VLOOKUP(B355,'General price list'!C:BA,MATCH("CBM",'General price list'!$C$20:$BA$20,0),FALSE)*(G355*C355)),0))</f>
        <v>0</v>
      </c>
    </row>
    <row r="356" spans="2:10" ht="15" customHeight="1">
      <c r="B356" s="790" t="str">
        <f>IF(B355="PAL","",'General price list'!C376)</f>
        <v>C10014A</v>
      </c>
      <c r="C356" s="1" t="str">
        <f>IF(B356="PAL","",IFERROR(VLOOKUP(B356,'General price list'!C:BA,MATCH("PAL",'General price list'!$C$20:$BA$20,0),FALSE),""))</f>
        <v/>
      </c>
      <c r="D356" s="1">
        <f>IF(B356="PAL","",IFERROR(VLOOKUP(B356,'General price list'!C:BA,MATCH("OBJ",'General price list'!$C$20:$BA$20,0),FALSE),""))</f>
        <v>0</v>
      </c>
      <c r="E356" s="1">
        <f t="shared" si="41"/>
        <v>0</v>
      </c>
      <c r="F356" s="1">
        <f t="shared" si="42"/>
        <v>0</v>
      </c>
      <c r="G356" s="1">
        <f t="shared" si="43"/>
        <v>0</v>
      </c>
      <c r="H356" s="1">
        <f t="shared" si="44"/>
        <v>0</v>
      </c>
      <c r="I356" s="1">
        <f t="shared" si="45"/>
        <v>0</v>
      </c>
      <c r="J356">
        <f>IF(B356="PAL","",IFERROR(IF(C356="",VLOOKUP(B356,'General price list'!C:BA,MATCH("CBM",'General price list'!$C$20:$BA$20,0),FALSE)*D356,VLOOKUP(B356,'General price list'!C:BA,MATCH("CBM",'General price list'!$C$20:$BA$20,0),FALSE)*(G356*C356)),0))</f>
        <v>0</v>
      </c>
    </row>
    <row r="357" spans="2:10" ht="15" customHeight="1">
      <c r="B357" s="790">
        <f>IF(B356="PAL","",'General price list'!C377)</f>
        <v>0</v>
      </c>
      <c r="C357" s="1" t="str">
        <f>IF(B357="PAL","",IFERROR(VLOOKUP(B357,'General price list'!C:BA,MATCH("PAL",'General price list'!$C$20:$BA$20,0),FALSE),""))</f>
        <v/>
      </c>
      <c r="D357" s="1" t="str">
        <f>IF(B357="PAL","",IFERROR(VLOOKUP(B357,'General price list'!C:BA,MATCH("OBJ",'General price list'!$C$20:$BA$20,0),FALSE),""))</f>
        <v/>
      </c>
      <c r="E357" s="1">
        <f t="shared" si="41"/>
        <v>0</v>
      </c>
      <c r="F357" s="1">
        <f t="shared" si="42"/>
        <v>0</v>
      </c>
      <c r="G357" s="1">
        <f t="shared" si="43"/>
        <v>0</v>
      </c>
      <c r="H357" s="1">
        <f t="shared" si="44"/>
        <v>0</v>
      </c>
      <c r="I357" s="1">
        <f t="shared" si="45"/>
        <v>0</v>
      </c>
      <c r="J357">
        <f>IF(B357="PAL","",IFERROR(IF(C357="",VLOOKUP(B357,'General price list'!C:BA,MATCH("CBM",'General price list'!$C$20:$BA$20,0),FALSE)*D357,VLOOKUP(B357,'General price list'!C:BA,MATCH("CBM",'General price list'!$C$20:$BA$20,0),FALSE)*(G357*C357)),0))</f>
        <v>0</v>
      </c>
    </row>
    <row r="358" spans="2:10" ht="15" customHeight="1">
      <c r="B358" s="790" t="str">
        <f>IF(B357="PAL","",'General price list'!C378)</f>
        <v>C20014F14</v>
      </c>
      <c r="C358" s="1" t="str">
        <f>IF(B358="PAL","",IFERROR(VLOOKUP(B358,'General price list'!C:BA,MATCH("PAL",'General price list'!$C$20:$BA$20,0),FALSE),""))</f>
        <v/>
      </c>
      <c r="D358" s="1">
        <f>IF(B358="PAL","",IFERROR(VLOOKUP(B358,'General price list'!C:BA,MATCH("OBJ",'General price list'!$C$20:$BA$20,0),FALSE),""))</f>
        <v>0</v>
      </c>
      <c r="E358" s="1">
        <f t="shared" si="41"/>
        <v>0</v>
      </c>
      <c r="F358" s="1">
        <f t="shared" si="42"/>
        <v>0</v>
      </c>
      <c r="G358" s="1">
        <f t="shared" si="43"/>
        <v>0</v>
      </c>
      <c r="H358" s="1">
        <f t="shared" si="44"/>
        <v>0</v>
      </c>
      <c r="I358" s="1">
        <f t="shared" si="45"/>
        <v>0</v>
      </c>
      <c r="J358">
        <f>IF(B358="PAL","",IFERROR(IF(C358="",VLOOKUP(B358,'General price list'!C:BA,MATCH("CBM",'General price list'!$C$20:$BA$20,0),FALSE)*D358,VLOOKUP(B358,'General price list'!C:BA,MATCH("CBM",'General price list'!$C$20:$BA$20,0),FALSE)*(G358*C358)),0))</f>
        <v>0</v>
      </c>
    </row>
    <row r="359" spans="2:10" ht="15" customHeight="1">
      <c r="B359" s="790">
        <f>IF(B358="PAL","",'General price list'!C379)</f>
        <v>0</v>
      </c>
      <c r="C359" s="1" t="str">
        <f>IF(B359="PAL","",IFERROR(VLOOKUP(B359,'General price list'!C:BA,MATCH("PAL",'General price list'!$C$20:$BA$20,0),FALSE),""))</f>
        <v/>
      </c>
      <c r="D359" s="1" t="str">
        <f>IF(B359="PAL","",IFERROR(VLOOKUP(B359,'General price list'!C:BA,MATCH("OBJ",'General price list'!$C$20:$BA$20,0),FALSE),""))</f>
        <v/>
      </c>
      <c r="E359" s="1">
        <f t="shared" si="41"/>
        <v>0</v>
      </c>
      <c r="F359" s="1">
        <f t="shared" si="42"/>
        <v>0</v>
      </c>
      <c r="G359" s="1">
        <f t="shared" si="43"/>
        <v>0</v>
      </c>
      <c r="H359" s="1">
        <f t="shared" si="44"/>
        <v>0</v>
      </c>
      <c r="I359" s="1">
        <f t="shared" si="45"/>
        <v>0</v>
      </c>
      <c r="J359">
        <f>IF(B359="PAL","",IFERROR(IF(C359="",VLOOKUP(B359,'General price list'!C:BA,MATCH("CBM",'General price list'!$C$20:$BA$20,0),FALSE)*D359,VLOOKUP(B359,'General price list'!C:BA,MATCH("CBM",'General price list'!$C$20:$BA$20,0),FALSE)*(G359*C359)),0))</f>
        <v>0</v>
      </c>
    </row>
    <row r="360" spans="2:10" ht="15" customHeight="1">
      <c r="B360" s="790" t="str">
        <f>IF(B359="PAL","",'General price list'!C380)</f>
        <v>C40014W/C14</v>
      </c>
      <c r="C360" s="1" t="str">
        <f>IF(B360="PAL","",IFERROR(VLOOKUP(B360,'General price list'!C:BA,MATCH("PAL",'General price list'!$C$20:$BA$20,0),FALSE),""))</f>
        <v/>
      </c>
      <c r="D360" s="1">
        <f>IF(B360="PAL","",IFERROR(VLOOKUP(B360,'General price list'!C:BA,MATCH("OBJ",'General price list'!$C$20:$BA$20,0),FALSE),""))</f>
        <v>0</v>
      </c>
      <c r="E360" s="1">
        <f t="shared" si="41"/>
        <v>0</v>
      </c>
      <c r="F360" s="1">
        <f t="shared" si="42"/>
        <v>0</v>
      </c>
      <c r="G360" s="1">
        <f t="shared" si="43"/>
        <v>0</v>
      </c>
      <c r="H360" s="1">
        <f t="shared" si="44"/>
        <v>0</v>
      </c>
      <c r="I360" s="1">
        <f t="shared" si="45"/>
        <v>0</v>
      </c>
      <c r="J360">
        <f>IF(B360="PAL","",IFERROR(IF(C360="",VLOOKUP(B360,'General price list'!C:BA,MATCH("CBM",'General price list'!$C$20:$BA$20,0),FALSE)*D360,VLOOKUP(B360,'General price list'!C:BA,MATCH("CBM",'General price list'!$C$20:$BA$20,0),FALSE)*(G360*C360)),0))</f>
        <v>0</v>
      </c>
    </row>
    <row r="361" spans="2:10" ht="15" customHeight="1">
      <c r="B361" s="790">
        <f>IF(B360="PAL","",'General price list'!C381)</f>
        <v>0</v>
      </c>
      <c r="C361" s="1" t="str">
        <f>IF(B361="PAL","",IFERROR(VLOOKUP(B361,'General price list'!C:BA,MATCH("PAL",'General price list'!$C$20:$BA$20,0),FALSE),""))</f>
        <v/>
      </c>
      <c r="D361" s="1" t="str">
        <f>IF(B361="PAL","",IFERROR(VLOOKUP(B361,'General price list'!C:BA,MATCH("OBJ",'General price list'!$C$20:$BA$20,0),FALSE),""))</f>
        <v/>
      </c>
      <c r="E361" s="1">
        <f t="shared" si="41"/>
        <v>0</v>
      </c>
      <c r="F361" s="1">
        <f t="shared" si="42"/>
        <v>0</v>
      </c>
      <c r="G361" s="1">
        <f t="shared" si="43"/>
        <v>0</v>
      </c>
      <c r="H361" s="1">
        <f t="shared" si="44"/>
        <v>0</v>
      </c>
      <c r="I361" s="1">
        <f t="shared" si="45"/>
        <v>0</v>
      </c>
      <c r="J361">
        <f>IF(B361="PAL","",IFERROR(IF(C361="",VLOOKUP(B361,'General price list'!C:BA,MATCH("CBM",'General price list'!$C$20:$BA$20,0),FALSE)*D361,VLOOKUP(B361,'General price list'!C:BA,MATCH("CBM",'General price list'!$C$20:$BA$20,0),FALSE)*(G361*C361)),0))</f>
        <v>0</v>
      </c>
    </row>
    <row r="362" spans="2:10" ht="15" customHeight="1">
      <c r="B362" s="790" t="str">
        <f>IF(B361="PAL","",'General price list'!C382)</f>
        <v>C20814XPR14</v>
      </c>
      <c r="C362" s="1" t="str">
        <f>IF(B362="PAL","",IFERROR(VLOOKUP(B362,'General price list'!C:BA,MATCH("PAL",'General price list'!$C$20:$BA$20,0),FALSE),""))</f>
        <v/>
      </c>
      <c r="D362" s="1">
        <f>IF(B362="PAL","",IFERROR(VLOOKUP(B362,'General price list'!C:BA,MATCH("OBJ",'General price list'!$C$20:$BA$20,0),FALSE),""))</f>
        <v>0</v>
      </c>
      <c r="E362" s="1">
        <f t="shared" si="41"/>
        <v>0</v>
      </c>
      <c r="F362" s="1">
        <f t="shared" si="42"/>
        <v>0</v>
      </c>
      <c r="G362" s="1">
        <f t="shared" si="43"/>
        <v>0</v>
      </c>
      <c r="H362" s="1">
        <f t="shared" si="44"/>
        <v>0</v>
      </c>
      <c r="I362" s="1">
        <f t="shared" si="45"/>
        <v>0</v>
      </c>
      <c r="J362">
        <f>IF(B362="PAL","",IFERROR(IF(C362="",VLOOKUP(B362,'General price list'!C:BA,MATCH("CBM",'General price list'!$C$20:$BA$20,0),FALSE)*D362,VLOOKUP(B362,'General price list'!C:BA,MATCH("CBM",'General price list'!$C$20:$BA$20,0),FALSE)*(G362*C362)),0))</f>
        <v>0</v>
      </c>
    </row>
    <row r="363" spans="2:10" ht="15" customHeight="1">
      <c r="B363" s="790">
        <f>IF(B362="PAL","",'General price list'!C383)</f>
        <v>0</v>
      </c>
      <c r="C363" s="1" t="str">
        <f>IF(B363="PAL","",IFERROR(VLOOKUP(B363,'General price list'!C:BA,MATCH("PAL",'General price list'!$C$20:$BA$20,0),FALSE),""))</f>
        <v/>
      </c>
      <c r="D363" s="1" t="str">
        <f>IF(B363="PAL","",IFERROR(VLOOKUP(B363,'General price list'!C:BA,MATCH("OBJ",'General price list'!$C$20:$BA$20,0),FALSE),""))</f>
        <v/>
      </c>
      <c r="E363" s="1">
        <f t="shared" si="41"/>
        <v>0</v>
      </c>
      <c r="F363" s="1">
        <f t="shared" si="42"/>
        <v>0</v>
      </c>
      <c r="G363" s="1">
        <f t="shared" si="43"/>
        <v>0</v>
      </c>
      <c r="H363" s="1">
        <f t="shared" si="44"/>
        <v>0</v>
      </c>
      <c r="I363" s="1">
        <f t="shared" si="45"/>
        <v>0</v>
      </c>
      <c r="J363">
        <f>IF(B363="PAL","",IFERROR(IF(C363="",VLOOKUP(B363,'General price list'!C:BA,MATCH("CBM",'General price list'!$C$20:$BA$20,0),FALSE)*D363,VLOOKUP(B363,'General price list'!C:BA,MATCH("CBM",'General price list'!$C$20:$BA$20,0),FALSE)*(G363*C363)),0))</f>
        <v>0</v>
      </c>
    </row>
    <row r="364" spans="2:10" ht="15" customHeight="1">
      <c r="B364" s="790" t="str">
        <f>IF(B363="PAL","",'General price list'!C384)</f>
        <v>C9016XC14</v>
      </c>
      <c r="C364" s="1" t="str">
        <f>IF(B364="PAL","",IFERROR(VLOOKUP(B364,'General price list'!C:BA,MATCH("PAL",'General price list'!$C$20:$BA$20,0),FALSE),""))</f>
        <v/>
      </c>
      <c r="D364" s="1">
        <f>IF(B364="PAL","",IFERROR(VLOOKUP(B364,'General price list'!C:BA,MATCH("OBJ",'General price list'!$C$20:$BA$20,0),FALSE),""))</f>
        <v>0</v>
      </c>
      <c r="E364" s="1">
        <f t="shared" si="41"/>
        <v>0</v>
      </c>
      <c r="F364" s="1">
        <f t="shared" si="42"/>
        <v>0</v>
      </c>
      <c r="G364" s="1">
        <f t="shared" si="43"/>
        <v>0</v>
      </c>
      <c r="H364" s="1">
        <f t="shared" si="44"/>
        <v>0</v>
      </c>
      <c r="I364" s="1">
        <f t="shared" si="45"/>
        <v>0</v>
      </c>
      <c r="J364">
        <f>IF(B364="PAL","",IFERROR(IF(C364="",VLOOKUP(B364,'General price list'!C:BA,MATCH("CBM",'General price list'!$C$20:$BA$20,0),FALSE)*D364,VLOOKUP(B364,'General price list'!C:BA,MATCH("CBM",'General price list'!$C$20:$BA$20,0),FALSE)*(G364*C364)),0))</f>
        <v>0</v>
      </c>
    </row>
    <row r="365" spans="2:10" ht="15" customHeight="1">
      <c r="B365" s="790">
        <f>IF(B364="PAL","",'General price list'!C385)</f>
        <v>0</v>
      </c>
      <c r="C365" s="1" t="str">
        <f>IF(B365="PAL","",IFERROR(VLOOKUP(B365,'General price list'!C:BA,MATCH("PAL",'General price list'!$C$20:$BA$20,0),FALSE),""))</f>
        <v/>
      </c>
      <c r="D365" s="1" t="str">
        <f>IF(B365="PAL","",IFERROR(VLOOKUP(B365,'General price list'!C:BA,MATCH("OBJ",'General price list'!$C$20:$BA$20,0),FALSE),""))</f>
        <v/>
      </c>
      <c r="E365" s="1">
        <f t="shared" si="41"/>
        <v>0</v>
      </c>
      <c r="F365" s="1">
        <f t="shared" si="42"/>
        <v>0</v>
      </c>
      <c r="G365" s="1">
        <f t="shared" si="43"/>
        <v>0</v>
      </c>
      <c r="H365" s="1">
        <f t="shared" si="44"/>
        <v>0</v>
      </c>
      <c r="I365" s="1">
        <f t="shared" si="45"/>
        <v>0</v>
      </c>
      <c r="J365">
        <f>IF(B365="PAL","",IFERROR(IF(C365="",VLOOKUP(B365,'General price list'!C:BA,MATCH("CBM",'General price list'!$C$20:$BA$20,0),FALSE)*D365,VLOOKUP(B365,'General price list'!C:BA,MATCH("CBM",'General price list'!$C$20:$BA$20,0),FALSE)*(G365*C365)),0))</f>
        <v>0</v>
      </c>
    </row>
    <row r="366" spans="2:10" ht="15" customHeight="1">
      <c r="B366" s="790" t="str">
        <f>IF(B365="PAL","",'General price list'!C386)</f>
        <v>C16016XP14</v>
      </c>
      <c r="C366" s="1" t="str">
        <f>IF(B366="PAL","",IFERROR(VLOOKUP(B366,'General price list'!C:BA,MATCH("PAL",'General price list'!$C$20:$BA$20,0),FALSE),""))</f>
        <v/>
      </c>
      <c r="D366" s="1">
        <f>IF(B366="PAL","",IFERROR(VLOOKUP(B366,'General price list'!C:BA,MATCH("OBJ",'General price list'!$C$20:$BA$20,0),FALSE),""))</f>
        <v>0</v>
      </c>
      <c r="E366" s="1">
        <f t="shared" si="41"/>
        <v>0</v>
      </c>
      <c r="F366" s="1">
        <f t="shared" si="42"/>
        <v>0</v>
      </c>
      <c r="G366" s="1">
        <f t="shared" si="43"/>
        <v>0</v>
      </c>
      <c r="H366" s="1">
        <f t="shared" si="44"/>
        <v>0</v>
      </c>
      <c r="I366" s="1">
        <f t="shared" si="45"/>
        <v>0</v>
      </c>
      <c r="J366">
        <f>IF(B366="PAL","",IFERROR(IF(C366="",VLOOKUP(B366,'General price list'!C:BA,MATCH("CBM",'General price list'!$C$20:$BA$20,0),FALSE)*D366,VLOOKUP(B366,'General price list'!C:BA,MATCH("CBM",'General price list'!$C$20:$BA$20,0),FALSE)*(G366*C366)),0))</f>
        <v>0</v>
      </c>
    </row>
    <row r="367" spans="2:10" ht="15" customHeight="1">
      <c r="B367" s="790">
        <f>IF(B366="PAL","",'General price list'!C387)</f>
        <v>0</v>
      </c>
      <c r="C367" s="1" t="str">
        <f>IF(B367="PAL","",IFERROR(VLOOKUP(B367,'General price list'!C:BA,MATCH("PAL",'General price list'!$C$20:$BA$20,0),FALSE),""))</f>
        <v/>
      </c>
      <c r="D367" s="1" t="str">
        <f>IF(B367="PAL","",IFERROR(VLOOKUP(B367,'General price list'!C:BA,MATCH("OBJ",'General price list'!$C$20:$BA$20,0),FALSE),""))</f>
        <v/>
      </c>
      <c r="E367" s="1">
        <f t="shared" si="41"/>
        <v>0</v>
      </c>
      <c r="F367" s="1">
        <f t="shared" si="42"/>
        <v>0</v>
      </c>
      <c r="G367" s="1">
        <f t="shared" si="43"/>
        <v>0</v>
      </c>
      <c r="H367" s="1">
        <f t="shared" si="44"/>
        <v>0</v>
      </c>
      <c r="I367" s="1">
        <f t="shared" si="45"/>
        <v>0</v>
      </c>
      <c r="J367">
        <f>IF(B367="PAL","",IFERROR(IF(C367="",VLOOKUP(B367,'General price list'!C:BA,MATCH("CBM",'General price list'!$C$20:$BA$20,0),FALSE)*D367,VLOOKUP(B367,'General price list'!C:BA,MATCH("CBM",'General price list'!$C$20:$BA$20,0),FALSE)*(G367*C367)),0))</f>
        <v>0</v>
      </c>
    </row>
    <row r="368" spans="2:10" ht="15" customHeight="1">
      <c r="B368" s="790" t="str">
        <f>IF(B367="PAL","",'General price list'!C388)</f>
        <v>C27016XG/C14</v>
      </c>
      <c r="C368" s="1" t="str">
        <f>IF(B368="PAL","",IFERROR(VLOOKUP(B368,'General price list'!C:BA,MATCH("PAL",'General price list'!$C$20:$BA$20,0),FALSE),""))</f>
        <v/>
      </c>
      <c r="D368" s="1">
        <f>IF(B368="PAL","",IFERROR(VLOOKUP(B368,'General price list'!C:BA,MATCH("OBJ",'General price list'!$C$20:$BA$20,0),FALSE),""))</f>
        <v>0</v>
      </c>
      <c r="E368" s="1">
        <f t="shared" si="41"/>
        <v>0</v>
      </c>
      <c r="F368" s="1">
        <f t="shared" si="42"/>
        <v>0</v>
      </c>
      <c r="G368" s="1">
        <f t="shared" si="43"/>
        <v>0</v>
      </c>
      <c r="H368" s="1">
        <f t="shared" si="44"/>
        <v>0</v>
      </c>
      <c r="I368" s="1">
        <f t="shared" si="45"/>
        <v>0</v>
      </c>
      <c r="J368">
        <f>IF(B368="PAL","",IFERROR(IF(C368="",VLOOKUP(B368,'General price list'!C:BA,MATCH("CBM",'General price list'!$C$20:$BA$20,0),FALSE)*D368,VLOOKUP(B368,'General price list'!C:BA,MATCH("CBM",'General price list'!$C$20:$BA$20,0),FALSE)*(G368*C368)),0))</f>
        <v>0</v>
      </c>
    </row>
    <row r="369" spans="2:10" ht="15" customHeight="1">
      <c r="B369" s="790" t="str">
        <f>IF(B368="PAL","",'General price list'!C389)</f>
        <v>C32016XB/C14</v>
      </c>
      <c r="C369" s="1" t="str">
        <f>IF(B369="PAL","",IFERROR(VLOOKUP(B369,'General price list'!C:BA,MATCH("PAL",'General price list'!$C$20:$BA$20,0),FALSE),""))</f>
        <v/>
      </c>
      <c r="D369" s="1">
        <f>IF(B369="PAL","",IFERROR(VLOOKUP(B369,'General price list'!C:BA,MATCH("OBJ",'General price list'!$C$20:$BA$20,0),FALSE),""))</f>
        <v>0</v>
      </c>
      <c r="E369" s="1">
        <f t="shared" si="41"/>
        <v>0</v>
      </c>
      <c r="F369" s="1">
        <f t="shared" si="42"/>
        <v>0</v>
      </c>
      <c r="G369" s="1">
        <f t="shared" si="43"/>
        <v>0</v>
      </c>
      <c r="H369" s="1">
        <f t="shared" si="44"/>
        <v>0</v>
      </c>
      <c r="I369" s="1">
        <f t="shared" si="45"/>
        <v>0</v>
      </c>
      <c r="J369">
        <f>IF(B369="PAL","",IFERROR(IF(C369="",VLOOKUP(B369,'General price list'!C:BA,MATCH("CBM",'General price list'!$C$20:$BA$20,0),FALSE)*D369,VLOOKUP(B369,'General price list'!C:BA,MATCH("CBM",'General price list'!$C$20:$BA$20,0),FALSE)*(G369*C369)),0))</f>
        <v>0</v>
      </c>
    </row>
    <row r="370" spans="2:10" ht="15" customHeight="1">
      <c r="B370" s="790">
        <f>IF(B369="PAL","",'General price list'!C390)</f>
        <v>0</v>
      </c>
      <c r="C370" s="1" t="str">
        <f>IF(B370="PAL","",IFERROR(VLOOKUP(B370,'General price list'!C:BA,MATCH("PAL",'General price list'!$C$20:$BA$20,0),FALSE),""))</f>
        <v/>
      </c>
      <c r="D370" s="1" t="str">
        <f>IF(B370="PAL","",IFERROR(VLOOKUP(B370,'General price list'!C:BA,MATCH("OBJ",'General price list'!$C$20:$BA$20,0),FALSE),""))</f>
        <v/>
      </c>
      <c r="E370" s="1">
        <f t="shared" si="41"/>
        <v>0</v>
      </c>
      <c r="F370" s="1">
        <f t="shared" si="42"/>
        <v>0</v>
      </c>
      <c r="G370" s="1">
        <f t="shared" si="43"/>
        <v>0</v>
      </c>
      <c r="H370" s="1">
        <f t="shared" si="44"/>
        <v>0</v>
      </c>
      <c r="I370" s="1">
        <f t="shared" si="45"/>
        <v>0</v>
      </c>
      <c r="J370">
        <f>IF(B370="PAL","",IFERROR(IF(C370="",VLOOKUP(B370,'General price list'!C:BA,MATCH("CBM",'General price list'!$C$20:$BA$20,0),FALSE)*D370,VLOOKUP(B370,'General price list'!C:BA,MATCH("CBM",'General price list'!$C$20:$BA$20,0),FALSE)*(G370*C370)),0))</f>
        <v>0</v>
      </c>
    </row>
    <row r="371" spans="2:10" ht="15" customHeight="1">
      <c r="B371" s="790" t="str">
        <f>IF(B370="PAL","",'General price list'!C391)</f>
        <v>C63MXS14</v>
      </c>
      <c r="C371" s="1" t="str">
        <f>IF(B371="PAL","",IFERROR(VLOOKUP(B371,'General price list'!C:BA,MATCH("PAL",'General price list'!$C$20:$BA$20,0),FALSE),""))</f>
        <v/>
      </c>
      <c r="D371" s="1">
        <f>IF(B371="PAL","",IFERROR(VLOOKUP(B371,'General price list'!C:BA,MATCH("OBJ",'General price list'!$C$20:$BA$20,0),FALSE),""))</f>
        <v>0</v>
      </c>
      <c r="E371" s="1">
        <f t="shared" si="41"/>
        <v>0</v>
      </c>
      <c r="F371" s="1">
        <f t="shared" si="42"/>
        <v>0</v>
      </c>
      <c r="G371" s="1">
        <f t="shared" si="43"/>
        <v>0</v>
      </c>
      <c r="H371" s="1">
        <f t="shared" si="44"/>
        <v>0</v>
      </c>
      <c r="I371" s="1">
        <f t="shared" si="45"/>
        <v>0</v>
      </c>
      <c r="J371">
        <f>IF(B371="PAL","",IFERROR(IF(C371="",VLOOKUP(B371,'General price list'!C:BA,MATCH("CBM",'General price list'!$C$20:$BA$20,0),FALSE)*D371,VLOOKUP(B371,'General price list'!C:BA,MATCH("CBM",'General price list'!$C$20:$BA$20,0),FALSE)*(G371*C371)),0))</f>
        <v>0</v>
      </c>
    </row>
    <row r="372" spans="2:10" ht="15" customHeight="1">
      <c r="B372" s="790">
        <f>IF(B371="PAL","",'General price list'!C392)</f>
        <v>0</v>
      </c>
      <c r="C372" s="1" t="str">
        <f>IF(B372="PAL","",IFERROR(VLOOKUP(B372,'General price list'!C:BA,MATCH("PAL",'General price list'!$C$20:$BA$20,0),FALSE),""))</f>
        <v/>
      </c>
      <c r="D372" s="1" t="str">
        <f>IF(B372="PAL","",IFERROR(VLOOKUP(B372,'General price list'!C:BA,MATCH("OBJ",'General price list'!$C$20:$BA$20,0),FALSE),""))</f>
        <v/>
      </c>
      <c r="E372" s="1">
        <f t="shared" si="41"/>
        <v>0</v>
      </c>
      <c r="F372" s="1">
        <f t="shared" si="42"/>
        <v>0</v>
      </c>
      <c r="G372" s="1">
        <f t="shared" si="43"/>
        <v>0</v>
      </c>
      <c r="H372" s="1">
        <f t="shared" si="44"/>
        <v>0</v>
      </c>
      <c r="I372" s="1">
        <f t="shared" si="45"/>
        <v>0</v>
      </c>
      <c r="J372">
        <f>IF(B372="PAL","",IFERROR(IF(C372="",VLOOKUP(B372,'General price list'!C:BA,MATCH("CBM",'General price list'!$C$20:$BA$20,0),FALSE)*D372,VLOOKUP(B372,'General price list'!C:BA,MATCH("CBM",'General price list'!$C$20:$BA$20,0),FALSE)*(G372*C372)),0))</f>
        <v>0</v>
      </c>
    </row>
    <row r="373" spans="2:10" ht="15" customHeight="1">
      <c r="B373" s="790" t="str">
        <f>IF(B372="PAL","",'General price list'!C393)</f>
        <v>C920L</v>
      </c>
      <c r="C373" s="1" t="str">
        <f>IF(B373="PAL","",IFERROR(VLOOKUP(B373,'General price list'!C:BA,MATCH("PAL",'General price list'!$C$20:$BA$20,0),FALSE),""))</f>
        <v/>
      </c>
      <c r="D373" s="1">
        <f>IF(B373="PAL","",IFERROR(VLOOKUP(B373,'General price list'!C:BA,MATCH("OBJ",'General price list'!$C$20:$BA$20,0),FALSE),""))</f>
        <v>0</v>
      </c>
      <c r="E373" s="1">
        <f t="shared" si="41"/>
        <v>0</v>
      </c>
      <c r="F373" s="1">
        <f t="shared" si="42"/>
        <v>0</v>
      </c>
      <c r="G373" s="1">
        <f t="shared" si="43"/>
        <v>0</v>
      </c>
      <c r="H373" s="1">
        <f t="shared" si="44"/>
        <v>0</v>
      </c>
      <c r="I373" s="1">
        <f t="shared" si="45"/>
        <v>0</v>
      </c>
      <c r="J373">
        <f>IF(B373="PAL","",IFERROR(IF(C373="",VLOOKUP(B373,'General price list'!C:BA,MATCH("CBM",'General price list'!$C$20:$BA$20,0),FALSE)*D373,VLOOKUP(B373,'General price list'!C:BA,MATCH("CBM",'General price list'!$C$20:$BA$20,0),FALSE)*(G373*C373)),0))</f>
        <v>0</v>
      </c>
    </row>
    <row r="374" spans="2:10" ht="15" customHeight="1">
      <c r="B374" s="790" t="str">
        <f>IF(B373="PAL","",'General price list'!C394)</f>
        <v>C920M</v>
      </c>
      <c r="C374" s="1" t="str">
        <f>IF(B374="PAL","",IFERROR(VLOOKUP(B374,'General price list'!C:BA,MATCH("PAL",'General price list'!$C$20:$BA$20,0),FALSE),""))</f>
        <v/>
      </c>
      <c r="D374" s="1">
        <f>IF(B374="PAL","",IFERROR(VLOOKUP(B374,'General price list'!C:BA,MATCH("OBJ",'General price list'!$C$20:$BA$20,0),FALSE),""))</f>
        <v>0</v>
      </c>
      <c r="E374" s="1">
        <f t="shared" si="41"/>
        <v>0</v>
      </c>
      <c r="F374" s="1">
        <f t="shared" si="42"/>
        <v>0</v>
      </c>
      <c r="G374" s="1">
        <f t="shared" si="43"/>
        <v>0</v>
      </c>
      <c r="H374" s="1">
        <f t="shared" si="44"/>
        <v>0</v>
      </c>
      <c r="I374" s="1">
        <f t="shared" si="45"/>
        <v>0</v>
      </c>
      <c r="J374">
        <f>IF(B374="PAL","",IFERROR(IF(C374="",VLOOKUP(B374,'General price list'!C:BA,MATCH("CBM",'General price list'!$C$20:$BA$20,0),FALSE)*D374,VLOOKUP(B374,'General price list'!C:BA,MATCH("CBM",'General price list'!$C$20:$BA$20,0),FALSE)*(G374*C374)),0))</f>
        <v>0</v>
      </c>
    </row>
    <row r="375" spans="2:10" ht="15" customHeight="1">
      <c r="B375" s="790">
        <f>IF(B374="PAL","",'General price list'!C395)</f>
        <v>0</v>
      </c>
      <c r="C375" s="1" t="str">
        <f>IF(B375="PAL","",IFERROR(VLOOKUP(B375,'General price list'!C:BA,MATCH("PAL",'General price list'!$C$20:$BA$20,0),FALSE),""))</f>
        <v/>
      </c>
      <c r="D375" s="1" t="str">
        <f>IF(B375="PAL","",IFERROR(VLOOKUP(B375,'General price list'!C:BA,MATCH("OBJ",'General price list'!$C$20:$BA$20,0),FALSE),""))</f>
        <v/>
      </c>
      <c r="E375" s="1">
        <f t="shared" si="41"/>
        <v>0</v>
      </c>
      <c r="F375" s="1">
        <f t="shared" si="42"/>
        <v>0</v>
      </c>
      <c r="G375" s="1">
        <f t="shared" si="43"/>
        <v>0</v>
      </c>
      <c r="H375" s="1">
        <f t="shared" si="44"/>
        <v>0</v>
      </c>
      <c r="I375" s="1">
        <f t="shared" si="45"/>
        <v>0</v>
      </c>
      <c r="J375">
        <f>IF(B375="PAL","",IFERROR(IF(C375="",VLOOKUP(B375,'General price list'!C:BA,MATCH("CBM",'General price list'!$C$20:$BA$20,0),FALSE)*D375,VLOOKUP(B375,'General price list'!C:BA,MATCH("CBM",'General price list'!$C$20:$BA$20,0),FALSE)*(G375*C375)),0))</f>
        <v>0</v>
      </c>
    </row>
    <row r="376" spans="2:10" ht="15" customHeight="1">
      <c r="B376" s="790" t="str">
        <f>IF(B375="PAL","",'General price list'!C396)</f>
        <v>C1620DU</v>
      </c>
      <c r="C376" s="1" t="str">
        <f>IF(B376="PAL","",IFERROR(VLOOKUP(B376,'General price list'!C:BA,MATCH("PAL",'General price list'!$C$20:$BA$20,0),FALSE),""))</f>
        <v/>
      </c>
      <c r="D376" s="1">
        <f>IF(B376="PAL","",IFERROR(VLOOKUP(B376,'General price list'!C:BA,MATCH("OBJ",'General price list'!$C$20:$BA$20,0),FALSE),""))</f>
        <v>0</v>
      </c>
      <c r="E376" s="1">
        <f t="shared" si="41"/>
        <v>0</v>
      </c>
      <c r="F376" s="1">
        <f t="shared" si="42"/>
        <v>0</v>
      </c>
      <c r="G376" s="1">
        <f t="shared" si="43"/>
        <v>0</v>
      </c>
      <c r="H376" s="1">
        <f t="shared" si="44"/>
        <v>0</v>
      </c>
      <c r="I376" s="1">
        <f t="shared" si="45"/>
        <v>0</v>
      </c>
      <c r="J376">
        <f>IF(B376="PAL","",IFERROR(IF(C376="",VLOOKUP(B376,'General price list'!C:BA,MATCH("CBM",'General price list'!$C$20:$BA$20,0),FALSE)*D376,VLOOKUP(B376,'General price list'!C:BA,MATCH("CBM",'General price list'!$C$20:$BA$20,0),FALSE)*(G376*C376)),0))</f>
        <v>0</v>
      </c>
    </row>
    <row r="377" spans="2:10" ht="15" customHeight="1">
      <c r="B377" s="790" t="str">
        <f>IF(B376="PAL","",'General price list'!C397)</f>
        <v>C1620DU(5)</v>
      </c>
      <c r="C377" s="1" t="str">
        <f>IF(B377="PAL","",IFERROR(VLOOKUP(B377,'General price list'!C:BA,MATCH("PAL",'General price list'!$C$20:$BA$20,0),FALSE),""))</f>
        <v/>
      </c>
      <c r="D377" s="1">
        <f>IF(B377="PAL","",IFERROR(VLOOKUP(B377,'General price list'!C:BA,MATCH("OBJ",'General price list'!$C$20:$BA$20,0),FALSE),""))</f>
        <v>0</v>
      </c>
      <c r="E377" s="1">
        <f t="shared" si="41"/>
        <v>0</v>
      </c>
      <c r="F377" s="1">
        <f t="shared" si="42"/>
        <v>0</v>
      </c>
      <c r="G377" s="1">
        <f t="shared" si="43"/>
        <v>0</v>
      </c>
      <c r="H377" s="1">
        <f t="shared" si="44"/>
        <v>0</v>
      </c>
      <c r="I377" s="1">
        <f t="shared" si="45"/>
        <v>0</v>
      </c>
      <c r="J377">
        <f>IF(B377="PAL","",IFERROR(IF(C377="",VLOOKUP(B377,'General price list'!C:BA,MATCH("CBM",'General price list'!$C$20:$BA$20,0),FALSE)*D377,VLOOKUP(B377,'General price list'!C:BA,MATCH("CBM",'General price list'!$C$20:$BA$20,0),FALSE)*(G377*C377)),0))</f>
        <v>0</v>
      </c>
    </row>
    <row r="378" spans="2:10" ht="15" customHeight="1">
      <c r="B378" s="790" t="str">
        <f>IF(B377="PAL","",'General price list'!C398)</f>
        <v>C1620BPF</v>
      </c>
      <c r="C378" s="1" t="str">
        <f>IF(B378="PAL","",IFERROR(VLOOKUP(B378,'General price list'!C:BA,MATCH("PAL",'General price list'!$C$20:$BA$20,0),FALSE),""))</f>
        <v/>
      </c>
      <c r="D378" s="1">
        <f>IF(B378="PAL","",IFERROR(VLOOKUP(B378,'General price list'!C:BA,MATCH("OBJ",'General price list'!$C$20:$BA$20,0),FALSE),""))</f>
        <v>0</v>
      </c>
      <c r="E378" s="1">
        <f t="shared" si="41"/>
        <v>0</v>
      </c>
      <c r="F378" s="1">
        <f t="shared" si="42"/>
        <v>0</v>
      </c>
      <c r="G378" s="1">
        <f t="shared" si="43"/>
        <v>0</v>
      </c>
      <c r="H378" s="1">
        <f t="shared" si="44"/>
        <v>0</v>
      </c>
      <c r="I378" s="1">
        <f t="shared" si="45"/>
        <v>0</v>
      </c>
      <c r="J378">
        <f>IF(B378="PAL","",IFERROR(IF(C378="",VLOOKUP(B378,'General price list'!C:BA,MATCH("CBM",'General price list'!$C$20:$BA$20,0),FALSE)*D378,VLOOKUP(B378,'General price list'!C:BA,MATCH("CBM",'General price list'!$C$20:$BA$20,0),FALSE)*(G378*C378)),0))</f>
        <v>0</v>
      </c>
    </row>
    <row r="379" spans="2:10" ht="15" customHeight="1">
      <c r="B379" s="790" t="str">
        <f>IF(B378="PAL","",'General price list'!C399)</f>
        <v>C1620H</v>
      </c>
      <c r="C379" s="1" t="str">
        <f>IF(B379="PAL","",IFERROR(VLOOKUP(B379,'General price list'!C:BA,MATCH("PAL",'General price list'!$C$20:$BA$20,0),FALSE),""))</f>
        <v/>
      </c>
      <c r="D379" s="1">
        <f>IF(B379="PAL","",IFERROR(VLOOKUP(B379,'General price list'!C:BA,MATCH("OBJ",'General price list'!$C$20:$BA$20,0),FALSE),""))</f>
        <v>0</v>
      </c>
      <c r="E379" s="1">
        <f t="shared" si="41"/>
        <v>0</v>
      </c>
      <c r="F379" s="1">
        <f t="shared" si="42"/>
        <v>0</v>
      </c>
      <c r="G379" s="1">
        <f t="shared" si="43"/>
        <v>0</v>
      </c>
      <c r="H379" s="1">
        <f t="shared" si="44"/>
        <v>0</v>
      </c>
      <c r="I379" s="1">
        <f t="shared" si="45"/>
        <v>0</v>
      </c>
      <c r="J379">
        <f>IF(B379="PAL","",IFERROR(IF(C379="",VLOOKUP(B379,'General price list'!C:BA,MATCH("CBM",'General price list'!$C$20:$BA$20,0),FALSE)*D379,VLOOKUP(B379,'General price list'!C:BA,MATCH("CBM",'General price list'!$C$20:$BA$20,0),FALSE)*(G379*C379)),0))</f>
        <v>0</v>
      </c>
    </row>
    <row r="380" spans="2:10" ht="15" customHeight="1">
      <c r="B380" s="790" t="str">
        <f>IF(B379="PAL","",'General price list'!C400)</f>
        <v>C1620N</v>
      </c>
      <c r="C380" s="1" t="str">
        <f>IF(B380="PAL","",IFERROR(VLOOKUP(B380,'General price list'!C:BA,MATCH("PAL",'General price list'!$C$20:$BA$20,0),FALSE),""))</f>
        <v/>
      </c>
      <c r="D380" s="1">
        <f>IF(B380="PAL","",IFERROR(VLOOKUP(B380,'General price list'!C:BA,MATCH("OBJ",'General price list'!$C$20:$BA$20,0),FALSE),""))</f>
        <v>0</v>
      </c>
      <c r="E380" s="1">
        <f t="shared" si="41"/>
        <v>0</v>
      </c>
      <c r="F380" s="1">
        <f t="shared" si="42"/>
        <v>0</v>
      </c>
      <c r="G380" s="1">
        <f t="shared" si="43"/>
        <v>0</v>
      </c>
      <c r="H380" s="1">
        <f t="shared" si="44"/>
        <v>0</v>
      </c>
      <c r="I380" s="1">
        <f t="shared" si="45"/>
        <v>0</v>
      </c>
      <c r="J380">
        <f>IF(B380="PAL","",IFERROR(IF(C380="",VLOOKUP(B380,'General price list'!C:BA,MATCH("CBM",'General price list'!$C$20:$BA$20,0),FALSE)*D380,VLOOKUP(B380,'General price list'!C:BA,MATCH("CBM",'General price list'!$C$20:$BA$20,0),FALSE)*(G380*C380)),0))</f>
        <v>0</v>
      </c>
    </row>
    <row r="381" spans="2:10" ht="15" customHeight="1">
      <c r="B381" s="790" t="str">
        <f>IF(B380="PAL","",'General price list'!C401)</f>
        <v>C1620F</v>
      </c>
      <c r="C381" s="1" t="str">
        <f>IF(B381="PAL","",IFERROR(VLOOKUP(B381,'General price list'!C:BA,MATCH("PAL",'General price list'!$C$20:$BA$20,0),FALSE),""))</f>
        <v/>
      </c>
      <c r="D381" s="1">
        <f>IF(B381="PAL","",IFERROR(VLOOKUP(B381,'General price list'!C:BA,MATCH("OBJ",'General price list'!$C$20:$BA$20,0),FALSE),""))</f>
        <v>0</v>
      </c>
      <c r="E381" s="1">
        <f t="shared" si="41"/>
        <v>0</v>
      </c>
      <c r="F381" s="1">
        <f t="shared" si="42"/>
        <v>0</v>
      </c>
      <c r="G381" s="1">
        <f t="shared" si="43"/>
        <v>0</v>
      </c>
      <c r="H381" s="1">
        <f t="shared" si="44"/>
        <v>0</v>
      </c>
      <c r="I381" s="1">
        <f t="shared" si="45"/>
        <v>0</v>
      </c>
      <c r="J381">
        <f>IF(B381="PAL","",IFERROR(IF(C381="",VLOOKUP(B381,'General price list'!C:BA,MATCH("CBM",'General price list'!$C$20:$BA$20,0),FALSE)*D381,VLOOKUP(B381,'General price list'!C:BA,MATCH("CBM",'General price list'!$C$20:$BA$20,0),FALSE)*(G381*C381)),0))</f>
        <v>0</v>
      </c>
    </row>
    <row r="382" spans="2:10" ht="15" customHeight="1">
      <c r="B382" s="790">
        <f>IF(B381="PAL","",'General price list'!C402)</f>
        <v>0</v>
      </c>
      <c r="C382" s="1" t="str">
        <f>IF(B382="PAL","",IFERROR(VLOOKUP(B382,'General price list'!C:BA,MATCH("PAL",'General price list'!$C$20:$BA$20,0),FALSE),""))</f>
        <v/>
      </c>
      <c r="D382" s="1" t="str">
        <f>IF(B382="PAL","",IFERROR(VLOOKUP(B382,'General price list'!C:BA,MATCH("OBJ",'General price list'!$C$20:$BA$20,0),FALSE),""))</f>
        <v/>
      </c>
      <c r="E382" s="1">
        <f t="shared" si="41"/>
        <v>0</v>
      </c>
      <c r="F382" s="1">
        <f t="shared" si="42"/>
        <v>0</v>
      </c>
      <c r="G382" s="1">
        <f t="shared" si="43"/>
        <v>0</v>
      </c>
      <c r="H382" s="1">
        <f t="shared" si="44"/>
        <v>0</v>
      </c>
      <c r="I382" s="1">
        <f t="shared" si="45"/>
        <v>0</v>
      </c>
      <c r="J382">
        <f>IF(B382="PAL","",IFERROR(IF(C382="",VLOOKUP(B382,'General price list'!C:BA,MATCH("CBM",'General price list'!$C$20:$BA$20,0),FALSE)*D382,VLOOKUP(B382,'General price list'!C:BA,MATCH("CBM",'General price list'!$C$20:$BA$20,0),FALSE)*(G382*C382)),0))</f>
        <v>0</v>
      </c>
    </row>
    <row r="383" spans="2:10" ht="15" customHeight="1">
      <c r="B383" s="790" t="str">
        <f>IF(B382="PAL","",'General price list'!C403)</f>
        <v>C1620H14</v>
      </c>
      <c r="C383" s="1" t="str">
        <f>IF(B383="PAL","",IFERROR(VLOOKUP(B383,'General price list'!C:BA,MATCH("PAL",'General price list'!$C$20:$BA$20,0),FALSE),""))</f>
        <v/>
      </c>
      <c r="D383" s="1">
        <f>IF(B383="PAL","",IFERROR(VLOOKUP(B383,'General price list'!C:BA,MATCH("OBJ",'General price list'!$C$20:$BA$20,0),FALSE),""))</f>
        <v>0</v>
      </c>
      <c r="E383" s="1">
        <f t="shared" si="41"/>
        <v>0</v>
      </c>
      <c r="F383" s="1">
        <f t="shared" si="42"/>
        <v>0</v>
      </c>
      <c r="G383" s="1">
        <f t="shared" si="43"/>
        <v>0</v>
      </c>
      <c r="H383" s="1">
        <f t="shared" si="44"/>
        <v>0</v>
      </c>
      <c r="I383" s="1">
        <f t="shared" si="45"/>
        <v>0</v>
      </c>
      <c r="J383">
        <f>IF(B383="PAL","",IFERROR(IF(C383="",VLOOKUP(B383,'General price list'!C:BA,MATCH("CBM",'General price list'!$C$20:$BA$20,0),FALSE)*D383,VLOOKUP(B383,'General price list'!C:BA,MATCH("CBM",'General price list'!$C$20:$BA$20,0),FALSE)*(G383*C383)),0))</f>
        <v>0</v>
      </c>
    </row>
    <row r="384" spans="2:10" ht="15" customHeight="1">
      <c r="B384" s="790" t="str">
        <f>IF(B383="PAL","",'General price list'!C404)</f>
        <v>C1620F14</v>
      </c>
      <c r="C384" s="1" t="str">
        <f>IF(B384="PAL","",IFERROR(VLOOKUP(B384,'General price list'!C:BA,MATCH("PAL",'General price list'!$C$20:$BA$20,0),FALSE),""))</f>
        <v/>
      </c>
      <c r="D384" s="1">
        <f>IF(B384="PAL","",IFERROR(VLOOKUP(B384,'General price list'!C:BA,MATCH("OBJ",'General price list'!$C$20:$BA$20,0),FALSE),""))</f>
        <v>0</v>
      </c>
      <c r="E384" s="1">
        <f t="shared" si="41"/>
        <v>0</v>
      </c>
      <c r="F384" s="1">
        <f t="shared" si="42"/>
        <v>0</v>
      </c>
      <c r="G384" s="1">
        <f t="shared" si="43"/>
        <v>0</v>
      </c>
      <c r="H384" s="1">
        <f t="shared" si="44"/>
        <v>0</v>
      </c>
      <c r="I384" s="1">
        <f t="shared" si="45"/>
        <v>0</v>
      </c>
      <c r="J384">
        <f>IF(B384="PAL","",IFERROR(IF(C384="",VLOOKUP(B384,'General price list'!C:BA,MATCH("CBM",'General price list'!$C$20:$BA$20,0),FALSE)*D384,VLOOKUP(B384,'General price list'!C:BA,MATCH("CBM",'General price list'!$C$20:$BA$20,0),FALSE)*(G384*C384)),0))</f>
        <v>0</v>
      </c>
    </row>
    <row r="385" spans="2:10" ht="15" customHeight="1">
      <c r="B385" s="790">
        <f>IF(B384="PAL","",'General price list'!C405)</f>
        <v>0</v>
      </c>
      <c r="C385" s="1" t="str">
        <f>IF(B385="PAL","",IFERROR(VLOOKUP(B385,'General price list'!C:BA,MATCH("PAL",'General price list'!$C$20:$BA$20,0),FALSE),""))</f>
        <v/>
      </c>
      <c r="D385" s="1" t="str">
        <f>IF(B385="PAL","",IFERROR(VLOOKUP(B385,'General price list'!C:BA,MATCH("OBJ",'General price list'!$C$20:$BA$20,0),FALSE),""))</f>
        <v/>
      </c>
      <c r="E385" s="1">
        <f t="shared" si="41"/>
        <v>0</v>
      </c>
      <c r="F385" s="1">
        <f t="shared" si="42"/>
        <v>0</v>
      </c>
      <c r="G385" s="1">
        <f t="shared" si="43"/>
        <v>0</v>
      </c>
      <c r="H385" s="1">
        <f t="shared" si="44"/>
        <v>0</v>
      </c>
      <c r="I385" s="1">
        <f t="shared" si="45"/>
        <v>0</v>
      </c>
      <c r="J385">
        <f>IF(B385="PAL","",IFERROR(IF(C385="",VLOOKUP(B385,'General price list'!C:BA,MATCH("CBM",'General price list'!$C$20:$BA$20,0),FALSE)*D385,VLOOKUP(B385,'General price list'!C:BA,MATCH("CBM",'General price list'!$C$20:$BA$20,0),FALSE)*(G385*C385)),0))</f>
        <v>0</v>
      </c>
    </row>
    <row r="386" spans="2:10" ht="15" customHeight="1">
      <c r="B386" s="790" t="str">
        <f>IF(B385="PAL","",'General price list'!C406)</f>
        <v>CX1620D</v>
      </c>
      <c r="C386" s="1" t="str">
        <f>IF(B386="PAL","",IFERROR(VLOOKUP(B386,'General price list'!C:BA,MATCH("PAL",'General price list'!$C$20:$BA$20,0),FALSE),""))</f>
        <v/>
      </c>
      <c r="D386" s="1">
        <f>IF(B386="PAL","",IFERROR(VLOOKUP(B386,'General price list'!C:BA,MATCH("OBJ",'General price list'!$C$20:$BA$20,0),FALSE),""))</f>
        <v>0</v>
      </c>
      <c r="E386" s="1">
        <f t="shared" si="41"/>
        <v>0</v>
      </c>
      <c r="F386" s="1">
        <f t="shared" si="42"/>
        <v>0</v>
      </c>
      <c r="G386" s="1">
        <f t="shared" si="43"/>
        <v>0</v>
      </c>
      <c r="H386" s="1">
        <f t="shared" si="44"/>
        <v>0</v>
      </c>
      <c r="I386" s="1">
        <f t="shared" si="45"/>
        <v>0</v>
      </c>
      <c r="J386">
        <f>IF(B386="PAL","",IFERROR(IF(C386="",VLOOKUP(B386,'General price list'!C:BA,MATCH("CBM",'General price list'!$C$20:$BA$20,0),FALSE)*D386,VLOOKUP(B386,'General price list'!C:BA,MATCH("CBM",'General price list'!$C$20:$BA$20,0),FALSE)*(G386*C386)),0))</f>
        <v>0</v>
      </c>
    </row>
    <row r="387" spans="2:10" ht="15" customHeight="1">
      <c r="B387" s="790" t="str">
        <f>IF(B386="PAL","",'General price list'!C407)</f>
        <v>CX1620X</v>
      </c>
      <c r="C387" s="1" t="str">
        <f>IF(B387="PAL","",IFERROR(VLOOKUP(B387,'General price list'!C:BA,MATCH("PAL",'General price list'!$C$20:$BA$20,0),FALSE),""))</f>
        <v/>
      </c>
      <c r="D387" s="1">
        <f>IF(B387="PAL","",IFERROR(VLOOKUP(B387,'General price list'!C:BA,MATCH("OBJ",'General price list'!$C$20:$BA$20,0),FALSE),""))</f>
        <v>0</v>
      </c>
      <c r="E387" s="1">
        <f t="shared" si="41"/>
        <v>0</v>
      </c>
      <c r="F387" s="1">
        <f t="shared" si="42"/>
        <v>0</v>
      </c>
      <c r="G387" s="1">
        <f t="shared" si="43"/>
        <v>0</v>
      </c>
      <c r="H387" s="1">
        <f t="shared" si="44"/>
        <v>0</v>
      </c>
      <c r="I387" s="1">
        <f t="shared" si="45"/>
        <v>0</v>
      </c>
      <c r="J387">
        <f>IF(B387="PAL","",IFERROR(IF(C387="",VLOOKUP(B387,'General price list'!C:BA,MATCH("CBM",'General price list'!$C$20:$BA$20,0),FALSE)*D387,VLOOKUP(B387,'General price list'!C:BA,MATCH("CBM",'General price list'!$C$20:$BA$20,0),FALSE)*(G387*C387)),0))</f>
        <v>0</v>
      </c>
    </row>
    <row r="388" spans="2:10" ht="15" customHeight="1">
      <c r="B388" s="790">
        <f>IF(B387="PAL","",'General price list'!C408)</f>
        <v>0</v>
      </c>
      <c r="C388" s="1" t="str">
        <f>IF(B388="PAL","",IFERROR(VLOOKUP(B388,'General price list'!C:BA,MATCH("PAL",'General price list'!$C$20:$BA$20,0),FALSE),""))</f>
        <v/>
      </c>
      <c r="D388" s="1" t="str">
        <f>IF(B388="PAL","",IFERROR(VLOOKUP(B388,'General price list'!C:BA,MATCH("OBJ",'General price list'!$C$20:$BA$20,0),FALSE),""))</f>
        <v/>
      </c>
      <c r="E388" s="1">
        <f t="shared" si="41"/>
        <v>0</v>
      </c>
      <c r="F388" s="1">
        <f t="shared" si="42"/>
        <v>0</v>
      </c>
      <c r="G388" s="1">
        <f t="shared" si="43"/>
        <v>0</v>
      </c>
      <c r="H388" s="1">
        <f t="shared" si="44"/>
        <v>0</v>
      </c>
      <c r="I388" s="1">
        <f t="shared" si="45"/>
        <v>0</v>
      </c>
      <c r="J388">
        <f>IF(B388="PAL","",IFERROR(IF(C388="",VLOOKUP(B388,'General price list'!C:BA,MATCH("CBM",'General price list'!$C$20:$BA$20,0),FALSE)*D388,VLOOKUP(B388,'General price list'!C:BA,MATCH("CBM",'General price list'!$C$20:$BA$20,0),FALSE)*(G388*C388)),0))</f>
        <v>0</v>
      </c>
    </row>
    <row r="389" spans="2:10" ht="15" customHeight="1">
      <c r="B389" s="790" t="str">
        <f>IF(B388="PAL","",'General price list'!C409)</f>
        <v>C2520BP</v>
      </c>
      <c r="C389" s="1" t="str">
        <f>IF(B389="PAL","",IFERROR(VLOOKUP(B389,'General price list'!C:BA,MATCH("PAL",'General price list'!$C$20:$BA$20,0),FALSE),""))</f>
        <v/>
      </c>
      <c r="D389" s="1">
        <f>IF(B389="PAL","",IFERROR(VLOOKUP(B389,'General price list'!C:BA,MATCH("OBJ",'General price list'!$C$20:$BA$20,0),FALSE),""))</f>
        <v>0</v>
      </c>
      <c r="E389" s="1">
        <f t="shared" si="41"/>
        <v>0</v>
      </c>
      <c r="F389" s="1">
        <f t="shared" si="42"/>
        <v>0</v>
      </c>
      <c r="G389" s="1">
        <f t="shared" si="43"/>
        <v>0</v>
      </c>
      <c r="H389" s="1">
        <f t="shared" si="44"/>
        <v>0</v>
      </c>
      <c r="I389" s="1">
        <f t="shared" si="45"/>
        <v>0</v>
      </c>
      <c r="J389">
        <f>IF(B389="PAL","",IFERROR(IF(C389="",VLOOKUP(B389,'General price list'!C:BA,MATCH("CBM",'General price list'!$C$20:$BA$20,0),FALSE)*D389,VLOOKUP(B389,'General price list'!C:BA,MATCH("CBM",'General price list'!$C$20:$BA$20,0),FALSE)*(G389*C389)),0))</f>
        <v>0</v>
      </c>
    </row>
    <row r="390" spans="2:10" ht="15" customHeight="1">
      <c r="B390" s="790" t="str">
        <f>IF(B389="PAL","",'General price list'!C410)</f>
        <v>C2520SIG</v>
      </c>
      <c r="C390" s="1" t="str">
        <f>IF(B390="PAL","",IFERROR(VLOOKUP(B390,'General price list'!C:BA,MATCH("PAL",'General price list'!$C$20:$BA$20,0),FALSE),""))</f>
        <v/>
      </c>
      <c r="D390" s="1">
        <f>IF(B390="PAL","",IFERROR(VLOOKUP(B390,'General price list'!C:BA,MATCH("OBJ",'General price list'!$C$20:$BA$20,0),FALSE),""))</f>
        <v>0</v>
      </c>
      <c r="E390" s="1">
        <f t="shared" si="41"/>
        <v>0</v>
      </c>
      <c r="F390" s="1">
        <f t="shared" si="42"/>
        <v>0</v>
      </c>
      <c r="G390" s="1">
        <f t="shared" si="43"/>
        <v>0</v>
      </c>
      <c r="H390" s="1">
        <f t="shared" si="44"/>
        <v>0</v>
      </c>
      <c r="I390" s="1">
        <f t="shared" si="45"/>
        <v>0</v>
      </c>
      <c r="J390">
        <f>IF(B390="PAL","",IFERROR(IF(C390="",VLOOKUP(B390,'General price list'!C:BA,MATCH("CBM",'General price list'!$C$20:$BA$20,0),FALSE)*D390,VLOOKUP(B390,'General price list'!C:BA,MATCH("CBM",'General price list'!$C$20:$BA$20,0),FALSE)*(G390*C390)),0))</f>
        <v>0</v>
      </c>
    </row>
    <row r="391" spans="2:10" ht="15" customHeight="1">
      <c r="B391" s="790" t="str">
        <f>IF(B390="PAL","",'General price list'!C411)</f>
        <v>C2520Z</v>
      </c>
      <c r="C391" s="1" t="str">
        <f>IF(B391="PAL","",IFERROR(VLOOKUP(B391,'General price list'!C:BA,MATCH("PAL",'General price list'!$C$20:$BA$20,0),FALSE),""))</f>
        <v/>
      </c>
      <c r="D391" s="1">
        <f>IF(B391="PAL","",IFERROR(VLOOKUP(B391,'General price list'!C:BA,MATCH("OBJ",'General price list'!$C$20:$BA$20,0),FALSE),""))</f>
        <v>0</v>
      </c>
      <c r="E391" s="1">
        <f t="shared" si="41"/>
        <v>0</v>
      </c>
      <c r="F391" s="1">
        <f t="shared" si="42"/>
        <v>0</v>
      </c>
      <c r="G391" s="1">
        <f t="shared" si="43"/>
        <v>0</v>
      </c>
      <c r="H391" s="1">
        <f t="shared" si="44"/>
        <v>0</v>
      </c>
      <c r="I391" s="1">
        <f t="shared" si="45"/>
        <v>0</v>
      </c>
      <c r="J391">
        <f>IF(B391="PAL","",IFERROR(IF(C391="",VLOOKUP(B391,'General price list'!C:BA,MATCH("CBM",'General price list'!$C$20:$BA$20,0),FALSE)*D391,VLOOKUP(B391,'General price list'!C:BA,MATCH("CBM",'General price list'!$C$20:$BA$20,0),FALSE)*(G391*C391)),0))</f>
        <v>0</v>
      </c>
    </row>
    <row r="392" spans="2:10" ht="15" customHeight="1">
      <c r="B392" s="790" t="str">
        <f>IF(B391="PAL","",'General price list'!C412)</f>
        <v>C2520DI</v>
      </c>
      <c r="C392" s="1" t="str">
        <f>IF(B392="PAL","",IFERROR(VLOOKUP(B392,'General price list'!C:BA,MATCH("PAL",'General price list'!$C$20:$BA$20,0),FALSE),""))</f>
        <v/>
      </c>
      <c r="D392" s="1">
        <f>IF(B392="PAL","",IFERROR(VLOOKUP(B392,'General price list'!C:BA,MATCH("OBJ",'General price list'!$C$20:$BA$20,0),FALSE),""))</f>
        <v>0</v>
      </c>
      <c r="E392" s="1">
        <f t="shared" si="41"/>
        <v>0</v>
      </c>
      <c r="F392" s="1">
        <f t="shared" si="42"/>
        <v>0</v>
      </c>
      <c r="G392" s="1">
        <f t="shared" si="43"/>
        <v>0</v>
      </c>
      <c r="H392" s="1">
        <f t="shared" si="44"/>
        <v>0</v>
      </c>
      <c r="I392" s="1">
        <f t="shared" si="45"/>
        <v>0</v>
      </c>
      <c r="J392">
        <f>IF(B392="PAL","",IFERROR(IF(C392="",VLOOKUP(B392,'General price list'!C:BA,MATCH("CBM",'General price list'!$C$20:$BA$20,0),FALSE)*D392,VLOOKUP(B392,'General price list'!C:BA,MATCH("CBM",'General price list'!$C$20:$BA$20,0),FALSE)*(G392*C392)),0))</f>
        <v>0</v>
      </c>
    </row>
    <row r="393" spans="2:10" ht="15" customHeight="1">
      <c r="B393" s="790" t="str">
        <f>IF(B392="PAL","",'General price list'!C413)</f>
        <v>C2520T</v>
      </c>
      <c r="C393" s="1" t="str">
        <f>IF(B393="PAL","",IFERROR(VLOOKUP(B393,'General price list'!C:BA,MATCH("PAL",'General price list'!$C$20:$BA$20,0),FALSE),""))</f>
        <v/>
      </c>
      <c r="D393" s="1">
        <f>IF(B393="PAL","",IFERROR(VLOOKUP(B393,'General price list'!C:BA,MATCH("OBJ",'General price list'!$C$20:$BA$20,0),FALSE),""))</f>
        <v>0</v>
      </c>
      <c r="E393" s="1">
        <f t="shared" si="41"/>
        <v>0</v>
      </c>
      <c r="F393" s="1">
        <f t="shared" si="42"/>
        <v>0</v>
      </c>
      <c r="G393" s="1">
        <f t="shared" si="43"/>
        <v>0</v>
      </c>
      <c r="H393" s="1">
        <f t="shared" si="44"/>
        <v>0</v>
      </c>
      <c r="I393" s="1">
        <f t="shared" si="45"/>
        <v>0</v>
      </c>
      <c r="J393">
        <f>IF(B393="PAL","",IFERROR(IF(C393="",VLOOKUP(B393,'General price list'!C:BA,MATCH("CBM",'General price list'!$C$20:$BA$20,0),FALSE)*D393,VLOOKUP(B393,'General price list'!C:BA,MATCH("CBM",'General price list'!$C$20:$BA$20,0),FALSE)*(G393*C393)),0))</f>
        <v>0</v>
      </c>
    </row>
    <row r="394" spans="2:10" ht="15" customHeight="1">
      <c r="B394" s="790" t="str">
        <f>IF(B393="PAL","",'General price list'!C414)</f>
        <v>C2520SE</v>
      </c>
      <c r="C394" s="1" t="str">
        <f>IF(B394="PAL","",IFERROR(VLOOKUP(B394,'General price list'!C:BA,MATCH("PAL",'General price list'!$C$20:$BA$20,0),FALSE),""))</f>
        <v/>
      </c>
      <c r="D394" s="1">
        <f>IF(B394="PAL","",IFERROR(VLOOKUP(B394,'General price list'!C:BA,MATCH("OBJ",'General price list'!$C$20:$BA$20,0),FALSE),""))</f>
        <v>0</v>
      </c>
      <c r="E394" s="1">
        <f t="shared" si="41"/>
        <v>0</v>
      </c>
      <c r="F394" s="1">
        <f t="shared" si="42"/>
        <v>0</v>
      </c>
      <c r="G394" s="1">
        <f t="shared" si="43"/>
        <v>0</v>
      </c>
      <c r="H394" s="1">
        <f t="shared" si="44"/>
        <v>0</v>
      </c>
      <c r="I394" s="1">
        <f t="shared" si="45"/>
        <v>0</v>
      </c>
      <c r="J394">
        <f>IF(B394="PAL","",IFERROR(IF(C394="",VLOOKUP(B394,'General price list'!C:BA,MATCH("CBM",'General price list'!$C$20:$BA$20,0),FALSE)*D394,VLOOKUP(B394,'General price list'!C:BA,MATCH("CBM",'General price list'!$C$20:$BA$20,0),FALSE)*(G394*C394)),0))</f>
        <v>0</v>
      </c>
    </row>
    <row r="395" spans="2:10" ht="15" customHeight="1">
      <c r="B395" s="790" t="str">
        <f>IF(B394="PAL","",'General price list'!C415)</f>
        <v>C2520ST</v>
      </c>
      <c r="C395" s="1" t="str">
        <f>IF(B395="PAL","",IFERROR(VLOOKUP(B395,'General price list'!C:BA,MATCH("PAL",'General price list'!$C$20:$BA$20,0),FALSE),""))</f>
        <v/>
      </c>
      <c r="D395" s="1">
        <f>IF(B395="PAL","",IFERROR(VLOOKUP(B395,'General price list'!C:BA,MATCH("OBJ",'General price list'!$C$20:$BA$20,0),FALSE),""))</f>
        <v>0</v>
      </c>
      <c r="E395" s="1">
        <f t="shared" si="41"/>
        <v>0</v>
      </c>
      <c r="F395" s="1">
        <f t="shared" si="42"/>
        <v>0</v>
      </c>
      <c r="G395" s="1">
        <f t="shared" si="43"/>
        <v>0</v>
      </c>
      <c r="H395" s="1">
        <f t="shared" si="44"/>
        <v>0</v>
      </c>
      <c r="I395" s="1">
        <f t="shared" si="45"/>
        <v>0</v>
      </c>
      <c r="J395">
        <f>IF(B395="PAL","",IFERROR(IF(C395="",VLOOKUP(B395,'General price list'!C:BA,MATCH("CBM",'General price list'!$C$20:$BA$20,0),FALSE)*D395,VLOOKUP(B395,'General price list'!C:BA,MATCH("CBM",'General price list'!$C$20:$BA$20,0),FALSE)*(G395*C395)),0))</f>
        <v>0</v>
      </c>
    </row>
    <row r="396" spans="2:10" ht="15" customHeight="1">
      <c r="B396" s="790" t="str">
        <f>IF(B395="PAL","",'General price list'!C416)</f>
        <v>C2520SL</v>
      </c>
      <c r="C396" s="1" t="str">
        <f>IF(B396="PAL","",IFERROR(VLOOKUP(B396,'General price list'!C:BA,MATCH("PAL",'General price list'!$C$20:$BA$20,0),FALSE),""))</f>
        <v/>
      </c>
      <c r="D396" s="1">
        <f>IF(B396="PAL","",IFERROR(VLOOKUP(B396,'General price list'!C:BA,MATCH("OBJ",'General price list'!$C$20:$BA$20,0),FALSE),""))</f>
        <v>0</v>
      </c>
      <c r="E396" s="1">
        <f t="shared" ref="E396:E459" si="46">IF(B396="PAL","",IFERROR(D396/C396,0))</f>
        <v>0</v>
      </c>
      <c r="F396" s="1">
        <f t="shared" ref="F396:F459" si="47">IF(B396="PAL","",IFERROR(FLOOR(IF(E396-1&lt;0,0,E396),1),0))</f>
        <v>0</v>
      </c>
      <c r="G396" s="1">
        <f t="shared" ref="G396:G459" si="48">IF(B396="PAL","",IFERROR(IF(H396&gt;E396,F396-E396,E396-F396),0))</f>
        <v>0</v>
      </c>
      <c r="H396" s="1">
        <f t="shared" ref="H396:H459" si="49">IF(B396="PAL","",IFERROR(IF(E396=0,0,F396),0))</f>
        <v>0</v>
      </c>
      <c r="I396" s="1">
        <f t="shared" ref="I396:I459" si="50">IF(B396="PAL","",IFERROR(IF(D396=0,0,IF(F396=0,(D396*nextVK)+(prvniVK-nextVK),(G396*C396*nextVK)+(F396*PALzKoje))),0))</f>
        <v>0</v>
      </c>
      <c r="J396">
        <f>IF(B396="PAL","",IFERROR(IF(C396="",VLOOKUP(B396,'General price list'!C:BA,MATCH("CBM",'General price list'!$C$20:$BA$20,0),FALSE)*D396,VLOOKUP(B396,'General price list'!C:BA,MATCH("CBM",'General price list'!$C$20:$BA$20,0),FALSE)*(G396*C396)),0))</f>
        <v>0</v>
      </c>
    </row>
    <row r="397" spans="2:10" ht="15" customHeight="1">
      <c r="B397" s="790" t="str">
        <f>IF(B396="PAL","",'General price list'!C417)</f>
        <v>C2520R</v>
      </c>
      <c r="C397" s="1" t="str">
        <f>IF(B397="PAL","",IFERROR(VLOOKUP(B397,'General price list'!C:BA,MATCH("PAL",'General price list'!$C$20:$BA$20,0),FALSE),""))</f>
        <v/>
      </c>
      <c r="D397" s="1">
        <f>IF(B397="PAL","",IFERROR(VLOOKUP(B397,'General price list'!C:BA,MATCH("OBJ",'General price list'!$C$20:$BA$20,0),FALSE),""))</f>
        <v>0</v>
      </c>
      <c r="E397" s="1">
        <f t="shared" si="46"/>
        <v>0</v>
      </c>
      <c r="F397" s="1">
        <f t="shared" si="47"/>
        <v>0</v>
      </c>
      <c r="G397" s="1">
        <f t="shared" si="48"/>
        <v>0</v>
      </c>
      <c r="H397" s="1">
        <f t="shared" si="49"/>
        <v>0</v>
      </c>
      <c r="I397" s="1">
        <f t="shared" si="50"/>
        <v>0</v>
      </c>
      <c r="J397">
        <f>IF(B397="PAL","",IFERROR(IF(C397="",VLOOKUP(B397,'General price list'!C:BA,MATCH("CBM",'General price list'!$C$20:$BA$20,0),FALSE)*D397,VLOOKUP(B397,'General price list'!C:BA,MATCH("CBM",'General price list'!$C$20:$BA$20,0),FALSE)*(G397*C397)),0))</f>
        <v>0</v>
      </c>
    </row>
    <row r="398" spans="2:10" ht="15" customHeight="1">
      <c r="B398" s="790" t="str">
        <f>IF(B397="PAL","",'General price list'!C418)</f>
        <v>C2520VI</v>
      </c>
      <c r="C398" s="1" t="str">
        <f>IF(B398="PAL","",IFERROR(VLOOKUP(B398,'General price list'!C:BA,MATCH("PAL",'General price list'!$C$20:$BA$20,0),FALSE),""))</f>
        <v/>
      </c>
      <c r="D398" s="1">
        <f>IF(B398="PAL","",IFERROR(VLOOKUP(B398,'General price list'!C:BA,MATCH("OBJ",'General price list'!$C$20:$BA$20,0),FALSE),""))</f>
        <v>0</v>
      </c>
      <c r="E398" s="1">
        <f t="shared" si="46"/>
        <v>0</v>
      </c>
      <c r="F398" s="1">
        <f t="shared" si="47"/>
        <v>0</v>
      </c>
      <c r="G398" s="1">
        <f t="shared" si="48"/>
        <v>0</v>
      </c>
      <c r="H398" s="1">
        <f t="shared" si="49"/>
        <v>0</v>
      </c>
      <c r="I398" s="1">
        <f t="shared" si="50"/>
        <v>0</v>
      </c>
      <c r="J398">
        <f>IF(B398="PAL","",IFERROR(IF(C398="",VLOOKUP(B398,'General price list'!C:BA,MATCH("CBM",'General price list'!$C$20:$BA$20,0),FALSE)*D398,VLOOKUP(B398,'General price list'!C:BA,MATCH("CBM",'General price list'!$C$20:$BA$20,0),FALSE)*(G398*C398)),0))</f>
        <v>0</v>
      </c>
    </row>
    <row r="399" spans="2:10" ht="15" customHeight="1">
      <c r="B399" s="790">
        <f>IF(B398="PAL","",'General price list'!C419)</f>
        <v>0</v>
      </c>
      <c r="C399" s="1" t="str">
        <f>IF(B399="PAL","",IFERROR(VLOOKUP(B399,'General price list'!C:BA,MATCH("PAL",'General price list'!$C$20:$BA$20,0),FALSE),""))</f>
        <v/>
      </c>
      <c r="D399" s="1" t="str">
        <f>IF(B399="PAL","",IFERROR(VLOOKUP(B399,'General price list'!C:BA,MATCH("OBJ",'General price list'!$C$20:$BA$20,0),FALSE),""))</f>
        <v/>
      </c>
      <c r="E399" s="1">
        <f t="shared" si="46"/>
        <v>0</v>
      </c>
      <c r="F399" s="1">
        <f t="shared" si="47"/>
        <v>0</v>
      </c>
      <c r="G399" s="1">
        <f t="shared" si="48"/>
        <v>0</v>
      </c>
      <c r="H399" s="1">
        <f t="shared" si="49"/>
        <v>0</v>
      </c>
      <c r="I399" s="1">
        <f t="shared" si="50"/>
        <v>0</v>
      </c>
      <c r="J399">
        <f>IF(B399="PAL","",IFERROR(IF(C399="",VLOOKUP(B399,'General price list'!C:BA,MATCH("CBM",'General price list'!$C$20:$BA$20,0),FALSE)*D399,VLOOKUP(B399,'General price list'!C:BA,MATCH("CBM",'General price list'!$C$20:$BA$20,0),FALSE)*(G399*C399)),0))</f>
        <v>0</v>
      </c>
    </row>
    <row r="400" spans="2:10" ht="15" customHeight="1">
      <c r="B400" s="790" t="str">
        <f>IF(B399="PAL","",'General price list'!C420)</f>
        <v>C2520DI14</v>
      </c>
      <c r="C400" s="1" t="str">
        <f>IF(B400="PAL","",IFERROR(VLOOKUP(B400,'General price list'!C:BA,MATCH("PAL",'General price list'!$C$20:$BA$20,0),FALSE),""))</f>
        <v/>
      </c>
      <c r="D400" s="1">
        <f>IF(B400="PAL","",IFERROR(VLOOKUP(B400,'General price list'!C:BA,MATCH("OBJ",'General price list'!$C$20:$BA$20,0),FALSE),""))</f>
        <v>0</v>
      </c>
      <c r="E400" s="1">
        <f t="shared" si="46"/>
        <v>0</v>
      </c>
      <c r="F400" s="1">
        <f t="shared" si="47"/>
        <v>0</v>
      </c>
      <c r="G400" s="1">
        <f t="shared" si="48"/>
        <v>0</v>
      </c>
      <c r="H400" s="1">
        <f t="shared" si="49"/>
        <v>0</v>
      </c>
      <c r="I400" s="1">
        <f t="shared" si="50"/>
        <v>0</v>
      </c>
      <c r="J400">
        <f>IF(B400="PAL","",IFERROR(IF(C400="",VLOOKUP(B400,'General price list'!C:BA,MATCH("CBM",'General price list'!$C$20:$BA$20,0),FALSE)*D400,VLOOKUP(B400,'General price list'!C:BA,MATCH("CBM",'General price list'!$C$20:$BA$20,0),FALSE)*(G400*C400)),0))</f>
        <v>0</v>
      </c>
    </row>
    <row r="401" spans="2:10" ht="15" customHeight="1">
      <c r="B401" s="790" t="str">
        <f>IF(B400="PAL","",'General price list'!C421)</f>
        <v>C2520T14</v>
      </c>
      <c r="C401" s="1" t="str">
        <f>IF(B401="PAL","",IFERROR(VLOOKUP(B401,'General price list'!C:BA,MATCH("PAL",'General price list'!$C$20:$BA$20,0),FALSE),""))</f>
        <v/>
      </c>
      <c r="D401" s="1">
        <f>IF(B401="PAL","",IFERROR(VLOOKUP(B401,'General price list'!C:BA,MATCH("OBJ",'General price list'!$C$20:$BA$20,0),FALSE),""))</f>
        <v>0</v>
      </c>
      <c r="E401" s="1">
        <f t="shared" si="46"/>
        <v>0</v>
      </c>
      <c r="F401" s="1">
        <f t="shared" si="47"/>
        <v>0</v>
      </c>
      <c r="G401" s="1">
        <f t="shared" si="48"/>
        <v>0</v>
      </c>
      <c r="H401" s="1">
        <f t="shared" si="49"/>
        <v>0</v>
      </c>
      <c r="I401" s="1">
        <f t="shared" si="50"/>
        <v>0</v>
      </c>
      <c r="J401">
        <f>IF(B401="PAL","",IFERROR(IF(C401="",VLOOKUP(B401,'General price list'!C:BA,MATCH("CBM",'General price list'!$C$20:$BA$20,0),FALSE)*D401,VLOOKUP(B401,'General price list'!C:BA,MATCH("CBM",'General price list'!$C$20:$BA$20,0),FALSE)*(G401*C401)),0))</f>
        <v>0</v>
      </c>
    </row>
    <row r="402" spans="2:10" ht="15" customHeight="1">
      <c r="B402" s="790" t="str">
        <f>IF(B401="PAL","",'General price list'!C422)</f>
        <v>C2520SE14</v>
      </c>
      <c r="C402" s="1" t="str">
        <f>IF(B402="PAL","",IFERROR(VLOOKUP(B402,'General price list'!C:BA,MATCH("PAL",'General price list'!$C$20:$BA$20,0),FALSE),""))</f>
        <v/>
      </c>
      <c r="D402" s="1">
        <f>IF(B402="PAL","",IFERROR(VLOOKUP(B402,'General price list'!C:BA,MATCH("OBJ",'General price list'!$C$20:$BA$20,0),FALSE),""))</f>
        <v>0</v>
      </c>
      <c r="E402" s="1">
        <f t="shared" si="46"/>
        <v>0</v>
      </c>
      <c r="F402" s="1">
        <f t="shared" si="47"/>
        <v>0</v>
      </c>
      <c r="G402" s="1">
        <f t="shared" si="48"/>
        <v>0</v>
      </c>
      <c r="H402" s="1">
        <f t="shared" si="49"/>
        <v>0</v>
      </c>
      <c r="I402" s="1">
        <f t="shared" si="50"/>
        <v>0</v>
      </c>
      <c r="J402">
        <f>IF(B402="PAL","",IFERROR(IF(C402="",VLOOKUP(B402,'General price list'!C:BA,MATCH("CBM",'General price list'!$C$20:$BA$20,0),FALSE)*D402,VLOOKUP(B402,'General price list'!C:BA,MATCH("CBM",'General price list'!$C$20:$BA$20,0),FALSE)*(G402*C402)),0))</f>
        <v>0</v>
      </c>
    </row>
    <row r="403" spans="2:10" ht="15" customHeight="1">
      <c r="B403" s="790">
        <f>IF(B402="PAL","",'General price list'!C423)</f>
        <v>0</v>
      </c>
      <c r="C403" s="1" t="str">
        <f>IF(B403="PAL","",IFERROR(VLOOKUP(B403,'General price list'!C:BA,MATCH("PAL",'General price list'!$C$20:$BA$20,0),FALSE),""))</f>
        <v/>
      </c>
      <c r="D403" s="1" t="str">
        <f>IF(B403="PAL","",IFERROR(VLOOKUP(B403,'General price list'!C:BA,MATCH("OBJ",'General price list'!$C$20:$BA$20,0),FALSE),""))</f>
        <v/>
      </c>
      <c r="E403" s="1">
        <f t="shared" si="46"/>
        <v>0</v>
      </c>
      <c r="F403" s="1">
        <f t="shared" si="47"/>
        <v>0</v>
      </c>
      <c r="G403" s="1">
        <f t="shared" si="48"/>
        <v>0</v>
      </c>
      <c r="H403" s="1">
        <f t="shared" si="49"/>
        <v>0</v>
      </c>
      <c r="I403" s="1">
        <f t="shared" si="50"/>
        <v>0</v>
      </c>
      <c r="J403">
        <f>IF(B403="PAL","",IFERROR(IF(C403="",VLOOKUP(B403,'General price list'!C:BA,MATCH("CBM",'General price list'!$C$20:$BA$20,0),FALSE)*D403,VLOOKUP(B403,'General price list'!C:BA,MATCH("CBM",'General price list'!$C$20:$BA$20,0),FALSE)*(G403*C403)),0))</f>
        <v>0</v>
      </c>
    </row>
    <row r="404" spans="2:10" ht="15" customHeight="1">
      <c r="B404" s="790" t="str">
        <f>IF(B403="PAL","",'General price list'!C424)</f>
        <v>C3620V</v>
      </c>
      <c r="C404" s="1" t="str">
        <f>IF(B404="PAL","",IFERROR(VLOOKUP(B404,'General price list'!C:BA,MATCH("PAL",'General price list'!$C$20:$BA$20,0),FALSE),""))</f>
        <v/>
      </c>
      <c r="D404" s="1">
        <f>IF(B404="PAL","",IFERROR(VLOOKUP(B404,'General price list'!C:BA,MATCH("OBJ",'General price list'!$C$20:$BA$20,0),FALSE),""))</f>
        <v>0</v>
      </c>
      <c r="E404" s="1">
        <f t="shared" si="46"/>
        <v>0</v>
      </c>
      <c r="F404" s="1">
        <f t="shared" si="47"/>
        <v>0</v>
      </c>
      <c r="G404" s="1">
        <f t="shared" si="48"/>
        <v>0</v>
      </c>
      <c r="H404" s="1">
        <f t="shared" si="49"/>
        <v>0</v>
      </c>
      <c r="I404" s="1">
        <f t="shared" si="50"/>
        <v>0</v>
      </c>
      <c r="J404">
        <f>IF(B404="PAL","",IFERROR(IF(C404="",VLOOKUP(B404,'General price list'!C:BA,MATCH("CBM",'General price list'!$C$20:$BA$20,0),FALSE)*D404,VLOOKUP(B404,'General price list'!C:BA,MATCH("CBM",'General price list'!$C$20:$BA$20,0),FALSE)*(G404*C404)),0))</f>
        <v>0</v>
      </c>
    </row>
    <row r="405" spans="2:10" ht="15" customHeight="1">
      <c r="B405" s="790">
        <f>IF(B404="PAL","",'General price list'!C425)</f>
        <v>0</v>
      </c>
      <c r="C405" s="1" t="str">
        <f>IF(B405="PAL","",IFERROR(VLOOKUP(B405,'General price list'!C:BA,MATCH("PAL",'General price list'!$C$20:$BA$20,0),FALSE),""))</f>
        <v/>
      </c>
      <c r="D405" s="1" t="str">
        <f>IF(B405="PAL","",IFERROR(VLOOKUP(B405,'General price list'!C:BA,MATCH("OBJ",'General price list'!$C$20:$BA$20,0),FALSE),""))</f>
        <v/>
      </c>
      <c r="E405" s="1">
        <f t="shared" si="46"/>
        <v>0</v>
      </c>
      <c r="F405" s="1">
        <f t="shared" si="47"/>
        <v>0</v>
      </c>
      <c r="G405" s="1">
        <f t="shared" si="48"/>
        <v>0</v>
      </c>
      <c r="H405" s="1">
        <f t="shared" si="49"/>
        <v>0</v>
      </c>
      <c r="I405" s="1">
        <f t="shared" si="50"/>
        <v>0</v>
      </c>
      <c r="J405">
        <f>IF(B405="PAL","",IFERROR(IF(C405="",VLOOKUP(B405,'General price list'!C:BA,MATCH("CBM",'General price list'!$C$20:$BA$20,0),FALSE)*D405,VLOOKUP(B405,'General price list'!C:BA,MATCH("CBM",'General price list'!$C$20:$BA$20,0),FALSE)*(G405*C405)),0))</f>
        <v>0</v>
      </c>
    </row>
    <row r="406" spans="2:10" ht="15" customHeight="1">
      <c r="B406" s="790" t="str">
        <f>IF(B405="PAL","",'General price list'!C426)</f>
        <v>C3620N14</v>
      </c>
      <c r="C406" s="1" t="str">
        <f>IF(B406="PAL","",IFERROR(VLOOKUP(B406,'General price list'!C:BA,MATCH("PAL",'General price list'!$C$20:$BA$20,0),FALSE),""))</f>
        <v/>
      </c>
      <c r="D406" s="1">
        <f>IF(B406="PAL","",IFERROR(VLOOKUP(B406,'General price list'!C:BA,MATCH("OBJ",'General price list'!$C$20:$BA$20,0),FALSE),""))</f>
        <v>0</v>
      </c>
      <c r="E406" s="1">
        <f t="shared" si="46"/>
        <v>0</v>
      </c>
      <c r="F406" s="1">
        <f t="shared" si="47"/>
        <v>0</v>
      </c>
      <c r="G406" s="1">
        <f t="shared" si="48"/>
        <v>0</v>
      </c>
      <c r="H406" s="1">
        <f t="shared" si="49"/>
        <v>0</v>
      </c>
      <c r="I406" s="1">
        <f t="shared" si="50"/>
        <v>0</v>
      </c>
      <c r="J406">
        <f>IF(B406="PAL","",IFERROR(IF(C406="",VLOOKUP(B406,'General price list'!C:BA,MATCH("CBM",'General price list'!$C$20:$BA$20,0),FALSE)*D406,VLOOKUP(B406,'General price list'!C:BA,MATCH("CBM",'General price list'!$C$20:$BA$20,0),FALSE)*(G406*C406)),0))</f>
        <v>0</v>
      </c>
    </row>
    <row r="407" spans="2:10" ht="15" customHeight="1">
      <c r="B407" s="790" t="str">
        <f>IF(B406="PAL","",'General price list'!C427)</f>
        <v>C3620NO14</v>
      </c>
      <c r="C407" s="1" t="str">
        <f>IF(B407="PAL","",IFERROR(VLOOKUP(B407,'General price list'!C:BA,MATCH("PAL",'General price list'!$C$20:$BA$20,0),FALSE),""))</f>
        <v/>
      </c>
      <c r="D407" s="1">
        <f>IF(B407="PAL","",IFERROR(VLOOKUP(B407,'General price list'!C:BA,MATCH("OBJ",'General price list'!$C$20:$BA$20,0),FALSE),""))</f>
        <v>0</v>
      </c>
      <c r="E407" s="1">
        <f t="shared" si="46"/>
        <v>0</v>
      </c>
      <c r="F407" s="1">
        <f t="shared" si="47"/>
        <v>0</v>
      </c>
      <c r="G407" s="1">
        <f t="shared" si="48"/>
        <v>0</v>
      </c>
      <c r="H407" s="1">
        <f t="shared" si="49"/>
        <v>0</v>
      </c>
      <c r="I407" s="1">
        <f t="shared" si="50"/>
        <v>0</v>
      </c>
      <c r="J407">
        <f>IF(B407="PAL","",IFERROR(IF(C407="",VLOOKUP(B407,'General price list'!C:BA,MATCH("CBM",'General price list'!$C$20:$BA$20,0),FALSE)*D407,VLOOKUP(B407,'General price list'!C:BA,MATCH("CBM",'General price list'!$C$20:$BA$20,0),FALSE)*(G407*C407)),0))</f>
        <v>0</v>
      </c>
    </row>
    <row r="408" spans="2:10" ht="15" customHeight="1">
      <c r="B408" s="790">
        <f>IF(B407="PAL","",'General price list'!C428)</f>
        <v>0</v>
      </c>
      <c r="C408" s="1" t="str">
        <f>IF(B408="PAL","",IFERROR(VLOOKUP(B408,'General price list'!C:BA,MATCH("PAL",'General price list'!$C$20:$BA$20,0),FALSE),""))</f>
        <v/>
      </c>
      <c r="D408" s="1" t="str">
        <f>IF(B408="PAL","",IFERROR(VLOOKUP(B408,'General price list'!C:BA,MATCH("OBJ",'General price list'!$C$20:$BA$20,0),FALSE),""))</f>
        <v/>
      </c>
      <c r="E408" s="1">
        <f t="shared" si="46"/>
        <v>0</v>
      </c>
      <c r="F408" s="1">
        <f t="shared" si="47"/>
        <v>0</v>
      </c>
      <c r="G408" s="1">
        <f t="shared" si="48"/>
        <v>0</v>
      </c>
      <c r="H408" s="1">
        <f t="shared" si="49"/>
        <v>0</v>
      </c>
      <c r="I408" s="1">
        <f t="shared" si="50"/>
        <v>0</v>
      </c>
      <c r="J408">
        <f>IF(B408="PAL","",IFERROR(IF(C408="",VLOOKUP(B408,'General price list'!C:BA,MATCH("CBM",'General price list'!$C$20:$BA$20,0),FALSE)*D408,VLOOKUP(B408,'General price list'!C:BA,MATCH("CBM",'General price list'!$C$20:$BA$20,0),FALSE)*(G408*C408)),0))</f>
        <v>0</v>
      </c>
    </row>
    <row r="409" spans="2:10" ht="15" customHeight="1">
      <c r="B409" s="790" t="str">
        <f>IF(B408="PAL","",'General price list'!C429)</f>
        <v>C4920BPF</v>
      </c>
      <c r="C409" s="1" t="str">
        <f>IF(B409="PAL","",IFERROR(VLOOKUP(B409,'General price list'!C:BA,MATCH("PAL",'General price list'!$C$20:$BA$20,0),FALSE),""))</f>
        <v/>
      </c>
      <c r="D409" s="1">
        <f>IF(B409="PAL","",IFERROR(VLOOKUP(B409,'General price list'!C:BA,MATCH("OBJ",'General price list'!$C$20:$BA$20,0),FALSE),""))</f>
        <v>0</v>
      </c>
      <c r="E409" s="1">
        <f t="shared" si="46"/>
        <v>0</v>
      </c>
      <c r="F409" s="1">
        <f t="shared" si="47"/>
        <v>0</v>
      </c>
      <c r="G409" s="1">
        <f t="shared" si="48"/>
        <v>0</v>
      </c>
      <c r="H409" s="1">
        <f t="shared" si="49"/>
        <v>0</v>
      </c>
      <c r="I409" s="1">
        <f t="shared" si="50"/>
        <v>0</v>
      </c>
      <c r="J409">
        <f>IF(B409="PAL","",IFERROR(IF(C409="",VLOOKUP(B409,'General price list'!C:BA,MATCH("CBM",'General price list'!$C$20:$BA$20,0),FALSE)*D409,VLOOKUP(B409,'General price list'!C:BA,MATCH("CBM",'General price list'!$C$20:$BA$20,0),FALSE)*(G409*C409)),0))</f>
        <v>0</v>
      </c>
    </row>
    <row r="410" spans="2:10" ht="15" customHeight="1">
      <c r="B410" s="790" t="str">
        <f>IF(B409="PAL","",'General price list'!C430)</f>
        <v>C4920SIG</v>
      </c>
      <c r="C410" s="1" t="str">
        <f>IF(B410="PAL","",IFERROR(VLOOKUP(B410,'General price list'!C:BA,MATCH("PAL",'General price list'!$C$20:$BA$20,0),FALSE),""))</f>
        <v/>
      </c>
      <c r="D410" s="1">
        <f>IF(B410="PAL","",IFERROR(VLOOKUP(B410,'General price list'!C:BA,MATCH("OBJ",'General price list'!$C$20:$BA$20,0),FALSE),""))</f>
        <v>0</v>
      </c>
      <c r="E410" s="1">
        <f t="shared" si="46"/>
        <v>0</v>
      </c>
      <c r="F410" s="1">
        <f t="shared" si="47"/>
        <v>0</v>
      </c>
      <c r="G410" s="1">
        <f t="shared" si="48"/>
        <v>0</v>
      </c>
      <c r="H410" s="1">
        <f t="shared" si="49"/>
        <v>0</v>
      </c>
      <c r="I410" s="1">
        <f t="shared" si="50"/>
        <v>0</v>
      </c>
      <c r="J410">
        <f>IF(B410="PAL","",IFERROR(IF(C410="",VLOOKUP(B410,'General price list'!C:BA,MATCH("CBM",'General price list'!$C$20:$BA$20,0),FALSE)*D410,VLOOKUP(B410,'General price list'!C:BA,MATCH("CBM",'General price list'!$C$20:$BA$20,0),FALSE)*(G410*C410)),0))</f>
        <v>0</v>
      </c>
    </row>
    <row r="411" spans="2:10" ht="15" customHeight="1">
      <c r="B411" s="790" t="str">
        <f>IF(B410="PAL","",'General price list'!C431)</f>
        <v>C4920DR</v>
      </c>
      <c r="C411" s="1" t="str">
        <f>IF(B411="PAL","",IFERROR(VLOOKUP(B411,'General price list'!C:BA,MATCH("PAL",'General price list'!$C$20:$BA$20,0),FALSE),""))</f>
        <v/>
      </c>
      <c r="D411" s="1">
        <f>IF(B411="PAL","",IFERROR(VLOOKUP(B411,'General price list'!C:BA,MATCH("OBJ",'General price list'!$C$20:$BA$20,0),FALSE),""))</f>
        <v>0</v>
      </c>
      <c r="E411" s="1">
        <f t="shared" si="46"/>
        <v>0</v>
      </c>
      <c r="F411" s="1">
        <f t="shared" si="47"/>
        <v>0</v>
      </c>
      <c r="G411" s="1">
        <f t="shared" si="48"/>
        <v>0</v>
      </c>
      <c r="H411" s="1">
        <f t="shared" si="49"/>
        <v>0</v>
      </c>
      <c r="I411" s="1">
        <f t="shared" si="50"/>
        <v>0</v>
      </c>
      <c r="J411">
        <f>IF(B411="PAL","",IFERROR(IF(C411="",VLOOKUP(B411,'General price list'!C:BA,MATCH("CBM",'General price list'!$C$20:$BA$20,0),FALSE)*D411,VLOOKUP(B411,'General price list'!C:BA,MATCH("CBM",'General price list'!$C$20:$BA$20,0),FALSE)*(G411*C411)),0))</f>
        <v>0</v>
      </c>
    </row>
    <row r="412" spans="2:10" ht="15" customHeight="1">
      <c r="B412" s="790" t="str">
        <f>IF(B411="PAL","",'General price list'!C432)</f>
        <v>C4920K</v>
      </c>
      <c r="C412" s="1" t="str">
        <f>IF(B412="PAL","",IFERROR(VLOOKUP(B412,'General price list'!C:BA,MATCH("PAL",'General price list'!$C$20:$BA$20,0),FALSE),""))</f>
        <v/>
      </c>
      <c r="D412" s="1">
        <f>IF(B412="PAL","",IFERROR(VLOOKUP(B412,'General price list'!C:BA,MATCH("OBJ",'General price list'!$C$20:$BA$20,0),FALSE),""))</f>
        <v>0</v>
      </c>
      <c r="E412" s="1">
        <f t="shared" si="46"/>
        <v>0</v>
      </c>
      <c r="F412" s="1">
        <f t="shared" si="47"/>
        <v>0</v>
      </c>
      <c r="G412" s="1">
        <f t="shared" si="48"/>
        <v>0</v>
      </c>
      <c r="H412" s="1">
        <f t="shared" si="49"/>
        <v>0</v>
      </c>
      <c r="I412" s="1">
        <f t="shared" si="50"/>
        <v>0</v>
      </c>
      <c r="J412">
        <f>IF(B412="PAL","",IFERROR(IF(C412="",VLOOKUP(B412,'General price list'!C:BA,MATCH("CBM",'General price list'!$C$20:$BA$20,0),FALSE)*D412,VLOOKUP(B412,'General price list'!C:BA,MATCH("CBM",'General price list'!$C$20:$BA$20,0),FALSE)*(G412*C412)),0))</f>
        <v>0</v>
      </c>
    </row>
    <row r="413" spans="2:10" ht="15" customHeight="1">
      <c r="B413" s="790" t="str">
        <f>IF(B412="PAL","",'General price list'!C433)</f>
        <v>C4920S</v>
      </c>
      <c r="C413" s="1" t="str">
        <f>IF(B413="PAL","",IFERROR(VLOOKUP(B413,'General price list'!C:BA,MATCH("PAL",'General price list'!$C$20:$BA$20,0),FALSE),""))</f>
        <v/>
      </c>
      <c r="D413" s="1">
        <f>IF(B413="PAL","",IFERROR(VLOOKUP(B413,'General price list'!C:BA,MATCH("OBJ",'General price list'!$C$20:$BA$20,0),FALSE),""))</f>
        <v>0</v>
      </c>
      <c r="E413" s="1">
        <f t="shared" si="46"/>
        <v>0</v>
      </c>
      <c r="F413" s="1">
        <f t="shared" si="47"/>
        <v>0</v>
      </c>
      <c r="G413" s="1">
        <f t="shared" si="48"/>
        <v>0</v>
      </c>
      <c r="H413" s="1">
        <f t="shared" si="49"/>
        <v>0</v>
      </c>
      <c r="I413" s="1">
        <f t="shared" si="50"/>
        <v>0</v>
      </c>
      <c r="J413">
        <f>IF(B413="PAL","",IFERROR(IF(C413="",VLOOKUP(B413,'General price list'!C:BA,MATCH("CBM",'General price list'!$C$20:$BA$20,0),FALSE)*D413,VLOOKUP(B413,'General price list'!C:BA,MATCH("CBM",'General price list'!$C$20:$BA$20,0),FALSE)*(G413*C413)),0))</f>
        <v>0</v>
      </c>
    </row>
    <row r="414" spans="2:10" ht="15" customHeight="1">
      <c r="B414" s="790">
        <f>IF(B413="PAL","",'General price list'!C434)</f>
        <v>0</v>
      </c>
      <c r="C414" s="1" t="str">
        <f>IF(B414="PAL","",IFERROR(VLOOKUP(B414,'General price list'!C:BA,MATCH("PAL",'General price list'!$C$20:$BA$20,0),FALSE),""))</f>
        <v/>
      </c>
      <c r="D414" s="1" t="str">
        <f>IF(B414="PAL","",IFERROR(VLOOKUP(B414,'General price list'!C:BA,MATCH("OBJ",'General price list'!$C$20:$BA$20,0),FALSE),""))</f>
        <v/>
      </c>
      <c r="E414" s="1">
        <f t="shared" si="46"/>
        <v>0</v>
      </c>
      <c r="F414" s="1">
        <f t="shared" si="47"/>
        <v>0</v>
      </c>
      <c r="G414" s="1">
        <f t="shared" si="48"/>
        <v>0</v>
      </c>
      <c r="H414" s="1">
        <f t="shared" si="49"/>
        <v>0</v>
      </c>
      <c r="I414" s="1">
        <f t="shared" si="50"/>
        <v>0</v>
      </c>
      <c r="J414">
        <f>IF(B414="PAL","",IFERROR(IF(C414="",VLOOKUP(B414,'General price list'!C:BA,MATCH("CBM",'General price list'!$C$20:$BA$20,0),FALSE)*D414,VLOOKUP(B414,'General price list'!C:BA,MATCH("CBM",'General price list'!$C$20:$BA$20,0),FALSE)*(G414*C414)),0))</f>
        <v>0</v>
      </c>
    </row>
    <row r="415" spans="2:10" ht="15" customHeight="1">
      <c r="B415" s="790" t="str">
        <f>IF(B414="PAL","",'General price list'!C435)</f>
        <v>C4920DR14</v>
      </c>
      <c r="C415" s="1" t="str">
        <f>IF(B415="PAL","",IFERROR(VLOOKUP(B415,'General price list'!C:BA,MATCH("PAL",'General price list'!$C$20:$BA$20,0),FALSE),""))</f>
        <v/>
      </c>
      <c r="D415" s="1">
        <f>IF(B415="PAL","",IFERROR(VLOOKUP(B415,'General price list'!C:BA,MATCH("OBJ",'General price list'!$C$20:$BA$20,0),FALSE),""))</f>
        <v>0</v>
      </c>
      <c r="E415" s="1">
        <f t="shared" si="46"/>
        <v>0</v>
      </c>
      <c r="F415" s="1">
        <f t="shared" si="47"/>
        <v>0</v>
      </c>
      <c r="G415" s="1">
        <f t="shared" si="48"/>
        <v>0</v>
      </c>
      <c r="H415" s="1">
        <f t="shared" si="49"/>
        <v>0</v>
      </c>
      <c r="I415" s="1">
        <f t="shared" si="50"/>
        <v>0</v>
      </c>
      <c r="J415">
        <f>IF(B415="PAL","",IFERROR(IF(C415="",VLOOKUP(B415,'General price list'!C:BA,MATCH("CBM",'General price list'!$C$20:$BA$20,0),FALSE)*D415,VLOOKUP(B415,'General price list'!C:BA,MATCH("CBM",'General price list'!$C$20:$BA$20,0),FALSE)*(G415*C415)),0))</f>
        <v>0</v>
      </c>
    </row>
    <row r="416" spans="2:10" ht="15" customHeight="1">
      <c r="B416" s="790" t="str">
        <f>IF(B415="PAL","",'General price list'!C436)</f>
        <v>C4920S14</v>
      </c>
      <c r="C416" s="1" t="str">
        <f>IF(B416="PAL","",IFERROR(VLOOKUP(B416,'General price list'!C:BA,MATCH("PAL",'General price list'!$C$20:$BA$20,0),FALSE),""))</f>
        <v/>
      </c>
      <c r="D416" s="1">
        <f>IF(B416="PAL","",IFERROR(VLOOKUP(B416,'General price list'!C:BA,MATCH("OBJ",'General price list'!$C$20:$BA$20,0),FALSE),""))</f>
        <v>0</v>
      </c>
      <c r="E416" s="1">
        <f t="shared" si="46"/>
        <v>0</v>
      </c>
      <c r="F416" s="1">
        <f t="shared" si="47"/>
        <v>0</v>
      </c>
      <c r="G416" s="1">
        <f t="shared" si="48"/>
        <v>0</v>
      </c>
      <c r="H416" s="1">
        <f t="shared" si="49"/>
        <v>0</v>
      </c>
      <c r="I416" s="1">
        <f t="shared" si="50"/>
        <v>0</v>
      </c>
      <c r="J416">
        <f>IF(B416="PAL","",IFERROR(IF(C416="",VLOOKUP(B416,'General price list'!C:BA,MATCH("CBM",'General price list'!$C$20:$BA$20,0),FALSE)*D416,VLOOKUP(B416,'General price list'!C:BA,MATCH("CBM",'General price list'!$C$20:$BA$20,0),FALSE)*(G416*C416)),0))</f>
        <v>0</v>
      </c>
    </row>
    <row r="417" spans="2:10" ht="15" customHeight="1">
      <c r="B417" s="790">
        <f>IF(B416="PAL","",'General price list'!C437)</f>
        <v>0</v>
      </c>
      <c r="C417" s="1" t="str">
        <f>IF(B417="PAL","",IFERROR(VLOOKUP(B417,'General price list'!C:BA,MATCH("PAL",'General price list'!$C$20:$BA$20,0),FALSE),""))</f>
        <v/>
      </c>
      <c r="D417" s="1" t="str">
        <f>IF(B417="PAL","",IFERROR(VLOOKUP(B417,'General price list'!C:BA,MATCH("OBJ",'General price list'!$C$20:$BA$20,0),FALSE),""))</f>
        <v/>
      </c>
      <c r="E417" s="1">
        <f t="shared" si="46"/>
        <v>0</v>
      </c>
      <c r="F417" s="1">
        <f t="shared" si="47"/>
        <v>0</v>
      </c>
      <c r="G417" s="1">
        <f t="shared" si="48"/>
        <v>0</v>
      </c>
      <c r="H417" s="1">
        <f t="shared" si="49"/>
        <v>0</v>
      </c>
      <c r="I417" s="1">
        <f t="shared" si="50"/>
        <v>0</v>
      </c>
      <c r="J417">
        <f>IF(B417="PAL","",IFERROR(IF(C417="",VLOOKUP(B417,'General price list'!C:BA,MATCH("CBM",'General price list'!$C$20:$BA$20,0),FALSE)*D417,VLOOKUP(B417,'General price list'!C:BA,MATCH("CBM",'General price list'!$C$20:$BA$20,0),FALSE)*(G417*C417)),0))</f>
        <v>0</v>
      </c>
    </row>
    <row r="418" spans="2:10" ht="15" customHeight="1">
      <c r="B418" s="790" t="str">
        <f>IF(B417="PAL","",'General price list'!C438)</f>
        <v>CF4920G</v>
      </c>
      <c r="C418" s="1" t="str">
        <f>IF(B418="PAL","",IFERROR(VLOOKUP(B418,'General price list'!C:BA,MATCH("PAL",'General price list'!$C$20:$BA$20,0),FALSE),""))</f>
        <v/>
      </c>
      <c r="D418" s="1">
        <f>IF(B418="PAL","",IFERROR(VLOOKUP(B418,'General price list'!C:BA,MATCH("OBJ",'General price list'!$C$20:$BA$20,0),FALSE),""))</f>
        <v>0</v>
      </c>
      <c r="E418" s="1">
        <f t="shared" si="46"/>
        <v>0</v>
      </c>
      <c r="F418" s="1">
        <f t="shared" si="47"/>
        <v>0</v>
      </c>
      <c r="G418" s="1">
        <f t="shared" si="48"/>
        <v>0</v>
      </c>
      <c r="H418" s="1">
        <f t="shared" si="49"/>
        <v>0</v>
      </c>
      <c r="I418" s="1">
        <f t="shared" si="50"/>
        <v>0</v>
      </c>
      <c r="J418">
        <f>IF(B418="PAL","",IFERROR(IF(C418="",VLOOKUP(B418,'General price list'!C:BA,MATCH("CBM",'General price list'!$C$20:$BA$20,0),FALSE)*D418,VLOOKUP(B418,'General price list'!C:BA,MATCH("CBM",'General price list'!$C$20:$BA$20,0),FALSE)*(G418*C418)),0))</f>
        <v>0</v>
      </c>
    </row>
    <row r="419" spans="2:10" ht="15" customHeight="1">
      <c r="B419" s="790" t="str">
        <f>IF(B418="PAL","",'General price list'!C439)</f>
        <v>CF4920J</v>
      </c>
      <c r="C419" s="1" t="str">
        <f>IF(B419="PAL","",IFERROR(VLOOKUP(B419,'General price list'!C:BA,MATCH("PAL",'General price list'!$C$20:$BA$20,0),FALSE),""))</f>
        <v/>
      </c>
      <c r="D419" s="1">
        <f>IF(B419="PAL","",IFERROR(VLOOKUP(B419,'General price list'!C:BA,MATCH("OBJ",'General price list'!$C$20:$BA$20,0),FALSE),""))</f>
        <v>0</v>
      </c>
      <c r="E419" s="1">
        <f t="shared" si="46"/>
        <v>0</v>
      </c>
      <c r="F419" s="1">
        <f t="shared" si="47"/>
        <v>0</v>
      </c>
      <c r="G419" s="1">
        <f t="shared" si="48"/>
        <v>0</v>
      </c>
      <c r="H419" s="1">
        <f t="shared" si="49"/>
        <v>0</v>
      </c>
      <c r="I419" s="1">
        <f t="shared" si="50"/>
        <v>0</v>
      </c>
      <c r="J419">
        <f>IF(B419="PAL","",IFERROR(IF(C419="",VLOOKUP(B419,'General price list'!C:BA,MATCH("CBM",'General price list'!$C$20:$BA$20,0),FALSE)*D419,VLOOKUP(B419,'General price list'!C:BA,MATCH("CBM",'General price list'!$C$20:$BA$20,0),FALSE)*(G419*C419)),0))</f>
        <v>0</v>
      </c>
    </row>
    <row r="420" spans="2:10" ht="15" customHeight="1">
      <c r="B420" s="790" t="str">
        <f>IF(B419="PAL","",'General price list'!C440)</f>
        <v>CF4920A</v>
      </c>
      <c r="C420" s="1" t="str">
        <f>IF(B420="PAL","",IFERROR(VLOOKUP(B420,'General price list'!C:BA,MATCH("PAL",'General price list'!$C$20:$BA$20,0),FALSE),""))</f>
        <v/>
      </c>
      <c r="D420" s="1">
        <f>IF(B420="PAL","",IFERROR(VLOOKUP(B420,'General price list'!C:BA,MATCH("OBJ",'General price list'!$C$20:$BA$20,0),FALSE),""))</f>
        <v>0</v>
      </c>
      <c r="E420" s="1">
        <f t="shared" si="46"/>
        <v>0</v>
      </c>
      <c r="F420" s="1">
        <f t="shared" si="47"/>
        <v>0</v>
      </c>
      <c r="G420" s="1">
        <f t="shared" si="48"/>
        <v>0</v>
      </c>
      <c r="H420" s="1">
        <f t="shared" si="49"/>
        <v>0</v>
      </c>
      <c r="I420" s="1">
        <f t="shared" si="50"/>
        <v>0</v>
      </c>
      <c r="J420">
        <f>IF(B420="PAL","",IFERROR(IF(C420="",VLOOKUP(B420,'General price list'!C:BA,MATCH("CBM",'General price list'!$C$20:$BA$20,0),FALSE)*D420,VLOOKUP(B420,'General price list'!C:BA,MATCH("CBM",'General price list'!$C$20:$BA$20,0),FALSE)*(G420*C420)),0))</f>
        <v>0</v>
      </c>
    </row>
    <row r="421" spans="2:10" ht="15" customHeight="1">
      <c r="B421" s="790">
        <f>IF(B420="PAL","",'General price list'!C441)</f>
        <v>0</v>
      </c>
      <c r="C421" s="1" t="str">
        <f>IF(B421="PAL","",IFERROR(VLOOKUP(B421,'General price list'!C:BA,MATCH("PAL",'General price list'!$C$20:$BA$20,0),FALSE),""))</f>
        <v/>
      </c>
      <c r="D421" s="1" t="str">
        <f>IF(B421="PAL","",IFERROR(VLOOKUP(B421,'General price list'!C:BA,MATCH("OBJ",'General price list'!$C$20:$BA$20,0),FALSE),""))</f>
        <v/>
      </c>
      <c r="E421" s="1">
        <f t="shared" si="46"/>
        <v>0</v>
      </c>
      <c r="F421" s="1">
        <f t="shared" si="47"/>
        <v>0</v>
      </c>
      <c r="G421" s="1">
        <f t="shared" si="48"/>
        <v>0</v>
      </c>
      <c r="H421" s="1">
        <f t="shared" si="49"/>
        <v>0</v>
      </c>
      <c r="I421" s="1">
        <f t="shared" si="50"/>
        <v>0</v>
      </c>
      <c r="J421">
        <f>IF(B421="PAL","",IFERROR(IF(C421="",VLOOKUP(B421,'General price list'!C:BA,MATCH("CBM",'General price list'!$C$20:$BA$20,0),FALSE)*D421,VLOOKUP(B421,'General price list'!C:BA,MATCH("CBM",'General price list'!$C$20:$BA$20,0),FALSE)*(G421*C421)),0))</f>
        <v>0</v>
      </c>
    </row>
    <row r="422" spans="2:10" ht="15" customHeight="1">
      <c r="B422" s="790" t="str">
        <f>IF(B421="PAL","",'General price list'!C442)</f>
        <v>CF4920G14</v>
      </c>
      <c r="C422" s="1" t="str">
        <f>IF(B422="PAL","",IFERROR(VLOOKUP(B422,'General price list'!C:BA,MATCH("PAL",'General price list'!$C$20:$BA$20,0),FALSE),""))</f>
        <v/>
      </c>
      <c r="D422" s="1">
        <f>IF(B422="PAL","",IFERROR(VLOOKUP(B422,'General price list'!C:BA,MATCH("OBJ",'General price list'!$C$20:$BA$20,0),FALSE),""))</f>
        <v>0</v>
      </c>
      <c r="E422" s="1">
        <f t="shared" si="46"/>
        <v>0</v>
      </c>
      <c r="F422" s="1">
        <f t="shared" si="47"/>
        <v>0</v>
      </c>
      <c r="G422" s="1">
        <f t="shared" si="48"/>
        <v>0</v>
      </c>
      <c r="H422" s="1">
        <f t="shared" si="49"/>
        <v>0</v>
      </c>
      <c r="I422" s="1">
        <f t="shared" si="50"/>
        <v>0</v>
      </c>
      <c r="J422">
        <f>IF(B422="PAL","",IFERROR(IF(C422="",VLOOKUP(B422,'General price list'!C:BA,MATCH("CBM",'General price list'!$C$20:$BA$20,0),FALSE)*D422,VLOOKUP(B422,'General price list'!C:BA,MATCH("CBM",'General price list'!$C$20:$BA$20,0),FALSE)*(G422*C422)),0))</f>
        <v>0</v>
      </c>
    </row>
    <row r="423" spans="2:10" ht="15" customHeight="1">
      <c r="B423" s="790">
        <f>IF(B422="PAL","",'General price list'!C443)</f>
        <v>0</v>
      </c>
      <c r="C423" s="1" t="str">
        <f>IF(B423="PAL","",IFERROR(VLOOKUP(B423,'General price list'!C:BA,MATCH("PAL",'General price list'!$C$20:$BA$20,0),FALSE),""))</f>
        <v/>
      </c>
      <c r="D423" s="1" t="str">
        <f>IF(B423="PAL","",IFERROR(VLOOKUP(B423,'General price list'!C:BA,MATCH("OBJ",'General price list'!$C$20:$BA$20,0),FALSE),""))</f>
        <v/>
      </c>
      <c r="E423" s="1">
        <f t="shared" si="46"/>
        <v>0</v>
      </c>
      <c r="F423" s="1">
        <f t="shared" si="47"/>
        <v>0</v>
      </c>
      <c r="G423" s="1">
        <f t="shared" si="48"/>
        <v>0</v>
      </c>
      <c r="H423" s="1">
        <f t="shared" si="49"/>
        <v>0</v>
      </c>
      <c r="I423" s="1">
        <f t="shared" si="50"/>
        <v>0</v>
      </c>
      <c r="J423">
        <f>IF(B423="PAL","",IFERROR(IF(C423="",VLOOKUP(B423,'General price list'!C:BA,MATCH("CBM",'General price list'!$C$20:$BA$20,0),FALSE)*D423,VLOOKUP(B423,'General price list'!C:BA,MATCH("CBM",'General price list'!$C$20:$BA$20,0),FALSE)*(G423*C423)),0))</f>
        <v>0</v>
      </c>
    </row>
    <row r="424" spans="2:10" ht="15" customHeight="1">
      <c r="B424" s="790" t="str">
        <f>IF(B423="PAL","",'General price list'!C444)</f>
        <v>C6420BPW</v>
      </c>
      <c r="C424" s="1" t="str">
        <f>IF(B424="PAL","",IFERROR(VLOOKUP(B424,'General price list'!C:BA,MATCH("PAL",'General price list'!$C$20:$BA$20,0),FALSE),""))</f>
        <v/>
      </c>
      <c r="D424" s="1">
        <f>IF(B424="PAL","",IFERROR(VLOOKUP(B424,'General price list'!C:BA,MATCH("OBJ",'General price list'!$C$20:$BA$20,0),FALSE),""))</f>
        <v>0</v>
      </c>
      <c r="E424" s="1">
        <f t="shared" si="46"/>
        <v>0</v>
      </c>
      <c r="F424" s="1">
        <f t="shared" si="47"/>
        <v>0</v>
      </c>
      <c r="G424" s="1">
        <f t="shared" si="48"/>
        <v>0</v>
      </c>
      <c r="H424" s="1">
        <f t="shared" si="49"/>
        <v>0</v>
      </c>
      <c r="I424" s="1">
        <f t="shared" si="50"/>
        <v>0</v>
      </c>
      <c r="J424">
        <f>IF(B424="PAL","",IFERROR(IF(C424="",VLOOKUP(B424,'General price list'!C:BA,MATCH("CBM",'General price list'!$C$20:$BA$20,0),FALSE)*D424,VLOOKUP(B424,'General price list'!C:BA,MATCH("CBM",'General price list'!$C$20:$BA$20,0),FALSE)*(G424*C424)),0))</f>
        <v>0</v>
      </c>
    </row>
    <row r="425" spans="2:10" ht="15" customHeight="1">
      <c r="B425" s="790" t="str">
        <f>IF(B424="PAL","",'General price list'!C445)</f>
        <v>C6420B</v>
      </c>
      <c r="C425" s="1" t="str">
        <f>IF(B425="PAL","",IFERROR(VLOOKUP(B425,'General price list'!C:BA,MATCH("PAL",'General price list'!$C$20:$BA$20,0),FALSE),""))</f>
        <v/>
      </c>
      <c r="D425" s="1">
        <f>IF(B425="PAL","",IFERROR(VLOOKUP(B425,'General price list'!C:BA,MATCH("OBJ",'General price list'!$C$20:$BA$20,0),FALSE),""))</f>
        <v>0</v>
      </c>
      <c r="E425" s="1">
        <f t="shared" si="46"/>
        <v>0</v>
      </c>
      <c r="F425" s="1">
        <f t="shared" si="47"/>
        <v>0</v>
      </c>
      <c r="G425" s="1">
        <f t="shared" si="48"/>
        <v>0</v>
      </c>
      <c r="H425" s="1">
        <f t="shared" si="49"/>
        <v>0</v>
      </c>
      <c r="I425" s="1">
        <f t="shared" si="50"/>
        <v>0</v>
      </c>
      <c r="J425">
        <f>IF(B425="PAL","",IFERROR(IF(C425="",VLOOKUP(B425,'General price list'!C:BA,MATCH("CBM",'General price list'!$C$20:$BA$20,0),FALSE)*D425,VLOOKUP(B425,'General price list'!C:BA,MATCH("CBM",'General price list'!$C$20:$BA$20,0),FALSE)*(G425*C425)),0))</f>
        <v>0</v>
      </c>
    </row>
    <row r="426" spans="2:10" ht="15" customHeight="1">
      <c r="B426" s="790" t="str">
        <f>IF(B425="PAL","",'General price list'!C446)</f>
        <v>C6420G</v>
      </c>
      <c r="C426" s="1" t="str">
        <f>IF(B426="PAL","",IFERROR(VLOOKUP(B426,'General price list'!C:BA,MATCH("PAL",'General price list'!$C$20:$BA$20,0),FALSE),""))</f>
        <v/>
      </c>
      <c r="D426" s="1">
        <f>IF(B426="PAL","",IFERROR(VLOOKUP(B426,'General price list'!C:BA,MATCH("OBJ",'General price list'!$C$20:$BA$20,0),FALSE),""))</f>
        <v>0</v>
      </c>
      <c r="E426" s="1">
        <f t="shared" si="46"/>
        <v>0</v>
      </c>
      <c r="F426" s="1">
        <f t="shared" si="47"/>
        <v>0</v>
      </c>
      <c r="G426" s="1">
        <f t="shared" si="48"/>
        <v>0</v>
      </c>
      <c r="H426" s="1">
        <f t="shared" si="49"/>
        <v>0</v>
      </c>
      <c r="I426" s="1">
        <f t="shared" si="50"/>
        <v>0</v>
      </c>
      <c r="J426">
        <f>IF(B426="PAL","",IFERROR(IF(C426="",VLOOKUP(B426,'General price list'!C:BA,MATCH("CBM",'General price list'!$C$20:$BA$20,0),FALSE)*D426,VLOOKUP(B426,'General price list'!C:BA,MATCH("CBM",'General price list'!$C$20:$BA$20,0),FALSE)*(G426*C426)),0))</f>
        <v>0</v>
      </c>
    </row>
    <row r="427" spans="2:10" ht="15" customHeight="1">
      <c r="B427" s="790" t="str">
        <f>IF(B426="PAL","",'General price list'!C447)</f>
        <v>C6420D</v>
      </c>
      <c r="C427" s="1" t="str">
        <f>IF(B427="PAL","",IFERROR(VLOOKUP(B427,'General price list'!C:BA,MATCH("PAL",'General price list'!$C$20:$BA$20,0),FALSE),""))</f>
        <v/>
      </c>
      <c r="D427" s="1">
        <f>IF(B427="PAL","",IFERROR(VLOOKUP(B427,'General price list'!C:BA,MATCH("OBJ",'General price list'!$C$20:$BA$20,0),FALSE),""))</f>
        <v>0</v>
      </c>
      <c r="E427" s="1">
        <f t="shared" si="46"/>
        <v>0</v>
      </c>
      <c r="F427" s="1">
        <f t="shared" si="47"/>
        <v>0</v>
      </c>
      <c r="G427" s="1">
        <f t="shared" si="48"/>
        <v>0</v>
      </c>
      <c r="H427" s="1">
        <f t="shared" si="49"/>
        <v>0</v>
      </c>
      <c r="I427" s="1">
        <f t="shared" si="50"/>
        <v>0</v>
      </c>
      <c r="J427">
        <f>IF(B427="PAL","",IFERROR(IF(C427="",VLOOKUP(B427,'General price list'!C:BA,MATCH("CBM",'General price list'!$C$20:$BA$20,0),FALSE)*D427,VLOOKUP(B427,'General price list'!C:BA,MATCH("CBM",'General price list'!$C$20:$BA$20,0),FALSE)*(G427*C427)),0))</f>
        <v>0</v>
      </c>
    </row>
    <row r="428" spans="2:10" ht="15" customHeight="1">
      <c r="B428" s="790">
        <f>IF(B427="PAL","",'General price list'!C448)</f>
        <v>0</v>
      </c>
      <c r="C428" s="1" t="str">
        <f>IF(B428="PAL","",IFERROR(VLOOKUP(B428,'General price list'!C:BA,MATCH("PAL",'General price list'!$C$20:$BA$20,0),FALSE),""))</f>
        <v/>
      </c>
      <c r="D428" s="1" t="str">
        <f>IF(B428="PAL","",IFERROR(VLOOKUP(B428,'General price list'!C:BA,MATCH("OBJ",'General price list'!$C$20:$BA$20,0),FALSE),""))</f>
        <v/>
      </c>
      <c r="E428" s="1">
        <f t="shared" si="46"/>
        <v>0</v>
      </c>
      <c r="F428" s="1">
        <f t="shared" si="47"/>
        <v>0</v>
      </c>
      <c r="G428" s="1">
        <f t="shared" si="48"/>
        <v>0</v>
      </c>
      <c r="H428" s="1">
        <f t="shared" si="49"/>
        <v>0</v>
      </c>
      <c r="I428" s="1">
        <f t="shared" si="50"/>
        <v>0</v>
      </c>
      <c r="J428">
        <f>IF(B428="PAL","",IFERROR(IF(C428="",VLOOKUP(B428,'General price list'!C:BA,MATCH("CBM",'General price list'!$C$20:$BA$20,0),FALSE)*D428,VLOOKUP(B428,'General price list'!C:BA,MATCH("CBM",'General price list'!$C$20:$BA$20,0),FALSE)*(G428*C428)),0))</f>
        <v>0</v>
      </c>
    </row>
    <row r="429" spans="2:10" ht="15" customHeight="1">
      <c r="B429" s="790" t="str">
        <f>IF(B428="PAL","",'General price list'!C449)</f>
        <v>C6420D14</v>
      </c>
      <c r="C429" s="1" t="str">
        <f>IF(B429="PAL","",IFERROR(VLOOKUP(B429,'General price list'!C:BA,MATCH("PAL",'General price list'!$C$20:$BA$20,0),FALSE),""))</f>
        <v/>
      </c>
      <c r="D429" s="1">
        <f>IF(B429="PAL","",IFERROR(VLOOKUP(B429,'General price list'!C:BA,MATCH("OBJ",'General price list'!$C$20:$BA$20,0),FALSE),""))</f>
        <v>0</v>
      </c>
      <c r="E429" s="1">
        <f t="shared" si="46"/>
        <v>0</v>
      </c>
      <c r="F429" s="1">
        <f t="shared" si="47"/>
        <v>0</v>
      </c>
      <c r="G429" s="1">
        <f t="shared" si="48"/>
        <v>0</v>
      </c>
      <c r="H429" s="1">
        <f t="shared" si="49"/>
        <v>0</v>
      </c>
      <c r="I429" s="1">
        <f t="shared" si="50"/>
        <v>0</v>
      </c>
      <c r="J429">
        <f>IF(B429="PAL","",IFERROR(IF(C429="",VLOOKUP(B429,'General price list'!C:BA,MATCH("CBM",'General price list'!$C$20:$BA$20,0),FALSE)*D429,VLOOKUP(B429,'General price list'!C:BA,MATCH("CBM",'General price list'!$C$20:$BA$20,0),FALSE)*(G429*C429)),0))</f>
        <v>0</v>
      </c>
    </row>
    <row r="430" spans="2:10" ht="15" customHeight="1">
      <c r="B430" s="790">
        <f>IF(B429="PAL","",'General price list'!C450)</f>
        <v>0</v>
      </c>
      <c r="C430" s="1" t="str">
        <f>IF(B430="PAL","",IFERROR(VLOOKUP(B430,'General price list'!C:BA,MATCH("PAL",'General price list'!$C$20:$BA$20,0),FALSE),""))</f>
        <v/>
      </c>
      <c r="D430" s="1" t="str">
        <f>IF(B430="PAL","",IFERROR(VLOOKUP(B430,'General price list'!C:BA,MATCH("OBJ",'General price list'!$C$20:$BA$20,0),FALSE),""))</f>
        <v/>
      </c>
      <c r="E430" s="1">
        <f t="shared" si="46"/>
        <v>0</v>
      </c>
      <c r="F430" s="1">
        <f t="shared" si="47"/>
        <v>0</v>
      </c>
      <c r="G430" s="1">
        <f t="shared" si="48"/>
        <v>0</v>
      </c>
      <c r="H430" s="1">
        <f t="shared" si="49"/>
        <v>0</v>
      </c>
      <c r="I430" s="1">
        <f t="shared" si="50"/>
        <v>0</v>
      </c>
      <c r="J430">
        <f>IF(B430="PAL","",IFERROR(IF(C430="",VLOOKUP(B430,'General price list'!C:BA,MATCH("CBM",'General price list'!$C$20:$BA$20,0),FALSE)*D430,VLOOKUP(B430,'General price list'!C:BA,MATCH("CBM",'General price list'!$C$20:$BA$20,0),FALSE)*(G430*C430)),0))</f>
        <v>0</v>
      </c>
    </row>
    <row r="431" spans="2:10" ht="15" customHeight="1">
      <c r="B431" s="790" t="str">
        <f>IF(B430="PAL","",'General price list'!C451)</f>
        <v>C6620P</v>
      </c>
      <c r="C431" s="1" t="str">
        <f>IF(B431="PAL","",IFERROR(VLOOKUP(B431,'General price list'!C:BA,MATCH("PAL",'General price list'!$C$20:$BA$20,0),FALSE),""))</f>
        <v/>
      </c>
      <c r="D431" s="1">
        <f>IF(B431="PAL","",IFERROR(VLOOKUP(B431,'General price list'!C:BA,MATCH("OBJ",'General price list'!$C$20:$BA$20,0),FALSE),""))</f>
        <v>0</v>
      </c>
      <c r="E431" s="1">
        <f t="shared" si="46"/>
        <v>0</v>
      </c>
      <c r="F431" s="1">
        <f t="shared" si="47"/>
        <v>0</v>
      </c>
      <c r="G431" s="1">
        <f t="shared" si="48"/>
        <v>0</v>
      </c>
      <c r="H431" s="1">
        <f t="shared" si="49"/>
        <v>0</v>
      </c>
      <c r="I431" s="1">
        <f t="shared" si="50"/>
        <v>0</v>
      </c>
      <c r="J431">
        <f>IF(B431="PAL","",IFERROR(IF(C431="",VLOOKUP(B431,'General price list'!C:BA,MATCH("CBM",'General price list'!$C$20:$BA$20,0),FALSE)*D431,VLOOKUP(B431,'General price list'!C:BA,MATCH("CBM",'General price list'!$C$20:$BA$20,0),FALSE)*(G431*C431)),0))</f>
        <v>0</v>
      </c>
    </row>
    <row r="432" spans="2:10" ht="15" customHeight="1">
      <c r="B432" s="790" t="str">
        <f>IF(B431="PAL","",'General price list'!C452)</f>
        <v>C6620L</v>
      </c>
      <c r="C432" s="1" t="str">
        <f>IF(B432="PAL","",IFERROR(VLOOKUP(B432,'General price list'!C:BA,MATCH("PAL",'General price list'!$C$20:$BA$20,0),FALSE),""))</f>
        <v/>
      </c>
      <c r="D432" s="1">
        <f>IF(B432="PAL","",IFERROR(VLOOKUP(B432,'General price list'!C:BA,MATCH("OBJ",'General price list'!$C$20:$BA$20,0),FALSE),""))</f>
        <v>0</v>
      </c>
      <c r="E432" s="1">
        <f t="shared" si="46"/>
        <v>0</v>
      </c>
      <c r="F432" s="1">
        <f t="shared" si="47"/>
        <v>0</v>
      </c>
      <c r="G432" s="1">
        <f t="shared" si="48"/>
        <v>0</v>
      </c>
      <c r="H432" s="1">
        <f t="shared" si="49"/>
        <v>0</v>
      </c>
      <c r="I432" s="1">
        <f t="shared" si="50"/>
        <v>0</v>
      </c>
      <c r="J432">
        <f>IF(B432="PAL","",IFERROR(IF(C432="",VLOOKUP(B432,'General price list'!C:BA,MATCH("CBM",'General price list'!$C$20:$BA$20,0),FALSE)*D432,VLOOKUP(B432,'General price list'!C:BA,MATCH("CBM",'General price list'!$C$20:$BA$20,0),FALSE)*(G432*C432)),0))</f>
        <v>0</v>
      </c>
    </row>
    <row r="433" spans="2:10" ht="15" customHeight="1">
      <c r="B433" s="790">
        <f>IF(B432="PAL","",'General price list'!C453)</f>
        <v>0</v>
      </c>
      <c r="C433" s="1" t="str">
        <f>IF(B433="PAL","",IFERROR(VLOOKUP(B433,'General price list'!C:BA,MATCH("PAL",'General price list'!$C$20:$BA$20,0),FALSE),""))</f>
        <v/>
      </c>
      <c r="D433" s="1" t="str">
        <f>IF(B433="PAL","",IFERROR(VLOOKUP(B433,'General price list'!C:BA,MATCH("OBJ",'General price list'!$C$20:$BA$20,0),FALSE),""))</f>
        <v/>
      </c>
      <c r="E433" s="1">
        <f t="shared" si="46"/>
        <v>0</v>
      </c>
      <c r="F433" s="1">
        <f t="shared" si="47"/>
        <v>0</v>
      </c>
      <c r="G433" s="1">
        <f t="shared" si="48"/>
        <v>0</v>
      </c>
      <c r="H433" s="1">
        <f t="shared" si="49"/>
        <v>0</v>
      </c>
      <c r="I433" s="1">
        <f t="shared" si="50"/>
        <v>0</v>
      </c>
      <c r="J433">
        <f>IF(B433="PAL","",IFERROR(IF(C433="",VLOOKUP(B433,'General price list'!C:BA,MATCH("CBM",'General price list'!$C$20:$BA$20,0),FALSE)*D433,VLOOKUP(B433,'General price list'!C:BA,MATCH("CBM",'General price list'!$C$20:$BA$20,0),FALSE)*(G433*C433)),0))</f>
        <v>0</v>
      </c>
    </row>
    <row r="434" spans="2:10" ht="15" customHeight="1">
      <c r="B434" s="790" t="str">
        <f>IF(B433="PAL","",'General price list'!C454)</f>
        <v>C6620P14</v>
      </c>
      <c r="C434" s="1" t="str">
        <f>IF(B434="PAL","",IFERROR(VLOOKUP(B434,'General price list'!C:BA,MATCH("PAL",'General price list'!$C$20:$BA$20,0),FALSE),""))</f>
        <v/>
      </c>
      <c r="D434" s="1">
        <f>IF(B434="PAL","",IFERROR(VLOOKUP(B434,'General price list'!C:BA,MATCH("OBJ",'General price list'!$C$20:$BA$20,0),FALSE),""))</f>
        <v>0</v>
      </c>
      <c r="E434" s="1">
        <f t="shared" si="46"/>
        <v>0</v>
      </c>
      <c r="F434" s="1">
        <f t="shared" si="47"/>
        <v>0</v>
      </c>
      <c r="G434" s="1">
        <f t="shared" si="48"/>
        <v>0</v>
      </c>
      <c r="H434" s="1">
        <f t="shared" si="49"/>
        <v>0</v>
      </c>
      <c r="I434" s="1">
        <f t="shared" si="50"/>
        <v>0</v>
      </c>
      <c r="J434">
        <f>IF(B434="PAL","",IFERROR(IF(C434="",VLOOKUP(B434,'General price list'!C:BA,MATCH("CBM",'General price list'!$C$20:$BA$20,0),FALSE)*D434,VLOOKUP(B434,'General price list'!C:BA,MATCH("CBM",'General price list'!$C$20:$BA$20,0),FALSE)*(G434*C434)),0))</f>
        <v>0</v>
      </c>
    </row>
    <row r="435" spans="2:10" ht="15" customHeight="1">
      <c r="B435" s="790">
        <f>IF(B434="PAL","",'General price list'!C455)</f>
        <v>0</v>
      </c>
      <c r="C435" s="1" t="str">
        <f>IF(B435="PAL","",IFERROR(VLOOKUP(B435,'General price list'!C:BA,MATCH("PAL",'General price list'!$C$20:$BA$20,0),FALSE),""))</f>
        <v/>
      </c>
      <c r="D435" s="1" t="str">
        <f>IF(B435="PAL","",IFERROR(VLOOKUP(B435,'General price list'!C:BA,MATCH("OBJ",'General price list'!$C$20:$BA$20,0),FALSE),""))</f>
        <v/>
      </c>
      <c r="E435" s="1">
        <f t="shared" si="46"/>
        <v>0</v>
      </c>
      <c r="F435" s="1">
        <f t="shared" si="47"/>
        <v>0</v>
      </c>
      <c r="G435" s="1">
        <f t="shared" si="48"/>
        <v>0</v>
      </c>
      <c r="H435" s="1">
        <f t="shared" si="49"/>
        <v>0</v>
      </c>
      <c r="I435" s="1">
        <f t="shared" si="50"/>
        <v>0</v>
      </c>
      <c r="J435">
        <f>IF(B435="PAL","",IFERROR(IF(C435="",VLOOKUP(B435,'General price list'!C:BA,MATCH("CBM",'General price list'!$C$20:$BA$20,0),FALSE)*D435,VLOOKUP(B435,'General price list'!C:BA,MATCH("CBM",'General price list'!$C$20:$BA$20,0),FALSE)*(G435*C435)),0))</f>
        <v>0</v>
      </c>
    </row>
    <row r="436" spans="2:10" ht="15" customHeight="1">
      <c r="B436" s="790" t="str">
        <f>IF(B435="PAL","",'General price list'!C456)</f>
        <v>C9020SIG</v>
      </c>
      <c r="C436" s="1" t="str">
        <f>IF(B436="PAL","",IFERROR(VLOOKUP(B436,'General price list'!C:BA,MATCH("PAL",'General price list'!$C$20:$BA$20,0),FALSE),""))</f>
        <v/>
      </c>
      <c r="D436" s="1">
        <f>IF(B436="PAL","",IFERROR(VLOOKUP(B436,'General price list'!C:BA,MATCH("OBJ",'General price list'!$C$20:$BA$20,0),FALSE),""))</f>
        <v>0</v>
      </c>
      <c r="E436" s="1">
        <f t="shared" si="46"/>
        <v>0</v>
      </c>
      <c r="F436" s="1">
        <f t="shared" si="47"/>
        <v>0</v>
      </c>
      <c r="G436" s="1">
        <f t="shared" si="48"/>
        <v>0</v>
      </c>
      <c r="H436" s="1">
        <f t="shared" si="49"/>
        <v>0</v>
      </c>
      <c r="I436" s="1">
        <f t="shared" si="50"/>
        <v>0</v>
      </c>
      <c r="J436">
        <f>IF(B436="PAL","",IFERROR(IF(C436="",VLOOKUP(B436,'General price list'!C:BA,MATCH("CBM",'General price list'!$C$20:$BA$20,0),FALSE)*D436,VLOOKUP(B436,'General price list'!C:BA,MATCH("CBM",'General price list'!$C$20:$BA$20,0),FALSE)*(G436*C436)),0))</f>
        <v>0</v>
      </c>
    </row>
    <row r="437" spans="2:10" ht="15" customHeight="1">
      <c r="B437" s="790" t="str">
        <f>IF(B436="PAL","",'General price list'!C457)</f>
        <v>C9020V</v>
      </c>
      <c r="C437" s="1" t="str">
        <f>IF(B437="PAL","",IFERROR(VLOOKUP(B437,'General price list'!C:BA,MATCH("PAL",'General price list'!$C$20:$BA$20,0),FALSE),""))</f>
        <v/>
      </c>
      <c r="D437" s="1">
        <f>IF(B437="PAL","",IFERROR(VLOOKUP(B437,'General price list'!C:BA,MATCH("OBJ",'General price list'!$C$20:$BA$20,0),FALSE),""))</f>
        <v>0</v>
      </c>
      <c r="E437" s="1">
        <f t="shared" si="46"/>
        <v>0</v>
      </c>
      <c r="F437" s="1">
        <f t="shared" si="47"/>
        <v>0</v>
      </c>
      <c r="G437" s="1">
        <f t="shared" si="48"/>
        <v>0</v>
      </c>
      <c r="H437" s="1">
        <f t="shared" si="49"/>
        <v>0</v>
      </c>
      <c r="I437" s="1">
        <f t="shared" si="50"/>
        <v>0</v>
      </c>
      <c r="J437">
        <f>IF(B437="PAL","",IFERROR(IF(C437="",VLOOKUP(B437,'General price list'!C:BA,MATCH("CBM",'General price list'!$C$20:$BA$20,0),FALSE)*D437,VLOOKUP(B437,'General price list'!C:BA,MATCH("CBM",'General price list'!$C$20:$BA$20,0),FALSE)*(G437*C437)),0))</f>
        <v>0</v>
      </c>
    </row>
    <row r="438" spans="2:10" ht="15" customHeight="1">
      <c r="B438" s="790" t="str">
        <f>IF(B437="PAL","",'General price list'!C458)</f>
        <v>C9020X</v>
      </c>
      <c r="C438" s="1" t="str">
        <f>IF(B438="PAL","",IFERROR(VLOOKUP(B438,'General price list'!C:BA,MATCH("PAL",'General price list'!$C$20:$BA$20,0),FALSE),""))</f>
        <v/>
      </c>
      <c r="D438" s="1">
        <f>IF(B438="PAL","",IFERROR(VLOOKUP(B438,'General price list'!C:BA,MATCH("OBJ",'General price list'!$C$20:$BA$20,0),FALSE),""))</f>
        <v>0</v>
      </c>
      <c r="E438" s="1">
        <f t="shared" si="46"/>
        <v>0</v>
      </c>
      <c r="F438" s="1">
        <f t="shared" si="47"/>
        <v>0</v>
      </c>
      <c r="G438" s="1">
        <f t="shared" si="48"/>
        <v>0</v>
      </c>
      <c r="H438" s="1">
        <f t="shared" si="49"/>
        <v>0</v>
      </c>
      <c r="I438" s="1">
        <f t="shared" si="50"/>
        <v>0</v>
      </c>
      <c r="J438">
        <f>IF(B438="PAL","",IFERROR(IF(C438="",VLOOKUP(B438,'General price list'!C:BA,MATCH("CBM",'General price list'!$C$20:$BA$20,0),FALSE)*D438,VLOOKUP(B438,'General price list'!C:BA,MATCH("CBM",'General price list'!$C$20:$BA$20,0),FALSE)*(G438*C438)),0))</f>
        <v>0</v>
      </c>
    </row>
    <row r="439" spans="2:10" ht="15" customHeight="1">
      <c r="B439" s="790">
        <f>IF(B438="PAL","",'General price list'!C459)</f>
        <v>0</v>
      </c>
      <c r="C439" s="1" t="str">
        <f>IF(B439="PAL","",IFERROR(VLOOKUP(B439,'General price list'!C:BA,MATCH("PAL",'General price list'!$C$20:$BA$20,0),FALSE),""))</f>
        <v/>
      </c>
      <c r="D439" s="1" t="str">
        <f>IF(B439="PAL","",IFERROR(VLOOKUP(B439,'General price list'!C:BA,MATCH("OBJ",'General price list'!$C$20:$BA$20,0),FALSE),""))</f>
        <v/>
      </c>
      <c r="E439" s="1">
        <f t="shared" si="46"/>
        <v>0</v>
      </c>
      <c r="F439" s="1">
        <f t="shared" si="47"/>
        <v>0</v>
      </c>
      <c r="G439" s="1">
        <f t="shared" si="48"/>
        <v>0</v>
      </c>
      <c r="H439" s="1">
        <f t="shared" si="49"/>
        <v>0</v>
      </c>
      <c r="I439" s="1">
        <f t="shared" si="50"/>
        <v>0</v>
      </c>
      <c r="J439">
        <f>IF(B439="PAL","",IFERROR(IF(C439="",VLOOKUP(B439,'General price list'!C:BA,MATCH("CBM",'General price list'!$C$20:$BA$20,0),FALSE)*D439,VLOOKUP(B439,'General price list'!C:BA,MATCH("CBM",'General price list'!$C$20:$BA$20,0),FALSE)*(G439*C439)),0))</f>
        <v>0</v>
      </c>
    </row>
    <row r="440" spans="2:10" ht="15" customHeight="1">
      <c r="B440" s="790" t="str">
        <f>IF(B439="PAL","",'General price list'!C460)</f>
        <v>C10020BP14</v>
      </c>
      <c r="C440" s="1" t="str">
        <f>IF(B440="PAL","",IFERROR(VLOOKUP(B440,'General price list'!C:BA,MATCH("PAL",'General price list'!$C$20:$BA$20,0),FALSE),""))</f>
        <v/>
      </c>
      <c r="D440" s="1">
        <f>IF(B440="PAL","",IFERROR(VLOOKUP(B440,'General price list'!C:BA,MATCH("OBJ",'General price list'!$C$20:$BA$20,0),FALSE),""))</f>
        <v>0</v>
      </c>
      <c r="E440" s="1">
        <f t="shared" si="46"/>
        <v>0</v>
      </c>
      <c r="F440" s="1">
        <f t="shared" si="47"/>
        <v>0</v>
      </c>
      <c r="G440" s="1">
        <f t="shared" si="48"/>
        <v>0</v>
      </c>
      <c r="H440" s="1">
        <f t="shared" si="49"/>
        <v>0</v>
      </c>
      <c r="I440" s="1">
        <f t="shared" si="50"/>
        <v>0</v>
      </c>
      <c r="J440">
        <f>IF(B440="PAL","",IFERROR(IF(C440="",VLOOKUP(B440,'General price list'!C:BA,MATCH("CBM",'General price list'!$C$20:$BA$20,0),FALSE)*D440,VLOOKUP(B440,'General price list'!C:BA,MATCH("CBM",'General price list'!$C$20:$BA$20,0),FALSE)*(G440*C440)),0))</f>
        <v>0</v>
      </c>
    </row>
    <row r="441" spans="2:10" ht="15" customHeight="1">
      <c r="B441" s="790" t="str">
        <f>IF(B440="PAL","",'General price list'!C461)</f>
        <v>C10020BPS14</v>
      </c>
      <c r="C441" s="1" t="str">
        <f>IF(B441="PAL","",IFERROR(VLOOKUP(B441,'General price list'!C:BA,MATCH("PAL",'General price list'!$C$20:$BA$20,0),FALSE),""))</f>
        <v/>
      </c>
      <c r="D441" s="1">
        <f>IF(B441="PAL","",IFERROR(VLOOKUP(B441,'General price list'!C:BA,MATCH("OBJ",'General price list'!$C$20:$BA$20,0),FALSE),""))</f>
        <v>0</v>
      </c>
      <c r="E441" s="1">
        <f t="shared" si="46"/>
        <v>0</v>
      </c>
      <c r="F441" s="1">
        <f t="shared" si="47"/>
        <v>0</v>
      </c>
      <c r="G441" s="1">
        <f t="shared" si="48"/>
        <v>0</v>
      </c>
      <c r="H441" s="1">
        <f t="shared" si="49"/>
        <v>0</v>
      </c>
      <c r="I441" s="1">
        <f t="shared" si="50"/>
        <v>0</v>
      </c>
      <c r="J441">
        <f>IF(B441="PAL","",IFERROR(IF(C441="",VLOOKUP(B441,'General price list'!C:BA,MATCH("CBM",'General price list'!$C$20:$BA$20,0),FALSE)*D441,VLOOKUP(B441,'General price list'!C:BA,MATCH("CBM",'General price list'!$C$20:$BA$20,0),FALSE)*(G441*C441)),0))</f>
        <v>0</v>
      </c>
    </row>
    <row r="442" spans="2:10" ht="15" customHeight="1">
      <c r="B442" s="790" t="str">
        <f>IF(B441="PAL","",'General price list'!C462)</f>
        <v>C10020NID14</v>
      </c>
      <c r="C442" s="1" t="str">
        <f>IF(B442="PAL","",IFERROR(VLOOKUP(B442,'General price list'!C:BA,MATCH("PAL",'General price list'!$C$20:$BA$20,0),FALSE),""))</f>
        <v/>
      </c>
      <c r="D442" s="1">
        <f>IF(B442="PAL","",IFERROR(VLOOKUP(B442,'General price list'!C:BA,MATCH("OBJ",'General price list'!$C$20:$BA$20,0),FALSE),""))</f>
        <v>0</v>
      </c>
      <c r="E442" s="1">
        <f t="shared" si="46"/>
        <v>0</v>
      </c>
      <c r="F442" s="1">
        <f t="shared" si="47"/>
        <v>0</v>
      </c>
      <c r="G442" s="1">
        <f t="shared" si="48"/>
        <v>0</v>
      </c>
      <c r="H442" s="1">
        <f t="shared" si="49"/>
        <v>0</v>
      </c>
      <c r="I442" s="1">
        <f t="shared" si="50"/>
        <v>0</v>
      </c>
      <c r="J442">
        <f>IF(B442="PAL","",IFERROR(IF(C442="",VLOOKUP(B442,'General price list'!C:BA,MATCH("CBM",'General price list'!$C$20:$BA$20,0),FALSE)*D442,VLOOKUP(B442,'General price list'!C:BA,MATCH("CBM",'General price list'!$C$20:$BA$20,0),FALSE)*(G442*C442)),0))</f>
        <v>0</v>
      </c>
    </row>
    <row r="443" spans="2:10" ht="15" customHeight="1">
      <c r="B443" s="790">
        <f>IF(B442="PAL","",'General price list'!C463)</f>
        <v>0</v>
      </c>
      <c r="C443" s="1" t="str">
        <f>IF(B443="PAL","",IFERROR(VLOOKUP(B443,'General price list'!C:BA,MATCH("PAL",'General price list'!$C$20:$BA$20,0),FALSE),""))</f>
        <v/>
      </c>
      <c r="D443" s="1" t="str">
        <f>IF(B443="PAL","",IFERROR(VLOOKUP(B443,'General price list'!C:BA,MATCH("OBJ",'General price list'!$C$20:$BA$20,0),FALSE),""))</f>
        <v/>
      </c>
      <c r="E443" s="1">
        <f t="shared" si="46"/>
        <v>0</v>
      </c>
      <c r="F443" s="1">
        <f t="shared" si="47"/>
        <v>0</v>
      </c>
      <c r="G443" s="1">
        <f t="shared" si="48"/>
        <v>0</v>
      </c>
      <c r="H443" s="1">
        <f t="shared" si="49"/>
        <v>0</v>
      </c>
      <c r="I443" s="1">
        <f t="shared" si="50"/>
        <v>0</v>
      </c>
      <c r="J443">
        <f>IF(B443="PAL","",IFERROR(IF(C443="",VLOOKUP(B443,'General price list'!C:BA,MATCH("CBM",'General price list'!$C$20:$BA$20,0),FALSE)*D443,VLOOKUP(B443,'General price list'!C:BA,MATCH("CBM",'General price list'!$C$20:$BA$20,0),FALSE)*(G443*C443)),0))</f>
        <v>0</v>
      </c>
    </row>
    <row r="444" spans="2:10" ht="15" customHeight="1">
      <c r="B444" s="790" t="str">
        <f>IF(B443="PAL","",'General price list'!C464)</f>
        <v>C10020XBPW14</v>
      </c>
      <c r="C444" s="1" t="str">
        <f>IF(B444="PAL","",IFERROR(VLOOKUP(B444,'General price list'!C:BA,MATCH("PAL",'General price list'!$C$20:$BA$20,0),FALSE),""))</f>
        <v/>
      </c>
      <c r="D444" s="1">
        <f>IF(B444="PAL","",IFERROR(VLOOKUP(B444,'General price list'!C:BA,MATCH("OBJ",'General price list'!$C$20:$BA$20,0),FALSE),""))</f>
        <v>0</v>
      </c>
      <c r="E444" s="1">
        <f t="shared" si="46"/>
        <v>0</v>
      </c>
      <c r="F444" s="1">
        <f t="shared" si="47"/>
        <v>0</v>
      </c>
      <c r="G444" s="1">
        <f t="shared" si="48"/>
        <v>0</v>
      </c>
      <c r="H444" s="1">
        <f t="shared" si="49"/>
        <v>0</v>
      </c>
      <c r="I444" s="1">
        <f t="shared" si="50"/>
        <v>0</v>
      </c>
      <c r="J444">
        <f>IF(B444="PAL","",IFERROR(IF(C444="",VLOOKUP(B444,'General price list'!C:BA,MATCH("CBM",'General price list'!$C$20:$BA$20,0),FALSE)*D444,VLOOKUP(B444,'General price list'!C:BA,MATCH("CBM",'General price list'!$C$20:$BA$20,0),FALSE)*(G444*C444)),0))</f>
        <v>0</v>
      </c>
    </row>
    <row r="445" spans="2:10" ht="15" customHeight="1">
      <c r="B445" s="790" t="str">
        <f>IF(B444="PAL","",'General price list'!C465)</f>
        <v>C10020XBP14</v>
      </c>
      <c r="C445" s="1" t="str">
        <f>IF(B445="PAL","",IFERROR(VLOOKUP(B445,'General price list'!C:BA,MATCH("PAL",'General price list'!$C$20:$BA$20,0),FALSE),""))</f>
        <v/>
      </c>
      <c r="D445" s="1">
        <f>IF(B445="PAL","",IFERROR(VLOOKUP(B445,'General price list'!C:BA,MATCH("OBJ",'General price list'!$C$20:$BA$20,0),FALSE),""))</f>
        <v>0</v>
      </c>
      <c r="E445" s="1">
        <f t="shared" si="46"/>
        <v>0</v>
      </c>
      <c r="F445" s="1">
        <f t="shared" si="47"/>
        <v>0</v>
      </c>
      <c r="G445" s="1">
        <f t="shared" si="48"/>
        <v>0</v>
      </c>
      <c r="H445" s="1">
        <f t="shared" si="49"/>
        <v>0</v>
      </c>
      <c r="I445" s="1">
        <f t="shared" si="50"/>
        <v>0</v>
      </c>
      <c r="J445">
        <f>IF(B445="PAL","",IFERROR(IF(C445="",VLOOKUP(B445,'General price list'!C:BA,MATCH("CBM",'General price list'!$C$20:$BA$20,0),FALSE)*D445,VLOOKUP(B445,'General price list'!C:BA,MATCH("CBM",'General price list'!$C$20:$BA$20,0),FALSE)*(G445*C445)),0))</f>
        <v>0</v>
      </c>
    </row>
    <row r="446" spans="2:10" ht="15" customHeight="1">
      <c r="B446" s="790" t="str">
        <f>IF(B445="PAL","",'General price list'!C466)</f>
        <v>C10020XTS14</v>
      </c>
      <c r="C446" s="1" t="str">
        <f>IF(B446="PAL","",IFERROR(VLOOKUP(B446,'General price list'!C:BA,MATCH("PAL",'General price list'!$C$20:$BA$20,0),FALSE),""))</f>
        <v/>
      </c>
      <c r="D446" s="1">
        <f>IF(B446="PAL","",IFERROR(VLOOKUP(B446,'General price list'!C:BA,MATCH("OBJ",'General price list'!$C$20:$BA$20,0),FALSE),""))</f>
        <v>0</v>
      </c>
      <c r="E446" s="1">
        <f t="shared" si="46"/>
        <v>0</v>
      </c>
      <c r="F446" s="1">
        <f t="shared" si="47"/>
        <v>0</v>
      </c>
      <c r="G446" s="1">
        <f t="shared" si="48"/>
        <v>0</v>
      </c>
      <c r="H446" s="1">
        <f t="shared" si="49"/>
        <v>0</v>
      </c>
      <c r="I446" s="1">
        <f t="shared" si="50"/>
        <v>0</v>
      </c>
      <c r="J446">
        <f>IF(B446="PAL","",IFERROR(IF(C446="",VLOOKUP(B446,'General price list'!C:BA,MATCH("CBM",'General price list'!$C$20:$BA$20,0),FALSE)*D446,VLOOKUP(B446,'General price list'!C:BA,MATCH("CBM",'General price list'!$C$20:$BA$20,0),FALSE)*(G446*C446)),0))</f>
        <v>0</v>
      </c>
    </row>
    <row r="447" spans="2:10" ht="15" customHeight="1">
      <c r="B447" s="790" t="str">
        <f>IF(B446="PAL","",'General price list'!C467)</f>
        <v>C10020XPR14</v>
      </c>
      <c r="C447" s="1" t="str">
        <f>IF(B447="PAL","",IFERROR(VLOOKUP(B447,'General price list'!C:BA,MATCH("PAL",'General price list'!$C$20:$BA$20,0),FALSE),""))</f>
        <v/>
      </c>
      <c r="D447" s="1">
        <f>IF(B447="PAL","",IFERROR(VLOOKUP(B447,'General price list'!C:BA,MATCH("OBJ",'General price list'!$C$20:$BA$20,0),FALSE),""))</f>
        <v>0</v>
      </c>
      <c r="E447" s="1">
        <f t="shared" si="46"/>
        <v>0</v>
      </c>
      <c r="F447" s="1">
        <f t="shared" si="47"/>
        <v>0</v>
      </c>
      <c r="G447" s="1">
        <f t="shared" si="48"/>
        <v>0</v>
      </c>
      <c r="H447" s="1">
        <f t="shared" si="49"/>
        <v>0</v>
      </c>
      <c r="I447" s="1">
        <f t="shared" si="50"/>
        <v>0</v>
      </c>
      <c r="J447">
        <f>IF(B447="PAL","",IFERROR(IF(C447="",VLOOKUP(B447,'General price list'!C:BA,MATCH("CBM",'General price list'!$C$20:$BA$20,0),FALSE)*D447,VLOOKUP(B447,'General price list'!C:BA,MATCH("CBM",'General price list'!$C$20:$BA$20,0),FALSE)*(G447*C447)),0))</f>
        <v>0</v>
      </c>
    </row>
    <row r="448" spans="2:10" ht="15" customHeight="1">
      <c r="B448" s="790">
        <f>IF(B447="PAL","",'General price list'!C468)</f>
        <v>0</v>
      </c>
      <c r="C448" s="1" t="str">
        <f>IF(B448="PAL","",IFERROR(VLOOKUP(B448,'General price list'!C:BA,MATCH("PAL",'General price list'!$C$20:$BA$20,0),FALSE),""))</f>
        <v/>
      </c>
      <c r="D448" s="1" t="str">
        <f>IF(B448="PAL","",IFERROR(VLOOKUP(B448,'General price list'!C:BA,MATCH("OBJ",'General price list'!$C$20:$BA$20,0),FALSE),""))</f>
        <v/>
      </c>
      <c r="E448" s="1">
        <f t="shared" si="46"/>
        <v>0</v>
      </c>
      <c r="F448" s="1">
        <f t="shared" si="47"/>
        <v>0</v>
      </c>
      <c r="G448" s="1">
        <f t="shared" si="48"/>
        <v>0</v>
      </c>
      <c r="H448" s="1">
        <f t="shared" si="49"/>
        <v>0</v>
      </c>
      <c r="I448" s="1">
        <f t="shared" si="50"/>
        <v>0</v>
      </c>
      <c r="J448">
        <f>IF(B448="PAL","",IFERROR(IF(C448="",VLOOKUP(B448,'General price list'!C:BA,MATCH("CBM",'General price list'!$C$20:$BA$20,0),FALSE)*D448,VLOOKUP(B448,'General price list'!C:BA,MATCH("CBM",'General price list'!$C$20:$BA$20,0),FALSE)*(G448*C448)),0))</f>
        <v>0</v>
      </c>
    </row>
    <row r="449" spans="2:10" ht="15" customHeight="1">
      <c r="B449" s="790" t="str">
        <f>IF(B448="PAL","",'General price list'!C469)</f>
        <v>CF10020P</v>
      </c>
      <c r="C449" s="1" t="str">
        <f>IF(B449="PAL","",IFERROR(VLOOKUP(B449,'General price list'!C:BA,MATCH("PAL",'General price list'!$C$20:$BA$20,0),FALSE),""))</f>
        <v/>
      </c>
      <c r="D449" s="1">
        <f>IF(B449="PAL","",IFERROR(VLOOKUP(B449,'General price list'!C:BA,MATCH("OBJ",'General price list'!$C$20:$BA$20,0),FALSE),""))</f>
        <v>0</v>
      </c>
      <c r="E449" s="1">
        <f t="shared" si="46"/>
        <v>0</v>
      </c>
      <c r="F449" s="1">
        <f t="shared" si="47"/>
        <v>0</v>
      </c>
      <c r="G449" s="1">
        <f t="shared" si="48"/>
        <v>0</v>
      </c>
      <c r="H449" s="1">
        <f t="shared" si="49"/>
        <v>0</v>
      </c>
      <c r="I449" s="1">
        <f t="shared" si="50"/>
        <v>0</v>
      </c>
      <c r="J449">
        <f>IF(B449="PAL","",IFERROR(IF(C449="",VLOOKUP(B449,'General price list'!C:BA,MATCH("CBM",'General price list'!$C$20:$BA$20,0),FALSE)*D449,VLOOKUP(B449,'General price list'!C:BA,MATCH("CBM",'General price list'!$C$20:$BA$20,0),FALSE)*(G449*C449)),0))</f>
        <v>0</v>
      </c>
    </row>
    <row r="450" spans="2:10" ht="15" customHeight="1">
      <c r="B450" s="790">
        <f>IF(B449="PAL","",'General price list'!C470)</f>
        <v>0</v>
      </c>
      <c r="C450" s="1" t="str">
        <f>IF(B450="PAL","",IFERROR(VLOOKUP(B450,'General price list'!C:BA,MATCH("PAL",'General price list'!$C$20:$BA$20,0),FALSE),""))</f>
        <v/>
      </c>
      <c r="D450" s="1" t="str">
        <f>IF(B450="PAL","",IFERROR(VLOOKUP(B450,'General price list'!C:BA,MATCH("OBJ",'General price list'!$C$20:$BA$20,0),FALSE),""))</f>
        <v/>
      </c>
      <c r="E450" s="1">
        <f t="shared" si="46"/>
        <v>0</v>
      </c>
      <c r="F450" s="1">
        <f t="shared" si="47"/>
        <v>0</v>
      </c>
      <c r="G450" s="1">
        <f t="shared" si="48"/>
        <v>0</v>
      </c>
      <c r="H450" s="1">
        <f t="shared" si="49"/>
        <v>0</v>
      </c>
      <c r="I450" s="1">
        <f t="shared" si="50"/>
        <v>0</v>
      </c>
      <c r="J450">
        <f>IF(B450="PAL","",IFERROR(IF(C450="",VLOOKUP(B450,'General price list'!C:BA,MATCH("CBM",'General price list'!$C$20:$BA$20,0),FALSE)*D450,VLOOKUP(B450,'General price list'!C:BA,MATCH("CBM",'General price list'!$C$20:$BA$20,0),FALSE)*(G450*C450)),0))</f>
        <v>0</v>
      </c>
    </row>
    <row r="451" spans="2:10" ht="15" customHeight="1">
      <c r="B451" s="790" t="str">
        <f>IF(B450="PAL","",'General price list'!C471)</f>
        <v>C13020BP</v>
      </c>
      <c r="C451" s="1" t="str">
        <f>IF(B451="PAL","",IFERROR(VLOOKUP(B451,'General price list'!C:BA,MATCH("PAL",'General price list'!$C$20:$BA$20,0),FALSE),""))</f>
        <v/>
      </c>
      <c r="D451" s="1">
        <f>IF(B451="PAL","",IFERROR(VLOOKUP(B451,'General price list'!C:BA,MATCH("OBJ",'General price list'!$C$20:$BA$20,0),FALSE),""))</f>
        <v>0</v>
      </c>
      <c r="E451" s="1">
        <f t="shared" si="46"/>
        <v>0</v>
      </c>
      <c r="F451" s="1">
        <f t="shared" si="47"/>
        <v>0</v>
      </c>
      <c r="G451" s="1">
        <f t="shared" si="48"/>
        <v>0</v>
      </c>
      <c r="H451" s="1">
        <f t="shared" si="49"/>
        <v>0</v>
      </c>
      <c r="I451" s="1">
        <f t="shared" si="50"/>
        <v>0</v>
      </c>
      <c r="J451">
        <f>IF(B451="PAL","",IFERROR(IF(C451="",VLOOKUP(B451,'General price list'!C:BA,MATCH("CBM",'General price list'!$C$20:$BA$20,0),FALSE)*D451,VLOOKUP(B451,'General price list'!C:BA,MATCH("CBM",'General price list'!$C$20:$BA$20,0),FALSE)*(G451*C451)),0))</f>
        <v>0</v>
      </c>
    </row>
    <row r="452" spans="2:10" ht="15" customHeight="1">
      <c r="B452" s="790" t="str">
        <f>IF(B451="PAL","",'General price list'!C472)</f>
        <v>C13020M</v>
      </c>
      <c r="C452" s="1" t="str">
        <f>IF(B452="PAL","",IFERROR(VLOOKUP(B452,'General price list'!C:BA,MATCH("PAL",'General price list'!$C$20:$BA$20,0),FALSE),""))</f>
        <v/>
      </c>
      <c r="D452" s="1">
        <f>IF(B452="PAL","",IFERROR(VLOOKUP(B452,'General price list'!C:BA,MATCH("OBJ",'General price list'!$C$20:$BA$20,0),FALSE),""))</f>
        <v>0</v>
      </c>
      <c r="E452" s="1">
        <f t="shared" si="46"/>
        <v>0</v>
      </c>
      <c r="F452" s="1">
        <f t="shared" si="47"/>
        <v>0</v>
      </c>
      <c r="G452" s="1">
        <f t="shared" si="48"/>
        <v>0</v>
      </c>
      <c r="H452" s="1">
        <f t="shared" si="49"/>
        <v>0</v>
      </c>
      <c r="I452" s="1">
        <f t="shared" si="50"/>
        <v>0</v>
      </c>
      <c r="J452">
        <f>IF(B452="PAL","",IFERROR(IF(C452="",VLOOKUP(B452,'General price list'!C:BA,MATCH("CBM",'General price list'!$C$20:$BA$20,0),FALSE)*D452,VLOOKUP(B452,'General price list'!C:BA,MATCH("CBM",'General price list'!$C$20:$BA$20,0),FALSE)*(G452*C452)),0))</f>
        <v>0</v>
      </c>
    </row>
    <row r="453" spans="2:10" ht="15" customHeight="1">
      <c r="B453" s="790" t="str">
        <f>IF(B452="PAL","",'General price list'!C473)</f>
        <v>C13020B</v>
      </c>
      <c r="C453" s="1" t="str">
        <f>IF(B453="PAL","",IFERROR(VLOOKUP(B453,'General price list'!C:BA,MATCH("PAL",'General price list'!$C$20:$BA$20,0),FALSE),""))</f>
        <v/>
      </c>
      <c r="D453" s="1">
        <f>IF(B453="PAL","",IFERROR(VLOOKUP(B453,'General price list'!C:BA,MATCH("OBJ",'General price list'!$C$20:$BA$20,0),FALSE),""))</f>
        <v>0</v>
      </c>
      <c r="E453" s="1">
        <f t="shared" si="46"/>
        <v>0</v>
      </c>
      <c r="F453" s="1">
        <f t="shared" si="47"/>
        <v>0</v>
      </c>
      <c r="G453" s="1">
        <f t="shared" si="48"/>
        <v>0</v>
      </c>
      <c r="H453" s="1">
        <f t="shared" si="49"/>
        <v>0</v>
      </c>
      <c r="I453" s="1">
        <f t="shared" si="50"/>
        <v>0</v>
      </c>
      <c r="J453">
        <f>IF(B453="PAL","",IFERROR(IF(C453="",VLOOKUP(B453,'General price list'!C:BA,MATCH("CBM",'General price list'!$C$20:$BA$20,0),FALSE)*D453,VLOOKUP(B453,'General price list'!C:BA,MATCH("CBM",'General price list'!$C$20:$BA$20,0),FALSE)*(G453*C453)),0))</f>
        <v>0</v>
      </c>
    </row>
    <row r="454" spans="2:10" ht="15" customHeight="1">
      <c r="B454" s="790">
        <f>IF(B453="PAL","",'General price list'!C474)</f>
        <v>0</v>
      </c>
      <c r="C454" s="1" t="str">
        <f>IF(B454="PAL","",IFERROR(VLOOKUP(B454,'General price list'!C:BA,MATCH("PAL",'General price list'!$C$20:$BA$20,0),FALSE),""))</f>
        <v/>
      </c>
      <c r="D454" s="1" t="str">
        <f>IF(B454="PAL","",IFERROR(VLOOKUP(B454,'General price list'!C:BA,MATCH("OBJ",'General price list'!$C$20:$BA$20,0),FALSE),""))</f>
        <v/>
      </c>
      <c r="E454" s="1">
        <f t="shared" si="46"/>
        <v>0</v>
      </c>
      <c r="F454" s="1">
        <f t="shared" si="47"/>
        <v>0</v>
      </c>
      <c r="G454" s="1">
        <f t="shared" si="48"/>
        <v>0</v>
      </c>
      <c r="H454" s="1">
        <f t="shared" si="49"/>
        <v>0</v>
      </c>
      <c r="I454" s="1">
        <f t="shared" si="50"/>
        <v>0</v>
      </c>
      <c r="J454">
        <f>IF(B454="PAL","",IFERROR(IF(C454="",VLOOKUP(B454,'General price list'!C:BA,MATCH("CBM",'General price list'!$C$20:$BA$20,0),FALSE)*D454,VLOOKUP(B454,'General price list'!C:BA,MATCH("CBM",'General price list'!$C$20:$BA$20,0),FALSE)*(G454*C454)),0))</f>
        <v>0</v>
      </c>
    </row>
    <row r="455" spans="2:10" ht="15" customHeight="1">
      <c r="B455" s="790" t="str">
        <f>IF(B454="PAL","",'General price list'!C475)</f>
        <v>C13420H</v>
      </c>
      <c r="C455" s="1" t="str">
        <f>IF(B455="PAL","",IFERROR(VLOOKUP(B455,'General price list'!C:BA,MATCH("PAL",'General price list'!$C$20:$BA$20,0),FALSE),""))</f>
        <v/>
      </c>
      <c r="D455" s="1">
        <f>IF(B455="PAL","",IFERROR(VLOOKUP(B455,'General price list'!C:BA,MATCH("OBJ",'General price list'!$C$20:$BA$20,0),FALSE),""))</f>
        <v>0</v>
      </c>
      <c r="E455" s="1">
        <f t="shared" si="46"/>
        <v>0</v>
      </c>
      <c r="F455" s="1">
        <f t="shared" si="47"/>
        <v>0</v>
      </c>
      <c r="G455" s="1">
        <f t="shared" si="48"/>
        <v>0</v>
      </c>
      <c r="H455" s="1">
        <f t="shared" si="49"/>
        <v>0</v>
      </c>
      <c r="I455" s="1">
        <f t="shared" si="50"/>
        <v>0</v>
      </c>
      <c r="J455">
        <f>IF(B455="PAL","",IFERROR(IF(C455="",VLOOKUP(B455,'General price list'!C:BA,MATCH("CBM",'General price list'!$C$20:$BA$20,0),FALSE)*D455,VLOOKUP(B455,'General price list'!C:BA,MATCH("CBM",'General price list'!$C$20:$BA$20,0),FALSE)*(G455*C455)),0))</f>
        <v>0</v>
      </c>
    </row>
    <row r="456" spans="2:10" ht="15" customHeight="1">
      <c r="B456" s="790">
        <f>IF(B455="PAL","",'General price list'!C476)</f>
        <v>0</v>
      </c>
      <c r="C456" s="1" t="str">
        <f>IF(B456="PAL","",IFERROR(VLOOKUP(B456,'General price list'!C:BA,MATCH("PAL",'General price list'!$C$20:$BA$20,0),FALSE),""))</f>
        <v/>
      </c>
      <c r="D456" s="1" t="str">
        <f>IF(B456="PAL","",IFERROR(VLOOKUP(B456,'General price list'!C:BA,MATCH("OBJ",'General price list'!$C$20:$BA$20,0),FALSE),""))</f>
        <v/>
      </c>
      <c r="E456" s="1">
        <f t="shared" si="46"/>
        <v>0</v>
      </c>
      <c r="F456" s="1">
        <f t="shared" si="47"/>
        <v>0</v>
      </c>
      <c r="G456" s="1">
        <f t="shared" si="48"/>
        <v>0</v>
      </c>
      <c r="H456" s="1">
        <f t="shared" si="49"/>
        <v>0</v>
      </c>
      <c r="I456" s="1">
        <f t="shared" si="50"/>
        <v>0</v>
      </c>
      <c r="J456">
        <f>IF(B456="PAL","",IFERROR(IF(C456="",VLOOKUP(B456,'General price list'!C:BA,MATCH("CBM",'General price list'!$C$20:$BA$20,0),FALSE)*D456,VLOOKUP(B456,'General price list'!C:BA,MATCH("CBM",'General price list'!$C$20:$BA$20,0),FALSE)*(G456*C456)),0))</f>
        <v>0</v>
      </c>
    </row>
    <row r="457" spans="2:10" ht="15" customHeight="1">
      <c r="B457" s="790" t="str">
        <f>IF(B456="PAL","",'General price list'!C477)</f>
        <v>C20020BPS</v>
      </c>
      <c r="C457" s="1" t="str">
        <f>IF(B457="PAL","",IFERROR(VLOOKUP(B457,'General price list'!C:BA,MATCH("PAL",'General price list'!$C$20:$BA$20,0),FALSE),""))</f>
        <v/>
      </c>
      <c r="D457" s="1">
        <f>IF(B457="PAL","",IFERROR(VLOOKUP(B457,'General price list'!C:BA,MATCH("OBJ",'General price list'!$C$20:$BA$20,0),FALSE),""))</f>
        <v>0</v>
      </c>
      <c r="E457" s="1">
        <f t="shared" si="46"/>
        <v>0</v>
      </c>
      <c r="F457" s="1">
        <f t="shared" si="47"/>
        <v>0</v>
      </c>
      <c r="G457" s="1">
        <f t="shared" si="48"/>
        <v>0</v>
      </c>
      <c r="H457" s="1">
        <f t="shared" si="49"/>
        <v>0</v>
      </c>
      <c r="I457" s="1">
        <f t="shared" si="50"/>
        <v>0</v>
      </c>
      <c r="J457">
        <f>IF(B457="PAL","",IFERROR(IF(C457="",VLOOKUP(B457,'General price list'!C:BA,MATCH("CBM",'General price list'!$C$20:$BA$20,0),FALSE)*D457,VLOOKUP(B457,'General price list'!C:BA,MATCH("CBM",'General price list'!$C$20:$BA$20,0),FALSE)*(G457*C457)),0))</f>
        <v>0</v>
      </c>
    </row>
    <row r="458" spans="2:10" ht="15" customHeight="1">
      <c r="B458" s="790" t="str">
        <f>IF(B457="PAL","",'General price list'!C478)</f>
        <v>C20020PR</v>
      </c>
      <c r="C458" s="1" t="str">
        <f>IF(B458="PAL","",IFERROR(VLOOKUP(B458,'General price list'!C:BA,MATCH("PAL",'General price list'!$C$20:$BA$20,0),FALSE),""))</f>
        <v/>
      </c>
      <c r="D458" s="1">
        <f>IF(B458="PAL","",IFERROR(VLOOKUP(B458,'General price list'!C:BA,MATCH("OBJ",'General price list'!$C$20:$BA$20,0),FALSE),""))</f>
        <v>0</v>
      </c>
      <c r="E458" s="1">
        <f t="shared" si="46"/>
        <v>0</v>
      </c>
      <c r="F458" s="1">
        <f t="shared" si="47"/>
        <v>0</v>
      </c>
      <c r="G458" s="1">
        <f t="shared" si="48"/>
        <v>0</v>
      </c>
      <c r="H458" s="1">
        <f t="shared" si="49"/>
        <v>0</v>
      </c>
      <c r="I458" s="1">
        <f t="shared" si="50"/>
        <v>0</v>
      </c>
      <c r="J458">
        <f>IF(B458="PAL","",IFERROR(IF(C458="",VLOOKUP(B458,'General price list'!C:BA,MATCH("CBM",'General price list'!$C$20:$BA$20,0),FALSE)*D458,VLOOKUP(B458,'General price list'!C:BA,MATCH("CBM",'General price list'!$C$20:$BA$20,0),FALSE)*(G458*C458)),0))</f>
        <v>0</v>
      </c>
    </row>
    <row r="459" spans="2:10" ht="15" customHeight="1">
      <c r="B459" s="790">
        <f>IF(B458="PAL","",'General price list'!C479)</f>
        <v>0</v>
      </c>
      <c r="C459" s="1" t="str">
        <f>IF(B459="PAL","",IFERROR(VLOOKUP(B459,'General price list'!C:BA,MATCH("PAL",'General price list'!$C$20:$BA$20,0),FALSE),""))</f>
        <v/>
      </c>
      <c r="D459" s="1" t="str">
        <f>IF(B459="PAL","",IFERROR(VLOOKUP(B459,'General price list'!C:BA,MATCH("OBJ",'General price list'!$C$20:$BA$20,0),FALSE),""))</f>
        <v/>
      </c>
      <c r="E459" s="1">
        <f t="shared" si="46"/>
        <v>0</v>
      </c>
      <c r="F459" s="1">
        <f t="shared" si="47"/>
        <v>0</v>
      </c>
      <c r="G459" s="1">
        <f t="shared" si="48"/>
        <v>0</v>
      </c>
      <c r="H459" s="1">
        <f t="shared" si="49"/>
        <v>0</v>
      </c>
      <c r="I459" s="1">
        <f t="shared" si="50"/>
        <v>0</v>
      </c>
      <c r="J459">
        <f>IF(B459="PAL","",IFERROR(IF(C459="",VLOOKUP(B459,'General price list'!C:BA,MATCH("CBM",'General price list'!$C$20:$BA$20,0),FALSE)*D459,VLOOKUP(B459,'General price list'!C:BA,MATCH("CBM",'General price list'!$C$20:$BA$20,0),FALSE)*(G459*C459)),0))</f>
        <v>0</v>
      </c>
    </row>
    <row r="460" spans="2:10" ht="15" customHeight="1">
      <c r="B460" s="790" t="str">
        <f>IF(B459="PAL","",'General price list'!C480)</f>
        <v>C20020XBP</v>
      </c>
      <c r="C460" s="1" t="str">
        <f>IF(B460="PAL","",IFERROR(VLOOKUP(B460,'General price list'!C:BA,MATCH("PAL",'General price list'!$C$20:$BA$20,0),FALSE),""))</f>
        <v/>
      </c>
      <c r="D460" s="1">
        <f>IF(B460="PAL","",IFERROR(VLOOKUP(B460,'General price list'!C:BA,MATCH("OBJ",'General price list'!$C$20:$BA$20,0),FALSE),""))</f>
        <v>0</v>
      </c>
      <c r="E460" s="1">
        <f t="shared" ref="E460:E523" si="51">IF(B460="PAL","",IFERROR(D460/C460,0))</f>
        <v>0</v>
      </c>
      <c r="F460" s="1">
        <f t="shared" ref="F460:F523" si="52">IF(B460="PAL","",IFERROR(FLOOR(IF(E460-1&lt;0,0,E460),1),0))</f>
        <v>0</v>
      </c>
      <c r="G460" s="1">
        <f t="shared" ref="G460:G523" si="53">IF(B460="PAL","",IFERROR(IF(H460&gt;E460,F460-E460,E460-F460),0))</f>
        <v>0</v>
      </c>
      <c r="H460" s="1">
        <f t="shared" ref="H460:H523" si="54">IF(B460="PAL","",IFERROR(IF(E460=0,0,F460),0))</f>
        <v>0</v>
      </c>
      <c r="I460" s="1">
        <f t="shared" ref="I460:I523" si="55">IF(B460="PAL","",IFERROR(IF(D460=0,0,IF(F460=0,(D460*nextVK)+(prvniVK-nextVK),(G460*C460*nextVK)+(F460*PALzKoje))),0))</f>
        <v>0</v>
      </c>
      <c r="J460">
        <f>IF(B460="PAL","",IFERROR(IF(C460="",VLOOKUP(B460,'General price list'!C:BA,MATCH("CBM",'General price list'!$C$20:$BA$20,0),FALSE)*D460,VLOOKUP(B460,'General price list'!C:BA,MATCH("CBM",'General price list'!$C$20:$BA$20,0),FALSE)*(G460*C460)),0))</f>
        <v>0</v>
      </c>
    </row>
    <row r="461" spans="2:10" ht="15" customHeight="1">
      <c r="B461" s="790" t="str">
        <f>IF(B460="PAL","",'General price list'!C481)</f>
        <v>C20020XPR</v>
      </c>
      <c r="C461" s="1" t="str">
        <f>IF(B461="PAL","",IFERROR(VLOOKUP(B461,'General price list'!C:BA,MATCH("PAL",'General price list'!$C$20:$BA$20,0),FALSE),""))</f>
        <v/>
      </c>
      <c r="D461" s="1">
        <f>IF(B461="PAL","",IFERROR(VLOOKUP(B461,'General price list'!C:BA,MATCH("OBJ",'General price list'!$C$20:$BA$20,0),FALSE),""))</f>
        <v>0</v>
      </c>
      <c r="E461" s="1">
        <f t="shared" si="51"/>
        <v>0</v>
      </c>
      <c r="F461" s="1">
        <f t="shared" si="52"/>
        <v>0</v>
      </c>
      <c r="G461" s="1">
        <f t="shared" si="53"/>
        <v>0</v>
      </c>
      <c r="H461" s="1">
        <f t="shared" si="54"/>
        <v>0</v>
      </c>
      <c r="I461" s="1">
        <f t="shared" si="55"/>
        <v>0</v>
      </c>
      <c r="J461">
        <f>IF(B461="PAL","",IFERROR(IF(C461="",VLOOKUP(B461,'General price list'!C:BA,MATCH("CBM",'General price list'!$C$20:$BA$20,0),FALSE)*D461,VLOOKUP(B461,'General price list'!C:BA,MATCH("CBM",'General price list'!$C$20:$BA$20,0),FALSE)*(G461*C461)),0))</f>
        <v>0</v>
      </c>
    </row>
    <row r="462" spans="2:10" ht="15" customHeight="1">
      <c r="B462" s="790">
        <f>IF(B461="PAL","",'General price list'!C482)</f>
        <v>0</v>
      </c>
      <c r="C462" s="1" t="str">
        <f>IF(B462="PAL","",IFERROR(VLOOKUP(B462,'General price list'!C:BA,MATCH("PAL",'General price list'!$C$20:$BA$20,0),FALSE),""))</f>
        <v/>
      </c>
      <c r="D462" s="1" t="str">
        <f>IF(B462="PAL","",IFERROR(VLOOKUP(B462,'General price list'!C:BA,MATCH("OBJ",'General price list'!$C$20:$BA$20,0),FALSE),""))</f>
        <v/>
      </c>
      <c r="E462" s="1">
        <f t="shared" si="51"/>
        <v>0</v>
      </c>
      <c r="F462" s="1">
        <f t="shared" si="52"/>
        <v>0</v>
      </c>
      <c r="G462" s="1">
        <f t="shared" si="53"/>
        <v>0</v>
      </c>
      <c r="H462" s="1">
        <f t="shared" si="54"/>
        <v>0</v>
      </c>
      <c r="I462" s="1">
        <f t="shared" si="55"/>
        <v>0</v>
      </c>
      <c r="J462">
        <f>IF(B462="PAL","",IFERROR(IF(C462="",VLOOKUP(B462,'General price list'!C:BA,MATCH("CBM",'General price list'!$C$20:$BA$20,0),FALSE)*D462,VLOOKUP(B462,'General price list'!C:BA,MATCH("CBM",'General price list'!$C$20:$BA$20,0),FALSE)*(G462*C462)),0))</f>
        <v>0</v>
      </c>
    </row>
    <row r="463" spans="2:10" ht="15" customHeight="1">
      <c r="B463" s="790" t="str">
        <f>IF(B462="PAL","",'General price list'!C483)</f>
        <v>C12820F/C14</v>
      </c>
      <c r="C463" s="1" t="str">
        <f>IF(B463="PAL","",IFERROR(VLOOKUP(B463,'General price list'!C:BA,MATCH("PAL",'General price list'!$C$20:$BA$20,0),FALSE),""))</f>
        <v/>
      </c>
      <c r="D463" s="1">
        <f>IF(B463="PAL","",IFERROR(VLOOKUP(B463,'General price list'!C:BA,MATCH("OBJ",'General price list'!$C$20:$BA$20,0),FALSE),""))</f>
        <v>0</v>
      </c>
      <c r="E463" s="1">
        <f t="shared" si="51"/>
        <v>0</v>
      </c>
      <c r="F463" s="1">
        <f t="shared" si="52"/>
        <v>0</v>
      </c>
      <c r="G463" s="1">
        <f t="shared" si="53"/>
        <v>0</v>
      </c>
      <c r="H463" s="1">
        <f t="shared" si="54"/>
        <v>0</v>
      </c>
      <c r="I463" s="1">
        <f t="shared" si="55"/>
        <v>0</v>
      </c>
      <c r="J463">
        <f>IF(B463="PAL","",IFERROR(IF(C463="",VLOOKUP(B463,'General price list'!C:BA,MATCH("CBM",'General price list'!$C$20:$BA$20,0),FALSE)*D463,VLOOKUP(B463,'General price list'!C:BA,MATCH("CBM",'General price list'!$C$20:$BA$20,0),FALSE)*(G463*C463)),0))</f>
        <v>0</v>
      </c>
    </row>
    <row r="464" spans="2:10" ht="15" customHeight="1">
      <c r="B464" s="790" t="str">
        <f>IF(B463="PAL","",'General price list'!C484)</f>
        <v>C13220B/C14</v>
      </c>
      <c r="C464" s="1" t="str">
        <f>IF(B464="PAL","",IFERROR(VLOOKUP(B464,'General price list'!C:BA,MATCH("PAL",'General price list'!$C$20:$BA$20,0),FALSE),""))</f>
        <v/>
      </c>
      <c r="D464" s="1">
        <f>IF(B464="PAL","",IFERROR(VLOOKUP(B464,'General price list'!C:BA,MATCH("OBJ",'General price list'!$C$20:$BA$20,0),FALSE),""))</f>
        <v>0</v>
      </c>
      <c r="E464" s="1">
        <f t="shared" si="51"/>
        <v>0</v>
      </c>
      <c r="F464" s="1">
        <f t="shared" si="52"/>
        <v>0</v>
      </c>
      <c r="G464" s="1">
        <f t="shared" si="53"/>
        <v>0</v>
      </c>
      <c r="H464" s="1">
        <f t="shared" si="54"/>
        <v>0</v>
      </c>
      <c r="I464" s="1">
        <f t="shared" si="55"/>
        <v>0</v>
      </c>
      <c r="J464">
        <f>IF(B464="PAL","",IFERROR(IF(C464="",VLOOKUP(B464,'General price list'!C:BA,MATCH("CBM",'General price list'!$C$20:$BA$20,0),FALSE)*D464,VLOOKUP(B464,'General price list'!C:BA,MATCH("CBM",'General price list'!$C$20:$BA$20,0),FALSE)*(G464*C464)),0))</f>
        <v>0</v>
      </c>
    </row>
    <row r="465" spans="2:10" ht="15" customHeight="1">
      <c r="B465" s="790" t="str">
        <f>IF(B464="PAL","",'General price list'!C485)</f>
        <v>C13220TS/C14</v>
      </c>
      <c r="C465" s="1" t="str">
        <f>IF(B465="PAL","",IFERROR(VLOOKUP(B465,'General price list'!C:BA,MATCH("PAL",'General price list'!$C$20:$BA$20,0),FALSE),""))</f>
        <v/>
      </c>
      <c r="D465" s="1">
        <f>IF(B465="PAL","",IFERROR(VLOOKUP(B465,'General price list'!C:BA,MATCH("OBJ",'General price list'!$C$20:$BA$20,0),FALSE),""))</f>
        <v>0</v>
      </c>
      <c r="E465" s="1">
        <f t="shared" si="51"/>
        <v>0</v>
      </c>
      <c r="F465" s="1">
        <f t="shared" si="52"/>
        <v>0</v>
      </c>
      <c r="G465" s="1">
        <f t="shared" si="53"/>
        <v>0</v>
      </c>
      <c r="H465" s="1">
        <f t="shared" si="54"/>
        <v>0</v>
      </c>
      <c r="I465" s="1">
        <f t="shared" si="55"/>
        <v>0</v>
      </c>
      <c r="J465">
        <f>IF(B465="PAL","",IFERROR(IF(C465="",VLOOKUP(B465,'General price list'!C:BA,MATCH("CBM",'General price list'!$C$20:$BA$20,0),FALSE)*D465,VLOOKUP(B465,'General price list'!C:BA,MATCH("CBM",'General price list'!$C$20:$BA$20,0),FALSE)*(G465*C465)),0))</f>
        <v>0</v>
      </c>
    </row>
    <row r="466" spans="2:10" ht="15" customHeight="1">
      <c r="B466" s="790" t="str">
        <f>IF(B465="PAL","",'General price list'!C486)</f>
        <v>C18820XR/C14</v>
      </c>
      <c r="C466" s="1" t="str">
        <f>IF(B466="PAL","",IFERROR(VLOOKUP(B466,'General price list'!C:BA,MATCH("PAL",'General price list'!$C$20:$BA$20,0),FALSE),""))</f>
        <v/>
      </c>
      <c r="D466" s="1">
        <f>IF(B466="PAL","",IFERROR(VLOOKUP(B466,'General price list'!C:BA,MATCH("OBJ",'General price list'!$C$20:$BA$20,0),FALSE),""))</f>
        <v>0</v>
      </c>
      <c r="E466" s="1">
        <f t="shared" si="51"/>
        <v>0</v>
      </c>
      <c r="F466" s="1">
        <f t="shared" si="52"/>
        <v>0</v>
      </c>
      <c r="G466" s="1">
        <f t="shared" si="53"/>
        <v>0</v>
      </c>
      <c r="H466" s="1">
        <f t="shared" si="54"/>
        <v>0</v>
      </c>
      <c r="I466" s="1">
        <f t="shared" si="55"/>
        <v>0</v>
      </c>
      <c r="J466">
        <f>IF(B466="PAL","",IFERROR(IF(C466="",VLOOKUP(B466,'General price list'!C:BA,MATCH("CBM",'General price list'!$C$20:$BA$20,0),FALSE)*D466,VLOOKUP(B466,'General price list'!C:BA,MATCH("CBM",'General price list'!$C$20:$BA$20,0),FALSE)*(G466*C466)),0))</f>
        <v>0</v>
      </c>
    </row>
    <row r="467" spans="2:10" ht="15" customHeight="1">
      <c r="B467" s="790" t="str">
        <f>IF(B466="PAL","",'General price list'!C487)</f>
        <v>C20020N/C14</v>
      </c>
      <c r="C467" s="1" t="str">
        <f>IF(B467="PAL","",IFERROR(VLOOKUP(B467,'General price list'!C:BA,MATCH("PAL",'General price list'!$C$20:$BA$20,0),FALSE),""))</f>
        <v/>
      </c>
      <c r="D467" s="1">
        <f>IF(B467="PAL","",IFERROR(VLOOKUP(B467,'General price list'!C:BA,MATCH("OBJ",'General price list'!$C$20:$BA$20,0),FALSE),""))</f>
        <v>0</v>
      </c>
      <c r="E467" s="1">
        <f t="shared" si="51"/>
        <v>0</v>
      </c>
      <c r="F467" s="1">
        <f t="shared" si="52"/>
        <v>0</v>
      </c>
      <c r="G467" s="1">
        <f t="shared" si="53"/>
        <v>0</v>
      </c>
      <c r="H467" s="1">
        <f t="shared" si="54"/>
        <v>0</v>
      </c>
      <c r="I467" s="1">
        <f t="shared" si="55"/>
        <v>0</v>
      </c>
      <c r="J467">
        <f>IF(B467="PAL","",IFERROR(IF(C467="",VLOOKUP(B467,'General price list'!C:BA,MATCH("CBM",'General price list'!$C$20:$BA$20,0),FALSE)*D467,VLOOKUP(B467,'General price list'!C:BA,MATCH("CBM",'General price list'!$C$20:$BA$20,0),FALSE)*(G467*C467)),0))</f>
        <v>0</v>
      </c>
    </row>
    <row r="468" spans="2:10" ht="15" customHeight="1">
      <c r="B468" s="790" t="str">
        <f>IF(B467="PAL","",'General price list'!C488)</f>
        <v>C20020XPR/C14</v>
      </c>
      <c r="C468" s="1" t="str">
        <f>IF(B468="PAL","",IFERROR(VLOOKUP(B468,'General price list'!C:BA,MATCH("PAL",'General price list'!$C$20:$BA$20,0),FALSE),""))</f>
        <v/>
      </c>
      <c r="D468" s="1">
        <f>IF(B468="PAL","",IFERROR(VLOOKUP(B468,'General price list'!C:BA,MATCH("OBJ",'General price list'!$C$20:$BA$20,0),FALSE),""))</f>
        <v>0</v>
      </c>
      <c r="E468" s="1">
        <f t="shared" si="51"/>
        <v>0</v>
      </c>
      <c r="F468" s="1">
        <f t="shared" si="52"/>
        <v>0</v>
      </c>
      <c r="G468" s="1">
        <f t="shared" si="53"/>
        <v>0</v>
      </c>
      <c r="H468" s="1">
        <f t="shared" si="54"/>
        <v>0</v>
      </c>
      <c r="I468" s="1">
        <f t="shared" si="55"/>
        <v>0</v>
      </c>
      <c r="J468">
        <f>IF(B468="PAL","",IFERROR(IF(C468="",VLOOKUP(B468,'General price list'!C:BA,MATCH("CBM",'General price list'!$C$20:$BA$20,0),FALSE)*D468,VLOOKUP(B468,'General price list'!C:BA,MATCH("CBM",'General price list'!$C$20:$BA$20,0),FALSE)*(G468*C468)),0))</f>
        <v>0</v>
      </c>
    </row>
    <row r="469" spans="2:10" ht="15" customHeight="1">
      <c r="B469" s="790" t="str">
        <f>IF(B468="PAL","",'General price list'!C489)</f>
        <v>C20020XTS/C14</v>
      </c>
      <c r="C469" s="1" t="str">
        <f>IF(B469="PAL","",IFERROR(VLOOKUP(B469,'General price list'!C:BA,MATCH("PAL",'General price list'!$C$20:$BA$20,0),FALSE),""))</f>
        <v/>
      </c>
      <c r="D469" s="1">
        <f>IF(B469="PAL","",IFERROR(VLOOKUP(B469,'General price list'!C:BA,MATCH("OBJ",'General price list'!$C$20:$BA$20,0),FALSE),""))</f>
        <v>0</v>
      </c>
      <c r="E469" s="1">
        <f t="shared" si="51"/>
        <v>0</v>
      </c>
      <c r="F469" s="1">
        <f t="shared" si="52"/>
        <v>0</v>
      </c>
      <c r="G469" s="1">
        <f t="shared" si="53"/>
        <v>0</v>
      </c>
      <c r="H469" s="1">
        <f t="shared" si="54"/>
        <v>0</v>
      </c>
      <c r="I469" s="1">
        <f t="shared" si="55"/>
        <v>0</v>
      </c>
      <c r="J469">
        <f>IF(B469="PAL","",IFERROR(IF(C469="",VLOOKUP(B469,'General price list'!C:BA,MATCH("CBM",'General price list'!$C$20:$BA$20,0),FALSE)*D469,VLOOKUP(B469,'General price list'!C:BA,MATCH("CBM",'General price list'!$C$20:$BA$20,0),FALSE)*(G469*C469)),0))</f>
        <v>0</v>
      </c>
    </row>
    <row r="470" spans="2:10" ht="15" customHeight="1">
      <c r="B470" s="790" t="str">
        <f>IF(B469="PAL","",'General price list'!C490)</f>
        <v>C19320XR/C14</v>
      </c>
      <c r="C470" s="1" t="str">
        <f>IF(B470="PAL","",IFERROR(VLOOKUP(B470,'General price list'!C:BA,MATCH("PAL",'General price list'!$C$20:$BA$20,0),FALSE),""))</f>
        <v/>
      </c>
      <c r="D470" s="1">
        <f>IF(B470="PAL","",IFERROR(VLOOKUP(B470,'General price list'!C:BA,MATCH("OBJ",'General price list'!$C$20:$BA$20,0),FALSE),""))</f>
        <v>0</v>
      </c>
      <c r="E470" s="1">
        <f t="shared" si="51"/>
        <v>0</v>
      </c>
      <c r="F470" s="1">
        <f t="shared" si="52"/>
        <v>0</v>
      </c>
      <c r="G470" s="1">
        <f t="shared" si="53"/>
        <v>0</v>
      </c>
      <c r="H470" s="1">
        <f t="shared" si="54"/>
        <v>0</v>
      </c>
      <c r="I470" s="1">
        <f t="shared" si="55"/>
        <v>0</v>
      </c>
      <c r="J470">
        <f>IF(B470="PAL","",IFERROR(IF(C470="",VLOOKUP(B470,'General price list'!C:BA,MATCH("CBM",'General price list'!$C$20:$BA$20,0),FALSE)*D470,VLOOKUP(B470,'General price list'!C:BA,MATCH("CBM",'General price list'!$C$20:$BA$20,0),FALSE)*(G470*C470)),0))</f>
        <v>0</v>
      </c>
    </row>
    <row r="471" spans="2:10" ht="15" customHeight="1">
      <c r="B471" s="790">
        <f>IF(B470="PAL","",'General price list'!C491)</f>
        <v>0</v>
      </c>
      <c r="C471" s="1" t="str">
        <f>IF(B471="PAL","",IFERROR(VLOOKUP(B471,'General price list'!C:BA,MATCH("PAL",'General price list'!$C$20:$BA$20,0),FALSE),""))</f>
        <v/>
      </c>
      <c r="D471" s="1" t="str">
        <f>IF(B471="PAL","",IFERROR(VLOOKUP(B471,'General price list'!C:BA,MATCH("OBJ",'General price list'!$C$20:$BA$20,0),FALSE),""))</f>
        <v/>
      </c>
      <c r="E471" s="1">
        <f t="shared" si="51"/>
        <v>0</v>
      </c>
      <c r="F471" s="1">
        <f t="shared" si="52"/>
        <v>0</v>
      </c>
      <c r="G471" s="1">
        <f t="shared" si="53"/>
        <v>0</v>
      </c>
      <c r="H471" s="1">
        <f t="shared" si="54"/>
        <v>0</v>
      </c>
      <c r="I471" s="1">
        <f t="shared" si="55"/>
        <v>0</v>
      </c>
      <c r="J471">
        <f>IF(B471="PAL","",IFERROR(IF(C471="",VLOOKUP(B471,'General price list'!C:BA,MATCH("CBM",'General price list'!$C$20:$BA$20,0),FALSE)*D471,VLOOKUP(B471,'General price list'!C:BA,MATCH("CBM",'General price list'!$C$20:$BA$20,0),FALSE)*(G471*C471)),0))</f>
        <v>0</v>
      </c>
    </row>
    <row r="472" spans="2:10" ht="15" customHeight="1">
      <c r="B472" s="790" t="str">
        <f>IF(B471="PAL","",'General price list'!C492)</f>
        <v>C19220F/C14</v>
      </c>
      <c r="C472" s="1" t="str">
        <f>IF(B472="PAL","",IFERROR(VLOOKUP(B472,'General price list'!C:BA,MATCH("PAL",'General price list'!$C$20:$BA$20,0),FALSE),""))</f>
        <v/>
      </c>
      <c r="D472" s="1">
        <f>IF(B472="PAL","",IFERROR(VLOOKUP(B472,'General price list'!C:BA,MATCH("OBJ",'General price list'!$C$20:$BA$20,0),FALSE),""))</f>
        <v>0</v>
      </c>
      <c r="E472" s="1">
        <f t="shared" si="51"/>
        <v>0</v>
      </c>
      <c r="F472" s="1">
        <f t="shared" si="52"/>
        <v>0</v>
      </c>
      <c r="G472" s="1">
        <f t="shared" si="53"/>
        <v>0</v>
      </c>
      <c r="H472" s="1">
        <f t="shared" si="54"/>
        <v>0</v>
      </c>
      <c r="I472" s="1">
        <f t="shared" si="55"/>
        <v>0</v>
      </c>
      <c r="J472">
        <f>IF(B472="PAL","",IFERROR(IF(C472="",VLOOKUP(B472,'General price list'!C:BA,MATCH("CBM",'General price list'!$C$20:$BA$20,0),FALSE)*D472,VLOOKUP(B472,'General price list'!C:BA,MATCH("CBM",'General price list'!$C$20:$BA$20,0),FALSE)*(G472*C472)),0))</f>
        <v>0</v>
      </c>
    </row>
    <row r="473" spans="2:10" ht="15" customHeight="1">
      <c r="B473" s="790" t="str">
        <f>IF(B472="PAL","",'General price list'!C493)</f>
        <v>C25220XFS/C14</v>
      </c>
      <c r="C473" s="1" t="str">
        <f>IF(B473="PAL","",IFERROR(VLOOKUP(B473,'General price list'!C:BA,MATCH("PAL",'General price list'!$C$20:$BA$20,0),FALSE),""))</f>
        <v/>
      </c>
      <c r="D473" s="1">
        <f>IF(B473="PAL","",IFERROR(VLOOKUP(B473,'General price list'!C:BA,MATCH("OBJ",'General price list'!$C$20:$BA$20,0),FALSE),""))</f>
        <v>0</v>
      </c>
      <c r="E473" s="1">
        <f t="shared" si="51"/>
        <v>0</v>
      </c>
      <c r="F473" s="1">
        <f t="shared" si="52"/>
        <v>0</v>
      </c>
      <c r="G473" s="1">
        <f t="shared" si="53"/>
        <v>0</v>
      </c>
      <c r="H473" s="1">
        <f t="shared" si="54"/>
        <v>0</v>
      </c>
      <c r="I473" s="1">
        <f t="shared" si="55"/>
        <v>0</v>
      </c>
      <c r="J473">
        <f>IF(B473="PAL","",IFERROR(IF(C473="",VLOOKUP(B473,'General price list'!C:BA,MATCH("CBM",'General price list'!$C$20:$BA$20,0),FALSE)*D473,VLOOKUP(B473,'General price list'!C:BA,MATCH("CBM",'General price list'!$C$20:$BA$20,0),FALSE)*(G473*C473)),0))</f>
        <v>0</v>
      </c>
    </row>
    <row r="474" spans="2:10" ht="15" customHeight="1">
      <c r="B474" s="790" t="str">
        <f>IF(B473="PAL","",'General price list'!C494)</f>
        <v>C25620F/C14</v>
      </c>
      <c r="C474" s="1" t="str">
        <f>IF(B474="PAL","",IFERROR(VLOOKUP(B474,'General price list'!C:BA,MATCH("PAL",'General price list'!$C$20:$BA$20,0),FALSE),""))</f>
        <v/>
      </c>
      <c r="D474" s="1">
        <f>IF(B474="PAL","",IFERROR(VLOOKUP(B474,'General price list'!C:BA,MATCH("OBJ",'General price list'!$C$20:$BA$20,0),FALSE),""))</f>
        <v>0</v>
      </c>
      <c r="E474" s="1">
        <f t="shared" si="51"/>
        <v>0</v>
      </c>
      <c r="F474" s="1">
        <f t="shared" si="52"/>
        <v>0</v>
      </c>
      <c r="G474" s="1">
        <f t="shared" si="53"/>
        <v>0</v>
      </c>
      <c r="H474" s="1">
        <f t="shared" si="54"/>
        <v>0</v>
      </c>
      <c r="I474" s="1">
        <f t="shared" si="55"/>
        <v>0</v>
      </c>
      <c r="J474">
        <f>IF(B474="PAL","",IFERROR(IF(C474="",VLOOKUP(B474,'General price list'!C:BA,MATCH("CBM",'General price list'!$C$20:$BA$20,0),FALSE)*D474,VLOOKUP(B474,'General price list'!C:BA,MATCH("CBM",'General price list'!$C$20:$BA$20,0),FALSE)*(G474*C474)),0))</f>
        <v>0</v>
      </c>
    </row>
    <row r="475" spans="2:10" ht="15" customHeight="1">
      <c r="B475" s="790" t="str">
        <f>IF(B474="PAL","",'General price list'!C495)</f>
        <v>C26420N/C14</v>
      </c>
      <c r="C475" s="1" t="str">
        <f>IF(B475="PAL","",IFERROR(VLOOKUP(B475,'General price list'!C:BA,MATCH("PAL",'General price list'!$C$20:$BA$20,0),FALSE),""))</f>
        <v/>
      </c>
      <c r="D475" s="1">
        <f>IF(B475="PAL","",IFERROR(VLOOKUP(B475,'General price list'!C:BA,MATCH("OBJ",'General price list'!$C$20:$BA$20,0),FALSE),""))</f>
        <v>0</v>
      </c>
      <c r="E475" s="1">
        <f t="shared" si="51"/>
        <v>0</v>
      </c>
      <c r="F475" s="1">
        <f t="shared" si="52"/>
        <v>0</v>
      </c>
      <c r="G475" s="1">
        <f t="shared" si="53"/>
        <v>0</v>
      </c>
      <c r="H475" s="1">
        <f t="shared" si="54"/>
        <v>0</v>
      </c>
      <c r="I475" s="1">
        <f t="shared" si="55"/>
        <v>0</v>
      </c>
      <c r="J475">
        <f>IF(B475="PAL","",IFERROR(IF(C475="",VLOOKUP(B475,'General price list'!C:BA,MATCH("CBM",'General price list'!$C$20:$BA$20,0),FALSE)*D475,VLOOKUP(B475,'General price list'!C:BA,MATCH("CBM",'General price list'!$C$20:$BA$20,0),FALSE)*(G475*C475)),0))</f>
        <v>0</v>
      </c>
    </row>
    <row r="476" spans="2:10" ht="15" customHeight="1">
      <c r="B476" s="790" t="str">
        <f>IF(B475="PAL","",'General price list'!C496)</f>
        <v>C30020R/C14</v>
      </c>
      <c r="C476" s="1" t="str">
        <f>IF(B476="PAL","",IFERROR(VLOOKUP(B476,'General price list'!C:BA,MATCH("PAL",'General price list'!$C$20:$BA$20,0),FALSE),""))</f>
        <v/>
      </c>
      <c r="D476" s="1">
        <f>IF(B476="PAL","",IFERROR(VLOOKUP(B476,'General price list'!C:BA,MATCH("OBJ",'General price list'!$C$20:$BA$20,0),FALSE),""))</f>
        <v>0</v>
      </c>
      <c r="E476" s="1">
        <f t="shared" si="51"/>
        <v>0</v>
      </c>
      <c r="F476" s="1">
        <f t="shared" si="52"/>
        <v>0</v>
      </c>
      <c r="G476" s="1">
        <f t="shared" si="53"/>
        <v>0</v>
      </c>
      <c r="H476" s="1">
        <f t="shared" si="54"/>
        <v>0</v>
      </c>
      <c r="I476" s="1">
        <f t="shared" si="55"/>
        <v>0</v>
      </c>
      <c r="J476">
        <f>IF(B476="PAL","",IFERROR(IF(C476="",VLOOKUP(B476,'General price list'!C:BA,MATCH("CBM",'General price list'!$C$20:$BA$20,0),FALSE)*D476,VLOOKUP(B476,'General price list'!C:BA,MATCH("CBM",'General price list'!$C$20:$BA$20,0),FALSE)*(G476*C476)),0))</f>
        <v>0</v>
      </c>
    </row>
    <row r="477" spans="2:10" ht="15" customHeight="1">
      <c r="B477" s="790" t="str">
        <f>IF(B476="PAL","",'General price list'!C497)</f>
        <v>C40020B/C14</v>
      </c>
      <c r="C477" s="1" t="str">
        <f>IF(B477="PAL","",IFERROR(VLOOKUP(B477,'General price list'!C:BA,MATCH("PAL",'General price list'!$C$20:$BA$20,0),FALSE),""))</f>
        <v/>
      </c>
      <c r="D477" s="1">
        <f>IF(B477="PAL","",IFERROR(VLOOKUP(B477,'General price list'!C:BA,MATCH("OBJ",'General price list'!$C$20:$BA$20,0),FALSE),""))</f>
        <v>0</v>
      </c>
      <c r="E477" s="1">
        <f t="shared" si="51"/>
        <v>0</v>
      </c>
      <c r="F477" s="1">
        <f t="shared" si="52"/>
        <v>0</v>
      </c>
      <c r="G477" s="1">
        <f t="shared" si="53"/>
        <v>0</v>
      </c>
      <c r="H477" s="1">
        <f t="shared" si="54"/>
        <v>0</v>
      </c>
      <c r="I477" s="1">
        <f t="shared" si="55"/>
        <v>0</v>
      </c>
      <c r="J477">
        <f>IF(B477="PAL","",IFERROR(IF(C477="",VLOOKUP(B477,'General price list'!C:BA,MATCH("CBM",'General price list'!$C$20:$BA$20,0),FALSE)*D477,VLOOKUP(B477,'General price list'!C:BA,MATCH("CBM",'General price list'!$C$20:$BA$20,0),FALSE)*(G477*C477)),0))</f>
        <v>0</v>
      </c>
    </row>
    <row r="478" spans="2:10" ht="15" customHeight="1">
      <c r="B478" s="790" t="str">
        <f>IF(B477="PAL","",'General price list'!C498)</f>
        <v>C40020XPR/C14</v>
      </c>
      <c r="C478" s="1" t="str">
        <f>IF(B478="PAL","",IFERROR(VLOOKUP(B478,'General price list'!C:BA,MATCH("PAL",'General price list'!$C$20:$BA$20,0),FALSE),""))</f>
        <v/>
      </c>
      <c r="D478" s="1">
        <f>IF(B478="PAL","",IFERROR(VLOOKUP(B478,'General price list'!C:BA,MATCH("OBJ",'General price list'!$C$20:$BA$20,0),FALSE),""))</f>
        <v>0</v>
      </c>
      <c r="E478" s="1">
        <f t="shared" si="51"/>
        <v>0</v>
      </c>
      <c r="F478" s="1">
        <f t="shared" si="52"/>
        <v>0</v>
      </c>
      <c r="G478" s="1">
        <f t="shared" si="53"/>
        <v>0</v>
      </c>
      <c r="H478" s="1">
        <f t="shared" si="54"/>
        <v>0</v>
      </c>
      <c r="I478" s="1">
        <f t="shared" si="55"/>
        <v>0</v>
      </c>
      <c r="J478">
        <f>IF(B478="PAL","",IFERROR(IF(C478="",VLOOKUP(B478,'General price list'!C:BA,MATCH("CBM",'General price list'!$C$20:$BA$20,0),FALSE)*D478,VLOOKUP(B478,'General price list'!C:BA,MATCH("CBM",'General price list'!$C$20:$BA$20,0),FALSE)*(G478*C478)),0))</f>
        <v>0</v>
      </c>
    </row>
    <row r="479" spans="2:10" ht="15" customHeight="1">
      <c r="B479" s="790" t="str">
        <f>IF(B478="PAL","",'General price list'!C499)</f>
        <v>C1-C2 C51220I/C14</v>
      </c>
      <c r="C479" s="1" t="str">
        <f>IF(B479="PAL","",IFERROR(VLOOKUP(B479,'General price list'!C:BA,MATCH("PAL",'General price list'!$C$20:$BA$20,0),FALSE),""))</f>
        <v/>
      </c>
      <c r="D479" s="1">
        <f>IF(B479="PAL","",IFERROR(VLOOKUP(B479,'General price list'!C:BA,MATCH("OBJ",'General price list'!$C$20:$BA$20,0),FALSE),""))</f>
        <v>0</v>
      </c>
      <c r="E479" s="1">
        <f t="shared" si="51"/>
        <v>0</v>
      </c>
      <c r="F479" s="1">
        <f t="shared" si="52"/>
        <v>0</v>
      </c>
      <c r="G479" s="1">
        <f t="shared" si="53"/>
        <v>0</v>
      </c>
      <c r="H479" s="1">
        <f t="shared" si="54"/>
        <v>0</v>
      </c>
      <c r="I479" s="1">
        <f t="shared" si="55"/>
        <v>0</v>
      </c>
      <c r="J479">
        <f>IF(B479="PAL","",IFERROR(IF(C479="",VLOOKUP(B479,'General price list'!C:BA,MATCH("CBM",'General price list'!$C$20:$BA$20,0),FALSE)*D479,VLOOKUP(B479,'General price list'!C:BA,MATCH("CBM",'General price list'!$C$20:$BA$20,0),FALSE)*(G479*C479)),0))</f>
        <v>0</v>
      </c>
    </row>
    <row r="480" spans="2:10" ht="15" customHeight="1">
      <c r="B480" s="790" t="str">
        <f>IF(B479="PAL","",'General price list'!C500)</f>
        <v>C1-C2 C65620XH/C14</v>
      </c>
      <c r="C480" s="1" t="str">
        <f>IF(B480="PAL","",IFERROR(VLOOKUP(B480,'General price list'!C:BA,MATCH("PAL",'General price list'!$C$20:$BA$20,0),FALSE),""))</f>
        <v/>
      </c>
      <c r="D480" s="1">
        <f>IF(B480="PAL","",IFERROR(VLOOKUP(B480,'General price list'!C:BA,MATCH("OBJ",'General price list'!$C$20:$BA$20,0),FALSE),""))</f>
        <v>0</v>
      </c>
      <c r="E480" s="1">
        <f t="shared" si="51"/>
        <v>0</v>
      </c>
      <c r="F480" s="1">
        <f t="shared" si="52"/>
        <v>0</v>
      </c>
      <c r="G480" s="1">
        <f t="shared" si="53"/>
        <v>0</v>
      </c>
      <c r="H480" s="1">
        <f t="shared" si="54"/>
        <v>0</v>
      </c>
      <c r="I480" s="1">
        <f t="shared" si="55"/>
        <v>0</v>
      </c>
      <c r="J480">
        <f>IF(B480="PAL","",IFERROR(IF(C480="",VLOOKUP(B480,'General price list'!C:BA,MATCH("CBM",'General price list'!$C$20:$BA$20,0),FALSE)*D480,VLOOKUP(B480,'General price list'!C:BA,MATCH("CBM",'General price list'!$C$20:$BA$20,0),FALSE)*(G480*C480)),0))</f>
        <v>0</v>
      </c>
    </row>
    <row r="481" spans="2:10" ht="15" customHeight="1">
      <c r="B481" s="790" t="str">
        <f>IF(B480="PAL","",'General price list'!C501)</f>
        <v>C1-C2 C80020S/C14</v>
      </c>
      <c r="C481" s="1" t="str">
        <f>IF(B481="PAL","",IFERROR(VLOOKUP(B481,'General price list'!C:BA,MATCH("PAL",'General price list'!$C$20:$BA$20,0),FALSE),""))</f>
        <v/>
      </c>
      <c r="D481" s="1">
        <f>IF(B481="PAL","",IFERROR(VLOOKUP(B481,'General price list'!C:BA,MATCH("OBJ",'General price list'!$C$20:$BA$20,0),FALSE),""))</f>
        <v>0</v>
      </c>
      <c r="E481" s="1">
        <f t="shared" si="51"/>
        <v>0</v>
      </c>
      <c r="F481" s="1">
        <f t="shared" si="52"/>
        <v>0</v>
      </c>
      <c r="G481" s="1">
        <f t="shared" si="53"/>
        <v>0</v>
      </c>
      <c r="H481" s="1">
        <f t="shared" si="54"/>
        <v>0</v>
      </c>
      <c r="I481" s="1">
        <f t="shared" si="55"/>
        <v>0</v>
      </c>
      <c r="J481">
        <f>IF(B481="PAL","",IFERROR(IF(C481="",VLOOKUP(B481,'General price list'!C:BA,MATCH("CBM",'General price list'!$C$20:$BA$20,0),FALSE)*D481,VLOOKUP(B481,'General price list'!C:BA,MATCH("CBM",'General price list'!$C$20:$BA$20,0),FALSE)*(G481*C481)),0))</f>
        <v>0</v>
      </c>
    </row>
    <row r="482" spans="2:10" ht="15" customHeight="1">
      <c r="B482" s="790">
        <f>IF(B481="PAL","",'General price list'!C502)</f>
        <v>0</v>
      </c>
      <c r="C482" s="1" t="str">
        <f>IF(B482="PAL","",IFERROR(VLOOKUP(B482,'General price list'!C:BA,MATCH("PAL",'General price list'!$C$20:$BA$20,0),FALSE),""))</f>
        <v/>
      </c>
      <c r="D482" s="1" t="str">
        <f>IF(B482="PAL","",IFERROR(VLOOKUP(B482,'General price list'!C:BA,MATCH("OBJ",'General price list'!$C$20:$BA$20,0),FALSE),""))</f>
        <v/>
      </c>
      <c r="E482" s="1">
        <f t="shared" si="51"/>
        <v>0</v>
      </c>
      <c r="F482" s="1">
        <f t="shared" si="52"/>
        <v>0</v>
      </c>
      <c r="G482" s="1">
        <f t="shared" si="53"/>
        <v>0</v>
      </c>
      <c r="H482" s="1">
        <f t="shared" si="54"/>
        <v>0</v>
      </c>
      <c r="I482" s="1">
        <f t="shared" si="55"/>
        <v>0</v>
      </c>
      <c r="J482">
        <f>IF(B482="PAL","",IFERROR(IF(C482="",VLOOKUP(B482,'General price list'!C:BA,MATCH("CBM",'General price list'!$C$20:$BA$20,0),FALSE)*D482,VLOOKUP(B482,'General price list'!C:BA,MATCH("CBM",'General price list'!$C$20:$BA$20,0),FALSE)*(G482*C482)),0))</f>
        <v>0</v>
      </c>
    </row>
    <row r="483" spans="2:10" ht="15" customHeight="1">
      <c r="B483" s="790" t="str">
        <f>IF(B482="PAL","",'General price list'!C503)</f>
        <v>C6420DU/C</v>
      </c>
      <c r="C483" s="1" t="str">
        <f>IF(B483="PAL","",IFERROR(VLOOKUP(B483,'General price list'!C:BA,MATCH("PAL",'General price list'!$C$20:$BA$20,0),FALSE),""))</f>
        <v/>
      </c>
      <c r="D483" s="1">
        <f>IF(B483="PAL","",IFERROR(VLOOKUP(B483,'General price list'!C:BA,MATCH("OBJ",'General price list'!$C$20:$BA$20,0),FALSE),""))</f>
        <v>0</v>
      </c>
      <c r="E483" s="1">
        <f t="shared" si="51"/>
        <v>0</v>
      </c>
      <c r="F483" s="1">
        <f t="shared" si="52"/>
        <v>0</v>
      </c>
      <c r="G483" s="1">
        <f t="shared" si="53"/>
        <v>0</v>
      </c>
      <c r="H483" s="1">
        <f t="shared" si="54"/>
        <v>0</v>
      </c>
      <c r="I483" s="1">
        <f t="shared" si="55"/>
        <v>0</v>
      </c>
      <c r="J483">
        <f>IF(B483="PAL","",IFERROR(IF(C483="",VLOOKUP(B483,'General price list'!C:BA,MATCH("CBM",'General price list'!$C$20:$BA$20,0),FALSE)*D483,VLOOKUP(B483,'General price list'!C:BA,MATCH("CBM",'General price list'!$C$20:$BA$20,0),FALSE)*(G483*C483)),0))</f>
        <v>0</v>
      </c>
    </row>
    <row r="484" spans="2:10" ht="15" customHeight="1">
      <c r="B484" s="790" t="str">
        <f>IF(B483="PAL","",'General price list'!C504)</f>
        <v>C12820F/C</v>
      </c>
      <c r="C484" s="1" t="str">
        <f>IF(B484="PAL","",IFERROR(VLOOKUP(B484,'General price list'!C:BA,MATCH("PAL",'General price list'!$C$20:$BA$20,0),FALSE),""))</f>
        <v/>
      </c>
      <c r="D484" s="1">
        <f>IF(B484="PAL","",IFERROR(VLOOKUP(B484,'General price list'!C:BA,MATCH("OBJ",'General price list'!$C$20:$BA$20,0),FALSE),""))</f>
        <v>0</v>
      </c>
      <c r="E484" s="1">
        <f t="shared" si="51"/>
        <v>0</v>
      </c>
      <c r="F484" s="1">
        <f t="shared" si="52"/>
        <v>0</v>
      </c>
      <c r="G484" s="1">
        <f t="shared" si="53"/>
        <v>0</v>
      </c>
      <c r="H484" s="1">
        <f t="shared" si="54"/>
        <v>0</v>
      </c>
      <c r="I484" s="1">
        <f t="shared" si="55"/>
        <v>0</v>
      </c>
      <c r="J484">
        <f>IF(B484="PAL","",IFERROR(IF(C484="",VLOOKUP(B484,'General price list'!C:BA,MATCH("CBM",'General price list'!$C$20:$BA$20,0),FALSE)*D484,VLOOKUP(B484,'General price list'!C:BA,MATCH("CBM",'General price list'!$C$20:$BA$20,0),FALSE)*(G484*C484)),0))</f>
        <v>0</v>
      </c>
    </row>
    <row r="485" spans="2:10" ht="15" customHeight="1">
      <c r="B485" s="790" t="str">
        <f>IF(B484="PAL","",'General price list'!C505)</f>
        <v>C13220B/C</v>
      </c>
      <c r="C485" s="1" t="str">
        <f>IF(B485="PAL","",IFERROR(VLOOKUP(B485,'General price list'!C:BA,MATCH("PAL",'General price list'!$C$20:$BA$20,0),FALSE),""))</f>
        <v/>
      </c>
      <c r="D485" s="1">
        <f>IF(B485="PAL","",IFERROR(VLOOKUP(B485,'General price list'!C:BA,MATCH("OBJ",'General price list'!$C$20:$BA$20,0),FALSE),""))</f>
        <v>0</v>
      </c>
      <c r="E485" s="1">
        <f t="shared" si="51"/>
        <v>0</v>
      </c>
      <c r="F485" s="1">
        <f t="shared" si="52"/>
        <v>0</v>
      </c>
      <c r="G485" s="1">
        <f t="shared" si="53"/>
        <v>0</v>
      </c>
      <c r="H485" s="1">
        <f t="shared" si="54"/>
        <v>0</v>
      </c>
      <c r="I485" s="1">
        <f t="shared" si="55"/>
        <v>0</v>
      </c>
      <c r="J485">
        <f>IF(B485="PAL","",IFERROR(IF(C485="",VLOOKUP(B485,'General price list'!C:BA,MATCH("CBM",'General price list'!$C$20:$BA$20,0),FALSE)*D485,VLOOKUP(B485,'General price list'!C:BA,MATCH("CBM",'General price list'!$C$20:$BA$20,0),FALSE)*(G485*C485)),0))</f>
        <v>0</v>
      </c>
    </row>
    <row r="486" spans="2:10" ht="15" customHeight="1">
      <c r="B486" s="790" t="str">
        <f>IF(B485="PAL","",'General price list'!C506)</f>
        <v>C19220F/C</v>
      </c>
      <c r="C486" s="1" t="str">
        <f>IF(B486="PAL","",IFERROR(VLOOKUP(B486,'General price list'!C:BA,MATCH("PAL",'General price list'!$C$20:$BA$20,0),FALSE),""))</f>
        <v/>
      </c>
      <c r="D486" s="1">
        <f>IF(B486="PAL","",IFERROR(VLOOKUP(B486,'General price list'!C:BA,MATCH("OBJ",'General price list'!$C$20:$BA$20,0),FALSE),""))</f>
        <v>0</v>
      </c>
      <c r="E486" s="1">
        <f t="shared" si="51"/>
        <v>0</v>
      </c>
      <c r="F486" s="1">
        <f t="shared" si="52"/>
        <v>0</v>
      </c>
      <c r="G486" s="1">
        <f t="shared" si="53"/>
        <v>0</v>
      </c>
      <c r="H486" s="1">
        <f t="shared" si="54"/>
        <v>0</v>
      </c>
      <c r="I486" s="1">
        <f t="shared" si="55"/>
        <v>0</v>
      </c>
      <c r="J486">
        <f>IF(B486="PAL","",IFERROR(IF(C486="",VLOOKUP(B486,'General price list'!C:BA,MATCH("CBM",'General price list'!$C$20:$BA$20,0),FALSE)*D486,VLOOKUP(B486,'General price list'!C:BA,MATCH("CBM",'General price list'!$C$20:$BA$20,0),FALSE)*(G486*C486)),0))</f>
        <v>0</v>
      </c>
    </row>
    <row r="487" spans="2:10" ht="15" customHeight="1">
      <c r="B487" s="790" t="str">
        <f>IF(B486="PAL","",'General price list'!C507)</f>
        <v>C25220XFS/C</v>
      </c>
      <c r="C487" s="1" t="str">
        <f>IF(B487="PAL","",IFERROR(VLOOKUP(B487,'General price list'!C:BA,MATCH("PAL",'General price list'!$C$20:$BA$20,0),FALSE),""))</f>
        <v/>
      </c>
      <c r="D487" s="1">
        <f>IF(B487="PAL","",IFERROR(VLOOKUP(B487,'General price list'!C:BA,MATCH("OBJ",'General price list'!$C$20:$BA$20,0),FALSE),""))</f>
        <v>0</v>
      </c>
      <c r="E487" s="1">
        <f t="shared" si="51"/>
        <v>0</v>
      </c>
      <c r="F487" s="1">
        <f t="shared" si="52"/>
        <v>0</v>
      </c>
      <c r="G487" s="1">
        <f t="shared" si="53"/>
        <v>0</v>
      </c>
      <c r="H487" s="1">
        <f t="shared" si="54"/>
        <v>0</v>
      </c>
      <c r="I487" s="1">
        <f t="shared" si="55"/>
        <v>0</v>
      </c>
      <c r="J487">
        <f>IF(B487="PAL","",IFERROR(IF(C487="",VLOOKUP(B487,'General price list'!C:BA,MATCH("CBM",'General price list'!$C$20:$BA$20,0),FALSE)*D487,VLOOKUP(B487,'General price list'!C:BA,MATCH("CBM",'General price list'!$C$20:$BA$20,0),FALSE)*(G487*C487)),0))</f>
        <v>0</v>
      </c>
    </row>
    <row r="488" spans="2:10" ht="15" customHeight="1">
      <c r="B488" s="790" t="str">
        <f>IF(B487="PAL","",'General price list'!C508)</f>
        <v>C25620NID/C</v>
      </c>
      <c r="C488" s="1" t="str">
        <f>IF(B488="PAL","",IFERROR(VLOOKUP(B488,'General price list'!C:BA,MATCH("PAL",'General price list'!$C$20:$BA$20,0),FALSE),""))</f>
        <v/>
      </c>
      <c r="D488" s="1">
        <f>IF(B488="PAL","",IFERROR(VLOOKUP(B488,'General price list'!C:BA,MATCH("OBJ",'General price list'!$C$20:$BA$20,0),FALSE),""))</f>
        <v>0</v>
      </c>
      <c r="E488" s="1">
        <f t="shared" si="51"/>
        <v>0</v>
      </c>
      <c r="F488" s="1">
        <f t="shared" si="52"/>
        <v>0</v>
      </c>
      <c r="G488" s="1">
        <f t="shared" si="53"/>
        <v>0</v>
      </c>
      <c r="H488" s="1">
        <f t="shared" si="54"/>
        <v>0</v>
      </c>
      <c r="I488" s="1">
        <f t="shared" si="55"/>
        <v>0</v>
      </c>
      <c r="J488">
        <f>IF(B488="PAL","",IFERROR(IF(C488="",VLOOKUP(B488,'General price list'!C:BA,MATCH("CBM",'General price list'!$C$20:$BA$20,0),FALSE)*D488,VLOOKUP(B488,'General price list'!C:BA,MATCH("CBM",'General price list'!$C$20:$BA$20,0),FALSE)*(G488*C488)),0))</f>
        <v>0</v>
      </c>
    </row>
    <row r="489" spans="2:10" ht="15" customHeight="1">
      <c r="B489" s="790" t="str">
        <f>IF(B488="PAL","",'General price list'!C509)</f>
        <v>C25620F/C</v>
      </c>
      <c r="C489" s="1" t="str">
        <f>IF(B489="PAL","",IFERROR(VLOOKUP(B489,'General price list'!C:BA,MATCH("PAL",'General price list'!$C$20:$BA$20,0),FALSE),""))</f>
        <v/>
      </c>
      <c r="D489" s="1">
        <f>IF(B489="PAL","",IFERROR(VLOOKUP(B489,'General price list'!C:BA,MATCH("OBJ",'General price list'!$C$20:$BA$20,0),FALSE),""))</f>
        <v>0</v>
      </c>
      <c r="E489" s="1">
        <f t="shared" si="51"/>
        <v>0</v>
      </c>
      <c r="F489" s="1">
        <f t="shared" si="52"/>
        <v>0</v>
      </c>
      <c r="G489" s="1">
        <f t="shared" si="53"/>
        <v>0</v>
      </c>
      <c r="H489" s="1">
        <f t="shared" si="54"/>
        <v>0</v>
      </c>
      <c r="I489" s="1">
        <f t="shared" si="55"/>
        <v>0</v>
      </c>
      <c r="J489">
        <f>IF(B489="PAL","",IFERROR(IF(C489="",VLOOKUP(B489,'General price list'!C:BA,MATCH("CBM",'General price list'!$C$20:$BA$20,0),FALSE)*D489,VLOOKUP(B489,'General price list'!C:BA,MATCH("CBM",'General price list'!$C$20:$BA$20,0),FALSE)*(G489*C489)),0))</f>
        <v>0</v>
      </c>
    </row>
    <row r="490" spans="2:10" ht="15" customHeight="1">
      <c r="B490" s="790" t="str">
        <f>IF(B489="PAL","",'General price list'!C510)</f>
        <v>C26420N/C</v>
      </c>
      <c r="C490" s="1" t="str">
        <f>IF(B490="PAL","",IFERROR(VLOOKUP(B490,'General price list'!C:BA,MATCH("PAL",'General price list'!$C$20:$BA$20,0),FALSE),""))</f>
        <v/>
      </c>
      <c r="D490" s="1">
        <f>IF(B490="PAL","",IFERROR(VLOOKUP(B490,'General price list'!C:BA,MATCH("OBJ",'General price list'!$C$20:$BA$20,0),FALSE),""))</f>
        <v>0</v>
      </c>
      <c r="E490" s="1">
        <f t="shared" si="51"/>
        <v>0</v>
      </c>
      <c r="F490" s="1">
        <f t="shared" si="52"/>
        <v>0</v>
      </c>
      <c r="G490" s="1">
        <f t="shared" si="53"/>
        <v>0</v>
      </c>
      <c r="H490" s="1">
        <f t="shared" si="54"/>
        <v>0</v>
      </c>
      <c r="I490" s="1">
        <f t="shared" si="55"/>
        <v>0</v>
      </c>
      <c r="J490">
        <f>IF(B490="PAL","",IFERROR(IF(C490="",VLOOKUP(B490,'General price list'!C:BA,MATCH("CBM",'General price list'!$C$20:$BA$20,0),FALSE)*D490,VLOOKUP(B490,'General price list'!C:BA,MATCH("CBM",'General price list'!$C$20:$BA$20,0),FALSE)*(G490*C490)),0))</f>
        <v>0</v>
      </c>
    </row>
    <row r="491" spans="2:10" ht="15" customHeight="1">
      <c r="B491" s="790" t="str">
        <f>IF(B490="PAL","",'General price list'!C511)</f>
        <v>C32820XM/C</v>
      </c>
      <c r="C491" s="1" t="str">
        <f>IF(B491="PAL","",IFERROR(VLOOKUP(B491,'General price list'!C:BA,MATCH("PAL",'General price list'!$C$20:$BA$20,0),FALSE),""))</f>
        <v/>
      </c>
      <c r="D491" s="1">
        <f>IF(B491="PAL","",IFERROR(VLOOKUP(B491,'General price list'!C:BA,MATCH("OBJ",'General price list'!$C$20:$BA$20,0),FALSE),""))</f>
        <v>0</v>
      </c>
      <c r="E491" s="1">
        <f t="shared" si="51"/>
        <v>0</v>
      </c>
      <c r="F491" s="1">
        <f t="shared" si="52"/>
        <v>0</v>
      </c>
      <c r="G491" s="1">
        <f t="shared" si="53"/>
        <v>0</v>
      </c>
      <c r="H491" s="1">
        <f t="shared" si="54"/>
        <v>0</v>
      </c>
      <c r="I491" s="1">
        <f t="shared" si="55"/>
        <v>0</v>
      </c>
      <c r="J491">
        <f>IF(B491="PAL","",IFERROR(IF(C491="",VLOOKUP(B491,'General price list'!C:BA,MATCH("CBM",'General price list'!$C$20:$BA$20,0),FALSE)*D491,VLOOKUP(B491,'General price list'!C:BA,MATCH("CBM",'General price list'!$C$20:$BA$20,0),FALSE)*(G491*C491)),0))</f>
        <v>0</v>
      </c>
    </row>
    <row r="492" spans="2:10" ht="15" customHeight="1">
      <c r="B492" s="790">
        <f>IF(B491="PAL","",'General price list'!C512)</f>
        <v>0</v>
      </c>
      <c r="C492" s="1" t="str">
        <f>IF(B492="PAL","",IFERROR(VLOOKUP(B492,'General price list'!C:BA,MATCH("PAL",'General price list'!$C$20:$BA$20,0),FALSE),""))</f>
        <v/>
      </c>
      <c r="D492" s="1" t="str">
        <f>IF(B492="PAL","",IFERROR(VLOOKUP(B492,'General price list'!C:BA,MATCH("OBJ",'General price list'!$C$20:$BA$20,0),FALSE),""))</f>
        <v/>
      </c>
      <c r="E492" s="1">
        <f t="shared" si="51"/>
        <v>0</v>
      </c>
      <c r="F492" s="1">
        <f t="shared" si="52"/>
        <v>0</v>
      </c>
      <c r="G492" s="1">
        <f t="shared" si="53"/>
        <v>0</v>
      </c>
      <c r="H492" s="1">
        <f t="shared" si="54"/>
        <v>0</v>
      </c>
      <c r="I492" s="1">
        <f t="shared" si="55"/>
        <v>0</v>
      </c>
      <c r="J492">
        <f>IF(B492="PAL","",IFERROR(IF(C492="",VLOOKUP(B492,'General price list'!C:BA,MATCH("CBM",'General price list'!$C$20:$BA$20,0),FALSE)*D492,VLOOKUP(B492,'General price list'!C:BA,MATCH("CBM",'General price list'!$C$20:$BA$20,0),FALSE)*(G492*C492)),0))</f>
        <v>0</v>
      </c>
    </row>
    <row r="493" spans="2:10" ht="15" customHeight="1">
      <c r="B493" s="790" t="str">
        <f>IF(B492="PAL","",'General price list'!C513)</f>
        <v>C18020SIG/C</v>
      </c>
      <c r="C493" s="1" t="str">
        <f>IF(B493="PAL","",IFERROR(VLOOKUP(B493,'General price list'!C:BA,MATCH("PAL",'General price list'!$C$20:$BA$20,0),FALSE),""))</f>
        <v/>
      </c>
      <c r="D493" s="1">
        <f>IF(B493="PAL","",IFERROR(VLOOKUP(B493,'General price list'!C:BA,MATCH("OBJ",'General price list'!$C$20:$BA$20,0),FALSE),""))</f>
        <v>0</v>
      </c>
      <c r="E493" s="1">
        <f t="shared" si="51"/>
        <v>0</v>
      </c>
      <c r="F493" s="1">
        <f t="shared" si="52"/>
        <v>0</v>
      </c>
      <c r="G493" s="1">
        <f t="shared" si="53"/>
        <v>0</v>
      </c>
      <c r="H493" s="1">
        <f t="shared" si="54"/>
        <v>0</v>
      </c>
      <c r="I493" s="1">
        <f t="shared" si="55"/>
        <v>0</v>
      </c>
      <c r="J493">
        <f>IF(B493="PAL","",IFERROR(IF(C493="",VLOOKUP(B493,'General price list'!C:BA,MATCH("CBM",'General price list'!$C$20:$BA$20,0),FALSE)*D493,VLOOKUP(B493,'General price list'!C:BA,MATCH("CBM",'General price list'!$C$20:$BA$20,0),FALSE)*(G493*C493)),0))</f>
        <v>0</v>
      </c>
    </row>
    <row r="494" spans="2:10" ht="15" customHeight="1">
      <c r="B494" s="790" t="str">
        <f>IF(B493="PAL","",'General price list'!C514)</f>
        <v>C26020F/C</v>
      </c>
      <c r="C494" s="1" t="str">
        <f>IF(B494="PAL","",IFERROR(VLOOKUP(B494,'General price list'!C:BA,MATCH("PAL",'General price list'!$C$20:$BA$20,0),FALSE),""))</f>
        <v/>
      </c>
      <c r="D494" s="1">
        <f>IF(B494="PAL","",IFERROR(VLOOKUP(B494,'General price list'!C:BA,MATCH("OBJ",'General price list'!$C$20:$BA$20,0),FALSE),""))</f>
        <v>0</v>
      </c>
      <c r="E494" s="1">
        <f t="shared" si="51"/>
        <v>0</v>
      </c>
      <c r="F494" s="1">
        <f t="shared" si="52"/>
        <v>0</v>
      </c>
      <c r="G494" s="1">
        <f t="shared" si="53"/>
        <v>0</v>
      </c>
      <c r="H494" s="1">
        <f t="shared" si="54"/>
        <v>0</v>
      </c>
      <c r="I494" s="1">
        <f t="shared" si="55"/>
        <v>0</v>
      </c>
      <c r="J494">
        <f>IF(B494="PAL","",IFERROR(IF(C494="",VLOOKUP(B494,'General price list'!C:BA,MATCH("CBM",'General price list'!$C$20:$BA$20,0),FALSE)*D494,VLOOKUP(B494,'General price list'!C:BA,MATCH("CBM",'General price list'!$C$20:$BA$20,0),FALSE)*(G494*C494)),0))</f>
        <v>0</v>
      </c>
    </row>
    <row r="495" spans="2:10" ht="15" customHeight="1">
      <c r="B495" s="790" t="str">
        <f>IF(B494="PAL","",'General price list'!C515)</f>
        <v>C26820F/C</v>
      </c>
      <c r="C495" s="1" t="str">
        <f>IF(B495="PAL","",IFERROR(VLOOKUP(B495,'General price list'!C:BA,MATCH("PAL",'General price list'!$C$20:$BA$20,0),FALSE),""))</f>
        <v/>
      </c>
      <c r="D495" s="1">
        <f>IF(B495="PAL","",IFERROR(VLOOKUP(B495,'General price list'!C:BA,MATCH("OBJ",'General price list'!$C$20:$BA$20,0),FALSE),""))</f>
        <v>0</v>
      </c>
      <c r="E495" s="1">
        <f t="shared" si="51"/>
        <v>0</v>
      </c>
      <c r="F495" s="1">
        <f t="shared" si="52"/>
        <v>0</v>
      </c>
      <c r="G495" s="1">
        <f t="shared" si="53"/>
        <v>0</v>
      </c>
      <c r="H495" s="1">
        <f t="shared" si="54"/>
        <v>0</v>
      </c>
      <c r="I495" s="1">
        <f t="shared" si="55"/>
        <v>0</v>
      </c>
      <c r="J495">
        <f>IF(B495="PAL","",IFERROR(IF(C495="",VLOOKUP(B495,'General price list'!C:BA,MATCH("CBM",'General price list'!$C$20:$BA$20,0),FALSE)*D495,VLOOKUP(B495,'General price list'!C:BA,MATCH("CBM",'General price list'!$C$20:$BA$20,0),FALSE)*(G495*C495)),0))</f>
        <v>0</v>
      </c>
    </row>
    <row r="496" spans="2:10" ht="15" customHeight="1">
      <c r="B496" s="790" t="str">
        <f>IF(B495="PAL","",'General price list'!C516)</f>
        <v>C39020F/C</v>
      </c>
      <c r="C496" s="1" t="str">
        <f>IF(B496="PAL","",IFERROR(VLOOKUP(B496,'General price list'!C:BA,MATCH("PAL",'General price list'!$C$20:$BA$20,0),FALSE),""))</f>
        <v/>
      </c>
      <c r="D496" s="1">
        <f>IF(B496="PAL","",IFERROR(VLOOKUP(B496,'General price list'!C:BA,MATCH("OBJ",'General price list'!$C$20:$BA$20,0),FALSE),""))</f>
        <v>0</v>
      </c>
      <c r="E496" s="1">
        <f t="shared" si="51"/>
        <v>0</v>
      </c>
      <c r="F496" s="1">
        <f t="shared" si="52"/>
        <v>0</v>
      </c>
      <c r="G496" s="1">
        <f t="shared" si="53"/>
        <v>0</v>
      </c>
      <c r="H496" s="1">
        <f t="shared" si="54"/>
        <v>0</v>
      </c>
      <c r="I496" s="1">
        <f t="shared" si="55"/>
        <v>0</v>
      </c>
      <c r="J496">
        <f>IF(B496="PAL","",IFERROR(IF(C496="",VLOOKUP(B496,'General price list'!C:BA,MATCH("CBM",'General price list'!$C$20:$BA$20,0),FALSE)*D496,VLOOKUP(B496,'General price list'!C:BA,MATCH("CBM",'General price list'!$C$20:$BA$20,0),FALSE)*(G496*C496)),0))</f>
        <v>0</v>
      </c>
    </row>
    <row r="497" spans="2:10" ht="15" customHeight="1">
      <c r="B497" s="790" t="str">
        <f>IF(B496="PAL","",'General price list'!C517)</f>
        <v>C52020F/C</v>
      </c>
      <c r="C497" s="1" t="str">
        <f>IF(B497="PAL","",IFERROR(VLOOKUP(B497,'General price list'!C:BA,MATCH("PAL",'General price list'!$C$20:$BA$20,0),FALSE),""))</f>
        <v/>
      </c>
      <c r="D497" s="1">
        <f>IF(B497="PAL","",IFERROR(VLOOKUP(B497,'General price list'!C:BA,MATCH("OBJ",'General price list'!$C$20:$BA$20,0),FALSE),""))</f>
        <v>0</v>
      </c>
      <c r="E497" s="1">
        <f t="shared" si="51"/>
        <v>0</v>
      </c>
      <c r="F497" s="1">
        <f t="shared" si="52"/>
        <v>0</v>
      </c>
      <c r="G497" s="1">
        <f t="shared" si="53"/>
        <v>0</v>
      </c>
      <c r="H497" s="1">
        <f t="shared" si="54"/>
        <v>0</v>
      </c>
      <c r="I497" s="1">
        <f t="shared" si="55"/>
        <v>0</v>
      </c>
      <c r="J497">
        <f>IF(B497="PAL","",IFERROR(IF(C497="",VLOOKUP(B497,'General price list'!C:BA,MATCH("CBM",'General price list'!$C$20:$BA$20,0),FALSE)*D497,VLOOKUP(B497,'General price list'!C:BA,MATCH("CBM",'General price list'!$C$20:$BA$20,0),FALSE)*(G497*C497)),0))</f>
        <v>0</v>
      </c>
    </row>
    <row r="498" spans="2:10" ht="15" customHeight="1">
      <c r="B498" s="790" t="str">
        <f>IF(B497="PAL","",'General price list'!C518)</f>
        <v>C53620F/C</v>
      </c>
      <c r="C498" s="1" t="str">
        <f>IF(B498="PAL","",IFERROR(VLOOKUP(B498,'General price list'!C:BA,MATCH("PAL",'General price list'!$C$20:$BA$20,0),FALSE),""))</f>
        <v/>
      </c>
      <c r="D498" s="1">
        <f>IF(B498="PAL","",IFERROR(VLOOKUP(B498,'General price list'!C:BA,MATCH("OBJ",'General price list'!$C$20:$BA$20,0),FALSE),""))</f>
        <v>0</v>
      </c>
      <c r="E498" s="1">
        <f t="shared" si="51"/>
        <v>0</v>
      </c>
      <c r="F498" s="1">
        <f t="shared" si="52"/>
        <v>0</v>
      </c>
      <c r="G498" s="1">
        <f t="shared" si="53"/>
        <v>0</v>
      </c>
      <c r="H498" s="1">
        <f t="shared" si="54"/>
        <v>0</v>
      </c>
      <c r="I498" s="1">
        <f t="shared" si="55"/>
        <v>0</v>
      </c>
      <c r="J498">
        <f>IF(B498="PAL","",IFERROR(IF(C498="",VLOOKUP(B498,'General price list'!C:BA,MATCH("CBM",'General price list'!$C$20:$BA$20,0),FALSE)*D498,VLOOKUP(B498,'General price list'!C:BA,MATCH("CBM",'General price list'!$C$20:$BA$20,0),FALSE)*(G498*C498)),0))</f>
        <v>0</v>
      </c>
    </row>
    <row r="499" spans="2:10" ht="15" customHeight="1">
      <c r="B499" s="790" t="str">
        <f>IF(B498="PAL","",'General price list'!C519)</f>
        <v>C60020XPR/C</v>
      </c>
      <c r="C499" s="1" t="str">
        <f>IF(B499="PAL","",IFERROR(VLOOKUP(B499,'General price list'!C:BA,MATCH("PAL",'General price list'!$C$20:$BA$20,0),FALSE),""))</f>
        <v/>
      </c>
      <c r="D499" s="1">
        <f>IF(B499="PAL","",IFERROR(VLOOKUP(B499,'General price list'!C:BA,MATCH("OBJ",'General price list'!$C$20:$BA$20,0),FALSE),""))</f>
        <v>0</v>
      </c>
      <c r="E499" s="1">
        <f t="shared" si="51"/>
        <v>0</v>
      </c>
      <c r="F499" s="1">
        <f t="shared" si="52"/>
        <v>0</v>
      </c>
      <c r="G499" s="1">
        <f t="shared" si="53"/>
        <v>0</v>
      </c>
      <c r="H499" s="1">
        <f t="shared" si="54"/>
        <v>0</v>
      </c>
      <c r="I499" s="1">
        <f t="shared" si="55"/>
        <v>0</v>
      </c>
      <c r="J499">
        <f>IF(B499="PAL","",IFERROR(IF(C499="",VLOOKUP(B499,'General price list'!C:BA,MATCH("CBM",'General price list'!$C$20:$BA$20,0),FALSE)*D499,VLOOKUP(B499,'General price list'!C:BA,MATCH("CBM",'General price list'!$C$20:$BA$20,0),FALSE)*(G499*C499)),0))</f>
        <v>0</v>
      </c>
    </row>
    <row r="500" spans="2:10" ht="15" customHeight="1">
      <c r="B500" s="790">
        <f>IF(B499="PAL","",'General price list'!C520)</f>
        <v>0</v>
      </c>
      <c r="C500" s="1" t="str">
        <f>IF(B500="PAL","",IFERROR(VLOOKUP(B500,'General price list'!C:BA,MATCH("PAL",'General price list'!$C$20:$BA$20,0),FALSE),""))</f>
        <v/>
      </c>
      <c r="D500" s="1" t="str">
        <f>IF(B500="PAL","",IFERROR(VLOOKUP(B500,'General price list'!C:BA,MATCH("OBJ",'General price list'!$C$20:$BA$20,0),FALSE),""))</f>
        <v/>
      </c>
      <c r="E500" s="1">
        <f t="shared" si="51"/>
        <v>0</v>
      </c>
      <c r="F500" s="1">
        <f t="shared" si="52"/>
        <v>0</v>
      </c>
      <c r="G500" s="1">
        <f t="shared" si="53"/>
        <v>0</v>
      </c>
      <c r="H500" s="1">
        <f t="shared" si="54"/>
        <v>0</v>
      </c>
      <c r="I500" s="1">
        <f t="shared" si="55"/>
        <v>0</v>
      </c>
      <c r="J500">
        <f>IF(B500="PAL","",IFERROR(IF(C500="",VLOOKUP(B500,'General price list'!C:BA,MATCH("CBM",'General price list'!$C$20:$BA$20,0),FALSE)*D500,VLOOKUP(B500,'General price list'!C:BA,MATCH("CBM",'General price list'!$C$20:$BA$20,0),FALSE)*(G500*C500)),0))</f>
        <v>0</v>
      </c>
    </row>
    <row r="501" spans="2:10" ht="15" customHeight="1">
      <c r="B501" s="790" t="str">
        <f>IF(B500="PAL","",'General price list'!C521)</f>
        <v>C1625B</v>
      </c>
      <c r="C501" s="1" t="str">
        <f>IF(B501="PAL","",IFERROR(VLOOKUP(B501,'General price list'!C:BA,MATCH("PAL",'General price list'!$C$20:$BA$20,0),FALSE),""))</f>
        <v/>
      </c>
      <c r="D501" s="1">
        <f>IF(B501="PAL","",IFERROR(VLOOKUP(B501,'General price list'!C:BA,MATCH("OBJ",'General price list'!$C$20:$BA$20,0),FALSE),""))</f>
        <v>0</v>
      </c>
      <c r="E501" s="1">
        <f t="shared" si="51"/>
        <v>0</v>
      </c>
      <c r="F501" s="1">
        <f t="shared" si="52"/>
        <v>0</v>
      </c>
      <c r="G501" s="1">
        <f t="shared" si="53"/>
        <v>0</v>
      </c>
      <c r="H501" s="1">
        <f t="shared" si="54"/>
        <v>0</v>
      </c>
      <c r="I501" s="1">
        <f t="shared" si="55"/>
        <v>0</v>
      </c>
      <c r="J501">
        <f>IF(B501="PAL","",IFERROR(IF(C501="",VLOOKUP(B501,'General price list'!C:BA,MATCH("CBM",'General price list'!$C$20:$BA$20,0),FALSE)*D501,VLOOKUP(B501,'General price list'!C:BA,MATCH("CBM",'General price list'!$C$20:$BA$20,0),FALSE)*(G501*C501)),0))</f>
        <v>0</v>
      </c>
    </row>
    <row r="502" spans="2:10" ht="15" customHeight="1">
      <c r="B502" s="790" t="str">
        <f>IF(B501="PAL","",'General price list'!C522)</f>
        <v>C1625D</v>
      </c>
      <c r="C502" s="1" t="str">
        <f>IF(B502="PAL","",IFERROR(VLOOKUP(B502,'General price list'!C:BA,MATCH("PAL",'General price list'!$C$20:$BA$20,0),FALSE),""))</f>
        <v/>
      </c>
      <c r="D502" s="1">
        <f>IF(B502="PAL","",IFERROR(VLOOKUP(B502,'General price list'!C:BA,MATCH("OBJ",'General price list'!$C$20:$BA$20,0),FALSE),""))</f>
        <v>0</v>
      </c>
      <c r="E502" s="1">
        <f t="shared" si="51"/>
        <v>0</v>
      </c>
      <c r="F502" s="1">
        <f t="shared" si="52"/>
        <v>0</v>
      </c>
      <c r="G502" s="1">
        <f t="shared" si="53"/>
        <v>0</v>
      </c>
      <c r="H502" s="1">
        <f t="shared" si="54"/>
        <v>0</v>
      </c>
      <c r="I502" s="1">
        <f t="shared" si="55"/>
        <v>0</v>
      </c>
      <c r="J502">
        <f>IF(B502="PAL","",IFERROR(IF(C502="",VLOOKUP(B502,'General price list'!C:BA,MATCH("CBM",'General price list'!$C$20:$BA$20,0),FALSE)*D502,VLOOKUP(B502,'General price list'!C:BA,MATCH("CBM",'General price list'!$C$20:$BA$20,0),FALSE)*(G502*C502)),0))</f>
        <v>0</v>
      </c>
    </row>
    <row r="503" spans="2:10" ht="15" customHeight="1">
      <c r="B503" s="790" t="str">
        <f>IF(B502="PAL","",'General price list'!C523)</f>
        <v>C1625F</v>
      </c>
      <c r="C503" s="1" t="str">
        <f>IF(B503="PAL","",IFERROR(VLOOKUP(B503,'General price list'!C:BA,MATCH("PAL",'General price list'!$C$20:$BA$20,0),FALSE),""))</f>
        <v/>
      </c>
      <c r="D503" s="1">
        <f>IF(B503="PAL","",IFERROR(VLOOKUP(B503,'General price list'!C:BA,MATCH("OBJ",'General price list'!$C$20:$BA$20,0),FALSE),""))</f>
        <v>0</v>
      </c>
      <c r="E503" s="1">
        <f t="shared" si="51"/>
        <v>0</v>
      </c>
      <c r="F503" s="1">
        <f t="shared" si="52"/>
        <v>0</v>
      </c>
      <c r="G503" s="1">
        <f t="shared" si="53"/>
        <v>0</v>
      </c>
      <c r="H503" s="1">
        <f t="shared" si="54"/>
        <v>0</v>
      </c>
      <c r="I503" s="1">
        <f t="shared" si="55"/>
        <v>0</v>
      </c>
      <c r="J503">
        <f>IF(B503="PAL","",IFERROR(IF(C503="",VLOOKUP(B503,'General price list'!C:BA,MATCH("CBM",'General price list'!$C$20:$BA$20,0),FALSE)*D503,VLOOKUP(B503,'General price list'!C:BA,MATCH("CBM",'General price list'!$C$20:$BA$20,0),FALSE)*(G503*C503)),0))</f>
        <v>0</v>
      </c>
    </row>
    <row r="504" spans="2:10" ht="15" customHeight="1">
      <c r="B504" s="790" t="str">
        <f>IF(B503="PAL","",'General price list'!C524)</f>
        <v>C1625G</v>
      </c>
      <c r="C504" s="1" t="str">
        <f>IF(B504="PAL","",IFERROR(VLOOKUP(B504,'General price list'!C:BA,MATCH("PAL",'General price list'!$C$20:$BA$20,0),FALSE),""))</f>
        <v/>
      </c>
      <c r="D504" s="1">
        <f>IF(B504="PAL","",IFERROR(VLOOKUP(B504,'General price list'!C:BA,MATCH("OBJ",'General price list'!$C$20:$BA$20,0),FALSE),""))</f>
        <v>0</v>
      </c>
      <c r="E504" s="1">
        <f t="shared" si="51"/>
        <v>0</v>
      </c>
      <c r="F504" s="1">
        <f t="shared" si="52"/>
        <v>0</v>
      </c>
      <c r="G504" s="1">
        <f t="shared" si="53"/>
        <v>0</v>
      </c>
      <c r="H504" s="1">
        <f t="shared" si="54"/>
        <v>0</v>
      </c>
      <c r="I504" s="1">
        <f t="shared" si="55"/>
        <v>0</v>
      </c>
      <c r="J504">
        <f>IF(B504="PAL","",IFERROR(IF(C504="",VLOOKUP(B504,'General price list'!C:BA,MATCH("CBM",'General price list'!$C$20:$BA$20,0),FALSE)*D504,VLOOKUP(B504,'General price list'!C:BA,MATCH("CBM",'General price list'!$C$20:$BA$20,0),FALSE)*(G504*C504)),0))</f>
        <v>0</v>
      </c>
    </row>
    <row r="505" spans="2:10" ht="15" customHeight="1">
      <c r="B505" s="790">
        <f>IF(B504="PAL","",'General price list'!C525)</f>
        <v>0</v>
      </c>
      <c r="C505" s="1" t="str">
        <f>IF(B505="PAL","",IFERROR(VLOOKUP(B505,'General price list'!C:BA,MATCH("PAL",'General price list'!$C$20:$BA$20,0),FALSE),""))</f>
        <v/>
      </c>
      <c r="D505" s="1" t="str">
        <f>IF(B505="PAL","",IFERROR(VLOOKUP(B505,'General price list'!C:BA,MATCH("OBJ",'General price list'!$C$20:$BA$20,0),FALSE),""))</f>
        <v/>
      </c>
      <c r="E505" s="1">
        <f t="shared" si="51"/>
        <v>0</v>
      </c>
      <c r="F505" s="1">
        <f t="shared" si="52"/>
        <v>0</v>
      </c>
      <c r="G505" s="1">
        <f t="shared" si="53"/>
        <v>0</v>
      </c>
      <c r="H505" s="1">
        <f t="shared" si="54"/>
        <v>0</v>
      </c>
      <c r="I505" s="1">
        <f t="shared" si="55"/>
        <v>0</v>
      </c>
      <c r="J505">
        <f>IF(B505="PAL","",IFERROR(IF(C505="",VLOOKUP(B505,'General price list'!C:BA,MATCH("CBM",'General price list'!$C$20:$BA$20,0),FALSE)*D505,VLOOKUP(B505,'General price list'!C:BA,MATCH("CBM",'General price list'!$C$20:$BA$20,0),FALSE)*(G505*C505)),0))</f>
        <v>0</v>
      </c>
    </row>
    <row r="506" spans="2:10" ht="15" customHeight="1">
      <c r="B506" s="790" t="str">
        <f>IF(B505="PAL","",'General price list'!C526)</f>
        <v>C1625DU</v>
      </c>
      <c r="C506" s="1" t="str">
        <f>IF(B506="PAL","",IFERROR(VLOOKUP(B506,'General price list'!C:BA,MATCH("PAL",'General price list'!$C$20:$BA$20,0),FALSE),""))</f>
        <v/>
      </c>
      <c r="D506" s="1">
        <f>IF(B506="PAL","",IFERROR(VLOOKUP(B506,'General price list'!C:BA,MATCH("OBJ",'General price list'!$C$20:$BA$20,0),FALSE),""))</f>
        <v>0</v>
      </c>
      <c r="E506" s="1">
        <f t="shared" si="51"/>
        <v>0</v>
      </c>
      <c r="F506" s="1">
        <f t="shared" si="52"/>
        <v>0</v>
      </c>
      <c r="G506" s="1">
        <f t="shared" si="53"/>
        <v>0</v>
      </c>
      <c r="H506" s="1">
        <f t="shared" si="54"/>
        <v>0</v>
      </c>
      <c r="I506" s="1">
        <f t="shared" si="55"/>
        <v>0</v>
      </c>
      <c r="J506">
        <f>IF(B506="PAL","",IFERROR(IF(C506="",VLOOKUP(B506,'General price list'!C:BA,MATCH("CBM",'General price list'!$C$20:$BA$20,0),FALSE)*D506,VLOOKUP(B506,'General price list'!C:BA,MATCH("CBM",'General price list'!$C$20:$BA$20,0),FALSE)*(G506*C506)),0))</f>
        <v>0</v>
      </c>
    </row>
    <row r="507" spans="2:10" ht="15" customHeight="1">
      <c r="B507" s="790" t="str">
        <f>IF(B506="PAL","",'General price list'!C527)</f>
        <v>C1625D14</v>
      </c>
      <c r="C507" s="1" t="str">
        <f>IF(B507="PAL","",IFERROR(VLOOKUP(B507,'General price list'!C:BA,MATCH("PAL",'General price list'!$C$20:$BA$20,0),FALSE),""))</f>
        <v/>
      </c>
      <c r="D507" s="1">
        <f>IF(B507="PAL","",IFERROR(VLOOKUP(B507,'General price list'!C:BA,MATCH("OBJ",'General price list'!$C$20:$BA$20,0),FALSE),""))</f>
        <v>0</v>
      </c>
      <c r="E507" s="1">
        <f t="shared" si="51"/>
        <v>0</v>
      </c>
      <c r="F507" s="1">
        <f t="shared" si="52"/>
        <v>0</v>
      </c>
      <c r="G507" s="1">
        <f t="shared" si="53"/>
        <v>0</v>
      </c>
      <c r="H507" s="1">
        <f t="shared" si="54"/>
        <v>0</v>
      </c>
      <c r="I507" s="1">
        <f t="shared" si="55"/>
        <v>0</v>
      </c>
      <c r="J507">
        <f>IF(B507="PAL","",IFERROR(IF(C507="",VLOOKUP(B507,'General price list'!C:BA,MATCH("CBM",'General price list'!$C$20:$BA$20,0),FALSE)*D507,VLOOKUP(B507,'General price list'!C:BA,MATCH("CBM",'General price list'!$C$20:$BA$20,0),FALSE)*(G507*C507)),0))</f>
        <v>0</v>
      </c>
    </row>
    <row r="508" spans="2:10" ht="15" customHeight="1">
      <c r="B508" s="790" t="str">
        <f>IF(B507="PAL","",'General price list'!C528)</f>
        <v>C1625F14</v>
      </c>
      <c r="C508" s="1" t="str">
        <f>IF(B508="PAL","",IFERROR(VLOOKUP(B508,'General price list'!C:BA,MATCH("PAL",'General price list'!$C$20:$BA$20,0),FALSE),""))</f>
        <v/>
      </c>
      <c r="D508" s="1">
        <f>IF(B508="PAL","",IFERROR(VLOOKUP(B508,'General price list'!C:BA,MATCH("OBJ",'General price list'!$C$20:$BA$20,0),FALSE),""))</f>
        <v>0</v>
      </c>
      <c r="E508" s="1">
        <f t="shared" si="51"/>
        <v>0</v>
      </c>
      <c r="F508" s="1">
        <f t="shared" si="52"/>
        <v>0</v>
      </c>
      <c r="G508" s="1">
        <f t="shared" si="53"/>
        <v>0</v>
      </c>
      <c r="H508" s="1">
        <f t="shared" si="54"/>
        <v>0</v>
      </c>
      <c r="I508" s="1">
        <f t="shared" si="55"/>
        <v>0</v>
      </c>
      <c r="J508">
        <f>IF(B508="PAL","",IFERROR(IF(C508="",VLOOKUP(B508,'General price list'!C:BA,MATCH("CBM",'General price list'!$C$20:$BA$20,0),FALSE)*D508,VLOOKUP(B508,'General price list'!C:BA,MATCH("CBM",'General price list'!$C$20:$BA$20,0),FALSE)*(G508*C508)),0))</f>
        <v>0</v>
      </c>
    </row>
    <row r="509" spans="2:10" ht="15" customHeight="1">
      <c r="B509" s="790">
        <f>IF(B508="PAL","",'General price list'!C529)</f>
        <v>0</v>
      </c>
      <c r="C509" s="1" t="str">
        <f>IF(B509="PAL","",IFERROR(VLOOKUP(B509,'General price list'!C:BA,MATCH("PAL",'General price list'!$C$20:$BA$20,0),FALSE),""))</f>
        <v/>
      </c>
      <c r="D509" s="1" t="str">
        <f>IF(B509="PAL","",IFERROR(VLOOKUP(B509,'General price list'!C:BA,MATCH("OBJ",'General price list'!$C$20:$BA$20,0),FALSE),""))</f>
        <v/>
      </c>
      <c r="E509" s="1">
        <f t="shared" si="51"/>
        <v>0</v>
      </c>
      <c r="F509" s="1">
        <f t="shared" si="52"/>
        <v>0</v>
      </c>
      <c r="G509" s="1">
        <f t="shared" si="53"/>
        <v>0</v>
      </c>
      <c r="H509" s="1">
        <f t="shared" si="54"/>
        <v>0</v>
      </c>
      <c r="I509" s="1">
        <f t="shared" si="55"/>
        <v>0</v>
      </c>
      <c r="J509">
        <f>IF(B509="PAL","",IFERROR(IF(C509="",VLOOKUP(B509,'General price list'!C:BA,MATCH("CBM",'General price list'!$C$20:$BA$20,0),FALSE)*D509,VLOOKUP(B509,'General price list'!C:BA,MATCH("CBM",'General price list'!$C$20:$BA$20,0),FALSE)*(G509*C509)),0))</f>
        <v>0</v>
      </c>
    </row>
    <row r="510" spans="2:10" ht="15" customHeight="1">
      <c r="B510" s="790" t="str">
        <f>IF(B509="PAL","",'General price list'!C530)</f>
        <v>C2525BPW</v>
      </c>
      <c r="C510" s="1" t="str">
        <f>IF(B510="PAL","",IFERROR(VLOOKUP(B510,'General price list'!C:BA,MATCH("PAL",'General price list'!$C$20:$BA$20,0),FALSE),""))</f>
        <v/>
      </c>
      <c r="D510" s="1">
        <f>IF(B510="PAL","",IFERROR(VLOOKUP(B510,'General price list'!C:BA,MATCH("OBJ",'General price list'!$C$20:$BA$20,0),FALSE),""))</f>
        <v>0</v>
      </c>
      <c r="E510" s="1">
        <f t="shared" si="51"/>
        <v>0</v>
      </c>
      <c r="F510" s="1">
        <f t="shared" si="52"/>
        <v>0</v>
      </c>
      <c r="G510" s="1">
        <f t="shared" si="53"/>
        <v>0</v>
      </c>
      <c r="H510" s="1">
        <f t="shared" si="54"/>
        <v>0</v>
      </c>
      <c r="I510" s="1">
        <f t="shared" si="55"/>
        <v>0</v>
      </c>
      <c r="J510">
        <f>IF(B510="PAL","",IFERROR(IF(C510="",VLOOKUP(B510,'General price list'!C:BA,MATCH("CBM",'General price list'!$C$20:$BA$20,0),FALSE)*D510,VLOOKUP(B510,'General price list'!C:BA,MATCH("CBM",'General price list'!$C$20:$BA$20,0),FALSE)*(G510*C510)),0))</f>
        <v>0</v>
      </c>
    </row>
    <row r="511" spans="2:10" ht="15" customHeight="1">
      <c r="B511" s="790" t="str">
        <f>IF(B510="PAL","",'General price list'!C531)</f>
        <v>C2525SIG</v>
      </c>
      <c r="C511" s="1" t="str">
        <f>IF(B511="PAL","",IFERROR(VLOOKUP(B511,'General price list'!C:BA,MATCH("PAL",'General price list'!$C$20:$BA$20,0),FALSE),""))</f>
        <v/>
      </c>
      <c r="D511" s="1">
        <f>IF(B511="PAL","",IFERROR(VLOOKUP(B511,'General price list'!C:BA,MATCH("OBJ",'General price list'!$C$20:$BA$20,0),FALSE),""))</f>
        <v>0</v>
      </c>
      <c r="E511" s="1">
        <f t="shared" si="51"/>
        <v>0</v>
      </c>
      <c r="F511" s="1">
        <f t="shared" si="52"/>
        <v>0</v>
      </c>
      <c r="G511" s="1">
        <f t="shared" si="53"/>
        <v>0</v>
      </c>
      <c r="H511" s="1">
        <f t="shared" si="54"/>
        <v>0</v>
      </c>
      <c r="I511" s="1">
        <f t="shared" si="55"/>
        <v>0</v>
      </c>
      <c r="J511">
        <f>IF(B511="PAL","",IFERROR(IF(C511="",VLOOKUP(B511,'General price list'!C:BA,MATCH("CBM",'General price list'!$C$20:$BA$20,0),FALSE)*D511,VLOOKUP(B511,'General price list'!C:BA,MATCH("CBM",'General price list'!$C$20:$BA$20,0),FALSE)*(G511*C511)),0))</f>
        <v>0</v>
      </c>
    </row>
    <row r="512" spans="2:10" ht="15" customHeight="1">
      <c r="B512" s="790" t="str">
        <f>IF(B511="PAL","",'General price list'!C532)</f>
        <v>C2525DU</v>
      </c>
      <c r="C512" s="1" t="str">
        <f>IF(B512="PAL","",IFERROR(VLOOKUP(B512,'General price list'!C:BA,MATCH("PAL",'General price list'!$C$20:$BA$20,0),FALSE),""))</f>
        <v/>
      </c>
      <c r="D512" s="1">
        <f>IF(B512="PAL","",IFERROR(VLOOKUP(B512,'General price list'!C:BA,MATCH("OBJ",'General price list'!$C$20:$BA$20,0),FALSE),""))</f>
        <v>0</v>
      </c>
      <c r="E512" s="1">
        <f t="shared" si="51"/>
        <v>0</v>
      </c>
      <c r="F512" s="1">
        <f t="shared" si="52"/>
        <v>0</v>
      </c>
      <c r="G512" s="1">
        <f t="shared" si="53"/>
        <v>0</v>
      </c>
      <c r="H512" s="1">
        <f t="shared" si="54"/>
        <v>0</v>
      </c>
      <c r="I512" s="1">
        <f t="shared" si="55"/>
        <v>0</v>
      </c>
      <c r="J512">
        <f>IF(B512="PAL","",IFERROR(IF(C512="",VLOOKUP(B512,'General price list'!C:BA,MATCH("CBM",'General price list'!$C$20:$BA$20,0),FALSE)*D512,VLOOKUP(B512,'General price list'!C:BA,MATCH("CBM",'General price list'!$C$20:$BA$20,0),FALSE)*(G512*C512)),0))</f>
        <v>0</v>
      </c>
    </row>
    <row r="513" spans="2:10" ht="15" customHeight="1">
      <c r="B513" s="790" t="str">
        <f>IF(B512="PAL","",'General price list'!C533)</f>
        <v>C2525C</v>
      </c>
      <c r="C513" s="1" t="str">
        <f>IF(B513="PAL","",IFERROR(VLOOKUP(B513,'General price list'!C:BA,MATCH("PAL",'General price list'!$C$20:$BA$20,0),FALSE),""))</f>
        <v/>
      </c>
      <c r="D513" s="1">
        <f>IF(B513="PAL","",IFERROR(VLOOKUP(B513,'General price list'!C:BA,MATCH("OBJ",'General price list'!$C$20:$BA$20,0),FALSE),""))</f>
        <v>0</v>
      </c>
      <c r="E513" s="1">
        <f t="shared" si="51"/>
        <v>0</v>
      </c>
      <c r="F513" s="1">
        <f t="shared" si="52"/>
        <v>0</v>
      </c>
      <c r="G513" s="1">
        <f t="shared" si="53"/>
        <v>0</v>
      </c>
      <c r="H513" s="1">
        <f t="shared" si="54"/>
        <v>0</v>
      </c>
      <c r="I513" s="1">
        <f t="shared" si="55"/>
        <v>0</v>
      </c>
      <c r="J513">
        <f>IF(B513="PAL","",IFERROR(IF(C513="",VLOOKUP(B513,'General price list'!C:BA,MATCH("CBM",'General price list'!$C$20:$BA$20,0),FALSE)*D513,VLOOKUP(B513,'General price list'!C:BA,MATCH("CBM",'General price list'!$C$20:$BA$20,0),FALSE)*(G513*C513)),0))</f>
        <v>0</v>
      </c>
    </row>
    <row r="514" spans="2:10" ht="15" customHeight="1">
      <c r="B514" s="790" t="str">
        <f>IF(B513="PAL","",'General price list'!C534)</f>
        <v>C2525L</v>
      </c>
      <c r="C514" s="1" t="str">
        <f>IF(B514="PAL","",IFERROR(VLOOKUP(B514,'General price list'!C:BA,MATCH("PAL",'General price list'!$C$20:$BA$20,0),FALSE),""))</f>
        <v/>
      </c>
      <c r="D514" s="1">
        <f>IF(B514="PAL","",IFERROR(VLOOKUP(B514,'General price list'!C:BA,MATCH("OBJ",'General price list'!$C$20:$BA$20,0),FALSE),""))</f>
        <v>0</v>
      </c>
      <c r="E514" s="1">
        <f t="shared" si="51"/>
        <v>0</v>
      </c>
      <c r="F514" s="1">
        <f t="shared" si="52"/>
        <v>0</v>
      </c>
      <c r="G514" s="1">
        <f t="shared" si="53"/>
        <v>0</v>
      </c>
      <c r="H514" s="1">
        <f t="shared" si="54"/>
        <v>0</v>
      </c>
      <c r="I514" s="1">
        <f t="shared" si="55"/>
        <v>0</v>
      </c>
      <c r="J514">
        <f>IF(B514="PAL","",IFERROR(IF(C514="",VLOOKUP(B514,'General price list'!C:BA,MATCH("CBM",'General price list'!$C$20:$BA$20,0),FALSE)*D514,VLOOKUP(B514,'General price list'!C:BA,MATCH("CBM",'General price list'!$C$20:$BA$20,0),FALSE)*(G514*C514)),0))</f>
        <v>0</v>
      </c>
    </row>
    <row r="515" spans="2:10" ht="15" customHeight="1">
      <c r="B515" s="790">
        <f>IF(B514="PAL","",'General price list'!C535)</f>
        <v>0</v>
      </c>
      <c r="C515" s="1" t="str">
        <f>IF(B515="PAL","",IFERROR(VLOOKUP(B515,'General price list'!C:BA,MATCH("PAL",'General price list'!$C$20:$BA$20,0),FALSE),""))</f>
        <v/>
      </c>
      <c r="D515" s="1" t="str">
        <f>IF(B515="PAL","",IFERROR(VLOOKUP(B515,'General price list'!C:BA,MATCH("OBJ",'General price list'!$C$20:$BA$20,0),FALSE),""))</f>
        <v/>
      </c>
      <c r="E515" s="1">
        <f t="shared" si="51"/>
        <v>0</v>
      </c>
      <c r="F515" s="1">
        <f t="shared" si="52"/>
        <v>0</v>
      </c>
      <c r="G515" s="1">
        <f t="shared" si="53"/>
        <v>0</v>
      </c>
      <c r="H515" s="1">
        <f t="shared" si="54"/>
        <v>0</v>
      </c>
      <c r="I515" s="1">
        <f t="shared" si="55"/>
        <v>0</v>
      </c>
      <c r="J515">
        <f>IF(B515="PAL","",IFERROR(IF(C515="",VLOOKUP(B515,'General price list'!C:BA,MATCH("CBM",'General price list'!$C$20:$BA$20,0),FALSE)*D515,VLOOKUP(B515,'General price list'!C:BA,MATCH("CBM",'General price list'!$C$20:$BA$20,0),FALSE)*(G515*C515)),0))</f>
        <v>0</v>
      </c>
    </row>
    <row r="516" spans="2:10" ht="15" customHeight="1">
      <c r="B516" s="790" t="str">
        <f>IF(B515="PAL","",'General price list'!C536)</f>
        <v>C2525SC14</v>
      </c>
      <c r="C516" s="1" t="str">
        <f>IF(B516="PAL","",IFERROR(VLOOKUP(B516,'General price list'!C:BA,MATCH("PAL",'General price list'!$C$20:$BA$20,0),FALSE),""))</f>
        <v/>
      </c>
      <c r="D516" s="1">
        <f>IF(B516="PAL","",IFERROR(VLOOKUP(B516,'General price list'!C:BA,MATCH("OBJ",'General price list'!$C$20:$BA$20,0),FALSE),""))</f>
        <v>0</v>
      </c>
      <c r="E516" s="1">
        <f t="shared" si="51"/>
        <v>0</v>
      </c>
      <c r="F516" s="1">
        <f t="shared" si="52"/>
        <v>0</v>
      </c>
      <c r="G516" s="1">
        <f t="shared" si="53"/>
        <v>0</v>
      </c>
      <c r="H516" s="1">
        <f t="shared" si="54"/>
        <v>0</v>
      </c>
      <c r="I516" s="1">
        <f t="shared" si="55"/>
        <v>0</v>
      </c>
      <c r="J516">
        <f>IF(B516="PAL","",IFERROR(IF(C516="",VLOOKUP(B516,'General price list'!C:BA,MATCH("CBM",'General price list'!$C$20:$BA$20,0),FALSE)*D516,VLOOKUP(B516,'General price list'!C:BA,MATCH("CBM",'General price list'!$C$20:$BA$20,0),FALSE)*(G516*C516)),0))</f>
        <v>0</v>
      </c>
    </row>
    <row r="517" spans="2:10" ht="15" customHeight="1">
      <c r="B517" s="790">
        <f>IF(B516="PAL","",'General price list'!C537)</f>
        <v>0</v>
      </c>
      <c r="C517" s="1" t="str">
        <f>IF(B517="PAL","",IFERROR(VLOOKUP(B517,'General price list'!C:BA,MATCH("PAL",'General price list'!$C$20:$BA$20,0),FALSE),""))</f>
        <v/>
      </c>
      <c r="D517" s="1" t="str">
        <f>IF(B517="PAL","",IFERROR(VLOOKUP(B517,'General price list'!C:BA,MATCH("OBJ",'General price list'!$C$20:$BA$20,0),FALSE),""))</f>
        <v/>
      </c>
      <c r="E517" s="1">
        <f t="shared" si="51"/>
        <v>0</v>
      </c>
      <c r="F517" s="1">
        <f t="shared" si="52"/>
        <v>0</v>
      </c>
      <c r="G517" s="1">
        <f t="shared" si="53"/>
        <v>0</v>
      </c>
      <c r="H517" s="1">
        <f t="shared" si="54"/>
        <v>0</v>
      </c>
      <c r="I517" s="1">
        <f t="shared" si="55"/>
        <v>0</v>
      </c>
      <c r="J517">
        <f>IF(B517="PAL","",IFERROR(IF(C517="",VLOOKUP(B517,'General price list'!C:BA,MATCH("CBM",'General price list'!$C$20:$BA$20,0),FALSE)*D517,VLOOKUP(B517,'General price list'!C:BA,MATCH("CBM",'General price list'!$C$20:$BA$20,0),FALSE)*(G517*C517)),0))</f>
        <v>0</v>
      </c>
    </row>
    <row r="518" spans="2:10" ht="15" customHeight="1">
      <c r="B518" s="790" t="str">
        <f>IF(B517="PAL","",'General price list'!C538)</f>
        <v>CF2525D</v>
      </c>
      <c r="C518" s="1" t="str">
        <f>IF(B518="PAL","",IFERROR(VLOOKUP(B518,'General price list'!C:BA,MATCH("PAL",'General price list'!$C$20:$BA$20,0),FALSE),""))</f>
        <v/>
      </c>
      <c r="D518" s="1">
        <f>IF(B518="PAL","",IFERROR(VLOOKUP(B518,'General price list'!C:BA,MATCH("OBJ",'General price list'!$C$20:$BA$20,0),FALSE),""))</f>
        <v>0</v>
      </c>
      <c r="E518" s="1">
        <f t="shared" si="51"/>
        <v>0</v>
      </c>
      <c r="F518" s="1">
        <f t="shared" si="52"/>
        <v>0</v>
      </c>
      <c r="G518" s="1">
        <f t="shared" si="53"/>
        <v>0</v>
      </c>
      <c r="H518" s="1">
        <f t="shared" si="54"/>
        <v>0</v>
      </c>
      <c r="I518" s="1">
        <f t="shared" si="55"/>
        <v>0</v>
      </c>
      <c r="J518">
        <f>IF(B518="PAL","",IFERROR(IF(C518="",VLOOKUP(B518,'General price list'!C:BA,MATCH("CBM",'General price list'!$C$20:$BA$20,0),FALSE)*D518,VLOOKUP(B518,'General price list'!C:BA,MATCH("CBM",'General price list'!$C$20:$BA$20,0),FALSE)*(G518*C518)),0))</f>
        <v>0</v>
      </c>
    </row>
    <row r="519" spans="2:10" ht="15" customHeight="1">
      <c r="B519" s="790" t="str">
        <f>IF(B518="PAL","",'General price list'!C539)</f>
        <v>CF2525O</v>
      </c>
      <c r="C519" s="1" t="str">
        <f>IF(B519="PAL","",IFERROR(VLOOKUP(B519,'General price list'!C:BA,MATCH("PAL",'General price list'!$C$20:$BA$20,0),FALSE),""))</f>
        <v/>
      </c>
      <c r="D519" s="1">
        <f>IF(B519="PAL","",IFERROR(VLOOKUP(B519,'General price list'!C:BA,MATCH("OBJ",'General price list'!$C$20:$BA$20,0),FALSE),""))</f>
        <v>0</v>
      </c>
      <c r="E519" s="1">
        <f t="shared" si="51"/>
        <v>0</v>
      </c>
      <c r="F519" s="1">
        <f t="shared" si="52"/>
        <v>0</v>
      </c>
      <c r="G519" s="1">
        <f t="shared" si="53"/>
        <v>0</v>
      </c>
      <c r="H519" s="1">
        <f t="shared" si="54"/>
        <v>0</v>
      </c>
      <c r="I519" s="1">
        <f t="shared" si="55"/>
        <v>0</v>
      </c>
      <c r="J519">
        <f>IF(B519="PAL","",IFERROR(IF(C519="",VLOOKUP(B519,'General price list'!C:BA,MATCH("CBM",'General price list'!$C$20:$BA$20,0),FALSE)*D519,VLOOKUP(B519,'General price list'!C:BA,MATCH("CBM",'General price list'!$C$20:$BA$20,0),FALSE)*(G519*C519)),0))</f>
        <v>0</v>
      </c>
    </row>
    <row r="520" spans="2:10" ht="15" customHeight="1">
      <c r="B520" s="790" t="str">
        <f>IF(B519="PAL","",'General price list'!C540)</f>
        <v>CF2525S</v>
      </c>
      <c r="C520" s="1" t="str">
        <f>IF(B520="PAL","",IFERROR(VLOOKUP(B520,'General price list'!C:BA,MATCH("PAL",'General price list'!$C$20:$BA$20,0),FALSE),""))</f>
        <v/>
      </c>
      <c r="D520" s="1">
        <f>IF(B520="PAL","",IFERROR(VLOOKUP(B520,'General price list'!C:BA,MATCH("OBJ",'General price list'!$C$20:$BA$20,0),FALSE),""))</f>
        <v>0</v>
      </c>
      <c r="E520" s="1">
        <f t="shared" si="51"/>
        <v>0</v>
      </c>
      <c r="F520" s="1">
        <f t="shared" si="52"/>
        <v>0</v>
      </c>
      <c r="G520" s="1">
        <f t="shared" si="53"/>
        <v>0</v>
      </c>
      <c r="H520" s="1">
        <f t="shared" si="54"/>
        <v>0</v>
      </c>
      <c r="I520" s="1">
        <f t="shared" si="55"/>
        <v>0</v>
      </c>
      <c r="J520">
        <f>IF(B520="PAL","",IFERROR(IF(C520="",VLOOKUP(B520,'General price list'!C:BA,MATCH("CBM",'General price list'!$C$20:$BA$20,0),FALSE)*D520,VLOOKUP(B520,'General price list'!C:BA,MATCH("CBM",'General price list'!$C$20:$BA$20,0),FALSE)*(G520*C520)),0))</f>
        <v>0</v>
      </c>
    </row>
    <row r="521" spans="2:10" ht="15" customHeight="1">
      <c r="B521" s="790">
        <f>IF(B520="PAL","",'General price list'!C541)</f>
        <v>0</v>
      </c>
      <c r="C521" s="1" t="str">
        <f>IF(B521="PAL","",IFERROR(VLOOKUP(B521,'General price list'!C:BA,MATCH("PAL",'General price list'!$C$20:$BA$20,0),FALSE),""))</f>
        <v/>
      </c>
      <c r="D521" s="1" t="str">
        <f>IF(B521="PAL","",IFERROR(VLOOKUP(B521,'General price list'!C:BA,MATCH("OBJ",'General price list'!$C$20:$BA$20,0),FALSE),""))</f>
        <v/>
      </c>
      <c r="E521" s="1">
        <f t="shared" si="51"/>
        <v>0</v>
      </c>
      <c r="F521" s="1">
        <f t="shared" si="52"/>
        <v>0</v>
      </c>
      <c r="G521" s="1">
        <f t="shared" si="53"/>
        <v>0</v>
      </c>
      <c r="H521" s="1">
        <f t="shared" si="54"/>
        <v>0</v>
      </c>
      <c r="I521" s="1">
        <f t="shared" si="55"/>
        <v>0</v>
      </c>
      <c r="J521">
        <f>IF(B521="PAL","",IFERROR(IF(C521="",VLOOKUP(B521,'General price list'!C:BA,MATCH("CBM",'General price list'!$C$20:$BA$20,0),FALSE)*D521,VLOOKUP(B521,'General price list'!C:BA,MATCH("CBM",'General price list'!$C$20:$BA$20,0),FALSE)*(G521*C521)),0))</f>
        <v>0</v>
      </c>
    </row>
    <row r="522" spans="2:10" ht="15" customHeight="1">
      <c r="B522" s="790" t="str">
        <f>IF(B521="PAL","",'General price list'!C542)</f>
        <v>C3625P</v>
      </c>
      <c r="C522" s="1" t="str">
        <f>IF(B522="PAL","",IFERROR(VLOOKUP(B522,'General price list'!C:BA,MATCH("PAL",'General price list'!$C$20:$BA$20,0),FALSE),""))</f>
        <v/>
      </c>
      <c r="D522" s="1">
        <f>IF(B522="PAL","",IFERROR(VLOOKUP(B522,'General price list'!C:BA,MATCH("OBJ",'General price list'!$C$20:$BA$20,0),FALSE),""))</f>
        <v>0</v>
      </c>
      <c r="E522" s="1">
        <f t="shared" si="51"/>
        <v>0</v>
      </c>
      <c r="F522" s="1">
        <f t="shared" si="52"/>
        <v>0</v>
      </c>
      <c r="G522" s="1">
        <f t="shared" si="53"/>
        <v>0</v>
      </c>
      <c r="H522" s="1">
        <f t="shared" si="54"/>
        <v>0</v>
      </c>
      <c r="I522" s="1">
        <f t="shared" si="55"/>
        <v>0</v>
      </c>
      <c r="J522">
        <f>IF(B522="PAL","",IFERROR(IF(C522="",VLOOKUP(B522,'General price list'!C:BA,MATCH("CBM",'General price list'!$C$20:$BA$20,0),FALSE)*D522,VLOOKUP(B522,'General price list'!C:BA,MATCH("CBM",'General price list'!$C$20:$BA$20,0),FALSE)*(G522*C522)),0))</f>
        <v>0</v>
      </c>
    </row>
    <row r="523" spans="2:10" ht="15" customHeight="1">
      <c r="B523" s="790">
        <f>IF(B522="PAL","",'General price list'!C543)</f>
        <v>0</v>
      </c>
      <c r="C523" s="1" t="str">
        <f>IF(B523="PAL","",IFERROR(VLOOKUP(B523,'General price list'!C:BA,MATCH("PAL",'General price list'!$C$20:$BA$20,0),FALSE),""))</f>
        <v/>
      </c>
      <c r="D523" s="1" t="str">
        <f>IF(B523="PAL","",IFERROR(VLOOKUP(B523,'General price list'!C:BA,MATCH("OBJ",'General price list'!$C$20:$BA$20,0),FALSE),""))</f>
        <v/>
      </c>
      <c r="E523" s="1">
        <f t="shared" si="51"/>
        <v>0</v>
      </c>
      <c r="F523" s="1">
        <f t="shared" si="52"/>
        <v>0</v>
      </c>
      <c r="G523" s="1">
        <f t="shared" si="53"/>
        <v>0</v>
      </c>
      <c r="H523" s="1">
        <f t="shared" si="54"/>
        <v>0</v>
      </c>
      <c r="I523" s="1">
        <f t="shared" si="55"/>
        <v>0</v>
      </c>
      <c r="J523">
        <f>IF(B523="PAL","",IFERROR(IF(C523="",VLOOKUP(B523,'General price list'!C:BA,MATCH("CBM",'General price list'!$C$20:$BA$20,0),FALSE)*D523,VLOOKUP(B523,'General price list'!C:BA,MATCH("CBM",'General price list'!$C$20:$BA$20,0),FALSE)*(G523*C523)),0))</f>
        <v>0</v>
      </c>
    </row>
    <row r="524" spans="2:10" ht="15" customHeight="1">
      <c r="B524" s="790" t="str">
        <f>IF(B523="PAL","",'General price list'!C544)</f>
        <v>C3625P14</v>
      </c>
      <c r="C524" s="1" t="str">
        <f>IF(B524="PAL","",IFERROR(VLOOKUP(B524,'General price list'!C:BA,MATCH("PAL",'General price list'!$C$20:$BA$20,0),FALSE),""))</f>
        <v/>
      </c>
      <c r="D524" s="1">
        <f>IF(B524="PAL","",IFERROR(VLOOKUP(B524,'General price list'!C:BA,MATCH("OBJ",'General price list'!$C$20:$BA$20,0),FALSE),""))</f>
        <v>0</v>
      </c>
      <c r="E524" s="1">
        <f t="shared" ref="E524:E587" si="56">IF(B524="PAL","",IFERROR(D524/C524,0))</f>
        <v>0</v>
      </c>
      <c r="F524" s="1">
        <f t="shared" ref="F524:F587" si="57">IF(B524="PAL","",IFERROR(FLOOR(IF(E524-1&lt;0,0,E524),1),0))</f>
        <v>0</v>
      </c>
      <c r="G524" s="1">
        <f t="shared" ref="G524:G587" si="58">IF(B524="PAL","",IFERROR(IF(H524&gt;E524,F524-E524,E524-F524),0))</f>
        <v>0</v>
      </c>
      <c r="H524" s="1">
        <f t="shared" ref="H524:H587" si="59">IF(B524="PAL","",IFERROR(IF(E524=0,0,F524),0))</f>
        <v>0</v>
      </c>
      <c r="I524" s="1">
        <f t="shared" ref="I524:I587" si="60">IF(B524="PAL","",IFERROR(IF(D524=0,0,IF(F524=0,(D524*nextVK)+(prvniVK-nextVK),(G524*C524*nextVK)+(F524*PALzKoje))),0))</f>
        <v>0</v>
      </c>
      <c r="J524">
        <f>IF(B524="PAL","",IFERROR(IF(C524="",VLOOKUP(B524,'General price list'!C:BA,MATCH("CBM",'General price list'!$C$20:$BA$20,0),FALSE)*D524,VLOOKUP(B524,'General price list'!C:BA,MATCH("CBM",'General price list'!$C$20:$BA$20,0),FALSE)*(G524*C524)),0))</f>
        <v>0</v>
      </c>
    </row>
    <row r="525" spans="2:10" ht="15" customHeight="1">
      <c r="B525" s="790">
        <f>IF(B524="PAL","",'General price list'!C545)</f>
        <v>0</v>
      </c>
      <c r="C525" s="1" t="str">
        <f>IF(B525="PAL","",IFERROR(VLOOKUP(B525,'General price list'!C:BA,MATCH("PAL",'General price list'!$C$20:$BA$20,0),FALSE),""))</f>
        <v/>
      </c>
      <c r="D525" s="1" t="str">
        <f>IF(B525="PAL","",IFERROR(VLOOKUP(B525,'General price list'!C:BA,MATCH("OBJ",'General price list'!$C$20:$BA$20,0),FALSE),""))</f>
        <v/>
      </c>
      <c r="E525" s="1">
        <f t="shared" si="56"/>
        <v>0</v>
      </c>
      <c r="F525" s="1">
        <f t="shared" si="57"/>
        <v>0</v>
      </c>
      <c r="G525" s="1">
        <f t="shared" si="58"/>
        <v>0</v>
      </c>
      <c r="H525" s="1">
        <f t="shared" si="59"/>
        <v>0</v>
      </c>
      <c r="I525" s="1">
        <f t="shared" si="60"/>
        <v>0</v>
      </c>
      <c r="J525">
        <f>IF(B525="PAL","",IFERROR(IF(C525="",VLOOKUP(B525,'General price list'!C:BA,MATCH("CBM",'General price list'!$C$20:$BA$20,0),FALSE)*D525,VLOOKUP(B525,'General price list'!C:BA,MATCH("CBM",'General price list'!$C$20:$BA$20,0),FALSE)*(G525*C525)),0))</f>
        <v>0</v>
      </c>
    </row>
    <row r="526" spans="2:10" ht="15" customHeight="1">
      <c r="B526" s="790" t="str">
        <f>IF(B525="PAL","",'General price list'!C546)</f>
        <v>C4825MP</v>
      </c>
      <c r="C526" s="1" t="str">
        <f>IF(B526="PAL","",IFERROR(VLOOKUP(B526,'General price list'!C:BA,MATCH("PAL",'General price list'!$C$20:$BA$20,0),FALSE),""))</f>
        <v/>
      </c>
      <c r="D526" s="1">
        <f>IF(B526="PAL","",IFERROR(VLOOKUP(B526,'General price list'!C:BA,MATCH("OBJ",'General price list'!$C$20:$BA$20,0),FALSE),""))</f>
        <v>0</v>
      </c>
      <c r="E526" s="1">
        <f t="shared" si="56"/>
        <v>0</v>
      </c>
      <c r="F526" s="1">
        <f t="shared" si="57"/>
        <v>0</v>
      </c>
      <c r="G526" s="1">
        <f t="shared" si="58"/>
        <v>0</v>
      </c>
      <c r="H526" s="1">
        <f t="shared" si="59"/>
        <v>0</v>
      </c>
      <c r="I526" s="1">
        <f t="shared" si="60"/>
        <v>0</v>
      </c>
      <c r="J526">
        <f>IF(B526="PAL","",IFERROR(IF(C526="",VLOOKUP(B526,'General price list'!C:BA,MATCH("CBM",'General price list'!$C$20:$BA$20,0),FALSE)*D526,VLOOKUP(B526,'General price list'!C:BA,MATCH("CBM",'General price list'!$C$20:$BA$20,0),FALSE)*(G526*C526)),0))</f>
        <v>0</v>
      </c>
    </row>
    <row r="527" spans="2:10" ht="15" customHeight="1">
      <c r="B527" s="790">
        <f>IF(B526="PAL","",'General price list'!C547)</f>
        <v>0</v>
      </c>
      <c r="C527" s="1" t="str">
        <f>IF(B527="PAL","",IFERROR(VLOOKUP(B527,'General price list'!C:BA,MATCH("PAL",'General price list'!$C$20:$BA$20,0),FALSE),""))</f>
        <v/>
      </c>
      <c r="D527" s="1" t="str">
        <f>IF(B527="PAL","",IFERROR(VLOOKUP(B527,'General price list'!C:BA,MATCH("OBJ",'General price list'!$C$20:$BA$20,0),FALSE),""))</f>
        <v/>
      </c>
      <c r="E527" s="1">
        <f t="shared" si="56"/>
        <v>0</v>
      </c>
      <c r="F527" s="1">
        <f t="shared" si="57"/>
        <v>0</v>
      </c>
      <c r="G527" s="1">
        <f t="shared" si="58"/>
        <v>0</v>
      </c>
      <c r="H527" s="1">
        <f t="shared" si="59"/>
        <v>0</v>
      </c>
      <c r="I527" s="1">
        <f t="shared" si="60"/>
        <v>0</v>
      </c>
      <c r="J527">
        <f>IF(B527="PAL","",IFERROR(IF(C527="",VLOOKUP(B527,'General price list'!C:BA,MATCH("CBM",'General price list'!$C$20:$BA$20,0),FALSE)*D527,VLOOKUP(B527,'General price list'!C:BA,MATCH("CBM",'General price list'!$C$20:$BA$20,0),FALSE)*(G527*C527)),0))</f>
        <v>0</v>
      </c>
    </row>
    <row r="528" spans="2:10" ht="15" customHeight="1">
      <c r="B528" s="790" t="str">
        <f>IF(B527="PAL","",'General price list'!C548)</f>
        <v>C4925G</v>
      </c>
      <c r="C528" s="1" t="str">
        <f>IF(B528="PAL","",IFERROR(VLOOKUP(B528,'General price list'!C:BA,MATCH("PAL",'General price list'!$C$20:$BA$20,0),FALSE),""))</f>
        <v/>
      </c>
      <c r="D528" s="1">
        <f>IF(B528="PAL","",IFERROR(VLOOKUP(B528,'General price list'!C:BA,MATCH("OBJ",'General price list'!$C$20:$BA$20,0),FALSE),""))</f>
        <v>0</v>
      </c>
      <c r="E528" s="1">
        <f t="shared" si="56"/>
        <v>0</v>
      </c>
      <c r="F528" s="1">
        <f t="shared" si="57"/>
        <v>0</v>
      </c>
      <c r="G528" s="1">
        <f t="shared" si="58"/>
        <v>0</v>
      </c>
      <c r="H528" s="1">
        <f t="shared" si="59"/>
        <v>0</v>
      </c>
      <c r="I528" s="1">
        <f t="shared" si="60"/>
        <v>0</v>
      </c>
      <c r="J528">
        <f>IF(B528="PAL","",IFERROR(IF(C528="",VLOOKUP(B528,'General price list'!C:BA,MATCH("CBM",'General price list'!$C$20:$BA$20,0),FALSE)*D528,VLOOKUP(B528,'General price list'!C:BA,MATCH("CBM",'General price list'!$C$20:$BA$20,0),FALSE)*(G528*C528)),0))</f>
        <v>0</v>
      </c>
    </row>
    <row r="529" spans="2:10" ht="15" customHeight="1">
      <c r="B529" s="790" t="str">
        <f>IF(B528="PAL","",'General price list'!C549)</f>
        <v>C4925P</v>
      </c>
      <c r="C529" s="1" t="str">
        <f>IF(B529="PAL","",IFERROR(VLOOKUP(B529,'General price list'!C:BA,MATCH("PAL",'General price list'!$C$20:$BA$20,0),FALSE),""))</f>
        <v/>
      </c>
      <c r="D529" s="1">
        <f>IF(B529="PAL","",IFERROR(VLOOKUP(B529,'General price list'!C:BA,MATCH("OBJ",'General price list'!$C$20:$BA$20,0),FALSE),""))</f>
        <v>0</v>
      </c>
      <c r="E529" s="1">
        <f t="shared" si="56"/>
        <v>0</v>
      </c>
      <c r="F529" s="1">
        <f t="shared" si="57"/>
        <v>0</v>
      </c>
      <c r="G529" s="1">
        <f t="shared" si="58"/>
        <v>0</v>
      </c>
      <c r="H529" s="1">
        <f t="shared" si="59"/>
        <v>0</v>
      </c>
      <c r="I529" s="1">
        <f t="shared" si="60"/>
        <v>0</v>
      </c>
      <c r="J529">
        <f>IF(B529="PAL","",IFERROR(IF(C529="",VLOOKUP(B529,'General price list'!C:BA,MATCH("CBM",'General price list'!$C$20:$BA$20,0),FALSE)*D529,VLOOKUP(B529,'General price list'!C:BA,MATCH("CBM",'General price list'!$C$20:$BA$20,0),FALSE)*(G529*C529)),0))</f>
        <v>0</v>
      </c>
    </row>
    <row r="530" spans="2:10" ht="15" customHeight="1">
      <c r="B530" s="790" t="str">
        <f>IF(B529="PAL","",'General price list'!C550)</f>
        <v>C4925V</v>
      </c>
      <c r="C530" s="1" t="str">
        <f>IF(B530="PAL","",IFERROR(VLOOKUP(B530,'General price list'!C:BA,MATCH("PAL",'General price list'!$C$20:$BA$20,0),FALSE),""))</f>
        <v/>
      </c>
      <c r="D530" s="1">
        <f>IF(B530="PAL","",IFERROR(VLOOKUP(B530,'General price list'!C:BA,MATCH("OBJ",'General price list'!$C$20:$BA$20,0),FALSE),""))</f>
        <v>0</v>
      </c>
      <c r="E530" s="1">
        <f t="shared" si="56"/>
        <v>0</v>
      </c>
      <c r="F530" s="1">
        <f t="shared" si="57"/>
        <v>0</v>
      </c>
      <c r="G530" s="1">
        <f t="shared" si="58"/>
        <v>0</v>
      </c>
      <c r="H530" s="1">
        <f t="shared" si="59"/>
        <v>0</v>
      </c>
      <c r="I530" s="1">
        <f t="shared" si="60"/>
        <v>0</v>
      </c>
      <c r="J530">
        <f>IF(B530="PAL","",IFERROR(IF(C530="",VLOOKUP(B530,'General price list'!C:BA,MATCH("CBM",'General price list'!$C$20:$BA$20,0),FALSE)*D530,VLOOKUP(B530,'General price list'!C:BA,MATCH("CBM",'General price list'!$C$20:$BA$20,0),FALSE)*(G530*C530)),0))</f>
        <v>0</v>
      </c>
    </row>
    <row r="531" spans="2:10" ht="15" customHeight="1">
      <c r="B531" s="790">
        <f>IF(B530="PAL","",'General price list'!C551)</f>
        <v>0</v>
      </c>
      <c r="C531" s="1" t="str">
        <f>IF(B531="PAL","",IFERROR(VLOOKUP(B531,'General price list'!C:BA,MATCH("PAL",'General price list'!$C$20:$BA$20,0),FALSE),""))</f>
        <v/>
      </c>
      <c r="D531" s="1" t="str">
        <f>IF(B531="PAL","",IFERROR(VLOOKUP(B531,'General price list'!C:BA,MATCH("OBJ",'General price list'!$C$20:$BA$20,0),FALSE),""))</f>
        <v/>
      </c>
      <c r="E531" s="1">
        <f t="shared" si="56"/>
        <v>0</v>
      </c>
      <c r="F531" s="1">
        <f t="shared" si="57"/>
        <v>0</v>
      </c>
      <c r="G531" s="1">
        <f t="shared" si="58"/>
        <v>0</v>
      </c>
      <c r="H531" s="1">
        <f t="shared" si="59"/>
        <v>0</v>
      </c>
      <c r="I531" s="1">
        <f t="shared" si="60"/>
        <v>0</v>
      </c>
      <c r="J531">
        <f>IF(B531="PAL","",IFERROR(IF(C531="",VLOOKUP(B531,'General price list'!C:BA,MATCH("CBM",'General price list'!$C$20:$BA$20,0),FALSE)*D531,VLOOKUP(B531,'General price list'!C:BA,MATCH("CBM",'General price list'!$C$20:$BA$20,0),FALSE)*(G531*C531)),0))</f>
        <v>0</v>
      </c>
    </row>
    <row r="532" spans="2:10" ht="15" customHeight="1">
      <c r="B532" s="790" t="str">
        <f>IF(B531="PAL","",'General price list'!C552)</f>
        <v>C4925BP14</v>
      </c>
      <c r="C532" s="1" t="str">
        <f>IF(B532="PAL","",IFERROR(VLOOKUP(B532,'General price list'!C:BA,MATCH("PAL",'General price list'!$C$20:$BA$20,0),FALSE),""))</f>
        <v/>
      </c>
      <c r="D532" s="1">
        <f>IF(B532="PAL","",IFERROR(VLOOKUP(B532,'General price list'!C:BA,MATCH("OBJ",'General price list'!$C$20:$BA$20,0),FALSE),""))</f>
        <v>0</v>
      </c>
      <c r="E532" s="1">
        <f t="shared" si="56"/>
        <v>0</v>
      </c>
      <c r="F532" s="1">
        <f t="shared" si="57"/>
        <v>0</v>
      </c>
      <c r="G532" s="1">
        <f t="shared" si="58"/>
        <v>0</v>
      </c>
      <c r="H532" s="1">
        <f t="shared" si="59"/>
        <v>0</v>
      </c>
      <c r="I532" s="1">
        <f t="shared" si="60"/>
        <v>0</v>
      </c>
      <c r="J532">
        <f>IF(B532="PAL","",IFERROR(IF(C532="",VLOOKUP(B532,'General price list'!C:BA,MATCH("CBM",'General price list'!$C$20:$BA$20,0),FALSE)*D532,VLOOKUP(B532,'General price list'!C:BA,MATCH("CBM",'General price list'!$C$20:$BA$20,0),FALSE)*(G532*C532)),0))</f>
        <v>0</v>
      </c>
    </row>
    <row r="533" spans="2:10" ht="15" customHeight="1">
      <c r="B533" s="790" t="str">
        <f>IF(B532="PAL","",'General price list'!C553)</f>
        <v>C4925NO14</v>
      </c>
      <c r="C533" s="1" t="str">
        <f>IF(B533="PAL","",IFERROR(VLOOKUP(B533,'General price list'!C:BA,MATCH("PAL",'General price list'!$C$20:$BA$20,0),FALSE),""))</f>
        <v/>
      </c>
      <c r="D533" s="1">
        <f>IF(B533="PAL","",IFERROR(VLOOKUP(B533,'General price list'!C:BA,MATCH("OBJ",'General price list'!$C$20:$BA$20,0),FALSE),""))</f>
        <v>0</v>
      </c>
      <c r="E533" s="1">
        <f t="shared" si="56"/>
        <v>0</v>
      </c>
      <c r="F533" s="1">
        <f t="shared" si="57"/>
        <v>0</v>
      </c>
      <c r="G533" s="1">
        <f t="shared" si="58"/>
        <v>0</v>
      </c>
      <c r="H533" s="1">
        <f t="shared" si="59"/>
        <v>0</v>
      </c>
      <c r="I533" s="1">
        <f t="shared" si="60"/>
        <v>0</v>
      </c>
      <c r="J533">
        <f>IF(B533="PAL","",IFERROR(IF(C533="",VLOOKUP(B533,'General price list'!C:BA,MATCH("CBM",'General price list'!$C$20:$BA$20,0),FALSE)*D533,VLOOKUP(B533,'General price list'!C:BA,MATCH("CBM",'General price list'!$C$20:$BA$20,0),FALSE)*(G533*C533)),0))</f>
        <v>0</v>
      </c>
    </row>
    <row r="534" spans="2:10" ht="15" customHeight="1">
      <c r="B534" s="790" t="str">
        <f>IF(B533="PAL","",'General price list'!C554)</f>
        <v>C4925V14</v>
      </c>
      <c r="C534" s="1" t="str">
        <f>IF(B534="PAL","",IFERROR(VLOOKUP(B534,'General price list'!C:BA,MATCH("PAL",'General price list'!$C$20:$BA$20,0),FALSE),""))</f>
        <v/>
      </c>
      <c r="D534" s="1">
        <f>IF(B534="PAL","",IFERROR(VLOOKUP(B534,'General price list'!C:BA,MATCH("OBJ",'General price list'!$C$20:$BA$20,0),FALSE),""))</f>
        <v>0</v>
      </c>
      <c r="E534" s="1">
        <f t="shared" si="56"/>
        <v>0</v>
      </c>
      <c r="F534" s="1">
        <f t="shared" si="57"/>
        <v>0</v>
      </c>
      <c r="G534" s="1">
        <f t="shared" si="58"/>
        <v>0</v>
      </c>
      <c r="H534" s="1">
        <f t="shared" si="59"/>
        <v>0</v>
      </c>
      <c r="I534" s="1">
        <f t="shared" si="60"/>
        <v>0</v>
      </c>
      <c r="J534">
        <f>IF(B534="PAL","",IFERROR(IF(C534="",VLOOKUP(B534,'General price list'!C:BA,MATCH("CBM",'General price list'!$C$20:$BA$20,0),FALSE)*D534,VLOOKUP(B534,'General price list'!C:BA,MATCH("CBM",'General price list'!$C$20:$BA$20,0),FALSE)*(G534*C534)),0))</f>
        <v>0</v>
      </c>
    </row>
    <row r="535" spans="2:10" ht="15" customHeight="1">
      <c r="B535" s="790" t="str">
        <f>IF(B534="PAL","",'General price list'!C555)</f>
        <v>C4925VS14</v>
      </c>
      <c r="C535" s="1" t="str">
        <f>IF(B535="PAL","",IFERROR(VLOOKUP(B535,'General price list'!C:BA,MATCH("PAL",'General price list'!$C$20:$BA$20,0),FALSE),""))</f>
        <v/>
      </c>
      <c r="D535" s="1">
        <f>IF(B535="PAL","",IFERROR(VLOOKUP(B535,'General price list'!C:BA,MATCH("OBJ",'General price list'!$C$20:$BA$20,0),FALSE),""))</f>
        <v>0</v>
      </c>
      <c r="E535" s="1">
        <f t="shared" si="56"/>
        <v>0</v>
      </c>
      <c r="F535" s="1">
        <f t="shared" si="57"/>
        <v>0</v>
      </c>
      <c r="G535" s="1">
        <f t="shared" si="58"/>
        <v>0</v>
      </c>
      <c r="H535" s="1">
        <f t="shared" si="59"/>
        <v>0</v>
      </c>
      <c r="I535" s="1">
        <f t="shared" si="60"/>
        <v>0</v>
      </c>
      <c r="J535">
        <f>IF(B535="PAL","",IFERROR(IF(C535="",VLOOKUP(B535,'General price list'!C:BA,MATCH("CBM",'General price list'!$C$20:$BA$20,0),FALSE)*D535,VLOOKUP(B535,'General price list'!C:BA,MATCH("CBM",'General price list'!$C$20:$BA$20,0),FALSE)*(G535*C535)),0))</f>
        <v>0</v>
      </c>
    </row>
    <row r="536" spans="2:10" ht="15" customHeight="1">
      <c r="B536" s="790">
        <f>IF(B535="PAL","",'General price list'!C556)</f>
        <v>0</v>
      </c>
      <c r="C536" s="1" t="str">
        <f>IF(B536="PAL","",IFERROR(VLOOKUP(B536,'General price list'!C:BA,MATCH("PAL",'General price list'!$C$20:$BA$20,0),FALSE),""))</f>
        <v/>
      </c>
      <c r="D536" s="1" t="str">
        <f>IF(B536="PAL","",IFERROR(VLOOKUP(B536,'General price list'!C:BA,MATCH("OBJ",'General price list'!$C$20:$BA$20,0),FALSE),""))</f>
        <v/>
      </c>
      <c r="E536" s="1">
        <f t="shared" si="56"/>
        <v>0</v>
      </c>
      <c r="F536" s="1">
        <f t="shared" si="57"/>
        <v>0</v>
      </c>
      <c r="G536" s="1">
        <f t="shared" si="58"/>
        <v>0</v>
      </c>
      <c r="H536" s="1">
        <f t="shared" si="59"/>
        <v>0</v>
      </c>
      <c r="I536" s="1">
        <f t="shared" si="60"/>
        <v>0</v>
      </c>
      <c r="J536">
        <f>IF(B536="PAL","",IFERROR(IF(C536="",VLOOKUP(B536,'General price list'!C:BA,MATCH("CBM",'General price list'!$C$20:$BA$20,0),FALSE)*D536,VLOOKUP(B536,'General price list'!C:BA,MATCH("CBM",'General price list'!$C$20:$BA$20,0),FALSE)*(G536*C536)),0))</f>
        <v>0</v>
      </c>
    </row>
    <row r="537" spans="2:10" ht="15" customHeight="1">
      <c r="B537" s="790" t="str">
        <f>IF(B536="PAL","",'General price list'!C557)</f>
        <v>C4925SIG</v>
      </c>
      <c r="C537" s="1" t="str">
        <f>IF(B537="PAL","",IFERROR(VLOOKUP(B537,'General price list'!C:BA,MATCH("PAL",'General price list'!$C$20:$BA$20,0),FALSE),""))</f>
        <v/>
      </c>
      <c r="D537" s="1">
        <f>IF(B537="PAL","",IFERROR(VLOOKUP(B537,'General price list'!C:BA,MATCH("OBJ",'General price list'!$C$20:$BA$20,0),FALSE),""))</f>
        <v>0</v>
      </c>
      <c r="E537" s="1">
        <f t="shared" si="56"/>
        <v>0</v>
      </c>
      <c r="F537" s="1">
        <f t="shared" si="57"/>
        <v>0</v>
      </c>
      <c r="G537" s="1">
        <f t="shared" si="58"/>
        <v>0</v>
      </c>
      <c r="H537" s="1">
        <f t="shared" si="59"/>
        <v>0</v>
      </c>
      <c r="I537" s="1">
        <f t="shared" si="60"/>
        <v>0</v>
      </c>
      <c r="J537">
        <f>IF(B537="PAL","",IFERROR(IF(C537="",VLOOKUP(B537,'General price list'!C:BA,MATCH("CBM",'General price list'!$C$20:$BA$20,0),FALSE)*D537,VLOOKUP(B537,'General price list'!C:BA,MATCH("CBM",'General price list'!$C$20:$BA$20,0),FALSE)*(G537*C537)),0))</f>
        <v>0</v>
      </c>
    </row>
    <row r="538" spans="2:10" ht="15" customHeight="1">
      <c r="B538" s="790" t="str">
        <f>IF(B537="PAL","",'General price list'!C558)</f>
        <v>C4925D</v>
      </c>
      <c r="C538" s="1" t="str">
        <f>IF(B538="PAL","",IFERROR(VLOOKUP(B538,'General price list'!C:BA,MATCH("PAL",'General price list'!$C$20:$BA$20,0),FALSE),""))</f>
        <v/>
      </c>
      <c r="D538" s="1">
        <f>IF(B538="PAL","",IFERROR(VLOOKUP(B538,'General price list'!C:BA,MATCH("OBJ",'General price list'!$C$20:$BA$20,0),FALSE),""))</f>
        <v>0</v>
      </c>
      <c r="E538" s="1">
        <f t="shared" si="56"/>
        <v>0</v>
      </c>
      <c r="F538" s="1">
        <f t="shared" si="57"/>
        <v>0</v>
      </c>
      <c r="G538" s="1">
        <f t="shared" si="58"/>
        <v>0</v>
      </c>
      <c r="H538" s="1">
        <f t="shared" si="59"/>
        <v>0</v>
      </c>
      <c r="I538" s="1">
        <f t="shared" si="60"/>
        <v>0</v>
      </c>
      <c r="J538">
        <f>IF(B538="PAL","",IFERROR(IF(C538="",VLOOKUP(B538,'General price list'!C:BA,MATCH("CBM",'General price list'!$C$20:$BA$20,0),FALSE)*D538,VLOOKUP(B538,'General price list'!C:BA,MATCH("CBM",'General price list'!$C$20:$BA$20,0),FALSE)*(G538*C538)),0))</f>
        <v>0</v>
      </c>
    </row>
    <row r="539" spans="2:10" ht="15" customHeight="1">
      <c r="B539" s="790">
        <f>IF(B538="PAL","",'General price list'!C559)</f>
        <v>0</v>
      </c>
      <c r="C539" s="1" t="str">
        <f>IF(B539="PAL","",IFERROR(VLOOKUP(B539,'General price list'!C:BA,MATCH("PAL",'General price list'!$C$20:$BA$20,0),FALSE),""))</f>
        <v/>
      </c>
      <c r="D539" s="1" t="str">
        <f>IF(B539="PAL","",IFERROR(VLOOKUP(B539,'General price list'!C:BA,MATCH("OBJ",'General price list'!$C$20:$BA$20,0),FALSE),""))</f>
        <v/>
      </c>
      <c r="E539" s="1">
        <f t="shared" si="56"/>
        <v>0</v>
      </c>
      <c r="F539" s="1">
        <f t="shared" si="57"/>
        <v>0</v>
      </c>
      <c r="G539" s="1">
        <f t="shared" si="58"/>
        <v>0</v>
      </c>
      <c r="H539" s="1">
        <f t="shared" si="59"/>
        <v>0</v>
      </c>
      <c r="I539" s="1">
        <f t="shared" si="60"/>
        <v>0</v>
      </c>
      <c r="J539">
        <f>IF(B539="PAL","",IFERROR(IF(C539="",VLOOKUP(B539,'General price list'!C:BA,MATCH("CBM",'General price list'!$C$20:$BA$20,0),FALSE)*D539,VLOOKUP(B539,'General price list'!C:BA,MATCH("CBM",'General price list'!$C$20:$BA$20,0),FALSE)*(G539*C539)),0))</f>
        <v>0</v>
      </c>
    </row>
    <row r="540" spans="2:10" ht="15" customHeight="1">
      <c r="B540" s="790" t="str">
        <f>IF(B539="PAL","",'General price list'!C560)</f>
        <v>CF4925S14</v>
      </c>
      <c r="C540" s="1" t="str">
        <f>IF(B540="PAL","",IFERROR(VLOOKUP(B540,'General price list'!C:BA,MATCH("PAL",'General price list'!$C$20:$BA$20,0),FALSE),""))</f>
        <v/>
      </c>
      <c r="D540" s="1">
        <f>IF(B540="PAL","",IFERROR(VLOOKUP(B540,'General price list'!C:BA,MATCH("OBJ",'General price list'!$C$20:$BA$20,0),FALSE),""))</f>
        <v>0</v>
      </c>
      <c r="E540" s="1">
        <f t="shared" si="56"/>
        <v>0</v>
      </c>
      <c r="F540" s="1">
        <f t="shared" si="57"/>
        <v>0</v>
      </c>
      <c r="G540" s="1">
        <f t="shared" si="58"/>
        <v>0</v>
      </c>
      <c r="H540" s="1">
        <f t="shared" si="59"/>
        <v>0</v>
      </c>
      <c r="I540" s="1">
        <f t="shared" si="60"/>
        <v>0</v>
      </c>
      <c r="J540">
        <f>IF(B540="PAL","",IFERROR(IF(C540="",VLOOKUP(B540,'General price list'!C:BA,MATCH("CBM",'General price list'!$C$20:$BA$20,0),FALSE)*D540,VLOOKUP(B540,'General price list'!C:BA,MATCH("CBM",'General price list'!$C$20:$BA$20,0),FALSE)*(G540*C540)),0))</f>
        <v>0</v>
      </c>
    </row>
    <row r="541" spans="2:10" ht="15" customHeight="1">
      <c r="B541" s="790" t="str">
        <f>IF(B540="PAL","",'General price list'!C561)</f>
        <v>CF4925B14</v>
      </c>
      <c r="C541" s="1" t="str">
        <f>IF(B541="PAL","",IFERROR(VLOOKUP(B541,'General price list'!C:BA,MATCH("PAL",'General price list'!$C$20:$BA$20,0),FALSE),""))</f>
        <v/>
      </c>
      <c r="D541" s="1">
        <f>IF(B541="PAL","",IFERROR(VLOOKUP(B541,'General price list'!C:BA,MATCH("OBJ",'General price list'!$C$20:$BA$20,0),FALSE),""))</f>
        <v>0</v>
      </c>
      <c r="E541" s="1">
        <f t="shared" si="56"/>
        <v>0</v>
      </c>
      <c r="F541" s="1">
        <f t="shared" si="57"/>
        <v>0</v>
      </c>
      <c r="G541" s="1">
        <f t="shared" si="58"/>
        <v>0</v>
      </c>
      <c r="H541" s="1">
        <f t="shared" si="59"/>
        <v>0</v>
      </c>
      <c r="I541" s="1">
        <f t="shared" si="60"/>
        <v>0</v>
      </c>
      <c r="J541">
        <f>IF(B541="PAL","",IFERROR(IF(C541="",VLOOKUP(B541,'General price list'!C:BA,MATCH("CBM",'General price list'!$C$20:$BA$20,0),FALSE)*D541,VLOOKUP(B541,'General price list'!C:BA,MATCH("CBM",'General price list'!$C$20:$BA$20,0),FALSE)*(G541*C541)),0))</f>
        <v>0</v>
      </c>
    </row>
    <row r="542" spans="2:10" ht="15" customHeight="1">
      <c r="B542" s="790">
        <f>IF(B541="PAL","",'General price list'!C562)</f>
        <v>0</v>
      </c>
      <c r="C542" s="1" t="str">
        <f>IF(B542="PAL","",IFERROR(VLOOKUP(B542,'General price list'!C:BA,MATCH("PAL",'General price list'!$C$20:$BA$20,0),FALSE),""))</f>
        <v/>
      </c>
      <c r="D542" s="1" t="str">
        <f>IF(B542="PAL","",IFERROR(VLOOKUP(B542,'General price list'!C:BA,MATCH("OBJ",'General price list'!$C$20:$BA$20,0),FALSE),""))</f>
        <v/>
      </c>
      <c r="E542" s="1">
        <f t="shared" si="56"/>
        <v>0</v>
      </c>
      <c r="F542" s="1">
        <f t="shared" si="57"/>
        <v>0</v>
      </c>
      <c r="G542" s="1">
        <f t="shared" si="58"/>
        <v>0</v>
      </c>
      <c r="H542" s="1">
        <f t="shared" si="59"/>
        <v>0</v>
      </c>
      <c r="I542" s="1">
        <f t="shared" si="60"/>
        <v>0</v>
      </c>
      <c r="J542">
        <f>IF(B542="PAL","",IFERROR(IF(C542="",VLOOKUP(B542,'General price list'!C:BA,MATCH("CBM",'General price list'!$C$20:$BA$20,0),FALSE)*D542,VLOOKUP(B542,'General price list'!C:BA,MATCH("CBM",'General price list'!$C$20:$BA$20,0),FALSE)*(G542*C542)),0))</f>
        <v>0</v>
      </c>
    </row>
    <row r="543" spans="2:10" ht="15" customHeight="1">
      <c r="B543" s="790" t="str">
        <f>IF(B542="PAL","",'General price list'!C563)</f>
        <v>CF4925S</v>
      </c>
      <c r="C543" s="1" t="str">
        <f>IF(B543="PAL","",IFERROR(VLOOKUP(B543,'General price list'!C:BA,MATCH("PAL",'General price list'!$C$20:$BA$20,0),FALSE),""))</f>
        <v/>
      </c>
      <c r="D543" s="1">
        <f>IF(B543="PAL","",IFERROR(VLOOKUP(B543,'General price list'!C:BA,MATCH("OBJ",'General price list'!$C$20:$BA$20,0),FALSE),""))</f>
        <v>0</v>
      </c>
      <c r="E543" s="1">
        <f t="shared" si="56"/>
        <v>0</v>
      </c>
      <c r="F543" s="1">
        <f t="shared" si="57"/>
        <v>0</v>
      </c>
      <c r="G543" s="1">
        <f t="shared" si="58"/>
        <v>0</v>
      </c>
      <c r="H543" s="1">
        <f t="shared" si="59"/>
        <v>0</v>
      </c>
      <c r="I543" s="1">
        <f t="shared" si="60"/>
        <v>0</v>
      </c>
      <c r="J543">
        <f>IF(B543="PAL","",IFERROR(IF(C543="",VLOOKUP(B543,'General price list'!C:BA,MATCH("CBM",'General price list'!$C$20:$BA$20,0),FALSE)*D543,VLOOKUP(B543,'General price list'!C:BA,MATCH("CBM",'General price list'!$C$20:$BA$20,0),FALSE)*(G543*C543)),0))</f>
        <v>0</v>
      </c>
    </row>
    <row r="544" spans="2:10" ht="15" customHeight="1">
      <c r="B544" s="790" t="str">
        <f>IF(B543="PAL","",'General price list'!C564)</f>
        <v>CF4925D</v>
      </c>
      <c r="C544" s="1" t="str">
        <f>IF(B544="PAL","",IFERROR(VLOOKUP(B544,'General price list'!C:BA,MATCH("PAL",'General price list'!$C$20:$BA$20,0),FALSE),""))</f>
        <v/>
      </c>
      <c r="D544" s="1">
        <f>IF(B544="PAL","",IFERROR(VLOOKUP(B544,'General price list'!C:BA,MATCH("OBJ",'General price list'!$C$20:$BA$20,0),FALSE),""))</f>
        <v>0</v>
      </c>
      <c r="E544" s="1">
        <f t="shared" si="56"/>
        <v>0</v>
      </c>
      <c r="F544" s="1">
        <f t="shared" si="57"/>
        <v>0</v>
      </c>
      <c r="G544" s="1">
        <f t="shared" si="58"/>
        <v>0</v>
      </c>
      <c r="H544" s="1">
        <f t="shared" si="59"/>
        <v>0</v>
      </c>
      <c r="I544" s="1">
        <f t="shared" si="60"/>
        <v>0</v>
      </c>
      <c r="J544">
        <f>IF(B544="PAL","",IFERROR(IF(C544="",VLOOKUP(B544,'General price list'!C:BA,MATCH("CBM",'General price list'!$C$20:$BA$20,0),FALSE)*D544,VLOOKUP(B544,'General price list'!C:BA,MATCH("CBM",'General price list'!$C$20:$BA$20,0),FALSE)*(G544*C544)),0))</f>
        <v>0</v>
      </c>
    </row>
    <row r="545" spans="2:10" ht="15" customHeight="1">
      <c r="B545" s="790" t="str">
        <f>IF(B544="PAL","",'General price list'!C565)</f>
        <v>CF4925B</v>
      </c>
      <c r="C545" s="1" t="str">
        <f>IF(B545="PAL","",IFERROR(VLOOKUP(B545,'General price list'!C:BA,MATCH("PAL",'General price list'!$C$20:$BA$20,0),FALSE),""))</f>
        <v/>
      </c>
      <c r="D545" s="1">
        <f>IF(B545="PAL","",IFERROR(VLOOKUP(B545,'General price list'!C:BA,MATCH("OBJ",'General price list'!$C$20:$BA$20,0),FALSE),""))</f>
        <v>0</v>
      </c>
      <c r="E545" s="1">
        <f t="shared" si="56"/>
        <v>0</v>
      </c>
      <c r="F545" s="1">
        <f t="shared" si="57"/>
        <v>0</v>
      </c>
      <c r="G545" s="1">
        <f t="shared" si="58"/>
        <v>0</v>
      </c>
      <c r="H545" s="1">
        <f t="shared" si="59"/>
        <v>0</v>
      </c>
      <c r="I545" s="1">
        <f t="shared" si="60"/>
        <v>0</v>
      </c>
      <c r="J545">
        <f>IF(B545="PAL","",IFERROR(IF(C545="",VLOOKUP(B545,'General price list'!C:BA,MATCH("CBM",'General price list'!$C$20:$BA$20,0),FALSE)*D545,VLOOKUP(B545,'General price list'!C:BA,MATCH("CBM",'General price list'!$C$20:$BA$20,0),FALSE)*(G545*C545)),0))</f>
        <v>0</v>
      </c>
    </row>
    <row r="546" spans="2:10" ht="15" customHeight="1">
      <c r="B546" s="790">
        <f>IF(B545="PAL","",'General price list'!C566)</f>
        <v>0</v>
      </c>
      <c r="C546" s="1" t="str">
        <f>IF(B546="PAL","",IFERROR(VLOOKUP(B546,'General price list'!C:BA,MATCH("PAL",'General price list'!$C$20:$BA$20,0),FALSE),""))</f>
        <v/>
      </c>
      <c r="D546" s="1" t="str">
        <f>IF(B546="PAL","",IFERROR(VLOOKUP(B546,'General price list'!C:BA,MATCH("OBJ",'General price list'!$C$20:$BA$20,0),FALSE),""))</f>
        <v/>
      </c>
      <c r="E546" s="1">
        <f t="shared" si="56"/>
        <v>0</v>
      </c>
      <c r="F546" s="1">
        <f t="shared" si="57"/>
        <v>0</v>
      </c>
      <c r="G546" s="1">
        <f t="shared" si="58"/>
        <v>0</v>
      </c>
      <c r="H546" s="1">
        <f t="shared" si="59"/>
        <v>0</v>
      </c>
      <c r="I546" s="1">
        <f t="shared" si="60"/>
        <v>0</v>
      </c>
      <c r="J546">
        <f>IF(B546="PAL","",IFERROR(IF(C546="",VLOOKUP(B546,'General price list'!C:BA,MATCH("CBM",'General price list'!$C$20:$BA$20,0),FALSE)*D546,VLOOKUP(B546,'General price list'!C:BA,MATCH("CBM",'General price list'!$C$20:$BA$20,0),FALSE)*(G546*C546)),0))</f>
        <v>0</v>
      </c>
    </row>
    <row r="547" spans="2:10" ht="15" customHeight="1">
      <c r="B547" s="790" t="str">
        <f>IF(B546="PAL","",'General price list'!C567)</f>
        <v>C6425XPT</v>
      </c>
      <c r="C547" s="1" t="str">
        <f>IF(B547="PAL","",IFERROR(VLOOKUP(B547,'General price list'!C:BA,MATCH("PAL",'General price list'!$C$20:$BA$20,0),FALSE),""))</f>
        <v/>
      </c>
      <c r="D547" s="1">
        <f>IF(B547="PAL","",IFERROR(VLOOKUP(B547,'General price list'!C:BA,MATCH("OBJ",'General price list'!$C$20:$BA$20,0),FALSE),""))</f>
        <v>0</v>
      </c>
      <c r="E547" s="1">
        <f t="shared" si="56"/>
        <v>0</v>
      </c>
      <c r="F547" s="1">
        <f t="shared" si="57"/>
        <v>0</v>
      </c>
      <c r="G547" s="1">
        <f t="shared" si="58"/>
        <v>0</v>
      </c>
      <c r="H547" s="1">
        <f t="shared" si="59"/>
        <v>0</v>
      </c>
      <c r="I547" s="1">
        <f t="shared" si="60"/>
        <v>0</v>
      </c>
      <c r="J547">
        <f>IF(B547="PAL","",IFERROR(IF(C547="",VLOOKUP(B547,'General price list'!C:BA,MATCH("CBM",'General price list'!$C$20:$BA$20,0),FALSE)*D547,VLOOKUP(B547,'General price list'!C:BA,MATCH("CBM",'General price list'!$C$20:$BA$20,0),FALSE)*(G547*C547)),0))</f>
        <v>0</v>
      </c>
    </row>
    <row r="548" spans="2:10" ht="15" customHeight="1">
      <c r="B548" s="790">
        <f>IF(B547="PAL","",'General price list'!C568)</f>
        <v>0</v>
      </c>
      <c r="C548" s="1" t="str">
        <f>IF(B548="PAL","",IFERROR(VLOOKUP(B548,'General price list'!C:BA,MATCH("PAL",'General price list'!$C$20:$BA$20,0),FALSE),""))</f>
        <v/>
      </c>
      <c r="D548" s="1" t="str">
        <f>IF(B548="PAL","",IFERROR(VLOOKUP(B548,'General price list'!C:BA,MATCH("OBJ",'General price list'!$C$20:$BA$20,0),FALSE),""))</f>
        <v/>
      </c>
      <c r="E548" s="1">
        <f t="shared" si="56"/>
        <v>0</v>
      </c>
      <c r="F548" s="1">
        <f t="shared" si="57"/>
        <v>0</v>
      </c>
      <c r="G548" s="1">
        <f t="shared" si="58"/>
        <v>0</v>
      </c>
      <c r="H548" s="1">
        <f t="shared" si="59"/>
        <v>0</v>
      </c>
      <c r="I548" s="1">
        <f t="shared" si="60"/>
        <v>0</v>
      </c>
      <c r="J548">
        <f>IF(B548="PAL","",IFERROR(IF(C548="",VLOOKUP(B548,'General price list'!C:BA,MATCH("CBM",'General price list'!$C$20:$BA$20,0),FALSE)*D548,VLOOKUP(B548,'General price list'!C:BA,MATCH("CBM",'General price list'!$C$20:$BA$20,0),FALSE)*(G548*C548)),0))</f>
        <v>0</v>
      </c>
    </row>
    <row r="549" spans="2:10" ht="15" customHeight="1">
      <c r="B549" s="790" t="str">
        <f>IF(B548="PAL","",'General price list'!C569)</f>
        <v>C8825G</v>
      </c>
      <c r="C549" s="1" t="str">
        <f>IF(B549="PAL","",IFERROR(VLOOKUP(B549,'General price list'!C:BA,MATCH("PAL",'General price list'!$C$20:$BA$20,0),FALSE),""))</f>
        <v/>
      </c>
      <c r="D549" s="1">
        <f>IF(B549="PAL","",IFERROR(VLOOKUP(B549,'General price list'!C:BA,MATCH("OBJ",'General price list'!$C$20:$BA$20,0),FALSE),""))</f>
        <v>0</v>
      </c>
      <c r="E549" s="1">
        <f t="shared" si="56"/>
        <v>0</v>
      </c>
      <c r="F549" s="1">
        <f t="shared" si="57"/>
        <v>0</v>
      </c>
      <c r="G549" s="1">
        <f t="shared" si="58"/>
        <v>0</v>
      </c>
      <c r="H549" s="1">
        <f t="shared" si="59"/>
        <v>0</v>
      </c>
      <c r="I549" s="1">
        <f t="shared" si="60"/>
        <v>0</v>
      </c>
      <c r="J549">
        <f>IF(B549="PAL","",IFERROR(IF(C549="",VLOOKUP(B549,'General price list'!C:BA,MATCH("CBM",'General price list'!$C$20:$BA$20,0),FALSE)*D549,VLOOKUP(B549,'General price list'!C:BA,MATCH("CBM",'General price list'!$C$20:$BA$20,0),FALSE)*(G549*C549)),0))</f>
        <v>0</v>
      </c>
    </row>
    <row r="550" spans="2:10" ht="15" customHeight="1">
      <c r="B550" s="790" t="str">
        <f>IF(B549="PAL","",'General price list'!C570)</f>
        <v>C8825PA</v>
      </c>
      <c r="C550" s="1" t="str">
        <f>IF(B550="PAL","",IFERROR(VLOOKUP(B550,'General price list'!C:BA,MATCH("PAL",'General price list'!$C$20:$BA$20,0),FALSE),""))</f>
        <v/>
      </c>
      <c r="D550" s="1">
        <f>IF(B550="PAL","",IFERROR(VLOOKUP(B550,'General price list'!C:BA,MATCH("OBJ",'General price list'!$C$20:$BA$20,0),FALSE),""))</f>
        <v>0</v>
      </c>
      <c r="E550" s="1">
        <f t="shared" si="56"/>
        <v>0</v>
      </c>
      <c r="F550" s="1">
        <f t="shared" si="57"/>
        <v>0</v>
      </c>
      <c r="G550" s="1">
        <f t="shared" si="58"/>
        <v>0</v>
      </c>
      <c r="H550" s="1">
        <f t="shared" si="59"/>
        <v>0</v>
      </c>
      <c r="I550" s="1">
        <f t="shared" si="60"/>
        <v>0</v>
      </c>
      <c r="J550">
        <f>IF(B550="PAL","",IFERROR(IF(C550="",VLOOKUP(B550,'General price list'!C:BA,MATCH("CBM",'General price list'!$C$20:$BA$20,0),FALSE)*D550,VLOOKUP(B550,'General price list'!C:BA,MATCH("CBM",'General price list'!$C$20:$BA$20,0),FALSE)*(G550*C550)),0))</f>
        <v>0</v>
      </c>
    </row>
    <row r="551" spans="2:10" ht="15" customHeight="1">
      <c r="B551" s="790" t="str">
        <f>IF(B550="PAL","",'General price list'!C571)</f>
        <v>C8825BR</v>
      </c>
      <c r="C551" s="1" t="str">
        <f>IF(B551="PAL","",IFERROR(VLOOKUP(B551,'General price list'!C:BA,MATCH("PAL",'General price list'!$C$20:$BA$20,0),FALSE),""))</f>
        <v/>
      </c>
      <c r="D551" s="1">
        <f>IF(B551="PAL","",IFERROR(VLOOKUP(B551,'General price list'!C:BA,MATCH("OBJ",'General price list'!$C$20:$BA$20,0),FALSE),""))</f>
        <v>0</v>
      </c>
      <c r="E551" s="1">
        <f t="shared" si="56"/>
        <v>0</v>
      </c>
      <c r="F551" s="1">
        <f t="shared" si="57"/>
        <v>0</v>
      </c>
      <c r="G551" s="1">
        <f t="shared" si="58"/>
        <v>0</v>
      </c>
      <c r="H551" s="1">
        <f t="shared" si="59"/>
        <v>0</v>
      </c>
      <c r="I551" s="1">
        <f t="shared" si="60"/>
        <v>0</v>
      </c>
      <c r="J551">
        <f>IF(B551="PAL","",IFERROR(IF(C551="",VLOOKUP(B551,'General price list'!C:BA,MATCH("CBM",'General price list'!$C$20:$BA$20,0),FALSE)*D551,VLOOKUP(B551,'General price list'!C:BA,MATCH("CBM",'General price list'!$C$20:$BA$20,0),FALSE)*(G551*C551)),0))</f>
        <v>0</v>
      </c>
    </row>
    <row r="552" spans="2:10" ht="15" customHeight="1">
      <c r="B552" s="790">
        <f>IF(B551="PAL","",'General price list'!C572)</f>
        <v>0</v>
      </c>
      <c r="C552" s="1" t="str">
        <f>IF(B552="PAL","",IFERROR(VLOOKUP(B552,'General price list'!C:BA,MATCH("PAL",'General price list'!$C$20:$BA$20,0),FALSE),""))</f>
        <v/>
      </c>
      <c r="D552" s="1" t="str">
        <f>IF(B552="PAL","",IFERROR(VLOOKUP(B552,'General price list'!C:BA,MATCH("OBJ",'General price list'!$C$20:$BA$20,0),FALSE),""))</f>
        <v/>
      </c>
      <c r="E552" s="1">
        <f t="shared" si="56"/>
        <v>0</v>
      </c>
      <c r="F552" s="1">
        <f t="shared" si="57"/>
        <v>0</v>
      </c>
      <c r="G552" s="1">
        <f t="shared" si="58"/>
        <v>0</v>
      </c>
      <c r="H552" s="1">
        <f t="shared" si="59"/>
        <v>0</v>
      </c>
      <c r="I552" s="1">
        <f t="shared" si="60"/>
        <v>0</v>
      </c>
      <c r="J552">
        <f>IF(B552="PAL","",IFERROR(IF(C552="",VLOOKUP(B552,'General price list'!C:BA,MATCH("CBM",'General price list'!$C$20:$BA$20,0),FALSE)*D552,VLOOKUP(B552,'General price list'!C:BA,MATCH("CBM",'General price list'!$C$20:$BA$20,0),FALSE)*(G552*C552)),0))</f>
        <v>0</v>
      </c>
    </row>
    <row r="553" spans="2:10" ht="15" customHeight="1">
      <c r="B553" s="790" t="str">
        <f>IF(B552="PAL","",'General price list'!C573)</f>
        <v>C10025BPS</v>
      </c>
      <c r="C553" s="1" t="str">
        <f>IF(B553="PAL","",IFERROR(VLOOKUP(B553,'General price list'!C:BA,MATCH("PAL",'General price list'!$C$20:$BA$20,0),FALSE),""))</f>
        <v/>
      </c>
      <c r="D553" s="1">
        <f>IF(B553="PAL","",IFERROR(VLOOKUP(B553,'General price list'!C:BA,MATCH("OBJ",'General price list'!$C$20:$BA$20,0),FALSE),""))</f>
        <v>0</v>
      </c>
      <c r="E553" s="1">
        <f t="shared" si="56"/>
        <v>0</v>
      </c>
      <c r="F553" s="1">
        <f t="shared" si="57"/>
        <v>0</v>
      </c>
      <c r="G553" s="1">
        <f t="shared" si="58"/>
        <v>0</v>
      </c>
      <c r="H553" s="1">
        <f t="shared" si="59"/>
        <v>0</v>
      </c>
      <c r="I553" s="1">
        <f t="shared" si="60"/>
        <v>0</v>
      </c>
      <c r="J553">
        <f>IF(B553="PAL","",IFERROR(IF(C553="",VLOOKUP(B553,'General price list'!C:BA,MATCH("CBM",'General price list'!$C$20:$BA$20,0),FALSE)*D553,VLOOKUP(B553,'General price list'!C:BA,MATCH("CBM",'General price list'!$C$20:$BA$20,0),FALSE)*(G553*C553)),0))</f>
        <v>0</v>
      </c>
    </row>
    <row r="554" spans="2:10" ht="15" customHeight="1">
      <c r="B554" s="790" t="str">
        <f>IF(B553="PAL","",'General price list'!C574)</f>
        <v>C10025PR1</v>
      </c>
      <c r="C554" s="1" t="str">
        <f>IF(B554="PAL","",IFERROR(VLOOKUP(B554,'General price list'!C:BA,MATCH("PAL",'General price list'!$C$20:$BA$20,0),FALSE),""))</f>
        <v/>
      </c>
      <c r="D554" s="1">
        <f>IF(B554="PAL","",IFERROR(VLOOKUP(B554,'General price list'!C:BA,MATCH("OBJ",'General price list'!$C$20:$BA$20,0),FALSE),""))</f>
        <v>0</v>
      </c>
      <c r="E554" s="1">
        <f t="shared" si="56"/>
        <v>0</v>
      </c>
      <c r="F554" s="1">
        <f t="shared" si="57"/>
        <v>0</v>
      </c>
      <c r="G554" s="1">
        <f t="shared" si="58"/>
        <v>0</v>
      </c>
      <c r="H554" s="1">
        <f t="shared" si="59"/>
        <v>0</v>
      </c>
      <c r="I554" s="1">
        <f t="shared" si="60"/>
        <v>0</v>
      </c>
      <c r="J554">
        <f>IF(B554="PAL","",IFERROR(IF(C554="",VLOOKUP(B554,'General price list'!C:BA,MATCH("CBM",'General price list'!$C$20:$BA$20,0),FALSE)*D554,VLOOKUP(B554,'General price list'!C:BA,MATCH("CBM",'General price list'!$C$20:$BA$20,0),FALSE)*(G554*C554)),0))</f>
        <v>0</v>
      </c>
    </row>
    <row r="555" spans="2:10" ht="15" customHeight="1">
      <c r="B555" s="790" t="str">
        <f>IF(B554="PAL","",'General price list'!C575)</f>
        <v>C10025I</v>
      </c>
      <c r="C555" s="1" t="str">
        <f>IF(B555="PAL","",IFERROR(VLOOKUP(B555,'General price list'!C:BA,MATCH("PAL",'General price list'!$C$20:$BA$20,0),FALSE),""))</f>
        <v/>
      </c>
      <c r="D555" s="1">
        <f>IF(B555="PAL","",IFERROR(VLOOKUP(B555,'General price list'!C:BA,MATCH("OBJ",'General price list'!$C$20:$BA$20,0),FALSE),""))</f>
        <v>0</v>
      </c>
      <c r="E555" s="1">
        <f t="shared" si="56"/>
        <v>0</v>
      </c>
      <c r="F555" s="1">
        <f t="shared" si="57"/>
        <v>0</v>
      </c>
      <c r="G555" s="1">
        <f t="shared" si="58"/>
        <v>0</v>
      </c>
      <c r="H555" s="1">
        <f t="shared" si="59"/>
        <v>0</v>
      </c>
      <c r="I555" s="1">
        <f t="shared" si="60"/>
        <v>0</v>
      </c>
      <c r="J555">
        <f>IF(B555="PAL","",IFERROR(IF(C555="",VLOOKUP(B555,'General price list'!C:BA,MATCH("CBM",'General price list'!$C$20:$BA$20,0),FALSE)*D555,VLOOKUP(B555,'General price list'!C:BA,MATCH("CBM",'General price list'!$C$20:$BA$20,0),FALSE)*(G555*C555)),0))</f>
        <v>0</v>
      </c>
    </row>
    <row r="556" spans="2:10" ht="15" customHeight="1">
      <c r="B556" s="790">
        <f>IF(B555="PAL","",'General price list'!C576)</f>
        <v>0</v>
      </c>
      <c r="C556" s="1" t="str">
        <f>IF(B556="PAL","",IFERROR(VLOOKUP(B556,'General price list'!C:BA,MATCH("PAL",'General price list'!$C$20:$BA$20,0),FALSE),""))</f>
        <v/>
      </c>
      <c r="D556" s="1" t="str">
        <f>IF(B556="PAL","",IFERROR(VLOOKUP(B556,'General price list'!C:BA,MATCH("OBJ",'General price list'!$C$20:$BA$20,0),FALSE),""))</f>
        <v/>
      </c>
      <c r="E556" s="1">
        <f t="shared" si="56"/>
        <v>0</v>
      </c>
      <c r="F556" s="1">
        <f t="shared" si="57"/>
        <v>0</v>
      </c>
      <c r="G556" s="1">
        <f t="shared" si="58"/>
        <v>0</v>
      </c>
      <c r="H556" s="1">
        <f t="shared" si="59"/>
        <v>0</v>
      </c>
      <c r="I556" s="1">
        <f t="shared" si="60"/>
        <v>0</v>
      </c>
      <c r="J556">
        <f>IF(B556="PAL","",IFERROR(IF(C556="",VLOOKUP(B556,'General price list'!C:BA,MATCH("CBM",'General price list'!$C$20:$BA$20,0),FALSE)*D556,VLOOKUP(B556,'General price list'!C:BA,MATCH("CBM",'General price list'!$C$20:$BA$20,0),FALSE)*(G556*C556)),0))</f>
        <v>0</v>
      </c>
    </row>
    <row r="557" spans="2:10" ht="15" customHeight="1">
      <c r="B557" s="790" t="str">
        <f>IF(B556="PAL","",'General price list'!C577)</f>
        <v>C6425DU/C14</v>
      </c>
      <c r="C557" s="1" t="str">
        <f>IF(B557="PAL","",IFERROR(VLOOKUP(B557,'General price list'!C:BA,MATCH("PAL",'General price list'!$C$20:$BA$20,0),FALSE),""))</f>
        <v/>
      </c>
      <c r="D557" s="1">
        <f>IF(B557="PAL","",IFERROR(VLOOKUP(B557,'General price list'!C:BA,MATCH("OBJ",'General price list'!$C$20:$BA$20,0),FALSE),""))</f>
        <v>0</v>
      </c>
      <c r="E557" s="1">
        <f t="shared" si="56"/>
        <v>0</v>
      </c>
      <c r="F557" s="1">
        <f t="shared" si="57"/>
        <v>0</v>
      </c>
      <c r="G557" s="1">
        <f t="shared" si="58"/>
        <v>0</v>
      </c>
      <c r="H557" s="1">
        <f t="shared" si="59"/>
        <v>0</v>
      </c>
      <c r="I557" s="1">
        <f t="shared" si="60"/>
        <v>0</v>
      </c>
      <c r="J557">
        <f>IF(B557="PAL","",IFERROR(IF(C557="",VLOOKUP(B557,'General price list'!C:BA,MATCH("CBM",'General price list'!$C$20:$BA$20,0),FALSE)*D557,VLOOKUP(B557,'General price list'!C:BA,MATCH("CBM",'General price list'!$C$20:$BA$20,0),FALSE)*(G557*C557)),0))</f>
        <v>0</v>
      </c>
    </row>
    <row r="558" spans="2:10" ht="15" customHeight="1">
      <c r="B558" s="790" t="str">
        <f>IF(B557="PAL","",'General price list'!C578)</f>
        <v>C9625MF/C14</v>
      </c>
      <c r="C558" s="1" t="str">
        <f>IF(B558="PAL","",IFERROR(VLOOKUP(B558,'General price list'!C:BA,MATCH("PAL",'General price list'!$C$20:$BA$20,0),FALSE),""))</f>
        <v/>
      </c>
      <c r="D558" s="1">
        <f>IF(B558="PAL","",IFERROR(VLOOKUP(B558,'General price list'!C:BA,MATCH("OBJ",'General price list'!$C$20:$BA$20,0),FALSE),""))</f>
        <v>0</v>
      </c>
      <c r="E558" s="1">
        <f t="shared" si="56"/>
        <v>0</v>
      </c>
      <c r="F558" s="1">
        <f t="shared" si="57"/>
        <v>0</v>
      </c>
      <c r="G558" s="1">
        <f t="shared" si="58"/>
        <v>0</v>
      </c>
      <c r="H558" s="1">
        <f t="shared" si="59"/>
        <v>0</v>
      </c>
      <c r="I558" s="1">
        <f t="shared" si="60"/>
        <v>0</v>
      </c>
      <c r="J558">
        <f>IF(B558="PAL","",IFERROR(IF(C558="",VLOOKUP(B558,'General price list'!C:BA,MATCH("CBM",'General price list'!$C$20:$BA$20,0),FALSE)*D558,VLOOKUP(B558,'General price list'!C:BA,MATCH("CBM",'General price list'!$C$20:$BA$20,0),FALSE)*(G558*C558)),0))</f>
        <v>0</v>
      </c>
    </row>
    <row r="559" spans="2:10" ht="15" customHeight="1">
      <c r="B559" s="790" t="str">
        <f>IF(B558="PAL","",'General price list'!C579)</f>
        <v>C9825C/C14</v>
      </c>
      <c r="C559" s="1" t="str">
        <f>IF(B559="PAL","",IFERROR(VLOOKUP(B559,'General price list'!C:BA,MATCH("PAL",'General price list'!$C$20:$BA$20,0),FALSE),""))</f>
        <v/>
      </c>
      <c r="D559" s="1">
        <f>IF(B559="PAL","",IFERROR(VLOOKUP(B559,'General price list'!C:BA,MATCH("OBJ",'General price list'!$C$20:$BA$20,0),FALSE),""))</f>
        <v>0</v>
      </c>
      <c r="E559" s="1">
        <f t="shared" si="56"/>
        <v>0</v>
      </c>
      <c r="F559" s="1">
        <f t="shared" si="57"/>
        <v>0</v>
      </c>
      <c r="G559" s="1">
        <f t="shared" si="58"/>
        <v>0</v>
      </c>
      <c r="H559" s="1">
        <f t="shared" si="59"/>
        <v>0</v>
      </c>
      <c r="I559" s="1">
        <f t="shared" si="60"/>
        <v>0</v>
      </c>
      <c r="J559">
        <f>IF(B559="PAL","",IFERROR(IF(C559="",VLOOKUP(B559,'General price list'!C:BA,MATCH("CBM",'General price list'!$C$20:$BA$20,0),FALSE)*D559,VLOOKUP(B559,'General price list'!C:BA,MATCH("CBM",'General price list'!$C$20:$BA$20,0),FALSE)*(G559*C559)),0))</f>
        <v>0</v>
      </c>
    </row>
    <row r="560" spans="2:10" ht="15" customHeight="1">
      <c r="B560" s="790" t="str">
        <f>IF(B559="PAL","",'General price list'!C580)</f>
        <v>C9825SIG/C14</v>
      </c>
      <c r="C560" s="1" t="str">
        <f>IF(B560="PAL","",IFERROR(VLOOKUP(B560,'General price list'!C:BA,MATCH("PAL",'General price list'!$C$20:$BA$20,0),FALSE),""))</f>
        <v/>
      </c>
      <c r="D560" s="1">
        <f>IF(B560="PAL","",IFERROR(VLOOKUP(B560,'General price list'!C:BA,MATCH("OBJ",'General price list'!$C$20:$BA$20,0),FALSE),""))</f>
        <v>0</v>
      </c>
      <c r="E560" s="1">
        <f t="shared" si="56"/>
        <v>0</v>
      </c>
      <c r="F560" s="1">
        <f t="shared" si="57"/>
        <v>0</v>
      </c>
      <c r="G560" s="1">
        <f t="shared" si="58"/>
        <v>0</v>
      </c>
      <c r="H560" s="1">
        <f t="shared" si="59"/>
        <v>0</v>
      </c>
      <c r="I560" s="1">
        <f t="shared" si="60"/>
        <v>0</v>
      </c>
      <c r="J560">
        <f>IF(B560="PAL","",IFERROR(IF(C560="",VLOOKUP(B560,'General price list'!C:BA,MATCH("CBM",'General price list'!$C$20:$BA$20,0),FALSE)*D560,VLOOKUP(B560,'General price list'!C:BA,MATCH("CBM",'General price list'!$C$20:$BA$20,0),FALSE)*(G560*C560)),0))</f>
        <v>0</v>
      </c>
    </row>
    <row r="561" spans="2:10" ht="15" customHeight="1">
      <c r="B561" s="790" t="str">
        <f>IF(B560="PAL","",'General price list'!C581)</f>
        <v>C10025BPW/C14</v>
      </c>
      <c r="C561" s="1" t="str">
        <f>IF(B561="PAL","",IFERROR(VLOOKUP(B561,'General price list'!C:BA,MATCH("PAL",'General price list'!$C$20:$BA$20,0),FALSE),""))</f>
        <v/>
      </c>
      <c r="D561" s="1">
        <f>IF(B561="PAL","",IFERROR(VLOOKUP(B561,'General price list'!C:BA,MATCH("OBJ",'General price list'!$C$20:$BA$20,0),FALSE),""))</f>
        <v>0</v>
      </c>
      <c r="E561" s="1">
        <f t="shared" si="56"/>
        <v>0</v>
      </c>
      <c r="F561" s="1">
        <f t="shared" si="57"/>
        <v>0</v>
      </c>
      <c r="G561" s="1">
        <f t="shared" si="58"/>
        <v>0</v>
      </c>
      <c r="H561" s="1">
        <f t="shared" si="59"/>
        <v>0</v>
      </c>
      <c r="I561" s="1">
        <f t="shared" si="60"/>
        <v>0</v>
      </c>
      <c r="J561">
        <f>IF(B561="PAL","",IFERROR(IF(C561="",VLOOKUP(B561,'General price list'!C:BA,MATCH("CBM",'General price list'!$C$20:$BA$20,0),FALSE)*D561,VLOOKUP(B561,'General price list'!C:BA,MATCH("CBM",'General price list'!$C$20:$BA$20,0),FALSE)*(G561*C561)),0))</f>
        <v>0</v>
      </c>
    </row>
    <row r="562" spans="2:10" ht="15" customHeight="1">
      <c r="B562" s="790" t="str">
        <f>IF(B561="PAL","",'General price list'!C582)</f>
        <v>C14025XFS/C14</v>
      </c>
      <c r="C562" s="1" t="str">
        <f>IF(B562="PAL","",IFERROR(VLOOKUP(B562,'General price list'!C:BA,MATCH("PAL",'General price list'!$C$20:$BA$20,0),FALSE),""))</f>
        <v/>
      </c>
      <c r="D562" s="1">
        <f>IF(B562="PAL","",IFERROR(VLOOKUP(B562,'General price list'!C:BA,MATCH("OBJ",'General price list'!$C$20:$BA$20,0),FALSE),""))</f>
        <v>0</v>
      </c>
      <c r="E562" s="1">
        <f t="shared" si="56"/>
        <v>0</v>
      </c>
      <c r="F562" s="1">
        <f t="shared" si="57"/>
        <v>0</v>
      </c>
      <c r="G562" s="1">
        <f t="shared" si="58"/>
        <v>0</v>
      </c>
      <c r="H562" s="1">
        <f t="shared" si="59"/>
        <v>0</v>
      </c>
      <c r="I562" s="1">
        <f t="shared" si="60"/>
        <v>0</v>
      </c>
      <c r="J562">
        <f>IF(B562="PAL","",IFERROR(IF(C562="",VLOOKUP(B562,'General price list'!C:BA,MATCH("CBM",'General price list'!$C$20:$BA$20,0),FALSE)*D562,VLOOKUP(B562,'General price list'!C:BA,MATCH("CBM",'General price list'!$C$20:$BA$20,0),FALSE)*(G562*C562)),0))</f>
        <v>0</v>
      </c>
    </row>
    <row r="563" spans="2:10" ht="15" customHeight="1">
      <c r="B563" s="790" t="str">
        <f>IF(B562="PAL","",'General price list'!C583)</f>
        <v>C19225MF/C14</v>
      </c>
      <c r="C563" s="1" t="str">
        <f>IF(B563="PAL","",IFERROR(VLOOKUP(B563,'General price list'!C:BA,MATCH("PAL",'General price list'!$C$20:$BA$20,0),FALSE),""))</f>
        <v/>
      </c>
      <c r="D563" s="1">
        <f>IF(B563="PAL","",IFERROR(VLOOKUP(B563,'General price list'!C:BA,MATCH("OBJ",'General price list'!$C$20:$BA$20,0),FALSE),""))</f>
        <v>0</v>
      </c>
      <c r="E563" s="1">
        <f t="shared" si="56"/>
        <v>0</v>
      </c>
      <c r="F563" s="1">
        <f t="shared" si="57"/>
        <v>0</v>
      </c>
      <c r="G563" s="1">
        <f t="shared" si="58"/>
        <v>0</v>
      </c>
      <c r="H563" s="1">
        <f t="shared" si="59"/>
        <v>0</v>
      </c>
      <c r="I563" s="1">
        <f t="shared" si="60"/>
        <v>0</v>
      </c>
      <c r="J563">
        <f>IF(B563="PAL","",IFERROR(IF(C563="",VLOOKUP(B563,'General price list'!C:BA,MATCH("CBM",'General price list'!$C$20:$BA$20,0),FALSE)*D563,VLOOKUP(B563,'General price list'!C:BA,MATCH("CBM",'General price list'!$C$20:$BA$20,0),FALSE)*(G563*C563)),0))</f>
        <v>0</v>
      </c>
    </row>
    <row r="564" spans="2:10" ht="15" customHeight="1">
      <c r="B564" s="790" t="str">
        <f>IF(B563="PAL","",'General price list'!C584)</f>
        <v>C19625/C14</v>
      </c>
      <c r="C564" s="1" t="str">
        <f>IF(B564="PAL","",IFERROR(VLOOKUP(B564,'General price list'!C:BA,MATCH("PAL",'General price list'!$C$20:$BA$20,0),FALSE),""))</f>
        <v/>
      </c>
      <c r="D564" s="1">
        <f>IF(B564="PAL","",IFERROR(VLOOKUP(B564,'General price list'!C:BA,MATCH("OBJ",'General price list'!$C$20:$BA$20,0),FALSE),""))</f>
        <v>0</v>
      </c>
      <c r="E564" s="1">
        <f t="shared" si="56"/>
        <v>0</v>
      </c>
      <c r="F564" s="1">
        <f t="shared" si="57"/>
        <v>0</v>
      </c>
      <c r="G564" s="1">
        <f t="shared" si="58"/>
        <v>0</v>
      </c>
      <c r="H564" s="1">
        <f t="shared" si="59"/>
        <v>0</v>
      </c>
      <c r="I564" s="1">
        <f t="shared" si="60"/>
        <v>0</v>
      </c>
      <c r="J564">
        <f>IF(B564="PAL","",IFERROR(IF(C564="",VLOOKUP(B564,'General price list'!C:BA,MATCH("CBM",'General price list'!$C$20:$BA$20,0),FALSE)*D564,VLOOKUP(B564,'General price list'!C:BA,MATCH("CBM",'General price list'!$C$20:$BA$20,0),FALSE)*(G564*C564)),0))</f>
        <v>0</v>
      </c>
    </row>
    <row r="565" spans="2:10" ht="15" customHeight="1">
      <c r="B565" s="790" t="str">
        <f>IF(B564="PAL","",'General price list'!C585)</f>
        <v>C1-C2 C40025F/C14</v>
      </c>
      <c r="C565" s="1" t="str">
        <f>IF(B565="PAL","",IFERROR(VLOOKUP(B565,'General price list'!C:BA,MATCH("PAL",'General price list'!$C$20:$BA$20,0),FALSE),""))</f>
        <v/>
      </c>
      <c r="D565" s="1">
        <f>IF(B565="PAL","",IFERROR(VLOOKUP(B565,'General price list'!C:BA,MATCH("OBJ",'General price list'!$C$20:$BA$20,0),FALSE),""))</f>
        <v>0</v>
      </c>
      <c r="E565" s="1">
        <f t="shared" si="56"/>
        <v>0</v>
      </c>
      <c r="F565" s="1">
        <f t="shared" si="57"/>
        <v>0</v>
      </c>
      <c r="G565" s="1">
        <f t="shared" si="58"/>
        <v>0</v>
      </c>
      <c r="H565" s="1">
        <f t="shared" si="59"/>
        <v>0</v>
      </c>
      <c r="I565" s="1">
        <f t="shared" si="60"/>
        <v>0</v>
      </c>
      <c r="J565">
        <f>IF(B565="PAL","",IFERROR(IF(C565="",VLOOKUP(B565,'General price list'!C:BA,MATCH("CBM",'General price list'!$C$20:$BA$20,0),FALSE)*D565,VLOOKUP(B565,'General price list'!C:BA,MATCH("CBM",'General price list'!$C$20:$BA$20,0),FALSE)*(G565*C565)),0))</f>
        <v>0</v>
      </c>
    </row>
    <row r="566" spans="2:10" ht="15" customHeight="1">
      <c r="B566" s="790">
        <f>IF(B565="PAL","",'General price list'!C586)</f>
        <v>0</v>
      </c>
      <c r="C566" s="1" t="str">
        <f>IF(B566="PAL","",IFERROR(VLOOKUP(B566,'General price list'!C:BA,MATCH("PAL",'General price list'!$C$20:$BA$20,0),FALSE),""))</f>
        <v/>
      </c>
      <c r="D566" s="1" t="str">
        <f>IF(B566="PAL","",IFERROR(VLOOKUP(B566,'General price list'!C:BA,MATCH("OBJ",'General price list'!$C$20:$BA$20,0),FALSE),""))</f>
        <v/>
      </c>
      <c r="E566" s="1">
        <f t="shared" si="56"/>
        <v>0</v>
      </c>
      <c r="F566" s="1">
        <f t="shared" si="57"/>
        <v>0</v>
      </c>
      <c r="G566" s="1">
        <f t="shared" si="58"/>
        <v>0</v>
      </c>
      <c r="H566" s="1">
        <f t="shared" si="59"/>
        <v>0</v>
      </c>
      <c r="I566" s="1">
        <f t="shared" si="60"/>
        <v>0</v>
      </c>
      <c r="J566">
        <f>IF(B566="PAL","",IFERROR(IF(C566="",VLOOKUP(B566,'General price list'!C:BA,MATCH("CBM",'General price list'!$C$20:$BA$20,0),FALSE)*D566,VLOOKUP(B566,'General price list'!C:BA,MATCH("CBM",'General price list'!$C$20:$BA$20,0),FALSE)*(G566*C566)),0))</f>
        <v>0</v>
      </c>
    </row>
    <row r="567" spans="2:10" ht="15" customHeight="1">
      <c r="B567" s="790" t="str">
        <f>IF(B566="PAL","",'General price list'!C587)</f>
        <v>C9825C/C</v>
      </c>
      <c r="C567" s="1" t="str">
        <f>IF(B567="PAL","",IFERROR(VLOOKUP(B567,'General price list'!C:BA,MATCH("PAL",'General price list'!$C$20:$BA$20,0),FALSE),""))</f>
        <v/>
      </c>
      <c r="D567" s="1">
        <f>IF(B567="PAL","",IFERROR(VLOOKUP(B567,'General price list'!C:BA,MATCH("OBJ",'General price list'!$C$20:$BA$20,0),FALSE),""))</f>
        <v>0</v>
      </c>
      <c r="E567" s="1">
        <f t="shared" si="56"/>
        <v>0</v>
      </c>
      <c r="F567" s="1">
        <f t="shared" si="57"/>
        <v>0</v>
      </c>
      <c r="G567" s="1">
        <f t="shared" si="58"/>
        <v>0</v>
      </c>
      <c r="H567" s="1">
        <f t="shared" si="59"/>
        <v>0</v>
      </c>
      <c r="I567" s="1">
        <f t="shared" si="60"/>
        <v>0</v>
      </c>
      <c r="J567">
        <f>IF(B567="PAL","",IFERROR(IF(C567="",VLOOKUP(B567,'General price list'!C:BA,MATCH("CBM",'General price list'!$C$20:$BA$20,0),FALSE)*D567,VLOOKUP(B567,'General price list'!C:BA,MATCH("CBM",'General price list'!$C$20:$BA$20,0),FALSE)*(G567*C567)),0))</f>
        <v>0</v>
      </c>
    </row>
    <row r="568" spans="2:10" ht="15" customHeight="1">
      <c r="B568" s="790" t="str">
        <f>IF(B567="PAL","",'General price list'!C588)</f>
        <v>C10025SIG/C</v>
      </c>
      <c r="C568" s="1" t="str">
        <f>IF(B568="PAL","",IFERROR(VLOOKUP(B568,'General price list'!C:BA,MATCH("PAL",'General price list'!$C$20:$BA$20,0),FALSE),""))</f>
        <v/>
      </c>
      <c r="D568" s="1">
        <f>IF(B568="PAL","",IFERROR(VLOOKUP(B568,'General price list'!C:BA,MATCH("OBJ",'General price list'!$C$20:$BA$20,0),FALSE),""))</f>
        <v>0</v>
      </c>
      <c r="E568" s="1">
        <f t="shared" si="56"/>
        <v>0</v>
      </c>
      <c r="F568" s="1">
        <f t="shared" si="57"/>
        <v>0</v>
      </c>
      <c r="G568" s="1">
        <f t="shared" si="58"/>
        <v>0</v>
      </c>
      <c r="H568" s="1">
        <f t="shared" si="59"/>
        <v>0</v>
      </c>
      <c r="I568" s="1">
        <f t="shared" si="60"/>
        <v>0</v>
      </c>
      <c r="J568">
        <f>IF(B568="PAL","",IFERROR(IF(C568="",VLOOKUP(B568,'General price list'!C:BA,MATCH("CBM",'General price list'!$C$20:$BA$20,0),FALSE)*D568,VLOOKUP(B568,'General price list'!C:BA,MATCH("CBM",'General price list'!$C$20:$BA$20,0),FALSE)*(G568*C568)),0))</f>
        <v>0</v>
      </c>
    </row>
    <row r="569" spans="2:10" ht="15" customHeight="1">
      <c r="B569" s="790" t="str">
        <f>IF(B568="PAL","",'General price list'!C589)</f>
        <v>C14025XFS/C</v>
      </c>
      <c r="C569" s="1" t="str">
        <f>IF(B569="PAL","",IFERROR(VLOOKUP(B569,'General price list'!C:BA,MATCH("PAL",'General price list'!$C$20:$BA$20,0),FALSE),""))</f>
        <v/>
      </c>
      <c r="D569" s="1">
        <f>IF(B569="PAL","",IFERROR(VLOOKUP(B569,'General price list'!C:BA,MATCH("OBJ",'General price list'!$C$20:$BA$20,0),FALSE),""))</f>
        <v>0</v>
      </c>
      <c r="E569" s="1">
        <f t="shared" si="56"/>
        <v>0</v>
      </c>
      <c r="F569" s="1">
        <f t="shared" si="57"/>
        <v>0</v>
      </c>
      <c r="G569" s="1">
        <f t="shared" si="58"/>
        <v>0</v>
      </c>
      <c r="H569" s="1">
        <f t="shared" si="59"/>
        <v>0</v>
      </c>
      <c r="I569" s="1">
        <f t="shared" si="60"/>
        <v>0</v>
      </c>
      <c r="J569">
        <f>IF(B569="PAL","",IFERROR(IF(C569="",VLOOKUP(B569,'General price list'!C:BA,MATCH("CBM",'General price list'!$C$20:$BA$20,0),FALSE)*D569,VLOOKUP(B569,'General price list'!C:BA,MATCH("CBM",'General price list'!$C$20:$BA$20,0),FALSE)*(G569*C569)),0))</f>
        <v>0</v>
      </c>
    </row>
    <row r="570" spans="2:10" ht="15" customHeight="1">
      <c r="B570" s="790" t="str">
        <f>IF(B569="PAL","",'General price list'!C590)</f>
        <v>C19625F/C</v>
      </c>
      <c r="C570" s="1" t="str">
        <f>IF(B570="PAL","",IFERROR(VLOOKUP(B570,'General price list'!C:BA,MATCH("PAL",'General price list'!$C$20:$BA$20,0),FALSE),""))</f>
        <v/>
      </c>
      <c r="D570" s="1">
        <f>IF(B570="PAL","",IFERROR(VLOOKUP(B570,'General price list'!C:BA,MATCH("OBJ",'General price list'!$C$20:$BA$20,0),FALSE),""))</f>
        <v>0</v>
      </c>
      <c r="E570" s="1">
        <f t="shared" si="56"/>
        <v>0</v>
      </c>
      <c r="F570" s="1">
        <f t="shared" si="57"/>
        <v>0</v>
      </c>
      <c r="G570" s="1">
        <f t="shared" si="58"/>
        <v>0</v>
      </c>
      <c r="H570" s="1">
        <f t="shared" si="59"/>
        <v>0</v>
      </c>
      <c r="I570" s="1">
        <f t="shared" si="60"/>
        <v>0</v>
      </c>
      <c r="J570">
        <f>IF(B570="PAL","",IFERROR(IF(C570="",VLOOKUP(B570,'General price list'!C:BA,MATCH("CBM",'General price list'!$C$20:$BA$20,0),FALSE)*D570,VLOOKUP(B570,'General price list'!C:BA,MATCH("CBM",'General price list'!$C$20:$BA$20,0),FALSE)*(G570*C570)),0))</f>
        <v>0</v>
      </c>
    </row>
    <row r="571" spans="2:10" ht="15" customHeight="1">
      <c r="B571" s="790" t="str">
        <f>IF(B570="PAL","",'General price list'!C591)</f>
        <v>C20025I/C</v>
      </c>
      <c r="C571" s="1" t="str">
        <f>IF(B571="PAL","",IFERROR(VLOOKUP(B571,'General price list'!C:BA,MATCH("PAL",'General price list'!$C$20:$BA$20,0),FALSE),""))</f>
        <v/>
      </c>
      <c r="D571" s="1">
        <f>IF(B571="PAL","",IFERROR(VLOOKUP(B571,'General price list'!C:BA,MATCH("OBJ",'General price list'!$C$20:$BA$20,0),FALSE),""))</f>
        <v>0</v>
      </c>
      <c r="E571" s="1">
        <f t="shared" si="56"/>
        <v>0</v>
      </c>
      <c r="F571" s="1">
        <f t="shared" si="57"/>
        <v>0</v>
      </c>
      <c r="G571" s="1">
        <f t="shared" si="58"/>
        <v>0</v>
      </c>
      <c r="H571" s="1">
        <f t="shared" si="59"/>
        <v>0</v>
      </c>
      <c r="I571" s="1">
        <f t="shared" si="60"/>
        <v>0</v>
      </c>
      <c r="J571">
        <f>IF(B571="PAL","",IFERROR(IF(C571="",VLOOKUP(B571,'General price list'!C:BA,MATCH("CBM",'General price list'!$C$20:$BA$20,0),FALSE)*D571,VLOOKUP(B571,'General price list'!C:BA,MATCH("CBM",'General price list'!$C$20:$BA$20,0),FALSE)*(G571*C571)),0))</f>
        <v>0</v>
      </c>
    </row>
    <row r="572" spans="2:10" ht="15" customHeight="1">
      <c r="B572" s="790">
        <f>IF(B571="PAL","",'General price list'!C592)</f>
        <v>0</v>
      </c>
      <c r="C572" s="1" t="str">
        <f>IF(B572="PAL","",IFERROR(VLOOKUP(B572,'General price list'!C:BA,MATCH("PAL",'General price list'!$C$20:$BA$20,0),FALSE),""))</f>
        <v/>
      </c>
      <c r="D572" s="1" t="str">
        <f>IF(B572="PAL","",IFERROR(VLOOKUP(B572,'General price list'!C:BA,MATCH("OBJ",'General price list'!$C$20:$BA$20,0),FALSE),""))</f>
        <v/>
      </c>
      <c r="E572" s="1">
        <f t="shared" si="56"/>
        <v>0</v>
      </c>
      <c r="F572" s="1">
        <f t="shared" si="57"/>
        <v>0</v>
      </c>
      <c r="G572" s="1">
        <f t="shared" si="58"/>
        <v>0</v>
      </c>
      <c r="H572" s="1">
        <f t="shared" si="59"/>
        <v>0</v>
      </c>
      <c r="I572" s="1">
        <f t="shared" si="60"/>
        <v>0</v>
      </c>
      <c r="J572">
        <f>IF(B572="PAL","",IFERROR(IF(C572="",VLOOKUP(B572,'General price list'!C:BA,MATCH("CBM",'General price list'!$C$20:$BA$20,0),FALSE)*D572,VLOOKUP(B572,'General price list'!C:BA,MATCH("CBM",'General price list'!$C$20:$BA$20,0),FALSE)*(G572*C572)),0))</f>
        <v>0</v>
      </c>
    </row>
    <row r="573" spans="2:10" ht="15" customHeight="1">
      <c r="B573" s="790" t="str">
        <f>IF(B572="PAL","",'General price list'!C593)</f>
        <v>C17825W/C</v>
      </c>
      <c r="C573" s="1" t="str">
        <f>IF(B573="PAL","",IFERROR(VLOOKUP(B573,'General price list'!C:BA,MATCH("PAL",'General price list'!$C$20:$BA$20,0),FALSE),""))</f>
        <v/>
      </c>
      <c r="D573" s="1">
        <f>IF(B573="PAL","",IFERROR(VLOOKUP(B573,'General price list'!C:BA,MATCH("OBJ",'General price list'!$C$20:$BA$20,0),FALSE),""))</f>
        <v>0</v>
      </c>
      <c r="E573" s="1">
        <f t="shared" si="56"/>
        <v>0</v>
      </c>
      <c r="F573" s="1">
        <f t="shared" si="57"/>
        <v>0</v>
      </c>
      <c r="G573" s="1">
        <f t="shared" si="58"/>
        <v>0</v>
      </c>
      <c r="H573" s="1">
        <f t="shared" si="59"/>
        <v>0</v>
      </c>
      <c r="I573" s="1">
        <f t="shared" si="60"/>
        <v>0</v>
      </c>
      <c r="J573">
        <f>IF(B573="PAL","",IFERROR(IF(C573="",VLOOKUP(B573,'General price list'!C:BA,MATCH("CBM",'General price list'!$C$20:$BA$20,0),FALSE)*D573,VLOOKUP(B573,'General price list'!C:BA,MATCH("CBM",'General price list'!$C$20:$BA$20,0),FALSE)*(G573*C573)),0))</f>
        <v>0</v>
      </c>
    </row>
    <row r="574" spans="2:10" ht="15" customHeight="1">
      <c r="B574" s="790" t="str">
        <f>IF(B573="PAL","",'General price list'!C594)</f>
        <v>C20025F/C</v>
      </c>
      <c r="C574" s="1" t="str">
        <f>IF(B574="PAL","",IFERROR(VLOOKUP(B574,'General price list'!C:BA,MATCH("PAL",'General price list'!$C$20:$BA$20,0),FALSE),""))</f>
        <v/>
      </c>
      <c r="D574" s="1">
        <f>IF(B574="PAL","",IFERROR(VLOOKUP(B574,'General price list'!C:BA,MATCH("OBJ",'General price list'!$C$20:$BA$20,0),FALSE),""))</f>
        <v>0</v>
      </c>
      <c r="E574" s="1">
        <f t="shared" si="56"/>
        <v>0</v>
      </c>
      <c r="F574" s="1">
        <f t="shared" si="57"/>
        <v>0</v>
      </c>
      <c r="G574" s="1">
        <f t="shared" si="58"/>
        <v>0</v>
      </c>
      <c r="H574" s="1">
        <f t="shared" si="59"/>
        <v>0</v>
      </c>
      <c r="I574" s="1">
        <f t="shared" si="60"/>
        <v>0</v>
      </c>
      <c r="J574">
        <f>IF(B574="PAL","",IFERROR(IF(C574="",VLOOKUP(B574,'General price list'!C:BA,MATCH("CBM",'General price list'!$C$20:$BA$20,0),FALSE)*D574,VLOOKUP(B574,'General price list'!C:BA,MATCH("CBM",'General price list'!$C$20:$BA$20,0),FALSE)*(G574*C574)),0))</f>
        <v>0</v>
      </c>
    </row>
    <row r="575" spans="2:10" ht="15" customHeight="1">
      <c r="B575" s="790" t="str">
        <f>IF(B574="PAL","",'General price list'!C595)</f>
        <v>C30025F/C</v>
      </c>
      <c r="C575" s="1" t="str">
        <f>IF(B575="PAL","",IFERROR(VLOOKUP(B575,'General price list'!C:BA,MATCH("PAL",'General price list'!$C$20:$BA$20,0),FALSE),""))</f>
        <v/>
      </c>
      <c r="D575" s="1">
        <f>IF(B575="PAL","",IFERROR(VLOOKUP(B575,'General price list'!C:BA,MATCH("OBJ",'General price list'!$C$20:$BA$20,0),FALSE),""))</f>
        <v>0</v>
      </c>
      <c r="E575" s="1">
        <f t="shared" si="56"/>
        <v>0</v>
      </c>
      <c r="F575" s="1">
        <f t="shared" si="57"/>
        <v>0</v>
      </c>
      <c r="G575" s="1">
        <f t="shared" si="58"/>
        <v>0</v>
      </c>
      <c r="H575" s="1">
        <f t="shared" si="59"/>
        <v>0</v>
      </c>
      <c r="I575" s="1">
        <f t="shared" si="60"/>
        <v>0</v>
      </c>
      <c r="J575">
        <f>IF(B575="PAL","",IFERROR(IF(C575="",VLOOKUP(B575,'General price list'!C:BA,MATCH("CBM",'General price list'!$C$20:$BA$20,0),FALSE)*D575,VLOOKUP(B575,'General price list'!C:BA,MATCH("CBM",'General price list'!$C$20:$BA$20,0),FALSE)*(G575*C575)),0))</f>
        <v>0</v>
      </c>
    </row>
    <row r="576" spans="2:10" ht="15" customHeight="1">
      <c r="B576" s="790" t="str">
        <f>IF(B575="PAL","",'General price list'!C596)</f>
        <v>C40025F/C</v>
      </c>
      <c r="C576" s="1" t="str">
        <f>IF(B576="PAL","",IFERROR(VLOOKUP(B576,'General price list'!C:BA,MATCH("PAL",'General price list'!$C$20:$BA$20,0),FALSE),""))</f>
        <v/>
      </c>
      <c r="D576" s="1">
        <f>IF(B576="PAL","",IFERROR(VLOOKUP(B576,'General price list'!C:BA,MATCH("OBJ",'General price list'!$C$20:$BA$20,0),FALSE),""))</f>
        <v>0</v>
      </c>
      <c r="E576" s="1">
        <f t="shared" si="56"/>
        <v>0</v>
      </c>
      <c r="F576" s="1">
        <f t="shared" si="57"/>
        <v>0</v>
      </c>
      <c r="G576" s="1">
        <f t="shared" si="58"/>
        <v>0</v>
      </c>
      <c r="H576" s="1">
        <f t="shared" si="59"/>
        <v>0</v>
      </c>
      <c r="I576" s="1">
        <f t="shared" si="60"/>
        <v>0</v>
      </c>
      <c r="J576">
        <f>IF(B576="PAL","",IFERROR(IF(C576="",VLOOKUP(B576,'General price list'!C:BA,MATCH("CBM",'General price list'!$C$20:$BA$20,0),FALSE)*D576,VLOOKUP(B576,'General price list'!C:BA,MATCH("CBM",'General price list'!$C$20:$BA$20,0),FALSE)*(G576*C576)),0))</f>
        <v>0</v>
      </c>
    </row>
    <row r="577" spans="2:10" ht="15" customHeight="1">
      <c r="B577" s="790">
        <f>IF(B576="PAL","",'General price list'!C597)</f>
        <v>0</v>
      </c>
      <c r="C577" s="1" t="str">
        <f>IF(B577="PAL","",IFERROR(VLOOKUP(B577,'General price list'!C:BA,MATCH("PAL",'General price list'!$C$20:$BA$20,0),FALSE),""))</f>
        <v/>
      </c>
      <c r="D577" s="1" t="str">
        <f>IF(B577="PAL","",IFERROR(VLOOKUP(B577,'General price list'!C:BA,MATCH("OBJ",'General price list'!$C$20:$BA$20,0),FALSE),""))</f>
        <v/>
      </c>
      <c r="E577" s="1">
        <f t="shared" si="56"/>
        <v>0</v>
      </c>
      <c r="F577" s="1">
        <f t="shared" si="57"/>
        <v>0</v>
      </c>
      <c r="G577" s="1">
        <f t="shared" si="58"/>
        <v>0</v>
      </c>
      <c r="H577" s="1">
        <f t="shared" si="59"/>
        <v>0</v>
      </c>
      <c r="I577" s="1">
        <f t="shared" si="60"/>
        <v>0</v>
      </c>
      <c r="J577">
        <f>IF(B577="PAL","",IFERROR(IF(C577="",VLOOKUP(B577,'General price list'!C:BA,MATCH("CBM",'General price list'!$C$20:$BA$20,0),FALSE)*D577,VLOOKUP(B577,'General price list'!C:BA,MATCH("CBM",'General price list'!$C$20:$BA$20,0),FALSE)*(G577*C577)),0))</f>
        <v>0</v>
      </c>
    </row>
    <row r="578" spans="2:10" ht="15" customHeight="1">
      <c r="B578" s="790" t="str">
        <f>IF(B577="PAL","",'General price list'!C598)</f>
        <v>C163BP</v>
      </c>
      <c r="C578" s="1" t="str">
        <f>IF(B578="PAL","",IFERROR(VLOOKUP(B578,'General price list'!C:BA,MATCH("PAL",'General price list'!$C$20:$BA$20,0),FALSE),""))</f>
        <v/>
      </c>
      <c r="D578" s="1">
        <f>IF(B578="PAL","",IFERROR(VLOOKUP(B578,'General price list'!C:BA,MATCH("OBJ",'General price list'!$C$20:$BA$20,0),FALSE),""))</f>
        <v>0</v>
      </c>
      <c r="E578" s="1">
        <f t="shared" si="56"/>
        <v>0</v>
      </c>
      <c r="F578" s="1">
        <f t="shared" si="57"/>
        <v>0</v>
      </c>
      <c r="G578" s="1">
        <f t="shared" si="58"/>
        <v>0</v>
      </c>
      <c r="H578" s="1">
        <f t="shared" si="59"/>
        <v>0</v>
      </c>
      <c r="I578" s="1">
        <f t="shared" si="60"/>
        <v>0</v>
      </c>
      <c r="J578">
        <f>IF(B578="PAL","",IFERROR(IF(C578="",VLOOKUP(B578,'General price list'!C:BA,MATCH("CBM",'General price list'!$C$20:$BA$20,0),FALSE)*D578,VLOOKUP(B578,'General price list'!C:BA,MATCH("CBM",'General price list'!$C$20:$BA$20,0),FALSE)*(G578*C578)),0))</f>
        <v>0</v>
      </c>
    </row>
    <row r="579" spans="2:10" ht="15" customHeight="1">
      <c r="B579" s="790" t="str">
        <f>IF(B578="PAL","",'General price list'!C599)</f>
        <v>C163SIG</v>
      </c>
      <c r="C579" s="1" t="str">
        <f>IF(B579="PAL","",IFERROR(VLOOKUP(B579,'General price list'!C:BA,MATCH("PAL",'General price list'!$C$20:$BA$20,0),FALSE),""))</f>
        <v/>
      </c>
      <c r="D579" s="1">
        <f>IF(B579="PAL","",IFERROR(VLOOKUP(B579,'General price list'!C:BA,MATCH("OBJ",'General price list'!$C$20:$BA$20,0),FALSE),""))</f>
        <v>0</v>
      </c>
      <c r="E579" s="1">
        <f t="shared" si="56"/>
        <v>0</v>
      </c>
      <c r="F579" s="1">
        <f t="shared" si="57"/>
        <v>0</v>
      </c>
      <c r="G579" s="1">
        <f t="shared" si="58"/>
        <v>0</v>
      </c>
      <c r="H579" s="1">
        <f t="shared" si="59"/>
        <v>0</v>
      </c>
      <c r="I579" s="1">
        <f t="shared" si="60"/>
        <v>0</v>
      </c>
      <c r="J579">
        <f>IF(B579="PAL","",IFERROR(IF(C579="",VLOOKUP(B579,'General price list'!C:BA,MATCH("CBM",'General price list'!$C$20:$BA$20,0),FALSE)*D579,VLOOKUP(B579,'General price list'!C:BA,MATCH("CBM",'General price list'!$C$20:$BA$20,0),FALSE)*(G579*C579)),0))</f>
        <v>0</v>
      </c>
    </row>
    <row r="580" spans="2:10" ht="15" customHeight="1">
      <c r="B580" s="790" t="str">
        <f>IF(B579="PAL","",'General price list'!C600)</f>
        <v>C163A</v>
      </c>
      <c r="C580" s="1" t="str">
        <f>IF(B580="PAL","",IFERROR(VLOOKUP(B580,'General price list'!C:BA,MATCH("PAL",'General price list'!$C$20:$BA$20,0),FALSE),""))</f>
        <v/>
      </c>
      <c r="D580" s="1">
        <f>IF(B580="PAL","",IFERROR(VLOOKUP(B580,'General price list'!C:BA,MATCH("OBJ",'General price list'!$C$20:$BA$20,0),FALSE),""))</f>
        <v>0</v>
      </c>
      <c r="E580" s="1">
        <f t="shared" si="56"/>
        <v>0</v>
      </c>
      <c r="F580" s="1">
        <f t="shared" si="57"/>
        <v>0</v>
      </c>
      <c r="G580" s="1">
        <f t="shared" si="58"/>
        <v>0</v>
      </c>
      <c r="H580" s="1">
        <f t="shared" si="59"/>
        <v>0</v>
      </c>
      <c r="I580" s="1">
        <f t="shared" si="60"/>
        <v>0</v>
      </c>
      <c r="J580">
        <f>IF(B580="PAL","",IFERROR(IF(C580="",VLOOKUP(B580,'General price list'!C:BA,MATCH("CBM",'General price list'!$C$20:$BA$20,0),FALSE)*D580,VLOOKUP(B580,'General price list'!C:BA,MATCH("CBM",'General price list'!$C$20:$BA$20,0),FALSE)*(G580*C580)),0))</f>
        <v>0</v>
      </c>
    </row>
    <row r="581" spans="2:10" ht="15" customHeight="1">
      <c r="B581" s="790" t="str">
        <f>IF(B580="PAL","",'General price list'!C601)</f>
        <v>C163B</v>
      </c>
      <c r="C581" s="1" t="str">
        <f>IF(B581="PAL","",IFERROR(VLOOKUP(B581,'General price list'!C:BA,MATCH("PAL",'General price list'!$C$20:$BA$20,0),FALSE),""))</f>
        <v/>
      </c>
      <c r="D581" s="1">
        <f>IF(B581="PAL","",IFERROR(VLOOKUP(B581,'General price list'!C:BA,MATCH("OBJ",'General price list'!$C$20:$BA$20,0),FALSE),""))</f>
        <v>0</v>
      </c>
      <c r="E581" s="1">
        <f t="shared" si="56"/>
        <v>0</v>
      </c>
      <c r="F581" s="1">
        <f t="shared" si="57"/>
        <v>0</v>
      </c>
      <c r="G581" s="1">
        <f t="shared" si="58"/>
        <v>0</v>
      </c>
      <c r="H581" s="1">
        <f t="shared" si="59"/>
        <v>0</v>
      </c>
      <c r="I581" s="1">
        <f t="shared" si="60"/>
        <v>0</v>
      </c>
      <c r="J581">
        <f>IF(B581="PAL","",IFERROR(IF(C581="",VLOOKUP(B581,'General price list'!C:BA,MATCH("CBM",'General price list'!$C$20:$BA$20,0),FALSE)*D581,VLOOKUP(B581,'General price list'!C:BA,MATCH("CBM",'General price list'!$C$20:$BA$20,0),FALSE)*(G581*C581)),0))</f>
        <v>0</v>
      </c>
    </row>
    <row r="582" spans="2:10" ht="15" customHeight="1">
      <c r="B582" s="790" t="str">
        <f>IF(B581="PAL","",'General price list'!C602)</f>
        <v>C163L</v>
      </c>
      <c r="C582" s="1" t="str">
        <f>IF(B582="PAL","",IFERROR(VLOOKUP(B582,'General price list'!C:BA,MATCH("PAL",'General price list'!$C$20:$BA$20,0),FALSE),""))</f>
        <v/>
      </c>
      <c r="D582" s="1">
        <f>IF(B582="PAL","",IFERROR(VLOOKUP(B582,'General price list'!C:BA,MATCH("OBJ",'General price list'!$C$20:$BA$20,0),FALSE),""))</f>
        <v>0</v>
      </c>
      <c r="E582" s="1">
        <f t="shared" si="56"/>
        <v>0</v>
      </c>
      <c r="F582" s="1">
        <f t="shared" si="57"/>
        <v>0</v>
      </c>
      <c r="G582" s="1">
        <f t="shared" si="58"/>
        <v>0</v>
      </c>
      <c r="H582" s="1">
        <f t="shared" si="59"/>
        <v>0</v>
      </c>
      <c r="I582" s="1">
        <f t="shared" si="60"/>
        <v>0</v>
      </c>
      <c r="J582">
        <f>IF(B582="PAL","",IFERROR(IF(C582="",VLOOKUP(B582,'General price list'!C:BA,MATCH("CBM",'General price list'!$C$20:$BA$20,0),FALSE)*D582,VLOOKUP(B582,'General price list'!C:BA,MATCH("CBM",'General price list'!$C$20:$BA$20,0),FALSE)*(G582*C582)),0))</f>
        <v>0</v>
      </c>
    </row>
    <row r="583" spans="2:10" ht="15" customHeight="1">
      <c r="B583" s="790" t="str">
        <f>IF(B582="PAL","",'General price list'!C603)</f>
        <v>C163E</v>
      </c>
      <c r="C583" s="1" t="str">
        <f>IF(B583="PAL","",IFERROR(VLOOKUP(B583,'General price list'!C:BA,MATCH("PAL",'General price list'!$C$20:$BA$20,0),FALSE),""))</f>
        <v/>
      </c>
      <c r="D583" s="1">
        <f>IF(B583="PAL","",IFERROR(VLOOKUP(B583,'General price list'!C:BA,MATCH("OBJ",'General price list'!$C$20:$BA$20,0),FALSE),""))</f>
        <v>0</v>
      </c>
      <c r="E583" s="1">
        <f t="shared" si="56"/>
        <v>0</v>
      </c>
      <c r="F583" s="1">
        <f t="shared" si="57"/>
        <v>0</v>
      </c>
      <c r="G583" s="1">
        <f t="shared" si="58"/>
        <v>0</v>
      </c>
      <c r="H583" s="1">
        <f t="shared" si="59"/>
        <v>0</v>
      </c>
      <c r="I583" s="1">
        <f t="shared" si="60"/>
        <v>0</v>
      </c>
      <c r="J583">
        <f>IF(B583="PAL","",IFERROR(IF(C583="",VLOOKUP(B583,'General price list'!C:BA,MATCH("CBM",'General price list'!$C$20:$BA$20,0),FALSE)*D583,VLOOKUP(B583,'General price list'!C:BA,MATCH("CBM",'General price list'!$C$20:$BA$20,0),FALSE)*(G583*C583)),0))</f>
        <v>0</v>
      </c>
    </row>
    <row r="584" spans="2:10" ht="15" customHeight="1">
      <c r="B584" s="790" t="str">
        <f>IF(B583="PAL","",'General price list'!C604)</f>
        <v>C163K</v>
      </c>
      <c r="C584" s="1" t="str">
        <f>IF(B584="PAL","",IFERROR(VLOOKUP(B584,'General price list'!C:BA,MATCH("PAL",'General price list'!$C$20:$BA$20,0),FALSE),""))</f>
        <v/>
      </c>
      <c r="D584" s="1">
        <f>IF(B584="PAL","",IFERROR(VLOOKUP(B584,'General price list'!C:BA,MATCH("OBJ",'General price list'!$C$20:$BA$20,0),FALSE),""))</f>
        <v>0</v>
      </c>
      <c r="E584" s="1">
        <f t="shared" si="56"/>
        <v>0</v>
      </c>
      <c r="F584" s="1">
        <f t="shared" si="57"/>
        <v>0</v>
      </c>
      <c r="G584" s="1">
        <f t="shared" si="58"/>
        <v>0</v>
      </c>
      <c r="H584" s="1">
        <f t="shared" si="59"/>
        <v>0</v>
      </c>
      <c r="I584" s="1">
        <f t="shared" si="60"/>
        <v>0</v>
      </c>
      <c r="J584">
        <f>IF(B584="PAL","",IFERROR(IF(C584="",VLOOKUP(B584,'General price list'!C:BA,MATCH("CBM",'General price list'!$C$20:$BA$20,0),FALSE)*D584,VLOOKUP(B584,'General price list'!C:BA,MATCH("CBM",'General price list'!$C$20:$BA$20,0),FALSE)*(G584*C584)),0))</f>
        <v>0</v>
      </c>
    </row>
    <row r="585" spans="2:10" ht="15" customHeight="1">
      <c r="B585" s="790">
        <f>IF(B584="PAL","",'General price list'!C605)</f>
        <v>0</v>
      </c>
      <c r="C585" s="1" t="str">
        <f>IF(B585="PAL","",IFERROR(VLOOKUP(B585,'General price list'!C:BA,MATCH("PAL",'General price list'!$C$20:$BA$20,0),FALSE),""))</f>
        <v/>
      </c>
      <c r="D585" s="1" t="str">
        <f>IF(B585="PAL","",IFERROR(VLOOKUP(B585,'General price list'!C:BA,MATCH("OBJ",'General price list'!$C$20:$BA$20,0),FALSE),""))</f>
        <v/>
      </c>
      <c r="E585" s="1">
        <f t="shared" si="56"/>
        <v>0</v>
      </c>
      <c r="F585" s="1">
        <f t="shared" si="57"/>
        <v>0</v>
      </c>
      <c r="G585" s="1">
        <f t="shared" si="58"/>
        <v>0</v>
      </c>
      <c r="H585" s="1">
        <f t="shared" si="59"/>
        <v>0</v>
      </c>
      <c r="I585" s="1">
        <f t="shared" si="60"/>
        <v>0</v>
      </c>
      <c r="J585">
        <f>IF(B585="PAL","",IFERROR(IF(C585="",VLOOKUP(B585,'General price list'!C:BA,MATCH("CBM",'General price list'!$C$20:$BA$20,0),FALSE)*D585,VLOOKUP(B585,'General price list'!C:BA,MATCH("CBM",'General price list'!$C$20:$BA$20,0),FALSE)*(G585*C585)),0))</f>
        <v>0</v>
      </c>
    </row>
    <row r="586" spans="2:10" ht="15" customHeight="1">
      <c r="B586" s="790" t="str">
        <f>IF(B585="PAL","",'General price list'!C606)</f>
        <v>C163A14</v>
      </c>
      <c r="C586" s="1" t="str">
        <f>IF(B586="PAL","",IFERROR(VLOOKUP(B586,'General price list'!C:BA,MATCH("PAL",'General price list'!$C$20:$BA$20,0),FALSE),""))</f>
        <v/>
      </c>
      <c r="D586" s="1">
        <f>IF(B586="PAL","",IFERROR(VLOOKUP(B586,'General price list'!C:BA,MATCH("OBJ",'General price list'!$C$20:$BA$20,0),FALSE),""))</f>
        <v>0</v>
      </c>
      <c r="E586" s="1">
        <f t="shared" si="56"/>
        <v>0</v>
      </c>
      <c r="F586" s="1">
        <f t="shared" si="57"/>
        <v>0</v>
      </c>
      <c r="G586" s="1">
        <f t="shared" si="58"/>
        <v>0</v>
      </c>
      <c r="H586" s="1">
        <f t="shared" si="59"/>
        <v>0</v>
      </c>
      <c r="I586" s="1">
        <f t="shared" si="60"/>
        <v>0</v>
      </c>
      <c r="J586">
        <f>IF(B586="PAL","",IFERROR(IF(C586="",VLOOKUP(B586,'General price list'!C:BA,MATCH("CBM",'General price list'!$C$20:$BA$20,0),FALSE)*D586,VLOOKUP(B586,'General price list'!C:BA,MATCH("CBM",'General price list'!$C$20:$BA$20,0),FALSE)*(G586*C586)),0))</f>
        <v>0</v>
      </c>
    </row>
    <row r="587" spans="2:10" ht="15" customHeight="1">
      <c r="B587" s="790">
        <f>IF(B586="PAL","",'General price list'!C607)</f>
        <v>0</v>
      </c>
      <c r="C587" s="1" t="str">
        <f>IF(B587="PAL","",IFERROR(VLOOKUP(B587,'General price list'!C:BA,MATCH("PAL",'General price list'!$C$20:$BA$20,0),FALSE),""))</f>
        <v/>
      </c>
      <c r="D587" s="1" t="str">
        <f>IF(B587="PAL","",IFERROR(VLOOKUP(B587,'General price list'!C:BA,MATCH("OBJ",'General price list'!$C$20:$BA$20,0),FALSE),""))</f>
        <v/>
      </c>
      <c r="E587" s="1">
        <f t="shared" si="56"/>
        <v>0</v>
      </c>
      <c r="F587" s="1">
        <f t="shared" si="57"/>
        <v>0</v>
      </c>
      <c r="G587" s="1">
        <f t="shared" si="58"/>
        <v>0</v>
      </c>
      <c r="H587" s="1">
        <f t="shared" si="59"/>
        <v>0</v>
      </c>
      <c r="I587" s="1">
        <f t="shared" si="60"/>
        <v>0</v>
      </c>
      <c r="J587">
        <f>IF(B587="PAL","",IFERROR(IF(C587="",VLOOKUP(B587,'General price list'!C:BA,MATCH("CBM",'General price list'!$C$20:$BA$20,0),FALSE)*D587,VLOOKUP(B587,'General price list'!C:BA,MATCH("CBM",'General price list'!$C$20:$BA$20,0),FALSE)*(G587*C587)),0))</f>
        <v>0</v>
      </c>
    </row>
    <row r="588" spans="2:10" ht="15" customHeight="1">
      <c r="B588" s="790" t="str">
        <f>IF(B587="PAL","",'General price list'!C608)</f>
        <v>C193BP</v>
      </c>
      <c r="C588" s="1" t="str">
        <f>IF(B588="PAL","",IFERROR(VLOOKUP(B588,'General price list'!C:BA,MATCH("PAL",'General price list'!$C$20:$BA$20,0),FALSE),""))</f>
        <v/>
      </c>
      <c r="D588" s="1">
        <f>IF(B588="PAL","",IFERROR(VLOOKUP(B588,'General price list'!C:BA,MATCH("OBJ",'General price list'!$C$20:$BA$20,0),FALSE),""))</f>
        <v>0</v>
      </c>
      <c r="E588" s="1">
        <f t="shared" ref="E588:E651" si="61">IF(B588="PAL","",IFERROR(D588/C588,0))</f>
        <v>0</v>
      </c>
      <c r="F588" s="1">
        <f t="shared" ref="F588:F651" si="62">IF(B588="PAL","",IFERROR(FLOOR(IF(E588-1&lt;0,0,E588),1),0))</f>
        <v>0</v>
      </c>
      <c r="G588" s="1">
        <f t="shared" ref="G588:G651" si="63">IF(B588="PAL","",IFERROR(IF(H588&gt;E588,F588-E588,E588-F588),0))</f>
        <v>0</v>
      </c>
      <c r="H588" s="1">
        <f t="shared" ref="H588:H651" si="64">IF(B588="PAL","",IFERROR(IF(E588=0,0,F588),0))</f>
        <v>0</v>
      </c>
      <c r="I588" s="1">
        <f t="shared" ref="I588:I651" si="65">IF(B588="PAL","",IFERROR(IF(D588=0,0,IF(F588=0,(D588*nextVK)+(prvniVK-nextVK),(G588*C588*nextVK)+(F588*PALzKoje))),0))</f>
        <v>0</v>
      </c>
      <c r="J588">
        <f>IF(B588="PAL","",IFERROR(IF(C588="",VLOOKUP(B588,'General price list'!C:BA,MATCH("CBM",'General price list'!$C$20:$BA$20,0),FALSE)*D588,VLOOKUP(B588,'General price list'!C:BA,MATCH("CBM",'General price list'!$C$20:$BA$20,0),FALSE)*(G588*C588)),0))</f>
        <v>0</v>
      </c>
    </row>
    <row r="589" spans="2:10" ht="15" customHeight="1">
      <c r="B589" s="790" t="str">
        <f>IF(B588="PAL","",'General price list'!C609)</f>
        <v>C193C</v>
      </c>
      <c r="C589" s="1" t="str">
        <f>IF(B589="PAL","",IFERROR(VLOOKUP(B589,'General price list'!C:BA,MATCH("PAL",'General price list'!$C$20:$BA$20,0),FALSE),""))</f>
        <v/>
      </c>
      <c r="D589" s="1">
        <f>IF(B589="PAL","",IFERROR(VLOOKUP(B589,'General price list'!C:BA,MATCH("OBJ",'General price list'!$C$20:$BA$20,0),FALSE),""))</f>
        <v>0</v>
      </c>
      <c r="E589" s="1">
        <f t="shared" si="61"/>
        <v>0</v>
      </c>
      <c r="F589" s="1">
        <f t="shared" si="62"/>
        <v>0</v>
      </c>
      <c r="G589" s="1">
        <f t="shared" si="63"/>
        <v>0</v>
      </c>
      <c r="H589" s="1">
        <f t="shared" si="64"/>
        <v>0</v>
      </c>
      <c r="I589" s="1">
        <f t="shared" si="65"/>
        <v>0</v>
      </c>
      <c r="J589">
        <f>IF(B589="PAL","",IFERROR(IF(C589="",VLOOKUP(B589,'General price list'!C:BA,MATCH("CBM",'General price list'!$C$20:$BA$20,0),FALSE)*D589,VLOOKUP(B589,'General price list'!C:BA,MATCH("CBM",'General price list'!$C$20:$BA$20,0),FALSE)*(G589*C589)),0))</f>
        <v>0</v>
      </c>
    </row>
    <row r="590" spans="2:10" ht="15" customHeight="1">
      <c r="B590" s="790" t="str">
        <f>IF(B589="PAL","",'General price list'!C610)</f>
        <v>C193D</v>
      </c>
      <c r="C590" s="1" t="str">
        <f>IF(B590="PAL","",IFERROR(VLOOKUP(B590,'General price list'!C:BA,MATCH("PAL",'General price list'!$C$20:$BA$20,0),FALSE),""))</f>
        <v/>
      </c>
      <c r="D590" s="1">
        <f>IF(B590="PAL","",IFERROR(VLOOKUP(B590,'General price list'!C:BA,MATCH("OBJ",'General price list'!$C$20:$BA$20,0),FALSE),""))</f>
        <v>0</v>
      </c>
      <c r="E590" s="1">
        <f t="shared" si="61"/>
        <v>0</v>
      </c>
      <c r="F590" s="1">
        <f t="shared" si="62"/>
        <v>0</v>
      </c>
      <c r="G590" s="1">
        <f t="shared" si="63"/>
        <v>0</v>
      </c>
      <c r="H590" s="1">
        <f t="shared" si="64"/>
        <v>0</v>
      </c>
      <c r="I590" s="1">
        <f t="shared" si="65"/>
        <v>0</v>
      </c>
      <c r="J590">
        <f>IF(B590="PAL","",IFERROR(IF(C590="",VLOOKUP(B590,'General price list'!C:BA,MATCH("CBM",'General price list'!$C$20:$BA$20,0),FALSE)*D590,VLOOKUP(B590,'General price list'!C:BA,MATCH("CBM",'General price list'!$C$20:$BA$20,0),FALSE)*(G590*C590)),0))</f>
        <v>0</v>
      </c>
    </row>
    <row r="591" spans="2:10" ht="15" customHeight="1">
      <c r="B591" s="790" t="str">
        <f>IF(B590="PAL","",'General price list'!C611)</f>
        <v>C193J</v>
      </c>
      <c r="C591" s="1" t="str">
        <f>IF(B591="PAL","",IFERROR(VLOOKUP(B591,'General price list'!C:BA,MATCH("PAL",'General price list'!$C$20:$BA$20,0),FALSE),""))</f>
        <v/>
      </c>
      <c r="D591" s="1">
        <f>IF(B591="PAL","",IFERROR(VLOOKUP(B591,'General price list'!C:BA,MATCH("OBJ",'General price list'!$C$20:$BA$20,0),FALSE),""))</f>
        <v>0</v>
      </c>
      <c r="E591" s="1">
        <f t="shared" si="61"/>
        <v>0</v>
      </c>
      <c r="F591" s="1">
        <f t="shared" si="62"/>
        <v>0</v>
      </c>
      <c r="G591" s="1">
        <f t="shared" si="63"/>
        <v>0</v>
      </c>
      <c r="H591" s="1">
        <f t="shared" si="64"/>
        <v>0</v>
      </c>
      <c r="I591" s="1">
        <f t="shared" si="65"/>
        <v>0</v>
      </c>
      <c r="J591">
        <f>IF(B591="PAL","",IFERROR(IF(C591="",VLOOKUP(B591,'General price list'!C:BA,MATCH("CBM",'General price list'!$C$20:$BA$20,0),FALSE)*D591,VLOOKUP(B591,'General price list'!C:BA,MATCH("CBM",'General price list'!$C$20:$BA$20,0),FALSE)*(G591*C591)),0))</f>
        <v>0</v>
      </c>
    </row>
    <row r="592" spans="2:10" ht="15" customHeight="1">
      <c r="B592" s="790" t="str">
        <f>IF(B591="PAL","",'General price list'!C612)</f>
        <v>C193I</v>
      </c>
      <c r="C592" s="1" t="str">
        <f>IF(B592="PAL","",IFERROR(VLOOKUP(B592,'General price list'!C:BA,MATCH("PAL",'General price list'!$C$20:$BA$20,0),FALSE),""))</f>
        <v/>
      </c>
      <c r="D592" s="1">
        <f>IF(B592="PAL","",IFERROR(VLOOKUP(B592,'General price list'!C:BA,MATCH("OBJ",'General price list'!$C$20:$BA$20,0),FALSE),""))</f>
        <v>0</v>
      </c>
      <c r="E592" s="1">
        <f t="shared" si="61"/>
        <v>0</v>
      </c>
      <c r="F592" s="1">
        <f t="shared" si="62"/>
        <v>0</v>
      </c>
      <c r="G592" s="1">
        <f t="shared" si="63"/>
        <v>0</v>
      </c>
      <c r="H592" s="1">
        <f t="shared" si="64"/>
        <v>0</v>
      </c>
      <c r="I592" s="1">
        <f t="shared" si="65"/>
        <v>0</v>
      </c>
      <c r="J592">
        <f>IF(B592="PAL","",IFERROR(IF(C592="",VLOOKUP(B592,'General price list'!C:BA,MATCH("CBM",'General price list'!$C$20:$BA$20,0),FALSE)*D592,VLOOKUP(B592,'General price list'!C:BA,MATCH("CBM",'General price list'!$C$20:$BA$20,0),FALSE)*(G592*C592)),0))</f>
        <v>0</v>
      </c>
    </row>
    <row r="593" spans="2:10" ht="15" customHeight="1">
      <c r="B593" s="790">
        <f>IF(B592="PAL","",'General price list'!C613)</f>
        <v>0</v>
      </c>
      <c r="C593" s="1" t="str">
        <f>IF(B593="PAL","",IFERROR(VLOOKUP(B593,'General price list'!C:BA,MATCH("PAL",'General price list'!$C$20:$BA$20,0),FALSE),""))</f>
        <v/>
      </c>
      <c r="D593" s="1" t="str">
        <f>IF(B593="PAL","",IFERROR(VLOOKUP(B593,'General price list'!C:BA,MATCH("OBJ",'General price list'!$C$20:$BA$20,0),FALSE),""))</f>
        <v/>
      </c>
      <c r="E593" s="1">
        <f t="shared" si="61"/>
        <v>0</v>
      </c>
      <c r="F593" s="1">
        <f t="shared" si="62"/>
        <v>0</v>
      </c>
      <c r="G593" s="1">
        <f t="shared" si="63"/>
        <v>0</v>
      </c>
      <c r="H593" s="1">
        <f t="shared" si="64"/>
        <v>0</v>
      </c>
      <c r="I593" s="1">
        <f t="shared" si="65"/>
        <v>0</v>
      </c>
      <c r="J593">
        <f>IF(B593="PAL","",IFERROR(IF(C593="",VLOOKUP(B593,'General price list'!C:BA,MATCH("CBM",'General price list'!$C$20:$BA$20,0),FALSE)*D593,VLOOKUP(B593,'General price list'!C:BA,MATCH("CBM",'General price list'!$C$20:$BA$20,0),FALSE)*(G593*C593)),0))</f>
        <v>0</v>
      </c>
    </row>
    <row r="594" spans="2:10" ht="15" customHeight="1">
      <c r="B594" s="790" t="str">
        <f>IF(B593="PAL","",'General price list'!C614)</f>
        <v>C253SIG</v>
      </c>
      <c r="C594" s="1" t="str">
        <f>IF(B594="PAL","",IFERROR(VLOOKUP(B594,'General price list'!C:BA,MATCH("PAL",'General price list'!$C$20:$BA$20,0),FALSE),""))</f>
        <v/>
      </c>
      <c r="D594" s="1">
        <f>IF(B594="PAL","",IFERROR(VLOOKUP(B594,'General price list'!C:BA,MATCH("OBJ",'General price list'!$C$20:$BA$20,0),FALSE),""))</f>
        <v>0</v>
      </c>
      <c r="E594" s="1">
        <f t="shared" si="61"/>
        <v>0</v>
      </c>
      <c r="F594" s="1">
        <f t="shared" si="62"/>
        <v>0</v>
      </c>
      <c r="G594" s="1">
        <f t="shared" si="63"/>
        <v>0</v>
      </c>
      <c r="H594" s="1">
        <f t="shared" si="64"/>
        <v>0</v>
      </c>
      <c r="I594" s="1">
        <f t="shared" si="65"/>
        <v>0</v>
      </c>
      <c r="J594">
        <f>IF(B594="PAL","",IFERROR(IF(C594="",VLOOKUP(B594,'General price list'!C:BA,MATCH("CBM",'General price list'!$C$20:$BA$20,0),FALSE)*D594,VLOOKUP(B594,'General price list'!C:BA,MATCH("CBM",'General price list'!$C$20:$BA$20,0),FALSE)*(G594*C594)),0))</f>
        <v>0</v>
      </c>
    </row>
    <row r="595" spans="2:10" ht="15" customHeight="1">
      <c r="B595" s="790" t="str">
        <f>IF(B594="PAL","",'General price list'!C615)</f>
        <v>C253SIG B</v>
      </c>
      <c r="C595" s="1" t="str">
        <f>IF(B595="PAL","",IFERROR(VLOOKUP(B595,'General price list'!C:BA,MATCH("PAL",'General price list'!$C$20:$BA$20,0),FALSE),""))</f>
        <v/>
      </c>
      <c r="D595" s="1">
        <f>IF(B595="PAL","",IFERROR(VLOOKUP(B595,'General price list'!C:BA,MATCH("OBJ",'General price list'!$C$20:$BA$20,0),FALSE),""))</f>
        <v>0</v>
      </c>
      <c r="E595" s="1">
        <f t="shared" si="61"/>
        <v>0</v>
      </c>
      <c r="F595" s="1">
        <f t="shared" si="62"/>
        <v>0</v>
      </c>
      <c r="G595" s="1">
        <f t="shared" si="63"/>
        <v>0</v>
      </c>
      <c r="H595" s="1">
        <f t="shared" si="64"/>
        <v>0</v>
      </c>
      <c r="I595" s="1">
        <f t="shared" si="65"/>
        <v>0</v>
      </c>
      <c r="J595">
        <f>IF(B595="PAL","",IFERROR(IF(C595="",VLOOKUP(B595,'General price list'!C:BA,MATCH("CBM",'General price list'!$C$20:$BA$20,0),FALSE)*D595,VLOOKUP(B595,'General price list'!C:BA,MATCH("CBM",'General price list'!$C$20:$BA$20,0),FALSE)*(G595*C595)),0))</f>
        <v>0</v>
      </c>
    </row>
    <row r="596" spans="2:10" ht="15" customHeight="1">
      <c r="B596" s="790" t="str">
        <f>IF(B595="PAL","",'General price list'!C616)</f>
        <v>C253FR</v>
      </c>
      <c r="C596" s="1" t="str">
        <f>IF(B596="PAL","",IFERROR(VLOOKUP(B596,'General price list'!C:BA,MATCH("PAL",'General price list'!$C$20:$BA$20,0),FALSE),""))</f>
        <v/>
      </c>
      <c r="D596" s="1">
        <f>IF(B596="PAL","",IFERROR(VLOOKUP(B596,'General price list'!C:BA,MATCH("OBJ",'General price list'!$C$20:$BA$20,0),FALSE),""))</f>
        <v>0</v>
      </c>
      <c r="E596" s="1">
        <f t="shared" si="61"/>
        <v>0</v>
      </c>
      <c r="F596" s="1">
        <f t="shared" si="62"/>
        <v>0</v>
      </c>
      <c r="G596" s="1">
        <f t="shared" si="63"/>
        <v>0</v>
      </c>
      <c r="H596" s="1">
        <f t="shared" si="64"/>
        <v>0</v>
      </c>
      <c r="I596" s="1">
        <f t="shared" si="65"/>
        <v>0</v>
      </c>
      <c r="J596">
        <f>IF(B596="PAL","",IFERROR(IF(C596="",VLOOKUP(B596,'General price list'!C:BA,MATCH("CBM",'General price list'!$C$20:$BA$20,0),FALSE)*D596,VLOOKUP(B596,'General price list'!C:BA,MATCH("CBM",'General price list'!$C$20:$BA$20,0),FALSE)*(G596*C596)),0))</f>
        <v>0</v>
      </c>
    </row>
    <row r="597" spans="2:10" ht="15" customHeight="1">
      <c r="B597" s="790" t="str">
        <f>IF(B596="PAL","",'General price list'!C617)</f>
        <v>C253MY</v>
      </c>
      <c r="C597" s="1" t="str">
        <f>IF(B597="PAL","",IFERROR(VLOOKUP(B597,'General price list'!C:BA,MATCH("PAL",'General price list'!$C$20:$BA$20,0),FALSE),""))</f>
        <v/>
      </c>
      <c r="D597" s="1">
        <f>IF(B597="PAL","",IFERROR(VLOOKUP(B597,'General price list'!C:BA,MATCH("OBJ",'General price list'!$C$20:$BA$20,0),FALSE),""))</f>
        <v>0</v>
      </c>
      <c r="E597" s="1">
        <f t="shared" si="61"/>
        <v>0</v>
      </c>
      <c r="F597" s="1">
        <f t="shared" si="62"/>
        <v>0</v>
      </c>
      <c r="G597" s="1">
        <f t="shared" si="63"/>
        <v>0</v>
      </c>
      <c r="H597" s="1">
        <f t="shared" si="64"/>
        <v>0</v>
      </c>
      <c r="I597" s="1">
        <f t="shared" si="65"/>
        <v>0</v>
      </c>
      <c r="J597">
        <f>IF(B597="PAL","",IFERROR(IF(C597="",VLOOKUP(B597,'General price list'!C:BA,MATCH("CBM",'General price list'!$C$20:$BA$20,0),FALSE)*D597,VLOOKUP(B597,'General price list'!C:BA,MATCH("CBM",'General price list'!$C$20:$BA$20,0),FALSE)*(G597*C597)),0))</f>
        <v>0</v>
      </c>
    </row>
    <row r="598" spans="2:10" ht="15" customHeight="1">
      <c r="B598" s="790" t="str">
        <f>IF(B597="PAL","",'General price list'!C618)</f>
        <v>C253DU</v>
      </c>
      <c r="C598" s="1" t="str">
        <f>IF(B598="PAL","",IFERROR(VLOOKUP(B598,'General price list'!C:BA,MATCH("PAL",'General price list'!$C$20:$BA$20,0),FALSE),""))</f>
        <v/>
      </c>
      <c r="D598" s="1">
        <f>IF(B598="PAL","",IFERROR(VLOOKUP(B598,'General price list'!C:BA,MATCH("OBJ",'General price list'!$C$20:$BA$20,0),FALSE),""))</f>
        <v>0</v>
      </c>
      <c r="E598" s="1">
        <f t="shared" si="61"/>
        <v>0</v>
      </c>
      <c r="F598" s="1">
        <f t="shared" si="62"/>
        <v>0</v>
      </c>
      <c r="G598" s="1">
        <f t="shared" si="63"/>
        <v>0</v>
      </c>
      <c r="H598" s="1">
        <f t="shared" si="64"/>
        <v>0</v>
      </c>
      <c r="I598" s="1">
        <f t="shared" si="65"/>
        <v>0</v>
      </c>
      <c r="J598">
        <f>IF(B598="PAL","",IFERROR(IF(C598="",VLOOKUP(B598,'General price list'!C:BA,MATCH("CBM",'General price list'!$C$20:$BA$20,0),FALSE)*D598,VLOOKUP(B598,'General price list'!C:BA,MATCH("CBM",'General price list'!$C$20:$BA$20,0),FALSE)*(G598*C598)),0))</f>
        <v>0</v>
      </c>
    </row>
    <row r="599" spans="2:10" ht="15" customHeight="1">
      <c r="B599" s="790">
        <f>IF(B598="PAL","",'General price list'!C619)</f>
        <v>0</v>
      </c>
      <c r="C599" s="1" t="str">
        <f>IF(B599="PAL","",IFERROR(VLOOKUP(B599,'General price list'!C:BA,MATCH("PAL",'General price list'!$C$20:$BA$20,0),FALSE),""))</f>
        <v/>
      </c>
      <c r="D599" s="1" t="str">
        <f>IF(B599="PAL","",IFERROR(VLOOKUP(B599,'General price list'!C:BA,MATCH("OBJ",'General price list'!$C$20:$BA$20,0),FALSE),""))</f>
        <v/>
      </c>
      <c r="E599" s="1">
        <f t="shared" si="61"/>
        <v>0</v>
      </c>
      <c r="F599" s="1">
        <f t="shared" si="62"/>
        <v>0</v>
      </c>
      <c r="G599" s="1">
        <f t="shared" si="63"/>
        <v>0</v>
      </c>
      <c r="H599" s="1">
        <f t="shared" si="64"/>
        <v>0</v>
      </c>
      <c r="I599" s="1">
        <f t="shared" si="65"/>
        <v>0</v>
      </c>
      <c r="J599">
        <f>IF(B599="PAL","",IFERROR(IF(C599="",VLOOKUP(B599,'General price list'!C:BA,MATCH("CBM",'General price list'!$C$20:$BA$20,0),FALSE)*D599,VLOOKUP(B599,'General price list'!C:BA,MATCH("CBM",'General price list'!$C$20:$BA$20,0),FALSE)*(G599*C599)),0))</f>
        <v>0</v>
      </c>
    </row>
    <row r="600" spans="2:10" ht="15" customHeight="1">
      <c r="B600" s="790" t="str">
        <f>IF(B599="PAL","",'General price list'!C620)</f>
        <v>C253BP14</v>
      </c>
      <c r="C600" s="1" t="str">
        <f>IF(B600="PAL","",IFERROR(VLOOKUP(B600,'General price list'!C:BA,MATCH("PAL",'General price list'!$C$20:$BA$20,0),FALSE),""))</f>
        <v/>
      </c>
      <c r="D600" s="1">
        <f>IF(B600="PAL","",IFERROR(VLOOKUP(B600,'General price list'!C:BA,MATCH("OBJ",'General price list'!$C$20:$BA$20,0),FALSE),""))</f>
        <v>0</v>
      </c>
      <c r="E600" s="1">
        <f t="shared" si="61"/>
        <v>0</v>
      </c>
      <c r="F600" s="1">
        <f t="shared" si="62"/>
        <v>0</v>
      </c>
      <c r="G600" s="1">
        <f t="shared" si="63"/>
        <v>0</v>
      </c>
      <c r="H600" s="1">
        <f t="shared" si="64"/>
        <v>0</v>
      </c>
      <c r="I600" s="1">
        <f t="shared" si="65"/>
        <v>0</v>
      </c>
      <c r="J600">
        <f>IF(B600="PAL","",IFERROR(IF(C600="",VLOOKUP(B600,'General price list'!C:BA,MATCH("CBM",'General price list'!$C$20:$BA$20,0),FALSE)*D600,VLOOKUP(B600,'General price list'!C:BA,MATCH("CBM",'General price list'!$C$20:$BA$20,0),FALSE)*(G600*C600)),0))</f>
        <v>0</v>
      </c>
    </row>
    <row r="601" spans="2:10" ht="15" customHeight="1">
      <c r="B601" s="790" t="str">
        <f>IF(B600="PAL","",'General price list'!C621)</f>
        <v>C253NO14</v>
      </c>
      <c r="C601" s="1" t="str">
        <f>IF(B601="PAL","",IFERROR(VLOOKUP(B601,'General price list'!C:BA,MATCH("PAL",'General price list'!$C$20:$BA$20,0),FALSE),""))</f>
        <v/>
      </c>
      <c r="D601" s="1">
        <f>IF(B601="PAL","",IFERROR(VLOOKUP(B601,'General price list'!C:BA,MATCH("OBJ",'General price list'!$C$20:$BA$20,0),FALSE),""))</f>
        <v>0</v>
      </c>
      <c r="E601" s="1">
        <f t="shared" si="61"/>
        <v>0</v>
      </c>
      <c r="F601" s="1">
        <f t="shared" si="62"/>
        <v>0</v>
      </c>
      <c r="G601" s="1">
        <f t="shared" si="63"/>
        <v>0</v>
      </c>
      <c r="H601" s="1">
        <f t="shared" si="64"/>
        <v>0</v>
      </c>
      <c r="I601" s="1">
        <f t="shared" si="65"/>
        <v>0</v>
      </c>
      <c r="J601">
        <f>IF(B601="PAL","",IFERROR(IF(C601="",VLOOKUP(B601,'General price list'!C:BA,MATCH("CBM",'General price list'!$C$20:$BA$20,0),FALSE)*D601,VLOOKUP(B601,'General price list'!C:BA,MATCH("CBM",'General price list'!$C$20:$BA$20,0),FALSE)*(G601*C601)),0))</f>
        <v>0</v>
      </c>
    </row>
    <row r="602" spans="2:10" ht="15" customHeight="1">
      <c r="B602" s="790" t="str">
        <f>IF(B601="PAL","",'General price list'!C622)</f>
        <v>C253B14</v>
      </c>
      <c r="C602" s="1" t="str">
        <f>IF(B602="PAL","",IFERROR(VLOOKUP(B602,'General price list'!C:BA,MATCH("PAL",'General price list'!$C$20:$BA$20,0),FALSE),""))</f>
        <v/>
      </c>
      <c r="D602" s="1">
        <f>IF(B602="PAL","",IFERROR(VLOOKUP(B602,'General price list'!C:BA,MATCH("OBJ",'General price list'!$C$20:$BA$20,0),FALSE),""))</f>
        <v>0</v>
      </c>
      <c r="E602" s="1">
        <f t="shared" si="61"/>
        <v>0</v>
      </c>
      <c r="F602" s="1">
        <f t="shared" si="62"/>
        <v>0</v>
      </c>
      <c r="G602" s="1">
        <f t="shared" si="63"/>
        <v>0</v>
      </c>
      <c r="H602" s="1">
        <f t="shared" si="64"/>
        <v>0</v>
      </c>
      <c r="I602" s="1">
        <f t="shared" si="65"/>
        <v>0</v>
      </c>
      <c r="J602">
        <f>IF(B602="PAL","",IFERROR(IF(C602="",VLOOKUP(B602,'General price list'!C:BA,MATCH("CBM",'General price list'!$C$20:$BA$20,0),FALSE)*D602,VLOOKUP(B602,'General price list'!C:BA,MATCH("CBM",'General price list'!$C$20:$BA$20,0),FALSE)*(G602*C602)),0))</f>
        <v>0</v>
      </c>
    </row>
    <row r="603" spans="2:10" ht="15" customHeight="1">
      <c r="B603" s="790" t="str">
        <f>IF(B602="PAL","",'General price list'!C623)</f>
        <v>C253TH14</v>
      </c>
      <c r="C603" s="1" t="str">
        <f>IF(B603="PAL","",IFERROR(VLOOKUP(B603,'General price list'!C:BA,MATCH("PAL",'General price list'!$C$20:$BA$20,0),FALSE),""))</f>
        <v/>
      </c>
      <c r="D603" s="1">
        <f>IF(B603="PAL","",IFERROR(VLOOKUP(B603,'General price list'!C:BA,MATCH("OBJ",'General price list'!$C$20:$BA$20,0),FALSE),""))</f>
        <v>0</v>
      </c>
      <c r="E603" s="1">
        <f t="shared" si="61"/>
        <v>0</v>
      </c>
      <c r="F603" s="1">
        <f t="shared" si="62"/>
        <v>0</v>
      </c>
      <c r="G603" s="1">
        <f t="shared" si="63"/>
        <v>0</v>
      </c>
      <c r="H603" s="1">
        <f t="shared" si="64"/>
        <v>0</v>
      </c>
      <c r="I603" s="1">
        <f t="shared" si="65"/>
        <v>0</v>
      </c>
      <c r="J603">
        <f>IF(B603="PAL","",IFERROR(IF(C603="",VLOOKUP(B603,'General price list'!C:BA,MATCH("CBM",'General price list'!$C$20:$BA$20,0),FALSE)*D603,VLOOKUP(B603,'General price list'!C:BA,MATCH("CBM",'General price list'!$C$20:$BA$20,0),FALSE)*(G603*C603)),0))</f>
        <v>0</v>
      </c>
    </row>
    <row r="604" spans="2:10" ht="15" customHeight="1">
      <c r="B604" s="790" t="str">
        <f>IF(B603="PAL","",'General price list'!C624)</f>
        <v>C253E14</v>
      </c>
      <c r="C604" s="1" t="str">
        <f>IF(B604="PAL","",IFERROR(VLOOKUP(B604,'General price list'!C:BA,MATCH("PAL",'General price list'!$C$20:$BA$20,0),FALSE),""))</f>
        <v/>
      </c>
      <c r="D604" s="1">
        <f>IF(B604="PAL","",IFERROR(VLOOKUP(B604,'General price list'!C:BA,MATCH("OBJ",'General price list'!$C$20:$BA$20,0),FALSE),""))</f>
        <v>0</v>
      </c>
      <c r="E604" s="1">
        <f t="shared" si="61"/>
        <v>0</v>
      </c>
      <c r="F604" s="1">
        <f t="shared" si="62"/>
        <v>0</v>
      </c>
      <c r="G604" s="1">
        <f t="shared" si="63"/>
        <v>0</v>
      </c>
      <c r="H604" s="1">
        <f t="shared" si="64"/>
        <v>0</v>
      </c>
      <c r="I604" s="1">
        <f t="shared" si="65"/>
        <v>0</v>
      </c>
      <c r="J604">
        <f>IF(B604="PAL","",IFERROR(IF(C604="",VLOOKUP(B604,'General price list'!C:BA,MATCH("CBM",'General price list'!$C$20:$BA$20,0),FALSE)*D604,VLOOKUP(B604,'General price list'!C:BA,MATCH("CBM",'General price list'!$C$20:$BA$20,0),FALSE)*(G604*C604)),0))</f>
        <v>0</v>
      </c>
    </row>
    <row r="605" spans="2:10" ht="15" customHeight="1">
      <c r="B605" s="790">
        <f>IF(B604="PAL","",'General price list'!C625)</f>
        <v>0</v>
      </c>
      <c r="C605" s="1" t="str">
        <f>IF(B605="PAL","",IFERROR(VLOOKUP(B605,'General price list'!C:BA,MATCH("PAL",'General price list'!$C$20:$BA$20,0),FALSE),""))</f>
        <v/>
      </c>
      <c r="D605" s="1" t="str">
        <f>IF(B605="PAL","",IFERROR(VLOOKUP(B605,'General price list'!C:BA,MATCH("OBJ",'General price list'!$C$20:$BA$20,0),FALSE),""))</f>
        <v/>
      </c>
      <c r="E605" s="1">
        <f t="shared" si="61"/>
        <v>0</v>
      </c>
      <c r="F605" s="1">
        <f t="shared" si="62"/>
        <v>0</v>
      </c>
      <c r="G605" s="1">
        <f t="shared" si="63"/>
        <v>0</v>
      </c>
      <c r="H605" s="1">
        <f t="shared" si="64"/>
        <v>0</v>
      </c>
      <c r="I605" s="1">
        <f t="shared" si="65"/>
        <v>0</v>
      </c>
      <c r="J605">
        <f>IF(B605="PAL","",IFERROR(IF(C605="",VLOOKUP(B605,'General price list'!C:BA,MATCH("CBM",'General price list'!$C$20:$BA$20,0),FALSE)*D605,VLOOKUP(B605,'General price list'!C:BA,MATCH("CBM",'General price list'!$C$20:$BA$20,0),FALSE)*(G605*C605)),0))</f>
        <v>0</v>
      </c>
    </row>
    <row r="606" spans="2:10" ht="15" customHeight="1">
      <c r="B606" s="790" t="str">
        <f>IF(B605="PAL","",'General price list'!C626)</f>
        <v>C253F14</v>
      </c>
      <c r="C606" s="1" t="str">
        <f>IF(B606="PAL","",IFERROR(VLOOKUP(B606,'General price list'!C:BA,MATCH("PAL",'General price list'!$C$20:$BA$20,0),FALSE),""))</f>
        <v/>
      </c>
      <c r="D606" s="1">
        <f>IF(B606="PAL","",IFERROR(VLOOKUP(B606,'General price list'!C:BA,MATCH("OBJ",'General price list'!$C$20:$BA$20,0),FALSE),""))</f>
        <v>0</v>
      </c>
      <c r="E606" s="1">
        <f t="shared" si="61"/>
        <v>0</v>
      </c>
      <c r="F606" s="1">
        <f t="shared" si="62"/>
        <v>0</v>
      </c>
      <c r="G606" s="1">
        <f t="shared" si="63"/>
        <v>0</v>
      </c>
      <c r="H606" s="1">
        <f t="shared" si="64"/>
        <v>0</v>
      </c>
      <c r="I606" s="1">
        <f t="shared" si="65"/>
        <v>0</v>
      </c>
      <c r="J606">
        <f>IF(B606="PAL","",IFERROR(IF(C606="",VLOOKUP(B606,'General price list'!C:BA,MATCH("CBM",'General price list'!$C$20:$BA$20,0),FALSE)*D606,VLOOKUP(B606,'General price list'!C:BA,MATCH("CBM",'General price list'!$C$20:$BA$20,0),FALSE)*(G606*C606)),0))</f>
        <v>0</v>
      </c>
    </row>
    <row r="607" spans="2:10" ht="15" customHeight="1">
      <c r="B607" s="790">
        <f>IF(B606="PAL","",'General price list'!C627)</f>
        <v>0</v>
      </c>
      <c r="C607" s="1" t="str">
        <f>IF(B607="PAL","",IFERROR(VLOOKUP(B607,'General price list'!C:BA,MATCH("PAL",'General price list'!$C$20:$BA$20,0),FALSE),""))</f>
        <v/>
      </c>
      <c r="D607" s="1" t="str">
        <f>IF(B607="PAL","",IFERROR(VLOOKUP(B607,'General price list'!C:BA,MATCH("OBJ",'General price list'!$C$20:$BA$20,0),FALSE),""))</f>
        <v/>
      </c>
      <c r="E607" s="1">
        <f t="shared" si="61"/>
        <v>0</v>
      </c>
      <c r="F607" s="1">
        <f t="shared" si="62"/>
        <v>0</v>
      </c>
      <c r="G607" s="1">
        <f t="shared" si="63"/>
        <v>0</v>
      </c>
      <c r="H607" s="1">
        <f t="shared" si="64"/>
        <v>0</v>
      </c>
      <c r="I607" s="1">
        <f t="shared" si="65"/>
        <v>0</v>
      </c>
      <c r="J607">
        <f>IF(B607="PAL","",IFERROR(IF(C607="",VLOOKUP(B607,'General price list'!C:BA,MATCH("CBM",'General price list'!$C$20:$BA$20,0),FALSE)*D607,VLOOKUP(B607,'General price list'!C:BA,MATCH("CBM",'General price list'!$C$20:$BA$20,0),FALSE)*(G607*C607)),0))</f>
        <v>0</v>
      </c>
    </row>
    <row r="608" spans="2:10" ht="15" customHeight="1">
      <c r="B608" s="790" t="str">
        <f>IF(B607="PAL","",'General price list'!C628)</f>
        <v>CF253R14</v>
      </c>
      <c r="C608" s="1" t="str">
        <f>IF(B608="PAL","",IFERROR(VLOOKUP(B608,'General price list'!C:BA,MATCH("PAL",'General price list'!$C$20:$BA$20,0),FALSE),""))</f>
        <v/>
      </c>
      <c r="D608" s="1">
        <f>IF(B608="PAL","",IFERROR(VLOOKUP(B608,'General price list'!C:BA,MATCH("OBJ",'General price list'!$C$20:$BA$20,0),FALSE),""))</f>
        <v>0</v>
      </c>
      <c r="E608" s="1">
        <f t="shared" si="61"/>
        <v>0</v>
      </c>
      <c r="F608" s="1">
        <f t="shared" si="62"/>
        <v>0</v>
      </c>
      <c r="G608" s="1">
        <f t="shared" si="63"/>
        <v>0</v>
      </c>
      <c r="H608" s="1">
        <f t="shared" si="64"/>
        <v>0</v>
      </c>
      <c r="I608" s="1">
        <f t="shared" si="65"/>
        <v>0</v>
      </c>
      <c r="J608">
        <f>IF(B608="PAL","",IFERROR(IF(C608="",VLOOKUP(B608,'General price list'!C:BA,MATCH("CBM",'General price list'!$C$20:$BA$20,0),FALSE)*D608,VLOOKUP(B608,'General price list'!C:BA,MATCH("CBM",'General price list'!$C$20:$BA$20,0),FALSE)*(G608*C608)),0))</f>
        <v>0</v>
      </c>
    </row>
    <row r="609" spans="2:10" ht="15" customHeight="1">
      <c r="B609" s="790" t="str">
        <f>IF(B608="PAL","",'General price list'!C629)</f>
        <v>CF253D14</v>
      </c>
      <c r="C609" s="1" t="str">
        <f>IF(B609="PAL","",IFERROR(VLOOKUP(B609,'General price list'!C:BA,MATCH("PAL",'General price list'!$C$20:$BA$20,0),FALSE),""))</f>
        <v/>
      </c>
      <c r="D609" s="1">
        <f>IF(B609="PAL","",IFERROR(VLOOKUP(B609,'General price list'!C:BA,MATCH("OBJ",'General price list'!$C$20:$BA$20,0),FALSE),""))</f>
        <v>0</v>
      </c>
      <c r="E609" s="1">
        <f t="shared" si="61"/>
        <v>0</v>
      </c>
      <c r="F609" s="1">
        <f t="shared" si="62"/>
        <v>0</v>
      </c>
      <c r="G609" s="1">
        <f t="shared" si="63"/>
        <v>0</v>
      </c>
      <c r="H609" s="1">
        <f t="shared" si="64"/>
        <v>0</v>
      </c>
      <c r="I609" s="1">
        <f t="shared" si="65"/>
        <v>0</v>
      </c>
      <c r="J609">
        <f>IF(B609="PAL","",IFERROR(IF(C609="",VLOOKUP(B609,'General price list'!C:BA,MATCH("CBM",'General price list'!$C$20:$BA$20,0),FALSE)*D609,VLOOKUP(B609,'General price list'!C:BA,MATCH("CBM",'General price list'!$C$20:$BA$20,0),FALSE)*(G609*C609)),0))</f>
        <v>0</v>
      </c>
    </row>
    <row r="610" spans="2:10" ht="15" customHeight="1">
      <c r="B610" s="790" t="str">
        <f>IF(B609="PAL","",'General price list'!C630)</f>
        <v>CF253K14</v>
      </c>
      <c r="C610" s="1" t="str">
        <f>IF(B610="PAL","",IFERROR(VLOOKUP(B610,'General price list'!C:BA,MATCH("PAL",'General price list'!$C$20:$BA$20,0),FALSE),""))</f>
        <v/>
      </c>
      <c r="D610" s="1">
        <f>IF(B610="PAL","",IFERROR(VLOOKUP(B610,'General price list'!C:BA,MATCH("OBJ",'General price list'!$C$20:$BA$20,0),FALSE),""))</f>
        <v>0</v>
      </c>
      <c r="E610" s="1">
        <f t="shared" si="61"/>
        <v>0</v>
      </c>
      <c r="F610" s="1">
        <f t="shared" si="62"/>
        <v>0</v>
      </c>
      <c r="G610" s="1">
        <f t="shared" si="63"/>
        <v>0</v>
      </c>
      <c r="H610" s="1">
        <f t="shared" si="64"/>
        <v>0</v>
      </c>
      <c r="I610" s="1">
        <f t="shared" si="65"/>
        <v>0</v>
      </c>
      <c r="J610">
        <f>IF(B610="PAL","",IFERROR(IF(C610="",VLOOKUP(B610,'General price list'!C:BA,MATCH("CBM",'General price list'!$C$20:$BA$20,0),FALSE)*D610,VLOOKUP(B610,'General price list'!C:BA,MATCH("CBM",'General price list'!$C$20:$BA$20,0),FALSE)*(G610*C610)),0))</f>
        <v>0</v>
      </c>
    </row>
    <row r="611" spans="2:10" ht="15" customHeight="1">
      <c r="B611" s="790">
        <f>IF(B610="PAL","",'General price list'!C631)</f>
        <v>0</v>
      </c>
      <c r="C611" s="1" t="str">
        <f>IF(B611="PAL","",IFERROR(VLOOKUP(B611,'General price list'!C:BA,MATCH("PAL",'General price list'!$C$20:$BA$20,0),FALSE),""))</f>
        <v/>
      </c>
      <c r="D611" s="1" t="str">
        <f>IF(B611="PAL","",IFERROR(VLOOKUP(B611,'General price list'!C:BA,MATCH("OBJ",'General price list'!$C$20:$BA$20,0),FALSE),""))</f>
        <v/>
      </c>
      <c r="E611" s="1">
        <f t="shared" si="61"/>
        <v>0</v>
      </c>
      <c r="F611" s="1">
        <f t="shared" si="62"/>
        <v>0</v>
      </c>
      <c r="G611" s="1">
        <f t="shared" si="63"/>
        <v>0</v>
      </c>
      <c r="H611" s="1">
        <f t="shared" si="64"/>
        <v>0</v>
      </c>
      <c r="I611" s="1">
        <f t="shared" si="65"/>
        <v>0</v>
      </c>
      <c r="J611">
        <f>IF(B611="PAL","",IFERROR(IF(C611="",VLOOKUP(B611,'General price list'!C:BA,MATCH("CBM",'General price list'!$C$20:$BA$20,0),FALSE)*D611,VLOOKUP(B611,'General price list'!C:BA,MATCH("CBM",'General price list'!$C$20:$BA$20,0),FALSE)*(G611*C611)),0))</f>
        <v>0</v>
      </c>
    </row>
    <row r="612" spans="2:10" ht="15" customHeight="1">
      <c r="B612" s="790" t="str">
        <f>IF(B611="PAL","",'General price list'!C632)</f>
        <v>C363PL</v>
      </c>
      <c r="C612" s="1" t="str">
        <f>IF(B612="PAL","",IFERROR(VLOOKUP(B612,'General price list'!C:BA,MATCH("PAL",'General price list'!$C$20:$BA$20,0),FALSE),""))</f>
        <v/>
      </c>
      <c r="D612" s="1">
        <f>IF(B612="PAL","",IFERROR(VLOOKUP(B612,'General price list'!C:BA,MATCH("OBJ",'General price list'!$C$20:$BA$20,0),FALSE),""))</f>
        <v>0</v>
      </c>
      <c r="E612" s="1">
        <f t="shared" si="61"/>
        <v>0</v>
      </c>
      <c r="F612" s="1">
        <f t="shared" si="62"/>
        <v>0</v>
      </c>
      <c r="G612" s="1">
        <f t="shared" si="63"/>
        <v>0</v>
      </c>
      <c r="H612" s="1">
        <f t="shared" si="64"/>
        <v>0</v>
      </c>
      <c r="I612" s="1">
        <f t="shared" si="65"/>
        <v>0</v>
      </c>
      <c r="J612">
        <f>IF(B612="PAL","",IFERROR(IF(C612="",VLOOKUP(B612,'General price list'!C:BA,MATCH("CBM",'General price list'!$C$20:$BA$20,0),FALSE)*D612,VLOOKUP(B612,'General price list'!C:BA,MATCH("CBM",'General price list'!$C$20:$BA$20,0),FALSE)*(G612*C612)),0))</f>
        <v>0</v>
      </c>
    </row>
    <row r="613" spans="2:10" ht="15" customHeight="1">
      <c r="B613" s="790" t="str">
        <f>IF(B612="PAL","",'General price list'!C633)</f>
        <v>C363PA</v>
      </c>
      <c r="C613" s="1" t="str">
        <f>IF(B613="PAL","",IFERROR(VLOOKUP(B613,'General price list'!C:BA,MATCH("PAL",'General price list'!$C$20:$BA$20,0),FALSE),""))</f>
        <v/>
      </c>
      <c r="D613" s="1">
        <f>IF(B613="PAL","",IFERROR(VLOOKUP(B613,'General price list'!C:BA,MATCH("OBJ",'General price list'!$C$20:$BA$20,0),FALSE),""))</f>
        <v>0</v>
      </c>
      <c r="E613" s="1">
        <f t="shared" si="61"/>
        <v>0</v>
      </c>
      <c r="F613" s="1">
        <f t="shared" si="62"/>
        <v>0</v>
      </c>
      <c r="G613" s="1">
        <f t="shared" si="63"/>
        <v>0</v>
      </c>
      <c r="H613" s="1">
        <f t="shared" si="64"/>
        <v>0</v>
      </c>
      <c r="I613" s="1">
        <f t="shared" si="65"/>
        <v>0</v>
      </c>
      <c r="J613">
        <f>IF(B613="PAL","",IFERROR(IF(C613="",VLOOKUP(B613,'General price list'!C:BA,MATCH("CBM",'General price list'!$C$20:$BA$20,0),FALSE)*D613,VLOOKUP(B613,'General price list'!C:BA,MATCH("CBM",'General price list'!$C$20:$BA$20,0),FALSE)*(G613*C613)),0))</f>
        <v>0</v>
      </c>
    </row>
    <row r="614" spans="2:10" ht="15" customHeight="1">
      <c r="B614" s="790" t="str">
        <f>IF(B613="PAL","",'General price list'!C634)</f>
        <v>C363DR</v>
      </c>
      <c r="C614" s="1" t="str">
        <f>IF(B614="PAL","",IFERROR(VLOOKUP(B614,'General price list'!C:BA,MATCH("PAL",'General price list'!$C$20:$BA$20,0),FALSE),""))</f>
        <v/>
      </c>
      <c r="D614" s="1">
        <f>IF(B614="PAL","",IFERROR(VLOOKUP(B614,'General price list'!C:BA,MATCH("OBJ",'General price list'!$C$20:$BA$20,0),FALSE),""))</f>
        <v>0</v>
      </c>
      <c r="E614" s="1">
        <f t="shared" si="61"/>
        <v>0</v>
      </c>
      <c r="F614" s="1">
        <f t="shared" si="62"/>
        <v>0</v>
      </c>
      <c r="G614" s="1">
        <f t="shared" si="63"/>
        <v>0</v>
      </c>
      <c r="H614" s="1">
        <f t="shared" si="64"/>
        <v>0</v>
      </c>
      <c r="I614" s="1">
        <f t="shared" si="65"/>
        <v>0</v>
      </c>
      <c r="J614">
        <f>IF(B614="PAL","",IFERROR(IF(C614="",VLOOKUP(B614,'General price list'!C:BA,MATCH("CBM",'General price list'!$C$20:$BA$20,0),FALSE)*D614,VLOOKUP(B614,'General price list'!C:BA,MATCH("CBM",'General price list'!$C$20:$BA$20,0),FALSE)*(G614*C614)),0))</f>
        <v>0</v>
      </c>
    </row>
    <row r="615" spans="2:10" ht="15" customHeight="1">
      <c r="B615" s="790">
        <f>IF(B614="PAL","",'General price list'!C635)</f>
        <v>0</v>
      </c>
      <c r="C615" s="1" t="str">
        <f>IF(B615="PAL","",IFERROR(VLOOKUP(B615,'General price list'!C:BA,MATCH("PAL",'General price list'!$C$20:$BA$20,0),FALSE),""))</f>
        <v/>
      </c>
      <c r="D615" s="1" t="str">
        <f>IF(B615="PAL","",IFERROR(VLOOKUP(B615,'General price list'!C:BA,MATCH("OBJ",'General price list'!$C$20:$BA$20,0),FALSE),""))</f>
        <v/>
      </c>
      <c r="E615" s="1">
        <f t="shared" si="61"/>
        <v>0</v>
      </c>
      <c r="F615" s="1">
        <f t="shared" si="62"/>
        <v>0</v>
      </c>
      <c r="G615" s="1">
        <f t="shared" si="63"/>
        <v>0</v>
      </c>
      <c r="H615" s="1">
        <f t="shared" si="64"/>
        <v>0</v>
      </c>
      <c r="I615" s="1">
        <f t="shared" si="65"/>
        <v>0</v>
      </c>
      <c r="J615">
        <f>IF(B615="PAL","",IFERROR(IF(C615="",VLOOKUP(B615,'General price list'!C:BA,MATCH("CBM",'General price list'!$C$20:$BA$20,0),FALSE)*D615,VLOOKUP(B615,'General price list'!C:BA,MATCH("CBM",'General price list'!$C$20:$BA$20,0),FALSE)*(G615*C615)),0))</f>
        <v>0</v>
      </c>
    </row>
    <row r="616" spans="2:10" ht="15" customHeight="1">
      <c r="B616" s="790" t="str">
        <f>IF(B615="PAL","",'General price list'!C636)</f>
        <v>CF363S</v>
      </c>
      <c r="C616" s="1" t="str">
        <f>IF(B616="PAL","",IFERROR(VLOOKUP(B616,'General price list'!C:BA,MATCH("PAL",'General price list'!$C$20:$BA$20,0),FALSE),""))</f>
        <v/>
      </c>
      <c r="D616" s="1">
        <f>IF(B616="PAL","",IFERROR(VLOOKUP(B616,'General price list'!C:BA,MATCH("OBJ",'General price list'!$C$20:$BA$20,0),FALSE),""))</f>
        <v>0</v>
      </c>
      <c r="E616" s="1">
        <f t="shared" si="61"/>
        <v>0</v>
      </c>
      <c r="F616" s="1">
        <f t="shared" si="62"/>
        <v>0</v>
      </c>
      <c r="G616" s="1">
        <f t="shared" si="63"/>
        <v>0</v>
      </c>
      <c r="H616" s="1">
        <f t="shared" si="64"/>
        <v>0</v>
      </c>
      <c r="I616" s="1">
        <f t="shared" si="65"/>
        <v>0</v>
      </c>
      <c r="J616">
        <f>IF(B616="PAL","",IFERROR(IF(C616="",VLOOKUP(B616,'General price list'!C:BA,MATCH("CBM",'General price list'!$C$20:$BA$20,0),FALSE)*D616,VLOOKUP(B616,'General price list'!C:BA,MATCH("CBM",'General price list'!$C$20:$BA$20,0),FALSE)*(G616*C616)),0))</f>
        <v>0</v>
      </c>
    </row>
    <row r="617" spans="2:10" ht="15" customHeight="1">
      <c r="B617" s="790">
        <f>IF(B616="PAL","",'General price list'!C637)</f>
        <v>0</v>
      </c>
      <c r="C617" s="1" t="str">
        <f>IF(B617="PAL","",IFERROR(VLOOKUP(B617,'General price list'!C:BA,MATCH("PAL",'General price list'!$C$20:$BA$20,0),FALSE),""))</f>
        <v/>
      </c>
      <c r="D617" s="1" t="str">
        <f>IF(B617="PAL","",IFERROR(VLOOKUP(B617,'General price list'!C:BA,MATCH("OBJ",'General price list'!$C$20:$BA$20,0),FALSE),""))</f>
        <v/>
      </c>
      <c r="E617" s="1">
        <f t="shared" si="61"/>
        <v>0</v>
      </c>
      <c r="F617" s="1">
        <f t="shared" si="62"/>
        <v>0</v>
      </c>
      <c r="G617" s="1">
        <f t="shared" si="63"/>
        <v>0</v>
      </c>
      <c r="H617" s="1">
        <f t="shared" si="64"/>
        <v>0</v>
      </c>
      <c r="I617" s="1">
        <f t="shared" si="65"/>
        <v>0</v>
      </c>
      <c r="J617">
        <f>IF(B617="PAL","",IFERROR(IF(C617="",VLOOKUP(B617,'General price list'!C:BA,MATCH("CBM",'General price list'!$C$20:$BA$20,0),FALSE)*D617,VLOOKUP(B617,'General price list'!C:BA,MATCH("CBM",'General price list'!$C$20:$BA$20,0),FALSE)*(G617*C617)),0))</f>
        <v>0</v>
      </c>
    </row>
    <row r="618" spans="2:10" ht="15" customHeight="1">
      <c r="B618" s="790" t="str">
        <f>IF(B617="PAL","",'General price list'!C638)</f>
        <v>C493BPS</v>
      </c>
      <c r="C618" s="1" t="str">
        <f>IF(B618="PAL","",IFERROR(VLOOKUP(B618,'General price list'!C:BA,MATCH("PAL",'General price list'!$C$20:$BA$20,0),FALSE),""))</f>
        <v/>
      </c>
      <c r="D618" s="1">
        <f>IF(B618="PAL","",IFERROR(VLOOKUP(B618,'General price list'!C:BA,MATCH("OBJ",'General price list'!$C$20:$BA$20,0),FALSE),""))</f>
        <v>0</v>
      </c>
      <c r="E618" s="1">
        <f t="shared" si="61"/>
        <v>0</v>
      </c>
      <c r="F618" s="1">
        <f t="shared" si="62"/>
        <v>0</v>
      </c>
      <c r="G618" s="1">
        <f t="shared" si="63"/>
        <v>0</v>
      </c>
      <c r="H618" s="1">
        <f t="shared" si="64"/>
        <v>0</v>
      </c>
      <c r="I618" s="1">
        <f t="shared" si="65"/>
        <v>0</v>
      </c>
      <c r="J618">
        <f>IF(B618="PAL","",IFERROR(IF(C618="",VLOOKUP(B618,'General price list'!C:BA,MATCH("CBM",'General price list'!$C$20:$BA$20,0),FALSE)*D618,VLOOKUP(B618,'General price list'!C:BA,MATCH("CBM",'General price list'!$C$20:$BA$20,0),FALSE)*(G618*C618)),0))</f>
        <v>0</v>
      </c>
    </row>
    <row r="619" spans="2:10" ht="15" customHeight="1">
      <c r="B619" s="790" t="str">
        <f>IF(B618="PAL","",'General price list'!C639)</f>
        <v>C493PR</v>
      </c>
      <c r="C619" s="1" t="str">
        <f>IF(B619="PAL","",IFERROR(VLOOKUP(B619,'General price list'!C:BA,MATCH("PAL",'General price list'!$C$20:$BA$20,0),FALSE),""))</f>
        <v/>
      </c>
      <c r="D619" s="1">
        <f>IF(B619="PAL","",IFERROR(VLOOKUP(B619,'General price list'!C:BA,MATCH("OBJ",'General price list'!$C$20:$BA$20,0),FALSE),""))</f>
        <v>0</v>
      </c>
      <c r="E619" s="1">
        <f t="shared" si="61"/>
        <v>0</v>
      </c>
      <c r="F619" s="1">
        <f t="shared" si="62"/>
        <v>0</v>
      </c>
      <c r="G619" s="1">
        <f t="shared" si="63"/>
        <v>0</v>
      </c>
      <c r="H619" s="1">
        <f t="shared" si="64"/>
        <v>0</v>
      </c>
      <c r="I619" s="1">
        <f t="shared" si="65"/>
        <v>0</v>
      </c>
      <c r="J619">
        <f>IF(B619="PAL","",IFERROR(IF(C619="",VLOOKUP(B619,'General price list'!C:BA,MATCH("CBM",'General price list'!$C$20:$BA$20,0),FALSE)*D619,VLOOKUP(B619,'General price list'!C:BA,MATCH("CBM",'General price list'!$C$20:$BA$20,0),FALSE)*(G619*C619)),0))</f>
        <v>0</v>
      </c>
    </row>
    <row r="620" spans="2:10" ht="15" customHeight="1">
      <c r="B620" s="790" t="str">
        <f>IF(B619="PAL","",'General price list'!C640)</f>
        <v>C493RU</v>
      </c>
      <c r="C620" s="1" t="str">
        <f>IF(B620="PAL","",IFERROR(VLOOKUP(B620,'General price list'!C:BA,MATCH("PAL",'General price list'!$C$20:$BA$20,0),FALSE),""))</f>
        <v/>
      </c>
      <c r="D620" s="1">
        <f>IF(B620="PAL","",IFERROR(VLOOKUP(B620,'General price list'!C:BA,MATCH("OBJ",'General price list'!$C$20:$BA$20,0),FALSE),""))</f>
        <v>0</v>
      </c>
      <c r="E620" s="1">
        <f t="shared" si="61"/>
        <v>0</v>
      </c>
      <c r="F620" s="1">
        <f t="shared" si="62"/>
        <v>0</v>
      </c>
      <c r="G620" s="1">
        <f t="shared" si="63"/>
        <v>0</v>
      </c>
      <c r="H620" s="1">
        <f t="shared" si="64"/>
        <v>0</v>
      </c>
      <c r="I620" s="1">
        <f t="shared" si="65"/>
        <v>0</v>
      </c>
      <c r="J620">
        <f>IF(B620="PAL","",IFERROR(IF(C620="",VLOOKUP(B620,'General price list'!C:BA,MATCH("CBM",'General price list'!$C$20:$BA$20,0),FALSE)*D620,VLOOKUP(B620,'General price list'!C:BA,MATCH("CBM",'General price list'!$C$20:$BA$20,0),FALSE)*(G620*C620)),0))</f>
        <v>0</v>
      </c>
    </row>
    <row r="621" spans="2:10" ht="15" customHeight="1">
      <c r="B621" s="790" t="str">
        <f>IF(B620="PAL","",'General price list'!C641)</f>
        <v>C493MA</v>
      </c>
      <c r="C621" s="1" t="str">
        <f>IF(B621="PAL","",IFERROR(VLOOKUP(B621,'General price list'!C:BA,MATCH("PAL",'General price list'!$C$20:$BA$20,0),FALSE),""))</f>
        <v/>
      </c>
      <c r="D621" s="1">
        <f>IF(B621="PAL","",IFERROR(VLOOKUP(B621,'General price list'!C:BA,MATCH("OBJ",'General price list'!$C$20:$BA$20,0),FALSE),""))</f>
        <v>0</v>
      </c>
      <c r="E621" s="1">
        <f t="shared" si="61"/>
        <v>0</v>
      </c>
      <c r="F621" s="1">
        <f t="shared" si="62"/>
        <v>0</v>
      </c>
      <c r="G621" s="1">
        <f t="shared" si="63"/>
        <v>0</v>
      </c>
      <c r="H621" s="1">
        <f t="shared" si="64"/>
        <v>0</v>
      </c>
      <c r="I621" s="1">
        <f t="shared" si="65"/>
        <v>0</v>
      </c>
      <c r="J621">
        <f>IF(B621="PAL","",IFERROR(IF(C621="",VLOOKUP(B621,'General price list'!C:BA,MATCH("CBM",'General price list'!$C$20:$BA$20,0),FALSE)*D621,VLOOKUP(B621,'General price list'!C:BA,MATCH("CBM",'General price list'!$C$20:$BA$20,0),FALSE)*(G621*C621)),0))</f>
        <v>0</v>
      </c>
    </row>
    <row r="622" spans="2:10" ht="15" customHeight="1">
      <c r="B622" s="790" t="str">
        <f>IF(B621="PAL","",'General price list'!C642)</f>
        <v>C493LI</v>
      </c>
      <c r="C622" s="1" t="str">
        <f>IF(B622="PAL","",IFERROR(VLOOKUP(B622,'General price list'!C:BA,MATCH("PAL",'General price list'!$C$20:$BA$20,0),FALSE),""))</f>
        <v/>
      </c>
      <c r="D622" s="1">
        <f>IF(B622="PAL","",IFERROR(VLOOKUP(B622,'General price list'!C:BA,MATCH("OBJ",'General price list'!$C$20:$BA$20,0),FALSE),""))</f>
        <v>0</v>
      </c>
      <c r="E622" s="1">
        <f t="shared" si="61"/>
        <v>0</v>
      </c>
      <c r="F622" s="1">
        <f t="shared" si="62"/>
        <v>0</v>
      </c>
      <c r="G622" s="1">
        <f t="shared" si="63"/>
        <v>0</v>
      </c>
      <c r="H622" s="1">
        <f t="shared" si="64"/>
        <v>0</v>
      </c>
      <c r="I622" s="1">
        <f t="shared" si="65"/>
        <v>0</v>
      </c>
      <c r="J622">
        <f>IF(B622="PAL","",IFERROR(IF(C622="",VLOOKUP(B622,'General price list'!C:BA,MATCH("CBM",'General price list'!$C$20:$BA$20,0),FALSE)*D622,VLOOKUP(B622,'General price list'!C:BA,MATCH("CBM",'General price list'!$C$20:$BA$20,0),FALSE)*(G622*C622)),0))</f>
        <v>0</v>
      </c>
    </row>
    <row r="623" spans="2:10" ht="15" customHeight="1">
      <c r="B623" s="790" t="str">
        <f>IF(B622="PAL","",'General price list'!C643)</f>
        <v>C493DU</v>
      </c>
      <c r="C623" s="1" t="str">
        <f>IF(B623="PAL","",IFERROR(VLOOKUP(B623,'General price list'!C:BA,MATCH("PAL",'General price list'!$C$20:$BA$20,0),FALSE),""))</f>
        <v/>
      </c>
      <c r="D623" s="1">
        <f>IF(B623="PAL","",IFERROR(VLOOKUP(B623,'General price list'!C:BA,MATCH("OBJ",'General price list'!$C$20:$BA$20,0),FALSE),""))</f>
        <v>0</v>
      </c>
      <c r="E623" s="1">
        <f t="shared" si="61"/>
        <v>0</v>
      </c>
      <c r="F623" s="1">
        <f t="shared" si="62"/>
        <v>0</v>
      </c>
      <c r="G623" s="1">
        <f t="shared" si="63"/>
        <v>0</v>
      </c>
      <c r="H623" s="1">
        <f t="shared" si="64"/>
        <v>0</v>
      </c>
      <c r="I623" s="1">
        <f t="shared" si="65"/>
        <v>0</v>
      </c>
      <c r="J623">
        <f>IF(B623="PAL","",IFERROR(IF(C623="",VLOOKUP(B623,'General price list'!C:BA,MATCH("CBM",'General price list'!$C$20:$BA$20,0),FALSE)*D623,VLOOKUP(B623,'General price list'!C:BA,MATCH("CBM",'General price list'!$C$20:$BA$20,0),FALSE)*(G623*C623)),0))</f>
        <v>0</v>
      </c>
    </row>
    <row r="624" spans="2:10" ht="15" customHeight="1">
      <c r="B624" s="790" t="str">
        <f>IF(B623="PAL","",'General price list'!C644)</f>
        <v>C493SW</v>
      </c>
      <c r="C624" s="1" t="str">
        <f>IF(B624="PAL","",IFERROR(VLOOKUP(B624,'General price list'!C:BA,MATCH("PAL",'General price list'!$C$20:$BA$20,0),FALSE),""))</f>
        <v/>
      </c>
      <c r="D624" s="1">
        <f>IF(B624="PAL","",IFERROR(VLOOKUP(B624,'General price list'!C:BA,MATCH("OBJ",'General price list'!$C$20:$BA$20,0),FALSE),""))</f>
        <v>0</v>
      </c>
      <c r="E624" s="1">
        <f t="shared" si="61"/>
        <v>0</v>
      </c>
      <c r="F624" s="1">
        <f t="shared" si="62"/>
        <v>0</v>
      </c>
      <c r="G624" s="1">
        <f t="shared" si="63"/>
        <v>0</v>
      </c>
      <c r="H624" s="1">
        <f t="shared" si="64"/>
        <v>0</v>
      </c>
      <c r="I624" s="1">
        <f t="shared" si="65"/>
        <v>0</v>
      </c>
      <c r="J624">
        <f>IF(B624="PAL","",IFERROR(IF(C624="",VLOOKUP(B624,'General price list'!C:BA,MATCH("CBM",'General price list'!$C$20:$BA$20,0),FALSE)*D624,VLOOKUP(B624,'General price list'!C:BA,MATCH("CBM",'General price list'!$C$20:$BA$20,0),FALSE)*(G624*C624)),0))</f>
        <v>0</v>
      </c>
    </row>
    <row r="625" spans="2:10" ht="15" customHeight="1">
      <c r="B625" s="790" t="str">
        <f>IF(B624="PAL","",'General price list'!C645)</f>
        <v>C493GH</v>
      </c>
      <c r="C625" s="1" t="str">
        <f>IF(B625="PAL","",IFERROR(VLOOKUP(B625,'General price list'!C:BA,MATCH("PAL",'General price list'!$C$20:$BA$20,0),FALSE),""))</f>
        <v/>
      </c>
      <c r="D625" s="1">
        <f>IF(B625="PAL","",IFERROR(VLOOKUP(B625,'General price list'!C:BA,MATCH("OBJ",'General price list'!$C$20:$BA$20,0),FALSE),""))</f>
        <v>0</v>
      </c>
      <c r="E625" s="1">
        <f t="shared" si="61"/>
        <v>0</v>
      </c>
      <c r="F625" s="1">
        <f t="shared" si="62"/>
        <v>0</v>
      </c>
      <c r="G625" s="1">
        <f t="shared" si="63"/>
        <v>0</v>
      </c>
      <c r="H625" s="1">
        <f t="shared" si="64"/>
        <v>0</v>
      </c>
      <c r="I625" s="1">
        <f t="shared" si="65"/>
        <v>0</v>
      </c>
      <c r="J625">
        <f>IF(B625="PAL","",IFERROR(IF(C625="",VLOOKUP(B625,'General price list'!C:BA,MATCH("CBM",'General price list'!$C$20:$BA$20,0),FALSE)*D625,VLOOKUP(B625,'General price list'!C:BA,MATCH("CBM",'General price list'!$C$20:$BA$20,0),FALSE)*(G625*C625)),0))</f>
        <v>0</v>
      </c>
    </row>
    <row r="626" spans="2:10" ht="15" customHeight="1">
      <c r="B626" s="790" t="str">
        <f>IF(B625="PAL","",'General price list'!C646)</f>
        <v>C493RG</v>
      </c>
      <c r="C626" s="1" t="str">
        <f>IF(B626="PAL","",IFERROR(VLOOKUP(B626,'General price list'!C:BA,MATCH("PAL",'General price list'!$C$20:$BA$20,0),FALSE),""))</f>
        <v/>
      </c>
      <c r="D626" s="1">
        <f>IF(B626="PAL","",IFERROR(VLOOKUP(B626,'General price list'!C:BA,MATCH("OBJ",'General price list'!$C$20:$BA$20,0),FALSE),""))</f>
        <v>0</v>
      </c>
      <c r="E626" s="1">
        <f t="shared" si="61"/>
        <v>0</v>
      </c>
      <c r="F626" s="1">
        <f t="shared" si="62"/>
        <v>0</v>
      </c>
      <c r="G626" s="1">
        <f t="shared" si="63"/>
        <v>0</v>
      </c>
      <c r="H626" s="1">
        <f t="shared" si="64"/>
        <v>0</v>
      </c>
      <c r="I626" s="1">
        <f t="shared" si="65"/>
        <v>0</v>
      </c>
      <c r="J626">
        <f>IF(B626="PAL","",IFERROR(IF(C626="",VLOOKUP(B626,'General price list'!C:BA,MATCH("CBM",'General price list'!$C$20:$BA$20,0),FALSE)*D626,VLOOKUP(B626,'General price list'!C:BA,MATCH("CBM",'General price list'!$C$20:$BA$20,0),FALSE)*(G626*C626)),0))</f>
        <v>0</v>
      </c>
    </row>
    <row r="627" spans="2:10" ht="15" customHeight="1">
      <c r="B627" s="790" t="str">
        <f>IF(B626="PAL","",'General price list'!C647)</f>
        <v>C493BW</v>
      </c>
      <c r="C627" s="1" t="str">
        <f>IF(B627="PAL","",IFERROR(VLOOKUP(B627,'General price list'!C:BA,MATCH("PAL",'General price list'!$C$20:$BA$20,0),FALSE),""))</f>
        <v/>
      </c>
      <c r="D627" s="1">
        <f>IF(B627="PAL","",IFERROR(VLOOKUP(B627,'General price list'!C:BA,MATCH("OBJ",'General price list'!$C$20:$BA$20,0),FALSE),""))</f>
        <v>0</v>
      </c>
      <c r="E627" s="1">
        <f t="shared" si="61"/>
        <v>0</v>
      </c>
      <c r="F627" s="1">
        <f t="shared" si="62"/>
        <v>0</v>
      </c>
      <c r="G627" s="1">
        <f t="shared" si="63"/>
        <v>0</v>
      </c>
      <c r="H627" s="1">
        <f t="shared" si="64"/>
        <v>0</v>
      </c>
      <c r="I627" s="1">
        <f t="shared" si="65"/>
        <v>0</v>
      </c>
      <c r="J627">
        <f>IF(B627="PAL","",IFERROR(IF(C627="",VLOOKUP(B627,'General price list'!C:BA,MATCH("CBM",'General price list'!$C$20:$BA$20,0),FALSE)*D627,VLOOKUP(B627,'General price list'!C:BA,MATCH("CBM",'General price list'!$C$20:$BA$20,0),FALSE)*(G627*C627)),0))</f>
        <v>0</v>
      </c>
    </row>
    <row r="628" spans="2:10" ht="15" customHeight="1">
      <c r="B628" s="790">
        <f>IF(B627="PAL","",'General price list'!C648)</f>
        <v>0</v>
      </c>
      <c r="C628" s="1" t="str">
        <f>IF(B628="PAL","",IFERROR(VLOOKUP(B628,'General price list'!C:BA,MATCH("PAL",'General price list'!$C$20:$BA$20,0),FALSE),""))</f>
        <v/>
      </c>
      <c r="D628" s="1" t="str">
        <f>IF(B628="PAL","",IFERROR(VLOOKUP(B628,'General price list'!C:BA,MATCH("OBJ",'General price list'!$C$20:$BA$20,0),FALSE),""))</f>
        <v/>
      </c>
      <c r="E628" s="1">
        <f t="shared" si="61"/>
        <v>0</v>
      </c>
      <c r="F628" s="1">
        <f t="shared" si="62"/>
        <v>0</v>
      </c>
      <c r="G628" s="1">
        <f t="shared" si="63"/>
        <v>0</v>
      </c>
      <c r="H628" s="1">
        <f t="shared" si="64"/>
        <v>0</v>
      </c>
      <c r="I628" s="1">
        <f t="shared" si="65"/>
        <v>0</v>
      </c>
      <c r="J628">
        <f>IF(B628="PAL","",IFERROR(IF(C628="",VLOOKUP(B628,'General price list'!C:BA,MATCH("CBM",'General price list'!$C$20:$BA$20,0),FALSE)*D628,VLOOKUP(B628,'General price list'!C:BA,MATCH("CBM",'General price list'!$C$20:$BA$20,0),FALSE)*(G628*C628)),0))</f>
        <v>0</v>
      </c>
    </row>
    <row r="629" spans="2:10" ht="15" customHeight="1">
      <c r="B629" s="790" t="str">
        <f>IF(B628="PAL","",'General price list'!C649)</f>
        <v>CF493ST</v>
      </c>
      <c r="C629" s="1" t="str">
        <f>IF(B629="PAL","",IFERROR(VLOOKUP(B629,'General price list'!C:BA,MATCH("PAL",'General price list'!$C$20:$BA$20,0),FALSE),""))</f>
        <v/>
      </c>
      <c r="D629" s="1">
        <f>IF(B629="PAL","",IFERROR(VLOOKUP(B629,'General price list'!C:BA,MATCH("OBJ",'General price list'!$C$20:$BA$20,0),FALSE),""))</f>
        <v>0</v>
      </c>
      <c r="E629" s="1">
        <f t="shared" si="61"/>
        <v>0</v>
      </c>
      <c r="F629" s="1">
        <f t="shared" si="62"/>
        <v>0</v>
      </c>
      <c r="G629" s="1">
        <f t="shared" si="63"/>
        <v>0</v>
      </c>
      <c r="H629" s="1">
        <f t="shared" si="64"/>
        <v>0</v>
      </c>
      <c r="I629" s="1">
        <f t="shared" si="65"/>
        <v>0</v>
      </c>
      <c r="J629">
        <f>IF(B629="PAL","",IFERROR(IF(C629="",VLOOKUP(B629,'General price list'!C:BA,MATCH("CBM",'General price list'!$C$20:$BA$20,0),FALSE)*D629,VLOOKUP(B629,'General price list'!C:BA,MATCH("CBM",'General price list'!$C$20:$BA$20,0),FALSE)*(G629*C629)),0))</f>
        <v>0</v>
      </c>
    </row>
    <row r="630" spans="2:10" ht="15" customHeight="1">
      <c r="B630" s="790" t="str">
        <f>IF(B629="PAL","",'General price list'!C650)</f>
        <v>CF493SA</v>
      </c>
      <c r="C630" s="1" t="str">
        <f>IF(B630="PAL","",IFERROR(VLOOKUP(B630,'General price list'!C:BA,MATCH("PAL",'General price list'!$C$20:$BA$20,0),FALSE),""))</f>
        <v/>
      </c>
      <c r="D630" s="1">
        <f>IF(B630="PAL","",IFERROR(VLOOKUP(B630,'General price list'!C:BA,MATCH("OBJ",'General price list'!$C$20:$BA$20,0),FALSE),""))</f>
        <v>0</v>
      </c>
      <c r="E630" s="1">
        <f t="shared" si="61"/>
        <v>0</v>
      </c>
      <c r="F630" s="1">
        <f t="shared" si="62"/>
        <v>0</v>
      </c>
      <c r="G630" s="1">
        <f t="shared" si="63"/>
        <v>0</v>
      </c>
      <c r="H630" s="1">
        <f t="shared" si="64"/>
        <v>0</v>
      </c>
      <c r="I630" s="1">
        <f t="shared" si="65"/>
        <v>0</v>
      </c>
      <c r="J630">
        <f>IF(B630="PAL","",IFERROR(IF(C630="",VLOOKUP(B630,'General price list'!C:BA,MATCH("CBM",'General price list'!$C$20:$BA$20,0),FALSE)*D630,VLOOKUP(B630,'General price list'!C:BA,MATCH("CBM",'General price list'!$C$20:$BA$20,0),FALSE)*(G630*C630)),0))</f>
        <v>0</v>
      </c>
    </row>
    <row r="631" spans="2:10" ht="15" customHeight="1">
      <c r="B631" s="790" t="str">
        <f>IF(B630="PAL","",'General price list'!C651)</f>
        <v>CF493W</v>
      </c>
      <c r="C631" s="1" t="str">
        <f>IF(B631="PAL","",IFERROR(VLOOKUP(B631,'General price list'!C:BA,MATCH("PAL",'General price list'!$C$20:$BA$20,0),FALSE),""))</f>
        <v/>
      </c>
      <c r="D631" s="1">
        <f>IF(B631="PAL","",IFERROR(VLOOKUP(B631,'General price list'!C:BA,MATCH("OBJ",'General price list'!$C$20:$BA$20,0),FALSE),""))</f>
        <v>0</v>
      </c>
      <c r="E631" s="1">
        <f t="shared" si="61"/>
        <v>0</v>
      </c>
      <c r="F631" s="1">
        <f t="shared" si="62"/>
        <v>0</v>
      </c>
      <c r="G631" s="1">
        <f t="shared" si="63"/>
        <v>0</v>
      </c>
      <c r="H631" s="1">
        <f t="shared" si="64"/>
        <v>0</v>
      </c>
      <c r="I631" s="1">
        <f t="shared" si="65"/>
        <v>0</v>
      </c>
      <c r="J631">
        <f>IF(B631="PAL","",IFERROR(IF(C631="",VLOOKUP(B631,'General price list'!C:BA,MATCH("CBM",'General price list'!$C$20:$BA$20,0),FALSE)*D631,VLOOKUP(B631,'General price list'!C:BA,MATCH("CBM",'General price list'!$C$20:$BA$20,0),FALSE)*(G631*C631)),0))</f>
        <v>0</v>
      </c>
    </row>
    <row r="632" spans="2:10" ht="15" customHeight="1">
      <c r="B632" s="790" t="str">
        <f>IF(B631="PAL","",'General price list'!C652)</f>
        <v>CF493ME</v>
      </c>
      <c r="C632" s="1" t="str">
        <f>IF(B632="PAL","",IFERROR(VLOOKUP(B632,'General price list'!C:BA,MATCH("PAL",'General price list'!$C$20:$BA$20,0),FALSE),""))</f>
        <v/>
      </c>
      <c r="D632" s="1">
        <f>IF(B632="PAL","",IFERROR(VLOOKUP(B632,'General price list'!C:BA,MATCH("OBJ",'General price list'!$C$20:$BA$20,0),FALSE),""))</f>
        <v>0</v>
      </c>
      <c r="E632" s="1">
        <f t="shared" si="61"/>
        <v>0</v>
      </c>
      <c r="F632" s="1">
        <f t="shared" si="62"/>
        <v>0</v>
      </c>
      <c r="G632" s="1">
        <f t="shared" si="63"/>
        <v>0</v>
      </c>
      <c r="H632" s="1">
        <f t="shared" si="64"/>
        <v>0</v>
      </c>
      <c r="I632" s="1">
        <f t="shared" si="65"/>
        <v>0</v>
      </c>
      <c r="J632">
        <f>IF(B632="PAL","",IFERROR(IF(C632="",VLOOKUP(B632,'General price list'!C:BA,MATCH("CBM",'General price list'!$C$20:$BA$20,0),FALSE)*D632,VLOOKUP(B632,'General price list'!C:BA,MATCH("CBM",'General price list'!$C$20:$BA$20,0),FALSE)*(G632*C632)),0))</f>
        <v>0</v>
      </c>
    </row>
    <row r="633" spans="2:10" ht="15" customHeight="1">
      <c r="B633" s="790">
        <f>IF(B632="PAL","",'General price list'!C653)</f>
        <v>0</v>
      </c>
      <c r="C633" s="1" t="str">
        <f>IF(B633="PAL","",IFERROR(VLOOKUP(B633,'General price list'!C:BA,MATCH("PAL",'General price list'!$C$20:$BA$20,0),FALSE),""))</f>
        <v/>
      </c>
      <c r="D633" s="1" t="str">
        <f>IF(B633="PAL","",IFERROR(VLOOKUP(B633,'General price list'!C:BA,MATCH("OBJ",'General price list'!$C$20:$BA$20,0),FALSE),""))</f>
        <v/>
      </c>
      <c r="E633" s="1">
        <f t="shared" si="61"/>
        <v>0</v>
      </c>
      <c r="F633" s="1">
        <f t="shared" si="62"/>
        <v>0</v>
      </c>
      <c r="G633" s="1">
        <f t="shared" si="63"/>
        <v>0</v>
      </c>
      <c r="H633" s="1">
        <f t="shared" si="64"/>
        <v>0</v>
      </c>
      <c r="I633" s="1">
        <f t="shared" si="65"/>
        <v>0</v>
      </c>
      <c r="J633">
        <f>IF(B633="PAL","",IFERROR(IF(C633="",VLOOKUP(B633,'General price list'!C:BA,MATCH("CBM",'General price list'!$C$20:$BA$20,0),FALSE)*D633,VLOOKUP(B633,'General price list'!C:BA,MATCH("CBM",'General price list'!$C$20:$BA$20,0),FALSE)*(G633*C633)),0))</f>
        <v>0</v>
      </c>
    </row>
    <row r="634" spans="2:10" ht="15" customHeight="1">
      <c r="B634" s="790" t="str">
        <f>IF(B633="PAL","",'General price list'!C654)</f>
        <v>C503SIGA</v>
      </c>
      <c r="C634" s="1" t="str">
        <f>IF(B634="PAL","",IFERROR(VLOOKUP(B634,'General price list'!C:BA,MATCH("PAL",'General price list'!$C$20:$BA$20,0),FALSE),""))</f>
        <v/>
      </c>
      <c r="D634" s="1">
        <f>IF(B634="PAL","",IFERROR(VLOOKUP(B634,'General price list'!C:BA,MATCH("OBJ",'General price list'!$C$20:$BA$20,0),FALSE),""))</f>
        <v>0</v>
      </c>
      <c r="E634" s="1">
        <f t="shared" si="61"/>
        <v>0</v>
      </c>
      <c r="F634" s="1">
        <f t="shared" si="62"/>
        <v>0</v>
      </c>
      <c r="G634" s="1">
        <f t="shared" si="63"/>
        <v>0</v>
      </c>
      <c r="H634" s="1">
        <f t="shared" si="64"/>
        <v>0</v>
      </c>
      <c r="I634" s="1">
        <f t="shared" si="65"/>
        <v>0</v>
      </c>
      <c r="J634">
        <f>IF(B634="PAL","",IFERROR(IF(C634="",VLOOKUP(B634,'General price list'!C:BA,MATCH("CBM",'General price list'!$C$20:$BA$20,0),FALSE)*D634,VLOOKUP(B634,'General price list'!C:BA,MATCH("CBM",'General price list'!$C$20:$BA$20,0),FALSE)*(G634*C634)),0))</f>
        <v>0</v>
      </c>
    </row>
    <row r="635" spans="2:10" ht="15" customHeight="1">
      <c r="B635" s="790" t="str">
        <f>IF(B634="PAL","",'General price list'!C655)</f>
        <v>C503RA</v>
      </c>
      <c r="C635" s="1" t="str">
        <f>IF(B635="PAL","",IFERROR(VLOOKUP(B635,'General price list'!C:BA,MATCH("PAL",'General price list'!$C$20:$BA$20,0),FALSE),""))</f>
        <v/>
      </c>
      <c r="D635" s="1">
        <f>IF(B635="PAL","",IFERROR(VLOOKUP(B635,'General price list'!C:BA,MATCH("OBJ",'General price list'!$C$20:$BA$20,0),FALSE),""))</f>
        <v>0</v>
      </c>
      <c r="E635" s="1">
        <f t="shared" si="61"/>
        <v>0</v>
      </c>
      <c r="F635" s="1">
        <f t="shared" si="62"/>
        <v>0</v>
      </c>
      <c r="G635" s="1">
        <f t="shared" si="63"/>
        <v>0</v>
      </c>
      <c r="H635" s="1">
        <f t="shared" si="64"/>
        <v>0</v>
      </c>
      <c r="I635" s="1">
        <f t="shared" si="65"/>
        <v>0</v>
      </c>
      <c r="J635">
        <f>IF(B635="PAL","",IFERROR(IF(C635="",VLOOKUP(B635,'General price list'!C:BA,MATCH("CBM",'General price list'!$C$20:$BA$20,0),FALSE)*D635,VLOOKUP(B635,'General price list'!C:BA,MATCH("CBM",'General price list'!$C$20:$BA$20,0),FALSE)*(G635*C635)),0))</f>
        <v>0</v>
      </c>
    </row>
    <row r="636" spans="2:10" ht="15" customHeight="1">
      <c r="B636" s="790" t="str">
        <f>IF(B635="PAL","",'General price list'!C656)</f>
        <v>C503RO</v>
      </c>
      <c r="C636" s="1" t="str">
        <f>IF(B636="PAL","",IFERROR(VLOOKUP(B636,'General price list'!C:BA,MATCH("PAL",'General price list'!$C$20:$BA$20,0),FALSE),""))</f>
        <v/>
      </c>
      <c r="D636" s="1">
        <f>IF(B636="PAL","",IFERROR(VLOOKUP(B636,'General price list'!C:BA,MATCH("OBJ",'General price list'!$C$20:$BA$20,0),FALSE),""))</f>
        <v>0</v>
      </c>
      <c r="E636" s="1">
        <f t="shared" si="61"/>
        <v>0</v>
      </c>
      <c r="F636" s="1">
        <f t="shared" si="62"/>
        <v>0</v>
      </c>
      <c r="G636" s="1">
        <f t="shared" si="63"/>
        <v>0</v>
      </c>
      <c r="H636" s="1">
        <f t="shared" si="64"/>
        <v>0</v>
      </c>
      <c r="I636" s="1">
        <f t="shared" si="65"/>
        <v>0</v>
      </c>
      <c r="J636">
        <f>IF(B636="PAL","",IFERROR(IF(C636="",VLOOKUP(B636,'General price list'!C:BA,MATCH("CBM",'General price list'!$C$20:$BA$20,0),FALSE)*D636,VLOOKUP(B636,'General price list'!C:BA,MATCH("CBM",'General price list'!$C$20:$BA$20,0),FALSE)*(G636*C636)),0))</f>
        <v>0</v>
      </c>
    </row>
    <row r="637" spans="2:10" ht="15" customHeight="1">
      <c r="B637" s="790" t="str">
        <f>IF(B636="PAL","",'General price list'!C657)</f>
        <v>C503BI</v>
      </c>
      <c r="C637" s="1" t="str">
        <f>IF(B637="PAL","",IFERROR(VLOOKUP(B637,'General price list'!C:BA,MATCH("PAL",'General price list'!$C$20:$BA$20,0),FALSE),""))</f>
        <v/>
      </c>
      <c r="D637" s="1">
        <f>IF(B637="PAL","",IFERROR(VLOOKUP(B637,'General price list'!C:BA,MATCH("OBJ",'General price list'!$C$20:$BA$20,0),FALSE),""))</f>
        <v>0</v>
      </c>
      <c r="E637" s="1">
        <f t="shared" si="61"/>
        <v>0</v>
      </c>
      <c r="F637" s="1">
        <f t="shared" si="62"/>
        <v>0</v>
      </c>
      <c r="G637" s="1">
        <f t="shared" si="63"/>
        <v>0</v>
      </c>
      <c r="H637" s="1">
        <f t="shared" si="64"/>
        <v>0</v>
      </c>
      <c r="I637" s="1">
        <f t="shared" si="65"/>
        <v>0</v>
      </c>
      <c r="J637">
        <f>IF(B637="PAL","",IFERROR(IF(C637="",VLOOKUP(B637,'General price list'!C:BA,MATCH("CBM",'General price list'!$C$20:$BA$20,0),FALSE)*D637,VLOOKUP(B637,'General price list'!C:BA,MATCH("CBM",'General price list'!$C$20:$BA$20,0),FALSE)*(G637*C637)),0))</f>
        <v>0</v>
      </c>
    </row>
    <row r="638" spans="2:10" ht="15" customHeight="1">
      <c r="B638" s="790">
        <f>IF(B637="PAL","",'General price list'!C658)</f>
        <v>0</v>
      </c>
      <c r="C638" s="1" t="str">
        <f>IF(B638="PAL","",IFERROR(VLOOKUP(B638,'General price list'!C:BA,MATCH("PAL",'General price list'!$C$20:$BA$20,0),FALSE),""))</f>
        <v/>
      </c>
      <c r="D638" s="1" t="str">
        <f>IF(B638="PAL","",IFERROR(VLOOKUP(B638,'General price list'!C:BA,MATCH("OBJ",'General price list'!$C$20:$BA$20,0),FALSE),""))</f>
        <v/>
      </c>
      <c r="E638" s="1">
        <f t="shared" si="61"/>
        <v>0</v>
      </c>
      <c r="F638" s="1">
        <f t="shared" si="62"/>
        <v>0</v>
      </c>
      <c r="G638" s="1">
        <f t="shared" si="63"/>
        <v>0</v>
      </c>
      <c r="H638" s="1">
        <f t="shared" si="64"/>
        <v>0</v>
      </c>
      <c r="I638" s="1">
        <f t="shared" si="65"/>
        <v>0</v>
      </c>
      <c r="J638">
        <f>IF(B638="PAL","",IFERROR(IF(C638="",VLOOKUP(B638,'General price list'!C:BA,MATCH("CBM",'General price list'!$C$20:$BA$20,0),FALSE)*D638,VLOOKUP(B638,'General price list'!C:BA,MATCH("CBM",'General price list'!$C$20:$BA$20,0),FALSE)*(G638*C638)),0))</f>
        <v>0</v>
      </c>
    </row>
    <row r="639" spans="2:10" ht="15" customHeight="1">
      <c r="B639" s="790" t="str">
        <f>IF(B638="PAL","",'General price list'!C659)</f>
        <v>C643BI</v>
      </c>
      <c r="C639" s="1" t="str">
        <f>IF(B639="PAL","",IFERROR(VLOOKUP(B639,'General price list'!C:BA,MATCH("PAL",'General price list'!$C$20:$BA$20,0),FALSE),""))</f>
        <v/>
      </c>
      <c r="D639" s="1">
        <f>IF(B639="PAL","",IFERROR(VLOOKUP(B639,'General price list'!C:BA,MATCH("OBJ",'General price list'!$C$20:$BA$20,0),FALSE),""))</f>
        <v>0</v>
      </c>
      <c r="E639" s="1">
        <f t="shared" si="61"/>
        <v>0</v>
      </c>
      <c r="F639" s="1">
        <f t="shared" si="62"/>
        <v>0</v>
      </c>
      <c r="G639" s="1">
        <f t="shared" si="63"/>
        <v>0</v>
      </c>
      <c r="H639" s="1">
        <f t="shared" si="64"/>
        <v>0</v>
      </c>
      <c r="I639" s="1">
        <f t="shared" si="65"/>
        <v>0</v>
      </c>
      <c r="J639">
        <f>IF(B639="PAL","",IFERROR(IF(C639="",VLOOKUP(B639,'General price list'!C:BA,MATCH("CBM",'General price list'!$C$20:$BA$20,0),FALSE)*D639,VLOOKUP(B639,'General price list'!C:BA,MATCH("CBM",'General price list'!$C$20:$BA$20,0),FALSE)*(G639*C639)),0))</f>
        <v>0</v>
      </c>
    </row>
    <row r="640" spans="2:10" ht="15" customHeight="1">
      <c r="B640" s="790" t="str">
        <f>IF(B639="PAL","",'General price list'!C660)</f>
        <v>C643H</v>
      </c>
      <c r="C640" s="1" t="str">
        <f>IF(B640="PAL","",IFERROR(VLOOKUP(B640,'General price list'!C:BA,MATCH("PAL",'General price list'!$C$20:$BA$20,0),FALSE),""))</f>
        <v/>
      </c>
      <c r="D640" s="1">
        <f>IF(B640="PAL","",IFERROR(VLOOKUP(B640,'General price list'!C:BA,MATCH("OBJ",'General price list'!$C$20:$BA$20,0),FALSE),""))</f>
        <v>0</v>
      </c>
      <c r="E640" s="1">
        <f t="shared" si="61"/>
        <v>0</v>
      </c>
      <c r="F640" s="1">
        <f t="shared" si="62"/>
        <v>0</v>
      </c>
      <c r="G640" s="1">
        <f t="shared" si="63"/>
        <v>0</v>
      </c>
      <c r="H640" s="1">
        <f t="shared" si="64"/>
        <v>0</v>
      </c>
      <c r="I640" s="1">
        <f t="shared" si="65"/>
        <v>0</v>
      </c>
      <c r="J640">
        <f>IF(B640="PAL","",IFERROR(IF(C640="",VLOOKUP(B640,'General price list'!C:BA,MATCH("CBM",'General price list'!$C$20:$BA$20,0),FALSE)*D640,VLOOKUP(B640,'General price list'!C:BA,MATCH("CBM",'General price list'!$C$20:$BA$20,0),FALSE)*(G640*C640)),0))</f>
        <v>0</v>
      </c>
    </row>
    <row r="641" spans="2:10" ht="15" customHeight="1">
      <c r="B641" s="790">
        <f>IF(B640="PAL","",'General price list'!C661)</f>
        <v>0</v>
      </c>
      <c r="C641" s="1" t="str">
        <f>IF(B641="PAL","",IFERROR(VLOOKUP(B641,'General price list'!C:BA,MATCH("PAL",'General price list'!$C$20:$BA$20,0),FALSE),""))</f>
        <v/>
      </c>
      <c r="D641" s="1" t="str">
        <f>IF(B641="PAL","",IFERROR(VLOOKUP(B641,'General price list'!C:BA,MATCH("OBJ",'General price list'!$C$20:$BA$20,0),FALSE),""))</f>
        <v/>
      </c>
      <c r="E641" s="1">
        <f t="shared" si="61"/>
        <v>0</v>
      </c>
      <c r="F641" s="1">
        <f t="shared" si="62"/>
        <v>0</v>
      </c>
      <c r="G641" s="1">
        <f t="shared" si="63"/>
        <v>0</v>
      </c>
      <c r="H641" s="1">
        <f t="shared" si="64"/>
        <v>0</v>
      </c>
      <c r="I641" s="1">
        <f t="shared" si="65"/>
        <v>0</v>
      </c>
      <c r="J641">
        <f>IF(B641="PAL","",IFERROR(IF(C641="",VLOOKUP(B641,'General price list'!C:BA,MATCH("CBM",'General price list'!$C$20:$BA$20,0),FALSE)*D641,VLOOKUP(B641,'General price list'!C:BA,MATCH("CBM",'General price list'!$C$20:$BA$20,0),FALSE)*(G641*C641)),0))</f>
        <v>0</v>
      </c>
    </row>
    <row r="642" spans="2:10" ht="15" customHeight="1">
      <c r="B642" s="790" t="str">
        <f>IF(B641="PAL","",'General price list'!C662)</f>
        <v>CF643M</v>
      </c>
      <c r="C642" s="1" t="str">
        <f>IF(B642="PAL","",IFERROR(VLOOKUP(B642,'General price list'!C:BA,MATCH("PAL",'General price list'!$C$20:$BA$20,0),FALSE),""))</f>
        <v/>
      </c>
      <c r="D642" s="1">
        <f>IF(B642="PAL","",IFERROR(VLOOKUP(B642,'General price list'!C:BA,MATCH("OBJ",'General price list'!$C$20:$BA$20,0),FALSE),""))</f>
        <v>0</v>
      </c>
      <c r="E642" s="1">
        <f t="shared" si="61"/>
        <v>0</v>
      </c>
      <c r="F642" s="1">
        <f t="shared" si="62"/>
        <v>0</v>
      </c>
      <c r="G642" s="1">
        <f t="shared" si="63"/>
        <v>0</v>
      </c>
      <c r="H642" s="1">
        <f t="shared" si="64"/>
        <v>0</v>
      </c>
      <c r="I642" s="1">
        <f t="shared" si="65"/>
        <v>0</v>
      </c>
      <c r="J642">
        <f>IF(B642="PAL","",IFERROR(IF(C642="",VLOOKUP(B642,'General price list'!C:BA,MATCH("CBM",'General price list'!$C$20:$BA$20,0),FALSE)*D642,VLOOKUP(B642,'General price list'!C:BA,MATCH("CBM",'General price list'!$C$20:$BA$20,0),FALSE)*(G642*C642)),0))</f>
        <v>0</v>
      </c>
    </row>
    <row r="643" spans="2:10" ht="15" customHeight="1">
      <c r="B643" s="790" t="str">
        <f>IF(B642="PAL","",'General price list'!C663)</f>
        <v>CF643T</v>
      </c>
      <c r="C643" s="1" t="str">
        <f>IF(B643="PAL","",IFERROR(VLOOKUP(B643,'General price list'!C:BA,MATCH("PAL",'General price list'!$C$20:$BA$20,0),FALSE),""))</f>
        <v/>
      </c>
      <c r="D643" s="1">
        <f>IF(B643="PAL","",IFERROR(VLOOKUP(B643,'General price list'!C:BA,MATCH("OBJ",'General price list'!$C$20:$BA$20,0),FALSE),""))</f>
        <v>0</v>
      </c>
      <c r="E643" s="1">
        <f t="shared" si="61"/>
        <v>0</v>
      </c>
      <c r="F643" s="1">
        <f t="shared" si="62"/>
        <v>0</v>
      </c>
      <c r="G643" s="1">
        <f t="shared" si="63"/>
        <v>0</v>
      </c>
      <c r="H643" s="1">
        <f t="shared" si="64"/>
        <v>0</v>
      </c>
      <c r="I643" s="1">
        <f t="shared" si="65"/>
        <v>0</v>
      </c>
      <c r="J643">
        <f>IF(B643="PAL","",IFERROR(IF(C643="",VLOOKUP(B643,'General price list'!C:BA,MATCH("CBM",'General price list'!$C$20:$BA$20,0),FALSE)*D643,VLOOKUP(B643,'General price list'!C:BA,MATCH("CBM",'General price list'!$C$20:$BA$20,0),FALSE)*(G643*C643)),0))</f>
        <v>0</v>
      </c>
    </row>
    <row r="644" spans="2:10" ht="15" customHeight="1">
      <c r="B644" s="790">
        <f>IF(B643="PAL","",'General price list'!C664)</f>
        <v>0</v>
      </c>
      <c r="C644" s="1" t="str">
        <f>IF(B644="PAL","",IFERROR(VLOOKUP(B644,'General price list'!C:BA,MATCH("PAL",'General price list'!$C$20:$BA$20,0),FALSE),""))</f>
        <v/>
      </c>
      <c r="D644" s="1" t="str">
        <f>IF(B644="PAL","",IFERROR(VLOOKUP(B644,'General price list'!C:BA,MATCH("OBJ",'General price list'!$C$20:$BA$20,0),FALSE),""))</f>
        <v/>
      </c>
      <c r="E644" s="1">
        <f t="shared" si="61"/>
        <v>0</v>
      </c>
      <c r="F644" s="1">
        <f t="shared" si="62"/>
        <v>0</v>
      </c>
      <c r="G644" s="1">
        <f t="shared" si="63"/>
        <v>0</v>
      </c>
      <c r="H644" s="1">
        <f t="shared" si="64"/>
        <v>0</v>
      </c>
      <c r="I644" s="1">
        <f t="shared" si="65"/>
        <v>0</v>
      </c>
      <c r="J644">
        <f>IF(B644="PAL","",IFERROR(IF(C644="",VLOOKUP(B644,'General price list'!C:BA,MATCH("CBM",'General price list'!$C$20:$BA$20,0),FALSE)*D644,VLOOKUP(B644,'General price list'!C:BA,MATCH("CBM",'General price list'!$C$20:$BA$20,0),FALSE)*(G644*C644)),0))</f>
        <v>0</v>
      </c>
    </row>
    <row r="645" spans="2:10" ht="15" customHeight="1">
      <c r="B645" s="790" t="str">
        <f>IF(B644="PAL","",'General price list'!C665)</f>
        <v>C643XMO</v>
      </c>
      <c r="C645" s="1" t="str">
        <f>IF(B645="PAL","",IFERROR(VLOOKUP(B645,'General price list'!C:BA,MATCH("PAL",'General price list'!$C$20:$BA$20,0),FALSE),""))</f>
        <v/>
      </c>
      <c r="D645" s="1">
        <f>IF(B645="PAL","",IFERROR(VLOOKUP(B645,'General price list'!C:BA,MATCH("OBJ",'General price list'!$C$20:$BA$20,0),FALSE),""))</f>
        <v>0</v>
      </c>
      <c r="E645" s="1">
        <f t="shared" si="61"/>
        <v>0</v>
      </c>
      <c r="F645" s="1">
        <f t="shared" si="62"/>
        <v>0</v>
      </c>
      <c r="G645" s="1">
        <f t="shared" si="63"/>
        <v>0</v>
      </c>
      <c r="H645" s="1">
        <f t="shared" si="64"/>
        <v>0</v>
      </c>
      <c r="I645" s="1">
        <f t="shared" si="65"/>
        <v>0</v>
      </c>
      <c r="J645">
        <f>IF(B645="PAL","",IFERROR(IF(C645="",VLOOKUP(B645,'General price list'!C:BA,MATCH("CBM",'General price list'!$C$20:$BA$20,0),FALSE)*D645,VLOOKUP(B645,'General price list'!C:BA,MATCH("CBM",'General price list'!$C$20:$BA$20,0),FALSE)*(G645*C645)),0))</f>
        <v>0</v>
      </c>
    </row>
    <row r="646" spans="2:10" ht="15" customHeight="1">
      <c r="B646" s="790" t="str">
        <f>IF(B645="PAL","",'General price list'!C666)</f>
        <v>C643XMS</v>
      </c>
      <c r="C646" s="1" t="str">
        <f>IF(B646="PAL","",IFERROR(VLOOKUP(B646,'General price list'!C:BA,MATCH("PAL",'General price list'!$C$20:$BA$20,0),FALSE),""))</f>
        <v/>
      </c>
      <c r="D646" s="1">
        <f>IF(B646="PAL","",IFERROR(VLOOKUP(B646,'General price list'!C:BA,MATCH("OBJ",'General price list'!$C$20:$BA$20,0),FALSE),""))</f>
        <v>0</v>
      </c>
      <c r="E646" s="1">
        <f t="shared" si="61"/>
        <v>0</v>
      </c>
      <c r="F646" s="1">
        <f t="shared" si="62"/>
        <v>0</v>
      </c>
      <c r="G646" s="1">
        <f t="shared" si="63"/>
        <v>0</v>
      </c>
      <c r="H646" s="1">
        <f t="shared" si="64"/>
        <v>0</v>
      </c>
      <c r="I646" s="1">
        <f t="shared" si="65"/>
        <v>0</v>
      </c>
      <c r="J646">
        <f>IF(B646="PAL","",IFERROR(IF(C646="",VLOOKUP(B646,'General price list'!C:BA,MATCH("CBM",'General price list'!$C$20:$BA$20,0),FALSE)*D646,VLOOKUP(B646,'General price list'!C:BA,MATCH("CBM",'General price list'!$C$20:$BA$20,0),FALSE)*(G646*C646)),0))</f>
        <v>0</v>
      </c>
    </row>
    <row r="647" spans="2:10" ht="15" customHeight="1">
      <c r="B647" s="790">
        <f>IF(B646="PAL","",'General price list'!C667)</f>
        <v>0</v>
      </c>
      <c r="C647" s="1" t="str">
        <f>IF(B647="PAL","",IFERROR(VLOOKUP(B647,'General price list'!C:BA,MATCH("PAL",'General price list'!$C$20:$BA$20,0),FALSE),""))</f>
        <v/>
      </c>
      <c r="D647" s="1" t="str">
        <f>IF(B647="PAL","",IFERROR(VLOOKUP(B647,'General price list'!C:BA,MATCH("OBJ",'General price list'!$C$20:$BA$20,0),FALSE),""))</f>
        <v/>
      </c>
      <c r="E647" s="1">
        <f t="shared" si="61"/>
        <v>0</v>
      </c>
      <c r="F647" s="1">
        <f t="shared" si="62"/>
        <v>0</v>
      </c>
      <c r="G647" s="1">
        <f t="shared" si="63"/>
        <v>0</v>
      </c>
      <c r="H647" s="1">
        <f t="shared" si="64"/>
        <v>0</v>
      </c>
      <c r="I647" s="1">
        <f t="shared" si="65"/>
        <v>0</v>
      </c>
      <c r="J647">
        <f>IF(B647="PAL","",IFERROR(IF(C647="",VLOOKUP(B647,'General price list'!C:BA,MATCH("CBM",'General price list'!$C$20:$BA$20,0),FALSE)*D647,VLOOKUP(B647,'General price list'!C:BA,MATCH("CBM",'General price list'!$C$20:$BA$20,0),FALSE)*(G647*C647)),0))</f>
        <v>0</v>
      </c>
    </row>
    <row r="648" spans="2:10" ht="15" customHeight="1">
      <c r="B648" s="790" t="str">
        <f>IF(B647="PAL","",'General price list'!C668)</f>
        <v>C503BW/C14</v>
      </c>
      <c r="C648" s="1" t="str">
        <f>IF(B648="PAL","",IFERROR(VLOOKUP(B648,'General price list'!C:BA,MATCH("PAL",'General price list'!$C$20:$BA$20,0),FALSE),""))</f>
        <v/>
      </c>
      <c r="D648" s="1">
        <f>IF(B648="PAL","",IFERROR(VLOOKUP(B648,'General price list'!C:BA,MATCH("OBJ",'General price list'!$C$20:$BA$20,0),FALSE),""))</f>
        <v>0</v>
      </c>
      <c r="E648" s="1">
        <f t="shared" si="61"/>
        <v>0</v>
      </c>
      <c r="F648" s="1">
        <f t="shared" si="62"/>
        <v>0</v>
      </c>
      <c r="G648" s="1">
        <f t="shared" si="63"/>
        <v>0</v>
      </c>
      <c r="H648" s="1">
        <f t="shared" si="64"/>
        <v>0</v>
      </c>
      <c r="I648" s="1">
        <f t="shared" si="65"/>
        <v>0</v>
      </c>
      <c r="J648">
        <f>IF(B648="PAL","",IFERROR(IF(C648="",VLOOKUP(B648,'General price list'!C:BA,MATCH("CBM",'General price list'!$C$20:$BA$20,0),FALSE)*D648,VLOOKUP(B648,'General price list'!C:BA,MATCH("CBM",'General price list'!$C$20:$BA$20,0),FALSE)*(G648*C648)),0))</f>
        <v>0</v>
      </c>
    </row>
    <row r="649" spans="2:10" ht="15" customHeight="1">
      <c r="B649" s="790" t="str">
        <f>IF(B648="PAL","",'General price list'!C669)</f>
        <v>C503TS/C14</v>
      </c>
      <c r="C649" s="1" t="str">
        <f>IF(B649="PAL","",IFERROR(VLOOKUP(B649,'General price list'!C:BA,MATCH("PAL",'General price list'!$C$20:$BA$20,0),FALSE),""))</f>
        <v/>
      </c>
      <c r="D649" s="1">
        <f>IF(B649="PAL","",IFERROR(VLOOKUP(B649,'General price list'!C:BA,MATCH("OBJ",'General price list'!$C$20:$BA$20,0),FALSE),""))</f>
        <v>0</v>
      </c>
      <c r="E649" s="1">
        <f t="shared" si="61"/>
        <v>0</v>
      </c>
      <c r="F649" s="1">
        <f t="shared" si="62"/>
        <v>0</v>
      </c>
      <c r="G649" s="1">
        <f t="shared" si="63"/>
        <v>0</v>
      </c>
      <c r="H649" s="1">
        <f t="shared" si="64"/>
        <v>0</v>
      </c>
      <c r="I649" s="1">
        <f t="shared" si="65"/>
        <v>0</v>
      </c>
      <c r="J649">
        <f>IF(B649="PAL","",IFERROR(IF(C649="",VLOOKUP(B649,'General price list'!C:BA,MATCH("CBM",'General price list'!$C$20:$BA$20,0),FALSE)*D649,VLOOKUP(B649,'General price list'!C:BA,MATCH("CBM",'General price list'!$C$20:$BA$20,0),FALSE)*(G649*C649)),0))</f>
        <v>0</v>
      </c>
    </row>
    <row r="650" spans="2:10" ht="15" customHeight="1">
      <c r="B650" s="790" t="str">
        <f>IF(B649="PAL","",'General price list'!C670)</f>
        <v>C503RO/C14</v>
      </c>
      <c r="C650" s="1" t="str">
        <f>IF(B650="PAL","",IFERROR(VLOOKUP(B650,'General price list'!C:BA,MATCH("PAL",'General price list'!$C$20:$BA$20,0),FALSE),""))</f>
        <v/>
      </c>
      <c r="D650" s="1">
        <f>IF(B650="PAL","",IFERROR(VLOOKUP(B650,'General price list'!C:BA,MATCH("OBJ",'General price list'!$C$20:$BA$20,0),FALSE),""))</f>
        <v>0</v>
      </c>
      <c r="E650" s="1">
        <f t="shared" si="61"/>
        <v>0</v>
      </c>
      <c r="F650" s="1">
        <f t="shared" si="62"/>
        <v>0</v>
      </c>
      <c r="G650" s="1">
        <f t="shared" si="63"/>
        <v>0</v>
      </c>
      <c r="H650" s="1">
        <f t="shared" si="64"/>
        <v>0</v>
      </c>
      <c r="I650" s="1">
        <f t="shared" si="65"/>
        <v>0</v>
      </c>
      <c r="J650">
        <f>IF(B650="PAL","",IFERROR(IF(C650="",VLOOKUP(B650,'General price list'!C:BA,MATCH("CBM",'General price list'!$C$20:$BA$20,0),FALSE)*D650,VLOOKUP(B650,'General price list'!C:BA,MATCH("CBM",'General price list'!$C$20:$BA$20,0),FALSE)*(G650*C650)),0))</f>
        <v>0</v>
      </c>
    </row>
    <row r="651" spans="2:10" ht="15" customHeight="1">
      <c r="B651" s="790" t="str">
        <f>IF(B650="PAL","",'General price list'!C671)</f>
        <v>C503F/C14</v>
      </c>
      <c r="C651" s="1" t="str">
        <f>IF(B651="PAL","",IFERROR(VLOOKUP(B651,'General price list'!C:BA,MATCH("PAL",'General price list'!$C$20:$BA$20,0),FALSE),""))</f>
        <v/>
      </c>
      <c r="D651" s="1">
        <f>IF(B651="PAL","",IFERROR(VLOOKUP(B651,'General price list'!C:BA,MATCH("OBJ",'General price list'!$C$20:$BA$20,0),FALSE),""))</f>
        <v>0</v>
      </c>
      <c r="E651" s="1">
        <f t="shared" si="61"/>
        <v>0</v>
      </c>
      <c r="F651" s="1">
        <f t="shared" si="62"/>
        <v>0</v>
      </c>
      <c r="G651" s="1">
        <f t="shared" si="63"/>
        <v>0</v>
      </c>
      <c r="H651" s="1">
        <f t="shared" si="64"/>
        <v>0</v>
      </c>
      <c r="I651" s="1">
        <f t="shared" si="65"/>
        <v>0</v>
      </c>
      <c r="J651">
        <f>IF(B651="PAL","",IFERROR(IF(C651="",VLOOKUP(B651,'General price list'!C:BA,MATCH("CBM",'General price list'!$C$20:$BA$20,0),FALSE)*D651,VLOOKUP(B651,'General price list'!C:BA,MATCH("CBM",'General price list'!$C$20:$BA$20,0),FALSE)*(G651*C651)),0))</f>
        <v>0</v>
      </c>
    </row>
    <row r="652" spans="2:10" ht="15" customHeight="1">
      <c r="B652" s="790" t="str">
        <f>IF(B651="PAL","",'General price list'!C672)</f>
        <v>C503SIG/C14</v>
      </c>
      <c r="C652" s="1" t="str">
        <f>IF(B652="PAL","",IFERROR(VLOOKUP(B652,'General price list'!C:BA,MATCH("PAL",'General price list'!$C$20:$BA$20,0),FALSE),""))</f>
        <v/>
      </c>
      <c r="D652" s="1">
        <f>IF(B652="PAL","",IFERROR(VLOOKUP(B652,'General price list'!C:BA,MATCH("OBJ",'General price list'!$C$20:$BA$20,0),FALSE),""))</f>
        <v>0</v>
      </c>
      <c r="E652" s="1">
        <f t="shared" ref="E652:E715" si="66">IF(B652="PAL","",IFERROR(D652/C652,0))</f>
        <v>0</v>
      </c>
      <c r="F652" s="1">
        <f t="shared" ref="F652:F715" si="67">IF(B652="PAL","",IFERROR(FLOOR(IF(E652-1&lt;0,0,E652),1),0))</f>
        <v>0</v>
      </c>
      <c r="G652" s="1">
        <f t="shared" ref="G652:G715" si="68">IF(B652="PAL","",IFERROR(IF(H652&gt;E652,F652-E652,E652-F652),0))</f>
        <v>0</v>
      </c>
      <c r="H652" s="1">
        <f t="shared" ref="H652:H715" si="69">IF(B652="PAL","",IFERROR(IF(E652=0,0,F652),0))</f>
        <v>0</v>
      </c>
      <c r="I652" s="1">
        <f t="shared" ref="I652:I715" si="70">IF(B652="PAL","",IFERROR(IF(D652=0,0,IF(F652=0,(D652*nextVK)+(prvniVK-nextVK),(G652*C652*nextVK)+(F652*PALzKoje))),0))</f>
        <v>0</v>
      </c>
      <c r="J652">
        <f>IF(B652="PAL","",IFERROR(IF(C652="",VLOOKUP(B652,'General price list'!C:BA,MATCH("CBM",'General price list'!$C$20:$BA$20,0),FALSE)*D652,VLOOKUP(B652,'General price list'!C:BA,MATCH("CBM",'General price list'!$C$20:$BA$20,0),FALSE)*(G652*C652)),0))</f>
        <v>0</v>
      </c>
    </row>
    <row r="653" spans="2:10" ht="15" customHeight="1">
      <c r="B653" s="790" t="str">
        <f>IF(B652="PAL","",'General price list'!C673)</f>
        <v>C1003F/C14</v>
      </c>
      <c r="C653" s="1" t="str">
        <f>IF(B653="PAL","",IFERROR(VLOOKUP(B653,'General price list'!C:BA,MATCH("PAL",'General price list'!$C$20:$BA$20,0),FALSE),""))</f>
        <v/>
      </c>
      <c r="D653" s="1">
        <f>IF(B653="PAL","",IFERROR(VLOOKUP(B653,'General price list'!C:BA,MATCH("OBJ",'General price list'!$C$20:$BA$20,0),FALSE),""))</f>
        <v>0</v>
      </c>
      <c r="E653" s="1">
        <f t="shared" si="66"/>
        <v>0</v>
      </c>
      <c r="F653" s="1">
        <f t="shared" si="67"/>
        <v>0</v>
      </c>
      <c r="G653" s="1">
        <f t="shared" si="68"/>
        <v>0</v>
      </c>
      <c r="H653" s="1">
        <f t="shared" si="69"/>
        <v>0</v>
      </c>
      <c r="I653" s="1">
        <f t="shared" si="70"/>
        <v>0</v>
      </c>
      <c r="J653">
        <f>IF(B653="PAL","",IFERROR(IF(C653="",VLOOKUP(B653,'General price list'!C:BA,MATCH("CBM",'General price list'!$C$20:$BA$20,0),FALSE)*D653,VLOOKUP(B653,'General price list'!C:BA,MATCH("CBM",'General price list'!$C$20:$BA$20,0),FALSE)*(G653*C653)),0))</f>
        <v>0</v>
      </c>
    </row>
    <row r="654" spans="2:10" ht="15" customHeight="1">
      <c r="B654" s="790" t="str">
        <f>IF(B653="PAL","",'General price list'!C674)</f>
        <v>C1003VS/C14</v>
      </c>
      <c r="C654" s="1" t="str">
        <f>IF(B654="PAL","",IFERROR(VLOOKUP(B654,'General price list'!C:BA,MATCH("PAL",'General price list'!$C$20:$BA$20,0),FALSE),""))</f>
        <v/>
      </c>
      <c r="D654" s="1">
        <f>IF(B654="PAL","",IFERROR(VLOOKUP(B654,'General price list'!C:BA,MATCH("OBJ",'General price list'!$C$20:$BA$20,0),FALSE),""))</f>
        <v>0</v>
      </c>
      <c r="E654" s="1">
        <f t="shared" si="66"/>
        <v>0</v>
      </c>
      <c r="F654" s="1">
        <f t="shared" si="67"/>
        <v>0</v>
      </c>
      <c r="G654" s="1">
        <f t="shared" si="68"/>
        <v>0</v>
      </c>
      <c r="H654" s="1">
        <f t="shared" si="69"/>
        <v>0</v>
      </c>
      <c r="I654" s="1">
        <f t="shared" si="70"/>
        <v>0</v>
      </c>
      <c r="J654">
        <f>IF(B654="PAL","",IFERROR(IF(C654="",VLOOKUP(B654,'General price list'!C:BA,MATCH("CBM",'General price list'!$C$20:$BA$20,0),FALSE)*D654,VLOOKUP(B654,'General price list'!C:BA,MATCH("CBM",'General price list'!$C$20:$BA$20,0),FALSE)*(G654*C654)),0))</f>
        <v>0</v>
      </c>
    </row>
    <row r="655" spans="2:10" ht="15" customHeight="1">
      <c r="B655" s="790" t="str">
        <f>IF(B654="PAL","",'General price list'!C675)</f>
        <v>C1003CY/C</v>
      </c>
      <c r="C655" s="1" t="str">
        <f>IF(B655="PAL","",IFERROR(VLOOKUP(B655,'General price list'!C:BA,MATCH("PAL",'General price list'!$C$20:$BA$20,0),FALSE),""))</f>
        <v/>
      </c>
      <c r="D655" s="1">
        <f>IF(B655="PAL","",IFERROR(VLOOKUP(B655,'General price list'!C:BA,MATCH("OBJ",'General price list'!$C$20:$BA$20,0),FALSE),""))</f>
        <v>0</v>
      </c>
      <c r="E655" s="1">
        <f t="shared" si="66"/>
        <v>0</v>
      </c>
      <c r="F655" s="1">
        <f t="shared" si="67"/>
        <v>0</v>
      </c>
      <c r="G655" s="1">
        <f t="shared" si="68"/>
        <v>0</v>
      </c>
      <c r="H655" s="1">
        <f t="shared" si="69"/>
        <v>0</v>
      </c>
      <c r="I655" s="1">
        <f t="shared" si="70"/>
        <v>0</v>
      </c>
      <c r="J655">
        <f>IF(B655="PAL","",IFERROR(IF(C655="",VLOOKUP(B655,'General price list'!C:BA,MATCH("CBM",'General price list'!$C$20:$BA$20,0),FALSE)*D655,VLOOKUP(B655,'General price list'!C:BA,MATCH("CBM",'General price list'!$C$20:$BA$20,0),FALSE)*(G655*C655)),0))</f>
        <v>0</v>
      </c>
    </row>
    <row r="656" spans="2:10" ht="15" customHeight="1">
      <c r="B656" s="790" t="str">
        <f>IF(B655="PAL","",'General price list'!C676)</f>
        <v>C10030XF/C14</v>
      </c>
      <c r="C656" s="1" t="str">
        <f>IF(B656="PAL","",IFERROR(VLOOKUP(B656,'General price list'!C:BA,MATCH("PAL",'General price list'!$C$20:$BA$20,0),FALSE),""))</f>
        <v/>
      </c>
      <c r="D656" s="1">
        <f>IF(B656="PAL","",IFERROR(VLOOKUP(B656,'General price list'!C:BA,MATCH("OBJ",'General price list'!$C$20:$BA$20,0),FALSE),""))</f>
        <v>0</v>
      </c>
      <c r="E656" s="1">
        <f t="shared" si="66"/>
        <v>0</v>
      </c>
      <c r="F656" s="1">
        <f t="shared" si="67"/>
        <v>0</v>
      </c>
      <c r="G656" s="1">
        <f t="shared" si="68"/>
        <v>0</v>
      </c>
      <c r="H656" s="1">
        <f t="shared" si="69"/>
        <v>0</v>
      </c>
      <c r="I656" s="1">
        <f t="shared" si="70"/>
        <v>0</v>
      </c>
      <c r="J656">
        <f>IF(B656="PAL","",IFERROR(IF(C656="",VLOOKUP(B656,'General price list'!C:BA,MATCH("CBM",'General price list'!$C$20:$BA$20,0),FALSE)*D656,VLOOKUP(B656,'General price list'!C:BA,MATCH("CBM",'General price list'!$C$20:$BA$20,0),FALSE)*(G656*C656)),0))</f>
        <v>0</v>
      </c>
    </row>
    <row r="657" spans="2:10" ht="15" customHeight="1">
      <c r="B657" s="790" t="str">
        <f>IF(B656="PAL","",'General price list'!C677)</f>
        <v>C1163MB/C14</v>
      </c>
      <c r="C657" s="1" t="str">
        <f>IF(B657="PAL","",IFERROR(VLOOKUP(B657,'General price list'!C:BA,MATCH("PAL",'General price list'!$C$20:$BA$20,0),FALSE),""))</f>
        <v/>
      </c>
      <c r="D657" s="1">
        <f>IF(B657="PAL","",IFERROR(VLOOKUP(B657,'General price list'!C:BA,MATCH("OBJ",'General price list'!$C$20:$BA$20,0),FALSE),""))</f>
        <v>0</v>
      </c>
      <c r="E657" s="1">
        <f t="shared" si="66"/>
        <v>0</v>
      </c>
      <c r="F657" s="1">
        <f t="shared" si="67"/>
        <v>0</v>
      </c>
      <c r="G657" s="1">
        <f t="shared" si="68"/>
        <v>0</v>
      </c>
      <c r="H657" s="1">
        <f t="shared" si="69"/>
        <v>0</v>
      </c>
      <c r="I657" s="1">
        <f t="shared" si="70"/>
        <v>0</v>
      </c>
      <c r="J657">
        <f>IF(B657="PAL","",IFERROR(IF(C657="",VLOOKUP(B657,'General price list'!C:BA,MATCH("CBM",'General price list'!$C$20:$BA$20,0),FALSE)*D657,VLOOKUP(B657,'General price list'!C:BA,MATCH("CBM",'General price list'!$C$20:$BA$20,0),FALSE)*(G657*C657)),0))</f>
        <v>0</v>
      </c>
    </row>
    <row r="658" spans="2:10" ht="15" customHeight="1">
      <c r="B658" s="790" t="str">
        <f>IF(B657="PAL","",'General price list'!C678)</f>
        <v>C12230XPT/C14</v>
      </c>
      <c r="C658" s="1" t="str">
        <f>IF(B658="PAL","",IFERROR(VLOOKUP(B658,'General price list'!C:BA,MATCH("PAL",'General price list'!$C$20:$BA$20,0),FALSE),""))</f>
        <v/>
      </c>
      <c r="D658" s="1">
        <f>IF(B658="PAL","",IFERROR(VLOOKUP(B658,'General price list'!C:BA,MATCH("OBJ",'General price list'!$C$20:$BA$20,0),FALSE),""))</f>
        <v>0</v>
      </c>
      <c r="E658" s="1">
        <f t="shared" si="66"/>
        <v>0</v>
      </c>
      <c r="F658" s="1">
        <f t="shared" si="67"/>
        <v>0</v>
      </c>
      <c r="G658" s="1">
        <f t="shared" si="68"/>
        <v>0</v>
      </c>
      <c r="H658" s="1">
        <f t="shared" si="69"/>
        <v>0</v>
      </c>
      <c r="I658" s="1">
        <f t="shared" si="70"/>
        <v>0</v>
      </c>
      <c r="J658">
        <f>IF(B658="PAL","",IFERROR(IF(C658="",VLOOKUP(B658,'General price list'!C:BA,MATCH("CBM",'General price list'!$C$20:$BA$20,0),FALSE)*D658,VLOOKUP(B658,'General price list'!C:BA,MATCH("CBM",'General price list'!$C$20:$BA$20,0),FALSE)*(G658*C658)),0))</f>
        <v>0</v>
      </c>
    </row>
    <row r="659" spans="2:10" ht="15" customHeight="1">
      <c r="B659" s="790">
        <f>IF(B658="PAL","",'General price list'!C679)</f>
        <v>0</v>
      </c>
      <c r="C659" s="1" t="str">
        <f>IF(B659="PAL","",IFERROR(VLOOKUP(B659,'General price list'!C:BA,MATCH("PAL",'General price list'!$C$20:$BA$20,0),FALSE),""))</f>
        <v/>
      </c>
      <c r="D659" s="1" t="str">
        <f>IF(B659="PAL","",IFERROR(VLOOKUP(B659,'General price list'!C:BA,MATCH("OBJ",'General price list'!$C$20:$BA$20,0),FALSE),""))</f>
        <v/>
      </c>
      <c r="E659" s="1">
        <f t="shared" si="66"/>
        <v>0</v>
      </c>
      <c r="F659" s="1">
        <f t="shared" si="67"/>
        <v>0</v>
      </c>
      <c r="G659" s="1">
        <f t="shared" si="68"/>
        <v>0</v>
      </c>
      <c r="H659" s="1">
        <f t="shared" si="69"/>
        <v>0</v>
      </c>
      <c r="I659" s="1">
        <f t="shared" si="70"/>
        <v>0</v>
      </c>
      <c r="J659">
        <f>IF(B659="PAL","",IFERROR(IF(C659="",VLOOKUP(B659,'General price list'!C:BA,MATCH("CBM",'General price list'!$C$20:$BA$20,0),FALSE)*D659,VLOOKUP(B659,'General price list'!C:BA,MATCH("CBM",'General price list'!$C$20:$BA$20,0),FALSE)*(G659*C659)),0))</f>
        <v>0</v>
      </c>
    </row>
    <row r="660" spans="2:10" ht="15" customHeight="1">
      <c r="B660" s="790" t="str">
        <f>IF(B659="PAL","",'General price list'!C680)</f>
        <v>C1-C2 C1503X/C14</v>
      </c>
      <c r="C660" s="1" t="str">
        <f>IF(B660="PAL","",IFERROR(VLOOKUP(B660,'General price list'!C:BA,MATCH("PAL",'General price list'!$C$20:$BA$20,0),FALSE),""))</f>
        <v/>
      </c>
      <c r="D660" s="1">
        <f>IF(B660="PAL","",IFERROR(VLOOKUP(B660,'General price list'!C:BA,MATCH("OBJ",'General price list'!$C$20:$BA$20,0),FALSE),""))</f>
        <v>0</v>
      </c>
      <c r="E660" s="1">
        <f t="shared" si="66"/>
        <v>0</v>
      </c>
      <c r="F660" s="1">
        <f t="shared" si="67"/>
        <v>0</v>
      </c>
      <c r="G660" s="1">
        <f t="shared" si="68"/>
        <v>0</v>
      </c>
      <c r="H660" s="1">
        <f t="shared" si="69"/>
        <v>0</v>
      </c>
      <c r="I660" s="1">
        <f t="shared" si="70"/>
        <v>0</v>
      </c>
      <c r="J660">
        <f>IF(B660="PAL","",IFERROR(IF(C660="",VLOOKUP(B660,'General price list'!C:BA,MATCH("CBM",'General price list'!$C$20:$BA$20,0),FALSE)*D660,VLOOKUP(B660,'General price list'!C:BA,MATCH("CBM",'General price list'!$C$20:$BA$20,0),FALSE)*(G660*C660)),0))</f>
        <v>0</v>
      </c>
    </row>
    <row r="661" spans="2:10" ht="15" customHeight="1">
      <c r="B661" s="790" t="str">
        <f>IF(B660="PAL","",'General price list'!C681)</f>
        <v>C1-C2 C2003U/C14</v>
      </c>
      <c r="C661" s="1" t="str">
        <f>IF(B661="PAL","",IFERROR(VLOOKUP(B661,'General price list'!C:BA,MATCH("PAL",'General price list'!$C$20:$BA$20,0),FALSE),""))</f>
        <v/>
      </c>
      <c r="D661" s="1">
        <f>IF(B661="PAL","",IFERROR(VLOOKUP(B661,'General price list'!C:BA,MATCH("OBJ",'General price list'!$C$20:$BA$20,0),FALSE),""))</f>
        <v>0</v>
      </c>
      <c r="E661" s="1">
        <f t="shared" si="66"/>
        <v>0</v>
      </c>
      <c r="F661" s="1">
        <f t="shared" si="67"/>
        <v>0</v>
      </c>
      <c r="G661" s="1">
        <f t="shared" si="68"/>
        <v>0</v>
      </c>
      <c r="H661" s="1">
        <f t="shared" si="69"/>
        <v>0</v>
      </c>
      <c r="I661" s="1">
        <f t="shared" si="70"/>
        <v>0</v>
      </c>
      <c r="J661">
        <f>IF(B661="PAL","",IFERROR(IF(C661="",VLOOKUP(B661,'General price list'!C:BA,MATCH("CBM",'General price list'!$C$20:$BA$20,0),FALSE)*D661,VLOOKUP(B661,'General price list'!C:BA,MATCH("CBM",'General price list'!$C$20:$BA$20,0),FALSE)*(G661*C661)),0))</f>
        <v>0</v>
      </c>
    </row>
    <row r="662" spans="2:10" ht="15" customHeight="1">
      <c r="B662" s="790">
        <f>IF(B661="PAL","",'General price list'!C682)</f>
        <v>0</v>
      </c>
      <c r="C662" s="1" t="str">
        <f>IF(B662="PAL","",IFERROR(VLOOKUP(B662,'General price list'!C:BA,MATCH("PAL",'General price list'!$C$20:$BA$20,0),FALSE),""))</f>
        <v/>
      </c>
      <c r="D662" s="1" t="str">
        <f>IF(B662="PAL","",IFERROR(VLOOKUP(B662,'General price list'!C:BA,MATCH("OBJ",'General price list'!$C$20:$BA$20,0),FALSE),""))</f>
        <v/>
      </c>
      <c r="E662" s="1">
        <f t="shared" si="66"/>
        <v>0</v>
      </c>
      <c r="F662" s="1">
        <f t="shared" si="67"/>
        <v>0</v>
      </c>
      <c r="G662" s="1">
        <f t="shared" si="68"/>
        <v>0</v>
      </c>
      <c r="H662" s="1">
        <f t="shared" si="69"/>
        <v>0</v>
      </c>
      <c r="I662" s="1">
        <f t="shared" si="70"/>
        <v>0</v>
      </c>
      <c r="J662">
        <f>IF(B662="PAL","",IFERROR(IF(C662="",VLOOKUP(B662,'General price list'!C:BA,MATCH("CBM",'General price list'!$C$20:$BA$20,0),FALSE)*D662,VLOOKUP(B662,'General price list'!C:BA,MATCH("CBM",'General price list'!$C$20:$BA$20,0),FALSE)*(G662*C662)),0))</f>
        <v>0</v>
      </c>
    </row>
    <row r="663" spans="2:10" ht="15" customHeight="1">
      <c r="B663" s="790" t="str">
        <f>IF(B662="PAL","",'General price list'!C683)</f>
        <v>C1003BP/C</v>
      </c>
      <c r="C663" s="1" t="str">
        <f>IF(B663="PAL","",IFERROR(VLOOKUP(B663,'General price list'!C:BA,MATCH("PAL",'General price list'!$C$20:$BA$20,0),FALSE),""))</f>
        <v/>
      </c>
      <c r="D663" s="1">
        <f>IF(B663="PAL","",IFERROR(VLOOKUP(B663,'General price list'!C:BA,MATCH("OBJ",'General price list'!$C$20:$BA$20,0),FALSE),""))</f>
        <v>0</v>
      </c>
      <c r="E663" s="1">
        <f t="shared" si="66"/>
        <v>0</v>
      </c>
      <c r="F663" s="1">
        <f t="shared" si="67"/>
        <v>0</v>
      </c>
      <c r="G663" s="1">
        <f t="shared" si="68"/>
        <v>0</v>
      </c>
      <c r="H663" s="1">
        <f t="shared" si="69"/>
        <v>0</v>
      </c>
      <c r="I663" s="1">
        <f t="shared" si="70"/>
        <v>0</v>
      </c>
      <c r="J663">
        <f>IF(B663="PAL","",IFERROR(IF(C663="",VLOOKUP(B663,'General price list'!C:BA,MATCH("CBM",'General price list'!$C$20:$BA$20,0),FALSE)*D663,VLOOKUP(B663,'General price list'!C:BA,MATCH("CBM",'General price list'!$C$20:$BA$20,0),FALSE)*(G663*C663)),0))</f>
        <v>0</v>
      </c>
    </row>
    <row r="664" spans="2:10" ht="15" customHeight="1">
      <c r="B664" s="790" t="str">
        <f>IF(B663="PAL","",'General price list'!C684)</f>
        <v>C1003BPS/C</v>
      </c>
      <c r="C664" s="1" t="str">
        <f>IF(B664="PAL","",IFERROR(VLOOKUP(B664,'General price list'!C:BA,MATCH("PAL",'General price list'!$C$20:$BA$20,0),FALSE),""))</f>
        <v/>
      </c>
      <c r="D664" s="1">
        <f>IF(B664="PAL","",IFERROR(VLOOKUP(B664,'General price list'!C:BA,MATCH("OBJ",'General price list'!$C$20:$BA$20,0),FALSE),""))</f>
        <v>0</v>
      </c>
      <c r="E664" s="1">
        <f t="shared" si="66"/>
        <v>0</v>
      </c>
      <c r="F664" s="1">
        <f t="shared" si="67"/>
        <v>0</v>
      </c>
      <c r="G664" s="1">
        <f t="shared" si="68"/>
        <v>0</v>
      </c>
      <c r="H664" s="1">
        <f t="shared" si="69"/>
        <v>0</v>
      </c>
      <c r="I664" s="1">
        <f t="shared" si="70"/>
        <v>0</v>
      </c>
      <c r="J664">
        <f>IF(B664="PAL","",IFERROR(IF(C664="",VLOOKUP(B664,'General price list'!C:BA,MATCH("CBM",'General price list'!$C$20:$BA$20,0),FALSE)*D664,VLOOKUP(B664,'General price list'!C:BA,MATCH("CBM",'General price list'!$C$20:$BA$20,0),FALSE)*(G664*C664)),0))</f>
        <v>0</v>
      </c>
    </row>
    <row r="665" spans="2:10" ht="15" customHeight="1">
      <c r="B665" s="790" t="str">
        <f>IF(B664="PAL","",'General price list'!C685)</f>
        <v>C1003BB/C</v>
      </c>
      <c r="C665" s="1" t="str">
        <f>IF(B665="PAL","",IFERROR(VLOOKUP(B665,'General price list'!C:BA,MATCH("PAL",'General price list'!$C$20:$BA$20,0),FALSE),""))</f>
        <v/>
      </c>
      <c r="D665" s="1">
        <f>IF(B665="PAL","",IFERROR(VLOOKUP(B665,'General price list'!C:BA,MATCH("OBJ",'General price list'!$C$20:$BA$20,0),FALSE),""))</f>
        <v>0</v>
      </c>
      <c r="E665" s="1">
        <f t="shared" si="66"/>
        <v>0</v>
      </c>
      <c r="F665" s="1">
        <f t="shared" si="67"/>
        <v>0</v>
      </c>
      <c r="G665" s="1">
        <f t="shared" si="68"/>
        <v>0</v>
      </c>
      <c r="H665" s="1">
        <f t="shared" si="69"/>
        <v>0</v>
      </c>
      <c r="I665" s="1">
        <f t="shared" si="70"/>
        <v>0</v>
      </c>
      <c r="J665">
        <f>IF(B665="PAL","",IFERROR(IF(C665="",VLOOKUP(B665,'General price list'!C:BA,MATCH("CBM",'General price list'!$C$20:$BA$20,0),FALSE)*D665,VLOOKUP(B665,'General price list'!C:BA,MATCH("CBM",'General price list'!$C$20:$BA$20,0),FALSE)*(G665*C665)),0))</f>
        <v>0</v>
      </c>
    </row>
    <row r="666" spans="2:10" ht="15" customHeight="1">
      <c r="B666" s="790" t="str">
        <f>IF(B665="PAL","",'General price list'!C686)</f>
        <v>C1003F/C</v>
      </c>
      <c r="C666" s="1" t="str">
        <f>IF(B666="PAL","",IFERROR(VLOOKUP(B666,'General price list'!C:BA,MATCH("PAL",'General price list'!$C$20:$BA$20,0),FALSE),""))</f>
        <v/>
      </c>
      <c r="D666" s="1">
        <f>IF(B666="PAL","",IFERROR(VLOOKUP(B666,'General price list'!C:BA,MATCH("OBJ",'General price list'!$C$20:$BA$20,0),FALSE),""))</f>
        <v>0</v>
      </c>
      <c r="E666" s="1">
        <f t="shared" si="66"/>
        <v>0</v>
      </c>
      <c r="F666" s="1">
        <f t="shared" si="67"/>
        <v>0</v>
      </c>
      <c r="G666" s="1">
        <f t="shared" si="68"/>
        <v>0</v>
      </c>
      <c r="H666" s="1">
        <f t="shared" si="69"/>
        <v>0</v>
      </c>
      <c r="I666" s="1">
        <f t="shared" si="70"/>
        <v>0</v>
      </c>
      <c r="J666">
        <f>IF(B666="PAL","",IFERROR(IF(C666="",VLOOKUP(B666,'General price list'!C:BA,MATCH("CBM",'General price list'!$C$20:$BA$20,0),FALSE)*D666,VLOOKUP(B666,'General price list'!C:BA,MATCH("CBM",'General price list'!$C$20:$BA$20,0),FALSE)*(G666*C666)),0))</f>
        <v>0</v>
      </c>
    </row>
    <row r="667" spans="2:10" ht="15" customHeight="1">
      <c r="B667" s="790" t="str">
        <f>IF(B666="PAL","",'General price list'!C687)</f>
        <v>C1003SIG/C</v>
      </c>
      <c r="C667" s="1" t="str">
        <f>IF(B667="PAL","",IFERROR(VLOOKUP(B667,'General price list'!C:BA,MATCH("PAL",'General price list'!$C$20:$BA$20,0),FALSE),""))</f>
        <v/>
      </c>
      <c r="D667" s="1">
        <f>IF(B667="PAL","",IFERROR(VLOOKUP(B667,'General price list'!C:BA,MATCH("OBJ",'General price list'!$C$20:$BA$20,0),FALSE),""))</f>
        <v>0</v>
      </c>
      <c r="E667" s="1">
        <f t="shared" si="66"/>
        <v>0</v>
      </c>
      <c r="F667" s="1">
        <f t="shared" si="67"/>
        <v>0</v>
      </c>
      <c r="G667" s="1">
        <f t="shared" si="68"/>
        <v>0</v>
      </c>
      <c r="H667" s="1">
        <f t="shared" si="69"/>
        <v>0</v>
      </c>
      <c r="I667" s="1">
        <f t="shared" si="70"/>
        <v>0</v>
      </c>
      <c r="J667">
        <f>IF(B667="PAL","",IFERROR(IF(C667="",VLOOKUP(B667,'General price list'!C:BA,MATCH("CBM",'General price list'!$C$20:$BA$20,0),FALSE)*D667,VLOOKUP(B667,'General price list'!C:BA,MATCH("CBM",'General price list'!$C$20:$BA$20,0),FALSE)*(G667*C667)),0))</f>
        <v>0</v>
      </c>
    </row>
    <row r="668" spans="2:10" ht="15" customHeight="1">
      <c r="B668" s="790" t="str">
        <f>IF(B667="PAL","",'General price list'!C688)</f>
        <v>C1003VS/C</v>
      </c>
      <c r="C668" s="1" t="str">
        <f>IF(B668="PAL","",IFERROR(VLOOKUP(B668,'General price list'!C:BA,MATCH("PAL",'General price list'!$C$20:$BA$20,0),FALSE),""))</f>
        <v/>
      </c>
      <c r="D668" s="1">
        <f>IF(B668="PAL","",IFERROR(VLOOKUP(B668,'General price list'!C:BA,MATCH("OBJ",'General price list'!$C$20:$BA$20,0),FALSE),""))</f>
        <v>0</v>
      </c>
      <c r="E668" s="1">
        <f t="shared" si="66"/>
        <v>0</v>
      </c>
      <c r="F668" s="1">
        <f t="shared" si="67"/>
        <v>0</v>
      </c>
      <c r="G668" s="1">
        <f t="shared" si="68"/>
        <v>0</v>
      </c>
      <c r="H668" s="1">
        <f t="shared" si="69"/>
        <v>0</v>
      </c>
      <c r="I668" s="1">
        <f t="shared" si="70"/>
        <v>0</v>
      </c>
      <c r="J668">
        <f>IF(B668="PAL","",IFERROR(IF(C668="",VLOOKUP(B668,'General price list'!C:BA,MATCH("CBM",'General price list'!$C$20:$BA$20,0),FALSE)*D668,VLOOKUP(B668,'General price list'!C:BA,MATCH("CBM",'General price list'!$C$20:$BA$20,0),FALSE)*(G668*C668)),0))</f>
        <v>0</v>
      </c>
    </row>
    <row r="669" spans="2:10" ht="15" customHeight="1">
      <c r="B669" s="790" t="str">
        <f>IF(B668="PAL","",'General price list'!C689)</f>
        <v>C128XMPT/C</v>
      </c>
      <c r="C669" s="1" t="str">
        <f>IF(B669="PAL","",IFERROR(VLOOKUP(B669,'General price list'!C:BA,MATCH("PAL",'General price list'!$C$20:$BA$20,0),FALSE),""))</f>
        <v/>
      </c>
      <c r="D669" s="1">
        <f>IF(B669="PAL","",IFERROR(VLOOKUP(B669,'General price list'!C:BA,MATCH("OBJ",'General price list'!$C$20:$BA$20,0),FALSE),""))</f>
        <v>0</v>
      </c>
      <c r="E669" s="1">
        <f t="shared" si="66"/>
        <v>0</v>
      </c>
      <c r="F669" s="1">
        <f t="shared" si="67"/>
        <v>0</v>
      </c>
      <c r="G669" s="1">
        <f t="shared" si="68"/>
        <v>0</v>
      </c>
      <c r="H669" s="1">
        <f t="shared" si="69"/>
        <v>0</v>
      </c>
      <c r="I669" s="1">
        <f t="shared" si="70"/>
        <v>0</v>
      </c>
      <c r="J669">
        <f>IF(B669="PAL","",IFERROR(IF(C669="",VLOOKUP(B669,'General price list'!C:BA,MATCH("CBM",'General price list'!$C$20:$BA$20,0),FALSE)*D669,VLOOKUP(B669,'General price list'!C:BA,MATCH("CBM",'General price list'!$C$20:$BA$20,0),FALSE)*(G669*C669)),0))</f>
        <v>0</v>
      </c>
    </row>
    <row r="670" spans="2:10" ht="15" customHeight="1">
      <c r="B670" s="790" t="str">
        <f>IF(B669="PAL","",'General price list'!C690)</f>
        <v>C128XMB/C</v>
      </c>
      <c r="C670" s="1" t="str">
        <f>IF(B670="PAL","",IFERROR(VLOOKUP(B670,'General price list'!C:BA,MATCH("PAL",'General price list'!$C$20:$BA$20,0),FALSE),""))</f>
        <v/>
      </c>
      <c r="D670" s="1">
        <f>IF(B670="PAL","",IFERROR(VLOOKUP(B670,'General price list'!C:BA,MATCH("OBJ",'General price list'!$C$20:$BA$20,0),FALSE),""))</f>
        <v>0</v>
      </c>
      <c r="E670" s="1">
        <f t="shared" si="66"/>
        <v>0</v>
      </c>
      <c r="F670" s="1">
        <f t="shared" si="67"/>
        <v>0</v>
      </c>
      <c r="G670" s="1">
        <f t="shared" si="68"/>
        <v>0</v>
      </c>
      <c r="H670" s="1">
        <f t="shared" si="69"/>
        <v>0</v>
      </c>
      <c r="I670" s="1">
        <f t="shared" si="70"/>
        <v>0</v>
      </c>
      <c r="J670">
        <f>IF(B670="PAL","",IFERROR(IF(C670="",VLOOKUP(B670,'General price list'!C:BA,MATCH("CBM",'General price list'!$C$20:$BA$20,0),FALSE)*D670,VLOOKUP(B670,'General price list'!C:BA,MATCH("CBM",'General price list'!$C$20:$BA$20,0),FALSE)*(G670*C670)),0))</f>
        <v>0</v>
      </c>
    </row>
    <row r="671" spans="2:10" ht="15" customHeight="1">
      <c r="B671" s="790" t="str">
        <f>IF(B670="PAL","",'General price list'!C691)</f>
        <v>C1503X/C</v>
      </c>
      <c r="C671" s="1" t="str">
        <f>IF(B671="PAL","",IFERROR(VLOOKUP(B671,'General price list'!C:BA,MATCH("PAL",'General price list'!$C$20:$BA$20,0),FALSE),""))</f>
        <v/>
      </c>
      <c r="D671" s="1">
        <f>IF(B671="PAL","",IFERROR(VLOOKUP(B671,'General price list'!C:BA,MATCH("OBJ",'General price list'!$C$20:$BA$20,0),FALSE),""))</f>
        <v>0</v>
      </c>
      <c r="E671" s="1">
        <f t="shared" si="66"/>
        <v>0</v>
      </c>
      <c r="F671" s="1">
        <f t="shared" si="67"/>
        <v>0</v>
      </c>
      <c r="G671" s="1">
        <f t="shared" si="68"/>
        <v>0</v>
      </c>
      <c r="H671" s="1">
        <f t="shared" si="69"/>
        <v>0</v>
      </c>
      <c r="I671" s="1">
        <f t="shared" si="70"/>
        <v>0</v>
      </c>
      <c r="J671">
        <f>IF(B671="PAL","",IFERROR(IF(C671="",VLOOKUP(B671,'General price list'!C:BA,MATCH("CBM",'General price list'!$C$20:$BA$20,0),FALSE)*D671,VLOOKUP(B671,'General price list'!C:BA,MATCH("CBM",'General price list'!$C$20:$BA$20,0),FALSE)*(G671*C671)),0))</f>
        <v>0</v>
      </c>
    </row>
    <row r="672" spans="2:10" ht="15" customHeight="1">
      <c r="B672" s="790" t="str">
        <f>IF(B671="PAL","",'General price list'!C692)</f>
        <v>C1503BPF/C</v>
      </c>
      <c r="C672" s="1" t="str">
        <f>IF(B672="PAL","",IFERROR(VLOOKUP(B672,'General price list'!C:BA,MATCH("PAL",'General price list'!$C$20:$BA$20,0),FALSE),""))</f>
        <v/>
      </c>
      <c r="D672" s="1">
        <f>IF(B672="PAL","",IFERROR(VLOOKUP(B672,'General price list'!C:BA,MATCH("OBJ",'General price list'!$C$20:$BA$20,0),FALSE),""))</f>
        <v>0</v>
      </c>
      <c r="E672" s="1">
        <f t="shared" si="66"/>
        <v>0</v>
      </c>
      <c r="F672" s="1">
        <f t="shared" si="67"/>
        <v>0</v>
      </c>
      <c r="G672" s="1">
        <f t="shared" si="68"/>
        <v>0</v>
      </c>
      <c r="H672" s="1">
        <f t="shared" si="69"/>
        <v>0</v>
      </c>
      <c r="I672" s="1">
        <f t="shared" si="70"/>
        <v>0</v>
      </c>
      <c r="J672">
        <f>IF(B672="PAL","",IFERROR(IF(C672="",VLOOKUP(B672,'General price list'!C:BA,MATCH("CBM",'General price list'!$C$20:$BA$20,0),FALSE)*D672,VLOOKUP(B672,'General price list'!C:BA,MATCH("CBM",'General price list'!$C$20:$BA$20,0),FALSE)*(G672*C672)),0))</f>
        <v>0</v>
      </c>
    </row>
    <row r="673" spans="2:10" ht="15" customHeight="1">
      <c r="B673" s="790" t="str">
        <f>IF(B672="PAL","",'General price list'!C693)</f>
        <v>C1923XMF/C</v>
      </c>
      <c r="C673" s="1" t="str">
        <f>IF(B673="PAL","",IFERROR(VLOOKUP(B673,'General price list'!C:BA,MATCH("PAL",'General price list'!$C$20:$BA$20,0),FALSE),""))</f>
        <v/>
      </c>
      <c r="D673" s="1">
        <f>IF(B673="PAL","",IFERROR(VLOOKUP(B673,'General price list'!C:BA,MATCH("OBJ",'General price list'!$C$20:$BA$20,0),FALSE),""))</f>
        <v>0</v>
      </c>
      <c r="E673" s="1">
        <f t="shared" si="66"/>
        <v>0</v>
      </c>
      <c r="F673" s="1">
        <f t="shared" si="67"/>
        <v>0</v>
      </c>
      <c r="G673" s="1">
        <f t="shared" si="68"/>
        <v>0</v>
      </c>
      <c r="H673" s="1">
        <f t="shared" si="69"/>
        <v>0</v>
      </c>
      <c r="I673" s="1">
        <f t="shared" si="70"/>
        <v>0</v>
      </c>
      <c r="J673">
        <f>IF(B673="PAL","",IFERROR(IF(C673="",VLOOKUP(B673,'General price list'!C:BA,MATCH("CBM",'General price list'!$C$20:$BA$20,0),FALSE)*D673,VLOOKUP(B673,'General price list'!C:BA,MATCH("CBM",'General price list'!$C$20:$BA$20,0),FALSE)*(G673*C673)),0))</f>
        <v>0</v>
      </c>
    </row>
    <row r="674" spans="2:10" ht="15" customHeight="1">
      <c r="B674" s="790" t="str">
        <f>IF(B673="PAL","",'General price list'!C694)</f>
        <v>C2003BP/C</v>
      </c>
      <c r="C674" s="1" t="str">
        <f>IF(B674="PAL","",IFERROR(VLOOKUP(B674,'General price list'!C:BA,MATCH("PAL",'General price list'!$C$20:$BA$20,0),FALSE),""))</f>
        <v/>
      </c>
      <c r="D674" s="1">
        <f>IF(B674="PAL","",IFERROR(VLOOKUP(B674,'General price list'!C:BA,MATCH("OBJ",'General price list'!$C$20:$BA$20,0),FALSE),""))</f>
        <v>0</v>
      </c>
      <c r="E674" s="1">
        <f t="shared" si="66"/>
        <v>0</v>
      </c>
      <c r="F674" s="1">
        <f t="shared" si="67"/>
        <v>0</v>
      </c>
      <c r="G674" s="1">
        <f t="shared" si="68"/>
        <v>0</v>
      </c>
      <c r="H674" s="1">
        <f t="shared" si="69"/>
        <v>0</v>
      </c>
      <c r="I674" s="1">
        <f t="shared" si="70"/>
        <v>0</v>
      </c>
      <c r="J674">
        <f>IF(B674="PAL","",IFERROR(IF(C674="",VLOOKUP(B674,'General price list'!C:BA,MATCH("CBM",'General price list'!$C$20:$BA$20,0),FALSE)*D674,VLOOKUP(B674,'General price list'!C:BA,MATCH("CBM",'General price list'!$C$20:$BA$20,0),FALSE)*(G674*C674)),0))</f>
        <v>0</v>
      </c>
    </row>
    <row r="675" spans="2:10" ht="15" customHeight="1">
      <c r="B675" s="790" t="str">
        <f>IF(B674="PAL","",'General price list'!C695)</f>
        <v>C2003U/C</v>
      </c>
      <c r="C675" s="1" t="str">
        <f>IF(B675="PAL","",IFERROR(VLOOKUP(B675,'General price list'!C:BA,MATCH("PAL",'General price list'!$C$20:$BA$20,0),FALSE),""))</f>
        <v/>
      </c>
      <c r="D675" s="1">
        <f>IF(B675="PAL","",IFERROR(VLOOKUP(B675,'General price list'!C:BA,MATCH("OBJ",'General price list'!$C$20:$BA$20,0),FALSE),""))</f>
        <v>0</v>
      </c>
      <c r="E675" s="1">
        <f t="shared" si="66"/>
        <v>0</v>
      </c>
      <c r="F675" s="1">
        <f t="shared" si="67"/>
        <v>0</v>
      </c>
      <c r="G675" s="1">
        <f t="shared" si="68"/>
        <v>0</v>
      </c>
      <c r="H675" s="1">
        <f t="shared" si="69"/>
        <v>0</v>
      </c>
      <c r="I675" s="1">
        <f t="shared" si="70"/>
        <v>0</v>
      </c>
      <c r="J675">
        <f>IF(B675="PAL","",IFERROR(IF(C675="",VLOOKUP(B675,'General price list'!C:BA,MATCH("CBM",'General price list'!$C$20:$BA$20,0),FALSE)*D675,VLOOKUP(B675,'General price list'!C:BA,MATCH("CBM",'General price list'!$C$20:$BA$20,0),FALSE)*(G675*C675)),0))</f>
        <v>0</v>
      </c>
    </row>
    <row r="676" spans="2:10" ht="15" customHeight="1">
      <c r="B676" s="790" t="str">
        <f>IF(B675="PAL","",'General price list'!C696)</f>
        <v>C2003F/C</v>
      </c>
      <c r="C676" s="1" t="str">
        <f>IF(B676="PAL","",IFERROR(VLOOKUP(B676,'General price list'!C:BA,MATCH("PAL",'General price list'!$C$20:$BA$20,0),FALSE),""))</f>
        <v/>
      </c>
      <c r="D676" s="1">
        <f>IF(B676="PAL","",IFERROR(VLOOKUP(B676,'General price list'!C:BA,MATCH("OBJ",'General price list'!$C$20:$BA$20,0),FALSE),""))</f>
        <v>0</v>
      </c>
      <c r="E676" s="1">
        <f t="shared" si="66"/>
        <v>0</v>
      </c>
      <c r="F676" s="1">
        <f t="shared" si="67"/>
        <v>0</v>
      </c>
      <c r="G676" s="1">
        <f t="shared" si="68"/>
        <v>0</v>
      </c>
      <c r="H676" s="1">
        <f t="shared" si="69"/>
        <v>0</v>
      </c>
      <c r="I676" s="1">
        <f t="shared" si="70"/>
        <v>0</v>
      </c>
      <c r="J676">
        <f>IF(B676="PAL","",IFERROR(IF(C676="",VLOOKUP(B676,'General price list'!C:BA,MATCH("CBM",'General price list'!$C$20:$BA$20,0),FALSE)*D676,VLOOKUP(B676,'General price list'!C:BA,MATCH("CBM",'General price list'!$C$20:$BA$20,0),FALSE)*(G676*C676)),0))</f>
        <v>0</v>
      </c>
    </row>
    <row r="677" spans="2:10" ht="15" customHeight="1">
      <c r="B677" s="790" t="str">
        <f>IF(B676="PAL","",'General price list'!C697)</f>
        <v>C2003SIG/C</v>
      </c>
      <c r="C677" s="1" t="str">
        <f>IF(B677="PAL","",IFERROR(VLOOKUP(B677,'General price list'!C:BA,MATCH("PAL",'General price list'!$C$20:$BA$20,0),FALSE),""))</f>
        <v/>
      </c>
      <c r="D677" s="1">
        <f>IF(B677="PAL","",IFERROR(VLOOKUP(B677,'General price list'!C:BA,MATCH("OBJ",'General price list'!$C$20:$BA$20,0),FALSE),""))</f>
        <v>0</v>
      </c>
      <c r="E677" s="1">
        <f t="shared" si="66"/>
        <v>0</v>
      </c>
      <c r="F677" s="1">
        <f t="shared" si="67"/>
        <v>0</v>
      </c>
      <c r="G677" s="1">
        <f t="shared" si="68"/>
        <v>0</v>
      </c>
      <c r="H677" s="1">
        <f t="shared" si="69"/>
        <v>0</v>
      </c>
      <c r="I677" s="1">
        <f t="shared" si="70"/>
        <v>0</v>
      </c>
      <c r="J677">
        <f>IF(B677="PAL","",IFERROR(IF(C677="",VLOOKUP(B677,'General price list'!C:BA,MATCH("CBM",'General price list'!$C$20:$BA$20,0),FALSE)*D677,VLOOKUP(B677,'General price list'!C:BA,MATCH("CBM",'General price list'!$C$20:$BA$20,0),FALSE)*(G677*C677)),0))</f>
        <v>0</v>
      </c>
    </row>
    <row r="678" spans="2:10" ht="15" customHeight="1">
      <c r="B678" s="790" t="str">
        <f>IF(B677="PAL","",'General price list'!C698)</f>
        <v>C2563XMF/C</v>
      </c>
      <c r="C678" s="1" t="str">
        <f>IF(B678="PAL","",IFERROR(VLOOKUP(B678,'General price list'!C:BA,MATCH("PAL",'General price list'!$C$20:$BA$20,0),FALSE),""))</f>
        <v/>
      </c>
      <c r="D678" s="1">
        <f>IF(B678="PAL","",IFERROR(VLOOKUP(B678,'General price list'!C:BA,MATCH("OBJ",'General price list'!$C$20:$BA$20,0),FALSE),""))</f>
        <v>0</v>
      </c>
      <c r="E678" s="1">
        <f t="shared" si="66"/>
        <v>0</v>
      </c>
      <c r="F678" s="1">
        <f t="shared" si="67"/>
        <v>0</v>
      </c>
      <c r="G678" s="1">
        <f t="shared" si="68"/>
        <v>0</v>
      </c>
      <c r="H678" s="1">
        <f t="shared" si="69"/>
        <v>0</v>
      </c>
      <c r="I678" s="1">
        <f t="shared" si="70"/>
        <v>0</v>
      </c>
      <c r="J678">
        <f>IF(B678="PAL","",IFERROR(IF(C678="",VLOOKUP(B678,'General price list'!C:BA,MATCH("CBM",'General price list'!$C$20:$BA$20,0),FALSE)*D678,VLOOKUP(B678,'General price list'!C:BA,MATCH("CBM",'General price list'!$C$20:$BA$20,0),FALSE)*(G678*C678)),0))</f>
        <v>0</v>
      </c>
    </row>
    <row r="679" spans="2:10" ht="15" customHeight="1">
      <c r="B679" s="790">
        <f>IF(B678="PAL","",'General price list'!C699)</f>
        <v>0</v>
      </c>
      <c r="C679" s="1" t="str">
        <f>IF(B679="PAL","",IFERROR(VLOOKUP(B679,'General price list'!C:BA,MATCH("PAL",'General price list'!$C$20:$BA$20,0),FALSE),""))</f>
        <v/>
      </c>
      <c r="D679" s="1" t="str">
        <f>IF(B679="PAL","",IFERROR(VLOOKUP(B679,'General price list'!C:BA,MATCH("OBJ",'General price list'!$C$20:$BA$20,0),FALSE),""))</f>
        <v/>
      </c>
      <c r="E679" s="1">
        <f t="shared" si="66"/>
        <v>0</v>
      </c>
      <c r="F679" s="1">
        <f t="shared" si="67"/>
        <v>0</v>
      </c>
      <c r="G679" s="1">
        <f t="shared" si="68"/>
        <v>0</v>
      </c>
      <c r="H679" s="1">
        <f t="shared" si="69"/>
        <v>0</v>
      </c>
      <c r="I679" s="1">
        <f t="shared" si="70"/>
        <v>0</v>
      </c>
      <c r="J679">
        <f>IF(B679="PAL","",IFERROR(IF(C679="",VLOOKUP(B679,'General price list'!C:BA,MATCH("CBM",'General price list'!$C$20:$BA$20,0),FALSE)*D679,VLOOKUP(B679,'General price list'!C:BA,MATCH("CBM",'General price list'!$C$20:$BA$20,0),FALSE)*(G679*C679)),0))</f>
        <v>0</v>
      </c>
    </row>
    <row r="680" spans="2:10" ht="15" customHeight="1">
      <c r="B680" s="790" t="str">
        <f>IF(B679="PAL","",'General price list'!C700)</f>
        <v>C165DU14</v>
      </c>
      <c r="C680" s="1" t="str">
        <f>IF(B680="PAL","",IFERROR(VLOOKUP(B680,'General price list'!C:BA,MATCH("PAL",'General price list'!$C$20:$BA$20,0),FALSE),""))</f>
        <v/>
      </c>
      <c r="D680" s="1">
        <f>IF(B680="PAL","",IFERROR(VLOOKUP(B680,'General price list'!C:BA,MATCH("OBJ",'General price list'!$C$20:$BA$20,0),FALSE),""))</f>
        <v>0</v>
      </c>
      <c r="E680" s="1">
        <f t="shared" si="66"/>
        <v>0</v>
      </c>
      <c r="F680" s="1">
        <f t="shared" si="67"/>
        <v>0</v>
      </c>
      <c r="G680" s="1">
        <f t="shared" si="68"/>
        <v>0</v>
      </c>
      <c r="H680" s="1">
        <f t="shared" si="69"/>
        <v>0</v>
      </c>
      <c r="I680" s="1">
        <f t="shared" si="70"/>
        <v>0</v>
      </c>
      <c r="J680">
        <f>IF(B680="PAL","",IFERROR(IF(C680="",VLOOKUP(B680,'General price list'!C:BA,MATCH("CBM",'General price list'!$C$20:$BA$20,0),FALSE)*D680,VLOOKUP(B680,'General price list'!C:BA,MATCH("CBM",'General price list'!$C$20:$BA$20,0),FALSE)*(G680*C680)),0))</f>
        <v>0</v>
      </c>
    </row>
    <row r="681" spans="2:10" ht="15" customHeight="1">
      <c r="B681" s="790" t="str">
        <f>IF(B680="PAL","",'General price list'!C701)</f>
        <v>C165NO14</v>
      </c>
      <c r="C681" s="1" t="str">
        <f>IF(B681="PAL","",IFERROR(VLOOKUP(B681,'General price list'!C:BA,MATCH("PAL",'General price list'!$C$20:$BA$20,0),FALSE),""))</f>
        <v/>
      </c>
      <c r="D681" s="1">
        <f>IF(B681="PAL","",IFERROR(VLOOKUP(B681,'General price list'!C:BA,MATCH("OBJ",'General price list'!$C$20:$BA$20,0),FALSE),""))</f>
        <v>0</v>
      </c>
      <c r="E681" s="1">
        <f t="shared" si="66"/>
        <v>0</v>
      </c>
      <c r="F681" s="1">
        <f t="shared" si="67"/>
        <v>0</v>
      </c>
      <c r="G681" s="1">
        <f t="shared" si="68"/>
        <v>0</v>
      </c>
      <c r="H681" s="1">
        <f t="shared" si="69"/>
        <v>0</v>
      </c>
      <c r="I681" s="1">
        <f t="shared" si="70"/>
        <v>0</v>
      </c>
      <c r="J681">
        <f>IF(B681="PAL","",IFERROR(IF(C681="",VLOOKUP(B681,'General price list'!C:BA,MATCH("CBM",'General price list'!$C$20:$BA$20,0),FALSE)*D681,VLOOKUP(B681,'General price list'!C:BA,MATCH("CBM",'General price list'!$C$20:$BA$20,0),FALSE)*(G681*C681)),0))</f>
        <v>0</v>
      </c>
    </row>
    <row r="682" spans="2:10" ht="15" customHeight="1">
      <c r="B682" s="790">
        <f>IF(B681="PAL","",'General price list'!C702)</f>
        <v>0</v>
      </c>
      <c r="C682" s="1" t="str">
        <f>IF(B682="PAL","",IFERROR(VLOOKUP(B682,'General price list'!C:BA,MATCH("PAL",'General price list'!$C$20:$BA$20,0),FALSE),""))</f>
        <v/>
      </c>
      <c r="D682" s="1" t="str">
        <f>IF(B682="PAL","",IFERROR(VLOOKUP(B682,'General price list'!C:BA,MATCH("OBJ",'General price list'!$C$20:$BA$20,0),FALSE),""))</f>
        <v/>
      </c>
      <c r="E682" s="1">
        <f t="shared" si="66"/>
        <v>0</v>
      </c>
      <c r="F682" s="1">
        <f t="shared" si="67"/>
        <v>0</v>
      </c>
      <c r="G682" s="1">
        <f t="shared" si="68"/>
        <v>0</v>
      </c>
      <c r="H682" s="1">
        <f t="shared" si="69"/>
        <v>0</v>
      </c>
      <c r="I682" s="1">
        <f t="shared" si="70"/>
        <v>0</v>
      </c>
      <c r="J682">
        <f>IF(B682="PAL","",IFERROR(IF(C682="",VLOOKUP(B682,'General price list'!C:BA,MATCH("CBM",'General price list'!$C$20:$BA$20,0),FALSE)*D682,VLOOKUP(B682,'General price list'!C:BA,MATCH("CBM",'General price list'!$C$20:$BA$20,0),FALSE)*(G682*C682)),0))</f>
        <v>0</v>
      </c>
    </row>
    <row r="683" spans="2:10" ht="15" customHeight="1">
      <c r="B683" s="790" t="str">
        <f>IF(B682="PAL","",'General price list'!C703)</f>
        <v>C165JA</v>
      </c>
      <c r="C683" s="1" t="str">
        <f>IF(B683="PAL","",IFERROR(VLOOKUP(B683,'General price list'!C:BA,MATCH("PAL",'General price list'!$C$20:$BA$20,0),FALSE),""))</f>
        <v/>
      </c>
      <c r="D683" s="1">
        <f>IF(B683="PAL","",IFERROR(VLOOKUP(B683,'General price list'!C:BA,MATCH("OBJ",'General price list'!$C$20:$BA$20,0),FALSE),""))</f>
        <v>0</v>
      </c>
      <c r="E683" s="1">
        <f t="shared" si="66"/>
        <v>0</v>
      </c>
      <c r="F683" s="1">
        <f t="shared" si="67"/>
        <v>0</v>
      </c>
      <c r="G683" s="1">
        <f t="shared" si="68"/>
        <v>0</v>
      </c>
      <c r="H683" s="1">
        <f t="shared" si="69"/>
        <v>0</v>
      </c>
      <c r="I683" s="1">
        <f t="shared" si="70"/>
        <v>0</v>
      </c>
      <c r="J683">
        <f>IF(B683="PAL","",IFERROR(IF(C683="",VLOOKUP(B683,'General price list'!C:BA,MATCH("CBM",'General price list'!$C$20:$BA$20,0),FALSE)*D683,VLOOKUP(B683,'General price list'!C:BA,MATCH("CBM",'General price list'!$C$20:$BA$20,0),FALSE)*(G683*C683)),0))</f>
        <v>0</v>
      </c>
    </row>
    <row r="684" spans="2:10" ht="15" customHeight="1">
      <c r="B684" s="790" t="str">
        <f>IF(B683="PAL","",'General price list'!C704)</f>
        <v>C165P</v>
      </c>
      <c r="C684" s="1" t="str">
        <f>IF(B684="PAL","",IFERROR(VLOOKUP(B684,'General price list'!C:BA,MATCH("PAL",'General price list'!$C$20:$BA$20,0),FALSE),""))</f>
        <v/>
      </c>
      <c r="D684" s="1">
        <f>IF(B684="PAL","",IFERROR(VLOOKUP(B684,'General price list'!C:BA,MATCH("OBJ",'General price list'!$C$20:$BA$20,0),FALSE),""))</f>
        <v>0</v>
      </c>
      <c r="E684" s="1">
        <f t="shared" si="66"/>
        <v>0</v>
      </c>
      <c r="F684" s="1">
        <f t="shared" si="67"/>
        <v>0</v>
      </c>
      <c r="G684" s="1">
        <f t="shared" si="68"/>
        <v>0</v>
      </c>
      <c r="H684" s="1">
        <f t="shared" si="69"/>
        <v>0</v>
      </c>
      <c r="I684" s="1">
        <f t="shared" si="70"/>
        <v>0</v>
      </c>
      <c r="J684">
        <f>IF(B684="PAL","",IFERROR(IF(C684="",VLOOKUP(B684,'General price list'!C:BA,MATCH("CBM",'General price list'!$C$20:$BA$20,0),FALSE)*D684,VLOOKUP(B684,'General price list'!C:BA,MATCH("CBM",'General price list'!$C$20:$BA$20,0),FALSE)*(G684*C684)),0))</f>
        <v>0</v>
      </c>
    </row>
    <row r="685" spans="2:10" ht="15" customHeight="1">
      <c r="B685" s="790">
        <f>IF(B684="PAL","",'General price list'!C705)</f>
        <v>0</v>
      </c>
      <c r="C685" s="1" t="str">
        <f>IF(B685="PAL","",IFERROR(VLOOKUP(B685,'General price list'!C:BA,MATCH("PAL",'General price list'!$C$20:$BA$20,0),FALSE),""))</f>
        <v/>
      </c>
      <c r="D685" s="1" t="str">
        <f>IF(B685="PAL","",IFERROR(VLOOKUP(B685,'General price list'!C:BA,MATCH("OBJ",'General price list'!$C$20:$BA$20,0),FALSE),""))</f>
        <v/>
      </c>
      <c r="E685" s="1">
        <f t="shared" si="66"/>
        <v>0</v>
      </c>
      <c r="F685" s="1">
        <f t="shared" si="67"/>
        <v>0</v>
      </c>
      <c r="G685" s="1">
        <f t="shared" si="68"/>
        <v>0</v>
      </c>
      <c r="H685" s="1">
        <f t="shared" si="69"/>
        <v>0</v>
      </c>
      <c r="I685" s="1">
        <f t="shared" si="70"/>
        <v>0</v>
      </c>
      <c r="J685">
        <f>IF(B685="PAL","",IFERROR(IF(C685="",VLOOKUP(B685,'General price list'!C:BA,MATCH("CBM",'General price list'!$C$20:$BA$20,0),FALSE)*D685,VLOOKUP(B685,'General price list'!C:BA,MATCH("CBM",'General price list'!$C$20:$BA$20,0),FALSE)*(G685*C685)),0))</f>
        <v>0</v>
      </c>
    </row>
    <row r="686" spans="2:10" ht="15" customHeight="1">
      <c r="B686" s="790" t="str">
        <f>IF(B685="PAL","",'General price list'!C706)</f>
        <v>C2545NO</v>
      </c>
      <c r="C686" s="1" t="str">
        <f>IF(B686="PAL","",IFERROR(VLOOKUP(B686,'General price list'!C:BA,MATCH("PAL",'General price list'!$C$20:$BA$20,0),FALSE),""))</f>
        <v/>
      </c>
      <c r="D686" s="1">
        <f>IF(B686="PAL","",IFERROR(VLOOKUP(B686,'General price list'!C:BA,MATCH("OBJ",'General price list'!$C$20:$BA$20,0),FALSE),""))</f>
        <v>0</v>
      </c>
      <c r="E686" s="1">
        <f t="shared" si="66"/>
        <v>0</v>
      </c>
      <c r="F686" s="1">
        <f t="shared" si="67"/>
        <v>0</v>
      </c>
      <c r="G686" s="1">
        <f t="shared" si="68"/>
        <v>0</v>
      </c>
      <c r="H686" s="1">
        <f t="shared" si="69"/>
        <v>0</v>
      </c>
      <c r="I686" s="1">
        <f t="shared" si="70"/>
        <v>0</v>
      </c>
      <c r="J686">
        <f>IF(B686="PAL","",IFERROR(IF(C686="",VLOOKUP(B686,'General price list'!C:BA,MATCH("CBM",'General price list'!$C$20:$BA$20,0),FALSE)*D686,VLOOKUP(B686,'General price list'!C:BA,MATCH("CBM",'General price list'!$C$20:$BA$20,0),FALSE)*(G686*C686)),0))</f>
        <v>0</v>
      </c>
    </row>
    <row r="687" spans="2:10" ht="15" customHeight="1">
      <c r="B687" s="790" t="str">
        <f>IF(B686="PAL","",'General price list'!C707)</f>
        <v>C2545DI</v>
      </c>
      <c r="C687" s="1" t="str">
        <f>IF(B687="PAL","",IFERROR(VLOOKUP(B687,'General price list'!C:BA,MATCH("PAL",'General price list'!$C$20:$BA$20,0),FALSE),""))</f>
        <v/>
      </c>
      <c r="D687" s="1">
        <f>IF(B687="PAL","",IFERROR(VLOOKUP(B687,'General price list'!C:BA,MATCH("OBJ",'General price list'!$C$20:$BA$20,0),FALSE),""))</f>
        <v>0</v>
      </c>
      <c r="E687" s="1">
        <f t="shared" si="66"/>
        <v>0</v>
      </c>
      <c r="F687" s="1">
        <f t="shared" si="67"/>
        <v>0</v>
      </c>
      <c r="G687" s="1">
        <f t="shared" si="68"/>
        <v>0</v>
      </c>
      <c r="H687" s="1">
        <f t="shared" si="69"/>
        <v>0</v>
      </c>
      <c r="I687" s="1">
        <f t="shared" si="70"/>
        <v>0</v>
      </c>
      <c r="J687">
        <f>IF(B687="PAL","",IFERROR(IF(C687="",VLOOKUP(B687,'General price list'!C:BA,MATCH("CBM",'General price list'!$C$20:$BA$20,0),FALSE)*D687,VLOOKUP(B687,'General price list'!C:BA,MATCH("CBM",'General price list'!$C$20:$BA$20,0),FALSE)*(G687*C687)),0))</f>
        <v>0</v>
      </c>
    </row>
    <row r="688" spans="2:10" ht="15" customHeight="1">
      <c r="B688" s="790">
        <f>IF(B687="PAL","",'General price list'!C708)</f>
        <v>0</v>
      </c>
      <c r="C688" s="1" t="str">
        <f>IF(B688="PAL","",IFERROR(VLOOKUP(B688,'General price list'!C:BA,MATCH("PAL",'General price list'!$C$20:$BA$20,0),FALSE),""))</f>
        <v/>
      </c>
      <c r="D688" s="1" t="str">
        <f>IF(B688="PAL","",IFERROR(VLOOKUP(B688,'General price list'!C:BA,MATCH("OBJ",'General price list'!$C$20:$BA$20,0),FALSE),""))</f>
        <v/>
      </c>
      <c r="E688" s="1">
        <f t="shared" si="66"/>
        <v>0</v>
      </c>
      <c r="F688" s="1">
        <f t="shared" si="67"/>
        <v>0</v>
      </c>
      <c r="G688" s="1">
        <f t="shared" si="68"/>
        <v>0</v>
      </c>
      <c r="H688" s="1">
        <f t="shared" si="69"/>
        <v>0</v>
      </c>
      <c r="I688" s="1">
        <f t="shared" si="70"/>
        <v>0</v>
      </c>
      <c r="J688">
        <f>IF(B688="PAL","",IFERROR(IF(C688="",VLOOKUP(B688,'General price list'!C:BA,MATCH("CBM",'General price list'!$C$20:$BA$20,0),FALSE)*D688,VLOOKUP(B688,'General price list'!C:BA,MATCH("CBM",'General price list'!$C$20:$BA$20,0),FALSE)*(G688*C688)),0))</f>
        <v>0</v>
      </c>
    </row>
    <row r="689" spans="2:10" ht="15" customHeight="1">
      <c r="B689" s="790" t="str">
        <f>IF(B688="PAL","",'General price list'!C709)</f>
        <v>C255BP</v>
      </c>
      <c r="C689" s="1" t="str">
        <f>IF(B689="PAL","",IFERROR(VLOOKUP(B689,'General price list'!C:BA,MATCH("PAL",'General price list'!$C$20:$BA$20,0),FALSE),""))</f>
        <v/>
      </c>
      <c r="D689" s="1">
        <f>IF(B689="PAL","",IFERROR(VLOOKUP(B689,'General price list'!C:BA,MATCH("OBJ",'General price list'!$C$20:$BA$20,0),FALSE),""))</f>
        <v>0</v>
      </c>
      <c r="E689" s="1">
        <f t="shared" si="66"/>
        <v>0</v>
      </c>
      <c r="F689" s="1">
        <f t="shared" si="67"/>
        <v>0</v>
      </c>
      <c r="G689" s="1">
        <f t="shared" si="68"/>
        <v>0</v>
      </c>
      <c r="H689" s="1">
        <f t="shared" si="69"/>
        <v>0</v>
      </c>
      <c r="I689" s="1">
        <f t="shared" si="70"/>
        <v>0</v>
      </c>
      <c r="J689">
        <f>IF(B689="PAL","",IFERROR(IF(C689="",VLOOKUP(B689,'General price list'!C:BA,MATCH("CBM",'General price list'!$C$20:$BA$20,0),FALSE)*D689,VLOOKUP(B689,'General price list'!C:BA,MATCH("CBM",'General price list'!$C$20:$BA$20,0),FALSE)*(G689*C689)),0))</f>
        <v>0</v>
      </c>
    </row>
    <row r="690" spans="2:10" ht="15" customHeight="1">
      <c r="B690" s="790">
        <f>IF(B689="PAL","",'General price list'!C710)</f>
        <v>0</v>
      </c>
      <c r="C690" s="1" t="str">
        <f>IF(B690="PAL","",IFERROR(VLOOKUP(B690,'General price list'!C:BA,MATCH("PAL",'General price list'!$C$20:$BA$20,0),FALSE),""))</f>
        <v/>
      </c>
      <c r="D690" s="1" t="str">
        <f>IF(B690="PAL","",IFERROR(VLOOKUP(B690,'General price list'!C:BA,MATCH("OBJ",'General price list'!$C$20:$BA$20,0),FALSE),""))</f>
        <v/>
      </c>
      <c r="E690" s="1">
        <f t="shared" si="66"/>
        <v>0</v>
      </c>
      <c r="F690" s="1">
        <f t="shared" si="67"/>
        <v>0</v>
      </c>
      <c r="G690" s="1">
        <f t="shared" si="68"/>
        <v>0</v>
      </c>
      <c r="H690" s="1">
        <f t="shared" si="69"/>
        <v>0</v>
      </c>
      <c r="I690" s="1">
        <f t="shared" si="70"/>
        <v>0</v>
      </c>
      <c r="J690">
        <f>IF(B690="PAL","",IFERROR(IF(C690="",VLOOKUP(B690,'General price list'!C:BA,MATCH("CBM",'General price list'!$C$20:$BA$20,0),FALSE)*D690,VLOOKUP(B690,'General price list'!C:BA,MATCH("CBM",'General price list'!$C$20:$BA$20,0),FALSE)*(G690*C690)),0))</f>
        <v>0</v>
      </c>
    </row>
    <row r="691" spans="2:10" ht="15" customHeight="1">
      <c r="B691" s="790" t="str">
        <f>IF(B690="PAL","",'General price list'!C711)</f>
        <v>C3545MF</v>
      </c>
      <c r="C691" s="1" t="str">
        <f>IF(B691="PAL","",IFERROR(VLOOKUP(B691,'General price list'!C:BA,MATCH("PAL",'General price list'!$C$20:$BA$20,0),FALSE),""))</f>
        <v/>
      </c>
      <c r="D691" s="1">
        <f>IF(B691="PAL","",IFERROR(VLOOKUP(B691,'General price list'!C:BA,MATCH("OBJ",'General price list'!$C$20:$BA$20,0),FALSE),""))</f>
        <v>0</v>
      </c>
      <c r="E691" s="1">
        <f t="shared" si="66"/>
        <v>0</v>
      </c>
      <c r="F691" s="1">
        <f t="shared" si="67"/>
        <v>0</v>
      </c>
      <c r="G691" s="1">
        <f t="shared" si="68"/>
        <v>0</v>
      </c>
      <c r="H691" s="1">
        <f t="shared" si="69"/>
        <v>0</v>
      </c>
      <c r="I691" s="1">
        <f t="shared" si="70"/>
        <v>0</v>
      </c>
      <c r="J691">
        <f>IF(B691="PAL","",IFERROR(IF(C691="",VLOOKUP(B691,'General price list'!C:BA,MATCH("CBM",'General price list'!$C$20:$BA$20,0),FALSE)*D691,VLOOKUP(B691,'General price list'!C:BA,MATCH("CBM",'General price list'!$C$20:$BA$20,0),FALSE)*(G691*C691)),0))</f>
        <v>0</v>
      </c>
    </row>
    <row r="692" spans="2:10" ht="15" customHeight="1">
      <c r="B692" s="790" t="str">
        <f>IF(B691="PAL","",'General price list'!C712)</f>
        <v>C3545NO</v>
      </c>
      <c r="C692" s="1" t="str">
        <f>IF(B692="PAL","",IFERROR(VLOOKUP(B692,'General price list'!C:BA,MATCH("PAL",'General price list'!$C$20:$BA$20,0),FALSE),""))</f>
        <v/>
      </c>
      <c r="D692" s="1">
        <f>IF(B692="PAL","",IFERROR(VLOOKUP(B692,'General price list'!C:BA,MATCH("OBJ",'General price list'!$C$20:$BA$20,0),FALSE),""))</f>
        <v>0</v>
      </c>
      <c r="E692" s="1">
        <f t="shared" si="66"/>
        <v>0</v>
      </c>
      <c r="F692" s="1">
        <f t="shared" si="67"/>
        <v>0</v>
      </c>
      <c r="G692" s="1">
        <f t="shared" si="68"/>
        <v>0</v>
      </c>
      <c r="H692" s="1">
        <f t="shared" si="69"/>
        <v>0</v>
      </c>
      <c r="I692" s="1">
        <f t="shared" si="70"/>
        <v>0</v>
      </c>
      <c r="J692">
        <f>IF(B692="PAL","",IFERROR(IF(C692="",VLOOKUP(B692,'General price list'!C:BA,MATCH("CBM",'General price list'!$C$20:$BA$20,0),FALSE)*D692,VLOOKUP(B692,'General price list'!C:BA,MATCH("CBM",'General price list'!$C$20:$BA$20,0),FALSE)*(G692*C692)),0))</f>
        <v>0</v>
      </c>
    </row>
    <row r="693" spans="2:10" ht="15" customHeight="1">
      <c r="B693" s="790">
        <f>IF(B692="PAL","",'General price list'!C713)</f>
        <v>0</v>
      </c>
      <c r="C693" s="1" t="str">
        <f>IF(B693="PAL","",IFERROR(VLOOKUP(B693,'General price list'!C:BA,MATCH("PAL",'General price list'!$C$20:$BA$20,0),FALSE),""))</f>
        <v/>
      </c>
      <c r="D693" s="1" t="str">
        <f>IF(B693="PAL","",IFERROR(VLOOKUP(B693,'General price list'!C:BA,MATCH("OBJ",'General price list'!$C$20:$BA$20,0),FALSE),""))</f>
        <v/>
      </c>
      <c r="E693" s="1">
        <f t="shared" si="66"/>
        <v>0</v>
      </c>
      <c r="F693" s="1">
        <f t="shared" si="67"/>
        <v>0</v>
      </c>
      <c r="G693" s="1">
        <f t="shared" si="68"/>
        <v>0</v>
      </c>
      <c r="H693" s="1">
        <f t="shared" si="69"/>
        <v>0</v>
      </c>
      <c r="I693" s="1">
        <f t="shared" si="70"/>
        <v>0</v>
      </c>
      <c r="J693">
        <f>IF(B693="PAL","",IFERROR(IF(C693="",VLOOKUP(B693,'General price list'!C:BA,MATCH("CBM",'General price list'!$C$20:$BA$20,0),FALSE)*D693,VLOOKUP(B693,'General price list'!C:BA,MATCH("CBM",'General price list'!$C$20:$BA$20,0),FALSE)*(G693*C693)),0))</f>
        <v>0</v>
      </c>
    </row>
    <row r="694" spans="2:10" ht="15" customHeight="1">
      <c r="B694" s="790" t="str">
        <f>IF(B693="PAL","",'General price list'!C714)</f>
        <v>C3645BA</v>
      </c>
      <c r="C694" s="1" t="str">
        <f>IF(B694="PAL","",IFERROR(VLOOKUP(B694,'General price list'!C:BA,MATCH("PAL",'General price list'!$C$20:$BA$20,0),FALSE),""))</f>
        <v/>
      </c>
      <c r="D694" s="1">
        <f>IF(B694="PAL","",IFERROR(VLOOKUP(B694,'General price list'!C:BA,MATCH("OBJ",'General price list'!$C$20:$BA$20,0),FALSE),""))</f>
        <v>0</v>
      </c>
      <c r="E694" s="1">
        <f t="shared" si="66"/>
        <v>0</v>
      </c>
      <c r="F694" s="1">
        <f t="shared" si="67"/>
        <v>0</v>
      </c>
      <c r="G694" s="1">
        <f t="shared" si="68"/>
        <v>0</v>
      </c>
      <c r="H694" s="1">
        <f t="shared" si="69"/>
        <v>0</v>
      </c>
      <c r="I694" s="1">
        <f t="shared" si="70"/>
        <v>0</v>
      </c>
      <c r="J694">
        <f>IF(B694="PAL","",IFERROR(IF(C694="",VLOOKUP(B694,'General price list'!C:BA,MATCH("CBM",'General price list'!$C$20:$BA$20,0),FALSE)*D694,VLOOKUP(B694,'General price list'!C:BA,MATCH("CBM",'General price list'!$C$20:$BA$20,0),FALSE)*(G694*C694)),0))</f>
        <v>0</v>
      </c>
    </row>
    <row r="695" spans="2:10" ht="15" customHeight="1">
      <c r="B695" s="790" t="str">
        <f>IF(B694="PAL","",'General price list'!C715)</f>
        <v>C3645SE</v>
      </c>
      <c r="C695" s="1" t="str">
        <f>IF(B695="PAL","",IFERROR(VLOOKUP(B695,'General price list'!C:BA,MATCH("PAL",'General price list'!$C$20:$BA$20,0),FALSE),""))</f>
        <v/>
      </c>
      <c r="D695" s="1">
        <f>IF(B695="PAL","",IFERROR(VLOOKUP(B695,'General price list'!C:BA,MATCH("OBJ",'General price list'!$C$20:$BA$20,0),FALSE),""))</f>
        <v>0</v>
      </c>
      <c r="E695" s="1">
        <f t="shared" si="66"/>
        <v>0</v>
      </c>
      <c r="F695" s="1">
        <f t="shared" si="67"/>
        <v>0</v>
      </c>
      <c r="G695" s="1">
        <f t="shared" si="68"/>
        <v>0</v>
      </c>
      <c r="H695" s="1">
        <f t="shared" si="69"/>
        <v>0</v>
      </c>
      <c r="I695" s="1">
        <f t="shared" si="70"/>
        <v>0</v>
      </c>
      <c r="J695">
        <f>IF(B695="PAL","",IFERROR(IF(C695="",VLOOKUP(B695,'General price list'!C:BA,MATCH("CBM",'General price list'!$C$20:$BA$20,0),FALSE)*D695,VLOOKUP(B695,'General price list'!C:BA,MATCH("CBM",'General price list'!$C$20:$BA$20,0),FALSE)*(G695*C695)),0))</f>
        <v>0</v>
      </c>
    </row>
    <row r="696" spans="2:10" ht="15" customHeight="1">
      <c r="B696" s="790">
        <f>IF(B695="PAL","",'General price list'!C716)</f>
        <v>0</v>
      </c>
      <c r="C696" s="1" t="str">
        <f>IF(B696="PAL","",IFERROR(VLOOKUP(B696,'General price list'!C:BA,MATCH("PAL",'General price list'!$C$20:$BA$20,0),FALSE),""))</f>
        <v/>
      </c>
      <c r="D696" s="1" t="str">
        <f>IF(B696="PAL","",IFERROR(VLOOKUP(B696,'General price list'!C:BA,MATCH("OBJ",'General price list'!$C$20:$BA$20,0),FALSE),""))</f>
        <v/>
      </c>
      <c r="E696" s="1">
        <f t="shared" si="66"/>
        <v>0</v>
      </c>
      <c r="F696" s="1">
        <f t="shared" si="67"/>
        <v>0</v>
      </c>
      <c r="G696" s="1">
        <f t="shared" si="68"/>
        <v>0</v>
      </c>
      <c r="H696" s="1">
        <f t="shared" si="69"/>
        <v>0</v>
      </c>
      <c r="I696" s="1">
        <f t="shared" si="70"/>
        <v>0</v>
      </c>
      <c r="J696">
        <f>IF(B696="PAL","",IFERROR(IF(C696="",VLOOKUP(B696,'General price list'!C:BA,MATCH("CBM",'General price list'!$C$20:$BA$20,0),FALSE)*D696,VLOOKUP(B696,'General price list'!C:BA,MATCH("CBM",'General price list'!$C$20:$BA$20,0),FALSE)*(G696*C696)),0))</f>
        <v>0</v>
      </c>
    </row>
    <row r="697" spans="2:10" ht="15" customHeight="1">
      <c r="B697" s="790" t="str">
        <f>IF(B696="PAL","",'General price list'!C717)</f>
        <v>C365DU</v>
      </c>
      <c r="C697" s="1" t="str">
        <f>IF(B697="PAL","",IFERROR(VLOOKUP(B697,'General price list'!C:BA,MATCH("PAL",'General price list'!$C$20:$BA$20,0),FALSE),""))</f>
        <v/>
      </c>
      <c r="D697" s="1">
        <f>IF(B697="PAL","",IFERROR(VLOOKUP(B697,'General price list'!C:BA,MATCH("OBJ",'General price list'!$C$20:$BA$20,0),FALSE),""))</f>
        <v>0</v>
      </c>
      <c r="E697" s="1">
        <f t="shared" si="66"/>
        <v>0</v>
      </c>
      <c r="F697" s="1">
        <f t="shared" si="67"/>
        <v>0</v>
      </c>
      <c r="G697" s="1">
        <f t="shared" si="68"/>
        <v>0</v>
      </c>
      <c r="H697" s="1">
        <f t="shared" si="69"/>
        <v>0</v>
      </c>
      <c r="I697" s="1">
        <f t="shared" si="70"/>
        <v>0</v>
      </c>
      <c r="J697">
        <f>IF(B697="PAL","",IFERROR(IF(C697="",VLOOKUP(B697,'General price list'!C:BA,MATCH("CBM",'General price list'!$C$20:$BA$20,0),FALSE)*D697,VLOOKUP(B697,'General price list'!C:BA,MATCH("CBM",'General price list'!$C$20:$BA$20,0),FALSE)*(G697*C697)),0))</f>
        <v>0</v>
      </c>
    </row>
    <row r="698" spans="2:10" ht="15" customHeight="1">
      <c r="B698" s="790">
        <f>IF(B697="PAL","",'General price list'!C718)</f>
        <v>0</v>
      </c>
      <c r="C698" s="1" t="str">
        <f>IF(B698="PAL","",IFERROR(VLOOKUP(B698,'General price list'!C:BA,MATCH("PAL",'General price list'!$C$20:$BA$20,0),FALSE),""))</f>
        <v/>
      </c>
      <c r="D698" s="1" t="str">
        <f>IF(B698="PAL","",IFERROR(VLOOKUP(B698,'General price list'!C:BA,MATCH("OBJ",'General price list'!$C$20:$BA$20,0),FALSE),""))</f>
        <v/>
      </c>
      <c r="E698" s="1">
        <f t="shared" si="66"/>
        <v>0</v>
      </c>
      <c r="F698" s="1">
        <f t="shared" si="67"/>
        <v>0</v>
      </c>
      <c r="G698" s="1">
        <f t="shared" si="68"/>
        <v>0</v>
      </c>
      <c r="H698" s="1">
        <f t="shared" si="69"/>
        <v>0</v>
      </c>
      <c r="I698" s="1">
        <f t="shared" si="70"/>
        <v>0</v>
      </c>
      <c r="J698">
        <f>IF(B698="PAL","",IFERROR(IF(C698="",VLOOKUP(B698,'General price list'!C:BA,MATCH("CBM",'General price list'!$C$20:$BA$20,0),FALSE)*D698,VLOOKUP(B698,'General price list'!C:BA,MATCH("CBM",'General price list'!$C$20:$BA$20,0),FALSE)*(G698*C698)),0))</f>
        <v>0</v>
      </c>
    </row>
    <row r="699" spans="2:10" ht="15" customHeight="1">
      <c r="B699" s="790" t="str">
        <f>IF(B698="PAL","",'General price list'!C719)</f>
        <v>C505X/C</v>
      </c>
      <c r="C699" s="1" t="str">
        <f>IF(B699="PAL","",IFERROR(VLOOKUP(B699,'General price list'!C:BA,MATCH("PAL",'General price list'!$C$20:$BA$20,0),FALSE),""))</f>
        <v/>
      </c>
      <c r="D699" s="1">
        <f>IF(B699="PAL","",IFERROR(VLOOKUP(B699,'General price list'!C:BA,MATCH("OBJ",'General price list'!$C$20:$BA$20,0),FALSE),""))</f>
        <v>0</v>
      </c>
      <c r="E699" s="1">
        <f t="shared" si="66"/>
        <v>0</v>
      </c>
      <c r="F699" s="1">
        <f t="shared" si="67"/>
        <v>0</v>
      </c>
      <c r="G699" s="1">
        <f t="shared" si="68"/>
        <v>0</v>
      </c>
      <c r="H699" s="1">
        <f t="shared" si="69"/>
        <v>0</v>
      </c>
      <c r="I699" s="1">
        <f t="shared" si="70"/>
        <v>0</v>
      </c>
      <c r="J699">
        <f>IF(B699="PAL","",IFERROR(IF(C699="",VLOOKUP(B699,'General price list'!C:BA,MATCH("CBM",'General price list'!$C$20:$BA$20,0),FALSE)*D699,VLOOKUP(B699,'General price list'!C:BA,MATCH("CBM",'General price list'!$C$20:$BA$20,0),FALSE)*(G699*C699)),0))</f>
        <v>0</v>
      </c>
    </row>
    <row r="700" spans="2:10" ht="15" customHeight="1">
      <c r="B700" s="790" t="str">
        <f>IF(B699="PAL","",'General price list'!C720)</f>
        <v>C505V/C</v>
      </c>
      <c r="C700" s="1" t="str">
        <f>IF(B700="PAL","",IFERROR(VLOOKUP(B700,'General price list'!C:BA,MATCH("PAL",'General price list'!$C$20:$BA$20,0),FALSE),""))</f>
        <v/>
      </c>
      <c r="D700" s="1">
        <f>IF(B700="PAL","",IFERROR(VLOOKUP(B700,'General price list'!C:BA,MATCH("OBJ",'General price list'!$C$20:$BA$20,0),FALSE),""))</f>
        <v>0</v>
      </c>
      <c r="E700" s="1">
        <f t="shared" si="66"/>
        <v>0</v>
      </c>
      <c r="F700" s="1">
        <f t="shared" si="67"/>
        <v>0</v>
      </c>
      <c r="G700" s="1">
        <f t="shared" si="68"/>
        <v>0</v>
      </c>
      <c r="H700" s="1">
        <f t="shared" si="69"/>
        <v>0</v>
      </c>
      <c r="I700" s="1">
        <f t="shared" si="70"/>
        <v>0</v>
      </c>
      <c r="J700">
        <f>IF(B700="PAL","",IFERROR(IF(C700="",VLOOKUP(B700,'General price list'!C:BA,MATCH("CBM",'General price list'!$C$20:$BA$20,0),FALSE)*D700,VLOOKUP(B700,'General price list'!C:BA,MATCH("CBM",'General price list'!$C$20:$BA$20,0),FALSE)*(G700*C700)),0))</f>
        <v>0</v>
      </c>
    </row>
    <row r="701" spans="2:10" ht="15" customHeight="1">
      <c r="B701" s="790" t="str">
        <f>IF(B700="PAL","",'General price list'!C721)</f>
        <v>C755R/C</v>
      </c>
      <c r="C701" s="1" t="str">
        <f>IF(B701="PAL","",IFERROR(VLOOKUP(B701,'General price list'!C:BA,MATCH("PAL",'General price list'!$C$20:$BA$20,0),FALSE),""))</f>
        <v/>
      </c>
      <c r="D701" s="1">
        <f>IF(B701="PAL","",IFERROR(VLOOKUP(B701,'General price list'!C:BA,MATCH("OBJ",'General price list'!$C$20:$BA$20,0),FALSE),""))</f>
        <v>0</v>
      </c>
      <c r="E701" s="1">
        <f t="shared" si="66"/>
        <v>0</v>
      </c>
      <c r="F701" s="1">
        <f t="shared" si="67"/>
        <v>0</v>
      </c>
      <c r="G701" s="1">
        <f t="shared" si="68"/>
        <v>0</v>
      </c>
      <c r="H701" s="1">
        <f t="shared" si="69"/>
        <v>0</v>
      </c>
      <c r="I701" s="1">
        <f t="shared" si="70"/>
        <v>0</v>
      </c>
      <c r="J701">
        <f>IF(B701="PAL","",IFERROR(IF(C701="",VLOOKUP(B701,'General price list'!C:BA,MATCH("CBM",'General price list'!$C$20:$BA$20,0),FALSE)*D701,VLOOKUP(B701,'General price list'!C:BA,MATCH("CBM",'General price list'!$C$20:$BA$20,0),FALSE)*(G701*C701)),0))</f>
        <v>0</v>
      </c>
    </row>
    <row r="702" spans="2:10" ht="15" customHeight="1">
      <c r="B702" s="790" t="str">
        <f>IF(B701="PAL","",'General price list'!C722)</f>
        <v>C10545GI/C</v>
      </c>
      <c r="C702" s="1" t="str">
        <f>IF(B702="PAL","",IFERROR(VLOOKUP(B702,'General price list'!C:BA,MATCH("PAL",'General price list'!$C$20:$BA$20,0),FALSE),""))</f>
        <v/>
      </c>
      <c r="D702" s="1">
        <f>IF(B702="PAL","",IFERROR(VLOOKUP(B702,'General price list'!C:BA,MATCH("OBJ",'General price list'!$C$20:$BA$20,0),FALSE),""))</f>
        <v>0</v>
      </c>
      <c r="E702" s="1">
        <f t="shared" si="66"/>
        <v>0</v>
      </c>
      <c r="F702" s="1">
        <f t="shared" si="67"/>
        <v>0</v>
      </c>
      <c r="G702" s="1">
        <f t="shared" si="68"/>
        <v>0</v>
      </c>
      <c r="H702" s="1">
        <f t="shared" si="69"/>
        <v>0</v>
      </c>
      <c r="I702" s="1">
        <f t="shared" si="70"/>
        <v>0</v>
      </c>
      <c r="J702">
        <f>IF(B702="PAL","",IFERROR(IF(C702="",VLOOKUP(B702,'General price list'!C:BA,MATCH("CBM",'General price list'!$C$20:$BA$20,0),FALSE)*D702,VLOOKUP(B702,'General price list'!C:BA,MATCH("CBM",'General price list'!$C$20:$BA$20,0),FALSE)*(G702*C702)),0))</f>
        <v>0</v>
      </c>
    </row>
    <row r="703" spans="2:10" ht="15" customHeight="1">
      <c r="B703" s="790">
        <f>IF(B702="PAL","",'General price list'!C723)</f>
        <v>0</v>
      </c>
      <c r="C703" s="1" t="str">
        <f>IF(B703="PAL","",IFERROR(VLOOKUP(B703,'General price list'!C:BA,MATCH("PAL",'General price list'!$C$20:$BA$20,0),FALSE),""))</f>
        <v/>
      </c>
      <c r="D703" s="1" t="str">
        <f>IF(B703="PAL","",IFERROR(VLOOKUP(B703,'General price list'!C:BA,MATCH("OBJ",'General price list'!$C$20:$BA$20,0),FALSE),""))</f>
        <v/>
      </c>
      <c r="E703" s="1">
        <f t="shared" si="66"/>
        <v>0</v>
      </c>
      <c r="F703" s="1">
        <f t="shared" si="67"/>
        <v>0</v>
      </c>
      <c r="G703" s="1">
        <f t="shared" si="68"/>
        <v>0</v>
      </c>
      <c r="H703" s="1">
        <f t="shared" si="69"/>
        <v>0</v>
      </c>
      <c r="I703" s="1">
        <f t="shared" si="70"/>
        <v>0</v>
      </c>
      <c r="J703">
        <f>IF(B703="PAL","",IFERROR(IF(C703="",VLOOKUP(B703,'General price list'!C:BA,MATCH("CBM",'General price list'!$C$20:$BA$20,0),FALSE)*D703,VLOOKUP(B703,'General price list'!C:BA,MATCH("CBM",'General price list'!$C$20:$BA$20,0),FALSE)*(G703*C703)),0))</f>
        <v>0</v>
      </c>
    </row>
    <row r="704" spans="2:10" ht="15" customHeight="1">
      <c r="B704" s="790" t="str">
        <f>IF(B703="PAL","",'General price list'!C724)</f>
        <v>C2505D</v>
      </c>
      <c r="C704" s="1" t="str">
        <f>IF(B704="PAL","",IFERROR(VLOOKUP(B704,'General price list'!C:BA,MATCH("PAL",'General price list'!$C$20:$BA$20,0),FALSE),""))</f>
        <v/>
      </c>
      <c r="D704" s="1">
        <f>IF(B704="PAL","",IFERROR(VLOOKUP(B704,'General price list'!C:BA,MATCH("OBJ",'General price list'!$C$20:$BA$20,0),FALSE),""))</f>
        <v>0</v>
      </c>
      <c r="E704" s="1">
        <f t="shared" si="66"/>
        <v>0</v>
      </c>
      <c r="F704" s="1">
        <f t="shared" si="67"/>
        <v>0</v>
      </c>
      <c r="G704" s="1">
        <f t="shared" si="68"/>
        <v>0</v>
      </c>
      <c r="H704" s="1">
        <f t="shared" si="69"/>
        <v>0</v>
      </c>
      <c r="I704" s="1">
        <f t="shared" si="70"/>
        <v>0</v>
      </c>
      <c r="J704">
        <f>IF(B704="PAL","",IFERROR(IF(C704="",VLOOKUP(B704,'General price list'!C:BA,MATCH("CBM",'General price list'!$C$20:$BA$20,0),FALSE)*D704,VLOOKUP(B704,'General price list'!C:BA,MATCH("CBM",'General price list'!$C$20:$BA$20,0),FALSE)*(G704*C704)),0))</f>
        <v>0</v>
      </c>
    </row>
    <row r="705" spans="2:10" ht="15" customHeight="1">
      <c r="B705" s="790">
        <f>IF(B704="PAL","",'General price list'!C725)</f>
        <v>0</v>
      </c>
      <c r="C705" s="1" t="str">
        <f>IF(B705="PAL","",IFERROR(VLOOKUP(B705,'General price list'!C:BA,MATCH("PAL",'General price list'!$C$20:$BA$20,0),FALSE),""))</f>
        <v/>
      </c>
      <c r="D705" s="1" t="str">
        <f>IF(B705="PAL","",IFERROR(VLOOKUP(B705,'General price list'!C:BA,MATCH("OBJ",'General price list'!$C$20:$BA$20,0),FALSE),""))</f>
        <v/>
      </c>
      <c r="E705" s="1">
        <f t="shared" si="66"/>
        <v>0</v>
      </c>
      <c r="F705" s="1">
        <f t="shared" si="67"/>
        <v>0</v>
      </c>
      <c r="G705" s="1">
        <f t="shared" si="68"/>
        <v>0</v>
      </c>
      <c r="H705" s="1">
        <f t="shared" si="69"/>
        <v>0</v>
      </c>
      <c r="I705" s="1">
        <f t="shared" si="70"/>
        <v>0</v>
      </c>
      <c r="J705">
        <f>IF(B705="PAL","",IFERROR(IF(C705="",VLOOKUP(B705,'General price list'!C:BA,MATCH("CBM",'General price list'!$C$20:$BA$20,0),FALSE)*D705,VLOOKUP(B705,'General price list'!C:BA,MATCH("CBM",'General price list'!$C$20:$BA$20,0),FALSE)*(G705*C705)),0))</f>
        <v>0</v>
      </c>
    </row>
    <row r="706" spans="2:10" ht="15" customHeight="1">
      <c r="B706" s="790" t="str">
        <f>IF(B705="PAL","",'General price list'!C726)</f>
        <v>C2463B</v>
      </c>
      <c r="C706" s="1" t="str">
        <f>IF(B706="PAL","",IFERROR(VLOOKUP(B706,'General price list'!C:BA,MATCH("PAL",'General price list'!$C$20:$BA$20,0),FALSE),""))</f>
        <v/>
      </c>
      <c r="D706" s="1">
        <f>IF(B706="PAL","",IFERROR(VLOOKUP(B706,'General price list'!C:BA,MATCH("OBJ",'General price list'!$C$20:$BA$20,0),FALSE),""))</f>
        <v>0</v>
      </c>
      <c r="E706" s="1">
        <f t="shared" si="66"/>
        <v>0</v>
      </c>
      <c r="F706" s="1">
        <f t="shared" si="67"/>
        <v>0</v>
      </c>
      <c r="G706" s="1">
        <f t="shared" si="68"/>
        <v>0</v>
      </c>
      <c r="H706" s="1">
        <f t="shared" si="69"/>
        <v>0</v>
      </c>
      <c r="I706" s="1">
        <f t="shared" si="70"/>
        <v>0</v>
      </c>
      <c r="J706">
        <f>IF(B706="PAL","",IFERROR(IF(C706="",VLOOKUP(B706,'General price list'!C:BA,MATCH("CBM",'General price list'!$C$20:$BA$20,0),FALSE)*D706,VLOOKUP(B706,'General price list'!C:BA,MATCH("CBM",'General price list'!$C$20:$BA$20,0),FALSE)*(G706*C706)),0))</f>
        <v>0</v>
      </c>
    </row>
    <row r="707" spans="2:10" ht="15" customHeight="1">
      <c r="B707" s="790">
        <f>IF(B706="PAL","",'General price list'!C727)</f>
        <v>0</v>
      </c>
      <c r="C707" s="1" t="str">
        <f>IF(B707="PAL","",IFERROR(VLOOKUP(B707,'General price list'!C:BA,MATCH("PAL",'General price list'!$C$20:$BA$20,0),FALSE),""))</f>
        <v/>
      </c>
      <c r="D707" s="1" t="str">
        <f>IF(B707="PAL","",IFERROR(VLOOKUP(B707,'General price list'!C:BA,MATCH("OBJ",'General price list'!$C$20:$BA$20,0),FALSE),""))</f>
        <v/>
      </c>
      <c r="E707" s="1">
        <f t="shared" si="66"/>
        <v>0</v>
      </c>
      <c r="F707" s="1">
        <f t="shared" si="67"/>
        <v>0</v>
      </c>
      <c r="G707" s="1">
        <f t="shared" si="68"/>
        <v>0</v>
      </c>
      <c r="H707" s="1">
        <f t="shared" si="69"/>
        <v>0</v>
      </c>
      <c r="I707" s="1">
        <f t="shared" si="70"/>
        <v>0</v>
      </c>
      <c r="J707">
        <f>IF(B707="PAL","",IFERROR(IF(C707="",VLOOKUP(B707,'General price list'!C:BA,MATCH("CBM",'General price list'!$C$20:$BA$20,0),FALSE)*D707,VLOOKUP(B707,'General price list'!C:BA,MATCH("CBM",'General price list'!$C$20:$BA$20,0),FALSE)*(G707*C707)),0))</f>
        <v>0</v>
      </c>
    </row>
    <row r="708" spans="2:10" ht="15" customHeight="1">
      <c r="B708" s="790" t="str">
        <f>IF(B707="PAL","",'General price list'!C728)</f>
        <v>C2575C</v>
      </c>
      <c r="C708" s="1" t="str">
        <f>IF(B708="PAL","",IFERROR(VLOOKUP(B708,'General price list'!C:BA,MATCH("PAL",'General price list'!$C$20:$BA$20,0),FALSE),""))</f>
        <v/>
      </c>
      <c r="D708" s="1">
        <f>IF(B708="PAL","",IFERROR(VLOOKUP(B708,'General price list'!C:BA,MATCH("OBJ",'General price list'!$C$20:$BA$20,0),FALSE),""))</f>
        <v>0</v>
      </c>
      <c r="E708" s="1">
        <f t="shared" si="66"/>
        <v>0</v>
      </c>
      <c r="F708" s="1">
        <f t="shared" si="67"/>
        <v>0</v>
      </c>
      <c r="G708" s="1">
        <f t="shared" si="68"/>
        <v>0</v>
      </c>
      <c r="H708" s="1">
        <f t="shared" si="69"/>
        <v>0</v>
      </c>
      <c r="I708" s="1">
        <f t="shared" si="70"/>
        <v>0</v>
      </c>
      <c r="J708">
        <f>IF(B708="PAL","",IFERROR(IF(C708="",VLOOKUP(B708,'General price list'!C:BA,MATCH("CBM",'General price list'!$C$20:$BA$20,0),FALSE)*D708,VLOOKUP(B708,'General price list'!C:BA,MATCH("CBM",'General price list'!$C$20:$BA$20,0),FALSE)*(G708*C708)),0))</f>
        <v>0</v>
      </c>
    </row>
    <row r="709" spans="2:10" ht="15" customHeight="1">
      <c r="B709" s="790">
        <f>IF(B708="PAL","",'General price list'!C729)</f>
        <v>0</v>
      </c>
      <c r="C709" s="1" t="str">
        <f>IF(B709="PAL","",IFERROR(VLOOKUP(B709,'General price list'!C:BA,MATCH("PAL",'General price list'!$C$20:$BA$20,0),FALSE),""))</f>
        <v/>
      </c>
      <c r="D709" s="1" t="str">
        <f>IF(B709="PAL","",IFERROR(VLOOKUP(B709,'General price list'!C:BA,MATCH("OBJ",'General price list'!$C$20:$BA$20,0),FALSE),""))</f>
        <v/>
      </c>
      <c r="E709" s="1">
        <f t="shared" si="66"/>
        <v>0</v>
      </c>
      <c r="F709" s="1">
        <f t="shared" si="67"/>
        <v>0</v>
      </c>
      <c r="G709" s="1">
        <f t="shared" si="68"/>
        <v>0</v>
      </c>
      <c r="H709" s="1">
        <f t="shared" si="69"/>
        <v>0</v>
      </c>
      <c r="I709" s="1">
        <f t="shared" si="70"/>
        <v>0</v>
      </c>
      <c r="J709">
        <f>IF(B709="PAL","",IFERROR(IF(C709="",VLOOKUP(B709,'General price list'!C:BA,MATCH("CBM",'General price list'!$C$20:$BA$20,0),FALSE)*D709,VLOOKUP(B709,'General price list'!C:BA,MATCH("CBM",'General price list'!$C$20:$BA$20,0),FALSE)*(G709*C709)),0))</f>
        <v>0</v>
      </c>
    </row>
    <row r="710" spans="2:10" ht="15" customHeight="1">
      <c r="B710" s="790">
        <f>IF(B709="PAL","",'General price list'!C730)</f>
        <v>0</v>
      </c>
      <c r="C710" s="1" t="str">
        <f>IF(B710="PAL","",IFERROR(VLOOKUP(B710,'General price list'!C:BA,MATCH("PAL",'General price list'!$C$20:$BA$20,0),FALSE),""))</f>
        <v/>
      </c>
      <c r="D710" s="1" t="str">
        <f>IF(B710="PAL","",IFERROR(VLOOKUP(B710,'General price list'!C:BA,MATCH("OBJ",'General price list'!$C$20:$BA$20,0),FALSE),""))</f>
        <v/>
      </c>
      <c r="E710" s="1">
        <f t="shared" si="66"/>
        <v>0</v>
      </c>
      <c r="F710" s="1">
        <f t="shared" si="67"/>
        <v>0</v>
      </c>
      <c r="G710" s="1">
        <f t="shared" si="68"/>
        <v>0</v>
      </c>
      <c r="H710" s="1">
        <f t="shared" si="69"/>
        <v>0</v>
      </c>
      <c r="I710" s="1">
        <f t="shared" si="70"/>
        <v>0</v>
      </c>
      <c r="J710">
        <f>IF(B710="PAL","",IFERROR(IF(C710="",VLOOKUP(B710,'General price list'!C:BA,MATCH("CBM",'General price list'!$C$20:$BA$20,0),FALSE)*D710,VLOOKUP(B710,'General price list'!C:BA,MATCH("CBM",'General price list'!$C$20:$BA$20,0),FALSE)*(G710*C710)),0))</f>
        <v>0</v>
      </c>
    </row>
    <row r="711" spans="2:10" ht="15" customHeight="1">
      <c r="B711" s="790" t="str">
        <f>IF(B710="PAL","",'General price list'!C731)</f>
        <v>C39MPT</v>
      </c>
      <c r="C711" s="1" t="str">
        <f>IF(B711="PAL","",IFERROR(VLOOKUP(B711,'General price list'!C:BA,MATCH("PAL",'General price list'!$C$20:$BA$20,0),FALSE),""))</f>
        <v/>
      </c>
      <c r="D711" s="1">
        <f>IF(B711="PAL","",IFERROR(VLOOKUP(B711,'General price list'!C:BA,MATCH("OBJ",'General price list'!$C$20:$BA$20,0),FALSE),""))</f>
        <v>0</v>
      </c>
      <c r="E711" s="1">
        <f t="shared" si="66"/>
        <v>0</v>
      </c>
      <c r="F711" s="1">
        <f t="shared" si="67"/>
        <v>0</v>
      </c>
      <c r="G711" s="1">
        <f t="shared" si="68"/>
        <v>0</v>
      </c>
      <c r="H711" s="1">
        <f t="shared" si="69"/>
        <v>0</v>
      </c>
      <c r="I711" s="1">
        <f t="shared" si="70"/>
        <v>0</v>
      </c>
      <c r="J711">
        <f>IF(B711="PAL","",IFERROR(IF(C711="",VLOOKUP(B711,'General price list'!C:BA,MATCH("CBM",'General price list'!$C$20:$BA$20,0),FALSE)*D711,VLOOKUP(B711,'General price list'!C:BA,MATCH("CBM",'General price list'!$C$20:$BA$20,0),FALSE)*(G711*C711)),0))</f>
        <v>0</v>
      </c>
    </row>
    <row r="712" spans="2:10" ht="15" customHeight="1">
      <c r="B712" s="790">
        <f>IF(B711="PAL","",'General price list'!C732)</f>
        <v>0</v>
      </c>
      <c r="C712" s="1" t="str">
        <f>IF(B712="PAL","",IFERROR(VLOOKUP(B712,'General price list'!C:BA,MATCH("PAL",'General price list'!$C$20:$BA$20,0),FALSE),""))</f>
        <v/>
      </c>
      <c r="D712" s="1" t="str">
        <f>IF(B712="PAL","",IFERROR(VLOOKUP(B712,'General price list'!C:BA,MATCH("OBJ",'General price list'!$C$20:$BA$20,0),FALSE),""))</f>
        <v/>
      </c>
      <c r="E712" s="1">
        <f t="shared" si="66"/>
        <v>0</v>
      </c>
      <c r="F712" s="1">
        <f t="shared" si="67"/>
        <v>0</v>
      </c>
      <c r="G712" s="1">
        <f t="shared" si="68"/>
        <v>0</v>
      </c>
      <c r="H712" s="1">
        <f t="shared" si="69"/>
        <v>0</v>
      </c>
      <c r="I712" s="1">
        <f t="shared" si="70"/>
        <v>0</v>
      </c>
      <c r="J712">
        <f>IF(B712="PAL","",IFERROR(IF(C712="",VLOOKUP(B712,'General price list'!C:BA,MATCH("CBM",'General price list'!$C$20:$BA$20,0),FALSE)*D712,VLOOKUP(B712,'General price list'!C:BA,MATCH("CBM",'General price list'!$C$20:$BA$20,0),FALSE)*(G712*C712)),0))</f>
        <v>0</v>
      </c>
    </row>
    <row r="713" spans="2:10" ht="15" customHeight="1">
      <c r="B713" s="790" t="str">
        <f>IF(B712="PAL","",'General price list'!C733)</f>
        <v>C46MXP</v>
      </c>
      <c r="C713" s="1" t="str">
        <f>IF(B713="PAL","",IFERROR(VLOOKUP(B713,'General price list'!C:BA,MATCH("PAL",'General price list'!$C$20:$BA$20,0),FALSE),""))</f>
        <v/>
      </c>
      <c r="D713" s="1">
        <f>IF(B713="PAL","",IFERROR(VLOOKUP(B713,'General price list'!C:BA,MATCH("OBJ",'General price list'!$C$20:$BA$20,0),FALSE),""))</f>
        <v>0</v>
      </c>
      <c r="E713" s="1">
        <f t="shared" si="66"/>
        <v>0</v>
      </c>
      <c r="F713" s="1">
        <f t="shared" si="67"/>
        <v>0</v>
      </c>
      <c r="G713" s="1">
        <f t="shared" si="68"/>
        <v>0</v>
      </c>
      <c r="H713" s="1">
        <f t="shared" si="69"/>
        <v>0</v>
      </c>
      <c r="I713" s="1">
        <f t="shared" si="70"/>
        <v>0</v>
      </c>
      <c r="J713">
        <f>IF(B713="PAL","",IFERROR(IF(C713="",VLOOKUP(B713,'General price list'!C:BA,MATCH("CBM",'General price list'!$C$20:$BA$20,0),FALSE)*D713,VLOOKUP(B713,'General price list'!C:BA,MATCH("CBM",'General price list'!$C$20:$BA$20,0),FALSE)*(G713*C713)),0))</f>
        <v>0</v>
      </c>
    </row>
    <row r="714" spans="2:10" ht="15" customHeight="1">
      <c r="B714" s="790">
        <f>IF(B713="PAL","",'General price list'!C734)</f>
        <v>0</v>
      </c>
      <c r="C714" s="1" t="str">
        <f>IF(B714="PAL","",IFERROR(VLOOKUP(B714,'General price list'!C:BA,MATCH("PAL",'General price list'!$C$20:$BA$20,0),FALSE),""))</f>
        <v/>
      </c>
      <c r="D714" s="1" t="str">
        <f>IF(B714="PAL","",IFERROR(VLOOKUP(B714,'General price list'!C:BA,MATCH("OBJ",'General price list'!$C$20:$BA$20,0),FALSE),""))</f>
        <v/>
      </c>
      <c r="E714" s="1">
        <f t="shared" si="66"/>
        <v>0</v>
      </c>
      <c r="F714" s="1">
        <f t="shared" si="67"/>
        <v>0</v>
      </c>
      <c r="G714" s="1">
        <f t="shared" si="68"/>
        <v>0</v>
      </c>
      <c r="H714" s="1">
        <f t="shared" si="69"/>
        <v>0</v>
      </c>
      <c r="I714" s="1">
        <f t="shared" si="70"/>
        <v>0</v>
      </c>
      <c r="J714">
        <f>IF(B714="PAL","",IFERROR(IF(C714="",VLOOKUP(B714,'General price list'!C:BA,MATCH("CBM",'General price list'!$C$20:$BA$20,0),FALSE)*D714,VLOOKUP(B714,'General price list'!C:BA,MATCH("CBM",'General price list'!$C$20:$BA$20,0),FALSE)*(G714*C714)),0))</f>
        <v>0</v>
      </c>
    </row>
    <row r="715" spans="2:10" ht="15" customHeight="1">
      <c r="B715" s="790" t="str">
        <f>IF(B714="PAL","",'General price list'!C735)</f>
        <v>C48XMF14</v>
      </c>
      <c r="C715" s="1" t="str">
        <f>IF(B715="PAL","",IFERROR(VLOOKUP(B715,'General price list'!C:BA,MATCH("PAL",'General price list'!$C$20:$BA$20,0),FALSE),""))</f>
        <v/>
      </c>
      <c r="D715" s="1">
        <f>IF(B715="PAL","",IFERROR(VLOOKUP(B715,'General price list'!C:BA,MATCH("OBJ",'General price list'!$C$20:$BA$20,0),FALSE),""))</f>
        <v>0</v>
      </c>
      <c r="E715" s="1">
        <f t="shared" si="66"/>
        <v>0</v>
      </c>
      <c r="F715" s="1">
        <f t="shared" si="67"/>
        <v>0</v>
      </c>
      <c r="G715" s="1">
        <f t="shared" si="68"/>
        <v>0</v>
      </c>
      <c r="H715" s="1">
        <f t="shared" si="69"/>
        <v>0</v>
      </c>
      <c r="I715" s="1">
        <f t="shared" si="70"/>
        <v>0</v>
      </c>
      <c r="J715">
        <f>IF(B715="PAL","",IFERROR(IF(C715="",VLOOKUP(B715,'General price list'!C:BA,MATCH("CBM",'General price list'!$C$20:$BA$20,0),FALSE)*D715,VLOOKUP(B715,'General price list'!C:BA,MATCH("CBM",'General price list'!$C$20:$BA$20,0),FALSE)*(G715*C715)),0))</f>
        <v>0</v>
      </c>
    </row>
    <row r="716" spans="2:10" ht="15" customHeight="1">
      <c r="B716" s="790">
        <f>IF(B715="PAL","",'General price list'!C736)</f>
        <v>0</v>
      </c>
      <c r="C716" s="1" t="str">
        <f>IF(B716="PAL","",IFERROR(VLOOKUP(B716,'General price list'!C:BA,MATCH("PAL",'General price list'!$C$20:$BA$20,0),FALSE),""))</f>
        <v/>
      </c>
      <c r="D716" s="1" t="str">
        <f>IF(B716="PAL","",IFERROR(VLOOKUP(B716,'General price list'!C:BA,MATCH("OBJ",'General price list'!$C$20:$BA$20,0),FALSE),""))</f>
        <v/>
      </c>
      <c r="E716" s="1">
        <f t="shared" ref="E716:E779" si="71">IF(B716="PAL","",IFERROR(D716/C716,0))</f>
        <v>0</v>
      </c>
      <c r="F716" s="1">
        <f t="shared" ref="F716:F779" si="72">IF(B716="PAL","",IFERROR(FLOOR(IF(E716-1&lt;0,0,E716),1),0))</f>
        <v>0</v>
      </c>
      <c r="G716" s="1">
        <f t="shared" ref="G716:G779" si="73">IF(B716="PAL","",IFERROR(IF(H716&gt;E716,F716-E716,E716-F716),0))</f>
        <v>0</v>
      </c>
      <c r="H716" s="1">
        <f t="shared" ref="H716:H779" si="74">IF(B716="PAL","",IFERROR(IF(E716=0,0,F716),0))</f>
        <v>0</v>
      </c>
      <c r="I716" s="1">
        <f t="shared" ref="I716:I779" si="75">IF(B716="PAL","",IFERROR(IF(D716=0,0,IF(F716=0,(D716*nextVK)+(prvniVK-nextVK),(G716*C716*nextVK)+(F716*PALzKoje))),0))</f>
        <v>0</v>
      </c>
      <c r="J716">
        <f>IF(B716="PAL","",IFERROR(IF(C716="",VLOOKUP(B716,'General price list'!C:BA,MATCH("CBM",'General price list'!$C$20:$BA$20,0),FALSE)*D716,VLOOKUP(B716,'General price list'!C:BA,MATCH("CBM",'General price list'!$C$20:$BA$20,0),FALSE)*(G716*C716)),0))</f>
        <v>0</v>
      </c>
    </row>
    <row r="717" spans="2:10" ht="15" customHeight="1">
      <c r="B717" s="790" t="str">
        <f>IF(B716="PAL","",'General price list'!C737)</f>
        <v>C50MO</v>
      </c>
      <c r="C717" s="1" t="str">
        <f>IF(B717="PAL","",IFERROR(VLOOKUP(B717,'General price list'!C:BA,MATCH("PAL",'General price list'!$C$20:$BA$20,0),FALSE),""))</f>
        <v/>
      </c>
      <c r="D717" s="1">
        <f>IF(B717="PAL","",IFERROR(VLOOKUP(B717,'General price list'!C:BA,MATCH("OBJ",'General price list'!$C$20:$BA$20,0),FALSE),""))</f>
        <v>0</v>
      </c>
      <c r="E717" s="1">
        <f t="shared" si="71"/>
        <v>0</v>
      </c>
      <c r="F717" s="1">
        <f t="shared" si="72"/>
        <v>0</v>
      </c>
      <c r="G717" s="1">
        <f t="shared" si="73"/>
        <v>0</v>
      </c>
      <c r="H717" s="1">
        <f t="shared" si="74"/>
        <v>0</v>
      </c>
      <c r="I717" s="1">
        <f t="shared" si="75"/>
        <v>0</v>
      </c>
      <c r="J717">
        <f>IF(B717="PAL","",IFERROR(IF(C717="",VLOOKUP(B717,'General price list'!C:BA,MATCH("CBM",'General price list'!$C$20:$BA$20,0),FALSE)*D717,VLOOKUP(B717,'General price list'!C:BA,MATCH("CBM",'General price list'!$C$20:$BA$20,0),FALSE)*(G717*C717)),0))</f>
        <v>0</v>
      </c>
    </row>
    <row r="718" spans="2:10" ht="15" customHeight="1">
      <c r="B718" s="790" t="str">
        <f>IF(B717="PAL","",'General price list'!C738)</f>
        <v>C50MCH</v>
      </c>
      <c r="C718" s="1" t="str">
        <f>IF(B718="PAL","",IFERROR(VLOOKUP(B718,'General price list'!C:BA,MATCH("PAL",'General price list'!$C$20:$BA$20,0),FALSE),""))</f>
        <v/>
      </c>
      <c r="D718" s="1">
        <f>IF(B718="PAL","",IFERROR(VLOOKUP(B718,'General price list'!C:BA,MATCH("OBJ",'General price list'!$C$20:$BA$20,0),FALSE),""))</f>
        <v>0</v>
      </c>
      <c r="E718" s="1">
        <f t="shared" si="71"/>
        <v>0</v>
      </c>
      <c r="F718" s="1">
        <f t="shared" si="72"/>
        <v>0</v>
      </c>
      <c r="G718" s="1">
        <f t="shared" si="73"/>
        <v>0</v>
      </c>
      <c r="H718" s="1">
        <f t="shared" si="74"/>
        <v>0</v>
      </c>
      <c r="I718" s="1">
        <f t="shared" si="75"/>
        <v>0</v>
      </c>
      <c r="J718">
        <f>IF(B718="PAL","",IFERROR(IF(C718="",VLOOKUP(B718,'General price list'!C:BA,MATCH("CBM",'General price list'!$C$20:$BA$20,0),FALSE)*D718,VLOOKUP(B718,'General price list'!C:BA,MATCH("CBM",'General price list'!$C$20:$BA$20,0),FALSE)*(G718*C718)),0))</f>
        <v>0</v>
      </c>
    </row>
    <row r="719" spans="2:10" ht="15" customHeight="1">
      <c r="B719" s="790">
        <f>IF(B718="PAL","",'General price list'!C739)</f>
        <v>0</v>
      </c>
      <c r="C719" s="1" t="str">
        <f>IF(B719="PAL","",IFERROR(VLOOKUP(B719,'General price list'!C:BA,MATCH("PAL",'General price list'!$C$20:$BA$20,0),FALSE),""))</f>
        <v/>
      </c>
      <c r="D719" s="1" t="str">
        <f>IF(B719="PAL","",IFERROR(VLOOKUP(B719,'General price list'!C:BA,MATCH("OBJ",'General price list'!$C$20:$BA$20,0),FALSE),""))</f>
        <v/>
      </c>
      <c r="E719" s="1">
        <f t="shared" si="71"/>
        <v>0</v>
      </c>
      <c r="F719" s="1">
        <f t="shared" si="72"/>
        <v>0</v>
      </c>
      <c r="G719" s="1">
        <f t="shared" si="73"/>
        <v>0</v>
      </c>
      <c r="H719" s="1">
        <f t="shared" si="74"/>
        <v>0</v>
      </c>
      <c r="I719" s="1">
        <f t="shared" si="75"/>
        <v>0</v>
      </c>
      <c r="J719">
        <f>IF(B719="PAL","",IFERROR(IF(C719="",VLOOKUP(B719,'General price list'!C:BA,MATCH("CBM",'General price list'!$C$20:$BA$20,0),FALSE)*D719,VLOOKUP(B719,'General price list'!C:BA,MATCH("CBM",'General price list'!$C$20:$BA$20,0),FALSE)*(G719*C719)),0))</f>
        <v>0</v>
      </c>
    </row>
    <row r="720" spans="2:10" ht="15" customHeight="1">
      <c r="B720" s="790" t="str">
        <f>IF(B719="PAL","",'General price list'!C740)</f>
        <v>C64MT</v>
      </c>
      <c r="C720" s="1" t="str">
        <f>IF(B720="PAL","",IFERROR(VLOOKUP(B720,'General price list'!C:BA,MATCH("PAL",'General price list'!$C$20:$BA$20,0),FALSE),""))</f>
        <v/>
      </c>
      <c r="D720" s="1">
        <f>IF(B720="PAL","",IFERROR(VLOOKUP(B720,'General price list'!C:BA,MATCH("OBJ",'General price list'!$C$20:$BA$20,0),FALSE),""))</f>
        <v>0</v>
      </c>
      <c r="E720" s="1">
        <f t="shared" si="71"/>
        <v>0</v>
      </c>
      <c r="F720" s="1">
        <f t="shared" si="72"/>
        <v>0</v>
      </c>
      <c r="G720" s="1">
        <f t="shared" si="73"/>
        <v>0</v>
      </c>
      <c r="H720" s="1">
        <f t="shared" si="74"/>
        <v>0</v>
      </c>
      <c r="I720" s="1">
        <f t="shared" si="75"/>
        <v>0</v>
      </c>
      <c r="J720">
        <f>IF(B720="PAL","",IFERROR(IF(C720="",VLOOKUP(B720,'General price list'!C:BA,MATCH("CBM",'General price list'!$C$20:$BA$20,0),FALSE)*D720,VLOOKUP(B720,'General price list'!C:BA,MATCH("CBM",'General price list'!$C$20:$BA$20,0),FALSE)*(G720*C720)),0))</f>
        <v>0</v>
      </c>
    </row>
    <row r="721" spans="2:10" ht="15" customHeight="1">
      <c r="B721" s="790" t="str">
        <f>IF(B720="PAL","",'General price list'!C741)</f>
        <v>C64MP</v>
      </c>
      <c r="C721" s="1" t="str">
        <f>IF(B721="PAL","",IFERROR(VLOOKUP(B721,'General price list'!C:BA,MATCH("PAL",'General price list'!$C$20:$BA$20,0),FALSE),""))</f>
        <v/>
      </c>
      <c r="D721" s="1">
        <f>IF(B721="PAL","",IFERROR(VLOOKUP(B721,'General price list'!C:BA,MATCH("OBJ",'General price list'!$C$20:$BA$20,0),FALSE),""))</f>
        <v>0</v>
      </c>
      <c r="E721" s="1">
        <f t="shared" si="71"/>
        <v>0</v>
      </c>
      <c r="F721" s="1">
        <f t="shared" si="72"/>
        <v>0</v>
      </c>
      <c r="G721" s="1">
        <f t="shared" si="73"/>
        <v>0</v>
      </c>
      <c r="H721" s="1">
        <f t="shared" si="74"/>
        <v>0</v>
      </c>
      <c r="I721" s="1">
        <f t="shared" si="75"/>
        <v>0</v>
      </c>
      <c r="J721">
        <f>IF(B721="PAL","",IFERROR(IF(C721="",VLOOKUP(B721,'General price list'!C:BA,MATCH("CBM",'General price list'!$C$20:$BA$20,0),FALSE)*D721,VLOOKUP(B721,'General price list'!C:BA,MATCH("CBM",'General price list'!$C$20:$BA$20,0),FALSE)*(G721*C721)),0))</f>
        <v>0</v>
      </c>
    </row>
    <row r="722" spans="2:10" ht="15" customHeight="1">
      <c r="B722" s="790">
        <f>IF(B721="PAL","",'General price list'!C742)</f>
        <v>0</v>
      </c>
      <c r="C722" s="1" t="str">
        <f>IF(B722="PAL","",IFERROR(VLOOKUP(B722,'General price list'!C:BA,MATCH("PAL",'General price list'!$C$20:$BA$20,0),FALSE),""))</f>
        <v/>
      </c>
      <c r="D722" s="1" t="str">
        <f>IF(B722="PAL","",IFERROR(VLOOKUP(B722,'General price list'!C:BA,MATCH("OBJ",'General price list'!$C$20:$BA$20,0),FALSE),""))</f>
        <v/>
      </c>
      <c r="E722" s="1">
        <f t="shared" si="71"/>
        <v>0</v>
      </c>
      <c r="F722" s="1">
        <f t="shared" si="72"/>
        <v>0</v>
      </c>
      <c r="G722" s="1">
        <f t="shared" si="73"/>
        <v>0</v>
      </c>
      <c r="H722" s="1">
        <f t="shared" si="74"/>
        <v>0</v>
      </c>
      <c r="I722" s="1">
        <f t="shared" si="75"/>
        <v>0</v>
      </c>
      <c r="J722">
        <f>IF(B722="PAL","",IFERROR(IF(C722="",VLOOKUP(B722,'General price list'!C:BA,MATCH("CBM",'General price list'!$C$20:$BA$20,0),FALSE)*D722,VLOOKUP(B722,'General price list'!C:BA,MATCH("CBM",'General price list'!$C$20:$BA$20,0),FALSE)*(G722*C722)),0))</f>
        <v>0</v>
      </c>
    </row>
    <row r="723" spans="2:10" ht="15" customHeight="1">
      <c r="B723" s="790" t="str">
        <f>IF(B722="PAL","",'General price list'!C743)</f>
        <v>C68XMPT</v>
      </c>
      <c r="C723" s="1" t="str">
        <f>IF(B723="PAL","",IFERROR(VLOOKUP(B723,'General price list'!C:BA,MATCH("PAL",'General price list'!$C$20:$BA$20,0),FALSE),""))</f>
        <v/>
      </c>
      <c r="D723" s="1">
        <f>IF(B723="PAL","",IFERROR(VLOOKUP(B723,'General price list'!C:BA,MATCH("OBJ",'General price list'!$C$20:$BA$20,0),FALSE),""))</f>
        <v>0</v>
      </c>
      <c r="E723" s="1">
        <f t="shared" si="71"/>
        <v>0</v>
      </c>
      <c r="F723" s="1">
        <f t="shared" si="72"/>
        <v>0</v>
      </c>
      <c r="G723" s="1">
        <f t="shared" si="73"/>
        <v>0</v>
      </c>
      <c r="H723" s="1">
        <f t="shared" si="74"/>
        <v>0</v>
      </c>
      <c r="I723" s="1">
        <f t="shared" si="75"/>
        <v>0</v>
      </c>
      <c r="J723">
        <f>IF(B723="PAL","",IFERROR(IF(C723="",VLOOKUP(B723,'General price list'!C:BA,MATCH("CBM",'General price list'!$C$20:$BA$20,0),FALSE)*D723,VLOOKUP(B723,'General price list'!C:BA,MATCH("CBM",'General price list'!$C$20:$BA$20,0),FALSE)*(G723*C723)),0))</f>
        <v>0</v>
      </c>
    </row>
    <row r="724" spans="2:10" ht="15" customHeight="1">
      <c r="B724" s="790">
        <f>IF(B723="PAL","",'General price list'!C744)</f>
        <v>0</v>
      </c>
      <c r="C724" s="1" t="str">
        <f>IF(B724="PAL","",IFERROR(VLOOKUP(B724,'General price list'!C:BA,MATCH("PAL",'General price list'!$C$20:$BA$20,0),FALSE),""))</f>
        <v/>
      </c>
      <c r="D724" s="1" t="str">
        <f>IF(B724="PAL","",IFERROR(VLOOKUP(B724,'General price list'!C:BA,MATCH("OBJ",'General price list'!$C$20:$BA$20,0),FALSE),""))</f>
        <v/>
      </c>
      <c r="E724" s="1">
        <f t="shared" si="71"/>
        <v>0</v>
      </c>
      <c r="F724" s="1">
        <f t="shared" si="72"/>
        <v>0</v>
      </c>
      <c r="G724" s="1">
        <f t="shared" si="73"/>
        <v>0</v>
      </c>
      <c r="H724" s="1">
        <f t="shared" si="74"/>
        <v>0</v>
      </c>
      <c r="I724" s="1">
        <f t="shared" si="75"/>
        <v>0</v>
      </c>
      <c r="J724">
        <f>IF(B724="PAL","",IFERROR(IF(C724="",VLOOKUP(B724,'General price list'!C:BA,MATCH("CBM",'General price list'!$C$20:$BA$20,0),FALSE)*D724,VLOOKUP(B724,'General price list'!C:BA,MATCH("CBM",'General price list'!$C$20:$BA$20,0),FALSE)*(G724*C724)),0))</f>
        <v>0</v>
      </c>
    </row>
    <row r="725" spans="2:10" ht="15" customHeight="1">
      <c r="B725" s="790" t="str">
        <f>IF(B724="PAL","",'General price list'!C745)</f>
        <v>C68XMPT14</v>
      </c>
      <c r="C725" s="1" t="str">
        <f>IF(B725="PAL","",IFERROR(VLOOKUP(B725,'General price list'!C:BA,MATCH("PAL",'General price list'!$C$20:$BA$20,0),FALSE),""))</f>
        <v/>
      </c>
      <c r="D725" s="1">
        <f>IF(B725="PAL","",IFERROR(VLOOKUP(B725,'General price list'!C:BA,MATCH("OBJ",'General price list'!$C$20:$BA$20,0),FALSE),""))</f>
        <v>0</v>
      </c>
      <c r="E725" s="1">
        <f t="shared" si="71"/>
        <v>0</v>
      </c>
      <c r="F725" s="1">
        <f t="shared" si="72"/>
        <v>0</v>
      </c>
      <c r="G725" s="1">
        <f t="shared" si="73"/>
        <v>0</v>
      </c>
      <c r="H725" s="1">
        <f t="shared" si="74"/>
        <v>0</v>
      </c>
      <c r="I725" s="1">
        <f t="shared" si="75"/>
        <v>0</v>
      </c>
      <c r="J725">
        <f>IF(B725="PAL","",IFERROR(IF(C725="",VLOOKUP(B725,'General price list'!C:BA,MATCH("CBM",'General price list'!$C$20:$BA$20,0),FALSE)*D725,VLOOKUP(B725,'General price list'!C:BA,MATCH("CBM",'General price list'!$C$20:$BA$20,0),FALSE)*(G725*C725)),0))</f>
        <v>0</v>
      </c>
    </row>
    <row r="726" spans="2:10" ht="15" customHeight="1">
      <c r="B726" s="790">
        <f>IF(B725="PAL","",'General price list'!C746)</f>
        <v>0</v>
      </c>
      <c r="C726" s="1" t="str">
        <f>IF(B726="PAL","",IFERROR(VLOOKUP(B726,'General price list'!C:BA,MATCH("PAL",'General price list'!$C$20:$BA$20,0),FALSE),""))</f>
        <v/>
      </c>
      <c r="D726" s="1" t="str">
        <f>IF(B726="PAL","",IFERROR(VLOOKUP(B726,'General price list'!C:BA,MATCH("OBJ",'General price list'!$C$20:$BA$20,0),FALSE),""))</f>
        <v/>
      </c>
      <c r="E726" s="1">
        <f t="shared" si="71"/>
        <v>0</v>
      </c>
      <c r="F726" s="1">
        <f t="shared" si="72"/>
        <v>0</v>
      </c>
      <c r="G726" s="1">
        <f t="shared" si="73"/>
        <v>0</v>
      </c>
      <c r="H726" s="1">
        <f t="shared" si="74"/>
        <v>0</v>
      </c>
      <c r="I726" s="1">
        <f t="shared" si="75"/>
        <v>0</v>
      </c>
      <c r="J726">
        <f>IF(B726="PAL","",IFERROR(IF(C726="",VLOOKUP(B726,'General price list'!C:BA,MATCH("CBM",'General price list'!$C$20:$BA$20,0),FALSE)*D726,VLOOKUP(B726,'General price list'!C:BA,MATCH("CBM",'General price list'!$C$20:$BA$20,0),FALSE)*(G726*C726)),0))</f>
        <v>0</v>
      </c>
    </row>
    <row r="727" spans="2:10" ht="15" customHeight="1">
      <c r="B727" s="790" t="str">
        <f>IF(B726="PAL","",'General price list'!C747)</f>
        <v>C77MXR14</v>
      </c>
      <c r="C727" s="1" t="str">
        <f>IF(B727="PAL","",IFERROR(VLOOKUP(B727,'General price list'!C:BA,MATCH("PAL",'General price list'!$C$20:$BA$20,0),FALSE),""))</f>
        <v/>
      </c>
      <c r="D727" s="1">
        <f>IF(B727="PAL","",IFERROR(VLOOKUP(B727,'General price list'!C:BA,MATCH("OBJ",'General price list'!$C$20:$BA$20,0),FALSE),""))</f>
        <v>0</v>
      </c>
      <c r="E727" s="1">
        <f t="shared" si="71"/>
        <v>0</v>
      </c>
      <c r="F727" s="1">
        <f t="shared" si="72"/>
        <v>0</v>
      </c>
      <c r="G727" s="1">
        <f t="shared" si="73"/>
        <v>0</v>
      </c>
      <c r="H727" s="1">
        <f t="shared" si="74"/>
        <v>0</v>
      </c>
      <c r="I727" s="1">
        <f t="shared" si="75"/>
        <v>0</v>
      </c>
      <c r="J727">
        <f>IF(B727="PAL","",IFERROR(IF(C727="",VLOOKUP(B727,'General price list'!C:BA,MATCH("CBM",'General price list'!$C$20:$BA$20,0),FALSE)*D727,VLOOKUP(B727,'General price list'!C:BA,MATCH("CBM",'General price list'!$C$20:$BA$20,0),FALSE)*(G727*C727)),0))</f>
        <v>0</v>
      </c>
    </row>
    <row r="728" spans="2:10" ht="15" customHeight="1">
      <c r="B728" s="790">
        <f>IF(B727="PAL","",'General price list'!C748)</f>
        <v>0</v>
      </c>
      <c r="C728" s="1" t="str">
        <f>IF(B728="PAL","",IFERROR(VLOOKUP(B728,'General price list'!C:BA,MATCH("PAL",'General price list'!$C$20:$BA$20,0),FALSE),""))</f>
        <v/>
      </c>
      <c r="D728" s="1" t="str">
        <f>IF(B728="PAL","",IFERROR(VLOOKUP(B728,'General price list'!C:BA,MATCH("OBJ",'General price list'!$C$20:$BA$20,0),FALSE),""))</f>
        <v/>
      </c>
      <c r="E728" s="1">
        <f t="shared" si="71"/>
        <v>0</v>
      </c>
      <c r="F728" s="1">
        <f t="shared" si="72"/>
        <v>0</v>
      </c>
      <c r="G728" s="1">
        <f t="shared" si="73"/>
        <v>0</v>
      </c>
      <c r="H728" s="1">
        <f t="shared" si="74"/>
        <v>0</v>
      </c>
      <c r="I728" s="1">
        <f t="shared" si="75"/>
        <v>0</v>
      </c>
      <c r="J728">
        <f>IF(B728="PAL","",IFERROR(IF(C728="",VLOOKUP(B728,'General price list'!C:BA,MATCH("CBM",'General price list'!$C$20:$BA$20,0),FALSE)*D728,VLOOKUP(B728,'General price list'!C:BA,MATCH("CBM",'General price list'!$C$20:$BA$20,0),FALSE)*(G728*C728)),0))</f>
        <v>0</v>
      </c>
    </row>
    <row r="729" spans="2:10" ht="15" customHeight="1">
      <c r="B729" s="790" t="str">
        <f>IF(B728="PAL","",'General price list'!C749)</f>
        <v>C100MXS14</v>
      </c>
      <c r="C729" s="1" t="str">
        <f>IF(B729="PAL","",IFERROR(VLOOKUP(B729,'General price list'!C:BA,MATCH("PAL",'General price list'!$C$20:$BA$20,0),FALSE),""))</f>
        <v/>
      </c>
      <c r="D729" s="1">
        <f>IF(B729="PAL","",IFERROR(VLOOKUP(B729,'General price list'!C:BA,MATCH("OBJ",'General price list'!$C$20:$BA$20,0),FALSE),""))</f>
        <v>0</v>
      </c>
      <c r="E729" s="1">
        <f t="shared" si="71"/>
        <v>0</v>
      </c>
      <c r="F729" s="1">
        <f t="shared" si="72"/>
        <v>0</v>
      </c>
      <c r="G729" s="1">
        <f t="shared" si="73"/>
        <v>0</v>
      </c>
      <c r="H729" s="1">
        <f t="shared" si="74"/>
        <v>0</v>
      </c>
      <c r="I729" s="1">
        <f t="shared" si="75"/>
        <v>0</v>
      </c>
      <c r="J729">
        <f>IF(B729="PAL","",IFERROR(IF(C729="",VLOOKUP(B729,'General price list'!C:BA,MATCH("CBM",'General price list'!$C$20:$BA$20,0),FALSE)*D729,VLOOKUP(B729,'General price list'!C:BA,MATCH("CBM",'General price list'!$C$20:$BA$20,0),FALSE)*(G729*C729)),0))</f>
        <v>0</v>
      </c>
    </row>
    <row r="730" spans="2:10" ht="15" customHeight="1">
      <c r="B730" s="790">
        <f>IF(B729="PAL","",'General price list'!C750)</f>
        <v>0</v>
      </c>
      <c r="C730" s="1" t="str">
        <f>IF(B730="PAL","",IFERROR(VLOOKUP(B730,'General price list'!C:BA,MATCH("PAL",'General price list'!$C$20:$BA$20,0),FALSE),""))</f>
        <v/>
      </c>
      <c r="D730" s="1" t="str">
        <f>IF(B730="PAL","",IFERROR(VLOOKUP(B730,'General price list'!C:BA,MATCH("OBJ",'General price list'!$C$20:$BA$20,0),FALSE),""))</f>
        <v/>
      </c>
      <c r="E730" s="1">
        <f t="shared" si="71"/>
        <v>0</v>
      </c>
      <c r="F730" s="1">
        <f t="shared" si="72"/>
        <v>0</v>
      </c>
      <c r="G730" s="1">
        <f t="shared" si="73"/>
        <v>0</v>
      </c>
      <c r="H730" s="1">
        <f t="shared" si="74"/>
        <v>0</v>
      </c>
      <c r="I730" s="1">
        <f t="shared" si="75"/>
        <v>0</v>
      </c>
      <c r="J730">
        <f>IF(B730="PAL","",IFERROR(IF(C730="",VLOOKUP(B730,'General price list'!C:BA,MATCH("CBM",'General price list'!$C$20:$BA$20,0),FALSE)*D730,VLOOKUP(B730,'General price list'!C:BA,MATCH("CBM",'General price list'!$C$20:$BA$20,0),FALSE)*(G730*C730)),0))</f>
        <v>0</v>
      </c>
    </row>
    <row r="731" spans="2:10" ht="15" customHeight="1">
      <c r="B731" s="790" t="str">
        <f>IF(B730="PAL","",'General price list'!C751)</f>
        <v>C148MXP14</v>
      </c>
      <c r="C731" s="1" t="str">
        <f>IF(B731="PAL","",IFERROR(VLOOKUP(B731,'General price list'!C:BA,MATCH("PAL",'General price list'!$C$20:$BA$20,0),FALSE),""))</f>
        <v/>
      </c>
      <c r="D731" s="1">
        <f>IF(B731="PAL","",IFERROR(VLOOKUP(B731,'General price list'!C:BA,MATCH("OBJ",'General price list'!$C$20:$BA$20,0),FALSE),""))</f>
        <v>0</v>
      </c>
      <c r="E731" s="1">
        <f t="shared" si="71"/>
        <v>0</v>
      </c>
      <c r="F731" s="1">
        <f t="shared" si="72"/>
        <v>0</v>
      </c>
      <c r="G731" s="1">
        <f t="shared" si="73"/>
        <v>0</v>
      </c>
      <c r="H731" s="1">
        <f t="shared" si="74"/>
        <v>0</v>
      </c>
      <c r="I731" s="1">
        <f t="shared" si="75"/>
        <v>0</v>
      </c>
      <c r="J731">
        <f>IF(B731="PAL","",IFERROR(IF(C731="",VLOOKUP(B731,'General price list'!C:BA,MATCH("CBM",'General price list'!$C$20:$BA$20,0),FALSE)*D731,VLOOKUP(B731,'General price list'!C:BA,MATCH("CBM",'General price list'!$C$20:$BA$20,0),FALSE)*(G731*C731)),0))</f>
        <v>0</v>
      </c>
    </row>
    <row r="732" spans="2:10" ht="15" customHeight="1">
      <c r="B732" s="790">
        <f>IF(B731="PAL","",'General price list'!C752)</f>
        <v>0</v>
      </c>
      <c r="C732" s="1" t="str">
        <f>IF(B732="PAL","",IFERROR(VLOOKUP(B732,'General price list'!C:BA,MATCH("PAL",'General price list'!$C$20:$BA$20,0),FALSE),""))</f>
        <v/>
      </c>
      <c r="D732" s="1" t="str">
        <f>IF(B732="PAL","",IFERROR(VLOOKUP(B732,'General price list'!C:BA,MATCH("OBJ",'General price list'!$C$20:$BA$20,0),FALSE),""))</f>
        <v/>
      </c>
      <c r="E732" s="1">
        <f t="shared" si="71"/>
        <v>0</v>
      </c>
      <c r="F732" s="1">
        <f t="shared" si="72"/>
        <v>0</v>
      </c>
      <c r="G732" s="1">
        <f t="shared" si="73"/>
        <v>0</v>
      </c>
      <c r="H732" s="1">
        <f t="shared" si="74"/>
        <v>0</v>
      </c>
      <c r="I732" s="1">
        <f t="shared" si="75"/>
        <v>0</v>
      </c>
      <c r="J732">
        <f>IF(B732="PAL","",IFERROR(IF(C732="",VLOOKUP(B732,'General price list'!C:BA,MATCH("CBM",'General price list'!$C$20:$BA$20,0),FALSE)*D732,VLOOKUP(B732,'General price list'!C:BA,MATCH("CBM",'General price list'!$C$20:$BA$20,0),FALSE)*(G732*C732)),0))</f>
        <v>0</v>
      </c>
    </row>
    <row r="733" spans="2:10" ht="15" customHeight="1">
      <c r="B733" s="790" t="str">
        <f>IF(B732="PAL","",'General price list'!C753)</f>
        <v>C165MXV14</v>
      </c>
      <c r="C733" s="1" t="str">
        <f>IF(B733="PAL","",IFERROR(VLOOKUP(B733,'General price list'!C:BA,MATCH("PAL",'General price list'!$C$20:$BA$20,0),FALSE),""))</f>
        <v/>
      </c>
      <c r="D733" s="1">
        <f>IF(B733="PAL","",IFERROR(VLOOKUP(B733,'General price list'!C:BA,MATCH("OBJ",'General price list'!$C$20:$BA$20,0),FALSE),""))</f>
        <v>0</v>
      </c>
      <c r="E733" s="1">
        <f t="shared" si="71"/>
        <v>0</v>
      </c>
      <c r="F733" s="1">
        <f t="shared" si="72"/>
        <v>0</v>
      </c>
      <c r="G733" s="1">
        <f t="shared" si="73"/>
        <v>0</v>
      </c>
      <c r="H733" s="1">
        <f t="shared" si="74"/>
        <v>0</v>
      </c>
      <c r="I733" s="1">
        <f t="shared" si="75"/>
        <v>0</v>
      </c>
      <c r="J733">
        <f>IF(B733="PAL","",IFERROR(IF(C733="",VLOOKUP(B733,'General price list'!C:BA,MATCH("CBM",'General price list'!$C$20:$BA$20,0),FALSE)*D733,VLOOKUP(B733,'General price list'!C:BA,MATCH("CBM",'General price list'!$C$20:$BA$20,0),FALSE)*(G733*C733)),0))</f>
        <v>0</v>
      </c>
    </row>
    <row r="734" spans="2:10" ht="15" customHeight="1">
      <c r="B734" s="790">
        <f>IF(B733="PAL","",'General price list'!C754)</f>
        <v>0</v>
      </c>
      <c r="C734" s="1" t="str">
        <f>IF(B734="PAL","",IFERROR(VLOOKUP(B734,'General price list'!C:BA,MATCH("PAL",'General price list'!$C$20:$BA$20,0),FALSE),""))</f>
        <v/>
      </c>
      <c r="D734" s="1" t="str">
        <f>IF(B734="PAL","",IFERROR(VLOOKUP(B734,'General price list'!C:BA,MATCH("OBJ",'General price list'!$C$20:$BA$20,0),FALSE),""))</f>
        <v/>
      </c>
      <c r="E734" s="1">
        <f t="shared" si="71"/>
        <v>0</v>
      </c>
      <c r="F734" s="1">
        <f t="shared" si="72"/>
        <v>0</v>
      </c>
      <c r="G734" s="1">
        <f t="shared" si="73"/>
        <v>0</v>
      </c>
      <c r="H734" s="1">
        <f t="shared" si="74"/>
        <v>0</v>
      </c>
      <c r="I734" s="1">
        <f t="shared" si="75"/>
        <v>0</v>
      </c>
      <c r="J734">
        <f>IF(B734="PAL","",IFERROR(IF(C734="",VLOOKUP(B734,'General price list'!C:BA,MATCH("CBM",'General price list'!$C$20:$BA$20,0),FALSE)*D734,VLOOKUP(B734,'General price list'!C:BA,MATCH("CBM",'General price list'!$C$20:$BA$20,0),FALSE)*(G734*C734)),0))</f>
        <v>0</v>
      </c>
    </row>
    <row r="735" spans="2:10" ht="15" customHeight="1">
      <c r="B735" s="790" t="str">
        <f>IF(B734="PAL","",'General price list'!C755)</f>
        <v>C170MXR14</v>
      </c>
      <c r="C735" s="1" t="str">
        <f>IF(B735="PAL","",IFERROR(VLOOKUP(B735,'General price list'!C:BA,MATCH("PAL",'General price list'!$C$20:$BA$20,0),FALSE),""))</f>
        <v/>
      </c>
      <c r="D735" s="1">
        <f>IF(B735="PAL","",IFERROR(VLOOKUP(B735,'General price list'!C:BA,MATCH("OBJ",'General price list'!$C$20:$BA$20,0),FALSE),""))</f>
        <v>0</v>
      </c>
      <c r="E735" s="1">
        <f t="shared" si="71"/>
        <v>0</v>
      </c>
      <c r="F735" s="1">
        <f t="shared" si="72"/>
        <v>0</v>
      </c>
      <c r="G735" s="1">
        <f t="shared" si="73"/>
        <v>0</v>
      </c>
      <c r="H735" s="1">
        <f t="shared" si="74"/>
        <v>0</v>
      </c>
      <c r="I735" s="1">
        <f t="shared" si="75"/>
        <v>0</v>
      </c>
      <c r="J735">
        <f>IF(B735="PAL","",IFERROR(IF(C735="",VLOOKUP(B735,'General price list'!C:BA,MATCH("CBM",'General price list'!$C$20:$BA$20,0),FALSE)*D735,VLOOKUP(B735,'General price list'!C:BA,MATCH("CBM",'General price list'!$C$20:$BA$20,0),FALSE)*(G735*C735)),0))</f>
        <v>0</v>
      </c>
    </row>
    <row r="736" spans="2:10" ht="15" customHeight="1">
      <c r="B736" s="790">
        <f>IF(B735="PAL","",'General price list'!C756)</f>
        <v>0</v>
      </c>
      <c r="C736" s="1" t="str">
        <f>IF(B736="PAL","",IFERROR(VLOOKUP(B736,'General price list'!C:BA,MATCH("PAL",'General price list'!$C$20:$BA$20,0),FALSE),""))</f>
        <v/>
      </c>
      <c r="D736" s="1" t="str">
        <f>IF(B736="PAL","",IFERROR(VLOOKUP(B736,'General price list'!C:BA,MATCH("OBJ",'General price list'!$C$20:$BA$20,0),FALSE),""))</f>
        <v/>
      </c>
      <c r="E736" s="1">
        <f t="shared" si="71"/>
        <v>0</v>
      </c>
      <c r="F736" s="1">
        <f t="shared" si="72"/>
        <v>0</v>
      </c>
      <c r="G736" s="1">
        <f t="shared" si="73"/>
        <v>0</v>
      </c>
      <c r="H736" s="1">
        <f t="shared" si="74"/>
        <v>0</v>
      </c>
      <c r="I736" s="1">
        <f t="shared" si="75"/>
        <v>0</v>
      </c>
      <c r="J736">
        <f>IF(B736="PAL","",IFERROR(IF(C736="",VLOOKUP(B736,'General price list'!C:BA,MATCH("CBM",'General price list'!$C$20:$BA$20,0),FALSE)*D736,VLOOKUP(B736,'General price list'!C:BA,MATCH("CBM",'General price list'!$C$20:$BA$20,0),FALSE)*(G736*C736)),0))</f>
        <v>0</v>
      </c>
    </row>
    <row r="737" spans="2:10" ht="15" customHeight="1">
      <c r="B737" s="790">
        <f>IF(B736="PAL","",'General price list'!C757)</f>
        <v>0</v>
      </c>
      <c r="C737" s="1" t="str">
        <f>IF(B737="PAL","",IFERROR(VLOOKUP(B737,'General price list'!C:BA,MATCH("PAL",'General price list'!$C$20:$BA$20,0),FALSE),""))</f>
        <v/>
      </c>
      <c r="D737" s="1" t="str">
        <f>IF(B737="PAL","",IFERROR(VLOOKUP(B737,'General price list'!C:BA,MATCH("OBJ",'General price list'!$C$20:$BA$20,0),FALSE),""))</f>
        <v/>
      </c>
      <c r="E737" s="1">
        <f t="shared" si="71"/>
        <v>0</v>
      </c>
      <c r="F737" s="1">
        <f t="shared" si="72"/>
        <v>0</v>
      </c>
      <c r="G737" s="1">
        <f t="shared" si="73"/>
        <v>0</v>
      </c>
      <c r="H737" s="1">
        <f t="shared" si="74"/>
        <v>0</v>
      </c>
      <c r="I737" s="1">
        <f t="shared" si="75"/>
        <v>0</v>
      </c>
      <c r="J737">
        <f>IF(B737="PAL","",IFERROR(IF(C737="",VLOOKUP(B737,'General price list'!C:BA,MATCH("CBM",'General price list'!$C$20:$BA$20,0),FALSE)*D737,VLOOKUP(B737,'General price list'!C:BA,MATCH("CBM",'General price list'!$C$20:$BA$20,0),FALSE)*(G737*C737)),0))</f>
        <v>0</v>
      </c>
    </row>
    <row r="738" spans="2:10" ht="15" customHeight="1">
      <c r="B738" s="790" t="str">
        <f>IF(B737="PAL","",'General price list'!C758)</f>
        <v>C40FMH</v>
      </c>
      <c r="C738" s="1" t="str">
        <f>IF(B738="PAL","",IFERROR(VLOOKUP(B738,'General price list'!C:BA,MATCH("PAL",'General price list'!$C$20:$BA$20,0),FALSE),""))</f>
        <v/>
      </c>
      <c r="D738" s="1">
        <f>IF(B738="PAL","",IFERROR(VLOOKUP(B738,'General price list'!C:BA,MATCH("OBJ",'General price list'!$C$20:$BA$20,0),FALSE),""))</f>
        <v>0</v>
      </c>
      <c r="E738" s="1">
        <f t="shared" si="71"/>
        <v>0</v>
      </c>
      <c r="F738" s="1">
        <f t="shared" si="72"/>
        <v>0</v>
      </c>
      <c r="G738" s="1">
        <f t="shared" si="73"/>
        <v>0</v>
      </c>
      <c r="H738" s="1">
        <f t="shared" si="74"/>
        <v>0</v>
      </c>
      <c r="I738" s="1">
        <f t="shared" si="75"/>
        <v>0</v>
      </c>
      <c r="J738">
        <f>IF(B738="PAL","",IFERROR(IF(C738="",VLOOKUP(B738,'General price list'!C:BA,MATCH("CBM",'General price list'!$C$20:$BA$20,0),FALSE)*D738,VLOOKUP(B738,'General price list'!C:BA,MATCH("CBM",'General price list'!$C$20:$BA$20,0),FALSE)*(G738*C738)),0))</f>
        <v>0</v>
      </c>
    </row>
    <row r="739" spans="2:10" ht="15" customHeight="1">
      <c r="B739" s="790">
        <f>IF(B738="PAL","",'General price list'!C759)</f>
        <v>0</v>
      </c>
      <c r="C739" s="1" t="str">
        <f>IF(B739="PAL","",IFERROR(VLOOKUP(B739,'General price list'!C:BA,MATCH("PAL",'General price list'!$C$20:$BA$20,0),FALSE),""))</f>
        <v/>
      </c>
      <c r="D739" s="1" t="str">
        <f>IF(B739="PAL","",IFERROR(VLOOKUP(B739,'General price list'!C:BA,MATCH("OBJ",'General price list'!$C$20:$BA$20,0),FALSE),""))</f>
        <v/>
      </c>
      <c r="E739" s="1">
        <f t="shared" si="71"/>
        <v>0</v>
      </c>
      <c r="F739" s="1">
        <f t="shared" si="72"/>
        <v>0</v>
      </c>
      <c r="G739" s="1">
        <f t="shared" si="73"/>
        <v>0</v>
      </c>
      <c r="H739" s="1">
        <f t="shared" si="74"/>
        <v>0</v>
      </c>
      <c r="I739" s="1">
        <f t="shared" si="75"/>
        <v>0</v>
      </c>
      <c r="J739">
        <f>IF(B739="PAL","",IFERROR(IF(C739="",VLOOKUP(B739,'General price list'!C:BA,MATCH("CBM",'General price list'!$C$20:$BA$20,0),FALSE)*D739,VLOOKUP(B739,'General price list'!C:BA,MATCH("CBM",'General price list'!$C$20:$BA$20,0),FALSE)*(G739*C739)),0))</f>
        <v>0</v>
      </c>
    </row>
    <row r="740" spans="2:10" ht="15" customHeight="1">
      <c r="B740" s="790" t="str">
        <f>IF(B739="PAL","",'General price list'!C760)</f>
        <v>C100MPT</v>
      </c>
      <c r="C740" s="1" t="str">
        <f>IF(B740="PAL","",IFERROR(VLOOKUP(B740,'General price list'!C:BA,MATCH("PAL",'General price list'!$C$20:$BA$20,0),FALSE),""))</f>
        <v/>
      </c>
      <c r="D740" s="1">
        <f>IF(B740="PAL","",IFERROR(VLOOKUP(B740,'General price list'!C:BA,MATCH("OBJ",'General price list'!$C$20:$BA$20,0),FALSE),""))</f>
        <v>0</v>
      </c>
      <c r="E740" s="1">
        <f t="shared" si="71"/>
        <v>0</v>
      </c>
      <c r="F740" s="1">
        <f t="shared" si="72"/>
        <v>0</v>
      </c>
      <c r="G740" s="1">
        <f t="shared" si="73"/>
        <v>0</v>
      </c>
      <c r="H740" s="1">
        <f t="shared" si="74"/>
        <v>0</v>
      </c>
      <c r="I740" s="1">
        <f t="shared" si="75"/>
        <v>0</v>
      </c>
      <c r="J740">
        <f>IF(B740="PAL","",IFERROR(IF(C740="",VLOOKUP(B740,'General price list'!C:BA,MATCH("CBM",'General price list'!$C$20:$BA$20,0),FALSE)*D740,VLOOKUP(B740,'General price list'!C:BA,MATCH("CBM",'General price list'!$C$20:$BA$20,0),FALSE)*(G740*C740)),0))</f>
        <v>0</v>
      </c>
    </row>
    <row r="741" spans="2:10" ht="15" customHeight="1">
      <c r="B741" s="790" t="str">
        <f>IF(B740="PAL","",'General price list'!C761)</f>
        <v>C100MN</v>
      </c>
      <c r="C741" s="1" t="str">
        <f>IF(B741="PAL","",IFERROR(VLOOKUP(B741,'General price list'!C:BA,MATCH("PAL",'General price list'!$C$20:$BA$20,0),FALSE),""))</f>
        <v/>
      </c>
      <c r="D741" s="1">
        <f>IF(B741="PAL","",IFERROR(VLOOKUP(B741,'General price list'!C:BA,MATCH("OBJ",'General price list'!$C$20:$BA$20,0),FALSE),""))</f>
        <v>0</v>
      </c>
      <c r="E741" s="1">
        <f t="shared" si="71"/>
        <v>0</v>
      </c>
      <c r="F741" s="1">
        <f t="shared" si="72"/>
        <v>0</v>
      </c>
      <c r="G741" s="1">
        <f t="shared" si="73"/>
        <v>0</v>
      </c>
      <c r="H741" s="1">
        <f t="shared" si="74"/>
        <v>0</v>
      </c>
      <c r="I741" s="1">
        <f t="shared" si="75"/>
        <v>0</v>
      </c>
      <c r="J741">
        <f>IF(B741="PAL","",IFERROR(IF(C741="",VLOOKUP(B741,'General price list'!C:BA,MATCH("CBM",'General price list'!$C$20:$BA$20,0),FALSE)*D741,VLOOKUP(B741,'General price list'!C:BA,MATCH("CBM",'General price list'!$C$20:$BA$20,0),FALSE)*(G741*C741)),0))</f>
        <v>0</v>
      </c>
    </row>
    <row r="742" spans="2:10" ht="15" customHeight="1">
      <c r="B742" s="790">
        <f>IF(B741="PAL","",'General price list'!C762)</f>
        <v>0</v>
      </c>
      <c r="C742" s="1" t="str">
        <f>IF(B742="PAL","",IFERROR(VLOOKUP(B742,'General price list'!C:BA,MATCH("PAL",'General price list'!$C$20:$BA$20,0),FALSE),""))</f>
        <v/>
      </c>
      <c r="D742" s="1" t="str">
        <f>IF(B742="PAL","",IFERROR(VLOOKUP(B742,'General price list'!C:BA,MATCH("OBJ",'General price list'!$C$20:$BA$20,0),FALSE),""))</f>
        <v/>
      </c>
      <c r="E742" s="1">
        <f t="shared" si="71"/>
        <v>0</v>
      </c>
      <c r="F742" s="1">
        <f t="shared" si="72"/>
        <v>0</v>
      </c>
      <c r="G742" s="1">
        <f t="shared" si="73"/>
        <v>0</v>
      </c>
      <c r="H742" s="1">
        <f t="shared" si="74"/>
        <v>0</v>
      </c>
      <c r="I742" s="1">
        <f t="shared" si="75"/>
        <v>0</v>
      </c>
      <c r="J742">
        <f>IF(B742="PAL","",IFERROR(IF(C742="",VLOOKUP(B742,'General price list'!C:BA,MATCH("CBM",'General price list'!$C$20:$BA$20,0),FALSE)*D742,VLOOKUP(B742,'General price list'!C:BA,MATCH("CBM",'General price list'!$C$20:$BA$20,0),FALSE)*(G742*C742)),0))</f>
        <v>0</v>
      </c>
    </row>
    <row r="743" spans="2:10" ht="15" customHeight="1">
      <c r="B743" s="790" t="str">
        <f>IF(B742="PAL","",'General price list'!C763)</f>
        <v>C106MH</v>
      </c>
      <c r="C743" s="1" t="str">
        <f>IF(B743="PAL","",IFERROR(VLOOKUP(B743,'General price list'!C:BA,MATCH("PAL",'General price list'!$C$20:$BA$20,0),FALSE),""))</f>
        <v/>
      </c>
      <c r="D743" s="1">
        <f>IF(B743="PAL","",IFERROR(VLOOKUP(B743,'General price list'!C:BA,MATCH("OBJ",'General price list'!$C$20:$BA$20,0),FALSE),""))</f>
        <v>0</v>
      </c>
      <c r="E743" s="1">
        <f t="shared" si="71"/>
        <v>0</v>
      </c>
      <c r="F743" s="1">
        <f t="shared" si="72"/>
        <v>0</v>
      </c>
      <c r="G743" s="1">
        <f t="shared" si="73"/>
        <v>0</v>
      </c>
      <c r="H743" s="1">
        <f t="shared" si="74"/>
        <v>0</v>
      </c>
      <c r="I743" s="1">
        <f t="shared" si="75"/>
        <v>0</v>
      </c>
      <c r="J743">
        <f>IF(B743="PAL","",IFERROR(IF(C743="",VLOOKUP(B743,'General price list'!C:BA,MATCH("CBM",'General price list'!$C$20:$BA$20,0),FALSE)*D743,VLOOKUP(B743,'General price list'!C:BA,MATCH("CBM",'General price list'!$C$20:$BA$20,0),FALSE)*(G743*C743)),0))</f>
        <v>0</v>
      </c>
    </row>
    <row r="744" spans="2:10" ht="15" customHeight="1">
      <c r="B744" s="790" t="str">
        <f>IF(B743="PAL","",'General price list'!C764)</f>
        <v>C106MB</v>
      </c>
      <c r="C744" s="1" t="str">
        <f>IF(B744="PAL","",IFERROR(VLOOKUP(B744,'General price list'!C:BA,MATCH("PAL",'General price list'!$C$20:$BA$20,0),FALSE),""))</f>
        <v/>
      </c>
      <c r="D744" s="1">
        <f>IF(B744="PAL","",IFERROR(VLOOKUP(B744,'General price list'!C:BA,MATCH("OBJ",'General price list'!$C$20:$BA$20,0),FALSE),""))</f>
        <v>0</v>
      </c>
      <c r="E744" s="1">
        <f t="shared" si="71"/>
        <v>0</v>
      </c>
      <c r="F744" s="1">
        <f t="shared" si="72"/>
        <v>0</v>
      </c>
      <c r="G744" s="1">
        <f t="shared" si="73"/>
        <v>0</v>
      </c>
      <c r="H744" s="1">
        <f t="shared" si="74"/>
        <v>0</v>
      </c>
      <c r="I744" s="1">
        <f t="shared" si="75"/>
        <v>0</v>
      </c>
      <c r="J744">
        <f>IF(B744="PAL","",IFERROR(IF(C744="",VLOOKUP(B744,'General price list'!C:BA,MATCH("CBM",'General price list'!$C$20:$BA$20,0),FALSE)*D744,VLOOKUP(B744,'General price list'!C:BA,MATCH("CBM",'General price list'!$C$20:$BA$20,0),FALSE)*(G744*C744)),0))</f>
        <v>0</v>
      </c>
    </row>
    <row r="745" spans="2:10" ht="15" customHeight="1">
      <c r="B745" s="790">
        <f>IF(B744="PAL","",'General price list'!C765)</f>
        <v>0</v>
      </c>
      <c r="C745" s="1" t="str">
        <f>IF(B745="PAL","",IFERROR(VLOOKUP(B745,'General price list'!C:BA,MATCH("PAL",'General price list'!$C$20:$BA$20,0),FALSE),""))</f>
        <v/>
      </c>
      <c r="D745" s="1" t="str">
        <f>IF(B745="PAL","",IFERROR(VLOOKUP(B745,'General price list'!C:BA,MATCH("OBJ",'General price list'!$C$20:$BA$20,0),FALSE),""))</f>
        <v/>
      </c>
      <c r="E745" s="1">
        <f t="shared" si="71"/>
        <v>0</v>
      </c>
      <c r="F745" s="1">
        <f t="shared" si="72"/>
        <v>0</v>
      </c>
      <c r="G745" s="1">
        <f t="shared" si="73"/>
        <v>0</v>
      </c>
      <c r="H745" s="1">
        <f t="shared" si="74"/>
        <v>0</v>
      </c>
      <c r="I745" s="1">
        <f t="shared" si="75"/>
        <v>0</v>
      </c>
      <c r="J745">
        <f>IF(B745="PAL","",IFERROR(IF(C745="",VLOOKUP(B745,'General price list'!C:BA,MATCH("CBM",'General price list'!$C$20:$BA$20,0),FALSE)*D745,VLOOKUP(B745,'General price list'!C:BA,MATCH("CBM",'General price list'!$C$20:$BA$20,0),FALSE)*(G745*C745)),0))</f>
        <v>0</v>
      </c>
    </row>
    <row r="746" spans="2:10" ht="15" customHeight="1">
      <c r="B746" s="790" t="str">
        <f>IF(B745="PAL","",'General price list'!C766)</f>
        <v>C109MG</v>
      </c>
      <c r="C746" s="1" t="str">
        <f>IF(B746="PAL","",IFERROR(VLOOKUP(B746,'General price list'!C:BA,MATCH("PAL",'General price list'!$C$20:$BA$20,0),FALSE),""))</f>
        <v/>
      </c>
      <c r="D746" s="1">
        <f>IF(B746="PAL","",IFERROR(VLOOKUP(B746,'General price list'!C:BA,MATCH("OBJ",'General price list'!$C$20:$BA$20,0),FALSE),""))</f>
        <v>0</v>
      </c>
      <c r="E746" s="1">
        <f t="shared" si="71"/>
        <v>0</v>
      </c>
      <c r="F746" s="1">
        <f t="shared" si="72"/>
        <v>0</v>
      </c>
      <c r="G746" s="1">
        <f t="shared" si="73"/>
        <v>0</v>
      </c>
      <c r="H746" s="1">
        <f t="shared" si="74"/>
        <v>0</v>
      </c>
      <c r="I746" s="1">
        <f t="shared" si="75"/>
        <v>0</v>
      </c>
      <c r="J746">
        <f>IF(B746="PAL","",IFERROR(IF(C746="",VLOOKUP(B746,'General price list'!C:BA,MATCH("CBM",'General price list'!$C$20:$BA$20,0),FALSE)*D746,VLOOKUP(B746,'General price list'!C:BA,MATCH("CBM",'General price list'!$C$20:$BA$20,0),FALSE)*(G746*C746)),0))</f>
        <v>0</v>
      </c>
    </row>
    <row r="747" spans="2:10" ht="15" customHeight="1">
      <c r="B747" s="790" t="str">
        <f>IF(B746="PAL","",'General price list'!C767)</f>
        <v>C109MM</v>
      </c>
      <c r="C747" s="1" t="str">
        <f>IF(B747="PAL","",IFERROR(VLOOKUP(B747,'General price list'!C:BA,MATCH("PAL",'General price list'!$C$20:$BA$20,0),FALSE),""))</f>
        <v/>
      </c>
      <c r="D747" s="1">
        <f>IF(B747="PAL","",IFERROR(VLOOKUP(B747,'General price list'!C:BA,MATCH("OBJ",'General price list'!$C$20:$BA$20,0),FALSE),""))</f>
        <v>0</v>
      </c>
      <c r="E747" s="1">
        <f t="shared" si="71"/>
        <v>0</v>
      </c>
      <c r="F747" s="1">
        <f t="shared" si="72"/>
        <v>0</v>
      </c>
      <c r="G747" s="1">
        <f t="shared" si="73"/>
        <v>0</v>
      </c>
      <c r="H747" s="1">
        <f t="shared" si="74"/>
        <v>0</v>
      </c>
      <c r="I747" s="1">
        <f t="shared" si="75"/>
        <v>0</v>
      </c>
      <c r="J747">
        <f>IF(B747="PAL","",IFERROR(IF(C747="",VLOOKUP(B747,'General price list'!C:BA,MATCH("CBM",'General price list'!$C$20:$BA$20,0),FALSE)*D747,VLOOKUP(B747,'General price list'!C:BA,MATCH("CBM",'General price list'!$C$20:$BA$20,0),FALSE)*(G747*C747)),0))</f>
        <v>0</v>
      </c>
    </row>
    <row r="748" spans="2:10" ht="15" customHeight="1">
      <c r="B748" s="790">
        <f>IF(B747="PAL","",'General price list'!C768)</f>
        <v>0</v>
      </c>
      <c r="C748" s="1" t="str">
        <f>IF(B748="PAL","",IFERROR(VLOOKUP(B748,'General price list'!C:BA,MATCH("PAL",'General price list'!$C$20:$BA$20,0),FALSE),""))</f>
        <v/>
      </c>
      <c r="D748" s="1" t="str">
        <f>IF(B748="PAL","",IFERROR(VLOOKUP(B748,'General price list'!C:BA,MATCH("OBJ",'General price list'!$C$20:$BA$20,0),FALSE),""))</f>
        <v/>
      </c>
      <c r="E748" s="1">
        <f t="shared" si="71"/>
        <v>0</v>
      </c>
      <c r="F748" s="1">
        <f t="shared" si="72"/>
        <v>0</v>
      </c>
      <c r="G748" s="1">
        <f t="shared" si="73"/>
        <v>0</v>
      </c>
      <c r="H748" s="1">
        <f t="shared" si="74"/>
        <v>0</v>
      </c>
      <c r="I748" s="1">
        <f t="shared" si="75"/>
        <v>0</v>
      </c>
      <c r="J748">
        <f>IF(B748="PAL","",IFERROR(IF(C748="",VLOOKUP(B748,'General price list'!C:BA,MATCH("CBM",'General price list'!$C$20:$BA$20,0),FALSE)*D748,VLOOKUP(B748,'General price list'!C:BA,MATCH("CBM",'General price list'!$C$20:$BA$20,0),FALSE)*(G748*C748)),0))</f>
        <v>0</v>
      </c>
    </row>
    <row r="749" spans="2:10" ht="15" customHeight="1">
      <c r="B749" s="790" t="str">
        <f>IF(B748="PAL","",'General price list'!C769)</f>
        <v>C100MTS/C14</v>
      </c>
      <c r="C749" s="1" t="str">
        <f>IF(B749="PAL","",IFERROR(VLOOKUP(B749,'General price list'!C:BA,MATCH("PAL",'General price list'!$C$20:$BA$20,0),FALSE),""))</f>
        <v/>
      </c>
      <c r="D749" s="1">
        <f>IF(B749="PAL","",IFERROR(VLOOKUP(B749,'General price list'!C:BA,MATCH("OBJ",'General price list'!$C$20:$BA$20,0),FALSE),""))</f>
        <v>0</v>
      </c>
      <c r="E749" s="1">
        <f t="shared" si="71"/>
        <v>0</v>
      </c>
      <c r="F749" s="1">
        <f t="shared" si="72"/>
        <v>0</v>
      </c>
      <c r="G749" s="1">
        <f t="shared" si="73"/>
        <v>0</v>
      </c>
      <c r="H749" s="1">
        <f t="shared" si="74"/>
        <v>0</v>
      </c>
      <c r="I749" s="1">
        <f t="shared" si="75"/>
        <v>0</v>
      </c>
      <c r="J749">
        <f>IF(B749="PAL","",IFERROR(IF(C749="",VLOOKUP(B749,'General price list'!C:BA,MATCH("CBM",'General price list'!$C$20:$BA$20,0),FALSE)*D749,VLOOKUP(B749,'General price list'!C:BA,MATCH("CBM",'General price list'!$C$20:$BA$20,0),FALSE)*(G749*C749)),0))</f>
        <v>0</v>
      </c>
    </row>
    <row r="750" spans="2:10" ht="15" customHeight="1">
      <c r="B750" s="790" t="str">
        <f>IF(B749="PAL","",'General price list'!C770)</f>
        <v>C100MPT/C14</v>
      </c>
      <c r="C750" s="1" t="str">
        <f>IF(B750="PAL","",IFERROR(VLOOKUP(B750,'General price list'!C:BA,MATCH("PAL",'General price list'!$C$20:$BA$20,0),FALSE),""))</f>
        <v/>
      </c>
      <c r="D750" s="1">
        <f>IF(B750="PAL","",IFERROR(VLOOKUP(B750,'General price list'!C:BA,MATCH("OBJ",'General price list'!$C$20:$BA$20,0),FALSE),""))</f>
        <v>0</v>
      </c>
      <c r="E750" s="1">
        <f t="shared" si="71"/>
        <v>0</v>
      </c>
      <c r="F750" s="1">
        <f t="shared" si="72"/>
        <v>0</v>
      </c>
      <c r="G750" s="1">
        <f t="shared" si="73"/>
        <v>0</v>
      </c>
      <c r="H750" s="1">
        <f t="shared" si="74"/>
        <v>0</v>
      </c>
      <c r="I750" s="1">
        <f t="shared" si="75"/>
        <v>0</v>
      </c>
      <c r="J750">
        <f>IF(B750="PAL","",IFERROR(IF(C750="",VLOOKUP(B750,'General price list'!C:BA,MATCH("CBM",'General price list'!$C$20:$BA$20,0),FALSE)*D750,VLOOKUP(B750,'General price list'!C:BA,MATCH("CBM",'General price list'!$C$20:$BA$20,0),FALSE)*(G750*C750)),0))</f>
        <v>0</v>
      </c>
    </row>
    <row r="751" spans="2:10" ht="15" customHeight="1">
      <c r="B751" s="790" t="str">
        <f>IF(B750="PAL","",'General price list'!C771)</f>
        <v>C124MXM/C14</v>
      </c>
      <c r="C751" s="1" t="str">
        <f>IF(B751="PAL","",IFERROR(VLOOKUP(B751,'General price list'!C:BA,MATCH("PAL",'General price list'!$C$20:$BA$20,0),FALSE),""))</f>
        <v/>
      </c>
      <c r="D751" s="1">
        <f>IF(B751="PAL","",IFERROR(VLOOKUP(B751,'General price list'!C:BA,MATCH("OBJ",'General price list'!$C$20:$BA$20,0),FALSE),""))</f>
        <v>0</v>
      </c>
      <c r="E751" s="1">
        <f t="shared" si="71"/>
        <v>0</v>
      </c>
      <c r="F751" s="1">
        <f t="shared" si="72"/>
        <v>0</v>
      </c>
      <c r="G751" s="1">
        <f t="shared" si="73"/>
        <v>0</v>
      </c>
      <c r="H751" s="1">
        <f t="shared" si="74"/>
        <v>0</v>
      </c>
      <c r="I751" s="1">
        <f t="shared" si="75"/>
        <v>0</v>
      </c>
      <c r="J751">
        <f>IF(B751="PAL","",IFERROR(IF(C751="",VLOOKUP(B751,'General price list'!C:BA,MATCH("CBM",'General price list'!$C$20:$BA$20,0),FALSE)*D751,VLOOKUP(B751,'General price list'!C:BA,MATCH("CBM",'General price list'!$C$20:$BA$20,0),FALSE)*(G751*C751)),0))</f>
        <v>0</v>
      </c>
    </row>
    <row r="752" spans="2:10" ht="15" customHeight="1">
      <c r="B752" s="790" t="str">
        <f>IF(B751="PAL","",'General price list'!C772)</f>
        <v>C128MS/C14</v>
      </c>
      <c r="C752" s="1" t="str">
        <f>IF(B752="PAL","",IFERROR(VLOOKUP(B752,'General price list'!C:BA,MATCH("PAL",'General price list'!$C$20:$BA$20,0),FALSE),""))</f>
        <v/>
      </c>
      <c r="D752" s="1">
        <f>IF(B752="PAL","",IFERROR(VLOOKUP(B752,'General price list'!C:BA,MATCH("OBJ",'General price list'!$C$20:$BA$20,0),FALSE),""))</f>
        <v>0</v>
      </c>
      <c r="E752" s="1">
        <f t="shared" si="71"/>
        <v>0</v>
      </c>
      <c r="F752" s="1">
        <f t="shared" si="72"/>
        <v>0</v>
      </c>
      <c r="G752" s="1">
        <f t="shared" si="73"/>
        <v>0</v>
      </c>
      <c r="H752" s="1">
        <f t="shared" si="74"/>
        <v>0</v>
      </c>
      <c r="I752" s="1">
        <f t="shared" si="75"/>
        <v>0</v>
      </c>
      <c r="J752">
        <f>IF(B752="PAL","",IFERROR(IF(C752="",VLOOKUP(B752,'General price list'!C:BA,MATCH("CBM",'General price list'!$C$20:$BA$20,0),FALSE)*D752,VLOOKUP(B752,'General price list'!C:BA,MATCH("CBM",'General price list'!$C$20:$BA$20,0),FALSE)*(G752*C752)),0))</f>
        <v>0</v>
      </c>
    </row>
    <row r="753" spans="2:10" ht="15" customHeight="1">
      <c r="B753" s="790" t="str">
        <f>IF(B752="PAL","",'General price list'!C773)</f>
        <v>C136XMTS/C14</v>
      </c>
      <c r="C753" s="1" t="str">
        <f>IF(B753="PAL","",IFERROR(VLOOKUP(B753,'General price list'!C:BA,MATCH("PAL",'General price list'!$C$20:$BA$20,0),FALSE),""))</f>
        <v/>
      </c>
      <c r="D753" s="1">
        <f>IF(B753="PAL","",IFERROR(VLOOKUP(B753,'General price list'!C:BA,MATCH("OBJ",'General price list'!$C$20:$BA$20,0),FALSE),""))</f>
        <v>0</v>
      </c>
      <c r="E753" s="1">
        <f t="shared" si="71"/>
        <v>0</v>
      </c>
      <c r="F753" s="1">
        <f t="shared" si="72"/>
        <v>0</v>
      </c>
      <c r="G753" s="1">
        <f t="shared" si="73"/>
        <v>0</v>
      </c>
      <c r="H753" s="1">
        <f t="shared" si="74"/>
        <v>0</v>
      </c>
      <c r="I753" s="1">
        <f t="shared" si="75"/>
        <v>0</v>
      </c>
      <c r="J753">
        <f>IF(B753="PAL","",IFERROR(IF(C753="",VLOOKUP(B753,'General price list'!C:BA,MATCH("CBM",'General price list'!$C$20:$BA$20,0),FALSE)*D753,VLOOKUP(B753,'General price list'!C:BA,MATCH("CBM",'General price list'!$C$20:$BA$20,0),FALSE)*(G753*C753)),0))</f>
        <v>0</v>
      </c>
    </row>
    <row r="754" spans="2:10" ht="15" customHeight="1">
      <c r="B754" s="790" t="str">
        <f>IF(B753="PAL","",'General price list'!C774)</f>
        <v>C136XMK/C14</v>
      </c>
      <c r="C754" s="1" t="str">
        <f>IF(B754="PAL","",IFERROR(VLOOKUP(B754,'General price list'!C:BA,MATCH("PAL",'General price list'!$C$20:$BA$20,0),FALSE),""))</f>
        <v/>
      </c>
      <c r="D754" s="1">
        <f>IF(B754="PAL","",IFERROR(VLOOKUP(B754,'General price list'!C:BA,MATCH("OBJ",'General price list'!$C$20:$BA$20,0),FALSE),""))</f>
        <v>0</v>
      </c>
      <c r="E754" s="1">
        <f t="shared" si="71"/>
        <v>0</v>
      </c>
      <c r="F754" s="1">
        <f t="shared" si="72"/>
        <v>0</v>
      </c>
      <c r="G754" s="1">
        <f t="shared" si="73"/>
        <v>0</v>
      </c>
      <c r="H754" s="1">
        <f t="shared" si="74"/>
        <v>0</v>
      </c>
      <c r="I754" s="1">
        <f t="shared" si="75"/>
        <v>0</v>
      </c>
      <c r="J754">
        <f>IF(B754="PAL","",IFERROR(IF(C754="",VLOOKUP(B754,'General price list'!C:BA,MATCH("CBM",'General price list'!$C$20:$BA$20,0),FALSE)*D754,VLOOKUP(B754,'General price list'!C:BA,MATCH("CBM",'General price list'!$C$20:$BA$20,0),FALSE)*(G754*C754)),0))</f>
        <v>0</v>
      </c>
    </row>
    <row r="755" spans="2:10" ht="15" customHeight="1">
      <c r="B755" s="790" t="str">
        <f>IF(B754="PAL","",'General price list'!C775)</f>
        <v>C150MXH/C14</v>
      </c>
      <c r="C755" s="1" t="str">
        <f>IF(B755="PAL","",IFERROR(VLOOKUP(B755,'General price list'!C:BA,MATCH("PAL",'General price list'!$C$20:$BA$20,0),FALSE),""))</f>
        <v/>
      </c>
      <c r="D755" s="1">
        <f>IF(B755="PAL","",IFERROR(VLOOKUP(B755,'General price list'!C:BA,MATCH("OBJ",'General price list'!$C$20:$BA$20,0),FALSE),""))</f>
        <v>0</v>
      </c>
      <c r="E755" s="1">
        <f t="shared" si="71"/>
        <v>0</v>
      </c>
      <c r="F755" s="1">
        <f t="shared" si="72"/>
        <v>0</v>
      </c>
      <c r="G755" s="1">
        <f t="shared" si="73"/>
        <v>0</v>
      </c>
      <c r="H755" s="1">
        <f t="shared" si="74"/>
        <v>0</v>
      </c>
      <c r="I755" s="1">
        <f t="shared" si="75"/>
        <v>0</v>
      </c>
      <c r="J755">
        <f>IF(B755="PAL","",IFERROR(IF(C755="",VLOOKUP(B755,'General price list'!C:BA,MATCH("CBM",'General price list'!$C$20:$BA$20,0),FALSE)*D755,VLOOKUP(B755,'General price list'!C:BA,MATCH("CBM",'General price list'!$C$20:$BA$20,0),FALSE)*(G755*C755)),0))</f>
        <v>0</v>
      </c>
    </row>
    <row r="756" spans="2:10" ht="15" customHeight="1">
      <c r="B756" s="790" t="str">
        <f>IF(B755="PAL","",'General price list'!C776)</f>
        <v>C154MXB/C14</v>
      </c>
      <c r="C756" s="1" t="str">
        <f>IF(B756="PAL","",IFERROR(VLOOKUP(B756,'General price list'!C:BA,MATCH("PAL",'General price list'!$C$20:$BA$20,0),FALSE),""))</f>
        <v/>
      </c>
      <c r="D756" s="1">
        <f>IF(B756="PAL","",IFERROR(VLOOKUP(B756,'General price list'!C:BA,MATCH("OBJ",'General price list'!$C$20:$BA$20,0),FALSE),""))</f>
        <v>0</v>
      </c>
      <c r="E756" s="1">
        <f t="shared" si="71"/>
        <v>0</v>
      </c>
      <c r="F756" s="1">
        <f t="shared" si="72"/>
        <v>0</v>
      </c>
      <c r="G756" s="1">
        <f t="shared" si="73"/>
        <v>0</v>
      </c>
      <c r="H756" s="1">
        <f t="shared" si="74"/>
        <v>0</v>
      </c>
      <c r="I756" s="1">
        <f t="shared" si="75"/>
        <v>0</v>
      </c>
      <c r="J756">
        <f>IF(B756="PAL","",IFERROR(IF(C756="",VLOOKUP(B756,'General price list'!C:BA,MATCH("CBM",'General price list'!$C$20:$BA$20,0),FALSE)*D756,VLOOKUP(B756,'General price list'!C:BA,MATCH("CBM",'General price list'!$C$20:$BA$20,0),FALSE)*(G756*C756)),0))</f>
        <v>0</v>
      </c>
    </row>
    <row r="757" spans="2:10" ht="15" customHeight="1">
      <c r="B757" s="790" t="str">
        <f>IF(B756="PAL","",'General price list'!C777)</f>
        <v>C270MXM/C14</v>
      </c>
      <c r="C757" s="1" t="str">
        <f>IF(B757="PAL","",IFERROR(VLOOKUP(B757,'General price list'!C:BA,MATCH("PAL",'General price list'!$C$20:$BA$20,0),FALSE),""))</f>
        <v/>
      </c>
      <c r="D757" s="1">
        <f>IF(B757="PAL","",IFERROR(VLOOKUP(B757,'General price list'!C:BA,MATCH("OBJ",'General price list'!$C$20:$BA$20,0),FALSE),""))</f>
        <v>0</v>
      </c>
      <c r="E757" s="1">
        <f t="shared" si="71"/>
        <v>0</v>
      </c>
      <c r="F757" s="1">
        <f t="shared" si="72"/>
        <v>0</v>
      </c>
      <c r="G757" s="1">
        <f t="shared" si="73"/>
        <v>0</v>
      </c>
      <c r="H757" s="1">
        <f t="shared" si="74"/>
        <v>0</v>
      </c>
      <c r="I757" s="1">
        <f t="shared" si="75"/>
        <v>0</v>
      </c>
      <c r="J757">
        <f>IF(B757="PAL","",IFERROR(IF(C757="",VLOOKUP(B757,'General price list'!C:BA,MATCH("CBM",'General price list'!$C$20:$BA$20,0),FALSE)*D757,VLOOKUP(B757,'General price list'!C:BA,MATCH("CBM",'General price list'!$C$20:$BA$20,0),FALSE)*(G757*C757)),0))</f>
        <v>0</v>
      </c>
    </row>
    <row r="758" spans="2:10" ht="15" customHeight="1">
      <c r="B758" s="790" t="str">
        <f>IF(B757="PAL","",'General price list'!C778)</f>
        <v>C296MXH/C14</v>
      </c>
      <c r="C758" s="1" t="str">
        <f>IF(B758="PAL","",IFERROR(VLOOKUP(B758,'General price list'!C:BA,MATCH("PAL",'General price list'!$C$20:$BA$20,0),FALSE),""))</f>
        <v/>
      </c>
      <c r="D758" s="1">
        <f>IF(B758="PAL","",IFERROR(VLOOKUP(B758,'General price list'!C:BA,MATCH("OBJ",'General price list'!$C$20:$BA$20,0),FALSE),""))</f>
        <v>0</v>
      </c>
      <c r="E758" s="1">
        <f t="shared" si="71"/>
        <v>0</v>
      </c>
      <c r="F758" s="1">
        <f t="shared" si="72"/>
        <v>0</v>
      </c>
      <c r="G758" s="1">
        <f t="shared" si="73"/>
        <v>0</v>
      </c>
      <c r="H758" s="1">
        <f t="shared" si="74"/>
        <v>0</v>
      </c>
      <c r="I758" s="1">
        <f t="shared" si="75"/>
        <v>0</v>
      </c>
      <c r="J758">
        <f>IF(B758="PAL","",IFERROR(IF(C758="",VLOOKUP(B758,'General price list'!C:BA,MATCH("CBM",'General price list'!$C$20:$BA$20,0),FALSE)*D758,VLOOKUP(B758,'General price list'!C:BA,MATCH("CBM",'General price list'!$C$20:$BA$20,0),FALSE)*(G758*C758)),0))</f>
        <v>0</v>
      </c>
    </row>
    <row r="759" spans="2:10" ht="15" customHeight="1">
      <c r="B759" s="790" t="str">
        <f>IF(B758="PAL","",'General price list'!C779)</f>
        <v>C330MXR/C14</v>
      </c>
      <c r="C759" s="1" t="str">
        <f>IF(B759="PAL","",IFERROR(VLOOKUP(B759,'General price list'!C:BA,MATCH("PAL",'General price list'!$C$20:$BA$20,0),FALSE),""))</f>
        <v/>
      </c>
      <c r="D759" s="1">
        <f>IF(B759="PAL","",IFERROR(VLOOKUP(B759,'General price list'!C:BA,MATCH("OBJ",'General price list'!$C$20:$BA$20,0),FALSE),""))</f>
        <v>0</v>
      </c>
      <c r="E759" s="1">
        <f t="shared" si="71"/>
        <v>0</v>
      </c>
      <c r="F759" s="1">
        <f t="shared" si="72"/>
        <v>0</v>
      </c>
      <c r="G759" s="1">
        <f t="shared" si="73"/>
        <v>0</v>
      </c>
      <c r="H759" s="1">
        <f t="shared" si="74"/>
        <v>0</v>
      </c>
      <c r="I759" s="1">
        <f t="shared" si="75"/>
        <v>0</v>
      </c>
      <c r="J759">
        <f>IF(B759="PAL","",IFERROR(IF(C759="",VLOOKUP(B759,'General price list'!C:BA,MATCH("CBM",'General price list'!$C$20:$BA$20,0),FALSE)*D759,VLOOKUP(B759,'General price list'!C:BA,MATCH("CBM",'General price list'!$C$20:$BA$20,0),FALSE)*(G759*C759)),0))</f>
        <v>0</v>
      </c>
    </row>
    <row r="760" spans="2:10" ht="15" customHeight="1">
      <c r="B760" s="790">
        <f>IF(B759="PAL","",'General price list'!C780)</f>
        <v>0</v>
      </c>
      <c r="C760" s="1" t="str">
        <f>IF(B760="PAL","",IFERROR(VLOOKUP(B760,'General price list'!C:BA,MATCH("PAL",'General price list'!$C$20:$BA$20,0),FALSE),""))</f>
        <v/>
      </c>
      <c r="D760" s="1" t="str">
        <f>IF(B760="PAL","",IFERROR(VLOOKUP(B760,'General price list'!C:BA,MATCH("OBJ",'General price list'!$C$20:$BA$20,0),FALSE),""))</f>
        <v/>
      </c>
      <c r="E760" s="1">
        <f t="shared" si="71"/>
        <v>0</v>
      </c>
      <c r="F760" s="1">
        <f t="shared" si="72"/>
        <v>0</v>
      </c>
      <c r="G760" s="1">
        <f t="shared" si="73"/>
        <v>0</v>
      </c>
      <c r="H760" s="1">
        <f t="shared" si="74"/>
        <v>0</v>
      </c>
      <c r="I760" s="1">
        <f t="shared" si="75"/>
        <v>0</v>
      </c>
      <c r="J760">
        <f>IF(B760="PAL","",IFERROR(IF(C760="",VLOOKUP(B760,'General price list'!C:BA,MATCH("CBM",'General price list'!$C$20:$BA$20,0),FALSE)*D760,VLOOKUP(B760,'General price list'!C:BA,MATCH("CBM",'General price list'!$C$20:$BA$20,0),FALSE)*(G760*C760)),0))</f>
        <v>0</v>
      </c>
    </row>
    <row r="761" spans="2:10" ht="15" customHeight="1">
      <c r="B761" s="790" t="str">
        <f>IF(B760="PAL","",'General price list'!C781)</f>
        <v>C150MF/C14</v>
      </c>
      <c r="C761" s="1" t="str">
        <f>IF(B761="PAL","",IFERROR(VLOOKUP(B761,'General price list'!C:BA,MATCH("PAL",'General price list'!$C$20:$BA$20,0),FALSE),""))</f>
        <v/>
      </c>
      <c r="D761" s="1">
        <f>IF(B761="PAL","",IFERROR(VLOOKUP(B761,'General price list'!C:BA,MATCH("OBJ",'General price list'!$C$20:$BA$20,0),FALSE),""))</f>
        <v>0</v>
      </c>
      <c r="E761" s="1">
        <f t="shared" si="71"/>
        <v>0</v>
      </c>
      <c r="F761" s="1">
        <f t="shared" si="72"/>
        <v>0</v>
      </c>
      <c r="G761" s="1">
        <f t="shared" si="73"/>
        <v>0</v>
      </c>
      <c r="H761" s="1">
        <f t="shared" si="74"/>
        <v>0</v>
      </c>
      <c r="I761" s="1">
        <f t="shared" si="75"/>
        <v>0</v>
      </c>
      <c r="J761">
        <f>IF(B761="PAL","",IFERROR(IF(C761="",VLOOKUP(B761,'General price list'!C:BA,MATCH("CBM",'General price list'!$C$20:$BA$20,0),FALSE)*D761,VLOOKUP(B761,'General price list'!C:BA,MATCH("CBM",'General price list'!$C$20:$BA$20,0),FALSE)*(G761*C761)),0))</f>
        <v>0</v>
      </c>
    </row>
    <row r="762" spans="2:10" ht="15" customHeight="1">
      <c r="B762" s="790" t="str">
        <f>IF(B761="PAL","",'General price list'!C782)</f>
        <v>C200MF/C14</v>
      </c>
      <c r="C762" s="1" t="str">
        <f>IF(B762="PAL","",IFERROR(VLOOKUP(B762,'General price list'!C:BA,MATCH("PAL",'General price list'!$C$20:$BA$20,0),FALSE),""))</f>
        <v/>
      </c>
      <c r="D762" s="1">
        <f>IF(B762="PAL","",IFERROR(VLOOKUP(B762,'General price list'!C:BA,MATCH("OBJ",'General price list'!$C$20:$BA$20,0),FALSE),""))</f>
        <v>0</v>
      </c>
      <c r="E762" s="1">
        <f t="shared" si="71"/>
        <v>0</v>
      </c>
      <c r="F762" s="1">
        <f t="shared" si="72"/>
        <v>0</v>
      </c>
      <c r="G762" s="1">
        <f t="shared" si="73"/>
        <v>0</v>
      </c>
      <c r="H762" s="1">
        <f t="shared" si="74"/>
        <v>0</v>
      </c>
      <c r="I762" s="1">
        <f t="shared" si="75"/>
        <v>0</v>
      </c>
      <c r="J762">
        <f>IF(B762="PAL","",IFERROR(IF(C762="",VLOOKUP(B762,'General price list'!C:BA,MATCH("CBM",'General price list'!$C$20:$BA$20,0),FALSE)*D762,VLOOKUP(B762,'General price list'!C:BA,MATCH("CBM",'General price list'!$C$20:$BA$20,0),FALSE)*(G762*C762)),0))</f>
        <v>0</v>
      </c>
    </row>
    <row r="763" spans="2:10" ht="15" customHeight="1">
      <c r="B763" s="790" t="str">
        <f>IF(B762="PAL","",'General price list'!C783)</f>
        <v>C204XMPT/C14</v>
      </c>
      <c r="C763" s="1" t="str">
        <f>IF(B763="PAL","",IFERROR(VLOOKUP(B763,'General price list'!C:BA,MATCH("PAL",'General price list'!$C$20:$BA$20,0),FALSE),""))</f>
        <v/>
      </c>
      <c r="D763" s="1">
        <f>IF(B763="PAL","",IFERROR(VLOOKUP(B763,'General price list'!C:BA,MATCH("OBJ",'General price list'!$C$20:$BA$20,0),FALSE),""))</f>
        <v>0</v>
      </c>
      <c r="E763" s="1">
        <f t="shared" si="71"/>
        <v>0</v>
      </c>
      <c r="F763" s="1">
        <f t="shared" si="72"/>
        <v>0</v>
      </c>
      <c r="G763" s="1">
        <f t="shared" si="73"/>
        <v>0</v>
      </c>
      <c r="H763" s="1">
        <f t="shared" si="74"/>
        <v>0</v>
      </c>
      <c r="I763" s="1">
        <f t="shared" si="75"/>
        <v>0</v>
      </c>
      <c r="J763">
        <f>IF(B763="PAL","",IFERROR(IF(C763="",VLOOKUP(B763,'General price list'!C:BA,MATCH("CBM",'General price list'!$C$20:$BA$20,0),FALSE)*D763,VLOOKUP(B763,'General price list'!C:BA,MATCH("CBM",'General price list'!$C$20:$BA$20,0),FALSE)*(G763*C763)),0))</f>
        <v>0</v>
      </c>
    </row>
    <row r="764" spans="2:10" ht="15" customHeight="1">
      <c r="B764" s="790" t="str">
        <f>IF(B763="PAL","",'General price list'!C784)</f>
        <v>C216XMFS/C14</v>
      </c>
      <c r="C764" s="1" t="str">
        <f>IF(B764="PAL","",IFERROR(VLOOKUP(B764,'General price list'!C:BA,MATCH("PAL",'General price list'!$C$20:$BA$20,0),FALSE),""))</f>
        <v/>
      </c>
      <c r="D764" s="1">
        <f>IF(B764="PAL","",IFERROR(VLOOKUP(B764,'General price list'!C:BA,MATCH("OBJ",'General price list'!$C$20:$BA$20,0),FALSE),""))</f>
        <v>0</v>
      </c>
      <c r="E764" s="1">
        <f t="shared" si="71"/>
        <v>0</v>
      </c>
      <c r="F764" s="1">
        <f t="shared" si="72"/>
        <v>0</v>
      </c>
      <c r="G764" s="1">
        <f t="shared" si="73"/>
        <v>0</v>
      </c>
      <c r="H764" s="1">
        <f t="shared" si="74"/>
        <v>0</v>
      </c>
      <c r="I764" s="1">
        <f t="shared" si="75"/>
        <v>0</v>
      </c>
      <c r="J764">
        <f>IF(B764="PAL","",IFERROR(IF(C764="",VLOOKUP(B764,'General price list'!C:BA,MATCH("CBM",'General price list'!$C$20:$BA$20,0),FALSE)*D764,VLOOKUP(B764,'General price list'!C:BA,MATCH("CBM",'General price list'!$C$20:$BA$20,0),FALSE)*(G764*C764)),0))</f>
        <v>0</v>
      </c>
    </row>
    <row r="765" spans="2:10" ht="15" customHeight="1">
      <c r="B765" s="790" t="str">
        <f>IF(B764="PAL","",'General price list'!C785)</f>
        <v>C223XMK/C14</v>
      </c>
      <c r="C765" s="1" t="str">
        <f>IF(B765="PAL","",IFERROR(VLOOKUP(B765,'General price list'!C:BA,MATCH("PAL",'General price list'!$C$20:$BA$20,0),FALSE),""))</f>
        <v/>
      </c>
      <c r="D765" s="1">
        <f>IF(B765="PAL","",IFERROR(VLOOKUP(B765,'General price list'!C:BA,MATCH("OBJ",'General price list'!$C$20:$BA$20,0),FALSE),""))</f>
        <v>0</v>
      </c>
      <c r="E765" s="1">
        <f t="shared" si="71"/>
        <v>0</v>
      </c>
      <c r="F765" s="1">
        <f t="shared" si="72"/>
        <v>0</v>
      </c>
      <c r="G765" s="1">
        <f t="shared" si="73"/>
        <v>0</v>
      </c>
      <c r="H765" s="1">
        <f t="shared" si="74"/>
        <v>0</v>
      </c>
      <c r="I765" s="1">
        <f t="shared" si="75"/>
        <v>0</v>
      </c>
      <c r="J765">
        <f>IF(B765="PAL","",IFERROR(IF(C765="",VLOOKUP(B765,'General price list'!C:BA,MATCH("CBM",'General price list'!$C$20:$BA$20,0),FALSE)*D765,VLOOKUP(B765,'General price list'!C:BA,MATCH("CBM",'General price list'!$C$20:$BA$20,0),FALSE)*(G765*C765)),0))</f>
        <v>0</v>
      </c>
    </row>
    <row r="766" spans="2:10" ht="15" customHeight="1">
      <c r="B766" s="790" t="str">
        <f>IF(B765="PAL","",'General price list'!C786)</f>
        <v>C510MXU/C14</v>
      </c>
      <c r="C766" s="1" t="str">
        <f>IF(B766="PAL","",IFERROR(VLOOKUP(B766,'General price list'!C:BA,MATCH("PAL",'General price list'!$C$20:$BA$20,0),FALSE),""))</f>
        <v/>
      </c>
      <c r="D766" s="1">
        <f>IF(B766="PAL","",IFERROR(VLOOKUP(B766,'General price list'!C:BA,MATCH("OBJ",'General price list'!$C$20:$BA$20,0),FALSE),""))</f>
        <v>0</v>
      </c>
      <c r="E766" s="1">
        <f t="shared" si="71"/>
        <v>0</v>
      </c>
      <c r="F766" s="1">
        <f t="shared" si="72"/>
        <v>0</v>
      </c>
      <c r="G766" s="1">
        <f t="shared" si="73"/>
        <v>0</v>
      </c>
      <c r="H766" s="1">
        <f t="shared" si="74"/>
        <v>0</v>
      </c>
      <c r="I766" s="1">
        <f t="shared" si="75"/>
        <v>0</v>
      </c>
      <c r="J766">
        <f>IF(B766="PAL","",IFERROR(IF(C766="",VLOOKUP(B766,'General price list'!C:BA,MATCH("CBM",'General price list'!$C$20:$BA$20,0),FALSE)*D766,VLOOKUP(B766,'General price list'!C:BA,MATCH("CBM",'General price list'!$C$20:$BA$20,0),FALSE)*(G766*C766)),0))</f>
        <v>0</v>
      </c>
    </row>
    <row r="767" spans="2:10" ht="15" customHeight="1">
      <c r="B767" s="790">
        <f>IF(B766="PAL","",'General price list'!C787)</f>
        <v>0</v>
      </c>
      <c r="C767" s="1" t="str">
        <f>IF(B767="PAL","",IFERROR(VLOOKUP(B767,'General price list'!C:BA,MATCH("PAL",'General price list'!$C$20:$BA$20,0),FALSE),""))</f>
        <v/>
      </c>
      <c r="D767" s="1" t="str">
        <f>IF(B767="PAL","",IFERROR(VLOOKUP(B767,'General price list'!C:BA,MATCH("OBJ",'General price list'!$C$20:$BA$20,0),FALSE),""))</f>
        <v/>
      </c>
      <c r="E767" s="1">
        <f t="shared" si="71"/>
        <v>0</v>
      </c>
      <c r="F767" s="1">
        <f t="shared" si="72"/>
        <v>0</v>
      </c>
      <c r="G767" s="1">
        <f t="shared" si="73"/>
        <v>0</v>
      </c>
      <c r="H767" s="1">
        <f t="shared" si="74"/>
        <v>0</v>
      </c>
      <c r="I767" s="1">
        <f t="shared" si="75"/>
        <v>0</v>
      </c>
      <c r="J767">
        <f>IF(B767="PAL","",IFERROR(IF(C767="",VLOOKUP(B767,'General price list'!C:BA,MATCH("CBM",'General price list'!$C$20:$BA$20,0),FALSE)*D767,VLOOKUP(B767,'General price list'!C:BA,MATCH("CBM",'General price list'!$C$20:$BA$20,0),FALSE)*(G767*C767)),0))</f>
        <v>0</v>
      </c>
    </row>
    <row r="768" spans="2:10" ht="15" customHeight="1">
      <c r="B768" s="790" t="str">
        <f>IF(B767="PAL","",'General price list'!C788)</f>
        <v>C132XMPT/C</v>
      </c>
      <c r="C768" s="1" t="str">
        <f>IF(B768="PAL","",IFERROR(VLOOKUP(B768,'General price list'!C:BA,MATCH("PAL",'General price list'!$C$20:$BA$20,0),FALSE),""))</f>
        <v/>
      </c>
      <c r="D768" s="1">
        <f>IF(B768="PAL","",IFERROR(VLOOKUP(B768,'General price list'!C:BA,MATCH("OBJ",'General price list'!$C$20:$BA$20,0),FALSE),""))</f>
        <v>0</v>
      </c>
      <c r="E768" s="1">
        <f t="shared" si="71"/>
        <v>0</v>
      </c>
      <c r="F768" s="1">
        <f t="shared" si="72"/>
        <v>0</v>
      </c>
      <c r="G768" s="1">
        <f t="shared" si="73"/>
        <v>0</v>
      </c>
      <c r="H768" s="1">
        <f t="shared" si="74"/>
        <v>0</v>
      </c>
      <c r="I768" s="1">
        <f t="shared" si="75"/>
        <v>0</v>
      </c>
      <c r="J768">
        <f>IF(B768="PAL","",IFERROR(IF(C768="",VLOOKUP(B768,'General price list'!C:BA,MATCH("CBM",'General price list'!$C$20:$BA$20,0),FALSE)*D768,VLOOKUP(B768,'General price list'!C:BA,MATCH("CBM",'General price list'!$C$20:$BA$20,0),FALSE)*(G768*C768)),0))</f>
        <v>0</v>
      </c>
    </row>
    <row r="769" spans="2:10" ht="15" customHeight="1">
      <c r="B769" s="790" t="str">
        <f>IF(B768="PAL","",'General price list'!C789)</f>
        <v>C150MPT/C</v>
      </c>
      <c r="C769" s="1" t="str">
        <f>IF(B769="PAL","",IFERROR(VLOOKUP(B769,'General price list'!C:BA,MATCH("PAL",'General price list'!$C$20:$BA$20,0),FALSE),""))</f>
        <v/>
      </c>
      <c r="D769" s="1">
        <f>IF(B769="PAL","",IFERROR(VLOOKUP(B769,'General price list'!C:BA,MATCH("OBJ",'General price list'!$C$20:$BA$20,0),FALSE),""))</f>
        <v>0</v>
      </c>
      <c r="E769" s="1">
        <f t="shared" si="71"/>
        <v>0</v>
      </c>
      <c r="F769" s="1">
        <f t="shared" si="72"/>
        <v>0</v>
      </c>
      <c r="G769" s="1">
        <f t="shared" si="73"/>
        <v>0</v>
      </c>
      <c r="H769" s="1">
        <f t="shared" si="74"/>
        <v>0</v>
      </c>
      <c r="I769" s="1">
        <f t="shared" si="75"/>
        <v>0</v>
      </c>
      <c r="J769">
        <f>IF(B769="PAL","",IFERROR(IF(C769="",VLOOKUP(B769,'General price list'!C:BA,MATCH("CBM",'General price list'!$C$20:$BA$20,0),FALSE)*D769,VLOOKUP(B769,'General price list'!C:BA,MATCH("CBM",'General price list'!$C$20:$BA$20,0),FALSE)*(G769*C769)),0))</f>
        <v>0</v>
      </c>
    </row>
    <row r="770" spans="2:10" ht="15" customHeight="1">
      <c r="B770" s="790" t="str">
        <f>IF(B769="PAL","",'General price list'!C790)</f>
        <v>C150MF/C</v>
      </c>
      <c r="C770" s="1" t="str">
        <f>IF(B770="PAL","",IFERROR(VLOOKUP(B770,'General price list'!C:BA,MATCH("PAL",'General price list'!$C$20:$BA$20,0),FALSE),""))</f>
        <v/>
      </c>
      <c r="D770" s="1">
        <f>IF(B770="PAL","",IFERROR(VLOOKUP(B770,'General price list'!C:BA,MATCH("OBJ",'General price list'!$C$20:$BA$20,0),FALSE),""))</f>
        <v>0</v>
      </c>
      <c r="E770" s="1">
        <f t="shared" si="71"/>
        <v>0</v>
      </c>
      <c r="F770" s="1">
        <f t="shared" si="72"/>
        <v>0</v>
      </c>
      <c r="G770" s="1">
        <f t="shared" si="73"/>
        <v>0</v>
      </c>
      <c r="H770" s="1">
        <f t="shared" si="74"/>
        <v>0</v>
      </c>
      <c r="I770" s="1">
        <f t="shared" si="75"/>
        <v>0</v>
      </c>
      <c r="J770">
        <f>IF(B770="PAL","",IFERROR(IF(C770="",VLOOKUP(B770,'General price list'!C:BA,MATCH("CBM",'General price list'!$C$20:$BA$20,0),FALSE)*D770,VLOOKUP(B770,'General price list'!C:BA,MATCH("CBM",'General price list'!$C$20:$BA$20,0),FALSE)*(G770*C770)),0))</f>
        <v>0</v>
      </c>
    </row>
    <row r="771" spans="2:10" ht="15" customHeight="1">
      <c r="B771" s="790" t="str">
        <f>IF(B770="PAL","",'General price list'!C791)</f>
        <v>C200MF/C</v>
      </c>
      <c r="C771" s="1" t="str">
        <f>IF(B771="PAL","",IFERROR(VLOOKUP(B771,'General price list'!C:BA,MATCH("PAL",'General price list'!$C$20:$BA$20,0),FALSE),""))</f>
        <v/>
      </c>
      <c r="D771" s="1">
        <f>IF(B771="PAL","",IFERROR(VLOOKUP(B771,'General price list'!C:BA,MATCH("OBJ",'General price list'!$C$20:$BA$20,0),FALSE),""))</f>
        <v>0</v>
      </c>
      <c r="E771" s="1">
        <f t="shared" si="71"/>
        <v>0</v>
      </c>
      <c r="F771" s="1">
        <f t="shared" si="72"/>
        <v>0</v>
      </c>
      <c r="G771" s="1">
        <f t="shared" si="73"/>
        <v>0</v>
      </c>
      <c r="H771" s="1">
        <f t="shared" si="74"/>
        <v>0</v>
      </c>
      <c r="I771" s="1">
        <f t="shared" si="75"/>
        <v>0</v>
      </c>
      <c r="J771">
        <f>IF(B771="PAL","",IFERROR(IF(C771="",VLOOKUP(B771,'General price list'!C:BA,MATCH("CBM",'General price list'!$C$20:$BA$20,0),FALSE)*D771,VLOOKUP(B771,'General price list'!C:BA,MATCH("CBM",'General price list'!$C$20:$BA$20,0),FALSE)*(G771*C771)),0))</f>
        <v>0</v>
      </c>
    </row>
    <row r="772" spans="2:10" ht="15" customHeight="1">
      <c r="B772" s="790" t="str">
        <f>IF(B771="PAL","",'General price list'!C792)</f>
        <v>C204XMPT/C</v>
      </c>
      <c r="C772" s="1" t="str">
        <f>IF(B772="PAL","",IFERROR(VLOOKUP(B772,'General price list'!C:BA,MATCH("PAL",'General price list'!$C$20:$BA$20,0),FALSE),""))</f>
        <v/>
      </c>
      <c r="D772" s="1">
        <f>IF(B772="PAL","",IFERROR(VLOOKUP(B772,'General price list'!C:BA,MATCH("OBJ",'General price list'!$C$20:$BA$20,0),FALSE),""))</f>
        <v>0</v>
      </c>
      <c r="E772" s="1">
        <f t="shared" si="71"/>
        <v>0</v>
      </c>
      <c r="F772" s="1">
        <f t="shared" si="72"/>
        <v>0</v>
      </c>
      <c r="G772" s="1">
        <f t="shared" si="73"/>
        <v>0</v>
      </c>
      <c r="H772" s="1">
        <f t="shared" si="74"/>
        <v>0</v>
      </c>
      <c r="I772" s="1">
        <f t="shared" si="75"/>
        <v>0</v>
      </c>
      <c r="J772">
        <f>IF(B772="PAL","",IFERROR(IF(C772="",VLOOKUP(B772,'General price list'!C:BA,MATCH("CBM",'General price list'!$C$20:$BA$20,0),FALSE)*D772,VLOOKUP(B772,'General price list'!C:BA,MATCH("CBM",'General price list'!$C$20:$BA$20,0),FALSE)*(G772*C772)),0))</f>
        <v>0</v>
      </c>
    </row>
    <row r="773" spans="2:10" ht="15" customHeight="1">
      <c r="B773" s="790" t="str">
        <f>IF(B772="PAL","",'General price list'!C793)</f>
        <v>C216XMFS/C</v>
      </c>
      <c r="C773" s="1" t="str">
        <f>IF(B773="PAL","",IFERROR(VLOOKUP(B773,'General price list'!C:BA,MATCH("PAL",'General price list'!$C$20:$BA$20,0),FALSE),""))</f>
        <v/>
      </c>
      <c r="D773" s="1">
        <f>IF(B773="PAL","",IFERROR(VLOOKUP(B773,'General price list'!C:BA,MATCH("OBJ",'General price list'!$C$20:$BA$20,0),FALSE),""))</f>
        <v>0</v>
      </c>
      <c r="E773" s="1">
        <f t="shared" si="71"/>
        <v>0</v>
      </c>
      <c r="F773" s="1">
        <f t="shared" si="72"/>
        <v>0</v>
      </c>
      <c r="G773" s="1">
        <f t="shared" si="73"/>
        <v>0</v>
      </c>
      <c r="H773" s="1">
        <f t="shared" si="74"/>
        <v>0</v>
      </c>
      <c r="I773" s="1">
        <f t="shared" si="75"/>
        <v>0</v>
      </c>
      <c r="J773">
        <f>IF(B773="PAL","",IFERROR(IF(C773="",VLOOKUP(B773,'General price list'!C:BA,MATCH("CBM",'General price list'!$C$20:$BA$20,0),FALSE)*D773,VLOOKUP(B773,'General price list'!C:BA,MATCH("CBM",'General price list'!$C$20:$BA$20,0),FALSE)*(G773*C773)),0))</f>
        <v>0</v>
      </c>
    </row>
    <row r="774" spans="2:10" ht="15" customHeight="1">
      <c r="B774" s="790" t="str">
        <f>IF(B773="PAL","",'General price list'!C794)</f>
        <v>C223XMK/C</v>
      </c>
      <c r="C774" s="1" t="str">
        <f>IF(B774="PAL","",IFERROR(VLOOKUP(B774,'General price list'!C:BA,MATCH("PAL",'General price list'!$C$20:$BA$20,0),FALSE),""))</f>
        <v/>
      </c>
      <c r="D774" s="1">
        <f>IF(B774="PAL","",IFERROR(VLOOKUP(B774,'General price list'!C:BA,MATCH("OBJ",'General price list'!$C$20:$BA$20,0),FALSE),""))</f>
        <v>0</v>
      </c>
      <c r="E774" s="1">
        <f t="shared" si="71"/>
        <v>0</v>
      </c>
      <c r="F774" s="1">
        <f t="shared" si="72"/>
        <v>0</v>
      </c>
      <c r="G774" s="1">
        <f t="shared" si="73"/>
        <v>0</v>
      </c>
      <c r="H774" s="1">
        <f t="shared" si="74"/>
        <v>0</v>
      </c>
      <c r="I774" s="1">
        <f t="shared" si="75"/>
        <v>0</v>
      </c>
      <c r="J774">
        <f>IF(B774="PAL","",IFERROR(IF(C774="",VLOOKUP(B774,'General price list'!C:BA,MATCH("CBM",'General price list'!$C$20:$BA$20,0),FALSE)*D774,VLOOKUP(B774,'General price list'!C:BA,MATCH("CBM",'General price list'!$C$20:$BA$20,0),FALSE)*(G774*C774)),0))</f>
        <v>0</v>
      </c>
    </row>
    <row r="775" spans="2:10" ht="15" customHeight="1">
      <c r="B775" s="790" t="str">
        <f>IF(B774="PAL","",'General price list'!C795)</f>
        <v>C248MXY/C</v>
      </c>
      <c r="C775" s="1" t="str">
        <f>IF(B775="PAL","",IFERROR(VLOOKUP(B775,'General price list'!C:BA,MATCH("PAL",'General price list'!$C$20:$BA$20,0),FALSE),""))</f>
        <v/>
      </c>
      <c r="D775" s="1">
        <f>IF(B775="PAL","",IFERROR(VLOOKUP(B775,'General price list'!C:BA,MATCH("OBJ",'General price list'!$C$20:$BA$20,0),FALSE),""))</f>
        <v>0</v>
      </c>
      <c r="E775" s="1">
        <f t="shared" si="71"/>
        <v>0</v>
      </c>
      <c r="F775" s="1">
        <f t="shared" si="72"/>
        <v>0</v>
      </c>
      <c r="G775" s="1">
        <f t="shared" si="73"/>
        <v>0</v>
      </c>
      <c r="H775" s="1">
        <f t="shared" si="74"/>
        <v>0</v>
      </c>
      <c r="I775" s="1">
        <f t="shared" si="75"/>
        <v>0</v>
      </c>
      <c r="J775">
        <f>IF(B775="PAL","",IFERROR(IF(C775="",VLOOKUP(B775,'General price list'!C:BA,MATCH("CBM",'General price list'!$C$20:$BA$20,0),FALSE)*D775,VLOOKUP(B775,'General price list'!C:BA,MATCH("CBM",'General price list'!$C$20:$BA$20,0),FALSE)*(G775*C775)),0))</f>
        <v>0</v>
      </c>
    </row>
    <row r="776" spans="2:10" ht="15" customHeight="1">
      <c r="B776" s="790" t="str">
        <f>IF(B775="PAL","",'General price list'!C796)</f>
        <v>C252MXB/C</v>
      </c>
      <c r="C776" s="1" t="str">
        <f>IF(B776="PAL","",IFERROR(VLOOKUP(B776,'General price list'!C:BA,MATCH("PAL",'General price list'!$C$20:$BA$20,0),FALSE),""))</f>
        <v/>
      </c>
      <c r="D776" s="1">
        <f>IF(B776="PAL","",IFERROR(VLOOKUP(B776,'General price list'!C:BA,MATCH("OBJ",'General price list'!$C$20:$BA$20,0),FALSE),""))</f>
        <v>0</v>
      </c>
      <c r="E776" s="1">
        <f t="shared" si="71"/>
        <v>0</v>
      </c>
      <c r="F776" s="1">
        <f t="shared" si="72"/>
        <v>0</v>
      </c>
      <c r="G776" s="1">
        <f t="shared" si="73"/>
        <v>0</v>
      </c>
      <c r="H776" s="1">
        <f t="shared" si="74"/>
        <v>0</v>
      </c>
      <c r="I776" s="1">
        <f t="shared" si="75"/>
        <v>0</v>
      </c>
      <c r="J776">
        <f>IF(B776="PAL","",IFERROR(IF(C776="",VLOOKUP(B776,'General price list'!C:BA,MATCH("CBM",'General price list'!$C$20:$BA$20,0),FALSE)*D776,VLOOKUP(B776,'General price list'!C:BA,MATCH("CBM",'General price list'!$C$20:$BA$20,0),FALSE)*(G776*C776)),0))</f>
        <v>0</v>
      </c>
    </row>
    <row r="777" spans="2:10" ht="15" customHeight="1">
      <c r="B777" s="790" t="str">
        <f>IF(B776="PAL","",'General price list'!C797)</f>
        <v>C316MXF/C</v>
      </c>
      <c r="C777" s="1" t="str">
        <f>IF(B777="PAL","",IFERROR(VLOOKUP(B777,'General price list'!C:BA,MATCH("PAL",'General price list'!$C$20:$BA$20,0),FALSE),""))</f>
        <v/>
      </c>
      <c r="D777" s="1">
        <f>IF(B777="PAL","",IFERROR(VLOOKUP(B777,'General price list'!C:BA,MATCH("OBJ",'General price list'!$C$20:$BA$20,0),FALSE),""))</f>
        <v>0</v>
      </c>
      <c r="E777" s="1">
        <f t="shared" si="71"/>
        <v>0</v>
      </c>
      <c r="F777" s="1">
        <f t="shared" si="72"/>
        <v>0</v>
      </c>
      <c r="G777" s="1">
        <f t="shared" si="73"/>
        <v>0</v>
      </c>
      <c r="H777" s="1">
        <f t="shared" si="74"/>
        <v>0</v>
      </c>
      <c r="I777" s="1">
        <f t="shared" si="75"/>
        <v>0</v>
      </c>
      <c r="J777">
        <f>IF(B777="PAL","",IFERROR(IF(C777="",VLOOKUP(B777,'General price list'!C:BA,MATCH("CBM",'General price list'!$C$20:$BA$20,0),FALSE)*D777,VLOOKUP(B777,'General price list'!C:BA,MATCH("CBM",'General price list'!$C$20:$BA$20,0),FALSE)*(G777*C777)),0))</f>
        <v>0</v>
      </c>
    </row>
    <row r="778" spans="2:10" ht="15" customHeight="1">
      <c r="B778" s="790" t="str">
        <f>IF(B777="PAL","",'General price list'!C798)</f>
        <v>C342MXG/C</v>
      </c>
      <c r="C778" s="1" t="str">
        <f>IF(B778="PAL","",IFERROR(VLOOKUP(B778,'General price list'!C:BA,MATCH("PAL",'General price list'!$C$20:$BA$20,0),FALSE),""))</f>
        <v/>
      </c>
      <c r="D778" s="1">
        <f>IF(B778="PAL","",IFERROR(VLOOKUP(B778,'General price list'!C:BA,MATCH("OBJ",'General price list'!$C$20:$BA$20,0),FALSE),""))</f>
        <v>0</v>
      </c>
      <c r="E778" s="1">
        <f t="shared" si="71"/>
        <v>0</v>
      </c>
      <c r="F778" s="1">
        <f t="shared" si="72"/>
        <v>0</v>
      </c>
      <c r="G778" s="1">
        <f t="shared" si="73"/>
        <v>0</v>
      </c>
      <c r="H778" s="1">
        <f t="shared" si="74"/>
        <v>0</v>
      </c>
      <c r="I778" s="1">
        <f t="shared" si="75"/>
        <v>0</v>
      </c>
      <c r="J778">
        <f>IF(B778="PAL","",IFERROR(IF(C778="",VLOOKUP(B778,'General price list'!C:BA,MATCH("CBM",'General price list'!$C$20:$BA$20,0),FALSE)*D778,VLOOKUP(B778,'General price list'!C:BA,MATCH("CBM",'General price list'!$C$20:$BA$20,0),FALSE)*(G778*C778)),0))</f>
        <v>0</v>
      </c>
    </row>
    <row r="779" spans="2:10" ht="15" customHeight="1">
      <c r="B779" s="790" t="str">
        <f>IF(B778="PAL","",'General price list'!C799)</f>
        <v>C500MXB/C</v>
      </c>
      <c r="C779" s="1" t="str">
        <f>IF(B779="PAL","",IFERROR(VLOOKUP(B779,'General price list'!C:BA,MATCH("PAL",'General price list'!$C$20:$BA$20,0),FALSE),""))</f>
        <v/>
      </c>
      <c r="D779" s="1">
        <f>IF(B779="PAL","",IFERROR(VLOOKUP(B779,'General price list'!C:BA,MATCH("OBJ",'General price list'!$C$20:$BA$20,0),FALSE),""))</f>
        <v>0</v>
      </c>
      <c r="E779" s="1">
        <f t="shared" si="71"/>
        <v>0</v>
      </c>
      <c r="F779" s="1">
        <f t="shared" si="72"/>
        <v>0</v>
      </c>
      <c r="G779" s="1">
        <f t="shared" si="73"/>
        <v>0</v>
      </c>
      <c r="H779" s="1">
        <f t="shared" si="74"/>
        <v>0</v>
      </c>
      <c r="I779" s="1">
        <f t="shared" si="75"/>
        <v>0</v>
      </c>
      <c r="J779">
        <f>IF(B779="PAL","",IFERROR(IF(C779="",VLOOKUP(B779,'General price list'!C:BA,MATCH("CBM",'General price list'!$C$20:$BA$20,0),FALSE)*D779,VLOOKUP(B779,'General price list'!C:BA,MATCH("CBM",'General price list'!$C$20:$BA$20,0),FALSE)*(G779*C779)),0))</f>
        <v>0</v>
      </c>
    </row>
    <row r="780" spans="2:10" ht="15" customHeight="1">
      <c r="B780" s="790">
        <f>IF(B779="PAL","",'General price list'!C800)</f>
        <v>0</v>
      </c>
      <c r="C780" s="1" t="str">
        <f>IF(B780="PAL","",IFERROR(VLOOKUP(B780,'General price list'!C:BA,MATCH("PAL",'General price list'!$C$20:$BA$20,0),FALSE),""))</f>
        <v/>
      </c>
      <c r="D780" s="1" t="str">
        <f>IF(B780="PAL","",IFERROR(VLOOKUP(B780,'General price list'!C:BA,MATCH("OBJ",'General price list'!$C$20:$BA$20,0),FALSE),""))</f>
        <v/>
      </c>
      <c r="E780" s="1">
        <f t="shared" ref="E780:E843" si="76">IF(B780="PAL","",IFERROR(D780/C780,0))</f>
        <v>0</v>
      </c>
      <c r="F780" s="1">
        <f t="shared" ref="F780:F843" si="77">IF(B780="PAL","",IFERROR(FLOOR(IF(E780-1&lt;0,0,E780),1),0))</f>
        <v>0</v>
      </c>
      <c r="G780" s="1">
        <f t="shared" ref="G780:G843" si="78">IF(B780="PAL","",IFERROR(IF(H780&gt;E780,F780-E780,E780-F780),0))</f>
        <v>0</v>
      </c>
      <c r="H780" s="1">
        <f t="shared" ref="H780:H843" si="79">IF(B780="PAL","",IFERROR(IF(E780=0,0,F780),0))</f>
        <v>0</v>
      </c>
      <c r="I780" s="1">
        <f t="shared" ref="I780:I843" si="80">IF(B780="PAL","",IFERROR(IF(D780=0,0,IF(F780=0,(D780*nextVK)+(prvniVK-nextVK),(G780*C780*nextVK)+(F780*PALzKoje))),0))</f>
        <v>0</v>
      </c>
      <c r="J780">
        <f>IF(B780="PAL","",IFERROR(IF(C780="",VLOOKUP(B780,'General price list'!C:BA,MATCH("CBM",'General price list'!$C$20:$BA$20,0),FALSE)*D780,VLOOKUP(B780,'General price list'!C:BA,MATCH("CBM",'General price list'!$C$20:$BA$20,0),FALSE)*(G780*C780)),0))</f>
        <v>0</v>
      </c>
    </row>
    <row r="781" spans="2:10" ht="15" customHeight="1">
      <c r="B781" s="790" t="str">
        <f>IF(B780="PAL","",'General price list'!C801)</f>
        <v>C1-C2 C425MXM/C14</v>
      </c>
      <c r="C781" s="1" t="str">
        <f>IF(B781="PAL","",IFERROR(VLOOKUP(B781,'General price list'!C:BA,MATCH("PAL",'General price list'!$C$20:$BA$20,0),FALSE),""))</f>
        <v/>
      </c>
      <c r="D781" s="1">
        <f>IF(B781="PAL","",IFERROR(VLOOKUP(B781,'General price list'!C:BA,MATCH("OBJ",'General price list'!$C$20:$BA$20,0),FALSE),""))</f>
        <v>0</v>
      </c>
      <c r="E781" s="1">
        <f t="shared" si="76"/>
        <v>0</v>
      </c>
      <c r="F781" s="1">
        <f t="shared" si="77"/>
        <v>0</v>
      </c>
      <c r="G781" s="1">
        <f t="shared" si="78"/>
        <v>0</v>
      </c>
      <c r="H781" s="1">
        <f t="shared" si="79"/>
        <v>0</v>
      </c>
      <c r="I781" s="1">
        <f t="shared" si="80"/>
        <v>0</v>
      </c>
      <c r="J781">
        <f>IF(B781="PAL","",IFERROR(IF(C781="",VLOOKUP(B781,'General price list'!C:BA,MATCH("CBM",'General price list'!$C$20:$BA$20,0),FALSE)*D781,VLOOKUP(B781,'General price list'!C:BA,MATCH("CBM",'General price list'!$C$20:$BA$20,0),FALSE)*(G781*C781)),0))</f>
        <v>0</v>
      </c>
    </row>
    <row r="782" spans="2:10" ht="15" customHeight="1">
      <c r="B782" s="790" t="str">
        <f>IF(B781="PAL","",'General price list'!C802)</f>
        <v>C3-C4 C234MXD/C14</v>
      </c>
      <c r="C782" s="1" t="str">
        <f>IF(B782="PAL","",IFERROR(VLOOKUP(B782,'General price list'!C:BA,MATCH("PAL",'General price list'!$C$20:$BA$20,0),FALSE),""))</f>
        <v/>
      </c>
      <c r="D782" s="1">
        <f>IF(B782="PAL","",IFERROR(VLOOKUP(B782,'General price list'!C:BA,MATCH("OBJ",'General price list'!$C$20:$BA$20,0),FALSE),""))</f>
        <v>0</v>
      </c>
      <c r="E782" s="1">
        <f t="shared" si="76"/>
        <v>0</v>
      </c>
      <c r="F782" s="1">
        <f t="shared" si="77"/>
        <v>0</v>
      </c>
      <c r="G782" s="1">
        <f t="shared" si="78"/>
        <v>0</v>
      </c>
      <c r="H782" s="1">
        <f t="shared" si="79"/>
        <v>0</v>
      </c>
      <c r="I782" s="1">
        <f t="shared" si="80"/>
        <v>0</v>
      </c>
      <c r="J782">
        <f>IF(B782="PAL","",IFERROR(IF(C782="",VLOOKUP(B782,'General price list'!C:BA,MATCH("CBM",'General price list'!$C$20:$BA$20,0),FALSE)*D782,VLOOKUP(B782,'General price list'!C:BA,MATCH("CBM",'General price list'!$C$20:$BA$20,0),FALSE)*(G782*C782)),0))</f>
        <v>0</v>
      </c>
    </row>
    <row r="783" spans="2:10" ht="15" customHeight="1">
      <c r="B783" s="790" t="str">
        <f>IF(B782="PAL","",'General price list'!C803)</f>
        <v>C5-C6 C303MXN/C14</v>
      </c>
      <c r="C783" s="1" t="str">
        <f>IF(B783="PAL","",IFERROR(VLOOKUP(B783,'General price list'!C:BA,MATCH("PAL",'General price list'!$C$20:$BA$20,0),FALSE),""))</f>
        <v/>
      </c>
      <c r="D783" s="1">
        <f>IF(B783="PAL","",IFERROR(VLOOKUP(B783,'General price list'!C:BA,MATCH("OBJ",'General price list'!$C$20:$BA$20,0),FALSE),""))</f>
        <v>0</v>
      </c>
      <c r="E783" s="1">
        <f t="shared" si="76"/>
        <v>0</v>
      </c>
      <c r="F783" s="1">
        <f t="shared" si="77"/>
        <v>0</v>
      </c>
      <c r="G783" s="1">
        <f t="shared" si="78"/>
        <v>0</v>
      </c>
      <c r="H783" s="1">
        <f t="shared" si="79"/>
        <v>0</v>
      </c>
      <c r="I783" s="1">
        <f t="shared" si="80"/>
        <v>0</v>
      </c>
      <c r="J783">
        <f>IF(B783="PAL","",IFERROR(IF(C783="",VLOOKUP(B783,'General price list'!C:BA,MATCH("CBM",'General price list'!$C$20:$BA$20,0),FALSE)*D783,VLOOKUP(B783,'General price list'!C:BA,MATCH("CBM",'General price list'!$C$20:$BA$20,0),FALSE)*(G783*C783)),0))</f>
        <v>0</v>
      </c>
    </row>
    <row r="784" spans="2:10" ht="15" customHeight="1">
      <c r="B784" s="790" t="str">
        <f>IF(B783="PAL","",'General price list'!C804)</f>
        <v>C1-C2 C632MXN/C14</v>
      </c>
      <c r="C784" s="1" t="str">
        <f>IF(B784="PAL","",IFERROR(VLOOKUP(B784,'General price list'!C:BA,MATCH("PAL",'General price list'!$C$20:$BA$20,0),FALSE),""))</f>
        <v/>
      </c>
      <c r="D784" s="1">
        <f>IF(B784="PAL","",IFERROR(VLOOKUP(B784,'General price list'!C:BA,MATCH("OBJ",'General price list'!$C$20:$BA$20,0),FALSE),""))</f>
        <v>0</v>
      </c>
      <c r="E784" s="1">
        <f t="shared" si="76"/>
        <v>0</v>
      </c>
      <c r="F784" s="1">
        <f t="shared" si="77"/>
        <v>0</v>
      </c>
      <c r="G784" s="1">
        <f t="shared" si="78"/>
        <v>0</v>
      </c>
      <c r="H784" s="1">
        <f t="shared" si="79"/>
        <v>0</v>
      </c>
      <c r="I784" s="1">
        <f t="shared" si="80"/>
        <v>0</v>
      </c>
      <c r="J784">
        <f>IF(B784="PAL","",IFERROR(IF(C784="",VLOOKUP(B784,'General price list'!C:BA,MATCH("CBM",'General price list'!$C$20:$BA$20,0),FALSE)*D784,VLOOKUP(B784,'General price list'!C:BA,MATCH("CBM",'General price list'!$C$20:$BA$20,0),FALSE)*(G784*C784)),0))</f>
        <v>0</v>
      </c>
    </row>
    <row r="785" spans="2:10" ht="15" customHeight="1">
      <c r="B785" s="790">
        <f>IF(B784="PAL","",'General price list'!C805)</f>
        <v>0</v>
      </c>
      <c r="C785" s="1" t="str">
        <f>IF(B785="PAL","",IFERROR(VLOOKUP(B785,'General price list'!C:BA,MATCH("PAL",'General price list'!$C$20:$BA$20,0),FALSE),""))</f>
        <v/>
      </c>
      <c r="D785" s="1" t="str">
        <f>IF(B785="PAL","",IFERROR(VLOOKUP(B785,'General price list'!C:BA,MATCH("OBJ",'General price list'!$C$20:$BA$20,0),FALSE),""))</f>
        <v/>
      </c>
      <c r="E785" s="1">
        <f t="shared" si="76"/>
        <v>0</v>
      </c>
      <c r="F785" s="1">
        <f t="shared" si="77"/>
        <v>0</v>
      </c>
      <c r="G785" s="1">
        <f t="shared" si="78"/>
        <v>0</v>
      </c>
      <c r="H785" s="1">
        <f t="shared" si="79"/>
        <v>0</v>
      </c>
      <c r="I785" s="1">
        <f t="shared" si="80"/>
        <v>0</v>
      </c>
      <c r="J785">
        <f>IF(B785="PAL","",IFERROR(IF(C785="",VLOOKUP(B785,'General price list'!C:BA,MATCH("CBM",'General price list'!$C$20:$BA$20,0),FALSE)*D785,VLOOKUP(B785,'General price list'!C:BA,MATCH("CBM",'General price list'!$C$20:$BA$20,0),FALSE)*(G785*C785)),0))</f>
        <v>0</v>
      </c>
    </row>
    <row r="786" spans="2:10" ht="15" customHeight="1">
      <c r="B786" s="790" t="str">
        <f>IF(B785="PAL","",'General price list'!C806)</f>
        <v>C212MF/C</v>
      </c>
      <c r="C786" s="1" t="str">
        <f>IF(B786="PAL","",IFERROR(VLOOKUP(B786,'General price list'!C:BA,MATCH("PAL",'General price list'!$C$20:$BA$20,0),FALSE),""))</f>
        <v/>
      </c>
      <c r="D786" s="1">
        <f>IF(B786="PAL","",IFERROR(VLOOKUP(B786,'General price list'!C:BA,MATCH("OBJ",'General price list'!$C$20:$BA$20,0),FALSE),""))</f>
        <v>0</v>
      </c>
      <c r="E786" s="1">
        <f t="shared" si="76"/>
        <v>0</v>
      </c>
      <c r="F786" s="1">
        <f t="shared" si="77"/>
        <v>0</v>
      </c>
      <c r="G786" s="1">
        <f t="shared" si="78"/>
        <v>0</v>
      </c>
      <c r="H786" s="1">
        <f t="shared" si="79"/>
        <v>0</v>
      </c>
      <c r="I786" s="1">
        <f t="shared" si="80"/>
        <v>0</v>
      </c>
      <c r="J786">
        <f>IF(B786="PAL","",IFERROR(IF(C786="",VLOOKUP(B786,'General price list'!C:BA,MATCH("CBM",'General price list'!$C$20:$BA$20,0),FALSE)*D786,VLOOKUP(B786,'General price list'!C:BA,MATCH("CBM",'General price list'!$C$20:$BA$20,0),FALSE)*(G786*C786)),0))</f>
        <v>0</v>
      </c>
    </row>
    <row r="787" spans="2:10" ht="15" customHeight="1">
      <c r="B787" s="790" t="str">
        <f>IF(B786="PAL","",'General price list'!C807)</f>
        <v>C219XMPT/C</v>
      </c>
      <c r="C787" s="1" t="str">
        <f>IF(B787="PAL","",IFERROR(VLOOKUP(B787,'General price list'!C:BA,MATCH("PAL",'General price list'!$C$20:$BA$20,0),FALSE),""))</f>
        <v/>
      </c>
      <c r="D787" s="1">
        <f>IF(B787="PAL","",IFERROR(VLOOKUP(B787,'General price list'!C:BA,MATCH("OBJ",'General price list'!$C$20:$BA$20,0),FALSE),""))</f>
        <v>0</v>
      </c>
      <c r="E787" s="1">
        <f t="shared" si="76"/>
        <v>0</v>
      </c>
      <c r="F787" s="1">
        <f t="shared" si="77"/>
        <v>0</v>
      </c>
      <c r="G787" s="1">
        <f t="shared" si="78"/>
        <v>0</v>
      </c>
      <c r="H787" s="1">
        <f t="shared" si="79"/>
        <v>0</v>
      </c>
      <c r="I787" s="1">
        <f t="shared" si="80"/>
        <v>0</v>
      </c>
      <c r="J787">
        <f>IF(B787="PAL","",IFERROR(IF(C787="",VLOOKUP(B787,'General price list'!C:BA,MATCH("CBM",'General price list'!$C$20:$BA$20,0),FALSE)*D787,VLOOKUP(B787,'General price list'!C:BA,MATCH("CBM",'General price list'!$C$20:$BA$20,0),FALSE)*(G787*C787)),0))</f>
        <v>0</v>
      </c>
    </row>
    <row r="788" spans="2:10" ht="15" customHeight="1">
      <c r="B788" s="790" t="str">
        <f>IF(B787="PAL","",'General price list'!C808)</f>
        <v>C253XMPT/C</v>
      </c>
      <c r="C788" s="1" t="str">
        <f>IF(B788="PAL","",IFERROR(VLOOKUP(B788,'General price list'!C:BA,MATCH("PAL",'General price list'!$C$20:$BA$20,0),FALSE),""))</f>
        <v/>
      </c>
      <c r="D788" s="1">
        <f>IF(B788="PAL","",IFERROR(VLOOKUP(B788,'General price list'!C:BA,MATCH("OBJ",'General price list'!$C$20:$BA$20,0),FALSE),""))</f>
        <v>0</v>
      </c>
      <c r="E788" s="1">
        <f t="shared" si="76"/>
        <v>0</v>
      </c>
      <c r="F788" s="1">
        <f t="shared" si="77"/>
        <v>0</v>
      </c>
      <c r="G788" s="1">
        <f t="shared" si="78"/>
        <v>0</v>
      </c>
      <c r="H788" s="1">
        <f t="shared" si="79"/>
        <v>0</v>
      </c>
      <c r="I788" s="1">
        <f t="shared" si="80"/>
        <v>0</v>
      </c>
      <c r="J788">
        <f>IF(B788="PAL","",IFERROR(IF(C788="",VLOOKUP(B788,'General price list'!C:BA,MATCH("CBM",'General price list'!$C$20:$BA$20,0),FALSE)*D788,VLOOKUP(B788,'General price list'!C:BA,MATCH("CBM",'General price list'!$C$20:$BA$20,0),FALSE)*(G788*C788)),0))</f>
        <v>0</v>
      </c>
    </row>
    <row r="789" spans="2:10" ht="15" customHeight="1">
      <c r="B789" s="790" t="str">
        <f>IF(B788="PAL","",'General price list'!C809)</f>
        <v>C379XMK/C</v>
      </c>
      <c r="C789" s="1" t="str">
        <f>IF(B789="PAL","",IFERROR(VLOOKUP(B789,'General price list'!C:BA,MATCH("PAL",'General price list'!$C$20:$BA$20,0),FALSE),""))</f>
        <v/>
      </c>
      <c r="D789" s="1">
        <f>IF(B789="PAL","",IFERROR(VLOOKUP(B789,'General price list'!C:BA,MATCH("OBJ",'General price list'!$C$20:$BA$20,0),FALSE),""))</f>
        <v>0</v>
      </c>
      <c r="E789" s="1">
        <f t="shared" si="76"/>
        <v>0</v>
      </c>
      <c r="F789" s="1">
        <f t="shared" si="77"/>
        <v>0</v>
      </c>
      <c r="G789" s="1">
        <f t="shared" si="78"/>
        <v>0</v>
      </c>
      <c r="H789" s="1">
        <f t="shared" si="79"/>
        <v>0</v>
      </c>
      <c r="I789" s="1">
        <f t="shared" si="80"/>
        <v>0</v>
      </c>
      <c r="J789">
        <f>IF(B789="PAL","",IFERROR(IF(C789="",VLOOKUP(B789,'General price list'!C:BA,MATCH("CBM",'General price list'!$C$20:$BA$20,0),FALSE)*D789,VLOOKUP(B789,'General price list'!C:BA,MATCH("CBM",'General price list'!$C$20:$BA$20,0),FALSE)*(G789*C789)),0))</f>
        <v>0</v>
      </c>
    </row>
    <row r="790" spans="2:10" ht="15" customHeight="1">
      <c r="B790" s="790">
        <f>IF(B789="PAL","",'General price list'!C810)</f>
        <v>0</v>
      </c>
      <c r="C790" s="1" t="str">
        <f>IF(B790="PAL","",IFERROR(VLOOKUP(B790,'General price list'!C:BA,MATCH("PAL",'General price list'!$C$20:$BA$20,0),FALSE),""))</f>
        <v/>
      </c>
      <c r="D790" s="1" t="str">
        <f>IF(B790="PAL","",IFERROR(VLOOKUP(B790,'General price list'!C:BA,MATCH("OBJ",'General price list'!$C$20:$BA$20,0),FALSE),""))</f>
        <v/>
      </c>
      <c r="E790" s="1">
        <f t="shared" si="76"/>
        <v>0</v>
      </c>
      <c r="F790" s="1">
        <f t="shared" si="77"/>
        <v>0</v>
      </c>
      <c r="G790" s="1">
        <f t="shared" si="78"/>
        <v>0</v>
      </c>
      <c r="H790" s="1">
        <f t="shared" si="79"/>
        <v>0</v>
      </c>
      <c r="I790" s="1">
        <f t="shared" si="80"/>
        <v>0</v>
      </c>
      <c r="J790">
        <f>IF(B790="PAL","",IFERROR(IF(C790="",VLOOKUP(B790,'General price list'!C:BA,MATCH("CBM",'General price list'!$C$20:$BA$20,0),FALSE)*D790,VLOOKUP(B790,'General price list'!C:BA,MATCH("CBM",'General price list'!$C$20:$BA$20,0),FALSE)*(G790*C790)),0))</f>
        <v>0</v>
      </c>
    </row>
    <row r="791" spans="2:10" ht="15" customHeight="1">
      <c r="B791" s="790">
        <f>IF(B790="PAL","",'General price list'!C811)</f>
        <v>0</v>
      </c>
      <c r="C791" s="1" t="str">
        <f>IF(B791="PAL","",IFERROR(VLOOKUP(B791,'General price list'!C:BA,MATCH("PAL",'General price list'!$C$20:$BA$20,0),FALSE),""))</f>
        <v/>
      </c>
      <c r="D791" s="1" t="str">
        <f>IF(B791="PAL","",IFERROR(VLOOKUP(B791,'General price list'!C:BA,MATCH("OBJ",'General price list'!$C$20:$BA$20,0),FALSE),""))</f>
        <v/>
      </c>
      <c r="E791" s="1">
        <f t="shared" si="76"/>
        <v>0</v>
      </c>
      <c r="F791" s="1">
        <f t="shared" si="77"/>
        <v>0</v>
      </c>
      <c r="G791" s="1">
        <f t="shared" si="78"/>
        <v>0</v>
      </c>
      <c r="H791" s="1">
        <f t="shared" si="79"/>
        <v>0</v>
      </c>
      <c r="I791" s="1">
        <f t="shared" si="80"/>
        <v>0</v>
      </c>
      <c r="J791">
        <f>IF(B791="PAL","",IFERROR(IF(C791="",VLOOKUP(B791,'General price list'!C:BA,MATCH("CBM",'General price list'!$C$20:$BA$20,0),FALSE)*D791,VLOOKUP(B791,'General price list'!C:BA,MATCH("CBM",'General price list'!$C$20:$BA$20,0),FALSE)*(G791*C791)),0))</f>
        <v>0</v>
      </c>
    </row>
    <row r="792" spans="2:10" ht="15" customHeight="1">
      <c r="B792" s="790" t="str">
        <f>IF(B791="PAL","",'General price list'!C812)</f>
        <v>C23MO</v>
      </c>
      <c r="C792" s="1" t="str">
        <f>IF(B792="PAL","",IFERROR(VLOOKUP(B792,'General price list'!C:BA,MATCH("PAL",'General price list'!$C$20:$BA$20,0),FALSE),""))</f>
        <v/>
      </c>
      <c r="D792" s="1">
        <f>IF(B792="PAL","",IFERROR(VLOOKUP(B792,'General price list'!C:BA,MATCH("OBJ",'General price list'!$C$20:$BA$20,0),FALSE),""))</f>
        <v>0</v>
      </c>
      <c r="E792" s="1">
        <f t="shared" si="76"/>
        <v>0</v>
      </c>
      <c r="F792" s="1">
        <f t="shared" si="77"/>
        <v>0</v>
      </c>
      <c r="G792" s="1">
        <f t="shared" si="78"/>
        <v>0</v>
      </c>
      <c r="H792" s="1">
        <f t="shared" si="79"/>
        <v>0</v>
      </c>
      <c r="I792" s="1">
        <f t="shared" si="80"/>
        <v>0</v>
      </c>
      <c r="J792">
        <f>IF(B792="PAL","",IFERROR(IF(C792="",VLOOKUP(B792,'General price list'!C:BA,MATCH("CBM",'General price list'!$C$20:$BA$20,0),FALSE)*D792,VLOOKUP(B792,'General price list'!C:BA,MATCH("CBM",'General price list'!$C$20:$BA$20,0),FALSE)*(G792*C792)),0))</f>
        <v>0</v>
      </c>
    </row>
    <row r="793" spans="2:10" ht="15" customHeight="1">
      <c r="B793" s="790">
        <f>IF(B792="PAL","",'General price list'!C813)</f>
        <v>0</v>
      </c>
      <c r="C793" s="1" t="str">
        <f>IF(B793="PAL","",IFERROR(VLOOKUP(B793,'General price list'!C:BA,MATCH("PAL",'General price list'!$C$20:$BA$20,0),FALSE),""))</f>
        <v/>
      </c>
      <c r="D793" s="1" t="str">
        <f>IF(B793="PAL","",IFERROR(VLOOKUP(B793,'General price list'!C:BA,MATCH("OBJ",'General price list'!$C$20:$BA$20,0),FALSE),""))</f>
        <v/>
      </c>
      <c r="E793" s="1">
        <f t="shared" si="76"/>
        <v>0</v>
      </c>
      <c r="F793" s="1">
        <f t="shared" si="77"/>
        <v>0</v>
      </c>
      <c r="G793" s="1">
        <f t="shared" si="78"/>
        <v>0</v>
      </c>
      <c r="H793" s="1">
        <f t="shared" si="79"/>
        <v>0</v>
      </c>
      <c r="I793" s="1">
        <f t="shared" si="80"/>
        <v>0</v>
      </c>
      <c r="J793">
        <f>IF(B793="PAL","",IFERROR(IF(C793="",VLOOKUP(B793,'General price list'!C:BA,MATCH("CBM",'General price list'!$C$20:$BA$20,0),FALSE)*D793,VLOOKUP(B793,'General price list'!C:BA,MATCH("CBM",'General price list'!$C$20:$BA$20,0),FALSE)*(G793*C793)),0))</f>
        <v>0</v>
      </c>
    </row>
    <row r="794" spans="2:10" ht="15" customHeight="1">
      <c r="B794" s="790" t="str">
        <f>IF(B793="PAL","",'General price list'!C814)</f>
        <v>C24MH</v>
      </c>
      <c r="C794" s="1" t="str">
        <f>IF(B794="PAL","",IFERROR(VLOOKUP(B794,'General price list'!C:BA,MATCH("PAL",'General price list'!$C$20:$BA$20,0),FALSE),""))</f>
        <v/>
      </c>
      <c r="D794" s="1">
        <f>IF(B794="PAL","",IFERROR(VLOOKUP(B794,'General price list'!C:BA,MATCH("OBJ",'General price list'!$C$20:$BA$20,0),FALSE),""))</f>
        <v>0</v>
      </c>
      <c r="E794" s="1">
        <f t="shared" si="76"/>
        <v>0</v>
      </c>
      <c r="F794" s="1">
        <f t="shared" si="77"/>
        <v>0</v>
      </c>
      <c r="G794" s="1">
        <f t="shared" si="78"/>
        <v>0</v>
      </c>
      <c r="H794" s="1">
        <f t="shared" si="79"/>
        <v>0</v>
      </c>
      <c r="I794" s="1">
        <f t="shared" si="80"/>
        <v>0</v>
      </c>
      <c r="J794">
        <f>IF(B794="PAL","",IFERROR(IF(C794="",VLOOKUP(B794,'General price list'!C:BA,MATCH("CBM",'General price list'!$C$20:$BA$20,0),FALSE)*D794,VLOOKUP(B794,'General price list'!C:BA,MATCH("CBM",'General price list'!$C$20:$BA$20,0),FALSE)*(G794*C794)),0))</f>
        <v>0</v>
      </c>
    </row>
    <row r="795" spans="2:10" ht="15" customHeight="1">
      <c r="B795" s="790">
        <f>IF(B794="PAL","",'General price list'!C815)</f>
        <v>0</v>
      </c>
      <c r="C795" s="1" t="str">
        <f>IF(B795="PAL","",IFERROR(VLOOKUP(B795,'General price list'!C:BA,MATCH("PAL",'General price list'!$C$20:$BA$20,0),FALSE),""))</f>
        <v/>
      </c>
      <c r="D795" s="1" t="str">
        <f>IF(B795="PAL","",IFERROR(VLOOKUP(B795,'General price list'!C:BA,MATCH("OBJ",'General price list'!$C$20:$BA$20,0),FALSE),""))</f>
        <v/>
      </c>
      <c r="E795" s="1">
        <f t="shared" si="76"/>
        <v>0</v>
      </c>
      <c r="F795" s="1">
        <f t="shared" si="77"/>
        <v>0</v>
      </c>
      <c r="G795" s="1">
        <f t="shared" si="78"/>
        <v>0</v>
      </c>
      <c r="H795" s="1">
        <f t="shared" si="79"/>
        <v>0</v>
      </c>
      <c r="I795" s="1">
        <f t="shared" si="80"/>
        <v>0</v>
      </c>
      <c r="J795">
        <f>IF(B795="PAL","",IFERROR(IF(C795="",VLOOKUP(B795,'General price list'!C:BA,MATCH("CBM",'General price list'!$C$20:$BA$20,0),FALSE)*D795,VLOOKUP(B795,'General price list'!C:BA,MATCH("CBM",'General price list'!$C$20:$BA$20,0),FALSE)*(G795*C795)),0))</f>
        <v>0</v>
      </c>
    </row>
    <row r="796" spans="2:10" ht="15" customHeight="1">
      <c r="B796" s="790" t="str">
        <f>IF(B795="PAL","",'General price list'!C816)</f>
        <v>C36MH</v>
      </c>
      <c r="C796" s="1" t="str">
        <f>IF(B796="PAL","",IFERROR(VLOOKUP(B796,'General price list'!C:BA,MATCH("PAL",'General price list'!$C$20:$BA$20,0),FALSE),""))</f>
        <v/>
      </c>
      <c r="D796" s="1">
        <f>IF(B796="PAL","",IFERROR(VLOOKUP(B796,'General price list'!C:BA,MATCH("OBJ",'General price list'!$C$20:$BA$20,0),FALSE),""))</f>
        <v>0</v>
      </c>
      <c r="E796" s="1">
        <f t="shared" si="76"/>
        <v>0</v>
      </c>
      <c r="F796" s="1">
        <f t="shared" si="77"/>
        <v>0</v>
      </c>
      <c r="G796" s="1">
        <f t="shared" si="78"/>
        <v>0</v>
      </c>
      <c r="H796" s="1">
        <f t="shared" si="79"/>
        <v>0</v>
      </c>
      <c r="I796" s="1">
        <f t="shared" si="80"/>
        <v>0</v>
      </c>
      <c r="J796">
        <f>IF(B796="PAL","",IFERROR(IF(C796="",VLOOKUP(B796,'General price list'!C:BA,MATCH("CBM",'General price list'!$C$20:$BA$20,0),FALSE)*D796,VLOOKUP(B796,'General price list'!C:BA,MATCH("CBM",'General price list'!$C$20:$BA$20,0),FALSE)*(G796*C796)),0))</f>
        <v>0</v>
      </c>
    </row>
    <row r="797" spans="2:10" ht="15" customHeight="1">
      <c r="B797" s="790">
        <f>IF(B796="PAL","",'General price list'!C817)</f>
        <v>0</v>
      </c>
      <c r="C797" s="1" t="str">
        <f>IF(B797="PAL","",IFERROR(VLOOKUP(B797,'General price list'!C:BA,MATCH("PAL",'General price list'!$C$20:$BA$20,0),FALSE),""))</f>
        <v/>
      </c>
      <c r="D797" s="1" t="str">
        <f>IF(B797="PAL","",IFERROR(VLOOKUP(B797,'General price list'!C:BA,MATCH("OBJ",'General price list'!$C$20:$BA$20,0),FALSE),""))</f>
        <v/>
      </c>
      <c r="E797" s="1">
        <f t="shared" si="76"/>
        <v>0</v>
      </c>
      <c r="F797" s="1">
        <f t="shared" si="77"/>
        <v>0</v>
      </c>
      <c r="G797" s="1">
        <f t="shared" si="78"/>
        <v>0</v>
      </c>
      <c r="H797" s="1">
        <f t="shared" si="79"/>
        <v>0</v>
      </c>
      <c r="I797" s="1">
        <f t="shared" si="80"/>
        <v>0</v>
      </c>
      <c r="J797">
        <f>IF(B797="PAL","",IFERROR(IF(C797="",VLOOKUP(B797,'General price list'!C:BA,MATCH("CBM",'General price list'!$C$20:$BA$20,0),FALSE)*D797,VLOOKUP(B797,'General price list'!C:BA,MATCH("CBM",'General price list'!$C$20:$BA$20,0),FALSE)*(G797*C797)),0))</f>
        <v>0</v>
      </c>
    </row>
    <row r="798" spans="2:10" ht="15" customHeight="1">
      <c r="B798" s="790" t="str">
        <f>IF(B797="PAL","",'General price list'!C818)</f>
        <v>C42MM</v>
      </c>
      <c r="C798" s="1" t="str">
        <f>IF(B798="PAL","",IFERROR(VLOOKUP(B798,'General price list'!C:BA,MATCH("PAL",'General price list'!$C$20:$BA$20,0),FALSE),""))</f>
        <v/>
      </c>
      <c r="D798" s="1">
        <f>IF(B798="PAL","",IFERROR(VLOOKUP(B798,'General price list'!C:BA,MATCH("OBJ",'General price list'!$C$20:$BA$20,0),FALSE),""))</f>
        <v>0</v>
      </c>
      <c r="E798" s="1">
        <f t="shared" si="76"/>
        <v>0</v>
      </c>
      <c r="F798" s="1">
        <f t="shared" si="77"/>
        <v>0</v>
      </c>
      <c r="G798" s="1">
        <f t="shared" si="78"/>
        <v>0</v>
      </c>
      <c r="H798" s="1">
        <f t="shared" si="79"/>
        <v>0</v>
      </c>
      <c r="I798" s="1">
        <f t="shared" si="80"/>
        <v>0</v>
      </c>
      <c r="J798">
        <f>IF(B798="PAL","",IFERROR(IF(C798="",VLOOKUP(B798,'General price list'!C:BA,MATCH("CBM",'General price list'!$C$20:$BA$20,0),FALSE)*D798,VLOOKUP(B798,'General price list'!C:BA,MATCH("CBM",'General price list'!$C$20:$BA$20,0),FALSE)*(G798*C798)),0))</f>
        <v>0</v>
      </c>
    </row>
    <row r="799" spans="2:10" ht="15" customHeight="1">
      <c r="B799" s="790">
        <f>IF(B798="PAL","",'General price list'!C819)</f>
        <v>0</v>
      </c>
      <c r="C799" s="1" t="str">
        <f>IF(B799="PAL","",IFERROR(VLOOKUP(B799,'General price list'!C:BA,MATCH("PAL",'General price list'!$C$20:$BA$20,0),FALSE),""))</f>
        <v/>
      </c>
      <c r="D799" s="1" t="str">
        <f>IF(B799="PAL","",IFERROR(VLOOKUP(B799,'General price list'!C:BA,MATCH("OBJ",'General price list'!$C$20:$BA$20,0),FALSE),""))</f>
        <v/>
      </c>
      <c r="E799" s="1">
        <f t="shared" si="76"/>
        <v>0</v>
      </c>
      <c r="F799" s="1">
        <f t="shared" si="77"/>
        <v>0</v>
      </c>
      <c r="G799" s="1">
        <f t="shared" si="78"/>
        <v>0</v>
      </c>
      <c r="H799" s="1">
        <f t="shared" si="79"/>
        <v>0</v>
      </c>
      <c r="I799" s="1">
        <f t="shared" si="80"/>
        <v>0</v>
      </c>
      <c r="J799">
        <f>IF(B799="PAL","",IFERROR(IF(C799="",VLOOKUP(B799,'General price list'!C:BA,MATCH("CBM",'General price list'!$C$20:$BA$20,0),FALSE)*D799,VLOOKUP(B799,'General price list'!C:BA,MATCH("CBM",'General price list'!$C$20:$BA$20,0),FALSE)*(G799*C799)),0))</f>
        <v>0</v>
      </c>
    </row>
    <row r="800" spans="2:10" ht="15" customHeight="1">
      <c r="B800" s="790" t="str">
        <f>IF(B799="PAL","",'General price list'!C820)</f>
        <v>C47MB</v>
      </c>
      <c r="C800" s="1" t="str">
        <f>IF(B800="PAL","",IFERROR(VLOOKUP(B800,'General price list'!C:BA,MATCH("PAL",'General price list'!$C$20:$BA$20,0),FALSE),""))</f>
        <v/>
      </c>
      <c r="D800" s="1">
        <f>IF(B800="PAL","",IFERROR(VLOOKUP(B800,'General price list'!C:BA,MATCH("OBJ",'General price list'!$C$20:$BA$20,0),FALSE),""))</f>
        <v>0</v>
      </c>
      <c r="E800" s="1">
        <f t="shared" si="76"/>
        <v>0</v>
      </c>
      <c r="F800" s="1">
        <f t="shared" si="77"/>
        <v>0</v>
      </c>
      <c r="G800" s="1">
        <f t="shared" si="78"/>
        <v>0</v>
      </c>
      <c r="H800" s="1">
        <f t="shared" si="79"/>
        <v>0</v>
      </c>
      <c r="I800" s="1">
        <f t="shared" si="80"/>
        <v>0</v>
      </c>
      <c r="J800">
        <f>IF(B800="PAL","",IFERROR(IF(C800="",VLOOKUP(B800,'General price list'!C:BA,MATCH("CBM",'General price list'!$C$20:$BA$20,0),FALSE)*D800,VLOOKUP(B800,'General price list'!C:BA,MATCH("CBM",'General price list'!$C$20:$BA$20,0),FALSE)*(G800*C800)),0))</f>
        <v>0</v>
      </c>
    </row>
    <row r="801" spans="2:10" ht="15" customHeight="1">
      <c r="B801" s="790" t="str">
        <f>IF(B800="PAL","",'General price list'!C821)</f>
        <v>C47XMT</v>
      </c>
      <c r="C801" s="1" t="str">
        <f>IF(B801="PAL","",IFERROR(VLOOKUP(B801,'General price list'!C:BA,MATCH("PAL",'General price list'!$C$20:$BA$20,0),FALSE),""))</f>
        <v/>
      </c>
      <c r="D801" s="1">
        <f>IF(B801="PAL","",IFERROR(VLOOKUP(B801,'General price list'!C:BA,MATCH("OBJ",'General price list'!$C$20:$BA$20,0),FALSE),""))</f>
        <v>0</v>
      </c>
      <c r="E801" s="1">
        <f t="shared" si="76"/>
        <v>0</v>
      </c>
      <c r="F801" s="1">
        <f t="shared" si="77"/>
        <v>0</v>
      </c>
      <c r="G801" s="1">
        <f t="shared" si="78"/>
        <v>0</v>
      </c>
      <c r="H801" s="1">
        <f t="shared" si="79"/>
        <v>0</v>
      </c>
      <c r="I801" s="1">
        <f t="shared" si="80"/>
        <v>0</v>
      </c>
      <c r="J801">
        <f>IF(B801="PAL","",IFERROR(IF(C801="",VLOOKUP(B801,'General price list'!C:BA,MATCH("CBM",'General price list'!$C$20:$BA$20,0),FALSE)*D801,VLOOKUP(B801,'General price list'!C:BA,MATCH("CBM",'General price list'!$C$20:$BA$20,0),FALSE)*(G801*C801)),0))</f>
        <v>0</v>
      </c>
    </row>
    <row r="802" spans="2:10" ht="15" customHeight="1">
      <c r="B802" s="790">
        <f>IF(B801="PAL","",'General price list'!C822)</f>
        <v>0</v>
      </c>
      <c r="C802" s="1" t="str">
        <f>IF(B802="PAL","",IFERROR(VLOOKUP(B802,'General price list'!C:BA,MATCH("PAL",'General price list'!$C$20:$BA$20,0),FALSE),""))</f>
        <v/>
      </c>
      <c r="D802" s="1" t="str">
        <f>IF(B802="PAL","",IFERROR(VLOOKUP(B802,'General price list'!C:BA,MATCH("OBJ",'General price list'!$C$20:$BA$20,0),FALSE),""))</f>
        <v/>
      </c>
      <c r="E802" s="1">
        <f t="shared" si="76"/>
        <v>0</v>
      </c>
      <c r="F802" s="1">
        <f t="shared" si="77"/>
        <v>0</v>
      </c>
      <c r="G802" s="1">
        <f t="shared" si="78"/>
        <v>0</v>
      </c>
      <c r="H802" s="1">
        <f t="shared" si="79"/>
        <v>0</v>
      </c>
      <c r="I802" s="1">
        <f t="shared" si="80"/>
        <v>0</v>
      </c>
      <c r="J802">
        <f>IF(B802="PAL","",IFERROR(IF(C802="",VLOOKUP(B802,'General price list'!C:BA,MATCH("CBM",'General price list'!$C$20:$BA$20,0),FALSE)*D802,VLOOKUP(B802,'General price list'!C:BA,MATCH("CBM",'General price list'!$C$20:$BA$20,0),FALSE)*(G802*C802)),0))</f>
        <v>0</v>
      </c>
    </row>
    <row r="803" spans="2:10" ht="15" customHeight="1">
      <c r="B803" s="790" t="str">
        <f>IF(B802="PAL","",'General price list'!C823)</f>
        <v>C63MM</v>
      </c>
      <c r="C803" s="1" t="str">
        <f>IF(B803="PAL","",IFERROR(VLOOKUP(B803,'General price list'!C:BA,MATCH("PAL",'General price list'!$C$20:$BA$20,0),FALSE),""))</f>
        <v/>
      </c>
      <c r="D803" s="1">
        <f>IF(B803="PAL","",IFERROR(VLOOKUP(B803,'General price list'!C:BA,MATCH("OBJ",'General price list'!$C$20:$BA$20,0),FALSE),""))</f>
        <v>0</v>
      </c>
      <c r="E803" s="1">
        <f t="shared" si="76"/>
        <v>0</v>
      </c>
      <c r="F803" s="1">
        <f t="shared" si="77"/>
        <v>0</v>
      </c>
      <c r="G803" s="1">
        <f t="shared" si="78"/>
        <v>0</v>
      </c>
      <c r="H803" s="1">
        <f t="shared" si="79"/>
        <v>0</v>
      </c>
      <c r="I803" s="1">
        <f t="shared" si="80"/>
        <v>0</v>
      </c>
      <c r="J803">
        <f>IF(B803="PAL","",IFERROR(IF(C803="",VLOOKUP(B803,'General price list'!C:BA,MATCH("CBM",'General price list'!$C$20:$BA$20,0),FALSE)*D803,VLOOKUP(B803,'General price list'!C:BA,MATCH("CBM",'General price list'!$C$20:$BA$20,0),FALSE)*(G803*C803)),0))</f>
        <v>0</v>
      </c>
    </row>
    <row r="804" spans="2:10" ht="15" customHeight="1">
      <c r="B804" s="790">
        <f>IF(B803="PAL","",'General price list'!C824)</f>
        <v>0</v>
      </c>
      <c r="C804" s="1" t="str">
        <f>IF(B804="PAL","",IFERROR(VLOOKUP(B804,'General price list'!C:BA,MATCH("PAL",'General price list'!$C$20:$BA$20,0),FALSE),""))</f>
        <v/>
      </c>
      <c r="D804" s="1" t="str">
        <f>IF(B804="PAL","",IFERROR(VLOOKUP(B804,'General price list'!C:BA,MATCH("OBJ",'General price list'!$C$20:$BA$20,0),FALSE),""))</f>
        <v/>
      </c>
      <c r="E804" s="1">
        <f t="shared" si="76"/>
        <v>0</v>
      </c>
      <c r="F804" s="1">
        <f t="shared" si="77"/>
        <v>0</v>
      </c>
      <c r="G804" s="1">
        <f t="shared" si="78"/>
        <v>0</v>
      </c>
      <c r="H804" s="1">
        <f t="shared" si="79"/>
        <v>0</v>
      </c>
      <c r="I804" s="1">
        <f t="shared" si="80"/>
        <v>0</v>
      </c>
      <c r="J804">
        <f>IF(B804="PAL","",IFERROR(IF(C804="",VLOOKUP(B804,'General price list'!C:BA,MATCH("CBM",'General price list'!$C$20:$BA$20,0),FALSE)*D804,VLOOKUP(B804,'General price list'!C:BA,MATCH("CBM",'General price list'!$C$20:$BA$20,0),FALSE)*(G804*C804)),0))</f>
        <v>0</v>
      </c>
    </row>
    <row r="805" spans="2:10" ht="15" customHeight="1">
      <c r="B805" s="790" t="str">
        <f>IF(B804="PAL","",'General price list'!C825)</f>
        <v>C66SMMO</v>
      </c>
      <c r="C805" s="1" t="str">
        <f>IF(B805="PAL","",IFERROR(VLOOKUP(B805,'General price list'!C:BA,MATCH("PAL",'General price list'!$C$20:$BA$20,0),FALSE),""))</f>
        <v/>
      </c>
      <c r="D805" s="1">
        <f>IF(B805="PAL","",IFERROR(VLOOKUP(B805,'General price list'!C:BA,MATCH("OBJ",'General price list'!$C$20:$BA$20,0),FALSE),""))</f>
        <v>0</v>
      </c>
      <c r="E805" s="1">
        <f t="shared" si="76"/>
        <v>0</v>
      </c>
      <c r="F805" s="1">
        <f t="shared" si="77"/>
        <v>0</v>
      </c>
      <c r="G805" s="1">
        <f t="shared" si="78"/>
        <v>0</v>
      </c>
      <c r="H805" s="1">
        <f t="shared" si="79"/>
        <v>0</v>
      </c>
      <c r="I805" s="1">
        <f t="shared" si="80"/>
        <v>0</v>
      </c>
      <c r="J805">
        <f>IF(B805="PAL","",IFERROR(IF(C805="",VLOOKUP(B805,'General price list'!C:BA,MATCH("CBM",'General price list'!$C$20:$BA$20,0),FALSE)*D805,VLOOKUP(B805,'General price list'!C:BA,MATCH("CBM",'General price list'!$C$20:$BA$20,0),FALSE)*(G805*C805)),0))</f>
        <v>0</v>
      </c>
    </row>
    <row r="806" spans="2:10" ht="15" customHeight="1">
      <c r="B806" s="790">
        <f>IF(B805="PAL","",'General price list'!C826)</f>
        <v>0</v>
      </c>
      <c r="C806" s="1" t="str">
        <f>IF(B806="PAL","",IFERROR(VLOOKUP(B806,'General price list'!C:BA,MATCH("PAL",'General price list'!$C$20:$BA$20,0),FALSE),""))</f>
        <v/>
      </c>
      <c r="D806" s="1" t="str">
        <f>IF(B806="PAL","",IFERROR(VLOOKUP(B806,'General price list'!C:BA,MATCH("OBJ",'General price list'!$C$20:$BA$20,0),FALSE),""))</f>
        <v/>
      </c>
      <c r="E806" s="1">
        <f t="shared" si="76"/>
        <v>0</v>
      </c>
      <c r="F806" s="1">
        <f t="shared" si="77"/>
        <v>0</v>
      </c>
      <c r="G806" s="1">
        <f t="shared" si="78"/>
        <v>0</v>
      </c>
      <c r="H806" s="1">
        <f t="shared" si="79"/>
        <v>0</v>
      </c>
      <c r="I806" s="1">
        <f t="shared" si="80"/>
        <v>0</v>
      </c>
      <c r="J806">
        <f>IF(B806="PAL","",IFERROR(IF(C806="",VLOOKUP(B806,'General price list'!C:BA,MATCH("CBM",'General price list'!$C$20:$BA$20,0),FALSE)*D806,VLOOKUP(B806,'General price list'!C:BA,MATCH("CBM",'General price list'!$C$20:$BA$20,0),FALSE)*(G806*C806)),0))</f>
        <v>0</v>
      </c>
    </row>
    <row r="807" spans="2:10" ht="15" customHeight="1">
      <c r="B807" s="790" t="str">
        <f>IF(B806="PAL","",'General price list'!C827)</f>
        <v>C84M12F/C</v>
      </c>
      <c r="C807" s="1" t="str">
        <f>IF(B807="PAL","",IFERROR(VLOOKUP(B807,'General price list'!C:BA,MATCH("PAL",'General price list'!$C$20:$BA$20,0),FALSE),""))</f>
        <v/>
      </c>
      <c r="D807" s="1">
        <f>IF(B807="PAL","",IFERROR(VLOOKUP(B807,'General price list'!C:BA,MATCH("OBJ",'General price list'!$C$20:$BA$20,0),FALSE),""))</f>
        <v>0</v>
      </c>
      <c r="E807" s="1">
        <f t="shared" si="76"/>
        <v>0</v>
      </c>
      <c r="F807" s="1">
        <f t="shared" si="77"/>
        <v>0</v>
      </c>
      <c r="G807" s="1">
        <f t="shared" si="78"/>
        <v>0</v>
      </c>
      <c r="H807" s="1">
        <f t="shared" si="79"/>
        <v>0</v>
      </c>
      <c r="I807" s="1">
        <f t="shared" si="80"/>
        <v>0</v>
      </c>
      <c r="J807">
        <f>IF(B807="PAL","",IFERROR(IF(C807="",VLOOKUP(B807,'General price list'!C:BA,MATCH("CBM",'General price list'!$C$20:$BA$20,0),FALSE)*D807,VLOOKUP(B807,'General price list'!C:BA,MATCH("CBM",'General price list'!$C$20:$BA$20,0),FALSE)*(G807*C807)),0))</f>
        <v>0</v>
      </c>
    </row>
    <row r="808" spans="2:10" ht="15" customHeight="1">
      <c r="B808" s="790" t="str">
        <f>IF(B807="PAL","",'General price list'!C828)</f>
        <v>C84MC/C</v>
      </c>
      <c r="C808" s="1" t="str">
        <f>IF(B808="PAL","",IFERROR(VLOOKUP(B808,'General price list'!C:BA,MATCH("PAL",'General price list'!$C$20:$BA$20,0),FALSE),""))</f>
        <v/>
      </c>
      <c r="D808" s="1">
        <f>IF(B808="PAL","",IFERROR(VLOOKUP(B808,'General price list'!C:BA,MATCH("OBJ",'General price list'!$C$20:$BA$20,0),FALSE),""))</f>
        <v>0</v>
      </c>
      <c r="E808" s="1">
        <f t="shared" si="76"/>
        <v>0</v>
      </c>
      <c r="F808" s="1">
        <f t="shared" si="77"/>
        <v>0</v>
      </c>
      <c r="G808" s="1">
        <f t="shared" si="78"/>
        <v>0</v>
      </c>
      <c r="H808" s="1">
        <f t="shared" si="79"/>
        <v>0</v>
      </c>
      <c r="I808" s="1">
        <f t="shared" si="80"/>
        <v>0</v>
      </c>
      <c r="J808">
        <f>IF(B808="PAL","",IFERROR(IF(C808="",VLOOKUP(B808,'General price list'!C:BA,MATCH("CBM",'General price list'!$C$20:$BA$20,0),FALSE)*D808,VLOOKUP(B808,'General price list'!C:BA,MATCH("CBM",'General price list'!$C$20:$BA$20,0),FALSE)*(G808*C808)),0))</f>
        <v>0</v>
      </c>
    </row>
    <row r="809" spans="2:10" ht="15" customHeight="1">
      <c r="B809" s="790" t="str">
        <f>IF(B808="PAL","",'General price list'!C829)</f>
        <v>C175MSIG/C</v>
      </c>
      <c r="C809" s="1" t="str">
        <f>IF(B809="PAL","",IFERROR(VLOOKUP(B809,'General price list'!C:BA,MATCH("PAL",'General price list'!$C$20:$BA$20,0),FALSE),""))</f>
        <v/>
      </c>
      <c r="D809" s="1">
        <f>IF(B809="PAL","",IFERROR(VLOOKUP(B809,'General price list'!C:BA,MATCH("OBJ",'General price list'!$C$20:$BA$20,0),FALSE),""))</f>
        <v>0</v>
      </c>
      <c r="E809" s="1">
        <f t="shared" si="76"/>
        <v>0</v>
      </c>
      <c r="F809" s="1">
        <f t="shared" si="77"/>
        <v>0</v>
      </c>
      <c r="G809" s="1">
        <f t="shared" si="78"/>
        <v>0</v>
      </c>
      <c r="H809" s="1">
        <f t="shared" si="79"/>
        <v>0</v>
      </c>
      <c r="I809" s="1">
        <f t="shared" si="80"/>
        <v>0</v>
      </c>
      <c r="J809">
        <f>IF(B809="PAL","",IFERROR(IF(C809="",VLOOKUP(B809,'General price list'!C:BA,MATCH("CBM",'General price list'!$C$20:$BA$20,0),FALSE)*D809,VLOOKUP(B809,'General price list'!C:BA,MATCH("CBM",'General price list'!$C$20:$BA$20,0),FALSE)*(G809*C809)),0))</f>
        <v>0</v>
      </c>
    </row>
    <row r="810" spans="2:10" ht="15" customHeight="1">
      <c r="B810" s="790" t="str">
        <f>IF(B809="PAL","",'General price list'!C830)</f>
        <v>C222MNPT/C</v>
      </c>
      <c r="C810" s="1" t="str">
        <f>IF(B810="PAL","",IFERROR(VLOOKUP(B810,'General price list'!C:BA,MATCH("PAL",'General price list'!$C$20:$BA$20,0),FALSE),""))</f>
        <v/>
      </c>
      <c r="D810" s="1">
        <f>IF(B810="PAL","",IFERROR(VLOOKUP(B810,'General price list'!C:BA,MATCH("OBJ",'General price list'!$C$20:$BA$20,0),FALSE),""))</f>
        <v>0</v>
      </c>
      <c r="E810" s="1">
        <f t="shared" si="76"/>
        <v>0</v>
      </c>
      <c r="F810" s="1">
        <f t="shared" si="77"/>
        <v>0</v>
      </c>
      <c r="G810" s="1">
        <f t="shared" si="78"/>
        <v>0</v>
      </c>
      <c r="H810" s="1">
        <f t="shared" si="79"/>
        <v>0</v>
      </c>
      <c r="I810" s="1">
        <f t="shared" si="80"/>
        <v>0</v>
      </c>
      <c r="J810">
        <f>IF(B810="PAL","",IFERROR(IF(C810="",VLOOKUP(B810,'General price list'!C:BA,MATCH("CBM",'General price list'!$C$20:$BA$20,0),FALSE)*D810,VLOOKUP(B810,'General price list'!C:BA,MATCH("CBM",'General price list'!$C$20:$BA$20,0),FALSE)*(G810*C810)),0))</f>
        <v>0</v>
      </c>
    </row>
    <row r="811" spans="2:10" ht="15" customHeight="1">
      <c r="B811" s="790" t="str">
        <f>IF(B810="PAL","",'General price list'!C831)</f>
        <v>C222MF/C</v>
      </c>
      <c r="C811" s="1" t="str">
        <f>IF(B811="PAL","",IFERROR(VLOOKUP(B811,'General price list'!C:BA,MATCH("PAL",'General price list'!$C$20:$BA$20,0),FALSE),""))</f>
        <v/>
      </c>
      <c r="D811" s="1">
        <f>IF(B811="PAL","",IFERROR(VLOOKUP(B811,'General price list'!C:BA,MATCH("OBJ",'General price list'!$C$20:$BA$20,0),FALSE),""))</f>
        <v>0</v>
      </c>
      <c r="E811" s="1">
        <f t="shared" si="76"/>
        <v>0</v>
      </c>
      <c r="F811" s="1">
        <f t="shared" si="77"/>
        <v>0</v>
      </c>
      <c r="G811" s="1">
        <f t="shared" si="78"/>
        <v>0</v>
      </c>
      <c r="H811" s="1">
        <f t="shared" si="79"/>
        <v>0</v>
      </c>
      <c r="I811" s="1">
        <f t="shared" si="80"/>
        <v>0</v>
      </c>
      <c r="J811">
        <f>IF(B811="PAL","",IFERROR(IF(C811="",VLOOKUP(B811,'General price list'!C:BA,MATCH("CBM",'General price list'!$C$20:$BA$20,0),FALSE)*D811,VLOOKUP(B811,'General price list'!C:BA,MATCH("CBM",'General price list'!$C$20:$BA$20,0),FALSE)*(G811*C811)),0))</f>
        <v>0</v>
      </c>
    </row>
    <row r="812" spans="2:10" ht="15" customHeight="1">
      <c r="B812" s="790">
        <f>IF(B811="PAL","",'General price list'!C832)</f>
        <v>0</v>
      </c>
      <c r="C812" s="1" t="str">
        <f>IF(B812="PAL","",IFERROR(VLOOKUP(B812,'General price list'!C:BA,MATCH("PAL",'General price list'!$C$20:$BA$20,0),FALSE),""))</f>
        <v/>
      </c>
      <c r="D812" s="1" t="str">
        <f>IF(B812="PAL","",IFERROR(VLOOKUP(B812,'General price list'!C:BA,MATCH("OBJ",'General price list'!$C$20:$BA$20,0),FALSE),""))</f>
        <v/>
      </c>
      <c r="E812" s="1">
        <f t="shared" si="76"/>
        <v>0</v>
      </c>
      <c r="F812" s="1">
        <f t="shared" si="77"/>
        <v>0</v>
      </c>
      <c r="G812" s="1">
        <f t="shared" si="78"/>
        <v>0</v>
      </c>
      <c r="H812" s="1">
        <f t="shared" si="79"/>
        <v>0</v>
      </c>
      <c r="I812" s="1">
        <f t="shared" si="80"/>
        <v>0</v>
      </c>
      <c r="J812">
        <f>IF(B812="PAL","",IFERROR(IF(C812="",VLOOKUP(B812,'General price list'!C:BA,MATCH("CBM",'General price list'!$C$20:$BA$20,0),FALSE)*D812,VLOOKUP(B812,'General price list'!C:BA,MATCH("CBM",'General price list'!$C$20:$BA$20,0),FALSE)*(G812*C812)),0))</f>
        <v>0</v>
      </c>
    </row>
    <row r="813" spans="2:10" ht="15" customHeight="1">
      <c r="B813" s="790" t="str">
        <f>IF(B812="PAL","",'General price list'!C833)</f>
        <v>C96MB</v>
      </c>
      <c r="C813" s="1" t="str">
        <f>IF(B813="PAL","",IFERROR(VLOOKUP(B813,'General price list'!C:BA,MATCH("PAL",'General price list'!$C$20:$BA$20,0),FALSE),""))</f>
        <v/>
      </c>
      <c r="D813" s="1">
        <f>IF(B813="PAL","",IFERROR(VLOOKUP(B813,'General price list'!C:BA,MATCH("OBJ",'General price list'!$C$20:$BA$20,0),FALSE),""))</f>
        <v>0</v>
      </c>
      <c r="E813" s="1">
        <f t="shared" si="76"/>
        <v>0</v>
      </c>
      <c r="F813" s="1">
        <f t="shared" si="77"/>
        <v>0</v>
      </c>
      <c r="G813" s="1">
        <f t="shared" si="78"/>
        <v>0</v>
      </c>
      <c r="H813" s="1">
        <f t="shared" si="79"/>
        <v>0</v>
      </c>
      <c r="I813" s="1">
        <f t="shared" si="80"/>
        <v>0</v>
      </c>
      <c r="J813">
        <f>IF(B813="PAL","",IFERROR(IF(C813="",VLOOKUP(B813,'General price list'!C:BA,MATCH("CBM",'General price list'!$C$20:$BA$20,0),FALSE)*D813,VLOOKUP(B813,'General price list'!C:BA,MATCH("CBM",'General price list'!$C$20:$BA$20,0),FALSE)*(G813*C813)),0))</f>
        <v>0</v>
      </c>
    </row>
    <row r="814" spans="2:10" ht="15" customHeight="1">
      <c r="B814" s="790" t="str">
        <f>IF(B813="PAL","",'General price list'!C834)</f>
        <v>C304MK</v>
      </c>
      <c r="C814" s="1" t="str">
        <f>IF(B814="PAL","",IFERROR(VLOOKUP(B814,'General price list'!C:BA,MATCH("PAL",'General price list'!$C$20:$BA$20,0),FALSE),""))</f>
        <v/>
      </c>
      <c r="D814" s="1">
        <f>IF(B814="PAL","",IFERROR(VLOOKUP(B814,'General price list'!C:BA,MATCH("OBJ",'General price list'!$C$20:$BA$20,0),FALSE),""))</f>
        <v>0</v>
      </c>
      <c r="E814" s="1">
        <f t="shared" si="76"/>
        <v>0</v>
      </c>
      <c r="F814" s="1">
        <f t="shared" si="77"/>
        <v>0</v>
      </c>
      <c r="G814" s="1">
        <f t="shared" si="78"/>
        <v>0</v>
      </c>
      <c r="H814" s="1">
        <f t="shared" si="79"/>
        <v>0</v>
      </c>
      <c r="I814" s="1">
        <f t="shared" si="80"/>
        <v>0</v>
      </c>
      <c r="J814">
        <f>IF(B814="PAL","",IFERROR(IF(C814="",VLOOKUP(B814,'General price list'!C:BA,MATCH("CBM",'General price list'!$C$20:$BA$20,0),FALSE)*D814,VLOOKUP(B814,'General price list'!C:BA,MATCH("CBM",'General price list'!$C$20:$BA$20,0),FALSE)*(G814*C814)),0))</f>
        <v>0</v>
      </c>
    </row>
    <row r="815" spans="2:10" ht="15" customHeight="1">
      <c r="B815" s="790">
        <f>IF(B814="PAL","",'General price list'!C835)</f>
        <v>0</v>
      </c>
      <c r="C815" s="1" t="str">
        <f>IF(B815="PAL","",IFERROR(VLOOKUP(B815,'General price list'!C:BA,MATCH("PAL",'General price list'!$C$20:$BA$20,0),FALSE),""))</f>
        <v/>
      </c>
      <c r="D815" s="1" t="str">
        <f>IF(B815="PAL","",IFERROR(VLOOKUP(B815,'General price list'!C:BA,MATCH("OBJ",'General price list'!$C$20:$BA$20,0),FALSE),""))</f>
        <v/>
      </c>
      <c r="E815" s="1">
        <f t="shared" si="76"/>
        <v>0</v>
      </c>
      <c r="F815" s="1">
        <f t="shared" si="77"/>
        <v>0</v>
      </c>
      <c r="G815" s="1">
        <f t="shared" si="78"/>
        <v>0</v>
      </c>
      <c r="H815" s="1">
        <f t="shared" si="79"/>
        <v>0</v>
      </c>
      <c r="I815" s="1">
        <f t="shared" si="80"/>
        <v>0</v>
      </c>
      <c r="J815">
        <f>IF(B815="PAL","",IFERROR(IF(C815="",VLOOKUP(B815,'General price list'!C:BA,MATCH("CBM",'General price list'!$C$20:$BA$20,0),FALSE)*D815,VLOOKUP(B815,'General price list'!C:BA,MATCH("CBM",'General price list'!$C$20:$BA$20,0),FALSE)*(G815*C815)),0))</f>
        <v>0</v>
      </c>
    </row>
    <row r="816" spans="2:10" ht="15" customHeight="1">
      <c r="B816" s="790" t="str">
        <f>IF(B815="PAL","",'General price list'!C836)</f>
        <v>HF26001s</v>
      </c>
      <c r="C816" s="1" t="str">
        <f>IF(B816="PAL","",IFERROR(VLOOKUP(B816,'General price list'!C:BA,MATCH("PAL",'General price list'!$C$20:$BA$20,0),FALSE),""))</f>
        <v/>
      </c>
      <c r="D816" s="1">
        <f>IF(B816="PAL","",IFERROR(VLOOKUP(B816,'General price list'!C:BA,MATCH("OBJ",'General price list'!$C$20:$BA$20,0),FALSE),""))</f>
        <v>0</v>
      </c>
      <c r="E816" s="1">
        <f t="shared" si="76"/>
        <v>0</v>
      </c>
      <c r="F816" s="1">
        <f t="shared" si="77"/>
        <v>0</v>
      </c>
      <c r="G816" s="1">
        <f t="shared" si="78"/>
        <v>0</v>
      </c>
      <c r="H816" s="1">
        <f t="shared" si="79"/>
        <v>0</v>
      </c>
      <c r="I816" s="1">
        <f t="shared" si="80"/>
        <v>0</v>
      </c>
      <c r="J816">
        <f>IF(B816="PAL","",IFERROR(IF(C816="",VLOOKUP(B816,'General price list'!C:BA,MATCH("CBM",'General price list'!$C$20:$BA$20,0),FALSE)*D816,VLOOKUP(B816,'General price list'!C:BA,MATCH("CBM",'General price list'!$C$20:$BA$20,0),FALSE)*(G816*C816)),0))</f>
        <v>0</v>
      </c>
    </row>
    <row r="817" spans="2:10" ht="15" customHeight="1">
      <c r="B817" s="790" t="str">
        <f>IF(B816="PAL","",'General price list'!C837)</f>
        <v>HF26009s</v>
      </c>
      <c r="C817" s="1" t="str">
        <f>IF(B817="PAL","",IFERROR(VLOOKUP(B817,'General price list'!C:BA,MATCH("PAL",'General price list'!$C$20:$BA$20,0),FALSE),""))</f>
        <v/>
      </c>
      <c r="D817" s="1">
        <f>IF(B817="PAL","",IFERROR(VLOOKUP(B817,'General price list'!C:BA,MATCH("OBJ",'General price list'!$C$20:$BA$20,0),FALSE),""))</f>
        <v>0</v>
      </c>
      <c r="E817" s="1">
        <f t="shared" si="76"/>
        <v>0</v>
      </c>
      <c r="F817" s="1">
        <f t="shared" si="77"/>
        <v>0</v>
      </c>
      <c r="G817" s="1">
        <f t="shared" si="78"/>
        <v>0</v>
      </c>
      <c r="H817" s="1">
        <f t="shared" si="79"/>
        <v>0</v>
      </c>
      <c r="I817" s="1">
        <f t="shared" si="80"/>
        <v>0</v>
      </c>
      <c r="J817">
        <f>IF(B817="PAL","",IFERROR(IF(C817="",VLOOKUP(B817,'General price list'!C:BA,MATCH("CBM",'General price list'!$C$20:$BA$20,0),FALSE)*D817,VLOOKUP(B817,'General price list'!C:BA,MATCH("CBM",'General price list'!$C$20:$BA$20,0),FALSE)*(G817*C817)),0))</f>
        <v>0</v>
      </c>
    </row>
    <row r="818" spans="2:10" ht="15" customHeight="1">
      <c r="B818" s="790" t="str">
        <f>IF(B817="PAL","",'General price list'!C838)</f>
        <v>HF26012</v>
      </c>
      <c r="C818" s="1" t="str">
        <f>IF(B818="PAL","",IFERROR(VLOOKUP(B818,'General price list'!C:BA,MATCH("PAL",'General price list'!$C$20:$BA$20,0),FALSE),""))</f>
        <v/>
      </c>
      <c r="D818" s="1">
        <f>IF(B818="PAL","",IFERROR(VLOOKUP(B818,'General price list'!C:BA,MATCH("OBJ",'General price list'!$C$20:$BA$20,0),FALSE),""))</f>
        <v>0</v>
      </c>
      <c r="E818" s="1">
        <f t="shared" si="76"/>
        <v>0</v>
      </c>
      <c r="F818" s="1">
        <f t="shared" si="77"/>
        <v>0</v>
      </c>
      <c r="G818" s="1">
        <f t="shared" si="78"/>
        <v>0</v>
      </c>
      <c r="H818" s="1">
        <f t="shared" si="79"/>
        <v>0</v>
      </c>
      <c r="I818" s="1">
        <f t="shared" si="80"/>
        <v>0</v>
      </c>
      <c r="J818">
        <f>IF(B818="PAL","",IFERROR(IF(C818="",VLOOKUP(B818,'General price list'!C:BA,MATCH("CBM",'General price list'!$C$20:$BA$20,0),FALSE)*D818,VLOOKUP(B818,'General price list'!C:BA,MATCH("CBM",'General price list'!$C$20:$BA$20,0),FALSE)*(G818*C818)),0))</f>
        <v>0</v>
      </c>
    </row>
    <row r="819" spans="2:10" ht="15" customHeight="1">
      <c r="B819" s="790" t="str">
        <f>IF(B818="PAL","",'General price list'!C839)</f>
        <v>HF26015</v>
      </c>
      <c r="C819" s="1" t="str">
        <f>IF(B819="PAL","",IFERROR(VLOOKUP(B819,'General price list'!C:BA,MATCH("PAL",'General price list'!$C$20:$BA$20,0),FALSE),""))</f>
        <v/>
      </c>
      <c r="D819" s="1">
        <f>IF(B819="PAL","",IFERROR(VLOOKUP(B819,'General price list'!C:BA,MATCH("OBJ",'General price list'!$C$20:$BA$20,0),FALSE),""))</f>
        <v>0</v>
      </c>
      <c r="E819" s="1">
        <f t="shared" si="76"/>
        <v>0</v>
      </c>
      <c r="F819" s="1">
        <f t="shared" si="77"/>
        <v>0</v>
      </c>
      <c r="G819" s="1">
        <f t="shared" si="78"/>
        <v>0</v>
      </c>
      <c r="H819" s="1">
        <f t="shared" si="79"/>
        <v>0</v>
      </c>
      <c r="I819" s="1">
        <f t="shared" si="80"/>
        <v>0</v>
      </c>
      <c r="J819">
        <f>IF(B819="PAL","",IFERROR(IF(C819="",VLOOKUP(B819,'General price list'!C:BA,MATCH("CBM",'General price list'!$C$20:$BA$20,0),FALSE)*D819,VLOOKUP(B819,'General price list'!C:BA,MATCH("CBM",'General price list'!$C$20:$BA$20,0),FALSE)*(G819*C819)),0))</f>
        <v>0</v>
      </c>
    </row>
    <row r="820" spans="2:10" ht="15" customHeight="1">
      <c r="B820" s="790" t="str">
        <f>IF(B819="PAL","",'General price list'!C840)</f>
        <v>HF26016s</v>
      </c>
      <c r="C820" s="1" t="str">
        <f>IF(B820="PAL","",IFERROR(VLOOKUP(B820,'General price list'!C:BA,MATCH("PAL",'General price list'!$C$20:$BA$20,0),FALSE),""))</f>
        <v/>
      </c>
      <c r="D820" s="1">
        <f>IF(B820="PAL","",IFERROR(VLOOKUP(B820,'General price list'!C:BA,MATCH("OBJ",'General price list'!$C$20:$BA$20,0),FALSE),""))</f>
        <v>0</v>
      </c>
      <c r="E820" s="1">
        <f t="shared" si="76"/>
        <v>0</v>
      </c>
      <c r="F820" s="1">
        <f t="shared" si="77"/>
        <v>0</v>
      </c>
      <c r="G820" s="1">
        <f t="shared" si="78"/>
        <v>0</v>
      </c>
      <c r="H820" s="1">
        <f t="shared" si="79"/>
        <v>0</v>
      </c>
      <c r="I820" s="1">
        <f t="shared" si="80"/>
        <v>0</v>
      </c>
      <c r="J820">
        <f>IF(B820="PAL","",IFERROR(IF(C820="",VLOOKUP(B820,'General price list'!C:BA,MATCH("CBM",'General price list'!$C$20:$BA$20,0),FALSE)*D820,VLOOKUP(B820,'General price list'!C:BA,MATCH("CBM",'General price list'!$C$20:$BA$20,0),FALSE)*(G820*C820)),0))</f>
        <v>0</v>
      </c>
    </row>
    <row r="821" spans="2:10" ht="15" customHeight="1">
      <c r="B821" s="790" t="str">
        <f>IF(B820="PAL","",'General price list'!C841)</f>
        <v>HF2387S</v>
      </c>
      <c r="C821" s="1" t="str">
        <f>IF(B821="PAL","",IFERROR(VLOOKUP(B821,'General price list'!C:BA,MATCH("PAL",'General price list'!$C$20:$BA$20,0),FALSE),""))</f>
        <v/>
      </c>
      <c r="D821" s="1">
        <f>IF(B821="PAL","",IFERROR(VLOOKUP(B821,'General price list'!C:BA,MATCH("OBJ",'General price list'!$C$20:$BA$20,0),FALSE),""))</f>
        <v>0</v>
      </c>
      <c r="E821" s="1">
        <f t="shared" si="76"/>
        <v>0</v>
      </c>
      <c r="F821" s="1">
        <f t="shared" si="77"/>
        <v>0</v>
      </c>
      <c r="G821" s="1">
        <f t="shared" si="78"/>
        <v>0</v>
      </c>
      <c r="H821" s="1">
        <f t="shared" si="79"/>
        <v>0</v>
      </c>
      <c r="I821" s="1">
        <f t="shared" si="80"/>
        <v>0</v>
      </c>
      <c r="J821">
        <f>IF(B821="PAL","",IFERROR(IF(C821="",VLOOKUP(B821,'General price list'!C:BA,MATCH("CBM",'General price list'!$C$20:$BA$20,0),FALSE)*D821,VLOOKUP(B821,'General price list'!C:BA,MATCH("CBM",'General price list'!$C$20:$BA$20,0),FALSE)*(G821*C821)),0))</f>
        <v>0</v>
      </c>
    </row>
    <row r="822" spans="2:10" ht="15" customHeight="1">
      <c r="B822" s="790" t="str">
        <f>IF(B821="PAL","",'General price list'!C842)</f>
        <v>HF24090Qs</v>
      </c>
      <c r="C822" s="1" t="str">
        <f>IF(B822="PAL","",IFERROR(VLOOKUP(B822,'General price list'!C:BA,MATCH("PAL",'General price list'!$C$20:$BA$20,0),FALSE),""))</f>
        <v/>
      </c>
      <c r="D822" s="1">
        <f>IF(B822="PAL","",IFERROR(VLOOKUP(B822,'General price list'!C:BA,MATCH("OBJ",'General price list'!$C$20:$BA$20,0),FALSE),""))</f>
        <v>0</v>
      </c>
      <c r="E822" s="1">
        <f t="shared" si="76"/>
        <v>0</v>
      </c>
      <c r="F822" s="1">
        <f t="shared" si="77"/>
        <v>0</v>
      </c>
      <c r="G822" s="1">
        <f t="shared" si="78"/>
        <v>0</v>
      </c>
      <c r="H822" s="1">
        <f t="shared" si="79"/>
        <v>0</v>
      </c>
      <c r="I822" s="1">
        <f t="shared" si="80"/>
        <v>0</v>
      </c>
      <c r="J822">
        <f>IF(B822="PAL","",IFERROR(IF(C822="",VLOOKUP(B822,'General price list'!C:BA,MATCH("CBM",'General price list'!$C$20:$BA$20,0),FALSE)*D822,VLOOKUP(B822,'General price list'!C:BA,MATCH("CBM",'General price list'!$C$20:$BA$20,0),FALSE)*(G822*C822)),0))</f>
        <v>0</v>
      </c>
    </row>
    <row r="823" spans="2:10" ht="15" customHeight="1">
      <c r="B823" s="790" t="str">
        <f>IF(B822="PAL","",'General price list'!C843)</f>
        <v>HF2244</v>
      </c>
      <c r="C823" s="1" t="str">
        <f>IF(B823="PAL","",IFERROR(VLOOKUP(B823,'General price list'!C:BA,MATCH("PAL",'General price list'!$C$20:$BA$20,0),FALSE),""))</f>
        <v/>
      </c>
      <c r="D823" s="1">
        <f>IF(B823="PAL","",IFERROR(VLOOKUP(B823,'General price list'!C:BA,MATCH("OBJ",'General price list'!$C$20:$BA$20,0),FALSE),""))</f>
        <v>0</v>
      </c>
      <c r="E823" s="1">
        <f t="shared" si="76"/>
        <v>0</v>
      </c>
      <c r="F823" s="1">
        <f t="shared" si="77"/>
        <v>0</v>
      </c>
      <c r="G823" s="1">
        <f t="shared" si="78"/>
        <v>0</v>
      </c>
      <c r="H823" s="1">
        <f t="shared" si="79"/>
        <v>0</v>
      </c>
      <c r="I823" s="1">
        <f t="shared" si="80"/>
        <v>0</v>
      </c>
      <c r="J823">
        <f>IF(B823="PAL","",IFERROR(IF(C823="",VLOOKUP(B823,'General price list'!C:BA,MATCH("CBM",'General price list'!$C$20:$BA$20,0),FALSE)*D823,VLOOKUP(B823,'General price list'!C:BA,MATCH("CBM",'General price list'!$C$20:$BA$20,0),FALSE)*(G823*C823)),0))</f>
        <v>0</v>
      </c>
    </row>
    <row r="824" spans="2:10" ht="15" customHeight="1">
      <c r="B824" s="790" t="str">
        <f>IF(B823="PAL","",'General price list'!C844)</f>
        <v>HF2243</v>
      </c>
      <c r="C824" s="1" t="str">
        <f>IF(B824="PAL","",IFERROR(VLOOKUP(B824,'General price list'!C:BA,MATCH("PAL",'General price list'!$C$20:$BA$20,0),FALSE),""))</f>
        <v/>
      </c>
      <c r="D824" s="1">
        <f>IF(B824="PAL","",IFERROR(VLOOKUP(B824,'General price list'!C:BA,MATCH("OBJ",'General price list'!$C$20:$BA$20,0),FALSE),""))</f>
        <v>0</v>
      </c>
      <c r="E824" s="1">
        <f t="shared" si="76"/>
        <v>0</v>
      </c>
      <c r="F824" s="1">
        <f t="shared" si="77"/>
        <v>0</v>
      </c>
      <c r="G824" s="1">
        <f t="shared" si="78"/>
        <v>0</v>
      </c>
      <c r="H824" s="1">
        <f t="shared" si="79"/>
        <v>0</v>
      </c>
      <c r="I824" s="1">
        <f t="shared" si="80"/>
        <v>0</v>
      </c>
      <c r="J824">
        <f>IF(B824="PAL","",IFERROR(IF(C824="",VLOOKUP(B824,'General price list'!C:BA,MATCH("CBM",'General price list'!$C$20:$BA$20,0),FALSE)*D824,VLOOKUP(B824,'General price list'!C:BA,MATCH("CBM",'General price list'!$C$20:$BA$20,0),FALSE)*(G824*C824)),0))</f>
        <v>0</v>
      </c>
    </row>
    <row r="825" spans="2:10" ht="15" customHeight="1">
      <c r="B825" s="790">
        <f>IF(B824="PAL","",'General price list'!C845)</f>
        <v>0</v>
      </c>
      <c r="C825" s="1" t="str">
        <f>IF(B825="PAL","",IFERROR(VLOOKUP(B825,'General price list'!C:BA,MATCH("PAL",'General price list'!$C$20:$BA$20,0),FALSE),""))</f>
        <v/>
      </c>
      <c r="D825" s="1" t="str">
        <f>IF(B825="PAL","",IFERROR(VLOOKUP(B825,'General price list'!C:BA,MATCH("OBJ",'General price list'!$C$20:$BA$20,0),FALSE),""))</f>
        <v/>
      </c>
      <c r="E825" s="1">
        <f t="shared" si="76"/>
        <v>0</v>
      </c>
      <c r="F825" s="1">
        <f t="shared" si="77"/>
        <v>0</v>
      </c>
      <c r="G825" s="1">
        <f t="shared" si="78"/>
        <v>0</v>
      </c>
      <c r="H825" s="1">
        <f t="shared" si="79"/>
        <v>0</v>
      </c>
      <c r="I825" s="1">
        <f t="shared" si="80"/>
        <v>0</v>
      </c>
      <c r="J825">
        <f>IF(B825="PAL","",IFERROR(IF(C825="",VLOOKUP(B825,'General price list'!C:BA,MATCH("CBM",'General price list'!$C$20:$BA$20,0),FALSE)*D825,VLOOKUP(B825,'General price list'!C:BA,MATCH("CBM",'General price list'!$C$20:$BA$20,0),FALSE)*(G825*C825)),0))</f>
        <v>0</v>
      </c>
    </row>
    <row r="826" spans="2:10" ht="15" customHeight="1">
      <c r="B826" s="790" t="str">
        <f>IF(B825="PAL","",'General price list'!C846)</f>
        <v>HF-45-2309s</v>
      </c>
      <c r="C826" s="1" t="str">
        <f>IF(B826="PAL","",IFERROR(VLOOKUP(B826,'General price list'!C:BA,MATCH("PAL",'General price list'!$C$20:$BA$20,0),FALSE),""))</f>
        <v/>
      </c>
      <c r="D826" s="1">
        <f>IF(B826="PAL","",IFERROR(VLOOKUP(B826,'General price list'!C:BA,MATCH("OBJ",'General price list'!$C$20:$BA$20,0),FALSE),""))</f>
        <v>0</v>
      </c>
      <c r="E826" s="1">
        <f t="shared" si="76"/>
        <v>0</v>
      </c>
      <c r="F826" s="1">
        <f t="shared" si="77"/>
        <v>0</v>
      </c>
      <c r="G826" s="1">
        <f t="shared" si="78"/>
        <v>0</v>
      </c>
      <c r="H826" s="1">
        <f t="shared" si="79"/>
        <v>0</v>
      </c>
      <c r="I826" s="1">
        <f t="shared" si="80"/>
        <v>0</v>
      </c>
      <c r="J826">
        <f>IF(B826="PAL","",IFERROR(IF(C826="",VLOOKUP(B826,'General price list'!C:BA,MATCH("CBM",'General price list'!$C$20:$BA$20,0),FALSE)*D826,VLOOKUP(B826,'General price list'!C:BA,MATCH("CBM",'General price list'!$C$20:$BA$20,0),FALSE)*(G826*C826)),0))</f>
        <v>0</v>
      </c>
    </row>
    <row r="827" spans="2:10" ht="15" customHeight="1">
      <c r="B827" s="790" t="str">
        <f>IF(B826="PAL","",'General price list'!C847)</f>
        <v>HF-51-2227s</v>
      </c>
      <c r="C827" s="1" t="str">
        <f>IF(B827="PAL","",IFERROR(VLOOKUP(B827,'General price list'!C:BA,MATCH("PAL",'General price list'!$C$20:$BA$20,0),FALSE),""))</f>
        <v/>
      </c>
      <c r="D827" s="1">
        <f>IF(B827="PAL","",IFERROR(VLOOKUP(B827,'General price list'!C:BA,MATCH("OBJ",'General price list'!$C$20:$BA$20,0),FALSE),""))</f>
        <v>0</v>
      </c>
      <c r="E827" s="1">
        <f t="shared" si="76"/>
        <v>0</v>
      </c>
      <c r="F827" s="1">
        <f t="shared" si="77"/>
        <v>0</v>
      </c>
      <c r="G827" s="1">
        <f t="shared" si="78"/>
        <v>0</v>
      </c>
      <c r="H827" s="1">
        <f t="shared" si="79"/>
        <v>0</v>
      </c>
      <c r="I827" s="1">
        <f t="shared" si="80"/>
        <v>0</v>
      </c>
      <c r="J827">
        <f>IF(B827="PAL","",IFERROR(IF(C827="",VLOOKUP(B827,'General price list'!C:BA,MATCH("CBM",'General price list'!$C$20:$BA$20,0),FALSE)*D827,VLOOKUP(B827,'General price list'!C:BA,MATCH("CBM",'General price list'!$C$20:$BA$20,0),FALSE)*(G827*C827)),0))</f>
        <v>0</v>
      </c>
    </row>
    <row r="828" spans="2:10" ht="15" customHeight="1">
      <c r="B828" s="790" t="str">
        <f>IF(B827="PAL","",'General price list'!C848)</f>
        <v>RK-66-2502</v>
      </c>
      <c r="C828" s="1" t="str">
        <f>IF(B828="PAL","",IFERROR(VLOOKUP(B828,'General price list'!C:BA,MATCH("PAL",'General price list'!$C$20:$BA$20,0),FALSE),""))</f>
        <v/>
      </c>
      <c r="D828" s="1">
        <f>IF(B828="PAL","",IFERROR(VLOOKUP(B828,'General price list'!C:BA,MATCH("OBJ",'General price list'!$C$20:$BA$20,0),FALSE),""))</f>
        <v>0</v>
      </c>
      <c r="E828" s="1">
        <f t="shared" si="76"/>
        <v>0</v>
      </c>
      <c r="F828" s="1">
        <f t="shared" si="77"/>
        <v>0</v>
      </c>
      <c r="G828" s="1">
        <f t="shared" si="78"/>
        <v>0</v>
      </c>
      <c r="H828" s="1">
        <f t="shared" si="79"/>
        <v>0</v>
      </c>
      <c r="I828" s="1">
        <f t="shared" si="80"/>
        <v>0</v>
      </c>
      <c r="J828">
        <f>IF(B828="PAL","",IFERROR(IF(C828="",VLOOKUP(B828,'General price list'!C:BA,MATCH("CBM",'General price list'!$C$20:$BA$20,0),FALSE)*D828,VLOOKUP(B828,'General price list'!C:BA,MATCH("CBM",'General price list'!$C$20:$BA$20,0),FALSE)*(G828*C828)),0))</f>
        <v>0</v>
      </c>
    </row>
    <row r="829" spans="2:10" ht="15" customHeight="1">
      <c r="B829" s="790" t="str">
        <f>IF(B828="PAL","",'General price list'!C849)</f>
        <v>HF-75-2310s</v>
      </c>
      <c r="C829" s="1" t="str">
        <f>IF(B829="PAL","",IFERROR(VLOOKUP(B829,'General price list'!C:BA,MATCH("PAL",'General price list'!$C$20:$BA$20,0),FALSE),""))</f>
        <v/>
      </c>
      <c r="D829" s="1">
        <f>IF(B829="PAL","",IFERROR(VLOOKUP(B829,'General price list'!C:BA,MATCH("OBJ",'General price list'!$C$20:$BA$20,0),FALSE),""))</f>
        <v>0</v>
      </c>
      <c r="E829" s="1">
        <f t="shared" si="76"/>
        <v>0</v>
      </c>
      <c r="F829" s="1">
        <f t="shared" si="77"/>
        <v>0</v>
      </c>
      <c r="G829" s="1">
        <f t="shared" si="78"/>
        <v>0</v>
      </c>
      <c r="H829" s="1">
        <f t="shared" si="79"/>
        <v>0</v>
      </c>
      <c r="I829" s="1">
        <f t="shared" si="80"/>
        <v>0</v>
      </c>
      <c r="J829">
        <f>IF(B829="PAL","",IFERROR(IF(C829="",VLOOKUP(B829,'General price list'!C:BA,MATCH("CBM",'General price list'!$C$20:$BA$20,0),FALSE)*D829,VLOOKUP(B829,'General price list'!C:BA,MATCH("CBM",'General price list'!$C$20:$BA$20,0),FALSE)*(G829*C829)),0))</f>
        <v>0</v>
      </c>
    </row>
    <row r="830" spans="2:10" ht="15" customHeight="1">
      <c r="B830" s="790" t="str">
        <f>IF(B829="PAL","",'General price list'!C850)</f>
        <v>HF-108-2603s</v>
      </c>
      <c r="C830" s="1" t="str">
        <f>IF(B830="PAL","",IFERROR(VLOOKUP(B830,'General price list'!C:BA,MATCH("PAL",'General price list'!$C$20:$BA$20,0),FALSE),""))</f>
        <v/>
      </c>
      <c r="D830" s="1">
        <f>IF(B830="PAL","",IFERROR(VLOOKUP(B830,'General price list'!C:BA,MATCH("OBJ",'General price list'!$C$20:$BA$20,0),FALSE),""))</f>
        <v>0</v>
      </c>
      <c r="E830" s="1">
        <f t="shared" si="76"/>
        <v>0</v>
      </c>
      <c r="F830" s="1">
        <f t="shared" si="77"/>
        <v>0</v>
      </c>
      <c r="G830" s="1">
        <f t="shared" si="78"/>
        <v>0</v>
      </c>
      <c r="H830" s="1">
        <f t="shared" si="79"/>
        <v>0</v>
      </c>
      <c r="I830" s="1">
        <f t="shared" si="80"/>
        <v>0</v>
      </c>
      <c r="J830">
        <f>IF(B830="PAL","",IFERROR(IF(C830="",VLOOKUP(B830,'General price list'!C:BA,MATCH("CBM",'General price list'!$C$20:$BA$20,0),FALSE)*D830,VLOOKUP(B830,'General price list'!C:BA,MATCH("CBM",'General price list'!$C$20:$BA$20,0),FALSE)*(G830*C830)),0))</f>
        <v>0</v>
      </c>
    </row>
    <row r="831" spans="2:10" ht="15" customHeight="1">
      <c r="B831" s="790" t="str">
        <f>IF(B830="PAL","",'General price list'!C851)</f>
        <v>HF-144-2605</v>
      </c>
      <c r="C831" s="1" t="str">
        <f>IF(B831="PAL","",IFERROR(VLOOKUP(B831,'General price list'!C:BA,MATCH("PAL",'General price list'!$C$20:$BA$20,0),FALSE),""))</f>
        <v/>
      </c>
      <c r="D831" s="1">
        <f>IF(B831="PAL","",IFERROR(VLOOKUP(B831,'General price list'!C:BA,MATCH("OBJ",'General price list'!$C$20:$BA$20,0),FALSE),""))</f>
        <v>0</v>
      </c>
      <c r="E831" s="1">
        <f t="shared" si="76"/>
        <v>0</v>
      </c>
      <c r="F831" s="1">
        <f t="shared" si="77"/>
        <v>0</v>
      </c>
      <c r="G831" s="1">
        <f t="shared" si="78"/>
        <v>0</v>
      </c>
      <c r="H831" s="1">
        <f t="shared" si="79"/>
        <v>0</v>
      </c>
      <c r="I831" s="1">
        <f t="shared" si="80"/>
        <v>0</v>
      </c>
      <c r="J831">
        <f>IF(B831="PAL","",IFERROR(IF(C831="",VLOOKUP(B831,'General price list'!C:BA,MATCH("CBM",'General price list'!$C$20:$BA$20,0),FALSE)*D831,VLOOKUP(B831,'General price list'!C:BA,MATCH("CBM",'General price list'!$C$20:$BA$20,0),FALSE)*(G831*C831)),0))</f>
        <v>0</v>
      </c>
    </row>
    <row r="832" spans="2:10" ht="15" customHeight="1">
      <c r="B832" s="790" t="str">
        <f>IF(B831="PAL","",'General price list'!C852)</f>
        <v>HF-75-2608s</v>
      </c>
      <c r="C832" s="1" t="str">
        <f>IF(B832="PAL","",IFERROR(VLOOKUP(B832,'General price list'!C:BA,MATCH("PAL",'General price list'!$C$20:$BA$20,0),FALSE),""))</f>
        <v/>
      </c>
      <c r="D832" s="1">
        <f>IF(B832="PAL","",IFERROR(VLOOKUP(B832,'General price list'!C:BA,MATCH("OBJ",'General price list'!$C$20:$BA$20,0),FALSE),""))</f>
        <v>0</v>
      </c>
      <c r="E832" s="1">
        <f t="shared" si="76"/>
        <v>0</v>
      </c>
      <c r="F832" s="1">
        <f t="shared" si="77"/>
        <v>0</v>
      </c>
      <c r="G832" s="1">
        <f t="shared" si="78"/>
        <v>0</v>
      </c>
      <c r="H832" s="1">
        <f t="shared" si="79"/>
        <v>0</v>
      </c>
      <c r="I832" s="1">
        <f t="shared" si="80"/>
        <v>0</v>
      </c>
      <c r="J832">
        <f>IF(B832="PAL","",IFERROR(IF(C832="",VLOOKUP(B832,'General price list'!C:BA,MATCH("CBM",'General price list'!$C$20:$BA$20,0),FALSE)*D832,VLOOKUP(B832,'General price list'!C:BA,MATCH("CBM",'General price list'!$C$20:$BA$20,0),FALSE)*(G832*C832)),0))</f>
        <v>0</v>
      </c>
    </row>
    <row r="833" spans="2:10" ht="15" customHeight="1">
      <c r="B833" s="790" t="str">
        <f>IF(B832="PAL","",'General price list'!C853)</f>
        <v>RK-98-2555</v>
      </c>
      <c r="C833" s="1" t="str">
        <f>IF(B833="PAL","",IFERROR(VLOOKUP(B833,'General price list'!C:BA,MATCH("PAL",'General price list'!$C$20:$BA$20,0),FALSE),""))</f>
        <v/>
      </c>
      <c r="D833" s="1">
        <f>IF(B833="PAL","",IFERROR(VLOOKUP(B833,'General price list'!C:BA,MATCH("OBJ",'General price list'!$C$20:$BA$20,0),FALSE),""))</f>
        <v>0</v>
      </c>
      <c r="E833" s="1">
        <f t="shared" si="76"/>
        <v>0</v>
      </c>
      <c r="F833" s="1">
        <f t="shared" si="77"/>
        <v>0</v>
      </c>
      <c r="G833" s="1">
        <f t="shared" si="78"/>
        <v>0</v>
      </c>
      <c r="H833" s="1">
        <f t="shared" si="79"/>
        <v>0</v>
      </c>
      <c r="I833" s="1">
        <f t="shared" si="80"/>
        <v>0</v>
      </c>
      <c r="J833">
        <f>IF(B833="PAL","",IFERROR(IF(C833="",VLOOKUP(B833,'General price list'!C:BA,MATCH("CBM",'General price list'!$C$20:$BA$20,0),FALSE)*D833,VLOOKUP(B833,'General price list'!C:BA,MATCH("CBM",'General price list'!$C$20:$BA$20,0),FALSE)*(G833*C833)),0))</f>
        <v>0</v>
      </c>
    </row>
    <row r="834" spans="2:10" ht="15" customHeight="1">
      <c r="B834" s="790" t="str">
        <f>IF(B833="PAL","",'General price list'!C854)</f>
        <v>HF-96-2362s</v>
      </c>
      <c r="C834" s="1" t="str">
        <f>IF(B834="PAL","",IFERROR(VLOOKUP(B834,'General price list'!C:BA,MATCH("PAL",'General price list'!$C$20:$BA$20,0),FALSE),""))</f>
        <v/>
      </c>
      <c r="D834" s="1">
        <f>IF(B834="PAL","",IFERROR(VLOOKUP(B834,'General price list'!C:BA,MATCH("OBJ",'General price list'!$C$20:$BA$20,0),FALSE),""))</f>
        <v>0</v>
      </c>
      <c r="E834" s="1">
        <f t="shared" si="76"/>
        <v>0</v>
      </c>
      <c r="F834" s="1">
        <f t="shared" si="77"/>
        <v>0</v>
      </c>
      <c r="G834" s="1">
        <f t="shared" si="78"/>
        <v>0</v>
      </c>
      <c r="H834" s="1">
        <f t="shared" si="79"/>
        <v>0</v>
      </c>
      <c r="I834" s="1">
        <f t="shared" si="80"/>
        <v>0</v>
      </c>
      <c r="J834">
        <f>IF(B834="PAL","",IFERROR(IF(C834="",VLOOKUP(B834,'General price list'!C:BA,MATCH("CBM",'General price list'!$C$20:$BA$20,0),FALSE)*D834,VLOOKUP(B834,'General price list'!C:BA,MATCH("CBM",'General price list'!$C$20:$BA$20,0),FALSE)*(G834*C834)),0))</f>
        <v>0</v>
      </c>
    </row>
    <row r="835" spans="2:10" ht="15" customHeight="1">
      <c r="B835" s="790" t="str">
        <f>IF(B834="PAL","",'General price list'!C855)</f>
        <v>HF-102-2214</v>
      </c>
      <c r="C835" s="1" t="str">
        <f>IF(B835="PAL","",IFERROR(VLOOKUP(B835,'General price list'!C:BA,MATCH("PAL",'General price list'!$C$20:$BA$20,0),FALSE),""))</f>
        <v/>
      </c>
      <c r="D835" s="1">
        <f>IF(B835="PAL","",IFERROR(VLOOKUP(B835,'General price list'!C:BA,MATCH("OBJ",'General price list'!$C$20:$BA$20,0),FALSE),""))</f>
        <v>0</v>
      </c>
      <c r="E835" s="1">
        <f t="shared" si="76"/>
        <v>0</v>
      </c>
      <c r="F835" s="1">
        <f t="shared" si="77"/>
        <v>0</v>
      </c>
      <c r="G835" s="1">
        <f t="shared" si="78"/>
        <v>0</v>
      </c>
      <c r="H835" s="1">
        <f t="shared" si="79"/>
        <v>0</v>
      </c>
      <c r="I835" s="1">
        <f t="shared" si="80"/>
        <v>0</v>
      </c>
      <c r="J835">
        <f>IF(B835="PAL","",IFERROR(IF(C835="",VLOOKUP(B835,'General price list'!C:BA,MATCH("CBM",'General price list'!$C$20:$BA$20,0),FALSE)*D835,VLOOKUP(B835,'General price list'!C:BA,MATCH("CBM",'General price list'!$C$20:$BA$20,0),FALSE)*(G835*C835)),0))</f>
        <v>0</v>
      </c>
    </row>
    <row r="836" spans="2:10" ht="15" customHeight="1">
      <c r="B836" s="790" t="str">
        <f>IF(B835="PAL","",'General price list'!C856)</f>
        <v>HF-101-2216</v>
      </c>
      <c r="C836" s="1" t="str">
        <f>IF(B836="PAL","",IFERROR(VLOOKUP(B836,'General price list'!C:BA,MATCH("PAL",'General price list'!$C$20:$BA$20,0),FALSE),""))</f>
        <v/>
      </c>
      <c r="D836" s="1">
        <f>IF(B836="PAL","",IFERROR(VLOOKUP(B836,'General price list'!C:BA,MATCH("OBJ",'General price list'!$C$20:$BA$20,0),FALSE),""))</f>
        <v>0</v>
      </c>
      <c r="E836" s="1">
        <f t="shared" si="76"/>
        <v>0</v>
      </c>
      <c r="F836" s="1">
        <f t="shared" si="77"/>
        <v>0</v>
      </c>
      <c r="G836" s="1">
        <f t="shared" si="78"/>
        <v>0</v>
      </c>
      <c r="H836" s="1">
        <f t="shared" si="79"/>
        <v>0</v>
      </c>
      <c r="I836" s="1">
        <f t="shared" si="80"/>
        <v>0</v>
      </c>
      <c r="J836">
        <f>IF(B836="PAL","",IFERROR(IF(C836="",VLOOKUP(B836,'General price list'!C:BA,MATCH("CBM",'General price list'!$C$20:$BA$20,0),FALSE)*D836,VLOOKUP(B836,'General price list'!C:BA,MATCH("CBM",'General price list'!$C$20:$BA$20,0),FALSE)*(G836*C836)),0))</f>
        <v>0</v>
      </c>
    </row>
    <row r="837" spans="2:10" ht="15" customHeight="1">
      <c r="B837" s="790" t="str">
        <f>IF(B836="PAL","",'General price list'!C857)</f>
        <v>HF-108-2315</v>
      </c>
      <c r="C837" s="1" t="str">
        <f>IF(B837="PAL","",IFERROR(VLOOKUP(B837,'General price list'!C:BA,MATCH("PAL",'General price list'!$C$20:$BA$20,0),FALSE),""))</f>
        <v/>
      </c>
      <c r="D837" s="1">
        <f>IF(B837="PAL","",IFERROR(VLOOKUP(B837,'General price list'!C:BA,MATCH("OBJ",'General price list'!$C$20:$BA$20,0),FALSE),""))</f>
        <v>0</v>
      </c>
      <c r="E837" s="1">
        <f t="shared" si="76"/>
        <v>0</v>
      </c>
      <c r="F837" s="1">
        <f t="shared" si="77"/>
        <v>0</v>
      </c>
      <c r="G837" s="1">
        <f t="shared" si="78"/>
        <v>0</v>
      </c>
      <c r="H837" s="1">
        <f t="shared" si="79"/>
        <v>0</v>
      </c>
      <c r="I837" s="1">
        <f t="shared" si="80"/>
        <v>0</v>
      </c>
      <c r="J837">
        <f>IF(B837="PAL","",IFERROR(IF(C837="",VLOOKUP(B837,'General price list'!C:BA,MATCH("CBM",'General price list'!$C$20:$BA$20,0),FALSE)*D837,VLOOKUP(B837,'General price list'!C:BA,MATCH("CBM",'General price list'!$C$20:$BA$20,0),FALSE)*(G837*C837)),0))</f>
        <v>0</v>
      </c>
    </row>
    <row r="838" spans="2:10" ht="15" customHeight="1">
      <c r="B838" s="790" t="str">
        <f>IF(B837="PAL","",'General price list'!C858)</f>
        <v>HF-83-2207P</v>
      </c>
      <c r="C838" s="1" t="str">
        <f>IF(B838="PAL","",IFERROR(VLOOKUP(B838,'General price list'!C:BA,MATCH("PAL",'General price list'!$C$20:$BA$20,0),FALSE),""))</f>
        <v/>
      </c>
      <c r="D838" s="1">
        <f>IF(B838="PAL","",IFERROR(VLOOKUP(B838,'General price list'!C:BA,MATCH("OBJ",'General price list'!$C$20:$BA$20,0),FALSE),""))</f>
        <v>0</v>
      </c>
      <c r="E838" s="1">
        <f t="shared" si="76"/>
        <v>0</v>
      </c>
      <c r="F838" s="1">
        <f t="shared" si="77"/>
        <v>0</v>
      </c>
      <c r="G838" s="1">
        <f t="shared" si="78"/>
        <v>0</v>
      </c>
      <c r="H838" s="1">
        <f t="shared" si="79"/>
        <v>0</v>
      </c>
      <c r="I838" s="1">
        <f t="shared" si="80"/>
        <v>0</v>
      </c>
      <c r="J838">
        <f>IF(B838="PAL","",IFERROR(IF(C838="",VLOOKUP(B838,'General price list'!C:BA,MATCH("CBM",'General price list'!$C$20:$BA$20,0),FALSE)*D838,VLOOKUP(B838,'General price list'!C:BA,MATCH("CBM",'General price list'!$C$20:$BA$20,0),FALSE)*(G838*C838)),0))</f>
        <v>0</v>
      </c>
    </row>
    <row r="839" spans="2:10" ht="15" customHeight="1">
      <c r="B839" s="790" t="str">
        <f>IF(B838="PAL","",'General price list'!C859)</f>
        <v>HF-98-2212</v>
      </c>
      <c r="C839" s="1" t="str">
        <f>IF(B839="PAL","",IFERROR(VLOOKUP(B839,'General price list'!C:BA,MATCH("PAL",'General price list'!$C$20:$BA$20,0),FALSE),""))</f>
        <v/>
      </c>
      <c r="D839" s="1">
        <f>IF(B839="PAL","",IFERROR(VLOOKUP(B839,'General price list'!C:BA,MATCH("OBJ",'General price list'!$C$20:$BA$20,0),FALSE),""))</f>
        <v>0</v>
      </c>
      <c r="E839" s="1">
        <f t="shared" si="76"/>
        <v>0</v>
      </c>
      <c r="F839" s="1">
        <f t="shared" si="77"/>
        <v>0</v>
      </c>
      <c r="G839" s="1">
        <f t="shared" si="78"/>
        <v>0</v>
      </c>
      <c r="H839" s="1">
        <f t="shared" si="79"/>
        <v>0</v>
      </c>
      <c r="I839" s="1">
        <f t="shared" si="80"/>
        <v>0</v>
      </c>
      <c r="J839">
        <f>IF(B839="PAL","",IFERROR(IF(C839="",VLOOKUP(B839,'General price list'!C:BA,MATCH("CBM",'General price list'!$C$20:$BA$20,0),FALSE)*D839,VLOOKUP(B839,'General price list'!C:BA,MATCH("CBM",'General price list'!$C$20:$BA$20,0),FALSE)*(G839*C839)),0))</f>
        <v>0</v>
      </c>
    </row>
    <row r="840" spans="2:10" ht="15" customHeight="1">
      <c r="B840" s="790" t="str">
        <f>IF(B839="PAL","",'General price list'!C860)</f>
        <v>HF-127-2411s</v>
      </c>
      <c r="C840" s="1" t="str">
        <f>IF(B840="PAL","",IFERROR(VLOOKUP(B840,'General price list'!C:BA,MATCH("PAL",'General price list'!$C$20:$BA$20,0),FALSE),""))</f>
        <v/>
      </c>
      <c r="D840" s="1">
        <f>IF(B840="PAL","",IFERROR(VLOOKUP(B840,'General price list'!C:BA,MATCH("OBJ",'General price list'!$C$20:$BA$20,0),FALSE),""))</f>
        <v>0</v>
      </c>
      <c r="E840" s="1">
        <f t="shared" si="76"/>
        <v>0</v>
      </c>
      <c r="F840" s="1">
        <f t="shared" si="77"/>
        <v>0</v>
      </c>
      <c r="G840" s="1">
        <f t="shared" si="78"/>
        <v>0</v>
      </c>
      <c r="H840" s="1">
        <f t="shared" si="79"/>
        <v>0</v>
      </c>
      <c r="I840" s="1">
        <f t="shared" si="80"/>
        <v>0</v>
      </c>
      <c r="J840">
        <f>IF(B840="PAL","",IFERROR(IF(C840="",VLOOKUP(B840,'General price list'!C:BA,MATCH("CBM",'General price list'!$C$20:$BA$20,0),FALSE)*D840,VLOOKUP(B840,'General price list'!C:BA,MATCH("CBM",'General price list'!$C$20:$BA$20,0),FALSE)*(G840*C840)),0))</f>
        <v>0</v>
      </c>
    </row>
    <row r="841" spans="2:10" ht="15" customHeight="1">
      <c r="B841" s="790" t="str">
        <f>IF(B840="PAL","",'General price list'!C861)</f>
        <v>HF-142-2211</v>
      </c>
      <c r="C841" s="1" t="str">
        <f>IF(B841="PAL","",IFERROR(VLOOKUP(B841,'General price list'!C:BA,MATCH("PAL",'General price list'!$C$20:$BA$20,0),FALSE),""))</f>
        <v/>
      </c>
      <c r="D841" s="1">
        <f>IF(B841="PAL","",IFERROR(VLOOKUP(B841,'General price list'!C:BA,MATCH("OBJ",'General price list'!$C$20:$BA$20,0),FALSE),""))</f>
        <v>0</v>
      </c>
      <c r="E841" s="1">
        <f t="shared" si="76"/>
        <v>0</v>
      </c>
      <c r="F841" s="1">
        <f t="shared" si="77"/>
        <v>0</v>
      </c>
      <c r="G841" s="1">
        <f t="shared" si="78"/>
        <v>0</v>
      </c>
      <c r="H841" s="1">
        <f t="shared" si="79"/>
        <v>0</v>
      </c>
      <c r="I841" s="1">
        <f t="shared" si="80"/>
        <v>0</v>
      </c>
      <c r="J841">
        <f>IF(B841="PAL","",IFERROR(IF(C841="",VLOOKUP(B841,'General price list'!C:BA,MATCH("CBM",'General price list'!$C$20:$BA$20,0),FALSE)*D841,VLOOKUP(B841,'General price list'!C:BA,MATCH("CBM",'General price list'!$C$20:$BA$20,0),FALSE)*(G841*C841)),0))</f>
        <v>0</v>
      </c>
    </row>
    <row r="842" spans="2:10" ht="15" customHeight="1">
      <c r="B842" s="790" t="str">
        <f>IF(B841="PAL","",'General price list'!C862)</f>
        <v>HF-148-2217</v>
      </c>
      <c r="C842" s="1" t="str">
        <f>IF(B842="PAL","",IFERROR(VLOOKUP(B842,'General price list'!C:BA,MATCH("PAL",'General price list'!$C$20:$BA$20,0),FALSE),""))</f>
        <v/>
      </c>
      <c r="D842" s="1">
        <f>IF(B842="PAL","",IFERROR(VLOOKUP(B842,'General price list'!C:BA,MATCH("OBJ",'General price list'!$C$20:$BA$20,0),FALSE),""))</f>
        <v>0</v>
      </c>
      <c r="E842" s="1">
        <f t="shared" si="76"/>
        <v>0</v>
      </c>
      <c r="F842" s="1">
        <f t="shared" si="77"/>
        <v>0</v>
      </c>
      <c r="G842" s="1">
        <f t="shared" si="78"/>
        <v>0</v>
      </c>
      <c r="H842" s="1">
        <f t="shared" si="79"/>
        <v>0</v>
      </c>
      <c r="I842" s="1">
        <f t="shared" si="80"/>
        <v>0</v>
      </c>
      <c r="J842">
        <f>IF(B842="PAL","",IFERROR(IF(C842="",VLOOKUP(B842,'General price list'!C:BA,MATCH("CBM",'General price list'!$C$20:$BA$20,0),FALSE)*D842,VLOOKUP(B842,'General price list'!C:BA,MATCH("CBM",'General price list'!$C$20:$BA$20,0),FALSE)*(G842*C842)),0))</f>
        <v>0</v>
      </c>
    </row>
    <row r="843" spans="2:10" ht="15" customHeight="1">
      <c r="B843" s="790" t="str">
        <f>IF(B842="PAL","",'General price list'!C863)</f>
        <v>RKD-24018</v>
      </c>
      <c r="C843" s="1" t="str">
        <f>IF(B843="PAL","",IFERROR(VLOOKUP(B843,'General price list'!C:BA,MATCH("PAL",'General price list'!$C$20:$BA$20,0),FALSE),""))</f>
        <v/>
      </c>
      <c r="D843" s="1">
        <f>IF(B843="PAL","",IFERROR(VLOOKUP(B843,'General price list'!C:BA,MATCH("OBJ",'General price list'!$C$20:$BA$20,0),FALSE),""))</f>
        <v>0</v>
      </c>
      <c r="E843" s="1">
        <f t="shared" si="76"/>
        <v>0</v>
      </c>
      <c r="F843" s="1">
        <f t="shared" si="77"/>
        <v>0</v>
      </c>
      <c r="G843" s="1">
        <f t="shared" si="78"/>
        <v>0</v>
      </c>
      <c r="H843" s="1">
        <f t="shared" si="79"/>
        <v>0</v>
      </c>
      <c r="I843" s="1">
        <f t="shared" si="80"/>
        <v>0</v>
      </c>
      <c r="J843">
        <f>IF(B843="PAL","",IFERROR(IF(C843="",VLOOKUP(B843,'General price list'!C:BA,MATCH("CBM",'General price list'!$C$20:$BA$20,0),FALSE)*D843,VLOOKUP(B843,'General price list'!C:BA,MATCH("CBM",'General price list'!$C$20:$BA$20,0),FALSE)*(G843*C843)),0))</f>
        <v>0</v>
      </c>
    </row>
    <row r="844" spans="2:10" ht="15" customHeight="1">
      <c r="B844" s="790" t="str">
        <f>IF(B843="PAL","",'General price list'!C864)</f>
        <v>RKD-24019</v>
      </c>
      <c r="C844" s="1" t="str">
        <f>IF(B844="PAL","",IFERROR(VLOOKUP(B844,'General price list'!C:BA,MATCH("PAL",'General price list'!$C$20:$BA$20,0),FALSE),""))</f>
        <v/>
      </c>
      <c r="D844" s="1">
        <f>IF(B844="PAL","",IFERROR(VLOOKUP(B844,'General price list'!C:BA,MATCH("OBJ",'General price list'!$C$20:$BA$20,0),FALSE),""))</f>
        <v>0</v>
      </c>
      <c r="E844" s="1">
        <f t="shared" ref="E844:E907" si="81">IF(B844="PAL","",IFERROR(D844/C844,0))</f>
        <v>0</v>
      </c>
      <c r="F844" s="1">
        <f t="shared" ref="F844:F907" si="82">IF(B844="PAL","",IFERROR(FLOOR(IF(E844-1&lt;0,0,E844),1),0))</f>
        <v>0</v>
      </c>
      <c r="G844" s="1">
        <f t="shared" ref="G844:G907" si="83">IF(B844="PAL","",IFERROR(IF(H844&gt;E844,F844-E844,E844-F844),0))</f>
        <v>0</v>
      </c>
      <c r="H844" s="1">
        <f t="shared" ref="H844:H907" si="84">IF(B844="PAL","",IFERROR(IF(E844=0,0,F844),0))</f>
        <v>0</v>
      </c>
      <c r="I844" s="1">
        <f t="shared" ref="I844:I907" si="85">IF(B844="PAL","",IFERROR(IF(D844=0,0,IF(F844=0,(D844*nextVK)+(prvniVK-nextVK),(G844*C844*nextVK)+(F844*PALzKoje))),0))</f>
        <v>0</v>
      </c>
      <c r="J844">
        <f>IF(B844="PAL","",IFERROR(IF(C844="",VLOOKUP(B844,'General price list'!C:BA,MATCH("CBM",'General price list'!$C$20:$BA$20,0),FALSE)*D844,VLOOKUP(B844,'General price list'!C:BA,MATCH("CBM",'General price list'!$C$20:$BA$20,0),FALSE)*(G844*C844)),0))</f>
        <v>0</v>
      </c>
    </row>
    <row r="845" spans="2:10" ht="15" customHeight="1">
      <c r="B845" s="790">
        <f>IF(B844="PAL","",'General price list'!C865)</f>
        <v>0</v>
      </c>
      <c r="C845" s="1" t="str">
        <f>IF(B845="PAL","",IFERROR(VLOOKUP(B845,'General price list'!C:BA,MATCH("PAL",'General price list'!$C$20:$BA$20,0),FALSE),""))</f>
        <v/>
      </c>
      <c r="D845" s="1" t="str">
        <f>IF(B845="PAL","",IFERROR(VLOOKUP(B845,'General price list'!C:BA,MATCH("OBJ",'General price list'!$C$20:$BA$20,0),FALSE),""))</f>
        <v/>
      </c>
      <c r="E845" s="1">
        <f t="shared" si="81"/>
        <v>0</v>
      </c>
      <c r="F845" s="1">
        <f t="shared" si="82"/>
        <v>0</v>
      </c>
      <c r="G845" s="1">
        <f t="shared" si="83"/>
        <v>0</v>
      </c>
      <c r="H845" s="1">
        <f t="shared" si="84"/>
        <v>0</v>
      </c>
      <c r="I845" s="1">
        <f t="shared" si="85"/>
        <v>0</v>
      </c>
      <c r="J845">
        <f>IF(B845="PAL","",IFERROR(IF(C845="",VLOOKUP(B845,'General price list'!C:BA,MATCH("CBM",'General price list'!$C$20:$BA$20,0),FALSE)*D845,VLOOKUP(B845,'General price list'!C:BA,MATCH("CBM",'General price list'!$C$20:$BA$20,0),FALSE)*(G845*C845)),0))</f>
        <v>0</v>
      </c>
    </row>
    <row r="846" spans="2:10" ht="15" customHeight="1">
      <c r="B846" s="790" t="str">
        <f>IF(B845="PAL","",'General price list'!C866)</f>
        <v>HF-90-2402-HF-90-2403</v>
      </c>
      <c r="C846" s="1" t="str">
        <f>IF(B846="PAL","",IFERROR(VLOOKUP(B846,'General price list'!C:BA,MATCH("PAL",'General price list'!$C$20:$BA$20,0),FALSE),""))</f>
        <v/>
      </c>
      <c r="D846" s="1">
        <f>IF(B846="PAL","",IFERROR(VLOOKUP(B846,'General price list'!C:BA,MATCH("OBJ",'General price list'!$C$20:$BA$20,0),FALSE),""))</f>
        <v>0</v>
      </c>
      <c r="E846" s="1">
        <f t="shared" si="81"/>
        <v>0</v>
      </c>
      <c r="F846" s="1">
        <f t="shared" si="82"/>
        <v>0</v>
      </c>
      <c r="G846" s="1">
        <f t="shared" si="83"/>
        <v>0</v>
      </c>
      <c r="H846" s="1">
        <f t="shared" si="84"/>
        <v>0</v>
      </c>
      <c r="I846" s="1">
        <f t="shared" si="85"/>
        <v>0</v>
      </c>
      <c r="J846">
        <f>IF(B846="PAL","",IFERROR(IF(C846="",VLOOKUP(B846,'General price list'!C:BA,MATCH("CBM",'General price list'!$C$20:$BA$20,0),FALSE)*D846,VLOOKUP(B846,'General price list'!C:BA,MATCH("CBM",'General price list'!$C$20:$BA$20,0),FALSE)*(G846*C846)),0))</f>
        <v>0</v>
      </c>
    </row>
    <row r="847" spans="2:10" ht="15" customHeight="1">
      <c r="B847" s="790" t="str">
        <f>IF(B846="PAL","",'General price list'!C867)</f>
        <v>HF-129-2223A-HF-114-2224</v>
      </c>
      <c r="C847" s="1" t="str">
        <f>IF(B847="PAL","",IFERROR(VLOOKUP(B847,'General price list'!C:BA,MATCH("PAL",'General price list'!$C$20:$BA$20,0),FALSE),""))</f>
        <v/>
      </c>
      <c r="D847" s="1">
        <f>IF(B847="PAL","",IFERROR(VLOOKUP(B847,'General price list'!C:BA,MATCH("OBJ",'General price list'!$C$20:$BA$20,0),FALSE),""))</f>
        <v>0</v>
      </c>
      <c r="E847" s="1">
        <f t="shared" si="81"/>
        <v>0</v>
      </c>
      <c r="F847" s="1">
        <f t="shared" si="82"/>
        <v>0</v>
      </c>
      <c r="G847" s="1">
        <f t="shared" si="83"/>
        <v>0</v>
      </c>
      <c r="H847" s="1">
        <f t="shared" si="84"/>
        <v>0</v>
      </c>
      <c r="I847" s="1">
        <f t="shared" si="85"/>
        <v>0</v>
      </c>
      <c r="J847">
        <f>IF(B847="PAL","",IFERROR(IF(C847="",VLOOKUP(B847,'General price list'!C:BA,MATCH("CBM",'General price list'!$C$20:$BA$20,0),FALSE)*D847,VLOOKUP(B847,'General price list'!C:BA,MATCH("CBM",'General price list'!$C$20:$BA$20,0),FALSE)*(G847*C847)),0))</f>
        <v>0</v>
      </c>
    </row>
    <row r="848" spans="2:10" ht="15" customHeight="1">
      <c r="B848" s="790" t="str">
        <f>IF(B847="PAL","",'General price list'!C868)</f>
        <v>HF-90-2218-HF-90-2219</v>
      </c>
      <c r="C848" s="1" t="str">
        <f>IF(B848="PAL","",IFERROR(VLOOKUP(B848,'General price list'!C:BA,MATCH("PAL",'General price list'!$C$20:$BA$20,0),FALSE),""))</f>
        <v/>
      </c>
      <c r="D848" s="1">
        <f>IF(B848="PAL","",IFERROR(VLOOKUP(B848,'General price list'!C:BA,MATCH("OBJ",'General price list'!$C$20:$BA$20,0),FALSE),""))</f>
        <v>0</v>
      </c>
      <c r="E848" s="1">
        <f t="shared" si="81"/>
        <v>0</v>
      </c>
      <c r="F848" s="1">
        <f t="shared" si="82"/>
        <v>0</v>
      </c>
      <c r="G848" s="1">
        <f t="shared" si="83"/>
        <v>0</v>
      </c>
      <c r="H848" s="1">
        <f t="shared" si="84"/>
        <v>0</v>
      </c>
      <c r="I848" s="1">
        <f t="shared" si="85"/>
        <v>0</v>
      </c>
      <c r="J848">
        <f>IF(B848="PAL","",IFERROR(IF(C848="",VLOOKUP(B848,'General price list'!C:BA,MATCH("CBM",'General price list'!$C$20:$BA$20,0),FALSE)*D848,VLOOKUP(B848,'General price list'!C:BA,MATCH("CBM",'General price list'!$C$20:$BA$20,0),FALSE)*(G848*C848)),0))</f>
        <v>0</v>
      </c>
    </row>
    <row r="849" spans="2:10" ht="15" customHeight="1">
      <c r="B849" s="790" t="str">
        <f>IF(B848="PAL","",'General price list'!C869)</f>
        <v>HF-78-2423-HF-78-2424</v>
      </c>
      <c r="C849" s="1" t="str">
        <f>IF(B849="PAL","",IFERROR(VLOOKUP(B849,'General price list'!C:BA,MATCH("PAL",'General price list'!$C$20:$BA$20,0),FALSE),""))</f>
        <v/>
      </c>
      <c r="D849" s="1">
        <f>IF(B849="PAL","",IFERROR(VLOOKUP(B849,'General price list'!C:BA,MATCH("OBJ",'General price list'!$C$20:$BA$20,0),FALSE),""))</f>
        <v>0</v>
      </c>
      <c r="E849" s="1">
        <f t="shared" si="81"/>
        <v>0</v>
      </c>
      <c r="F849" s="1">
        <f t="shared" si="82"/>
        <v>0</v>
      </c>
      <c r="G849" s="1">
        <f t="shared" si="83"/>
        <v>0</v>
      </c>
      <c r="H849" s="1">
        <f t="shared" si="84"/>
        <v>0</v>
      </c>
      <c r="I849" s="1">
        <f t="shared" si="85"/>
        <v>0</v>
      </c>
      <c r="J849">
        <f>IF(B849="PAL","",IFERROR(IF(C849="",VLOOKUP(B849,'General price list'!C:BA,MATCH("CBM",'General price list'!$C$20:$BA$20,0),FALSE)*D849,VLOOKUP(B849,'General price list'!C:BA,MATCH("CBM",'General price list'!$C$20:$BA$20,0),FALSE)*(G849*C849)),0))</f>
        <v>0</v>
      </c>
    </row>
    <row r="850" spans="2:10" ht="15" customHeight="1">
      <c r="B850" s="790" t="str">
        <f>IF(B849="PAL","",'General price list'!C870)</f>
        <v>HF-80-2366s  HF-80-2367s</v>
      </c>
      <c r="C850" s="1" t="str">
        <f>IF(B850="PAL","",IFERROR(VLOOKUP(B850,'General price list'!C:BA,MATCH("PAL",'General price list'!$C$20:$BA$20,0),FALSE),""))</f>
        <v/>
      </c>
      <c r="D850" s="1">
        <f>IF(B850="PAL","",IFERROR(VLOOKUP(B850,'General price list'!C:BA,MATCH("OBJ",'General price list'!$C$20:$BA$20,0),FALSE),""))</f>
        <v>0</v>
      </c>
      <c r="E850" s="1">
        <f t="shared" si="81"/>
        <v>0</v>
      </c>
      <c r="F850" s="1">
        <f t="shared" si="82"/>
        <v>0</v>
      </c>
      <c r="G850" s="1">
        <f t="shared" si="83"/>
        <v>0</v>
      </c>
      <c r="H850" s="1">
        <f t="shared" si="84"/>
        <v>0</v>
      </c>
      <c r="I850" s="1">
        <f t="shared" si="85"/>
        <v>0</v>
      </c>
      <c r="J850">
        <f>IF(B850="PAL","",IFERROR(IF(C850="",VLOOKUP(B850,'General price list'!C:BA,MATCH("CBM",'General price list'!$C$20:$BA$20,0),FALSE)*D850,VLOOKUP(B850,'General price list'!C:BA,MATCH("CBM",'General price list'!$C$20:$BA$20,0),FALSE)*(G850*C850)),0))</f>
        <v>0</v>
      </c>
    </row>
    <row r="851" spans="2:10" ht="15" customHeight="1">
      <c r="B851" s="790" t="str">
        <f>IF(B850="PAL","",'General price list'!C871)</f>
        <v>RK-92-2565 RK-96-2566</v>
      </c>
      <c r="C851" s="1" t="str">
        <f>IF(B851="PAL","",IFERROR(VLOOKUP(B851,'General price list'!C:BA,MATCH("PAL",'General price list'!$C$20:$BA$20,0),FALSE),""))</f>
        <v/>
      </c>
      <c r="D851" s="1">
        <f>IF(B851="PAL","",IFERROR(VLOOKUP(B851,'General price list'!C:BA,MATCH("OBJ",'General price list'!$C$20:$BA$20,0),FALSE),""))</f>
        <v>0</v>
      </c>
      <c r="E851" s="1">
        <f t="shared" si="81"/>
        <v>0</v>
      </c>
      <c r="F851" s="1">
        <f t="shared" si="82"/>
        <v>0</v>
      </c>
      <c r="G851" s="1">
        <f t="shared" si="83"/>
        <v>0</v>
      </c>
      <c r="H851" s="1">
        <f t="shared" si="84"/>
        <v>0</v>
      </c>
      <c r="I851" s="1">
        <f t="shared" si="85"/>
        <v>0</v>
      </c>
      <c r="J851">
        <f>IF(B851="PAL","",IFERROR(IF(C851="",VLOOKUP(B851,'General price list'!C:BA,MATCH("CBM",'General price list'!$C$20:$BA$20,0),FALSE)*D851,VLOOKUP(B851,'General price list'!C:BA,MATCH("CBM",'General price list'!$C$20:$BA$20,0),FALSE)*(G851*C851)),0))</f>
        <v>0</v>
      </c>
    </row>
    <row r="852" spans="2:10" ht="15" customHeight="1">
      <c r="B852" s="790" t="str">
        <f>IF(B851="PAL","",'General price list'!C872)</f>
        <v>HF-96-2418-HF-96-2419</v>
      </c>
      <c r="C852" s="1" t="str">
        <f>IF(B852="PAL","",IFERROR(VLOOKUP(B852,'General price list'!C:BA,MATCH("PAL",'General price list'!$C$20:$BA$20,0),FALSE),""))</f>
        <v/>
      </c>
      <c r="D852" s="1">
        <f>IF(B852="PAL","",IFERROR(VLOOKUP(B852,'General price list'!C:BA,MATCH("OBJ",'General price list'!$C$20:$BA$20,0),FALSE),""))</f>
        <v>0</v>
      </c>
      <c r="E852" s="1">
        <f t="shared" si="81"/>
        <v>0</v>
      </c>
      <c r="F852" s="1">
        <f t="shared" si="82"/>
        <v>0</v>
      </c>
      <c r="G852" s="1">
        <f t="shared" si="83"/>
        <v>0</v>
      </c>
      <c r="H852" s="1">
        <f t="shared" si="84"/>
        <v>0</v>
      </c>
      <c r="I852" s="1">
        <f t="shared" si="85"/>
        <v>0</v>
      </c>
      <c r="J852">
        <f>IF(B852="PAL","",IFERROR(IF(C852="",VLOOKUP(B852,'General price list'!C:BA,MATCH("CBM",'General price list'!$C$20:$BA$20,0),FALSE)*D852,VLOOKUP(B852,'General price list'!C:BA,MATCH("CBM",'General price list'!$C$20:$BA$20,0),FALSE)*(G852*C852)),0))</f>
        <v>0</v>
      </c>
    </row>
    <row r="853" spans="2:10" ht="15" customHeight="1">
      <c r="B853" s="790" t="str">
        <f>IF(B852="PAL","",'General price list'!C873)</f>
        <v>HF-88-2487-HF-116-2488</v>
      </c>
      <c r="C853" s="1" t="str">
        <f>IF(B853="PAL","",IFERROR(VLOOKUP(B853,'General price list'!C:BA,MATCH("PAL",'General price list'!$C$20:$BA$20,0),FALSE),""))</f>
        <v/>
      </c>
      <c r="D853" s="1">
        <f>IF(B853="PAL","",IFERROR(VLOOKUP(B853,'General price list'!C:BA,MATCH("OBJ",'General price list'!$C$20:$BA$20,0),FALSE),""))</f>
        <v>0</v>
      </c>
      <c r="E853" s="1">
        <f t="shared" si="81"/>
        <v>0</v>
      </c>
      <c r="F853" s="1">
        <f t="shared" si="82"/>
        <v>0</v>
      </c>
      <c r="G853" s="1">
        <f t="shared" si="83"/>
        <v>0</v>
      </c>
      <c r="H853" s="1">
        <f t="shared" si="84"/>
        <v>0</v>
      </c>
      <c r="I853" s="1">
        <f t="shared" si="85"/>
        <v>0</v>
      </c>
      <c r="J853">
        <f>IF(B853="PAL","",IFERROR(IF(C853="",VLOOKUP(B853,'General price list'!C:BA,MATCH("CBM",'General price list'!$C$20:$BA$20,0),FALSE)*D853,VLOOKUP(B853,'General price list'!C:BA,MATCH("CBM",'General price list'!$C$20:$BA$20,0),FALSE)*(G853*C853)),0))</f>
        <v>0</v>
      </c>
    </row>
    <row r="854" spans="2:10" ht="15" customHeight="1">
      <c r="B854" s="790" t="str">
        <f>IF(B853="PAL","",'General price list'!C874)</f>
        <v>HF-98-24103-HF-96-24104-HF-98-24105-HF-100-24106</v>
      </c>
      <c r="C854" s="1" t="str">
        <f>IF(B854="PAL","",IFERROR(VLOOKUP(B854,'General price list'!C:BA,MATCH("PAL",'General price list'!$C$20:$BA$20,0),FALSE),""))</f>
        <v/>
      </c>
      <c r="D854" s="1">
        <f>IF(B854="PAL","",IFERROR(VLOOKUP(B854,'General price list'!C:BA,MATCH("OBJ",'General price list'!$C$20:$BA$20,0),FALSE),""))</f>
        <v>0</v>
      </c>
      <c r="E854" s="1">
        <f t="shared" si="81"/>
        <v>0</v>
      </c>
      <c r="F854" s="1">
        <f t="shared" si="82"/>
        <v>0</v>
      </c>
      <c r="G854" s="1">
        <f t="shared" si="83"/>
        <v>0</v>
      </c>
      <c r="H854" s="1">
        <f t="shared" si="84"/>
        <v>0</v>
      </c>
      <c r="I854" s="1">
        <f t="shared" si="85"/>
        <v>0</v>
      </c>
      <c r="J854">
        <f>IF(B854="PAL","",IFERROR(IF(C854="",VLOOKUP(B854,'General price list'!C:BA,MATCH("CBM",'General price list'!$C$20:$BA$20,0),FALSE)*D854,VLOOKUP(B854,'General price list'!C:BA,MATCH("CBM",'General price list'!$C$20:$BA$20,0),FALSE)*(G854*C854)),0))</f>
        <v>0</v>
      </c>
    </row>
    <row r="855" spans="2:10" ht="15" customHeight="1">
      <c r="B855" s="790">
        <f>IF(B854="PAL","",'General price list'!C875)</f>
        <v>0</v>
      </c>
      <c r="C855" s="1" t="str">
        <f>IF(B855="PAL","",IFERROR(VLOOKUP(B855,'General price list'!C:BA,MATCH("PAL",'General price list'!$C$20:$BA$20,0),FALSE),""))</f>
        <v/>
      </c>
      <c r="D855" s="1" t="str">
        <f>IF(B855="PAL","",IFERROR(VLOOKUP(B855,'General price list'!C:BA,MATCH("OBJ",'General price list'!$C$20:$BA$20,0),FALSE),""))</f>
        <v/>
      </c>
      <c r="E855" s="1">
        <f t="shared" si="81"/>
        <v>0</v>
      </c>
      <c r="F855" s="1">
        <f t="shared" si="82"/>
        <v>0</v>
      </c>
      <c r="G855" s="1">
        <f t="shared" si="83"/>
        <v>0</v>
      </c>
      <c r="H855" s="1">
        <f t="shared" si="84"/>
        <v>0</v>
      </c>
      <c r="I855" s="1">
        <f t="shared" si="85"/>
        <v>0</v>
      </c>
      <c r="J855">
        <f>IF(B855="PAL","",IFERROR(IF(C855="",VLOOKUP(B855,'General price list'!C:BA,MATCH("CBM",'General price list'!$C$20:$BA$20,0),FALSE)*D855,VLOOKUP(B855,'General price list'!C:BA,MATCH("CBM",'General price list'!$C$20:$BA$20,0),FALSE)*(G855*C855)),0))</f>
        <v>0</v>
      </c>
    </row>
    <row r="856" spans="2:10" ht="15" customHeight="1">
      <c r="B856" s="790" t="str">
        <f>IF(B855="PAL","",'General price list'!C876)</f>
        <v>CX1352X2</v>
      </c>
      <c r="C856" s="1" t="str">
        <f>IF(B856="PAL","",IFERROR(VLOOKUP(B856,'General price list'!C:BA,MATCH("PAL",'General price list'!$C$20:$BA$20,0),FALSE),""))</f>
        <v/>
      </c>
      <c r="D856" s="1">
        <f>IF(B856="PAL","",IFERROR(VLOOKUP(B856,'General price list'!C:BA,MATCH("OBJ",'General price list'!$C$20:$BA$20,0),FALSE),""))</f>
        <v>0</v>
      </c>
      <c r="E856" s="1">
        <f t="shared" si="81"/>
        <v>0</v>
      </c>
      <c r="F856" s="1">
        <f t="shared" si="82"/>
        <v>0</v>
      </c>
      <c r="G856" s="1">
        <f t="shared" si="83"/>
        <v>0</v>
      </c>
      <c r="H856" s="1">
        <f t="shared" si="84"/>
        <v>0</v>
      </c>
      <c r="I856" s="1">
        <f t="shared" si="85"/>
        <v>0</v>
      </c>
      <c r="J856">
        <f>IF(B856="PAL","",IFERROR(IF(C856="",VLOOKUP(B856,'General price list'!C:BA,MATCH("CBM",'General price list'!$C$20:$BA$20,0),FALSE)*D856,VLOOKUP(B856,'General price list'!C:BA,MATCH("CBM",'General price list'!$C$20:$BA$20,0),FALSE)*(G856*C856)),0))</f>
        <v>0</v>
      </c>
    </row>
    <row r="857" spans="2:10" ht="15" customHeight="1">
      <c r="B857" s="790" t="str">
        <f>IF(B856="PAL","",'General price list'!C877)</f>
        <v>CF1352X6</v>
      </c>
      <c r="C857" s="1" t="str">
        <f>IF(B857="PAL","",IFERROR(VLOOKUP(B857,'General price list'!C:BA,MATCH("PAL",'General price list'!$C$20:$BA$20,0),FALSE),""))</f>
        <v/>
      </c>
      <c r="D857" s="1">
        <f>IF(B857="PAL","",IFERROR(VLOOKUP(B857,'General price list'!C:BA,MATCH("OBJ",'General price list'!$C$20:$BA$20,0),FALSE),""))</f>
        <v>0</v>
      </c>
      <c r="E857" s="1">
        <f t="shared" si="81"/>
        <v>0</v>
      </c>
      <c r="F857" s="1">
        <f t="shared" si="82"/>
        <v>0</v>
      </c>
      <c r="G857" s="1">
        <f t="shared" si="83"/>
        <v>0</v>
      </c>
      <c r="H857" s="1">
        <f t="shared" si="84"/>
        <v>0</v>
      </c>
      <c r="I857" s="1">
        <f t="shared" si="85"/>
        <v>0</v>
      </c>
      <c r="J857">
        <f>IF(B857="PAL","",IFERROR(IF(C857="",VLOOKUP(B857,'General price list'!C:BA,MATCH("CBM",'General price list'!$C$20:$BA$20,0),FALSE)*D857,VLOOKUP(B857,'General price list'!C:BA,MATCH("CBM",'General price list'!$C$20:$BA$20,0),FALSE)*(G857*C857)),0))</f>
        <v>0</v>
      </c>
    </row>
    <row r="858" spans="2:10" ht="15" customHeight="1">
      <c r="B858" s="790" t="str">
        <f>IF(B857="PAL","",'General price list'!C878)</f>
        <v>CS1352X9</v>
      </c>
      <c r="C858" s="1" t="str">
        <f>IF(B858="PAL","",IFERROR(VLOOKUP(B858,'General price list'!C:BA,MATCH("PAL",'General price list'!$C$20:$BA$20,0),FALSE),""))</f>
        <v/>
      </c>
      <c r="D858" s="1">
        <f>IF(B858="PAL","",IFERROR(VLOOKUP(B858,'General price list'!C:BA,MATCH("OBJ",'General price list'!$C$20:$BA$20,0),FALSE),""))</f>
        <v>0</v>
      </c>
      <c r="E858" s="1">
        <f t="shared" si="81"/>
        <v>0</v>
      </c>
      <c r="F858" s="1">
        <f t="shared" si="82"/>
        <v>0</v>
      </c>
      <c r="G858" s="1">
        <f t="shared" si="83"/>
        <v>0</v>
      </c>
      <c r="H858" s="1">
        <f t="shared" si="84"/>
        <v>0</v>
      </c>
      <c r="I858" s="1">
        <f t="shared" si="85"/>
        <v>0</v>
      </c>
      <c r="J858">
        <f>IF(B858="PAL","",IFERROR(IF(C858="",VLOOKUP(B858,'General price list'!C:BA,MATCH("CBM",'General price list'!$C$20:$BA$20,0),FALSE)*D858,VLOOKUP(B858,'General price list'!C:BA,MATCH("CBM",'General price list'!$C$20:$BA$20,0),FALSE)*(G858*C858)),0))</f>
        <v>0</v>
      </c>
    </row>
    <row r="859" spans="2:10" ht="15" customHeight="1">
      <c r="B859" s="790" t="str">
        <f>IF(B858="PAL","",'General price list'!C879)</f>
        <v>CS1352X10</v>
      </c>
      <c r="C859" s="1" t="str">
        <f>IF(B859="PAL","",IFERROR(VLOOKUP(B859,'General price list'!C:BA,MATCH("PAL",'General price list'!$C$20:$BA$20,0),FALSE),""))</f>
        <v/>
      </c>
      <c r="D859" s="1">
        <f>IF(B859="PAL","",IFERROR(VLOOKUP(B859,'General price list'!C:BA,MATCH("OBJ",'General price list'!$C$20:$BA$20,0),FALSE),""))</f>
        <v>0</v>
      </c>
      <c r="E859" s="1">
        <f t="shared" si="81"/>
        <v>0</v>
      </c>
      <c r="F859" s="1">
        <f t="shared" si="82"/>
        <v>0</v>
      </c>
      <c r="G859" s="1">
        <f t="shared" si="83"/>
        <v>0</v>
      </c>
      <c r="H859" s="1">
        <f t="shared" si="84"/>
        <v>0</v>
      </c>
      <c r="I859" s="1">
        <f t="shared" si="85"/>
        <v>0</v>
      </c>
      <c r="J859">
        <f>IF(B859="PAL","",IFERROR(IF(C859="",VLOOKUP(B859,'General price list'!C:BA,MATCH("CBM",'General price list'!$C$20:$BA$20,0),FALSE)*D859,VLOOKUP(B859,'General price list'!C:BA,MATCH("CBM",'General price list'!$C$20:$BA$20,0),FALSE)*(G859*C859)),0))</f>
        <v>0</v>
      </c>
    </row>
    <row r="860" spans="2:10" ht="15" customHeight="1">
      <c r="B860" s="790" t="str">
        <f>IF(B859="PAL","",'General price list'!C880)</f>
        <v>CX1352X11</v>
      </c>
      <c r="C860" s="1" t="str">
        <f>IF(B860="PAL","",IFERROR(VLOOKUP(B860,'General price list'!C:BA,MATCH("PAL",'General price list'!$C$20:$BA$20,0),FALSE),""))</f>
        <v/>
      </c>
      <c r="D860" s="1">
        <f>IF(B860="PAL","",IFERROR(VLOOKUP(B860,'General price list'!C:BA,MATCH("OBJ",'General price list'!$C$20:$BA$20,0),FALSE),""))</f>
        <v>0</v>
      </c>
      <c r="E860" s="1">
        <f t="shared" si="81"/>
        <v>0</v>
      </c>
      <c r="F860" s="1">
        <f t="shared" si="82"/>
        <v>0</v>
      </c>
      <c r="G860" s="1">
        <f t="shared" si="83"/>
        <v>0</v>
      </c>
      <c r="H860" s="1">
        <f t="shared" si="84"/>
        <v>0</v>
      </c>
      <c r="I860" s="1">
        <f t="shared" si="85"/>
        <v>0</v>
      </c>
      <c r="J860">
        <f>IF(B860="PAL","",IFERROR(IF(C860="",VLOOKUP(B860,'General price list'!C:BA,MATCH("CBM",'General price list'!$C$20:$BA$20,0),FALSE)*D860,VLOOKUP(B860,'General price list'!C:BA,MATCH("CBM",'General price list'!$C$20:$BA$20,0),FALSE)*(G860*C860)),0))</f>
        <v>0</v>
      </c>
    </row>
    <row r="861" spans="2:10" ht="15" customHeight="1">
      <c r="B861" s="790" t="str">
        <f>IF(B860="PAL","",'General price list'!C881)</f>
        <v>CS1352X14</v>
      </c>
      <c r="C861" s="1" t="str">
        <f>IF(B861="PAL","",IFERROR(VLOOKUP(B861,'General price list'!C:BA,MATCH("PAL",'General price list'!$C$20:$BA$20,0),FALSE),""))</f>
        <v/>
      </c>
      <c r="D861" s="1">
        <f>IF(B861="PAL","",IFERROR(VLOOKUP(B861,'General price list'!C:BA,MATCH("OBJ",'General price list'!$C$20:$BA$20,0),FALSE),""))</f>
        <v>0</v>
      </c>
      <c r="E861" s="1">
        <f t="shared" si="81"/>
        <v>0</v>
      </c>
      <c r="F861" s="1">
        <f t="shared" si="82"/>
        <v>0</v>
      </c>
      <c r="G861" s="1">
        <f t="shared" si="83"/>
        <v>0</v>
      </c>
      <c r="H861" s="1">
        <f t="shared" si="84"/>
        <v>0</v>
      </c>
      <c r="I861" s="1">
        <f t="shared" si="85"/>
        <v>0</v>
      </c>
      <c r="J861">
        <f>IF(B861="PAL","",IFERROR(IF(C861="",VLOOKUP(B861,'General price list'!C:BA,MATCH("CBM",'General price list'!$C$20:$BA$20,0),FALSE)*D861,VLOOKUP(B861,'General price list'!C:BA,MATCH("CBM",'General price list'!$C$20:$BA$20,0),FALSE)*(G861*C861)),0))</f>
        <v>0</v>
      </c>
    </row>
    <row r="862" spans="2:10" ht="15" customHeight="1">
      <c r="B862" s="790">
        <f>IF(B861="PAL","",'General price list'!C882)</f>
        <v>0</v>
      </c>
      <c r="C862" s="1" t="str">
        <f>IF(B862="PAL","",IFERROR(VLOOKUP(B862,'General price list'!C:BA,MATCH("PAL",'General price list'!$C$20:$BA$20,0),FALSE),""))</f>
        <v/>
      </c>
      <c r="D862" s="1" t="str">
        <f>IF(B862="PAL","",IFERROR(VLOOKUP(B862,'General price list'!C:BA,MATCH("OBJ",'General price list'!$C$20:$BA$20,0),FALSE),""))</f>
        <v/>
      </c>
      <c r="E862" s="1">
        <f t="shared" si="81"/>
        <v>0</v>
      </c>
      <c r="F862" s="1">
        <f t="shared" si="82"/>
        <v>0</v>
      </c>
      <c r="G862" s="1">
        <f t="shared" si="83"/>
        <v>0</v>
      </c>
      <c r="H862" s="1">
        <f t="shared" si="84"/>
        <v>0</v>
      </c>
      <c r="I862" s="1">
        <f t="shared" si="85"/>
        <v>0</v>
      </c>
      <c r="J862">
        <f>IF(B862="PAL","",IFERROR(IF(C862="",VLOOKUP(B862,'General price list'!C:BA,MATCH("CBM",'General price list'!$C$20:$BA$20,0),FALSE)*D862,VLOOKUP(B862,'General price list'!C:BA,MATCH("CBM",'General price list'!$C$20:$BA$20,0),FALSE)*(G862*C862)),0))</f>
        <v>0</v>
      </c>
    </row>
    <row r="863" spans="2:10" ht="15" customHeight="1">
      <c r="B863" s="790" t="str">
        <f>IF(B862="PAL","",'General price list'!C883)</f>
        <v>C253CH</v>
      </c>
      <c r="C863" s="1" t="str">
        <f>IF(B863="PAL","",IFERROR(VLOOKUP(B863,'General price list'!C:BA,MATCH("PAL",'General price list'!$C$20:$BA$20,0),FALSE),""))</f>
        <v/>
      </c>
      <c r="D863" s="1">
        <f>IF(B863="PAL","",IFERROR(VLOOKUP(B863,'General price list'!C:BA,MATCH("OBJ",'General price list'!$C$20:$BA$20,0),FALSE),""))</f>
        <v>0</v>
      </c>
      <c r="E863" s="1">
        <f t="shared" si="81"/>
        <v>0</v>
      </c>
      <c r="F863" s="1">
        <f t="shared" si="82"/>
        <v>0</v>
      </c>
      <c r="G863" s="1">
        <f t="shared" si="83"/>
        <v>0</v>
      </c>
      <c r="H863" s="1">
        <f t="shared" si="84"/>
        <v>0</v>
      </c>
      <c r="I863" s="1">
        <f t="shared" si="85"/>
        <v>0</v>
      </c>
      <c r="J863">
        <f>IF(B863="PAL","",IFERROR(IF(C863="",VLOOKUP(B863,'General price list'!C:BA,MATCH("CBM",'General price list'!$C$20:$BA$20,0),FALSE)*D863,VLOOKUP(B863,'General price list'!C:BA,MATCH("CBM",'General price list'!$C$20:$BA$20,0),FALSE)*(G863*C863)),0))</f>
        <v>0</v>
      </c>
    </row>
    <row r="864" spans="2:10" ht="15" customHeight="1">
      <c r="B864" s="790" t="str">
        <f>IF(B863="PAL","",'General price list'!C884)</f>
        <v>C253O</v>
      </c>
      <c r="C864" s="1" t="str">
        <f>IF(B864="PAL","",IFERROR(VLOOKUP(B864,'General price list'!C:BA,MATCH("PAL",'General price list'!$C$20:$BA$20,0),FALSE),""))</f>
        <v/>
      </c>
      <c r="D864" s="1">
        <f>IF(B864="PAL","",IFERROR(VLOOKUP(B864,'General price list'!C:BA,MATCH("OBJ",'General price list'!$C$20:$BA$20,0),FALSE),""))</f>
        <v>0</v>
      </c>
      <c r="E864" s="1">
        <f t="shared" si="81"/>
        <v>0</v>
      </c>
      <c r="F864" s="1">
        <f t="shared" si="82"/>
        <v>0</v>
      </c>
      <c r="G864" s="1">
        <f t="shared" si="83"/>
        <v>0</v>
      </c>
      <c r="H864" s="1">
        <f t="shared" si="84"/>
        <v>0</v>
      </c>
      <c r="I864" s="1">
        <f t="shared" si="85"/>
        <v>0</v>
      </c>
      <c r="J864">
        <f>IF(B864="PAL","",IFERROR(IF(C864="",VLOOKUP(B864,'General price list'!C:BA,MATCH("CBM",'General price list'!$C$20:$BA$20,0),FALSE)*D864,VLOOKUP(B864,'General price list'!C:BA,MATCH("CBM",'General price list'!$C$20:$BA$20,0),FALSE)*(G864*C864)),0))</f>
        <v>0</v>
      </c>
    </row>
    <row r="865" spans="2:10" ht="15" customHeight="1">
      <c r="B865" s="790">
        <f>IF(B864="PAL","",'General price list'!C885)</f>
        <v>0</v>
      </c>
      <c r="C865" s="1" t="str">
        <f>IF(B865="PAL","",IFERROR(VLOOKUP(B865,'General price list'!C:BA,MATCH("PAL",'General price list'!$C$20:$BA$20,0),FALSE),""))</f>
        <v/>
      </c>
      <c r="D865" s="1" t="str">
        <f>IF(B865="PAL","",IFERROR(VLOOKUP(B865,'General price list'!C:BA,MATCH("OBJ",'General price list'!$C$20:$BA$20,0),FALSE),""))</f>
        <v/>
      </c>
      <c r="E865" s="1">
        <f t="shared" si="81"/>
        <v>0</v>
      </c>
      <c r="F865" s="1">
        <f t="shared" si="82"/>
        <v>0</v>
      </c>
      <c r="G865" s="1">
        <f t="shared" si="83"/>
        <v>0</v>
      </c>
      <c r="H865" s="1">
        <f t="shared" si="84"/>
        <v>0</v>
      </c>
      <c r="I865" s="1">
        <f t="shared" si="85"/>
        <v>0</v>
      </c>
      <c r="J865">
        <f>IF(B865="PAL","",IFERROR(IF(C865="",VLOOKUP(B865,'General price list'!C:BA,MATCH("CBM",'General price list'!$C$20:$BA$20,0),FALSE)*D865,VLOOKUP(B865,'General price list'!C:BA,MATCH("CBM",'General price list'!$C$20:$BA$20,0),FALSE)*(G865*C865)),0))</f>
        <v>0</v>
      </c>
    </row>
    <row r="866" spans="2:10" ht="15" customHeight="1">
      <c r="B866" s="790" t="str">
        <f>IF(B865="PAL","",'General price list'!C886)</f>
        <v>CF503X3</v>
      </c>
      <c r="C866" s="1" t="str">
        <f>IF(B866="PAL","",IFERROR(VLOOKUP(B866,'General price list'!C:BA,MATCH("PAL",'General price list'!$C$20:$BA$20,0),FALSE),""))</f>
        <v/>
      </c>
      <c r="D866" s="1">
        <f>IF(B866="PAL","",IFERROR(VLOOKUP(B866,'General price list'!C:BA,MATCH("OBJ",'General price list'!$C$20:$BA$20,0),FALSE),""))</f>
        <v>0</v>
      </c>
      <c r="E866" s="1">
        <f t="shared" si="81"/>
        <v>0</v>
      </c>
      <c r="F866" s="1">
        <f t="shared" si="82"/>
        <v>0</v>
      </c>
      <c r="G866" s="1">
        <f t="shared" si="83"/>
        <v>0</v>
      </c>
      <c r="H866" s="1">
        <f t="shared" si="84"/>
        <v>0</v>
      </c>
      <c r="I866" s="1">
        <f t="shared" si="85"/>
        <v>0</v>
      </c>
      <c r="J866">
        <f>IF(B866="PAL","",IFERROR(IF(C866="",VLOOKUP(B866,'General price list'!C:BA,MATCH("CBM",'General price list'!$C$20:$BA$20,0),FALSE)*D866,VLOOKUP(B866,'General price list'!C:BA,MATCH("CBM",'General price list'!$C$20:$BA$20,0),FALSE)*(G866*C866)),0))</f>
        <v>0</v>
      </c>
    </row>
    <row r="867" spans="2:10" ht="15" customHeight="1">
      <c r="B867" s="790" t="str">
        <f>IF(B866="PAL","",'General price list'!C887)</f>
        <v>CF503X4</v>
      </c>
      <c r="C867" s="1" t="str">
        <f>IF(B867="PAL","",IFERROR(VLOOKUP(B867,'General price list'!C:BA,MATCH("PAL",'General price list'!$C$20:$BA$20,0),FALSE),""))</f>
        <v/>
      </c>
      <c r="D867" s="1">
        <f>IF(B867="PAL","",IFERROR(VLOOKUP(B867,'General price list'!C:BA,MATCH("OBJ",'General price list'!$C$20:$BA$20,0),FALSE),""))</f>
        <v>0</v>
      </c>
      <c r="E867" s="1">
        <f t="shared" si="81"/>
        <v>0</v>
      </c>
      <c r="F867" s="1">
        <f t="shared" si="82"/>
        <v>0</v>
      </c>
      <c r="G867" s="1">
        <f t="shared" si="83"/>
        <v>0</v>
      </c>
      <c r="H867" s="1">
        <f t="shared" si="84"/>
        <v>0</v>
      </c>
      <c r="I867" s="1">
        <f t="shared" si="85"/>
        <v>0</v>
      </c>
      <c r="J867">
        <f>IF(B867="PAL","",IFERROR(IF(C867="",VLOOKUP(B867,'General price list'!C:BA,MATCH("CBM",'General price list'!$C$20:$BA$20,0),FALSE)*D867,VLOOKUP(B867,'General price list'!C:BA,MATCH("CBM",'General price list'!$C$20:$BA$20,0),FALSE)*(G867*C867)),0))</f>
        <v>0</v>
      </c>
    </row>
    <row r="868" spans="2:10" ht="15" customHeight="1">
      <c r="B868" s="790" t="str">
        <f>IF(B867="PAL","",'General price list'!C888)</f>
        <v>CF503X5</v>
      </c>
      <c r="C868" s="1" t="str">
        <f>IF(B868="PAL","",IFERROR(VLOOKUP(B868,'General price list'!C:BA,MATCH("PAL",'General price list'!$C$20:$BA$20,0),FALSE),""))</f>
        <v/>
      </c>
      <c r="D868" s="1">
        <f>IF(B868="PAL","",IFERROR(VLOOKUP(B868,'General price list'!C:BA,MATCH("OBJ",'General price list'!$C$20:$BA$20,0),FALSE),""))</f>
        <v>0</v>
      </c>
      <c r="E868" s="1">
        <f t="shared" si="81"/>
        <v>0</v>
      </c>
      <c r="F868" s="1">
        <f t="shared" si="82"/>
        <v>0</v>
      </c>
      <c r="G868" s="1">
        <f t="shared" si="83"/>
        <v>0</v>
      </c>
      <c r="H868" s="1">
        <f t="shared" si="84"/>
        <v>0</v>
      </c>
      <c r="I868" s="1">
        <f t="shared" si="85"/>
        <v>0</v>
      </c>
      <c r="J868">
        <f>IF(B868="PAL","",IFERROR(IF(C868="",VLOOKUP(B868,'General price list'!C:BA,MATCH("CBM",'General price list'!$C$20:$BA$20,0),FALSE)*D868,VLOOKUP(B868,'General price list'!C:BA,MATCH("CBM",'General price list'!$C$20:$BA$20,0),FALSE)*(G868*C868)),0))</f>
        <v>0</v>
      </c>
    </row>
    <row r="869" spans="2:10" ht="15" customHeight="1">
      <c r="B869" s="790" t="str">
        <f>IF(B868="PAL","",'General price list'!C889)</f>
        <v>CF503X7</v>
      </c>
      <c r="C869" s="1" t="str">
        <f>IF(B869="PAL","",IFERROR(VLOOKUP(B869,'General price list'!C:BA,MATCH("PAL",'General price list'!$C$20:$BA$20,0),FALSE),""))</f>
        <v/>
      </c>
      <c r="D869" s="1">
        <f>IF(B869="PAL","",IFERROR(VLOOKUP(B869,'General price list'!C:BA,MATCH("OBJ",'General price list'!$C$20:$BA$20,0),FALSE),""))</f>
        <v>0</v>
      </c>
      <c r="E869" s="1">
        <f t="shared" si="81"/>
        <v>0</v>
      </c>
      <c r="F869" s="1">
        <f t="shared" si="82"/>
        <v>0</v>
      </c>
      <c r="G869" s="1">
        <f t="shared" si="83"/>
        <v>0</v>
      </c>
      <c r="H869" s="1">
        <f t="shared" si="84"/>
        <v>0</v>
      </c>
      <c r="I869" s="1">
        <f t="shared" si="85"/>
        <v>0</v>
      </c>
      <c r="J869">
        <f>IF(B869="PAL","",IFERROR(IF(C869="",VLOOKUP(B869,'General price list'!C:BA,MATCH("CBM",'General price list'!$C$20:$BA$20,0),FALSE)*D869,VLOOKUP(B869,'General price list'!C:BA,MATCH("CBM",'General price list'!$C$20:$BA$20,0),FALSE)*(G869*C869)),0))</f>
        <v>0</v>
      </c>
    </row>
    <row r="870" spans="2:10" ht="15" customHeight="1">
      <c r="B870" s="790" t="str">
        <f>IF(B869="PAL","",'General price list'!C890)</f>
        <v>CF503X8</v>
      </c>
      <c r="C870" s="1" t="str">
        <f>IF(B870="PAL","",IFERROR(VLOOKUP(B870,'General price list'!C:BA,MATCH("PAL",'General price list'!$C$20:$BA$20,0),FALSE),""))</f>
        <v/>
      </c>
      <c r="D870" s="1">
        <f>IF(B870="PAL","",IFERROR(VLOOKUP(B870,'General price list'!C:BA,MATCH("OBJ",'General price list'!$C$20:$BA$20,0),FALSE),""))</f>
        <v>0</v>
      </c>
      <c r="E870" s="1">
        <f t="shared" si="81"/>
        <v>0</v>
      </c>
      <c r="F870" s="1">
        <f t="shared" si="82"/>
        <v>0</v>
      </c>
      <c r="G870" s="1">
        <f t="shared" si="83"/>
        <v>0</v>
      </c>
      <c r="H870" s="1">
        <f t="shared" si="84"/>
        <v>0</v>
      </c>
      <c r="I870" s="1">
        <f t="shared" si="85"/>
        <v>0</v>
      </c>
      <c r="J870">
        <f>IF(B870="PAL","",IFERROR(IF(C870="",VLOOKUP(B870,'General price list'!C:BA,MATCH("CBM",'General price list'!$C$20:$BA$20,0),FALSE)*D870,VLOOKUP(B870,'General price list'!C:BA,MATCH("CBM",'General price list'!$C$20:$BA$20,0),FALSE)*(G870*C870)),0))</f>
        <v>0</v>
      </c>
    </row>
    <row r="871" spans="2:10" ht="15" customHeight="1">
      <c r="B871" s="790" t="str">
        <f>IF(B870="PAL","",'General price list'!C891)</f>
        <v>CF503X12</v>
      </c>
      <c r="C871" s="1" t="str">
        <f>IF(B871="PAL","",IFERROR(VLOOKUP(B871,'General price list'!C:BA,MATCH("PAL",'General price list'!$C$20:$BA$20,0),FALSE),""))</f>
        <v/>
      </c>
      <c r="D871" s="1">
        <f>IF(B871="PAL","",IFERROR(VLOOKUP(B871,'General price list'!C:BA,MATCH("OBJ",'General price list'!$C$20:$BA$20,0),FALSE),""))</f>
        <v>0</v>
      </c>
      <c r="E871" s="1">
        <f t="shared" si="81"/>
        <v>0</v>
      </c>
      <c r="F871" s="1">
        <f t="shared" si="82"/>
        <v>0</v>
      </c>
      <c r="G871" s="1">
        <f t="shared" si="83"/>
        <v>0</v>
      </c>
      <c r="H871" s="1">
        <f t="shared" si="84"/>
        <v>0</v>
      </c>
      <c r="I871" s="1">
        <f t="shared" si="85"/>
        <v>0</v>
      </c>
      <c r="J871">
        <f>IF(B871="PAL","",IFERROR(IF(C871="",VLOOKUP(B871,'General price list'!C:BA,MATCH("CBM",'General price list'!$C$20:$BA$20,0),FALSE)*D871,VLOOKUP(B871,'General price list'!C:BA,MATCH("CBM",'General price list'!$C$20:$BA$20,0),FALSE)*(G871*C871)),0))</f>
        <v>0</v>
      </c>
    </row>
    <row r="872" spans="2:10" ht="15" customHeight="1">
      <c r="B872" s="790" t="str">
        <f>IF(B871="PAL","",'General price list'!C892)</f>
        <v>CF503X14</v>
      </c>
      <c r="C872" s="1" t="str">
        <f>IF(B872="PAL","",IFERROR(VLOOKUP(B872,'General price list'!C:BA,MATCH("PAL",'General price list'!$C$20:$BA$20,0),FALSE),""))</f>
        <v/>
      </c>
      <c r="D872" s="1">
        <f>IF(B872="PAL","",IFERROR(VLOOKUP(B872,'General price list'!C:BA,MATCH("OBJ",'General price list'!$C$20:$BA$20,0),FALSE),""))</f>
        <v>0</v>
      </c>
      <c r="E872" s="1">
        <f t="shared" si="81"/>
        <v>0</v>
      </c>
      <c r="F872" s="1">
        <f t="shared" si="82"/>
        <v>0</v>
      </c>
      <c r="G872" s="1">
        <f t="shared" si="83"/>
        <v>0</v>
      </c>
      <c r="H872" s="1">
        <f t="shared" si="84"/>
        <v>0</v>
      </c>
      <c r="I872" s="1">
        <f t="shared" si="85"/>
        <v>0</v>
      </c>
      <c r="J872">
        <f>IF(B872="PAL","",IFERROR(IF(C872="",VLOOKUP(B872,'General price list'!C:BA,MATCH("CBM",'General price list'!$C$20:$BA$20,0),FALSE)*D872,VLOOKUP(B872,'General price list'!C:BA,MATCH("CBM",'General price list'!$C$20:$BA$20,0),FALSE)*(G872*C872)),0))</f>
        <v>0</v>
      </c>
    </row>
    <row r="873" spans="2:10" ht="15" customHeight="1">
      <c r="B873" s="790" t="str">
        <f>IF(B872="PAL","",'General price list'!C893)</f>
        <v>CF503X15</v>
      </c>
      <c r="C873" s="1" t="str">
        <f>IF(B873="PAL","",IFERROR(VLOOKUP(B873,'General price list'!C:BA,MATCH("PAL",'General price list'!$C$20:$BA$20,0),FALSE),""))</f>
        <v/>
      </c>
      <c r="D873" s="1">
        <f>IF(B873="PAL","",IFERROR(VLOOKUP(B873,'General price list'!C:BA,MATCH("OBJ",'General price list'!$C$20:$BA$20,0),FALSE),""))</f>
        <v>0</v>
      </c>
      <c r="E873" s="1">
        <f t="shared" si="81"/>
        <v>0</v>
      </c>
      <c r="F873" s="1">
        <f t="shared" si="82"/>
        <v>0</v>
      </c>
      <c r="G873" s="1">
        <f t="shared" si="83"/>
        <v>0</v>
      </c>
      <c r="H873" s="1">
        <f t="shared" si="84"/>
        <v>0</v>
      </c>
      <c r="I873" s="1">
        <f t="shared" si="85"/>
        <v>0</v>
      </c>
      <c r="J873">
        <f>IF(B873="PAL","",IFERROR(IF(C873="",VLOOKUP(B873,'General price list'!C:BA,MATCH("CBM",'General price list'!$C$20:$BA$20,0),FALSE)*D873,VLOOKUP(B873,'General price list'!C:BA,MATCH("CBM",'General price list'!$C$20:$BA$20,0),FALSE)*(G873*C873)),0))</f>
        <v>0</v>
      </c>
    </row>
    <row r="874" spans="2:10" ht="15" customHeight="1">
      <c r="B874" s="790" t="str">
        <f>IF(B873="PAL","",'General price list'!C894)</f>
        <v>CF503X17</v>
      </c>
      <c r="C874" s="1" t="str">
        <f>IF(B874="PAL","",IFERROR(VLOOKUP(B874,'General price list'!C:BA,MATCH("PAL",'General price list'!$C$20:$BA$20,0),FALSE),""))</f>
        <v/>
      </c>
      <c r="D874" s="1">
        <f>IF(B874="PAL","",IFERROR(VLOOKUP(B874,'General price list'!C:BA,MATCH("OBJ",'General price list'!$C$20:$BA$20,0),FALSE),""))</f>
        <v>0</v>
      </c>
      <c r="E874" s="1">
        <f t="shared" si="81"/>
        <v>0</v>
      </c>
      <c r="F874" s="1">
        <f t="shared" si="82"/>
        <v>0</v>
      </c>
      <c r="G874" s="1">
        <f t="shared" si="83"/>
        <v>0</v>
      </c>
      <c r="H874" s="1">
        <f t="shared" si="84"/>
        <v>0</v>
      </c>
      <c r="I874" s="1">
        <f t="shared" si="85"/>
        <v>0</v>
      </c>
      <c r="J874">
        <f>IF(B874="PAL","",IFERROR(IF(C874="",VLOOKUP(B874,'General price list'!C:BA,MATCH("CBM",'General price list'!$C$20:$BA$20,0),FALSE)*D874,VLOOKUP(B874,'General price list'!C:BA,MATCH("CBM",'General price list'!$C$20:$BA$20,0),FALSE)*(G874*C874)),0))</f>
        <v>0</v>
      </c>
    </row>
    <row r="875" spans="2:10" ht="15" customHeight="1">
      <c r="B875" s="790" t="str">
        <f>IF(B874="PAL","",'General price list'!C895)</f>
        <v>CF503X29</v>
      </c>
      <c r="C875" s="1" t="str">
        <f>IF(B875="PAL","",IFERROR(VLOOKUP(B875,'General price list'!C:BA,MATCH("PAL",'General price list'!$C$20:$BA$20,0),FALSE),""))</f>
        <v/>
      </c>
      <c r="D875" s="1">
        <f>IF(B875="PAL","",IFERROR(VLOOKUP(B875,'General price list'!C:BA,MATCH("OBJ",'General price list'!$C$20:$BA$20,0),FALSE),""))</f>
        <v>0</v>
      </c>
      <c r="E875" s="1">
        <f t="shared" si="81"/>
        <v>0</v>
      </c>
      <c r="F875" s="1">
        <f t="shared" si="82"/>
        <v>0</v>
      </c>
      <c r="G875" s="1">
        <f t="shared" si="83"/>
        <v>0</v>
      </c>
      <c r="H875" s="1">
        <f t="shared" si="84"/>
        <v>0</v>
      </c>
      <c r="I875" s="1">
        <f t="shared" si="85"/>
        <v>0</v>
      </c>
      <c r="J875">
        <f>IF(B875="PAL","",IFERROR(IF(C875="",VLOOKUP(B875,'General price list'!C:BA,MATCH("CBM",'General price list'!$C$20:$BA$20,0),FALSE)*D875,VLOOKUP(B875,'General price list'!C:BA,MATCH("CBM",'General price list'!$C$20:$BA$20,0),FALSE)*(G875*C875)),0))</f>
        <v>0</v>
      </c>
    </row>
    <row r="876" spans="2:10" ht="15" customHeight="1">
      <c r="B876" s="790" t="str">
        <f>IF(B875="PAL","",'General price list'!C896)</f>
        <v>CF503X48</v>
      </c>
      <c r="C876" s="1" t="str">
        <f>IF(B876="PAL","",IFERROR(VLOOKUP(B876,'General price list'!C:BA,MATCH("PAL",'General price list'!$C$20:$BA$20,0),FALSE),""))</f>
        <v/>
      </c>
      <c r="D876" s="1">
        <f>IF(B876="PAL","",IFERROR(VLOOKUP(B876,'General price list'!C:BA,MATCH("OBJ",'General price list'!$C$20:$BA$20,0),FALSE),""))</f>
        <v>0</v>
      </c>
      <c r="E876" s="1">
        <f t="shared" si="81"/>
        <v>0</v>
      </c>
      <c r="F876" s="1">
        <f t="shared" si="82"/>
        <v>0</v>
      </c>
      <c r="G876" s="1">
        <f t="shared" si="83"/>
        <v>0</v>
      </c>
      <c r="H876" s="1">
        <f t="shared" si="84"/>
        <v>0</v>
      </c>
      <c r="I876" s="1">
        <f t="shared" si="85"/>
        <v>0</v>
      </c>
      <c r="J876">
        <f>IF(B876="PAL","",IFERROR(IF(C876="",VLOOKUP(B876,'General price list'!C:BA,MATCH("CBM",'General price list'!$C$20:$BA$20,0),FALSE)*D876,VLOOKUP(B876,'General price list'!C:BA,MATCH("CBM",'General price list'!$C$20:$BA$20,0),FALSE)*(G876*C876)),0))</f>
        <v>0</v>
      </c>
    </row>
    <row r="877" spans="2:10" ht="15" customHeight="1">
      <c r="B877" s="790" t="str">
        <f>IF(B876="PAL","",'General price list'!C897)</f>
        <v>CF503X54</v>
      </c>
      <c r="C877" s="1" t="str">
        <f>IF(B877="PAL","",IFERROR(VLOOKUP(B877,'General price list'!C:BA,MATCH("PAL",'General price list'!$C$20:$BA$20,0),FALSE),""))</f>
        <v/>
      </c>
      <c r="D877" s="1">
        <f>IF(B877="PAL","",IFERROR(VLOOKUP(B877,'General price list'!C:BA,MATCH("OBJ",'General price list'!$C$20:$BA$20,0),FALSE),""))</f>
        <v>0</v>
      </c>
      <c r="E877" s="1">
        <f t="shared" si="81"/>
        <v>0</v>
      </c>
      <c r="F877" s="1">
        <f t="shared" si="82"/>
        <v>0</v>
      </c>
      <c r="G877" s="1">
        <f t="shared" si="83"/>
        <v>0</v>
      </c>
      <c r="H877" s="1">
        <f t="shared" si="84"/>
        <v>0</v>
      </c>
      <c r="I877" s="1">
        <f t="shared" si="85"/>
        <v>0</v>
      </c>
      <c r="J877">
        <f>IF(B877="PAL","",IFERROR(IF(C877="",VLOOKUP(B877,'General price list'!C:BA,MATCH("CBM",'General price list'!$C$20:$BA$20,0),FALSE)*D877,VLOOKUP(B877,'General price list'!C:BA,MATCH("CBM",'General price list'!$C$20:$BA$20,0),FALSE)*(G877*C877)),0))</f>
        <v>0</v>
      </c>
    </row>
    <row r="878" spans="2:10" ht="15" customHeight="1">
      <c r="B878" s="790">
        <f>IF(B877="PAL","",'General price list'!C898)</f>
        <v>0</v>
      </c>
      <c r="C878" s="1" t="str">
        <f>IF(B878="PAL","",IFERROR(VLOOKUP(B878,'General price list'!C:BA,MATCH("PAL",'General price list'!$C$20:$BA$20,0),FALSE),""))</f>
        <v/>
      </c>
      <c r="D878" s="1" t="str">
        <f>IF(B878="PAL","",IFERROR(VLOOKUP(B878,'General price list'!C:BA,MATCH("OBJ",'General price list'!$C$20:$BA$20,0),FALSE),""))</f>
        <v/>
      </c>
      <c r="E878" s="1">
        <f t="shared" si="81"/>
        <v>0</v>
      </c>
      <c r="F878" s="1">
        <f t="shared" si="82"/>
        <v>0</v>
      </c>
      <c r="G878" s="1">
        <f t="shared" si="83"/>
        <v>0</v>
      </c>
      <c r="H878" s="1">
        <f t="shared" si="84"/>
        <v>0</v>
      </c>
      <c r="I878" s="1">
        <f t="shared" si="85"/>
        <v>0</v>
      </c>
      <c r="J878">
        <f>IF(B878="PAL","",IFERROR(IF(C878="",VLOOKUP(B878,'General price list'!C:BA,MATCH("CBM",'General price list'!$C$20:$BA$20,0),FALSE)*D878,VLOOKUP(B878,'General price list'!C:BA,MATCH("CBM",'General price list'!$C$20:$BA$20,0),FALSE)*(G878*C878)),0))</f>
        <v>0</v>
      </c>
    </row>
    <row r="879" spans="2:10" ht="15" customHeight="1">
      <c r="B879" s="790" t="str">
        <f>IF(B878="PAL","",'General price list'!C899)</f>
        <v>CS503X8</v>
      </c>
      <c r="C879" s="1" t="str">
        <f>IF(B879="PAL","",IFERROR(VLOOKUP(B879,'General price list'!C:BA,MATCH("PAL",'General price list'!$C$20:$BA$20,0),FALSE),""))</f>
        <v/>
      </c>
      <c r="D879" s="1">
        <f>IF(B879="PAL","",IFERROR(VLOOKUP(B879,'General price list'!C:BA,MATCH("OBJ",'General price list'!$C$20:$BA$20,0),FALSE),""))</f>
        <v>0</v>
      </c>
      <c r="E879" s="1">
        <f t="shared" si="81"/>
        <v>0</v>
      </c>
      <c r="F879" s="1">
        <f t="shared" si="82"/>
        <v>0</v>
      </c>
      <c r="G879" s="1">
        <f t="shared" si="83"/>
        <v>0</v>
      </c>
      <c r="H879" s="1">
        <f t="shared" si="84"/>
        <v>0</v>
      </c>
      <c r="I879" s="1">
        <f t="shared" si="85"/>
        <v>0</v>
      </c>
      <c r="J879">
        <f>IF(B879="PAL","",IFERROR(IF(C879="",VLOOKUP(B879,'General price list'!C:BA,MATCH("CBM",'General price list'!$C$20:$BA$20,0),FALSE)*D879,VLOOKUP(B879,'General price list'!C:BA,MATCH("CBM",'General price list'!$C$20:$BA$20,0),FALSE)*(G879*C879)),0))</f>
        <v>0</v>
      </c>
    </row>
    <row r="880" spans="2:10" ht="15" customHeight="1">
      <c r="B880" s="790" t="str">
        <f>IF(B879="PAL","",'General price list'!C900)</f>
        <v>CS503X9</v>
      </c>
      <c r="C880" s="1" t="str">
        <f>IF(B880="PAL","",IFERROR(VLOOKUP(B880,'General price list'!C:BA,MATCH("PAL",'General price list'!$C$20:$BA$20,0),FALSE),""))</f>
        <v/>
      </c>
      <c r="D880" s="1">
        <f>IF(B880="PAL","",IFERROR(VLOOKUP(B880,'General price list'!C:BA,MATCH("OBJ",'General price list'!$C$20:$BA$20,0),FALSE),""))</f>
        <v>0</v>
      </c>
      <c r="E880" s="1">
        <f t="shared" si="81"/>
        <v>0</v>
      </c>
      <c r="F880" s="1">
        <f t="shared" si="82"/>
        <v>0</v>
      </c>
      <c r="G880" s="1">
        <f t="shared" si="83"/>
        <v>0</v>
      </c>
      <c r="H880" s="1">
        <f t="shared" si="84"/>
        <v>0</v>
      </c>
      <c r="I880" s="1">
        <f t="shared" si="85"/>
        <v>0</v>
      </c>
      <c r="J880">
        <f>IF(B880="PAL","",IFERROR(IF(C880="",VLOOKUP(B880,'General price list'!C:BA,MATCH("CBM",'General price list'!$C$20:$BA$20,0),FALSE)*D880,VLOOKUP(B880,'General price list'!C:BA,MATCH("CBM",'General price list'!$C$20:$BA$20,0),FALSE)*(G880*C880)),0))</f>
        <v>0</v>
      </c>
    </row>
    <row r="881" spans="2:10" ht="15" customHeight="1">
      <c r="B881" s="790" t="str">
        <f>IF(B880="PAL","",'General price list'!C901)</f>
        <v>CS503X11</v>
      </c>
      <c r="C881" s="1" t="str">
        <f>IF(B881="PAL","",IFERROR(VLOOKUP(B881,'General price list'!C:BA,MATCH("PAL",'General price list'!$C$20:$BA$20,0),FALSE),""))</f>
        <v/>
      </c>
      <c r="D881" s="1">
        <f>IF(B881="PAL","",IFERROR(VLOOKUP(B881,'General price list'!C:BA,MATCH("OBJ",'General price list'!$C$20:$BA$20,0),FALSE),""))</f>
        <v>0</v>
      </c>
      <c r="E881" s="1">
        <f t="shared" si="81"/>
        <v>0</v>
      </c>
      <c r="F881" s="1">
        <f t="shared" si="82"/>
        <v>0</v>
      </c>
      <c r="G881" s="1">
        <f t="shared" si="83"/>
        <v>0</v>
      </c>
      <c r="H881" s="1">
        <f t="shared" si="84"/>
        <v>0</v>
      </c>
      <c r="I881" s="1">
        <f t="shared" si="85"/>
        <v>0</v>
      </c>
      <c r="J881">
        <f>IF(B881="PAL","",IFERROR(IF(C881="",VLOOKUP(B881,'General price list'!C:BA,MATCH("CBM",'General price list'!$C$20:$BA$20,0),FALSE)*D881,VLOOKUP(B881,'General price list'!C:BA,MATCH("CBM",'General price list'!$C$20:$BA$20,0),FALSE)*(G881*C881)),0))</f>
        <v>0</v>
      </c>
    </row>
    <row r="882" spans="2:10" ht="15" customHeight="1">
      <c r="B882" s="790" t="str">
        <f>IF(B881="PAL","",'General price list'!C902)</f>
        <v>CS503X14</v>
      </c>
      <c r="C882" s="1" t="str">
        <f>IF(B882="PAL","",IFERROR(VLOOKUP(B882,'General price list'!C:BA,MATCH("PAL",'General price list'!$C$20:$BA$20,0),FALSE),""))</f>
        <v/>
      </c>
      <c r="D882" s="1">
        <f>IF(B882="PAL","",IFERROR(VLOOKUP(B882,'General price list'!C:BA,MATCH("OBJ",'General price list'!$C$20:$BA$20,0),FALSE),""))</f>
        <v>0</v>
      </c>
      <c r="E882" s="1">
        <f t="shared" si="81"/>
        <v>0</v>
      </c>
      <c r="F882" s="1">
        <f t="shared" si="82"/>
        <v>0</v>
      </c>
      <c r="G882" s="1">
        <f t="shared" si="83"/>
        <v>0</v>
      </c>
      <c r="H882" s="1">
        <f t="shared" si="84"/>
        <v>0</v>
      </c>
      <c r="I882" s="1">
        <f t="shared" si="85"/>
        <v>0</v>
      </c>
      <c r="J882">
        <f>IF(B882="PAL","",IFERROR(IF(C882="",VLOOKUP(B882,'General price list'!C:BA,MATCH("CBM",'General price list'!$C$20:$BA$20,0),FALSE)*D882,VLOOKUP(B882,'General price list'!C:BA,MATCH("CBM",'General price list'!$C$20:$BA$20,0),FALSE)*(G882*C882)),0))</f>
        <v>0</v>
      </c>
    </row>
    <row r="883" spans="2:10" ht="15" customHeight="1">
      <c r="B883" s="790" t="str">
        <f>IF(B882="PAL","",'General price list'!C903)</f>
        <v>CS503X15</v>
      </c>
      <c r="C883" s="1" t="str">
        <f>IF(B883="PAL","",IFERROR(VLOOKUP(B883,'General price list'!C:BA,MATCH("PAL",'General price list'!$C$20:$BA$20,0),FALSE),""))</f>
        <v/>
      </c>
      <c r="D883" s="1">
        <f>IF(B883="PAL","",IFERROR(VLOOKUP(B883,'General price list'!C:BA,MATCH("OBJ",'General price list'!$C$20:$BA$20,0),FALSE),""))</f>
        <v>0</v>
      </c>
      <c r="E883" s="1">
        <f t="shared" si="81"/>
        <v>0</v>
      </c>
      <c r="F883" s="1">
        <f t="shared" si="82"/>
        <v>0</v>
      </c>
      <c r="G883" s="1">
        <f t="shared" si="83"/>
        <v>0</v>
      </c>
      <c r="H883" s="1">
        <f t="shared" si="84"/>
        <v>0</v>
      </c>
      <c r="I883" s="1">
        <f t="shared" si="85"/>
        <v>0</v>
      </c>
      <c r="J883">
        <f>IF(B883="PAL","",IFERROR(IF(C883="",VLOOKUP(B883,'General price list'!C:BA,MATCH("CBM",'General price list'!$C$20:$BA$20,0),FALSE)*D883,VLOOKUP(B883,'General price list'!C:BA,MATCH("CBM",'General price list'!$C$20:$BA$20,0),FALSE)*(G883*C883)),0))</f>
        <v>0</v>
      </c>
    </row>
    <row r="884" spans="2:10" ht="15" customHeight="1">
      <c r="B884" s="790" t="str">
        <f>IF(B883="PAL","",'General price list'!C904)</f>
        <v>CS503X19</v>
      </c>
      <c r="C884" s="1" t="str">
        <f>IF(B884="PAL","",IFERROR(VLOOKUP(B884,'General price list'!C:BA,MATCH("PAL",'General price list'!$C$20:$BA$20,0),FALSE),""))</f>
        <v/>
      </c>
      <c r="D884" s="1">
        <f>IF(B884="PAL","",IFERROR(VLOOKUP(B884,'General price list'!C:BA,MATCH("OBJ",'General price list'!$C$20:$BA$20,0),FALSE),""))</f>
        <v>0</v>
      </c>
      <c r="E884" s="1">
        <f t="shared" si="81"/>
        <v>0</v>
      </c>
      <c r="F884" s="1">
        <f t="shared" si="82"/>
        <v>0</v>
      </c>
      <c r="G884" s="1">
        <f t="shared" si="83"/>
        <v>0</v>
      </c>
      <c r="H884" s="1">
        <f t="shared" si="84"/>
        <v>0</v>
      </c>
      <c r="I884" s="1">
        <f t="shared" si="85"/>
        <v>0</v>
      </c>
      <c r="J884">
        <f>IF(B884="PAL","",IFERROR(IF(C884="",VLOOKUP(B884,'General price list'!C:BA,MATCH("CBM",'General price list'!$C$20:$BA$20,0),FALSE)*D884,VLOOKUP(B884,'General price list'!C:BA,MATCH("CBM",'General price list'!$C$20:$BA$20,0),FALSE)*(G884*C884)),0))</f>
        <v>0</v>
      </c>
    </row>
    <row r="885" spans="2:10" ht="15" customHeight="1">
      <c r="B885" s="790" t="str">
        <f>IF(B884="PAL","",'General price list'!C905)</f>
        <v>CS503X26</v>
      </c>
      <c r="C885" s="1" t="str">
        <f>IF(B885="PAL","",IFERROR(VLOOKUP(B885,'General price list'!C:BA,MATCH("PAL",'General price list'!$C$20:$BA$20,0),FALSE),""))</f>
        <v/>
      </c>
      <c r="D885" s="1">
        <f>IF(B885="PAL","",IFERROR(VLOOKUP(B885,'General price list'!C:BA,MATCH("OBJ",'General price list'!$C$20:$BA$20,0),FALSE),""))</f>
        <v>0</v>
      </c>
      <c r="E885" s="1">
        <f t="shared" si="81"/>
        <v>0</v>
      </c>
      <c r="F885" s="1">
        <f t="shared" si="82"/>
        <v>0</v>
      </c>
      <c r="G885" s="1">
        <f t="shared" si="83"/>
        <v>0</v>
      </c>
      <c r="H885" s="1">
        <f t="shared" si="84"/>
        <v>0</v>
      </c>
      <c r="I885" s="1">
        <f t="shared" si="85"/>
        <v>0</v>
      </c>
      <c r="J885">
        <f>IF(B885="PAL","",IFERROR(IF(C885="",VLOOKUP(B885,'General price list'!C:BA,MATCH("CBM",'General price list'!$C$20:$BA$20,0),FALSE)*D885,VLOOKUP(B885,'General price list'!C:BA,MATCH("CBM",'General price list'!$C$20:$BA$20,0),FALSE)*(G885*C885)),0))</f>
        <v>0</v>
      </c>
    </row>
    <row r="886" spans="2:10" ht="15" customHeight="1">
      <c r="B886" s="790" t="str">
        <f>IF(B885="PAL","",'General price list'!C906)</f>
        <v>CS503X33</v>
      </c>
      <c r="C886" s="1" t="str">
        <f>IF(B886="PAL","",IFERROR(VLOOKUP(B886,'General price list'!C:BA,MATCH("PAL",'General price list'!$C$20:$BA$20,0),FALSE),""))</f>
        <v/>
      </c>
      <c r="D886" s="1">
        <f>IF(B886="PAL","",IFERROR(VLOOKUP(B886,'General price list'!C:BA,MATCH("OBJ",'General price list'!$C$20:$BA$20,0),FALSE),""))</f>
        <v>0</v>
      </c>
      <c r="E886" s="1">
        <f t="shared" si="81"/>
        <v>0</v>
      </c>
      <c r="F886" s="1">
        <f t="shared" si="82"/>
        <v>0</v>
      </c>
      <c r="G886" s="1">
        <f t="shared" si="83"/>
        <v>0</v>
      </c>
      <c r="H886" s="1">
        <f t="shared" si="84"/>
        <v>0</v>
      </c>
      <c r="I886" s="1">
        <f t="shared" si="85"/>
        <v>0</v>
      </c>
      <c r="J886">
        <f>IF(B886="PAL","",IFERROR(IF(C886="",VLOOKUP(B886,'General price list'!C:BA,MATCH("CBM",'General price list'!$C$20:$BA$20,0),FALSE)*D886,VLOOKUP(B886,'General price list'!C:BA,MATCH("CBM",'General price list'!$C$20:$BA$20,0),FALSE)*(G886*C886)),0))</f>
        <v>0</v>
      </c>
    </row>
    <row r="887" spans="2:10" ht="15" customHeight="1">
      <c r="B887" s="790" t="str">
        <f>IF(B886="PAL","",'General price list'!C907)</f>
        <v>CS503X38</v>
      </c>
      <c r="C887" s="1" t="str">
        <f>IF(B887="PAL","",IFERROR(VLOOKUP(B887,'General price list'!C:BA,MATCH("PAL",'General price list'!$C$20:$BA$20,0),FALSE),""))</f>
        <v/>
      </c>
      <c r="D887" s="1">
        <f>IF(B887="PAL","",IFERROR(VLOOKUP(B887,'General price list'!C:BA,MATCH("OBJ",'General price list'!$C$20:$BA$20,0),FALSE),""))</f>
        <v>0</v>
      </c>
      <c r="E887" s="1">
        <f t="shared" si="81"/>
        <v>0</v>
      </c>
      <c r="F887" s="1">
        <f t="shared" si="82"/>
        <v>0</v>
      </c>
      <c r="G887" s="1">
        <f t="shared" si="83"/>
        <v>0</v>
      </c>
      <c r="H887" s="1">
        <f t="shared" si="84"/>
        <v>0</v>
      </c>
      <c r="I887" s="1">
        <f t="shared" si="85"/>
        <v>0</v>
      </c>
      <c r="J887">
        <f>IF(B887="PAL","",IFERROR(IF(C887="",VLOOKUP(B887,'General price list'!C:BA,MATCH("CBM",'General price list'!$C$20:$BA$20,0),FALSE)*D887,VLOOKUP(B887,'General price list'!C:BA,MATCH("CBM",'General price list'!$C$20:$BA$20,0),FALSE)*(G887*C887)),0))</f>
        <v>0</v>
      </c>
    </row>
    <row r="888" spans="2:10" ht="15" customHeight="1">
      <c r="B888" s="790">
        <f>IF(B887="PAL","",'General price list'!C908)</f>
        <v>0</v>
      </c>
      <c r="C888" s="1" t="str">
        <f>IF(B888="PAL","",IFERROR(VLOOKUP(B888,'General price list'!C:BA,MATCH("PAL",'General price list'!$C$20:$BA$20,0),FALSE),""))</f>
        <v/>
      </c>
      <c r="D888" s="1" t="str">
        <f>IF(B888="PAL","",IFERROR(VLOOKUP(B888,'General price list'!C:BA,MATCH("OBJ",'General price list'!$C$20:$BA$20,0),FALSE),""))</f>
        <v/>
      </c>
      <c r="E888" s="1">
        <f t="shared" si="81"/>
        <v>0</v>
      </c>
      <c r="F888" s="1">
        <f t="shared" si="82"/>
        <v>0</v>
      </c>
      <c r="G888" s="1">
        <f t="shared" si="83"/>
        <v>0</v>
      </c>
      <c r="H888" s="1">
        <f t="shared" si="84"/>
        <v>0</v>
      </c>
      <c r="I888" s="1">
        <f t="shared" si="85"/>
        <v>0</v>
      </c>
      <c r="J888">
        <f>IF(B888="PAL","",IFERROR(IF(C888="",VLOOKUP(B888,'General price list'!C:BA,MATCH("CBM",'General price list'!$C$20:$BA$20,0),FALSE)*D888,VLOOKUP(B888,'General price list'!C:BA,MATCH("CBM",'General price list'!$C$20:$BA$20,0),FALSE)*(G888*C888)),0))</f>
        <v>0</v>
      </c>
    </row>
    <row r="889" spans="2:10" ht="15" customHeight="1">
      <c r="B889" s="790" t="str">
        <f>IF(B888="PAL","",'General price list'!C909)</f>
        <v>S2M</v>
      </c>
      <c r="C889" s="1" t="str">
        <f>IF(B889="PAL","",IFERROR(VLOOKUP(B889,'General price list'!C:BA,MATCH("PAL",'General price list'!$C$20:$BA$20,0),FALSE),""))</f>
        <v/>
      </c>
      <c r="D889" s="1">
        <f>IF(B889="PAL","",IFERROR(VLOOKUP(B889,'General price list'!C:BA,MATCH("OBJ",'General price list'!$C$20:$BA$20,0),FALSE),""))</f>
        <v>0</v>
      </c>
      <c r="E889" s="1">
        <f t="shared" si="81"/>
        <v>0</v>
      </c>
      <c r="F889" s="1">
        <f t="shared" si="82"/>
        <v>0</v>
      </c>
      <c r="G889" s="1">
        <f t="shared" si="83"/>
        <v>0</v>
      </c>
      <c r="H889" s="1">
        <f t="shared" si="84"/>
        <v>0</v>
      </c>
      <c r="I889" s="1">
        <f t="shared" si="85"/>
        <v>0</v>
      </c>
      <c r="J889">
        <f>IF(B889="PAL","",IFERROR(IF(C889="",VLOOKUP(B889,'General price list'!C:BA,MATCH("CBM",'General price list'!$C$20:$BA$20,0),FALSE)*D889,VLOOKUP(B889,'General price list'!C:BA,MATCH("CBM",'General price list'!$C$20:$BA$20,0),FALSE)*(G889*C889)),0))</f>
        <v>0</v>
      </c>
    </row>
    <row r="890" spans="2:10" ht="15" customHeight="1">
      <c r="B890" s="790">
        <f>IF(B889="PAL","",'General price list'!C910)</f>
        <v>0</v>
      </c>
      <c r="C890" s="1" t="str">
        <f>IF(B890="PAL","",IFERROR(VLOOKUP(B890,'General price list'!C:BA,MATCH("PAL",'General price list'!$C$20:$BA$20,0),FALSE),""))</f>
        <v/>
      </c>
      <c r="D890" s="1" t="str">
        <f>IF(B890="PAL","",IFERROR(VLOOKUP(B890,'General price list'!C:BA,MATCH("OBJ",'General price list'!$C$20:$BA$20,0),FALSE),""))</f>
        <v/>
      </c>
      <c r="E890" s="1">
        <f t="shared" si="81"/>
        <v>0</v>
      </c>
      <c r="F890" s="1">
        <f t="shared" si="82"/>
        <v>0</v>
      </c>
      <c r="G890" s="1">
        <f t="shared" si="83"/>
        <v>0</v>
      </c>
      <c r="H890" s="1">
        <f t="shared" si="84"/>
        <v>0</v>
      </c>
      <c r="I890" s="1">
        <f t="shared" si="85"/>
        <v>0</v>
      </c>
      <c r="J890">
        <f>IF(B890="PAL","",IFERROR(IF(C890="",VLOOKUP(B890,'General price list'!C:BA,MATCH("CBM",'General price list'!$C$20:$BA$20,0),FALSE)*D890,VLOOKUP(B890,'General price list'!C:BA,MATCH("CBM",'General price list'!$C$20:$BA$20,0),FALSE)*(G890*C890)),0))</f>
        <v>0</v>
      </c>
    </row>
    <row r="891" spans="2:10" ht="15" customHeight="1">
      <c r="B891" s="790" t="str">
        <f>IF(B890="PAL","",'General price list'!C911)</f>
        <v>S3F/P</v>
      </c>
      <c r="C891" s="1" t="str">
        <f>IF(B891="PAL","",IFERROR(VLOOKUP(B891,'General price list'!C:BA,MATCH("PAL",'General price list'!$C$20:$BA$20,0),FALSE),""))</f>
        <v/>
      </c>
      <c r="D891" s="1">
        <f>IF(B891="PAL","",IFERROR(VLOOKUP(B891,'General price list'!C:BA,MATCH("OBJ",'General price list'!$C$20:$BA$20,0),FALSE),""))</f>
        <v>0</v>
      </c>
      <c r="E891" s="1">
        <f t="shared" si="81"/>
        <v>0</v>
      </c>
      <c r="F891" s="1">
        <f t="shared" si="82"/>
        <v>0</v>
      </c>
      <c r="G891" s="1">
        <f t="shared" si="83"/>
        <v>0</v>
      </c>
      <c r="H891" s="1">
        <f t="shared" si="84"/>
        <v>0</v>
      </c>
      <c r="I891" s="1">
        <f t="shared" si="85"/>
        <v>0</v>
      </c>
      <c r="J891">
        <f>IF(B891="PAL","",IFERROR(IF(C891="",VLOOKUP(B891,'General price list'!C:BA,MATCH("CBM",'General price list'!$C$20:$BA$20,0),FALSE)*D891,VLOOKUP(B891,'General price list'!C:BA,MATCH("CBM",'General price list'!$C$20:$BA$20,0),FALSE)*(G891*C891)),0))</f>
        <v>0</v>
      </c>
    </row>
    <row r="892" spans="2:10" ht="15" customHeight="1">
      <c r="B892" s="790" t="str">
        <f>IF(B891="PAL","",'General price list'!C912)</f>
        <v>S3IA/P</v>
      </c>
      <c r="C892" s="1" t="str">
        <f>IF(B892="PAL","",IFERROR(VLOOKUP(B892,'General price list'!C:BA,MATCH("PAL",'General price list'!$C$20:$BA$20,0),FALSE),""))</f>
        <v/>
      </c>
      <c r="D892" s="1">
        <f>IF(B892="PAL","",IFERROR(VLOOKUP(B892,'General price list'!C:BA,MATCH("OBJ",'General price list'!$C$20:$BA$20,0),FALSE),""))</f>
        <v>0</v>
      </c>
      <c r="E892" s="1">
        <f t="shared" si="81"/>
        <v>0</v>
      </c>
      <c r="F892" s="1">
        <f t="shared" si="82"/>
        <v>0</v>
      </c>
      <c r="G892" s="1">
        <f t="shared" si="83"/>
        <v>0</v>
      </c>
      <c r="H892" s="1">
        <f t="shared" si="84"/>
        <v>0</v>
      </c>
      <c r="I892" s="1">
        <f t="shared" si="85"/>
        <v>0</v>
      </c>
      <c r="J892">
        <f>IF(B892="PAL","",IFERROR(IF(C892="",VLOOKUP(B892,'General price list'!C:BA,MATCH("CBM",'General price list'!$C$20:$BA$20,0),FALSE)*D892,VLOOKUP(B892,'General price list'!C:BA,MATCH("CBM",'General price list'!$C$20:$BA$20,0),FALSE)*(G892*C892)),0))</f>
        <v>0</v>
      </c>
    </row>
    <row r="893" spans="2:10" ht="15" customHeight="1">
      <c r="B893" s="790" t="str">
        <f>IF(B892="PAL","",'General price list'!C913)</f>
        <v>S3J/P</v>
      </c>
      <c r="C893" s="1" t="str">
        <f>IF(B893="PAL","",IFERROR(VLOOKUP(B893,'General price list'!C:BA,MATCH("PAL",'General price list'!$C$20:$BA$20,0),FALSE),""))</f>
        <v/>
      </c>
      <c r="D893" s="1">
        <f>IF(B893="PAL","",IFERROR(VLOOKUP(B893,'General price list'!C:BA,MATCH("OBJ",'General price list'!$C$20:$BA$20,0),FALSE),""))</f>
        <v>0</v>
      </c>
      <c r="E893" s="1">
        <f t="shared" si="81"/>
        <v>0</v>
      </c>
      <c r="F893" s="1">
        <f t="shared" si="82"/>
        <v>0</v>
      </c>
      <c r="G893" s="1">
        <f t="shared" si="83"/>
        <v>0</v>
      </c>
      <c r="H893" s="1">
        <f t="shared" si="84"/>
        <v>0</v>
      </c>
      <c r="I893" s="1">
        <f t="shared" si="85"/>
        <v>0</v>
      </c>
      <c r="J893">
        <f>IF(B893="PAL","",IFERROR(IF(C893="",VLOOKUP(B893,'General price list'!C:BA,MATCH("CBM",'General price list'!$C$20:$BA$20,0),FALSE)*D893,VLOOKUP(B893,'General price list'!C:BA,MATCH("CBM",'General price list'!$C$20:$BA$20,0),FALSE)*(G893*C893)),0))</f>
        <v>0</v>
      </c>
    </row>
    <row r="894" spans="2:10" ht="15" customHeight="1">
      <c r="B894" s="790" t="str">
        <f>IF(B893="PAL","",'General price list'!C914)</f>
        <v>S3S/P</v>
      </c>
      <c r="C894" s="1" t="str">
        <f>IF(B894="PAL","",IFERROR(VLOOKUP(B894,'General price list'!C:BA,MATCH("PAL",'General price list'!$C$20:$BA$20,0),FALSE),""))</f>
        <v/>
      </c>
      <c r="D894" s="1">
        <f>IF(B894="PAL","",IFERROR(VLOOKUP(B894,'General price list'!C:BA,MATCH("OBJ",'General price list'!$C$20:$BA$20,0),FALSE),""))</f>
        <v>0</v>
      </c>
      <c r="E894" s="1">
        <f t="shared" si="81"/>
        <v>0</v>
      </c>
      <c r="F894" s="1">
        <f t="shared" si="82"/>
        <v>0</v>
      </c>
      <c r="G894" s="1">
        <f t="shared" si="83"/>
        <v>0</v>
      </c>
      <c r="H894" s="1">
        <f t="shared" si="84"/>
        <v>0</v>
      </c>
      <c r="I894" s="1">
        <f t="shared" si="85"/>
        <v>0</v>
      </c>
      <c r="J894">
        <f>IF(B894="PAL","",IFERROR(IF(C894="",VLOOKUP(B894,'General price list'!C:BA,MATCH("CBM",'General price list'!$C$20:$BA$20,0),FALSE)*D894,VLOOKUP(B894,'General price list'!C:BA,MATCH("CBM",'General price list'!$C$20:$BA$20,0),FALSE)*(G894*C894)),0))</f>
        <v>0</v>
      </c>
    </row>
    <row r="895" spans="2:10" ht="15" customHeight="1">
      <c r="B895" s="790" t="str">
        <f>IF(B894="PAL","",'General price list'!C915)</f>
        <v>S3T</v>
      </c>
      <c r="C895" s="1" t="str">
        <f>IF(B895="PAL","",IFERROR(VLOOKUP(B895,'General price list'!C:BA,MATCH("PAL",'General price list'!$C$20:$BA$20,0),FALSE),""))</f>
        <v/>
      </c>
      <c r="D895" s="1">
        <f>IF(B895="PAL","",IFERROR(VLOOKUP(B895,'General price list'!C:BA,MATCH("OBJ",'General price list'!$C$20:$BA$20,0),FALSE),""))</f>
        <v>0</v>
      </c>
      <c r="E895" s="1">
        <f t="shared" si="81"/>
        <v>0</v>
      </c>
      <c r="F895" s="1">
        <f t="shared" si="82"/>
        <v>0</v>
      </c>
      <c r="G895" s="1">
        <f t="shared" si="83"/>
        <v>0</v>
      </c>
      <c r="H895" s="1">
        <f t="shared" si="84"/>
        <v>0</v>
      </c>
      <c r="I895" s="1">
        <f t="shared" si="85"/>
        <v>0</v>
      </c>
      <c r="J895">
        <f>IF(B895="PAL","",IFERROR(IF(C895="",VLOOKUP(B895,'General price list'!C:BA,MATCH("CBM",'General price list'!$C$20:$BA$20,0),FALSE)*D895,VLOOKUP(B895,'General price list'!C:BA,MATCH("CBM",'General price list'!$C$20:$BA$20,0),FALSE)*(G895*C895)),0))</f>
        <v>0</v>
      </c>
    </row>
    <row r="896" spans="2:10" ht="15" customHeight="1">
      <c r="B896" s="790" t="str">
        <f>IF(B895="PAL","",'General price list'!C916)</f>
        <v>S3M/P</v>
      </c>
      <c r="C896" s="1" t="str">
        <f>IF(B896="PAL","",IFERROR(VLOOKUP(B896,'General price list'!C:BA,MATCH("PAL",'General price list'!$C$20:$BA$20,0),FALSE),""))</f>
        <v/>
      </c>
      <c r="D896" s="1">
        <f>IF(B896="PAL","",IFERROR(VLOOKUP(B896,'General price list'!C:BA,MATCH("OBJ",'General price list'!$C$20:$BA$20,0),FALSE),""))</f>
        <v>0</v>
      </c>
      <c r="E896" s="1">
        <f t="shared" si="81"/>
        <v>0</v>
      </c>
      <c r="F896" s="1">
        <f t="shared" si="82"/>
        <v>0</v>
      </c>
      <c r="G896" s="1">
        <f t="shared" si="83"/>
        <v>0</v>
      </c>
      <c r="H896" s="1">
        <f t="shared" si="84"/>
        <v>0</v>
      </c>
      <c r="I896" s="1">
        <f t="shared" si="85"/>
        <v>0</v>
      </c>
      <c r="J896">
        <f>IF(B896="PAL","",IFERROR(IF(C896="",VLOOKUP(B896,'General price list'!C:BA,MATCH("CBM",'General price list'!$C$20:$BA$20,0),FALSE)*D896,VLOOKUP(B896,'General price list'!C:BA,MATCH("CBM",'General price list'!$C$20:$BA$20,0),FALSE)*(G896*C896)),0))</f>
        <v>0</v>
      </c>
    </row>
    <row r="897" spans="2:10" ht="15" customHeight="1">
      <c r="B897" s="790">
        <f>IF(B896="PAL","",'General price list'!C917)</f>
        <v>0</v>
      </c>
      <c r="C897" s="1" t="str">
        <f>IF(B897="PAL","",IFERROR(VLOOKUP(B897,'General price list'!C:BA,MATCH("PAL",'General price list'!$C$20:$BA$20,0),FALSE),""))</f>
        <v/>
      </c>
      <c r="D897" s="1" t="str">
        <f>IF(B897="PAL","",IFERROR(VLOOKUP(B897,'General price list'!C:BA,MATCH("OBJ",'General price list'!$C$20:$BA$20,0),FALSE),""))</f>
        <v/>
      </c>
      <c r="E897" s="1">
        <f t="shared" si="81"/>
        <v>0</v>
      </c>
      <c r="F897" s="1">
        <f t="shared" si="82"/>
        <v>0</v>
      </c>
      <c r="G897" s="1">
        <f t="shared" si="83"/>
        <v>0</v>
      </c>
      <c r="H897" s="1">
        <f t="shared" si="84"/>
        <v>0</v>
      </c>
      <c r="I897" s="1">
        <f t="shared" si="85"/>
        <v>0</v>
      </c>
      <c r="J897">
        <f>IF(B897="PAL","",IFERROR(IF(C897="",VLOOKUP(B897,'General price list'!C:BA,MATCH("CBM",'General price list'!$C$20:$BA$20,0),FALSE)*D897,VLOOKUP(B897,'General price list'!C:BA,MATCH("CBM",'General price list'!$C$20:$BA$20,0),FALSE)*(G897*C897)),0))</f>
        <v>0</v>
      </c>
    </row>
    <row r="898" spans="2:10" ht="15" customHeight="1">
      <c r="B898" s="790" t="str">
        <f>IF(B897="PAL","",'General price list'!C918)</f>
        <v>S4T</v>
      </c>
      <c r="C898" s="1" t="str">
        <f>IF(B898="PAL","",IFERROR(VLOOKUP(B898,'General price list'!C:BA,MATCH("PAL",'General price list'!$C$20:$BA$20,0),FALSE),""))</f>
        <v/>
      </c>
      <c r="D898" s="1">
        <f>IF(B898="PAL","",IFERROR(VLOOKUP(B898,'General price list'!C:BA,MATCH("OBJ",'General price list'!$C$20:$BA$20,0),FALSE),""))</f>
        <v>0</v>
      </c>
      <c r="E898" s="1">
        <f t="shared" si="81"/>
        <v>0</v>
      </c>
      <c r="F898" s="1">
        <f t="shared" si="82"/>
        <v>0</v>
      </c>
      <c r="G898" s="1">
        <f t="shared" si="83"/>
        <v>0</v>
      </c>
      <c r="H898" s="1">
        <f t="shared" si="84"/>
        <v>0</v>
      </c>
      <c r="I898" s="1">
        <f t="shared" si="85"/>
        <v>0</v>
      </c>
      <c r="J898">
        <f>IF(B898="PAL","",IFERROR(IF(C898="",VLOOKUP(B898,'General price list'!C:BA,MATCH("CBM",'General price list'!$C$20:$BA$20,0),FALSE)*D898,VLOOKUP(B898,'General price list'!C:BA,MATCH("CBM",'General price list'!$C$20:$BA$20,0),FALSE)*(G898*C898)),0))</f>
        <v>0</v>
      </c>
    </row>
    <row r="899" spans="2:10" ht="15" customHeight="1">
      <c r="B899" s="790">
        <f>IF(B898="PAL","",'General price list'!C919)</f>
        <v>0</v>
      </c>
      <c r="C899" s="1" t="str">
        <f>IF(B899="PAL","",IFERROR(VLOOKUP(B899,'General price list'!C:BA,MATCH("PAL",'General price list'!$C$20:$BA$20,0),FALSE),""))</f>
        <v/>
      </c>
      <c r="D899" s="1" t="str">
        <f>IF(B899="PAL","",IFERROR(VLOOKUP(B899,'General price list'!C:BA,MATCH("OBJ",'General price list'!$C$20:$BA$20,0),FALSE),""))</f>
        <v/>
      </c>
      <c r="E899" s="1">
        <f t="shared" si="81"/>
        <v>0</v>
      </c>
      <c r="F899" s="1">
        <f t="shared" si="82"/>
        <v>0</v>
      </c>
      <c r="G899" s="1">
        <f t="shared" si="83"/>
        <v>0</v>
      </c>
      <c r="H899" s="1">
        <f t="shared" si="84"/>
        <v>0</v>
      </c>
      <c r="I899" s="1">
        <f t="shared" si="85"/>
        <v>0</v>
      </c>
      <c r="J899">
        <f>IF(B899="PAL","",IFERROR(IF(C899="",VLOOKUP(B899,'General price list'!C:BA,MATCH("CBM",'General price list'!$C$20:$BA$20,0),FALSE)*D899,VLOOKUP(B899,'General price list'!C:BA,MATCH("CBM",'General price list'!$C$20:$BA$20,0),FALSE)*(G899*C899)),0))</f>
        <v>0</v>
      </c>
    </row>
    <row r="900" spans="2:10" ht="15" customHeight="1">
      <c r="B900" s="790" t="str">
        <f>IF(B899="PAL","",'General price list'!C920)</f>
        <v>S4C/P</v>
      </c>
      <c r="C900" s="1" t="str">
        <f>IF(B900="PAL","",IFERROR(VLOOKUP(B900,'General price list'!C:BA,MATCH("PAL",'General price list'!$C$20:$BA$20,0),FALSE),""))</f>
        <v/>
      </c>
      <c r="D900" s="1">
        <f>IF(B900="PAL","",IFERROR(VLOOKUP(B900,'General price list'!C:BA,MATCH("OBJ",'General price list'!$C$20:$BA$20,0),FALSE),""))</f>
        <v>0</v>
      </c>
      <c r="E900" s="1">
        <f t="shared" si="81"/>
        <v>0</v>
      </c>
      <c r="F900" s="1">
        <f t="shared" si="82"/>
        <v>0</v>
      </c>
      <c r="G900" s="1">
        <f t="shared" si="83"/>
        <v>0</v>
      </c>
      <c r="H900" s="1">
        <f t="shared" si="84"/>
        <v>0</v>
      </c>
      <c r="I900" s="1">
        <f t="shared" si="85"/>
        <v>0</v>
      </c>
      <c r="J900">
        <f>IF(B900="PAL","",IFERROR(IF(C900="",VLOOKUP(B900,'General price list'!C:BA,MATCH("CBM",'General price list'!$C$20:$BA$20,0),FALSE)*D900,VLOOKUP(B900,'General price list'!C:BA,MATCH("CBM",'General price list'!$C$20:$BA$20,0),FALSE)*(G900*C900)),0))</f>
        <v>0</v>
      </c>
    </row>
    <row r="901" spans="2:10" ht="15" customHeight="1">
      <c r="B901" s="790" t="str">
        <f>IF(B900="PAL","",'General price list'!C921)</f>
        <v>S4J/P</v>
      </c>
      <c r="C901" s="1" t="str">
        <f>IF(B901="PAL","",IFERROR(VLOOKUP(B901,'General price list'!C:BA,MATCH("PAL",'General price list'!$C$20:$BA$20,0),FALSE),""))</f>
        <v/>
      </c>
      <c r="D901" s="1">
        <f>IF(B901="PAL","",IFERROR(VLOOKUP(B901,'General price list'!C:BA,MATCH("OBJ",'General price list'!$C$20:$BA$20,0),FALSE),""))</f>
        <v>0</v>
      </c>
      <c r="E901" s="1">
        <f t="shared" si="81"/>
        <v>0</v>
      </c>
      <c r="F901" s="1">
        <f t="shared" si="82"/>
        <v>0</v>
      </c>
      <c r="G901" s="1">
        <f t="shared" si="83"/>
        <v>0</v>
      </c>
      <c r="H901" s="1">
        <f t="shared" si="84"/>
        <v>0</v>
      </c>
      <c r="I901" s="1">
        <f t="shared" si="85"/>
        <v>0</v>
      </c>
      <c r="J901">
        <f>IF(B901="PAL","",IFERROR(IF(C901="",VLOOKUP(B901,'General price list'!C:BA,MATCH("CBM",'General price list'!$C$20:$BA$20,0),FALSE)*D901,VLOOKUP(B901,'General price list'!C:BA,MATCH("CBM",'General price list'!$C$20:$BA$20,0),FALSE)*(G901*C901)),0))</f>
        <v>0</v>
      </c>
    </row>
    <row r="902" spans="2:10" ht="15" customHeight="1">
      <c r="B902" s="790" t="str">
        <f>IF(B901="PAL","",'General price list'!C922)</f>
        <v>S4K/P</v>
      </c>
      <c r="C902" s="1" t="str">
        <f>IF(B902="PAL","",IFERROR(VLOOKUP(B902,'General price list'!C:BA,MATCH("PAL",'General price list'!$C$20:$BA$20,0),FALSE),""))</f>
        <v/>
      </c>
      <c r="D902" s="1">
        <f>IF(B902="PAL","",IFERROR(VLOOKUP(B902,'General price list'!C:BA,MATCH("OBJ",'General price list'!$C$20:$BA$20,0),FALSE),""))</f>
        <v>0</v>
      </c>
      <c r="E902" s="1">
        <f t="shared" si="81"/>
        <v>0</v>
      </c>
      <c r="F902" s="1">
        <f t="shared" si="82"/>
        <v>0</v>
      </c>
      <c r="G902" s="1">
        <f t="shared" si="83"/>
        <v>0</v>
      </c>
      <c r="H902" s="1">
        <f t="shared" si="84"/>
        <v>0</v>
      </c>
      <c r="I902" s="1">
        <f t="shared" si="85"/>
        <v>0</v>
      </c>
      <c r="J902">
        <f>IF(B902="PAL","",IFERROR(IF(C902="",VLOOKUP(B902,'General price list'!C:BA,MATCH("CBM",'General price list'!$C$20:$BA$20,0),FALSE)*D902,VLOOKUP(B902,'General price list'!C:BA,MATCH("CBM",'General price list'!$C$20:$BA$20,0),FALSE)*(G902*C902)),0))</f>
        <v>0</v>
      </c>
    </row>
    <row r="903" spans="2:10" ht="15" customHeight="1">
      <c r="B903" s="790" t="str">
        <f>IF(B902="PAL","",'General price list'!C923)</f>
        <v>S4L/P</v>
      </c>
      <c r="C903" s="1" t="str">
        <f>IF(B903="PAL","",IFERROR(VLOOKUP(B903,'General price list'!C:BA,MATCH("PAL",'General price list'!$C$20:$BA$20,0),FALSE),""))</f>
        <v/>
      </c>
      <c r="D903" s="1">
        <f>IF(B903="PAL","",IFERROR(VLOOKUP(B903,'General price list'!C:BA,MATCH("OBJ",'General price list'!$C$20:$BA$20,0),FALSE),""))</f>
        <v>0</v>
      </c>
      <c r="E903" s="1">
        <f t="shared" si="81"/>
        <v>0</v>
      </c>
      <c r="F903" s="1">
        <f t="shared" si="82"/>
        <v>0</v>
      </c>
      <c r="G903" s="1">
        <f t="shared" si="83"/>
        <v>0</v>
      </c>
      <c r="H903" s="1">
        <f t="shared" si="84"/>
        <v>0</v>
      </c>
      <c r="I903" s="1">
        <f t="shared" si="85"/>
        <v>0</v>
      </c>
      <c r="J903">
        <f>IF(B903="PAL","",IFERROR(IF(C903="",VLOOKUP(B903,'General price list'!C:BA,MATCH("CBM",'General price list'!$C$20:$BA$20,0),FALSE)*D903,VLOOKUP(B903,'General price list'!C:BA,MATCH("CBM",'General price list'!$C$20:$BA$20,0),FALSE)*(G903*C903)),0))</f>
        <v>0</v>
      </c>
    </row>
    <row r="904" spans="2:10" ht="15" customHeight="1">
      <c r="B904" s="790" t="str">
        <f>IF(B903="PAL","",'General price list'!C924)</f>
        <v>S4NA/P</v>
      </c>
      <c r="C904" s="1" t="str">
        <f>IF(B904="PAL","",IFERROR(VLOOKUP(B904,'General price list'!C:BA,MATCH("PAL",'General price list'!$C$20:$BA$20,0),FALSE),""))</f>
        <v/>
      </c>
      <c r="D904" s="1">
        <f>IF(B904="PAL","",IFERROR(VLOOKUP(B904,'General price list'!C:BA,MATCH("OBJ",'General price list'!$C$20:$BA$20,0),FALSE),""))</f>
        <v>0</v>
      </c>
      <c r="E904" s="1">
        <f t="shared" si="81"/>
        <v>0</v>
      </c>
      <c r="F904" s="1">
        <f t="shared" si="82"/>
        <v>0</v>
      </c>
      <c r="G904" s="1">
        <f t="shared" si="83"/>
        <v>0</v>
      </c>
      <c r="H904" s="1">
        <f t="shared" si="84"/>
        <v>0</v>
      </c>
      <c r="I904" s="1">
        <f t="shared" si="85"/>
        <v>0</v>
      </c>
      <c r="J904">
        <f>IF(B904="PAL","",IFERROR(IF(C904="",VLOOKUP(B904,'General price list'!C:BA,MATCH("CBM",'General price list'!$C$20:$BA$20,0),FALSE)*D904,VLOOKUP(B904,'General price list'!C:BA,MATCH("CBM",'General price list'!$C$20:$BA$20,0),FALSE)*(G904*C904)),0))</f>
        <v>0</v>
      </c>
    </row>
    <row r="905" spans="2:10" ht="15" customHeight="1">
      <c r="B905" s="790" t="str">
        <f>IF(B904="PAL","",'General price list'!C925)</f>
        <v>S4O/P</v>
      </c>
      <c r="C905" s="1" t="str">
        <f>IF(B905="PAL","",IFERROR(VLOOKUP(B905,'General price list'!C:BA,MATCH("PAL",'General price list'!$C$20:$BA$20,0),FALSE),""))</f>
        <v/>
      </c>
      <c r="D905" s="1">
        <f>IF(B905="PAL","",IFERROR(VLOOKUP(B905,'General price list'!C:BA,MATCH("OBJ",'General price list'!$C$20:$BA$20,0),FALSE),""))</f>
        <v>0</v>
      </c>
      <c r="E905" s="1">
        <f t="shared" si="81"/>
        <v>0</v>
      </c>
      <c r="F905" s="1">
        <f t="shared" si="82"/>
        <v>0</v>
      </c>
      <c r="G905" s="1">
        <f t="shared" si="83"/>
        <v>0</v>
      </c>
      <c r="H905" s="1">
        <f t="shared" si="84"/>
        <v>0</v>
      </c>
      <c r="I905" s="1">
        <f t="shared" si="85"/>
        <v>0</v>
      </c>
      <c r="J905">
        <f>IF(B905="PAL","",IFERROR(IF(C905="",VLOOKUP(B905,'General price list'!C:BA,MATCH("CBM",'General price list'!$C$20:$BA$20,0),FALSE)*D905,VLOOKUP(B905,'General price list'!C:BA,MATCH("CBM",'General price list'!$C$20:$BA$20,0),FALSE)*(G905*C905)),0))</f>
        <v>0</v>
      </c>
    </row>
    <row r="906" spans="2:10" ht="15" customHeight="1">
      <c r="B906" s="790" t="str">
        <f>IF(B905="PAL","",'General price list'!C926)</f>
        <v>S4P/P</v>
      </c>
      <c r="C906" s="1" t="str">
        <f>IF(B906="PAL","",IFERROR(VLOOKUP(B906,'General price list'!C:BA,MATCH("PAL",'General price list'!$C$20:$BA$20,0),FALSE),""))</f>
        <v/>
      </c>
      <c r="D906" s="1">
        <f>IF(B906="PAL","",IFERROR(VLOOKUP(B906,'General price list'!C:BA,MATCH("OBJ",'General price list'!$C$20:$BA$20,0),FALSE),""))</f>
        <v>0</v>
      </c>
      <c r="E906" s="1">
        <f t="shared" si="81"/>
        <v>0</v>
      </c>
      <c r="F906" s="1">
        <f t="shared" si="82"/>
        <v>0</v>
      </c>
      <c r="G906" s="1">
        <f t="shared" si="83"/>
        <v>0</v>
      </c>
      <c r="H906" s="1">
        <f t="shared" si="84"/>
        <v>0</v>
      </c>
      <c r="I906" s="1">
        <f t="shared" si="85"/>
        <v>0</v>
      </c>
      <c r="J906">
        <f>IF(B906="PAL","",IFERROR(IF(C906="",VLOOKUP(B906,'General price list'!C:BA,MATCH("CBM",'General price list'!$C$20:$BA$20,0),FALSE)*D906,VLOOKUP(B906,'General price list'!C:BA,MATCH("CBM",'General price list'!$C$20:$BA$20,0),FALSE)*(G906*C906)),0))</f>
        <v>0</v>
      </c>
    </row>
    <row r="907" spans="2:10" ht="15" customHeight="1">
      <c r="B907" s="790" t="str">
        <f>IF(B906="PAL","",'General price list'!C927)</f>
        <v>S4Q/P</v>
      </c>
      <c r="C907" s="1" t="str">
        <f>IF(B907="PAL","",IFERROR(VLOOKUP(B907,'General price list'!C:BA,MATCH("PAL",'General price list'!$C$20:$BA$20,0),FALSE),""))</f>
        <v/>
      </c>
      <c r="D907" s="1">
        <f>IF(B907="PAL","",IFERROR(VLOOKUP(B907,'General price list'!C:BA,MATCH("OBJ",'General price list'!$C$20:$BA$20,0),FALSE),""))</f>
        <v>0</v>
      </c>
      <c r="E907" s="1">
        <f t="shared" si="81"/>
        <v>0</v>
      </c>
      <c r="F907" s="1">
        <f t="shared" si="82"/>
        <v>0</v>
      </c>
      <c r="G907" s="1">
        <f t="shared" si="83"/>
        <v>0</v>
      </c>
      <c r="H907" s="1">
        <f t="shared" si="84"/>
        <v>0</v>
      </c>
      <c r="I907" s="1">
        <f t="shared" si="85"/>
        <v>0</v>
      </c>
      <c r="J907">
        <f>IF(B907="PAL","",IFERROR(IF(C907="",VLOOKUP(B907,'General price list'!C:BA,MATCH("CBM",'General price list'!$C$20:$BA$20,0),FALSE)*D907,VLOOKUP(B907,'General price list'!C:BA,MATCH("CBM",'General price list'!$C$20:$BA$20,0),FALSE)*(G907*C907)),0))</f>
        <v>0</v>
      </c>
    </row>
    <row r="908" spans="2:10" ht="15" customHeight="1">
      <c r="B908" s="790" t="str">
        <f>IF(B907="PAL","",'General price list'!C928)</f>
        <v>S4S/P</v>
      </c>
      <c r="C908" s="1" t="str">
        <f>IF(B908="PAL","",IFERROR(VLOOKUP(B908,'General price list'!C:BA,MATCH("PAL",'General price list'!$C$20:$BA$20,0),FALSE),""))</f>
        <v/>
      </c>
      <c r="D908" s="1">
        <f>IF(B908="PAL","",IFERROR(VLOOKUP(B908,'General price list'!C:BA,MATCH("OBJ",'General price list'!$C$20:$BA$20,0),FALSE),""))</f>
        <v>0</v>
      </c>
      <c r="E908" s="1">
        <f t="shared" ref="E908:E971" si="86">IF(B908="PAL","",IFERROR(D908/C908,0))</f>
        <v>0</v>
      </c>
      <c r="F908" s="1">
        <f t="shared" ref="F908:F971" si="87">IF(B908="PAL","",IFERROR(FLOOR(IF(E908-1&lt;0,0,E908),1),0))</f>
        <v>0</v>
      </c>
      <c r="G908" s="1">
        <f t="shared" ref="G908:G971" si="88">IF(B908="PAL","",IFERROR(IF(H908&gt;E908,F908-E908,E908-F908),0))</f>
        <v>0</v>
      </c>
      <c r="H908" s="1">
        <f t="shared" ref="H908:H971" si="89">IF(B908="PAL","",IFERROR(IF(E908=0,0,F908),0))</f>
        <v>0</v>
      </c>
      <c r="I908" s="1">
        <f t="shared" ref="I908:I971" si="90">IF(B908="PAL","",IFERROR(IF(D908=0,0,IF(F908=0,(D908*nextVK)+(prvniVK-nextVK),(G908*C908*nextVK)+(F908*PALzKoje))),0))</f>
        <v>0</v>
      </c>
      <c r="J908">
        <f>IF(B908="PAL","",IFERROR(IF(C908="",VLOOKUP(B908,'General price list'!C:BA,MATCH("CBM",'General price list'!$C$20:$BA$20,0),FALSE)*D908,VLOOKUP(B908,'General price list'!C:BA,MATCH("CBM",'General price list'!$C$20:$BA$20,0),FALSE)*(G908*C908)),0))</f>
        <v>0</v>
      </c>
    </row>
    <row r="909" spans="2:10" ht="15" customHeight="1">
      <c r="B909" s="790" t="str">
        <f>IF(B908="PAL","",'General price list'!C929)</f>
        <v>S4W/P</v>
      </c>
      <c r="C909" s="1" t="str">
        <f>IF(B909="PAL","",IFERROR(VLOOKUP(B909,'General price list'!C:BA,MATCH("PAL",'General price list'!$C$20:$BA$20,0),FALSE),""))</f>
        <v/>
      </c>
      <c r="D909" s="1">
        <f>IF(B909="PAL","",IFERROR(VLOOKUP(B909,'General price list'!C:BA,MATCH("OBJ",'General price list'!$C$20:$BA$20,0),FALSE),""))</f>
        <v>0</v>
      </c>
      <c r="E909" s="1">
        <f t="shared" si="86"/>
        <v>0</v>
      </c>
      <c r="F909" s="1">
        <f t="shared" si="87"/>
        <v>0</v>
      </c>
      <c r="G909" s="1">
        <f t="shared" si="88"/>
        <v>0</v>
      </c>
      <c r="H909" s="1">
        <f t="shared" si="89"/>
        <v>0</v>
      </c>
      <c r="I909" s="1">
        <f t="shared" si="90"/>
        <v>0</v>
      </c>
      <c r="J909">
        <f>IF(B909="PAL","",IFERROR(IF(C909="",VLOOKUP(B909,'General price list'!C:BA,MATCH("CBM",'General price list'!$C$20:$BA$20,0),FALSE)*D909,VLOOKUP(B909,'General price list'!C:BA,MATCH("CBM",'General price list'!$C$20:$BA$20,0),FALSE)*(G909*C909)),0))</f>
        <v>0</v>
      </c>
    </row>
    <row r="910" spans="2:10" ht="15" customHeight="1">
      <c r="B910" s="790" t="str">
        <f>IF(B909="PAL","",'General price list'!C930)</f>
        <v>S4Z5/P</v>
      </c>
      <c r="C910" s="1" t="str">
        <f>IF(B910="PAL","",IFERROR(VLOOKUP(B910,'General price list'!C:BA,MATCH("PAL",'General price list'!$C$20:$BA$20,0),FALSE),""))</f>
        <v/>
      </c>
      <c r="D910" s="1">
        <f>IF(B910="PAL","",IFERROR(VLOOKUP(B910,'General price list'!C:BA,MATCH("OBJ",'General price list'!$C$20:$BA$20,0),FALSE),""))</f>
        <v>0</v>
      </c>
      <c r="E910" s="1">
        <f t="shared" si="86"/>
        <v>0</v>
      </c>
      <c r="F910" s="1">
        <f t="shared" si="87"/>
        <v>0</v>
      </c>
      <c r="G910" s="1">
        <f t="shared" si="88"/>
        <v>0</v>
      </c>
      <c r="H910" s="1">
        <f t="shared" si="89"/>
        <v>0</v>
      </c>
      <c r="I910" s="1">
        <f t="shared" si="90"/>
        <v>0</v>
      </c>
      <c r="J910">
        <f>IF(B910="PAL","",IFERROR(IF(C910="",VLOOKUP(B910,'General price list'!C:BA,MATCH("CBM",'General price list'!$C$20:$BA$20,0),FALSE)*D910,VLOOKUP(B910,'General price list'!C:BA,MATCH("CBM",'General price list'!$C$20:$BA$20,0),FALSE)*(G910*C910)),0))</f>
        <v>0</v>
      </c>
    </row>
    <row r="911" spans="2:10" ht="15" customHeight="1">
      <c r="B911" s="790" t="str">
        <f>IF(B910="PAL","",'General price list'!C931)</f>
        <v>S4Z6/P</v>
      </c>
      <c r="C911" s="1" t="str">
        <f>IF(B911="PAL","",IFERROR(VLOOKUP(B911,'General price list'!C:BA,MATCH("PAL",'General price list'!$C$20:$BA$20,0),FALSE),""))</f>
        <v/>
      </c>
      <c r="D911" s="1">
        <f>IF(B911="PAL","",IFERROR(VLOOKUP(B911,'General price list'!C:BA,MATCH("OBJ",'General price list'!$C$20:$BA$20,0),FALSE),""))</f>
        <v>0</v>
      </c>
      <c r="E911" s="1">
        <f t="shared" si="86"/>
        <v>0</v>
      </c>
      <c r="F911" s="1">
        <f t="shared" si="87"/>
        <v>0</v>
      </c>
      <c r="G911" s="1">
        <f t="shared" si="88"/>
        <v>0</v>
      </c>
      <c r="H911" s="1">
        <f t="shared" si="89"/>
        <v>0</v>
      </c>
      <c r="I911" s="1">
        <f t="shared" si="90"/>
        <v>0</v>
      </c>
      <c r="J911">
        <f>IF(B911="PAL","",IFERROR(IF(C911="",VLOOKUP(B911,'General price list'!C:BA,MATCH("CBM",'General price list'!$C$20:$BA$20,0),FALSE)*D911,VLOOKUP(B911,'General price list'!C:BA,MATCH("CBM",'General price list'!$C$20:$BA$20,0),FALSE)*(G911*C911)),0))</f>
        <v>0</v>
      </c>
    </row>
    <row r="912" spans="2:10" ht="15" customHeight="1">
      <c r="B912" s="790" t="str">
        <f>IF(B911="PAL","",'General price list'!C932)</f>
        <v>S4Z8/P</v>
      </c>
      <c r="C912" s="1" t="str">
        <f>IF(B912="PAL","",IFERROR(VLOOKUP(B912,'General price list'!C:BA,MATCH("PAL",'General price list'!$C$20:$BA$20,0),FALSE),""))</f>
        <v/>
      </c>
      <c r="D912" s="1">
        <f>IF(B912="PAL","",IFERROR(VLOOKUP(B912,'General price list'!C:BA,MATCH("OBJ",'General price list'!$C$20:$BA$20,0),FALSE),""))</f>
        <v>0</v>
      </c>
      <c r="E912" s="1">
        <f t="shared" si="86"/>
        <v>0</v>
      </c>
      <c r="F912" s="1">
        <f t="shared" si="87"/>
        <v>0</v>
      </c>
      <c r="G912" s="1">
        <f t="shared" si="88"/>
        <v>0</v>
      </c>
      <c r="H912" s="1">
        <f t="shared" si="89"/>
        <v>0</v>
      </c>
      <c r="I912" s="1">
        <f t="shared" si="90"/>
        <v>0</v>
      </c>
      <c r="J912">
        <f>IF(B912="PAL","",IFERROR(IF(C912="",VLOOKUP(B912,'General price list'!C:BA,MATCH("CBM",'General price list'!$C$20:$BA$20,0),FALSE)*D912,VLOOKUP(B912,'General price list'!C:BA,MATCH("CBM",'General price list'!$C$20:$BA$20,0),FALSE)*(G912*C912)),0))</f>
        <v>0</v>
      </c>
    </row>
    <row r="913" spans="2:10" ht="15" customHeight="1">
      <c r="B913" s="790" t="str">
        <f>IF(B912="PAL","",'General price list'!C933)</f>
        <v>S4Z11/P</v>
      </c>
      <c r="C913" s="1" t="str">
        <f>IF(B913="PAL","",IFERROR(VLOOKUP(B913,'General price list'!C:BA,MATCH("PAL",'General price list'!$C$20:$BA$20,0),FALSE),""))</f>
        <v/>
      </c>
      <c r="D913" s="1">
        <f>IF(B913="PAL","",IFERROR(VLOOKUP(B913,'General price list'!C:BA,MATCH("OBJ",'General price list'!$C$20:$BA$20,0),FALSE),""))</f>
        <v>0</v>
      </c>
      <c r="E913" s="1">
        <f t="shared" si="86"/>
        <v>0</v>
      </c>
      <c r="F913" s="1">
        <f t="shared" si="87"/>
        <v>0</v>
      </c>
      <c r="G913" s="1">
        <f t="shared" si="88"/>
        <v>0</v>
      </c>
      <c r="H913" s="1">
        <f t="shared" si="89"/>
        <v>0</v>
      </c>
      <c r="I913" s="1">
        <f t="shared" si="90"/>
        <v>0</v>
      </c>
      <c r="J913">
        <f>IF(B913="PAL","",IFERROR(IF(C913="",VLOOKUP(B913,'General price list'!C:BA,MATCH("CBM",'General price list'!$C$20:$BA$20,0),FALSE)*D913,VLOOKUP(B913,'General price list'!C:BA,MATCH("CBM",'General price list'!$C$20:$BA$20,0),FALSE)*(G913*C913)),0))</f>
        <v>0</v>
      </c>
    </row>
    <row r="914" spans="2:10" ht="15" customHeight="1">
      <c r="B914" s="790" t="str">
        <f>IF(B913="PAL","",'General price list'!C934)</f>
        <v>S4M/P</v>
      </c>
      <c r="C914" s="1" t="str">
        <f>IF(B914="PAL","",IFERROR(VLOOKUP(B914,'General price list'!C:BA,MATCH("PAL",'General price list'!$C$20:$BA$20,0),FALSE),""))</f>
        <v/>
      </c>
      <c r="D914" s="1">
        <f>IF(B914="PAL","",IFERROR(VLOOKUP(B914,'General price list'!C:BA,MATCH("OBJ",'General price list'!$C$20:$BA$20,0),FALSE),""))</f>
        <v>0</v>
      </c>
      <c r="E914" s="1">
        <f t="shared" si="86"/>
        <v>0</v>
      </c>
      <c r="F914" s="1">
        <f t="shared" si="87"/>
        <v>0</v>
      </c>
      <c r="G914" s="1">
        <f t="shared" si="88"/>
        <v>0</v>
      </c>
      <c r="H914" s="1">
        <f t="shared" si="89"/>
        <v>0</v>
      </c>
      <c r="I914" s="1">
        <f t="shared" si="90"/>
        <v>0</v>
      </c>
      <c r="J914">
        <f>IF(B914="PAL","",IFERROR(IF(C914="",VLOOKUP(B914,'General price list'!C:BA,MATCH("CBM",'General price list'!$C$20:$BA$20,0),FALSE)*D914,VLOOKUP(B914,'General price list'!C:BA,MATCH("CBM",'General price list'!$C$20:$BA$20,0),FALSE)*(G914*C914)),0))</f>
        <v>0</v>
      </c>
    </row>
    <row r="915" spans="2:10" ht="15" customHeight="1">
      <c r="B915" s="790">
        <f>IF(B914="PAL","",'General price list'!C935)</f>
        <v>0</v>
      </c>
      <c r="C915" s="1" t="str">
        <f>IF(B915="PAL","",IFERROR(VLOOKUP(B915,'General price list'!C:BA,MATCH("PAL",'General price list'!$C$20:$BA$20,0),FALSE),""))</f>
        <v/>
      </c>
      <c r="D915" s="1" t="str">
        <f>IF(B915="PAL","",IFERROR(VLOOKUP(B915,'General price list'!C:BA,MATCH("OBJ",'General price list'!$C$20:$BA$20,0),FALSE),""))</f>
        <v/>
      </c>
      <c r="E915" s="1">
        <f t="shared" si="86"/>
        <v>0</v>
      </c>
      <c r="F915" s="1">
        <f t="shared" si="87"/>
        <v>0</v>
      </c>
      <c r="G915" s="1">
        <f t="shared" si="88"/>
        <v>0</v>
      </c>
      <c r="H915" s="1">
        <f t="shared" si="89"/>
        <v>0</v>
      </c>
      <c r="I915" s="1">
        <f t="shared" si="90"/>
        <v>0</v>
      </c>
      <c r="J915">
        <f>IF(B915="PAL","",IFERROR(IF(C915="",VLOOKUP(B915,'General price list'!C:BA,MATCH("CBM",'General price list'!$C$20:$BA$20,0),FALSE)*D915,VLOOKUP(B915,'General price list'!C:BA,MATCH("CBM",'General price list'!$C$20:$BA$20,0),FALSE)*(G915*C915)),0))</f>
        <v>0</v>
      </c>
    </row>
    <row r="916" spans="2:10" ht="15" customHeight="1">
      <c r="B916" s="790" t="str">
        <f>IF(B915="PAL","",'General price list'!C936)</f>
        <v>S5E/P</v>
      </c>
      <c r="C916" s="1" t="str">
        <f>IF(B916="PAL","",IFERROR(VLOOKUP(B916,'General price list'!C:BA,MATCH("PAL",'General price list'!$C$20:$BA$20,0),FALSE),""))</f>
        <v/>
      </c>
      <c r="D916" s="1">
        <f>IF(B916="PAL","",IFERROR(VLOOKUP(B916,'General price list'!C:BA,MATCH("OBJ",'General price list'!$C$20:$BA$20,0),FALSE),""))</f>
        <v>0</v>
      </c>
      <c r="E916" s="1">
        <f t="shared" si="86"/>
        <v>0</v>
      </c>
      <c r="F916" s="1">
        <f t="shared" si="87"/>
        <v>0</v>
      </c>
      <c r="G916" s="1">
        <f t="shared" si="88"/>
        <v>0</v>
      </c>
      <c r="H916" s="1">
        <f t="shared" si="89"/>
        <v>0</v>
      </c>
      <c r="I916" s="1">
        <f t="shared" si="90"/>
        <v>0</v>
      </c>
      <c r="J916">
        <f>IF(B916="PAL","",IFERROR(IF(C916="",VLOOKUP(B916,'General price list'!C:BA,MATCH("CBM",'General price list'!$C$20:$BA$20,0),FALSE)*D916,VLOOKUP(B916,'General price list'!C:BA,MATCH("CBM",'General price list'!$C$20:$BA$20,0),FALSE)*(G916*C916)),0))</f>
        <v>0</v>
      </c>
    </row>
    <row r="917" spans="2:10" ht="15" customHeight="1">
      <c r="B917" s="790" t="str">
        <f>IF(B916="PAL","",'General price list'!C937)</f>
        <v>S5F/P</v>
      </c>
      <c r="C917" s="1" t="str">
        <f>IF(B917="PAL","",IFERROR(VLOOKUP(B917,'General price list'!C:BA,MATCH("PAL",'General price list'!$C$20:$BA$20,0),FALSE),""))</f>
        <v/>
      </c>
      <c r="D917" s="1">
        <f>IF(B917="PAL","",IFERROR(VLOOKUP(B917,'General price list'!C:BA,MATCH("OBJ",'General price list'!$C$20:$BA$20,0),FALSE),""))</f>
        <v>0</v>
      </c>
      <c r="E917" s="1">
        <f t="shared" si="86"/>
        <v>0</v>
      </c>
      <c r="F917" s="1">
        <f t="shared" si="87"/>
        <v>0</v>
      </c>
      <c r="G917" s="1">
        <f t="shared" si="88"/>
        <v>0</v>
      </c>
      <c r="H917" s="1">
        <f t="shared" si="89"/>
        <v>0</v>
      </c>
      <c r="I917" s="1">
        <f t="shared" si="90"/>
        <v>0</v>
      </c>
      <c r="J917">
        <f>IF(B917="PAL","",IFERROR(IF(C917="",VLOOKUP(B917,'General price list'!C:BA,MATCH("CBM",'General price list'!$C$20:$BA$20,0),FALSE)*D917,VLOOKUP(B917,'General price list'!C:BA,MATCH("CBM",'General price list'!$C$20:$BA$20,0),FALSE)*(G917*C917)),0))</f>
        <v>0</v>
      </c>
    </row>
    <row r="918" spans="2:10" ht="15" customHeight="1">
      <c r="B918" s="790" t="str">
        <f>IF(B917="PAL","",'General price list'!C938)</f>
        <v>S5K/P</v>
      </c>
      <c r="C918" s="1" t="str">
        <f>IF(B918="PAL","",IFERROR(VLOOKUP(B918,'General price list'!C:BA,MATCH("PAL",'General price list'!$C$20:$BA$20,0),FALSE),""))</f>
        <v/>
      </c>
      <c r="D918" s="1">
        <f>IF(B918="PAL","",IFERROR(VLOOKUP(B918,'General price list'!C:BA,MATCH("OBJ",'General price list'!$C$20:$BA$20,0),FALSE),""))</f>
        <v>0</v>
      </c>
      <c r="E918" s="1">
        <f t="shared" si="86"/>
        <v>0</v>
      </c>
      <c r="F918" s="1">
        <f t="shared" si="87"/>
        <v>0</v>
      </c>
      <c r="G918" s="1">
        <f t="shared" si="88"/>
        <v>0</v>
      </c>
      <c r="H918" s="1">
        <f t="shared" si="89"/>
        <v>0</v>
      </c>
      <c r="I918" s="1">
        <f t="shared" si="90"/>
        <v>0</v>
      </c>
      <c r="J918">
        <f>IF(B918="PAL","",IFERROR(IF(C918="",VLOOKUP(B918,'General price list'!C:BA,MATCH("CBM",'General price list'!$C$20:$BA$20,0),FALSE)*D918,VLOOKUP(B918,'General price list'!C:BA,MATCH("CBM",'General price list'!$C$20:$BA$20,0),FALSE)*(G918*C918)),0))</f>
        <v>0</v>
      </c>
    </row>
    <row r="919" spans="2:10" ht="15" customHeight="1">
      <c r="B919" s="790" t="str">
        <f>IF(B918="PAL","",'General price list'!C939)</f>
        <v>S5M/P</v>
      </c>
      <c r="C919" s="1" t="str">
        <f>IF(B919="PAL","",IFERROR(VLOOKUP(B919,'General price list'!C:BA,MATCH("PAL",'General price list'!$C$20:$BA$20,0),FALSE),""))</f>
        <v/>
      </c>
      <c r="D919" s="1">
        <f>IF(B919="PAL","",IFERROR(VLOOKUP(B919,'General price list'!C:BA,MATCH("OBJ",'General price list'!$C$20:$BA$20,0),FALSE),""))</f>
        <v>0</v>
      </c>
      <c r="E919" s="1">
        <f t="shared" si="86"/>
        <v>0</v>
      </c>
      <c r="F919" s="1">
        <f t="shared" si="87"/>
        <v>0</v>
      </c>
      <c r="G919" s="1">
        <f t="shared" si="88"/>
        <v>0</v>
      </c>
      <c r="H919" s="1">
        <f t="shared" si="89"/>
        <v>0</v>
      </c>
      <c r="I919" s="1">
        <f t="shared" si="90"/>
        <v>0</v>
      </c>
      <c r="J919">
        <f>IF(B919="PAL","",IFERROR(IF(C919="",VLOOKUP(B919,'General price list'!C:BA,MATCH("CBM",'General price list'!$C$20:$BA$20,0),FALSE)*D919,VLOOKUP(B919,'General price list'!C:BA,MATCH("CBM",'General price list'!$C$20:$BA$20,0),FALSE)*(G919*C919)),0))</f>
        <v>0</v>
      </c>
    </row>
    <row r="920" spans="2:10" ht="15" customHeight="1">
      <c r="B920" s="790">
        <f>IF(B919="PAL","",'General price list'!C940)</f>
        <v>0</v>
      </c>
      <c r="C920" s="1" t="str">
        <f>IF(B920="PAL","",IFERROR(VLOOKUP(B920,'General price list'!C:BA,MATCH("PAL",'General price list'!$C$20:$BA$20,0),FALSE),""))</f>
        <v/>
      </c>
      <c r="D920" s="1" t="str">
        <f>IF(B920="PAL","",IFERROR(VLOOKUP(B920,'General price list'!C:BA,MATCH("OBJ",'General price list'!$C$20:$BA$20,0),FALSE),""))</f>
        <v/>
      </c>
      <c r="E920" s="1">
        <f t="shared" si="86"/>
        <v>0</v>
      </c>
      <c r="F920" s="1">
        <f t="shared" si="87"/>
        <v>0</v>
      </c>
      <c r="G920" s="1">
        <f t="shared" si="88"/>
        <v>0</v>
      </c>
      <c r="H920" s="1">
        <f t="shared" si="89"/>
        <v>0</v>
      </c>
      <c r="I920" s="1">
        <f t="shared" si="90"/>
        <v>0</v>
      </c>
      <c r="J920">
        <f>IF(B920="PAL","",IFERROR(IF(C920="",VLOOKUP(B920,'General price list'!C:BA,MATCH("CBM",'General price list'!$C$20:$BA$20,0),FALSE)*D920,VLOOKUP(B920,'General price list'!C:BA,MATCH("CBM",'General price list'!$C$20:$BA$20,0),FALSE)*(G920*C920)),0))</f>
        <v>0</v>
      </c>
    </row>
    <row r="921" spans="2:10" ht="15" customHeight="1">
      <c r="B921" s="790" t="str">
        <f>IF(B920="PAL","",'General price list'!C941)</f>
        <v>S6M</v>
      </c>
      <c r="C921" s="1" t="str">
        <f>IF(B921="PAL","",IFERROR(VLOOKUP(B921,'General price list'!C:BA,MATCH("PAL",'General price list'!$C$20:$BA$20,0),FALSE),""))</f>
        <v/>
      </c>
      <c r="D921" s="1">
        <f>IF(B921="PAL","",IFERROR(VLOOKUP(B921,'General price list'!C:BA,MATCH("OBJ",'General price list'!$C$20:$BA$20,0),FALSE),""))</f>
        <v>0</v>
      </c>
      <c r="E921" s="1">
        <f t="shared" si="86"/>
        <v>0</v>
      </c>
      <c r="F921" s="1">
        <f t="shared" si="87"/>
        <v>0</v>
      </c>
      <c r="G921" s="1">
        <f t="shared" si="88"/>
        <v>0</v>
      </c>
      <c r="H921" s="1">
        <f t="shared" si="89"/>
        <v>0</v>
      </c>
      <c r="I921" s="1">
        <f t="shared" si="90"/>
        <v>0</v>
      </c>
      <c r="J921">
        <f>IF(B921="PAL","",IFERROR(IF(C921="",VLOOKUP(B921,'General price list'!C:BA,MATCH("CBM",'General price list'!$C$20:$BA$20,0),FALSE)*D921,VLOOKUP(B921,'General price list'!C:BA,MATCH("CBM",'General price list'!$C$20:$BA$20,0),FALSE)*(G921*C921)),0))</f>
        <v>0</v>
      </c>
    </row>
    <row r="922" spans="2:10" ht="15" customHeight="1">
      <c r="B922" s="790">
        <f>IF(B921="PAL","",'General price list'!C942)</f>
        <v>0</v>
      </c>
      <c r="C922" s="1" t="str">
        <f>IF(B922="PAL","",IFERROR(VLOOKUP(B922,'General price list'!C:BA,MATCH("PAL",'General price list'!$C$20:$BA$20,0),FALSE),""))</f>
        <v/>
      </c>
      <c r="D922" s="1" t="str">
        <f>IF(B922="PAL","",IFERROR(VLOOKUP(B922,'General price list'!C:BA,MATCH("OBJ",'General price list'!$C$20:$BA$20,0),FALSE),""))</f>
        <v/>
      </c>
      <c r="E922" s="1">
        <f t="shared" si="86"/>
        <v>0</v>
      </c>
      <c r="F922" s="1">
        <f t="shared" si="87"/>
        <v>0</v>
      </c>
      <c r="G922" s="1">
        <f t="shared" si="88"/>
        <v>0</v>
      </c>
      <c r="H922" s="1">
        <f t="shared" si="89"/>
        <v>0</v>
      </c>
      <c r="I922" s="1">
        <f t="shared" si="90"/>
        <v>0</v>
      </c>
      <c r="J922">
        <f>IF(B922="PAL","",IFERROR(IF(C922="",VLOOKUP(B922,'General price list'!C:BA,MATCH("CBM",'General price list'!$C$20:$BA$20,0),FALSE)*D922,VLOOKUP(B922,'General price list'!C:BA,MATCH("CBM",'General price list'!$C$20:$BA$20,0),FALSE)*(G922*C922)),0))</f>
        <v>0</v>
      </c>
    </row>
    <row r="923" spans="2:10" ht="15" customHeight="1">
      <c r="B923" s="790" t="str">
        <f>IF(B922="PAL","",'General price list'!C943)</f>
        <v>S6F/P(9)</v>
      </c>
      <c r="C923" s="1" t="str">
        <f>IF(B923="PAL","",IFERROR(VLOOKUP(B923,'General price list'!C:BA,MATCH("PAL",'General price list'!$C$20:$BA$20,0),FALSE),""))</f>
        <v/>
      </c>
      <c r="D923" s="1">
        <f>IF(B923="PAL","",IFERROR(VLOOKUP(B923,'General price list'!C:BA,MATCH("OBJ",'General price list'!$C$20:$BA$20,0),FALSE),""))</f>
        <v>0</v>
      </c>
      <c r="E923" s="1">
        <f t="shared" si="86"/>
        <v>0</v>
      </c>
      <c r="F923" s="1">
        <f t="shared" si="87"/>
        <v>0</v>
      </c>
      <c r="G923" s="1">
        <f t="shared" si="88"/>
        <v>0</v>
      </c>
      <c r="H923" s="1">
        <f t="shared" si="89"/>
        <v>0</v>
      </c>
      <c r="I923" s="1">
        <f t="shared" si="90"/>
        <v>0</v>
      </c>
      <c r="J923">
        <f>IF(B923="PAL","",IFERROR(IF(C923="",VLOOKUP(B923,'General price list'!C:BA,MATCH("CBM",'General price list'!$C$20:$BA$20,0),FALSE)*D923,VLOOKUP(B923,'General price list'!C:BA,MATCH("CBM",'General price list'!$C$20:$BA$20,0),FALSE)*(G923*C923)),0))</f>
        <v>0</v>
      </c>
    </row>
    <row r="924" spans="2:10" ht="15" customHeight="1">
      <c r="B924" s="790" t="str">
        <f>IF(B923="PAL","",'General price list'!C944)</f>
        <v>S6I/P(9)</v>
      </c>
      <c r="C924" s="1" t="str">
        <f>IF(B924="PAL","",IFERROR(VLOOKUP(B924,'General price list'!C:BA,MATCH("PAL",'General price list'!$C$20:$BA$20,0),FALSE),""))</f>
        <v/>
      </c>
      <c r="D924" s="1">
        <f>IF(B924="PAL","",IFERROR(VLOOKUP(B924,'General price list'!C:BA,MATCH("OBJ",'General price list'!$C$20:$BA$20,0),FALSE),""))</f>
        <v>0</v>
      </c>
      <c r="E924" s="1">
        <f t="shared" si="86"/>
        <v>0</v>
      </c>
      <c r="F924" s="1">
        <f t="shared" si="87"/>
        <v>0</v>
      </c>
      <c r="G924" s="1">
        <f t="shared" si="88"/>
        <v>0</v>
      </c>
      <c r="H924" s="1">
        <f t="shared" si="89"/>
        <v>0</v>
      </c>
      <c r="I924" s="1">
        <f t="shared" si="90"/>
        <v>0</v>
      </c>
      <c r="J924">
        <f>IF(B924="PAL","",IFERROR(IF(C924="",VLOOKUP(B924,'General price list'!C:BA,MATCH("CBM",'General price list'!$C$20:$BA$20,0),FALSE)*D924,VLOOKUP(B924,'General price list'!C:BA,MATCH("CBM",'General price list'!$C$20:$BA$20,0),FALSE)*(G924*C924)),0))</f>
        <v>0</v>
      </c>
    </row>
    <row r="925" spans="2:10" ht="15" customHeight="1">
      <c r="B925" s="790" t="str">
        <f>IF(B924="PAL","",'General price list'!C945)</f>
        <v>S6R/P(9)</v>
      </c>
      <c r="C925" s="1" t="str">
        <f>IF(B925="PAL","",IFERROR(VLOOKUP(B925,'General price list'!C:BA,MATCH("PAL",'General price list'!$C$20:$BA$20,0),FALSE),""))</f>
        <v/>
      </c>
      <c r="D925" s="1">
        <f>IF(B925="PAL","",IFERROR(VLOOKUP(B925,'General price list'!C:BA,MATCH("OBJ",'General price list'!$C$20:$BA$20,0),FALSE),""))</f>
        <v>0</v>
      </c>
      <c r="E925" s="1">
        <f t="shared" si="86"/>
        <v>0</v>
      </c>
      <c r="F925" s="1">
        <f t="shared" si="87"/>
        <v>0</v>
      </c>
      <c r="G925" s="1">
        <f t="shared" si="88"/>
        <v>0</v>
      </c>
      <c r="H925" s="1">
        <f t="shared" si="89"/>
        <v>0</v>
      </c>
      <c r="I925" s="1">
        <f t="shared" si="90"/>
        <v>0</v>
      </c>
      <c r="J925">
        <f>IF(B925="PAL","",IFERROR(IF(C925="",VLOOKUP(B925,'General price list'!C:BA,MATCH("CBM",'General price list'!$C$20:$BA$20,0),FALSE)*D925,VLOOKUP(B925,'General price list'!C:BA,MATCH("CBM",'General price list'!$C$20:$BA$20,0),FALSE)*(G925*C925)),0))</f>
        <v>0</v>
      </c>
    </row>
    <row r="926" spans="2:10" ht="15" customHeight="1">
      <c r="B926" s="790" t="str">
        <f>IF(B925="PAL","",'General price list'!C946)</f>
        <v>S6Z3/P(9)</v>
      </c>
      <c r="C926" s="1" t="str">
        <f>IF(B926="PAL","",IFERROR(VLOOKUP(B926,'General price list'!C:BA,MATCH("PAL",'General price list'!$C$20:$BA$20,0),FALSE),""))</f>
        <v/>
      </c>
      <c r="D926" s="1">
        <f>IF(B926="PAL","",IFERROR(VLOOKUP(B926,'General price list'!C:BA,MATCH("OBJ",'General price list'!$C$20:$BA$20,0),FALSE),""))</f>
        <v>0</v>
      </c>
      <c r="E926" s="1">
        <f t="shared" si="86"/>
        <v>0</v>
      </c>
      <c r="F926" s="1">
        <f t="shared" si="87"/>
        <v>0</v>
      </c>
      <c r="G926" s="1">
        <f t="shared" si="88"/>
        <v>0</v>
      </c>
      <c r="H926" s="1">
        <f t="shared" si="89"/>
        <v>0</v>
      </c>
      <c r="I926" s="1">
        <f t="shared" si="90"/>
        <v>0</v>
      </c>
      <c r="J926">
        <f>IF(B926="PAL","",IFERROR(IF(C926="",VLOOKUP(B926,'General price list'!C:BA,MATCH("CBM",'General price list'!$C$20:$BA$20,0),FALSE)*D926,VLOOKUP(B926,'General price list'!C:BA,MATCH("CBM",'General price list'!$C$20:$BA$20,0),FALSE)*(G926*C926)),0))</f>
        <v>0</v>
      </c>
    </row>
    <row r="927" spans="2:10" ht="15" customHeight="1">
      <c r="B927" s="790">
        <f>IF(B926="PAL","",'General price list'!C947)</f>
        <v>0</v>
      </c>
      <c r="C927" s="1" t="str">
        <f>IF(B927="PAL","",IFERROR(VLOOKUP(B927,'General price list'!C:BA,MATCH("PAL",'General price list'!$C$20:$BA$20,0),FALSE),""))</f>
        <v/>
      </c>
      <c r="D927" s="1" t="str">
        <f>IF(B927="PAL","",IFERROR(VLOOKUP(B927,'General price list'!C:BA,MATCH("OBJ",'General price list'!$C$20:$BA$20,0),FALSE),""))</f>
        <v/>
      </c>
      <c r="E927" s="1">
        <f t="shared" si="86"/>
        <v>0</v>
      </c>
      <c r="F927" s="1">
        <f t="shared" si="87"/>
        <v>0</v>
      </c>
      <c r="G927" s="1">
        <f t="shared" si="88"/>
        <v>0</v>
      </c>
      <c r="H927" s="1">
        <f t="shared" si="89"/>
        <v>0</v>
      </c>
      <c r="I927" s="1">
        <f t="shared" si="90"/>
        <v>0</v>
      </c>
      <c r="J927">
        <f>IF(B927="PAL","",IFERROR(IF(C927="",VLOOKUP(B927,'General price list'!C:BA,MATCH("CBM",'General price list'!$C$20:$BA$20,0),FALSE)*D927,VLOOKUP(B927,'General price list'!C:BA,MATCH("CBM",'General price list'!$C$20:$BA$20,0),FALSE)*(G927*C927)),0))</f>
        <v>0</v>
      </c>
    </row>
    <row r="928" spans="2:10" ht="15" customHeight="1">
      <c r="B928" s="790" t="str">
        <f>IF(B927="PAL","",'General price list'!C948)</f>
        <v>RKD-S03-01</v>
      </c>
      <c r="C928" s="1" t="str">
        <f>IF(B928="PAL","",IFERROR(VLOOKUP(B928,'General price list'!C:BA,MATCH("PAL",'General price list'!$C$20:$BA$20,0),FALSE),""))</f>
        <v/>
      </c>
      <c r="D928" s="1">
        <f>IF(B928="PAL","",IFERROR(VLOOKUP(B928,'General price list'!C:BA,MATCH("OBJ",'General price list'!$C$20:$BA$20,0),FALSE),""))</f>
        <v>0</v>
      </c>
      <c r="E928" s="1">
        <f t="shared" si="86"/>
        <v>0</v>
      </c>
      <c r="F928" s="1">
        <f t="shared" si="87"/>
        <v>0</v>
      </c>
      <c r="G928" s="1">
        <f t="shared" si="88"/>
        <v>0</v>
      </c>
      <c r="H928" s="1">
        <f t="shared" si="89"/>
        <v>0</v>
      </c>
      <c r="I928" s="1">
        <f t="shared" si="90"/>
        <v>0</v>
      </c>
      <c r="J928">
        <f>IF(B928="PAL","",IFERROR(IF(C928="",VLOOKUP(B928,'General price list'!C:BA,MATCH("CBM",'General price list'!$C$20:$BA$20,0),FALSE)*D928,VLOOKUP(B928,'General price list'!C:BA,MATCH("CBM",'General price list'!$C$20:$BA$20,0),FALSE)*(G928*C928)),0))</f>
        <v>0</v>
      </c>
    </row>
    <row r="929" spans="2:10" ht="15" customHeight="1">
      <c r="B929" s="790" t="str">
        <f>IF(B928="PAL","",'General price list'!C949)</f>
        <v>RKD-S03-02</v>
      </c>
      <c r="C929" s="1" t="str">
        <f>IF(B929="PAL","",IFERROR(VLOOKUP(B929,'General price list'!C:BA,MATCH("PAL",'General price list'!$C$20:$BA$20,0),FALSE),""))</f>
        <v/>
      </c>
      <c r="D929" s="1">
        <f>IF(B929="PAL","",IFERROR(VLOOKUP(B929,'General price list'!C:BA,MATCH("OBJ",'General price list'!$C$20:$BA$20,0),FALSE),""))</f>
        <v>0</v>
      </c>
      <c r="E929" s="1">
        <f t="shared" si="86"/>
        <v>0</v>
      </c>
      <c r="F929" s="1">
        <f t="shared" si="87"/>
        <v>0</v>
      </c>
      <c r="G929" s="1">
        <f t="shared" si="88"/>
        <v>0</v>
      </c>
      <c r="H929" s="1">
        <f t="shared" si="89"/>
        <v>0</v>
      </c>
      <c r="I929" s="1">
        <f t="shared" si="90"/>
        <v>0</v>
      </c>
      <c r="J929">
        <f>IF(B929="PAL","",IFERROR(IF(C929="",VLOOKUP(B929,'General price list'!C:BA,MATCH("CBM",'General price list'!$C$20:$BA$20,0),FALSE)*D929,VLOOKUP(B929,'General price list'!C:BA,MATCH("CBM",'General price list'!$C$20:$BA$20,0),FALSE)*(G929*C929)),0))</f>
        <v>0</v>
      </c>
    </row>
    <row r="930" spans="2:10" ht="15" customHeight="1">
      <c r="B930" s="790" t="str">
        <f>IF(B929="PAL","",'General price list'!C950)</f>
        <v>RKD-S03-03</v>
      </c>
      <c r="C930" s="1" t="str">
        <f>IF(B930="PAL","",IFERROR(VLOOKUP(B930,'General price list'!C:BA,MATCH("PAL",'General price list'!$C$20:$BA$20,0),FALSE),""))</f>
        <v/>
      </c>
      <c r="D930" s="1">
        <f>IF(B930="PAL","",IFERROR(VLOOKUP(B930,'General price list'!C:BA,MATCH("OBJ",'General price list'!$C$20:$BA$20,0),FALSE),""))</f>
        <v>0</v>
      </c>
      <c r="E930" s="1">
        <f t="shared" si="86"/>
        <v>0</v>
      </c>
      <c r="F930" s="1">
        <f t="shared" si="87"/>
        <v>0</v>
      </c>
      <c r="G930" s="1">
        <f t="shared" si="88"/>
        <v>0</v>
      </c>
      <c r="H930" s="1">
        <f t="shared" si="89"/>
        <v>0</v>
      </c>
      <c r="I930" s="1">
        <f t="shared" si="90"/>
        <v>0</v>
      </c>
      <c r="J930">
        <f>IF(B930="PAL","",IFERROR(IF(C930="",VLOOKUP(B930,'General price list'!C:BA,MATCH("CBM",'General price list'!$C$20:$BA$20,0),FALSE)*D930,VLOOKUP(B930,'General price list'!C:BA,MATCH("CBM",'General price list'!$C$20:$BA$20,0),FALSE)*(G930*C930)),0))</f>
        <v>0</v>
      </c>
    </row>
    <row r="931" spans="2:10" ht="15" customHeight="1">
      <c r="B931" s="790" t="str">
        <f>IF(B930="PAL","",'General price list'!C951)</f>
        <v>RKD-S04-01</v>
      </c>
      <c r="C931" s="1" t="str">
        <f>IF(B931="PAL","",IFERROR(VLOOKUP(B931,'General price list'!C:BA,MATCH("PAL",'General price list'!$C$20:$BA$20,0),FALSE),""))</f>
        <v/>
      </c>
      <c r="D931" s="1">
        <f>IF(B931="PAL","",IFERROR(VLOOKUP(B931,'General price list'!C:BA,MATCH("OBJ",'General price list'!$C$20:$BA$20,0),FALSE),""))</f>
        <v>0</v>
      </c>
      <c r="E931" s="1">
        <f t="shared" si="86"/>
        <v>0</v>
      </c>
      <c r="F931" s="1">
        <f t="shared" si="87"/>
        <v>0</v>
      </c>
      <c r="G931" s="1">
        <f t="shared" si="88"/>
        <v>0</v>
      </c>
      <c r="H931" s="1">
        <f t="shared" si="89"/>
        <v>0</v>
      </c>
      <c r="I931" s="1">
        <f t="shared" si="90"/>
        <v>0</v>
      </c>
      <c r="J931">
        <f>IF(B931="PAL","",IFERROR(IF(C931="",VLOOKUP(B931,'General price list'!C:BA,MATCH("CBM",'General price list'!$C$20:$BA$20,0),FALSE)*D931,VLOOKUP(B931,'General price list'!C:BA,MATCH("CBM",'General price list'!$C$20:$BA$20,0),FALSE)*(G931*C931)),0))</f>
        <v>0</v>
      </c>
    </row>
    <row r="932" spans="2:10" ht="15" customHeight="1">
      <c r="B932" s="790" t="str">
        <f>IF(B931="PAL","",'General price list'!C952)</f>
        <v>RKD-S04-04</v>
      </c>
      <c r="C932" s="1" t="str">
        <f>IF(B932="PAL","",IFERROR(VLOOKUP(B932,'General price list'!C:BA,MATCH("PAL",'General price list'!$C$20:$BA$20,0),FALSE),""))</f>
        <v/>
      </c>
      <c r="D932" s="1">
        <f>IF(B932="PAL","",IFERROR(VLOOKUP(B932,'General price list'!C:BA,MATCH("OBJ",'General price list'!$C$20:$BA$20,0),FALSE),""))</f>
        <v>0</v>
      </c>
      <c r="E932" s="1">
        <f t="shared" si="86"/>
        <v>0</v>
      </c>
      <c r="F932" s="1">
        <f t="shared" si="87"/>
        <v>0</v>
      </c>
      <c r="G932" s="1">
        <f t="shared" si="88"/>
        <v>0</v>
      </c>
      <c r="H932" s="1">
        <f t="shared" si="89"/>
        <v>0</v>
      </c>
      <c r="I932" s="1">
        <f t="shared" si="90"/>
        <v>0</v>
      </c>
      <c r="J932">
        <f>IF(B932="PAL","",IFERROR(IF(C932="",VLOOKUP(B932,'General price list'!C:BA,MATCH("CBM",'General price list'!$C$20:$BA$20,0),FALSE)*D932,VLOOKUP(B932,'General price list'!C:BA,MATCH("CBM",'General price list'!$C$20:$BA$20,0),FALSE)*(G932*C932)),0))</f>
        <v>0</v>
      </c>
    </row>
    <row r="933" spans="2:10" ht="15" customHeight="1">
      <c r="B933" s="790" t="str">
        <f>IF(B932="PAL","",'General price list'!C953)</f>
        <v>RKD-S05-01</v>
      </c>
      <c r="C933" s="1" t="str">
        <f>IF(B933="PAL","",IFERROR(VLOOKUP(B933,'General price list'!C:BA,MATCH("PAL",'General price list'!$C$20:$BA$20,0),FALSE),""))</f>
        <v/>
      </c>
      <c r="D933" s="1">
        <f>IF(B933="PAL","",IFERROR(VLOOKUP(B933,'General price list'!C:BA,MATCH("OBJ",'General price list'!$C$20:$BA$20,0),FALSE),""))</f>
        <v>0</v>
      </c>
      <c r="E933" s="1">
        <f t="shared" si="86"/>
        <v>0</v>
      </c>
      <c r="F933" s="1">
        <f t="shared" si="87"/>
        <v>0</v>
      </c>
      <c r="G933" s="1">
        <f t="shared" si="88"/>
        <v>0</v>
      </c>
      <c r="H933" s="1">
        <f t="shared" si="89"/>
        <v>0</v>
      </c>
      <c r="I933" s="1">
        <f t="shared" si="90"/>
        <v>0</v>
      </c>
      <c r="J933">
        <f>IF(B933="PAL","",IFERROR(IF(C933="",VLOOKUP(B933,'General price list'!C:BA,MATCH("CBM",'General price list'!$C$20:$BA$20,0),FALSE)*D933,VLOOKUP(B933,'General price list'!C:BA,MATCH("CBM",'General price list'!$C$20:$BA$20,0),FALSE)*(G933*C933)),0))</f>
        <v>0</v>
      </c>
    </row>
    <row r="934" spans="2:10" ht="15" customHeight="1">
      <c r="B934" s="790" t="str">
        <f>IF(B933="PAL","",'General price list'!C954)</f>
        <v>RKD-S05-02</v>
      </c>
      <c r="C934" s="1" t="str">
        <f>IF(B934="PAL","",IFERROR(VLOOKUP(B934,'General price list'!C:BA,MATCH("PAL",'General price list'!$C$20:$BA$20,0),FALSE),""))</f>
        <v/>
      </c>
      <c r="D934" s="1">
        <f>IF(B934="PAL","",IFERROR(VLOOKUP(B934,'General price list'!C:BA,MATCH("OBJ",'General price list'!$C$20:$BA$20,0),FALSE),""))</f>
        <v>0</v>
      </c>
      <c r="E934" s="1">
        <f t="shared" si="86"/>
        <v>0</v>
      </c>
      <c r="F934" s="1">
        <f t="shared" si="87"/>
        <v>0</v>
      </c>
      <c r="G934" s="1">
        <f t="shared" si="88"/>
        <v>0</v>
      </c>
      <c r="H934" s="1">
        <f t="shared" si="89"/>
        <v>0</v>
      </c>
      <c r="I934" s="1">
        <f t="shared" si="90"/>
        <v>0</v>
      </c>
      <c r="J934">
        <f>IF(B934="PAL","",IFERROR(IF(C934="",VLOOKUP(B934,'General price list'!C:BA,MATCH("CBM",'General price list'!$C$20:$BA$20,0),FALSE)*D934,VLOOKUP(B934,'General price list'!C:BA,MATCH("CBM",'General price list'!$C$20:$BA$20,0),FALSE)*(G934*C934)),0))</f>
        <v>0</v>
      </c>
    </row>
    <row r="935" spans="2:10" ht="15" customHeight="1">
      <c r="B935" s="790" t="str">
        <f>IF(B934="PAL","",'General price list'!C955)</f>
        <v>RKD-S05-03</v>
      </c>
      <c r="C935" s="1" t="str">
        <f>IF(B935="PAL","",IFERROR(VLOOKUP(B935,'General price list'!C:BA,MATCH("PAL",'General price list'!$C$20:$BA$20,0),FALSE),""))</f>
        <v/>
      </c>
      <c r="D935" s="1">
        <f>IF(B935="PAL","",IFERROR(VLOOKUP(B935,'General price list'!C:BA,MATCH("OBJ",'General price list'!$C$20:$BA$20,0),FALSE),""))</f>
        <v>0</v>
      </c>
      <c r="E935" s="1">
        <f t="shared" si="86"/>
        <v>0</v>
      </c>
      <c r="F935" s="1">
        <f t="shared" si="87"/>
        <v>0</v>
      </c>
      <c r="G935" s="1">
        <f t="shared" si="88"/>
        <v>0</v>
      </c>
      <c r="H935" s="1">
        <f t="shared" si="89"/>
        <v>0</v>
      </c>
      <c r="I935" s="1">
        <f t="shared" si="90"/>
        <v>0</v>
      </c>
      <c r="J935">
        <f>IF(B935="PAL","",IFERROR(IF(C935="",VLOOKUP(B935,'General price list'!C:BA,MATCH("CBM",'General price list'!$C$20:$BA$20,0),FALSE)*D935,VLOOKUP(B935,'General price list'!C:BA,MATCH("CBM",'General price list'!$C$20:$BA$20,0),FALSE)*(G935*C935)),0))</f>
        <v>0</v>
      </c>
    </row>
    <row r="936" spans="2:10" ht="15" customHeight="1">
      <c r="B936" s="790" t="str">
        <f>IF(B935="PAL","",'General price list'!C956)</f>
        <v>RKD-S05-04</v>
      </c>
      <c r="C936" s="1" t="str">
        <f>IF(B936="PAL","",IFERROR(VLOOKUP(B936,'General price list'!C:BA,MATCH("PAL",'General price list'!$C$20:$BA$20,0),FALSE),""))</f>
        <v/>
      </c>
      <c r="D936" s="1">
        <f>IF(B936="PAL","",IFERROR(VLOOKUP(B936,'General price list'!C:BA,MATCH("OBJ",'General price list'!$C$20:$BA$20,0),FALSE),""))</f>
        <v>0</v>
      </c>
      <c r="E936" s="1">
        <f t="shared" si="86"/>
        <v>0</v>
      </c>
      <c r="F936" s="1">
        <f t="shared" si="87"/>
        <v>0</v>
      </c>
      <c r="G936" s="1">
        <f t="shared" si="88"/>
        <v>0</v>
      </c>
      <c r="H936" s="1">
        <f t="shared" si="89"/>
        <v>0</v>
      </c>
      <c r="I936" s="1">
        <f t="shared" si="90"/>
        <v>0</v>
      </c>
      <c r="J936">
        <f>IF(B936="PAL","",IFERROR(IF(C936="",VLOOKUP(B936,'General price list'!C:BA,MATCH("CBM",'General price list'!$C$20:$BA$20,0),FALSE)*D936,VLOOKUP(B936,'General price list'!C:BA,MATCH("CBM",'General price list'!$C$20:$BA$20,0),FALSE)*(G936*C936)),0))</f>
        <v>0</v>
      </c>
    </row>
    <row r="937" spans="2:10" ht="15" customHeight="1">
      <c r="B937" s="790" t="str">
        <f>IF(B936="PAL","",'General price list'!C957)</f>
        <v>RKD-S05-05</v>
      </c>
      <c r="C937" s="1" t="str">
        <f>IF(B937="PAL","",IFERROR(VLOOKUP(B937,'General price list'!C:BA,MATCH("PAL",'General price list'!$C$20:$BA$20,0),FALSE),""))</f>
        <v/>
      </c>
      <c r="D937" s="1">
        <f>IF(B937="PAL","",IFERROR(VLOOKUP(B937,'General price list'!C:BA,MATCH("OBJ",'General price list'!$C$20:$BA$20,0),FALSE),""))</f>
        <v>0</v>
      </c>
      <c r="E937" s="1">
        <f t="shared" si="86"/>
        <v>0</v>
      </c>
      <c r="F937" s="1">
        <f t="shared" si="87"/>
        <v>0</v>
      </c>
      <c r="G937" s="1">
        <f t="shared" si="88"/>
        <v>0</v>
      </c>
      <c r="H937" s="1">
        <f t="shared" si="89"/>
        <v>0</v>
      </c>
      <c r="I937" s="1">
        <f t="shared" si="90"/>
        <v>0</v>
      </c>
      <c r="J937">
        <f>IF(B937="PAL","",IFERROR(IF(C937="",VLOOKUP(B937,'General price list'!C:BA,MATCH("CBM",'General price list'!$C$20:$BA$20,0),FALSE)*D937,VLOOKUP(B937,'General price list'!C:BA,MATCH("CBM",'General price list'!$C$20:$BA$20,0),FALSE)*(G937*C937)),0))</f>
        <v>0</v>
      </c>
    </row>
    <row r="938" spans="2:10" ht="15" customHeight="1">
      <c r="B938" s="790" t="str">
        <f>IF(B937="PAL","",'General price list'!C958)</f>
        <v>RKD-S05-09</v>
      </c>
      <c r="C938" s="1" t="str">
        <f>IF(B938="PAL","",IFERROR(VLOOKUP(B938,'General price list'!C:BA,MATCH("PAL",'General price list'!$C$20:$BA$20,0),FALSE),""))</f>
        <v/>
      </c>
      <c r="D938" s="1">
        <f>IF(B938="PAL","",IFERROR(VLOOKUP(B938,'General price list'!C:BA,MATCH("OBJ",'General price list'!$C$20:$BA$20,0),FALSE),""))</f>
        <v>0</v>
      </c>
      <c r="E938" s="1">
        <f t="shared" si="86"/>
        <v>0</v>
      </c>
      <c r="F938" s="1">
        <f t="shared" si="87"/>
        <v>0</v>
      </c>
      <c r="G938" s="1">
        <f t="shared" si="88"/>
        <v>0</v>
      </c>
      <c r="H938" s="1">
        <f t="shared" si="89"/>
        <v>0</v>
      </c>
      <c r="I938" s="1">
        <f t="shared" si="90"/>
        <v>0</v>
      </c>
      <c r="J938">
        <f>IF(B938="PAL","",IFERROR(IF(C938="",VLOOKUP(B938,'General price list'!C:BA,MATCH("CBM",'General price list'!$C$20:$BA$20,0),FALSE)*D938,VLOOKUP(B938,'General price list'!C:BA,MATCH("CBM",'General price list'!$C$20:$BA$20,0),FALSE)*(G938*C938)),0))</f>
        <v>0</v>
      </c>
    </row>
    <row r="939" spans="2:10" ht="15" customHeight="1">
      <c r="B939" s="790" t="str">
        <f>IF(B938="PAL","",'General price list'!C959)</f>
        <v>RKD-S05-11</v>
      </c>
      <c r="C939" s="1" t="str">
        <f>IF(B939="PAL","",IFERROR(VLOOKUP(B939,'General price list'!C:BA,MATCH("PAL",'General price list'!$C$20:$BA$20,0),FALSE),""))</f>
        <v/>
      </c>
      <c r="D939" s="1">
        <f>IF(B939="PAL","",IFERROR(VLOOKUP(B939,'General price list'!C:BA,MATCH("OBJ",'General price list'!$C$20:$BA$20,0),FALSE),""))</f>
        <v>0</v>
      </c>
      <c r="E939" s="1">
        <f t="shared" si="86"/>
        <v>0</v>
      </c>
      <c r="F939" s="1">
        <f t="shared" si="87"/>
        <v>0</v>
      </c>
      <c r="G939" s="1">
        <f t="shared" si="88"/>
        <v>0</v>
      </c>
      <c r="H939" s="1">
        <f t="shared" si="89"/>
        <v>0</v>
      </c>
      <c r="I939" s="1">
        <f t="shared" si="90"/>
        <v>0</v>
      </c>
      <c r="J939">
        <f>IF(B939="PAL","",IFERROR(IF(C939="",VLOOKUP(B939,'General price list'!C:BA,MATCH("CBM",'General price list'!$C$20:$BA$20,0),FALSE)*D939,VLOOKUP(B939,'General price list'!C:BA,MATCH("CBM",'General price list'!$C$20:$BA$20,0),FALSE)*(G939*C939)),0))</f>
        <v>0</v>
      </c>
    </row>
    <row r="940" spans="2:10" ht="15" customHeight="1">
      <c r="B940" s="790" t="str">
        <f>IF(B939="PAL","",'General price list'!C960)</f>
        <v>RKD-S05-12</v>
      </c>
      <c r="C940" s="1" t="str">
        <f>IF(B940="PAL","",IFERROR(VLOOKUP(B940,'General price list'!C:BA,MATCH("PAL",'General price list'!$C$20:$BA$20,0),FALSE),""))</f>
        <v/>
      </c>
      <c r="D940" s="1">
        <f>IF(B940="PAL","",IFERROR(VLOOKUP(B940,'General price list'!C:BA,MATCH("OBJ",'General price list'!$C$20:$BA$20,0),FALSE),""))</f>
        <v>0</v>
      </c>
      <c r="E940" s="1">
        <f t="shared" si="86"/>
        <v>0</v>
      </c>
      <c r="F940" s="1">
        <f t="shared" si="87"/>
        <v>0</v>
      </c>
      <c r="G940" s="1">
        <f t="shared" si="88"/>
        <v>0</v>
      </c>
      <c r="H940" s="1">
        <f t="shared" si="89"/>
        <v>0</v>
      </c>
      <c r="I940" s="1">
        <f t="shared" si="90"/>
        <v>0</v>
      </c>
      <c r="J940">
        <f>IF(B940="PAL","",IFERROR(IF(C940="",VLOOKUP(B940,'General price list'!C:BA,MATCH("CBM",'General price list'!$C$20:$BA$20,0),FALSE)*D940,VLOOKUP(B940,'General price list'!C:BA,MATCH("CBM",'General price list'!$C$20:$BA$20,0),FALSE)*(G940*C940)),0))</f>
        <v>0</v>
      </c>
    </row>
    <row r="941" spans="2:10" ht="15" customHeight="1">
      <c r="B941" s="790" t="str">
        <f>IF(B940="PAL","",'General price list'!C961)</f>
        <v>RKD-S06-01</v>
      </c>
      <c r="C941" s="1" t="str">
        <f>IF(B941="PAL","",IFERROR(VLOOKUP(B941,'General price list'!C:BA,MATCH("PAL",'General price list'!$C$20:$BA$20,0),FALSE),""))</f>
        <v/>
      </c>
      <c r="D941" s="1">
        <f>IF(B941="PAL","",IFERROR(VLOOKUP(B941,'General price list'!C:BA,MATCH("OBJ",'General price list'!$C$20:$BA$20,0),FALSE),""))</f>
        <v>0</v>
      </c>
      <c r="E941" s="1">
        <f t="shared" si="86"/>
        <v>0</v>
      </c>
      <c r="F941" s="1">
        <f t="shared" si="87"/>
        <v>0</v>
      </c>
      <c r="G941" s="1">
        <f t="shared" si="88"/>
        <v>0</v>
      </c>
      <c r="H941" s="1">
        <f t="shared" si="89"/>
        <v>0</v>
      </c>
      <c r="I941" s="1">
        <f t="shared" si="90"/>
        <v>0</v>
      </c>
      <c r="J941">
        <f>IF(B941="PAL","",IFERROR(IF(C941="",VLOOKUP(B941,'General price list'!C:BA,MATCH("CBM",'General price list'!$C$20:$BA$20,0),FALSE)*D941,VLOOKUP(B941,'General price list'!C:BA,MATCH("CBM",'General price list'!$C$20:$BA$20,0),FALSE)*(G941*C941)),0))</f>
        <v>0</v>
      </c>
    </row>
    <row r="942" spans="2:10" ht="15" customHeight="1">
      <c r="B942" s="790" t="str">
        <f>IF(B941="PAL","",'General price list'!C962)</f>
        <v>RKD-S06-02</v>
      </c>
      <c r="C942" s="1" t="str">
        <f>IF(B942="PAL","",IFERROR(VLOOKUP(B942,'General price list'!C:BA,MATCH("PAL",'General price list'!$C$20:$BA$20,0),FALSE),""))</f>
        <v/>
      </c>
      <c r="D942" s="1">
        <f>IF(B942="PAL","",IFERROR(VLOOKUP(B942,'General price list'!C:BA,MATCH("OBJ",'General price list'!$C$20:$BA$20,0),FALSE),""))</f>
        <v>0</v>
      </c>
      <c r="E942" s="1">
        <f t="shared" si="86"/>
        <v>0</v>
      </c>
      <c r="F942" s="1">
        <f t="shared" si="87"/>
        <v>0</v>
      </c>
      <c r="G942" s="1">
        <f t="shared" si="88"/>
        <v>0</v>
      </c>
      <c r="H942" s="1">
        <f t="shared" si="89"/>
        <v>0</v>
      </c>
      <c r="I942" s="1">
        <f t="shared" si="90"/>
        <v>0</v>
      </c>
      <c r="J942">
        <f>IF(B942="PAL","",IFERROR(IF(C942="",VLOOKUP(B942,'General price list'!C:BA,MATCH("CBM",'General price list'!$C$20:$BA$20,0),FALSE)*D942,VLOOKUP(B942,'General price list'!C:BA,MATCH("CBM",'General price list'!$C$20:$BA$20,0),FALSE)*(G942*C942)),0))</f>
        <v>0</v>
      </c>
    </row>
    <row r="943" spans="2:10" ht="15" customHeight="1">
      <c r="B943" s="790" t="str">
        <f>IF(B942="PAL","",'General price list'!C963)</f>
        <v>RKD-S06-03</v>
      </c>
      <c r="C943" s="1" t="str">
        <f>IF(B943="PAL","",IFERROR(VLOOKUP(B943,'General price list'!C:BA,MATCH("PAL",'General price list'!$C$20:$BA$20,0),FALSE),""))</f>
        <v/>
      </c>
      <c r="D943" s="1">
        <f>IF(B943="PAL","",IFERROR(VLOOKUP(B943,'General price list'!C:BA,MATCH("OBJ",'General price list'!$C$20:$BA$20,0),FALSE),""))</f>
        <v>0</v>
      </c>
      <c r="E943" s="1">
        <f t="shared" si="86"/>
        <v>0</v>
      </c>
      <c r="F943" s="1">
        <f t="shared" si="87"/>
        <v>0</v>
      </c>
      <c r="G943" s="1">
        <f t="shared" si="88"/>
        <v>0</v>
      </c>
      <c r="H943" s="1">
        <f t="shared" si="89"/>
        <v>0</v>
      </c>
      <c r="I943" s="1">
        <f t="shared" si="90"/>
        <v>0</v>
      </c>
      <c r="J943">
        <f>IF(B943="PAL","",IFERROR(IF(C943="",VLOOKUP(B943,'General price list'!C:BA,MATCH("CBM",'General price list'!$C$20:$BA$20,0),FALSE)*D943,VLOOKUP(B943,'General price list'!C:BA,MATCH("CBM",'General price list'!$C$20:$BA$20,0),FALSE)*(G943*C943)),0))</f>
        <v>0</v>
      </c>
    </row>
    <row r="944" spans="2:10" ht="15" customHeight="1">
      <c r="B944" s="790" t="str">
        <f>IF(B943="PAL","",'General price list'!C964)</f>
        <v>RKD-S06-04</v>
      </c>
      <c r="C944" s="1" t="str">
        <f>IF(B944="PAL","",IFERROR(VLOOKUP(B944,'General price list'!C:BA,MATCH("PAL",'General price list'!$C$20:$BA$20,0),FALSE),""))</f>
        <v/>
      </c>
      <c r="D944" s="1">
        <f>IF(B944="PAL","",IFERROR(VLOOKUP(B944,'General price list'!C:BA,MATCH("OBJ",'General price list'!$C$20:$BA$20,0),FALSE),""))</f>
        <v>0</v>
      </c>
      <c r="E944" s="1">
        <f t="shared" si="86"/>
        <v>0</v>
      </c>
      <c r="F944" s="1">
        <f t="shared" si="87"/>
        <v>0</v>
      </c>
      <c r="G944" s="1">
        <f t="shared" si="88"/>
        <v>0</v>
      </c>
      <c r="H944" s="1">
        <f t="shared" si="89"/>
        <v>0</v>
      </c>
      <c r="I944" s="1">
        <f t="shared" si="90"/>
        <v>0</v>
      </c>
      <c r="J944">
        <f>IF(B944="PAL","",IFERROR(IF(C944="",VLOOKUP(B944,'General price list'!C:BA,MATCH("CBM",'General price list'!$C$20:$BA$20,0),FALSE)*D944,VLOOKUP(B944,'General price list'!C:BA,MATCH("CBM",'General price list'!$C$20:$BA$20,0),FALSE)*(G944*C944)),0))</f>
        <v>0</v>
      </c>
    </row>
    <row r="945" spans="2:10" ht="15" customHeight="1">
      <c r="B945" s="790" t="str">
        <f>IF(B944="PAL","",'General price list'!C965)</f>
        <v>RKD-S06-05</v>
      </c>
      <c r="C945" s="1" t="str">
        <f>IF(B945="PAL","",IFERROR(VLOOKUP(B945,'General price list'!C:BA,MATCH("PAL",'General price list'!$C$20:$BA$20,0),FALSE),""))</f>
        <v/>
      </c>
      <c r="D945" s="1">
        <f>IF(B945="PAL","",IFERROR(VLOOKUP(B945,'General price list'!C:BA,MATCH("OBJ",'General price list'!$C$20:$BA$20,0),FALSE),""))</f>
        <v>0</v>
      </c>
      <c r="E945" s="1">
        <f t="shared" si="86"/>
        <v>0</v>
      </c>
      <c r="F945" s="1">
        <f t="shared" si="87"/>
        <v>0</v>
      </c>
      <c r="G945" s="1">
        <f t="shared" si="88"/>
        <v>0</v>
      </c>
      <c r="H945" s="1">
        <f t="shared" si="89"/>
        <v>0</v>
      </c>
      <c r="I945" s="1">
        <f t="shared" si="90"/>
        <v>0</v>
      </c>
      <c r="J945">
        <f>IF(B945="PAL","",IFERROR(IF(C945="",VLOOKUP(B945,'General price list'!C:BA,MATCH("CBM",'General price list'!$C$20:$BA$20,0),FALSE)*D945,VLOOKUP(B945,'General price list'!C:BA,MATCH("CBM",'General price list'!$C$20:$BA$20,0),FALSE)*(G945*C945)),0))</f>
        <v>0</v>
      </c>
    </row>
    <row r="946" spans="2:10" ht="15" customHeight="1">
      <c r="B946" s="790" t="str">
        <f>IF(B945="PAL","",'General price list'!C966)</f>
        <v>RKD-S06-07</v>
      </c>
      <c r="C946" s="1" t="str">
        <f>IF(B946="PAL","",IFERROR(VLOOKUP(B946,'General price list'!C:BA,MATCH("PAL",'General price list'!$C$20:$BA$20,0),FALSE),""))</f>
        <v/>
      </c>
      <c r="D946" s="1">
        <f>IF(B946="PAL","",IFERROR(VLOOKUP(B946,'General price list'!C:BA,MATCH("OBJ",'General price list'!$C$20:$BA$20,0),FALSE),""))</f>
        <v>0</v>
      </c>
      <c r="E946" s="1">
        <f t="shared" si="86"/>
        <v>0</v>
      </c>
      <c r="F946" s="1">
        <f t="shared" si="87"/>
        <v>0</v>
      </c>
      <c r="G946" s="1">
        <f t="shared" si="88"/>
        <v>0</v>
      </c>
      <c r="H946" s="1">
        <f t="shared" si="89"/>
        <v>0</v>
      </c>
      <c r="I946" s="1">
        <f t="shared" si="90"/>
        <v>0</v>
      </c>
      <c r="J946">
        <f>IF(B946="PAL","",IFERROR(IF(C946="",VLOOKUP(B946,'General price list'!C:BA,MATCH("CBM",'General price list'!$C$20:$BA$20,0),FALSE)*D946,VLOOKUP(B946,'General price list'!C:BA,MATCH("CBM",'General price list'!$C$20:$BA$20,0),FALSE)*(G946*C946)),0))</f>
        <v>0</v>
      </c>
    </row>
    <row r="947" spans="2:10" ht="15" customHeight="1">
      <c r="B947" s="790">
        <f>IF(B946="PAL","",'General price list'!C967)</f>
        <v>0</v>
      </c>
      <c r="C947" s="1" t="str">
        <f>IF(B947="PAL","",IFERROR(VLOOKUP(B947,'General price list'!C:BA,MATCH("PAL",'General price list'!$C$20:$BA$20,0),FALSE),""))</f>
        <v/>
      </c>
      <c r="D947" s="1" t="str">
        <f>IF(B947="PAL","",IFERROR(VLOOKUP(B947,'General price list'!C:BA,MATCH("OBJ",'General price list'!$C$20:$BA$20,0),FALSE),""))</f>
        <v/>
      </c>
      <c r="E947" s="1">
        <f t="shared" si="86"/>
        <v>0</v>
      </c>
      <c r="F947" s="1">
        <f t="shared" si="87"/>
        <v>0</v>
      </c>
      <c r="G947" s="1">
        <f t="shared" si="88"/>
        <v>0</v>
      </c>
      <c r="H947" s="1">
        <f t="shared" si="89"/>
        <v>0</v>
      </c>
      <c r="I947" s="1">
        <f t="shared" si="90"/>
        <v>0</v>
      </c>
      <c r="J947">
        <f>IF(B947="PAL","",IFERROR(IF(C947="",VLOOKUP(B947,'General price list'!C:BA,MATCH("CBM",'General price list'!$C$20:$BA$20,0),FALSE)*D947,VLOOKUP(B947,'General price list'!C:BA,MATCH("CBM",'General price list'!$C$20:$BA$20,0),FALSE)*(G947*C947)),0))</f>
        <v>0</v>
      </c>
    </row>
    <row r="948" spans="2:10" ht="15" customHeight="1">
      <c r="B948" s="790" t="str">
        <f>IF(B947="PAL","",'General price list'!C968)</f>
        <v>M2</v>
      </c>
      <c r="C948" s="1" t="str">
        <f>IF(B948="PAL","",IFERROR(VLOOKUP(B948,'General price list'!C:BA,MATCH("PAL",'General price list'!$C$20:$BA$20,0),FALSE),""))</f>
        <v/>
      </c>
      <c r="D948" s="1">
        <f>IF(B948="PAL","",IFERROR(VLOOKUP(B948,'General price list'!C:BA,MATCH("OBJ",'General price list'!$C$20:$BA$20,0),FALSE),""))</f>
        <v>0</v>
      </c>
      <c r="E948" s="1">
        <f t="shared" si="86"/>
        <v>0</v>
      </c>
      <c r="F948" s="1">
        <f t="shared" si="87"/>
        <v>0</v>
      </c>
      <c r="G948" s="1">
        <f t="shared" si="88"/>
        <v>0</v>
      </c>
      <c r="H948" s="1">
        <f t="shared" si="89"/>
        <v>0</v>
      </c>
      <c r="I948" s="1">
        <f t="shared" si="90"/>
        <v>0</v>
      </c>
      <c r="J948">
        <f>IF(B948="PAL","",IFERROR(IF(C948="",VLOOKUP(B948,'General price list'!C:BA,MATCH("CBM",'General price list'!$C$20:$BA$20,0),FALSE)*D948,VLOOKUP(B948,'General price list'!C:BA,MATCH("CBM",'General price list'!$C$20:$BA$20,0),FALSE)*(G948*C948)),0))</f>
        <v>0</v>
      </c>
    </row>
    <row r="949" spans="2:10" ht="15" customHeight="1">
      <c r="B949" s="790" t="str">
        <f>IF(B948="PAL","",'General price list'!C969)</f>
        <v>M3</v>
      </c>
      <c r="C949" s="1" t="str">
        <f>IF(B949="PAL","",IFERROR(VLOOKUP(B949,'General price list'!C:BA,MATCH("PAL",'General price list'!$C$20:$BA$20,0),FALSE),""))</f>
        <v/>
      </c>
      <c r="D949" s="1">
        <f>IF(B949="PAL","",IFERROR(VLOOKUP(B949,'General price list'!C:BA,MATCH("OBJ",'General price list'!$C$20:$BA$20,0),FALSE),""))</f>
        <v>0</v>
      </c>
      <c r="E949" s="1">
        <f t="shared" si="86"/>
        <v>0</v>
      </c>
      <c r="F949" s="1">
        <f t="shared" si="87"/>
        <v>0</v>
      </c>
      <c r="G949" s="1">
        <f t="shared" si="88"/>
        <v>0</v>
      </c>
      <c r="H949" s="1">
        <f t="shared" si="89"/>
        <v>0</v>
      </c>
      <c r="I949" s="1">
        <f t="shared" si="90"/>
        <v>0</v>
      </c>
      <c r="J949">
        <f>IF(B949="PAL","",IFERROR(IF(C949="",VLOOKUP(B949,'General price list'!C:BA,MATCH("CBM",'General price list'!$C$20:$BA$20,0),FALSE)*D949,VLOOKUP(B949,'General price list'!C:BA,MATCH("CBM",'General price list'!$C$20:$BA$20,0),FALSE)*(G949*C949)),0))</f>
        <v>0</v>
      </c>
    </row>
    <row r="950" spans="2:10" ht="15" customHeight="1">
      <c r="B950" s="790" t="str">
        <f>IF(B949="PAL","",'General price list'!C970)</f>
        <v>M4</v>
      </c>
      <c r="C950" s="1" t="str">
        <f>IF(B950="PAL","",IFERROR(VLOOKUP(B950,'General price list'!C:BA,MATCH("PAL",'General price list'!$C$20:$BA$20,0),FALSE),""))</f>
        <v/>
      </c>
      <c r="D950" s="1">
        <f>IF(B950="PAL","",IFERROR(VLOOKUP(B950,'General price list'!C:BA,MATCH("OBJ",'General price list'!$C$20:$BA$20,0),FALSE),""))</f>
        <v>0</v>
      </c>
      <c r="E950" s="1">
        <f t="shared" si="86"/>
        <v>0</v>
      </c>
      <c r="F950" s="1">
        <f t="shared" si="87"/>
        <v>0</v>
      </c>
      <c r="G950" s="1">
        <f t="shared" si="88"/>
        <v>0</v>
      </c>
      <c r="H950" s="1">
        <f t="shared" si="89"/>
        <v>0</v>
      </c>
      <c r="I950" s="1">
        <f t="shared" si="90"/>
        <v>0</v>
      </c>
      <c r="J950">
        <f>IF(B950="PAL","",IFERROR(IF(C950="",VLOOKUP(B950,'General price list'!C:BA,MATCH("CBM",'General price list'!$C$20:$BA$20,0),FALSE)*D950,VLOOKUP(B950,'General price list'!C:BA,MATCH("CBM",'General price list'!$C$20:$BA$20,0),FALSE)*(G950*C950)),0))</f>
        <v>0</v>
      </c>
    </row>
    <row r="951" spans="2:10" ht="15" customHeight="1">
      <c r="B951" s="790" t="str">
        <f>IF(B950="PAL","",'General price list'!C971)</f>
        <v>M5</v>
      </c>
      <c r="C951" s="1" t="str">
        <f>IF(B951="PAL","",IFERROR(VLOOKUP(B951,'General price list'!C:BA,MATCH("PAL",'General price list'!$C$20:$BA$20,0),FALSE),""))</f>
        <v/>
      </c>
      <c r="D951" s="1">
        <f>IF(B951="PAL","",IFERROR(VLOOKUP(B951,'General price list'!C:BA,MATCH("OBJ",'General price list'!$C$20:$BA$20,0),FALSE),""))</f>
        <v>0</v>
      </c>
      <c r="E951" s="1">
        <f t="shared" si="86"/>
        <v>0</v>
      </c>
      <c r="F951" s="1">
        <f t="shared" si="87"/>
        <v>0</v>
      </c>
      <c r="G951" s="1">
        <f t="shared" si="88"/>
        <v>0</v>
      </c>
      <c r="H951" s="1">
        <f t="shared" si="89"/>
        <v>0</v>
      </c>
      <c r="I951" s="1">
        <f t="shared" si="90"/>
        <v>0</v>
      </c>
      <c r="J951">
        <f>IF(B951="PAL","",IFERROR(IF(C951="",VLOOKUP(B951,'General price list'!C:BA,MATCH("CBM",'General price list'!$C$20:$BA$20,0),FALSE)*D951,VLOOKUP(B951,'General price list'!C:BA,MATCH("CBM",'General price list'!$C$20:$BA$20,0),FALSE)*(G951*C951)),0))</f>
        <v>0</v>
      </c>
    </row>
    <row r="952" spans="2:10" ht="15" customHeight="1">
      <c r="B952" s="790" t="str">
        <f>IF(B951="PAL","",'General price list'!C972)</f>
        <v>M6</v>
      </c>
      <c r="C952" s="1" t="str">
        <f>IF(B952="PAL","",IFERROR(VLOOKUP(B952,'General price list'!C:BA,MATCH("PAL",'General price list'!$C$20:$BA$20,0),FALSE),""))</f>
        <v/>
      </c>
      <c r="D952" s="1">
        <f>IF(B952="PAL","",IFERROR(VLOOKUP(B952,'General price list'!C:BA,MATCH("OBJ",'General price list'!$C$20:$BA$20,0),FALSE),""))</f>
        <v>0</v>
      </c>
      <c r="E952" s="1">
        <f t="shared" si="86"/>
        <v>0</v>
      </c>
      <c r="F952" s="1">
        <f t="shared" si="87"/>
        <v>0</v>
      </c>
      <c r="G952" s="1">
        <f t="shared" si="88"/>
        <v>0</v>
      </c>
      <c r="H952" s="1">
        <f t="shared" si="89"/>
        <v>0</v>
      </c>
      <c r="I952" s="1">
        <f t="shared" si="90"/>
        <v>0</v>
      </c>
      <c r="J952">
        <f>IF(B952="PAL","",IFERROR(IF(C952="",VLOOKUP(B952,'General price list'!C:BA,MATCH("CBM",'General price list'!$C$20:$BA$20,0),FALSE)*D952,VLOOKUP(B952,'General price list'!C:BA,MATCH("CBM",'General price list'!$C$20:$BA$20,0),FALSE)*(G952*C952)),0))</f>
        <v>0</v>
      </c>
    </row>
    <row r="953" spans="2:10" ht="15" customHeight="1">
      <c r="B953" s="790">
        <f>IF(B952="PAL","",'General price list'!C973)</f>
        <v>0</v>
      </c>
      <c r="C953" s="1" t="str">
        <f>IF(B953="PAL","",IFERROR(VLOOKUP(B953,'General price list'!C:BA,MATCH("PAL",'General price list'!$C$20:$BA$20,0),FALSE),""))</f>
        <v/>
      </c>
      <c r="D953" s="1" t="str">
        <f>IF(B953="PAL","",IFERROR(VLOOKUP(B953,'General price list'!C:BA,MATCH("OBJ",'General price list'!$C$20:$BA$20,0),FALSE),""))</f>
        <v/>
      </c>
      <c r="E953" s="1">
        <f t="shared" si="86"/>
        <v>0</v>
      </c>
      <c r="F953" s="1">
        <f t="shared" si="87"/>
        <v>0</v>
      </c>
      <c r="G953" s="1">
        <f t="shared" si="88"/>
        <v>0</v>
      </c>
      <c r="H953" s="1">
        <f t="shared" si="89"/>
        <v>0</v>
      </c>
      <c r="I953" s="1">
        <f t="shared" si="90"/>
        <v>0</v>
      </c>
      <c r="J953">
        <f>IF(B953="PAL","",IFERROR(IF(C953="",VLOOKUP(B953,'General price list'!C:BA,MATCH("CBM",'General price list'!$C$20:$BA$20,0),FALSE)*D953,VLOOKUP(B953,'General price list'!C:BA,MATCH("CBM",'General price list'!$C$20:$BA$20,0),FALSE)*(G953*C953)),0))</f>
        <v>0</v>
      </c>
    </row>
    <row r="954" spans="2:10" ht="15" customHeight="1">
      <c r="B954" s="790" t="str">
        <f>IF(B953="PAL","",'General price list'!C974)</f>
        <v>IF220A</v>
      </c>
      <c r="C954" s="1" t="str">
        <f>IF(B954="PAL","",IFERROR(VLOOKUP(B954,'General price list'!C:BA,MATCH("PAL",'General price list'!$C$20:$BA$20,0),FALSE),""))</f>
        <v/>
      </c>
      <c r="D954" s="1">
        <f>IF(B954="PAL","",IFERROR(VLOOKUP(B954,'General price list'!C:BA,MATCH("OBJ",'General price list'!$C$20:$BA$20,0),FALSE),""))</f>
        <v>0</v>
      </c>
      <c r="E954" s="1">
        <f t="shared" si="86"/>
        <v>0</v>
      </c>
      <c r="F954" s="1">
        <f t="shared" si="87"/>
        <v>0</v>
      </c>
      <c r="G954" s="1">
        <f t="shared" si="88"/>
        <v>0</v>
      </c>
      <c r="H954" s="1">
        <f t="shared" si="89"/>
        <v>0</v>
      </c>
      <c r="I954" s="1">
        <f t="shared" si="90"/>
        <v>0</v>
      </c>
      <c r="J954">
        <f>IF(B954="PAL","",IFERROR(IF(C954="",VLOOKUP(B954,'General price list'!C:BA,MATCH("CBM",'General price list'!$C$20:$BA$20,0),FALSE)*D954,VLOOKUP(B954,'General price list'!C:BA,MATCH("CBM",'General price list'!$C$20:$BA$20,0),FALSE)*(G954*C954)),0))</f>
        <v>0</v>
      </c>
    </row>
    <row r="955" spans="2:10" ht="15" customHeight="1">
      <c r="B955" s="790" t="str">
        <f>IF(B954="PAL","",'General price list'!C975)</f>
        <v>IF3MA</v>
      </c>
      <c r="C955" s="1" t="str">
        <f>IF(B955="PAL","",IFERROR(VLOOKUP(B955,'General price list'!C:BA,MATCH("PAL",'General price list'!$C$20:$BA$20,0),FALSE),""))</f>
        <v/>
      </c>
      <c r="D955" s="1">
        <f>IF(B955="PAL","",IFERROR(VLOOKUP(B955,'General price list'!C:BA,MATCH("OBJ",'General price list'!$C$20:$BA$20,0),FALSE),""))</f>
        <v>0</v>
      </c>
      <c r="E955" s="1">
        <f t="shared" si="86"/>
        <v>0</v>
      </c>
      <c r="F955" s="1">
        <f t="shared" si="87"/>
        <v>0</v>
      </c>
      <c r="G955" s="1">
        <f t="shared" si="88"/>
        <v>0</v>
      </c>
      <c r="H955" s="1">
        <f t="shared" si="89"/>
        <v>0</v>
      </c>
      <c r="I955" s="1">
        <f t="shared" si="90"/>
        <v>0</v>
      </c>
      <c r="J955">
        <f>IF(B955="PAL","",IFERROR(IF(C955="",VLOOKUP(B955,'General price list'!C:BA,MATCH("CBM",'General price list'!$C$20:$BA$20,0),FALSE)*D955,VLOOKUP(B955,'General price list'!C:BA,MATCH("CBM",'General price list'!$C$20:$BA$20,0),FALSE)*(G955*C955)),0))</f>
        <v>0</v>
      </c>
    </row>
    <row r="956" spans="2:10" ht="15" customHeight="1">
      <c r="B956" s="790" t="str">
        <f>IF(B955="PAL","",'General price list'!C976)</f>
        <v>IF560B</v>
      </c>
      <c r="C956" s="1" t="str">
        <f>IF(B956="PAL","",IFERROR(VLOOKUP(B956,'General price list'!C:BA,MATCH("PAL",'General price list'!$C$20:$BA$20,0),FALSE),""))</f>
        <v/>
      </c>
      <c r="D956" s="1">
        <f>IF(B956="PAL","",IFERROR(VLOOKUP(B956,'General price list'!C:BA,MATCH("OBJ",'General price list'!$C$20:$BA$20,0),FALSE),""))</f>
        <v>0</v>
      </c>
      <c r="E956" s="1">
        <f t="shared" si="86"/>
        <v>0</v>
      </c>
      <c r="F956" s="1">
        <f t="shared" si="87"/>
        <v>0</v>
      </c>
      <c r="G956" s="1">
        <f t="shared" si="88"/>
        <v>0</v>
      </c>
      <c r="H956" s="1">
        <f t="shared" si="89"/>
        <v>0</v>
      </c>
      <c r="I956" s="1">
        <f t="shared" si="90"/>
        <v>0</v>
      </c>
      <c r="J956">
        <f>IF(B956="PAL","",IFERROR(IF(C956="",VLOOKUP(B956,'General price list'!C:BA,MATCH("CBM",'General price list'!$C$20:$BA$20,0),FALSE)*D956,VLOOKUP(B956,'General price list'!C:BA,MATCH("CBM",'General price list'!$C$20:$BA$20,0),FALSE)*(G956*C956)),0))</f>
        <v>0</v>
      </c>
    </row>
    <row r="957" spans="2:10" ht="15" customHeight="1">
      <c r="B957" s="790">
        <f>IF(B956="PAL","",'General price list'!C977)</f>
        <v>0</v>
      </c>
      <c r="C957" s="1" t="str">
        <f>IF(B957="PAL","",IFERROR(VLOOKUP(B957,'General price list'!C:BA,MATCH("PAL",'General price list'!$C$20:$BA$20,0),FALSE),""))</f>
        <v/>
      </c>
      <c r="D957" s="1" t="str">
        <f>IF(B957="PAL","",IFERROR(VLOOKUP(B957,'General price list'!C:BA,MATCH("OBJ",'General price list'!$C$20:$BA$20,0),FALSE),""))</f>
        <v/>
      </c>
      <c r="E957" s="1">
        <f t="shared" si="86"/>
        <v>0</v>
      </c>
      <c r="F957" s="1">
        <f t="shared" si="87"/>
        <v>0</v>
      </c>
      <c r="G957" s="1">
        <f t="shared" si="88"/>
        <v>0</v>
      </c>
      <c r="H957" s="1">
        <f t="shared" si="89"/>
        <v>0</v>
      </c>
      <c r="I957" s="1">
        <f t="shared" si="90"/>
        <v>0</v>
      </c>
      <c r="J957">
        <f>IF(B957="PAL","",IFERROR(IF(C957="",VLOOKUP(B957,'General price list'!C:BA,MATCH("CBM",'General price list'!$C$20:$BA$20,0),FALSE)*D957,VLOOKUP(B957,'General price list'!C:BA,MATCH("CBM",'General price list'!$C$20:$BA$20,0),FALSE)*(G957*C957)),0))</f>
        <v>0</v>
      </c>
    </row>
    <row r="958" spans="2:10" ht="15" customHeight="1">
      <c r="B958" s="790" t="str">
        <f>IF(B957="PAL","",'General price list'!C978)</f>
        <v>EP03M</v>
      </c>
      <c r="C958" s="1" t="str">
        <f>IF(B958="PAL","",IFERROR(VLOOKUP(B958,'General price list'!C:BA,MATCH("PAL",'General price list'!$C$20:$BA$20,0),FALSE),""))</f>
        <v/>
      </c>
      <c r="D958" s="1">
        <f>IF(B958="PAL","",IFERROR(VLOOKUP(B958,'General price list'!C:BA,MATCH("OBJ",'General price list'!$C$20:$BA$20,0),FALSE),""))</f>
        <v>0</v>
      </c>
      <c r="E958" s="1">
        <f t="shared" si="86"/>
        <v>0</v>
      </c>
      <c r="F958" s="1">
        <f t="shared" si="87"/>
        <v>0</v>
      </c>
      <c r="G958" s="1">
        <f t="shared" si="88"/>
        <v>0</v>
      </c>
      <c r="H958" s="1">
        <f t="shared" si="89"/>
        <v>0</v>
      </c>
      <c r="I958" s="1">
        <f t="shared" si="90"/>
        <v>0</v>
      </c>
      <c r="J958">
        <f>IF(B958="PAL","",IFERROR(IF(C958="",VLOOKUP(B958,'General price list'!C:BA,MATCH("CBM",'General price list'!$C$20:$BA$20,0),FALSE)*D958,VLOOKUP(B958,'General price list'!C:BA,MATCH("CBM",'General price list'!$C$20:$BA$20,0),FALSE)*(G958*C958)),0))</f>
        <v>0</v>
      </c>
    </row>
    <row r="959" spans="2:10" ht="15" customHeight="1">
      <c r="B959" s="790" t="str">
        <f>IF(B958="PAL","",'General price list'!C979)</f>
        <v>EP1M</v>
      </c>
      <c r="C959" s="1" t="str">
        <f>IF(B959="PAL","",IFERROR(VLOOKUP(B959,'General price list'!C:BA,MATCH("PAL",'General price list'!$C$20:$BA$20,0),FALSE),""))</f>
        <v/>
      </c>
      <c r="D959" s="1">
        <f>IF(B959="PAL","",IFERROR(VLOOKUP(B959,'General price list'!C:BA,MATCH("OBJ",'General price list'!$C$20:$BA$20,0),FALSE),""))</f>
        <v>0</v>
      </c>
      <c r="E959" s="1">
        <f t="shared" si="86"/>
        <v>0</v>
      </c>
      <c r="F959" s="1">
        <f t="shared" si="87"/>
        <v>0</v>
      </c>
      <c r="G959" s="1">
        <f t="shared" si="88"/>
        <v>0</v>
      </c>
      <c r="H959" s="1">
        <f t="shared" si="89"/>
        <v>0</v>
      </c>
      <c r="I959" s="1">
        <f t="shared" si="90"/>
        <v>0</v>
      </c>
      <c r="J959">
        <f>IF(B959="PAL","",IFERROR(IF(C959="",VLOOKUP(B959,'General price list'!C:BA,MATCH("CBM",'General price list'!$C$20:$BA$20,0),FALSE)*D959,VLOOKUP(B959,'General price list'!C:BA,MATCH("CBM",'General price list'!$C$20:$BA$20,0),FALSE)*(G959*C959)),0))</f>
        <v>0</v>
      </c>
    </row>
    <row r="960" spans="2:10" ht="15" customHeight="1">
      <c r="B960" s="790" t="str">
        <f>IF(B959="PAL","",'General price list'!C980)</f>
        <v>EP2M</v>
      </c>
      <c r="C960" s="1" t="str">
        <f>IF(B960="PAL","",IFERROR(VLOOKUP(B960,'General price list'!C:BA,MATCH("PAL",'General price list'!$C$20:$BA$20,0),FALSE),""))</f>
        <v/>
      </c>
      <c r="D960" s="1">
        <f>IF(B960="PAL","",IFERROR(VLOOKUP(B960,'General price list'!C:BA,MATCH("OBJ",'General price list'!$C$20:$BA$20,0),FALSE),""))</f>
        <v>0</v>
      </c>
      <c r="E960" s="1">
        <f t="shared" si="86"/>
        <v>0</v>
      </c>
      <c r="F960" s="1">
        <f t="shared" si="87"/>
        <v>0</v>
      </c>
      <c r="G960" s="1">
        <f t="shared" si="88"/>
        <v>0</v>
      </c>
      <c r="H960" s="1">
        <f t="shared" si="89"/>
        <v>0</v>
      </c>
      <c r="I960" s="1">
        <f t="shared" si="90"/>
        <v>0</v>
      </c>
      <c r="J960">
        <f>IF(B960="PAL","",IFERROR(IF(C960="",VLOOKUP(B960,'General price list'!C:BA,MATCH("CBM",'General price list'!$C$20:$BA$20,0),FALSE)*D960,VLOOKUP(B960,'General price list'!C:BA,MATCH("CBM",'General price list'!$C$20:$BA$20,0),FALSE)*(G960*C960)),0))</f>
        <v>0</v>
      </c>
    </row>
    <row r="961" spans="2:10" ht="15" customHeight="1">
      <c r="B961" s="790" t="str">
        <f>IF(B960="PAL","",'General price list'!C981)</f>
        <v>EP3M</v>
      </c>
      <c r="C961" s="1" t="str">
        <f>IF(B961="PAL","",IFERROR(VLOOKUP(B961,'General price list'!C:BA,MATCH("PAL",'General price list'!$C$20:$BA$20,0),FALSE),""))</f>
        <v/>
      </c>
      <c r="D961" s="1">
        <f>IF(B961="PAL","",IFERROR(VLOOKUP(B961,'General price list'!C:BA,MATCH("OBJ",'General price list'!$C$20:$BA$20,0),FALSE),""))</f>
        <v>0</v>
      </c>
      <c r="E961" s="1">
        <f t="shared" si="86"/>
        <v>0</v>
      </c>
      <c r="F961" s="1">
        <f t="shared" si="87"/>
        <v>0</v>
      </c>
      <c r="G961" s="1">
        <f t="shared" si="88"/>
        <v>0</v>
      </c>
      <c r="H961" s="1">
        <f t="shared" si="89"/>
        <v>0</v>
      </c>
      <c r="I961" s="1">
        <f t="shared" si="90"/>
        <v>0</v>
      </c>
      <c r="J961">
        <f>IF(B961="PAL","",IFERROR(IF(C961="",VLOOKUP(B961,'General price list'!C:BA,MATCH("CBM",'General price list'!$C$20:$BA$20,0),FALSE)*D961,VLOOKUP(B961,'General price list'!C:BA,MATCH("CBM",'General price list'!$C$20:$BA$20,0),FALSE)*(G961*C961)),0))</f>
        <v>0</v>
      </c>
    </row>
    <row r="962" spans="2:10" ht="15" customHeight="1">
      <c r="B962" s="790" t="str">
        <f>IF(B961="PAL","",'General price list'!C982)</f>
        <v>EP5M</v>
      </c>
      <c r="C962" s="1" t="str">
        <f>IF(B962="PAL","",IFERROR(VLOOKUP(B962,'General price list'!C:BA,MATCH("PAL",'General price list'!$C$20:$BA$20,0),FALSE),""))</f>
        <v/>
      </c>
      <c r="D962" s="1">
        <f>IF(B962="PAL","",IFERROR(VLOOKUP(B962,'General price list'!C:BA,MATCH("OBJ",'General price list'!$C$20:$BA$20,0),FALSE),""))</f>
        <v>0</v>
      </c>
      <c r="E962" s="1">
        <f t="shared" si="86"/>
        <v>0</v>
      </c>
      <c r="F962" s="1">
        <f t="shared" si="87"/>
        <v>0</v>
      </c>
      <c r="G962" s="1">
        <f t="shared" si="88"/>
        <v>0</v>
      </c>
      <c r="H962" s="1">
        <f t="shared" si="89"/>
        <v>0</v>
      </c>
      <c r="I962" s="1">
        <f t="shared" si="90"/>
        <v>0</v>
      </c>
      <c r="J962">
        <f>IF(B962="PAL","",IFERROR(IF(C962="",VLOOKUP(B962,'General price list'!C:BA,MATCH("CBM",'General price list'!$C$20:$BA$20,0),FALSE)*D962,VLOOKUP(B962,'General price list'!C:BA,MATCH("CBM",'General price list'!$C$20:$BA$20,0),FALSE)*(G962*C962)),0))</f>
        <v>0</v>
      </c>
    </row>
    <row r="963" spans="2:10" ht="15" customHeight="1">
      <c r="B963" s="790" t="str">
        <f>IF(B962="PAL","",'General price list'!C983)</f>
        <v>PAL</v>
      </c>
      <c r="C963" s="1" t="str">
        <f>IF(B963="PAL","",IFERROR(VLOOKUP(B963,'General price list'!C:BA,MATCH("PAL",'General price list'!$C$20:$BA$20,0),FALSE),""))</f>
        <v/>
      </c>
      <c r="D963" s="1" t="str">
        <f>IF(B963="PAL","",IFERROR(VLOOKUP(B963,'General price list'!C:BA,MATCH("OBJ",'General price list'!$C$20:$BA$20,0),FALSE),""))</f>
        <v/>
      </c>
      <c r="E963" s="1" t="str">
        <f t="shared" si="86"/>
        <v/>
      </c>
      <c r="F963" s="1" t="str">
        <f t="shared" si="87"/>
        <v/>
      </c>
      <c r="G963" s="1" t="str">
        <f t="shared" si="88"/>
        <v/>
      </c>
      <c r="H963" s="1" t="str">
        <f t="shared" si="89"/>
        <v/>
      </c>
      <c r="I963" s="1" t="str">
        <f t="shared" si="90"/>
        <v/>
      </c>
      <c r="J963" t="str">
        <f>IF(B963="PAL","",IFERROR(IF(C963="",VLOOKUP(B963,'General price list'!C:BA,MATCH("CBM",'General price list'!$C$20:$BA$20,0),FALSE)*D963,VLOOKUP(B963,'General price list'!C:BA,MATCH("CBM",'General price list'!$C$20:$BA$20,0),FALSE)*(G963*C963)),0))</f>
        <v/>
      </c>
    </row>
    <row r="964" spans="2:10" ht="15" customHeight="1">
      <c r="B964" s="790" t="str">
        <f>IF(B963="PAL","",'General price list'!C984)</f>
        <v/>
      </c>
      <c r="C964" s="1" t="str">
        <f>IF(B964="PAL","",IFERROR(VLOOKUP(B964,'General price list'!C:BA,MATCH("PAL",'General price list'!$C$20:$BA$20,0),FALSE),""))</f>
        <v/>
      </c>
      <c r="D964" s="1" t="str">
        <f>IF(B964="PAL","",IFERROR(VLOOKUP(B964,'General price list'!C:BA,MATCH("OBJ",'General price list'!$C$20:$BA$20,0),FALSE),""))</f>
        <v/>
      </c>
      <c r="E964" s="1">
        <f t="shared" si="86"/>
        <v>0</v>
      </c>
      <c r="F964" s="1">
        <f t="shared" si="87"/>
        <v>0</v>
      </c>
      <c r="G964" s="1">
        <f t="shared" si="88"/>
        <v>0</v>
      </c>
      <c r="H964" s="1">
        <f t="shared" si="89"/>
        <v>0</v>
      </c>
      <c r="I964" s="1">
        <f t="shared" si="90"/>
        <v>0</v>
      </c>
      <c r="J964">
        <f>IF(B964="PAL","",IFERROR(IF(C964="",VLOOKUP(B964,'General price list'!C:BA,MATCH("CBM",'General price list'!$C$20:$BA$20,0),FALSE)*D964,VLOOKUP(B964,'General price list'!C:BA,MATCH("CBM",'General price list'!$C$20:$BA$20,0),FALSE)*(G964*C964)),0))</f>
        <v>0</v>
      </c>
    </row>
    <row r="965" spans="2:10" ht="15" customHeight="1">
      <c r="B965" s="790" t="str">
        <f>IF(B964="PAL","",'General price list'!C985)</f>
        <v>×</v>
      </c>
      <c r="C965" s="1" t="str">
        <f>IF(B965="PAL","",IFERROR(VLOOKUP(B965,'General price list'!C:BA,MATCH("PAL",'General price list'!$C$20:$BA$20,0),FALSE),""))</f>
        <v/>
      </c>
      <c r="D965" s="1">
        <f>IF(B965="PAL","",IFERROR(VLOOKUP(B965,'General price list'!C:BA,MATCH("OBJ",'General price list'!$C$20:$BA$20,0),FALSE),""))</f>
        <v>0</v>
      </c>
      <c r="E965" s="1">
        <f t="shared" si="86"/>
        <v>0</v>
      </c>
      <c r="F965" s="1">
        <f t="shared" si="87"/>
        <v>0</v>
      </c>
      <c r="G965" s="1">
        <f t="shared" si="88"/>
        <v>0</v>
      </c>
      <c r="H965" s="1">
        <f t="shared" si="89"/>
        <v>0</v>
      </c>
      <c r="I965" s="1">
        <f t="shared" si="90"/>
        <v>0</v>
      </c>
      <c r="J965">
        <f>IF(B965="PAL","",IFERROR(IF(C965="",VLOOKUP(B965,'General price list'!C:BA,MATCH("CBM",'General price list'!$C$20:$BA$20,0),FALSE)*D965,VLOOKUP(B965,'General price list'!C:BA,MATCH("CBM",'General price list'!$C$20:$BA$20,0),FALSE)*(G965*C965)),0))</f>
        <v>0</v>
      </c>
    </row>
    <row r="966" spans="2:10" ht="15" customHeight="1">
      <c r="B966" s="790">
        <f>IF(B965="PAL","",'General price list'!C986)</f>
        <v>0</v>
      </c>
      <c r="C966" s="1" t="str">
        <f>IF(B966="PAL","",IFERROR(VLOOKUP(B966,'General price list'!C:BA,MATCH("PAL",'General price list'!$C$20:$BA$20,0),FALSE),""))</f>
        <v/>
      </c>
      <c r="D966" s="1" t="str">
        <f>IF(B966="PAL","",IFERROR(VLOOKUP(B966,'General price list'!C:BA,MATCH("OBJ",'General price list'!$C$20:$BA$20,0),FALSE),""))</f>
        <v/>
      </c>
      <c r="E966" s="1">
        <f t="shared" si="86"/>
        <v>0</v>
      </c>
      <c r="F966" s="1">
        <f t="shared" si="87"/>
        <v>0</v>
      </c>
      <c r="G966" s="1">
        <f t="shared" si="88"/>
        <v>0</v>
      </c>
      <c r="H966" s="1">
        <f t="shared" si="89"/>
        <v>0</v>
      </c>
      <c r="I966" s="1">
        <f t="shared" si="90"/>
        <v>0</v>
      </c>
      <c r="J966">
        <f>IF(B966="PAL","",IFERROR(IF(C966="",VLOOKUP(B966,'General price list'!C:BA,MATCH("CBM",'General price list'!$C$20:$BA$20,0),FALSE)*D966,VLOOKUP(B966,'General price list'!C:BA,MATCH("CBM",'General price list'!$C$20:$BA$20,0),FALSE)*(G966*C966)),0))</f>
        <v>0</v>
      </c>
    </row>
    <row r="967" spans="2:10" ht="15" customHeight="1">
      <c r="B967" s="790">
        <f>IF(B966="PAL","",'General price list'!C987)</f>
        <v>0</v>
      </c>
      <c r="C967" s="1" t="str">
        <f>IF(B967="PAL","",IFERROR(VLOOKUP(B967,'General price list'!C:BA,MATCH("PAL",'General price list'!$C$20:$BA$20,0),FALSE),""))</f>
        <v/>
      </c>
      <c r="D967" s="1" t="str">
        <f>IF(B967="PAL","",IFERROR(VLOOKUP(B967,'General price list'!C:BA,MATCH("OBJ",'General price list'!$C$20:$BA$20,0),FALSE),""))</f>
        <v/>
      </c>
      <c r="E967" s="1">
        <f t="shared" si="86"/>
        <v>0</v>
      </c>
      <c r="F967" s="1">
        <f t="shared" si="87"/>
        <v>0</v>
      </c>
      <c r="G967" s="1">
        <f t="shared" si="88"/>
        <v>0</v>
      </c>
      <c r="H967" s="1">
        <f t="shared" si="89"/>
        <v>0</v>
      </c>
      <c r="I967" s="1">
        <f t="shared" si="90"/>
        <v>0</v>
      </c>
      <c r="J967">
        <f>IF(B967="PAL","",IFERROR(IF(C967="",VLOOKUP(B967,'General price list'!C:BA,MATCH("CBM",'General price list'!$C$20:$BA$20,0),FALSE)*D967,VLOOKUP(B967,'General price list'!C:BA,MATCH("CBM",'General price list'!$C$20:$BA$20,0),FALSE)*(G967*C967)),0))</f>
        <v>0</v>
      </c>
    </row>
    <row r="968" spans="2:10" ht="15" customHeight="1">
      <c r="B968" s="790">
        <f>IF(B967="PAL","",'General price list'!C988)</f>
        <v>0</v>
      </c>
      <c r="C968" s="1" t="str">
        <f>IF(B968="PAL","",IFERROR(VLOOKUP(B968,'General price list'!C:BA,MATCH("PAL",'General price list'!$C$20:$BA$20,0),FALSE),""))</f>
        <v/>
      </c>
      <c r="D968" s="1" t="str">
        <f>IF(B968="PAL","",IFERROR(VLOOKUP(B968,'General price list'!C:BA,MATCH("OBJ",'General price list'!$C$20:$BA$20,0),FALSE),""))</f>
        <v/>
      </c>
      <c r="E968" s="1">
        <f t="shared" si="86"/>
        <v>0</v>
      </c>
      <c r="F968" s="1">
        <f t="shared" si="87"/>
        <v>0</v>
      </c>
      <c r="G968" s="1">
        <f t="shared" si="88"/>
        <v>0</v>
      </c>
      <c r="H968" s="1">
        <f t="shared" si="89"/>
        <v>0</v>
      </c>
      <c r="I968" s="1">
        <f t="shared" si="90"/>
        <v>0</v>
      </c>
      <c r="J968">
        <f>IF(B968="PAL","",IFERROR(IF(C968="",VLOOKUP(B968,'General price list'!C:BA,MATCH("CBM",'General price list'!$C$20:$BA$20,0),FALSE)*D968,VLOOKUP(B968,'General price list'!C:BA,MATCH("CBM",'General price list'!$C$20:$BA$20,0),FALSE)*(G968*C968)),0))</f>
        <v>0</v>
      </c>
    </row>
    <row r="969" spans="2:10" ht="15" customHeight="1">
      <c r="B969" s="790">
        <f>IF(B968="PAL","",'General price list'!C989)</f>
        <v>0</v>
      </c>
      <c r="C969" s="1" t="str">
        <f>IF(B969="PAL","",IFERROR(VLOOKUP(B969,'General price list'!C:BA,MATCH("PAL",'General price list'!$C$20:$BA$20,0),FALSE),""))</f>
        <v/>
      </c>
      <c r="D969" s="1" t="str">
        <f>IF(B969="PAL","",IFERROR(VLOOKUP(B969,'General price list'!C:BA,MATCH("OBJ",'General price list'!$C$20:$BA$20,0),FALSE),""))</f>
        <v/>
      </c>
      <c r="E969" s="1">
        <f t="shared" si="86"/>
        <v>0</v>
      </c>
      <c r="F969" s="1">
        <f t="shared" si="87"/>
        <v>0</v>
      </c>
      <c r="G969" s="1">
        <f t="shared" si="88"/>
        <v>0</v>
      </c>
      <c r="H969" s="1">
        <f t="shared" si="89"/>
        <v>0</v>
      </c>
      <c r="I969" s="1">
        <f t="shared" si="90"/>
        <v>0</v>
      </c>
      <c r="J969">
        <f>IF(B969="PAL","",IFERROR(IF(C969="",VLOOKUP(B969,'General price list'!C:BA,MATCH("CBM",'General price list'!$C$20:$BA$20,0),FALSE)*D969,VLOOKUP(B969,'General price list'!C:BA,MATCH("CBM",'General price list'!$C$20:$BA$20,0),FALSE)*(G969*C969)),0))</f>
        <v>0</v>
      </c>
    </row>
    <row r="970" spans="2:10" ht="15" customHeight="1">
      <c r="B970" s="790">
        <f>IF(B969="PAL","",'General price list'!C990)</f>
        <v>0</v>
      </c>
      <c r="C970" s="1" t="str">
        <f>IF(B970="PAL","",IFERROR(VLOOKUP(B970,'General price list'!C:BA,MATCH("PAL",'General price list'!$C$20:$BA$20,0),FALSE),""))</f>
        <v/>
      </c>
      <c r="D970" s="1" t="str">
        <f>IF(B970="PAL","",IFERROR(VLOOKUP(B970,'General price list'!C:BA,MATCH("OBJ",'General price list'!$C$20:$BA$20,0),FALSE),""))</f>
        <v/>
      </c>
      <c r="E970" s="1">
        <f t="shared" si="86"/>
        <v>0</v>
      </c>
      <c r="F970" s="1">
        <f t="shared" si="87"/>
        <v>0</v>
      </c>
      <c r="G970" s="1">
        <f t="shared" si="88"/>
        <v>0</v>
      </c>
      <c r="H970" s="1">
        <f t="shared" si="89"/>
        <v>0</v>
      </c>
      <c r="I970" s="1">
        <f t="shared" si="90"/>
        <v>0</v>
      </c>
      <c r="J970">
        <f>IF(B970="PAL","",IFERROR(IF(C970="",VLOOKUP(B970,'General price list'!C:BA,MATCH("CBM",'General price list'!$C$20:$BA$20,0),FALSE)*D970,VLOOKUP(B970,'General price list'!C:BA,MATCH("CBM",'General price list'!$C$20:$BA$20,0),FALSE)*(G970*C970)),0))</f>
        <v>0</v>
      </c>
    </row>
    <row r="971" spans="2:10" ht="15" customHeight="1">
      <c r="B971" s="790">
        <f>IF(B970="PAL","",'General price list'!C991)</f>
        <v>0</v>
      </c>
      <c r="C971" s="1" t="str">
        <f>IF(B971="PAL","",IFERROR(VLOOKUP(B971,'General price list'!C:BA,MATCH("PAL",'General price list'!$C$20:$BA$20,0),FALSE),""))</f>
        <v/>
      </c>
      <c r="D971" s="1" t="str">
        <f>IF(B971="PAL","",IFERROR(VLOOKUP(B971,'General price list'!C:BA,MATCH("OBJ",'General price list'!$C$20:$BA$20,0),FALSE),""))</f>
        <v/>
      </c>
      <c r="E971" s="1">
        <f t="shared" si="86"/>
        <v>0</v>
      </c>
      <c r="F971" s="1">
        <f t="shared" si="87"/>
        <v>0</v>
      </c>
      <c r="G971" s="1">
        <f t="shared" si="88"/>
        <v>0</v>
      </c>
      <c r="H971" s="1">
        <f t="shared" si="89"/>
        <v>0</v>
      </c>
      <c r="I971" s="1">
        <f t="shared" si="90"/>
        <v>0</v>
      </c>
      <c r="J971">
        <f>IF(B971="PAL","",IFERROR(IF(C971="",VLOOKUP(B971,'General price list'!C:BA,MATCH("CBM",'General price list'!$C$20:$BA$20,0),FALSE)*D971,VLOOKUP(B971,'General price list'!C:BA,MATCH("CBM",'General price list'!$C$20:$BA$20,0),FALSE)*(G971*C971)),0))</f>
        <v>0</v>
      </c>
    </row>
    <row r="972" spans="2:10" ht="15" customHeight="1">
      <c r="B972" s="790">
        <f>IF(B971="PAL","",'General price list'!C992)</f>
        <v>0</v>
      </c>
      <c r="C972" s="1" t="str">
        <f>IF(B972="PAL","",IFERROR(VLOOKUP(B972,'General price list'!C:BA,MATCH("PAL",'General price list'!$C$20:$BA$20,0),FALSE),""))</f>
        <v/>
      </c>
      <c r="D972" s="1" t="str">
        <f>IF(B972="PAL","",IFERROR(VLOOKUP(B972,'General price list'!C:BA,MATCH("OBJ",'General price list'!$C$20:$BA$20,0),FALSE),""))</f>
        <v/>
      </c>
      <c r="E972" s="1">
        <f t="shared" ref="E972:E1035" si="91">IF(B972="PAL","",IFERROR(D972/C972,0))</f>
        <v>0</v>
      </c>
      <c r="F972" s="1">
        <f t="shared" ref="F972:F1035" si="92">IF(B972="PAL","",IFERROR(FLOOR(IF(E972-1&lt;0,0,E972),1),0))</f>
        <v>0</v>
      </c>
      <c r="G972" s="1">
        <f t="shared" ref="G972:G1035" si="93">IF(B972="PAL","",IFERROR(IF(H972&gt;E972,F972-E972,E972-F972),0))</f>
        <v>0</v>
      </c>
      <c r="H972" s="1">
        <f t="shared" ref="H972:H1035" si="94">IF(B972="PAL","",IFERROR(IF(E972=0,0,F972),0))</f>
        <v>0</v>
      </c>
      <c r="I972" s="1">
        <f t="shared" ref="I972:I1035" si="95">IF(B972="PAL","",IFERROR(IF(D972=0,0,IF(F972=0,(D972*nextVK)+(prvniVK-nextVK),(G972*C972*nextVK)+(F972*PALzKoje))),0))</f>
        <v>0</v>
      </c>
      <c r="J972">
        <f>IF(B972="PAL","",IFERROR(IF(C972="",VLOOKUP(B972,'General price list'!C:BA,MATCH("CBM",'General price list'!$C$20:$BA$20,0),FALSE)*D972,VLOOKUP(B972,'General price list'!C:BA,MATCH("CBM",'General price list'!$C$20:$BA$20,0),FALSE)*(G972*C972)),0))</f>
        <v>0</v>
      </c>
    </row>
    <row r="973" spans="2:10" ht="15" customHeight="1">
      <c r="B973" s="790">
        <f>IF(B972="PAL","",'General price list'!C993)</f>
        <v>0</v>
      </c>
      <c r="C973" s="1" t="str">
        <f>IF(B973="PAL","",IFERROR(VLOOKUP(B973,'General price list'!C:BA,MATCH("PAL",'General price list'!$C$20:$BA$20,0),FALSE),""))</f>
        <v/>
      </c>
      <c r="D973" s="1" t="str">
        <f>IF(B973="PAL","",IFERROR(VLOOKUP(B973,'General price list'!C:BA,MATCH("OBJ",'General price list'!$C$20:$BA$20,0),FALSE),""))</f>
        <v/>
      </c>
      <c r="E973" s="1">
        <f t="shared" si="91"/>
        <v>0</v>
      </c>
      <c r="F973" s="1">
        <f t="shared" si="92"/>
        <v>0</v>
      </c>
      <c r="G973" s="1">
        <f t="shared" si="93"/>
        <v>0</v>
      </c>
      <c r="H973" s="1">
        <f t="shared" si="94"/>
        <v>0</v>
      </c>
      <c r="I973" s="1">
        <f t="shared" si="95"/>
        <v>0</v>
      </c>
      <c r="J973">
        <f>IF(B973="PAL","",IFERROR(IF(C973="",VLOOKUP(B973,'General price list'!C:BA,MATCH("CBM",'General price list'!$C$20:$BA$20,0),FALSE)*D973,VLOOKUP(B973,'General price list'!C:BA,MATCH("CBM",'General price list'!$C$20:$BA$20,0),FALSE)*(G973*C973)),0))</f>
        <v>0</v>
      </c>
    </row>
    <row r="974" spans="2:10" ht="15" customHeight="1">
      <c r="B974" s="790">
        <f>IF(B973="PAL","",'General price list'!C994)</f>
        <v>0</v>
      </c>
      <c r="C974" s="1" t="str">
        <f>IF(B974="PAL","",IFERROR(VLOOKUP(B974,'General price list'!C:BA,MATCH("PAL",'General price list'!$C$20:$BA$20,0),FALSE),""))</f>
        <v/>
      </c>
      <c r="D974" s="1" t="str">
        <f>IF(B974="PAL","",IFERROR(VLOOKUP(B974,'General price list'!C:BA,MATCH("OBJ",'General price list'!$C$20:$BA$20,0),FALSE),""))</f>
        <v/>
      </c>
      <c r="E974" s="1">
        <f t="shared" si="91"/>
        <v>0</v>
      </c>
      <c r="F974" s="1">
        <f t="shared" si="92"/>
        <v>0</v>
      </c>
      <c r="G974" s="1">
        <f t="shared" si="93"/>
        <v>0</v>
      </c>
      <c r="H974" s="1">
        <f t="shared" si="94"/>
        <v>0</v>
      </c>
      <c r="I974" s="1">
        <f t="shared" si="95"/>
        <v>0</v>
      </c>
      <c r="J974">
        <f>IF(B974="PAL","",IFERROR(IF(C974="",VLOOKUP(B974,'General price list'!C:BA,MATCH("CBM",'General price list'!$C$20:$BA$20,0),FALSE)*D974,VLOOKUP(B974,'General price list'!C:BA,MATCH("CBM",'General price list'!$C$20:$BA$20,0),FALSE)*(G974*C974)),0))</f>
        <v>0</v>
      </c>
    </row>
    <row r="975" spans="2:10" ht="15" customHeight="1">
      <c r="B975" s="790">
        <f>IF(B974="PAL","",'General price list'!C995)</f>
        <v>0</v>
      </c>
      <c r="C975" s="1" t="str">
        <f>IF(B975="PAL","",IFERROR(VLOOKUP(B975,'General price list'!C:BA,MATCH("PAL",'General price list'!$C$20:$BA$20,0),FALSE),""))</f>
        <v/>
      </c>
      <c r="D975" s="1" t="str">
        <f>IF(B975="PAL","",IFERROR(VLOOKUP(B975,'General price list'!C:BA,MATCH("OBJ",'General price list'!$C$20:$BA$20,0),FALSE),""))</f>
        <v/>
      </c>
      <c r="E975" s="1">
        <f t="shared" si="91"/>
        <v>0</v>
      </c>
      <c r="F975" s="1">
        <f t="shared" si="92"/>
        <v>0</v>
      </c>
      <c r="G975" s="1">
        <f t="shared" si="93"/>
        <v>0</v>
      </c>
      <c r="H975" s="1">
        <f t="shared" si="94"/>
        <v>0</v>
      </c>
      <c r="I975" s="1">
        <f t="shared" si="95"/>
        <v>0</v>
      </c>
      <c r="J975">
        <f>IF(B975="PAL","",IFERROR(IF(C975="",VLOOKUP(B975,'General price list'!C:BA,MATCH("CBM",'General price list'!$C$20:$BA$20,0),FALSE)*D975,VLOOKUP(B975,'General price list'!C:BA,MATCH("CBM",'General price list'!$C$20:$BA$20,0),FALSE)*(G975*C975)),0))</f>
        <v>0</v>
      </c>
    </row>
    <row r="976" spans="2:10" ht="15" customHeight="1">
      <c r="B976" s="790">
        <f>IF(B975="PAL","",'General price list'!C996)</f>
        <v>0</v>
      </c>
      <c r="C976" s="1" t="str">
        <f>IF(B976="PAL","",IFERROR(VLOOKUP(B976,'General price list'!C:BA,MATCH("PAL",'General price list'!$C$20:$BA$20,0),FALSE),""))</f>
        <v/>
      </c>
      <c r="D976" s="1" t="str">
        <f>IF(B976="PAL","",IFERROR(VLOOKUP(B976,'General price list'!C:BA,MATCH("OBJ",'General price list'!$C$20:$BA$20,0),FALSE),""))</f>
        <v/>
      </c>
      <c r="E976" s="1">
        <f t="shared" si="91"/>
        <v>0</v>
      </c>
      <c r="F976" s="1">
        <f t="shared" si="92"/>
        <v>0</v>
      </c>
      <c r="G976" s="1">
        <f t="shared" si="93"/>
        <v>0</v>
      </c>
      <c r="H976" s="1">
        <f t="shared" si="94"/>
        <v>0</v>
      </c>
      <c r="I976" s="1">
        <f t="shared" si="95"/>
        <v>0</v>
      </c>
      <c r="J976">
        <f>IF(B976="PAL","",IFERROR(IF(C976="",VLOOKUP(B976,'General price list'!C:BA,MATCH("CBM",'General price list'!$C$20:$BA$20,0),FALSE)*D976,VLOOKUP(B976,'General price list'!C:BA,MATCH("CBM",'General price list'!$C$20:$BA$20,0),FALSE)*(G976*C976)),0))</f>
        <v>0</v>
      </c>
    </row>
    <row r="977" spans="2:10" ht="15" customHeight="1">
      <c r="B977" s="790">
        <f>IF(B976="PAL","",'General price list'!C997)</f>
        <v>0</v>
      </c>
      <c r="C977" s="1" t="str">
        <f>IF(B977="PAL","",IFERROR(VLOOKUP(B977,'General price list'!C:BA,MATCH("PAL",'General price list'!$C$20:$BA$20,0),FALSE),""))</f>
        <v/>
      </c>
      <c r="D977" s="1" t="str">
        <f>IF(B977="PAL","",IFERROR(VLOOKUP(B977,'General price list'!C:BA,MATCH("OBJ",'General price list'!$C$20:$BA$20,0),FALSE),""))</f>
        <v/>
      </c>
      <c r="E977" s="1">
        <f t="shared" si="91"/>
        <v>0</v>
      </c>
      <c r="F977" s="1">
        <f t="shared" si="92"/>
        <v>0</v>
      </c>
      <c r="G977" s="1">
        <f t="shared" si="93"/>
        <v>0</v>
      </c>
      <c r="H977" s="1">
        <f t="shared" si="94"/>
        <v>0</v>
      </c>
      <c r="I977" s="1">
        <f t="shared" si="95"/>
        <v>0</v>
      </c>
      <c r="J977">
        <f>IF(B977="PAL","",IFERROR(IF(C977="",VLOOKUP(B977,'General price list'!C:BA,MATCH("CBM",'General price list'!$C$20:$BA$20,0),FALSE)*D977,VLOOKUP(B977,'General price list'!C:BA,MATCH("CBM",'General price list'!$C$20:$BA$20,0),FALSE)*(G977*C977)),0))</f>
        <v>0</v>
      </c>
    </row>
    <row r="978" spans="2:10" ht="15" customHeight="1">
      <c r="B978" s="790">
        <f>IF(B977="PAL","",'General price list'!C998)</f>
        <v>0</v>
      </c>
      <c r="C978" s="1" t="str">
        <f>IF(B978="PAL","",IFERROR(VLOOKUP(B978,'General price list'!C:BA,MATCH("PAL",'General price list'!$C$20:$BA$20,0),FALSE),""))</f>
        <v/>
      </c>
      <c r="D978" s="1" t="str">
        <f>IF(B978="PAL","",IFERROR(VLOOKUP(B978,'General price list'!C:BA,MATCH("OBJ",'General price list'!$C$20:$BA$20,0),FALSE),""))</f>
        <v/>
      </c>
      <c r="E978" s="1">
        <f t="shared" si="91"/>
        <v>0</v>
      </c>
      <c r="F978" s="1">
        <f t="shared" si="92"/>
        <v>0</v>
      </c>
      <c r="G978" s="1">
        <f t="shared" si="93"/>
        <v>0</v>
      </c>
      <c r="H978" s="1">
        <f t="shared" si="94"/>
        <v>0</v>
      </c>
      <c r="I978" s="1">
        <f t="shared" si="95"/>
        <v>0</v>
      </c>
      <c r="J978">
        <f>IF(B978="PAL","",IFERROR(IF(C978="",VLOOKUP(B978,'General price list'!C:BA,MATCH("CBM",'General price list'!$C$20:$BA$20,0),FALSE)*D978,VLOOKUP(B978,'General price list'!C:BA,MATCH("CBM",'General price list'!$C$20:$BA$20,0),FALSE)*(G978*C978)),0))</f>
        <v>0</v>
      </c>
    </row>
    <row r="979" spans="2:10" ht="15" customHeight="1">
      <c r="B979" s="790">
        <f>IF(B978="PAL","",'General price list'!C999)</f>
        <v>0</v>
      </c>
      <c r="C979" s="1" t="str">
        <f>IF(B979="PAL","",IFERROR(VLOOKUP(B979,'General price list'!C:BA,MATCH("PAL",'General price list'!$C$20:$BA$20,0),FALSE),""))</f>
        <v/>
      </c>
      <c r="D979" s="1" t="str">
        <f>IF(B979="PAL","",IFERROR(VLOOKUP(B979,'General price list'!C:BA,MATCH("OBJ",'General price list'!$C$20:$BA$20,0),FALSE),""))</f>
        <v/>
      </c>
      <c r="E979" s="1">
        <f t="shared" si="91"/>
        <v>0</v>
      </c>
      <c r="F979" s="1">
        <f t="shared" si="92"/>
        <v>0</v>
      </c>
      <c r="G979" s="1">
        <f t="shared" si="93"/>
        <v>0</v>
      </c>
      <c r="H979" s="1">
        <f t="shared" si="94"/>
        <v>0</v>
      </c>
      <c r="I979" s="1">
        <f t="shared" si="95"/>
        <v>0</v>
      </c>
      <c r="J979">
        <f>IF(B979="PAL","",IFERROR(IF(C979="",VLOOKUP(B979,'General price list'!C:BA,MATCH("CBM",'General price list'!$C$20:$BA$20,0),FALSE)*D979,VLOOKUP(B979,'General price list'!C:BA,MATCH("CBM",'General price list'!$C$20:$BA$20,0),FALSE)*(G979*C979)),0))</f>
        <v>0</v>
      </c>
    </row>
    <row r="980" spans="2:10" ht="15" customHeight="1">
      <c r="B980" s="790">
        <f>IF(B979="PAL","",'General price list'!C1000)</f>
        <v>0</v>
      </c>
      <c r="C980" s="1" t="str">
        <f>IF(B980="PAL","",IFERROR(VLOOKUP(B980,'General price list'!C:BA,MATCH("PAL",'General price list'!$C$20:$BA$20,0),FALSE),""))</f>
        <v/>
      </c>
      <c r="D980" s="1" t="str">
        <f>IF(B980="PAL","",IFERROR(VLOOKUP(B980,'General price list'!C:BA,MATCH("OBJ",'General price list'!$C$20:$BA$20,0),FALSE),""))</f>
        <v/>
      </c>
      <c r="E980" s="1">
        <f t="shared" si="91"/>
        <v>0</v>
      </c>
      <c r="F980" s="1">
        <f t="shared" si="92"/>
        <v>0</v>
      </c>
      <c r="G980" s="1">
        <f t="shared" si="93"/>
        <v>0</v>
      </c>
      <c r="H980" s="1">
        <f t="shared" si="94"/>
        <v>0</v>
      </c>
      <c r="I980" s="1">
        <f t="shared" si="95"/>
        <v>0</v>
      </c>
      <c r="J980">
        <f>IF(B980="PAL","",IFERROR(IF(C980="",VLOOKUP(B980,'General price list'!C:BA,MATCH("CBM",'General price list'!$C$20:$BA$20,0),FALSE)*D980,VLOOKUP(B980,'General price list'!C:BA,MATCH("CBM",'General price list'!$C$20:$BA$20,0),FALSE)*(G980*C980)),0))</f>
        <v>0</v>
      </c>
    </row>
    <row r="981" spans="2:10" ht="15" customHeight="1">
      <c r="B981" s="790">
        <f>IF(B980="PAL","",'General price list'!C1001)</f>
        <v>0</v>
      </c>
      <c r="C981" s="1" t="str">
        <f>IF(B981="PAL","",IFERROR(VLOOKUP(B981,'General price list'!C:BA,MATCH("PAL",'General price list'!$C$20:$BA$20,0),FALSE),""))</f>
        <v/>
      </c>
      <c r="D981" s="1" t="str">
        <f>IF(B981="PAL","",IFERROR(VLOOKUP(B981,'General price list'!C:BA,MATCH("OBJ",'General price list'!$C$20:$BA$20,0),FALSE),""))</f>
        <v/>
      </c>
      <c r="E981" s="1">
        <f t="shared" si="91"/>
        <v>0</v>
      </c>
      <c r="F981" s="1">
        <f t="shared" si="92"/>
        <v>0</v>
      </c>
      <c r="G981" s="1">
        <f t="shared" si="93"/>
        <v>0</v>
      </c>
      <c r="H981" s="1">
        <f t="shared" si="94"/>
        <v>0</v>
      </c>
      <c r="I981" s="1">
        <f t="shared" si="95"/>
        <v>0</v>
      </c>
      <c r="J981">
        <f>IF(B981="PAL","",IFERROR(IF(C981="",VLOOKUP(B981,'General price list'!C:BA,MATCH("CBM",'General price list'!$C$20:$BA$20,0),FALSE)*D981,VLOOKUP(B981,'General price list'!C:BA,MATCH("CBM",'General price list'!$C$20:$BA$20,0),FALSE)*(G981*C981)),0))</f>
        <v>0</v>
      </c>
    </row>
    <row r="982" spans="2:10" ht="15" customHeight="1">
      <c r="B982" s="790">
        <f>IF(B981="PAL","",'General price list'!C1002)</f>
        <v>0</v>
      </c>
      <c r="C982" s="1" t="str">
        <f>IF(B982="PAL","",IFERROR(VLOOKUP(B982,'General price list'!C:BA,MATCH("PAL",'General price list'!$C$20:$BA$20,0),FALSE),""))</f>
        <v/>
      </c>
      <c r="D982" s="1" t="str">
        <f>IF(B982="PAL","",IFERROR(VLOOKUP(B982,'General price list'!C:BA,MATCH("OBJ",'General price list'!$C$20:$BA$20,0),FALSE),""))</f>
        <v/>
      </c>
      <c r="E982" s="1">
        <f t="shared" si="91"/>
        <v>0</v>
      </c>
      <c r="F982" s="1">
        <f t="shared" si="92"/>
        <v>0</v>
      </c>
      <c r="G982" s="1">
        <f t="shared" si="93"/>
        <v>0</v>
      </c>
      <c r="H982" s="1">
        <f t="shared" si="94"/>
        <v>0</v>
      </c>
      <c r="I982" s="1">
        <f t="shared" si="95"/>
        <v>0</v>
      </c>
      <c r="J982">
        <f>IF(B982="PAL","",IFERROR(IF(C982="",VLOOKUP(B982,'General price list'!C:BA,MATCH("CBM",'General price list'!$C$20:$BA$20,0),FALSE)*D982,VLOOKUP(B982,'General price list'!C:BA,MATCH("CBM",'General price list'!$C$20:$BA$20,0),FALSE)*(G982*C982)),0))</f>
        <v>0</v>
      </c>
    </row>
    <row r="983" spans="2:10" ht="15" customHeight="1">
      <c r="B983" s="790">
        <f>IF(B982="PAL","",'General price list'!C1003)</f>
        <v>0</v>
      </c>
      <c r="C983" s="1" t="str">
        <f>IF(B983="PAL","",IFERROR(VLOOKUP(B983,'General price list'!C:BA,MATCH("PAL",'General price list'!$C$20:$BA$20,0),FALSE),""))</f>
        <v/>
      </c>
      <c r="D983" s="1" t="str">
        <f>IF(B983="PAL","",IFERROR(VLOOKUP(B983,'General price list'!C:BA,MATCH("OBJ",'General price list'!$C$20:$BA$20,0),FALSE),""))</f>
        <v/>
      </c>
      <c r="E983" s="1">
        <f t="shared" si="91"/>
        <v>0</v>
      </c>
      <c r="F983" s="1">
        <f t="shared" si="92"/>
        <v>0</v>
      </c>
      <c r="G983" s="1">
        <f t="shared" si="93"/>
        <v>0</v>
      </c>
      <c r="H983" s="1">
        <f t="shared" si="94"/>
        <v>0</v>
      </c>
      <c r="I983" s="1">
        <f t="shared" si="95"/>
        <v>0</v>
      </c>
      <c r="J983">
        <f>IF(B983="PAL","",IFERROR(IF(C983="",VLOOKUP(B983,'General price list'!C:BA,MATCH("CBM",'General price list'!$C$20:$BA$20,0),FALSE)*D983,VLOOKUP(B983,'General price list'!C:BA,MATCH("CBM",'General price list'!$C$20:$BA$20,0),FALSE)*(G983*C983)),0))</f>
        <v>0</v>
      </c>
    </row>
    <row r="984" spans="2:10" ht="15" customHeight="1">
      <c r="B984" s="790">
        <f>IF(B983="PAL","",'General price list'!C1004)</f>
        <v>0</v>
      </c>
      <c r="C984" s="1" t="str">
        <f>IF(B984="PAL","",IFERROR(VLOOKUP(B984,'General price list'!C:BA,MATCH("PAL",'General price list'!$C$20:$BA$20,0),FALSE),""))</f>
        <v/>
      </c>
      <c r="D984" s="1" t="str">
        <f>IF(B984="PAL","",IFERROR(VLOOKUP(B984,'General price list'!C:BA,MATCH("OBJ",'General price list'!$C$20:$BA$20,0),FALSE),""))</f>
        <v/>
      </c>
      <c r="E984" s="1">
        <f t="shared" si="91"/>
        <v>0</v>
      </c>
      <c r="F984" s="1">
        <f t="shared" si="92"/>
        <v>0</v>
      </c>
      <c r="G984" s="1">
        <f t="shared" si="93"/>
        <v>0</v>
      </c>
      <c r="H984" s="1">
        <f t="shared" si="94"/>
        <v>0</v>
      </c>
      <c r="I984" s="1">
        <f t="shared" si="95"/>
        <v>0</v>
      </c>
      <c r="J984">
        <f>IF(B984="PAL","",IFERROR(IF(C984="",VLOOKUP(B984,'General price list'!C:BA,MATCH("CBM",'General price list'!$C$20:$BA$20,0),FALSE)*D984,VLOOKUP(B984,'General price list'!C:BA,MATCH("CBM",'General price list'!$C$20:$BA$20,0),FALSE)*(G984*C984)),0))</f>
        <v>0</v>
      </c>
    </row>
    <row r="985" spans="2:10" ht="15" customHeight="1">
      <c r="B985" s="790">
        <f>IF(B984="PAL","",'General price list'!C1005)</f>
        <v>0</v>
      </c>
      <c r="C985" s="1" t="str">
        <f>IF(B985="PAL","",IFERROR(VLOOKUP(B985,'General price list'!C:BA,MATCH("PAL",'General price list'!$C$20:$BA$20,0),FALSE),""))</f>
        <v/>
      </c>
      <c r="D985" s="1" t="str">
        <f>IF(B985="PAL","",IFERROR(VLOOKUP(B985,'General price list'!C:BA,MATCH("OBJ",'General price list'!$C$20:$BA$20,0),FALSE),""))</f>
        <v/>
      </c>
      <c r="E985" s="1">
        <f t="shared" si="91"/>
        <v>0</v>
      </c>
      <c r="F985" s="1">
        <f t="shared" si="92"/>
        <v>0</v>
      </c>
      <c r="G985" s="1">
        <f t="shared" si="93"/>
        <v>0</v>
      </c>
      <c r="H985" s="1">
        <f t="shared" si="94"/>
        <v>0</v>
      </c>
      <c r="I985" s="1">
        <f t="shared" si="95"/>
        <v>0</v>
      </c>
      <c r="J985">
        <f>IF(B985="PAL","",IFERROR(IF(C985="",VLOOKUP(B985,'General price list'!C:BA,MATCH("CBM",'General price list'!$C$20:$BA$20,0),FALSE)*D985,VLOOKUP(B985,'General price list'!C:BA,MATCH("CBM",'General price list'!$C$20:$BA$20,0),FALSE)*(G985*C985)),0))</f>
        <v>0</v>
      </c>
    </row>
    <row r="986" spans="2:10" ht="15" customHeight="1">
      <c r="B986" s="790">
        <f>IF(B985="PAL","",'General price list'!C1006)</f>
        <v>0</v>
      </c>
      <c r="C986" s="1" t="str">
        <f>IF(B986="PAL","",IFERROR(VLOOKUP(B986,'General price list'!C:BA,MATCH("PAL",'General price list'!$C$20:$BA$20,0),FALSE),""))</f>
        <v/>
      </c>
      <c r="D986" s="1" t="str">
        <f>IF(B986="PAL","",IFERROR(VLOOKUP(B986,'General price list'!C:BA,MATCH("OBJ",'General price list'!$C$20:$BA$20,0),FALSE),""))</f>
        <v/>
      </c>
      <c r="E986" s="1">
        <f t="shared" si="91"/>
        <v>0</v>
      </c>
      <c r="F986" s="1">
        <f t="shared" si="92"/>
        <v>0</v>
      </c>
      <c r="G986" s="1">
        <f t="shared" si="93"/>
        <v>0</v>
      </c>
      <c r="H986" s="1">
        <f t="shared" si="94"/>
        <v>0</v>
      </c>
      <c r="I986" s="1">
        <f t="shared" si="95"/>
        <v>0</v>
      </c>
      <c r="J986">
        <f>IF(B986="PAL","",IFERROR(IF(C986="",VLOOKUP(B986,'General price list'!C:BA,MATCH("CBM",'General price list'!$C$20:$BA$20,0),FALSE)*D986,VLOOKUP(B986,'General price list'!C:BA,MATCH("CBM",'General price list'!$C$20:$BA$20,0),FALSE)*(G986*C986)),0))</f>
        <v>0</v>
      </c>
    </row>
    <row r="987" spans="2:10" ht="15" customHeight="1">
      <c r="B987" s="790">
        <f>IF(B986="PAL","",'General price list'!C1007)</f>
        <v>0</v>
      </c>
      <c r="C987" s="1" t="str">
        <f>IF(B987="PAL","",IFERROR(VLOOKUP(B987,'General price list'!C:BA,MATCH("PAL",'General price list'!$C$20:$BA$20,0),FALSE),""))</f>
        <v/>
      </c>
      <c r="D987" s="1" t="str">
        <f>IF(B987="PAL","",IFERROR(VLOOKUP(B987,'General price list'!C:BA,MATCH("OBJ",'General price list'!$C$20:$BA$20,0),FALSE),""))</f>
        <v/>
      </c>
      <c r="E987" s="1">
        <f t="shared" si="91"/>
        <v>0</v>
      </c>
      <c r="F987" s="1">
        <f t="shared" si="92"/>
        <v>0</v>
      </c>
      <c r="G987" s="1">
        <f t="shared" si="93"/>
        <v>0</v>
      </c>
      <c r="H987" s="1">
        <f t="shared" si="94"/>
        <v>0</v>
      </c>
      <c r="I987" s="1">
        <f t="shared" si="95"/>
        <v>0</v>
      </c>
      <c r="J987">
        <f>IF(B987="PAL","",IFERROR(IF(C987="",VLOOKUP(B987,'General price list'!C:BA,MATCH("CBM",'General price list'!$C$20:$BA$20,0),FALSE)*D987,VLOOKUP(B987,'General price list'!C:BA,MATCH("CBM",'General price list'!$C$20:$BA$20,0),FALSE)*(G987*C987)),0))</f>
        <v>0</v>
      </c>
    </row>
    <row r="988" spans="2:10" ht="15" customHeight="1">
      <c r="B988" s="790">
        <f>IF(B987="PAL","",'General price list'!C1008)</f>
        <v>0</v>
      </c>
      <c r="C988" s="1" t="str">
        <f>IF(B988="PAL","",IFERROR(VLOOKUP(B988,'General price list'!C:BA,MATCH("PAL",'General price list'!$C$20:$BA$20,0),FALSE),""))</f>
        <v/>
      </c>
      <c r="D988" s="1" t="str">
        <f>IF(B988="PAL","",IFERROR(VLOOKUP(B988,'General price list'!C:BA,MATCH("OBJ",'General price list'!$C$20:$BA$20,0),FALSE),""))</f>
        <v/>
      </c>
      <c r="E988" s="1">
        <f t="shared" si="91"/>
        <v>0</v>
      </c>
      <c r="F988" s="1">
        <f t="shared" si="92"/>
        <v>0</v>
      </c>
      <c r="G988" s="1">
        <f t="shared" si="93"/>
        <v>0</v>
      </c>
      <c r="H988" s="1">
        <f t="shared" si="94"/>
        <v>0</v>
      </c>
      <c r="I988" s="1">
        <f t="shared" si="95"/>
        <v>0</v>
      </c>
      <c r="J988">
        <f>IF(B988="PAL","",IFERROR(IF(C988="",VLOOKUP(B988,'General price list'!C:BA,MATCH("CBM",'General price list'!$C$20:$BA$20,0),FALSE)*D988,VLOOKUP(B988,'General price list'!C:BA,MATCH("CBM",'General price list'!$C$20:$BA$20,0),FALSE)*(G988*C988)),0))</f>
        <v>0</v>
      </c>
    </row>
    <row r="989" spans="2:10" ht="15" customHeight="1">
      <c r="B989" s="790">
        <f>IF(B988="PAL","",'General price list'!C1009)</f>
        <v>0</v>
      </c>
      <c r="C989" s="1" t="str">
        <f>IF(B989="PAL","",IFERROR(VLOOKUP(B989,'General price list'!C:BA,MATCH("PAL",'General price list'!$C$20:$BA$20,0),FALSE),""))</f>
        <v/>
      </c>
      <c r="D989" s="1" t="str">
        <f>IF(B989="PAL","",IFERROR(VLOOKUP(B989,'General price list'!C:BA,MATCH("OBJ",'General price list'!$C$20:$BA$20,0),FALSE),""))</f>
        <v/>
      </c>
      <c r="E989" s="1">
        <f t="shared" si="91"/>
        <v>0</v>
      </c>
      <c r="F989" s="1">
        <f t="shared" si="92"/>
        <v>0</v>
      </c>
      <c r="G989" s="1">
        <f t="shared" si="93"/>
        <v>0</v>
      </c>
      <c r="H989" s="1">
        <f t="shared" si="94"/>
        <v>0</v>
      </c>
      <c r="I989" s="1">
        <f t="shared" si="95"/>
        <v>0</v>
      </c>
      <c r="J989">
        <f>IF(B989="PAL","",IFERROR(IF(C989="",VLOOKUP(B989,'General price list'!C:BA,MATCH("CBM",'General price list'!$C$20:$BA$20,0),FALSE)*D989,VLOOKUP(B989,'General price list'!C:BA,MATCH("CBM",'General price list'!$C$20:$BA$20,0),FALSE)*(G989*C989)),0))</f>
        <v>0</v>
      </c>
    </row>
    <row r="990" spans="2:10" ht="15" customHeight="1">
      <c r="B990" s="790">
        <f>IF(B989="PAL","",'General price list'!C1010)</f>
        <v>0</v>
      </c>
      <c r="C990" s="1" t="str">
        <f>IF(B990="PAL","",IFERROR(VLOOKUP(B990,'General price list'!C:BA,MATCH("PAL",'General price list'!$C$20:$BA$20,0),FALSE),""))</f>
        <v/>
      </c>
      <c r="D990" s="1" t="str">
        <f>IF(B990="PAL","",IFERROR(VLOOKUP(B990,'General price list'!C:BA,MATCH("OBJ",'General price list'!$C$20:$BA$20,0),FALSE),""))</f>
        <v/>
      </c>
      <c r="E990" s="1">
        <f t="shared" si="91"/>
        <v>0</v>
      </c>
      <c r="F990" s="1">
        <f t="shared" si="92"/>
        <v>0</v>
      </c>
      <c r="G990" s="1">
        <f t="shared" si="93"/>
        <v>0</v>
      </c>
      <c r="H990" s="1">
        <f t="shared" si="94"/>
        <v>0</v>
      </c>
      <c r="I990" s="1">
        <f t="shared" si="95"/>
        <v>0</v>
      </c>
      <c r="J990">
        <f>IF(B990="PAL","",IFERROR(IF(C990="",VLOOKUP(B990,'General price list'!C:BA,MATCH("CBM",'General price list'!$C$20:$BA$20,0),FALSE)*D990,VLOOKUP(B990,'General price list'!C:BA,MATCH("CBM",'General price list'!$C$20:$BA$20,0),FALSE)*(G990*C990)),0))</f>
        <v>0</v>
      </c>
    </row>
    <row r="991" spans="2:10" ht="15" customHeight="1">
      <c r="B991" s="790">
        <f>IF(B990="PAL","",'General price list'!C1011)</f>
        <v>0</v>
      </c>
      <c r="C991" s="1" t="str">
        <f>IF(B991="PAL","",IFERROR(VLOOKUP(B991,'General price list'!C:BA,MATCH("PAL",'General price list'!$C$20:$BA$20,0),FALSE),""))</f>
        <v/>
      </c>
      <c r="D991" s="1" t="str">
        <f>IF(B991="PAL","",IFERROR(VLOOKUP(B991,'General price list'!C:BA,MATCH("OBJ",'General price list'!$C$20:$BA$20,0),FALSE),""))</f>
        <v/>
      </c>
      <c r="E991" s="1">
        <f t="shared" si="91"/>
        <v>0</v>
      </c>
      <c r="F991" s="1">
        <f t="shared" si="92"/>
        <v>0</v>
      </c>
      <c r="G991" s="1">
        <f t="shared" si="93"/>
        <v>0</v>
      </c>
      <c r="H991" s="1">
        <f t="shared" si="94"/>
        <v>0</v>
      </c>
      <c r="I991" s="1">
        <f t="shared" si="95"/>
        <v>0</v>
      </c>
      <c r="J991">
        <f>IF(B991="PAL","",IFERROR(IF(C991="",VLOOKUP(B991,'General price list'!C:BA,MATCH("CBM",'General price list'!$C$20:$BA$20,0),FALSE)*D991,VLOOKUP(B991,'General price list'!C:BA,MATCH("CBM",'General price list'!$C$20:$BA$20,0),FALSE)*(G991*C991)),0))</f>
        <v>0</v>
      </c>
    </row>
    <row r="992" spans="2:10" ht="15" customHeight="1">
      <c r="B992" s="790">
        <f>IF(B991="PAL","",'General price list'!C1012)</f>
        <v>0</v>
      </c>
      <c r="C992" s="1" t="str">
        <f>IF(B992="PAL","",IFERROR(VLOOKUP(B992,'General price list'!C:BA,MATCH("PAL",'General price list'!$C$20:$BA$20,0),FALSE),""))</f>
        <v/>
      </c>
      <c r="D992" s="1" t="str">
        <f>IF(B992="PAL","",IFERROR(VLOOKUP(B992,'General price list'!C:BA,MATCH("OBJ",'General price list'!$C$20:$BA$20,0),FALSE),""))</f>
        <v/>
      </c>
      <c r="E992" s="1">
        <f t="shared" si="91"/>
        <v>0</v>
      </c>
      <c r="F992" s="1">
        <f t="shared" si="92"/>
        <v>0</v>
      </c>
      <c r="G992" s="1">
        <f t="shared" si="93"/>
        <v>0</v>
      </c>
      <c r="H992" s="1">
        <f t="shared" si="94"/>
        <v>0</v>
      </c>
      <c r="I992" s="1">
        <f t="shared" si="95"/>
        <v>0</v>
      </c>
      <c r="J992">
        <f>IF(B992="PAL","",IFERROR(IF(C992="",VLOOKUP(B992,'General price list'!C:BA,MATCH("CBM",'General price list'!$C$20:$BA$20,0),FALSE)*D992,VLOOKUP(B992,'General price list'!C:BA,MATCH("CBM",'General price list'!$C$20:$BA$20,0),FALSE)*(G992*C992)),0))</f>
        <v>0</v>
      </c>
    </row>
    <row r="993" spans="2:10" ht="15" customHeight="1">
      <c r="B993" s="790">
        <f>IF(B992="PAL","",'General price list'!C1013)</f>
        <v>0</v>
      </c>
      <c r="C993" s="1" t="str">
        <f>IF(B993="PAL","",IFERROR(VLOOKUP(B993,'General price list'!C:BA,MATCH("PAL",'General price list'!$C$20:$BA$20,0),FALSE),""))</f>
        <v/>
      </c>
      <c r="D993" s="1" t="str">
        <f>IF(B993="PAL","",IFERROR(VLOOKUP(B993,'General price list'!C:BA,MATCH("OBJ",'General price list'!$C$20:$BA$20,0),FALSE),""))</f>
        <v/>
      </c>
      <c r="E993" s="1">
        <f t="shared" si="91"/>
        <v>0</v>
      </c>
      <c r="F993" s="1">
        <f t="shared" si="92"/>
        <v>0</v>
      </c>
      <c r="G993" s="1">
        <f t="shared" si="93"/>
        <v>0</v>
      </c>
      <c r="H993" s="1">
        <f t="shared" si="94"/>
        <v>0</v>
      </c>
      <c r="I993" s="1">
        <f t="shared" si="95"/>
        <v>0</v>
      </c>
      <c r="J993">
        <f>IF(B993="PAL","",IFERROR(IF(C993="",VLOOKUP(B993,'General price list'!C:BA,MATCH("CBM",'General price list'!$C$20:$BA$20,0),FALSE)*D993,VLOOKUP(B993,'General price list'!C:BA,MATCH("CBM",'General price list'!$C$20:$BA$20,0),FALSE)*(G993*C993)),0))</f>
        <v>0</v>
      </c>
    </row>
    <row r="994" spans="2:10" ht="15" customHeight="1">
      <c r="B994" s="790">
        <f>IF(B993="PAL","",'General price list'!C1014)</f>
        <v>0</v>
      </c>
      <c r="C994" s="1" t="str">
        <f>IF(B994="PAL","",IFERROR(VLOOKUP(B994,'General price list'!C:BA,MATCH("PAL",'General price list'!$C$20:$BA$20,0),FALSE),""))</f>
        <v/>
      </c>
      <c r="D994" s="1" t="str">
        <f>IF(B994="PAL","",IFERROR(VLOOKUP(B994,'General price list'!C:BA,MATCH("OBJ",'General price list'!$C$20:$BA$20,0),FALSE),""))</f>
        <v/>
      </c>
      <c r="E994" s="1">
        <f t="shared" si="91"/>
        <v>0</v>
      </c>
      <c r="F994" s="1">
        <f t="shared" si="92"/>
        <v>0</v>
      </c>
      <c r="G994" s="1">
        <f t="shared" si="93"/>
        <v>0</v>
      </c>
      <c r="H994" s="1">
        <f t="shared" si="94"/>
        <v>0</v>
      </c>
      <c r="I994" s="1">
        <f t="shared" si="95"/>
        <v>0</v>
      </c>
      <c r="J994">
        <f>IF(B994="PAL","",IFERROR(IF(C994="",VLOOKUP(B994,'General price list'!C:BA,MATCH("CBM",'General price list'!$C$20:$BA$20,0),FALSE)*D994,VLOOKUP(B994,'General price list'!C:BA,MATCH("CBM",'General price list'!$C$20:$BA$20,0),FALSE)*(G994*C994)),0))</f>
        <v>0</v>
      </c>
    </row>
    <row r="995" spans="2:10" ht="15" customHeight="1">
      <c r="B995" s="790">
        <f>IF(B994="PAL","",'General price list'!C1015)</f>
        <v>0</v>
      </c>
      <c r="C995" s="1" t="str">
        <f>IF(B995="PAL","",IFERROR(VLOOKUP(B995,'General price list'!C:BA,MATCH("PAL",'General price list'!$C$20:$BA$20,0),FALSE),""))</f>
        <v/>
      </c>
      <c r="D995" s="1" t="str">
        <f>IF(B995="PAL","",IFERROR(VLOOKUP(B995,'General price list'!C:BA,MATCH("OBJ",'General price list'!$C$20:$BA$20,0),FALSE),""))</f>
        <v/>
      </c>
      <c r="E995" s="1">
        <f t="shared" si="91"/>
        <v>0</v>
      </c>
      <c r="F995" s="1">
        <f t="shared" si="92"/>
        <v>0</v>
      </c>
      <c r="G995" s="1">
        <f t="shared" si="93"/>
        <v>0</v>
      </c>
      <c r="H995" s="1">
        <f t="shared" si="94"/>
        <v>0</v>
      </c>
      <c r="I995" s="1">
        <f t="shared" si="95"/>
        <v>0</v>
      </c>
      <c r="J995">
        <f>IF(B995="PAL","",IFERROR(IF(C995="",VLOOKUP(B995,'General price list'!C:BA,MATCH("CBM",'General price list'!$C$20:$BA$20,0),FALSE)*D995,VLOOKUP(B995,'General price list'!C:BA,MATCH("CBM",'General price list'!$C$20:$BA$20,0),FALSE)*(G995*C995)),0))</f>
        <v>0</v>
      </c>
    </row>
    <row r="996" spans="2:10" ht="15" customHeight="1">
      <c r="B996" s="790">
        <f>IF(B995="PAL","",'General price list'!C1016)</f>
        <v>0</v>
      </c>
      <c r="C996" s="1" t="str">
        <f>IF(B996="PAL","",IFERROR(VLOOKUP(B996,'General price list'!C:BA,MATCH("PAL",'General price list'!$C$20:$BA$20,0),FALSE),""))</f>
        <v/>
      </c>
      <c r="D996" s="1" t="str">
        <f>IF(B996="PAL","",IFERROR(VLOOKUP(B996,'General price list'!C:BA,MATCH("OBJ",'General price list'!$C$20:$BA$20,0),FALSE),""))</f>
        <v/>
      </c>
      <c r="E996" s="1">
        <f t="shared" si="91"/>
        <v>0</v>
      </c>
      <c r="F996" s="1">
        <f t="shared" si="92"/>
        <v>0</v>
      </c>
      <c r="G996" s="1">
        <f t="shared" si="93"/>
        <v>0</v>
      </c>
      <c r="H996" s="1">
        <f t="shared" si="94"/>
        <v>0</v>
      </c>
      <c r="I996" s="1">
        <f t="shared" si="95"/>
        <v>0</v>
      </c>
      <c r="J996">
        <f>IF(B996="PAL","",IFERROR(IF(C996="",VLOOKUP(B996,'General price list'!C:BA,MATCH("CBM",'General price list'!$C$20:$BA$20,0),FALSE)*D996,VLOOKUP(B996,'General price list'!C:BA,MATCH("CBM",'General price list'!$C$20:$BA$20,0),FALSE)*(G996*C996)),0))</f>
        <v>0</v>
      </c>
    </row>
    <row r="997" spans="2:10" ht="15" customHeight="1">
      <c r="B997" s="790">
        <f>IF(B996="PAL","",'General price list'!C1017)</f>
        <v>0</v>
      </c>
      <c r="C997" s="1" t="str">
        <f>IF(B997="PAL","",IFERROR(VLOOKUP(B997,'General price list'!C:BA,MATCH("PAL",'General price list'!$C$20:$BA$20,0),FALSE),""))</f>
        <v/>
      </c>
      <c r="D997" s="1" t="str">
        <f>IF(B997="PAL","",IFERROR(VLOOKUP(B997,'General price list'!C:BA,MATCH("OBJ",'General price list'!$C$20:$BA$20,0),FALSE),""))</f>
        <v/>
      </c>
      <c r="E997" s="1">
        <f t="shared" si="91"/>
        <v>0</v>
      </c>
      <c r="F997" s="1">
        <f t="shared" si="92"/>
        <v>0</v>
      </c>
      <c r="G997" s="1">
        <f t="shared" si="93"/>
        <v>0</v>
      </c>
      <c r="H997" s="1">
        <f t="shared" si="94"/>
        <v>0</v>
      </c>
      <c r="I997" s="1">
        <f t="shared" si="95"/>
        <v>0</v>
      </c>
      <c r="J997">
        <f>IF(B997="PAL","",IFERROR(IF(C997="",VLOOKUP(B997,'General price list'!C:BA,MATCH("CBM",'General price list'!$C$20:$BA$20,0),FALSE)*D997,VLOOKUP(B997,'General price list'!C:BA,MATCH("CBM",'General price list'!$C$20:$BA$20,0),FALSE)*(G997*C997)),0))</f>
        <v>0</v>
      </c>
    </row>
    <row r="998" spans="2:10" ht="15" customHeight="1">
      <c r="B998" s="790">
        <f>IF(B997="PAL","",'General price list'!C1018)</f>
        <v>0</v>
      </c>
      <c r="C998" s="1" t="str">
        <f>IF(B998="PAL","",IFERROR(VLOOKUP(B998,'General price list'!C:BA,MATCH("PAL",'General price list'!$C$20:$BA$20,0),FALSE),""))</f>
        <v/>
      </c>
      <c r="D998" s="1" t="str">
        <f>IF(B998="PAL","",IFERROR(VLOOKUP(B998,'General price list'!C:BA,MATCH("OBJ",'General price list'!$C$20:$BA$20,0),FALSE),""))</f>
        <v/>
      </c>
      <c r="E998" s="1">
        <f t="shared" si="91"/>
        <v>0</v>
      </c>
      <c r="F998" s="1">
        <f t="shared" si="92"/>
        <v>0</v>
      </c>
      <c r="G998" s="1">
        <f t="shared" si="93"/>
        <v>0</v>
      </c>
      <c r="H998" s="1">
        <f t="shared" si="94"/>
        <v>0</v>
      </c>
      <c r="I998" s="1">
        <f t="shared" si="95"/>
        <v>0</v>
      </c>
      <c r="J998">
        <f>IF(B998="PAL","",IFERROR(IF(C998="",VLOOKUP(B998,'General price list'!C:BA,MATCH("CBM",'General price list'!$C$20:$BA$20,0),FALSE)*D998,VLOOKUP(B998,'General price list'!C:BA,MATCH("CBM",'General price list'!$C$20:$BA$20,0),FALSE)*(G998*C998)),0))</f>
        <v>0</v>
      </c>
    </row>
    <row r="999" spans="2:10" ht="15" customHeight="1">
      <c r="B999" s="790">
        <f>IF(B998="PAL","",'General price list'!C1019)</f>
        <v>0</v>
      </c>
      <c r="C999" s="1" t="str">
        <f>IF(B999="PAL","",IFERROR(VLOOKUP(B999,'General price list'!C:BA,MATCH("PAL",'General price list'!$C$20:$BA$20,0),FALSE),""))</f>
        <v/>
      </c>
      <c r="D999" s="1" t="str">
        <f>IF(B999="PAL","",IFERROR(VLOOKUP(B999,'General price list'!C:BA,MATCH("OBJ",'General price list'!$C$20:$BA$20,0),FALSE),""))</f>
        <v/>
      </c>
      <c r="E999" s="1">
        <f t="shared" si="91"/>
        <v>0</v>
      </c>
      <c r="F999" s="1">
        <f t="shared" si="92"/>
        <v>0</v>
      </c>
      <c r="G999" s="1">
        <f t="shared" si="93"/>
        <v>0</v>
      </c>
      <c r="H999" s="1">
        <f t="shared" si="94"/>
        <v>0</v>
      </c>
      <c r="I999" s="1">
        <f t="shared" si="95"/>
        <v>0</v>
      </c>
      <c r="J999">
        <f>IF(B999="PAL","",IFERROR(IF(C999="",VLOOKUP(B999,'General price list'!C:BA,MATCH("CBM",'General price list'!$C$20:$BA$20,0),FALSE)*D999,VLOOKUP(B999,'General price list'!C:BA,MATCH("CBM",'General price list'!$C$20:$BA$20,0),FALSE)*(G999*C999)),0))</f>
        <v>0</v>
      </c>
    </row>
    <row r="1000" spans="2:10" ht="15" customHeight="1">
      <c r="B1000" s="790">
        <f>IF(B999="PAL","",'General price list'!C1020)</f>
        <v>0</v>
      </c>
      <c r="C1000" s="1" t="str">
        <f>IF(B1000="PAL","",IFERROR(VLOOKUP(B1000,'General price list'!C:BA,MATCH("PAL",'General price list'!$C$20:$BA$20,0),FALSE),""))</f>
        <v/>
      </c>
      <c r="D1000" s="1" t="str">
        <f>IF(B1000="PAL","",IFERROR(VLOOKUP(B1000,'General price list'!C:BA,MATCH("OBJ",'General price list'!$C$20:$BA$20,0),FALSE),""))</f>
        <v/>
      </c>
      <c r="E1000" s="1">
        <f t="shared" si="91"/>
        <v>0</v>
      </c>
      <c r="F1000" s="1">
        <f t="shared" si="92"/>
        <v>0</v>
      </c>
      <c r="G1000" s="1">
        <f t="shared" si="93"/>
        <v>0</v>
      </c>
      <c r="H1000" s="1">
        <f t="shared" si="94"/>
        <v>0</v>
      </c>
      <c r="I1000" s="1">
        <f t="shared" si="95"/>
        <v>0</v>
      </c>
      <c r="J1000">
        <f>IF(B1000="PAL","",IFERROR(IF(C1000="",VLOOKUP(B1000,'General price list'!C:BA,MATCH("CBM",'General price list'!$C$20:$BA$20,0),FALSE)*D1000,VLOOKUP(B1000,'General price list'!C:BA,MATCH("CBM",'General price list'!$C$20:$BA$20,0),FALSE)*(G1000*C1000)),0))</f>
        <v>0</v>
      </c>
    </row>
    <row r="1001" spans="2:10" ht="15" customHeight="1">
      <c r="B1001" s="790">
        <f>IF(B1000="PAL","",'General price list'!C1021)</f>
        <v>0</v>
      </c>
      <c r="C1001" s="1" t="str">
        <f>IF(B1001="PAL","",IFERROR(VLOOKUP(B1001,'General price list'!C:BA,MATCH("PAL",'General price list'!$C$20:$BA$20,0),FALSE),""))</f>
        <v/>
      </c>
      <c r="D1001" s="1" t="str">
        <f>IF(B1001="PAL","",IFERROR(VLOOKUP(B1001,'General price list'!C:BA,MATCH("OBJ",'General price list'!$C$20:$BA$20,0),FALSE),""))</f>
        <v/>
      </c>
      <c r="E1001" s="1">
        <f t="shared" si="91"/>
        <v>0</v>
      </c>
      <c r="F1001" s="1">
        <f t="shared" si="92"/>
        <v>0</v>
      </c>
      <c r="G1001" s="1">
        <f t="shared" si="93"/>
        <v>0</v>
      </c>
      <c r="H1001" s="1">
        <f t="shared" si="94"/>
        <v>0</v>
      </c>
      <c r="I1001" s="1">
        <f t="shared" si="95"/>
        <v>0</v>
      </c>
      <c r="J1001">
        <f>IF(B1001="PAL","",IFERROR(IF(C1001="",VLOOKUP(B1001,'General price list'!C:BA,MATCH("CBM",'General price list'!$C$20:$BA$20,0),FALSE)*D1001,VLOOKUP(B1001,'General price list'!C:BA,MATCH("CBM",'General price list'!$C$20:$BA$20,0),FALSE)*(G1001*C1001)),0))</f>
        <v>0</v>
      </c>
    </row>
    <row r="1002" spans="2:10" ht="15" customHeight="1">
      <c r="B1002" s="790">
        <f>IF(B1001="PAL","",'General price list'!C1022)</f>
        <v>0</v>
      </c>
      <c r="C1002" s="1" t="str">
        <f>IF(B1002="PAL","",IFERROR(VLOOKUP(B1002,'General price list'!C:BA,MATCH("PAL",'General price list'!$C$20:$BA$20,0),FALSE),""))</f>
        <v/>
      </c>
      <c r="D1002" s="1" t="str">
        <f>IF(B1002="PAL","",IFERROR(VLOOKUP(B1002,'General price list'!C:BA,MATCH("OBJ",'General price list'!$C$20:$BA$20,0),FALSE),""))</f>
        <v/>
      </c>
      <c r="E1002" s="1">
        <f t="shared" si="91"/>
        <v>0</v>
      </c>
      <c r="F1002" s="1">
        <f t="shared" si="92"/>
        <v>0</v>
      </c>
      <c r="G1002" s="1">
        <f t="shared" si="93"/>
        <v>0</v>
      </c>
      <c r="H1002" s="1">
        <f t="shared" si="94"/>
        <v>0</v>
      </c>
      <c r="I1002" s="1">
        <f t="shared" si="95"/>
        <v>0</v>
      </c>
      <c r="J1002">
        <f>IF(B1002="PAL","",IFERROR(IF(C1002="",VLOOKUP(B1002,'General price list'!C:BA,MATCH("CBM",'General price list'!$C$20:$BA$20,0),FALSE)*D1002,VLOOKUP(B1002,'General price list'!C:BA,MATCH("CBM",'General price list'!$C$20:$BA$20,0),FALSE)*(G1002*C1002)),0))</f>
        <v>0</v>
      </c>
    </row>
    <row r="1003" spans="2:10" ht="15" customHeight="1">
      <c r="B1003" s="790">
        <f>IF(B1002="PAL","",'General price list'!C1023)</f>
        <v>0</v>
      </c>
      <c r="C1003" s="1" t="str">
        <f>IF(B1003="PAL","",IFERROR(VLOOKUP(B1003,'General price list'!C:BA,MATCH("PAL",'General price list'!$C$20:$BA$20,0),FALSE),""))</f>
        <v/>
      </c>
      <c r="D1003" s="1" t="str">
        <f>IF(B1003="PAL","",IFERROR(VLOOKUP(B1003,'General price list'!C:BA,MATCH("OBJ",'General price list'!$C$20:$BA$20,0),FALSE),""))</f>
        <v/>
      </c>
      <c r="E1003" s="1">
        <f t="shared" si="91"/>
        <v>0</v>
      </c>
      <c r="F1003" s="1">
        <f t="shared" si="92"/>
        <v>0</v>
      </c>
      <c r="G1003" s="1">
        <f t="shared" si="93"/>
        <v>0</v>
      </c>
      <c r="H1003" s="1">
        <f t="shared" si="94"/>
        <v>0</v>
      </c>
      <c r="I1003" s="1">
        <f t="shared" si="95"/>
        <v>0</v>
      </c>
      <c r="J1003">
        <f>IF(B1003="PAL","",IFERROR(IF(C1003="",VLOOKUP(B1003,'General price list'!C:BA,MATCH("CBM",'General price list'!$C$20:$BA$20,0),FALSE)*D1003,VLOOKUP(B1003,'General price list'!C:BA,MATCH("CBM",'General price list'!$C$20:$BA$20,0),FALSE)*(G1003*C1003)),0))</f>
        <v>0</v>
      </c>
    </row>
    <row r="1004" spans="2:10" ht="15" customHeight="1">
      <c r="B1004" s="790">
        <f>IF(B1003="PAL","",'General price list'!C1024)</f>
        <v>0</v>
      </c>
      <c r="C1004" s="1" t="str">
        <f>IF(B1004="PAL","",IFERROR(VLOOKUP(B1004,'General price list'!C:BA,MATCH("PAL",'General price list'!$C$20:$BA$20,0),FALSE),""))</f>
        <v/>
      </c>
      <c r="D1004" s="1" t="str">
        <f>IF(B1004="PAL","",IFERROR(VLOOKUP(B1004,'General price list'!C:BA,MATCH("OBJ",'General price list'!$C$20:$BA$20,0),FALSE),""))</f>
        <v/>
      </c>
      <c r="E1004" s="1">
        <f t="shared" si="91"/>
        <v>0</v>
      </c>
      <c r="F1004" s="1">
        <f t="shared" si="92"/>
        <v>0</v>
      </c>
      <c r="G1004" s="1">
        <f t="shared" si="93"/>
        <v>0</v>
      </c>
      <c r="H1004" s="1">
        <f t="shared" si="94"/>
        <v>0</v>
      </c>
      <c r="I1004" s="1">
        <f t="shared" si="95"/>
        <v>0</v>
      </c>
      <c r="J1004">
        <f>IF(B1004="PAL","",IFERROR(IF(C1004="",VLOOKUP(B1004,'General price list'!C:BA,MATCH("CBM",'General price list'!$C$20:$BA$20,0),FALSE)*D1004,VLOOKUP(B1004,'General price list'!C:BA,MATCH("CBM",'General price list'!$C$20:$BA$20,0),FALSE)*(G1004*C1004)),0))</f>
        <v>0</v>
      </c>
    </row>
    <row r="1005" spans="2:10" ht="15" customHeight="1">
      <c r="B1005" s="790">
        <f>IF(B1004="PAL","",'General price list'!C1025)</f>
        <v>0</v>
      </c>
      <c r="C1005" s="1" t="str">
        <f>IF(B1005="PAL","",IFERROR(VLOOKUP(B1005,'General price list'!C:BA,MATCH("PAL",'General price list'!$C$20:$BA$20,0),FALSE),""))</f>
        <v/>
      </c>
      <c r="D1005" s="1" t="str">
        <f>IF(B1005="PAL","",IFERROR(VLOOKUP(B1005,'General price list'!C:BA,MATCH("OBJ",'General price list'!$C$20:$BA$20,0),FALSE),""))</f>
        <v/>
      </c>
      <c r="E1005" s="1">
        <f t="shared" si="91"/>
        <v>0</v>
      </c>
      <c r="F1005" s="1">
        <f t="shared" si="92"/>
        <v>0</v>
      </c>
      <c r="G1005" s="1">
        <f t="shared" si="93"/>
        <v>0</v>
      </c>
      <c r="H1005" s="1">
        <f t="shared" si="94"/>
        <v>0</v>
      </c>
      <c r="I1005" s="1">
        <f t="shared" si="95"/>
        <v>0</v>
      </c>
      <c r="J1005">
        <f>IF(B1005="PAL","",IFERROR(IF(C1005="",VLOOKUP(B1005,'General price list'!C:BA,MATCH("CBM",'General price list'!$C$20:$BA$20,0),FALSE)*D1005,VLOOKUP(B1005,'General price list'!C:BA,MATCH("CBM",'General price list'!$C$20:$BA$20,0),FALSE)*(G1005*C1005)),0))</f>
        <v>0</v>
      </c>
    </row>
    <row r="1006" spans="2:10" ht="15" customHeight="1">
      <c r="B1006" s="790">
        <f>IF(B1005="PAL","",'General price list'!C1026)</f>
        <v>0</v>
      </c>
      <c r="C1006" s="1" t="str">
        <f>IF(B1006="PAL","",IFERROR(VLOOKUP(B1006,'General price list'!C:BA,MATCH("PAL",'General price list'!$C$20:$BA$20,0),FALSE),""))</f>
        <v/>
      </c>
      <c r="D1006" s="1" t="str">
        <f>IF(B1006="PAL","",IFERROR(VLOOKUP(B1006,'General price list'!C:BA,MATCH("OBJ",'General price list'!$C$20:$BA$20,0),FALSE),""))</f>
        <v/>
      </c>
      <c r="E1006" s="1">
        <f t="shared" si="91"/>
        <v>0</v>
      </c>
      <c r="F1006" s="1">
        <f t="shared" si="92"/>
        <v>0</v>
      </c>
      <c r="G1006" s="1">
        <f t="shared" si="93"/>
        <v>0</v>
      </c>
      <c r="H1006" s="1">
        <f t="shared" si="94"/>
        <v>0</v>
      </c>
      <c r="I1006" s="1">
        <f t="shared" si="95"/>
        <v>0</v>
      </c>
      <c r="J1006">
        <f>IF(B1006="PAL","",IFERROR(IF(C1006="",VLOOKUP(B1006,'General price list'!C:BA,MATCH("CBM",'General price list'!$C$20:$BA$20,0),FALSE)*D1006,VLOOKUP(B1006,'General price list'!C:BA,MATCH("CBM",'General price list'!$C$20:$BA$20,0),FALSE)*(G1006*C1006)),0))</f>
        <v>0</v>
      </c>
    </row>
    <row r="1007" spans="2:10" ht="15" customHeight="1">
      <c r="B1007" s="790">
        <f>IF(B1006="PAL","",'General price list'!C1027)</f>
        <v>0</v>
      </c>
      <c r="C1007" s="1" t="str">
        <f>IF(B1007="PAL","",IFERROR(VLOOKUP(B1007,'General price list'!C:BA,MATCH("PAL",'General price list'!$C$20:$BA$20,0),FALSE),""))</f>
        <v/>
      </c>
      <c r="D1007" s="1" t="str">
        <f>IF(B1007="PAL","",IFERROR(VLOOKUP(B1007,'General price list'!C:BA,MATCH("OBJ",'General price list'!$C$20:$BA$20,0),FALSE),""))</f>
        <v/>
      </c>
      <c r="E1007" s="1">
        <f t="shared" si="91"/>
        <v>0</v>
      </c>
      <c r="F1007" s="1">
        <f t="shared" si="92"/>
        <v>0</v>
      </c>
      <c r="G1007" s="1">
        <f t="shared" si="93"/>
        <v>0</v>
      </c>
      <c r="H1007" s="1">
        <f t="shared" si="94"/>
        <v>0</v>
      </c>
      <c r="I1007" s="1">
        <f t="shared" si="95"/>
        <v>0</v>
      </c>
      <c r="J1007">
        <f>IF(B1007="PAL","",IFERROR(IF(C1007="",VLOOKUP(B1007,'General price list'!C:BA,MATCH("CBM",'General price list'!$C$20:$BA$20,0),FALSE)*D1007,VLOOKUP(B1007,'General price list'!C:BA,MATCH("CBM",'General price list'!$C$20:$BA$20,0),FALSE)*(G1007*C1007)),0))</f>
        <v>0</v>
      </c>
    </row>
    <row r="1008" spans="2:10" ht="15" customHeight="1">
      <c r="B1008" s="790">
        <f>IF(B1007="PAL","",'General price list'!C1028)</f>
        <v>0</v>
      </c>
      <c r="C1008" s="1" t="str">
        <f>IF(B1008="PAL","",IFERROR(VLOOKUP(B1008,'General price list'!C:BA,MATCH("PAL",'General price list'!$C$20:$BA$20,0),FALSE),""))</f>
        <v/>
      </c>
      <c r="D1008" s="1" t="str">
        <f>IF(B1008="PAL","",IFERROR(VLOOKUP(B1008,'General price list'!C:BA,MATCH("OBJ",'General price list'!$C$20:$BA$20,0),FALSE),""))</f>
        <v/>
      </c>
      <c r="E1008" s="1">
        <f t="shared" si="91"/>
        <v>0</v>
      </c>
      <c r="F1008" s="1">
        <f t="shared" si="92"/>
        <v>0</v>
      </c>
      <c r="G1008" s="1">
        <f t="shared" si="93"/>
        <v>0</v>
      </c>
      <c r="H1008" s="1">
        <f t="shared" si="94"/>
        <v>0</v>
      </c>
      <c r="I1008" s="1">
        <f t="shared" si="95"/>
        <v>0</v>
      </c>
      <c r="J1008">
        <f>IF(B1008="PAL","",IFERROR(IF(C1008="",VLOOKUP(B1008,'General price list'!C:BA,MATCH("CBM",'General price list'!$C$20:$BA$20,0),FALSE)*D1008,VLOOKUP(B1008,'General price list'!C:BA,MATCH("CBM",'General price list'!$C$20:$BA$20,0),FALSE)*(G1008*C1008)),0))</f>
        <v>0</v>
      </c>
    </row>
    <row r="1009" spans="2:10" ht="15" customHeight="1">
      <c r="B1009" s="790">
        <f>IF(B1008="PAL","",'General price list'!C1029)</f>
        <v>0</v>
      </c>
      <c r="C1009" s="1" t="str">
        <f>IF(B1009="PAL","",IFERROR(VLOOKUP(B1009,'General price list'!C:BA,MATCH("PAL",'General price list'!$C$20:$BA$20,0),FALSE),""))</f>
        <v/>
      </c>
      <c r="D1009" s="1" t="str">
        <f>IF(B1009="PAL","",IFERROR(VLOOKUP(B1009,'General price list'!C:BA,MATCH("OBJ",'General price list'!$C$20:$BA$20,0),FALSE),""))</f>
        <v/>
      </c>
      <c r="E1009" s="1">
        <f t="shared" si="91"/>
        <v>0</v>
      </c>
      <c r="F1009" s="1">
        <f t="shared" si="92"/>
        <v>0</v>
      </c>
      <c r="G1009" s="1">
        <f t="shared" si="93"/>
        <v>0</v>
      </c>
      <c r="H1009" s="1">
        <f t="shared" si="94"/>
        <v>0</v>
      </c>
      <c r="I1009" s="1">
        <f t="shared" si="95"/>
        <v>0</v>
      </c>
      <c r="J1009">
        <f>IF(B1009="PAL","",IFERROR(IF(C1009="",VLOOKUP(B1009,'General price list'!C:BA,MATCH("CBM",'General price list'!$C$20:$BA$20,0),FALSE)*D1009,VLOOKUP(B1009,'General price list'!C:BA,MATCH("CBM",'General price list'!$C$20:$BA$20,0),FALSE)*(G1009*C1009)),0))</f>
        <v>0</v>
      </c>
    </row>
    <row r="1010" spans="2:10" ht="15" customHeight="1">
      <c r="B1010" s="790">
        <f>IF(B1009="PAL","",'General price list'!C1030)</f>
        <v>0</v>
      </c>
      <c r="C1010" s="1" t="str">
        <f>IF(B1010="PAL","",IFERROR(VLOOKUP(B1010,'General price list'!C:BA,MATCH("PAL",'General price list'!$C$20:$BA$20,0),FALSE),""))</f>
        <v/>
      </c>
      <c r="D1010" s="1" t="str">
        <f>IF(B1010="PAL","",IFERROR(VLOOKUP(B1010,'General price list'!C:BA,MATCH("OBJ",'General price list'!$C$20:$BA$20,0),FALSE),""))</f>
        <v/>
      </c>
      <c r="E1010" s="1">
        <f t="shared" si="91"/>
        <v>0</v>
      </c>
      <c r="F1010" s="1">
        <f t="shared" si="92"/>
        <v>0</v>
      </c>
      <c r="G1010" s="1">
        <f t="shared" si="93"/>
        <v>0</v>
      </c>
      <c r="H1010" s="1">
        <f t="shared" si="94"/>
        <v>0</v>
      </c>
      <c r="I1010" s="1">
        <f t="shared" si="95"/>
        <v>0</v>
      </c>
      <c r="J1010">
        <f>IF(B1010="PAL","",IFERROR(IF(C1010="",VLOOKUP(B1010,'General price list'!C:BA,MATCH("CBM",'General price list'!$C$20:$BA$20,0),FALSE)*D1010,VLOOKUP(B1010,'General price list'!C:BA,MATCH("CBM",'General price list'!$C$20:$BA$20,0),FALSE)*(G1010*C1010)),0))</f>
        <v>0</v>
      </c>
    </row>
    <row r="1011" spans="2:10" ht="15" customHeight="1">
      <c r="B1011" s="790">
        <f>IF(B1010="PAL","",'General price list'!C1031)</f>
        <v>0</v>
      </c>
      <c r="C1011" s="1" t="str">
        <f>IF(B1011="PAL","",IFERROR(VLOOKUP(B1011,'General price list'!C:BA,MATCH("PAL",'General price list'!$C$20:$BA$20,0),FALSE),""))</f>
        <v/>
      </c>
      <c r="D1011" s="1" t="str">
        <f>IF(B1011="PAL","",IFERROR(VLOOKUP(B1011,'General price list'!C:BA,MATCH("OBJ",'General price list'!$C$20:$BA$20,0),FALSE),""))</f>
        <v/>
      </c>
      <c r="E1011" s="1">
        <f t="shared" si="91"/>
        <v>0</v>
      </c>
      <c r="F1011" s="1">
        <f t="shared" si="92"/>
        <v>0</v>
      </c>
      <c r="G1011" s="1">
        <f t="shared" si="93"/>
        <v>0</v>
      </c>
      <c r="H1011" s="1">
        <f t="shared" si="94"/>
        <v>0</v>
      </c>
      <c r="I1011" s="1">
        <f t="shared" si="95"/>
        <v>0</v>
      </c>
      <c r="J1011">
        <f>IF(B1011="PAL","",IFERROR(IF(C1011="",VLOOKUP(B1011,'General price list'!C:BA,MATCH("CBM",'General price list'!$C$20:$BA$20,0),FALSE)*D1011,VLOOKUP(B1011,'General price list'!C:BA,MATCH("CBM",'General price list'!$C$20:$BA$20,0),FALSE)*(G1011*C1011)),0))</f>
        <v>0</v>
      </c>
    </row>
    <row r="1012" spans="2:10" ht="15" customHeight="1">
      <c r="B1012" s="790">
        <f>IF(B1011="PAL","",'General price list'!C1032)</f>
        <v>0</v>
      </c>
      <c r="C1012" s="1" t="str">
        <f>IF(B1012="PAL","",IFERROR(VLOOKUP(B1012,'General price list'!C:BA,MATCH("PAL",'General price list'!$C$20:$BA$20,0),FALSE),""))</f>
        <v/>
      </c>
      <c r="D1012" s="1" t="str">
        <f>IF(B1012="PAL","",IFERROR(VLOOKUP(B1012,'General price list'!C:BA,MATCH("OBJ",'General price list'!$C$20:$BA$20,0),FALSE),""))</f>
        <v/>
      </c>
      <c r="E1012" s="1">
        <f t="shared" si="91"/>
        <v>0</v>
      </c>
      <c r="F1012" s="1">
        <f t="shared" si="92"/>
        <v>0</v>
      </c>
      <c r="G1012" s="1">
        <f t="shared" si="93"/>
        <v>0</v>
      </c>
      <c r="H1012" s="1">
        <f t="shared" si="94"/>
        <v>0</v>
      </c>
      <c r="I1012" s="1">
        <f t="shared" si="95"/>
        <v>0</v>
      </c>
      <c r="J1012">
        <f>IF(B1012="PAL","",IFERROR(IF(C1012="",VLOOKUP(B1012,'General price list'!C:BA,MATCH("CBM",'General price list'!$C$20:$BA$20,0),FALSE)*D1012,VLOOKUP(B1012,'General price list'!C:BA,MATCH("CBM",'General price list'!$C$20:$BA$20,0),FALSE)*(G1012*C1012)),0))</f>
        <v>0</v>
      </c>
    </row>
    <row r="1013" spans="2:10" ht="15" customHeight="1">
      <c r="B1013" s="790">
        <f>IF(B1012="PAL","",'General price list'!C1033)</f>
        <v>0</v>
      </c>
      <c r="C1013" s="1" t="str">
        <f>IF(B1013="PAL","",IFERROR(VLOOKUP(B1013,'General price list'!C:BA,MATCH("PAL",'General price list'!$C$20:$BA$20,0),FALSE),""))</f>
        <v/>
      </c>
      <c r="D1013" s="1" t="str">
        <f>IF(B1013="PAL","",IFERROR(VLOOKUP(B1013,'General price list'!C:BA,MATCH("OBJ",'General price list'!$C$20:$BA$20,0),FALSE),""))</f>
        <v/>
      </c>
      <c r="E1013" s="1">
        <f t="shared" si="91"/>
        <v>0</v>
      </c>
      <c r="F1013" s="1">
        <f t="shared" si="92"/>
        <v>0</v>
      </c>
      <c r="G1013" s="1">
        <f t="shared" si="93"/>
        <v>0</v>
      </c>
      <c r="H1013" s="1">
        <f t="shared" si="94"/>
        <v>0</v>
      </c>
      <c r="I1013" s="1">
        <f t="shared" si="95"/>
        <v>0</v>
      </c>
      <c r="J1013">
        <f>IF(B1013="PAL","",IFERROR(IF(C1013="",VLOOKUP(B1013,'General price list'!C:BA,MATCH("CBM",'General price list'!$C$20:$BA$20,0),FALSE)*D1013,VLOOKUP(B1013,'General price list'!C:BA,MATCH("CBM",'General price list'!$C$20:$BA$20,0),FALSE)*(G1013*C1013)),0))</f>
        <v>0</v>
      </c>
    </row>
    <row r="1014" spans="2:10" ht="15" customHeight="1">
      <c r="B1014" s="790">
        <f>IF(B1013="PAL","",'General price list'!C1034)</f>
        <v>0</v>
      </c>
      <c r="C1014" s="1" t="str">
        <f>IF(B1014="PAL","",IFERROR(VLOOKUP(B1014,'General price list'!C:BA,MATCH("PAL",'General price list'!$C$20:$BA$20,0),FALSE),""))</f>
        <v/>
      </c>
      <c r="D1014" s="1" t="str">
        <f>IF(B1014="PAL","",IFERROR(VLOOKUP(B1014,'General price list'!C:BA,MATCH("OBJ",'General price list'!$C$20:$BA$20,0),FALSE),""))</f>
        <v/>
      </c>
      <c r="E1014" s="1">
        <f t="shared" si="91"/>
        <v>0</v>
      </c>
      <c r="F1014" s="1">
        <f t="shared" si="92"/>
        <v>0</v>
      </c>
      <c r="G1014" s="1">
        <f t="shared" si="93"/>
        <v>0</v>
      </c>
      <c r="H1014" s="1">
        <f t="shared" si="94"/>
        <v>0</v>
      </c>
      <c r="I1014" s="1">
        <f t="shared" si="95"/>
        <v>0</v>
      </c>
      <c r="J1014">
        <f>IF(B1014="PAL","",IFERROR(IF(C1014="",VLOOKUP(B1014,'General price list'!C:BA,MATCH("CBM",'General price list'!$C$20:$BA$20,0),FALSE)*D1014,VLOOKUP(B1014,'General price list'!C:BA,MATCH("CBM",'General price list'!$C$20:$BA$20,0),FALSE)*(G1014*C1014)),0))</f>
        <v>0</v>
      </c>
    </row>
    <row r="1015" spans="2:10" ht="15" customHeight="1">
      <c r="B1015" s="790">
        <f>IF(B1014="PAL","",'General price list'!C1035)</f>
        <v>0</v>
      </c>
      <c r="C1015" s="1" t="str">
        <f>IF(B1015="PAL","",IFERROR(VLOOKUP(B1015,'General price list'!C:BA,MATCH("PAL",'General price list'!$C$20:$BA$20,0),FALSE),""))</f>
        <v/>
      </c>
      <c r="D1015" s="1" t="str">
        <f>IF(B1015="PAL","",IFERROR(VLOOKUP(B1015,'General price list'!C:BA,MATCH("OBJ",'General price list'!$C$20:$BA$20,0),FALSE),""))</f>
        <v/>
      </c>
      <c r="E1015" s="1">
        <f t="shared" si="91"/>
        <v>0</v>
      </c>
      <c r="F1015" s="1">
        <f t="shared" si="92"/>
        <v>0</v>
      </c>
      <c r="G1015" s="1">
        <f t="shared" si="93"/>
        <v>0</v>
      </c>
      <c r="H1015" s="1">
        <f t="shared" si="94"/>
        <v>0</v>
      </c>
      <c r="I1015" s="1">
        <f t="shared" si="95"/>
        <v>0</v>
      </c>
      <c r="J1015">
        <f>IF(B1015="PAL","",IFERROR(IF(C1015="",VLOOKUP(B1015,'General price list'!C:BA,MATCH("CBM",'General price list'!$C$20:$BA$20,0),FALSE)*D1015,VLOOKUP(B1015,'General price list'!C:BA,MATCH("CBM",'General price list'!$C$20:$BA$20,0),FALSE)*(G1015*C1015)),0))</f>
        <v>0</v>
      </c>
    </row>
    <row r="1016" spans="2:10" ht="15" customHeight="1">
      <c r="B1016" s="790">
        <f>IF(B1015="PAL","",'General price list'!C1036)</f>
        <v>0</v>
      </c>
      <c r="C1016" s="1" t="str">
        <f>IF(B1016="PAL","",IFERROR(VLOOKUP(B1016,'General price list'!C:BA,MATCH("PAL",'General price list'!$C$20:$BA$20,0),FALSE),""))</f>
        <v/>
      </c>
      <c r="D1016" s="1" t="str">
        <f>IF(B1016="PAL","",IFERROR(VLOOKUP(B1016,'General price list'!C:BA,MATCH("OBJ",'General price list'!$C$20:$BA$20,0),FALSE),""))</f>
        <v/>
      </c>
      <c r="E1016" s="1">
        <f t="shared" si="91"/>
        <v>0</v>
      </c>
      <c r="F1016" s="1">
        <f t="shared" si="92"/>
        <v>0</v>
      </c>
      <c r="G1016" s="1">
        <f t="shared" si="93"/>
        <v>0</v>
      </c>
      <c r="H1016" s="1">
        <f t="shared" si="94"/>
        <v>0</v>
      </c>
      <c r="I1016" s="1">
        <f t="shared" si="95"/>
        <v>0</v>
      </c>
      <c r="J1016">
        <f>IF(B1016="PAL","",IFERROR(IF(C1016="",VLOOKUP(B1016,'General price list'!C:BA,MATCH("CBM",'General price list'!$C$20:$BA$20,0),FALSE)*D1016,VLOOKUP(B1016,'General price list'!C:BA,MATCH("CBM",'General price list'!$C$20:$BA$20,0),FALSE)*(G1016*C1016)),0))</f>
        <v>0</v>
      </c>
    </row>
    <row r="1017" spans="2:10" ht="15" customHeight="1">
      <c r="B1017" s="790">
        <f>IF(B1016="PAL","",'General price list'!C1037)</f>
        <v>0</v>
      </c>
      <c r="C1017" s="1" t="str">
        <f>IF(B1017="PAL","",IFERROR(VLOOKUP(B1017,'General price list'!C:BA,MATCH("PAL",'General price list'!$C$20:$BA$20,0),FALSE),""))</f>
        <v/>
      </c>
      <c r="D1017" s="1" t="str">
        <f>IF(B1017="PAL","",IFERROR(VLOOKUP(B1017,'General price list'!C:BA,MATCH("OBJ",'General price list'!$C$20:$BA$20,0),FALSE),""))</f>
        <v/>
      </c>
      <c r="E1017" s="1">
        <f t="shared" si="91"/>
        <v>0</v>
      </c>
      <c r="F1017" s="1">
        <f t="shared" si="92"/>
        <v>0</v>
      </c>
      <c r="G1017" s="1">
        <f t="shared" si="93"/>
        <v>0</v>
      </c>
      <c r="H1017" s="1">
        <f t="shared" si="94"/>
        <v>0</v>
      </c>
      <c r="I1017" s="1">
        <f t="shared" si="95"/>
        <v>0</v>
      </c>
      <c r="J1017">
        <f>IF(B1017="PAL","",IFERROR(IF(C1017="",VLOOKUP(B1017,'General price list'!C:BA,MATCH("CBM",'General price list'!$C$20:$BA$20,0),FALSE)*D1017,VLOOKUP(B1017,'General price list'!C:BA,MATCH("CBM",'General price list'!$C$20:$BA$20,0),FALSE)*(G1017*C1017)),0))</f>
        <v>0</v>
      </c>
    </row>
    <row r="1018" spans="2:10" ht="15" customHeight="1">
      <c r="B1018" s="790">
        <f>IF(B1017="PAL","",'General price list'!C1038)</f>
        <v>0</v>
      </c>
      <c r="C1018" s="1" t="str">
        <f>IF(B1018="PAL","",IFERROR(VLOOKUP(B1018,'General price list'!C:BA,MATCH("PAL",'General price list'!$C$20:$BA$20,0),FALSE),""))</f>
        <v/>
      </c>
      <c r="D1018" s="1" t="str">
        <f>IF(B1018="PAL","",IFERROR(VLOOKUP(B1018,'General price list'!C:BA,MATCH("OBJ",'General price list'!$C$20:$BA$20,0),FALSE),""))</f>
        <v/>
      </c>
      <c r="E1018" s="1">
        <f t="shared" si="91"/>
        <v>0</v>
      </c>
      <c r="F1018" s="1">
        <f t="shared" si="92"/>
        <v>0</v>
      </c>
      <c r="G1018" s="1">
        <f t="shared" si="93"/>
        <v>0</v>
      </c>
      <c r="H1018" s="1">
        <f t="shared" si="94"/>
        <v>0</v>
      </c>
      <c r="I1018" s="1">
        <f t="shared" si="95"/>
        <v>0</v>
      </c>
      <c r="J1018">
        <f>IF(B1018="PAL","",IFERROR(IF(C1018="",VLOOKUP(B1018,'General price list'!C:BA,MATCH("CBM",'General price list'!$C$20:$BA$20,0),FALSE)*D1018,VLOOKUP(B1018,'General price list'!C:BA,MATCH("CBM",'General price list'!$C$20:$BA$20,0),FALSE)*(G1018*C1018)),0))</f>
        <v>0</v>
      </c>
    </row>
    <row r="1019" spans="2:10" ht="15" customHeight="1">
      <c r="B1019" s="790">
        <f>IF(B1018="PAL","",'General price list'!C1039)</f>
        <v>0</v>
      </c>
      <c r="C1019" s="1" t="str">
        <f>IF(B1019="PAL","",IFERROR(VLOOKUP(B1019,'General price list'!C:BA,MATCH("PAL",'General price list'!$C$20:$BA$20,0),FALSE),""))</f>
        <v/>
      </c>
      <c r="D1019" s="1" t="str">
        <f>IF(B1019="PAL","",IFERROR(VLOOKUP(B1019,'General price list'!C:BA,MATCH("OBJ",'General price list'!$C$20:$BA$20,0),FALSE),""))</f>
        <v/>
      </c>
      <c r="E1019" s="1">
        <f t="shared" si="91"/>
        <v>0</v>
      </c>
      <c r="F1019" s="1">
        <f t="shared" si="92"/>
        <v>0</v>
      </c>
      <c r="G1019" s="1">
        <f t="shared" si="93"/>
        <v>0</v>
      </c>
      <c r="H1019" s="1">
        <f t="shared" si="94"/>
        <v>0</v>
      </c>
      <c r="I1019" s="1">
        <f t="shared" si="95"/>
        <v>0</v>
      </c>
      <c r="J1019">
        <f>IF(B1019="PAL","",IFERROR(IF(C1019="",VLOOKUP(B1019,'General price list'!C:BA,MATCH("CBM",'General price list'!$C$20:$BA$20,0),FALSE)*D1019,VLOOKUP(B1019,'General price list'!C:BA,MATCH("CBM",'General price list'!$C$20:$BA$20,0),FALSE)*(G1019*C1019)),0))</f>
        <v>0</v>
      </c>
    </row>
    <row r="1020" spans="2:10" ht="15" customHeight="1">
      <c r="B1020" s="790">
        <f>IF(B1019="PAL","",'General price list'!C1040)</f>
        <v>0</v>
      </c>
      <c r="C1020" s="1" t="str">
        <f>IF(B1020="PAL","",IFERROR(VLOOKUP(B1020,'General price list'!C:BA,MATCH("PAL",'General price list'!$C$20:$BA$20,0),FALSE),""))</f>
        <v/>
      </c>
      <c r="D1020" s="1" t="str">
        <f>IF(B1020="PAL","",IFERROR(VLOOKUP(B1020,'General price list'!C:BA,MATCH("OBJ",'General price list'!$C$20:$BA$20,0),FALSE),""))</f>
        <v/>
      </c>
      <c r="E1020" s="1">
        <f t="shared" si="91"/>
        <v>0</v>
      </c>
      <c r="F1020" s="1">
        <f t="shared" si="92"/>
        <v>0</v>
      </c>
      <c r="G1020" s="1">
        <f t="shared" si="93"/>
        <v>0</v>
      </c>
      <c r="H1020" s="1">
        <f t="shared" si="94"/>
        <v>0</v>
      </c>
      <c r="I1020" s="1">
        <f t="shared" si="95"/>
        <v>0</v>
      </c>
      <c r="J1020">
        <f>IF(B1020="PAL","",IFERROR(IF(C1020="",VLOOKUP(B1020,'General price list'!C:BA,MATCH("CBM",'General price list'!$C$20:$BA$20,0),FALSE)*D1020,VLOOKUP(B1020,'General price list'!C:BA,MATCH("CBM",'General price list'!$C$20:$BA$20,0),FALSE)*(G1020*C1020)),0))</f>
        <v>0</v>
      </c>
    </row>
    <row r="1021" spans="2:10" ht="15" customHeight="1">
      <c r="B1021" s="790">
        <f>IF(B1020="PAL","",'General price list'!C1041)</f>
        <v>0</v>
      </c>
      <c r="C1021" s="1" t="str">
        <f>IF(B1021="PAL","",IFERROR(VLOOKUP(B1021,'General price list'!C:BA,MATCH("PAL",'General price list'!$C$20:$BA$20,0),FALSE),""))</f>
        <v/>
      </c>
      <c r="D1021" s="1" t="str">
        <f>IF(B1021="PAL","",IFERROR(VLOOKUP(B1021,'General price list'!C:BA,MATCH("OBJ",'General price list'!$C$20:$BA$20,0),FALSE),""))</f>
        <v/>
      </c>
      <c r="E1021" s="1">
        <f t="shared" si="91"/>
        <v>0</v>
      </c>
      <c r="F1021" s="1">
        <f t="shared" si="92"/>
        <v>0</v>
      </c>
      <c r="G1021" s="1">
        <f t="shared" si="93"/>
        <v>0</v>
      </c>
      <c r="H1021" s="1">
        <f t="shared" si="94"/>
        <v>0</v>
      </c>
      <c r="I1021" s="1">
        <f t="shared" si="95"/>
        <v>0</v>
      </c>
      <c r="J1021">
        <f>IF(B1021="PAL","",IFERROR(IF(C1021="",VLOOKUP(B1021,'General price list'!C:BA,MATCH("CBM",'General price list'!$C$20:$BA$20,0),FALSE)*D1021,VLOOKUP(B1021,'General price list'!C:BA,MATCH("CBM",'General price list'!$C$20:$BA$20,0),FALSE)*(G1021*C1021)),0))</f>
        <v>0</v>
      </c>
    </row>
    <row r="1022" spans="2:10" ht="15" customHeight="1">
      <c r="B1022" s="790">
        <f>IF(B1021="PAL","",'General price list'!C1042)</f>
        <v>0</v>
      </c>
      <c r="C1022" s="1" t="str">
        <f>IF(B1022="PAL","",IFERROR(VLOOKUP(B1022,'General price list'!C:BA,MATCH("PAL",'General price list'!$C$20:$BA$20,0),FALSE),""))</f>
        <v/>
      </c>
      <c r="D1022" s="1" t="str">
        <f>IF(B1022="PAL","",IFERROR(VLOOKUP(B1022,'General price list'!C:BA,MATCH("OBJ",'General price list'!$C$20:$BA$20,0),FALSE),""))</f>
        <v/>
      </c>
      <c r="E1022" s="1">
        <f t="shared" si="91"/>
        <v>0</v>
      </c>
      <c r="F1022" s="1">
        <f t="shared" si="92"/>
        <v>0</v>
      </c>
      <c r="G1022" s="1">
        <f t="shared" si="93"/>
        <v>0</v>
      </c>
      <c r="H1022" s="1">
        <f t="shared" si="94"/>
        <v>0</v>
      </c>
      <c r="I1022" s="1">
        <f t="shared" si="95"/>
        <v>0</v>
      </c>
      <c r="J1022">
        <f>IF(B1022="PAL","",IFERROR(IF(C1022="",VLOOKUP(B1022,'General price list'!C:BA,MATCH("CBM",'General price list'!$C$20:$BA$20,0),FALSE)*D1022,VLOOKUP(B1022,'General price list'!C:BA,MATCH("CBM",'General price list'!$C$20:$BA$20,0),FALSE)*(G1022*C1022)),0))</f>
        <v>0</v>
      </c>
    </row>
    <row r="1023" spans="2:10" ht="15" customHeight="1">
      <c r="B1023" s="790">
        <f>IF(B1022="PAL","",'General price list'!C1043)</f>
        <v>0</v>
      </c>
      <c r="C1023" s="1" t="str">
        <f>IF(B1023="PAL","",IFERROR(VLOOKUP(B1023,'General price list'!C:BA,MATCH("PAL",'General price list'!$C$20:$BA$20,0),FALSE),""))</f>
        <v/>
      </c>
      <c r="D1023" s="1" t="str">
        <f>IF(B1023="PAL","",IFERROR(VLOOKUP(B1023,'General price list'!C:BA,MATCH("OBJ",'General price list'!$C$20:$BA$20,0),FALSE),""))</f>
        <v/>
      </c>
      <c r="E1023" s="1">
        <f t="shared" si="91"/>
        <v>0</v>
      </c>
      <c r="F1023" s="1">
        <f t="shared" si="92"/>
        <v>0</v>
      </c>
      <c r="G1023" s="1">
        <f t="shared" si="93"/>
        <v>0</v>
      </c>
      <c r="H1023" s="1">
        <f t="shared" si="94"/>
        <v>0</v>
      </c>
      <c r="I1023" s="1">
        <f t="shared" si="95"/>
        <v>0</v>
      </c>
      <c r="J1023">
        <f>IF(B1023="PAL","",IFERROR(IF(C1023="",VLOOKUP(B1023,'General price list'!C:BA,MATCH("CBM",'General price list'!$C$20:$BA$20,0),FALSE)*D1023,VLOOKUP(B1023,'General price list'!C:BA,MATCH("CBM",'General price list'!$C$20:$BA$20,0),FALSE)*(G1023*C1023)),0))</f>
        <v>0</v>
      </c>
    </row>
    <row r="1024" spans="2:10" ht="15" customHeight="1">
      <c r="B1024" s="790">
        <f>IF(B1023="PAL","",'General price list'!C1044)</f>
        <v>0</v>
      </c>
      <c r="C1024" s="1" t="str">
        <f>IF(B1024="PAL","",IFERROR(VLOOKUP(B1024,'General price list'!C:BA,MATCH("PAL",'General price list'!$C$20:$BA$20,0),FALSE),""))</f>
        <v/>
      </c>
      <c r="D1024" s="1" t="str">
        <f>IF(B1024="PAL","",IFERROR(VLOOKUP(B1024,'General price list'!C:BA,MATCH("OBJ",'General price list'!$C$20:$BA$20,0),FALSE),""))</f>
        <v/>
      </c>
      <c r="E1024" s="1">
        <f t="shared" si="91"/>
        <v>0</v>
      </c>
      <c r="F1024" s="1">
        <f t="shared" si="92"/>
        <v>0</v>
      </c>
      <c r="G1024" s="1">
        <f t="shared" si="93"/>
        <v>0</v>
      </c>
      <c r="H1024" s="1">
        <f t="shared" si="94"/>
        <v>0</v>
      </c>
      <c r="I1024" s="1">
        <f t="shared" si="95"/>
        <v>0</v>
      </c>
      <c r="J1024">
        <f>IF(B1024="PAL","",IFERROR(IF(C1024="",VLOOKUP(B1024,'General price list'!C:BA,MATCH("CBM",'General price list'!$C$20:$BA$20,0),FALSE)*D1024,VLOOKUP(B1024,'General price list'!C:BA,MATCH("CBM",'General price list'!$C$20:$BA$20,0),FALSE)*(G1024*C1024)),0))</f>
        <v>0</v>
      </c>
    </row>
    <row r="1025" spans="2:10" ht="15" customHeight="1">
      <c r="B1025" s="790">
        <f>IF(B1024="PAL","",'General price list'!C1045)</f>
        <v>0</v>
      </c>
      <c r="C1025" s="1" t="str">
        <f>IF(B1025="PAL","",IFERROR(VLOOKUP(B1025,'General price list'!C:BA,MATCH("PAL",'General price list'!$C$20:$BA$20,0),FALSE),""))</f>
        <v/>
      </c>
      <c r="D1025" s="1" t="str">
        <f>IF(B1025="PAL","",IFERROR(VLOOKUP(B1025,'General price list'!C:BA,MATCH("OBJ",'General price list'!$C$20:$BA$20,0),FALSE),""))</f>
        <v/>
      </c>
      <c r="E1025" s="1">
        <f t="shared" si="91"/>
        <v>0</v>
      </c>
      <c r="F1025" s="1">
        <f t="shared" si="92"/>
        <v>0</v>
      </c>
      <c r="G1025" s="1">
        <f t="shared" si="93"/>
        <v>0</v>
      </c>
      <c r="H1025" s="1">
        <f t="shared" si="94"/>
        <v>0</v>
      </c>
      <c r="I1025" s="1">
        <f t="shared" si="95"/>
        <v>0</v>
      </c>
      <c r="J1025">
        <f>IF(B1025="PAL","",IFERROR(IF(C1025="",VLOOKUP(B1025,'General price list'!C:BA,MATCH("CBM",'General price list'!$C$20:$BA$20,0),FALSE)*D1025,VLOOKUP(B1025,'General price list'!C:BA,MATCH("CBM",'General price list'!$C$20:$BA$20,0),FALSE)*(G1025*C1025)),0))</f>
        <v>0</v>
      </c>
    </row>
    <row r="1026" spans="2:10" ht="15" customHeight="1">
      <c r="B1026" s="790">
        <f>IF(B1025="PAL","",'General price list'!C1046)</f>
        <v>0</v>
      </c>
      <c r="C1026" s="1" t="str">
        <f>IF(B1026="PAL","",IFERROR(VLOOKUP(B1026,'General price list'!C:BA,MATCH("PAL",'General price list'!$C$20:$BA$20,0),FALSE),""))</f>
        <v/>
      </c>
      <c r="D1026" s="1" t="str">
        <f>IF(B1026="PAL","",IFERROR(VLOOKUP(B1026,'General price list'!C:BA,MATCH("OBJ",'General price list'!$C$20:$BA$20,0),FALSE),""))</f>
        <v/>
      </c>
      <c r="E1026" s="1">
        <f t="shared" si="91"/>
        <v>0</v>
      </c>
      <c r="F1026" s="1">
        <f t="shared" si="92"/>
        <v>0</v>
      </c>
      <c r="G1026" s="1">
        <f t="shared" si="93"/>
        <v>0</v>
      </c>
      <c r="H1026" s="1">
        <f t="shared" si="94"/>
        <v>0</v>
      </c>
      <c r="I1026" s="1">
        <f t="shared" si="95"/>
        <v>0</v>
      </c>
      <c r="J1026">
        <f>IF(B1026="PAL","",IFERROR(IF(C1026="",VLOOKUP(B1026,'General price list'!C:BA,MATCH("CBM",'General price list'!$C$20:$BA$20,0),FALSE)*D1026,VLOOKUP(B1026,'General price list'!C:BA,MATCH("CBM",'General price list'!$C$20:$BA$20,0),FALSE)*(G1026*C1026)),0))</f>
        <v>0</v>
      </c>
    </row>
    <row r="1027" spans="2:10" ht="15" customHeight="1">
      <c r="B1027" s="790">
        <f>IF(B1026="PAL","",'General price list'!C1047)</f>
        <v>0</v>
      </c>
      <c r="C1027" s="1" t="str">
        <f>IF(B1027="PAL","",IFERROR(VLOOKUP(B1027,'General price list'!C:BA,MATCH("PAL",'General price list'!$C$20:$BA$20,0),FALSE),""))</f>
        <v/>
      </c>
      <c r="D1027" s="1" t="str">
        <f>IF(B1027="PAL","",IFERROR(VLOOKUP(B1027,'General price list'!C:BA,MATCH("OBJ",'General price list'!$C$20:$BA$20,0),FALSE),""))</f>
        <v/>
      </c>
      <c r="E1027" s="1">
        <f t="shared" si="91"/>
        <v>0</v>
      </c>
      <c r="F1027" s="1">
        <f t="shared" si="92"/>
        <v>0</v>
      </c>
      <c r="G1027" s="1">
        <f t="shared" si="93"/>
        <v>0</v>
      </c>
      <c r="H1027" s="1">
        <f t="shared" si="94"/>
        <v>0</v>
      </c>
      <c r="I1027" s="1">
        <f t="shared" si="95"/>
        <v>0</v>
      </c>
      <c r="J1027">
        <f>IF(B1027="PAL","",IFERROR(IF(C1027="",VLOOKUP(B1027,'General price list'!C:BA,MATCH("CBM",'General price list'!$C$20:$BA$20,0),FALSE)*D1027,VLOOKUP(B1027,'General price list'!C:BA,MATCH("CBM",'General price list'!$C$20:$BA$20,0),FALSE)*(G1027*C1027)),0))</f>
        <v>0</v>
      </c>
    </row>
    <row r="1028" spans="2:10" ht="15" customHeight="1">
      <c r="B1028" s="790">
        <f>IF(B1027="PAL","",'General price list'!C1048)</f>
        <v>0</v>
      </c>
      <c r="C1028" s="1" t="str">
        <f>IF(B1028="PAL","",IFERROR(VLOOKUP(B1028,'General price list'!C:BA,MATCH("PAL",'General price list'!$C$20:$BA$20,0),FALSE),""))</f>
        <v/>
      </c>
      <c r="D1028" s="1" t="str">
        <f>IF(B1028="PAL","",IFERROR(VLOOKUP(B1028,'General price list'!C:BA,MATCH("OBJ",'General price list'!$C$20:$BA$20,0),FALSE),""))</f>
        <v/>
      </c>
      <c r="E1028" s="1">
        <f t="shared" si="91"/>
        <v>0</v>
      </c>
      <c r="F1028" s="1">
        <f t="shared" si="92"/>
        <v>0</v>
      </c>
      <c r="G1028" s="1">
        <f t="shared" si="93"/>
        <v>0</v>
      </c>
      <c r="H1028" s="1">
        <f t="shared" si="94"/>
        <v>0</v>
      </c>
      <c r="I1028" s="1">
        <f t="shared" si="95"/>
        <v>0</v>
      </c>
      <c r="J1028">
        <f>IF(B1028="PAL","",IFERROR(IF(C1028="",VLOOKUP(B1028,'General price list'!C:BA,MATCH("CBM",'General price list'!$C$20:$BA$20,0),FALSE)*D1028,VLOOKUP(B1028,'General price list'!C:BA,MATCH("CBM",'General price list'!$C$20:$BA$20,0),FALSE)*(G1028*C1028)),0))</f>
        <v>0</v>
      </c>
    </row>
    <row r="1029" spans="2:10" ht="15" customHeight="1">
      <c r="B1029" s="790">
        <f>IF(B1028="PAL","",'General price list'!C1049)</f>
        <v>0</v>
      </c>
      <c r="C1029" s="1" t="str">
        <f>IF(B1029="PAL","",IFERROR(VLOOKUP(B1029,'General price list'!C:BA,MATCH("PAL",'General price list'!$C$20:$BA$20,0),FALSE),""))</f>
        <v/>
      </c>
      <c r="D1029" s="1" t="str">
        <f>IF(B1029="PAL","",IFERROR(VLOOKUP(B1029,'General price list'!C:BA,MATCH("OBJ",'General price list'!$C$20:$BA$20,0),FALSE),""))</f>
        <v/>
      </c>
      <c r="E1029" s="1">
        <f t="shared" si="91"/>
        <v>0</v>
      </c>
      <c r="F1029" s="1">
        <f t="shared" si="92"/>
        <v>0</v>
      </c>
      <c r="G1029" s="1">
        <f t="shared" si="93"/>
        <v>0</v>
      </c>
      <c r="H1029" s="1">
        <f t="shared" si="94"/>
        <v>0</v>
      </c>
      <c r="I1029" s="1">
        <f t="shared" si="95"/>
        <v>0</v>
      </c>
      <c r="J1029">
        <f>IF(B1029="PAL","",IFERROR(IF(C1029="",VLOOKUP(B1029,'General price list'!C:BA,MATCH("CBM",'General price list'!$C$20:$BA$20,0),FALSE)*D1029,VLOOKUP(B1029,'General price list'!C:BA,MATCH("CBM",'General price list'!$C$20:$BA$20,0),FALSE)*(G1029*C1029)),0))</f>
        <v>0</v>
      </c>
    </row>
    <row r="1030" spans="2:10" ht="15" customHeight="1">
      <c r="B1030" s="790">
        <f>IF(B1029="PAL","",'General price list'!C1050)</f>
        <v>0</v>
      </c>
      <c r="C1030" s="1" t="str">
        <f>IF(B1030="PAL","",IFERROR(VLOOKUP(B1030,'General price list'!C:BA,MATCH("PAL",'General price list'!$C$20:$BA$20,0),FALSE),""))</f>
        <v/>
      </c>
      <c r="D1030" s="1" t="str">
        <f>IF(B1030="PAL","",IFERROR(VLOOKUP(B1030,'General price list'!C:BA,MATCH("OBJ",'General price list'!$C$20:$BA$20,0),FALSE),""))</f>
        <v/>
      </c>
      <c r="E1030" s="1">
        <f t="shared" si="91"/>
        <v>0</v>
      </c>
      <c r="F1030" s="1">
        <f t="shared" si="92"/>
        <v>0</v>
      </c>
      <c r="G1030" s="1">
        <f t="shared" si="93"/>
        <v>0</v>
      </c>
      <c r="H1030" s="1">
        <f t="shared" si="94"/>
        <v>0</v>
      </c>
      <c r="I1030" s="1">
        <f t="shared" si="95"/>
        <v>0</v>
      </c>
      <c r="J1030">
        <f>IF(B1030="PAL","",IFERROR(IF(C1030="",VLOOKUP(B1030,'General price list'!C:BA,MATCH("CBM",'General price list'!$C$20:$BA$20,0),FALSE)*D1030,VLOOKUP(B1030,'General price list'!C:BA,MATCH("CBM",'General price list'!$C$20:$BA$20,0),FALSE)*(G1030*C1030)),0))</f>
        <v>0</v>
      </c>
    </row>
    <row r="1031" spans="2:10" ht="15" customHeight="1">
      <c r="B1031" s="790">
        <f>IF(B1030="PAL","",'General price list'!C1051)</f>
        <v>0</v>
      </c>
      <c r="C1031" s="1" t="str">
        <f>IF(B1031="PAL","",IFERROR(VLOOKUP(B1031,'General price list'!C:BA,MATCH("PAL",'General price list'!$C$20:$BA$20,0),FALSE),""))</f>
        <v/>
      </c>
      <c r="D1031" s="1" t="str">
        <f>IF(B1031="PAL","",IFERROR(VLOOKUP(B1031,'General price list'!C:BA,MATCH("OBJ",'General price list'!$C$20:$BA$20,0),FALSE),""))</f>
        <v/>
      </c>
      <c r="E1031" s="1">
        <f t="shared" si="91"/>
        <v>0</v>
      </c>
      <c r="F1031" s="1">
        <f t="shared" si="92"/>
        <v>0</v>
      </c>
      <c r="G1031" s="1">
        <f t="shared" si="93"/>
        <v>0</v>
      </c>
      <c r="H1031" s="1">
        <f t="shared" si="94"/>
        <v>0</v>
      </c>
      <c r="I1031" s="1">
        <f t="shared" si="95"/>
        <v>0</v>
      </c>
      <c r="J1031">
        <f>IF(B1031="PAL","",IFERROR(IF(C1031="",VLOOKUP(B1031,'General price list'!C:BA,MATCH("CBM",'General price list'!$C$20:$BA$20,0),FALSE)*D1031,VLOOKUP(B1031,'General price list'!C:BA,MATCH("CBM",'General price list'!$C$20:$BA$20,0),FALSE)*(G1031*C1031)),0))</f>
        <v>0</v>
      </c>
    </row>
    <row r="1032" spans="2:10" ht="15" customHeight="1">
      <c r="B1032" s="790">
        <f>IF(B1031="PAL","",'General price list'!C1052)</f>
        <v>0</v>
      </c>
      <c r="C1032" s="1" t="str">
        <f>IF(B1032="PAL","",IFERROR(VLOOKUP(B1032,'General price list'!C:BA,MATCH("PAL",'General price list'!$C$20:$BA$20,0),FALSE),""))</f>
        <v/>
      </c>
      <c r="D1032" s="1" t="str">
        <f>IF(B1032="PAL","",IFERROR(VLOOKUP(B1032,'General price list'!C:BA,MATCH("OBJ",'General price list'!$C$20:$BA$20,0),FALSE),""))</f>
        <v/>
      </c>
      <c r="E1032" s="1">
        <f t="shared" si="91"/>
        <v>0</v>
      </c>
      <c r="F1032" s="1">
        <f t="shared" si="92"/>
        <v>0</v>
      </c>
      <c r="G1032" s="1">
        <f t="shared" si="93"/>
        <v>0</v>
      </c>
      <c r="H1032" s="1">
        <f t="shared" si="94"/>
        <v>0</v>
      </c>
      <c r="I1032" s="1">
        <f t="shared" si="95"/>
        <v>0</v>
      </c>
      <c r="J1032">
        <f>IF(B1032="PAL","",IFERROR(IF(C1032="",VLOOKUP(B1032,'General price list'!C:BA,MATCH("CBM",'General price list'!$C$20:$BA$20,0),FALSE)*D1032,VLOOKUP(B1032,'General price list'!C:BA,MATCH("CBM",'General price list'!$C$20:$BA$20,0),FALSE)*(G1032*C1032)),0))</f>
        <v>0</v>
      </c>
    </row>
    <row r="1033" spans="2:10" ht="15" customHeight="1">
      <c r="B1033" s="790">
        <f>IF(B1032="PAL","",'General price list'!C1053)</f>
        <v>0</v>
      </c>
      <c r="C1033" s="1" t="str">
        <f>IF(B1033="PAL","",IFERROR(VLOOKUP(B1033,'General price list'!C:BA,MATCH("PAL",'General price list'!$C$20:$BA$20,0),FALSE),""))</f>
        <v/>
      </c>
      <c r="D1033" s="1" t="str">
        <f>IF(B1033="PAL","",IFERROR(VLOOKUP(B1033,'General price list'!C:BA,MATCH("OBJ",'General price list'!$C$20:$BA$20,0),FALSE),""))</f>
        <v/>
      </c>
      <c r="E1033" s="1">
        <f t="shared" si="91"/>
        <v>0</v>
      </c>
      <c r="F1033" s="1">
        <f t="shared" si="92"/>
        <v>0</v>
      </c>
      <c r="G1033" s="1">
        <f t="shared" si="93"/>
        <v>0</v>
      </c>
      <c r="H1033" s="1">
        <f t="shared" si="94"/>
        <v>0</v>
      </c>
      <c r="I1033" s="1">
        <f t="shared" si="95"/>
        <v>0</v>
      </c>
      <c r="J1033">
        <f>IF(B1033="PAL","",IFERROR(IF(C1033="",VLOOKUP(B1033,'General price list'!C:BA,MATCH("CBM",'General price list'!$C$20:$BA$20,0),FALSE)*D1033,VLOOKUP(B1033,'General price list'!C:BA,MATCH("CBM",'General price list'!$C$20:$BA$20,0),FALSE)*(G1033*C1033)),0))</f>
        <v>0</v>
      </c>
    </row>
    <row r="1034" spans="2:10" ht="15" customHeight="1">
      <c r="B1034" s="790">
        <f>IF(B1033="PAL","",'General price list'!C1054)</f>
        <v>0</v>
      </c>
      <c r="C1034" s="1" t="str">
        <f>IF(B1034="PAL","",IFERROR(VLOOKUP(B1034,'General price list'!C:BA,MATCH("PAL",'General price list'!$C$20:$BA$20,0),FALSE),""))</f>
        <v/>
      </c>
      <c r="D1034" s="1" t="str">
        <f>IF(B1034="PAL","",IFERROR(VLOOKUP(B1034,'General price list'!C:BA,MATCH("OBJ",'General price list'!$C$20:$BA$20,0),FALSE),""))</f>
        <v/>
      </c>
      <c r="E1034" s="1">
        <f t="shared" si="91"/>
        <v>0</v>
      </c>
      <c r="F1034" s="1">
        <f t="shared" si="92"/>
        <v>0</v>
      </c>
      <c r="G1034" s="1">
        <f t="shared" si="93"/>
        <v>0</v>
      </c>
      <c r="H1034" s="1">
        <f t="shared" si="94"/>
        <v>0</v>
      </c>
      <c r="I1034" s="1">
        <f t="shared" si="95"/>
        <v>0</v>
      </c>
      <c r="J1034">
        <f>IF(B1034="PAL","",IFERROR(IF(C1034="",VLOOKUP(B1034,'General price list'!C:BA,MATCH("CBM",'General price list'!$C$20:$BA$20,0),FALSE)*D1034,VLOOKUP(B1034,'General price list'!C:BA,MATCH("CBM",'General price list'!$C$20:$BA$20,0),FALSE)*(G1034*C1034)),0))</f>
        <v>0</v>
      </c>
    </row>
    <row r="1035" spans="2:10" ht="15" customHeight="1">
      <c r="B1035" s="790">
        <f>IF(B1034="PAL","",'General price list'!C1055)</f>
        <v>0</v>
      </c>
      <c r="C1035" s="1" t="str">
        <f>IF(B1035="PAL","",IFERROR(VLOOKUP(B1035,'General price list'!C:BA,MATCH("PAL",'General price list'!$C$20:$BA$20,0),FALSE),""))</f>
        <v/>
      </c>
      <c r="D1035" s="1" t="str">
        <f>IF(B1035="PAL","",IFERROR(VLOOKUP(B1035,'General price list'!C:BA,MATCH("OBJ",'General price list'!$C$20:$BA$20,0),FALSE),""))</f>
        <v/>
      </c>
      <c r="E1035" s="1">
        <f t="shared" si="91"/>
        <v>0</v>
      </c>
      <c r="F1035" s="1">
        <f t="shared" si="92"/>
        <v>0</v>
      </c>
      <c r="G1035" s="1">
        <f t="shared" si="93"/>
        <v>0</v>
      </c>
      <c r="H1035" s="1">
        <f t="shared" si="94"/>
        <v>0</v>
      </c>
      <c r="I1035" s="1">
        <f t="shared" si="95"/>
        <v>0</v>
      </c>
      <c r="J1035">
        <f>IF(B1035="PAL","",IFERROR(IF(C1035="",VLOOKUP(B1035,'General price list'!C:BA,MATCH("CBM",'General price list'!$C$20:$BA$20,0),FALSE)*D1035,VLOOKUP(B1035,'General price list'!C:BA,MATCH("CBM",'General price list'!$C$20:$BA$20,0),FALSE)*(G1035*C1035)),0))</f>
        <v>0</v>
      </c>
    </row>
    <row r="1036" spans="2:10" ht="15" customHeight="1">
      <c r="B1036" s="790">
        <f>IF(B1035="PAL","",'General price list'!C1056)</f>
        <v>0</v>
      </c>
      <c r="C1036" s="1" t="str">
        <f>IF(B1036="PAL","",IFERROR(VLOOKUP(B1036,'General price list'!C:BA,MATCH("PAL",'General price list'!$C$20:$BA$20,0),FALSE),""))</f>
        <v/>
      </c>
      <c r="D1036" s="1" t="str">
        <f>IF(B1036="PAL","",IFERROR(VLOOKUP(B1036,'General price list'!C:BA,MATCH("OBJ",'General price list'!$C$20:$BA$20,0),FALSE),""))</f>
        <v/>
      </c>
      <c r="E1036" s="1">
        <f t="shared" ref="E1036:E1099" si="96">IF(B1036="PAL","",IFERROR(D1036/C1036,0))</f>
        <v>0</v>
      </c>
      <c r="F1036" s="1">
        <f t="shared" ref="F1036:F1099" si="97">IF(B1036="PAL","",IFERROR(FLOOR(IF(E1036-1&lt;0,0,E1036),1),0))</f>
        <v>0</v>
      </c>
      <c r="G1036" s="1">
        <f t="shared" ref="G1036:G1099" si="98">IF(B1036="PAL","",IFERROR(IF(H1036&gt;E1036,F1036-E1036,E1036-F1036),0))</f>
        <v>0</v>
      </c>
      <c r="H1036" s="1">
        <f t="shared" ref="H1036:H1099" si="99">IF(B1036="PAL","",IFERROR(IF(E1036=0,0,F1036),0))</f>
        <v>0</v>
      </c>
      <c r="I1036" s="1">
        <f t="shared" ref="I1036:I1099" si="100">IF(B1036="PAL","",IFERROR(IF(D1036=0,0,IF(F1036=0,(D1036*nextVK)+(prvniVK-nextVK),(G1036*C1036*nextVK)+(F1036*PALzKoje))),0))</f>
        <v>0</v>
      </c>
      <c r="J1036">
        <f>IF(B1036="PAL","",IFERROR(IF(C1036="",VLOOKUP(B1036,'General price list'!C:BA,MATCH("CBM",'General price list'!$C$20:$BA$20,0),FALSE)*D1036,VLOOKUP(B1036,'General price list'!C:BA,MATCH("CBM",'General price list'!$C$20:$BA$20,0),FALSE)*(G1036*C1036)),0))</f>
        <v>0</v>
      </c>
    </row>
    <row r="1037" spans="2:10" ht="15" customHeight="1">
      <c r="B1037" s="790">
        <f>IF(B1036="PAL","",'General price list'!C1057)</f>
        <v>0</v>
      </c>
      <c r="C1037" s="1" t="str">
        <f>IF(B1037="PAL","",IFERROR(VLOOKUP(B1037,'General price list'!C:BA,MATCH("PAL",'General price list'!$C$20:$BA$20,0),FALSE),""))</f>
        <v/>
      </c>
      <c r="D1037" s="1" t="str">
        <f>IF(B1037="PAL","",IFERROR(VLOOKUP(B1037,'General price list'!C:BA,MATCH("OBJ",'General price list'!$C$20:$BA$20,0),FALSE),""))</f>
        <v/>
      </c>
      <c r="E1037" s="1">
        <f t="shared" si="96"/>
        <v>0</v>
      </c>
      <c r="F1037" s="1">
        <f t="shared" si="97"/>
        <v>0</v>
      </c>
      <c r="G1037" s="1">
        <f t="shared" si="98"/>
        <v>0</v>
      </c>
      <c r="H1037" s="1">
        <f t="shared" si="99"/>
        <v>0</v>
      </c>
      <c r="I1037" s="1">
        <f t="shared" si="100"/>
        <v>0</v>
      </c>
      <c r="J1037">
        <f>IF(B1037="PAL","",IFERROR(IF(C1037="",VLOOKUP(B1037,'General price list'!C:BA,MATCH("CBM",'General price list'!$C$20:$BA$20,0),FALSE)*D1037,VLOOKUP(B1037,'General price list'!C:BA,MATCH("CBM",'General price list'!$C$20:$BA$20,0),FALSE)*(G1037*C1037)),0))</f>
        <v>0</v>
      </c>
    </row>
    <row r="1038" spans="2:10" ht="15" customHeight="1">
      <c r="B1038" s="790">
        <f>IF(B1037="PAL","",'General price list'!C1058)</f>
        <v>0</v>
      </c>
      <c r="C1038" s="1" t="str">
        <f>IF(B1038="PAL","",IFERROR(VLOOKUP(B1038,'General price list'!C:BA,MATCH("PAL",'General price list'!$C$20:$BA$20,0),FALSE),""))</f>
        <v/>
      </c>
      <c r="D1038" s="1" t="str">
        <f>IF(B1038="PAL","",IFERROR(VLOOKUP(B1038,'General price list'!C:BA,MATCH("OBJ",'General price list'!$C$20:$BA$20,0),FALSE),""))</f>
        <v/>
      </c>
      <c r="E1038" s="1">
        <f t="shared" si="96"/>
        <v>0</v>
      </c>
      <c r="F1038" s="1">
        <f t="shared" si="97"/>
        <v>0</v>
      </c>
      <c r="G1038" s="1">
        <f t="shared" si="98"/>
        <v>0</v>
      </c>
      <c r="H1038" s="1">
        <f t="shared" si="99"/>
        <v>0</v>
      </c>
      <c r="I1038" s="1">
        <f t="shared" si="100"/>
        <v>0</v>
      </c>
      <c r="J1038">
        <f>IF(B1038="PAL","",IFERROR(IF(C1038="",VLOOKUP(B1038,'General price list'!C:BA,MATCH("CBM",'General price list'!$C$20:$BA$20,0),FALSE)*D1038,VLOOKUP(B1038,'General price list'!C:BA,MATCH("CBM",'General price list'!$C$20:$BA$20,0),FALSE)*(G1038*C1038)),0))</f>
        <v>0</v>
      </c>
    </row>
    <row r="1039" spans="2:10" ht="15" customHeight="1">
      <c r="B1039" s="790">
        <f>IF(B1038="PAL","",'General price list'!C1059)</f>
        <v>0</v>
      </c>
      <c r="C1039" s="1" t="str">
        <f>IF(B1039="PAL","",IFERROR(VLOOKUP(B1039,'General price list'!C:BA,MATCH("PAL",'General price list'!$C$20:$BA$20,0),FALSE),""))</f>
        <v/>
      </c>
      <c r="D1039" s="1" t="str">
        <f>IF(B1039="PAL","",IFERROR(VLOOKUP(B1039,'General price list'!C:BA,MATCH("OBJ",'General price list'!$C$20:$BA$20,0),FALSE),""))</f>
        <v/>
      </c>
      <c r="E1039" s="1">
        <f t="shared" si="96"/>
        <v>0</v>
      </c>
      <c r="F1039" s="1">
        <f t="shared" si="97"/>
        <v>0</v>
      </c>
      <c r="G1039" s="1">
        <f t="shared" si="98"/>
        <v>0</v>
      </c>
      <c r="H1039" s="1">
        <f t="shared" si="99"/>
        <v>0</v>
      </c>
      <c r="I1039" s="1">
        <f t="shared" si="100"/>
        <v>0</v>
      </c>
      <c r="J1039">
        <f>IF(B1039="PAL","",IFERROR(IF(C1039="",VLOOKUP(B1039,'General price list'!C:BA,MATCH("CBM",'General price list'!$C$20:$BA$20,0),FALSE)*D1039,VLOOKUP(B1039,'General price list'!C:BA,MATCH("CBM",'General price list'!$C$20:$BA$20,0),FALSE)*(G1039*C1039)),0))</f>
        <v>0</v>
      </c>
    </row>
    <row r="1040" spans="2:10" ht="15" customHeight="1">
      <c r="B1040" s="790">
        <f>IF(B1039="PAL","",'General price list'!C1060)</f>
        <v>0</v>
      </c>
      <c r="C1040" s="1" t="str">
        <f>IF(B1040="PAL","",IFERROR(VLOOKUP(B1040,'General price list'!C:BA,MATCH("PAL",'General price list'!$C$20:$BA$20,0),FALSE),""))</f>
        <v/>
      </c>
      <c r="D1040" s="1" t="str">
        <f>IF(B1040="PAL","",IFERROR(VLOOKUP(B1040,'General price list'!C:BA,MATCH("OBJ",'General price list'!$C$20:$BA$20,0),FALSE),""))</f>
        <v/>
      </c>
      <c r="E1040" s="1">
        <f t="shared" si="96"/>
        <v>0</v>
      </c>
      <c r="F1040" s="1">
        <f t="shared" si="97"/>
        <v>0</v>
      </c>
      <c r="G1040" s="1">
        <f t="shared" si="98"/>
        <v>0</v>
      </c>
      <c r="H1040" s="1">
        <f t="shared" si="99"/>
        <v>0</v>
      </c>
      <c r="I1040" s="1">
        <f t="shared" si="100"/>
        <v>0</v>
      </c>
      <c r="J1040">
        <f>IF(B1040="PAL","",IFERROR(IF(C1040="",VLOOKUP(B1040,'General price list'!C:BA,MATCH("CBM",'General price list'!$C$20:$BA$20,0),FALSE)*D1040,VLOOKUP(B1040,'General price list'!C:BA,MATCH("CBM",'General price list'!$C$20:$BA$20,0),FALSE)*(G1040*C1040)),0))</f>
        <v>0</v>
      </c>
    </row>
    <row r="1041" spans="2:10" ht="15" customHeight="1">
      <c r="B1041" s="790">
        <f>IF(B1040="PAL","",'General price list'!C1061)</f>
        <v>0</v>
      </c>
      <c r="C1041" s="1" t="str">
        <f>IF(B1041="PAL","",IFERROR(VLOOKUP(B1041,'General price list'!C:BA,MATCH("PAL",'General price list'!$C$20:$BA$20,0),FALSE),""))</f>
        <v/>
      </c>
      <c r="D1041" s="1" t="str">
        <f>IF(B1041="PAL","",IFERROR(VLOOKUP(B1041,'General price list'!C:BA,MATCH("OBJ",'General price list'!$C$20:$BA$20,0),FALSE),""))</f>
        <v/>
      </c>
      <c r="E1041" s="1">
        <f t="shared" si="96"/>
        <v>0</v>
      </c>
      <c r="F1041" s="1">
        <f t="shared" si="97"/>
        <v>0</v>
      </c>
      <c r="G1041" s="1">
        <f t="shared" si="98"/>
        <v>0</v>
      </c>
      <c r="H1041" s="1">
        <f t="shared" si="99"/>
        <v>0</v>
      </c>
      <c r="I1041" s="1">
        <f t="shared" si="100"/>
        <v>0</v>
      </c>
      <c r="J1041">
        <f>IF(B1041="PAL","",IFERROR(IF(C1041="",VLOOKUP(B1041,'General price list'!C:BA,MATCH("CBM",'General price list'!$C$20:$BA$20,0),FALSE)*D1041,VLOOKUP(B1041,'General price list'!C:BA,MATCH("CBM",'General price list'!$C$20:$BA$20,0),FALSE)*(G1041*C1041)),0))</f>
        <v>0</v>
      </c>
    </row>
    <row r="1042" spans="2:10" ht="15" customHeight="1">
      <c r="B1042" s="790">
        <f>IF(B1041="PAL","",'General price list'!C1062)</f>
        <v>0</v>
      </c>
      <c r="C1042" s="1" t="str">
        <f>IF(B1042="PAL","",IFERROR(VLOOKUP(B1042,'General price list'!C:BA,MATCH("PAL",'General price list'!$C$20:$BA$20,0),FALSE),""))</f>
        <v/>
      </c>
      <c r="D1042" s="1" t="str">
        <f>IF(B1042="PAL","",IFERROR(VLOOKUP(B1042,'General price list'!C:BA,MATCH("OBJ",'General price list'!$C$20:$BA$20,0),FALSE),""))</f>
        <v/>
      </c>
      <c r="E1042" s="1">
        <f t="shared" si="96"/>
        <v>0</v>
      </c>
      <c r="F1042" s="1">
        <f t="shared" si="97"/>
        <v>0</v>
      </c>
      <c r="G1042" s="1">
        <f t="shared" si="98"/>
        <v>0</v>
      </c>
      <c r="H1042" s="1">
        <f t="shared" si="99"/>
        <v>0</v>
      </c>
      <c r="I1042" s="1">
        <f t="shared" si="100"/>
        <v>0</v>
      </c>
      <c r="J1042">
        <f>IF(B1042="PAL","",IFERROR(IF(C1042="",VLOOKUP(B1042,'General price list'!C:BA,MATCH("CBM",'General price list'!$C$20:$BA$20,0),FALSE)*D1042,VLOOKUP(B1042,'General price list'!C:BA,MATCH("CBM",'General price list'!$C$20:$BA$20,0),FALSE)*(G1042*C1042)),0))</f>
        <v>0</v>
      </c>
    </row>
    <row r="1043" spans="2:10" ht="15" customHeight="1">
      <c r="B1043" s="790">
        <f>IF(B1042="PAL","",'General price list'!C1063)</f>
        <v>0</v>
      </c>
      <c r="C1043" s="1" t="str">
        <f>IF(B1043="PAL","",IFERROR(VLOOKUP(B1043,'General price list'!C:BA,MATCH("PAL",'General price list'!$C$20:$BA$20,0),FALSE),""))</f>
        <v/>
      </c>
      <c r="D1043" s="1" t="str">
        <f>IF(B1043="PAL","",IFERROR(VLOOKUP(B1043,'General price list'!C:BA,MATCH("OBJ",'General price list'!$C$20:$BA$20,0),FALSE),""))</f>
        <v/>
      </c>
      <c r="E1043" s="1">
        <f t="shared" si="96"/>
        <v>0</v>
      </c>
      <c r="F1043" s="1">
        <f t="shared" si="97"/>
        <v>0</v>
      </c>
      <c r="G1043" s="1">
        <f t="shared" si="98"/>
        <v>0</v>
      </c>
      <c r="H1043" s="1">
        <f t="shared" si="99"/>
        <v>0</v>
      </c>
      <c r="I1043" s="1">
        <f t="shared" si="100"/>
        <v>0</v>
      </c>
      <c r="J1043">
        <f>IF(B1043="PAL","",IFERROR(IF(C1043="",VLOOKUP(B1043,'General price list'!C:BA,MATCH("CBM",'General price list'!$C$20:$BA$20,0),FALSE)*D1043,VLOOKUP(B1043,'General price list'!C:BA,MATCH("CBM",'General price list'!$C$20:$BA$20,0),FALSE)*(G1043*C1043)),0))</f>
        <v>0</v>
      </c>
    </row>
    <row r="1044" spans="2:10" ht="15" customHeight="1">
      <c r="B1044" s="790">
        <f>IF(B1043="PAL","",'General price list'!C1064)</f>
        <v>0</v>
      </c>
      <c r="C1044" s="1" t="str">
        <f>IF(B1044="PAL","",IFERROR(VLOOKUP(B1044,'General price list'!C:BA,MATCH("PAL",'General price list'!$C$20:$BA$20,0),FALSE),""))</f>
        <v/>
      </c>
      <c r="D1044" s="1" t="str">
        <f>IF(B1044="PAL","",IFERROR(VLOOKUP(B1044,'General price list'!C:BA,MATCH("OBJ",'General price list'!$C$20:$BA$20,0),FALSE),""))</f>
        <v/>
      </c>
      <c r="E1044" s="1">
        <f t="shared" si="96"/>
        <v>0</v>
      </c>
      <c r="F1044" s="1">
        <f t="shared" si="97"/>
        <v>0</v>
      </c>
      <c r="G1044" s="1">
        <f t="shared" si="98"/>
        <v>0</v>
      </c>
      <c r="H1044" s="1">
        <f t="shared" si="99"/>
        <v>0</v>
      </c>
      <c r="I1044" s="1">
        <f t="shared" si="100"/>
        <v>0</v>
      </c>
      <c r="J1044">
        <f>IF(B1044="PAL","",IFERROR(IF(C1044="",VLOOKUP(B1044,'General price list'!C:BA,MATCH("CBM",'General price list'!$C$20:$BA$20,0),FALSE)*D1044,VLOOKUP(B1044,'General price list'!C:BA,MATCH("CBM",'General price list'!$C$20:$BA$20,0),FALSE)*(G1044*C1044)),0))</f>
        <v>0</v>
      </c>
    </row>
    <row r="1045" spans="2:10" ht="15" customHeight="1">
      <c r="B1045" s="790">
        <f>IF(B1044="PAL","",'General price list'!C1065)</f>
        <v>0</v>
      </c>
      <c r="C1045" s="1" t="str">
        <f>IF(B1045="PAL","",IFERROR(VLOOKUP(B1045,'General price list'!C:BA,MATCH("PAL",'General price list'!$C$20:$BA$20,0),FALSE),""))</f>
        <v/>
      </c>
      <c r="D1045" s="1" t="str">
        <f>IF(B1045="PAL","",IFERROR(VLOOKUP(B1045,'General price list'!C:BA,MATCH("OBJ",'General price list'!$C$20:$BA$20,0),FALSE),""))</f>
        <v/>
      </c>
      <c r="E1045" s="1">
        <f t="shared" si="96"/>
        <v>0</v>
      </c>
      <c r="F1045" s="1">
        <f t="shared" si="97"/>
        <v>0</v>
      </c>
      <c r="G1045" s="1">
        <f t="shared" si="98"/>
        <v>0</v>
      </c>
      <c r="H1045" s="1">
        <f t="shared" si="99"/>
        <v>0</v>
      </c>
      <c r="I1045" s="1">
        <f t="shared" si="100"/>
        <v>0</v>
      </c>
      <c r="J1045">
        <f>IF(B1045="PAL","",IFERROR(IF(C1045="",VLOOKUP(B1045,'General price list'!C:BA,MATCH("CBM",'General price list'!$C$20:$BA$20,0),FALSE)*D1045,VLOOKUP(B1045,'General price list'!C:BA,MATCH("CBM",'General price list'!$C$20:$BA$20,0),FALSE)*(G1045*C1045)),0))</f>
        <v>0</v>
      </c>
    </row>
    <row r="1046" spans="2:10" ht="15" customHeight="1">
      <c r="B1046" s="790">
        <f>IF(B1045="PAL","",'General price list'!C1066)</f>
        <v>0</v>
      </c>
      <c r="C1046" s="1" t="str">
        <f>IF(B1046="PAL","",IFERROR(VLOOKUP(B1046,'General price list'!C:BA,MATCH("PAL",'General price list'!$C$20:$BA$20,0),FALSE),""))</f>
        <v/>
      </c>
      <c r="D1046" s="1" t="str">
        <f>IF(B1046="PAL","",IFERROR(VLOOKUP(B1046,'General price list'!C:BA,MATCH("OBJ",'General price list'!$C$20:$BA$20,0),FALSE),""))</f>
        <v/>
      </c>
      <c r="E1046" s="1">
        <f t="shared" si="96"/>
        <v>0</v>
      </c>
      <c r="F1046" s="1">
        <f t="shared" si="97"/>
        <v>0</v>
      </c>
      <c r="G1046" s="1">
        <f t="shared" si="98"/>
        <v>0</v>
      </c>
      <c r="H1046" s="1">
        <f t="shared" si="99"/>
        <v>0</v>
      </c>
      <c r="I1046" s="1">
        <f t="shared" si="100"/>
        <v>0</v>
      </c>
      <c r="J1046">
        <f>IF(B1046="PAL","",IFERROR(IF(C1046="",VLOOKUP(B1046,'General price list'!C:BA,MATCH("CBM",'General price list'!$C$20:$BA$20,0),FALSE)*D1046,VLOOKUP(B1046,'General price list'!C:BA,MATCH("CBM",'General price list'!$C$20:$BA$20,0),FALSE)*(G1046*C1046)),0))</f>
        <v>0</v>
      </c>
    </row>
    <row r="1047" spans="2:10" ht="15" customHeight="1">
      <c r="B1047" s="790">
        <f>IF(B1046="PAL","",'General price list'!C1067)</f>
        <v>0</v>
      </c>
      <c r="C1047" s="1" t="str">
        <f>IF(B1047="PAL","",IFERROR(VLOOKUP(B1047,'General price list'!C:BA,MATCH("PAL",'General price list'!$C$20:$BA$20,0),FALSE),""))</f>
        <v/>
      </c>
      <c r="D1047" s="1" t="str">
        <f>IF(B1047="PAL","",IFERROR(VLOOKUP(B1047,'General price list'!C:BA,MATCH("OBJ",'General price list'!$C$20:$BA$20,0),FALSE),""))</f>
        <v/>
      </c>
      <c r="E1047" s="1">
        <f t="shared" si="96"/>
        <v>0</v>
      </c>
      <c r="F1047" s="1">
        <f t="shared" si="97"/>
        <v>0</v>
      </c>
      <c r="G1047" s="1">
        <f t="shared" si="98"/>
        <v>0</v>
      </c>
      <c r="H1047" s="1">
        <f t="shared" si="99"/>
        <v>0</v>
      </c>
      <c r="I1047" s="1">
        <f t="shared" si="100"/>
        <v>0</v>
      </c>
      <c r="J1047">
        <f>IF(B1047="PAL","",IFERROR(IF(C1047="",VLOOKUP(B1047,'General price list'!C:BA,MATCH("CBM",'General price list'!$C$20:$BA$20,0),FALSE)*D1047,VLOOKUP(B1047,'General price list'!C:BA,MATCH("CBM",'General price list'!$C$20:$BA$20,0),FALSE)*(G1047*C1047)),0))</f>
        <v>0</v>
      </c>
    </row>
    <row r="1048" spans="2:10" ht="15" customHeight="1">
      <c r="B1048" s="790">
        <f>IF(B1047="PAL","",'General price list'!C1068)</f>
        <v>0</v>
      </c>
      <c r="C1048" s="1" t="str">
        <f>IF(B1048="PAL","",IFERROR(VLOOKUP(B1048,'General price list'!C:BA,MATCH("PAL",'General price list'!$C$20:$BA$20,0),FALSE),""))</f>
        <v/>
      </c>
      <c r="D1048" s="1" t="str">
        <f>IF(B1048="PAL","",IFERROR(VLOOKUP(B1048,'General price list'!C:BA,MATCH("OBJ",'General price list'!$C$20:$BA$20,0),FALSE),""))</f>
        <v/>
      </c>
      <c r="E1048" s="1">
        <f t="shared" si="96"/>
        <v>0</v>
      </c>
      <c r="F1048" s="1">
        <f t="shared" si="97"/>
        <v>0</v>
      </c>
      <c r="G1048" s="1">
        <f t="shared" si="98"/>
        <v>0</v>
      </c>
      <c r="H1048" s="1">
        <f t="shared" si="99"/>
        <v>0</v>
      </c>
      <c r="I1048" s="1">
        <f t="shared" si="100"/>
        <v>0</v>
      </c>
      <c r="J1048">
        <f>IF(B1048="PAL","",IFERROR(IF(C1048="",VLOOKUP(B1048,'General price list'!C:BA,MATCH("CBM",'General price list'!$C$20:$BA$20,0),FALSE)*D1048,VLOOKUP(B1048,'General price list'!C:BA,MATCH("CBM",'General price list'!$C$20:$BA$20,0),FALSE)*(G1048*C1048)),0))</f>
        <v>0</v>
      </c>
    </row>
    <row r="1049" spans="2:10" ht="15" customHeight="1">
      <c r="B1049" s="790">
        <f>IF(B1048="PAL","",'General price list'!C1069)</f>
        <v>0</v>
      </c>
      <c r="C1049" s="1" t="str">
        <f>IF(B1049="PAL","",IFERROR(VLOOKUP(B1049,'General price list'!C:BA,MATCH("PAL",'General price list'!$C$20:$BA$20,0),FALSE),""))</f>
        <v/>
      </c>
      <c r="D1049" s="1" t="str">
        <f>IF(B1049="PAL","",IFERROR(VLOOKUP(B1049,'General price list'!C:BA,MATCH("OBJ",'General price list'!$C$20:$BA$20,0),FALSE),""))</f>
        <v/>
      </c>
      <c r="E1049" s="1">
        <f t="shared" si="96"/>
        <v>0</v>
      </c>
      <c r="F1049" s="1">
        <f t="shared" si="97"/>
        <v>0</v>
      </c>
      <c r="G1049" s="1">
        <f t="shared" si="98"/>
        <v>0</v>
      </c>
      <c r="H1049" s="1">
        <f t="shared" si="99"/>
        <v>0</v>
      </c>
      <c r="I1049" s="1">
        <f t="shared" si="100"/>
        <v>0</v>
      </c>
      <c r="J1049">
        <f>IF(B1049="PAL","",IFERROR(IF(C1049="",VLOOKUP(B1049,'General price list'!C:BA,MATCH("CBM",'General price list'!$C$20:$BA$20,0),FALSE)*D1049,VLOOKUP(B1049,'General price list'!C:BA,MATCH("CBM",'General price list'!$C$20:$BA$20,0),FALSE)*(G1049*C1049)),0))</f>
        <v>0</v>
      </c>
    </row>
    <row r="1050" spans="2:10" ht="15" customHeight="1">
      <c r="B1050" s="790">
        <f>IF(B1049="PAL","",'General price list'!C1070)</f>
        <v>0</v>
      </c>
      <c r="C1050" s="1" t="str">
        <f>IF(B1050="PAL","",IFERROR(VLOOKUP(B1050,'General price list'!C:BA,MATCH("PAL",'General price list'!$C$20:$BA$20,0),FALSE),""))</f>
        <v/>
      </c>
      <c r="D1050" s="1" t="str">
        <f>IF(B1050="PAL","",IFERROR(VLOOKUP(B1050,'General price list'!C:BA,MATCH("OBJ",'General price list'!$C$20:$BA$20,0),FALSE),""))</f>
        <v/>
      </c>
      <c r="E1050" s="1">
        <f t="shared" si="96"/>
        <v>0</v>
      </c>
      <c r="F1050" s="1">
        <f t="shared" si="97"/>
        <v>0</v>
      </c>
      <c r="G1050" s="1">
        <f t="shared" si="98"/>
        <v>0</v>
      </c>
      <c r="H1050" s="1">
        <f t="shared" si="99"/>
        <v>0</v>
      </c>
      <c r="I1050" s="1">
        <f t="shared" si="100"/>
        <v>0</v>
      </c>
      <c r="J1050">
        <f>IF(B1050="PAL","",IFERROR(IF(C1050="",VLOOKUP(B1050,'General price list'!C:BA,MATCH("CBM",'General price list'!$C$20:$BA$20,0),FALSE)*D1050,VLOOKUP(B1050,'General price list'!C:BA,MATCH("CBM",'General price list'!$C$20:$BA$20,0),FALSE)*(G1050*C1050)),0))</f>
        <v>0</v>
      </c>
    </row>
    <row r="1051" spans="2:10" ht="15" customHeight="1">
      <c r="B1051" s="790">
        <f>IF(B1050="PAL","",'General price list'!C1071)</f>
        <v>0</v>
      </c>
      <c r="C1051" s="1" t="str">
        <f>IF(B1051="PAL","",IFERROR(VLOOKUP(B1051,'General price list'!C:BA,MATCH("PAL",'General price list'!$C$20:$BA$20,0),FALSE),""))</f>
        <v/>
      </c>
      <c r="D1051" s="1" t="str">
        <f>IF(B1051="PAL","",IFERROR(VLOOKUP(B1051,'General price list'!C:BA,MATCH("OBJ",'General price list'!$C$20:$BA$20,0),FALSE),""))</f>
        <v/>
      </c>
      <c r="E1051" s="1">
        <f t="shared" si="96"/>
        <v>0</v>
      </c>
      <c r="F1051" s="1">
        <f t="shared" si="97"/>
        <v>0</v>
      </c>
      <c r="G1051" s="1">
        <f t="shared" si="98"/>
        <v>0</v>
      </c>
      <c r="H1051" s="1">
        <f t="shared" si="99"/>
        <v>0</v>
      </c>
      <c r="I1051" s="1">
        <f t="shared" si="100"/>
        <v>0</v>
      </c>
      <c r="J1051">
        <f>IF(B1051="PAL","",IFERROR(IF(C1051="",VLOOKUP(B1051,'General price list'!C:BA,MATCH("CBM",'General price list'!$C$20:$BA$20,0),FALSE)*D1051,VLOOKUP(B1051,'General price list'!C:BA,MATCH("CBM",'General price list'!$C$20:$BA$20,0),FALSE)*(G1051*C1051)),0))</f>
        <v>0</v>
      </c>
    </row>
    <row r="1052" spans="2:10" ht="15" customHeight="1">
      <c r="B1052" s="790">
        <f>IF(B1051="PAL","",'General price list'!C1072)</f>
        <v>0</v>
      </c>
      <c r="C1052" s="1" t="str">
        <f>IF(B1052="PAL","",IFERROR(VLOOKUP(B1052,'General price list'!C:BA,MATCH("PAL",'General price list'!$C$20:$BA$20,0),FALSE),""))</f>
        <v/>
      </c>
      <c r="D1052" s="1" t="str">
        <f>IF(B1052="PAL","",IFERROR(VLOOKUP(B1052,'General price list'!C:BA,MATCH("OBJ",'General price list'!$C$20:$BA$20,0),FALSE),""))</f>
        <v/>
      </c>
      <c r="E1052" s="1">
        <f t="shared" si="96"/>
        <v>0</v>
      </c>
      <c r="F1052" s="1">
        <f t="shared" si="97"/>
        <v>0</v>
      </c>
      <c r="G1052" s="1">
        <f t="shared" si="98"/>
        <v>0</v>
      </c>
      <c r="H1052" s="1">
        <f t="shared" si="99"/>
        <v>0</v>
      </c>
      <c r="I1052" s="1">
        <f t="shared" si="100"/>
        <v>0</v>
      </c>
      <c r="J1052">
        <f>IF(B1052="PAL","",IFERROR(IF(C1052="",VLOOKUP(B1052,'General price list'!C:BA,MATCH("CBM",'General price list'!$C$20:$BA$20,0),FALSE)*D1052,VLOOKUP(B1052,'General price list'!C:BA,MATCH("CBM",'General price list'!$C$20:$BA$20,0),FALSE)*(G1052*C1052)),0))</f>
        <v>0</v>
      </c>
    </row>
    <row r="1053" spans="2:10" ht="15" customHeight="1">
      <c r="B1053" s="790">
        <f>IF(B1052="PAL","",'General price list'!C1073)</f>
        <v>0</v>
      </c>
      <c r="C1053" s="1" t="str">
        <f>IF(B1053="PAL","",IFERROR(VLOOKUP(B1053,'General price list'!C:BA,MATCH("PAL",'General price list'!$C$20:$BA$20,0),FALSE),""))</f>
        <v/>
      </c>
      <c r="D1053" s="1" t="str">
        <f>IF(B1053="PAL","",IFERROR(VLOOKUP(B1053,'General price list'!C:BA,MATCH("OBJ",'General price list'!$C$20:$BA$20,0),FALSE),""))</f>
        <v/>
      </c>
      <c r="E1053" s="1">
        <f t="shared" si="96"/>
        <v>0</v>
      </c>
      <c r="F1053" s="1">
        <f t="shared" si="97"/>
        <v>0</v>
      </c>
      <c r="G1053" s="1">
        <f t="shared" si="98"/>
        <v>0</v>
      </c>
      <c r="H1053" s="1">
        <f t="shared" si="99"/>
        <v>0</v>
      </c>
      <c r="I1053" s="1">
        <f t="shared" si="100"/>
        <v>0</v>
      </c>
      <c r="J1053">
        <f>IF(B1053="PAL","",IFERROR(IF(C1053="",VLOOKUP(B1053,'General price list'!C:BA,MATCH("CBM",'General price list'!$C$20:$BA$20,0),FALSE)*D1053,VLOOKUP(B1053,'General price list'!C:BA,MATCH("CBM",'General price list'!$C$20:$BA$20,0),FALSE)*(G1053*C1053)),0))</f>
        <v>0</v>
      </c>
    </row>
    <row r="1054" spans="2:10" ht="15" customHeight="1">
      <c r="B1054" s="790">
        <f>IF(B1053="PAL","",'General price list'!C1074)</f>
        <v>0</v>
      </c>
      <c r="C1054" s="1" t="str">
        <f>IF(B1054="PAL","",IFERROR(VLOOKUP(B1054,'General price list'!C:BA,MATCH("PAL",'General price list'!$C$20:$BA$20,0),FALSE),""))</f>
        <v/>
      </c>
      <c r="D1054" s="1" t="str">
        <f>IF(B1054="PAL","",IFERROR(VLOOKUP(B1054,'General price list'!C:BA,MATCH("OBJ",'General price list'!$C$20:$BA$20,0),FALSE),""))</f>
        <v/>
      </c>
      <c r="E1054" s="1">
        <f t="shared" si="96"/>
        <v>0</v>
      </c>
      <c r="F1054" s="1">
        <f t="shared" si="97"/>
        <v>0</v>
      </c>
      <c r="G1054" s="1">
        <f t="shared" si="98"/>
        <v>0</v>
      </c>
      <c r="H1054" s="1">
        <f t="shared" si="99"/>
        <v>0</v>
      </c>
      <c r="I1054" s="1">
        <f t="shared" si="100"/>
        <v>0</v>
      </c>
      <c r="J1054">
        <f>IF(B1054="PAL","",IFERROR(IF(C1054="",VLOOKUP(B1054,'General price list'!C:BA,MATCH("CBM",'General price list'!$C$20:$BA$20,0),FALSE)*D1054,VLOOKUP(B1054,'General price list'!C:BA,MATCH("CBM",'General price list'!$C$20:$BA$20,0),FALSE)*(G1054*C1054)),0))</f>
        <v>0</v>
      </c>
    </row>
    <row r="1055" spans="2:10" ht="15" customHeight="1">
      <c r="B1055" s="790">
        <f>IF(B1054="PAL","",'General price list'!C1075)</f>
        <v>0</v>
      </c>
      <c r="C1055" s="1" t="str">
        <f>IF(B1055="PAL","",IFERROR(VLOOKUP(B1055,'General price list'!C:BA,MATCH("PAL",'General price list'!$C$20:$BA$20,0),FALSE),""))</f>
        <v/>
      </c>
      <c r="D1055" s="1" t="str">
        <f>IF(B1055="PAL","",IFERROR(VLOOKUP(B1055,'General price list'!C:BA,MATCH("OBJ",'General price list'!$C$20:$BA$20,0),FALSE),""))</f>
        <v/>
      </c>
      <c r="E1055" s="1">
        <f t="shared" si="96"/>
        <v>0</v>
      </c>
      <c r="F1055" s="1">
        <f t="shared" si="97"/>
        <v>0</v>
      </c>
      <c r="G1055" s="1">
        <f t="shared" si="98"/>
        <v>0</v>
      </c>
      <c r="H1055" s="1">
        <f t="shared" si="99"/>
        <v>0</v>
      </c>
      <c r="I1055" s="1">
        <f t="shared" si="100"/>
        <v>0</v>
      </c>
      <c r="J1055">
        <f>IF(B1055="PAL","",IFERROR(IF(C1055="",VLOOKUP(B1055,'General price list'!C:BA,MATCH("CBM",'General price list'!$C$20:$BA$20,0),FALSE)*D1055,VLOOKUP(B1055,'General price list'!C:BA,MATCH("CBM",'General price list'!$C$20:$BA$20,0),FALSE)*(G1055*C1055)),0))</f>
        <v>0</v>
      </c>
    </row>
    <row r="1056" spans="2:10" ht="15" customHeight="1">
      <c r="B1056" s="790">
        <f>IF(B1055="PAL","",'General price list'!C1076)</f>
        <v>0</v>
      </c>
      <c r="C1056" s="1" t="str">
        <f>IF(B1056="PAL","",IFERROR(VLOOKUP(B1056,'General price list'!C:BA,MATCH("PAL",'General price list'!$C$20:$BA$20,0),FALSE),""))</f>
        <v/>
      </c>
      <c r="D1056" s="1" t="str">
        <f>IF(B1056="PAL","",IFERROR(VLOOKUP(B1056,'General price list'!C:BA,MATCH("OBJ",'General price list'!$C$20:$BA$20,0),FALSE),""))</f>
        <v/>
      </c>
      <c r="E1056" s="1">
        <f t="shared" si="96"/>
        <v>0</v>
      </c>
      <c r="F1056" s="1">
        <f t="shared" si="97"/>
        <v>0</v>
      </c>
      <c r="G1056" s="1">
        <f t="shared" si="98"/>
        <v>0</v>
      </c>
      <c r="H1056" s="1">
        <f t="shared" si="99"/>
        <v>0</v>
      </c>
      <c r="I1056" s="1">
        <f t="shared" si="100"/>
        <v>0</v>
      </c>
      <c r="J1056">
        <f>IF(B1056="PAL","",IFERROR(IF(C1056="",VLOOKUP(B1056,'General price list'!C:BA,MATCH("CBM",'General price list'!$C$20:$BA$20,0),FALSE)*D1056,VLOOKUP(B1056,'General price list'!C:BA,MATCH("CBM",'General price list'!$C$20:$BA$20,0),FALSE)*(G1056*C1056)),0))</f>
        <v>0</v>
      </c>
    </row>
    <row r="1057" spans="2:10" ht="15" customHeight="1">
      <c r="B1057" s="790">
        <f>IF(B1056="PAL","",'General price list'!C1077)</f>
        <v>0</v>
      </c>
      <c r="C1057" s="1" t="str">
        <f>IF(B1057="PAL","",IFERROR(VLOOKUP(B1057,'General price list'!C:BA,MATCH("PAL",'General price list'!$C$20:$BA$20,0),FALSE),""))</f>
        <v/>
      </c>
      <c r="D1057" s="1" t="str">
        <f>IF(B1057="PAL","",IFERROR(VLOOKUP(B1057,'General price list'!C:BA,MATCH("OBJ",'General price list'!$C$20:$BA$20,0),FALSE),""))</f>
        <v/>
      </c>
      <c r="E1057" s="1">
        <f t="shared" si="96"/>
        <v>0</v>
      </c>
      <c r="F1057" s="1">
        <f t="shared" si="97"/>
        <v>0</v>
      </c>
      <c r="G1057" s="1">
        <f t="shared" si="98"/>
        <v>0</v>
      </c>
      <c r="H1057" s="1">
        <f t="shared" si="99"/>
        <v>0</v>
      </c>
      <c r="I1057" s="1">
        <f t="shared" si="100"/>
        <v>0</v>
      </c>
      <c r="J1057">
        <f>IF(B1057="PAL","",IFERROR(IF(C1057="",VLOOKUP(B1057,'General price list'!C:BA,MATCH("CBM",'General price list'!$C$20:$BA$20,0),FALSE)*D1057,VLOOKUP(B1057,'General price list'!C:BA,MATCH("CBM",'General price list'!$C$20:$BA$20,0),FALSE)*(G1057*C1057)),0))</f>
        <v>0</v>
      </c>
    </row>
    <row r="1058" spans="2:10" ht="15" customHeight="1">
      <c r="B1058" s="790">
        <f>IF(B1057="PAL","",'General price list'!C1078)</f>
        <v>0</v>
      </c>
      <c r="C1058" s="1" t="str">
        <f>IF(B1058="PAL","",IFERROR(VLOOKUP(B1058,'General price list'!C:BA,MATCH("PAL",'General price list'!$C$20:$BA$20,0),FALSE),""))</f>
        <v/>
      </c>
      <c r="D1058" s="1" t="str">
        <f>IF(B1058="PAL","",IFERROR(VLOOKUP(B1058,'General price list'!C:BA,MATCH("OBJ",'General price list'!$C$20:$BA$20,0),FALSE),""))</f>
        <v/>
      </c>
      <c r="E1058" s="1">
        <f t="shared" si="96"/>
        <v>0</v>
      </c>
      <c r="F1058" s="1">
        <f t="shared" si="97"/>
        <v>0</v>
      </c>
      <c r="G1058" s="1">
        <f t="shared" si="98"/>
        <v>0</v>
      </c>
      <c r="H1058" s="1">
        <f t="shared" si="99"/>
        <v>0</v>
      </c>
      <c r="I1058" s="1">
        <f t="shared" si="100"/>
        <v>0</v>
      </c>
      <c r="J1058">
        <f>IF(B1058="PAL","",IFERROR(IF(C1058="",VLOOKUP(B1058,'General price list'!C:BA,MATCH("CBM",'General price list'!$C$20:$BA$20,0),FALSE)*D1058,VLOOKUP(B1058,'General price list'!C:BA,MATCH("CBM",'General price list'!$C$20:$BA$20,0),FALSE)*(G1058*C1058)),0))</f>
        <v>0</v>
      </c>
    </row>
    <row r="1059" spans="2:10" ht="15" customHeight="1">
      <c r="B1059" s="790">
        <f>IF(B1058="PAL","",'General price list'!C1079)</f>
        <v>0</v>
      </c>
      <c r="C1059" s="1" t="str">
        <f>IF(B1059="PAL","",IFERROR(VLOOKUP(B1059,'General price list'!C:BA,MATCH("PAL",'General price list'!$C$20:$BA$20,0),FALSE),""))</f>
        <v/>
      </c>
      <c r="D1059" s="1" t="str">
        <f>IF(B1059="PAL","",IFERROR(VLOOKUP(B1059,'General price list'!C:BA,MATCH("OBJ",'General price list'!$C$20:$BA$20,0),FALSE),""))</f>
        <v/>
      </c>
      <c r="E1059" s="1">
        <f t="shared" si="96"/>
        <v>0</v>
      </c>
      <c r="F1059" s="1">
        <f t="shared" si="97"/>
        <v>0</v>
      </c>
      <c r="G1059" s="1">
        <f t="shared" si="98"/>
        <v>0</v>
      </c>
      <c r="H1059" s="1">
        <f t="shared" si="99"/>
        <v>0</v>
      </c>
      <c r="I1059" s="1">
        <f t="shared" si="100"/>
        <v>0</v>
      </c>
      <c r="J1059">
        <f>IF(B1059="PAL","",IFERROR(IF(C1059="",VLOOKUP(B1059,'General price list'!C:BA,MATCH("CBM",'General price list'!$C$20:$BA$20,0),FALSE)*D1059,VLOOKUP(B1059,'General price list'!C:BA,MATCH("CBM",'General price list'!$C$20:$BA$20,0),FALSE)*(G1059*C1059)),0))</f>
        <v>0</v>
      </c>
    </row>
    <row r="1060" spans="2:10" ht="15" customHeight="1">
      <c r="B1060" s="790">
        <f>IF(B1059="PAL","",'General price list'!C1080)</f>
        <v>0</v>
      </c>
      <c r="C1060" s="1" t="str">
        <f>IF(B1060="PAL","",IFERROR(VLOOKUP(B1060,'General price list'!C:BA,MATCH("PAL",'General price list'!$C$20:$BA$20,0),FALSE),""))</f>
        <v/>
      </c>
      <c r="D1060" s="1" t="str">
        <f>IF(B1060="PAL","",IFERROR(VLOOKUP(B1060,'General price list'!C:BA,MATCH("OBJ",'General price list'!$C$20:$BA$20,0),FALSE),""))</f>
        <v/>
      </c>
      <c r="E1060" s="1">
        <f t="shared" si="96"/>
        <v>0</v>
      </c>
      <c r="F1060" s="1">
        <f t="shared" si="97"/>
        <v>0</v>
      </c>
      <c r="G1060" s="1">
        <f t="shared" si="98"/>
        <v>0</v>
      </c>
      <c r="H1060" s="1">
        <f t="shared" si="99"/>
        <v>0</v>
      </c>
      <c r="I1060" s="1">
        <f t="shared" si="100"/>
        <v>0</v>
      </c>
      <c r="J1060">
        <f>IF(B1060="PAL","",IFERROR(IF(C1060="",VLOOKUP(B1060,'General price list'!C:BA,MATCH("CBM",'General price list'!$C$20:$BA$20,0),FALSE)*D1060,VLOOKUP(B1060,'General price list'!C:BA,MATCH("CBM",'General price list'!$C$20:$BA$20,0),FALSE)*(G1060*C1060)),0))</f>
        <v>0</v>
      </c>
    </row>
    <row r="1061" spans="2:10" ht="15" customHeight="1">
      <c r="B1061" s="790">
        <f>IF(B1060="PAL","",'General price list'!C1081)</f>
        <v>0</v>
      </c>
      <c r="C1061" s="1" t="str">
        <f>IF(B1061="PAL","",IFERROR(VLOOKUP(B1061,'General price list'!C:BA,MATCH("PAL",'General price list'!$C$20:$BA$20,0),FALSE),""))</f>
        <v/>
      </c>
      <c r="D1061" s="1" t="str">
        <f>IF(B1061="PAL","",IFERROR(VLOOKUP(B1061,'General price list'!C:BA,MATCH("OBJ",'General price list'!$C$20:$BA$20,0),FALSE),""))</f>
        <v/>
      </c>
      <c r="E1061" s="1">
        <f t="shared" si="96"/>
        <v>0</v>
      </c>
      <c r="F1061" s="1">
        <f t="shared" si="97"/>
        <v>0</v>
      </c>
      <c r="G1061" s="1">
        <f t="shared" si="98"/>
        <v>0</v>
      </c>
      <c r="H1061" s="1">
        <f t="shared" si="99"/>
        <v>0</v>
      </c>
      <c r="I1061" s="1">
        <f t="shared" si="100"/>
        <v>0</v>
      </c>
      <c r="J1061">
        <f>IF(B1061="PAL","",IFERROR(IF(C1061="",VLOOKUP(B1061,'General price list'!C:BA,MATCH("CBM",'General price list'!$C$20:$BA$20,0),FALSE)*D1061,VLOOKUP(B1061,'General price list'!C:BA,MATCH("CBM",'General price list'!$C$20:$BA$20,0),FALSE)*(G1061*C1061)),0))</f>
        <v>0</v>
      </c>
    </row>
    <row r="1062" spans="2:10" ht="15" customHeight="1">
      <c r="B1062" s="790">
        <f>IF(B1061="PAL","",'General price list'!C1082)</f>
        <v>0</v>
      </c>
      <c r="C1062" s="1" t="str">
        <f>IF(B1062="PAL","",IFERROR(VLOOKUP(B1062,'General price list'!C:BA,MATCH("PAL",'General price list'!$C$20:$BA$20,0),FALSE),""))</f>
        <v/>
      </c>
      <c r="D1062" s="1" t="str">
        <f>IF(B1062="PAL","",IFERROR(VLOOKUP(B1062,'General price list'!C:BA,MATCH("OBJ",'General price list'!$C$20:$BA$20,0),FALSE),""))</f>
        <v/>
      </c>
      <c r="E1062" s="1">
        <f t="shared" si="96"/>
        <v>0</v>
      </c>
      <c r="F1062" s="1">
        <f t="shared" si="97"/>
        <v>0</v>
      </c>
      <c r="G1062" s="1">
        <f t="shared" si="98"/>
        <v>0</v>
      </c>
      <c r="H1062" s="1">
        <f t="shared" si="99"/>
        <v>0</v>
      </c>
      <c r="I1062" s="1">
        <f t="shared" si="100"/>
        <v>0</v>
      </c>
      <c r="J1062">
        <f>IF(B1062="PAL","",IFERROR(IF(C1062="",VLOOKUP(B1062,'General price list'!C:BA,MATCH("CBM",'General price list'!$C$20:$BA$20,0),FALSE)*D1062,VLOOKUP(B1062,'General price list'!C:BA,MATCH("CBM",'General price list'!$C$20:$BA$20,0),FALSE)*(G1062*C1062)),0))</f>
        <v>0</v>
      </c>
    </row>
    <row r="1063" spans="2:10" ht="15" customHeight="1">
      <c r="B1063" s="790">
        <f>IF(B1062="PAL","",'General price list'!C1083)</f>
        <v>0</v>
      </c>
      <c r="C1063" s="1" t="str">
        <f>IF(B1063="PAL","",IFERROR(VLOOKUP(B1063,'General price list'!C:BA,MATCH("PAL",'General price list'!$C$20:$BA$20,0),FALSE),""))</f>
        <v/>
      </c>
      <c r="D1063" s="1" t="str">
        <f>IF(B1063="PAL","",IFERROR(VLOOKUP(B1063,'General price list'!C:BA,MATCH("OBJ",'General price list'!$C$20:$BA$20,0),FALSE),""))</f>
        <v/>
      </c>
      <c r="E1063" s="1">
        <f t="shared" si="96"/>
        <v>0</v>
      </c>
      <c r="F1063" s="1">
        <f t="shared" si="97"/>
        <v>0</v>
      </c>
      <c r="G1063" s="1">
        <f t="shared" si="98"/>
        <v>0</v>
      </c>
      <c r="H1063" s="1">
        <f t="shared" si="99"/>
        <v>0</v>
      </c>
      <c r="I1063" s="1">
        <f t="shared" si="100"/>
        <v>0</v>
      </c>
      <c r="J1063">
        <f>IF(B1063="PAL","",IFERROR(IF(C1063="",VLOOKUP(B1063,'General price list'!C:BA,MATCH("CBM",'General price list'!$C$20:$BA$20,0),FALSE)*D1063,VLOOKUP(B1063,'General price list'!C:BA,MATCH("CBM",'General price list'!$C$20:$BA$20,0),FALSE)*(G1063*C1063)),0))</f>
        <v>0</v>
      </c>
    </row>
    <row r="1064" spans="2:10" ht="15" customHeight="1">
      <c r="B1064" s="790">
        <f>IF(B1063="PAL","",'General price list'!C1084)</f>
        <v>0</v>
      </c>
      <c r="C1064" s="1" t="str">
        <f>IF(B1064="PAL","",IFERROR(VLOOKUP(B1064,'General price list'!C:BA,MATCH("PAL",'General price list'!$C$20:$BA$20,0),FALSE),""))</f>
        <v/>
      </c>
      <c r="D1064" s="1" t="str">
        <f>IF(B1064="PAL","",IFERROR(VLOOKUP(B1064,'General price list'!C:BA,MATCH("OBJ",'General price list'!$C$20:$BA$20,0),FALSE),""))</f>
        <v/>
      </c>
      <c r="E1064" s="1">
        <f t="shared" si="96"/>
        <v>0</v>
      </c>
      <c r="F1064" s="1">
        <f t="shared" si="97"/>
        <v>0</v>
      </c>
      <c r="G1064" s="1">
        <f t="shared" si="98"/>
        <v>0</v>
      </c>
      <c r="H1064" s="1">
        <f t="shared" si="99"/>
        <v>0</v>
      </c>
      <c r="I1064" s="1">
        <f t="shared" si="100"/>
        <v>0</v>
      </c>
      <c r="J1064">
        <f>IF(B1064="PAL","",IFERROR(IF(C1064="",VLOOKUP(B1064,'General price list'!C:BA,MATCH("CBM",'General price list'!$C$20:$BA$20,0),FALSE)*D1064,VLOOKUP(B1064,'General price list'!C:BA,MATCH("CBM",'General price list'!$C$20:$BA$20,0),FALSE)*(G1064*C1064)),0))</f>
        <v>0</v>
      </c>
    </row>
    <row r="1065" spans="2:10" ht="15" customHeight="1">
      <c r="B1065" s="790">
        <f>IF(B1064="PAL","",'General price list'!C1085)</f>
        <v>0</v>
      </c>
      <c r="C1065" s="1" t="str">
        <f>IF(B1065="PAL","",IFERROR(VLOOKUP(B1065,'General price list'!C:BA,MATCH("PAL",'General price list'!$C$20:$BA$20,0),FALSE),""))</f>
        <v/>
      </c>
      <c r="D1065" s="1" t="str">
        <f>IF(B1065="PAL","",IFERROR(VLOOKUP(B1065,'General price list'!C:BA,MATCH("OBJ",'General price list'!$C$20:$BA$20,0),FALSE),""))</f>
        <v/>
      </c>
      <c r="E1065" s="1">
        <f t="shared" si="96"/>
        <v>0</v>
      </c>
      <c r="F1065" s="1">
        <f t="shared" si="97"/>
        <v>0</v>
      </c>
      <c r="G1065" s="1">
        <f t="shared" si="98"/>
        <v>0</v>
      </c>
      <c r="H1065" s="1">
        <f t="shared" si="99"/>
        <v>0</v>
      </c>
      <c r="I1065" s="1">
        <f t="shared" si="100"/>
        <v>0</v>
      </c>
      <c r="J1065">
        <f>IF(B1065="PAL","",IFERROR(IF(C1065="",VLOOKUP(B1065,'General price list'!C:BA,MATCH("CBM",'General price list'!$C$20:$BA$20,0),FALSE)*D1065,VLOOKUP(B1065,'General price list'!C:BA,MATCH("CBM",'General price list'!$C$20:$BA$20,0),FALSE)*(G1065*C1065)),0))</f>
        <v>0</v>
      </c>
    </row>
    <row r="1066" spans="2:10" ht="15" customHeight="1">
      <c r="B1066" s="790">
        <f>IF(B1065="PAL","",'General price list'!C1086)</f>
        <v>0</v>
      </c>
      <c r="C1066" s="1" t="str">
        <f>IF(B1066="PAL","",IFERROR(VLOOKUP(B1066,'General price list'!C:BA,MATCH("PAL",'General price list'!$C$20:$BA$20,0),FALSE),""))</f>
        <v/>
      </c>
      <c r="D1066" s="1" t="str">
        <f>IF(B1066="PAL","",IFERROR(VLOOKUP(B1066,'General price list'!C:BA,MATCH("OBJ",'General price list'!$C$20:$BA$20,0),FALSE),""))</f>
        <v/>
      </c>
      <c r="E1066" s="1">
        <f t="shared" si="96"/>
        <v>0</v>
      </c>
      <c r="F1066" s="1">
        <f t="shared" si="97"/>
        <v>0</v>
      </c>
      <c r="G1066" s="1">
        <f t="shared" si="98"/>
        <v>0</v>
      </c>
      <c r="H1066" s="1">
        <f t="shared" si="99"/>
        <v>0</v>
      </c>
      <c r="I1066" s="1">
        <f t="shared" si="100"/>
        <v>0</v>
      </c>
      <c r="J1066">
        <f>IF(B1066="PAL","",IFERROR(IF(C1066="",VLOOKUP(B1066,'General price list'!C:BA,MATCH("CBM",'General price list'!$C$20:$BA$20,0),FALSE)*D1066,VLOOKUP(B1066,'General price list'!C:BA,MATCH("CBM",'General price list'!$C$20:$BA$20,0),FALSE)*(G1066*C1066)),0))</f>
        <v>0</v>
      </c>
    </row>
    <row r="1067" spans="2:10" ht="15" customHeight="1">
      <c r="B1067" s="790">
        <f>IF(B1066="PAL","",'General price list'!C1087)</f>
        <v>0</v>
      </c>
      <c r="C1067" s="1" t="str">
        <f>IF(B1067="PAL","",IFERROR(VLOOKUP(B1067,'General price list'!C:BA,MATCH("PAL",'General price list'!$C$20:$BA$20,0),FALSE),""))</f>
        <v/>
      </c>
      <c r="D1067" s="1" t="str">
        <f>IF(B1067="PAL","",IFERROR(VLOOKUP(B1067,'General price list'!C:BA,MATCH("OBJ",'General price list'!$C$20:$BA$20,0),FALSE),""))</f>
        <v/>
      </c>
      <c r="E1067" s="1">
        <f t="shared" si="96"/>
        <v>0</v>
      </c>
      <c r="F1067" s="1">
        <f t="shared" si="97"/>
        <v>0</v>
      </c>
      <c r="G1067" s="1">
        <f t="shared" si="98"/>
        <v>0</v>
      </c>
      <c r="H1067" s="1">
        <f t="shared" si="99"/>
        <v>0</v>
      </c>
      <c r="I1067" s="1">
        <f t="shared" si="100"/>
        <v>0</v>
      </c>
      <c r="J1067">
        <f>IF(B1067="PAL","",IFERROR(IF(C1067="",VLOOKUP(B1067,'General price list'!C:BA,MATCH("CBM",'General price list'!$C$20:$BA$20,0),FALSE)*D1067,VLOOKUP(B1067,'General price list'!C:BA,MATCH("CBM",'General price list'!$C$20:$BA$20,0),FALSE)*(G1067*C1067)),0))</f>
        <v>0</v>
      </c>
    </row>
    <row r="1068" spans="2:10" ht="15" customHeight="1">
      <c r="B1068" s="790">
        <f>IF(B1067="PAL","",'General price list'!C1088)</f>
        <v>0</v>
      </c>
      <c r="C1068" s="1" t="str">
        <f>IF(B1068="PAL","",IFERROR(VLOOKUP(B1068,'General price list'!C:BA,MATCH("PAL",'General price list'!$C$20:$BA$20,0),FALSE),""))</f>
        <v/>
      </c>
      <c r="D1068" s="1" t="str">
        <f>IF(B1068="PAL","",IFERROR(VLOOKUP(B1068,'General price list'!C:BA,MATCH("OBJ",'General price list'!$C$20:$BA$20,0),FALSE),""))</f>
        <v/>
      </c>
      <c r="E1068" s="1">
        <f t="shared" si="96"/>
        <v>0</v>
      </c>
      <c r="F1068" s="1">
        <f t="shared" si="97"/>
        <v>0</v>
      </c>
      <c r="G1068" s="1">
        <f t="shared" si="98"/>
        <v>0</v>
      </c>
      <c r="H1068" s="1">
        <f t="shared" si="99"/>
        <v>0</v>
      </c>
      <c r="I1068" s="1">
        <f t="shared" si="100"/>
        <v>0</v>
      </c>
      <c r="J1068">
        <f>IF(B1068="PAL","",IFERROR(IF(C1068="",VLOOKUP(B1068,'General price list'!C:BA,MATCH("CBM",'General price list'!$C$20:$BA$20,0),FALSE)*D1068,VLOOKUP(B1068,'General price list'!C:BA,MATCH("CBM",'General price list'!$C$20:$BA$20,0),FALSE)*(G1068*C1068)),0))</f>
        <v>0</v>
      </c>
    </row>
    <row r="1069" spans="2:10" ht="15" customHeight="1">
      <c r="B1069" s="790">
        <f>IF(B1068="PAL","",'General price list'!C1089)</f>
        <v>0</v>
      </c>
      <c r="C1069" s="1" t="str">
        <f>IF(B1069="PAL","",IFERROR(VLOOKUP(B1069,'General price list'!C:BA,MATCH("PAL",'General price list'!$C$20:$BA$20,0),FALSE),""))</f>
        <v/>
      </c>
      <c r="D1069" s="1" t="str">
        <f>IF(B1069="PAL","",IFERROR(VLOOKUP(B1069,'General price list'!C:BA,MATCH("OBJ",'General price list'!$C$20:$BA$20,0),FALSE),""))</f>
        <v/>
      </c>
      <c r="E1069" s="1">
        <f t="shared" si="96"/>
        <v>0</v>
      </c>
      <c r="F1069" s="1">
        <f t="shared" si="97"/>
        <v>0</v>
      </c>
      <c r="G1069" s="1">
        <f t="shared" si="98"/>
        <v>0</v>
      </c>
      <c r="H1069" s="1">
        <f t="shared" si="99"/>
        <v>0</v>
      </c>
      <c r="I1069" s="1">
        <f t="shared" si="100"/>
        <v>0</v>
      </c>
      <c r="J1069">
        <f>IF(B1069="PAL","",IFERROR(IF(C1069="",VLOOKUP(B1069,'General price list'!C:BA,MATCH("CBM",'General price list'!$C$20:$BA$20,0),FALSE)*D1069,VLOOKUP(B1069,'General price list'!C:BA,MATCH("CBM",'General price list'!$C$20:$BA$20,0),FALSE)*(G1069*C1069)),0))</f>
        <v>0</v>
      </c>
    </row>
    <row r="1070" spans="2:10" ht="15" customHeight="1">
      <c r="B1070" s="790">
        <f>IF(B1069="PAL","",'General price list'!C1090)</f>
        <v>0</v>
      </c>
      <c r="C1070" s="1" t="str">
        <f>IF(B1070="PAL","",IFERROR(VLOOKUP(B1070,'General price list'!C:BA,MATCH("PAL",'General price list'!$C$20:$BA$20,0),FALSE),""))</f>
        <v/>
      </c>
      <c r="D1070" s="1" t="str">
        <f>IF(B1070="PAL","",IFERROR(VLOOKUP(B1070,'General price list'!C:BA,MATCH("OBJ",'General price list'!$C$20:$BA$20,0),FALSE),""))</f>
        <v/>
      </c>
      <c r="E1070" s="1">
        <f t="shared" si="96"/>
        <v>0</v>
      </c>
      <c r="F1070" s="1">
        <f t="shared" si="97"/>
        <v>0</v>
      </c>
      <c r="G1070" s="1">
        <f t="shared" si="98"/>
        <v>0</v>
      </c>
      <c r="H1070" s="1">
        <f t="shared" si="99"/>
        <v>0</v>
      </c>
      <c r="I1070" s="1">
        <f t="shared" si="100"/>
        <v>0</v>
      </c>
      <c r="J1070">
        <f>IF(B1070="PAL","",IFERROR(IF(C1070="",VLOOKUP(B1070,'General price list'!C:BA,MATCH("CBM",'General price list'!$C$20:$BA$20,0),FALSE)*D1070,VLOOKUP(B1070,'General price list'!C:BA,MATCH("CBM",'General price list'!$C$20:$BA$20,0),FALSE)*(G1070*C1070)),0))</f>
        <v>0</v>
      </c>
    </row>
    <row r="1071" spans="2:10" ht="15" customHeight="1">
      <c r="B1071" s="790">
        <f>IF(B1070="PAL","",'General price list'!C1091)</f>
        <v>0</v>
      </c>
      <c r="C1071" s="1" t="str">
        <f>IF(B1071="PAL","",IFERROR(VLOOKUP(B1071,'General price list'!C:BA,MATCH("PAL",'General price list'!$C$20:$BA$20,0),FALSE),""))</f>
        <v/>
      </c>
      <c r="D1071" s="1" t="str">
        <f>IF(B1071="PAL","",IFERROR(VLOOKUP(B1071,'General price list'!C:BA,MATCH("OBJ",'General price list'!$C$20:$BA$20,0),FALSE),""))</f>
        <v/>
      </c>
      <c r="E1071" s="1">
        <f t="shared" si="96"/>
        <v>0</v>
      </c>
      <c r="F1071" s="1">
        <f t="shared" si="97"/>
        <v>0</v>
      </c>
      <c r="G1071" s="1">
        <f t="shared" si="98"/>
        <v>0</v>
      </c>
      <c r="H1071" s="1">
        <f t="shared" si="99"/>
        <v>0</v>
      </c>
      <c r="I1071" s="1">
        <f t="shared" si="100"/>
        <v>0</v>
      </c>
      <c r="J1071">
        <f>IF(B1071="PAL","",IFERROR(IF(C1071="",VLOOKUP(B1071,'General price list'!C:BA,MATCH("CBM",'General price list'!$C$20:$BA$20,0),FALSE)*D1071,VLOOKUP(B1071,'General price list'!C:BA,MATCH("CBM",'General price list'!$C$20:$BA$20,0),FALSE)*(G1071*C1071)),0))</f>
        <v>0</v>
      </c>
    </row>
    <row r="1072" spans="2:10" ht="15" customHeight="1">
      <c r="B1072" s="790">
        <f>IF(B1071="PAL","",'General price list'!C1092)</f>
        <v>0</v>
      </c>
      <c r="C1072" s="1" t="str">
        <f>IF(B1072="PAL","",IFERROR(VLOOKUP(B1072,'General price list'!C:BA,MATCH("PAL",'General price list'!$C$20:$BA$20,0),FALSE),""))</f>
        <v/>
      </c>
      <c r="D1072" s="1" t="str">
        <f>IF(B1072="PAL","",IFERROR(VLOOKUP(B1072,'General price list'!C:BA,MATCH("OBJ",'General price list'!$C$20:$BA$20,0),FALSE),""))</f>
        <v/>
      </c>
      <c r="E1072" s="1">
        <f t="shared" si="96"/>
        <v>0</v>
      </c>
      <c r="F1072" s="1">
        <f t="shared" si="97"/>
        <v>0</v>
      </c>
      <c r="G1072" s="1">
        <f t="shared" si="98"/>
        <v>0</v>
      </c>
      <c r="H1072" s="1">
        <f t="shared" si="99"/>
        <v>0</v>
      </c>
      <c r="I1072" s="1">
        <f t="shared" si="100"/>
        <v>0</v>
      </c>
      <c r="J1072">
        <f>IF(B1072="PAL","",IFERROR(IF(C1072="",VLOOKUP(B1072,'General price list'!C:BA,MATCH("CBM",'General price list'!$C$20:$BA$20,0),FALSE)*D1072,VLOOKUP(B1072,'General price list'!C:BA,MATCH("CBM",'General price list'!$C$20:$BA$20,0),FALSE)*(G1072*C1072)),0))</f>
        <v>0</v>
      </c>
    </row>
    <row r="1073" spans="2:10" ht="15" customHeight="1">
      <c r="B1073" s="790">
        <f>IF(B1072="PAL","",'General price list'!C1093)</f>
        <v>0</v>
      </c>
      <c r="C1073" s="1" t="str">
        <f>IF(B1073="PAL","",IFERROR(VLOOKUP(B1073,'General price list'!C:BA,MATCH("PAL",'General price list'!$C$20:$BA$20,0),FALSE),""))</f>
        <v/>
      </c>
      <c r="D1073" s="1" t="str">
        <f>IF(B1073="PAL","",IFERROR(VLOOKUP(B1073,'General price list'!C:BA,MATCH("OBJ",'General price list'!$C$20:$BA$20,0),FALSE),""))</f>
        <v/>
      </c>
      <c r="E1073" s="1">
        <f t="shared" si="96"/>
        <v>0</v>
      </c>
      <c r="F1073" s="1">
        <f t="shared" si="97"/>
        <v>0</v>
      </c>
      <c r="G1073" s="1">
        <f t="shared" si="98"/>
        <v>0</v>
      </c>
      <c r="H1073" s="1">
        <f t="shared" si="99"/>
        <v>0</v>
      </c>
      <c r="I1073" s="1">
        <f t="shared" si="100"/>
        <v>0</v>
      </c>
      <c r="J1073">
        <f>IF(B1073="PAL","",IFERROR(IF(C1073="",VLOOKUP(B1073,'General price list'!C:BA,MATCH("CBM",'General price list'!$C$20:$BA$20,0),FALSE)*D1073,VLOOKUP(B1073,'General price list'!C:BA,MATCH("CBM",'General price list'!$C$20:$BA$20,0),FALSE)*(G1073*C1073)),0))</f>
        <v>0</v>
      </c>
    </row>
    <row r="1074" spans="2:10" ht="15" customHeight="1">
      <c r="B1074" s="790">
        <f>IF(B1073="PAL","",'General price list'!C1094)</f>
        <v>0</v>
      </c>
      <c r="C1074" s="1" t="str">
        <f>IF(B1074="PAL","",IFERROR(VLOOKUP(B1074,'General price list'!C:BA,MATCH("PAL",'General price list'!$C$20:$BA$20,0),FALSE),""))</f>
        <v/>
      </c>
      <c r="D1074" s="1" t="str">
        <f>IF(B1074="PAL","",IFERROR(VLOOKUP(B1074,'General price list'!C:BA,MATCH("OBJ",'General price list'!$C$20:$BA$20,0),FALSE),""))</f>
        <v/>
      </c>
      <c r="E1074" s="1">
        <f t="shared" si="96"/>
        <v>0</v>
      </c>
      <c r="F1074" s="1">
        <f t="shared" si="97"/>
        <v>0</v>
      </c>
      <c r="G1074" s="1">
        <f t="shared" si="98"/>
        <v>0</v>
      </c>
      <c r="H1074" s="1">
        <f t="shared" si="99"/>
        <v>0</v>
      </c>
      <c r="I1074" s="1">
        <f t="shared" si="100"/>
        <v>0</v>
      </c>
      <c r="J1074">
        <f>IF(B1074="PAL","",IFERROR(IF(C1074="",VLOOKUP(B1074,'General price list'!C:BA,MATCH("CBM",'General price list'!$C$20:$BA$20,0),FALSE)*D1074,VLOOKUP(B1074,'General price list'!C:BA,MATCH("CBM",'General price list'!$C$20:$BA$20,0),FALSE)*(G1074*C1074)),0))</f>
        <v>0</v>
      </c>
    </row>
    <row r="1075" spans="2:10" ht="15" customHeight="1">
      <c r="B1075" s="790">
        <f>IF(B1074="PAL","",'General price list'!C1095)</f>
        <v>0</v>
      </c>
      <c r="C1075" s="1" t="str">
        <f>IF(B1075="PAL","",IFERROR(VLOOKUP(B1075,'General price list'!C:BA,MATCH("PAL",'General price list'!$C$20:$BA$20,0),FALSE),""))</f>
        <v/>
      </c>
      <c r="D1075" s="1" t="str">
        <f>IF(B1075="PAL","",IFERROR(VLOOKUP(B1075,'General price list'!C:BA,MATCH("OBJ",'General price list'!$C$20:$BA$20,0),FALSE),""))</f>
        <v/>
      </c>
      <c r="E1075" s="1">
        <f t="shared" si="96"/>
        <v>0</v>
      </c>
      <c r="F1075" s="1">
        <f t="shared" si="97"/>
        <v>0</v>
      </c>
      <c r="G1075" s="1">
        <f t="shared" si="98"/>
        <v>0</v>
      </c>
      <c r="H1075" s="1">
        <f t="shared" si="99"/>
        <v>0</v>
      </c>
      <c r="I1075" s="1">
        <f t="shared" si="100"/>
        <v>0</v>
      </c>
      <c r="J1075">
        <f>IF(B1075="PAL","",IFERROR(IF(C1075="",VLOOKUP(B1075,'General price list'!C:BA,MATCH("CBM",'General price list'!$C$20:$BA$20,0),FALSE)*D1075,VLOOKUP(B1075,'General price list'!C:BA,MATCH("CBM",'General price list'!$C$20:$BA$20,0),FALSE)*(G1075*C1075)),0))</f>
        <v>0</v>
      </c>
    </row>
    <row r="1076" spans="2:10" ht="15" customHeight="1">
      <c r="B1076" s="790">
        <f>IF(B1075="PAL","",'General price list'!C1096)</f>
        <v>0</v>
      </c>
      <c r="C1076" s="1" t="str">
        <f>IF(B1076="PAL","",IFERROR(VLOOKUP(B1076,'General price list'!C:BA,MATCH("PAL",'General price list'!$C$20:$BA$20,0),FALSE),""))</f>
        <v/>
      </c>
      <c r="D1076" s="1" t="str">
        <f>IF(B1076="PAL","",IFERROR(VLOOKUP(B1076,'General price list'!C:BA,MATCH("OBJ",'General price list'!$C$20:$BA$20,0),FALSE),""))</f>
        <v/>
      </c>
      <c r="E1076" s="1">
        <f t="shared" si="96"/>
        <v>0</v>
      </c>
      <c r="F1076" s="1">
        <f t="shared" si="97"/>
        <v>0</v>
      </c>
      <c r="G1076" s="1">
        <f t="shared" si="98"/>
        <v>0</v>
      </c>
      <c r="H1076" s="1">
        <f t="shared" si="99"/>
        <v>0</v>
      </c>
      <c r="I1076" s="1">
        <f t="shared" si="100"/>
        <v>0</v>
      </c>
      <c r="J1076">
        <f>IF(B1076="PAL","",IFERROR(IF(C1076="",VLOOKUP(B1076,'General price list'!C:BA,MATCH("CBM",'General price list'!$C$20:$BA$20,0),FALSE)*D1076,VLOOKUP(B1076,'General price list'!C:BA,MATCH("CBM",'General price list'!$C$20:$BA$20,0),FALSE)*(G1076*C1076)),0))</f>
        <v>0</v>
      </c>
    </row>
    <row r="1077" spans="2:10" ht="15" customHeight="1">
      <c r="B1077" s="790">
        <f>IF(B1076="PAL","",'General price list'!C1097)</f>
        <v>0</v>
      </c>
      <c r="C1077" s="1" t="str">
        <f>IF(B1077="PAL","",IFERROR(VLOOKUP(B1077,'General price list'!C:BA,MATCH("PAL",'General price list'!$C$20:$BA$20,0),FALSE),""))</f>
        <v/>
      </c>
      <c r="D1077" s="1" t="str">
        <f>IF(B1077="PAL","",IFERROR(VLOOKUP(B1077,'General price list'!C:BA,MATCH("OBJ",'General price list'!$C$20:$BA$20,0),FALSE),""))</f>
        <v/>
      </c>
      <c r="E1077" s="1">
        <f t="shared" si="96"/>
        <v>0</v>
      </c>
      <c r="F1077" s="1">
        <f t="shared" si="97"/>
        <v>0</v>
      </c>
      <c r="G1077" s="1">
        <f t="shared" si="98"/>
        <v>0</v>
      </c>
      <c r="H1077" s="1">
        <f t="shared" si="99"/>
        <v>0</v>
      </c>
      <c r="I1077" s="1">
        <f t="shared" si="100"/>
        <v>0</v>
      </c>
      <c r="J1077">
        <f>IF(B1077="PAL","",IFERROR(IF(C1077="",VLOOKUP(B1077,'General price list'!C:BA,MATCH("CBM",'General price list'!$C$20:$BA$20,0),FALSE)*D1077,VLOOKUP(B1077,'General price list'!C:BA,MATCH("CBM",'General price list'!$C$20:$BA$20,0),FALSE)*(G1077*C1077)),0))</f>
        <v>0</v>
      </c>
    </row>
    <row r="1078" spans="2:10" ht="15" customHeight="1">
      <c r="B1078" s="790">
        <f>IF(B1077="PAL","",'General price list'!C1098)</f>
        <v>0</v>
      </c>
      <c r="C1078" s="1" t="str">
        <f>IF(B1078="PAL","",IFERROR(VLOOKUP(B1078,'General price list'!C:BA,MATCH("PAL",'General price list'!$C$20:$BA$20,0),FALSE),""))</f>
        <v/>
      </c>
      <c r="D1078" s="1" t="str">
        <f>IF(B1078="PAL","",IFERROR(VLOOKUP(B1078,'General price list'!C:BA,MATCH("OBJ",'General price list'!$C$20:$BA$20,0),FALSE),""))</f>
        <v/>
      </c>
      <c r="E1078" s="1">
        <f t="shared" si="96"/>
        <v>0</v>
      </c>
      <c r="F1078" s="1">
        <f t="shared" si="97"/>
        <v>0</v>
      </c>
      <c r="G1078" s="1">
        <f t="shared" si="98"/>
        <v>0</v>
      </c>
      <c r="H1078" s="1">
        <f t="shared" si="99"/>
        <v>0</v>
      </c>
      <c r="I1078" s="1">
        <f t="shared" si="100"/>
        <v>0</v>
      </c>
      <c r="J1078">
        <f>IF(B1078="PAL","",IFERROR(IF(C1078="",VLOOKUP(B1078,'General price list'!C:BA,MATCH("CBM",'General price list'!$C$20:$BA$20,0),FALSE)*D1078,VLOOKUP(B1078,'General price list'!C:BA,MATCH("CBM",'General price list'!$C$20:$BA$20,0),FALSE)*(G1078*C1078)),0))</f>
        <v>0</v>
      </c>
    </row>
    <row r="1079" spans="2:10" ht="15" customHeight="1">
      <c r="B1079" s="790">
        <f>IF(B1078="PAL","",'General price list'!C1099)</f>
        <v>0</v>
      </c>
      <c r="C1079" s="1" t="str">
        <f>IF(B1079="PAL","",IFERROR(VLOOKUP(B1079,'General price list'!C:BA,MATCH("PAL",'General price list'!$C$20:$BA$20,0),FALSE),""))</f>
        <v/>
      </c>
      <c r="D1079" s="1" t="str">
        <f>IF(B1079="PAL","",IFERROR(VLOOKUP(B1079,'General price list'!C:BA,MATCH("OBJ",'General price list'!$C$20:$BA$20,0),FALSE),""))</f>
        <v/>
      </c>
      <c r="E1079" s="1">
        <f t="shared" si="96"/>
        <v>0</v>
      </c>
      <c r="F1079" s="1">
        <f t="shared" si="97"/>
        <v>0</v>
      </c>
      <c r="G1079" s="1">
        <f t="shared" si="98"/>
        <v>0</v>
      </c>
      <c r="H1079" s="1">
        <f t="shared" si="99"/>
        <v>0</v>
      </c>
      <c r="I1079" s="1">
        <f t="shared" si="100"/>
        <v>0</v>
      </c>
      <c r="J1079">
        <f>IF(B1079="PAL","",IFERROR(IF(C1079="",VLOOKUP(B1079,'General price list'!C:BA,MATCH("CBM",'General price list'!$C$20:$BA$20,0),FALSE)*D1079,VLOOKUP(B1079,'General price list'!C:BA,MATCH("CBM",'General price list'!$C$20:$BA$20,0),FALSE)*(G1079*C1079)),0))</f>
        <v>0</v>
      </c>
    </row>
    <row r="1080" spans="2:10" ht="15" customHeight="1">
      <c r="B1080" s="790">
        <f>IF(B1079="PAL","",'General price list'!C1100)</f>
        <v>0</v>
      </c>
      <c r="C1080" s="1" t="str">
        <f>IF(B1080="PAL","",IFERROR(VLOOKUP(B1080,'General price list'!C:BA,MATCH("PAL",'General price list'!$C$20:$BA$20,0),FALSE),""))</f>
        <v/>
      </c>
      <c r="D1080" s="1" t="str">
        <f>IF(B1080="PAL","",IFERROR(VLOOKUP(B1080,'General price list'!C:BA,MATCH("OBJ",'General price list'!$C$20:$BA$20,0),FALSE),""))</f>
        <v/>
      </c>
      <c r="E1080" s="1">
        <f t="shared" si="96"/>
        <v>0</v>
      </c>
      <c r="F1080" s="1">
        <f t="shared" si="97"/>
        <v>0</v>
      </c>
      <c r="G1080" s="1">
        <f t="shared" si="98"/>
        <v>0</v>
      </c>
      <c r="H1080" s="1">
        <f t="shared" si="99"/>
        <v>0</v>
      </c>
      <c r="I1080" s="1">
        <f t="shared" si="100"/>
        <v>0</v>
      </c>
      <c r="J1080">
        <f>IF(B1080="PAL","",IFERROR(IF(C1080="",VLOOKUP(B1080,'General price list'!C:BA,MATCH("CBM",'General price list'!$C$20:$BA$20,0),FALSE)*D1080,VLOOKUP(B1080,'General price list'!C:BA,MATCH("CBM",'General price list'!$C$20:$BA$20,0),FALSE)*(G1080*C1080)),0))</f>
        <v>0</v>
      </c>
    </row>
    <row r="1081" spans="2:10" ht="15" customHeight="1">
      <c r="B1081" s="790">
        <f>IF(B1080="PAL","",'General price list'!C1101)</f>
        <v>0</v>
      </c>
      <c r="C1081" s="1" t="str">
        <f>IF(B1081="PAL","",IFERROR(VLOOKUP(B1081,'General price list'!C:BA,MATCH("PAL",'General price list'!$C$20:$BA$20,0),FALSE),""))</f>
        <v/>
      </c>
      <c r="D1081" s="1" t="str">
        <f>IF(B1081="PAL","",IFERROR(VLOOKUP(B1081,'General price list'!C:BA,MATCH("OBJ",'General price list'!$C$20:$BA$20,0),FALSE),""))</f>
        <v/>
      </c>
      <c r="E1081" s="1">
        <f t="shared" si="96"/>
        <v>0</v>
      </c>
      <c r="F1081" s="1">
        <f t="shared" si="97"/>
        <v>0</v>
      </c>
      <c r="G1081" s="1">
        <f t="shared" si="98"/>
        <v>0</v>
      </c>
      <c r="H1081" s="1">
        <f t="shared" si="99"/>
        <v>0</v>
      </c>
      <c r="I1081" s="1">
        <f t="shared" si="100"/>
        <v>0</v>
      </c>
      <c r="J1081">
        <f>IF(B1081="PAL","",IFERROR(IF(C1081="",VLOOKUP(B1081,'General price list'!C:BA,MATCH("CBM",'General price list'!$C$20:$BA$20,0),FALSE)*D1081,VLOOKUP(B1081,'General price list'!C:BA,MATCH("CBM",'General price list'!$C$20:$BA$20,0),FALSE)*(G1081*C1081)),0))</f>
        <v>0</v>
      </c>
    </row>
    <row r="1082" spans="2:10" ht="15" customHeight="1">
      <c r="B1082" s="790">
        <f>IF(B1081="PAL","",'General price list'!C1102)</f>
        <v>0</v>
      </c>
      <c r="C1082" s="1" t="str">
        <f>IF(B1082="PAL","",IFERROR(VLOOKUP(B1082,'General price list'!C:BA,MATCH("PAL",'General price list'!$C$20:$BA$20,0),FALSE),""))</f>
        <v/>
      </c>
      <c r="D1082" s="1" t="str">
        <f>IF(B1082="PAL","",IFERROR(VLOOKUP(B1082,'General price list'!C:BA,MATCH("OBJ",'General price list'!$C$20:$BA$20,0),FALSE),""))</f>
        <v/>
      </c>
      <c r="E1082" s="1">
        <f t="shared" si="96"/>
        <v>0</v>
      </c>
      <c r="F1082" s="1">
        <f t="shared" si="97"/>
        <v>0</v>
      </c>
      <c r="G1082" s="1">
        <f t="shared" si="98"/>
        <v>0</v>
      </c>
      <c r="H1082" s="1">
        <f t="shared" si="99"/>
        <v>0</v>
      </c>
      <c r="I1082" s="1">
        <f t="shared" si="100"/>
        <v>0</v>
      </c>
      <c r="J1082">
        <f>IF(B1082="PAL","",IFERROR(IF(C1082="",VLOOKUP(B1082,'General price list'!C:BA,MATCH("CBM",'General price list'!$C$20:$BA$20,0),FALSE)*D1082,VLOOKUP(B1082,'General price list'!C:BA,MATCH("CBM",'General price list'!$C$20:$BA$20,0),FALSE)*(G1082*C1082)),0))</f>
        <v>0</v>
      </c>
    </row>
    <row r="1083" spans="2:10" ht="15" customHeight="1">
      <c r="B1083" s="790">
        <f>IF(B1082="PAL","",'General price list'!C1103)</f>
        <v>0</v>
      </c>
      <c r="C1083" s="1" t="str">
        <f>IF(B1083="PAL","",IFERROR(VLOOKUP(B1083,'General price list'!C:BA,MATCH("PAL",'General price list'!$C$20:$BA$20,0),FALSE),""))</f>
        <v/>
      </c>
      <c r="D1083" s="1" t="str">
        <f>IF(B1083="PAL","",IFERROR(VLOOKUP(B1083,'General price list'!C:BA,MATCH("OBJ",'General price list'!$C$20:$BA$20,0),FALSE),""))</f>
        <v/>
      </c>
      <c r="E1083" s="1">
        <f t="shared" si="96"/>
        <v>0</v>
      </c>
      <c r="F1083" s="1">
        <f t="shared" si="97"/>
        <v>0</v>
      </c>
      <c r="G1083" s="1">
        <f t="shared" si="98"/>
        <v>0</v>
      </c>
      <c r="H1083" s="1">
        <f t="shared" si="99"/>
        <v>0</v>
      </c>
      <c r="I1083" s="1">
        <f t="shared" si="100"/>
        <v>0</v>
      </c>
      <c r="J1083">
        <f>IF(B1083="PAL","",IFERROR(IF(C1083="",VLOOKUP(B1083,'General price list'!C:BA,MATCH("CBM",'General price list'!$C$20:$BA$20,0),FALSE)*D1083,VLOOKUP(B1083,'General price list'!C:BA,MATCH("CBM",'General price list'!$C$20:$BA$20,0),FALSE)*(G1083*C1083)),0))</f>
        <v>0</v>
      </c>
    </row>
    <row r="1084" spans="2:10" ht="15" customHeight="1">
      <c r="B1084" s="790">
        <f>IF(B1083="PAL","",'General price list'!C1104)</f>
        <v>0</v>
      </c>
      <c r="C1084" s="1" t="str">
        <f>IF(B1084="PAL","",IFERROR(VLOOKUP(B1084,'General price list'!C:BA,MATCH("PAL",'General price list'!$C$20:$BA$20,0),FALSE),""))</f>
        <v/>
      </c>
      <c r="D1084" s="1" t="str">
        <f>IF(B1084="PAL","",IFERROR(VLOOKUP(B1084,'General price list'!C:BA,MATCH("OBJ",'General price list'!$C$20:$BA$20,0),FALSE),""))</f>
        <v/>
      </c>
      <c r="E1084" s="1">
        <f t="shared" si="96"/>
        <v>0</v>
      </c>
      <c r="F1084" s="1">
        <f t="shared" si="97"/>
        <v>0</v>
      </c>
      <c r="G1084" s="1">
        <f t="shared" si="98"/>
        <v>0</v>
      </c>
      <c r="H1084" s="1">
        <f t="shared" si="99"/>
        <v>0</v>
      </c>
      <c r="I1084" s="1">
        <f t="shared" si="100"/>
        <v>0</v>
      </c>
      <c r="J1084">
        <f>IF(B1084="PAL","",IFERROR(IF(C1084="",VLOOKUP(B1084,'General price list'!C:BA,MATCH("CBM",'General price list'!$C$20:$BA$20,0),FALSE)*D1084,VLOOKUP(B1084,'General price list'!C:BA,MATCH("CBM",'General price list'!$C$20:$BA$20,0),FALSE)*(G1084*C1084)),0))</f>
        <v>0</v>
      </c>
    </row>
    <row r="1085" spans="2:10" ht="15" customHeight="1">
      <c r="B1085" s="790">
        <f>IF(B1084="PAL","",'General price list'!C1105)</f>
        <v>0</v>
      </c>
      <c r="C1085" s="1" t="str">
        <f>IF(B1085="PAL","",IFERROR(VLOOKUP(B1085,'General price list'!C:BA,MATCH("PAL",'General price list'!$C$20:$BA$20,0),FALSE),""))</f>
        <v/>
      </c>
      <c r="D1085" s="1" t="str">
        <f>IF(B1085="PAL","",IFERROR(VLOOKUP(B1085,'General price list'!C:BA,MATCH("OBJ",'General price list'!$C$20:$BA$20,0),FALSE),""))</f>
        <v/>
      </c>
      <c r="E1085" s="1">
        <f t="shared" si="96"/>
        <v>0</v>
      </c>
      <c r="F1085" s="1">
        <f t="shared" si="97"/>
        <v>0</v>
      </c>
      <c r="G1085" s="1">
        <f t="shared" si="98"/>
        <v>0</v>
      </c>
      <c r="H1085" s="1">
        <f t="shared" si="99"/>
        <v>0</v>
      </c>
      <c r="I1085" s="1">
        <f t="shared" si="100"/>
        <v>0</v>
      </c>
      <c r="J1085">
        <f>IF(B1085="PAL","",IFERROR(IF(C1085="",VLOOKUP(B1085,'General price list'!C:BA,MATCH("CBM",'General price list'!$C$20:$BA$20,0),FALSE)*D1085,VLOOKUP(B1085,'General price list'!C:BA,MATCH("CBM",'General price list'!$C$20:$BA$20,0),FALSE)*(G1085*C1085)),0))</f>
        <v>0</v>
      </c>
    </row>
    <row r="1086" spans="2:10" ht="15" customHeight="1">
      <c r="B1086" s="790">
        <f>IF(B1085="PAL","",'General price list'!C1106)</f>
        <v>0</v>
      </c>
      <c r="C1086" s="1" t="str">
        <f>IF(B1086="PAL","",IFERROR(VLOOKUP(B1086,'General price list'!C:BA,MATCH("PAL",'General price list'!$C$20:$BA$20,0),FALSE),""))</f>
        <v/>
      </c>
      <c r="D1086" s="1" t="str">
        <f>IF(B1086="PAL","",IFERROR(VLOOKUP(B1086,'General price list'!C:BA,MATCH("OBJ",'General price list'!$C$20:$BA$20,0),FALSE),""))</f>
        <v/>
      </c>
      <c r="E1086" s="1">
        <f t="shared" si="96"/>
        <v>0</v>
      </c>
      <c r="F1086" s="1">
        <f t="shared" si="97"/>
        <v>0</v>
      </c>
      <c r="G1086" s="1">
        <f t="shared" si="98"/>
        <v>0</v>
      </c>
      <c r="H1086" s="1">
        <f t="shared" si="99"/>
        <v>0</v>
      </c>
      <c r="I1086" s="1">
        <f t="shared" si="100"/>
        <v>0</v>
      </c>
      <c r="J1086">
        <f>IF(B1086="PAL","",IFERROR(IF(C1086="",VLOOKUP(B1086,'General price list'!C:BA,MATCH("CBM",'General price list'!$C$20:$BA$20,0),FALSE)*D1086,VLOOKUP(B1086,'General price list'!C:BA,MATCH("CBM",'General price list'!$C$20:$BA$20,0),FALSE)*(G1086*C1086)),0))</f>
        <v>0</v>
      </c>
    </row>
    <row r="1087" spans="2:10" ht="15" customHeight="1">
      <c r="B1087" s="790">
        <f>IF(B1086="PAL","",'General price list'!C1107)</f>
        <v>0</v>
      </c>
      <c r="C1087" s="1" t="str">
        <f>IF(B1087="PAL","",IFERROR(VLOOKUP(B1087,'General price list'!C:BA,MATCH("PAL",'General price list'!$C$20:$BA$20,0),FALSE),""))</f>
        <v/>
      </c>
      <c r="D1087" s="1" t="str">
        <f>IF(B1087="PAL","",IFERROR(VLOOKUP(B1087,'General price list'!C:BA,MATCH("OBJ",'General price list'!$C$20:$BA$20,0),FALSE),""))</f>
        <v/>
      </c>
      <c r="E1087" s="1">
        <f t="shared" si="96"/>
        <v>0</v>
      </c>
      <c r="F1087" s="1">
        <f t="shared" si="97"/>
        <v>0</v>
      </c>
      <c r="G1087" s="1">
        <f t="shared" si="98"/>
        <v>0</v>
      </c>
      <c r="H1087" s="1">
        <f t="shared" si="99"/>
        <v>0</v>
      </c>
      <c r="I1087" s="1">
        <f t="shared" si="100"/>
        <v>0</v>
      </c>
      <c r="J1087">
        <f>IF(B1087="PAL","",IFERROR(IF(C1087="",VLOOKUP(B1087,'General price list'!C:BA,MATCH("CBM",'General price list'!$C$20:$BA$20,0),FALSE)*D1087,VLOOKUP(B1087,'General price list'!C:BA,MATCH("CBM",'General price list'!$C$20:$BA$20,0),FALSE)*(G1087*C1087)),0))</f>
        <v>0</v>
      </c>
    </row>
    <row r="1088" spans="2:10" ht="15" customHeight="1">
      <c r="B1088" s="790">
        <f>IF(B1087="PAL","",'General price list'!C1108)</f>
        <v>0</v>
      </c>
      <c r="C1088" s="1" t="str">
        <f>IF(B1088="PAL","",IFERROR(VLOOKUP(B1088,'General price list'!C:BA,MATCH("PAL",'General price list'!$C$20:$BA$20,0),FALSE),""))</f>
        <v/>
      </c>
      <c r="D1088" s="1" t="str">
        <f>IF(B1088="PAL","",IFERROR(VLOOKUP(B1088,'General price list'!C:BA,MATCH("OBJ",'General price list'!$C$20:$BA$20,0),FALSE),""))</f>
        <v/>
      </c>
      <c r="E1088" s="1">
        <f t="shared" si="96"/>
        <v>0</v>
      </c>
      <c r="F1088" s="1">
        <f t="shared" si="97"/>
        <v>0</v>
      </c>
      <c r="G1088" s="1">
        <f t="shared" si="98"/>
        <v>0</v>
      </c>
      <c r="H1088" s="1">
        <f t="shared" si="99"/>
        <v>0</v>
      </c>
      <c r="I1088" s="1">
        <f t="shared" si="100"/>
        <v>0</v>
      </c>
      <c r="J1088">
        <f>IF(B1088="PAL","",IFERROR(IF(C1088="",VLOOKUP(B1088,'General price list'!C:BA,MATCH("CBM",'General price list'!$C$20:$BA$20,0),FALSE)*D1088,VLOOKUP(B1088,'General price list'!C:BA,MATCH("CBM",'General price list'!$C$20:$BA$20,0),FALSE)*(G1088*C1088)),0))</f>
        <v>0</v>
      </c>
    </row>
    <row r="1089" spans="2:10" ht="15" customHeight="1">
      <c r="B1089" s="790">
        <f>IF(B1088="PAL","",'General price list'!C1109)</f>
        <v>0</v>
      </c>
      <c r="C1089" s="1" t="str">
        <f>IF(B1089="PAL","",IFERROR(VLOOKUP(B1089,'General price list'!C:BA,MATCH("PAL",'General price list'!$C$20:$BA$20,0),FALSE),""))</f>
        <v/>
      </c>
      <c r="D1089" s="1" t="str">
        <f>IF(B1089="PAL","",IFERROR(VLOOKUP(B1089,'General price list'!C:BA,MATCH("OBJ",'General price list'!$C$20:$BA$20,0),FALSE),""))</f>
        <v/>
      </c>
      <c r="E1089" s="1">
        <f t="shared" si="96"/>
        <v>0</v>
      </c>
      <c r="F1089" s="1">
        <f t="shared" si="97"/>
        <v>0</v>
      </c>
      <c r="G1089" s="1">
        <f t="shared" si="98"/>
        <v>0</v>
      </c>
      <c r="H1089" s="1">
        <f t="shared" si="99"/>
        <v>0</v>
      </c>
      <c r="I1089" s="1">
        <f t="shared" si="100"/>
        <v>0</v>
      </c>
      <c r="J1089">
        <f>IF(B1089="PAL","",IFERROR(IF(C1089="",VLOOKUP(B1089,'General price list'!C:BA,MATCH("CBM",'General price list'!$C$20:$BA$20,0),FALSE)*D1089,VLOOKUP(B1089,'General price list'!C:BA,MATCH("CBM",'General price list'!$C$20:$BA$20,0),FALSE)*(G1089*C1089)),0))</f>
        <v>0</v>
      </c>
    </row>
    <row r="1090" spans="2:10" ht="15" customHeight="1">
      <c r="B1090" s="790">
        <f>IF(B1089="PAL","",'General price list'!C1110)</f>
        <v>0</v>
      </c>
      <c r="C1090" s="1" t="str">
        <f>IF(B1090="PAL","",IFERROR(VLOOKUP(B1090,'General price list'!C:BA,MATCH("PAL",'General price list'!$C$20:$BA$20,0),FALSE),""))</f>
        <v/>
      </c>
      <c r="D1090" s="1" t="str">
        <f>IF(B1090="PAL","",IFERROR(VLOOKUP(B1090,'General price list'!C:BA,MATCH("OBJ",'General price list'!$C$20:$BA$20,0),FALSE),""))</f>
        <v/>
      </c>
      <c r="E1090" s="1">
        <f t="shared" si="96"/>
        <v>0</v>
      </c>
      <c r="F1090" s="1">
        <f t="shared" si="97"/>
        <v>0</v>
      </c>
      <c r="G1090" s="1">
        <f t="shared" si="98"/>
        <v>0</v>
      </c>
      <c r="H1090" s="1">
        <f t="shared" si="99"/>
        <v>0</v>
      </c>
      <c r="I1090" s="1">
        <f t="shared" si="100"/>
        <v>0</v>
      </c>
      <c r="J1090">
        <f>IF(B1090="PAL","",IFERROR(IF(C1090="",VLOOKUP(B1090,'General price list'!C:BA,MATCH("CBM",'General price list'!$C$20:$BA$20,0),FALSE)*D1090,VLOOKUP(B1090,'General price list'!C:BA,MATCH("CBM",'General price list'!$C$20:$BA$20,0),FALSE)*(G1090*C1090)),0))</f>
        <v>0</v>
      </c>
    </row>
    <row r="1091" spans="2:10" ht="15" customHeight="1">
      <c r="B1091" s="790">
        <f>IF(B1090="PAL","",'General price list'!C1111)</f>
        <v>0</v>
      </c>
      <c r="C1091" s="1" t="str">
        <f>IF(B1091="PAL","",IFERROR(VLOOKUP(B1091,'General price list'!C:BA,MATCH("PAL",'General price list'!$C$20:$BA$20,0),FALSE),""))</f>
        <v/>
      </c>
      <c r="D1091" s="1" t="str">
        <f>IF(B1091="PAL","",IFERROR(VLOOKUP(B1091,'General price list'!C:BA,MATCH("OBJ",'General price list'!$C$20:$BA$20,0),FALSE),""))</f>
        <v/>
      </c>
      <c r="E1091" s="1">
        <f t="shared" si="96"/>
        <v>0</v>
      </c>
      <c r="F1091" s="1">
        <f t="shared" si="97"/>
        <v>0</v>
      </c>
      <c r="G1091" s="1">
        <f t="shared" si="98"/>
        <v>0</v>
      </c>
      <c r="H1091" s="1">
        <f t="shared" si="99"/>
        <v>0</v>
      </c>
      <c r="I1091" s="1">
        <f t="shared" si="100"/>
        <v>0</v>
      </c>
      <c r="J1091">
        <f>IF(B1091="PAL","",IFERROR(IF(C1091="",VLOOKUP(B1091,'General price list'!C:BA,MATCH("CBM",'General price list'!$C$20:$BA$20,0),FALSE)*D1091,VLOOKUP(B1091,'General price list'!C:BA,MATCH("CBM",'General price list'!$C$20:$BA$20,0),FALSE)*(G1091*C1091)),0))</f>
        <v>0</v>
      </c>
    </row>
    <row r="1092" spans="2:10" ht="15" customHeight="1">
      <c r="B1092" s="790">
        <f>IF(B1091="PAL","",'General price list'!C1112)</f>
        <v>0</v>
      </c>
      <c r="C1092" s="1" t="str">
        <f>IF(B1092="PAL","",IFERROR(VLOOKUP(B1092,'General price list'!C:BA,MATCH("PAL",'General price list'!$C$20:$BA$20,0),FALSE),""))</f>
        <v/>
      </c>
      <c r="D1092" s="1" t="str">
        <f>IF(B1092="PAL","",IFERROR(VLOOKUP(B1092,'General price list'!C:BA,MATCH("OBJ",'General price list'!$C$20:$BA$20,0),FALSE),""))</f>
        <v/>
      </c>
      <c r="E1092" s="1">
        <f t="shared" si="96"/>
        <v>0</v>
      </c>
      <c r="F1092" s="1">
        <f t="shared" si="97"/>
        <v>0</v>
      </c>
      <c r="G1092" s="1">
        <f t="shared" si="98"/>
        <v>0</v>
      </c>
      <c r="H1092" s="1">
        <f t="shared" si="99"/>
        <v>0</v>
      </c>
      <c r="I1092" s="1">
        <f t="shared" si="100"/>
        <v>0</v>
      </c>
      <c r="J1092">
        <f>IF(B1092="PAL","",IFERROR(IF(C1092="",VLOOKUP(B1092,'General price list'!C:BA,MATCH("CBM",'General price list'!$C$20:$BA$20,0),FALSE)*D1092,VLOOKUP(B1092,'General price list'!C:BA,MATCH("CBM",'General price list'!$C$20:$BA$20,0),FALSE)*(G1092*C1092)),0))</f>
        <v>0</v>
      </c>
    </row>
    <row r="1093" spans="2:10" ht="15" customHeight="1">
      <c r="B1093" s="790">
        <f>IF(B1092="PAL","",'General price list'!C1113)</f>
        <v>0</v>
      </c>
      <c r="C1093" s="1" t="str">
        <f>IF(B1093="PAL","",IFERROR(VLOOKUP(B1093,'General price list'!C:BA,MATCH("PAL",'General price list'!$C$20:$BA$20,0),FALSE),""))</f>
        <v/>
      </c>
      <c r="D1093" s="1" t="str">
        <f>IF(B1093="PAL","",IFERROR(VLOOKUP(B1093,'General price list'!C:BA,MATCH("OBJ",'General price list'!$C$20:$BA$20,0),FALSE),""))</f>
        <v/>
      </c>
      <c r="E1093" s="1">
        <f t="shared" si="96"/>
        <v>0</v>
      </c>
      <c r="F1093" s="1">
        <f t="shared" si="97"/>
        <v>0</v>
      </c>
      <c r="G1093" s="1">
        <f t="shared" si="98"/>
        <v>0</v>
      </c>
      <c r="H1093" s="1">
        <f t="shared" si="99"/>
        <v>0</v>
      </c>
      <c r="I1093" s="1">
        <f t="shared" si="100"/>
        <v>0</v>
      </c>
      <c r="J1093">
        <f>IF(B1093="PAL","",IFERROR(IF(C1093="",VLOOKUP(B1093,'General price list'!C:BA,MATCH("CBM",'General price list'!$C$20:$BA$20,0),FALSE)*D1093,VLOOKUP(B1093,'General price list'!C:BA,MATCH("CBM",'General price list'!$C$20:$BA$20,0),FALSE)*(G1093*C1093)),0))</f>
        <v>0</v>
      </c>
    </row>
    <row r="1094" spans="2:10" ht="15" customHeight="1">
      <c r="B1094" s="790">
        <f>IF(B1093="PAL","",'General price list'!C1114)</f>
        <v>0</v>
      </c>
      <c r="C1094" s="1" t="str">
        <f>IF(B1094="PAL","",IFERROR(VLOOKUP(B1094,'General price list'!C:BA,MATCH("PAL",'General price list'!$C$20:$BA$20,0),FALSE),""))</f>
        <v/>
      </c>
      <c r="D1094" s="1" t="str">
        <f>IF(B1094="PAL","",IFERROR(VLOOKUP(B1094,'General price list'!C:BA,MATCH("OBJ",'General price list'!$C$20:$BA$20,0),FALSE),""))</f>
        <v/>
      </c>
      <c r="E1094" s="1">
        <f t="shared" si="96"/>
        <v>0</v>
      </c>
      <c r="F1094" s="1">
        <f t="shared" si="97"/>
        <v>0</v>
      </c>
      <c r="G1094" s="1">
        <f t="shared" si="98"/>
        <v>0</v>
      </c>
      <c r="H1094" s="1">
        <f t="shared" si="99"/>
        <v>0</v>
      </c>
      <c r="I1094" s="1">
        <f t="shared" si="100"/>
        <v>0</v>
      </c>
      <c r="J1094">
        <f>IF(B1094="PAL","",IFERROR(IF(C1094="",VLOOKUP(B1094,'General price list'!C:BA,MATCH("CBM",'General price list'!$C$20:$BA$20,0),FALSE)*D1094,VLOOKUP(B1094,'General price list'!C:BA,MATCH("CBM",'General price list'!$C$20:$BA$20,0),FALSE)*(G1094*C1094)),0))</f>
        <v>0</v>
      </c>
    </row>
    <row r="1095" spans="2:10" ht="15" customHeight="1">
      <c r="B1095" s="790">
        <f>IF(B1094="PAL","",'General price list'!C1115)</f>
        <v>0</v>
      </c>
      <c r="C1095" s="1" t="str">
        <f>IF(B1095="PAL","",IFERROR(VLOOKUP(B1095,'General price list'!C:BA,MATCH("PAL",'General price list'!$C$20:$BA$20,0),FALSE),""))</f>
        <v/>
      </c>
      <c r="D1095" s="1" t="str">
        <f>IF(B1095="PAL","",IFERROR(VLOOKUP(B1095,'General price list'!C:BA,MATCH("OBJ",'General price list'!$C$20:$BA$20,0),FALSE),""))</f>
        <v/>
      </c>
      <c r="E1095" s="1">
        <f t="shared" si="96"/>
        <v>0</v>
      </c>
      <c r="F1095" s="1">
        <f t="shared" si="97"/>
        <v>0</v>
      </c>
      <c r="G1095" s="1">
        <f t="shared" si="98"/>
        <v>0</v>
      </c>
      <c r="H1095" s="1">
        <f t="shared" si="99"/>
        <v>0</v>
      </c>
      <c r="I1095" s="1">
        <f t="shared" si="100"/>
        <v>0</v>
      </c>
      <c r="J1095">
        <f>IF(B1095="PAL","",IFERROR(IF(C1095="",VLOOKUP(B1095,'General price list'!C:BA,MATCH("CBM",'General price list'!$C$20:$BA$20,0),FALSE)*D1095,VLOOKUP(B1095,'General price list'!C:BA,MATCH("CBM",'General price list'!$C$20:$BA$20,0),FALSE)*(G1095*C1095)),0))</f>
        <v>0</v>
      </c>
    </row>
    <row r="1096" spans="2:10" ht="15" customHeight="1">
      <c r="B1096" s="790">
        <f>IF(B1095="PAL","",'General price list'!C1116)</f>
        <v>0</v>
      </c>
      <c r="C1096" s="1" t="str">
        <f>IF(B1096="PAL","",IFERROR(VLOOKUP(B1096,'General price list'!C:BA,MATCH("PAL",'General price list'!$C$20:$BA$20,0),FALSE),""))</f>
        <v/>
      </c>
      <c r="D1096" s="1" t="str">
        <f>IF(B1096="PAL","",IFERROR(VLOOKUP(B1096,'General price list'!C:BA,MATCH("OBJ",'General price list'!$C$20:$BA$20,0),FALSE),""))</f>
        <v/>
      </c>
      <c r="E1096" s="1">
        <f t="shared" si="96"/>
        <v>0</v>
      </c>
      <c r="F1096" s="1">
        <f t="shared" si="97"/>
        <v>0</v>
      </c>
      <c r="G1096" s="1">
        <f t="shared" si="98"/>
        <v>0</v>
      </c>
      <c r="H1096" s="1">
        <f t="shared" si="99"/>
        <v>0</v>
      </c>
      <c r="I1096" s="1">
        <f t="shared" si="100"/>
        <v>0</v>
      </c>
      <c r="J1096">
        <f>IF(B1096="PAL","",IFERROR(IF(C1096="",VLOOKUP(B1096,'General price list'!C:BA,MATCH("CBM",'General price list'!$C$20:$BA$20,0),FALSE)*D1096,VLOOKUP(B1096,'General price list'!C:BA,MATCH("CBM",'General price list'!$C$20:$BA$20,0),FALSE)*(G1096*C1096)),0))</f>
        <v>0</v>
      </c>
    </row>
    <row r="1097" spans="2:10" ht="15" customHeight="1">
      <c r="B1097" s="790">
        <f>IF(B1096="PAL","",'General price list'!C1117)</f>
        <v>0</v>
      </c>
      <c r="C1097" s="1" t="str">
        <f>IF(B1097="PAL","",IFERROR(VLOOKUP(B1097,'General price list'!C:BA,MATCH("PAL",'General price list'!$C$20:$BA$20,0),FALSE),""))</f>
        <v/>
      </c>
      <c r="D1097" s="1" t="str">
        <f>IF(B1097="PAL","",IFERROR(VLOOKUP(B1097,'General price list'!C:BA,MATCH("OBJ",'General price list'!$C$20:$BA$20,0),FALSE),""))</f>
        <v/>
      </c>
      <c r="E1097" s="1">
        <f t="shared" si="96"/>
        <v>0</v>
      </c>
      <c r="F1097" s="1">
        <f t="shared" si="97"/>
        <v>0</v>
      </c>
      <c r="G1097" s="1">
        <f t="shared" si="98"/>
        <v>0</v>
      </c>
      <c r="H1097" s="1">
        <f t="shared" si="99"/>
        <v>0</v>
      </c>
      <c r="I1097" s="1">
        <f t="shared" si="100"/>
        <v>0</v>
      </c>
      <c r="J1097">
        <f>IF(B1097="PAL","",IFERROR(IF(C1097="",VLOOKUP(B1097,'General price list'!C:BA,MATCH("CBM",'General price list'!$C$20:$BA$20,0),FALSE)*D1097,VLOOKUP(B1097,'General price list'!C:BA,MATCH("CBM",'General price list'!$C$20:$BA$20,0),FALSE)*(G1097*C1097)),0))</f>
        <v>0</v>
      </c>
    </row>
    <row r="1098" spans="2:10" ht="15" customHeight="1">
      <c r="B1098" s="790">
        <f>IF(B1097="PAL","",'General price list'!C1118)</f>
        <v>0</v>
      </c>
      <c r="C1098" s="1" t="str">
        <f>IF(B1098="PAL","",IFERROR(VLOOKUP(B1098,'General price list'!C:BA,MATCH("PAL",'General price list'!$C$20:$BA$20,0),FALSE),""))</f>
        <v/>
      </c>
      <c r="D1098" s="1" t="str">
        <f>IF(B1098="PAL","",IFERROR(VLOOKUP(B1098,'General price list'!C:BA,MATCH("OBJ",'General price list'!$C$20:$BA$20,0),FALSE),""))</f>
        <v/>
      </c>
      <c r="E1098" s="1">
        <f t="shared" si="96"/>
        <v>0</v>
      </c>
      <c r="F1098" s="1">
        <f t="shared" si="97"/>
        <v>0</v>
      </c>
      <c r="G1098" s="1">
        <f t="shared" si="98"/>
        <v>0</v>
      </c>
      <c r="H1098" s="1">
        <f t="shared" si="99"/>
        <v>0</v>
      </c>
      <c r="I1098" s="1">
        <f t="shared" si="100"/>
        <v>0</v>
      </c>
      <c r="J1098">
        <f>IF(B1098="PAL","",IFERROR(IF(C1098="",VLOOKUP(B1098,'General price list'!C:BA,MATCH("CBM",'General price list'!$C$20:$BA$20,0),FALSE)*D1098,VLOOKUP(B1098,'General price list'!C:BA,MATCH("CBM",'General price list'!$C$20:$BA$20,0),FALSE)*(G1098*C1098)),0))</f>
        <v>0</v>
      </c>
    </row>
    <row r="1099" spans="2:10" ht="15" customHeight="1">
      <c r="B1099" s="790">
        <f>IF(B1098="PAL","",'General price list'!C1119)</f>
        <v>0</v>
      </c>
      <c r="C1099" s="1" t="str">
        <f>IF(B1099="PAL","",IFERROR(VLOOKUP(B1099,'General price list'!C:BA,MATCH("PAL",'General price list'!$C$20:$BA$20,0),FALSE),""))</f>
        <v/>
      </c>
      <c r="D1099" s="1" t="str">
        <f>IF(B1099="PAL","",IFERROR(VLOOKUP(B1099,'General price list'!C:BA,MATCH("OBJ",'General price list'!$C$20:$BA$20,0),FALSE),""))</f>
        <v/>
      </c>
      <c r="E1099" s="1">
        <f t="shared" si="96"/>
        <v>0</v>
      </c>
      <c r="F1099" s="1">
        <f t="shared" si="97"/>
        <v>0</v>
      </c>
      <c r="G1099" s="1">
        <f t="shared" si="98"/>
        <v>0</v>
      </c>
      <c r="H1099" s="1">
        <f t="shared" si="99"/>
        <v>0</v>
      </c>
      <c r="I1099" s="1">
        <f t="shared" si="100"/>
        <v>0</v>
      </c>
      <c r="J1099">
        <f>IF(B1099="PAL","",IFERROR(IF(C1099="",VLOOKUP(B1099,'General price list'!C:BA,MATCH("CBM",'General price list'!$C$20:$BA$20,0),FALSE)*D1099,VLOOKUP(B1099,'General price list'!C:BA,MATCH("CBM",'General price list'!$C$20:$BA$20,0),FALSE)*(G1099*C1099)),0))</f>
        <v>0</v>
      </c>
    </row>
    <row r="1100" spans="2:10" ht="15" customHeight="1">
      <c r="B1100" s="790">
        <f>IF(B1099="PAL","",'General price list'!C1120)</f>
        <v>0</v>
      </c>
      <c r="C1100" s="1" t="str">
        <f>IF(B1100="PAL","",IFERROR(VLOOKUP(B1100,'General price list'!C:BA,MATCH("PAL",'General price list'!$C$20:$BA$20,0),FALSE),""))</f>
        <v/>
      </c>
      <c r="D1100" s="1" t="str">
        <f>IF(B1100="PAL","",IFERROR(VLOOKUP(B1100,'General price list'!C:BA,MATCH("OBJ",'General price list'!$C$20:$BA$20,0),FALSE),""))</f>
        <v/>
      </c>
      <c r="E1100" s="1">
        <f t="shared" ref="E1100" si="101">IF(B1100="PAL","",IFERROR(D1100/C1100,0))</f>
        <v>0</v>
      </c>
      <c r="F1100" s="1">
        <f t="shared" ref="F1100" si="102">IF(B1100="PAL","",IFERROR(FLOOR(IF(E1100-1&lt;0,0,E1100),1),0))</f>
        <v>0</v>
      </c>
      <c r="G1100" s="1">
        <f t="shared" ref="G1100" si="103">IF(B1100="PAL","",IFERROR(IF(H1100&gt;E1100,F1100-E1100,E1100-F1100),0))</f>
        <v>0</v>
      </c>
      <c r="H1100" s="1">
        <f t="shared" ref="H1100" si="104">IF(B1100="PAL","",IFERROR(IF(E1100=0,0,F1100),0))</f>
        <v>0</v>
      </c>
      <c r="I1100" s="1">
        <f t="shared" ref="I1100" si="105">IF(B1100="PAL","",IFERROR(IF(D1100=0,0,IF(F1100=0,(D1100*nextVK)+(prvniVK-nextVK),(G1100*C1100*nextVK)+(F1100*PALzKoje))),0))</f>
        <v>0</v>
      </c>
      <c r="J1100">
        <f>IF(B1100="PAL","",IFERROR(IF(C1100="",VLOOKUP(B1100,'General price list'!C:BA,MATCH("CBM",'General price list'!$C$20:$BA$20,0),FALSE)*D1100,VLOOKUP(B1100,'General price list'!C:BA,MATCH("CBM",'General price list'!$C$20:$BA$20,0),FALSE)*(G1100*C1100)),0))</f>
        <v>0</v>
      </c>
    </row>
  </sheetData>
  <mergeCells count="21">
    <mergeCell ref="AP38:AQ38"/>
    <mergeCell ref="AP39:AQ39"/>
    <mergeCell ref="AL23:AM23"/>
    <mergeCell ref="T25:X27"/>
    <mergeCell ref="T24:X24"/>
    <mergeCell ref="AD2:AE2"/>
    <mergeCell ref="AF2:AG2"/>
    <mergeCell ref="AP37:AQ37"/>
    <mergeCell ref="S16:X16"/>
    <mergeCell ref="S18:T18"/>
    <mergeCell ref="S19:T19"/>
    <mergeCell ref="AJ23:AK23"/>
    <mergeCell ref="S17:T17"/>
    <mergeCell ref="O21:V22"/>
    <mergeCell ref="W21:Z22"/>
    <mergeCell ref="F2:H2"/>
    <mergeCell ref="R2:AB2"/>
    <mergeCell ref="X3:Z3"/>
    <mergeCell ref="S15:T15"/>
    <mergeCell ref="U15:V15"/>
    <mergeCell ref="W15:X15"/>
  </mergeCells>
  <conditionalFormatting sqref="B1:B1048576">
    <cfRule type="duplicateValues" dxfId="1" priority="1"/>
  </conditionalFormatting>
  <pageMargins left="0.7" right="0.7" top="0.78740157499999996" bottom="0.78740157499999996"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718" id="{0980F202-5996-437F-B90D-1F905FA96FF0}">
            <xm:f>'General price list'!$AC$6=1</xm:f>
            <x14:dxf>
              <fill>
                <patternFill>
                  <bgColor theme="0"/>
                </patternFill>
              </fill>
              <border>
                <left/>
                <right/>
                <top/>
                <bottom/>
                <vertical/>
                <horizontal/>
              </border>
            </x14:dxf>
          </x14:cfRule>
          <xm:sqref>T24:X27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8"/>
  <dimension ref="A1:AQ1872"/>
  <sheetViews>
    <sheetView workbookViewId="0">
      <selection activeCell="P11" sqref="P11"/>
    </sheetView>
  </sheetViews>
  <sheetFormatPr defaultColWidth="9.140625" defaultRowHeight="15" customHeight="1"/>
  <cols>
    <col min="1" max="1" width="10.85546875" bestFit="1" customWidth="1"/>
    <col min="2" max="2" width="8" bestFit="1" customWidth="1"/>
  </cols>
  <sheetData>
    <row r="1" spans="1:12">
      <c r="A1" s="7" t="s">
        <v>2204</v>
      </c>
      <c r="F1" s="332">
        <f>SUM(L:L)</f>
        <v>23.5413</v>
      </c>
      <c r="H1" s="338">
        <f>IF(F1&gt;100,F1/10^(LEN(F1)-2),F1)</f>
        <v>23.5413</v>
      </c>
    </row>
    <row r="2" spans="1:12"/>
    <row r="3" spans="1:12">
      <c r="A3" t="s">
        <v>15076</v>
      </c>
      <c r="J3" s="332" t="str">
        <f>IF(A3="Devizy","Devizy","")</f>
        <v/>
      </c>
      <c r="K3" s="332" t="str">
        <f>IFERROR(IF(AND(J3="Devizy",FIND("Nakupujeme ",A3)=1),RIGHT(A3,7),""),"")</f>
        <v/>
      </c>
      <c r="L3" s="332" t="str">
        <f>IFERROR(K3+M3,"")</f>
        <v/>
      </c>
    </row>
    <row r="4" spans="1:12">
      <c r="J4" s="332" t="str">
        <f>IF(OR(A4="Devizy",J3="Devizy"),"Devizy","")</f>
        <v/>
      </c>
      <c r="K4" s="332" t="str">
        <f>IFERROR(IF(AND(J4="Devizy",FIND("Nakupujeme ",A4)=1),RIGHT(A4,7),""),"")</f>
        <v/>
      </c>
      <c r="L4" s="332" t="str">
        <f>IFERROR(K4+M4,"")</f>
        <v/>
      </c>
    </row>
    <row r="5" spans="1:12">
      <c r="A5" t="s">
        <v>15077</v>
      </c>
      <c r="J5" s="332" t="str">
        <f t="shared" ref="J5:J30" si="0">IF(OR(A5="Devizy",J4="Devizy"),"Devizy","")</f>
        <v/>
      </c>
      <c r="K5" s="332" t="str">
        <f t="shared" ref="K5:K30" si="1">IFERROR(IF(AND(J5="Devizy",FIND("Nakupujeme ",A5)=1),RIGHT(A5,7),""),"")</f>
        <v/>
      </c>
      <c r="L5" s="332" t="str">
        <f t="shared" ref="L5:L68" si="2">IFERROR(K5+M5,"")</f>
        <v/>
      </c>
    </row>
    <row r="6" spans="1:12">
      <c r="J6" s="332" t="str">
        <f t="shared" si="0"/>
        <v/>
      </c>
      <c r="K6" s="332" t="str">
        <f t="shared" si="1"/>
        <v/>
      </c>
      <c r="L6" s="332" t="str">
        <f t="shared" si="2"/>
        <v/>
      </c>
    </row>
    <row r="7" spans="1:12">
      <c r="A7" t="s">
        <v>2149</v>
      </c>
      <c r="J7" s="332" t="str">
        <f t="shared" si="0"/>
        <v/>
      </c>
      <c r="K7" s="332" t="str">
        <f t="shared" si="1"/>
        <v/>
      </c>
      <c r="L7" s="332" t="str">
        <f t="shared" si="2"/>
        <v/>
      </c>
    </row>
    <row r="8" spans="1:12">
      <c r="A8" t="s">
        <v>11180</v>
      </c>
      <c r="J8" s="332" t="str">
        <f t="shared" si="0"/>
        <v/>
      </c>
      <c r="K8" s="332" t="str">
        <f t="shared" si="1"/>
        <v/>
      </c>
      <c r="L8" s="332" t="str">
        <f t="shared" si="2"/>
        <v/>
      </c>
    </row>
    <row r="9" spans="1:12">
      <c r="A9" t="s">
        <v>10942</v>
      </c>
      <c r="J9" s="332" t="str">
        <f t="shared" si="0"/>
        <v/>
      </c>
      <c r="K9" s="332" t="str">
        <f t="shared" si="1"/>
        <v/>
      </c>
      <c r="L9" s="332" t="str">
        <f t="shared" si="2"/>
        <v/>
      </c>
    </row>
    <row r="10" spans="1:12">
      <c r="A10" t="s">
        <v>12434</v>
      </c>
      <c r="J10" s="332" t="str">
        <f t="shared" si="0"/>
        <v/>
      </c>
      <c r="K10" s="332" t="str">
        <f t="shared" si="1"/>
        <v/>
      </c>
      <c r="L10" s="332" t="str">
        <f t="shared" si="2"/>
        <v/>
      </c>
    </row>
    <row r="11" spans="1:12">
      <c r="A11" t="s">
        <v>11172</v>
      </c>
      <c r="J11" s="332" t="str">
        <f t="shared" si="0"/>
        <v/>
      </c>
      <c r="K11" s="332" t="str">
        <f t="shared" si="1"/>
        <v/>
      </c>
      <c r="L11" s="332" t="str">
        <f t="shared" si="2"/>
        <v/>
      </c>
    </row>
    <row r="12" spans="1:12">
      <c r="J12" s="332" t="str">
        <f t="shared" si="0"/>
        <v/>
      </c>
      <c r="K12" s="332" t="str">
        <f t="shared" si="1"/>
        <v/>
      </c>
      <c r="L12" s="332" t="str">
        <f t="shared" si="2"/>
        <v/>
      </c>
    </row>
    <row r="13" spans="1:12">
      <c r="A13" t="s">
        <v>2164</v>
      </c>
      <c r="J13" s="332" t="str">
        <f t="shared" si="0"/>
        <v/>
      </c>
      <c r="K13" s="332" t="str">
        <f t="shared" si="1"/>
        <v/>
      </c>
      <c r="L13" s="332" t="str">
        <f t="shared" si="2"/>
        <v/>
      </c>
    </row>
    <row r="14" spans="1:12">
      <c r="J14" s="332" t="str">
        <f t="shared" si="0"/>
        <v/>
      </c>
      <c r="K14" s="332" t="str">
        <f t="shared" si="1"/>
        <v/>
      </c>
      <c r="L14" s="332" t="str">
        <f t="shared" si="2"/>
        <v/>
      </c>
    </row>
    <row r="15" spans="1:12">
      <c r="A15" t="s">
        <v>10668</v>
      </c>
      <c r="J15" s="332" t="str">
        <f t="shared" si="0"/>
        <v/>
      </c>
      <c r="K15" s="332" t="str">
        <f t="shared" si="1"/>
        <v/>
      </c>
      <c r="L15" s="332" t="str">
        <f t="shared" si="2"/>
        <v/>
      </c>
    </row>
    <row r="16" spans="1:12">
      <c r="A16" t="s">
        <v>10944</v>
      </c>
      <c r="J16" s="332" t="str">
        <f t="shared" si="0"/>
        <v/>
      </c>
      <c r="K16" s="332" t="str">
        <f t="shared" si="1"/>
        <v/>
      </c>
      <c r="L16" s="332" t="str">
        <f t="shared" si="2"/>
        <v/>
      </c>
    </row>
    <row r="17" spans="1:43">
      <c r="A17" t="s">
        <v>10698</v>
      </c>
      <c r="J17" s="332" t="str">
        <f t="shared" si="0"/>
        <v/>
      </c>
      <c r="K17" s="332" t="str">
        <f t="shared" si="1"/>
        <v/>
      </c>
      <c r="L17" s="332" t="str">
        <f t="shared" si="2"/>
        <v/>
      </c>
    </row>
    <row r="18" spans="1:43">
      <c r="A18" t="s">
        <v>10692</v>
      </c>
      <c r="J18" s="332" t="str">
        <f t="shared" si="0"/>
        <v/>
      </c>
      <c r="K18" s="332" t="str">
        <f t="shared" si="1"/>
        <v/>
      </c>
      <c r="L18" s="332" t="str">
        <f t="shared" si="2"/>
        <v/>
      </c>
    </row>
    <row r="19" spans="1:43">
      <c r="A19" t="s">
        <v>10693</v>
      </c>
      <c r="J19" s="332" t="str">
        <f t="shared" si="0"/>
        <v/>
      </c>
      <c r="K19" s="332" t="str">
        <f t="shared" si="1"/>
        <v/>
      </c>
      <c r="L19" s="332" t="str">
        <f t="shared" si="2"/>
        <v/>
      </c>
    </row>
    <row r="20" spans="1:43">
      <c r="A20" t="s">
        <v>10668</v>
      </c>
      <c r="J20" s="332" t="str">
        <f t="shared" si="0"/>
        <v/>
      </c>
      <c r="K20" s="332" t="str">
        <f t="shared" si="1"/>
        <v/>
      </c>
      <c r="L20" s="332" t="str">
        <f t="shared" si="2"/>
        <v/>
      </c>
    </row>
    <row r="21" spans="1:43">
      <c r="A21" t="s">
        <v>10669</v>
      </c>
      <c r="J21" s="332" t="str">
        <f t="shared" si="0"/>
        <v/>
      </c>
      <c r="K21" s="332" t="str">
        <f t="shared" si="1"/>
        <v/>
      </c>
      <c r="L21" s="332" t="str">
        <f t="shared" si="2"/>
        <v/>
      </c>
    </row>
    <row r="22" spans="1:43">
      <c r="J22" s="332" t="str">
        <f t="shared" si="0"/>
        <v/>
      </c>
      <c r="K22" s="332" t="str">
        <f t="shared" si="1"/>
        <v/>
      </c>
      <c r="L22" s="332" t="str">
        <f t="shared" si="2"/>
        <v/>
      </c>
      <c r="AQ22" t="str">
        <f>IF($AK$3=1,"",IF(OR(AA22&lt;&gt;"",AA22&lt;&gt;0),IF(OR(AB22="SKLADEM",AB22=$V$3,AB22=$V$9),$V$10,""),""))</f>
        <v/>
      </c>
    </row>
    <row r="23" spans="1:43">
      <c r="A23" t="s">
        <v>2150</v>
      </c>
      <c r="J23" s="332" t="str">
        <f t="shared" si="0"/>
        <v/>
      </c>
      <c r="K23" s="332" t="str">
        <f t="shared" si="1"/>
        <v/>
      </c>
      <c r="L23" s="332" t="str">
        <f t="shared" si="2"/>
        <v/>
      </c>
    </row>
    <row r="24" spans="1:43">
      <c r="A24" s="2"/>
      <c r="J24" s="332" t="str">
        <f t="shared" si="0"/>
        <v/>
      </c>
      <c r="K24" s="332" t="str">
        <f t="shared" si="1"/>
        <v/>
      </c>
      <c r="L24" s="332" t="str">
        <f t="shared" si="2"/>
        <v/>
      </c>
    </row>
    <row r="25" spans="1:43">
      <c r="J25" s="332" t="str">
        <f t="shared" si="0"/>
        <v/>
      </c>
      <c r="K25" s="332" t="str">
        <f t="shared" si="1"/>
        <v/>
      </c>
      <c r="L25" s="332" t="str">
        <f t="shared" si="2"/>
        <v/>
      </c>
    </row>
    <row r="26" spans="1:43">
      <c r="A26" s="2" t="s">
        <v>10670</v>
      </c>
      <c r="J26" s="332" t="str">
        <f t="shared" si="0"/>
        <v/>
      </c>
      <c r="K26" s="332" t="str">
        <f t="shared" si="1"/>
        <v/>
      </c>
      <c r="L26" s="332" t="str">
        <f t="shared" si="2"/>
        <v/>
      </c>
    </row>
    <row r="27" spans="1:43">
      <c r="A27" t="s">
        <v>10671</v>
      </c>
      <c r="J27" s="332" t="str">
        <f t="shared" si="0"/>
        <v/>
      </c>
      <c r="K27" s="332" t="str">
        <f t="shared" si="1"/>
        <v/>
      </c>
      <c r="L27" s="332" t="str">
        <f t="shared" si="2"/>
        <v/>
      </c>
    </row>
    <row r="28" spans="1:43">
      <c r="A28" t="s">
        <v>10946</v>
      </c>
      <c r="J28" s="332" t="str">
        <f t="shared" si="0"/>
        <v/>
      </c>
      <c r="K28" s="332" t="str">
        <f t="shared" si="1"/>
        <v/>
      </c>
      <c r="L28" s="332" t="str">
        <f t="shared" si="2"/>
        <v/>
      </c>
    </row>
    <row r="29" spans="1:43">
      <c r="A29" t="s">
        <v>11173</v>
      </c>
      <c r="J29" s="332" t="str">
        <f t="shared" si="0"/>
        <v/>
      </c>
      <c r="K29" s="332" t="str">
        <f t="shared" si="1"/>
        <v/>
      </c>
      <c r="L29" s="332" t="str">
        <f t="shared" si="2"/>
        <v/>
      </c>
      <c r="W29" s="20"/>
    </row>
    <row r="30" spans="1:43">
      <c r="A30" t="s">
        <v>10673</v>
      </c>
      <c r="C30" s="111"/>
      <c r="J30" s="332" t="str">
        <f t="shared" si="0"/>
        <v/>
      </c>
      <c r="K30" s="332" t="str">
        <f t="shared" si="1"/>
        <v/>
      </c>
      <c r="L30" s="332" t="str">
        <f t="shared" si="2"/>
        <v/>
      </c>
    </row>
    <row r="31" spans="1:43">
      <c r="J31" s="332" t="str">
        <f t="shared" ref="J31:J94" si="3">IF(OR(A31="Devizy",J30="Devizy"),"Devizy","")</f>
        <v/>
      </c>
      <c r="K31" s="332" t="str">
        <f t="shared" ref="K31:K94" si="4">IFERROR(IF(AND(J31="Devizy",FIND("Nakupujeme ",A31)=1),RIGHT(A31,7),""),"")</f>
        <v/>
      </c>
      <c r="L31" s="332" t="str">
        <f t="shared" si="2"/>
        <v/>
      </c>
    </row>
    <row r="32" spans="1:43">
      <c r="A32" t="s">
        <v>2151</v>
      </c>
      <c r="J32" s="332" t="str">
        <f t="shared" si="3"/>
        <v/>
      </c>
      <c r="K32" s="332" t="str">
        <f t="shared" si="4"/>
        <v/>
      </c>
      <c r="L32" s="332" t="str">
        <f t="shared" si="2"/>
        <v/>
      </c>
    </row>
    <row r="33" spans="1:12">
      <c r="J33" s="332" t="str">
        <f t="shared" si="3"/>
        <v/>
      </c>
      <c r="K33" s="332" t="str">
        <f t="shared" si="4"/>
        <v/>
      </c>
      <c r="L33" s="332" t="str">
        <f t="shared" si="2"/>
        <v/>
      </c>
    </row>
    <row r="34" spans="1:12">
      <c r="J34" s="332" t="str">
        <f t="shared" si="3"/>
        <v/>
      </c>
      <c r="K34" s="332" t="str">
        <f t="shared" si="4"/>
        <v/>
      </c>
      <c r="L34" s="332" t="str">
        <f t="shared" si="2"/>
        <v/>
      </c>
    </row>
    <row r="35" spans="1:12">
      <c r="A35" t="s">
        <v>10674</v>
      </c>
      <c r="J35" s="332" t="str">
        <f t="shared" si="3"/>
        <v/>
      </c>
      <c r="K35" s="332" t="str">
        <f t="shared" si="4"/>
        <v/>
      </c>
      <c r="L35" s="332" t="str">
        <f t="shared" si="2"/>
        <v/>
      </c>
    </row>
    <row r="36" spans="1:12">
      <c r="A36" t="s">
        <v>10675</v>
      </c>
      <c r="J36" s="332" t="str">
        <f t="shared" si="3"/>
        <v/>
      </c>
      <c r="K36" s="332" t="str">
        <f t="shared" si="4"/>
        <v/>
      </c>
      <c r="L36" s="332" t="str">
        <f t="shared" si="2"/>
        <v/>
      </c>
    </row>
    <row r="37" spans="1:12">
      <c r="J37" s="332" t="str">
        <f t="shared" si="3"/>
        <v/>
      </c>
      <c r="K37" s="332" t="str">
        <f t="shared" si="4"/>
        <v/>
      </c>
      <c r="L37" s="332" t="str">
        <f t="shared" si="2"/>
        <v/>
      </c>
    </row>
    <row r="38" spans="1:12">
      <c r="A38" t="s">
        <v>2152</v>
      </c>
      <c r="J38" s="332" t="str">
        <f t="shared" si="3"/>
        <v/>
      </c>
      <c r="K38" s="332" t="str">
        <f t="shared" si="4"/>
        <v/>
      </c>
      <c r="L38" s="332" t="str">
        <f t="shared" si="2"/>
        <v/>
      </c>
    </row>
    <row r="39" spans="1:12">
      <c r="A39" s="2"/>
      <c r="J39" s="332" t="str">
        <f t="shared" si="3"/>
        <v/>
      </c>
      <c r="K39" s="332" t="str">
        <f t="shared" si="4"/>
        <v/>
      </c>
      <c r="L39" s="332" t="str">
        <f t="shared" si="2"/>
        <v/>
      </c>
    </row>
    <row r="40" spans="1:12">
      <c r="J40" s="332" t="str">
        <f t="shared" si="3"/>
        <v/>
      </c>
      <c r="K40" s="332" t="str">
        <f t="shared" si="4"/>
        <v/>
      </c>
      <c r="L40" s="332" t="str">
        <f t="shared" si="2"/>
        <v/>
      </c>
    </row>
    <row r="41" spans="1:12">
      <c r="A41" s="2" t="s">
        <v>10945</v>
      </c>
      <c r="J41" s="332" t="str">
        <f t="shared" si="3"/>
        <v/>
      </c>
      <c r="K41" s="332" t="str">
        <f t="shared" si="4"/>
        <v/>
      </c>
      <c r="L41" s="332" t="str">
        <f t="shared" si="2"/>
        <v/>
      </c>
    </row>
    <row r="42" spans="1:12">
      <c r="A42" t="s">
        <v>10676</v>
      </c>
      <c r="J42" s="332" t="str">
        <f t="shared" si="3"/>
        <v/>
      </c>
      <c r="K42" s="332" t="str">
        <f t="shared" si="4"/>
        <v/>
      </c>
      <c r="L42" s="332" t="str">
        <f t="shared" si="2"/>
        <v/>
      </c>
    </row>
    <row r="43" spans="1:12">
      <c r="A43" t="s">
        <v>10677</v>
      </c>
      <c r="J43" s="332" t="str">
        <f t="shared" si="3"/>
        <v/>
      </c>
      <c r="K43" s="332" t="str">
        <f t="shared" si="4"/>
        <v/>
      </c>
      <c r="L43" s="332" t="str">
        <f t="shared" si="2"/>
        <v/>
      </c>
    </row>
    <row r="44" spans="1:12">
      <c r="A44" t="s">
        <v>11623</v>
      </c>
      <c r="J44" s="332" t="str">
        <f t="shared" si="3"/>
        <v/>
      </c>
      <c r="K44" s="332" t="str">
        <f t="shared" si="4"/>
        <v/>
      </c>
      <c r="L44" s="332" t="str">
        <f t="shared" si="2"/>
        <v/>
      </c>
    </row>
    <row r="45" spans="1:12">
      <c r="A45" s="2" t="s">
        <v>10673</v>
      </c>
      <c r="J45" s="332" t="str">
        <f t="shared" si="3"/>
        <v/>
      </c>
      <c r="K45" s="332" t="str">
        <f t="shared" si="4"/>
        <v/>
      </c>
      <c r="L45" s="332" t="str">
        <f t="shared" si="2"/>
        <v/>
      </c>
    </row>
    <row r="46" spans="1:12">
      <c r="J46" s="332" t="str">
        <f t="shared" si="3"/>
        <v/>
      </c>
      <c r="K46" s="332" t="str">
        <f t="shared" si="4"/>
        <v/>
      </c>
      <c r="L46" s="332" t="str">
        <f t="shared" si="2"/>
        <v/>
      </c>
    </row>
    <row r="47" spans="1:12">
      <c r="A47" t="s">
        <v>2153</v>
      </c>
      <c r="J47" s="332" t="str">
        <f t="shared" si="3"/>
        <v/>
      </c>
      <c r="K47" s="332" t="str">
        <f t="shared" si="4"/>
        <v/>
      </c>
      <c r="L47" s="332" t="str">
        <f t="shared" si="2"/>
        <v/>
      </c>
    </row>
    <row r="48" spans="1:12">
      <c r="J48" s="332" t="str">
        <f t="shared" si="3"/>
        <v/>
      </c>
      <c r="K48" s="332" t="str">
        <f t="shared" si="4"/>
        <v/>
      </c>
      <c r="L48" s="332" t="str">
        <f t="shared" si="2"/>
        <v/>
      </c>
    </row>
    <row r="49" spans="1:12">
      <c r="J49" s="332" t="str">
        <f t="shared" si="3"/>
        <v/>
      </c>
      <c r="K49" s="332" t="str">
        <f t="shared" si="4"/>
        <v/>
      </c>
      <c r="L49" s="332" t="str">
        <f t="shared" si="2"/>
        <v/>
      </c>
    </row>
    <row r="50" spans="1:12">
      <c r="A50" s="2" t="s">
        <v>10678</v>
      </c>
      <c r="J50" s="332" t="str">
        <f t="shared" si="3"/>
        <v/>
      </c>
      <c r="K50" s="332" t="str">
        <f t="shared" si="4"/>
        <v/>
      </c>
      <c r="L50" s="332" t="str">
        <f t="shared" si="2"/>
        <v/>
      </c>
    </row>
    <row r="51" spans="1:12">
      <c r="A51" t="s">
        <v>10679</v>
      </c>
      <c r="J51" s="332" t="str">
        <f t="shared" si="3"/>
        <v/>
      </c>
      <c r="K51" s="332" t="str">
        <f t="shared" si="4"/>
        <v/>
      </c>
      <c r="L51" s="332" t="str">
        <f t="shared" si="2"/>
        <v/>
      </c>
    </row>
    <row r="52" spans="1:12">
      <c r="A52" t="s">
        <v>10680</v>
      </c>
      <c r="J52" s="332" t="str">
        <f t="shared" si="3"/>
        <v/>
      </c>
      <c r="K52" s="332" t="str">
        <f t="shared" si="4"/>
        <v/>
      </c>
      <c r="L52" s="332" t="str">
        <f t="shared" si="2"/>
        <v/>
      </c>
    </row>
    <row r="53" spans="1:12">
      <c r="A53" t="s">
        <v>10681</v>
      </c>
      <c r="J53" s="332" t="str">
        <f t="shared" si="3"/>
        <v/>
      </c>
      <c r="K53" s="332" t="str">
        <f t="shared" si="4"/>
        <v/>
      </c>
      <c r="L53" s="332" t="str">
        <f t="shared" si="2"/>
        <v/>
      </c>
    </row>
    <row r="54" spans="1:12">
      <c r="A54" t="s">
        <v>10673</v>
      </c>
      <c r="J54" s="332" t="str">
        <f t="shared" si="3"/>
        <v/>
      </c>
      <c r="K54" s="332" t="str">
        <f t="shared" si="4"/>
        <v/>
      </c>
      <c r="L54" s="332" t="str">
        <f t="shared" si="2"/>
        <v/>
      </c>
    </row>
    <row r="55" spans="1:12">
      <c r="J55" s="332" t="str">
        <f t="shared" si="3"/>
        <v/>
      </c>
      <c r="K55" s="332" t="str">
        <f t="shared" si="4"/>
        <v/>
      </c>
      <c r="L55" s="332" t="str">
        <f t="shared" si="2"/>
        <v/>
      </c>
    </row>
    <row r="56" spans="1:12">
      <c r="A56" t="s">
        <v>2154</v>
      </c>
      <c r="J56" s="332" t="str">
        <f t="shared" si="3"/>
        <v/>
      </c>
      <c r="K56" s="332" t="str">
        <f t="shared" si="4"/>
        <v/>
      </c>
      <c r="L56" s="332" t="str">
        <f t="shared" si="2"/>
        <v/>
      </c>
    </row>
    <row r="57" spans="1:12">
      <c r="J57" s="332" t="str">
        <f t="shared" si="3"/>
        <v/>
      </c>
      <c r="K57" s="332" t="str">
        <f t="shared" si="4"/>
        <v/>
      </c>
      <c r="L57" s="332" t="str">
        <f t="shared" si="2"/>
        <v/>
      </c>
    </row>
    <row r="58" spans="1:12">
      <c r="A58" s="2"/>
      <c r="J58" s="332" t="str">
        <f t="shared" si="3"/>
        <v/>
      </c>
      <c r="K58" s="332" t="str">
        <f t="shared" si="4"/>
        <v/>
      </c>
      <c r="L58" s="332" t="str">
        <f t="shared" si="2"/>
        <v/>
      </c>
    </row>
    <row r="59" spans="1:12">
      <c r="A59" t="s">
        <v>10682</v>
      </c>
      <c r="J59" s="332" t="str">
        <f t="shared" si="3"/>
        <v/>
      </c>
      <c r="K59" s="332" t="str">
        <f t="shared" si="4"/>
        <v/>
      </c>
      <c r="L59" s="332" t="str">
        <f t="shared" si="2"/>
        <v/>
      </c>
    </row>
    <row r="60" spans="1:12">
      <c r="A60" s="2" t="s">
        <v>10683</v>
      </c>
      <c r="J60" s="332" t="str">
        <f t="shared" si="3"/>
        <v/>
      </c>
      <c r="K60" s="332" t="str">
        <f t="shared" si="4"/>
        <v/>
      </c>
      <c r="L60" s="332" t="str">
        <f t="shared" si="2"/>
        <v/>
      </c>
    </row>
    <row r="61" spans="1:12">
      <c r="A61" s="2" t="s">
        <v>10684</v>
      </c>
      <c r="J61" s="332" t="str">
        <f t="shared" si="3"/>
        <v/>
      </c>
      <c r="K61" s="332" t="str">
        <f t="shared" si="4"/>
        <v/>
      </c>
      <c r="L61" s="332" t="str">
        <f t="shared" si="2"/>
        <v/>
      </c>
    </row>
    <row r="62" spans="1:12">
      <c r="A62" s="2" t="s">
        <v>10685</v>
      </c>
      <c r="J62" s="332" t="str">
        <f t="shared" si="3"/>
        <v/>
      </c>
      <c r="K62" s="332" t="str">
        <f t="shared" si="4"/>
        <v/>
      </c>
      <c r="L62" s="332" t="str">
        <f t="shared" si="2"/>
        <v/>
      </c>
    </row>
    <row r="63" spans="1:12">
      <c r="A63" t="s">
        <v>10673</v>
      </c>
      <c r="J63" s="332" t="str">
        <f t="shared" si="3"/>
        <v/>
      </c>
      <c r="K63" s="332" t="str">
        <f t="shared" si="4"/>
        <v/>
      </c>
      <c r="L63" s="332" t="str">
        <f t="shared" si="2"/>
        <v/>
      </c>
    </row>
    <row r="64" spans="1:12">
      <c r="A64" s="2"/>
      <c r="J64" s="332" t="str">
        <f t="shared" si="3"/>
        <v/>
      </c>
      <c r="K64" s="332" t="str">
        <f t="shared" si="4"/>
        <v/>
      </c>
      <c r="L64" s="332" t="str">
        <f t="shared" si="2"/>
        <v/>
      </c>
    </row>
    <row r="65" spans="1:12">
      <c r="A65" s="2" t="s">
        <v>2155</v>
      </c>
      <c r="J65" s="332" t="str">
        <f t="shared" si="3"/>
        <v/>
      </c>
      <c r="K65" s="332" t="str">
        <f t="shared" si="4"/>
        <v/>
      </c>
      <c r="L65" s="332" t="str">
        <f t="shared" si="2"/>
        <v/>
      </c>
    </row>
    <row r="66" spans="1:12">
      <c r="A66" s="2"/>
      <c r="J66" s="332" t="str">
        <f t="shared" si="3"/>
        <v/>
      </c>
      <c r="K66" s="332" t="str">
        <f t="shared" si="4"/>
        <v/>
      </c>
      <c r="L66" s="332" t="str">
        <f t="shared" si="2"/>
        <v/>
      </c>
    </row>
    <row r="67" spans="1:12">
      <c r="J67" s="332" t="str">
        <f t="shared" si="3"/>
        <v/>
      </c>
      <c r="K67" s="332" t="str">
        <f t="shared" si="4"/>
        <v/>
      </c>
      <c r="L67" s="332" t="str">
        <f t="shared" si="2"/>
        <v/>
      </c>
    </row>
    <row r="68" spans="1:12">
      <c r="A68" s="2" t="s">
        <v>10686</v>
      </c>
      <c r="J68" s="332" t="str">
        <f t="shared" si="3"/>
        <v/>
      </c>
      <c r="K68" s="332" t="str">
        <f t="shared" si="4"/>
        <v/>
      </c>
      <c r="L68" s="332" t="str">
        <f t="shared" si="2"/>
        <v/>
      </c>
    </row>
    <row r="69" spans="1:12">
      <c r="A69" s="2" t="s">
        <v>10687</v>
      </c>
      <c r="J69" s="332" t="str">
        <f t="shared" si="3"/>
        <v/>
      </c>
      <c r="K69" s="332" t="str">
        <f t="shared" si="4"/>
        <v/>
      </c>
      <c r="L69" s="332" t="str">
        <f t="shared" ref="L69:L132" si="5">IFERROR(K69+M69,"")</f>
        <v/>
      </c>
    </row>
    <row r="70" spans="1:12">
      <c r="A70" s="3" t="s">
        <v>10688</v>
      </c>
      <c r="J70" s="332" t="str">
        <f t="shared" si="3"/>
        <v/>
      </c>
      <c r="K70" s="332" t="str">
        <f t="shared" si="4"/>
        <v/>
      </c>
      <c r="L70" s="332" t="str">
        <f t="shared" si="5"/>
        <v/>
      </c>
    </row>
    <row r="71" spans="1:12">
      <c r="A71" t="s">
        <v>10689</v>
      </c>
      <c r="J71" s="332" t="str">
        <f t="shared" si="3"/>
        <v/>
      </c>
      <c r="K71" s="332" t="str">
        <f t="shared" si="4"/>
        <v/>
      </c>
      <c r="L71" s="332" t="str">
        <f t="shared" si="5"/>
        <v/>
      </c>
    </row>
    <row r="72" spans="1:12">
      <c r="A72" t="s">
        <v>10673</v>
      </c>
      <c r="J72" s="332" t="str">
        <f t="shared" si="3"/>
        <v/>
      </c>
      <c r="K72" s="332" t="str">
        <f t="shared" si="4"/>
        <v/>
      </c>
      <c r="L72" s="332" t="str">
        <f t="shared" si="5"/>
        <v/>
      </c>
    </row>
    <row r="73" spans="1:12">
      <c r="J73" s="332" t="str">
        <f t="shared" si="3"/>
        <v/>
      </c>
      <c r="K73" s="332" t="str">
        <f t="shared" si="4"/>
        <v/>
      </c>
      <c r="L73" s="332" t="str">
        <f t="shared" si="5"/>
        <v/>
      </c>
    </row>
    <row r="74" spans="1:12">
      <c r="A74" t="s">
        <v>11174</v>
      </c>
      <c r="J74" s="332" t="str">
        <f t="shared" si="3"/>
        <v/>
      </c>
      <c r="K74" s="332" t="str">
        <f t="shared" si="4"/>
        <v/>
      </c>
      <c r="L74" s="332" t="str">
        <f t="shared" si="5"/>
        <v/>
      </c>
    </row>
    <row r="75" spans="1:12">
      <c r="A75" s="3" t="s">
        <v>11181</v>
      </c>
      <c r="J75" s="332" t="str">
        <f t="shared" si="3"/>
        <v/>
      </c>
      <c r="K75" s="332" t="str">
        <f t="shared" si="4"/>
        <v/>
      </c>
      <c r="L75" s="332" t="str">
        <f t="shared" si="5"/>
        <v/>
      </c>
    </row>
    <row r="76" spans="1:12">
      <c r="J76" s="332" t="str">
        <f t="shared" si="3"/>
        <v/>
      </c>
      <c r="K76" s="332" t="str">
        <f t="shared" si="4"/>
        <v/>
      </c>
      <c r="L76" s="332" t="str">
        <f t="shared" si="5"/>
        <v/>
      </c>
    </row>
    <row r="77" spans="1:12">
      <c r="A77" t="s">
        <v>10690</v>
      </c>
      <c r="J77" s="332" t="str">
        <f t="shared" si="3"/>
        <v/>
      </c>
      <c r="K77" s="332" t="str">
        <f t="shared" si="4"/>
        <v/>
      </c>
      <c r="L77" s="332" t="str">
        <f t="shared" si="5"/>
        <v/>
      </c>
    </row>
    <row r="78" spans="1:12">
      <c r="A78" s="3" t="s">
        <v>10691</v>
      </c>
      <c r="J78" s="332" t="str">
        <f t="shared" si="3"/>
        <v/>
      </c>
      <c r="K78" s="332" t="str">
        <f t="shared" si="4"/>
        <v/>
      </c>
      <c r="L78" s="332" t="str">
        <f t="shared" si="5"/>
        <v/>
      </c>
    </row>
    <row r="79" spans="1:12">
      <c r="J79" s="332" t="str">
        <f t="shared" si="3"/>
        <v/>
      </c>
      <c r="K79" s="332" t="str">
        <f t="shared" si="4"/>
        <v/>
      </c>
      <c r="L79" s="332" t="str">
        <f t="shared" si="5"/>
        <v/>
      </c>
    </row>
    <row r="80" spans="1:12">
      <c r="A80" s="2" t="s">
        <v>10692</v>
      </c>
      <c r="J80" s="332" t="str">
        <f t="shared" si="3"/>
        <v/>
      </c>
      <c r="K80" s="332" t="str">
        <f t="shared" si="4"/>
        <v/>
      </c>
      <c r="L80" s="332" t="str">
        <f t="shared" si="5"/>
        <v/>
      </c>
    </row>
    <row r="81" spans="1:12">
      <c r="A81" s="2" t="s">
        <v>10693</v>
      </c>
      <c r="J81" s="332" t="str">
        <f t="shared" si="3"/>
        <v/>
      </c>
      <c r="K81" s="332" t="str">
        <f t="shared" si="4"/>
        <v/>
      </c>
      <c r="L81" s="332" t="str">
        <f t="shared" si="5"/>
        <v/>
      </c>
    </row>
    <row r="82" spans="1:12">
      <c r="A82" t="s">
        <v>15078</v>
      </c>
      <c r="J82" s="332" t="str">
        <f t="shared" si="3"/>
        <v/>
      </c>
      <c r="K82" s="332" t="str">
        <f t="shared" si="4"/>
        <v/>
      </c>
      <c r="L82" s="332" t="str">
        <f t="shared" si="5"/>
        <v/>
      </c>
    </row>
    <row r="83" spans="1:12">
      <c r="A83" s="3" t="s">
        <v>15079</v>
      </c>
      <c r="J83" s="332" t="str">
        <f t="shared" si="3"/>
        <v/>
      </c>
      <c r="K83" s="332" t="str">
        <f t="shared" si="4"/>
        <v/>
      </c>
      <c r="L83" s="332" t="str">
        <f t="shared" si="5"/>
        <v/>
      </c>
    </row>
    <row r="84" spans="1:12">
      <c r="A84" s="2" t="s">
        <v>15080</v>
      </c>
      <c r="J84" s="332" t="str">
        <f t="shared" si="3"/>
        <v/>
      </c>
      <c r="K84" s="332" t="str">
        <f t="shared" si="4"/>
        <v/>
      </c>
      <c r="L84" s="332" t="str">
        <f t="shared" si="5"/>
        <v/>
      </c>
    </row>
    <row r="85" spans="1:12">
      <c r="A85" s="2" t="s">
        <v>11182</v>
      </c>
      <c r="J85" s="332" t="str">
        <f t="shared" si="3"/>
        <v/>
      </c>
      <c r="K85" s="332" t="str">
        <f t="shared" si="4"/>
        <v/>
      </c>
      <c r="L85" s="332" t="str">
        <f t="shared" si="5"/>
        <v/>
      </c>
    </row>
    <row r="86" spans="1:12">
      <c r="A86" s="2" t="s">
        <v>10695</v>
      </c>
      <c r="J86" s="332" t="str">
        <f t="shared" si="3"/>
        <v/>
      </c>
      <c r="K86" s="332" t="str">
        <f t="shared" si="4"/>
        <v/>
      </c>
      <c r="L86" s="332" t="str">
        <f t="shared" si="5"/>
        <v/>
      </c>
    </row>
    <row r="87" spans="1:12">
      <c r="J87" s="332" t="str">
        <f t="shared" si="3"/>
        <v/>
      </c>
      <c r="K87" s="332" t="str">
        <f t="shared" si="4"/>
        <v/>
      </c>
      <c r="L87" s="332" t="str">
        <f t="shared" si="5"/>
        <v/>
      </c>
    </row>
    <row r="88" spans="1:12">
      <c r="A88" s="2" t="s">
        <v>10696</v>
      </c>
      <c r="J88" s="332" t="str">
        <f t="shared" si="3"/>
        <v/>
      </c>
      <c r="K88" s="332" t="str">
        <f t="shared" si="4"/>
        <v/>
      </c>
      <c r="L88" s="332" t="str">
        <f t="shared" si="5"/>
        <v/>
      </c>
    </row>
    <row r="89" spans="1:12">
      <c r="A89" s="2"/>
      <c r="J89" s="332" t="str">
        <f t="shared" si="3"/>
        <v/>
      </c>
      <c r="K89" s="332" t="str">
        <f t="shared" si="4"/>
        <v/>
      </c>
      <c r="L89" s="332" t="str">
        <f t="shared" si="5"/>
        <v/>
      </c>
    </row>
    <row r="90" spans="1:12">
      <c r="J90" s="332" t="str">
        <f t="shared" si="3"/>
        <v/>
      </c>
      <c r="K90" s="332" t="str">
        <f t="shared" si="4"/>
        <v/>
      </c>
      <c r="L90" s="332" t="str">
        <f t="shared" si="5"/>
        <v/>
      </c>
    </row>
    <row r="91" spans="1:12">
      <c r="A91" s="3" t="s">
        <v>10697</v>
      </c>
      <c r="J91" s="332" t="str">
        <f t="shared" si="3"/>
        <v/>
      </c>
      <c r="K91" s="332" t="str">
        <f t="shared" si="4"/>
        <v/>
      </c>
      <c r="L91" s="332" t="str">
        <f t="shared" si="5"/>
        <v/>
      </c>
    </row>
    <row r="92" spans="1:12">
      <c r="A92" t="s">
        <v>10698</v>
      </c>
      <c r="J92" s="332" t="str">
        <f t="shared" si="3"/>
        <v/>
      </c>
      <c r="K92" s="332" t="str">
        <f t="shared" si="4"/>
        <v/>
      </c>
      <c r="L92" s="332" t="str">
        <f t="shared" si="5"/>
        <v/>
      </c>
    </row>
    <row r="93" spans="1:12">
      <c r="A93" t="s">
        <v>10699</v>
      </c>
      <c r="J93" s="332" t="str">
        <f t="shared" si="3"/>
        <v/>
      </c>
      <c r="K93" s="332" t="str">
        <f t="shared" si="4"/>
        <v/>
      </c>
      <c r="L93" s="332" t="str">
        <f t="shared" si="5"/>
        <v/>
      </c>
    </row>
    <row r="94" spans="1:12">
      <c r="A94" t="s">
        <v>11179</v>
      </c>
      <c r="J94" s="332" t="str">
        <f t="shared" si="3"/>
        <v/>
      </c>
      <c r="K94" s="332" t="str">
        <f t="shared" si="4"/>
        <v/>
      </c>
      <c r="L94" s="332" t="str">
        <f t="shared" si="5"/>
        <v/>
      </c>
    </row>
    <row r="95" spans="1:12">
      <c r="J95" s="332" t="str">
        <f t="shared" ref="J95:J158" si="6">IF(OR(A95="Devizy",J94="Devizy"),"Devizy","")</f>
        <v/>
      </c>
      <c r="K95" s="332" t="str">
        <f t="shared" ref="K95:K158" si="7">IFERROR(IF(AND(J95="Devizy",FIND("Nakupujeme ",A95)=1),RIGHT(A95,7),""),"")</f>
        <v/>
      </c>
      <c r="L95" s="332" t="str">
        <f t="shared" si="5"/>
        <v/>
      </c>
    </row>
    <row r="96" spans="1:12">
      <c r="A96" t="s">
        <v>10701</v>
      </c>
      <c r="J96" s="332" t="str">
        <f t="shared" si="6"/>
        <v/>
      </c>
      <c r="K96" s="332" t="str">
        <f t="shared" si="7"/>
        <v/>
      </c>
      <c r="L96" s="332" t="str">
        <f t="shared" si="5"/>
        <v/>
      </c>
    </row>
    <row r="97" spans="1:12">
      <c r="A97" s="3" t="s">
        <v>10702</v>
      </c>
      <c r="J97" s="332" t="str">
        <f t="shared" si="6"/>
        <v/>
      </c>
      <c r="K97" s="332" t="str">
        <f t="shared" si="7"/>
        <v/>
      </c>
      <c r="L97" s="332" t="str">
        <f t="shared" si="5"/>
        <v/>
      </c>
    </row>
    <row r="98" spans="1:12">
      <c r="A98" t="s">
        <v>10703</v>
      </c>
      <c r="J98" s="332" t="str">
        <f t="shared" si="6"/>
        <v/>
      </c>
      <c r="K98" s="332" t="str">
        <f t="shared" si="7"/>
        <v/>
      </c>
      <c r="L98" s="332" t="str">
        <f t="shared" si="5"/>
        <v/>
      </c>
    </row>
    <row r="99" spans="1:12">
      <c r="A99" s="3" t="s">
        <v>11178</v>
      </c>
      <c r="J99" s="332" t="str">
        <f t="shared" si="6"/>
        <v/>
      </c>
      <c r="K99" s="332" t="str">
        <f t="shared" si="7"/>
        <v/>
      </c>
      <c r="L99" s="332" t="str">
        <f t="shared" si="5"/>
        <v/>
      </c>
    </row>
    <row r="100" spans="1:12">
      <c r="A100" s="4"/>
      <c r="J100" s="332" t="str">
        <f t="shared" si="6"/>
        <v/>
      </c>
      <c r="K100" s="332" t="str">
        <f t="shared" si="7"/>
        <v/>
      </c>
      <c r="L100" s="332" t="str">
        <f t="shared" si="5"/>
        <v/>
      </c>
    </row>
    <row r="101" spans="1:12">
      <c r="A101" t="s">
        <v>10704</v>
      </c>
      <c r="J101" s="332" t="str">
        <f t="shared" si="6"/>
        <v/>
      </c>
      <c r="K101" s="332" t="str">
        <f t="shared" si="7"/>
        <v/>
      </c>
      <c r="L101" s="332" t="str">
        <f t="shared" si="5"/>
        <v/>
      </c>
    </row>
    <row r="102" spans="1:12">
      <c r="A102" t="s">
        <v>10705</v>
      </c>
      <c r="J102" s="332" t="str">
        <f t="shared" si="6"/>
        <v/>
      </c>
      <c r="K102" s="332" t="str">
        <f t="shared" si="7"/>
        <v/>
      </c>
      <c r="L102" s="332" t="str">
        <f t="shared" si="5"/>
        <v/>
      </c>
    </row>
    <row r="103" spans="1:12">
      <c r="A103" t="s">
        <v>11176</v>
      </c>
      <c r="J103" s="332" t="str">
        <f t="shared" si="6"/>
        <v/>
      </c>
      <c r="K103" s="332" t="str">
        <f t="shared" si="7"/>
        <v/>
      </c>
      <c r="L103" s="332" t="str">
        <f t="shared" si="5"/>
        <v/>
      </c>
    </row>
    <row r="104" spans="1:12">
      <c r="A104" s="4" t="s">
        <v>11177</v>
      </c>
      <c r="J104" s="332" t="str">
        <f t="shared" si="6"/>
        <v/>
      </c>
      <c r="K104" s="332" t="str">
        <f t="shared" si="7"/>
        <v/>
      </c>
      <c r="L104" s="332" t="str">
        <f t="shared" si="5"/>
        <v/>
      </c>
    </row>
    <row r="105" spans="1:12">
      <c r="A105" s="4" t="s">
        <v>11177</v>
      </c>
      <c r="J105" s="332" t="str">
        <f t="shared" si="6"/>
        <v/>
      </c>
      <c r="K105" s="332" t="str">
        <f t="shared" si="7"/>
        <v/>
      </c>
      <c r="L105" s="332" t="str">
        <f t="shared" si="5"/>
        <v/>
      </c>
    </row>
    <row r="106" spans="1:12">
      <c r="A106" t="s">
        <v>10694</v>
      </c>
      <c r="J106" s="332" t="str">
        <f t="shared" si="6"/>
        <v/>
      </c>
      <c r="K106" s="332" t="str">
        <f t="shared" si="7"/>
        <v/>
      </c>
      <c r="L106" s="332" t="str">
        <f t="shared" si="5"/>
        <v/>
      </c>
    </row>
    <row r="107" spans="1:12">
      <c r="A107" t="s">
        <v>10706</v>
      </c>
      <c r="J107" s="332" t="str">
        <f t="shared" si="6"/>
        <v/>
      </c>
      <c r="K107" s="332" t="str">
        <f t="shared" si="7"/>
        <v/>
      </c>
      <c r="L107" s="332" t="str">
        <f t="shared" si="5"/>
        <v/>
      </c>
    </row>
    <row r="108" spans="1:12">
      <c r="A108" s="3" t="s">
        <v>10707</v>
      </c>
      <c r="J108" s="332" t="str">
        <f t="shared" si="6"/>
        <v/>
      </c>
      <c r="K108" s="332" t="str">
        <f t="shared" si="7"/>
        <v/>
      </c>
      <c r="L108" s="332" t="str">
        <f t="shared" si="5"/>
        <v/>
      </c>
    </row>
    <row r="109" spans="1:12">
      <c r="A109" s="3"/>
      <c r="J109" s="332" t="str">
        <f t="shared" si="6"/>
        <v/>
      </c>
      <c r="K109" s="332" t="str">
        <f t="shared" si="7"/>
        <v/>
      </c>
      <c r="L109" s="332" t="str">
        <f t="shared" si="5"/>
        <v/>
      </c>
    </row>
    <row r="110" spans="1:12">
      <c r="A110" t="s">
        <v>10937</v>
      </c>
      <c r="J110" s="332" t="str">
        <f t="shared" si="6"/>
        <v/>
      </c>
      <c r="K110" s="332" t="str">
        <f t="shared" si="7"/>
        <v/>
      </c>
      <c r="L110" s="332" t="str">
        <f t="shared" si="5"/>
        <v/>
      </c>
    </row>
    <row r="111" spans="1:12">
      <c r="A111" s="3" t="s">
        <v>12424</v>
      </c>
      <c r="J111" s="332" t="str">
        <f t="shared" si="6"/>
        <v/>
      </c>
      <c r="K111" s="332" t="str">
        <f t="shared" si="7"/>
        <v/>
      </c>
      <c r="L111" s="332" t="str">
        <f t="shared" si="5"/>
        <v/>
      </c>
    </row>
    <row r="112" spans="1:12">
      <c r="A112" s="3" t="s">
        <v>10938</v>
      </c>
      <c r="J112" s="332" t="str">
        <f t="shared" si="6"/>
        <v/>
      </c>
      <c r="K112" s="332" t="str">
        <f t="shared" si="7"/>
        <v/>
      </c>
      <c r="L112" s="332" t="str">
        <f t="shared" si="5"/>
        <v/>
      </c>
    </row>
    <row r="113" spans="1:12">
      <c r="A113" s="3" t="s">
        <v>9136</v>
      </c>
      <c r="J113" s="332" t="str">
        <f t="shared" si="6"/>
        <v/>
      </c>
      <c r="K113" s="332" t="str">
        <f t="shared" si="7"/>
        <v/>
      </c>
      <c r="L113" s="332" t="str">
        <f t="shared" si="5"/>
        <v/>
      </c>
    </row>
    <row r="114" spans="1:12">
      <c r="A114" t="s">
        <v>11175</v>
      </c>
      <c r="J114" s="332" t="str">
        <f t="shared" si="6"/>
        <v/>
      </c>
      <c r="K114" s="332" t="str">
        <f t="shared" si="7"/>
        <v/>
      </c>
      <c r="L114" s="332" t="str">
        <f t="shared" si="5"/>
        <v/>
      </c>
    </row>
    <row r="115" spans="1:12">
      <c r="A115" s="3"/>
      <c r="J115" s="332" t="str">
        <f t="shared" si="6"/>
        <v/>
      </c>
      <c r="K115" s="332" t="str">
        <f t="shared" si="7"/>
        <v/>
      </c>
      <c r="L115" s="332" t="str">
        <f t="shared" si="5"/>
        <v/>
      </c>
    </row>
    <row r="116" spans="1:12">
      <c r="A116" s="3" t="s">
        <v>2164</v>
      </c>
      <c r="J116" s="332" t="str">
        <f t="shared" si="6"/>
        <v/>
      </c>
      <c r="K116" s="332" t="str">
        <f t="shared" si="7"/>
        <v/>
      </c>
      <c r="L116" s="332" t="str">
        <f t="shared" si="5"/>
        <v/>
      </c>
    </row>
    <row r="117" spans="1:12">
      <c r="A117" s="3"/>
      <c r="J117" s="332" t="str">
        <f t="shared" si="6"/>
        <v/>
      </c>
      <c r="K117" s="332" t="str">
        <f t="shared" si="7"/>
        <v/>
      </c>
      <c r="L117" s="332" t="str">
        <f t="shared" si="5"/>
        <v/>
      </c>
    </row>
    <row r="118" spans="1:12">
      <c r="A118" s="3" t="s">
        <v>10668</v>
      </c>
      <c r="J118" s="332" t="str">
        <f t="shared" si="6"/>
        <v/>
      </c>
      <c r="K118" s="332" t="str">
        <f t="shared" si="7"/>
        <v/>
      </c>
      <c r="L118" s="332" t="str">
        <f t="shared" si="5"/>
        <v/>
      </c>
    </row>
    <row r="119" spans="1:12">
      <c r="A119" s="3" t="s">
        <v>10944</v>
      </c>
      <c r="J119" s="332" t="str">
        <f t="shared" si="6"/>
        <v/>
      </c>
      <c r="K119" s="332" t="str">
        <f t="shared" si="7"/>
        <v/>
      </c>
      <c r="L119" s="332" t="str">
        <f t="shared" si="5"/>
        <v/>
      </c>
    </row>
    <row r="120" spans="1:12">
      <c r="A120" s="3" t="s">
        <v>10698</v>
      </c>
      <c r="J120" s="332" t="str">
        <f t="shared" si="6"/>
        <v/>
      </c>
      <c r="K120" s="332" t="str">
        <f t="shared" si="7"/>
        <v/>
      </c>
      <c r="L120" s="332" t="str">
        <f t="shared" si="5"/>
        <v/>
      </c>
    </row>
    <row r="121" spans="1:12">
      <c r="A121" s="3" t="s">
        <v>10692</v>
      </c>
      <c r="J121" s="332" t="str">
        <f t="shared" si="6"/>
        <v/>
      </c>
      <c r="K121" s="332" t="str">
        <f t="shared" si="7"/>
        <v/>
      </c>
      <c r="L121" s="332" t="str">
        <f t="shared" si="5"/>
        <v/>
      </c>
    </row>
    <row r="122" spans="1:12">
      <c r="A122" t="s">
        <v>10693</v>
      </c>
      <c r="J122" s="332" t="str">
        <f t="shared" si="6"/>
        <v/>
      </c>
      <c r="K122" s="332" t="str">
        <f t="shared" si="7"/>
        <v/>
      </c>
      <c r="L122" s="332" t="str">
        <f t="shared" si="5"/>
        <v/>
      </c>
    </row>
    <row r="123" spans="1:12">
      <c r="A123" s="3" t="s">
        <v>10708</v>
      </c>
      <c r="J123" s="332" t="str">
        <f t="shared" si="6"/>
        <v/>
      </c>
      <c r="K123" s="332" t="str">
        <f t="shared" si="7"/>
        <v/>
      </c>
      <c r="L123" s="332" t="str">
        <f t="shared" si="5"/>
        <v/>
      </c>
    </row>
    <row r="124" spans="1:12">
      <c r="A124" s="3" t="s">
        <v>11183</v>
      </c>
      <c r="J124" s="332" t="str">
        <f t="shared" si="6"/>
        <v/>
      </c>
      <c r="K124" s="332" t="str">
        <f t="shared" si="7"/>
        <v/>
      </c>
      <c r="L124" s="332" t="str">
        <f t="shared" si="5"/>
        <v/>
      </c>
    </row>
    <row r="125" spans="1:12">
      <c r="A125" s="3" t="s">
        <v>10943</v>
      </c>
      <c r="J125" s="332" t="str">
        <f t="shared" si="6"/>
        <v/>
      </c>
      <c r="K125" s="332" t="str">
        <f t="shared" si="7"/>
        <v/>
      </c>
      <c r="L125" s="332" t="str">
        <f t="shared" si="5"/>
        <v/>
      </c>
    </row>
    <row r="126" spans="1:12">
      <c r="A126" s="3" t="s">
        <v>10668</v>
      </c>
      <c r="J126" s="332" t="str">
        <f t="shared" si="6"/>
        <v/>
      </c>
      <c r="K126" s="332" t="str">
        <f t="shared" si="7"/>
        <v/>
      </c>
      <c r="L126" s="332" t="str">
        <f t="shared" si="5"/>
        <v/>
      </c>
    </row>
    <row r="127" spans="1:12">
      <c r="A127" s="3" t="s">
        <v>10709</v>
      </c>
      <c r="J127" s="332" t="str">
        <f t="shared" si="6"/>
        <v/>
      </c>
      <c r="K127" s="332" t="str">
        <f t="shared" si="7"/>
        <v/>
      </c>
      <c r="L127" s="332" t="str">
        <f t="shared" si="5"/>
        <v/>
      </c>
    </row>
    <row r="128" spans="1:12">
      <c r="A128" s="3" t="s">
        <v>10670</v>
      </c>
      <c r="J128" s="332" t="str">
        <f t="shared" si="6"/>
        <v/>
      </c>
      <c r="K128" s="332" t="str">
        <f t="shared" si="7"/>
        <v/>
      </c>
      <c r="L128" s="332" t="str">
        <f t="shared" si="5"/>
        <v/>
      </c>
    </row>
    <row r="129" spans="1:12">
      <c r="A129" s="3" t="s">
        <v>10671</v>
      </c>
      <c r="J129" s="332" t="str">
        <f t="shared" si="6"/>
        <v/>
      </c>
      <c r="K129" s="332" t="str">
        <f t="shared" si="7"/>
        <v/>
      </c>
      <c r="L129" s="332" t="str">
        <f t="shared" si="5"/>
        <v/>
      </c>
    </row>
    <row r="130" spans="1:12">
      <c r="A130" t="s">
        <v>10946</v>
      </c>
      <c r="J130" s="332" t="str">
        <f t="shared" si="6"/>
        <v/>
      </c>
      <c r="K130" s="332" t="str">
        <f t="shared" si="7"/>
        <v/>
      </c>
      <c r="L130" s="332" t="str">
        <f t="shared" si="5"/>
        <v/>
      </c>
    </row>
    <row r="131" spans="1:12">
      <c r="A131" s="3" t="s">
        <v>10672</v>
      </c>
      <c r="J131" s="332" t="str">
        <f t="shared" si="6"/>
        <v/>
      </c>
      <c r="K131" s="332" t="str">
        <f t="shared" si="7"/>
        <v/>
      </c>
      <c r="L131" s="332" t="str">
        <f t="shared" si="5"/>
        <v/>
      </c>
    </row>
    <row r="132" spans="1:12">
      <c r="A132" s="3" t="s">
        <v>10673</v>
      </c>
      <c r="J132" s="332" t="str">
        <f t="shared" si="6"/>
        <v/>
      </c>
      <c r="K132" s="332" t="str">
        <f t="shared" si="7"/>
        <v/>
      </c>
      <c r="L132" s="332" t="str">
        <f t="shared" si="5"/>
        <v/>
      </c>
    </row>
    <row r="133" spans="1:12">
      <c r="A133" t="s">
        <v>10710</v>
      </c>
      <c r="J133" s="332" t="str">
        <f t="shared" si="6"/>
        <v/>
      </c>
      <c r="K133" s="332" t="str">
        <f t="shared" si="7"/>
        <v/>
      </c>
      <c r="L133" s="332" t="str">
        <f t="shared" ref="L133:L196" si="8">IFERROR(K133+M133,"")</f>
        <v/>
      </c>
    </row>
    <row r="134" spans="1:12">
      <c r="A134" s="3" t="s">
        <v>10674</v>
      </c>
      <c r="J134" s="332" t="str">
        <f t="shared" si="6"/>
        <v/>
      </c>
      <c r="K134" s="332" t="str">
        <f t="shared" si="7"/>
        <v/>
      </c>
      <c r="L134" s="332" t="str">
        <f t="shared" si="8"/>
        <v/>
      </c>
    </row>
    <row r="135" spans="1:12">
      <c r="A135" t="s">
        <v>10675</v>
      </c>
      <c r="J135" s="332" t="str">
        <f t="shared" si="6"/>
        <v/>
      </c>
      <c r="K135" s="332" t="str">
        <f t="shared" si="7"/>
        <v/>
      </c>
      <c r="L135" s="332" t="str">
        <f t="shared" si="8"/>
        <v/>
      </c>
    </row>
    <row r="136" spans="1:12">
      <c r="A136" t="s">
        <v>10711</v>
      </c>
      <c r="J136" s="332" t="str">
        <f t="shared" si="6"/>
        <v/>
      </c>
      <c r="K136" s="332" t="str">
        <f t="shared" si="7"/>
        <v/>
      </c>
      <c r="L136" s="332" t="str">
        <f t="shared" si="8"/>
        <v/>
      </c>
    </row>
    <row r="137" spans="1:12">
      <c r="A137" t="s">
        <v>10945</v>
      </c>
      <c r="J137" s="332" t="str">
        <f t="shared" si="6"/>
        <v/>
      </c>
      <c r="K137" s="332" t="str">
        <f t="shared" si="7"/>
        <v/>
      </c>
      <c r="L137" s="332" t="str">
        <f t="shared" si="8"/>
        <v/>
      </c>
    </row>
    <row r="138" spans="1:12">
      <c r="A138" s="4" t="s">
        <v>10676</v>
      </c>
      <c r="J138" s="332" t="str">
        <f t="shared" si="6"/>
        <v/>
      </c>
      <c r="K138" s="332" t="str">
        <f t="shared" si="7"/>
        <v/>
      </c>
      <c r="L138" s="332" t="str">
        <f t="shared" si="8"/>
        <v/>
      </c>
    </row>
    <row r="139" spans="1:12">
      <c r="A139" s="4" t="s">
        <v>10677</v>
      </c>
      <c r="J139" s="332" t="str">
        <f t="shared" si="6"/>
        <v/>
      </c>
      <c r="K139" s="332" t="str">
        <f t="shared" si="7"/>
        <v/>
      </c>
      <c r="L139" s="332" t="str">
        <f t="shared" si="8"/>
        <v/>
      </c>
    </row>
    <row r="140" spans="1:12">
      <c r="A140" t="s">
        <v>11623</v>
      </c>
      <c r="J140" s="332" t="str">
        <f t="shared" si="6"/>
        <v/>
      </c>
      <c r="K140" s="332" t="str">
        <f t="shared" si="7"/>
        <v/>
      </c>
      <c r="L140" s="332" t="str">
        <f t="shared" si="8"/>
        <v/>
      </c>
    </row>
    <row r="141" spans="1:12">
      <c r="A141" s="4" t="s">
        <v>10673</v>
      </c>
      <c r="J141" s="332" t="str">
        <f t="shared" si="6"/>
        <v/>
      </c>
      <c r="K141" s="332" t="str">
        <f t="shared" si="7"/>
        <v/>
      </c>
      <c r="L141" s="332" t="str">
        <f t="shared" si="8"/>
        <v/>
      </c>
    </row>
    <row r="142" spans="1:12">
      <c r="A142" s="4" t="s">
        <v>10712</v>
      </c>
      <c r="J142" s="332" t="str">
        <f t="shared" si="6"/>
        <v/>
      </c>
      <c r="K142" s="332" t="str">
        <f t="shared" si="7"/>
        <v/>
      </c>
      <c r="L142" s="332" t="str">
        <f t="shared" si="8"/>
        <v/>
      </c>
    </row>
    <row r="143" spans="1:12">
      <c r="A143" s="4" t="s">
        <v>10678</v>
      </c>
      <c r="J143" s="332" t="str">
        <f t="shared" si="6"/>
        <v/>
      </c>
      <c r="K143" s="332" t="str">
        <f t="shared" si="7"/>
        <v/>
      </c>
      <c r="L143" s="332" t="str">
        <f t="shared" si="8"/>
        <v/>
      </c>
    </row>
    <row r="144" spans="1:12">
      <c r="A144" t="s">
        <v>10679</v>
      </c>
      <c r="J144" s="332" t="str">
        <f t="shared" si="6"/>
        <v/>
      </c>
      <c r="K144" s="332" t="str">
        <f t="shared" si="7"/>
        <v/>
      </c>
      <c r="L144" s="332" t="str">
        <f t="shared" si="8"/>
        <v/>
      </c>
    </row>
    <row r="145" spans="1:12">
      <c r="A145" s="4" t="s">
        <v>10680</v>
      </c>
      <c r="J145" s="332" t="str">
        <f t="shared" si="6"/>
        <v/>
      </c>
      <c r="K145" s="332" t="str">
        <f t="shared" si="7"/>
        <v/>
      </c>
      <c r="L145" s="332" t="str">
        <f t="shared" si="8"/>
        <v/>
      </c>
    </row>
    <row r="146" spans="1:12">
      <c r="A146" s="4" t="s">
        <v>10681</v>
      </c>
      <c r="J146" s="332" t="str">
        <f t="shared" si="6"/>
        <v/>
      </c>
      <c r="K146" s="332" t="str">
        <f t="shared" si="7"/>
        <v/>
      </c>
      <c r="L146" s="332" t="str">
        <f t="shared" si="8"/>
        <v/>
      </c>
    </row>
    <row r="147" spans="1:12">
      <c r="A147" s="4" t="s">
        <v>10673</v>
      </c>
      <c r="J147" s="332" t="str">
        <f t="shared" si="6"/>
        <v/>
      </c>
      <c r="K147" s="332" t="str">
        <f t="shared" si="7"/>
        <v/>
      </c>
      <c r="L147" s="332" t="str">
        <f t="shared" si="8"/>
        <v/>
      </c>
    </row>
    <row r="148" spans="1:12">
      <c r="A148" s="4" t="s">
        <v>10713</v>
      </c>
      <c r="J148" s="332" t="str">
        <f t="shared" si="6"/>
        <v/>
      </c>
      <c r="K148" s="332" t="str">
        <f t="shared" si="7"/>
        <v/>
      </c>
      <c r="L148" s="332" t="str">
        <f t="shared" si="8"/>
        <v/>
      </c>
    </row>
    <row r="149" spans="1:12">
      <c r="A149" s="4" t="s">
        <v>10682</v>
      </c>
      <c r="J149" s="332" t="str">
        <f t="shared" si="6"/>
        <v/>
      </c>
      <c r="K149" s="332" t="str">
        <f t="shared" si="7"/>
        <v/>
      </c>
      <c r="L149" s="332" t="str">
        <f t="shared" si="8"/>
        <v/>
      </c>
    </row>
    <row r="150" spans="1:12">
      <c r="A150" s="4" t="s">
        <v>10683</v>
      </c>
      <c r="J150" s="332" t="str">
        <f t="shared" si="6"/>
        <v/>
      </c>
      <c r="K150" s="332" t="str">
        <f t="shared" si="7"/>
        <v/>
      </c>
      <c r="L150" s="332" t="str">
        <f t="shared" si="8"/>
        <v/>
      </c>
    </row>
    <row r="151" spans="1:12">
      <c r="A151" s="4" t="s">
        <v>10684</v>
      </c>
      <c r="J151" s="332" t="str">
        <f t="shared" si="6"/>
        <v/>
      </c>
      <c r="K151" s="332" t="str">
        <f t="shared" si="7"/>
        <v/>
      </c>
      <c r="L151" s="332" t="str">
        <f t="shared" si="8"/>
        <v/>
      </c>
    </row>
    <row r="152" spans="1:12">
      <c r="A152" s="4" t="s">
        <v>10685</v>
      </c>
      <c r="J152" s="332" t="str">
        <f t="shared" si="6"/>
        <v/>
      </c>
      <c r="K152" s="332" t="str">
        <f t="shared" si="7"/>
        <v/>
      </c>
      <c r="L152" s="332" t="str">
        <f t="shared" si="8"/>
        <v/>
      </c>
    </row>
    <row r="153" spans="1:12">
      <c r="A153" s="4" t="s">
        <v>10673</v>
      </c>
      <c r="J153" s="332" t="str">
        <f t="shared" si="6"/>
        <v/>
      </c>
      <c r="K153" s="332" t="str">
        <f t="shared" si="7"/>
        <v/>
      </c>
      <c r="L153" s="332" t="str">
        <f t="shared" si="8"/>
        <v/>
      </c>
    </row>
    <row r="154" spans="1:12">
      <c r="A154" s="4" t="s">
        <v>10714</v>
      </c>
      <c r="J154" s="332" t="str">
        <f t="shared" si="6"/>
        <v/>
      </c>
      <c r="K154" s="332" t="str">
        <f t="shared" si="7"/>
        <v/>
      </c>
      <c r="L154" s="332" t="str">
        <f t="shared" si="8"/>
        <v/>
      </c>
    </row>
    <row r="155" spans="1:12">
      <c r="A155" t="s">
        <v>10686</v>
      </c>
      <c r="J155" s="332" t="str">
        <f t="shared" si="6"/>
        <v/>
      </c>
      <c r="K155" s="332" t="str">
        <f t="shared" si="7"/>
        <v/>
      </c>
      <c r="L155" s="332" t="str">
        <f t="shared" si="8"/>
        <v/>
      </c>
    </row>
    <row r="156" spans="1:12">
      <c r="A156" s="4" t="s">
        <v>10687</v>
      </c>
      <c r="J156" s="332" t="str">
        <f t="shared" si="6"/>
        <v/>
      </c>
      <c r="K156" s="332" t="str">
        <f t="shared" si="7"/>
        <v/>
      </c>
      <c r="L156" s="332" t="str">
        <f t="shared" si="8"/>
        <v/>
      </c>
    </row>
    <row r="157" spans="1:12">
      <c r="A157" s="2" t="s">
        <v>10688</v>
      </c>
      <c r="J157" s="332" t="str">
        <f t="shared" si="6"/>
        <v/>
      </c>
      <c r="K157" s="332" t="str">
        <f t="shared" si="7"/>
        <v/>
      </c>
      <c r="L157" s="332" t="str">
        <f t="shared" si="8"/>
        <v/>
      </c>
    </row>
    <row r="158" spans="1:12">
      <c r="A158" t="s">
        <v>10689</v>
      </c>
      <c r="J158" s="332" t="str">
        <f t="shared" si="6"/>
        <v/>
      </c>
      <c r="K158" s="332" t="str">
        <f t="shared" si="7"/>
        <v/>
      </c>
      <c r="L158" s="332" t="str">
        <f t="shared" si="8"/>
        <v/>
      </c>
    </row>
    <row r="159" spans="1:12">
      <c r="A159" t="s">
        <v>10673</v>
      </c>
      <c r="J159" s="332" t="str">
        <f t="shared" ref="J159:J222" si="9">IF(OR(A159="Devizy",J158="Devizy"),"Devizy","")</f>
        <v/>
      </c>
      <c r="K159" s="332" t="str">
        <f t="shared" ref="K159:K222" si="10">IFERROR(IF(AND(J159="Devizy",FIND("Nakupujeme ",A159)=1),RIGHT(A159,7),""),"")</f>
        <v/>
      </c>
      <c r="L159" s="332" t="str">
        <f t="shared" si="8"/>
        <v/>
      </c>
    </row>
    <row r="160" spans="1:12">
      <c r="A160" s="2" t="s">
        <v>11182</v>
      </c>
      <c r="J160" s="332" t="str">
        <f t="shared" si="9"/>
        <v/>
      </c>
      <c r="K160" s="332" t="str">
        <f t="shared" si="10"/>
        <v/>
      </c>
      <c r="L160" s="332" t="str">
        <f t="shared" si="8"/>
        <v/>
      </c>
    </row>
    <row r="161" spans="1:12">
      <c r="A161" s="2" t="s">
        <v>11181</v>
      </c>
      <c r="J161" s="332" t="str">
        <f t="shared" si="9"/>
        <v/>
      </c>
      <c r="K161" s="332" t="str">
        <f t="shared" si="10"/>
        <v/>
      </c>
      <c r="L161" s="332" t="str">
        <f t="shared" si="8"/>
        <v/>
      </c>
    </row>
    <row r="162" spans="1:12">
      <c r="A162" s="2" t="s">
        <v>10695</v>
      </c>
      <c r="J162" s="332" t="str">
        <f t="shared" si="9"/>
        <v/>
      </c>
      <c r="K162" s="332" t="str">
        <f t="shared" si="10"/>
        <v/>
      </c>
      <c r="L162" s="332" t="str">
        <f t="shared" si="8"/>
        <v/>
      </c>
    </row>
    <row r="163" spans="1:12">
      <c r="A163" s="2" t="s">
        <v>10699</v>
      </c>
      <c r="J163" s="332" t="str">
        <f t="shared" si="9"/>
        <v/>
      </c>
      <c r="K163" s="332" t="str">
        <f t="shared" si="10"/>
        <v/>
      </c>
      <c r="L163" s="332" t="str">
        <f t="shared" si="8"/>
        <v/>
      </c>
    </row>
    <row r="164" spans="1:12">
      <c r="A164" t="s">
        <v>10697</v>
      </c>
      <c r="J164" s="332" t="str">
        <f t="shared" si="9"/>
        <v/>
      </c>
      <c r="K164" s="332" t="str">
        <f t="shared" si="10"/>
        <v/>
      </c>
      <c r="L164" s="332" t="str">
        <f t="shared" si="8"/>
        <v/>
      </c>
    </row>
    <row r="165" spans="1:12">
      <c r="A165" t="s">
        <v>10698</v>
      </c>
      <c r="J165" s="332" t="str">
        <f t="shared" si="9"/>
        <v/>
      </c>
      <c r="K165" s="332" t="str">
        <f t="shared" si="10"/>
        <v/>
      </c>
      <c r="L165" s="332" t="str">
        <f t="shared" si="8"/>
        <v/>
      </c>
    </row>
    <row r="166" spans="1:12">
      <c r="A166" t="s">
        <v>10700</v>
      </c>
      <c r="J166" s="332" t="str">
        <f t="shared" si="9"/>
        <v/>
      </c>
      <c r="K166" s="332" t="str">
        <f t="shared" si="10"/>
        <v/>
      </c>
      <c r="L166" s="332" t="str">
        <f t="shared" si="8"/>
        <v/>
      </c>
    </row>
    <row r="167" spans="1:12">
      <c r="A167" t="s">
        <v>10703</v>
      </c>
      <c r="J167" s="332" t="str">
        <f t="shared" si="9"/>
        <v/>
      </c>
      <c r="K167" s="332" t="str">
        <f t="shared" si="10"/>
        <v/>
      </c>
      <c r="L167" s="332" t="str">
        <f t="shared" si="8"/>
        <v/>
      </c>
    </row>
    <row r="168" spans="1:12">
      <c r="A168" t="s">
        <v>10702</v>
      </c>
      <c r="J168" s="332" t="str">
        <f t="shared" si="9"/>
        <v/>
      </c>
      <c r="K168" s="332" t="str">
        <f t="shared" si="10"/>
        <v/>
      </c>
      <c r="L168" s="332" t="str">
        <f t="shared" si="8"/>
        <v/>
      </c>
    </row>
    <row r="169" spans="1:12">
      <c r="A169" t="s">
        <v>10701</v>
      </c>
      <c r="J169" s="332" t="str">
        <f t="shared" si="9"/>
        <v/>
      </c>
      <c r="K169" s="332" t="str">
        <f t="shared" si="10"/>
        <v/>
      </c>
      <c r="L169" s="332" t="str">
        <f t="shared" si="8"/>
        <v/>
      </c>
    </row>
    <row r="170" spans="1:12">
      <c r="A170" t="s">
        <v>11179</v>
      </c>
      <c r="J170" s="332" t="str">
        <f t="shared" si="9"/>
        <v/>
      </c>
      <c r="K170" s="332" t="str">
        <f t="shared" si="10"/>
        <v/>
      </c>
      <c r="L170" s="332" t="str">
        <f t="shared" si="8"/>
        <v/>
      </c>
    </row>
    <row r="171" spans="1:12">
      <c r="A171" t="s">
        <v>10705</v>
      </c>
      <c r="J171" s="332" t="str">
        <f t="shared" si="9"/>
        <v/>
      </c>
      <c r="K171" s="332" t="str">
        <f t="shared" si="10"/>
        <v/>
      </c>
      <c r="L171" s="332" t="str">
        <f t="shared" si="8"/>
        <v/>
      </c>
    </row>
    <row r="172" spans="1:12">
      <c r="A172" t="s">
        <v>10704</v>
      </c>
      <c r="J172" s="332" t="str">
        <f t="shared" si="9"/>
        <v/>
      </c>
      <c r="K172" s="332" t="str">
        <f t="shared" si="10"/>
        <v/>
      </c>
      <c r="L172" s="332" t="str">
        <f t="shared" si="8"/>
        <v/>
      </c>
    </row>
    <row r="173" spans="1:12">
      <c r="A173" t="s">
        <v>11176</v>
      </c>
      <c r="J173" s="332" t="str">
        <f t="shared" si="9"/>
        <v/>
      </c>
      <c r="K173" s="332" t="str">
        <f t="shared" si="10"/>
        <v/>
      </c>
      <c r="L173" s="332" t="str">
        <f t="shared" si="8"/>
        <v/>
      </c>
    </row>
    <row r="174" spans="1:12">
      <c r="A174" t="s">
        <v>10715</v>
      </c>
      <c r="J174" s="332" t="str">
        <f t="shared" si="9"/>
        <v/>
      </c>
      <c r="K174" s="332" t="str">
        <f t="shared" si="10"/>
        <v/>
      </c>
      <c r="L174" s="332" t="str">
        <f t="shared" si="8"/>
        <v/>
      </c>
    </row>
    <row r="175" spans="1:12">
      <c r="A175" t="s">
        <v>10939</v>
      </c>
      <c r="J175" s="332" t="str">
        <f t="shared" si="9"/>
        <v/>
      </c>
      <c r="K175" s="332" t="str">
        <f t="shared" si="10"/>
        <v/>
      </c>
      <c r="L175" s="332" t="str">
        <f t="shared" si="8"/>
        <v/>
      </c>
    </row>
    <row r="176" spans="1:12">
      <c r="A176" t="s">
        <v>10716</v>
      </c>
      <c r="J176" s="332" t="str">
        <f t="shared" si="9"/>
        <v/>
      </c>
      <c r="K176" s="332" t="str">
        <f t="shared" si="10"/>
        <v/>
      </c>
      <c r="L176" s="332" t="str">
        <f t="shared" si="8"/>
        <v/>
      </c>
    </row>
    <row r="177" spans="1:12">
      <c r="A177" t="s">
        <v>11183</v>
      </c>
      <c r="J177" s="332" t="str">
        <f t="shared" si="9"/>
        <v/>
      </c>
      <c r="K177" s="332" t="str">
        <f t="shared" si="10"/>
        <v/>
      </c>
      <c r="L177" s="332" t="str">
        <f t="shared" si="8"/>
        <v/>
      </c>
    </row>
    <row r="178" spans="1:12">
      <c r="A178" t="s">
        <v>10943</v>
      </c>
      <c r="J178" s="332" t="str">
        <f t="shared" si="9"/>
        <v/>
      </c>
      <c r="K178" s="332" t="str">
        <f t="shared" si="10"/>
        <v/>
      </c>
      <c r="L178" s="332" t="str">
        <f t="shared" si="8"/>
        <v/>
      </c>
    </row>
    <row r="179" spans="1:12">
      <c r="A179" t="s">
        <v>10718</v>
      </c>
      <c r="J179" s="332" t="str">
        <f t="shared" si="9"/>
        <v/>
      </c>
      <c r="K179" s="332" t="str">
        <f t="shared" si="10"/>
        <v/>
      </c>
      <c r="L179" s="332" t="str">
        <f t="shared" si="8"/>
        <v/>
      </c>
    </row>
    <row r="180" spans="1:12">
      <c r="A180" t="s">
        <v>10717</v>
      </c>
      <c r="J180" s="332" t="str">
        <f t="shared" si="9"/>
        <v/>
      </c>
      <c r="K180" s="332" t="str">
        <f t="shared" si="10"/>
        <v/>
      </c>
      <c r="L180" s="332" t="str">
        <f t="shared" si="8"/>
        <v/>
      </c>
    </row>
    <row r="181" spans="1:12">
      <c r="A181" t="s">
        <v>10719</v>
      </c>
      <c r="J181" s="332" t="str">
        <f t="shared" si="9"/>
        <v/>
      </c>
      <c r="K181" s="332" t="str">
        <f t="shared" si="10"/>
        <v/>
      </c>
      <c r="L181" s="332" t="str">
        <f t="shared" si="8"/>
        <v/>
      </c>
    </row>
    <row r="182" spans="1:12">
      <c r="A182" t="s">
        <v>2157</v>
      </c>
      <c r="J182" s="332" t="str">
        <f t="shared" si="9"/>
        <v/>
      </c>
      <c r="K182" s="332" t="str">
        <f t="shared" si="10"/>
        <v/>
      </c>
      <c r="L182" s="332" t="str">
        <f t="shared" si="8"/>
        <v/>
      </c>
    </row>
    <row r="183" spans="1:12">
      <c r="A183" t="s">
        <v>2158</v>
      </c>
      <c r="J183" s="332" t="str">
        <f t="shared" si="9"/>
        <v/>
      </c>
      <c r="K183" s="332" t="str">
        <f t="shared" si="10"/>
        <v/>
      </c>
      <c r="L183" s="332" t="str">
        <f t="shared" si="8"/>
        <v/>
      </c>
    </row>
    <row r="184" spans="1:12">
      <c r="J184" s="332" t="str">
        <f t="shared" si="9"/>
        <v/>
      </c>
      <c r="K184" s="332" t="str">
        <f t="shared" si="10"/>
        <v/>
      </c>
      <c r="L184" s="332" t="str">
        <f t="shared" si="8"/>
        <v/>
      </c>
    </row>
    <row r="185" spans="1:12">
      <c r="A185" t="s">
        <v>11627</v>
      </c>
      <c r="J185" s="332" t="str">
        <f t="shared" si="9"/>
        <v/>
      </c>
      <c r="K185" s="332" t="str">
        <f t="shared" si="10"/>
        <v/>
      </c>
      <c r="L185" s="332" t="str">
        <f t="shared" si="8"/>
        <v/>
      </c>
    </row>
    <row r="186" spans="1:12">
      <c r="J186" s="332" t="str">
        <f t="shared" si="9"/>
        <v/>
      </c>
      <c r="K186" s="332" t="str">
        <f t="shared" si="10"/>
        <v/>
      </c>
      <c r="L186" s="332" t="str">
        <f t="shared" si="8"/>
        <v/>
      </c>
    </row>
    <row r="187" spans="1:12">
      <c r="A187" t="s">
        <v>11975</v>
      </c>
      <c r="J187" s="332" t="str">
        <f t="shared" si="9"/>
        <v/>
      </c>
      <c r="K187" s="332" t="str">
        <f t="shared" si="10"/>
        <v/>
      </c>
      <c r="L187" s="332" t="str">
        <f t="shared" si="8"/>
        <v/>
      </c>
    </row>
    <row r="188" spans="1:12">
      <c r="J188" s="332" t="str">
        <f t="shared" si="9"/>
        <v/>
      </c>
      <c r="K188" s="332" t="str">
        <f t="shared" si="10"/>
        <v/>
      </c>
      <c r="L188" s="332" t="str">
        <f t="shared" si="8"/>
        <v/>
      </c>
    </row>
    <row r="189" spans="1:12">
      <c r="A189" t="s">
        <v>15101</v>
      </c>
      <c r="J189" s="332" t="str">
        <f t="shared" si="9"/>
        <v/>
      </c>
      <c r="K189" s="332" t="str">
        <f t="shared" si="10"/>
        <v/>
      </c>
      <c r="L189" s="332" t="str">
        <f t="shared" si="8"/>
        <v/>
      </c>
    </row>
    <row r="190" spans="1:12">
      <c r="J190" s="332" t="str">
        <f t="shared" si="9"/>
        <v/>
      </c>
      <c r="K190" s="332" t="str">
        <f t="shared" si="10"/>
        <v/>
      </c>
      <c r="L190" s="332" t="str">
        <f t="shared" si="8"/>
        <v/>
      </c>
    </row>
    <row r="191" spans="1:12">
      <c r="A191" t="s">
        <v>2160</v>
      </c>
      <c r="J191" s="332" t="str">
        <f t="shared" si="9"/>
        <v/>
      </c>
      <c r="K191" s="332" t="str">
        <f t="shared" si="10"/>
        <v/>
      </c>
      <c r="L191" s="332" t="str">
        <f t="shared" si="8"/>
        <v/>
      </c>
    </row>
    <row r="192" spans="1:12">
      <c r="J192" s="332" t="str">
        <f t="shared" si="9"/>
        <v/>
      </c>
      <c r="K192" s="332" t="str">
        <f t="shared" si="10"/>
        <v/>
      </c>
      <c r="L192" s="332" t="str">
        <f t="shared" si="8"/>
        <v/>
      </c>
    </row>
    <row r="193" spans="1:12">
      <c r="A193" t="s">
        <v>15102</v>
      </c>
      <c r="J193" s="332" t="str">
        <f t="shared" si="9"/>
        <v/>
      </c>
      <c r="K193" s="332" t="str">
        <f t="shared" si="10"/>
        <v/>
      </c>
      <c r="L193" s="332" t="str">
        <f t="shared" si="8"/>
        <v/>
      </c>
    </row>
    <row r="194" spans="1:12">
      <c r="A194" t="s">
        <v>15099</v>
      </c>
      <c r="J194" s="332" t="str">
        <f t="shared" si="9"/>
        <v/>
      </c>
      <c r="K194" s="332" t="str">
        <f t="shared" si="10"/>
        <v/>
      </c>
      <c r="L194" s="332" t="str">
        <f t="shared" si="8"/>
        <v/>
      </c>
    </row>
    <row r="195" spans="1:12">
      <c r="J195" s="332" t="str">
        <f t="shared" si="9"/>
        <v/>
      </c>
      <c r="K195" s="332" t="str">
        <f t="shared" si="10"/>
        <v/>
      </c>
      <c r="L195" s="332" t="str">
        <f t="shared" si="8"/>
        <v/>
      </c>
    </row>
    <row r="196" spans="1:12">
      <c r="A196" t="s">
        <v>2161</v>
      </c>
      <c r="J196" s="332" t="str">
        <f t="shared" si="9"/>
        <v/>
      </c>
      <c r="K196" s="332" t="str">
        <f t="shared" si="10"/>
        <v/>
      </c>
      <c r="L196" s="332" t="str">
        <f t="shared" si="8"/>
        <v/>
      </c>
    </row>
    <row r="197" spans="1:12">
      <c r="J197" s="332" t="str">
        <f t="shared" si="9"/>
        <v/>
      </c>
      <c r="K197" s="332" t="str">
        <f t="shared" si="10"/>
        <v/>
      </c>
      <c r="L197" s="332" t="str">
        <f t="shared" ref="L197:L260" si="11">IFERROR(K197+M197,"")</f>
        <v/>
      </c>
    </row>
    <row r="198" spans="1:12">
      <c r="A198" t="s">
        <v>15103</v>
      </c>
      <c r="J198" s="332" t="str">
        <f t="shared" si="9"/>
        <v/>
      </c>
      <c r="K198" s="332" t="str">
        <f t="shared" si="10"/>
        <v/>
      </c>
      <c r="L198" s="332" t="str">
        <f t="shared" si="11"/>
        <v/>
      </c>
    </row>
    <row r="199" spans="1:12">
      <c r="A199" t="s">
        <v>15104</v>
      </c>
      <c r="J199" s="332" t="str">
        <f t="shared" si="9"/>
        <v/>
      </c>
      <c r="K199" s="332" t="str">
        <f t="shared" si="10"/>
        <v/>
      </c>
      <c r="L199" s="332" t="str">
        <f t="shared" si="11"/>
        <v/>
      </c>
    </row>
    <row r="200" spans="1:12">
      <c r="J200" s="332" t="str">
        <f t="shared" si="9"/>
        <v/>
      </c>
      <c r="K200" s="332" t="str">
        <f t="shared" si="10"/>
        <v/>
      </c>
      <c r="L200" s="332" t="str">
        <f t="shared" si="11"/>
        <v/>
      </c>
    </row>
    <row r="201" spans="1:12">
      <c r="A201" t="s">
        <v>2162</v>
      </c>
      <c r="J201" s="332" t="str">
        <f t="shared" si="9"/>
        <v>Devizy</v>
      </c>
      <c r="K201" s="332" t="str">
        <f t="shared" si="10"/>
        <v/>
      </c>
      <c r="L201" s="332" t="str">
        <f t="shared" si="11"/>
        <v/>
      </c>
    </row>
    <row r="202" spans="1:12">
      <c r="J202" s="332" t="str">
        <f t="shared" si="9"/>
        <v>Devizy</v>
      </c>
      <c r="K202" s="332" t="str">
        <f t="shared" si="10"/>
        <v/>
      </c>
      <c r="L202" s="332" t="str">
        <f t="shared" si="11"/>
        <v/>
      </c>
    </row>
    <row r="203" spans="1:12">
      <c r="A203" t="s">
        <v>15105</v>
      </c>
      <c r="J203" s="332" t="str">
        <f t="shared" si="9"/>
        <v>Devizy</v>
      </c>
      <c r="K203" s="332" t="str">
        <f t="shared" si="10"/>
        <v>23,5413</v>
      </c>
      <c r="L203" s="332">
        <f t="shared" si="11"/>
        <v>23.5413</v>
      </c>
    </row>
    <row r="204" spans="1:12">
      <c r="A204" s="2" t="s">
        <v>15106</v>
      </c>
      <c r="J204" s="332" t="str">
        <f t="shared" si="9"/>
        <v>Devizy</v>
      </c>
      <c r="K204" s="332" t="str">
        <f t="shared" si="10"/>
        <v/>
      </c>
      <c r="L204" s="332" t="str">
        <f t="shared" si="11"/>
        <v/>
      </c>
    </row>
    <row r="205" spans="1:12">
      <c r="A205" s="2"/>
      <c r="J205" s="332" t="str">
        <f t="shared" si="9"/>
        <v>Devizy</v>
      </c>
      <c r="K205" s="332" t="str">
        <f t="shared" si="10"/>
        <v/>
      </c>
      <c r="L205" s="332" t="str">
        <f t="shared" si="11"/>
        <v/>
      </c>
    </row>
    <row r="206" spans="1:12">
      <c r="A206" s="2" t="s">
        <v>10720</v>
      </c>
      <c r="J206" s="332" t="str">
        <f t="shared" si="9"/>
        <v>Devizy</v>
      </c>
      <c r="K206" s="332" t="str">
        <f t="shared" si="10"/>
        <v/>
      </c>
      <c r="L206" s="332" t="str">
        <f t="shared" si="11"/>
        <v/>
      </c>
    </row>
    <row r="207" spans="1:12">
      <c r="J207" s="332" t="str">
        <f t="shared" si="9"/>
        <v>Devizy</v>
      </c>
      <c r="K207" s="332" t="str">
        <f t="shared" si="10"/>
        <v/>
      </c>
      <c r="L207" s="332" t="str">
        <f t="shared" si="11"/>
        <v/>
      </c>
    </row>
    <row r="208" spans="1:12">
      <c r="A208" s="2" t="s">
        <v>10694</v>
      </c>
      <c r="J208" s="332" t="str">
        <f t="shared" si="9"/>
        <v>Devizy</v>
      </c>
      <c r="K208" s="332" t="str">
        <f t="shared" si="10"/>
        <v/>
      </c>
      <c r="L208" s="332" t="str">
        <f t="shared" si="11"/>
        <v/>
      </c>
    </row>
    <row r="209" spans="1:12">
      <c r="A209" s="2"/>
      <c r="J209" s="332" t="str">
        <f t="shared" si="9"/>
        <v>Devizy</v>
      </c>
      <c r="K209" s="332" t="str">
        <f t="shared" si="10"/>
        <v/>
      </c>
      <c r="L209" s="332" t="str">
        <f t="shared" si="11"/>
        <v/>
      </c>
    </row>
    <row r="210" spans="1:12">
      <c r="A210" s="2" t="s">
        <v>10721</v>
      </c>
      <c r="J210" s="332" t="str">
        <f t="shared" si="9"/>
        <v>Devizy</v>
      </c>
      <c r="K210" s="332" t="str">
        <f t="shared" si="10"/>
        <v/>
      </c>
      <c r="L210" s="332" t="str">
        <f t="shared" si="11"/>
        <v/>
      </c>
    </row>
    <row r="211" spans="1:12">
      <c r="A211" s="2"/>
      <c r="J211" s="332" t="str">
        <f t="shared" si="9"/>
        <v>Devizy</v>
      </c>
      <c r="K211" s="332" t="str">
        <f t="shared" si="10"/>
        <v/>
      </c>
      <c r="L211" s="332" t="str">
        <f t="shared" si="11"/>
        <v/>
      </c>
    </row>
    <row r="212" spans="1:12">
      <c r="A212" s="2" t="s">
        <v>10694</v>
      </c>
      <c r="J212" s="332" t="str">
        <f t="shared" si="9"/>
        <v>Devizy</v>
      </c>
      <c r="K212" s="332" t="str">
        <f t="shared" si="10"/>
        <v/>
      </c>
      <c r="L212" s="332" t="str">
        <f t="shared" si="11"/>
        <v/>
      </c>
    </row>
    <row r="213" spans="1:12">
      <c r="A213" t="s">
        <v>12416</v>
      </c>
      <c r="J213" s="332" t="str">
        <f t="shared" si="9"/>
        <v>Devizy</v>
      </c>
      <c r="K213" s="332" t="str">
        <f t="shared" si="10"/>
        <v/>
      </c>
      <c r="L213" s="332" t="str">
        <f t="shared" si="11"/>
        <v/>
      </c>
    </row>
    <row r="214" spans="1:12">
      <c r="A214" s="2" t="s">
        <v>10722</v>
      </c>
      <c r="J214" s="332" t="str">
        <f t="shared" si="9"/>
        <v>Devizy</v>
      </c>
      <c r="K214" s="332" t="str">
        <f t="shared" si="10"/>
        <v/>
      </c>
      <c r="L214" s="332" t="str">
        <f t="shared" si="11"/>
        <v/>
      </c>
    </row>
    <row r="215" spans="1:12">
      <c r="A215" s="2" t="s">
        <v>15081</v>
      </c>
      <c r="J215" s="332" t="str">
        <f t="shared" si="9"/>
        <v>Devizy</v>
      </c>
      <c r="K215" s="332" t="str">
        <f t="shared" si="10"/>
        <v/>
      </c>
      <c r="L215" s="332" t="str">
        <f t="shared" si="11"/>
        <v/>
      </c>
    </row>
    <row r="216" spans="1:12">
      <c r="A216" s="2" t="s">
        <v>10723</v>
      </c>
      <c r="J216" s="332" t="str">
        <f t="shared" si="9"/>
        <v>Devizy</v>
      </c>
      <c r="K216" s="332" t="str">
        <f t="shared" si="10"/>
        <v/>
      </c>
      <c r="L216" s="332" t="str">
        <f t="shared" si="11"/>
        <v/>
      </c>
    </row>
    <row r="217" spans="1:12">
      <c r="A217" s="2" t="s">
        <v>11183</v>
      </c>
      <c r="J217" s="332" t="str">
        <f t="shared" si="9"/>
        <v>Devizy</v>
      </c>
      <c r="K217" s="332" t="str">
        <f t="shared" si="10"/>
        <v/>
      </c>
      <c r="L217" s="332" t="str">
        <f t="shared" si="11"/>
        <v/>
      </c>
    </row>
    <row r="218" spans="1:12">
      <c r="A218" s="2" t="s">
        <v>10943</v>
      </c>
      <c r="J218" s="332" t="str">
        <f t="shared" si="9"/>
        <v>Devizy</v>
      </c>
      <c r="K218" s="332" t="str">
        <f t="shared" si="10"/>
        <v/>
      </c>
      <c r="L218" s="332" t="str">
        <f t="shared" si="11"/>
        <v/>
      </c>
    </row>
    <row r="219" spans="1:12">
      <c r="A219" s="2" t="s">
        <v>10724</v>
      </c>
      <c r="J219" s="332" t="str">
        <f t="shared" si="9"/>
        <v>Devizy</v>
      </c>
      <c r="K219" s="332" t="str">
        <f t="shared" si="10"/>
        <v/>
      </c>
      <c r="L219" s="332" t="str">
        <f t="shared" si="11"/>
        <v/>
      </c>
    </row>
    <row r="220" spans="1:12">
      <c r="A220" s="2" t="s">
        <v>10725</v>
      </c>
      <c r="J220" s="332" t="str">
        <f t="shared" si="9"/>
        <v>Devizy</v>
      </c>
      <c r="K220" s="332" t="str">
        <f t="shared" si="10"/>
        <v/>
      </c>
      <c r="L220" s="332" t="str">
        <f t="shared" si="11"/>
        <v/>
      </c>
    </row>
    <row r="221" spans="1:12">
      <c r="A221" t="s">
        <v>10726</v>
      </c>
      <c r="J221" s="332" t="str">
        <f t="shared" si="9"/>
        <v>Devizy</v>
      </c>
      <c r="K221" s="332" t="str">
        <f t="shared" si="10"/>
        <v/>
      </c>
      <c r="L221" s="332" t="str">
        <f t="shared" si="11"/>
        <v/>
      </c>
    </row>
    <row r="222" spans="1:12">
      <c r="A222" t="s">
        <v>10718</v>
      </c>
      <c r="J222" s="332" t="str">
        <f t="shared" si="9"/>
        <v>Devizy</v>
      </c>
      <c r="K222" s="332" t="str">
        <f t="shared" si="10"/>
        <v/>
      </c>
      <c r="L222" s="332" t="str">
        <f t="shared" si="11"/>
        <v/>
      </c>
    </row>
    <row r="223" spans="1:12">
      <c r="A223" t="s">
        <v>10737</v>
      </c>
      <c r="J223" s="332" t="str">
        <f t="shared" ref="J223:J273" si="12">IF(OR(A223="Devizy",J222="Devizy"),"Devizy","")</f>
        <v>Devizy</v>
      </c>
      <c r="K223" s="332" t="str">
        <f t="shared" ref="K223:K273" si="13">IFERROR(IF(AND(J223="Devizy",FIND("Nakupujeme ",A223)=1),RIGHT(A223,7),""),"")</f>
        <v/>
      </c>
      <c r="L223" s="332" t="str">
        <f t="shared" si="11"/>
        <v/>
      </c>
    </row>
    <row r="224" spans="1:12">
      <c r="A224" t="s">
        <v>10690</v>
      </c>
      <c r="J224" s="332" t="str">
        <f t="shared" si="12"/>
        <v>Devizy</v>
      </c>
      <c r="K224" s="332" t="str">
        <f t="shared" si="13"/>
        <v/>
      </c>
      <c r="L224" s="332" t="str">
        <f t="shared" si="11"/>
        <v/>
      </c>
    </row>
    <row r="225" spans="1:12">
      <c r="A225" t="s">
        <v>10692</v>
      </c>
      <c r="J225" s="332" t="str">
        <f t="shared" si="12"/>
        <v>Devizy</v>
      </c>
      <c r="K225" s="332" t="str">
        <f t="shared" si="13"/>
        <v/>
      </c>
      <c r="L225" s="332" t="str">
        <f t="shared" si="11"/>
        <v/>
      </c>
    </row>
    <row r="226" spans="1:12">
      <c r="A226" t="s">
        <v>10704</v>
      </c>
      <c r="J226" s="332" t="str">
        <f t="shared" si="12"/>
        <v>Devizy</v>
      </c>
      <c r="K226" s="332" t="str">
        <f t="shared" si="13"/>
        <v/>
      </c>
      <c r="L226" s="332" t="str">
        <f t="shared" si="11"/>
        <v/>
      </c>
    </row>
    <row r="227" spans="1:12">
      <c r="A227" t="s">
        <v>10693</v>
      </c>
      <c r="J227" s="332" t="str">
        <f t="shared" si="12"/>
        <v>Devizy</v>
      </c>
      <c r="K227" s="332" t="str">
        <f t="shared" si="13"/>
        <v/>
      </c>
      <c r="L227" s="332" t="str">
        <f t="shared" si="11"/>
        <v/>
      </c>
    </row>
    <row r="228" spans="1:12">
      <c r="A228" t="s">
        <v>10695</v>
      </c>
      <c r="J228" s="332" t="str">
        <f t="shared" si="12"/>
        <v>Devizy</v>
      </c>
      <c r="K228" s="332" t="str">
        <f t="shared" si="13"/>
        <v/>
      </c>
      <c r="L228" s="332" t="str">
        <f t="shared" si="11"/>
        <v/>
      </c>
    </row>
    <row r="229" spans="1:12">
      <c r="A229" t="s">
        <v>10703</v>
      </c>
      <c r="J229" s="332" t="str">
        <f t="shared" si="12"/>
        <v>Devizy</v>
      </c>
      <c r="K229" s="332" t="str">
        <f t="shared" si="13"/>
        <v/>
      </c>
      <c r="L229" s="332" t="str">
        <f t="shared" si="11"/>
        <v/>
      </c>
    </row>
    <row r="230" spans="1:12">
      <c r="A230" t="s">
        <v>10727</v>
      </c>
      <c r="J230" s="332" t="str">
        <f t="shared" si="12"/>
        <v>Devizy</v>
      </c>
      <c r="K230" s="332" t="str">
        <f t="shared" si="13"/>
        <v/>
      </c>
      <c r="L230" s="332" t="str">
        <f t="shared" si="11"/>
        <v/>
      </c>
    </row>
    <row r="231" spans="1:12">
      <c r="A231" t="s">
        <v>10728</v>
      </c>
      <c r="J231" s="332" t="str">
        <f t="shared" si="12"/>
        <v>Devizy</v>
      </c>
      <c r="K231" s="332" t="str">
        <f t="shared" si="13"/>
        <v/>
      </c>
      <c r="L231" s="332" t="str">
        <f t="shared" si="11"/>
        <v/>
      </c>
    </row>
    <row r="232" spans="1:12">
      <c r="A232" t="s">
        <v>10702</v>
      </c>
      <c r="J232" s="332" t="str">
        <f t="shared" si="12"/>
        <v>Devizy</v>
      </c>
      <c r="K232" s="332" t="str">
        <f t="shared" si="13"/>
        <v/>
      </c>
      <c r="L232" s="332" t="str">
        <f t="shared" si="11"/>
        <v/>
      </c>
    </row>
    <row r="233" spans="1:12">
      <c r="A233" t="s">
        <v>10697</v>
      </c>
      <c r="J233" s="332" t="str">
        <f t="shared" si="12"/>
        <v>Devizy</v>
      </c>
      <c r="K233" s="332" t="str">
        <f t="shared" si="13"/>
        <v/>
      </c>
      <c r="L233" s="332" t="str">
        <f t="shared" si="11"/>
        <v/>
      </c>
    </row>
    <row r="234" spans="1:12">
      <c r="A234" t="s">
        <v>11178</v>
      </c>
      <c r="J234" s="332" t="str">
        <f t="shared" si="12"/>
        <v>Devizy</v>
      </c>
      <c r="K234" s="332" t="str">
        <f t="shared" si="13"/>
        <v/>
      </c>
      <c r="L234" s="332" t="str">
        <f t="shared" si="11"/>
        <v/>
      </c>
    </row>
    <row r="235" spans="1:12">
      <c r="A235" t="s">
        <v>12417</v>
      </c>
      <c r="J235" s="332" t="str">
        <f t="shared" si="12"/>
        <v>Devizy</v>
      </c>
      <c r="K235" s="332" t="str">
        <f t="shared" si="13"/>
        <v/>
      </c>
      <c r="L235" s="332" t="str">
        <f t="shared" si="11"/>
        <v/>
      </c>
    </row>
    <row r="236" spans="1:12">
      <c r="A236" t="s">
        <v>10739</v>
      </c>
      <c r="J236" s="332" t="str">
        <f t="shared" si="12"/>
        <v>Devizy</v>
      </c>
      <c r="K236" s="332" t="str">
        <f t="shared" si="13"/>
        <v/>
      </c>
      <c r="L236" s="332" t="str">
        <f t="shared" si="11"/>
        <v/>
      </c>
    </row>
    <row r="237" spans="1:12">
      <c r="A237" t="s">
        <v>9137</v>
      </c>
      <c r="J237" s="332" t="str">
        <f t="shared" si="12"/>
        <v>Devizy</v>
      </c>
      <c r="K237" s="332" t="str">
        <f t="shared" si="13"/>
        <v/>
      </c>
      <c r="L237" s="332" t="str">
        <f t="shared" si="11"/>
        <v/>
      </c>
    </row>
    <row r="238" spans="1:12">
      <c r="A238" t="s">
        <v>10729</v>
      </c>
      <c r="J238" s="332" t="str">
        <f t="shared" si="12"/>
        <v>Devizy</v>
      </c>
      <c r="K238" s="332" t="str">
        <f t="shared" si="13"/>
        <v/>
      </c>
      <c r="L238" s="332" t="str">
        <f t="shared" si="11"/>
        <v/>
      </c>
    </row>
    <row r="239" spans="1:12">
      <c r="A239" t="s">
        <v>12436</v>
      </c>
      <c r="J239" s="332" t="str">
        <f t="shared" si="12"/>
        <v>Devizy</v>
      </c>
      <c r="K239" s="332" t="str">
        <f t="shared" si="13"/>
        <v/>
      </c>
      <c r="L239" s="332" t="str">
        <f t="shared" si="11"/>
        <v/>
      </c>
    </row>
    <row r="240" spans="1:12">
      <c r="A240" t="s">
        <v>2156</v>
      </c>
      <c r="J240" s="332" t="str">
        <f t="shared" si="12"/>
        <v>Devizy</v>
      </c>
      <c r="K240" s="332" t="str">
        <f t="shared" si="13"/>
        <v/>
      </c>
      <c r="L240" s="332" t="str">
        <f t="shared" si="11"/>
        <v/>
      </c>
    </row>
    <row r="241" spans="1:12">
      <c r="A241" t="s">
        <v>10730</v>
      </c>
      <c r="J241" s="332" t="str">
        <f t="shared" si="12"/>
        <v>Devizy</v>
      </c>
      <c r="K241" s="332" t="str">
        <f t="shared" si="13"/>
        <v/>
      </c>
      <c r="L241" s="332" t="str">
        <f t="shared" si="11"/>
        <v/>
      </c>
    </row>
    <row r="242" spans="1:12">
      <c r="A242" t="s">
        <v>15081</v>
      </c>
      <c r="J242" s="332" t="str">
        <f t="shared" si="12"/>
        <v>Devizy</v>
      </c>
      <c r="K242" s="332" t="str">
        <f t="shared" si="13"/>
        <v/>
      </c>
      <c r="L242" s="332" t="str">
        <f t="shared" si="11"/>
        <v/>
      </c>
    </row>
    <row r="243" spans="1:12">
      <c r="A243" t="s">
        <v>10723</v>
      </c>
      <c r="J243" s="332" t="str">
        <f t="shared" si="12"/>
        <v>Devizy</v>
      </c>
      <c r="K243" s="332" t="str">
        <f t="shared" si="13"/>
        <v/>
      </c>
      <c r="L243" s="332" t="str">
        <f t="shared" si="11"/>
        <v/>
      </c>
    </row>
    <row r="244" spans="1:12">
      <c r="A244" t="s">
        <v>11183</v>
      </c>
      <c r="J244" s="332" t="str">
        <f t="shared" si="12"/>
        <v>Devizy</v>
      </c>
      <c r="K244" s="332" t="str">
        <f t="shared" si="13"/>
        <v/>
      </c>
      <c r="L244" s="332" t="str">
        <f t="shared" si="11"/>
        <v/>
      </c>
    </row>
    <row r="245" spans="1:12">
      <c r="A245" t="s">
        <v>10943</v>
      </c>
      <c r="J245" s="332" t="str">
        <f t="shared" si="12"/>
        <v>Devizy</v>
      </c>
      <c r="K245" s="332" t="str">
        <f t="shared" si="13"/>
        <v/>
      </c>
      <c r="L245" s="332" t="str">
        <f t="shared" si="11"/>
        <v/>
      </c>
    </row>
    <row r="246" spans="1:12">
      <c r="A246" t="s">
        <v>10724</v>
      </c>
      <c r="J246" s="332" t="str">
        <f t="shared" si="12"/>
        <v>Devizy</v>
      </c>
      <c r="K246" s="332" t="str">
        <f t="shared" si="13"/>
        <v/>
      </c>
      <c r="L246" s="332" t="str">
        <f t="shared" si="11"/>
        <v/>
      </c>
    </row>
    <row r="247" spans="1:12">
      <c r="A247" t="s">
        <v>10725</v>
      </c>
      <c r="J247" s="332" t="str">
        <f t="shared" si="12"/>
        <v>Devizy</v>
      </c>
      <c r="K247" s="332" t="str">
        <f t="shared" si="13"/>
        <v/>
      </c>
      <c r="L247" s="332" t="str">
        <f t="shared" si="11"/>
        <v/>
      </c>
    </row>
    <row r="248" spans="1:12">
      <c r="A248" t="s">
        <v>10731</v>
      </c>
      <c r="J248" s="332" t="str">
        <f t="shared" si="12"/>
        <v>Devizy</v>
      </c>
      <c r="K248" s="332" t="str">
        <f t="shared" si="13"/>
        <v/>
      </c>
      <c r="L248" s="332" t="str">
        <f t="shared" si="11"/>
        <v/>
      </c>
    </row>
    <row r="249" spans="1:12">
      <c r="A249" t="s">
        <v>10718</v>
      </c>
      <c r="J249" s="332" t="str">
        <f t="shared" si="12"/>
        <v>Devizy</v>
      </c>
      <c r="K249" s="332" t="str">
        <f t="shared" si="13"/>
        <v/>
      </c>
      <c r="L249" s="332" t="str">
        <f t="shared" si="11"/>
        <v/>
      </c>
    </row>
    <row r="250" spans="1:12">
      <c r="A250" t="s">
        <v>10737</v>
      </c>
      <c r="J250" s="332" t="str">
        <f t="shared" si="12"/>
        <v>Devizy</v>
      </c>
      <c r="K250" s="332" t="str">
        <f t="shared" si="13"/>
        <v/>
      </c>
      <c r="L250" s="332" t="str">
        <f t="shared" si="11"/>
        <v/>
      </c>
    </row>
    <row r="251" spans="1:12">
      <c r="A251" t="s">
        <v>10690</v>
      </c>
      <c r="J251" s="332" t="str">
        <f t="shared" si="12"/>
        <v>Devizy</v>
      </c>
      <c r="K251" s="332" t="str">
        <f t="shared" si="13"/>
        <v/>
      </c>
      <c r="L251" s="332" t="str">
        <f t="shared" si="11"/>
        <v/>
      </c>
    </row>
    <row r="252" spans="1:12" hidden="1">
      <c r="A252" t="s">
        <v>10692</v>
      </c>
      <c r="J252" s="332" t="str">
        <f t="shared" si="12"/>
        <v>Devizy</v>
      </c>
      <c r="K252" s="332" t="str">
        <f t="shared" si="13"/>
        <v/>
      </c>
      <c r="L252" s="332" t="str">
        <f t="shared" si="11"/>
        <v/>
      </c>
    </row>
    <row r="253" spans="1:12">
      <c r="A253" t="s">
        <v>10704</v>
      </c>
      <c r="J253" s="332" t="str">
        <f t="shared" si="12"/>
        <v>Devizy</v>
      </c>
      <c r="K253" s="332" t="str">
        <f t="shared" si="13"/>
        <v/>
      </c>
      <c r="L253" s="332" t="str">
        <f t="shared" si="11"/>
        <v/>
      </c>
    </row>
    <row r="254" spans="1:12">
      <c r="A254" t="s">
        <v>10693</v>
      </c>
      <c r="J254" s="332" t="str">
        <f t="shared" si="12"/>
        <v>Devizy</v>
      </c>
      <c r="K254" s="332" t="str">
        <f t="shared" si="13"/>
        <v/>
      </c>
      <c r="L254" s="332" t="str">
        <f t="shared" si="11"/>
        <v/>
      </c>
    </row>
    <row r="255" spans="1:12">
      <c r="A255" t="s">
        <v>10696</v>
      </c>
      <c r="J255" s="332" t="str">
        <f t="shared" si="12"/>
        <v>Devizy</v>
      </c>
      <c r="K255" s="332" t="str">
        <f t="shared" si="13"/>
        <v/>
      </c>
      <c r="L255" s="332" t="str">
        <f t="shared" si="11"/>
        <v/>
      </c>
    </row>
    <row r="256" spans="1:12">
      <c r="A256" t="s">
        <v>10703</v>
      </c>
      <c r="J256" s="332" t="str">
        <f t="shared" si="12"/>
        <v>Devizy</v>
      </c>
      <c r="K256" s="332" t="str">
        <f t="shared" si="13"/>
        <v/>
      </c>
      <c r="L256" s="332" t="str">
        <f t="shared" si="11"/>
        <v/>
      </c>
    </row>
    <row r="257" spans="1:12">
      <c r="A257" t="s">
        <v>10727</v>
      </c>
      <c r="J257" s="332" t="str">
        <f t="shared" si="12"/>
        <v>Devizy</v>
      </c>
      <c r="K257" s="332" t="str">
        <f t="shared" si="13"/>
        <v/>
      </c>
      <c r="L257" s="332" t="str">
        <f t="shared" si="11"/>
        <v/>
      </c>
    </row>
    <row r="258" spans="1:12">
      <c r="A258" t="s">
        <v>10728</v>
      </c>
      <c r="J258" s="332" t="str">
        <f t="shared" si="12"/>
        <v>Devizy</v>
      </c>
      <c r="K258" s="332" t="str">
        <f t="shared" si="13"/>
        <v/>
      </c>
      <c r="L258" s="332" t="str">
        <f t="shared" si="11"/>
        <v/>
      </c>
    </row>
    <row r="259" spans="1:12">
      <c r="A259" t="s">
        <v>10702</v>
      </c>
      <c r="J259" s="332" t="str">
        <f t="shared" si="12"/>
        <v>Devizy</v>
      </c>
      <c r="K259" s="332" t="str">
        <f t="shared" si="13"/>
        <v/>
      </c>
      <c r="L259" s="332" t="str">
        <f t="shared" si="11"/>
        <v/>
      </c>
    </row>
    <row r="260" spans="1:12">
      <c r="A260" s="2" t="s">
        <v>10697</v>
      </c>
      <c r="J260" s="332" t="str">
        <f t="shared" si="12"/>
        <v>Devizy</v>
      </c>
      <c r="K260" s="332" t="str">
        <f t="shared" si="13"/>
        <v/>
      </c>
      <c r="L260" s="332" t="str">
        <f t="shared" si="11"/>
        <v/>
      </c>
    </row>
    <row r="261" spans="1:12">
      <c r="A261" s="2" t="s">
        <v>11178</v>
      </c>
      <c r="J261" s="332" t="str">
        <f t="shared" si="12"/>
        <v>Devizy</v>
      </c>
      <c r="K261" s="332" t="str">
        <f t="shared" si="13"/>
        <v/>
      </c>
      <c r="L261" s="332" t="str">
        <f t="shared" ref="L261:L324" si="14">IFERROR(K261+M261,"")</f>
        <v/>
      </c>
    </row>
    <row r="262" spans="1:12">
      <c r="A262" s="2" t="s">
        <v>12416</v>
      </c>
      <c r="J262" s="332" t="str">
        <f t="shared" si="12"/>
        <v>Devizy</v>
      </c>
      <c r="K262" s="332" t="str">
        <f t="shared" si="13"/>
        <v/>
      </c>
      <c r="L262" s="332" t="str">
        <f t="shared" si="14"/>
        <v/>
      </c>
    </row>
    <row r="263" spans="1:12">
      <c r="A263" t="s">
        <v>12418</v>
      </c>
      <c r="J263" s="332" t="str">
        <f t="shared" si="12"/>
        <v>Devizy</v>
      </c>
      <c r="K263" s="332" t="str">
        <f t="shared" si="13"/>
        <v/>
      </c>
      <c r="L263" s="332" t="str">
        <f t="shared" si="14"/>
        <v/>
      </c>
    </row>
    <row r="264" spans="1:12">
      <c r="A264" s="2" t="s">
        <v>10740</v>
      </c>
      <c r="J264" s="332" t="str">
        <f t="shared" si="12"/>
        <v>Devizy</v>
      </c>
      <c r="K264" s="332" t="str">
        <f t="shared" si="13"/>
        <v/>
      </c>
      <c r="L264" s="332" t="str">
        <f t="shared" si="14"/>
        <v/>
      </c>
    </row>
    <row r="265" spans="1:12">
      <c r="A265" s="2" t="s">
        <v>10701</v>
      </c>
      <c r="J265" s="332" t="str">
        <f t="shared" si="12"/>
        <v>Devizy</v>
      </c>
      <c r="K265" s="332" t="str">
        <f t="shared" si="13"/>
        <v/>
      </c>
      <c r="L265" s="332" t="str">
        <f t="shared" si="14"/>
        <v/>
      </c>
    </row>
    <row r="266" spans="1:12">
      <c r="A266" s="2" t="s">
        <v>10732</v>
      </c>
      <c r="J266" s="332" t="str">
        <f t="shared" si="12"/>
        <v>Devizy</v>
      </c>
      <c r="K266" s="332" t="str">
        <f t="shared" si="13"/>
        <v/>
      </c>
      <c r="L266" s="332" t="str">
        <f t="shared" si="14"/>
        <v/>
      </c>
    </row>
    <row r="267" spans="1:12">
      <c r="A267" s="2" t="s">
        <v>12437</v>
      </c>
      <c r="J267" s="332" t="str">
        <f t="shared" si="12"/>
        <v>Devizy</v>
      </c>
      <c r="K267" s="332" t="str">
        <f t="shared" si="13"/>
        <v/>
      </c>
      <c r="L267" s="332" t="str">
        <f t="shared" si="14"/>
        <v/>
      </c>
    </row>
    <row r="268" spans="1:12">
      <c r="A268" t="s">
        <v>10698</v>
      </c>
      <c r="J268" s="332" t="str">
        <f t="shared" si="12"/>
        <v>Devizy</v>
      </c>
      <c r="K268" s="332" t="str">
        <f t="shared" si="13"/>
        <v/>
      </c>
      <c r="L268" s="332" t="str">
        <f t="shared" si="14"/>
        <v/>
      </c>
    </row>
    <row r="269" spans="1:12">
      <c r="A269" t="s">
        <v>11073</v>
      </c>
      <c r="J269" s="332" t="str">
        <f t="shared" si="12"/>
        <v>Devizy</v>
      </c>
      <c r="K269" s="332" t="str">
        <f t="shared" si="13"/>
        <v/>
      </c>
      <c r="L269" s="332" t="str">
        <f t="shared" si="14"/>
        <v/>
      </c>
    </row>
    <row r="270" spans="1:12">
      <c r="A270" t="s">
        <v>10733</v>
      </c>
      <c r="J270" s="332" t="str">
        <f t="shared" si="12"/>
        <v>Devizy</v>
      </c>
      <c r="K270" s="332" t="str">
        <f t="shared" si="13"/>
        <v/>
      </c>
      <c r="L270" s="332" t="str">
        <f t="shared" si="14"/>
        <v/>
      </c>
    </row>
    <row r="271" spans="1:12">
      <c r="A271" s="2" t="s">
        <v>10734</v>
      </c>
      <c r="J271" s="332" t="str">
        <f t="shared" si="12"/>
        <v>Devizy</v>
      </c>
      <c r="K271" s="332" t="str">
        <f t="shared" si="13"/>
        <v/>
      </c>
      <c r="L271" s="332" t="str">
        <f t="shared" si="14"/>
        <v/>
      </c>
    </row>
    <row r="272" spans="1:12">
      <c r="A272" s="2" t="s">
        <v>10735</v>
      </c>
      <c r="J272" s="332" t="str">
        <f t="shared" si="12"/>
        <v>Devizy</v>
      </c>
      <c r="K272" s="332" t="str">
        <f t="shared" si="13"/>
        <v/>
      </c>
      <c r="L272" s="332" t="str">
        <f t="shared" si="14"/>
        <v/>
      </c>
    </row>
    <row r="273" spans="1:12">
      <c r="A273" s="2" t="s">
        <v>10736</v>
      </c>
      <c r="J273" s="332" t="str">
        <f t="shared" si="12"/>
        <v>Devizy</v>
      </c>
      <c r="K273" s="332" t="str">
        <f t="shared" si="13"/>
        <v/>
      </c>
      <c r="L273" s="332" t="str">
        <f t="shared" si="14"/>
        <v/>
      </c>
    </row>
    <row r="274" spans="1:12">
      <c r="A274" s="2" t="s">
        <v>10738</v>
      </c>
      <c r="J274" s="332" t="e">
        <f>IF(OR(#REF!="Devizy",J273="Devizy"),"Devizy","")</f>
        <v>#REF!</v>
      </c>
      <c r="K274" s="332" t="str">
        <f>IFERROR(IF(AND(J274="Devizy",FIND("Nakupujeme ",#REF!)=1),RIGHT(#REF!,7),""),"")</f>
        <v/>
      </c>
      <c r="L274" s="332" t="str">
        <f t="shared" si="14"/>
        <v/>
      </c>
    </row>
    <row r="275" spans="1:12">
      <c r="A275" s="2" t="s">
        <v>12438</v>
      </c>
      <c r="J275" s="332" t="e">
        <f>IF(OR(#REF!="Devizy",J274="Devizy"),"Devizy","")</f>
        <v>#REF!</v>
      </c>
      <c r="K275" s="332" t="str">
        <f>IFERROR(IF(AND(J275="Devizy",FIND("Nakupujeme ",#REF!)=1),RIGHT(#REF!,7),""),"")</f>
        <v/>
      </c>
      <c r="L275" s="332" t="str">
        <f t="shared" si="14"/>
        <v/>
      </c>
    </row>
    <row r="276" spans="1:12">
      <c r="A276" s="2"/>
      <c r="J276" s="332" t="e">
        <f>IF(OR(#REF!="Devizy",J275="Devizy"),"Devizy","")</f>
        <v>#REF!</v>
      </c>
      <c r="K276" s="332" t="str">
        <f>IFERROR(IF(AND(J276="Devizy",FIND("Nakupujeme ",#REF!)=1),RIGHT(#REF!,7),""),"")</f>
        <v/>
      </c>
      <c r="L276" s="332" t="str">
        <f t="shared" si="14"/>
        <v/>
      </c>
    </row>
    <row r="277" spans="1:12">
      <c r="A277" s="2" t="s">
        <v>12420</v>
      </c>
      <c r="J277" s="332" t="e">
        <f>IF(OR(#REF!="Devizy",J276="Devizy"),"Devizy","")</f>
        <v>#REF!</v>
      </c>
      <c r="K277" s="332" t="str">
        <f>IFERROR(IF(AND(J277="Devizy",FIND("Nakupujeme ",#REF!)=1),RIGHT(#REF!,7),""),"")</f>
        <v/>
      </c>
      <c r="L277" s="332" t="str">
        <f t="shared" si="14"/>
        <v/>
      </c>
    </row>
    <row r="278" spans="1:12">
      <c r="A278" s="2"/>
      <c r="J278" s="332" t="e">
        <f t="shared" ref="J278:J341" si="15">IF(OR(A280="Devizy",J277="Devizy"),"Devizy","")</f>
        <v>#REF!</v>
      </c>
      <c r="K278" s="332" t="str">
        <f>IFERROR(IF(AND(J278="Devizy",FIND("Nakupujeme ",#REF!)=1),RIGHT(#REF!,7),""),"")</f>
        <v/>
      </c>
      <c r="L278" s="332" t="str">
        <f t="shared" si="14"/>
        <v/>
      </c>
    </row>
    <row r="279" spans="1:12">
      <c r="A279" s="2" t="s">
        <v>12421</v>
      </c>
      <c r="J279" s="332" t="e">
        <f t="shared" si="15"/>
        <v>#REF!</v>
      </c>
      <c r="K279" s="332" t="str">
        <f t="shared" ref="K279:K342" si="16">IFERROR(IF(AND(J279="Devizy",FIND("Nakupujeme ",A280)=1),RIGHT(A280,7),""),"")</f>
        <v/>
      </c>
      <c r="L279" s="332" t="str">
        <f t="shared" si="14"/>
        <v/>
      </c>
    </row>
    <row r="280" spans="1:12">
      <c r="A280" s="519" t="s">
        <v>12422</v>
      </c>
      <c r="J280" s="332" t="e">
        <f t="shared" si="15"/>
        <v>#REF!</v>
      </c>
      <c r="K280" s="332" t="str">
        <f t="shared" si="16"/>
        <v/>
      </c>
      <c r="L280" s="332" t="str">
        <f t="shared" si="14"/>
        <v/>
      </c>
    </row>
    <row r="281" spans="1:12">
      <c r="A281" s="8" t="s">
        <v>20</v>
      </c>
      <c r="J281" s="332" t="e">
        <f t="shared" si="15"/>
        <v>#REF!</v>
      </c>
      <c r="K281" s="332" t="str">
        <f t="shared" si="16"/>
        <v/>
      </c>
      <c r="L281" s="332" t="str">
        <f t="shared" si="14"/>
        <v/>
      </c>
    </row>
    <row r="282" spans="1:12">
      <c r="A282" s="8" t="s">
        <v>20</v>
      </c>
      <c r="J282" s="332" t="e">
        <f t="shared" si="15"/>
        <v>#REF!</v>
      </c>
      <c r="K282" s="332" t="str">
        <f t="shared" si="16"/>
        <v/>
      </c>
      <c r="L282" s="332" t="str">
        <f t="shared" si="14"/>
        <v/>
      </c>
    </row>
    <row r="283" spans="1:12">
      <c r="A283" s="8" t="s">
        <v>20</v>
      </c>
      <c r="J283" s="332" t="e">
        <f t="shared" si="15"/>
        <v>#REF!</v>
      </c>
      <c r="K283" s="332" t="str">
        <f t="shared" si="16"/>
        <v/>
      </c>
      <c r="L283" s="332" t="str">
        <f t="shared" si="14"/>
        <v/>
      </c>
    </row>
    <row r="284" spans="1:12">
      <c r="A284" s="8" t="s">
        <v>20</v>
      </c>
      <c r="J284" s="332" t="e">
        <f t="shared" si="15"/>
        <v>#REF!</v>
      </c>
      <c r="K284" s="332" t="str">
        <f t="shared" si="16"/>
        <v/>
      </c>
      <c r="L284" s="332" t="str">
        <f t="shared" si="14"/>
        <v/>
      </c>
    </row>
    <row r="285" spans="1:12">
      <c r="A285" s="8" t="s">
        <v>20</v>
      </c>
      <c r="J285" s="332" t="e">
        <f t="shared" si="15"/>
        <v>#REF!</v>
      </c>
      <c r="K285" s="332" t="str">
        <f t="shared" si="16"/>
        <v/>
      </c>
      <c r="L285" s="332" t="str">
        <f t="shared" si="14"/>
        <v/>
      </c>
    </row>
    <row r="286" spans="1:12">
      <c r="A286" s="8" t="s">
        <v>20</v>
      </c>
      <c r="J286" s="332" t="e">
        <f t="shared" si="15"/>
        <v>#REF!</v>
      </c>
      <c r="K286" s="332" t="str">
        <f t="shared" si="16"/>
        <v/>
      </c>
      <c r="L286" s="332" t="str">
        <f t="shared" si="14"/>
        <v/>
      </c>
    </row>
    <row r="287" spans="1:12">
      <c r="A287" s="8" t="s">
        <v>20</v>
      </c>
      <c r="J287" s="332" t="e">
        <f t="shared" si="15"/>
        <v>#REF!</v>
      </c>
      <c r="K287" s="332" t="str">
        <f t="shared" si="16"/>
        <v/>
      </c>
      <c r="L287" s="332" t="str">
        <f t="shared" si="14"/>
        <v/>
      </c>
    </row>
    <row r="288" spans="1:12">
      <c r="A288" s="8" t="s">
        <v>20</v>
      </c>
      <c r="J288" s="332" t="e">
        <f t="shared" si="15"/>
        <v>#REF!</v>
      </c>
      <c r="K288" s="332" t="str">
        <f t="shared" si="16"/>
        <v/>
      </c>
      <c r="L288" s="332" t="str">
        <f t="shared" si="14"/>
        <v/>
      </c>
    </row>
    <row r="289" spans="1:12">
      <c r="A289" s="8" t="s">
        <v>20</v>
      </c>
      <c r="J289" s="332" t="e">
        <f t="shared" si="15"/>
        <v>#REF!</v>
      </c>
      <c r="K289" s="332" t="str">
        <f t="shared" si="16"/>
        <v/>
      </c>
      <c r="L289" s="332" t="str">
        <f t="shared" si="14"/>
        <v/>
      </c>
    </row>
    <row r="290" spans="1:12">
      <c r="A290" s="8" t="s">
        <v>20</v>
      </c>
      <c r="J290" s="332" t="e">
        <f t="shared" si="15"/>
        <v>#REF!</v>
      </c>
      <c r="K290" s="332" t="str">
        <f t="shared" si="16"/>
        <v/>
      </c>
      <c r="L290" s="332" t="str">
        <f t="shared" si="14"/>
        <v/>
      </c>
    </row>
    <row r="291" spans="1:12">
      <c r="A291" s="8" t="s">
        <v>20</v>
      </c>
      <c r="J291" s="332" t="e">
        <f t="shared" si="15"/>
        <v>#REF!</v>
      </c>
      <c r="K291" s="332" t="str">
        <f t="shared" si="16"/>
        <v/>
      </c>
      <c r="L291" s="332" t="str">
        <f t="shared" si="14"/>
        <v/>
      </c>
    </row>
    <row r="292" spans="1:12">
      <c r="A292" s="8" t="s">
        <v>20</v>
      </c>
      <c r="J292" s="332" t="e">
        <f t="shared" si="15"/>
        <v>#REF!</v>
      </c>
      <c r="K292" s="332" t="str">
        <f t="shared" si="16"/>
        <v/>
      </c>
      <c r="L292" s="332" t="str">
        <f t="shared" si="14"/>
        <v/>
      </c>
    </row>
    <row r="293" spans="1:12">
      <c r="A293" s="8" t="s">
        <v>20</v>
      </c>
      <c r="J293" s="332" t="e">
        <f t="shared" si="15"/>
        <v>#REF!</v>
      </c>
      <c r="K293" s="332" t="str">
        <f t="shared" si="16"/>
        <v/>
      </c>
      <c r="L293" s="332" t="str">
        <f t="shared" si="14"/>
        <v/>
      </c>
    </row>
    <row r="294" spans="1:12">
      <c r="A294" s="8" t="s">
        <v>20</v>
      </c>
      <c r="J294" s="332" t="e">
        <f t="shared" si="15"/>
        <v>#REF!</v>
      </c>
      <c r="K294" s="332" t="str">
        <f t="shared" si="16"/>
        <v/>
      </c>
      <c r="L294" s="332" t="str">
        <f t="shared" si="14"/>
        <v/>
      </c>
    </row>
    <row r="295" spans="1:12">
      <c r="A295" s="8" t="s">
        <v>20</v>
      </c>
      <c r="J295" s="332" t="e">
        <f t="shared" si="15"/>
        <v>#REF!</v>
      </c>
      <c r="K295" s="332" t="str">
        <f t="shared" si="16"/>
        <v/>
      </c>
      <c r="L295" s="332" t="str">
        <f t="shared" si="14"/>
        <v/>
      </c>
    </row>
    <row r="296" spans="1:12">
      <c r="A296" s="8" t="s">
        <v>20</v>
      </c>
      <c r="J296" s="332" t="e">
        <f t="shared" si="15"/>
        <v>#REF!</v>
      </c>
      <c r="K296" s="332" t="str">
        <f t="shared" si="16"/>
        <v/>
      </c>
      <c r="L296" s="332" t="str">
        <f t="shared" si="14"/>
        <v/>
      </c>
    </row>
    <row r="297" spans="1:12">
      <c r="A297" s="8" t="s">
        <v>20</v>
      </c>
      <c r="J297" s="332" t="e">
        <f t="shared" si="15"/>
        <v>#REF!</v>
      </c>
      <c r="K297" s="332" t="str">
        <f t="shared" si="16"/>
        <v/>
      </c>
      <c r="L297" s="332" t="str">
        <f t="shared" si="14"/>
        <v/>
      </c>
    </row>
    <row r="298" spans="1:12">
      <c r="A298" s="8" t="s">
        <v>20</v>
      </c>
      <c r="J298" s="332" t="e">
        <f t="shared" si="15"/>
        <v>#REF!</v>
      </c>
      <c r="K298" s="332" t="str">
        <f t="shared" si="16"/>
        <v/>
      </c>
      <c r="L298" s="332" t="str">
        <f t="shared" si="14"/>
        <v/>
      </c>
    </row>
    <row r="299" spans="1:12">
      <c r="A299" s="8" t="s">
        <v>20</v>
      </c>
      <c r="J299" s="332" t="e">
        <f t="shared" si="15"/>
        <v>#REF!</v>
      </c>
      <c r="K299" s="332" t="str">
        <f t="shared" si="16"/>
        <v/>
      </c>
      <c r="L299" s="332" t="str">
        <f t="shared" si="14"/>
        <v/>
      </c>
    </row>
    <row r="300" spans="1:12">
      <c r="A300" s="8" t="s">
        <v>20</v>
      </c>
      <c r="J300" s="332" t="e">
        <f t="shared" si="15"/>
        <v>#REF!</v>
      </c>
      <c r="K300" s="332" t="str">
        <f t="shared" si="16"/>
        <v/>
      </c>
      <c r="L300" s="332" t="str">
        <f t="shared" si="14"/>
        <v/>
      </c>
    </row>
    <row r="301" spans="1:12">
      <c r="A301" s="8" t="s">
        <v>20</v>
      </c>
      <c r="J301" s="332" t="e">
        <f t="shared" si="15"/>
        <v>#REF!</v>
      </c>
      <c r="K301" s="332" t="str">
        <f t="shared" si="16"/>
        <v/>
      </c>
      <c r="L301" s="332" t="str">
        <f t="shared" si="14"/>
        <v/>
      </c>
    </row>
    <row r="302" spans="1:12">
      <c r="A302" s="8" t="s">
        <v>20</v>
      </c>
      <c r="J302" s="332" t="e">
        <f t="shared" si="15"/>
        <v>#REF!</v>
      </c>
      <c r="K302" s="332" t="str">
        <f t="shared" si="16"/>
        <v/>
      </c>
      <c r="L302" s="332" t="str">
        <f t="shared" si="14"/>
        <v/>
      </c>
    </row>
    <row r="303" spans="1:12">
      <c r="A303" s="8" t="s">
        <v>20</v>
      </c>
      <c r="J303" s="332" t="e">
        <f t="shared" si="15"/>
        <v>#REF!</v>
      </c>
      <c r="K303" s="332" t="str">
        <f t="shared" si="16"/>
        <v/>
      </c>
      <c r="L303" s="332" t="str">
        <f t="shared" si="14"/>
        <v/>
      </c>
    </row>
    <row r="304" spans="1:12">
      <c r="A304" s="8" t="s">
        <v>20</v>
      </c>
      <c r="J304" s="332" t="e">
        <f t="shared" si="15"/>
        <v>#REF!</v>
      </c>
      <c r="K304" s="332" t="str">
        <f t="shared" si="16"/>
        <v/>
      </c>
      <c r="L304" s="332" t="str">
        <f t="shared" si="14"/>
        <v/>
      </c>
    </row>
    <row r="305" spans="1:12">
      <c r="A305" s="8" t="s">
        <v>20</v>
      </c>
      <c r="J305" s="332" t="e">
        <f t="shared" si="15"/>
        <v>#REF!</v>
      </c>
      <c r="K305" s="332" t="str">
        <f t="shared" si="16"/>
        <v/>
      </c>
      <c r="L305" s="332" t="str">
        <f t="shared" si="14"/>
        <v/>
      </c>
    </row>
    <row r="306" spans="1:12">
      <c r="A306" s="8" t="s">
        <v>20</v>
      </c>
      <c r="J306" s="332" t="e">
        <f t="shared" si="15"/>
        <v>#REF!</v>
      </c>
      <c r="K306" s="332" t="str">
        <f t="shared" si="16"/>
        <v/>
      </c>
      <c r="L306" s="332" t="str">
        <f t="shared" si="14"/>
        <v/>
      </c>
    </row>
    <row r="307" spans="1:12">
      <c r="A307" s="8" t="s">
        <v>20</v>
      </c>
      <c r="J307" s="332" t="e">
        <f t="shared" si="15"/>
        <v>#REF!</v>
      </c>
      <c r="K307" s="332" t="str">
        <f t="shared" si="16"/>
        <v/>
      </c>
      <c r="L307" s="332" t="str">
        <f t="shared" si="14"/>
        <v/>
      </c>
    </row>
    <row r="308" spans="1:12">
      <c r="A308" s="8"/>
      <c r="J308" s="332" t="e">
        <f t="shared" si="15"/>
        <v>#REF!</v>
      </c>
      <c r="K308" s="332" t="str">
        <f t="shared" si="16"/>
        <v/>
      </c>
      <c r="L308" s="332" t="str">
        <f t="shared" si="14"/>
        <v/>
      </c>
    </row>
    <row r="309" spans="1:12">
      <c r="A309" s="8" t="s">
        <v>20</v>
      </c>
      <c r="J309" s="332" t="e">
        <f t="shared" si="15"/>
        <v>#REF!</v>
      </c>
      <c r="K309" s="332" t="str">
        <f t="shared" si="16"/>
        <v/>
      </c>
      <c r="L309" s="332" t="str">
        <f t="shared" si="14"/>
        <v/>
      </c>
    </row>
    <row r="310" spans="1:12">
      <c r="A310" s="8" t="s">
        <v>20</v>
      </c>
      <c r="J310" s="332" t="e">
        <f t="shared" si="15"/>
        <v>#REF!</v>
      </c>
      <c r="K310" s="332" t="str">
        <f t="shared" si="16"/>
        <v/>
      </c>
      <c r="L310" s="332" t="str">
        <f t="shared" si="14"/>
        <v/>
      </c>
    </row>
    <row r="311" spans="1:12">
      <c r="A311" s="8" t="s">
        <v>20</v>
      </c>
      <c r="J311" s="332" t="e">
        <f t="shared" si="15"/>
        <v>#REF!</v>
      </c>
      <c r="K311" s="332" t="str">
        <f t="shared" si="16"/>
        <v/>
      </c>
      <c r="L311" s="332" t="str">
        <f t="shared" si="14"/>
        <v/>
      </c>
    </row>
    <row r="312" spans="1:12">
      <c r="A312" s="8" t="s">
        <v>20</v>
      </c>
      <c r="J312" s="332" t="e">
        <f t="shared" si="15"/>
        <v>#REF!</v>
      </c>
      <c r="K312" s="332" t="str">
        <f t="shared" si="16"/>
        <v/>
      </c>
      <c r="L312" s="332" t="str">
        <f t="shared" si="14"/>
        <v/>
      </c>
    </row>
    <row r="313" spans="1:12">
      <c r="A313" s="8" t="s">
        <v>20</v>
      </c>
      <c r="J313" s="332" t="e">
        <f t="shared" si="15"/>
        <v>#REF!</v>
      </c>
      <c r="K313" s="332" t="str">
        <f t="shared" si="16"/>
        <v/>
      </c>
      <c r="L313" s="332" t="str">
        <f t="shared" si="14"/>
        <v/>
      </c>
    </row>
    <row r="314" spans="1:12">
      <c r="A314" s="8" t="s">
        <v>20</v>
      </c>
      <c r="J314" s="332" t="e">
        <f t="shared" si="15"/>
        <v>#REF!</v>
      </c>
      <c r="K314" s="332" t="str">
        <f t="shared" si="16"/>
        <v/>
      </c>
      <c r="L314" s="332" t="str">
        <f t="shared" si="14"/>
        <v/>
      </c>
    </row>
    <row r="315" spans="1:12">
      <c r="A315" s="8" t="s">
        <v>20</v>
      </c>
      <c r="J315" s="332" t="e">
        <f t="shared" si="15"/>
        <v>#REF!</v>
      </c>
      <c r="K315" s="332" t="str">
        <f t="shared" si="16"/>
        <v/>
      </c>
      <c r="L315" s="332" t="str">
        <f t="shared" si="14"/>
        <v/>
      </c>
    </row>
    <row r="316" spans="1:12">
      <c r="A316" s="8"/>
      <c r="J316" s="332" t="e">
        <f t="shared" si="15"/>
        <v>#REF!</v>
      </c>
      <c r="K316" s="332" t="str">
        <f t="shared" si="16"/>
        <v/>
      </c>
      <c r="L316" s="332" t="str">
        <f t="shared" si="14"/>
        <v/>
      </c>
    </row>
    <row r="317" spans="1:12">
      <c r="A317" s="8" t="s">
        <v>20</v>
      </c>
      <c r="J317" s="332" t="e">
        <f t="shared" si="15"/>
        <v>#REF!</v>
      </c>
      <c r="K317" s="332" t="str">
        <f t="shared" si="16"/>
        <v/>
      </c>
      <c r="L317" s="332" t="str">
        <f t="shared" si="14"/>
        <v/>
      </c>
    </row>
    <row r="318" spans="1:12">
      <c r="A318" s="8" t="s">
        <v>20</v>
      </c>
      <c r="J318" s="332" t="e">
        <f t="shared" si="15"/>
        <v>#REF!</v>
      </c>
      <c r="K318" s="332" t="str">
        <f t="shared" si="16"/>
        <v/>
      </c>
      <c r="L318" s="332" t="str">
        <f t="shared" si="14"/>
        <v/>
      </c>
    </row>
    <row r="319" spans="1:12">
      <c r="A319" s="8" t="s">
        <v>20</v>
      </c>
      <c r="J319" s="332" t="e">
        <f t="shared" si="15"/>
        <v>#REF!</v>
      </c>
      <c r="K319" s="332" t="str">
        <f t="shared" si="16"/>
        <v/>
      </c>
      <c r="L319" s="332" t="str">
        <f t="shared" si="14"/>
        <v/>
      </c>
    </row>
    <row r="320" spans="1:12">
      <c r="A320" s="8"/>
      <c r="J320" s="332" t="e">
        <f t="shared" si="15"/>
        <v>#REF!</v>
      </c>
      <c r="K320" s="332" t="str">
        <f t="shared" si="16"/>
        <v/>
      </c>
      <c r="L320" s="332" t="str">
        <f t="shared" si="14"/>
        <v/>
      </c>
    </row>
    <row r="321" spans="1:12">
      <c r="A321" s="8" t="s">
        <v>20</v>
      </c>
      <c r="J321" s="332" t="e">
        <f t="shared" si="15"/>
        <v>#REF!</v>
      </c>
      <c r="K321" s="332" t="str">
        <f t="shared" si="16"/>
        <v/>
      </c>
      <c r="L321" s="332" t="str">
        <f t="shared" si="14"/>
        <v/>
      </c>
    </row>
    <row r="322" spans="1:12">
      <c r="A322" s="8" t="s">
        <v>20</v>
      </c>
      <c r="J322" s="332" t="e">
        <f t="shared" si="15"/>
        <v>#REF!</v>
      </c>
      <c r="K322" s="332" t="str">
        <f t="shared" si="16"/>
        <v/>
      </c>
      <c r="L322" s="332" t="str">
        <f t="shared" si="14"/>
        <v/>
      </c>
    </row>
    <row r="323" spans="1:12">
      <c r="A323" s="8" t="s">
        <v>20</v>
      </c>
      <c r="J323" s="332" t="e">
        <f t="shared" si="15"/>
        <v>#REF!</v>
      </c>
      <c r="K323" s="332" t="str">
        <f t="shared" si="16"/>
        <v/>
      </c>
      <c r="L323" s="332" t="str">
        <f t="shared" si="14"/>
        <v/>
      </c>
    </row>
    <row r="324" spans="1:12">
      <c r="A324" s="8" t="s">
        <v>20</v>
      </c>
      <c r="J324" s="332" t="e">
        <f t="shared" si="15"/>
        <v>#REF!</v>
      </c>
      <c r="K324" s="332" t="str">
        <f t="shared" si="16"/>
        <v/>
      </c>
      <c r="L324" s="332" t="str">
        <f t="shared" si="14"/>
        <v/>
      </c>
    </row>
    <row r="325" spans="1:12">
      <c r="A325" s="8" t="s">
        <v>20</v>
      </c>
      <c r="J325" s="332" t="e">
        <f t="shared" si="15"/>
        <v>#REF!</v>
      </c>
      <c r="K325" s="332" t="str">
        <f t="shared" si="16"/>
        <v/>
      </c>
      <c r="L325" s="332" t="str">
        <f t="shared" ref="L325:L388" si="17">IFERROR(K325+M325,"")</f>
        <v/>
      </c>
    </row>
    <row r="326" spans="1:12">
      <c r="A326" s="8" t="s">
        <v>20</v>
      </c>
      <c r="J326" s="332" t="e">
        <f t="shared" si="15"/>
        <v>#REF!</v>
      </c>
      <c r="K326" s="332" t="str">
        <f t="shared" si="16"/>
        <v/>
      </c>
      <c r="L326" s="332" t="str">
        <f t="shared" si="17"/>
        <v/>
      </c>
    </row>
    <row r="327" spans="1:12">
      <c r="A327" s="8" t="s">
        <v>20</v>
      </c>
      <c r="J327" s="332" t="e">
        <f t="shared" si="15"/>
        <v>#REF!</v>
      </c>
      <c r="K327" s="332" t="str">
        <f t="shared" si="16"/>
        <v/>
      </c>
      <c r="L327" s="332" t="str">
        <f t="shared" si="17"/>
        <v/>
      </c>
    </row>
    <row r="328" spans="1:12">
      <c r="A328" s="8" t="s">
        <v>20</v>
      </c>
      <c r="J328" s="332" t="e">
        <f t="shared" si="15"/>
        <v>#REF!</v>
      </c>
      <c r="K328" s="332" t="str">
        <f t="shared" si="16"/>
        <v/>
      </c>
      <c r="L328" s="332" t="str">
        <f t="shared" si="17"/>
        <v/>
      </c>
    </row>
    <row r="329" spans="1:12">
      <c r="A329" s="8" t="s">
        <v>20</v>
      </c>
      <c r="J329" s="332" t="e">
        <f t="shared" si="15"/>
        <v>#REF!</v>
      </c>
      <c r="K329" s="332" t="str">
        <f t="shared" si="16"/>
        <v/>
      </c>
      <c r="L329" s="332" t="str">
        <f t="shared" si="17"/>
        <v/>
      </c>
    </row>
    <row r="330" spans="1:12">
      <c r="A330" s="8"/>
      <c r="J330" s="332" t="e">
        <f t="shared" si="15"/>
        <v>#REF!</v>
      </c>
      <c r="K330" s="332" t="str">
        <f t="shared" si="16"/>
        <v/>
      </c>
      <c r="L330" s="332" t="str">
        <f t="shared" si="17"/>
        <v/>
      </c>
    </row>
    <row r="331" spans="1:12">
      <c r="A331" s="8" t="s">
        <v>20</v>
      </c>
      <c r="J331" s="332" t="e">
        <f t="shared" si="15"/>
        <v>#REF!</v>
      </c>
      <c r="K331" s="332" t="str">
        <f t="shared" si="16"/>
        <v/>
      </c>
      <c r="L331" s="332" t="str">
        <f t="shared" si="17"/>
        <v/>
      </c>
    </row>
    <row r="332" spans="1:12">
      <c r="A332" s="8" t="s">
        <v>20</v>
      </c>
      <c r="J332" s="332" t="e">
        <f t="shared" si="15"/>
        <v>#REF!</v>
      </c>
      <c r="K332" s="332" t="str">
        <f t="shared" si="16"/>
        <v/>
      </c>
      <c r="L332" s="332" t="str">
        <f t="shared" si="17"/>
        <v/>
      </c>
    </row>
    <row r="333" spans="1:12">
      <c r="A333" s="8" t="s">
        <v>20</v>
      </c>
      <c r="J333" s="332" t="e">
        <f t="shared" si="15"/>
        <v>#REF!</v>
      </c>
      <c r="K333" s="332" t="str">
        <f t="shared" si="16"/>
        <v/>
      </c>
      <c r="L333" s="332" t="str">
        <f t="shared" si="17"/>
        <v/>
      </c>
    </row>
    <row r="334" spans="1:12">
      <c r="A334" s="8" t="s">
        <v>20</v>
      </c>
      <c r="J334" s="332" t="e">
        <f t="shared" si="15"/>
        <v>#REF!</v>
      </c>
      <c r="K334" s="332" t="str">
        <f t="shared" si="16"/>
        <v/>
      </c>
      <c r="L334" s="332" t="str">
        <f t="shared" si="17"/>
        <v/>
      </c>
    </row>
    <row r="335" spans="1:12">
      <c r="A335" s="8" t="s">
        <v>20</v>
      </c>
      <c r="J335" s="332" t="e">
        <f t="shared" si="15"/>
        <v>#REF!</v>
      </c>
      <c r="K335" s="332" t="str">
        <f t="shared" si="16"/>
        <v/>
      </c>
      <c r="L335" s="332" t="str">
        <f t="shared" si="17"/>
        <v/>
      </c>
    </row>
    <row r="336" spans="1:12">
      <c r="A336" s="8" t="s">
        <v>20</v>
      </c>
      <c r="J336" s="332" t="e">
        <f t="shared" si="15"/>
        <v>#REF!</v>
      </c>
      <c r="K336" s="332" t="str">
        <f t="shared" si="16"/>
        <v/>
      </c>
      <c r="L336" s="332" t="str">
        <f t="shared" si="17"/>
        <v/>
      </c>
    </row>
    <row r="337" spans="1:12">
      <c r="A337" s="8" t="s">
        <v>20</v>
      </c>
      <c r="J337" s="332" t="e">
        <f t="shared" si="15"/>
        <v>#REF!</v>
      </c>
      <c r="K337" s="332" t="str">
        <f t="shared" si="16"/>
        <v/>
      </c>
      <c r="L337" s="332" t="str">
        <f t="shared" si="17"/>
        <v/>
      </c>
    </row>
    <row r="338" spans="1:12">
      <c r="A338" s="8" t="s">
        <v>20</v>
      </c>
      <c r="J338" s="332" t="e">
        <f t="shared" si="15"/>
        <v>#REF!</v>
      </c>
      <c r="K338" s="332" t="str">
        <f t="shared" si="16"/>
        <v/>
      </c>
      <c r="L338" s="332" t="str">
        <f t="shared" si="17"/>
        <v/>
      </c>
    </row>
    <row r="339" spans="1:12">
      <c r="A339" s="8"/>
      <c r="J339" s="332" t="e">
        <f t="shared" si="15"/>
        <v>#REF!</v>
      </c>
      <c r="K339" s="332" t="str">
        <f t="shared" si="16"/>
        <v/>
      </c>
      <c r="L339" s="332" t="str">
        <f t="shared" si="17"/>
        <v/>
      </c>
    </row>
    <row r="340" spans="1:12">
      <c r="A340" s="8" t="s">
        <v>20</v>
      </c>
      <c r="J340" s="332" t="e">
        <f t="shared" si="15"/>
        <v>#REF!</v>
      </c>
      <c r="K340" s="332" t="str">
        <f t="shared" si="16"/>
        <v/>
      </c>
      <c r="L340" s="332" t="str">
        <f t="shared" si="17"/>
        <v/>
      </c>
    </row>
    <row r="341" spans="1:12">
      <c r="A341" s="8" t="s">
        <v>20</v>
      </c>
      <c r="J341" s="332" t="e">
        <f t="shared" si="15"/>
        <v>#REF!</v>
      </c>
      <c r="K341" s="332" t="str">
        <f t="shared" si="16"/>
        <v/>
      </c>
      <c r="L341" s="332" t="str">
        <f t="shared" si="17"/>
        <v/>
      </c>
    </row>
    <row r="342" spans="1:12">
      <c r="A342" s="8" t="s">
        <v>20</v>
      </c>
      <c r="J342" s="332" t="e">
        <f t="shared" ref="J342:J405" si="18">IF(OR(A344="Devizy",J341="Devizy"),"Devizy","")</f>
        <v>#REF!</v>
      </c>
      <c r="K342" s="332" t="str">
        <f t="shared" si="16"/>
        <v/>
      </c>
      <c r="L342" s="332" t="str">
        <f t="shared" si="17"/>
        <v/>
      </c>
    </row>
    <row r="343" spans="1:12">
      <c r="A343" s="8" t="s">
        <v>20</v>
      </c>
      <c r="J343" s="332" t="e">
        <f t="shared" si="18"/>
        <v>#REF!</v>
      </c>
      <c r="K343" s="332" t="str">
        <f t="shared" ref="K343:K406" si="19">IFERROR(IF(AND(J343="Devizy",FIND("Nakupujeme ",A344)=1),RIGHT(A344,7),""),"")</f>
        <v/>
      </c>
      <c r="L343" s="332" t="str">
        <f t="shared" si="17"/>
        <v/>
      </c>
    </row>
    <row r="344" spans="1:12">
      <c r="A344" s="8" t="s">
        <v>20</v>
      </c>
      <c r="J344" s="332" t="e">
        <f t="shared" si="18"/>
        <v>#REF!</v>
      </c>
      <c r="K344" s="332" t="str">
        <f t="shared" si="19"/>
        <v/>
      </c>
      <c r="L344" s="332" t="str">
        <f t="shared" si="17"/>
        <v/>
      </c>
    </row>
    <row r="345" spans="1:12">
      <c r="A345" s="8" t="s">
        <v>20</v>
      </c>
      <c r="J345" s="332" t="e">
        <f t="shared" si="18"/>
        <v>#REF!</v>
      </c>
      <c r="K345" s="332" t="str">
        <f t="shared" si="19"/>
        <v/>
      </c>
      <c r="L345" s="332" t="str">
        <f t="shared" si="17"/>
        <v/>
      </c>
    </row>
    <row r="346" spans="1:12">
      <c r="A346" s="8" t="s">
        <v>20</v>
      </c>
      <c r="J346" s="332" t="e">
        <f t="shared" si="18"/>
        <v>#REF!</v>
      </c>
      <c r="K346" s="332" t="str">
        <f t="shared" si="19"/>
        <v/>
      </c>
      <c r="L346" s="332" t="str">
        <f t="shared" si="17"/>
        <v/>
      </c>
    </row>
    <row r="347" spans="1:12">
      <c r="A347" s="8" t="s">
        <v>20</v>
      </c>
      <c r="J347" s="332" t="e">
        <f t="shared" si="18"/>
        <v>#REF!</v>
      </c>
      <c r="K347" s="332" t="str">
        <f t="shared" si="19"/>
        <v/>
      </c>
      <c r="L347" s="332" t="str">
        <f t="shared" si="17"/>
        <v/>
      </c>
    </row>
    <row r="348" spans="1:12">
      <c r="A348" s="8" t="s">
        <v>20</v>
      </c>
      <c r="J348" s="332" t="e">
        <f t="shared" si="18"/>
        <v>#REF!</v>
      </c>
      <c r="K348" s="332" t="str">
        <f t="shared" si="19"/>
        <v/>
      </c>
      <c r="L348" s="332" t="str">
        <f t="shared" si="17"/>
        <v/>
      </c>
    </row>
    <row r="349" spans="1:12">
      <c r="A349" s="8" t="s">
        <v>20</v>
      </c>
      <c r="J349" s="332" t="e">
        <f t="shared" si="18"/>
        <v>#REF!</v>
      </c>
      <c r="K349" s="332" t="str">
        <f t="shared" si="19"/>
        <v/>
      </c>
      <c r="L349" s="332" t="str">
        <f t="shared" si="17"/>
        <v/>
      </c>
    </row>
    <row r="350" spans="1:12">
      <c r="A350" s="8" t="s">
        <v>20</v>
      </c>
      <c r="J350" s="332" t="e">
        <f t="shared" si="18"/>
        <v>#REF!</v>
      </c>
      <c r="K350" s="332" t="str">
        <f t="shared" si="19"/>
        <v/>
      </c>
      <c r="L350" s="332" t="str">
        <f t="shared" si="17"/>
        <v/>
      </c>
    </row>
    <row r="351" spans="1:12">
      <c r="A351" s="8" t="s">
        <v>20</v>
      </c>
      <c r="J351" s="332" t="e">
        <f t="shared" si="18"/>
        <v>#REF!</v>
      </c>
      <c r="K351" s="332" t="str">
        <f t="shared" si="19"/>
        <v/>
      </c>
      <c r="L351" s="332" t="str">
        <f t="shared" si="17"/>
        <v/>
      </c>
    </row>
    <row r="352" spans="1:12">
      <c r="A352" s="8" t="s">
        <v>20</v>
      </c>
      <c r="J352" s="332" t="e">
        <f t="shared" si="18"/>
        <v>#REF!</v>
      </c>
      <c r="K352" s="332" t="str">
        <f t="shared" si="19"/>
        <v/>
      </c>
      <c r="L352" s="332" t="str">
        <f t="shared" si="17"/>
        <v/>
      </c>
    </row>
    <row r="353" spans="1:12">
      <c r="A353" s="8" t="s">
        <v>20</v>
      </c>
      <c r="J353" s="332" t="e">
        <f t="shared" si="18"/>
        <v>#REF!</v>
      </c>
      <c r="K353" s="332" t="str">
        <f t="shared" si="19"/>
        <v/>
      </c>
      <c r="L353" s="332" t="str">
        <f t="shared" si="17"/>
        <v/>
      </c>
    </row>
    <row r="354" spans="1:12">
      <c r="A354" s="8" t="s">
        <v>20</v>
      </c>
      <c r="J354" s="332" t="e">
        <f t="shared" si="18"/>
        <v>#REF!</v>
      </c>
      <c r="K354" s="332" t="str">
        <f t="shared" si="19"/>
        <v/>
      </c>
      <c r="L354" s="332" t="str">
        <f t="shared" si="17"/>
        <v/>
      </c>
    </row>
    <row r="355" spans="1:12">
      <c r="A355" s="8" t="s">
        <v>20</v>
      </c>
      <c r="J355" s="332" t="e">
        <f t="shared" si="18"/>
        <v>#REF!</v>
      </c>
      <c r="K355" s="332" t="str">
        <f t="shared" si="19"/>
        <v/>
      </c>
      <c r="L355" s="332" t="str">
        <f t="shared" si="17"/>
        <v/>
      </c>
    </row>
    <row r="356" spans="1:12">
      <c r="A356" s="8" t="s">
        <v>20</v>
      </c>
      <c r="J356" s="332" t="e">
        <f t="shared" si="18"/>
        <v>#REF!</v>
      </c>
      <c r="K356" s="332" t="str">
        <f t="shared" si="19"/>
        <v/>
      </c>
      <c r="L356" s="332" t="str">
        <f t="shared" si="17"/>
        <v/>
      </c>
    </row>
    <row r="357" spans="1:12">
      <c r="A357" s="8" t="s">
        <v>20</v>
      </c>
      <c r="J357" s="332" t="e">
        <f t="shared" si="18"/>
        <v>#REF!</v>
      </c>
      <c r="K357" s="332" t="str">
        <f t="shared" si="19"/>
        <v/>
      </c>
      <c r="L357" s="332" t="str">
        <f t="shared" si="17"/>
        <v/>
      </c>
    </row>
    <row r="358" spans="1:12">
      <c r="A358" s="8" t="s">
        <v>20</v>
      </c>
      <c r="J358" s="332" t="e">
        <f t="shared" si="18"/>
        <v>#REF!</v>
      </c>
      <c r="K358" s="332" t="str">
        <f t="shared" si="19"/>
        <v/>
      </c>
      <c r="L358" s="332" t="str">
        <f t="shared" si="17"/>
        <v/>
      </c>
    </row>
    <row r="359" spans="1:12">
      <c r="A359" s="8" t="s">
        <v>20</v>
      </c>
      <c r="J359" s="332" t="e">
        <f t="shared" si="18"/>
        <v>#REF!</v>
      </c>
      <c r="K359" s="332" t="str">
        <f t="shared" si="19"/>
        <v/>
      </c>
      <c r="L359" s="332" t="str">
        <f t="shared" si="17"/>
        <v/>
      </c>
    </row>
    <row r="360" spans="1:12">
      <c r="A360" s="8" t="s">
        <v>20</v>
      </c>
      <c r="J360" s="332" t="e">
        <f t="shared" si="18"/>
        <v>#REF!</v>
      </c>
      <c r="K360" s="332" t="str">
        <f t="shared" si="19"/>
        <v/>
      </c>
      <c r="L360" s="332" t="str">
        <f t="shared" si="17"/>
        <v/>
      </c>
    </row>
    <row r="361" spans="1:12">
      <c r="A361" s="8" t="s">
        <v>20</v>
      </c>
      <c r="J361" s="332" t="e">
        <f t="shared" si="18"/>
        <v>#REF!</v>
      </c>
      <c r="K361" s="332" t="str">
        <f t="shared" si="19"/>
        <v/>
      </c>
      <c r="L361" s="332" t="str">
        <f t="shared" si="17"/>
        <v/>
      </c>
    </row>
    <row r="362" spans="1:12">
      <c r="A362" s="8" t="s">
        <v>20</v>
      </c>
      <c r="J362" s="332" t="e">
        <f t="shared" si="18"/>
        <v>#REF!</v>
      </c>
      <c r="K362" s="332" t="str">
        <f t="shared" si="19"/>
        <v/>
      </c>
      <c r="L362" s="332" t="str">
        <f t="shared" si="17"/>
        <v/>
      </c>
    </row>
    <row r="363" spans="1:12">
      <c r="A363" s="8" t="s">
        <v>20</v>
      </c>
      <c r="J363" s="332" t="e">
        <f t="shared" si="18"/>
        <v>#REF!</v>
      </c>
      <c r="K363" s="332" t="str">
        <f t="shared" si="19"/>
        <v/>
      </c>
      <c r="L363" s="332" t="str">
        <f t="shared" si="17"/>
        <v/>
      </c>
    </row>
    <row r="364" spans="1:12">
      <c r="A364" s="8" t="s">
        <v>20</v>
      </c>
      <c r="J364" s="332" t="e">
        <f t="shared" si="18"/>
        <v>#REF!</v>
      </c>
      <c r="K364" s="332" t="str">
        <f t="shared" si="19"/>
        <v/>
      </c>
      <c r="L364" s="332" t="str">
        <f t="shared" si="17"/>
        <v/>
      </c>
    </row>
    <row r="365" spans="1:12">
      <c r="A365" s="8" t="s">
        <v>20</v>
      </c>
      <c r="J365" s="332" t="e">
        <f t="shared" si="18"/>
        <v>#REF!</v>
      </c>
      <c r="K365" s="332" t="str">
        <f t="shared" si="19"/>
        <v/>
      </c>
      <c r="L365" s="332" t="str">
        <f t="shared" si="17"/>
        <v/>
      </c>
    </row>
    <row r="366" spans="1:12">
      <c r="A366" s="8" t="s">
        <v>20</v>
      </c>
      <c r="J366" s="332" t="e">
        <f t="shared" si="18"/>
        <v>#REF!</v>
      </c>
      <c r="K366" s="332" t="str">
        <f t="shared" si="19"/>
        <v/>
      </c>
      <c r="L366" s="332" t="str">
        <f t="shared" si="17"/>
        <v/>
      </c>
    </row>
    <row r="367" spans="1:12">
      <c r="A367" s="8" t="s">
        <v>20</v>
      </c>
      <c r="J367" s="332" t="e">
        <f t="shared" si="18"/>
        <v>#REF!</v>
      </c>
      <c r="K367" s="332" t="str">
        <f t="shared" si="19"/>
        <v/>
      </c>
      <c r="L367" s="332" t="str">
        <f t="shared" si="17"/>
        <v/>
      </c>
    </row>
    <row r="368" spans="1:12">
      <c r="A368" s="8" t="s">
        <v>20</v>
      </c>
      <c r="J368" s="332" t="e">
        <f t="shared" si="18"/>
        <v>#REF!</v>
      </c>
      <c r="K368" s="332" t="str">
        <f t="shared" si="19"/>
        <v/>
      </c>
      <c r="L368" s="332" t="str">
        <f t="shared" si="17"/>
        <v/>
      </c>
    </row>
    <row r="369" spans="1:12">
      <c r="A369" s="8" t="s">
        <v>20</v>
      </c>
      <c r="J369" s="332" t="e">
        <f t="shared" si="18"/>
        <v>#REF!</v>
      </c>
      <c r="K369" s="332" t="str">
        <f t="shared" si="19"/>
        <v/>
      </c>
      <c r="L369" s="332" t="str">
        <f t="shared" si="17"/>
        <v/>
      </c>
    </row>
    <row r="370" spans="1:12">
      <c r="A370" s="8" t="s">
        <v>20</v>
      </c>
      <c r="J370" s="332" t="e">
        <f t="shared" si="18"/>
        <v>#REF!</v>
      </c>
      <c r="K370" s="332" t="str">
        <f t="shared" si="19"/>
        <v/>
      </c>
      <c r="L370" s="332" t="str">
        <f t="shared" si="17"/>
        <v/>
      </c>
    </row>
    <row r="371" spans="1:12">
      <c r="A371" s="8" t="s">
        <v>20</v>
      </c>
      <c r="J371" s="332" t="e">
        <f t="shared" si="18"/>
        <v>#REF!</v>
      </c>
      <c r="K371" s="332" t="str">
        <f t="shared" si="19"/>
        <v/>
      </c>
      <c r="L371" s="332" t="str">
        <f t="shared" si="17"/>
        <v/>
      </c>
    </row>
    <row r="372" spans="1:12">
      <c r="A372" s="8" t="s">
        <v>20</v>
      </c>
      <c r="J372" s="332" t="e">
        <f t="shared" si="18"/>
        <v>#REF!</v>
      </c>
      <c r="K372" s="332" t="str">
        <f t="shared" si="19"/>
        <v/>
      </c>
      <c r="L372" s="332" t="str">
        <f t="shared" si="17"/>
        <v/>
      </c>
    </row>
    <row r="373" spans="1:12">
      <c r="A373" s="8" t="s">
        <v>20</v>
      </c>
      <c r="J373" s="332" t="e">
        <f t="shared" si="18"/>
        <v>#REF!</v>
      </c>
      <c r="K373" s="332" t="str">
        <f t="shared" si="19"/>
        <v/>
      </c>
      <c r="L373" s="332" t="str">
        <f t="shared" si="17"/>
        <v/>
      </c>
    </row>
    <row r="374" spans="1:12">
      <c r="A374" s="8" t="s">
        <v>20</v>
      </c>
      <c r="J374" s="332" t="e">
        <f t="shared" si="18"/>
        <v>#REF!</v>
      </c>
      <c r="K374" s="332" t="str">
        <f t="shared" si="19"/>
        <v/>
      </c>
      <c r="L374" s="332" t="str">
        <f t="shared" si="17"/>
        <v/>
      </c>
    </row>
    <row r="375" spans="1:12">
      <c r="A375" s="8" t="s">
        <v>20</v>
      </c>
      <c r="J375" s="332" t="e">
        <f t="shared" si="18"/>
        <v>#REF!</v>
      </c>
      <c r="K375" s="332" t="str">
        <f t="shared" si="19"/>
        <v/>
      </c>
      <c r="L375" s="332" t="str">
        <f t="shared" si="17"/>
        <v/>
      </c>
    </row>
    <row r="376" spans="1:12">
      <c r="A376" s="8" t="s">
        <v>20</v>
      </c>
      <c r="J376" s="332" t="e">
        <f t="shared" si="18"/>
        <v>#REF!</v>
      </c>
      <c r="K376" s="332" t="str">
        <f t="shared" si="19"/>
        <v/>
      </c>
      <c r="L376" s="332" t="str">
        <f t="shared" si="17"/>
        <v/>
      </c>
    </row>
    <row r="377" spans="1:12">
      <c r="A377" s="8" t="s">
        <v>20</v>
      </c>
      <c r="J377" s="332" t="e">
        <f t="shared" si="18"/>
        <v>#REF!</v>
      </c>
      <c r="K377" s="332" t="str">
        <f t="shared" si="19"/>
        <v/>
      </c>
      <c r="L377" s="332" t="str">
        <f t="shared" si="17"/>
        <v/>
      </c>
    </row>
    <row r="378" spans="1:12">
      <c r="A378" s="8" t="s">
        <v>20</v>
      </c>
      <c r="J378" s="332" t="e">
        <f t="shared" si="18"/>
        <v>#REF!</v>
      </c>
      <c r="K378" s="332" t="str">
        <f t="shared" si="19"/>
        <v/>
      </c>
      <c r="L378" s="332" t="str">
        <f t="shared" si="17"/>
        <v/>
      </c>
    </row>
    <row r="379" spans="1:12">
      <c r="A379" s="8" t="s">
        <v>20</v>
      </c>
      <c r="J379" s="332" t="e">
        <f t="shared" si="18"/>
        <v>#REF!</v>
      </c>
      <c r="K379" s="332" t="str">
        <f t="shared" si="19"/>
        <v/>
      </c>
      <c r="L379" s="332" t="str">
        <f t="shared" si="17"/>
        <v/>
      </c>
    </row>
    <row r="380" spans="1:12">
      <c r="A380" s="8" t="s">
        <v>20</v>
      </c>
      <c r="J380" s="332" t="e">
        <f t="shared" si="18"/>
        <v>#REF!</v>
      </c>
      <c r="K380" s="332" t="str">
        <f t="shared" si="19"/>
        <v/>
      </c>
      <c r="L380" s="332" t="str">
        <f t="shared" si="17"/>
        <v/>
      </c>
    </row>
    <row r="381" spans="1:12">
      <c r="A381" s="8" t="s">
        <v>20</v>
      </c>
      <c r="J381" s="332" t="e">
        <f t="shared" si="18"/>
        <v>#REF!</v>
      </c>
      <c r="K381" s="332" t="str">
        <f t="shared" si="19"/>
        <v/>
      </c>
      <c r="L381" s="332" t="str">
        <f t="shared" si="17"/>
        <v/>
      </c>
    </row>
    <row r="382" spans="1:12">
      <c r="A382" s="8" t="s">
        <v>20</v>
      </c>
      <c r="J382" s="332" t="e">
        <f t="shared" si="18"/>
        <v>#REF!</v>
      </c>
      <c r="K382" s="332" t="str">
        <f t="shared" si="19"/>
        <v/>
      </c>
      <c r="L382" s="332" t="str">
        <f t="shared" si="17"/>
        <v/>
      </c>
    </row>
    <row r="383" spans="1:12">
      <c r="A383" s="8" t="s">
        <v>20</v>
      </c>
      <c r="J383" s="332" t="e">
        <f t="shared" si="18"/>
        <v>#REF!</v>
      </c>
      <c r="K383" s="332" t="str">
        <f t="shared" si="19"/>
        <v/>
      </c>
      <c r="L383" s="332" t="str">
        <f t="shared" si="17"/>
        <v/>
      </c>
    </row>
    <row r="384" spans="1:12">
      <c r="A384" s="8" t="s">
        <v>20</v>
      </c>
      <c r="J384" s="332" t="e">
        <f t="shared" si="18"/>
        <v>#REF!</v>
      </c>
      <c r="K384" s="332" t="str">
        <f t="shared" si="19"/>
        <v/>
      </c>
      <c r="L384" s="332" t="str">
        <f t="shared" si="17"/>
        <v/>
      </c>
    </row>
    <row r="385" spans="1:12">
      <c r="A385" s="8" t="s">
        <v>20</v>
      </c>
      <c r="J385" s="332" t="e">
        <f t="shared" si="18"/>
        <v>#REF!</v>
      </c>
      <c r="K385" s="332" t="str">
        <f t="shared" si="19"/>
        <v/>
      </c>
      <c r="L385" s="332" t="str">
        <f t="shared" si="17"/>
        <v/>
      </c>
    </row>
    <row r="386" spans="1:12">
      <c r="A386" s="8" t="s">
        <v>20</v>
      </c>
      <c r="J386" s="332" t="e">
        <f t="shared" si="18"/>
        <v>#REF!</v>
      </c>
      <c r="K386" s="332" t="str">
        <f t="shared" si="19"/>
        <v/>
      </c>
      <c r="L386" s="332" t="str">
        <f t="shared" si="17"/>
        <v/>
      </c>
    </row>
    <row r="387" spans="1:12">
      <c r="A387" s="8" t="s">
        <v>20</v>
      </c>
      <c r="J387" s="332" t="e">
        <f t="shared" si="18"/>
        <v>#REF!</v>
      </c>
      <c r="K387" s="332" t="str">
        <f t="shared" si="19"/>
        <v/>
      </c>
      <c r="L387" s="332" t="str">
        <f t="shared" si="17"/>
        <v/>
      </c>
    </row>
    <row r="388" spans="1:12">
      <c r="A388" s="8" t="s">
        <v>20</v>
      </c>
      <c r="J388" s="332" t="e">
        <f t="shared" si="18"/>
        <v>#REF!</v>
      </c>
      <c r="K388" s="332" t="str">
        <f t="shared" si="19"/>
        <v/>
      </c>
      <c r="L388" s="332" t="str">
        <f t="shared" si="17"/>
        <v/>
      </c>
    </row>
    <row r="389" spans="1:12">
      <c r="A389" s="8" t="s">
        <v>20</v>
      </c>
      <c r="J389" s="332" t="e">
        <f t="shared" si="18"/>
        <v>#REF!</v>
      </c>
      <c r="K389" s="332" t="str">
        <f t="shared" si="19"/>
        <v/>
      </c>
      <c r="L389" s="332" t="str">
        <f t="shared" ref="L389:L452" si="20">IFERROR(K389+M389,"")</f>
        <v/>
      </c>
    </row>
    <row r="390" spans="1:12">
      <c r="A390" s="8" t="s">
        <v>20</v>
      </c>
      <c r="J390" s="332" t="e">
        <f t="shared" si="18"/>
        <v>#REF!</v>
      </c>
      <c r="K390" s="332" t="str">
        <f t="shared" si="19"/>
        <v/>
      </c>
      <c r="L390" s="332" t="str">
        <f t="shared" si="20"/>
        <v/>
      </c>
    </row>
    <row r="391" spans="1:12">
      <c r="A391" s="8" t="s">
        <v>20</v>
      </c>
      <c r="J391" s="332" t="e">
        <f t="shared" si="18"/>
        <v>#REF!</v>
      </c>
      <c r="K391" s="332" t="str">
        <f t="shared" si="19"/>
        <v/>
      </c>
      <c r="L391" s="332" t="str">
        <f t="shared" si="20"/>
        <v/>
      </c>
    </row>
    <row r="392" spans="1:12">
      <c r="A392" s="8"/>
      <c r="J392" s="332" t="e">
        <f t="shared" si="18"/>
        <v>#REF!</v>
      </c>
      <c r="K392" s="332" t="str">
        <f t="shared" si="19"/>
        <v/>
      </c>
      <c r="L392" s="332" t="str">
        <f t="shared" si="20"/>
        <v/>
      </c>
    </row>
    <row r="393" spans="1:12">
      <c r="A393" s="8" t="s">
        <v>20</v>
      </c>
      <c r="J393" s="332" t="e">
        <f t="shared" si="18"/>
        <v>#REF!</v>
      </c>
      <c r="K393" s="332" t="str">
        <f t="shared" si="19"/>
        <v/>
      </c>
      <c r="L393" s="332" t="str">
        <f t="shared" si="20"/>
        <v/>
      </c>
    </row>
    <row r="394" spans="1:12">
      <c r="A394" s="8" t="s">
        <v>20</v>
      </c>
      <c r="J394" s="332" t="e">
        <f t="shared" si="18"/>
        <v>#REF!</v>
      </c>
      <c r="K394" s="332" t="str">
        <f t="shared" si="19"/>
        <v/>
      </c>
      <c r="L394" s="332" t="str">
        <f t="shared" si="20"/>
        <v/>
      </c>
    </row>
    <row r="395" spans="1:12">
      <c r="A395" s="8" t="s">
        <v>20</v>
      </c>
      <c r="J395" s="332" t="e">
        <f t="shared" si="18"/>
        <v>#REF!</v>
      </c>
      <c r="K395" s="332" t="str">
        <f t="shared" si="19"/>
        <v/>
      </c>
      <c r="L395" s="332" t="str">
        <f t="shared" si="20"/>
        <v/>
      </c>
    </row>
    <row r="396" spans="1:12">
      <c r="A396" s="8" t="s">
        <v>20</v>
      </c>
      <c r="J396" s="332" t="e">
        <f t="shared" si="18"/>
        <v>#REF!</v>
      </c>
      <c r="K396" s="332" t="str">
        <f t="shared" si="19"/>
        <v/>
      </c>
      <c r="L396" s="332" t="str">
        <f t="shared" si="20"/>
        <v/>
      </c>
    </row>
    <row r="397" spans="1:12">
      <c r="A397" s="8" t="s">
        <v>20</v>
      </c>
      <c r="J397" s="332" t="e">
        <f t="shared" si="18"/>
        <v>#REF!</v>
      </c>
      <c r="K397" s="332" t="str">
        <f t="shared" si="19"/>
        <v/>
      </c>
      <c r="L397" s="332" t="str">
        <f t="shared" si="20"/>
        <v/>
      </c>
    </row>
    <row r="398" spans="1:12">
      <c r="A398" s="8" t="s">
        <v>20</v>
      </c>
      <c r="J398" s="332" t="e">
        <f t="shared" si="18"/>
        <v>#REF!</v>
      </c>
      <c r="K398" s="332" t="str">
        <f t="shared" si="19"/>
        <v/>
      </c>
      <c r="L398" s="332" t="str">
        <f t="shared" si="20"/>
        <v/>
      </c>
    </row>
    <row r="399" spans="1:12">
      <c r="A399" s="8" t="s">
        <v>20</v>
      </c>
      <c r="J399" s="332" t="e">
        <f t="shared" si="18"/>
        <v>#REF!</v>
      </c>
      <c r="K399" s="332" t="str">
        <f t="shared" si="19"/>
        <v/>
      </c>
      <c r="L399" s="332" t="str">
        <f t="shared" si="20"/>
        <v/>
      </c>
    </row>
    <row r="400" spans="1:12">
      <c r="A400" s="8" t="s">
        <v>20</v>
      </c>
      <c r="J400" s="332" t="e">
        <f t="shared" si="18"/>
        <v>#REF!</v>
      </c>
      <c r="K400" s="332" t="str">
        <f t="shared" si="19"/>
        <v/>
      </c>
      <c r="L400" s="332" t="str">
        <f t="shared" si="20"/>
        <v/>
      </c>
    </row>
    <row r="401" spans="1:12">
      <c r="A401" s="8" t="s">
        <v>20</v>
      </c>
      <c r="J401" s="332" t="e">
        <f t="shared" si="18"/>
        <v>#REF!</v>
      </c>
      <c r="K401" s="332" t="str">
        <f t="shared" si="19"/>
        <v/>
      </c>
      <c r="L401" s="332" t="str">
        <f t="shared" si="20"/>
        <v/>
      </c>
    </row>
    <row r="402" spans="1:12">
      <c r="A402" s="8" t="s">
        <v>20</v>
      </c>
      <c r="J402" s="332" t="e">
        <f t="shared" si="18"/>
        <v>#REF!</v>
      </c>
      <c r="K402" s="332" t="str">
        <f t="shared" si="19"/>
        <v/>
      </c>
      <c r="L402" s="332" t="str">
        <f t="shared" si="20"/>
        <v/>
      </c>
    </row>
    <row r="403" spans="1:12">
      <c r="A403" s="8" t="s">
        <v>20</v>
      </c>
      <c r="J403" s="332" t="e">
        <f t="shared" si="18"/>
        <v>#REF!</v>
      </c>
      <c r="K403" s="332" t="str">
        <f t="shared" si="19"/>
        <v/>
      </c>
      <c r="L403" s="332" t="str">
        <f t="shared" si="20"/>
        <v/>
      </c>
    </row>
    <row r="404" spans="1:12">
      <c r="A404" s="8" t="s">
        <v>20</v>
      </c>
      <c r="J404" s="332" t="e">
        <f t="shared" si="18"/>
        <v>#REF!</v>
      </c>
      <c r="K404" s="332" t="str">
        <f t="shared" si="19"/>
        <v/>
      </c>
      <c r="L404" s="332" t="str">
        <f t="shared" si="20"/>
        <v/>
      </c>
    </row>
    <row r="405" spans="1:12">
      <c r="A405" s="8" t="s">
        <v>20</v>
      </c>
      <c r="J405" s="332" t="e">
        <f t="shared" si="18"/>
        <v>#REF!</v>
      </c>
      <c r="K405" s="332" t="str">
        <f t="shared" si="19"/>
        <v/>
      </c>
      <c r="L405" s="332" t="str">
        <f t="shared" si="20"/>
        <v/>
      </c>
    </row>
    <row r="406" spans="1:12">
      <c r="A406" s="8"/>
      <c r="J406" s="332" t="e">
        <f t="shared" ref="J406:J469" si="21">IF(OR(A408="Devizy",J405="Devizy"),"Devizy","")</f>
        <v>#REF!</v>
      </c>
      <c r="K406" s="332" t="str">
        <f t="shared" si="19"/>
        <v/>
      </c>
      <c r="L406" s="332" t="str">
        <f t="shared" si="20"/>
        <v/>
      </c>
    </row>
    <row r="407" spans="1:12">
      <c r="A407" s="8" t="s">
        <v>20</v>
      </c>
      <c r="J407" s="332" t="e">
        <f t="shared" si="21"/>
        <v>#REF!</v>
      </c>
      <c r="K407" s="332" t="str">
        <f t="shared" ref="K407:K470" si="22">IFERROR(IF(AND(J407="Devizy",FIND("Nakupujeme ",A408)=1),RIGHT(A408,7),""),"")</f>
        <v/>
      </c>
      <c r="L407" s="332" t="str">
        <f t="shared" si="20"/>
        <v/>
      </c>
    </row>
    <row r="408" spans="1:12">
      <c r="A408" s="8" t="s">
        <v>20</v>
      </c>
      <c r="J408" s="332" t="e">
        <f t="shared" si="21"/>
        <v>#REF!</v>
      </c>
      <c r="K408" s="332" t="str">
        <f t="shared" si="22"/>
        <v/>
      </c>
      <c r="L408" s="332" t="str">
        <f t="shared" si="20"/>
        <v/>
      </c>
    </row>
    <row r="409" spans="1:12">
      <c r="A409" s="8" t="s">
        <v>20</v>
      </c>
      <c r="J409" s="332" t="e">
        <f t="shared" si="21"/>
        <v>#REF!</v>
      </c>
      <c r="K409" s="332" t="str">
        <f t="shared" si="22"/>
        <v/>
      </c>
      <c r="L409" s="332" t="str">
        <f t="shared" si="20"/>
        <v/>
      </c>
    </row>
    <row r="410" spans="1:12">
      <c r="A410" s="8" t="s">
        <v>20</v>
      </c>
      <c r="J410" s="332" t="e">
        <f t="shared" si="21"/>
        <v>#REF!</v>
      </c>
      <c r="K410" s="332" t="str">
        <f t="shared" si="22"/>
        <v/>
      </c>
      <c r="L410" s="332" t="str">
        <f t="shared" si="20"/>
        <v/>
      </c>
    </row>
    <row r="411" spans="1:12">
      <c r="A411" s="8" t="s">
        <v>20</v>
      </c>
      <c r="J411" s="332" t="e">
        <f t="shared" si="21"/>
        <v>#REF!</v>
      </c>
      <c r="K411" s="332" t="str">
        <f t="shared" si="22"/>
        <v/>
      </c>
      <c r="L411" s="332" t="str">
        <f t="shared" si="20"/>
        <v/>
      </c>
    </row>
    <row r="412" spans="1:12">
      <c r="A412" s="8" t="s">
        <v>20</v>
      </c>
      <c r="J412" s="332" t="e">
        <f t="shared" si="21"/>
        <v>#REF!</v>
      </c>
      <c r="K412" s="332" t="str">
        <f t="shared" si="22"/>
        <v/>
      </c>
      <c r="L412" s="332" t="str">
        <f t="shared" si="20"/>
        <v/>
      </c>
    </row>
    <row r="413" spans="1:12">
      <c r="A413" s="8" t="s">
        <v>20</v>
      </c>
      <c r="J413" s="332" t="e">
        <f t="shared" si="21"/>
        <v>#REF!</v>
      </c>
      <c r="K413" s="332" t="str">
        <f t="shared" si="22"/>
        <v/>
      </c>
      <c r="L413" s="332" t="str">
        <f t="shared" si="20"/>
        <v/>
      </c>
    </row>
    <row r="414" spans="1:12">
      <c r="A414" s="8" t="s">
        <v>20</v>
      </c>
      <c r="J414" s="332" t="e">
        <f t="shared" si="21"/>
        <v>#REF!</v>
      </c>
      <c r="K414" s="332" t="str">
        <f t="shared" si="22"/>
        <v/>
      </c>
      <c r="L414" s="332" t="str">
        <f t="shared" si="20"/>
        <v/>
      </c>
    </row>
    <row r="415" spans="1:12">
      <c r="A415" s="8" t="s">
        <v>20</v>
      </c>
      <c r="J415" s="332" t="e">
        <f t="shared" si="21"/>
        <v>#REF!</v>
      </c>
      <c r="K415" s="332" t="str">
        <f t="shared" si="22"/>
        <v/>
      </c>
      <c r="L415" s="332" t="str">
        <f t="shared" si="20"/>
        <v/>
      </c>
    </row>
    <row r="416" spans="1:12">
      <c r="A416" s="8" t="s">
        <v>20</v>
      </c>
      <c r="J416" s="332" t="e">
        <f t="shared" si="21"/>
        <v>#REF!</v>
      </c>
      <c r="K416" s="332" t="str">
        <f t="shared" si="22"/>
        <v/>
      </c>
      <c r="L416" s="332" t="str">
        <f t="shared" si="20"/>
        <v/>
      </c>
    </row>
    <row r="417" spans="1:12">
      <c r="A417" s="8" t="s">
        <v>20</v>
      </c>
      <c r="J417" s="332" t="e">
        <f t="shared" si="21"/>
        <v>#REF!</v>
      </c>
      <c r="K417" s="332" t="str">
        <f t="shared" si="22"/>
        <v/>
      </c>
      <c r="L417" s="332" t="str">
        <f t="shared" si="20"/>
        <v/>
      </c>
    </row>
    <row r="418" spans="1:12">
      <c r="A418" s="8" t="s">
        <v>20</v>
      </c>
      <c r="J418" s="332" t="e">
        <f t="shared" si="21"/>
        <v>#REF!</v>
      </c>
      <c r="K418" s="332" t="str">
        <f t="shared" si="22"/>
        <v/>
      </c>
      <c r="L418" s="332" t="str">
        <f t="shared" si="20"/>
        <v/>
      </c>
    </row>
    <row r="419" spans="1:12">
      <c r="A419" s="8" t="s">
        <v>20</v>
      </c>
      <c r="J419" s="332" t="e">
        <f t="shared" si="21"/>
        <v>#REF!</v>
      </c>
      <c r="K419" s="332" t="str">
        <f t="shared" si="22"/>
        <v/>
      </c>
      <c r="L419" s="332" t="str">
        <f t="shared" si="20"/>
        <v/>
      </c>
    </row>
    <row r="420" spans="1:12">
      <c r="A420" s="8" t="s">
        <v>20</v>
      </c>
      <c r="J420" s="332" t="e">
        <f t="shared" si="21"/>
        <v>#REF!</v>
      </c>
      <c r="K420" s="332" t="str">
        <f t="shared" si="22"/>
        <v/>
      </c>
      <c r="L420" s="332" t="str">
        <f t="shared" si="20"/>
        <v/>
      </c>
    </row>
    <row r="421" spans="1:12">
      <c r="A421" s="8" t="s">
        <v>20</v>
      </c>
      <c r="J421" s="332" t="e">
        <f t="shared" si="21"/>
        <v>#REF!</v>
      </c>
      <c r="K421" s="332" t="str">
        <f t="shared" si="22"/>
        <v/>
      </c>
      <c r="L421" s="332" t="str">
        <f t="shared" si="20"/>
        <v/>
      </c>
    </row>
    <row r="422" spans="1:12">
      <c r="A422" s="8" t="s">
        <v>20</v>
      </c>
      <c r="J422" s="332" t="e">
        <f t="shared" si="21"/>
        <v>#REF!</v>
      </c>
      <c r="K422" s="332" t="str">
        <f t="shared" si="22"/>
        <v/>
      </c>
      <c r="L422" s="332" t="str">
        <f t="shared" si="20"/>
        <v/>
      </c>
    </row>
    <row r="423" spans="1:12">
      <c r="A423" s="8"/>
      <c r="J423" s="332" t="e">
        <f t="shared" si="21"/>
        <v>#REF!</v>
      </c>
      <c r="K423" s="332" t="str">
        <f t="shared" si="22"/>
        <v/>
      </c>
      <c r="L423" s="332" t="str">
        <f t="shared" si="20"/>
        <v/>
      </c>
    </row>
    <row r="424" spans="1:12">
      <c r="A424" s="8" t="s">
        <v>20</v>
      </c>
      <c r="J424" s="332" t="e">
        <f t="shared" si="21"/>
        <v>#REF!</v>
      </c>
      <c r="K424" s="332" t="str">
        <f t="shared" si="22"/>
        <v/>
      </c>
      <c r="L424" s="332" t="str">
        <f t="shared" si="20"/>
        <v/>
      </c>
    </row>
    <row r="425" spans="1:12">
      <c r="A425" s="8" t="s">
        <v>20</v>
      </c>
      <c r="J425" s="332" t="e">
        <f t="shared" si="21"/>
        <v>#REF!</v>
      </c>
      <c r="K425" s="332" t="str">
        <f t="shared" si="22"/>
        <v/>
      </c>
      <c r="L425" s="332" t="str">
        <f t="shared" si="20"/>
        <v/>
      </c>
    </row>
    <row r="426" spans="1:12">
      <c r="A426" s="8" t="s">
        <v>20</v>
      </c>
      <c r="J426" s="332" t="e">
        <f t="shared" si="21"/>
        <v>#REF!</v>
      </c>
      <c r="K426" s="332" t="str">
        <f t="shared" si="22"/>
        <v/>
      </c>
      <c r="L426" s="332" t="str">
        <f t="shared" si="20"/>
        <v/>
      </c>
    </row>
    <row r="427" spans="1:12">
      <c r="A427" s="8" t="s">
        <v>20</v>
      </c>
      <c r="J427" s="332" t="e">
        <f t="shared" si="21"/>
        <v>#REF!</v>
      </c>
      <c r="K427" s="332" t="str">
        <f t="shared" si="22"/>
        <v/>
      </c>
      <c r="L427" s="332" t="str">
        <f t="shared" si="20"/>
        <v/>
      </c>
    </row>
    <row r="428" spans="1:12">
      <c r="A428" s="8" t="s">
        <v>20</v>
      </c>
      <c r="J428" s="332" t="e">
        <f t="shared" si="21"/>
        <v>#REF!</v>
      </c>
      <c r="K428" s="332" t="str">
        <f t="shared" si="22"/>
        <v/>
      </c>
      <c r="L428" s="332" t="str">
        <f t="shared" si="20"/>
        <v/>
      </c>
    </row>
    <row r="429" spans="1:12">
      <c r="A429" s="8" t="s">
        <v>20</v>
      </c>
      <c r="J429" s="332" t="e">
        <f t="shared" si="21"/>
        <v>#REF!</v>
      </c>
      <c r="K429" s="332" t="str">
        <f t="shared" si="22"/>
        <v/>
      </c>
      <c r="L429" s="332" t="str">
        <f t="shared" si="20"/>
        <v/>
      </c>
    </row>
    <row r="430" spans="1:12">
      <c r="A430" s="8" t="s">
        <v>20</v>
      </c>
      <c r="J430" s="332" t="e">
        <f t="shared" si="21"/>
        <v>#REF!</v>
      </c>
      <c r="K430" s="332" t="str">
        <f t="shared" si="22"/>
        <v/>
      </c>
      <c r="L430" s="332" t="str">
        <f t="shared" si="20"/>
        <v/>
      </c>
    </row>
    <row r="431" spans="1:12">
      <c r="A431" s="8" t="s">
        <v>20</v>
      </c>
      <c r="J431" s="332" t="e">
        <f t="shared" si="21"/>
        <v>#REF!</v>
      </c>
      <c r="K431" s="332" t="str">
        <f t="shared" si="22"/>
        <v/>
      </c>
      <c r="L431" s="332" t="str">
        <f t="shared" si="20"/>
        <v/>
      </c>
    </row>
    <row r="432" spans="1:12">
      <c r="A432" s="8" t="s">
        <v>20</v>
      </c>
      <c r="J432" s="332" t="e">
        <f t="shared" si="21"/>
        <v>#REF!</v>
      </c>
      <c r="K432" s="332" t="str">
        <f t="shared" si="22"/>
        <v/>
      </c>
      <c r="L432" s="332" t="str">
        <f t="shared" si="20"/>
        <v/>
      </c>
    </row>
    <row r="433" spans="1:12">
      <c r="A433" s="8" t="s">
        <v>20</v>
      </c>
      <c r="J433" s="332" t="e">
        <f t="shared" si="21"/>
        <v>#REF!</v>
      </c>
      <c r="K433" s="332" t="str">
        <f t="shared" si="22"/>
        <v/>
      </c>
      <c r="L433" s="332" t="str">
        <f t="shared" si="20"/>
        <v/>
      </c>
    </row>
    <row r="434" spans="1:12">
      <c r="A434" s="8" t="s">
        <v>20</v>
      </c>
      <c r="J434" s="332" t="e">
        <f t="shared" si="21"/>
        <v>#REF!</v>
      </c>
      <c r="K434" s="332" t="str">
        <f t="shared" si="22"/>
        <v/>
      </c>
      <c r="L434" s="332" t="str">
        <f t="shared" si="20"/>
        <v/>
      </c>
    </row>
    <row r="435" spans="1:12">
      <c r="A435" s="8" t="s">
        <v>20</v>
      </c>
      <c r="J435" s="332" t="e">
        <f t="shared" si="21"/>
        <v>#REF!</v>
      </c>
      <c r="K435" s="332" t="str">
        <f t="shared" si="22"/>
        <v/>
      </c>
      <c r="L435" s="332" t="str">
        <f t="shared" si="20"/>
        <v/>
      </c>
    </row>
    <row r="436" spans="1:12">
      <c r="A436" s="8" t="s">
        <v>20</v>
      </c>
      <c r="J436" s="332" t="e">
        <f t="shared" si="21"/>
        <v>#REF!</v>
      </c>
      <c r="K436" s="332" t="str">
        <f t="shared" si="22"/>
        <v/>
      </c>
      <c r="L436" s="332" t="str">
        <f t="shared" si="20"/>
        <v/>
      </c>
    </row>
    <row r="437" spans="1:12">
      <c r="A437" s="8" t="s">
        <v>20</v>
      </c>
      <c r="J437" s="332" t="e">
        <f t="shared" si="21"/>
        <v>#REF!</v>
      </c>
      <c r="K437" s="332" t="str">
        <f t="shared" si="22"/>
        <v/>
      </c>
      <c r="L437" s="332" t="str">
        <f t="shared" si="20"/>
        <v/>
      </c>
    </row>
    <row r="438" spans="1:12">
      <c r="A438" s="8" t="s">
        <v>20</v>
      </c>
      <c r="J438" s="332" t="e">
        <f t="shared" si="21"/>
        <v>#REF!</v>
      </c>
      <c r="K438" s="332" t="str">
        <f t="shared" si="22"/>
        <v/>
      </c>
      <c r="L438" s="332" t="str">
        <f t="shared" si="20"/>
        <v/>
      </c>
    </row>
    <row r="439" spans="1:12">
      <c r="A439" s="8" t="s">
        <v>20</v>
      </c>
      <c r="J439" s="332" t="e">
        <f t="shared" si="21"/>
        <v>#REF!</v>
      </c>
      <c r="K439" s="332" t="str">
        <f t="shared" si="22"/>
        <v/>
      </c>
      <c r="L439" s="332" t="str">
        <f t="shared" si="20"/>
        <v/>
      </c>
    </row>
    <row r="440" spans="1:12">
      <c r="A440" s="8" t="s">
        <v>20</v>
      </c>
      <c r="J440" s="332" t="e">
        <f t="shared" si="21"/>
        <v>#REF!</v>
      </c>
      <c r="K440" s="332" t="str">
        <f t="shared" si="22"/>
        <v/>
      </c>
      <c r="L440" s="332" t="str">
        <f t="shared" si="20"/>
        <v/>
      </c>
    </row>
    <row r="441" spans="1:12">
      <c r="A441" s="8" t="s">
        <v>20</v>
      </c>
      <c r="J441" s="332" t="e">
        <f t="shared" si="21"/>
        <v>#REF!</v>
      </c>
      <c r="K441" s="332" t="str">
        <f t="shared" si="22"/>
        <v/>
      </c>
      <c r="L441" s="332" t="str">
        <f t="shared" si="20"/>
        <v/>
      </c>
    </row>
    <row r="442" spans="1:12">
      <c r="A442" s="8"/>
      <c r="J442" s="332" t="e">
        <f t="shared" si="21"/>
        <v>#REF!</v>
      </c>
      <c r="K442" s="332" t="str">
        <f t="shared" si="22"/>
        <v/>
      </c>
      <c r="L442" s="332" t="str">
        <f t="shared" si="20"/>
        <v/>
      </c>
    </row>
    <row r="443" spans="1:12">
      <c r="A443" s="8" t="s">
        <v>20</v>
      </c>
      <c r="J443" s="332" t="e">
        <f t="shared" si="21"/>
        <v>#REF!</v>
      </c>
      <c r="K443" s="332" t="str">
        <f t="shared" si="22"/>
        <v/>
      </c>
      <c r="L443" s="332" t="str">
        <f t="shared" si="20"/>
        <v/>
      </c>
    </row>
    <row r="444" spans="1:12">
      <c r="A444" s="8" t="s">
        <v>20</v>
      </c>
      <c r="J444" s="332" t="e">
        <f t="shared" si="21"/>
        <v>#REF!</v>
      </c>
      <c r="K444" s="332" t="str">
        <f t="shared" si="22"/>
        <v/>
      </c>
      <c r="L444" s="332" t="str">
        <f t="shared" si="20"/>
        <v/>
      </c>
    </row>
    <row r="445" spans="1:12">
      <c r="A445" s="8" t="s">
        <v>20</v>
      </c>
      <c r="J445" s="332" t="e">
        <f t="shared" si="21"/>
        <v>#REF!</v>
      </c>
      <c r="K445" s="332" t="str">
        <f t="shared" si="22"/>
        <v/>
      </c>
      <c r="L445" s="332" t="str">
        <f t="shared" si="20"/>
        <v/>
      </c>
    </row>
    <row r="446" spans="1:12">
      <c r="A446" s="8" t="s">
        <v>20</v>
      </c>
      <c r="J446" s="332" t="e">
        <f t="shared" si="21"/>
        <v>#REF!</v>
      </c>
      <c r="K446" s="332" t="str">
        <f t="shared" si="22"/>
        <v/>
      </c>
      <c r="L446" s="332" t="str">
        <f t="shared" si="20"/>
        <v/>
      </c>
    </row>
    <row r="447" spans="1:12">
      <c r="A447" s="8" t="s">
        <v>20</v>
      </c>
      <c r="J447" s="332" t="e">
        <f t="shared" si="21"/>
        <v>#REF!</v>
      </c>
      <c r="K447" s="332" t="str">
        <f t="shared" si="22"/>
        <v/>
      </c>
      <c r="L447" s="332" t="str">
        <f t="shared" si="20"/>
        <v/>
      </c>
    </row>
    <row r="448" spans="1:12">
      <c r="A448" s="8" t="s">
        <v>20</v>
      </c>
      <c r="J448" s="332" t="e">
        <f t="shared" si="21"/>
        <v>#REF!</v>
      </c>
      <c r="K448" s="332" t="str">
        <f t="shared" si="22"/>
        <v/>
      </c>
      <c r="L448" s="332" t="str">
        <f t="shared" si="20"/>
        <v/>
      </c>
    </row>
    <row r="449" spans="1:12">
      <c r="A449" s="8" t="s">
        <v>20</v>
      </c>
      <c r="J449" s="332" t="e">
        <f t="shared" si="21"/>
        <v>#REF!</v>
      </c>
      <c r="K449" s="332" t="str">
        <f t="shared" si="22"/>
        <v/>
      </c>
      <c r="L449" s="332" t="str">
        <f t="shared" si="20"/>
        <v/>
      </c>
    </row>
    <row r="450" spans="1:12">
      <c r="A450" s="8"/>
      <c r="J450" s="332" t="e">
        <f t="shared" si="21"/>
        <v>#REF!</v>
      </c>
      <c r="K450" s="332" t="str">
        <f t="shared" si="22"/>
        <v/>
      </c>
      <c r="L450" s="332" t="str">
        <f t="shared" si="20"/>
        <v/>
      </c>
    </row>
    <row r="451" spans="1:12">
      <c r="A451" s="8" t="s">
        <v>20</v>
      </c>
      <c r="J451" s="332" t="e">
        <f t="shared" si="21"/>
        <v>#REF!</v>
      </c>
      <c r="K451" s="332" t="str">
        <f t="shared" si="22"/>
        <v/>
      </c>
      <c r="L451" s="332" t="str">
        <f t="shared" si="20"/>
        <v/>
      </c>
    </row>
    <row r="452" spans="1:12">
      <c r="A452" s="8"/>
      <c r="J452" s="332" t="e">
        <f t="shared" si="21"/>
        <v>#REF!</v>
      </c>
      <c r="K452" s="332" t="str">
        <f t="shared" si="22"/>
        <v/>
      </c>
      <c r="L452" s="332" t="str">
        <f t="shared" si="20"/>
        <v/>
      </c>
    </row>
    <row r="453" spans="1:12">
      <c r="A453" s="8" t="s">
        <v>20</v>
      </c>
      <c r="J453" s="332" t="e">
        <f t="shared" si="21"/>
        <v>#REF!</v>
      </c>
      <c r="K453" s="332" t="str">
        <f t="shared" si="22"/>
        <v/>
      </c>
      <c r="L453" s="332" t="str">
        <f t="shared" ref="L453:L516" si="23">IFERROR(K453+M453,"")</f>
        <v/>
      </c>
    </row>
    <row r="454" spans="1:12">
      <c r="A454" s="8" t="s">
        <v>20</v>
      </c>
      <c r="J454" s="332" t="e">
        <f t="shared" si="21"/>
        <v>#REF!</v>
      </c>
      <c r="K454" s="332" t="str">
        <f t="shared" si="22"/>
        <v/>
      </c>
      <c r="L454" s="332" t="str">
        <f t="shared" si="23"/>
        <v/>
      </c>
    </row>
    <row r="455" spans="1:12">
      <c r="A455" s="8" t="s">
        <v>20</v>
      </c>
      <c r="J455" s="332" t="e">
        <f t="shared" si="21"/>
        <v>#REF!</v>
      </c>
      <c r="K455" s="332" t="str">
        <f t="shared" si="22"/>
        <v/>
      </c>
      <c r="L455" s="332" t="str">
        <f t="shared" si="23"/>
        <v/>
      </c>
    </row>
    <row r="456" spans="1:12">
      <c r="A456" s="8" t="s">
        <v>20</v>
      </c>
      <c r="J456" s="332" t="e">
        <f t="shared" si="21"/>
        <v>#REF!</v>
      </c>
      <c r="K456" s="332" t="str">
        <f t="shared" si="22"/>
        <v/>
      </c>
      <c r="L456" s="332" t="str">
        <f t="shared" si="23"/>
        <v/>
      </c>
    </row>
    <row r="457" spans="1:12">
      <c r="A457" s="8" t="s">
        <v>20</v>
      </c>
      <c r="J457" s="332" t="e">
        <f t="shared" si="21"/>
        <v>#REF!</v>
      </c>
      <c r="K457" s="332" t="str">
        <f t="shared" si="22"/>
        <v/>
      </c>
      <c r="L457" s="332" t="str">
        <f t="shared" si="23"/>
        <v/>
      </c>
    </row>
    <row r="458" spans="1:12">
      <c r="A458" s="8" t="s">
        <v>20</v>
      </c>
      <c r="J458" s="332" t="e">
        <f t="shared" si="21"/>
        <v>#REF!</v>
      </c>
      <c r="K458" s="332" t="str">
        <f t="shared" si="22"/>
        <v/>
      </c>
      <c r="L458" s="332" t="str">
        <f t="shared" si="23"/>
        <v/>
      </c>
    </row>
    <row r="459" spans="1:12">
      <c r="A459" s="8" t="s">
        <v>20</v>
      </c>
      <c r="J459" s="332" t="e">
        <f t="shared" si="21"/>
        <v>#REF!</v>
      </c>
      <c r="K459" s="332" t="str">
        <f t="shared" si="22"/>
        <v/>
      </c>
      <c r="L459" s="332" t="str">
        <f t="shared" si="23"/>
        <v/>
      </c>
    </row>
    <row r="460" spans="1:12">
      <c r="A460" s="8" t="s">
        <v>20</v>
      </c>
      <c r="J460" s="332" t="e">
        <f t="shared" si="21"/>
        <v>#REF!</v>
      </c>
      <c r="K460" s="332" t="str">
        <f t="shared" si="22"/>
        <v/>
      </c>
      <c r="L460" s="332" t="str">
        <f t="shared" si="23"/>
        <v/>
      </c>
    </row>
    <row r="461" spans="1:12">
      <c r="A461" s="8" t="s">
        <v>20</v>
      </c>
      <c r="J461" s="332" t="e">
        <f t="shared" si="21"/>
        <v>#REF!</v>
      </c>
      <c r="K461" s="332" t="str">
        <f t="shared" si="22"/>
        <v/>
      </c>
      <c r="L461" s="332" t="str">
        <f t="shared" si="23"/>
        <v/>
      </c>
    </row>
    <row r="462" spans="1:12">
      <c r="A462" s="8" t="s">
        <v>20</v>
      </c>
      <c r="J462" s="332" t="e">
        <f t="shared" si="21"/>
        <v>#REF!</v>
      </c>
      <c r="K462" s="332" t="str">
        <f t="shared" si="22"/>
        <v/>
      </c>
      <c r="L462" s="332" t="str">
        <f t="shared" si="23"/>
        <v/>
      </c>
    </row>
    <row r="463" spans="1:12">
      <c r="A463" s="8" t="s">
        <v>20</v>
      </c>
      <c r="J463" s="332" t="e">
        <f t="shared" si="21"/>
        <v>#REF!</v>
      </c>
      <c r="K463" s="332" t="str">
        <f t="shared" si="22"/>
        <v/>
      </c>
      <c r="L463" s="332" t="str">
        <f t="shared" si="23"/>
        <v/>
      </c>
    </row>
    <row r="464" spans="1:12">
      <c r="A464" s="8"/>
      <c r="J464" s="332" t="e">
        <f t="shared" si="21"/>
        <v>#REF!</v>
      </c>
      <c r="K464" s="332" t="str">
        <f t="shared" si="22"/>
        <v/>
      </c>
      <c r="L464" s="332" t="str">
        <f t="shared" si="23"/>
        <v/>
      </c>
    </row>
    <row r="465" spans="1:12">
      <c r="A465" s="8" t="s">
        <v>20</v>
      </c>
      <c r="J465" s="332" t="e">
        <f t="shared" si="21"/>
        <v>#REF!</v>
      </c>
      <c r="K465" s="332" t="str">
        <f t="shared" si="22"/>
        <v/>
      </c>
      <c r="L465" s="332" t="str">
        <f t="shared" si="23"/>
        <v/>
      </c>
    </row>
    <row r="466" spans="1:12">
      <c r="A466" s="8" t="s">
        <v>20</v>
      </c>
      <c r="J466" s="332" t="e">
        <f t="shared" si="21"/>
        <v>#REF!</v>
      </c>
      <c r="K466" s="332" t="str">
        <f t="shared" si="22"/>
        <v/>
      </c>
      <c r="L466" s="332" t="str">
        <f t="shared" si="23"/>
        <v/>
      </c>
    </row>
    <row r="467" spans="1:12">
      <c r="A467" s="8" t="s">
        <v>20</v>
      </c>
      <c r="J467" s="332" t="e">
        <f t="shared" si="21"/>
        <v>#REF!</v>
      </c>
      <c r="K467" s="332" t="str">
        <f t="shared" si="22"/>
        <v/>
      </c>
      <c r="L467" s="332" t="str">
        <f t="shared" si="23"/>
        <v/>
      </c>
    </row>
    <row r="468" spans="1:12">
      <c r="A468" s="8" t="s">
        <v>20</v>
      </c>
      <c r="J468" s="332" t="e">
        <f t="shared" si="21"/>
        <v>#REF!</v>
      </c>
      <c r="K468" s="332" t="str">
        <f t="shared" si="22"/>
        <v/>
      </c>
      <c r="L468" s="332" t="str">
        <f t="shared" si="23"/>
        <v/>
      </c>
    </row>
    <row r="469" spans="1:12">
      <c r="A469" s="8"/>
      <c r="J469" s="332" t="e">
        <f t="shared" si="21"/>
        <v>#REF!</v>
      </c>
      <c r="K469" s="332" t="str">
        <f t="shared" si="22"/>
        <v/>
      </c>
      <c r="L469" s="332" t="str">
        <f t="shared" si="23"/>
        <v/>
      </c>
    </row>
    <row r="470" spans="1:12">
      <c r="A470" s="8" t="s">
        <v>20</v>
      </c>
      <c r="J470" s="332" t="e">
        <f t="shared" ref="J470:J529" si="24">IF(OR(A472="Devizy",J469="Devizy"),"Devizy","")</f>
        <v>#REF!</v>
      </c>
      <c r="K470" s="332" t="str">
        <f t="shared" si="22"/>
        <v/>
      </c>
      <c r="L470" s="332" t="str">
        <f t="shared" si="23"/>
        <v/>
      </c>
    </row>
    <row r="471" spans="1:12">
      <c r="A471" s="8" t="s">
        <v>20</v>
      </c>
      <c r="J471" s="332" t="e">
        <f t="shared" si="24"/>
        <v>#REF!</v>
      </c>
      <c r="K471" s="332" t="str">
        <f t="shared" ref="K471:K529" si="25">IFERROR(IF(AND(J471="Devizy",FIND("Nakupujeme ",A472)=1),RIGHT(A472,7),""),"")</f>
        <v/>
      </c>
      <c r="L471" s="332" t="str">
        <f t="shared" si="23"/>
        <v/>
      </c>
    </row>
    <row r="472" spans="1:12">
      <c r="A472" s="8" t="s">
        <v>20</v>
      </c>
      <c r="J472" s="332" t="e">
        <f t="shared" si="24"/>
        <v>#REF!</v>
      </c>
      <c r="K472" s="332" t="str">
        <f t="shared" si="25"/>
        <v/>
      </c>
      <c r="L472" s="332" t="str">
        <f t="shared" si="23"/>
        <v/>
      </c>
    </row>
    <row r="473" spans="1:12">
      <c r="A473" s="8"/>
      <c r="J473" s="332" t="e">
        <f t="shared" si="24"/>
        <v>#REF!</v>
      </c>
      <c r="K473" s="332" t="str">
        <f t="shared" si="25"/>
        <v/>
      </c>
      <c r="L473" s="332" t="str">
        <f t="shared" si="23"/>
        <v/>
      </c>
    </row>
    <row r="474" spans="1:12">
      <c r="A474" s="8" t="s">
        <v>20</v>
      </c>
      <c r="J474" s="332" t="e">
        <f t="shared" si="24"/>
        <v>#REF!</v>
      </c>
      <c r="K474" s="332" t="str">
        <f t="shared" si="25"/>
        <v/>
      </c>
      <c r="L474" s="332" t="str">
        <f t="shared" si="23"/>
        <v/>
      </c>
    </row>
    <row r="475" spans="1:12">
      <c r="A475" s="8"/>
      <c r="J475" s="332" t="e">
        <f t="shared" si="24"/>
        <v>#REF!</v>
      </c>
      <c r="K475" s="332" t="str">
        <f t="shared" si="25"/>
        <v/>
      </c>
      <c r="L475" s="332" t="str">
        <f t="shared" si="23"/>
        <v/>
      </c>
    </row>
    <row r="476" spans="1:12">
      <c r="A476" s="8" t="s">
        <v>20</v>
      </c>
      <c r="J476" s="332" t="e">
        <f t="shared" si="24"/>
        <v>#REF!</v>
      </c>
      <c r="K476" s="332" t="str">
        <f t="shared" si="25"/>
        <v/>
      </c>
      <c r="L476" s="332" t="str">
        <f t="shared" si="23"/>
        <v/>
      </c>
    </row>
    <row r="477" spans="1:12">
      <c r="A477" s="8" t="s">
        <v>20</v>
      </c>
      <c r="J477" s="332" t="e">
        <f t="shared" si="24"/>
        <v>#REF!</v>
      </c>
      <c r="K477" s="332" t="str">
        <f t="shared" si="25"/>
        <v/>
      </c>
      <c r="L477" s="332" t="str">
        <f t="shared" si="23"/>
        <v/>
      </c>
    </row>
    <row r="478" spans="1:12">
      <c r="A478" s="8" t="s">
        <v>20</v>
      </c>
      <c r="J478" s="332" t="e">
        <f t="shared" si="24"/>
        <v>#REF!</v>
      </c>
      <c r="K478" s="332" t="str">
        <f t="shared" si="25"/>
        <v/>
      </c>
      <c r="L478" s="332" t="str">
        <f t="shared" si="23"/>
        <v/>
      </c>
    </row>
    <row r="479" spans="1:12">
      <c r="A479" s="8" t="s">
        <v>20</v>
      </c>
      <c r="J479" s="332" t="e">
        <f t="shared" si="24"/>
        <v>#REF!</v>
      </c>
      <c r="K479" s="332" t="str">
        <f t="shared" si="25"/>
        <v/>
      </c>
      <c r="L479" s="332" t="str">
        <f t="shared" si="23"/>
        <v/>
      </c>
    </row>
    <row r="480" spans="1:12">
      <c r="A480" s="8" t="s">
        <v>20</v>
      </c>
      <c r="J480" s="332" t="e">
        <f t="shared" si="24"/>
        <v>#REF!</v>
      </c>
      <c r="K480" s="332" t="str">
        <f t="shared" si="25"/>
        <v/>
      </c>
      <c r="L480" s="332" t="str">
        <f t="shared" si="23"/>
        <v/>
      </c>
    </row>
    <row r="481" spans="1:12">
      <c r="A481" s="8"/>
      <c r="J481" s="332" t="e">
        <f t="shared" si="24"/>
        <v>#REF!</v>
      </c>
      <c r="K481" s="332" t="str">
        <f t="shared" si="25"/>
        <v/>
      </c>
      <c r="L481" s="332" t="str">
        <f t="shared" si="23"/>
        <v/>
      </c>
    </row>
    <row r="482" spans="1:12">
      <c r="A482" s="8" t="s">
        <v>20</v>
      </c>
      <c r="J482" s="332" t="e">
        <f t="shared" si="24"/>
        <v>#REF!</v>
      </c>
      <c r="K482" s="332" t="str">
        <f t="shared" si="25"/>
        <v/>
      </c>
      <c r="L482" s="332" t="str">
        <f t="shared" si="23"/>
        <v/>
      </c>
    </row>
    <row r="483" spans="1:12">
      <c r="A483" s="8" t="s">
        <v>20</v>
      </c>
      <c r="J483" s="332" t="e">
        <f t="shared" si="24"/>
        <v>#REF!</v>
      </c>
      <c r="K483" s="332" t="str">
        <f t="shared" si="25"/>
        <v/>
      </c>
      <c r="L483" s="332" t="str">
        <f t="shared" si="23"/>
        <v/>
      </c>
    </row>
    <row r="484" spans="1:12">
      <c r="A484" s="8" t="s">
        <v>20</v>
      </c>
      <c r="J484" s="332" t="e">
        <f t="shared" si="24"/>
        <v>#REF!</v>
      </c>
      <c r="K484" s="332" t="str">
        <f t="shared" si="25"/>
        <v/>
      </c>
      <c r="L484" s="332" t="str">
        <f t="shared" si="23"/>
        <v/>
      </c>
    </row>
    <row r="485" spans="1:12">
      <c r="A485" s="8" t="s">
        <v>20</v>
      </c>
      <c r="J485" s="332" t="e">
        <f t="shared" si="24"/>
        <v>#REF!</v>
      </c>
      <c r="K485" s="332" t="str">
        <f t="shared" si="25"/>
        <v/>
      </c>
      <c r="L485" s="332" t="str">
        <f t="shared" si="23"/>
        <v/>
      </c>
    </row>
    <row r="486" spans="1:12">
      <c r="A486" s="8" t="s">
        <v>20</v>
      </c>
      <c r="J486" s="332" t="e">
        <f t="shared" si="24"/>
        <v>#REF!</v>
      </c>
      <c r="K486" s="332" t="str">
        <f t="shared" si="25"/>
        <v/>
      </c>
      <c r="L486" s="332" t="str">
        <f t="shared" si="23"/>
        <v/>
      </c>
    </row>
    <row r="487" spans="1:12">
      <c r="A487" s="8"/>
      <c r="J487" s="332" t="e">
        <f t="shared" si="24"/>
        <v>#REF!</v>
      </c>
      <c r="K487" s="332" t="str">
        <f t="shared" si="25"/>
        <v/>
      </c>
      <c r="L487" s="332" t="str">
        <f t="shared" si="23"/>
        <v/>
      </c>
    </row>
    <row r="488" spans="1:12">
      <c r="A488" s="8" t="s">
        <v>20</v>
      </c>
      <c r="J488" s="332" t="e">
        <f t="shared" si="24"/>
        <v>#REF!</v>
      </c>
      <c r="K488" s="332" t="str">
        <f t="shared" si="25"/>
        <v/>
      </c>
      <c r="L488" s="332" t="str">
        <f t="shared" si="23"/>
        <v/>
      </c>
    </row>
    <row r="489" spans="1:12">
      <c r="A489" s="8" t="s">
        <v>20</v>
      </c>
      <c r="J489" s="332" t="e">
        <f t="shared" si="24"/>
        <v>#REF!</v>
      </c>
      <c r="K489" s="332" t="str">
        <f t="shared" si="25"/>
        <v/>
      </c>
      <c r="L489" s="332" t="str">
        <f t="shared" si="23"/>
        <v/>
      </c>
    </row>
    <row r="490" spans="1:12">
      <c r="A490" s="8"/>
      <c r="J490" s="332" t="e">
        <f t="shared" si="24"/>
        <v>#REF!</v>
      </c>
      <c r="K490" s="332" t="str">
        <f t="shared" si="25"/>
        <v/>
      </c>
      <c r="L490" s="332" t="str">
        <f t="shared" si="23"/>
        <v/>
      </c>
    </row>
    <row r="491" spans="1:12">
      <c r="A491" s="8" t="s">
        <v>20</v>
      </c>
      <c r="J491" s="332" t="e">
        <f t="shared" si="24"/>
        <v>#REF!</v>
      </c>
      <c r="K491" s="332" t="str">
        <f t="shared" si="25"/>
        <v/>
      </c>
      <c r="L491" s="332" t="str">
        <f t="shared" si="23"/>
        <v/>
      </c>
    </row>
    <row r="492" spans="1:12">
      <c r="A492" s="8" t="s">
        <v>20</v>
      </c>
      <c r="J492" s="332" t="e">
        <f t="shared" si="24"/>
        <v>#REF!</v>
      </c>
      <c r="K492" s="332" t="str">
        <f t="shared" si="25"/>
        <v/>
      </c>
      <c r="L492" s="332" t="str">
        <f t="shared" si="23"/>
        <v/>
      </c>
    </row>
    <row r="493" spans="1:12">
      <c r="A493" s="8" t="s">
        <v>20</v>
      </c>
      <c r="J493" s="332" t="e">
        <f t="shared" si="24"/>
        <v>#REF!</v>
      </c>
      <c r="K493" s="332" t="str">
        <f t="shared" si="25"/>
        <v/>
      </c>
      <c r="L493" s="332" t="str">
        <f t="shared" si="23"/>
        <v/>
      </c>
    </row>
    <row r="494" spans="1:12">
      <c r="A494" s="8"/>
      <c r="J494" s="332" t="e">
        <f t="shared" si="24"/>
        <v>#REF!</v>
      </c>
      <c r="K494" s="332" t="str">
        <f t="shared" si="25"/>
        <v/>
      </c>
      <c r="L494" s="332" t="str">
        <f t="shared" si="23"/>
        <v/>
      </c>
    </row>
    <row r="495" spans="1:12">
      <c r="A495" s="8" t="s">
        <v>20</v>
      </c>
      <c r="J495" s="332" t="e">
        <f t="shared" si="24"/>
        <v>#REF!</v>
      </c>
      <c r="K495" s="332" t="str">
        <f t="shared" si="25"/>
        <v/>
      </c>
      <c r="L495" s="332" t="str">
        <f t="shared" si="23"/>
        <v/>
      </c>
    </row>
    <row r="496" spans="1:12">
      <c r="A496" s="8" t="s">
        <v>20</v>
      </c>
      <c r="J496" s="332" t="e">
        <f t="shared" si="24"/>
        <v>#REF!</v>
      </c>
      <c r="K496" s="332" t="str">
        <f t="shared" si="25"/>
        <v/>
      </c>
      <c r="L496" s="332" t="str">
        <f t="shared" si="23"/>
        <v/>
      </c>
    </row>
    <row r="497" spans="1:12">
      <c r="A497" s="8" t="s">
        <v>20</v>
      </c>
      <c r="J497" s="332" t="e">
        <f t="shared" si="24"/>
        <v>#REF!</v>
      </c>
      <c r="K497" s="332" t="str">
        <f t="shared" si="25"/>
        <v/>
      </c>
      <c r="L497" s="332" t="str">
        <f t="shared" si="23"/>
        <v/>
      </c>
    </row>
    <row r="498" spans="1:12">
      <c r="A498" s="8" t="s">
        <v>20</v>
      </c>
      <c r="J498" s="332" t="e">
        <f t="shared" si="24"/>
        <v>#REF!</v>
      </c>
      <c r="K498" s="332" t="str">
        <f t="shared" si="25"/>
        <v/>
      </c>
      <c r="L498" s="332" t="str">
        <f t="shared" si="23"/>
        <v/>
      </c>
    </row>
    <row r="499" spans="1:12">
      <c r="A499" s="8" t="s">
        <v>20</v>
      </c>
      <c r="J499" s="332" t="e">
        <f t="shared" si="24"/>
        <v>#REF!</v>
      </c>
      <c r="K499" s="332" t="str">
        <f t="shared" si="25"/>
        <v/>
      </c>
      <c r="L499" s="332" t="str">
        <f t="shared" si="23"/>
        <v/>
      </c>
    </row>
    <row r="500" spans="1:12">
      <c r="A500" s="8" t="s">
        <v>20</v>
      </c>
      <c r="J500" s="332" t="e">
        <f t="shared" si="24"/>
        <v>#REF!</v>
      </c>
      <c r="K500" s="332" t="str">
        <f t="shared" si="25"/>
        <v/>
      </c>
      <c r="L500" s="332" t="str">
        <f t="shared" si="23"/>
        <v/>
      </c>
    </row>
    <row r="501" spans="1:12">
      <c r="A501" s="8" t="s">
        <v>20</v>
      </c>
      <c r="J501" s="332" t="e">
        <f t="shared" si="24"/>
        <v>#REF!</v>
      </c>
      <c r="K501" s="332" t="str">
        <f t="shared" si="25"/>
        <v/>
      </c>
      <c r="L501" s="332" t="str">
        <f t="shared" si="23"/>
        <v/>
      </c>
    </row>
    <row r="502" spans="1:12">
      <c r="A502" s="8"/>
      <c r="J502" s="332" t="e">
        <f t="shared" si="24"/>
        <v>#REF!</v>
      </c>
      <c r="K502" s="332" t="str">
        <f t="shared" si="25"/>
        <v/>
      </c>
      <c r="L502" s="332" t="str">
        <f t="shared" si="23"/>
        <v/>
      </c>
    </row>
    <row r="503" spans="1:12">
      <c r="A503" s="8" t="s">
        <v>20</v>
      </c>
      <c r="J503" s="332" t="e">
        <f t="shared" si="24"/>
        <v>#REF!</v>
      </c>
      <c r="K503" s="332" t="str">
        <f t="shared" si="25"/>
        <v/>
      </c>
      <c r="L503" s="332" t="str">
        <f t="shared" si="23"/>
        <v/>
      </c>
    </row>
    <row r="504" spans="1:12">
      <c r="A504" s="8" t="s">
        <v>20</v>
      </c>
      <c r="J504" s="332" t="e">
        <f t="shared" si="24"/>
        <v>#REF!</v>
      </c>
      <c r="K504" s="332" t="str">
        <f t="shared" si="25"/>
        <v/>
      </c>
      <c r="L504" s="332" t="str">
        <f t="shared" si="23"/>
        <v/>
      </c>
    </row>
    <row r="505" spans="1:12">
      <c r="A505" s="8" t="s">
        <v>20</v>
      </c>
      <c r="J505" s="332" t="e">
        <f t="shared" si="24"/>
        <v>#REF!</v>
      </c>
      <c r="K505" s="332" t="str">
        <f t="shared" si="25"/>
        <v/>
      </c>
      <c r="L505" s="332" t="str">
        <f t="shared" si="23"/>
        <v/>
      </c>
    </row>
    <row r="506" spans="1:12">
      <c r="A506" s="8" t="s">
        <v>20</v>
      </c>
      <c r="J506" s="332" t="e">
        <f t="shared" si="24"/>
        <v>#REF!</v>
      </c>
      <c r="K506" s="332" t="str">
        <f t="shared" si="25"/>
        <v/>
      </c>
      <c r="L506" s="332" t="str">
        <f t="shared" si="23"/>
        <v/>
      </c>
    </row>
    <row r="507" spans="1:12">
      <c r="A507" s="8" t="s">
        <v>20</v>
      </c>
      <c r="J507" s="332" t="e">
        <f t="shared" si="24"/>
        <v>#REF!</v>
      </c>
      <c r="K507" s="332" t="str">
        <f t="shared" si="25"/>
        <v/>
      </c>
      <c r="L507" s="332" t="str">
        <f t="shared" si="23"/>
        <v/>
      </c>
    </row>
    <row r="508" spans="1:12">
      <c r="A508" s="8" t="s">
        <v>20</v>
      </c>
      <c r="J508" s="332" t="e">
        <f t="shared" si="24"/>
        <v>#REF!</v>
      </c>
      <c r="K508" s="332" t="str">
        <f t="shared" si="25"/>
        <v/>
      </c>
      <c r="L508" s="332" t="str">
        <f t="shared" si="23"/>
        <v/>
      </c>
    </row>
    <row r="509" spans="1:12">
      <c r="A509" s="8" t="s">
        <v>20</v>
      </c>
      <c r="J509" s="332" t="e">
        <f t="shared" si="24"/>
        <v>#REF!</v>
      </c>
      <c r="K509" s="332" t="str">
        <f t="shared" si="25"/>
        <v/>
      </c>
      <c r="L509" s="332" t="str">
        <f t="shared" si="23"/>
        <v/>
      </c>
    </row>
    <row r="510" spans="1:12">
      <c r="A510" s="8" t="s">
        <v>20</v>
      </c>
      <c r="J510" s="332" t="e">
        <f t="shared" si="24"/>
        <v>#REF!</v>
      </c>
      <c r="K510" s="332" t="str">
        <f t="shared" si="25"/>
        <v/>
      </c>
      <c r="L510" s="332" t="str">
        <f t="shared" si="23"/>
        <v/>
      </c>
    </row>
    <row r="511" spans="1:12">
      <c r="A511" s="8" t="s">
        <v>20</v>
      </c>
      <c r="J511" s="332" t="e">
        <f t="shared" si="24"/>
        <v>#REF!</v>
      </c>
      <c r="K511" s="332" t="str">
        <f t="shared" si="25"/>
        <v/>
      </c>
      <c r="L511" s="332" t="str">
        <f t="shared" si="23"/>
        <v/>
      </c>
    </row>
    <row r="512" spans="1:12">
      <c r="A512" s="8" t="s">
        <v>20</v>
      </c>
      <c r="J512" s="332" t="e">
        <f t="shared" si="24"/>
        <v>#REF!</v>
      </c>
      <c r="K512" s="332" t="str">
        <f t="shared" si="25"/>
        <v/>
      </c>
      <c r="L512" s="332" t="str">
        <f t="shared" si="23"/>
        <v/>
      </c>
    </row>
    <row r="513" spans="1:12">
      <c r="A513" s="8"/>
      <c r="J513" s="332" t="e">
        <f t="shared" si="24"/>
        <v>#REF!</v>
      </c>
      <c r="K513" s="332" t="str">
        <f t="shared" si="25"/>
        <v/>
      </c>
      <c r="L513" s="332" t="str">
        <f t="shared" si="23"/>
        <v/>
      </c>
    </row>
    <row r="514" spans="1:12">
      <c r="A514" s="8" t="s">
        <v>20</v>
      </c>
      <c r="J514" s="332" t="e">
        <f t="shared" si="24"/>
        <v>#REF!</v>
      </c>
      <c r="K514" s="332" t="str">
        <f t="shared" si="25"/>
        <v/>
      </c>
      <c r="L514" s="332" t="str">
        <f t="shared" si="23"/>
        <v/>
      </c>
    </row>
    <row r="515" spans="1:12">
      <c r="A515" s="8" t="s">
        <v>20</v>
      </c>
      <c r="J515" s="332" t="e">
        <f t="shared" si="24"/>
        <v>#REF!</v>
      </c>
      <c r="K515" s="332" t="str">
        <f t="shared" si="25"/>
        <v/>
      </c>
      <c r="L515" s="332" t="str">
        <f t="shared" si="23"/>
        <v/>
      </c>
    </row>
    <row r="516" spans="1:12">
      <c r="A516" s="8" t="s">
        <v>20</v>
      </c>
      <c r="J516" s="332" t="e">
        <f t="shared" si="24"/>
        <v>#REF!</v>
      </c>
      <c r="K516" s="332" t="str">
        <f t="shared" si="25"/>
        <v/>
      </c>
      <c r="L516" s="332" t="str">
        <f t="shared" si="23"/>
        <v/>
      </c>
    </row>
    <row r="517" spans="1:12">
      <c r="A517" s="8"/>
      <c r="J517" s="332" t="e">
        <f t="shared" si="24"/>
        <v>#REF!</v>
      </c>
      <c r="K517" s="332" t="str">
        <f t="shared" si="25"/>
        <v/>
      </c>
      <c r="L517" s="332" t="str">
        <f t="shared" ref="L517:L529" si="26">IFERROR(K517+M517,"")</f>
        <v/>
      </c>
    </row>
    <row r="518" spans="1:12">
      <c r="A518" s="8" t="s">
        <v>20</v>
      </c>
      <c r="J518" s="332" t="e">
        <f t="shared" si="24"/>
        <v>#REF!</v>
      </c>
      <c r="K518" s="332" t="str">
        <f t="shared" si="25"/>
        <v/>
      </c>
      <c r="L518" s="332" t="str">
        <f t="shared" si="26"/>
        <v/>
      </c>
    </row>
    <row r="519" spans="1:12">
      <c r="A519" s="8" t="s">
        <v>20</v>
      </c>
      <c r="J519" s="332" t="e">
        <f t="shared" si="24"/>
        <v>#REF!</v>
      </c>
      <c r="K519" s="332" t="str">
        <f t="shared" si="25"/>
        <v/>
      </c>
      <c r="L519" s="332" t="str">
        <f t="shared" si="26"/>
        <v/>
      </c>
    </row>
    <row r="520" spans="1:12">
      <c r="A520" s="8" t="s">
        <v>20</v>
      </c>
      <c r="J520" s="332" t="e">
        <f t="shared" si="24"/>
        <v>#REF!</v>
      </c>
      <c r="K520" s="332" t="str">
        <f t="shared" si="25"/>
        <v/>
      </c>
      <c r="L520" s="332" t="str">
        <f t="shared" si="26"/>
        <v/>
      </c>
    </row>
    <row r="521" spans="1:12">
      <c r="A521" s="8" t="s">
        <v>20</v>
      </c>
      <c r="J521" s="332" t="e">
        <f t="shared" si="24"/>
        <v>#REF!</v>
      </c>
      <c r="K521" s="332" t="str">
        <f t="shared" si="25"/>
        <v/>
      </c>
      <c r="L521" s="332" t="str">
        <f t="shared" si="26"/>
        <v/>
      </c>
    </row>
    <row r="522" spans="1:12">
      <c r="A522" s="8" t="s">
        <v>20</v>
      </c>
      <c r="J522" s="332" t="e">
        <f t="shared" si="24"/>
        <v>#REF!</v>
      </c>
      <c r="K522" s="332" t="str">
        <f t="shared" si="25"/>
        <v/>
      </c>
      <c r="L522" s="332" t="str">
        <f t="shared" si="26"/>
        <v/>
      </c>
    </row>
    <row r="523" spans="1:12">
      <c r="A523" s="8" t="s">
        <v>20</v>
      </c>
      <c r="J523" s="332" t="e">
        <f t="shared" si="24"/>
        <v>#REF!</v>
      </c>
      <c r="K523" s="332" t="str">
        <f t="shared" si="25"/>
        <v/>
      </c>
      <c r="L523" s="332" t="str">
        <f t="shared" si="26"/>
        <v/>
      </c>
    </row>
    <row r="524" spans="1:12">
      <c r="A524" s="8"/>
      <c r="J524" s="332" t="e">
        <f t="shared" si="24"/>
        <v>#REF!</v>
      </c>
      <c r="K524" s="332" t="str">
        <f t="shared" si="25"/>
        <v/>
      </c>
      <c r="L524" s="332" t="str">
        <f t="shared" si="26"/>
        <v/>
      </c>
    </row>
    <row r="525" spans="1:12">
      <c r="A525" s="8" t="s">
        <v>20</v>
      </c>
      <c r="J525" s="332" t="e">
        <f t="shared" si="24"/>
        <v>#REF!</v>
      </c>
      <c r="K525" s="332" t="str">
        <f t="shared" si="25"/>
        <v/>
      </c>
      <c r="L525" s="332" t="str">
        <f t="shared" si="26"/>
        <v/>
      </c>
    </row>
    <row r="526" spans="1:12">
      <c r="A526" s="8" t="s">
        <v>20</v>
      </c>
      <c r="J526" s="332" t="e">
        <f t="shared" si="24"/>
        <v>#REF!</v>
      </c>
      <c r="K526" s="332" t="str">
        <f t="shared" si="25"/>
        <v/>
      </c>
      <c r="L526" s="332" t="str">
        <f t="shared" si="26"/>
        <v/>
      </c>
    </row>
    <row r="527" spans="1:12">
      <c r="A527" s="8" t="s">
        <v>20</v>
      </c>
      <c r="J527" s="332" t="e">
        <f t="shared" si="24"/>
        <v>#REF!</v>
      </c>
      <c r="K527" s="332" t="str">
        <f t="shared" si="25"/>
        <v/>
      </c>
      <c r="L527" s="332" t="str">
        <f t="shared" si="26"/>
        <v/>
      </c>
    </row>
    <row r="528" spans="1:12">
      <c r="A528" s="8" t="s">
        <v>20</v>
      </c>
      <c r="J528" s="332" t="e">
        <f t="shared" si="24"/>
        <v>#REF!</v>
      </c>
      <c r="K528" s="332" t="str">
        <f t="shared" si="25"/>
        <v/>
      </c>
      <c r="L528" s="332" t="str">
        <f t="shared" si="26"/>
        <v/>
      </c>
    </row>
    <row r="529" spans="1:12">
      <c r="A529" s="8" t="s">
        <v>20</v>
      </c>
      <c r="J529" s="332" t="e">
        <f t="shared" si="24"/>
        <v>#REF!</v>
      </c>
      <c r="K529" s="332" t="str">
        <f t="shared" si="25"/>
        <v/>
      </c>
      <c r="L529" s="332" t="str">
        <f t="shared" si="26"/>
        <v/>
      </c>
    </row>
    <row r="530" spans="1:12">
      <c r="A530" s="8" t="s">
        <v>20</v>
      </c>
    </row>
    <row r="531" spans="1:12">
      <c r="A531" s="8" t="s">
        <v>20</v>
      </c>
    </row>
    <row r="532" spans="1:12">
      <c r="A532" s="8" t="s">
        <v>20</v>
      </c>
    </row>
    <row r="533" spans="1:12">
      <c r="A533" s="8"/>
    </row>
    <row r="534" spans="1:12">
      <c r="A534" s="8" t="s">
        <v>20</v>
      </c>
    </row>
    <row r="535" spans="1:12">
      <c r="A535" s="8" t="s">
        <v>20</v>
      </c>
    </row>
    <row r="536" spans="1:12">
      <c r="A536" s="8" t="s">
        <v>20</v>
      </c>
    </row>
    <row r="537" spans="1:12">
      <c r="A537" s="8" t="s">
        <v>20</v>
      </c>
    </row>
    <row r="538" spans="1:12">
      <c r="A538" s="8" t="s">
        <v>20</v>
      </c>
    </row>
    <row r="539" spans="1:12">
      <c r="A539" s="8" t="s">
        <v>20</v>
      </c>
    </row>
    <row r="540" spans="1:12">
      <c r="A540" s="8" t="s">
        <v>20</v>
      </c>
    </row>
    <row r="541" spans="1:12">
      <c r="A541" s="8" t="s">
        <v>20</v>
      </c>
    </row>
    <row r="542" spans="1:12">
      <c r="A542" s="8" t="s">
        <v>20</v>
      </c>
    </row>
    <row r="543" spans="1:12">
      <c r="A543" s="8" t="s">
        <v>20</v>
      </c>
    </row>
    <row r="544" spans="1:12">
      <c r="A544" s="8" t="s">
        <v>20</v>
      </c>
    </row>
    <row r="545" spans="1:1">
      <c r="A545" s="8" t="s">
        <v>20</v>
      </c>
    </row>
    <row r="546" spans="1:1">
      <c r="A546" s="8"/>
    </row>
    <row r="547" spans="1:1">
      <c r="A547" s="8" t="s">
        <v>20</v>
      </c>
    </row>
    <row r="548" spans="1:1">
      <c r="A548" s="8" t="s">
        <v>20</v>
      </c>
    </row>
    <row r="549" spans="1:1">
      <c r="A549" s="8" t="s">
        <v>20</v>
      </c>
    </row>
    <row r="550" spans="1:1">
      <c r="A550" s="8" t="s">
        <v>20</v>
      </c>
    </row>
    <row r="551" spans="1:1">
      <c r="A551" s="8" t="s">
        <v>20</v>
      </c>
    </row>
    <row r="552" spans="1:1">
      <c r="A552" s="8" t="s">
        <v>20</v>
      </c>
    </row>
    <row r="553" spans="1:1">
      <c r="A553" s="8" t="s">
        <v>20</v>
      </c>
    </row>
    <row r="554" spans="1:1">
      <c r="A554" s="8" t="s">
        <v>20</v>
      </c>
    </row>
    <row r="555" spans="1:1">
      <c r="A555" s="8" t="s">
        <v>20</v>
      </c>
    </row>
    <row r="556" spans="1:1">
      <c r="A556" s="8" t="s">
        <v>20</v>
      </c>
    </row>
    <row r="557" spans="1:1">
      <c r="A557" s="8" t="s">
        <v>20</v>
      </c>
    </row>
    <row r="558" spans="1:1">
      <c r="A558" s="8" t="s">
        <v>20</v>
      </c>
    </row>
    <row r="559" spans="1:1">
      <c r="A559" s="8" t="s">
        <v>20</v>
      </c>
    </row>
    <row r="560" spans="1:1">
      <c r="A560" s="8" t="s">
        <v>20</v>
      </c>
    </row>
    <row r="561" spans="1:1">
      <c r="A561" s="8" t="s">
        <v>20</v>
      </c>
    </row>
    <row r="562" spans="1:1">
      <c r="A562" s="8"/>
    </row>
    <row r="563" spans="1:1">
      <c r="A563" s="8" t="s">
        <v>20</v>
      </c>
    </row>
    <row r="564" spans="1:1">
      <c r="A564" s="8" t="s">
        <v>20</v>
      </c>
    </row>
    <row r="565" spans="1:1">
      <c r="A565" s="8" t="s">
        <v>20</v>
      </c>
    </row>
    <row r="566" spans="1:1">
      <c r="A566" s="8" t="s">
        <v>20</v>
      </c>
    </row>
    <row r="567" spans="1:1">
      <c r="A567" s="8" t="s">
        <v>20</v>
      </c>
    </row>
    <row r="568" spans="1:1">
      <c r="A568" s="8" t="s">
        <v>20</v>
      </c>
    </row>
    <row r="569" spans="1:1">
      <c r="A569" s="8" t="s">
        <v>20</v>
      </c>
    </row>
    <row r="570" spans="1:1">
      <c r="A570" s="8" t="s">
        <v>20</v>
      </c>
    </row>
    <row r="571" spans="1:1">
      <c r="A571" s="8" t="s">
        <v>20</v>
      </c>
    </row>
    <row r="572" spans="1:1">
      <c r="A572" s="8" t="s">
        <v>20</v>
      </c>
    </row>
    <row r="573" spans="1:1">
      <c r="A573" s="8" t="s">
        <v>20</v>
      </c>
    </row>
    <row r="574" spans="1:1">
      <c r="A574" s="8"/>
    </row>
    <row r="575" spans="1:1">
      <c r="A575" s="8" t="s">
        <v>20</v>
      </c>
    </row>
    <row r="576" spans="1:1">
      <c r="A576" s="8" t="s">
        <v>20</v>
      </c>
    </row>
    <row r="577" spans="1:1">
      <c r="A577" s="8" t="s">
        <v>20</v>
      </c>
    </row>
    <row r="578" spans="1:1">
      <c r="A578" s="8" t="s">
        <v>20</v>
      </c>
    </row>
    <row r="579" spans="1:1">
      <c r="A579" s="8" t="s">
        <v>20</v>
      </c>
    </row>
    <row r="580" spans="1:1">
      <c r="A580" s="8" t="s">
        <v>20</v>
      </c>
    </row>
    <row r="581" spans="1:1">
      <c r="A581" s="8" t="s">
        <v>20</v>
      </c>
    </row>
    <row r="582" spans="1:1">
      <c r="A582" s="8" t="s">
        <v>20</v>
      </c>
    </row>
    <row r="583" spans="1:1">
      <c r="A583" s="8" t="s">
        <v>20</v>
      </c>
    </row>
    <row r="584" spans="1:1">
      <c r="A584" s="8" t="s">
        <v>20</v>
      </c>
    </row>
    <row r="585" spans="1:1">
      <c r="A585" s="8" t="s">
        <v>20</v>
      </c>
    </row>
    <row r="586" spans="1:1">
      <c r="A586" s="8" t="s">
        <v>20</v>
      </c>
    </row>
    <row r="587" spans="1:1">
      <c r="A587" s="8" t="s">
        <v>20</v>
      </c>
    </row>
    <row r="588" spans="1:1">
      <c r="A588" s="8" t="s">
        <v>20</v>
      </c>
    </row>
    <row r="589" spans="1:1">
      <c r="A589" s="8" t="s">
        <v>20</v>
      </c>
    </row>
    <row r="590" spans="1:1">
      <c r="A590" s="8" t="s">
        <v>20</v>
      </c>
    </row>
    <row r="591" spans="1:1">
      <c r="A591" s="8" t="s">
        <v>20</v>
      </c>
    </row>
    <row r="592" spans="1:1">
      <c r="A592" s="8" t="s">
        <v>20</v>
      </c>
    </row>
    <row r="593" spans="1:1">
      <c r="A593" s="8" t="s">
        <v>20</v>
      </c>
    </row>
    <row r="594" spans="1:1">
      <c r="A594" s="8" t="s">
        <v>20</v>
      </c>
    </row>
    <row r="595" spans="1:1">
      <c r="A595" s="8"/>
    </row>
    <row r="596" spans="1:1">
      <c r="A596" s="8" t="s">
        <v>20</v>
      </c>
    </row>
    <row r="597" spans="1:1">
      <c r="A597" s="8" t="s">
        <v>20</v>
      </c>
    </row>
    <row r="598" spans="1:1">
      <c r="A598" s="8" t="s">
        <v>20</v>
      </c>
    </row>
    <row r="599" spans="1:1">
      <c r="A599" s="8" t="s">
        <v>20</v>
      </c>
    </row>
    <row r="600" spans="1:1">
      <c r="A600" s="8" t="s">
        <v>20</v>
      </c>
    </row>
    <row r="601" spans="1:1">
      <c r="A601" s="8" t="s">
        <v>20</v>
      </c>
    </row>
    <row r="602" spans="1:1">
      <c r="A602" s="8" t="s">
        <v>20</v>
      </c>
    </row>
    <row r="603" spans="1:1">
      <c r="A603" s="8" t="s">
        <v>20</v>
      </c>
    </row>
    <row r="604" spans="1:1">
      <c r="A604" s="8" t="s">
        <v>20</v>
      </c>
    </row>
    <row r="605" spans="1:1">
      <c r="A605" s="8" t="s">
        <v>20</v>
      </c>
    </row>
    <row r="606" spans="1:1">
      <c r="A606" s="8" t="s">
        <v>20</v>
      </c>
    </row>
    <row r="607" spans="1:1">
      <c r="A607" s="8" t="s">
        <v>20</v>
      </c>
    </row>
    <row r="608" spans="1:1">
      <c r="A608" s="8" t="s">
        <v>20</v>
      </c>
    </row>
    <row r="609" spans="1:1">
      <c r="A609" s="8" t="s">
        <v>20</v>
      </c>
    </row>
    <row r="610" spans="1:1">
      <c r="A610" s="8" t="s">
        <v>20</v>
      </c>
    </row>
    <row r="611" spans="1:1">
      <c r="A611" s="8" t="s">
        <v>20</v>
      </c>
    </row>
    <row r="612" spans="1:1">
      <c r="A612" s="8" t="s">
        <v>20</v>
      </c>
    </row>
    <row r="613" spans="1:1">
      <c r="A613" s="8" t="s">
        <v>20</v>
      </c>
    </row>
    <row r="614" spans="1:1">
      <c r="A614" s="8" t="s">
        <v>20</v>
      </c>
    </row>
    <row r="615" spans="1:1">
      <c r="A615" s="8" t="s">
        <v>20</v>
      </c>
    </row>
    <row r="616" spans="1:1">
      <c r="A616" s="8" t="s">
        <v>20</v>
      </c>
    </row>
    <row r="617" spans="1:1">
      <c r="A617" s="8" t="s">
        <v>20</v>
      </c>
    </row>
    <row r="618" spans="1:1">
      <c r="A618" s="8" t="s">
        <v>20</v>
      </c>
    </row>
    <row r="619" spans="1:1">
      <c r="A619" s="8"/>
    </row>
    <row r="620" spans="1:1">
      <c r="A620" s="8" t="s">
        <v>20</v>
      </c>
    </row>
    <row r="621" spans="1:1">
      <c r="A621" s="8" t="s">
        <v>20</v>
      </c>
    </row>
    <row r="622" spans="1:1">
      <c r="A622" s="8" t="s">
        <v>20</v>
      </c>
    </row>
    <row r="623" spans="1:1">
      <c r="A623" s="8" t="s">
        <v>20</v>
      </c>
    </row>
    <row r="624" spans="1:1">
      <c r="A624" s="8"/>
    </row>
    <row r="625" spans="1:1">
      <c r="A625" s="8" t="s">
        <v>20</v>
      </c>
    </row>
    <row r="626" spans="1:1">
      <c r="A626" s="8"/>
    </row>
    <row r="627" spans="1:1">
      <c r="A627" s="8" t="s">
        <v>20</v>
      </c>
    </row>
    <row r="628" spans="1:1">
      <c r="A628" s="8"/>
    </row>
    <row r="629" spans="1:1">
      <c r="A629" s="8" t="s">
        <v>20</v>
      </c>
    </row>
    <row r="630" spans="1:1">
      <c r="A630" s="8"/>
    </row>
    <row r="631" spans="1:1">
      <c r="A631" s="8" t="s">
        <v>20</v>
      </c>
    </row>
    <row r="632" spans="1:1">
      <c r="A632" s="8"/>
    </row>
    <row r="633" spans="1:1">
      <c r="A633" s="8" t="s">
        <v>20</v>
      </c>
    </row>
    <row r="634" spans="1:1">
      <c r="A634" s="8" t="s">
        <v>20</v>
      </c>
    </row>
    <row r="635" spans="1:1">
      <c r="A635" s="8"/>
    </row>
    <row r="636" spans="1:1">
      <c r="A636" s="8" t="s">
        <v>20</v>
      </c>
    </row>
    <row r="637" spans="1:1">
      <c r="A637" s="8" t="s">
        <v>20</v>
      </c>
    </row>
    <row r="638" spans="1:1">
      <c r="A638" s="8"/>
    </row>
    <row r="639" spans="1:1">
      <c r="A639" s="8" t="s">
        <v>20</v>
      </c>
    </row>
    <row r="640" spans="1:1">
      <c r="A640" s="8" t="s">
        <v>20</v>
      </c>
    </row>
    <row r="641" spans="1:1">
      <c r="A641" s="8"/>
    </row>
    <row r="642" spans="1:1">
      <c r="A642" s="8" t="s">
        <v>20</v>
      </c>
    </row>
    <row r="643" spans="1:1">
      <c r="A643" s="8" t="s">
        <v>20</v>
      </c>
    </row>
    <row r="644" spans="1:1">
      <c r="A644" s="8"/>
    </row>
    <row r="645" spans="1:1">
      <c r="A645" s="8" t="s">
        <v>20</v>
      </c>
    </row>
    <row r="646" spans="1:1">
      <c r="A646" s="8" t="s">
        <v>20</v>
      </c>
    </row>
    <row r="647" spans="1:1">
      <c r="A647" s="8" t="s">
        <v>20</v>
      </c>
    </row>
    <row r="648" spans="1:1">
      <c r="A648" s="8" t="s">
        <v>20</v>
      </c>
    </row>
    <row r="649" spans="1:1">
      <c r="A649" s="8" t="s">
        <v>20</v>
      </c>
    </row>
    <row r="650" spans="1:1">
      <c r="A650" s="8" t="s">
        <v>20</v>
      </c>
    </row>
    <row r="651" spans="1:1">
      <c r="A651" s="8"/>
    </row>
    <row r="652" spans="1:1">
      <c r="A652" s="8" t="s">
        <v>20</v>
      </c>
    </row>
    <row r="653" spans="1:1">
      <c r="A653" s="8" t="s">
        <v>20</v>
      </c>
    </row>
    <row r="654" spans="1:1">
      <c r="A654" s="8" t="s">
        <v>20</v>
      </c>
    </row>
    <row r="655" spans="1:1">
      <c r="A655" s="8" t="s">
        <v>20</v>
      </c>
    </row>
    <row r="656" spans="1:1">
      <c r="A656" s="8" t="s">
        <v>20</v>
      </c>
    </row>
    <row r="657" spans="1:1">
      <c r="A657" s="8" t="s">
        <v>20</v>
      </c>
    </row>
    <row r="658" spans="1:1">
      <c r="A658" s="8"/>
    </row>
    <row r="659" spans="1:1">
      <c r="A659" s="8" t="s">
        <v>20</v>
      </c>
    </row>
    <row r="660" spans="1:1">
      <c r="A660" s="8" t="s">
        <v>20</v>
      </c>
    </row>
    <row r="661" spans="1:1">
      <c r="A661" s="8" t="s">
        <v>20</v>
      </c>
    </row>
    <row r="662" spans="1:1">
      <c r="A662" s="8" t="s">
        <v>20</v>
      </c>
    </row>
    <row r="663" spans="1:1">
      <c r="A663" s="8" t="s">
        <v>20</v>
      </c>
    </row>
    <row r="664" spans="1:1">
      <c r="A664" s="8" t="s">
        <v>20</v>
      </c>
    </row>
    <row r="665" spans="1:1">
      <c r="A665" s="8" t="s">
        <v>20</v>
      </c>
    </row>
    <row r="666" spans="1:1">
      <c r="A666" s="8" t="s">
        <v>20</v>
      </c>
    </row>
    <row r="667" spans="1:1">
      <c r="A667" s="8"/>
    </row>
    <row r="668" spans="1:1">
      <c r="A668" s="8" t="s">
        <v>20</v>
      </c>
    </row>
    <row r="669" spans="1:1">
      <c r="A669" s="8" t="s">
        <v>20</v>
      </c>
    </row>
    <row r="670" spans="1:1">
      <c r="A670" s="8" t="s">
        <v>20</v>
      </c>
    </row>
    <row r="671" spans="1:1">
      <c r="A671" s="8" t="s">
        <v>20</v>
      </c>
    </row>
    <row r="672" spans="1:1">
      <c r="A672" s="8" t="s">
        <v>20</v>
      </c>
    </row>
    <row r="673" spans="1:1">
      <c r="A673" s="8" t="s">
        <v>20</v>
      </c>
    </row>
    <row r="674" spans="1:1">
      <c r="A674" s="8" t="s">
        <v>20</v>
      </c>
    </row>
    <row r="675" spans="1:1">
      <c r="A675" s="8"/>
    </row>
    <row r="676" spans="1:1">
      <c r="A676" s="8" t="s">
        <v>20</v>
      </c>
    </row>
    <row r="677" spans="1:1">
      <c r="A677" s="8" t="s">
        <v>20</v>
      </c>
    </row>
    <row r="678" spans="1:1">
      <c r="A678" s="8" t="s">
        <v>20</v>
      </c>
    </row>
    <row r="679" spans="1:1">
      <c r="A679" s="8" t="s">
        <v>20</v>
      </c>
    </row>
    <row r="680" spans="1:1">
      <c r="A680" s="8" t="s">
        <v>20</v>
      </c>
    </row>
    <row r="681" spans="1:1">
      <c r="A681" s="8"/>
    </row>
    <row r="682" spans="1:1">
      <c r="A682" s="8" t="s">
        <v>20</v>
      </c>
    </row>
    <row r="683" spans="1:1">
      <c r="A683" s="8" t="s">
        <v>20</v>
      </c>
    </row>
    <row r="684" spans="1:1">
      <c r="A684" s="8" t="s">
        <v>20</v>
      </c>
    </row>
    <row r="685" spans="1:1">
      <c r="A685" s="8" t="s">
        <v>20</v>
      </c>
    </row>
    <row r="686" spans="1:1">
      <c r="A686" s="8"/>
    </row>
    <row r="687" spans="1:1">
      <c r="A687" s="8" t="s">
        <v>20</v>
      </c>
    </row>
    <row r="688" spans="1:1">
      <c r="A688" s="8" t="s">
        <v>20</v>
      </c>
    </row>
    <row r="689" spans="1:1">
      <c r="A689" s="8" t="s">
        <v>20</v>
      </c>
    </row>
    <row r="690" spans="1:1">
      <c r="A690" s="8" t="s">
        <v>20</v>
      </c>
    </row>
    <row r="691" spans="1:1">
      <c r="A691" s="8" t="s">
        <v>20</v>
      </c>
    </row>
    <row r="692" spans="1:1">
      <c r="A692" s="8" t="s">
        <v>20</v>
      </c>
    </row>
    <row r="693" spans="1:1">
      <c r="A693" s="8"/>
    </row>
    <row r="694" spans="1:1">
      <c r="A694" s="8" t="s">
        <v>20</v>
      </c>
    </row>
    <row r="695" spans="1:1">
      <c r="A695" s="8" t="s">
        <v>20</v>
      </c>
    </row>
    <row r="696" spans="1:1">
      <c r="A696" s="8" t="s">
        <v>20</v>
      </c>
    </row>
    <row r="697" spans="1:1">
      <c r="A697" s="8" t="s">
        <v>20</v>
      </c>
    </row>
    <row r="698" spans="1:1">
      <c r="A698" s="8" t="s">
        <v>20</v>
      </c>
    </row>
    <row r="699" spans="1:1">
      <c r="A699" s="8"/>
    </row>
    <row r="700" spans="1:1">
      <c r="A700" s="8" t="s">
        <v>20</v>
      </c>
    </row>
    <row r="701" spans="1:1">
      <c r="A701" s="8" t="s">
        <v>20</v>
      </c>
    </row>
    <row r="702" spans="1:1">
      <c r="A702" s="8" t="s">
        <v>20</v>
      </c>
    </row>
    <row r="703" spans="1:1">
      <c r="A703" s="8"/>
    </row>
    <row r="704" spans="1:1">
      <c r="A704" s="8" t="s">
        <v>20</v>
      </c>
    </row>
    <row r="705" spans="1:1">
      <c r="A705" s="8" t="s">
        <v>20</v>
      </c>
    </row>
    <row r="706" spans="1:1">
      <c r="A706" s="8"/>
    </row>
    <row r="707" spans="1:1">
      <c r="A707" s="8" t="s">
        <v>20</v>
      </c>
    </row>
    <row r="708" spans="1:1">
      <c r="A708" s="8" t="s">
        <v>20</v>
      </c>
    </row>
    <row r="709" spans="1:1">
      <c r="A709" s="8"/>
    </row>
    <row r="710" spans="1:1">
      <c r="A710" s="8" t="s">
        <v>20</v>
      </c>
    </row>
    <row r="711" spans="1:1">
      <c r="A711" s="8"/>
    </row>
    <row r="712" spans="1:1">
      <c r="A712" s="8" t="s">
        <v>20</v>
      </c>
    </row>
    <row r="713" spans="1:1">
      <c r="A713" s="8" t="s">
        <v>20</v>
      </c>
    </row>
    <row r="714" spans="1:1">
      <c r="A714" s="8" t="s">
        <v>20</v>
      </c>
    </row>
    <row r="715" spans="1:1">
      <c r="A715" s="8" t="s">
        <v>20</v>
      </c>
    </row>
    <row r="716" spans="1:1">
      <c r="A716" s="8"/>
    </row>
    <row r="717" spans="1:1">
      <c r="A717" s="8" t="s">
        <v>20</v>
      </c>
    </row>
    <row r="718" spans="1:1">
      <c r="A718" s="8" t="s">
        <v>20</v>
      </c>
    </row>
    <row r="719" spans="1:1">
      <c r="A719" s="8"/>
    </row>
    <row r="720" spans="1:1">
      <c r="A720" s="8" t="s">
        <v>20</v>
      </c>
    </row>
    <row r="721" spans="1:1">
      <c r="A721" s="8" t="s">
        <v>20</v>
      </c>
    </row>
    <row r="722" spans="1:1">
      <c r="A722" s="8" t="s">
        <v>20</v>
      </c>
    </row>
    <row r="723" spans="1:1">
      <c r="A723" s="8"/>
    </row>
    <row r="724" spans="1:1">
      <c r="A724" s="8" t="s">
        <v>20</v>
      </c>
    </row>
    <row r="725" spans="1:1">
      <c r="A725" s="8" t="s">
        <v>20</v>
      </c>
    </row>
    <row r="726" spans="1:1">
      <c r="A726" s="8" t="s">
        <v>20</v>
      </c>
    </row>
    <row r="727" spans="1:1">
      <c r="A727" s="8" t="s">
        <v>20</v>
      </c>
    </row>
    <row r="728" spans="1:1">
      <c r="A728" s="8"/>
    </row>
    <row r="729" spans="1:1">
      <c r="A729" s="8" t="s">
        <v>20</v>
      </c>
    </row>
    <row r="730" spans="1:1">
      <c r="A730" s="8" t="s">
        <v>20</v>
      </c>
    </row>
    <row r="731" spans="1:1">
      <c r="A731" s="8" t="s">
        <v>20</v>
      </c>
    </row>
    <row r="732" spans="1:1">
      <c r="A732" s="8" t="s">
        <v>20</v>
      </c>
    </row>
    <row r="733" spans="1:1">
      <c r="A733" s="8"/>
    </row>
    <row r="734" spans="1:1">
      <c r="A734" s="8" t="s">
        <v>20</v>
      </c>
    </row>
    <row r="735" spans="1:1">
      <c r="A735" s="8" t="s">
        <v>20</v>
      </c>
    </row>
    <row r="736" spans="1:1">
      <c r="A736" s="8" t="s">
        <v>20</v>
      </c>
    </row>
    <row r="737" spans="1:1">
      <c r="A737" s="8"/>
    </row>
    <row r="738" spans="1:1">
      <c r="A738" s="8" t="s">
        <v>20</v>
      </c>
    </row>
    <row r="739" spans="1:1">
      <c r="A739" s="8" t="s">
        <v>20</v>
      </c>
    </row>
    <row r="740" spans="1:1">
      <c r="A740" s="8"/>
    </row>
    <row r="741" spans="1:1">
      <c r="A741" s="8" t="s">
        <v>20</v>
      </c>
    </row>
    <row r="742" spans="1:1">
      <c r="A742" s="8" t="s">
        <v>20</v>
      </c>
    </row>
    <row r="743" spans="1:1">
      <c r="A743" s="8" t="s">
        <v>20</v>
      </c>
    </row>
    <row r="744" spans="1:1">
      <c r="A744" s="8" t="s">
        <v>20</v>
      </c>
    </row>
    <row r="745" spans="1:1">
      <c r="A745" s="8"/>
    </row>
    <row r="746" spans="1:1">
      <c r="A746" s="8" t="s">
        <v>20</v>
      </c>
    </row>
    <row r="747" spans="1:1">
      <c r="A747" s="8" t="s">
        <v>20</v>
      </c>
    </row>
    <row r="748" spans="1:1">
      <c r="A748" s="8"/>
    </row>
    <row r="749" spans="1:1">
      <c r="A749" s="8" t="s">
        <v>20</v>
      </c>
    </row>
    <row r="750" spans="1:1">
      <c r="A750" s="8"/>
    </row>
    <row r="751" spans="1:1">
      <c r="A751" s="8" t="s">
        <v>20</v>
      </c>
    </row>
    <row r="752" spans="1:1">
      <c r="A752" s="8" t="s">
        <v>20</v>
      </c>
    </row>
    <row r="753" spans="1:1">
      <c r="A753" s="8"/>
    </row>
    <row r="754" spans="1:1">
      <c r="A754" s="8" t="s">
        <v>20</v>
      </c>
    </row>
    <row r="755" spans="1:1">
      <c r="A755" s="8" t="s">
        <v>20</v>
      </c>
    </row>
    <row r="756" spans="1:1">
      <c r="A756" s="8" t="s">
        <v>20</v>
      </c>
    </row>
    <row r="757" spans="1:1">
      <c r="A757" s="8" t="s">
        <v>20</v>
      </c>
    </row>
    <row r="758" spans="1:1">
      <c r="A758" s="8" t="s">
        <v>20</v>
      </c>
    </row>
    <row r="759" spans="1:1">
      <c r="A759" s="8" t="s">
        <v>20</v>
      </c>
    </row>
    <row r="760" spans="1:1">
      <c r="A760" s="8" t="s">
        <v>20</v>
      </c>
    </row>
    <row r="761" spans="1:1">
      <c r="A761" s="8" t="s">
        <v>20</v>
      </c>
    </row>
    <row r="762" spans="1:1">
      <c r="A762" s="8"/>
    </row>
    <row r="763" spans="1:1">
      <c r="A763" s="8" t="s">
        <v>20</v>
      </c>
    </row>
    <row r="764" spans="1:1">
      <c r="A764" s="8" t="s">
        <v>20</v>
      </c>
    </row>
    <row r="765" spans="1:1">
      <c r="A765" s="8" t="s">
        <v>20</v>
      </c>
    </row>
    <row r="766" spans="1:1">
      <c r="A766" s="8" t="s">
        <v>20</v>
      </c>
    </row>
    <row r="767" spans="1:1">
      <c r="A767" s="8" t="s">
        <v>20</v>
      </c>
    </row>
    <row r="768" spans="1:1">
      <c r="A768" s="8" t="s">
        <v>20</v>
      </c>
    </row>
    <row r="769" spans="1:1">
      <c r="A769" s="8" t="s">
        <v>20</v>
      </c>
    </row>
    <row r="770" spans="1:1">
      <c r="A770" s="8" t="s">
        <v>20</v>
      </c>
    </row>
    <row r="771" spans="1:1">
      <c r="A771" s="8"/>
    </row>
    <row r="772" spans="1:1">
      <c r="A772" s="8" t="s">
        <v>20</v>
      </c>
    </row>
    <row r="773" spans="1:1">
      <c r="A773" s="8" t="s">
        <v>20</v>
      </c>
    </row>
    <row r="774" spans="1:1">
      <c r="A774" s="8" t="s">
        <v>20</v>
      </c>
    </row>
    <row r="775" spans="1:1">
      <c r="A775" s="8" t="s">
        <v>20</v>
      </c>
    </row>
    <row r="776" spans="1:1">
      <c r="A776" s="8" t="s">
        <v>20</v>
      </c>
    </row>
    <row r="777" spans="1:1">
      <c r="A777" s="8" t="s">
        <v>20</v>
      </c>
    </row>
    <row r="778" spans="1:1">
      <c r="A778" s="8" t="s">
        <v>20</v>
      </c>
    </row>
    <row r="779" spans="1:1">
      <c r="A779" s="8" t="s">
        <v>20</v>
      </c>
    </row>
    <row r="780" spans="1:1">
      <c r="A780" s="8" t="s">
        <v>20</v>
      </c>
    </row>
    <row r="781" spans="1:1">
      <c r="A781" s="8"/>
    </row>
    <row r="782" spans="1:1">
      <c r="A782" s="8" t="s">
        <v>20</v>
      </c>
    </row>
    <row r="783" spans="1:1">
      <c r="A783" s="8" t="s">
        <v>20</v>
      </c>
    </row>
    <row r="784" spans="1:1">
      <c r="A784" s="8" t="s">
        <v>20</v>
      </c>
    </row>
    <row r="785" spans="1:1">
      <c r="A785" s="8" t="s">
        <v>20</v>
      </c>
    </row>
    <row r="786" spans="1:1">
      <c r="A786" s="8" t="s">
        <v>20</v>
      </c>
    </row>
    <row r="787" spans="1:1">
      <c r="A787" s="8"/>
    </row>
    <row r="788" spans="1:1">
      <c r="A788" s="8" t="s">
        <v>20</v>
      </c>
    </row>
    <row r="789" spans="1:1">
      <c r="A789" s="8" t="s">
        <v>20</v>
      </c>
    </row>
    <row r="790" spans="1:1">
      <c r="A790" s="8" t="s">
        <v>20</v>
      </c>
    </row>
    <row r="791" spans="1:1">
      <c r="A791" s="8"/>
    </row>
    <row r="792" spans="1:1">
      <c r="A792" s="8" t="s">
        <v>20</v>
      </c>
    </row>
    <row r="793" spans="1:1">
      <c r="A793" s="8" t="s">
        <v>20</v>
      </c>
    </row>
    <row r="794" spans="1:1">
      <c r="A794" s="8" t="s">
        <v>20</v>
      </c>
    </row>
    <row r="795" spans="1:1">
      <c r="A795" s="8" t="s">
        <v>20</v>
      </c>
    </row>
    <row r="796" spans="1:1">
      <c r="A796" s="8" t="s">
        <v>20</v>
      </c>
    </row>
    <row r="797" spans="1:1">
      <c r="A797" s="8" t="s">
        <v>20</v>
      </c>
    </row>
    <row r="798" spans="1:1">
      <c r="A798" s="8"/>
    </row>
    <row r="799" spans="1:1">
      <c r="A799" s="8" t="s">
        <v>20</v>
      </c>
    </row>
    <row r="800" spans="1:1">
      <c r="A800" s="8" t="s">
        <v>20</v>
      </c>
    </row>
    <row r="801" spans="1:1">
      <c r="A801" s="8" t="s">
        <v>20</v>
      </c>
    </row>
    <row r="802" spans="1:1">
      <c r="A802" s="8" t="s">
        <v>20</v>
      </c>
    </row>
    <row r="803" spans="1:1">
      <c r="A803" s="8"/>
    </row>
    <row r="804" spans="1:1">
      <c r="A804" s="8" t="s">
        <v>20</v>
      </c>
    </row>
    <row r="805" spans="1:1">
      <c r="A805" s="8" t="s">
        <v>20</v>
      </c>
    </row>
    <row r="806" spans="1:1">
      <c r="A806" s="8" t="s">
        <v>20</v>
      </c>
    </row>
    <row r="807" spans="1:1">
      <c r="A807" s="8"/>
    </row>
    <row r="808" spans="1:1">
      <c r="A808" s="8" t="s">
        <v>20</v>
      </c>
    </row>
    <row r="809" spans="1:1">
      <c r="A809" s="8" t="s">
        <v>20</v>
      </c>
    </row>
    <row r="810" spans="1:1">
      <c r="A810" s="8"/>
    </row>
    <row r="811" spans="1:1">
      <c r="A811" s="8" t="s">
        <v>20</v>
      </c>
    </row>
    <row r="812" spans="1:1">
      <c r="A812" s="8" t="s">
        <v>20</v>
      </c>
    </row>
    <row r="813" spans="1:1">
      <c r="A813" s="8"/>
    </row>
    <row r="814" spans="1:1">
      <c r="A814" s="8" t="s">
        <v>20</v>
      </c>
    </row>
    <row r="815" spans="1:1">
      <c r="A815" s="8" t="s">
        <v>20</v>
      </c>
    </row>
    <row r="816" spans="1:1">
      <c r="A816" s="8" t="s">
        <v>20</v>
      </c>
    </row>
    <row r="817" spans="1:1">
      <c r="A817" s="8"/>
    </row>
    <row r="818" spans="1:1">
      <c r="A818" s="8" t="s">
        <v>20</v>
      </c>
    </row>
    <row r="819" spans="1:1">
      <c r="A819" s="8" t="s">
        <v>20</v>
      </c>
    </row>
    <row r="820" spans="1:1">
      <c r="A820" s="8" t="s">
        <v>20</v>
      </c>
    </row>
    <row r="821" spans="1:1">
      <c r="A821" s="8"/>
    </row>
    <row r="822" spans="1:1">
      <c r="A822" s="8" t="s">
        <v>20</v>
      </c>
    </row>
    <row r="823" spans="1:1">
      <c r="A823" s="8" t="s">
        <v>20</v>
      </c>
    </row>
    <row r="824" spans="1:1">
      <c r="A824" s="8" t="s">
        <v>20</v>
      </c>
    </row>
    <row r="825" spans="1:1">
      <c r="A825" s="8" t="s">
        <v>20</v>
      </c>
    </row>
    <row r="826" spans="1:1">
      <c r="A826" s="8" t="s">
        <v>20</v>
      </c>
    </row>
    <row r="827" spans="1:1">
      <c r="A827" s="8"/>
    </row>
    <row r="828" spans="1:1">
      <c r="A828" s="8" t="s">
        <v>20</v>
      </c>
    </row>
    <row r="829" spans="1:1">
      <c r="A829" s="8" t="s">
        <v>20</v>
      </c>
    </row>
    <row r="830" spans="1:1">
      <c r="A830" s="8"/>
    </row>
    <row r="831" spans="1:1">
      <c r="A831" s="8" t="s">
        <v>20</v>
      </c>
    </row>
    <row r="832" spans="1:1">
      <c r="A832" s="8" t="s">
        <v>20</v>
      </c>
    </row>
    <row r="833" spans="1:1">
      <c r="A833" s="8" t="s">
        <v>20</v>
      </c>
    </row>
    <row r="834" spans="1:1">
      <c r="A834" s="8" t="s">
        <v>20</v>
      </c>
    </row>
    <row r="835" spans="1:1">
      <c r="A835" s="8"/>
    </row>
    <row r="836" spans="1:1">
      <c r="A836" s="8" t="s">
        <v>20</v>
      </c>
    </row>
    <row r="837" spans="1:1">
      <c r="A837" s="8" t="s">
        <v>20</v>
      </c>
    </row>
    <row r="838" spans="1:1">
      <c r="A838" s="8" t="s">
        <v>20</v>
      </c>
    </row>
    <row r="839" spans="1:1">
      <c r="A839" s="8"/>
    </row>
    <row r="840" spans="1:1">
      <c r="A840" s="8" t="s">
        <v>20</v>
      </c>
    </row>
    <row r="841" spans="1:1">
      <c r="A841" s="8" t="s">
        <v>20</v>
      </c>
    </row>
    <row r="842" spans="1:1">
      <c r="A842" s="8" t="s">
        <v>20</v>
      </c>
    </row>
    <row r="843" spans="1:1">
      <c r="A843" s="8" t="s">
        <v>20</v>
      </c>
    </row>
    <row r="844" spans="1:1">
      <c r="A844" s="8"/>
    </row>
    <row r="845" spans="1:1">
      <c r="A845" s="8" t="s">
        <v>20</v>
      </c>
    </row>
    <row r="846" spans="1:1">
      <c r="A846" s="8" t="s">
        <v>20</v>
      </c>
    </row>
    <row r="847" spans="1:1">
      <c r="A847" s="8" t="s">
        <v>20</v>
      </c>
    </row>
    <row r="848" spans="1:1">
      <c r="A848" s="8" t="s">
        <v>20</v>
      </c>
    </row>
    <row r="849" spans="1:1">
      <c r="A849" s="8" t="s">
        <v>20</v>
      </c>
    </row>
    <row r="850" spans="1:1">
      <c r="A850" s="8"/>
    </row>
    <row r="851" spans="1:1">
      <c r="A851" s="8" t="s">
        <v>20</v>
      </c>
    </row>
    <row r="852" spans="1:1">
      <c r="A852" s="8" t="s">
        <v>20</v>
      </c>
    </row>
    <row r="853" spans="1:1">
      <c r="A853" s="8" t="s">
        <v>20</v>
      </c>
    </row>
    <row r="854" spans="1:1">
      <c r="A854" s="8"/>
    </row>
    <row r="855" spans="1:1">
      <c r="A855" s="8" t="s">
        <v>20</v>
      </c>
    </row>
    <row r="856" spans="1:1">
      <c r="A856" s="8" t="s">
        <v>20</v>
      </c>
    </row>
    <row r="857" spans="1:1">
      <c r="A857" s="8" t="s">
        <v>20</v>
      </c>
    </row>
    <row r="858" spans="1:1">
      <c r="A858" s="8" t="s">
        <v>20</v>
      </c>
    </row>
    <row r="859" spans="1:1">
      <c r="A859" s="8" t="s">
        <v>20</v>
      </c>
    </row>
    <row r="860" spans="1:1">
      <c r="A860" s="8" t="s">
        <v>20</v>
      </c>
    </row>
    <row r="861" spans="1:1">
      <c r="A861" s="8" t="s">
        <v>20</v>
      </c>
    </row>
    <row r="862" spans="1:1">
      <c r="A862" s="8" t="s">
        <v>20</v>
      </c>
    </row>
    <row r="863" spans="1:1">
      <c r="A863" s="8" t="s">
        <v>20</v>
      </c>
    </row>
    <row r="864" spans="1:1">
      <c r="A864" s="8" t="s">
        <v>20</v>
      </c>
    </row>
    <row r="865" spans="1:1">
      <c r="A865" s="8" t="s">
        <v>20</v>
      </c>
    </row>
    <row r="866" spans="1:1">
      <c r="A866" s="8"/>
    </row>
    <row r="867" spans="1:1">
      <c r="A867" s="8" t="s">
        <v>20</v>
      </c>
    </row>
    <row r="868" spans="1:1">
      <c r="A868" s="8"/>
    </row>
    <row r="869" spans="1:1">
      <c r="A869" s="8" t="s">
        <v>20</v>
      </c>
    </row>
    <row r="870" spans="1:1">
      <c r="A870" s="8" t="s">
        <v>20</v>
      </c>
    </row>
    <row r="871" spans="1:1">
      <c r="A871" s="8" t="s">
        <v>20</v>
      </c>
    </row>
    <row r="872" spans="1:1">
      <c r="A872" s="8" t="s">
        <v>20</v>
      </c>
    </row>
    <row r="873" spans="1:1">
      <c r="A873" s="8" t="s">
        <v>20</v>
      </c>
    </row>
    <row r="874" spans="1:1">
      <c r="A874" s="8" t="s">
        <v>20</v>
      </c>
    </row>
    <row r="875" spans="1:1">
      <c r="A875" s="8"/>
    </row>
    <row r="876" spans="1:1">
      <c r="A876" s="8" t="s">
        <v>20</v>
      </c>
    </row>
    <row r="877" spans="1:1">
      <c r="A877" s="8" t="s">
        <v>20</v>
      </c>
    </row>
    <row r="878" spans="1:1">
      <c r="A878" s="8" t="s">
        <v>20</v>
      </c>
    </row>
    <row r="879" spans="1:1">
      <c r="A879" s="8" t="s">
        <v>20</v>
      </c>
    </row>
    <row r="880" spans="1:1">
      <c r="A880" s="8"/>
    </row>
    <row r="881" spans="1:1">
      <c r="A881" s="8" t="s">
        <v>20</v>
      </c>
    </row>
    <row r="882" spans="1:1">
      <c r="A882" s="8" t="s">
        <v>20</v>
      </c>
    </row>
    <row r="883" spans="1:1">
      <c r="A883" s="8" t="s">
        <v>20</v>
      </c>
    </row>
    <row r="884" spans="1:1">
      <c r="A884" s="8" t="s">
        <v>20</v>
      </c>
    </row>
    <row r="885" spans="1:1">
      <c r="A885" s="8" t="s">
        <v>20</v>
      </c>
    </row>
    <row r="886" spans="1:1">
      <c r="A886" s="8"/>
    </row>
    <row r="887" spans="1:1">
      <c r="A887" s="8" t="s">
        <v>20</v>
      </c>
    </row>
    <row r="888" spans="1:1">
      <c r="A888" s="8" t="s">
        <v>20</v>
      </c>
    </row>
    <row r="889" spans="1:1">
      <c r="A889" s="8"/>
    </row>
    <row r="890" spans="1:1">
      <c r="A890" s="8" t="s">
        <v>20</v>
      </c>
    </row>
    <row r="891" spans="1:1">
      <c r="A891" s="8" t="s">
        <v>20</v>
      </c>
    </row>
    <row r="892" spans="1:1">
      <c r="A892" s="8" t="s">
        <v>20</v>
      </c>
    </row>
    <row r="893" spans="1:1">
      <c r="A893" s="8" t="s">
        <v>20</v>
      </c>
    </row>
    <row r="894" spans="1:1">
      <c r="A894" s="8" t="s">
        <v>20</v>
      </c>
    </row>
    <row r="895" spans="1:1">
      <c r="A895" s="8"/>
    </row>
    <row r="896" spans="1:1">
      <c r="A896" s="8" t="s">
        <v>20</v>
      </c>
    </row>
    <row r="897" spans="1:1">
      <c r="A897" s="8"/>
    </row>
    <row r="898" spans="1:1">
      <c r="A898" s="8" t="s">
        <v>20</v>
      </c>
    </row>
    <row r="899" spans="1:1">
      <c r="A899" s="8" t="s">
        <v>20</v>
      </c>
    </row>
    <row r="900" spans="1:1">
      <c r="A900" s="8" t="s">
        <v>20</v>
      </c>
    </row>
    <row r="901" spans="1:1">
      <c r="A901" s="8"/>
    </row>
    <row r="902" spans="1:1">
      <c r="A902" s="8" t="s">
        <v>20</v>
      </c>
    </row>
    <row r="903" spans="1:1">
      <c r="A903" s="8" t="s">
        <v>20</v>
      </c>
    </row>
    <row r="904" spans="1:1">
      <c r="A904" s="8"/>
    </row>
    <row r="905" spans="1:1">
      <c r="A905" s="8" t="s">
        <v>20</v>
      </c>
    </row>
    <row r="906" spans="1:1">
      <c r="A906" s="8" t="s">
        <v>20</v>
      </c>
    </row>
    <row r="907" spans="1:1">
      <c r="A907" s="8" t="s">
        <v>20</v>
      </c>
    </row>
    <row r="908" spans="1:1">
      <c r="A908" s="8"/>
    </row>
    <row r="909" spans="1:1">
      <c r="A909" s="8" t="s">
        <v>20</v>
      </c>
    </row>
    <row r="910" spans="1:1">
      <c r="A910" s="8" t="s">
        <v>20</v>
      </c>
    </row>
    <row r="911" spans="1:1">
      <c r="A911" s="8" t="s">
        <v>20</v>
      </c>
    </row>
    <row r="912" spans="1:1">
      <c r="A912" s="8" t="s">
        <v>20</v>
      </c>
    </row>
    <row r="913" spans="1:1">
      <c r="A913" s="8" t="s">
        <v>20</v>
      </c>
    </row>
    <row r="914" spans="1:1">
      <c r="A914" s="8" t="s">
        <v>20</v>
      </c>
    </row>
    <row r="915" spans="1:1">
      <c r="A915" s="8" t="s">
        <v>20</v>
      </c>
    </row>
    <row r="916" spans="1:1">
      <c r="A916" s="8" t="s">
        <v>20</v>
      </c>
    </row>
    <row r="917" spans="1:1">
      <c r="A917" s="8" t="s">
        <v>20</v>
      </c>
    </row>
    <row r="918" spans="1:1">
      <c r="A918" s="8" t="s">
        <v>20</v>
      </c>
    </row>
    <row r="919" spans="1:1">
      <c r="A919" s="8" t="s">
        <v>20</v>
      </c>
    </row>
    <row r="920" spans="1:1">
      <c r="A920" s="8"/>
    </row>
    <row r="921" spans="1:1">
      <c r="A921" s="8" t="s">
        <v>20</v>
      </c>
    </row>
    <row r="922" spans="1:1">
      <c r="A922" s="8"/>
    </row>
    <row r="923" spans="1:1">
      <c r="A923" s="8" t="s">
        <v>20</v>
      </c>
    </row>
    <row r="924" spans="1:1">
      <c r="A924" s="8" t="s">
        <v>20</v>
      </c>
    </row>
    <row r="925" spans="1:1">
      <c r="A925" s="8" t="s">
        <v>20</v>
      </c>
    </row>
    <row r="926" spans="1:1">
      <c r="A926" s="8" t="s">
        <v>20</v>
      </c>
    </row>
    <row r="927" spans="1:1">
      <c r="A927" s="8"/>
    </row>
    <row r="928" spans="1:1">
      <c r="A928" s="8" t="s">
        <v>20</v>
      </c>
    </row>
    <row r="929" spans="1:1">
      <c r="A929" s="8"/>
    </row>
    <row r="930" spans="1:1">
      <c r="A930" s="8" t="s">
        <v>20</v>
      </c>
    </row>
    <row r="931" spans="1:1">
      <c r="A931" s="8" t="s">
        <v>20</v>
      </c>
    </row>
    <row r="932" spans="1:1">
      <c r="A932" s="8" t="s">
        <v>20</v>
      </c>
    </row>
    <row r="933" spans="1:1">
      <c r="A933" s="8"/>
    </row>
    <row r="934" spans="1:1">
      <c r="A934" s="8" t="s">
        <v>20</v>
      </c>
    </row>
    <row r="935" spans="1:1">
      <c r="A935" s="8" t="s">
        <v>20</v>
      </c>
    </row>
    <row r="936" spans="1:1">
      <c r="A936" s="8"/>
    </row>
    <row r="937" spans="1:1">
      <c r="A937" s="8" t="s">
        <v>20</v>
      </c>
    </row>
    <row r="938" spans="1:1">
      <c r="A938" s="8" t="s">
        <v>20</v>
      </c>
    </row>
    <row r="939" spans="1:1">
      <c r="A939" s="8"/>
    </row>
    <row r="940" spans="1:1">
      <c r="A940" s="8" t="s">
        <v>20</v>
      </c>
    </row>
    <row r="941" spans="1:1">
      <c r="A941" s="8" t="s">
        <v>20</v>
      </c>
    </row>
    <row r="942" spans="1:1">
      <c r="A942" s="8" t="s">
        <v>20</v>
      </c>
    </row>
    <row r="943" spans="1:1">
      <c r="A943" s="8" t="s">
        <v>20</v>
      </c>
    </row>
    <row r="944" spans="1:1">
      <c r="A944" s="8" t="s">
        <v>20</v>
      </c>
    </row>
    <row r="945" spans="1:1">
      <c r="A945" s="8"/>
    </row>
    <row r="946" spans="1:1">
      <c r="A946" s="8" t="s">
        <v>20</v>
      </c>
    </row>
    <row r="947" spans="1:1">
      <c r="A947" s="8" t="s">
        <v>20</v>
      </c>
    </row>
    <row r="948" spans="1:1">
      <c r="A948" s="8"/>
    </row>
    <row r="949" spans="1:1">
      <c r="A949" s="8" t="s">
        <v>20</v>
      </c>
    </row>
    <row r="950" spans="1:1">
      <c r="A950" s="8" t="s">
        <v>20</v>
      </c>
    </row>
    <row r="951" spans="1:1">
      <c r="A951" s="8"/>
    </row>
    <row r="952" spans="1:1">
      <c r="A952" s="8" t="s">
        <v>20</v>
      </c>
    </row>
    <row r="953" spans="1:1">
      <c r="A953" s="8" t="s">
        <v>20</v>
      </c>
    </row>
    <row r="954" spans="1:1">
      <c r="A954" s="8" t="s">
        <v>20</v>
      </c>
    </row>
    <row r="955" spans="1:1">
      <c r="A955" s="8" t="s">
        <v>20</v>
      </c>
    </row>
    <row r="956" spans="1:1">
      <c r="A956" s="8" t="s">
        <v>20</v>
      </c>
    </row>
    <row r="957" spans="1:1">
      <c r="A957" s="8" t="s">
        <v>20</v>
      </c>
    </row>
    <row r="958" spans="1:1">
      <c r="A958" s="8"/>
    </row>
    <row r="959" spans="1:1">
      <c r="A959" s="8" t="s">
        <v>20</v>
      </c>
    </row>
    <row r="960" spans="1:1">
      <c r="A960" s="8" t="s">
        <v>20</v>
      </c>
    </row>
    <row r="961" spans="1:1">
      <c r="A961" s="8" t="s">
        <v>20</v>
      </c>
    </row>
    <row r="962" spans="1:1">
      <c r="A962" s="8" t="s">
        <v>20</v>
      </c>
    </row>
    <row r="963" spans="1:1">
      <c r="A963" s="8" t="s">
        <v>20</v>
      </c>
    </row>
    <row r="964" spans="1:1">
      <c r="A964" s="8" t="s">
        <v>20</v>
      </c>
    </row>
    <row r="965" spans="1:1">
      <c r="A965" s="8"/>
    </row>
    <row r="966" spans="1:1">
      <c r="A966" s="8" t="s">
        <v>20</v>
      </c>
    </row>
    <row r="967" spans="1:1">
      <c r="A967" s="8" t="s">
        <v>20</v>
      </c>
    </row>
    <row r="968" spans="1:1">
      <c r="A968" s="8" t="s">
        <v>20</v>
      </c>
    </row>
    <row r="969" spans="1:1">
      <c r="A969" s="8" t="s">
        <v>20</v>
      </c>
    </row>
    <row r="970" spans="1:1">
      <c r="A970" s="8"/>
    </row>
    <row r="971" spans="1:1">
      <c r="A971" s="8" t="s">
        <v>20</v>
      </c>
    </row>
    <row r="972" spans="1:1">
      <c r="A972" s="8"/>
    </row>
    <row r="973" spans="1:1">
      <c r="A973" s="8" t="s">
        <v>20</v>
      </c>
    </row>
    <row r="974" spans="1:1">
      <c r="A974" s="8" t="s">
        <v>20</v>
      </c>
    </row>
    <row r="975" spans="1:1">
      <c r="A975" s="8" t="s">
        <v>20</v>
      </c>
    </row>
    <row r="976" spans="1:1">
      <c r="A976" s="8" t="s">
        <v>20</v>
      </c>
    </row>
    <row r="977" spans="1:1">
      <c r="A977" s="8" t="s">
        <v>20</v>
      </c>
    </row>
    <row r="978" spans="1:1">
      <c r="A978" s="8" t="s">
        <v>20</v>
      </c>
    </row>
    <row r="979" spans="1:1">
      <c r="A979" s="8" t="s">
        <v>20</v>
      </c>
    </row>
    <row r="980" spans="1:1">
      <c r="A980" s="8" t="s">
        <v>20</v>
      </c>
    </row>
    <row r="981" spans="1:1">
      <c r="A981" s="8"/>
    </row>
    <row r="982" spans="1:1">
      <c r="A982" s="8" t="s">
        <v>20</v>
      </c>
    </row>
    <row r="983" spans="1:1">
      <c r="A983" s="8" t="s">
        <v>20</v>
      </c>
    </row>
    <row r="984" spans="1:1">
      <c r="A984" s="8" t="s">
        <v>20</v>
      </c>
    </row>
    <row r="985" spans="1:1">
      <c r="A985" s="8" t="s">
        <v>20</v>
      </c>
    </row>
    <row r="986" spans="1:1">
      <c r="A986" s="8" t="s">
        <v>20</v>
      </c>
    </row>
    <row r="987" spans="1:1">
      <c r="A987" s="8"/>
    </row>
    <row r="988" spans="1:1">
      <c r="A988" s="8" t="s">
        <v>20</v>
      </c>
    </row>
    <row r="989" spans="1:1">
      <c r="A989" s="8" t="s">
        <v>20</v>
      </c>
    </row>
    <row r="990" spans="1:1">
      <c r="A990" s="8" t="s">
        <v>20</v>
      </c>
    </row>
    <row r="991" spans="1:1">
      <c r="A991" s="8"/>
    </row>
    <row r="992" spans="1:1">
      <c r="A992" s="8" t="s">
        <v>20</v>
      </c>
    </row>
    <row r="993" spans="1:1">
      <c r="A993" s="8"/>
    </row>
    <row r="994" spans="1:1">
      <c r="A994" s="8" t="s">
        <v>20</v>
      </c>
    </row>
    <row r="995" spans="1:1">
      <c r="A995" s="8" t="s">
        <v>20</v>
      </c>
    </row>
    <row r="996" spans="1:1">
      <c r="A996" s="8"/>
    </row>
    <row r="997" spans="1:1">
      <c r="A997" s="8" t="s">
        <v>20</v>
      </c>
    </row>
    <row r="998" spans="1:1">
      <c r="A998" s="8" t="s">
        <v>20</v>
      </c>
    </row>
    <row r="999" spans="1:1">
      <c r="A999" s="8" t="s">
        <v>20</v>
      </c>
    </row>
    <row r="1000" spans="1:1">
      <c r="A1000" s="8" t="s">
        <v>20</v>
      </c>
    </row>
    <row r="1001" spans="1:1">
      <c r="A1001" s="8" t="s">
        <v>20</v>
      </c>
    </row>
    <row r="1002" spans="1:1">
      <c r="A1002" s="8" t="s">
        <v>20</v>
      </c>
    </row>
    <row r="1003" spans="1:1">
      <c r="A1003" s="8" t="s">
        <v>20</v>
      </c>
    </row>
    <row r="1004" spans="1:1">
      <c r="A1004" s="8" t="s">
        <v>20</v>
      </c>
    </row>
    <row r="1005" spans="1:1">
      <c r="A1005" s="8" t="s">
        <v>20</v>
      </c>
    </row>
    <row r="1006" spans="1:1">
      <c r="A1006" s="8" t="s">
        <v>20</v>
      </c>
    </row>
    <row r="1007" spans="1:1">
      <c r="A1007" s="8" t="s">
        <v>20</v>
      </c>
    </row>
    <row r="1008" spans="1:1">
      <c r="A1008" s="8"/>
    </row>
    <row r="1009" spans="1:1">
      <c r="A1009" s="8" t="s">
        <v>20</v>
      </c>
    </row>
    <row r="1010" spans="1:1">
      <c r="A1010" s="8" t="s">
        <v>20</v>
      </c>
    </row>
    <row r="1011" spans="1:1">
      <c r="A1011" s="8" t="s">
        <v>20</v>
      </c>
    </row>
    <row r="1012" spans="1:1">
      <c r="A1012" s="8" t="s">
        <v>20</v>
      </c>
    </row>
    <row r="1013" spans="1:1">
      <c r="A1013" s="8" t="s">
        <v>20</v>
      </c>
    </row>
    <row r="1014" spans="1:1">
      <c r="A1014" s="8" t="s">
        <v>20</v>
      </c>
    </row>
    <row r="1015" spans="1:1">
      <c r="A1015" s="8" t="s">
        <v>20</v>
      </c>
    </row>
    <row r="1016" spans="1:1">
      <c r="A1016" s="8" t="s">
        <v>20</v>
      </c>
    </row>
    <row r="1017" spans="1:1">
      <c r="A1017" s="8" t="s">
        <v>20</v>
      </c>
    </row>
    <row r="1018" spans="1:1">
      <c r="A1018" s="8" t="s">
        <v>20</v>
      </c>
    </row>
    <row r="1019" spans="1:1">
      <c r="A1019" s="8" t="s">
        <v>20</v>
      </c>
    </row>
    <row r="1020" spans="1:1">
      <c r="A1020" s="8" t="s">
        <v>20</v>
      </c>
    </row>
    <row r="1021" spans="1:1">
      <c r="A1021" s="8" t="s">
        <v>20</v>
      </c>
    </row>
    <row r="1022" spans="1:1">
      <c r="A1022" s="8" t="s">
        <v>20</v>
      </c>
    </row>
    <row r="1023" spans="1:1">
      <c r="A1023" s="8" t="s">
        <v>20</v>
      </c>
    </row>
    <row r="1024" spans="1:1">
      <c r="A1024" s="8" t="s">
        <v>20</v>
      </c>
    </row>
    <row r="1025" spans="1:1">
      <c r="A1025" s="8" t="s">
        <v>20</v>
      </c>
    </row>
    <row r="1026" spans="1:1">
      <c r="A1026" s="8" t="s">
        <v>20</v>
      </c>
    </row>
    <row r="1027" spans="1:1">
      <c r="A1027" s="8" t="s">
        <v>20</v>
      </c>
    </row>
    <row r="1028" spans="1:1">
      <c r="A1028" s="8" t="s">
        <v>20</v>
      </c>
    </row>
    <row r="1029" spans="1:1">
      <c r="A1029" s="8" t="s">
        <v>20</v>
      </c>
    </row>
    <row r="1030" spans="1:1">
      <c r="A1030" s="8" t="s">
        <v>20</v>
      </c>
    </row>
    <row r="1031" spans="1:1">
      <c r="A1031" s="8"/>
    </row>
    <row r="1032" spans="1:1">
      <c r="A1032" s="8" t="s">
        <v>20</v>
      </c>
    </row>
    <row r="1033" spans="1:1">
      <c r="A1033" s="8"/>
    </row>
    <row r="1034" spans="1:1">
      <c r="A1034" s="8" t="s">
        <v>20</v>
      </c>
    </row>
    <row r="1035" spans="1:1">
      <c r="A1035" s="8"/>
    </row>
    <row r="1036" spans="1:1">
      <c r="A1036" s="8" t="s">
        <v>20</v>
      </c>
    </row>
    <row r="1037" spans="1:1">
      <c r="A1037" s="8" t="s">
        <v>20</v>
      </c>
    </row>
    <row r="1038" spans="1:1">
      <c r="A1038" s="8" t="s">
        <v>20</v>
      </c>
    </row>
    <row r="1039" spans="1:1">
      <c r="A1039" s="8" t="s">
        <v>20</v>
      </c>
    </row>
    <row r="1040" spans="1:1">
      <c r="A1040" s="8"/>
    </row>
    <row r="1041" spans="1:1">
      <c r="A1041" s="8" t="s">
        <v>20</v>
      </c>
    </row>
    <row r="1042" spans="1:1">
      <c r="A1042" s="8" t="s">
        <v>20</v>
      </c>
    </row>
    <row r="1043" spans="1:1">
      <c r="A1043" s="8" t="s">
        <v>20</v>
      </c>
    </row>
    <row r="1044" spans="1:1">
      <c r="A1044" s="8" t="s">
        <v>20</v>
      </c>
    </row>
    <row r="1045" spans="1:1">
      <c r="A1045" s="8"/>
    </row>
    <row r="1046" spans="1:1">
      <c r="A1046" s="8" t="s">
        <v>20</v>
      </c>
    </row>
    <row r="1047" spans="1:1">
      <c r="A1047" s="8" t="s">
        <v>20</v>
      </c>
    </row>
    <row r="1048" spans="1:1">
      <c r="A1048" s="8" t="s">
        <v>20</v>
      </c>
    </row>
    <row r="1049" spans="1:1">
      <c r="A1049" s="8"/>
    </row>
    <row r="1050" spans="1:1">
      <c r="A1050" s="8" t="s">
        <v>20</v>
      </c>
    </row>
    <row r="1051" spans="1:1">
      <c r="A1051" s="8" t="s">
        <v>20</v>
      </c>
    </row>
    <row r="1052" spans="1:1">
      <c r="A1052" s="8" t="s">
        <v>20</v>
      </c>
    </row>
    <row r="1053" spans="1:1">
      <c r="A1053" s="8"/>
    </row>
    <row r="1054" spans="1:1">
      <c r="A1054" s="8" t="s">
        <v>20</v>
      </c>
    </row>
    <row r="1055" spans="1:1">
      <c r="A1055" s="8"/>
    </row>
    <row r="1056" spans="1:1">
      <c r="A1056" s="8" t="s">
        <v>20</v>
      </c>
    </row>
    <row r="1057" spans="1:1">
      <c r="A1057" s="8" t="s">
        <v>20</v>
      </c>
    </row>
    <row r="1058" spans="1:1">
      <c r="A1058" s="8"/>
    </row>
    <row r="1059" spans="1:1">
      <c r="A1059" s="8" t="s">
        <v>20</v>
      </c>
    </row>
    <row r="1060" spans="1:1">
      <c r="A1060" s="8"/>
    </row>
    <row r="1061" spans="1:1">
      <c r="A1061" s="8" t="s">
        <v>20</v>
      </c>
    </row>
    <row r="1062" spans="1:1">
      <c r="A1062" s="8" t="s">
        <v>20</v>
      </c>
    </row>
    <row r="1063" spans="1:1">
      <c r="A1063" s="8"/>
    </row>
    <row r="1064" spans="1:1">
      <c r="A1064" s="8" t="s">
        <v>20</v>
      </c>
    </row>
    <row r="1065" spans="1:1">
      <c r="A1065" s="8"/>
    </row>
    <row r="1066" spans="1:1">
      <c r="A1066" s="8" t="s">
        <v>20</v>
      </c>
    </row>
    <row r="1067" spans="1:1">
      <c r="A1067" s="8"/>
    </row>
    <row r="1068" spans="1:1">
      <c r="A1068" s="8" t="s">
        <v>20</v>
      </c>
    </row>
    <row r="1069" spans="1:1">
      <c r="A1069" s="8" t="s">
        <v>20</v>
      </c>
    </row>
    <row r="1070" spans="1:1">
      <c r="A1070" s="8"/>
    </row>
    <row r="1071" spans="1:1">
      <c r="A1071" s="8" t="s">
        <v>20</v>
      </c>
    </row>
    <row r="1072" spans="1:1">
      <c r="A1072" s="8" t="s">
        <v>20</v>
      </c>
    </row>
    <row r="1073" spans="1:1">
      <c r="A1073" s="8"/>
    </row>
    <row r="1074" spans="1:1">
      <c r="A1074" s="8" t="s">
        <v>20</v>
      </c>
    </row>
    <row r="1075" spans="1:1">
      <c r="A1075" s="8"/>
    </row>
    <row r="1076" spans="1:1">
      <c r="A1076" s="8" t="s">
        <v>20</v>
      </c>
    </row>
    <row r="1077" spans="1:1">
      <c r="A1077" s="8"/>
    </row>
    <row r="1078" spans="1:1">
      <c r="A1078" s="8" t="s">
        <v>20</v>
      </c>
    </row>
    <row r="1079" spans="1:1">
      <c r="A1079" s="8"/>
    </row>
    <row r="1080" spans="1:1">
      <c r="A1080" s="8" t="s">
        <v>20</v>
      </c>
    </row>
    <row r="1081" spans="1:1">
      <c r="A1081" s="8"/>
    </row>
    <row r="1082" spans="1:1">
      <c r="A1082" s="8" t="s">
        <v>20</v>
      </c>
    </row>
    <row r="1083" spans="1:1">
      <c r="A1083" s="8"/>
    </row>
    <row r="1084" spans="1:1">
      <c r="A1084" s="8" t="s">
        <v>20</v>
      </c>
    </row>
    <row r="1085" spans="1:1">
      <c r="A1085" s="8"/>
    </row>
    <row r="1086" spans="1:1">
      <c r="A1086" s="8" t="s">
        <v>20</v>
      </c>
    </row>
    <row r="1087" spans="1:1">
      <c r="A1087" s="8"/>
    </row>
    <row r="1088" spans="1:1">
      <c r="A1088" s="8" t="s">
        <v>20</v>
      </c>
    </row>
    <row r="1089" spans="1:1">
      <c r="A1089" s="8" t="s">
        <v>20</v>
      </c>
    </row>
    <row r="1090" spans="1:1">
      <c r="A1090" s="8" t="s">
        <v>20</v>
      </c>
    </row>
    <row r="1091" spans="1:1">
      <c r="A1091" s="8"/>
    </row>
    <row r="1092" spans="1:1">
      <c r="A1092" s="8" t="s">
        <v>20</v>
      </c>
    </row>
    <row r="1093" spans="1:1">
      <c r="A1093" s="8" t="s">
        <v>20</v>
      </c>
    </row>
    <row r="1094" spans="1:1">
      <c r="A1094" s="8" t="s">
        <v>20</v>
      </c>
    </row>
    <row r="1095" spans="1:1">
      <c r="A1095" s="8"/>
    </row>
    <row r="1096" spans="1:1">
      <c r="A1096" s="8" t="s">
        <v>20</v>
      </c>
    </row>
    <row r="1097" spans="1:1">
      <c r="A1097" s="8" t="s">
        <v>20</v>
      </c>
    </row>
    <row r="1098" spans="1:1">
      <c r="A1098" s="8"/>
    </row>
    <row r="1099" spans="1:1">
      <c r="A1099" s="8" t="s">
        <v>20</v>
      </c>
    </row>
    <row r="1100" spans="1:1">
      <c r="A1100" s="8" t="s">
        <v>20</v>
      </c>
    </row>
    <row r="1101" spans="1:1">
      <c r="A1101" s="8" t="s">
        <v>20</v>
      </c>
    </row>
    <row r="1102" spans="1:1">
      <c r="A1102" s="8"/>
    </row>
    <row r="1103" spans="1:1">
      <c r="A1103" s="8" t="s">
        <v>20</v>
      </c>
    </row>
    <row r="1104" spans="1:1">
      <c r="A1104" s="8" t="s">
        <v>20</v>
      </c>
    </row>
    <row r="1105" spans="1:1">
      <c r="A1105" s="8" t="s">
        <v>20</v>
      </c>
    </row>
    <row r="1106" spans="1:1">
      <c r="A1106" s="8"/>
    </row>
    <row r="1107" spans="1:1">
      <c r="A1107" s="8" t="s">
        <v>20</v>
      </c>
    </row>
    <row r="1108" spans="1:1">
      <c r="A1108" s="8" t="s">
        <v>20</v>
      </c>
    </row>
    <row r="1109" spans="1:1">
      <c r="A1109" s="8"/>
    </row>
    <row r="1110" spans="1:1">
      <c r="A1110" s="8" t="s">
        <v>20</v>
      </c>
    </row>
    <row r="1111" spans="1:1">
      <c r="A1111" s="8" t="s">
        <v>20</v>
      </c>
    </row>
    <row r="1112" spans="1:1">
      <c r="A1112" s="8"/>
    </row>
    <row r="1113" spans="1:1">
      <c r="A1113" s="8" t="s">
        <v>20</v>
      </c>
    </row>
    <row r="1114" spans="1:1">
      <c r="A1114" s="8" t="s">
        <v>20</v>
      </c>
    </row>
    <row r="1115" spans="1:1">
      <c r="A1115" s="8"/>
    </row>
    <row r="1116" spans="1:1">
      <c r="A1116" s="8" t="s">
        <v>20</v>
      </c>
    </row>
    <row r="1117" spans="1:1">
      <c r="A1117" s="8" t="s">
        <v>20</v>
      </c>
    </row>
    <row r="1118" spans="1:1">
      <c r="A1118" s="8"/>
    </row>
    <row r="1119" spans="1:1">
      <c r="A1119" s="8" t="s">
        <v>20</v>
      </c>
    </row>
    <row r="1120" spans="1:1">
      <c r="A1120" s="8" t="s">
        <v>20</v>
      </c>
    </row>
    <row r="1121" spans="1:1">
      <c r="A1121" s="8"/>
    </row>
    <row r="1122" spans="1:1">
      <c r="A1122" s="8" t="s">
        <v>20</v>
      </c>
    </row>
    <row r="1123" spans="1:1">
      <c r="A1123" s="8" t="s">
        <v>20</v>
      </c>
    </row>
    <row r="1124" spans="1:1">
      <c r="A1124" s="8"/>
    </row>
    <row r="1125" spans="1:1">
      <c r="A1125" s="8" t="s">
        <v>20</v>
      </c>
    </row>
    <row r="1126" spans="1:1">
      <c r="A1126" s="8"/>
    </row>
    <row r="1127" spans="1:1">
      <c r="A1127" s="8" t="s">
        <v>20</v>
      </c>
    </row>
    <row r="1128" spans="1:1">
      <c r="A1128" s="8" t="s">
        <v>20</v>
      </c>
    </row>
    <row r="1129" spans="1:1">
      <c r="A1129" s="8"/>
    </row>
    <row r="1130" spans="1:1">
      <c r="A1130" s="8" t="s">
        <v>20</v>
      </c>
    </row>
    <row r="1131" spans="1:1">
      <c r="A1131" s="8"/>
    </row>
    <row r="1132" spans="1:1">
      <c r="A1132" s="8" t="s">
        <v>20</v>
      </c>
    </row>
    <row r="1133" spans="1:1">
      <c r="A1133" s="8" t="s">
        <v>20</v>
      </c>
    </row>
    <row r="1134" spans="1:1">
      <c r="A1134" s="8"/>
    </row>
    <row r="1135" spans="1:1">
      <c r="A1135" s="8" t="s">
        <v>20</v>
      </c>
    </row>
    <row r="1136" spans="1:1">
      <c r="A1136" s="8" t="s">
        <v>20</v>
      </c>
    </row>
    <row r="1137" spans="1:1">
      <c r="A1137" s="8"/>
    </row>
    <row r="1138" spans="1:1">
      <c r="A1138" s="8" t="s">
        <v>20</v>
      </c>
    </row>
    <row r="1139" spans="1:1">
      <c r="A1139" s="8" t="s">
        <v>20</v>
      </c>
    </row>
    <row r="1140" spans="1:1">
      <c r="A1140" s="8"/>
    </row>
    <row r="1141" spans="1:1">
      <c r="A1141" s="8" t="s">
        <v>20</v>
      </c>
    </row>
    <row r="1142" spans="1:1">
      <c r="A1142" s="8" t="s">
        <v>20</v>
      </c>
    </row>
    <row r="1143" spans="1:1">
      <c r="A1143" s="8" t="s">
        <v>20</v>
      </c>
    </row>
    <row r="1144" spans="1:1">
      <c r="A1144" s="8" t="s">
        <v>20</v>
      </c>
    </row>
    <row r="1145" spans="1:1">
      <c r="A1145" s="8" t="s">
        <v>20</v>
      </c>
    </row>
    <row r="1146" spans="1:1">
      <c r="A1146" s="8"/>
    </row>
    <row r="1147" spans="1:1">
      <c r="A1147" s="8" t="s">
        <v>20</v>
      </c>
    </row>
    <row r="1148" spans="1:1">
      <c r="A1148" s="8" t="s">
        <v>20</v>
      </c>
    </row>
    <row r="1149" spans="1:1">
      <c r="A1149" s="8" t="s">
        <v>20</v>
      </c>
    </row>
    <row r="1150" spans="1:1">
      <c r="A1150" s="8" t="s">
        <v>20</v>
      </c>
    </row>
    <row r="1151" spans="1:1">
      <c r="A1151" s="8" t="s">
        <v>20</v>
      </c>
    </row>
    <row r="1152" spans="1:1">
      <c r="A1152" s="8" t="s">
        <v>20</v>
      </c>
    </row>
    <row r="1153" spans="1:1">
      <c r="A1153" s="8" t="s">
        <v>20</v>
      </c>
    </row>
    <row r="1154" spans="1:1">
      <c r="A1154" s="8"/>
    </row>
    <row r="1155" spans="1:1">
      <c r="A1155" s="8" t="s">
        <v>20</v>
      </c>
    </row>
    <row r="1156" spans="1:1">
      <c r="A1156" s="8" t="s">
        <v>20</v>
      </c>
    </row>
    <row r="1157" spans="1:1">
      <c r="A1157" s="8" t="s">
        <v>20</v>
      </c>
    </row>
    <row r="1158" spans="1:1">
      <c r="A1158" s="8" t="s">
        <v>20</v>
      </c>
    </row>
    <row r="1159" spans="1:1">
      <c r="A1159" s="8" t="s">
        <v>20</v>
      </c>
    </row>
    <row r="1160" spans="1:1">
      <c r="A1160" s="8" t="s">
        <v>20</v>
      </c>
    </row>
    <row r="1161" spans="1:1">
      <c r="A1161" s="8" t="s">
        <v>20</v>
      </c>
    </row>
    <row r="1162" spans="1:1">
      <c r="A1162" s="8"/>
    </row>
    <row r="1163" spans="1:1">
      <c r="A1163" s="8" t="s">
        <v>20</v>
      </c>
    </row>
    <row r="1164" spans="1:1">
      <c r="A1164" s="8" t="s">
        <v>20</v>
      </c>
    </row>
    <row r="1165" spans="1:1">
      <c r="A1165" s="8" t="s">
        <v>20</v>
      </c>
    </row>
    <row r="1166" spans="1:1">
      <c r="A1166" s="8" t="s">
        <v>20</v>
      </c>
    </row>
    <row r="1167" spans="1:1">
      <c r="A1167" s="8" t="s">
        <v>20</v>
      </c>
    </row>
    <row r="1168" spans="1:1">
      <c r="A1168" s="8" t="s">
        <v>20</v>
      </c>
    </row>
    <row r="1169" spans="1:1">
      <c r="A1169" s="8" t="s">
        <v>20</v>
      </c>
    </row>
    <row r="1170" spans="1:1">
      <c r="A1170" s="8" t="s">
        <v>20</v>
      </c>
    </row>
    <row r="1171" spans="1:1">
      <c r="A1171" s="8" t="s">
        <v>20</v>
      </c>
    </row>
    <row r="1172" spans="1:1">
      <c r="A1172" s="8" t="s">
        <v>20</v>
      </c>
    </row>
    <row r="1173" spans="1:1">
      <c r="A1173" s="8" t="s">
        <v>20</v>
      </c>
    </row>
    <row r="1174" spans="1:1">
      <c r="A1174" s="8"/>
    </row>
    <row r="1175" spans="1:1">
      <c r="A1175" s="8" t="s">
        <v>20</v>
      </c>
    </row>
    <row r="1176" spans="1:1">
      <c r="A1176" s="8" t="s">
        <v>20</v>
      </c>
    </row>
    <row r="1177" spans="1:1">
      <c r="A1177" s="8" t="s">
        <v>20</v>
      </c>
    </row>
    <row r="1178" spans="1:1">
      <c r="A1178" s="8" t="s">
        <v>20</v>
      </c>
    </row>
    <row r="1179" spans="1:1">
      <c r="A1179" s="8" t="s">
        <v>20</v>
      </c>
    </row>
    <row r="1180" spans="1:1">
      <c r="A1180" s="8" t="s">
        <v>20</v>
      </c>
    </row>
    <row r="1181" spans="1:1">
      <c r="A1181" s="8"/>
    </row>
    <row r="1182" spans="1:1">
      <c r="A1182" s="8"/>
    </row>
    <row r="1183" spans="1:1">
      <c r="A1183" s="8" t="s">
        <v>20</v>
      </c>
    </row>
    <row r="1184" spans="1:1">
      <c r="A1184" s="8" t="s">
        <v>20</v>
      </c>
    </row>
    <row r="1185" spans="1:1">
      <c r="A1185" s="8" t="s">
        <v>20</v>
      </c>
    </row>
    <row r="1186" spans="1:1">
      <c r="A1186" s="8" t="s">
        <v>20</v>
      </c>
    </row>
    <row r="1187" spans="1:1">
      <c r="A1187" s="8" t="s">
        <v>20</v>
      </c>
    </row>
    <row r="1188" spans="1:1">
      <c r="A1188" s="8" t="s">
        <v>20</v>
      </c>
    </row>
    <row r="1189" spans="1:1">
      <c r="A1189" s="8" t="s">
        <v>20</v>
      </c>
    </row>
    <row r="1190" spans="1:1">
      <c r="A1190" s="8" t="s">
        <v>20</v>
      </c>
    </row>
    <row r="1191" spans="1:1">
      <c r="A1191" s="8"/>
    </row>
    <row r="1192" spans="1:1">
      <c r="A1192" s="8" t="s">
        <v>20</v>
      </c>
    </row>
    <row r="1193" spans="1:1">
      <c r="A1193" s="8" t="s">
        <v>20</v>
      </c>
    </row>
    <row r="1194" spans="1:1">
      <c r="A1194" s="8"/>
    </row>
    <row r="1195" spans="1:1">
      <c r="A1195" s="8" t="s">
        <v>20</v>
      </c>
    </row>
    <row r="1196" spans="1:1">
      <c r="A1196" s="8" t="s">
        <v>20</v>
      </c>
    </row>
    <row r="1197" spans="1:1">
      <c r="A1197" s="8" t="s">
        <v>20</v>
      </c>
    </row>
    <row r="1198" spans="1:1">
      <c r="A1198" s="8" t="s">
        <v>20</v>
      </c>
    </row>
    <row r="1199" spans="1:1">
      <c r="A1199" s="8"/>
    </row>
    <row r="1200" spans="1:1">
      <c r="A1200" s="8" t="s">
        <v>20</v>
      </c>
    </row>
    <row r="1201" spans="1:1">
      <c r="A1201" s="8" t="s">
        <v>20</v>
      </c>
    </row>
    <row r="1202" spans="1:1">
      <c r="A1202" s="8" t="s">
        <v>20</v>
      </c>
    </row>
    <row r="1203" spans="1:1">
      <c r="A1203" s="8" t="s">
        <v>20</v>
      </c>
    </row>
    <row r="1204" spans="1:1">
      <c r="A1204" s="8" t="s">
        <v>20</v>
      </c>
    </row>
    <row r="1205" spans="1:1">
      <c r="A1205" s="8" t="s">
        <v>20</v>
      </c>
    </row>
    <row r="1206" spans="1:1">
      <c r="A1206" s="8" t="s">
        <v>20</v>
      </c>
    </row>
    <row r="1207" spans="1:1">
      <c r="A1207" s="8" t="s">
        <v>20</v>
      </c>
    </row>
    <row r="1208" spans="1:1">
      <c r="A1208" s="8" t="s">
        <v>20</v>
      </c>
    </row>
    <row r="1209" spans="1:1">
      <c r="A1209" s="8" t="s">
        <v>20</v>
      </c>
    </row>
    <row r="1210" spans="1:1">
      <c r="A1210" s="8" t="s">
        <v>20</v>
      </c>
    </row>
    <row r="1211" spans="1:1">
      <c r="A1211" s="8" t="s">
        <v>20</v>
      </c>
    </row>
    <row r="1212" spans="1:1">
      <c r="A1212" s="8"/>
    </row>
    <row r="1213" spans="1:1">
      <c r="A1213" s="8" t="s">
        <v>20</v>
      </c>
    </row>
    <row r="1214" spans="1:1">
      <c r="A1214" s="8" t="s">
        <v>20</v>
      </c>
    </row>
    <row r="1215" spans="1:1">
      <c r="A1215" s="8" t="s">
        <v>20</v>
      </c>
    </row>
    <row r="1216" spans="1:1">
      <c r="A1216" s="8" t="s">
        <v>20</v>
      </c>
    </row>
    <row r="1217" spans="1:1">
      <c r="A1217" s="8" t="s">
        <v>20</v>
      </c>
    </row>
    <row r="1218" spans="1:1">
      <c r="A1218" s="8" t="s">
        <v>20</v>
      </c>
    </row>
    <row r="1219" spans="1:1">
      <c r="A1219" s="8"/>
    </row>
    <row r="1220" spans="1:1">
      <c r="A1220" s="8" t="s">
        <v>20</v>
      </c>
    </row>
    <row r="1221" spans="1:1">
      <c r="A1221" s="8" t="s">
        <v>20</v>
      </c>
    </row>
    <row r="1222" spans="1:1">
      <c r="A1222" s="8" t="s">
        <v>20</v>
      </c>
    </row>
    <row r="1223" spans="1:1">
      <c r="A1223" s="8"/>
    </row>
    <row r="1224" spans="1:1">
      <c r="A1224" s="8" t="s">
        <v>20</v>
      </c>
    </row>
    <row r="1225" spans="1:1">
      <c r="A1225" s="8" t="s">
        <v>20</v>
      </c>
    </row>
    <row r="1226" spans="1:1">
      <c r="A1226" s="8" t="s">
        <v>20</v>
      </c>
    </row>
    <row r="1227" spans="1:1">
      <c r="A1227" s="8" t="s">
        <v>20</v>
      </c>
    </row>
    <row r="1228" spans="1:1">
      <c r="A1228" s="8" t="s">
        <v>20</v>
      </c>
    </row>
    <row r="1229" spans="1:1">
      <c r="A1229" s="8" t="s">
        <v>20</v>
      </c>
    </row>
    <row r="1230" spans="1:1">
      <c r="A1230" s="8" t="s">
        <v>20</v>
      </c>
    </row>
    <row r="1231" spans="1:1">
      <c r="A1231" s="8" t="s">
        <v>20</v>
      </c>
    </row>
    <row r="1232" spans="1:1">
      <c r="A1232" s="8" t="s">
        <v>20</v>
      </c>
    </row>
    <row r="1233" spans="1:1">
      <c r="A1233" s="8" t="s">
        <v>20</v>
      </c>
    </row>
    <row r="1234" spans="1:1">
      <c r="A1234" s="8" t="s">
        <v>20</v>
      </c>
    </row>
    <row r="1235" spans="1:1">
      <c r="A1235" s="8" t="s">
        <v>20</v>
      </c>
    </row>
    <row r="1236" spans="1:1">
      <c r="A1236" s="8" t="s">
        <v>20</v>
      </c>
    </row>
    <row r="1237" spans="1:1">
      <c r="A1237" s="8" t="s">
        <v>20</v>
      </c>
    </row>
    <row r="1238" spans="1:1">
      <c r="A1238" s="8" t="s">
        <v>20</v>
      </c>
    </row>
    <row r="1239" spans="1:1">
      <c r="A1239" s="8" t="s">
        <v>20</v>
      </c>
    </row>
    <row r="1240" spans="1:1">
      <c r="A1240" s="8"/>
    </row>
    <row r="1241" spans="1:1">
      <c r="A1241" s="8" t="s">
        <v>20</v>
      </c>
    </row>
    <row r="1242" spans="1:1">
      <c r="A1242" s="8" t="s">
        <v>20</v>
      </c>
    </row>
    <row r="1243" spans="1:1">
      <c r="A1243" s="8" t="s">
        <v>20</v>
      </c>
    </row>
    <row r="1244" spans="1:1">
      <c r="A1244" s="8" t="s">
        <v>20</v>
      </c>
    </row>
    <row r="1245" spans="1:1">
      <c r="A1245" s="8" t="s">
        <v>20</v>
      </c>
    </row>
    <row r="1246" spans="1:1">
      <c r="A1246" s="8" t="s">
        <v>20</v>
      </c>
    </row>
    <row r="1247" spans="1:1">
      <c r="A1247" s="8" t="s">
        <v>20</v>
      </c>
    </row>
    <row r="1248" spans="1:1">
      <c r="A1248" s="8" t="s">
        <v>20</v>
      </c>
    </row>
    <row r="1249" spans="1:1">
      <c r="A1249" s="8" t="s">
        <v>20</v>
      </c>
    </row>
    <row r="1250" spans="1:1">
      <c r="A1250" s="8" t="s">
        <v>20</v>
      </c>
    </row>
    <row r="1251" spans="1:1">
      <c r="A1251" s="8" t="s">
        <v>20</v>
      </c>
    </row>
    <row r="1252" spans="1:1">
      <c r="A1252" s="8" t="s">
        <v>20</v>
      </c>
    </row>
    <row r="1253" spans="1:1">
      <c r="A1253" s="8" t="s">
        <v>20</v>
      </c>
    </row>
    <row r="1254" spans="1:1">
      <c r="A1254" s="8" t="s">
        <v>20</v>
      </c>
    </row>
    <row r="1255" spans="1:1">
      <c r="A1255" s="8" t="s">
        <v>20</v>
      </c>
    </row>
    <row r="1256" spans="1:1">
      <c r="A1256" s="8" t="s">
        <v>20</v>
      </c>
    </row>
    <row r="1257" spans="1:1">
      <c r="A1257" s="8" t="s">
        <v>20</v>
      </c>
    </row>
    <row r="1258" spans="1:1">
      <c r="A1258" s="8" t="s">
        <v>20</v>
      </c>
    </row>
    <row r="1259" spans="1:1">
      <c r="A1259" s="8" t="s">
        <v>20</v>
      </c>
    </row>
    <row r="1260" spans="1:1">
      <c r="A1260" s="8" t="s">
        <v>20</v>
      </c>
    </row>
    <row r="1261" spans="1:1">
      <c r="A1261" s="8" t="s">
        <v>20</v>
      </c>
    </row>
    <row r="1262" spans="1:1">
      <c r="A1262" s="8" t="s">
        <v>20</v>
      </c>
    </row>
    <row r="1263" spans="1:1">
      <c r="A1263" s="8" t="s">
        <v>20</v>
      </c>
    </row>
    <row r="1264" spans="1:1">
      <c r="A1264" s="8" t="s">
        <v>20</v>
      </c>
    </row>
    <row r="1265" spans="1:1">
      <c r="A1265" s="8" t="s">
        <v>20</v>
      </c>
    </row>
    <row r="1266" spans="1:1">
      <c r="A1266" s="8" t="s">
        <v>20</v>
      </c>
    </row>
    <row r="1267" spans="1:1">
      <c r="A1267" s="8" t="s">
        <v>20</v>
      </c>
    </row>
    <row r="1268" spans="1:1">
      <c r="A1268" s="8" t="s">
        <v>20</v>
      </c>
    </row>
    <row r="1269" spans="1:1">
      <c r="A1269" s="8" t="s">
        <v>20</v>
      </c>
    </row>
    <row r="1270" spans="1:1">
      <c r="A1270" s="8" t="s">
        <v>20</v>
      </c>
    </row>
    <row r="1271" spans="1:1">
      <c r="A1271" s="8" t="s">
        <v>20</v>
      </c>
    </row>
    <row r="1272" spans="1:1">
      <c r="A1272" s="8"/>
    </row>
    <row r="1273" spans="1:1">
      <c r="A1273" s="8" t="s">
        <v>20</v>
      </c>
    </row>
    <row r="1274" spans="1:1">
      <c r="A1274" s="8" t="s">
        <v>20</v>
      </c>
    </row>
    <row r="1275" spans="1:1">
      <c r="A1275" s="8" t="s">
        <v>20</v>
      </c>
    </row>
    <row r="1276" spans="1:1">
      <c r="A1276" s="8" t="s">
        <v>20</v>
      </c>
    </row>
    <row r="1277" spans="1:1">
      <c r="A1277" s="8" t="s">
        <v>20</v>
      </c>
    </row>
    <row r="1278" spans="1:1">
      <c r="A1278" s="8" t="s">
        <v>20</v>
      </c>
    </row>
    <row r="1279" spans="1:1">
      <c r="A1279" s="8" t="s">
        <v>20</v>
      </c>
    </row>
    <row r="1280" spans="1:1">
      <c r="A1280" s="8" t="s">
        <v>20</v>
      </c>
    </row>
    <row r="1281" spans="1:1">
      <c r="A1281" s="8" t="s">
        <v>20</v>
      </c>
    </row>
    <row r="1282" spans="1:1">
      <c r="A1282" s="8" t="s">
        <v>20</v>
      </c>
    </row>
    <row r="1283" spans="1:1">
      <c r="A1283" s="8" t="s">
        <v>20</v>
      </c>
    </row>
    <row r="1284" spans="1:1">
      <c r="A1284" s="8" t="s">
        <v>20</v>
      </c>
    </row>
    <row r="1285" spans="1:1">
      <c r="A1285" s="8" t="s">
        <v>20</v>
      </c>
    </row>
    <row r="1286" spans="1:1">
      <c r="A1286" s="8" t="s">
        <v>20</v>
      </c>
    </row>
    <row r="1287" spans="1:1">
      <c r="A1287" s="8" t="s">
        <v>20</v>
      </c>
    </row>
    <row r="1288" spans="1:1">
      <c r="A1288" s="8" t="s">
        <v>20</v>
      </c>
    </row>
    <row r="1289" spans="1:1">
      <c r="A1289" s="8" t="s">
        <v>20</v>
      </c>
    </row>
    <row r="1290" spans="1:1">
      <c r="A1290" s="8" t="s">
        <v>20</v>
      </c>
    </row>
    <row r="1291" spans="1:1">
      <c r="A1291" s="8" t="s">
        <v>20</v>
      </c>
    </row>
    <row r="1292" spans="1:1">
      <c r="A1292" s="8" t="s">
        <v>20</v>
      </c>
    </row>
    <row r="1293" spans="1:1">
      <c r="A1293" s="8" t="s">
        <v>20</v>
      </c>
    </row>
    <row r="1294" spans="1:1">
      <c r="A1294" s="8" t="s">
        <v>20</v>
      </c>
    </row>
    <row r="1295" spans="1:1">
      <c r="A1295" s="8" t="s">
        <v>20</v>
      </c>
    </row>
    <row r="1296" spans="1:1">
      <c r="A1296" s="8" t="s">
        <v>20</v>
      </c>
    </row>
    <row r="1297" spans="1:1">
      <c r="A1297" s="8" t="s">
        <v>20</v>
      </c>
    </row>
    <row r="1298" spans="1:1">
      <c r="A1298" s="8" t="s">
        <v>20</v>
      </c>
    </row>
    <row r="1299" spans="1:1">
      <c r="A1299" s="8" t="s">
        <v>20</v>
      </c>
    </row>
    <row r="1300" spans="1:1">
      <c r="A1300" s="8" t="s">
        <v>20</v>
      </c>
    </row>
    <row r="1301" spans="1:1">
      <c r="A1301" s="8"/>
    </row>
    <row r="1302" spans="1:1">
      <c r="A1302" s="8" t="s">
        <v>20</v>
      </c>
    </row>
    <row r="1303" spans="1:1">
      <c r="A1303" s="8" t="s">
        <v>20</v>
      </c>
    </row>
    <row r="1304" spans="1:1">
      <c r="A1304" s="8" t="s">
        <v>20</v>
      </c>
    </row>
    <row r="1305" spans="1:1">
      <c r="A1305" s="8" t="s">
        <v>20</v>
      </c>
    </row>
    <row r="1306" spans="1:1">
      <c r="A1306" s="8" t="s">
        <v>20</v>
      </c>
    </row>
    <row r="1307" spans="1:1">
      <c r="A1307" s="8" t="s">
        <v>20</v>
      </c>
    </row>
    <row r="1308" spans="1:1">
      <c r="A1308" s="8"/>
    </row>
    <row r="1309" spans="1:1">
      <c r="A1309" s="8" t="s">
        <v>20</v>
      </c>
    </row>
    <row r="1310" spans="1:1">
      <c r="A1310" s="8" t="s">
        <v>20</v>
      </c>
    </row>
    <row r="1311" spans="1:1">
      <c r="A1311" s="8"/>
    </row>
    <row r="1312" spans="1:1">
      <c r="A1312" s="8" t="s">
        <v>20</v>
      </c>
    </row>
    <row r="1313" spans="1:1">
      <c r="A1313" s="8" t="s">
        <v>20</v>
      </c>
    </row>
    <row r="1314" spans="1:1">
      <c r="A1314" s="8"/>
    </row>
    <row r="1315" spans="1:1">
      <c r="A1315" s="8" t="s">
        <v>20</v>
      </c>
    </row>
    <row r="1316" spans="1:1">
      <c r="A1316" s="8"/>
    </row>
    <row r="1317" spans="1:1">
      <c r="A1317" s="8" t="s">
        <v>20</v>
      </c>
    </row>
    <row r="1318" spans="1:1">
      <c r="A1318" s="8" t="s">
        <v>20</v>
      </c>
    </row>
    <row r="1319" spans="1:1">
      <c r="A1319" s="8" t="s">
        <v>20</v>
      </c>
    </row>
    <row r="1320" spans="1:1">
      <c r="A1320" s="8" t="s">
        <v>20</v>
      </c>
    </row>
    <row r="1321" spans="1:1">
      <c r="A1321" s="8" t="s">
        <v>20</v>
      </c>
    </row>
    <row r="1322" spans="1:1">
      <c r="A1322" s="8"/>
    </row>
    <row r="1323" spans="1:1">
      <c r="A1323" s="8" t="s">
        <v>20</v>
      </c>
    </row>
    <row r="1324" spans="1:1">
      <c r="A1324" s="8" t="s">
        <v>20</v>
      </c>
    </row>
    <row r="1325" spans="1:1">
      <c r="A1325" s="8" t="s">
        <v>20</v>
      </c>
    </row>
    <row r="1326" spans="1:1">
      <c r="A1326" s="8" t="s">
        <v>20</v>
      </c>
    </row>
    <row r="1327" spans="1:1">
      <c r="A1327" s="8" t="s">
        <v>20</v>
      </c>
    </row>
    <row r="1328" spans="1:1">
      <c r="A1328" s="8" t="s">
        <v>20</v>
      </c>
    </row>
    <row r="1329" spans="1:1">
      <c r="A1329" s="8" t="s">
        <v>20</v>
      </c>
    </row>
    <row r="1330" spans="1:1">
      <c r="A1330" s="8" t="s">
        <v>20</v>
      </c>
    </row>
    <row r="1331" spans="1:1">
      <c r="A1331" s="8" t="s">
        <v>20</v>
      </c>
    </row>
    <row r="1332" spans="1:1">
      <c r="A1332" s="8" t="s">
        <v>20</v>
      </c>
    </row>
    <row r="1333" spans="1:1">
      <c r="A1333" s="8" t="s">
        <v>20</v>
      </c>
    </row>
    <row r="1334" spans="1:1">
      <c r="A1334" s="8" t="s">
        <v>20</v>
      </c>
    </row>
    <row r="1335" spans="1:1">
      <c r="A1335" s="8" t="s">
        <v>20</v>
      </c>
    </row>
    <row r="1336" spans="1:1">
      <c r="A1336" s="8" t="s">
        <v>20</v>
      </c>
    </row>
    <row r="1337" spans="1:1">
      <c r="A1337" s="8" t="s">
        <v>20</v>
      </c>
    </row>
    <row r="1338" spans="1:1">
      <c r="A1338" s="8" t="s">
        <v>20</v>
      </c>
    </row>
    <row r="1339" spans="1:1">
      <c r="A1339" s="8" t="s">
        <v>20</v>
      </c>
    </row>
    <row r="1340" spans="1:1">
      <c r="A1340" s="8" t="s">
        <v>20</v>
      </c>
    </row>
    <row r="1341" spans="1:1">
      <c r="A1341" s="8"/>
    </row>
    <row r="1342" spans="1:1">
      <c r="A1342" s="8" t="s">
        <v>20</v>
      </c>
    </row>
    <row r="1343" spans="1:1">
      <c r="A1343" s="8" t="s">
        <v>20</v>
      </c>
    </row>
    <row r="1344" spans="1:1">
      <c r="A1344" s="8" t="s">
        <v>20</v>
      </c>
    </row>
    <row r="1345" spans="1:1">
      <c r="A1345" s="8" t="s">
        <v>20</v>
      </c>
    </row>
    <row r="1346" spans="1:1">
      <c r="A1346" s="8" t="s">
        <v>20</v>
      </c>
    </row>
    <row r="1347" spans="1:1">
      <c r="A1347" s="8" t="s">
        <v>20</v>
      </c>
    </row>
    <row r="1348" spans="1:1">
      <c r="A1348" s="8" t="s">
        <v>20</v>
      </c>
    </row>
    <row r="1349" spans="1:1">
      <c r="A1349" s="8"/>
    </row>
    <row r="1350" spans="1:1">
      <c r="A1350" s="8" t="s">
        <v>20</v>
      </c>
    </row>
    <row r="1351" spans="1:1">
      <c r="A1351" s="8" t="s">
        <v>20</v>
      </c>
    </row>
    <row r="1352" spans="1:1">
      <c r="A1352" s="8" t="s">
        <v>20</v>
      </c>
    </row>
    <row r="1353" spans="1:1">
      <c r="A1353" s="8" t="s">
        <v>20</v>
      </c>
    </row>
    <row r="1354" spans="1:1">
      <c r="A1354" s="8" t="s">
        <v>20</v>
      </c>
    </row>
    <row r="1355" spans="1:1">
      <c r="A1355" s="8" t="s">
        <v>20</v>
      </c>
    </row>
    <row r="1356" spans="1:1">
      <c r="A1356" s="8" t="s">
        <v>20</v>
      </c>
    </row>
    <row r="1357" spans="1:1">
      <c r="A1357" s="8" t="s">
        <v>20</v>
      </c>
    </row>
    <row r="1358" spans="1:1">
      <c r="A1358" s="8" t="s">
        <v>20</v>
      </c>
    </row>
    <row r="1359" spans="1:1">
      <c r="A1359" s="8" t="s">
        <v>20</v>
      </c>
    </row>
    <row r="1360" spans="1:1">
      <c r="A1360" s="8" t="s">
        <v>20</v>
      </c>
    </row>
    <row r="1361" spans="1:1">
      <c r="A1361" s="8"/>
    </row>
    <row r="1362" spans="1:1">
      <c r="A1362" s="8" t="s">
        <v>20</v>
      </c>
    </row>
    <row r="1363" spans="1:1">
      <c r="A1363" s="8" t="s">
        <v>20</v>
      </c>
    </row>
    <row r="1364" spans="1:1">
      <c r="A1364" s="8" t="s">
        <v>20</v>
      </c>
    </row>
    <row r="1365" spans="1:1">
      <c r="A1365" s="8"/>
    </row>
    <row r="1366" spans="1:1">
      <c r="A1366" s="8" t="s">
        <v>20</v>
      </c>
    </row>
    <row r="1367" spans="1:1">
      <c r="A1367" s="8" t="s">
        <v>20</v>
      </c>
    </row>
    <row r="1368" spans="1:1">
      <c r="A1368" s="8" t="s">
        <v>20</v>
      </c>
    </row>
    <row r="1369" spans="1:1">
      <c r="A1369" s="8" t="s">
        <v>20</v>
      </c>
    </row>
    <row r="1370" spans="1:1">
      <c r="A1370" s="8" t="s">
        <v>20</v>
      </c>
    </row>
    <row r="1371" spans="1:1">
      <c r="A1371" s="8" t="s">
        <v>20</v>
      </c>
    </row>
    <row r="1372" spans="1:1">
      <c r="A1372" s="8" t="s">
        <v>20</v>
      </c>
    </row>
    <row r="1373" spans="1:1">
      <c r="A1373" s="8" t="s">
        <v>20</v>
      </c>
    </row>
    <row r="1374" spans="1:1">
      <c r="A1374" s="8" t="s">
        <v>20</v>
      </c>
    </row>
    <row r="1375" spans="1:1">
      <c r="A1375" s="8" t="s">
        <v>20</v>
      </c>
    </row>
    <row r="1376" spans="1:1">
      <c r="A1376" s="8" t="s">
        <v>20</v>
      </c>
    </row>
    <row r="1377" spans="1:1">
      <c r="A1377" s="8" t="s">
        <v>20</v>
      </c>
    </row>
    <row r="1378" spans="1:1">
      <c r="A1378" s="8" t="s">
        <v>20</v>
      </c>
    </row>
    <row r="1379" spans="1:1">
      <c r="A1379" s="8" t="s">
        <v>20</v>
      </c>
    </row>
    <row r="1380" spans="1:1">
      <c r="A1380" s="8" t="s">
        <v>20</v>
      </c>
    </row>
    <row r="1381" spans="1:1">
      <c r="A1381" s="8" t="s">
        <v>20</v>
      </c>
    </row>
    <row r="1382" spans="1:1">
      <c r="A1382" s="8" t="s">
        <v>20</v>
      </c>
    </row>
    <row r="1383" spans="1:1">
      <c r="A1383" s="8" t="s">
        <v>20</v>
      </c>
    </row>
    <row r="1384" spans="1:1">
      <c r="A1384" s="8" t="s">
        <v>20</v>
      </c>
    </row>
    <row r="1385" spans="1:1">
      <c r="A1385" s="8" t="s">
        <v>20</v>
      </c>
    </row>
    <row r="1386" spans="1:1">
      <c r="A1386" s="8"/>
    </row>
    <row r="1387" spans="1:1">
      <c r="A1387" s="8" t="s">
        <v>20</v>
      </c>
    </row>
    <row r="1388" spans="1:1">
      <c r="A1388" s="8" t="s">
        <v>20</v>
      </c>
    </row>
    <row r="1389" spans="1:1">
      <c r="A1389" s="8"/>
    </row>
    <row r="1390" spans="1:1">
      <c r="A1390" s="8" t="s">
        <v>20</v>
      </c>
    </row>
    <row r="1391" spans="1:1">
      <c r="A1391" s="8" t="s">
        <v>20</v>
      </c>
    </row>
    <row r="1392" spans="1:1">
      <c r="A1392" s="8" t="s">
        <v>20</v>
      </c>
    </row>
    <row r="1393" spans="1:1">
      <c r="A1393" s="8" t="s">
        <v>20</v>
      </c>
    </row>
    <row r="1394" spans="1:1">
      <c r="A1394" s="8" t="s">
        <v>20</v>
      </c>
    </row>
    <row r="1395" spans="1:1">
      <c r="A1395" s="8" t="s">
        <v>20</v>
      </c>
    </row>
    <row r="1396" spans="1:1">
      <c r="A1396" s="8" t="s">
        <v>20</v>
      </c>
    </row>
    <row r="1397" spans="1:1">
      <c r="A1397" s="8" t="s">
        <v>20</v>
      </c>
    </row>
    <row r="1398" spans="1:1">
      <c r="A1398" s="8" t="s">
        <v>20</v>
      </c>
    </row>
    <row r="1399" spans="1:1">
      <c r="A1399" s="8" t="s">
        <v>20</v>
      </c>
    </row>
    <row r="1400" spans="1:1">
      <c r="A1400" s="8" t="s">
        <v>20</v>
      </c>
    </row>
    <row r="1401" spans="1:1">
      <c r="A1401" s="8" t="s">
        <v>20</v>
      </c>
    </row>
    <row r="1402" spans="1:1">
      <c r="A1402" s="8" t="s">
        <v>20</v>
      </c>
    </row>
    <row r="1403" spans="1:1">
      <c r="A1403" s="8" t="s">
        <v>20</v>
      </c>
    </row>
    <row r="1404" spans="1:1">
      <c r="A1404" s="8" t="s">
        <v>20</v>
      </c>
    </row>
    <row r="1405" spans="1:1">
      <c r="A1405" s="8" t="s">
        <v>20</v>
      </c>
    </row>
    <row r="1406" spans="1:1">
      <c r="A1406" s="8" t="s">
        <v>20</v>
      </c>
    </row>
    <row r="1407" spans="1:1">
      <c r="A1407" s="8" t="s">
        <v>20</v>
      </c>
    </row>
    <row r="1408" spans="1:1">
      <c r="A1408" s="8" t="s">
        <v>20</v>
      </c>
    </row>
    <row r="1409" spans="1:1">
      <c r="A1409" s="8" t="s">
        <v>20</v>
      </c>
    </row>
    <row r="1410" spans="1:1">
      <c r="A1410" s="8" t="s">
        <v>20</v>
      </c>
    </row>
    <row r="1411" spans="1:1">
      <c r="A1411" s="8" t="s">
        <v>20</v>
      </c>
    </row>
    <row r="1412" spans="1:1">
      <c r="A1412" s="8" t="s">
        <v>20</v>
      </c>
    </row>
    <row r="1413" spans="1:1">
      <c r="A1413" s="8" t="s">
        <v>20</v>
      </c>
    </row>
    <row r="1414" spans="1:1">
      <c r="A1414" s="8" t="s">
        <v>20</v>
      </c>
    </row>
    <row r="1415" spans="1:1">
      <c r="A1415" s="8" t="s">
        <v>20</v>
      </c>
    </row>
    <row r="1416" spans="1:1">
      <c r="A1416" s="8" t="s">
        <v>20</v>
      </c>
    </row>
    <row r="1417" spans="1:1">
      <c r="A1417" s="8" t="s">
        <v>20</v>
      </c>
    </row>
    <row r="1418" spans="1:1">
      <c r="A1418" s="8" t="s">
        <v>20</v>
      </c>
    </row>
    <row r="1419" spans="1:1">
      <c r="A1419" s="8" t="s">
        <v>20</v>
      </c>
    </row>
    <row r="1420" spans="1:1">
      <c r="A1420" s="8" t="s">
        <v>20</v>
      </c>
    </row>
    <row r="1421" spans="1:1">
      <c r="A1421" s="8" t="s">
        <v>20</v>
      </c>
    </row>
    <row r="1422" spans="1:1">
      <c r="A1422" s="8" t="s">
        <v>20</v>
      </c>
    </row>
    <row r="1423" spans="1:1">
      <c r="A1423" s="8"/>
    </row>
    <row r="1424" spans="1:1">
      <c r="A1424" s="8" t="s">
        <v>20</v>
      </c>
    </row>
    <row r="1425" spans="1:1">
      <c r="A1425" s="8" t="s">
        <v>20</v>
      </c>
    </row>
    <row r="1426" spans="1:1">
      <c r="A1426" s="8" t="s">
        <v>20</v>
      </c>
    </row>
    <row r="1427" spans="1:1">
      <c r="A1427" s="8" t="s">
        <v>20</v>
      </c>
    </row>
    <row r="1428" spans="1:1">
      <c r="A1428" s="8" t="s">
        <v>20</v>
      </c>
    </row>
    <row r="1429" spans="1:1">
      <c r="A1429" s="8" t="s">
        <v>20</v>
      </c>
    </row>
    <row r="1430" spans="1:1">
      <c r="A1430" s="8" t="s">
        <v>20</v>
      </c>
    </row>
    <row r="1431" spans="1:1">
      <c r="A1431" s="8" t="s">
        <v>20</v>
      </c>
    </row>
    <row r="1432" spans="1:1">
      <c r="A1432" s="8" t="s">
        <v>20</v>
      </c>
    </row>
    <row r="1433" spans="1:1">
      <c r="A1433" s="8" t="s">
        <v>20</v>
      </c>
    </row>
    <row r="1434" spans="1:1">
      <c r="A1434" s="8"/>
    </row>
    <row r="1435" spans="1:1">
      <c r="A1435" s="8" t="s">
        <v>20</v>
      </c>
    </row>
    <row r="1436" spans="1:1">
      <c r="A1436" s="8"/>
    </row>
    <row r="1437" spans="1:1">
      <c r="A1437" s="8" t="s">
        <v>20</v>
      </c>
    </row>
    <row r="1438" spans="1:1">
      <c r="A1438" s="8" t="s">
        <v>20</v>
      </c>
    </row>
    <row r="1439" spans="1:1">
      <c r="A1439" s="8" t="s">
        <v>20</v>
      </c>
    </row>
    <row r="1440" spans="1:1">
      <c r="A1440" s="8" t="s">
        <v>20</v>
      </c>
    </row>
    <row r="1441" spans="1:1">
      <c r="A1441" s="8" t="s">
        <v>20</v>
      </c>
    </row>
    <row r="1442" spans="1:1">
      <c r="A1442" s="8" t="s">
        <v>20</v>
      </c>
    </row>
    <row r="1443" spans="1:1">
      <c r="A1443" s="8" t="s">
        <v>20</v>
      </c>
    </row>
    <row r="1444" spans="1:1">
      <c r="A1444" s="8" t="s">
        <v>20</v>
      </c>
    </row>
    <row r="1445" spans="1:1">
      <c r="A1445" s="8" t="s">
        <v>20</v>
      </c>
    </row>
    <row r="1446" spans="1:1">
      <c r="A1446" s="8" t="s">
        <v>20</v>
      </c>
    </row>
    <row r="1447" spans="1:1">
      <c r="A1447" s="8" t="s">
        <v>20</v>
      </c>
    </row>
    <row r="1448" spans="1:1">
      <c r="A1448" s="8" t="s">
        <v>20</v>
      </c>
    </row>
    <row r="1449" spans="1:1">
      <c r="A1449" s="8" t="s">
        <v>20</v>
      </c>
    </row>
    <row r="1450" spans="1:1">
      <c r="A1450" s="8" t="s">
        <v>20</v>
      </c>
    </row>
    <row r="1451" spans="1:1">
      <c r="A1451" s="8" t="s">
        <v>20</v>
      </c>
    </row>
    <row r="1452" spans="1:1">
      <c r="A1452" s="8" t="s">
        <v>20</v>
      </c>
    </row>
    <row r="1453" spans="1:1">
      <c r="A1453" s="8" t="s">
        <v>20</v>
      </c>
    </row>
    <row r="1454" spans="1:1">
      <c r="A1454" s="8"/>
    </row>
    <row r="1455" spans="1:1">
      <c r="A1455" s="8" t="s">
        <v>20</v>
      </c>
    </row>
    <row r="1456" spans="1:1">
      <c r="A1456" s="8" t="s">
        <v>20</v>
      </c>
    </row>
    <row r="1457" spans="1:1">
      <c r="A1457" s="8" t="s">
        <v>20</v>
      </c>
    </row>
    <row r="1458" spans="1:1">
      <c r="A1458" s="8" t="s">
        <v>20</v>
      </c>
    </row>
    <row r="1459" spans="1:1">
      <c r="A1459" s="8"/>
    </row>
    <row r="1460" spans="1:1">
      <c r="A1460" s="8" t="s">
        <v>20</v>
      </c>
    </row>
    <row r="1461" spans="1:1">
      <c r="A1461" s="8" t="s">
        <v>20</v>
      </c>
    </row>
    <row r="1462" spans="1:1">
      <c r="A1462" s="8" t="s">
        <v>20</v>
      </c>
    </row>
    <row r="1463" spans="1:1">
      <c r="A1463" s="8" t="s">
        <v>20</v>
      </c>
    </row>
    <row r="1464" spans="1:1">
      <c r="A1464" s="8" t="s">
        <v>20</v>
      </c>
    </row>
    <row r="1465" spans="1:1">
      <c r="A1465" s="8" t="s">
        <v>20</v>
      </c>
    </row>
    <row r="1466" spans="1:1">
      <c r="A1466" s="8"/>
    </row>
    <row r="1467" spans="1:1">
      <c r="A1467" s="8" t="s">
        <v>20</v>
      </c>
    </row>
    <row r="1468" spans="1:1">
      <c r="A1468" s="8" t="s">
        <v>20</v>
      </c>
    </row>
    <row r="1469" spans="1:1">
      <c r="A1469" s="8" t="s">
        <v>20</v>
      </c>
    </row>
    <row r="1470" spans="1:1">
      <c r="A1470" s="8" t="s">
        <v>20</v>
      </c>
    </row>
    <row r="1471" spans="1:1">
      <c r="A1471" s="8" t="s">
        <v>20</v>
      </c>
    </row>
    <row r="1472" spans="1:1">
      <c r="A1472" s="8" t="s">
        <v>20</v>
      </c>
    </row>
    <row r="1473" spans="1:1">
      <c r="A1473" s="8" t="s">
        <v>20</v>
      </c>
    </row>
    <row r="1474" spans="1:1">
      <c r="A1474" s="8" t="s">
        <v>20</v>
      </c>
    </row>
    <row r="1475" spans="1:1">
      <c r="A1475" s="8"/>
    </row>
    <row r="1476" spans="1:1">
      <c r="A1476" s="8" t="s">
        <v>20</v>
      </c>
    </row>
    <row r="1477" spans="1:1">
      <c r="A1477" s="8" t="s">
        <v>20</v>
      </c>
    </row>
    <row r="1478" spans="1:1">
      <c r="A1478" s="8" t="s">
        <v>20</v>
      </c>
    </row>
    <row r="1479" spans="1:1">
      <c r="A1479" s="8" t="s">
        <v>20</v>
      </c>
    </row>
    <row r="1480" spans="1:1">
      <c r="A1480" s="8" t="s">
        <v>20</v>
      </c>
    </row>
    <row r="1481" spans="1:1">
      <c r="A1481" s="8" t="s">
        <v>20</v>
      </c>
    </row>
    <row r="1482" spans="1:1">
      <c r="A1482" s="8" t="s">
        <v>20</v>
      </c>
    </row>
    <row r="1483" spans="1:1">
      <c r="A1483" s="8" t="s">
        <v>20</v>
      </c>
    </row>
    <row r="1484" spans="1:1">
      <c r="A1484" s="8"/>
    </row>
    <row r="1485" spans="1:1">
      <c r="A1485" s="8" t="s">
        <v>20</v>
      </c>
    </row>
    <row r="1486" spans="1:1">
      <c r="A1486" s="8" t="s">
        <v>20</v>
      </c>
    </row>
    <row r="1487" spans="1:1">
      <c r="A1487" s="8"/>
    </row>
    <row r="1488" spans="1:1">
      <c r="A1488" s="8"/>
    </row>
    <row r="1489" spans="1:1">
      <c r="A1489" s="8" t="s">
        <v>20</v>
      </c>
    </row>
    <row r="1490" spans="1:1">
      <c r="A1490" s="8" t="s">
        <v>20</v>
      </c>
    </row>
    <row r="1491" spans="1:1">
      <c r="A1491" s="8"/>
    </row>
    <row r="1492" spans="1:1">
      <c r="A1492" s="8" t="s">
        <v>20</v>
      </c>
    </row>
    <row r="1493" spans="1:1">
      <c r="A1493" s="8"/>
    </row>
    <row r="1494" spans="1:1">
      <c r="A1494" s="8" t="s">
        <v>20</v>
      </c>
    </row>
    <row r="1495" spans="1:1">
      <c r="A1495" s="8"/>
    </row>
    <row r="1496" spans="1:1">
      <c r="A1496" s="8" t="s">
        <v>20</v>
      </c>
    </row>
    <row r="1497" spans="1:1">
      <c r="A1497" s="8"/>
    </row>
    <row r="1498" spans="1:1">
      <c r="A1498" s="8" t="s">
        <v>20</v>
      </c>
    </row>
    <row r="1499" spans="1:1">
      <c r="A1499" s="8" t="s">
        <v>20</v>
      </c>
    </row>
    <row r="1500" spans="1:1">
      <c r="A1500" s="8" t="s">
        <v>20</v>
      </c>
    </row>
    <row r="1501" spans="1:1">
      <c r="A1501" s="8" t="s">
        <v>20</v>
      </c>
    </row>
    <row r="1502" spans="1:1">
      <c r="A1502" s="8" t="s">
        <v>20</v>
      </c>
    </row>
    <row r="1503" spans="1:1">
      <c r="A1503" s="8"/>
    </row>
    <row r="1504" spans="1:1">
      <c r="A1504" s="8" t="s">
        <v>20</v>
      </c>
    </row>
    <row r="1505" spans="1:1">
      <c r="A1505" s="8"/>
    </row>
    <row r="1506" spans="1:1">
      <c r="A1506" s="8" t="s">
        <v>20</v>
      </c>
    </row>
    <row r="1507" spans="1:1">
      <c r="A1507" s="8"/>
    </row>
    <row r="1508" spans="1:1">
      <c r="A1508" s="8" t="s">
        <v>20</v>
      </c>
    </row>
    <row r="1509" spans="1:1">
      <c r="A1509" s="8" t="s">
        <v>20</v>
      </c>
    </row>
    <row r="1510" spans="1:1">
      <c r="A1510" s="8"/>
    </row>
    <row r="1511" spans="1:1">
      <c r="A1511" s="8" t="s">
        <v>20</v>
      </c>
    </row>
    <row r="1512" spans="1:1">
      <c r="A1512" s="8"/>
    </row>
    <row r="1513" spans="1:1">
      <c r="A1513" s="8" t="s">
        <v>20</v>
      </c>
    </row>
    <row r="1514" spans="1:1">
      <c r="A1514" s="8" t="s">
        <v>20</v>
      </c>
    </row>
    <row r="1515" spans="1:1">
      <c r="A1515" s="8" t="s">
        <v>20</v>
      </c>
    </row>
    <row r="1516" spans="1:1">
      <c r="A1516" s="8"/>
    </row>
    <row r="1517" spans="1:1">
      <c r="A1517" s="8" t="s">
        <v>20</v>
      </c>
    </row>
    <row r="1518" spans="1:1">
      <c r="A1518" s="8" t="s">
        <v>20</v>
      </c>
    </row>
    <row r="1519" spans="1:1">
      <c r="A1519" s="8" t="s">
        <v>20</v>
      </c>
    </row>
    <row r="1520" spans="1:1">
      <c r="A1520" s="8" t="s">
        <v>20</v>
      </c>
    </row>
    <row r="1521" spans="1:1">
      <c r="A1521" s="8" t="s">
        <v>20</v>
      </c>
    </row>
    <row r="1522" spans="1:1">
      <c r="A1522" s="8"/>
    </row>
    <row r="1523" spans="1:1">
      <c r="A1523" s="8" t="s">
        <v>20</v>
      </c>
    </row>
    <row r="1524" spans="1:1">
      <c r="A1524" s="8"/>
    </row>
    <row r="1525" spans="1:1">
      <c r="A1525" s="8" t="s">
        <v>20</v>
      </c>
    </row>
    <row r="1526" spans="1:1">
      <c r="A1526" s="8"/>
    </row>
    <row r="1527" spans="1:1">
      <c r="A1527" s="8" t="s">
        <v>20</v>
      </c>
    </row>
    <row r="1528" spans="1:1">
      <c r="A1528" s="8" t="s">
        <v>20</v>
      </c>
    </row>
    <row r="1529" spans="1:1">
      <c r="A1529" s="8" t="s">
        <v>20</v>
      </c>
    </row>
    <row r="1530" spans="1:1">
      <c r="A1530" s="8"/>
    </row>
    <row r="1531" spans="1:1">
      <c r="A1531" s="8" t="s">
        <v>20</v>
      </c>
    </row>
    <row r="1532" spans="1:1">
      <c r="A1532" s="8"/>
    </row>
    <row r="1533" spans="1:1">
      <c r="A1533" s="8" t="s">
        <v>20</v>
      </c>
    </row>
    <row r="1534" spans="1:1">
      <c r="A1534" s="8" t="s">
        <v>20</v>
      </c>
    </row>
    <row r="1535" spans="1:1">
      <c r="A1535" s="8" t="s">
        <v>20</v>
      </c>
    </row>
    <row r="1536" spans="1:1">
      <c r="A1536" s="8" t="s">
        <v>20</v>
      </c>
    </row>
    <row r="1537" spans="1:1">
      <c r="A1537" s="8"/>
    </row>
    <row r="1538" spans="1:1">
      <c r="A1538" s="8" t="s">
        <v>20</v>
      </c>
    </row>
    <row r="1539" spans="1:1">
      <c r="A1539" s="8"/>
    </row>
    <row r="1540" spans="1:1">
      <c r="A1540" s="8" t="s">
        <v>20</v>
      </c>
    </row>
    <row r="1541" spans="1:1">
      <c r="A1541" s="8" t="s">
        <v>20</v>
      </c>
    </row>
    <row r="1542" spans="1:1">
      <c r="A1542" s="8" t="s">
        <v>20</v>
      </c>
    </row>
    <row r="1543" spans="1:1">
      <c r="A1543" s="8" t="s">
        <v>20</v>
      </c>
    </row>
    <row r="1544" spans="1:1">
      <c r="A1544" s="8"/>
    </row>
    <row r="1545" spans="1:1">
      <c r="A1545" s="8" t="s">
        <v>20</v>
      </c>
    </row>
    <row r="1546" spans="1:1">
      <c r="A1546" s="8" t="s">
        <v>20</v>
      </c>
    </row>
    <row r="1547" spans="1:1">
      <c r="A1547" s="8"/>
    </row>
    <row r="1548" spans="1:1">
      <c r="A1548" s="8" t="s">
        <v>20</v>
      </c>
    </row>
    <row r="1549" spans="1:1">
      <c r="A1549" s="8" t="s">
        <v>20</v>
      </c>
    </row>
    <row r="1550" spans="1:1">
      <c r="A1550" s="8" t="s">
        <v>20</v>
      </c>
    </row>
    <row r="1551" spans="1:1">
      <c r="A1551" s="8" t="s">
        <v>20</v>
      </c>
    </row>
    <row r="1552" spans="1:1">
      <c r="A1552" s="8"/>
    </row>
    <row r="1553" spans="1:1">
      <c r="A1553" s="8" t="s">
        <v>20</v>
      </c>
    </row>
    <row r="1554" spans="1:1">
      <c r="A1554" s="8" t="s">
        <v>20</v>
      </c>
    </row>
    <row r="1555" spans="1:1">
      <c r="A1555" s="8"/>
    </row>
    <row r="1556" spans="1:1">
      <c r="A1556" s="8" t="s">
        <v>20</v>
      </c>
    </row>
    <row r="1557" spans="1:1">
      <c r="A1557" s="8"/>
    </row>
    <row r="1558" spans="1:1">
      <c r="A1558" s="8" t="s">
        <v>20</v>
      </c>
    </row>
    <row r="1559" spans="1:1">
      <c r="A1559" s="8"/>
    </row>
    <row r="1560" spans="1:1">
      <c r="A1560" s="8" t="s">
        <v>20</v>
      </c>
    </row>
    <row r="1561" spans="1:1">
      <c r="A1561" s="8"/>
    </row>
    <row r="1562" spans="1:1">
      <c r="A1562" s="8" t="s">
        <v>20</v>
      </c>
    </row>
    <row r="1563" spans="1:1">
      <c r="A1563" s="8"/>
    </row>
    <row r="1564" spans="1:1">
      <c r="A1564" s="8" t="s">
        <v>20</v>
      </c>
    </row>
    <row r="1565" spans="1:1">
      <c r="A1565" s="8"/>
    </row>
    <row r="1566" spans="1:1">
      <c r="A1566" s="8" t="s">
        <v>20</v>
      </c>
    </row>
    <row r="1567" spans="1:1">
      <c r="A1567" s="8" t="s">
        <v>20</v>
      </c>
    </row>
    <row r="1568" spans="1:1">
      <c r="A1568" s="8"/>
    </row>
    <row r="1569" spans="1:1">
      <c r="A1569" s="8" t="s">
        <v>20</v>
      </c>
    </row>
    <row r="1570" spans="1:1">
      <c r="A1570" s="8"/>
    </row>
    <row r="1571" spans="1:1">
      <c r="A1571" s="8" t="s">
        <v>20</v>
      </c>
    </row>
    <row r="1572" spans="1:1">
      <c r="A1572" s="8"/>
    </row>
    <row r="1573" spans="1:1">
      <c r="A1573" s="8" t="s">
        <v>20</v>
      </c>
    </row>
    <row r="1574" spans="1:1">
      <c r="A1574" s="8"/>
    </row>
    <row r="1575" spans="1:1">
      <c r="A1575" s="8" t="s">
        <v>20</v>
      </c>
    </row>
    <row r="1576" spans="1:1">
      <c r="A1576" s="8"/>
    </row>
    <row r="1577" spans="1:1">
      <c r="A1577" s="8" t="s">
        <v>20</v>
      </c>
    </row>
    <row r="1578" spans="1:1">
      <c r="A1578" s="8" t="s">
        <v>20</v>
      </c>
    </row>
    <row r="1579" spans="1:1">
      <c r="A1579" s="8" t="s">
        <v>20</v>
      </c>
    </row>
    <row r="1580" spans="1:1">
      <c r="A1580" s="8"/>
    </row>
    <row r="1581" spans="1:1">
      <c r="A1581" s="8" t="s">
        <v>20</v>
      </c>
    </row>
    <row r="1582" spans="1:1">
      <c r="A1582" s="8" t="s">
        <v>20</v>
      </c>
    </row>
    <row r="1583" spans="1:1">
      <c r="A1583" s="8" t="s">
        <v>20</v>
      </c>
    </row>
    <row r="1584" spans="1:1">
      <c r="A1584" s="8"/>
    </row>
    <row r="1585" spans="1:1">
      <c r="A1585" s="8" t="s">
        <v>20</v>
      </c>
    </row>
    <row r="1586" spans="1:1">
      <c r="A1586" s="8" t="s">
        <v>20</v>
      </c>
    </row>
    <row r="1587" spans="1:1">
      <c r="A1587" s="8" t="s">
        <v>20</v>
      </c>
    </row>
    <row r="1588" spans="1:1">
      <c r="A1588" s="8" t="s">
        <v>20</v>
      </c>
    </row>
    <row r="1589" spans="1:1">
      <c r="A1589" s="8"/>
    </row>
    <row r="1590" spans="1:1">
      <c r="A1590" s="8" t="s">
        <v>20</v>
      </c>
    </row>
    <row r="1591" spans="1:1">
      <c r="A1591" s="8" t="s">
        <v>20</v>
      </c>
    </row>
    <row r="1592" spans="1:1">
      <c r="A1592" s="8" t="s">
        <v>20</v>
      </c>
    </row>
    <row r="1593" spans="1:1">
      <c r="A1593" s="8"/>
    </row>
    <row r="1594" spans="1:1">
      <c r="A1594" s="8" t="s">
        <v>20</v>
      </c>
    </row>
    <row r="1595" spans="1:1">
      <c r="A1595" s="8"/>
    </row>
    <row r="1596" spans="1:1">
      <c r="A1596" s="8" t="s">
        <v>20</v>
      </c>
    </row>
    <row r="1597" spans="1:1">
      <c r="A1597" s="8" t="s">
        <v>20</v>
      </c>
    </row>
    <row r="1598" spans="1:1">
      <c r="A1598" s="8" t="s">
        <v>20</v>
      </c>
    </row>
    <row r="1599" spans="1:1">
      <c r="A1599" s="8" t="s">
        <v>20</v>
      </c>
    </row>
    <row r="1600" spans="1:1">
      <c r="A1600" s="8" t="s">
        <v>20</v>
      </c>
    </row>
    <row r="1601" spans="1:1">
      <c r="A1601" s="8"/>
    </row>
    <row r="1602" spans="1:1">
      <c r="A1602" s="8" t="s">
        <v>20</v>
      </c>
    </row>
    <row r="1603" spans="1:1">
      <c r="A1603" s="8" t="s">
        <v>20</v>
      </c>
    </row>
    <row r="1604" spans="1:1">
      <c r="A1604" s="8"/>
    </row>
    <row r="1605" spans="1:1">
      <c r="A1605" s="8" t="s">
        <v>20</v>
      </c>
    </row>
    <row r="1606" spans="1:1">
      <c r="A1606" s="8" t="s">
        <v>20</v>
      </c>
    </row>
    <row r="1607" spans="1:1">
      <c r="A1607" s="8"/>
    </row>
    <row r="1608" spans="1:1">
      <c r="A1608" s="8" t="s">
        <v>20</v>
      </c>
    </row>
    <row r="1609" spans="1:1">
      <c r="A1609" s="8"/>
    </row>
    <row r="1610" spans="1:1">
      <c r="A1610" s="8" t="s">
        <v>20</v>
      </c>
    </row>
    <row r="1611" spans="1:1">
      <c r="A1611" s="8" t="s">
        <v>20</v>
      </c>
    </row>
    <row r="1612" spans="1:1">
      <c r="A1612" s="8"/>
    </row>
    <row r="1613" spans="1:1">
      <c r="A1613" s="8" t="s">
        <v>20</v>
      </c>
    </row>
    <row r="1614" spans="1:1">
      <c r="A1614" s="8" t="s">
        <v>20</v>
      </c>
    </row>
    <row r="1615" spans="1:1">
      <c r="A1615" s="8" t="s">
        <v>20</v>
      </c>
    </row>
    <row r="1616" spans="1:1">
      <c r="A1616" s="8"/>
    </row>
    <row r="1617" spans="1:1">
      <c r="A1617" s="8" t="s">
        <v>20</v>
      </c>
    </row>
    <row r="1618" spans="1:1">
      <c r="A1618" s="8"/>
    </row>
    <row r="1619" spans="1:1">
      <c r="A1619" s="8" t="s">
        <v>20</v>
      </c>
    </row>
    <row r="1620" spans="1:1">
      <c r="A1620" s="8" t="s">
        <v>20</v>
      </c>
    </row>
    <row r="1621" spans="1:1">
      <c r="A1621" s="8"/>
    </row>
    <row r="1622" spans="1:1">
      <c r="A1622" s="8" t="s">
        <v>20</v>
      </c>
    </row>
    <row r="1623" spans="1:1">
      <c r="A1623" s="8"/>
    </row>
    <row r="1624" spans="1:1">
      <c r="A1624" s="8" t="s">
        <v>20</v>
      </c>
    </row>
    <row r="1625" spans="1:1">
      <c r="A1625" s="8" t="s">
        <v>20</v>
      </c>
    </row>
    <row r="1626" spans="1:1">
      <c r="A1626" s="8"/>
    </row>
    <row r="1627" spans="1:1">
      <c r="A1627" s="8" t="s">
        <v>20</v>
      </c>
    </row>
    <row r="1628" spans="1:1">
      <c r="A1628" s="8" t="s">
        <v>20</v>
      </c>
    </row>
    <row r="1629" spans="1:1">
      <c r="A1629" s="8"/>
    </row>
    <row r="1630" spans="1:1">
      <c r="A1630" s="8" t="s">
        <v>20</v>
      </c>
    </row>
    <row r="1631" spans="1:1">
      <c r="A1631" s="8"/>
    </row>
    <row r="1632" spans="1:1">
      <c r="A1632" s="8" t="s">
        <v>20</v>
      </c>
    </row>
    <row r="1633" spans="1:1">
      <c r="A1633" s="8"/>
    </row>
    <row r="1634" spans="1:1">
      <c r="A1634" s="8" t="s">
        <v>20</v>
      </c>
    </row>
    <row r="1635" spans="1:1">
      <c r="A1635" s="8"/>
    </row>
    <row r="1636" spans="1:1">
      <c r="A1636" s="8" t="s">
        <v>20</v>
      </c>
    </row>
    <row r="1637" spans="1:1">
      <c r="A1637" s="8" t="s">
        <v>20</v>
      </c>
    </row>
    <row r="1638" spans="1:1">
      <c r="A1638" s="8" t="s">
        <v>20</v>
      </c>
    </row>
    <row r="1639" spans="1:1">
      <c r="A1639" s="8"/>
    </row>
    <row r="1640" spans="1:1">
      <c r="A1640" s="8" t="s">
        <v>20</v>
      </c>
    </row>
    <row r="1641" spans="1:1">
      <c r="A1641" s="8" t="s">
        <v>20</v>
      </c>
    </row>
    <row r="1642" spans="1:1">
      <c r="A1642" s="8" t="s">
        <v>20</v>
      </c>
    </row>
    <row r="1643" spans="1:1">
      <c r="A1643" s="8" t="s">
        <v>20</v>
      </c>
    </row>
    <row r="1644" spans="1:1">
      <c r="A1644" s="8" t="s">
        <v>20</v>
      </c>
    </row>
    <row r="1645" spans="1:1">
      <c r="A1645" s="8"/>
    </row>
    <row r="1646" spans="1:1">
      <c r="A1646" s="8" t="s">
        <v>20</v>
      </c>
    </row>
    <row r="1647" spans="1:1">
      <c r="A1647" s="8"/>
    </row>
    <row r="1648" spans="1:1">
      <c r="A1648" s="8" t="s">
        <v>20</v>
      </c>
    </row>
    <row r="1649" spans="1:1">
      <c r="A1649" s="8"/>
    </row>
    <row r="1650" spans="1:1">
      <c r="A1650" s="8" t="s">
        <v>20</v>
      </c>
    </row>
    <row r="1651" spans="1:1">
      <c r="A1651" s="8"/>
    </row>
    <row r="1652" spans="1:1">
      <c r="A1652" s="8" t="s">
        <v>20</v>
      </c>
    </row>
    <row r="1653" spans="1:1">
      <c r="A1653" s="8"/>
    </row>
    <row r="1654" spans="1:1">
      <c r="A1654" s="8" t="s">
        <v>20</v>
      </c>
    </row>
    <row r="1655" spans="1:1">
      <c r="A1655" s="8" t="s">
        <v>20</v>
      </c>
    </row>
    <row r="1656" spans="1:1">
      <c r="A1656" s="8"/>
    </row>
    <row r="1657" spans="1:1">
      <c r="A1657" s="8" t="s">
        <v>20</v>
      </c>
    </row>
    <row r="1658" spans="1:1">
      <c r="A1658" s="8"/>
    </row>
    <row r="1659" spans="1:1">
      <c r="A1659" s="8" t="s">
        <v>20</v>
      </c>
    </row>
    <row r="1660" spans="1:1">
      <c r="A1660" s="8" t="s">
        <v>20</v>
      </c>
    </row>
    <row r="1661" spans="1:1">
      <c r="A1661" s="8" t="s">
        <v>20</v>
      </c>
    </row>
    <row r="1662" spans="1:1">
      <c r="A1662" s="8" t="s">
        <v>20</v>
      </c>
    </row>
    <row r="1663" spans="1:1">
      <c r="A1663" s="8" t="s">
        <v>20</v>
      </c>
    </row>
    <row r="1664" spans="1:1">
      <c r="A1664" s="8"/>
    </row>
    <row r="1665" spans="1:1">
      <c r="A1665" s="8" t="s">
        <v>20</v>
      </c>
    </row>
    <row r="1666" spans="1:1">
      <c r="A1666" s="8"/>
    </row>
    <row r="1667" spans="1:1">
      <c r="A1667" s="8" t="s">
        <v>20</v>
      </c>
    </row>
    <row r="1668" spans="1:1">
      <c r="A1668" s="8"/>
    </row>
    <row r="1669" spans="1:1">
      <c r="A1669" s="8" t="s">
        <v>20</v>
      </c>
    </row>
    <row r="1670" spans="1:1">
      <c r="A1670" s="8"/>
    </row>
    <row r="1671" spans="1:1">
      <c r="A1671" s="8" t="s">
        <v>20</v>
      </c>
    </row>
    <row r="1672" spans="1:1">
      <c r="A1672" s="8" t="s">
        <v>20</v>
      </c>
    </row>
    <row r="1673" spans="1:1">
      <c r="A1673" s="8"/>
    </row>
    <row r="1674" spans="1:1">
      <c r="A1674" s="8" t="s">
        <v>20</v>
      </c>
    </row>
    <row r="1675" spans="1:1">
      <c r="A1675" s="8"/>
    </row>
    <row r="1676" spans="1:1">
      <c r="A1676" s="8" t="s">
        <v>20</v>
      </c>
    </row>
    <row r="1677" spans="1:1">
      <c r="A1677" s="8" t="s">
        <v>20</v>
      </c>
    </row>
    <row r="1678" spans="1:1">
      <c r="A1678" s="8"/>
    </row>
    <row r="1679" spans="1:1">
      <c r="A1679" s="8" t="s">
        <v>20</v>
      </c>
    </row>
    <row r="1680" spans="1:1">
      <c r="A1680" s="8" t="s">
        <v>20</v>
      </c>
    </row>
    <row r="1681" spans="1:27">
      <c r="A1681" s="8"/>
    </row>
    <row r="1682" spans="1:27">
      <c r="A1682" s="8" t="s">
        <v>20</v>
      </c>
    </row>
    <row r="1683" spans="1:27">
      <c r="A1683" s="8"/>
    </row>
    <row r="1684" spans="1:27">
      <c r="A1684" s="8" t="s">
        <v>20</v>
      </c>
    </row>
    <row r="1685" spans="1:27">
      <c r="A1685" s="8"/>
    </row>
    <row r="1686" spans="1:27">
      <c r="A1686" s="8" t="s">
        <v>20</v>
      </c>
    </row>
    <row r="1687" spans="1:27">
      <c r="A1687" s="8"/>
    </row>
    <row r="1688" spans="1:27">
      <c r="A1688" s="8" t="s">
        <v>20</v>
      </c>
    </row>
    <row r="1689" spans="1:27">
      <c r="A1689" s="8" t="s">
        <v>20</v>
      </c>
    </row>
    <row r="1690" spans="1:27">
      <c r="A1690" s="8"/>
    </row>
    <row r="1691" spans="1:27">
      <c r="A1691" s="8" t="s">
        <v>20</v>
      </c>
    </row>
    <row r="1692" spans="1:27">
      <c r="A1692" s="8" t="s">
        <v>20</v>
      </c>
    </row>
    <row r="1693" spans="1:27">
      <c r="A1693" s="8" t="s">
        <v>20</v>
      </c>
      <c r="AA1693" t="s">
        <v>2659</v>
      </c>
    </row>
    <row r="1694" spans="1:27" ht="15" customHeight="1">
      <c r="A1694" s="8"/>
    </row>
    <row r="1695" spans="1:27" ht="15" customHeight="1">
      <c r="A1695" s="8" t="s">
        <v>20</v>
      </c>
    </row>
    <row r="1696" spans="1:27" ht="15" customHeight="1">
      <c r="A1696" s="8"/>
    </row>
    <row r="1697" spans="1:1" ht="15" customHeight="1">
      <c r="A1697" s="8"/>
    </row>
    <row r="1698" spans="1:1" ht="15" customHeight="1">
      <c r="A1698" s="8" t="s">
        <v>20</v>
      </c>
    </row>
    <row r="1699" spans="1:1" ht="15" customHeight="1">
      <c r="A1699" s="8"/>
    </row>
    <row r="1700" spans="1:1" ht="15" customHeight="1">
      <c r="A1700" s="8" t="s">
        <v>20</v>
      </c>
    </row>
    <row r="1701" spans="1:1" ht="15" customHeight="1">
      <c r="A1701" s="8" t="s">
        <v>20</v>
      </c>
    </row>
    <row r="1702" spans="1:1" ht="15" customHeight="1">
      <c r="A1702" s="8" t="s">
        <v>20</v>
      </c>
    </row>
    <row r="1703" spans="1:1" ht="15" customHeight="1">
      <c r="A1703" t="s">
        <v>2165</v>
      </c>
    </row>
    <row r="1720" spans="1:1" ht="15" customHeight="1">
      <c r="A1720" s="7" t="s">
        <v>2206</v>
      </c>
    </row>
    <row r="1722" spans="1:1" ht="15" customHeight="1">
      <c r="A1722" s="7" t="s">
        <v>2205</v>
      </c>
    </row>
    <row r="1779" spans="2:18" ht="15" customHeight="1">
      <c r="B1779" s="174"/>
    </row>
    <row r="1781" spans="2:18" ht="15" customHeight="1">
      <c r="C1781" s="174"/>
      <c r="D1781" s="174"/>
      <c r="E1781" s="174"/>
      <c r="F1781" s="174"/>
      <c r="G1781" s="174"/>
      <c r="H1781" s="174"/>
      <c r="I1781" s="174"/>
      <c r="J1781" s="174"/>
      <c r="K1781" s="174"/>
      <c r="L1781" s="174"/>
      <c r="M1781" s="174"/>
      <c r="N1781" s="174"/>
      <c r="O1781" s="174"/>
      <c r="P1781" s="174"/>
      <c r="Q1781" s="174"/>
      <c r="R1781" s="174"/>
    </row>
    <row r="1872" spans="1:1" ht="15" customHeight="1">
      <c r="A1872" s="174"/>
    </row>
  </sheetData>
  <pageMargins left="0.7" right="0.7" top="0.78740157499999996" bottom="0.78740157499999996"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06E43-D889-4026-92BA-B10B2D365CF0}">
  <dimension ref="A1:AQ1872"/>
  <sheetViews>
    <sheetView workbookViewId="0">
      <selection activeCell="F43" sqref="F43"/>
    </sheetView>
  </sheetViews>
  <sheetFormatPr defaultColWidth="9.140625" defaultRowHeight="15" customHeight="1"/>
  <cols>
    <col min="1" max="1" width="10.85546875" bestFit="1" customWidth="1"/>
    <col min="2" max="2" width="8" bestFit="1" customWidth="1"/>
  </cols>
  <sheetData>
    <row r="1" spans="1:12">
      <c r="A1" s="7" t="s">
        <v>2204</v>
      </c>
      <c r="F1" s="332">
        <f>SUM(L:L)</f>
        <v>27.2059</v>
      </c>
      <c r="H1" s="338">
        <f>IF(F1&gt;100,F1/10^(LEN(F1)-2),F1)</f>
        <v>27.2059</v>
      </c>
    </row>
    <row r="2" spans="1:12"/>
    <row r="3" spans="1:12">
      <c r="A3" t="s">
        <v>15076</v>
      </c>
      <c r="J3" s="332" t="str">
        <f>IF(A3="Devizy","Devizy","")</f>
        <v/>
      </c>
      <c r="K3" s="332" t="str">
        <f>IFERROR(IF(AND(J3="Devizy",FIND("Nakupujeme ",A3)=1),RIGHT(A3,7),""),"")</f>
        <v/>
      </c>
      <c r="L3" s="332" t="str">
        <f>IFERROR(K3+M3,"")</f>
        <v/>
      </c>
    </row>
    <row r="4" spans="1:12">
      <c r="J4" s="332" t="str">
        <f>IF(OR(A4="Devizy",J3="Devizy"),"Devizy","")</f>
        <v/>
      </c>
      <c r="K4" s="332" t="str">
        <f>IFERROR(IF(AND(J4="Devizy",FIND("Nakupujeme ",A4)=1),RIGHT(A4,7),""),"")</f>
        <v/>
      </c>
      <c r="L4" s="332" t="str">
        <f>IFERROR(K4+M4,"")</f>
        <v/>
      </c>
    </row>
    <row r="5" spans="1:12">
      <c r="A5" t="s">
        <v>15077</v>
      </c>
      <c r="J5" s="332" t="str">
        <f t="shared" ref="J5:J68" si="0">IF(OR(A5="Devizy",J4="Devizy"),"Devizy","")</f>
        <v/>
      </c>
      <c r="K5" s="332" t="str">
        <f t="shared" ref="K5:K68" si="1">IFERROR(IF(AND(J5="Devizy",FIND("Nakupujeme ",A5)=1),RIGHT(A5,7),""),"")</f>
        <v/>
      </c>
      <c r="L5" s="332" t="str">
        <f t="shared" ref="L5:L68" si="2">IFERROR(K5+M5,"")</f>
        <v/>
      </c>
    </row>
    <row r="6" spans="1:12">
      <c r="J6" s="332" t="str">
        <f t="shared" si="0"/>
        <v/>
      </c>
      <c r="K6" s="332" t="str">
        <f t="shared" si="1"/>
        <v/>
      </c>
      <c r="L6" s="332" t="str">
        <f t="shared" si="2"/>
        <v/>
      </c>
    </row>
    <row r="7" spans="1:12">
      <c r="A7" t="s">
        <v>2149</v>
      </c>
      <c r="J7" s="332" t="str">
        <f t="shared" si="0"/>
        <v/>
      </c>
      <c r="K7" s="332" t="str">
        <f t="shared" si="1"/>
        <v/>
      </c>
      <c r="L7" s="332" t="str">
        <f t="shared" si="2"/>
        <v/>
      </c>
    </row>
    <row r="8" spans="1:12">
      <c r="A8" t="s">
        <v>11180</v>
      </c>
      <c r="J8" s="332" t="str">
        <f t="shared" si="0"/>
        <v/>
      </c>
      <c r="K8" s="332" t="str">
        <f t="shared" si="1"/>
        <v/>
      </c>
      <c r="L8" s="332" t="str">
        <f t="shared" si="2"/>
        <v/>
      </c>
    </row>
    <row r="9" spans="1:12">
      <c r="A9" t="s">
        <v>10942</v>
      </c>
      <c r="J9" s="332" t="str">
        <f t="shared" si="0"/>
        <v/>
      </c>
      <c r="K9" s="332" t="str">
        <f t="shared" si="1"/>
        <v/>
      </c>
      <c r="L9" s="332" t="str">
        <f t="shared" si="2"/>
        <v/>
      </c>
    </row>
    <row r="10" spans="1:12">
      <c r="A10" t="s">
        <v>12434</v>
      </c>
      <c r="J10" s="332" t="str">
        <f t="shared" si="0"/>
        <v/>
      </c>
      <c r="K10" s="332" t="str">
        <f t="shared" si="1"/>
        <v/>
      </c>
      <c r="L10" s="332" t="str">
        <f t="shared" si="2"/>
        <v/>
      </c>
    </row>
    <row r="11" spans="1:12">
      <c r="A11" t="s">
        <v>11172</v>
      </c>
      <c r="J11" s="332" t="str">
        <f t="shared" si="0"/>
        <v/>
      </c>
      <c r="K11" s="332" t="str">
        <f t="shared" si="1"/>
        <v/>
      </c>
      <c r="L11" s="332" t="str">
        <f t="shared" si="2"/>
        <v/>
      </c>
    </row>
    <row r="12" spans="1:12">
      <c r="J12" s="332" t="str">
        <f t="shared" si="0"/>
        <v/>
      </c>
      <c r="K12" s="332" t="str">
        <f t="shared" si="1"/>
        <v/>
      </c>
      <c r="L12" s="332" t="str">
        <f t="shared" si="2"/>
        <v/>
      </c>
    </row>
    <row r="13" spans="1:12">
      <c r="A13" t="s">
        <v>2164</v>
      </c>
      <c r="J13" s="332" t="str">
        <f t="shared" si="0"/>
        <v/>
      </c>
      <c r="K13" s="332" t="str">
        <f t="shared" si="1"/>
        <v/>
      </c>
      <c r="L13" s="332" t="str">
        <f t="shared" si="2"/>
        <v/>
      </c>
    </row>
    <row r="14" spans="1:12">
      <c r="J14" s="332" t="str">
        <f t="shared" si="0"/>
        <v/>
      </c>
      <c r="K14" s="332" t="str">
        <f t="shared" si="1"/>
        <v/>
      </c>
      <c r="L14" s="332" t="str">
        <f t="shared" si="2"/>
        <v/>
      </c>
    </row>
    <row r="15" spans="1:12">
      <c r="A15" t="s">
        <v>10668</v>
      </c>
      <c r="J15" s="332" t="str">
        <f t="shared" si="0"/>
        <v/>
      </c>
      <c r="K15" s="332" t="str">
        <f t="shared" si="1"/>
        <v/>
      </c>
      <c r="L15" s="332" t="str">
        <f t="shared" si="2"/>
        <v/>
      </c>
    </row>
    <row r="16" spans="1:12">
      <c r="A16" t="s">
        <v>10944</v>
      </c>
      <c r="J16" s="332" t="str">
        <f t="shared" si="0"/>
        <v/>
      </c>
      <c r="K16" s="332" t="str">
        <f t="shared" si="1"/>
        <v/>
      </c>
      <c r="L16" s="332" t="str">
        <f t="shared" si="2"/>
        <v/>
      </c>
    </row>
    <row r="17" spans="1:43">
      <c r="A17" t="s">
        <v>10698</v>
      </c>
      <c r="J17" s="332" t="str">
        <f t="shared" si="0"/>
        <v/>
      </c>
      <c r="K17" s="332" t="str">
        <f t="shared" si="1"/>
        <v/>
      </c>
      <c r="L17" s="332" t="str">
        <f t="shared" si="2"/>
        <v/>
      </c>
    </row>
    <row r="18" spans="1:43">
      <c r="A18" t="s">
        <v>10692</v>
      </c>
      <c r="J18" s="332" t="str">
        <f t="shared" si="0"/>
        <v/>
      </c>
      <c r="K18" s="332" t="str">
        <f t="shared" si="1"/>
        <v/>
      </c>
      <c r="L18" s="332" t="str">
        <f t="shared" si="2"/>
        <v/>
      </c>
    </row>
    <row r="19" spans="1:43">
      <c r="A19" t="s">
        <v>10693</v>
      </c>
      <c r="J19" s="332" t="str">
        <f t="shared" si="0"/>
        <v/>
      </c>
      <c r="K19" s="332" t="str">
        <f t="shared" si="1"/>
        <v/>
      </c>
      <c r="L19" s="332" t="str">
        <f t="shared" si="2"/>
        <v/>
      </c>
    </row>
    <row r="20" spans="1:43">
      <c r="A20" t="s">
        <v>10668</v>
      </c>
      <c r="J20" s="332" t="str">
        <f t="shared" si="0"/>
        <v/>
      </c>
      <c r="K20" s="332" t="str">
        <f t="shared" si="1"/>
        <v/>
      </c>
      <c r="L20" s="332" t="str">
        <f t="shared" si="2"/>
        <v/>
      </c>
    </row>
    <row r="21" spans="1:43">
      <c r="A21" t="s">
        <v>10669</v>
      </c>
      <c r="J21" s="332" t="str">
        <f t="shared" si="0"/>
        <v/>
      </c>
      <c r="K21" s="332" t="str">
        <f t="shared" si="1"/>
        <v/>
      </c>
      <c r="L21" s="332" t="str">
        <f t="shared" si="2"/>
        <v/>
      </c>
    </row>
    <row r="22" spans="1:43">
      <c r="J22" s="332" t="str">
        <f t="shared" si="0"/>
        <v/>
      </c>
      <c r="K22" s="332" t="str">
        <f t="shared" si="1"/>
        <v/>
      </c>
      <c r="L22" s="332" t="str">
        <f t="shared" si="2"/>
        <v/>
      </c>
      <c r="AQ22" t="str">
        <f>IF($AK$3=1,"",IF(OR(AA22&lt;&gt;"",AA22&lt;&gt;0),IF(OR(AB22="SKLADEM",AB22=$V$3,AB22=$V$9),$V$10,""),""))</f>
        <v/>
      </c>
    </row>
    <row r="23" spans="1:43">
      <c r="A23" t="s">
        <v>2150</v>
      </c>
      <c r="J23" s="332" t="str">
        <f t="shared" si="0"/>
        <v/>
      </c>
      <c r="K23" s="332" t="str">
        <f t="shared" si="1"/>
        <v/>
      </c>
      <c r="L23" s="332" t="str">
        <f t="shared" si="2"/>
        <v/>
      </c>
    </row>
    <row r="24" spans="1:43">
      <c r="A24" s="2"/>
      <c r="J24" s="332" t="str">
        <f t="shared" si="0"/>
        <v/>
      </c>
      <c r="K24" s="332" t="str">
        <f t="shared" si="1"/>
        <v/>
      </c>
      <c r="L24" s="332" t="str">
        <f t="shared" si="2"/>
        <v/>
      </c>
    </row>
    <row r="25" spans="1:43">
      <c r="J25" s="332" t="str">
        <f t="shared" si="0"/>
        <v/>
      </c>
      <c r="K25" s="332" t="str">
        <f t="shared" si="1"/>
        <v/>
      </c>
      <c r="L25" s="332" t="str">
        <f t="shared" si="2"/>
        <v/>
      </c>
    </row>
    <row r="26" spans="1:43">
      <c r="A26" s="2" t="s">
        <v>10670</v>
      </c>
      <c r="J26" s="332" t="str">
        <f t="shared" si="0"/>
        <v/>
      </c>
      <c r="K26" s="332" t="str">
        <f t="shared" si="1"/>
        <v/>
      </c>
      <c r="L26" s="332" t="str">
        <f t="shared" si="2"/>
        <v/>
      </c>
    </row>
    <row r="27" spans="1:43">
      <c r="A27" t="s">
        <v>10671</v>
      </c>
      <c r="J27" s="332" t="str">
        <f t="shared" si="0"/>
        <v/>
      </c>
      <c r="K27" s="332" t="str">
        <f t="shared" si="1"/>
        <v/>
      </c>
      <c r="L27" s="332" t="str">
        <f t="shared" si="2"/>
        <v/>
      </c>
    </row>
    <row r="28" spans="1:43">
      <c r="A28" t="s">
        <v>10946</v>
      </c>
      <c r="J28" s="332" t="str">
        <f t="shared" si="0"/>
        <v/>
      </c>
      <c r="K28" s="332" t="str">
        <f t="shared" si="1"/>
        <v/>
      </c>
      <c r="L28" s="332" t="str">
        <f t="shared" si="2"/>
        <v/>
      </c>
    </row>
    <row r="29" spans="1:43">
      <c r="A29" t="s">
        <v>11173</v>
      </c>
      <c r="J29" s="332" t="str">
        <f t="shared" si="0"/>
        <v/>
      </c>
      <c r="K29" s="332" t="str">
        <f t="shared" si="1"/>
        <v/>
      </c>
      <c r="L29" s="332" t="str">
        <f t="shared" si="2"/>
        <v/>
      </c>
      <c r="W29" s="20"/>
    </row>
    <row r="30" spans="1:43">
      <c r="A30" t="s">
        <v>10673</v>
      </c>
      <c r="C30" s="111"/>
      <c r="J30" s="332" t="str">
        <f t="shared" si="0"/>
        <v/>
      </c>
      <c r="K30" s="332" t="str">
        <f t="shared" si="1"/>
        <v/>
      </c>
      <c r="L30" s="332" t="str">
        <f t="shared" si="2"/>
        <v/>
      </c>
    </row>
    <row r="31" spans="1:43">
      <c r="J31" s="332" t="str">
        <f t="shared" si="0"/>
        <v/>
      </c>
      <c r="K31" s="332" t="str">
        <f t="shared" si="1"/>
        <v/>
      </c>
      <c r="L31" s="332" t="str">
        <f t="shared" si="2"/>
        <v/>
      </c>
    </row>
    <row r="32" spans="1:43">
      <c r="A32" t="s">
        <v>2151</v>
      </c>
      <c r="J32" s="332" t="str">
        <f t="shared" si="0"/>
        <v/>
      </c>
      <c r="K32" s="332" t="str">
        <f t="shared" si="1"/>
        <v/>
      </c>
      <c r="L32" s="332" t="str">
        <f t="shared" si="2"/>
        <v/>
      </c>
    </row>
    <row r="33" spans="1:12">
      <c r="J33" s="332" t="str">
        <f t="shared" si="0"/>
        <v/>
      </c>
      <c r="K33" s="332" t="str">
        <f t="shared" si="1"/>
        <v/>
      </c>
      <c r="L33" s="332" t="str">
        <f t="shared" si="2"/>
        <v/>
      </c>
    </row>
    <row r="34" spans="1:12">
      <c r="J34" s="332" t="str">
        <f t="shared" si="0"/>
        <v/>
      </c>
      <c r="K34" s="332" t="str">
        <f t="shared" si="1"/>
        <v/>
      </c>
      <c r="L34" s="332" t="str">
        <f t="shared" si="2"/>
        <v/>
      </c>
    </row>
    <row r="35" spans="1:12">
      <c r="A35" t="s">
        <v>10674</v>
      </c>
      <c r="J35" s="332" t="str">
        <f t="shared" si="0"/>
        <v/>
      </c>
      <c r="K35" s="332" t="str">
        <f t="shared" si="1"/>
        <v/>
      </c>
      <c r="L35" s="332" t="str">
        <f t="shared" si="2"/>
        <v/>
      </c>
    </row>
    <row r="36" spans="1:12">
      <c r="A36" t="s">
        <v>10675</v>
      </c>
      <c r="J36" s="332" t="str">
        <f t="shared" si="0"/>
        <v/>
      </c>
      <c r="K36" s="332" t="str">
        <f t="shared" si="1"/>
        <v/>
      </c>
      <c r="L36" s="332" t="str">
        <f t="shared" si="2"/>
        <v/>
      </c>
    </row>
    <row r="37" spans="1:12">
      <c r="J37" s="332" t="str">
        <f t="shared" si="0"/>
        <v/>
      </c>
      <c r="K37" s="332" t="str">
        <f t="shared" si="1"/>
        <v/>
      </c>
      <c r="L37" s="332" t="str">
        <f t="shared" si="2"/>
        <v/>
      </c>
    </row>
    <row r="38" spans="1:12">
      <c r="A38" t="s">
        <v>2152</v>
      </c>
      <c r="J38" s="332" t="str">
        <f t="shared" si="0"/>
        <v/>
      </c>
      <c r="K38" s="332" t="str">
        <f t="shared" si="1"/>
        <v/>
      </c>
      <c r="L38" s="332" t="str">
        <f t="shared" si="2"/>
        <v/>
      </c>
    </row>
    <row r="39" spans="1:12">
      <c r="A39" s="2"/>
      <c r="J39" s="332" t="str">
        <f t="shared" si="0"/>
        <v/>
      </c>
      <c r="K39" s="332" t="str">
        <f t="shared" si="1"/>
        <v/>
      </c>
      <c r="L39" s="332" t="str">
        <f t="shared" si="2"/>
        <v/>
      </c>
    </row>
    <row r="40" spans="1:12">
      <c r="J40" s="332" t="str">
        <f t="shared" si="0"/>
        <v/>
      </c>
      <c r="K40" s="332" t="str">
        <f t="shared" si="1"/>
        <v/>
      </c>
      <c r="L40" s="332" t="str">
        <f t="shared" si="2"/>
        <v/>
      </c>
    </row>
    <row r="41" spans="1:12">
      <c r="A41" s="2" t="s">
        <v>10945</v>
      </c>
      <c r="J41" s="332" t="str">
        <f t="shared" si="0"/>
        <v/>
      </c>
      <c r="K41" s="332" t="str">
        <f t="shared" si="1"/>
        <v/>
      </c>
      <c r="L41" s="332" t="str">
        <f t="shared" si="2"/>
        <v/>
      </c>
    </row>
    <row r="42" spans="1:12">
      <c r="A42" t="s">
        <v>10676</v>
      </c>
      <c r="J42" s="332" t="str">
        <f t="shared" si="0"/>
        <v/>
      </c>
      <c r="K42" s="332" t="str">
        <f t="shared" si="1"/>
        <v/>
      </c>
      <c r="L42" s="332" t="str">
        <f t="shared" si="2"/>
        <v/>
      </c>
    </row>
    <row r="43" spans="1:12">
      <c r="A43" t="s">
        <v>10677</v>
      </c>
      <c r="J43" s="332" t="str">
        <f t="shared" si="0"/>
        <v/>
      </c>
      <c r="K43" s="332" t="str">
        <f t="shared" si="1"/>
        <v/>
      </c>
      <c r="L43" s="332" t="str">
        <f t="shared" si="2"/>
        <v/>
      </c>
    </row>
    <row r="44" spans="1:12">
      <c r="A44" t="s">
        <v>11623</v>
      </c>
      <c r="J44" s="332" t="str">
        <f t="shared" si="0"/>
        <v/>
      </c>
      <c r="K44" s="332" t="str">
        <f t="shared" si="1"/>
        <v/>
      </c>
      <c r="L44" s="332" t="str">
        <f t="shared" si="2"/>
        <v/>
      </c>
    </row>
    <row r="45" spans="1:12">
      <c r="A45" s="2" t="s">
        <v>10673</v>
      </c>
      <c r="J45" s="332" t="str">
        <f t="shared" si="0"/>
        <v/>
      </c>
      <c r="K45" s="332" t="str">
        <f t="shared" si="1"/>
        <v/>
      </c>
      <c r="L45" s="332" t="str">
        <f t="shared" si="2"/>
        <v/>
      </c>
    </row>
    <row r="46" spans="1:12">
      <c r="J46" s="332" t="str">
        <f t="shared" si="0"/>
        <v/>
      </c>
      <c r="K46" s="332" t="str">
        <f t="shared" si="1"/>
        <v/>
      </c>
      <c r="L46" s="332" t="str">
        <f t="shared" si="2"/>
        <v/>
      </c>
    </row>
    <row r="47" spans="1:12">
      <c r="A47" t="s">
        <v>2153</v>
      </c>
      <c r="J47" s="332" t="str">
        <f t="shared" si="0"/>
        <v/>
      </c>
      <c r="K47" s="332" t="str">
        <f t="shared" si="1"/>
        <v/>
      </c>
      <c r="L47" s="332" t="str">
        <f t="shared" si="2"/>
        <v/>
      </c>
    </row>
    <row r="48" spans="1:12">
      <c r="J48" s="332" t="str">
        <f t="shared" si="0"/>
        <v/>
      </c>
      <c r="K48" s="332" t="str">
        <f t="shared" si="1"/>
        <v/>
      </c>
      <c r="L48" s="332" t="str">
        <f t="shared" si="2"/>
        <v/>
      </c>
    </row>
    <row r="49" spans="1:12">
      <c r="J49" s="332" t="str">
        <f t="shared" si="0"/>
        <v/>
      </c>
      <c r="K49" s="332" t="str">
        <f t="shared" si="1"/>
        <v/>
      </c>
      <c r="L49" s="332" t="str">
        <f t="shared" si="2"/>
        <v/>
      </c>
    </row>
    <row r="50" spans="1:12">
      <c r="A50" s="2" t="s">
        <v>10678</v>
      </c>
      <c r="J50" s="332" t="str">
        <f t="shared" si="0"/>
        <v/>
      </c>
      <c r="K50" s="332" t="str">
        <f t="shared" si="1"/>
        <v/>
      </c>
      <c r="L50" s="332" t="str">
        <f t="shared" si="2"/>
        <v/>
      </c>
    </row>
    <row r="51" spans="1:12">
      <c r="A51" t="s">
        <v>10679</v>
      </c>
      <c r="J51" s="332" t="str">
        <f t="shared" si="0"/>
        <v/>
      </c>
      <c r="K51" s="332" t="str">
        <f t="shared" si="1"/>
        <v/>
      </c>
      <c r="L51" s="332" t="str">
        <f t="shared" si="2"/>
        <v/>
      </c>
    </row>
    <row r="52" spans="1:12">
      <c r="A52" t="s">
        <v>10680</v>
      </c>
      <c r="J52" s="332" t="str">
        <f t="shared" si="0"/>
        <v/>
      </c>
      <c r="K52" s="332" t="str">
        <f t="shared" si="1"/>
        <v/>
      </c>
      <c r="L52" s="332" t="str">
        <f t="shared" si="2"/>
        <v/>
      </c>
    </row>
    <row r="53" spans="1:12">
      <c r="A53" t="s">
        <v>10681</v>
      </c>
      <c r="J53" s="332" t="str">
        <f t="shared" si="0"/>
        <v/>
      </c>
      <c r="K53" s="332" t="str">
        <f t="shared" si="1"/>
        <v/>
      </c>
      <c r="L53" s="332" t="str">
        <f t="shared" si="2"/>
        <v/>
      </c>
    </row>
    <row r="54" spans="1:12">
      <c r="A54" t="s">
        <v>10673</v>
      </c>
      <c r="J54" s="332" t="str">
        <f t="shared" si="0"/>
        <v/>
      </c>
      <c r="K54" s="332" t="str">
        <f t="shared" si="1"/>
        <v/>
      </c>
      <c r="L54" s="332" t="str">
        <f t="shared" si="2"/>
        <v/>
      </c>
    </row>
    <row r="55" spans="1:12">
      <c r="J55" s="332" t="str">
        <f t="shared" si="0"/>
        <v/>
      </c>
      <c r="K55" s="332" t="str">
        <f t="shared" si="1"/>
        <v/>
      </c>
      <c r="L55" s="332" t="str">
        <f t="shared" si="2"/>
        <v/>
      </c>
    </row>
    <row r="56" spans="1:12">
      <c r="A56" t="s">
        <v>2154</v>
      </c>
      <c r="J56" s="332" t="str">
        <f t="shared" si="0"/>
        <v/>
      </c>
      <c r="K56" s="332" t="str">
        <f t="shared" si="1"/>
        <v/>
      </c>
      <c r="L56" s="332" t="str">
        <f t="shared" si="2"/>
        <v/>
      </c>
    </row>
    <row r="57" spans="1:12">
      <c r="J57" s="332" t="str">
        <f t="shared" si="0"/>
        <v/>
      </c>
      <c r="K57" s="332" t="str">
        <f t="shared" si="1"/>
        <v/>
      </c>
      <c r="L57" s="332" t="str">
        <f t="shared" si="2"/>
        <v/>
      </c>
    </row>
    <row r="58" spans="1:12">
      <c r="A58" s="2"/>
      <c r="J58" s="332" t="str">
        <f t="shared" si="0"/>
        <v/>
      </c>
      <c r="K58" s="332" t="str">
        <f t="shared" si="1"/>
        <v/>
      </c>
      <c r="L58" s="332" t="str">
        <f t="shared" si="2"/>
        <v/>
      </c>
    </row>
    <row r="59" spans="1:12">
      <c r="A59" t="s">
        <v>10682</v>
      </c>
      <c r="J59" s="332" t="str">
        <f t="shared" si="0"/>
        <v/>
      </c>
      <c r="K59" s="332" t="str">
        <f t="shared" si="1"/>
        <v/>
      </c>
      <c r="L59" s="332" t="str">
        <f t="shared" si="2"/>
        <v/>
      </c>
    </row>
    <row r="60" spans="1:12">
      <c r="A60" s="2" t="s">
        <v>10683</v>
      </c>
      <c r="J60" s="332" t="str">
        <f t="shared" si="0"/>
        <v/>
      </c>
      <c r="K60" s="332" t="str">
        <f t="shared" si="1"/>
        <v/>
      </c>
      <c r="L60" s="332" t="str">
        <f t="shared" si="2"/>
        <v/>
      </c>
    </row>
    <row r="61" spans="1:12">
      <c r="A61" s="2" t="s">
        <v>10684</v>
      </c>
      <c r="J61" s="332" t="str">
        <f t="shared" si="0"/>
        <v/>
      </c>
      <c r="K61" s="332" t="str">
        <f t="shared" si="1"/>
        <v/>
      </c>
      <c r="L61" s="332" t="str">
        <f t="shared" si="2"/>
        <v/>
      </c>
    </row>
    <row r="62" spans="1:12">
      <c r="A62" s="2" t="s">
        <v>10685</v>
      </c>
      <c r="J62" s="332" t="str">
        <f t="shared" si="0"/>
        <v/>
      </c>
      <c r="K62" s="332" t="str">
        <f t="shared" si="1"/>
        <v/>
      </c>
      <c r="L62" s="332" t="str">
        <f t="shared" si="2"/>
        <v/>
      </c>
    </row>
    <row r="63" spans="1:12">
      <c r="A63" t="s">
        <v>10673</v>
      </c>
      <c r="J63" s="332" t="str">
        <f t="shared" si="0"/>
        <v/>
      </c>
      <c r="K63" s="332" t="str">
        <f t="shared" si="1"/>
        <v/>
      </c>
      <c r="L63" s="332" t="str">
        <f t="shared" si="2"/>
        <v/>
      </c>
    </row>
    <row r="64" spans="1:12">
      <c r="A64" s="2"/>
      <c r="J64" s="332" t="str">
        <f t="shared" si="0"/>
        <v/>
      </c>
      <c r="K64" s="332" t="str">
        <f t="shared" si="1"/>
        <v/>
      </c>
      <c r="L64" s="332" t="str">
        <f t="shared" si="2"/>
        <v/>
      </c>
    </row>
    <row r="65" spans="1:12">
      <c r="A65" s="2" t="s">
        <v>2155</v>
      </c>
      <c r="J65" s="332" t="str">
        <f t="shared" si="0"/>
        <v/>
      </c>
      <c r="K65" s="332" t="str">
        <f t="shared" si="1"/>
        <v/>
      </c>
      <c r="L65" s="332" t="str">
        <f t="shared" si="2"/>
        <v/>
      </c>
    </row>
    <row r="66" spans="1:12">
      <c r="A66" s="2"/>
      <c r="J66" s="332" t="str">
        <f t="shared" si="0"/>
        <v/>
      </c>
      <c r="K66" s="332" t="str">
        <f t="shared" si="1"/>
        <v/>
      </c>
      <c r="L66" s="332" t="str">
        <f t="shared" si="2"/>
        <v/>
      </c>
    </row>
    <row r="67" spans="1:12">
      <c r="J67" s="332" t="str">
        <f t="shared" si="0"/>
        <v/>
      </c>
      <c r="K67" s="332" t="str">
        <f t="shared" si="1"/>
        <v/>
      </c>
      <c r="L67" s="332" t="str">
        <f t="shared" si="2"/>
        <v/>
      </c>
    </row>
    <row r="68" spans="1:12">
      <c r="A68" s="2" t="s">
        <v>10686</v>
      </c>
      <c r="J68" s="332" t="str">
        <f t="shared" si="0"/>
        <v/>
      </c>
      <c r="K68" s="332" t="str">
        <f t="shared" si="1"/>
        <v/>
      </c>
      <c r="L68" s="332" t="str">
        <f t="shared" si="2"/>
        <v/>
      </c>
    </row>
    <row r="69" spans="1:12">
      <c r="A69" s="2" t="s">
        <v>10687</v>
      </c>
      <c r="J69" s="332" t="str">
        <f t="shared" ref="J69:J132" si="3">IF(OR(A69="Devizy",J68="Devizy"),"Devizy","")</f>
        <v/>
      </c>
      <c r="K69" s="332" t="str">
        <f t="shared" ref="K69:K132" si="4">IFERROR(IF(AND(J69="Devizy",FIND("Nakupujeme ",A69)=1),RIGHT(A69,7),""),"")</f>
        <v/>
      </c>
      <c r="L69" s="332" t="str">
        <f t="shared" ref="L69:L132" si="5">IFERROR(K69+M69,"")</f>
        <v/>
      </c>
    </row>
    <row r="70" spans="1:12">
      <c r="A70" s="3" t="s">
        <v>10688</v>
      </c>
      <c r="J70" s="332" t="str">
        <f t="shared" si="3"/>
        <v/>
      </c>
      <c r="K70" s="332" t="str">
        <f t="shared" si="4"/>
        <v/>
      </c>
      <c r="L70" s="332" t="str">
        <f t="shared" si="5"/>
        <v/>
      </c>
    </row>
    <row r="71" spans="1:12">
      <c r="A71" t="s">
        <v>10689</v>
      </c>
      <c r="J71" s="332" t="str">
        <f t="shared" si="3"/>
        <v/>
      </c>
      <c r="K71" s="332" t="str">
        <f t="shared" si="4"/>
        <v/>
      </c>
      <c r="L71" s="332" t="str">
        <f t="shared" si="5"/>
        <v/>
      </c>
    </row>
    <row r="72" spans="1:12">
      <c r="A72" t="s">
        <v>10673</v>
      </c>
      <c r="J72" s="332" t="str">
        <f t="shared" si="3"/>
        <v/>
      </c>
      <c r="K72" s="332" t="str">
        <f t="shared" si="4"/>
        <v/>
      </c>
      <c r="L72" s="332" t="str">
        <f t="shared" si="5"/>
        <v/>
      </c>
    </row>
    <row r="73" spans="1:12">
      <c r="J73" s="332" t="str">
        <f t="shared" si="3"/>
        <v/>
      </c>
      <c r="K73" s="332" t="str">
        <f t="shared" si="4"/>
        <v/>
      </c>
      <c r="L73" s="332" t="str">
        <f t="shared" si="5"/>
        <v/>
      </c>
    </row>
    <row r="74" spans="1:12">
      <c r="A74" t="s">
        <v>11174</v>
      </c>
      <c r="J74" s="332" t="str">
        <f t="shared" si="3"/>
        <v/>
      </c>
      <c r="K74" s="332" t="str">
        <f t="shared" si="4"/>
        <v/>
      </c>
      <c r="L74" s="332" t="str">
        <f t="shared" si="5"/>
        <v/>
      </c>
    </row>
    <row r="75" spans="1:12">
      <c r="A75" s="3" t="s">
        <v>11181</v>
      </c>
      <c r="J75" s="332" t="str">
        <f t="shared" si="3"/>
        <v/>
      </c>
      <c r="K75" s="332" t="str">
        <f t="shared" si="4"/>
        <v/>
      </c>
      <c r="L75" s="332" t="str">
        <f t="shared" si="5"/>
        <v/>
      </c>
    </row>
    <row r="76" spans="1:12">
      <c r="J76" s="332" t="str">
        <f t="shared" si="3"/>
        <v/>
      </c>
      <c r="K76" s="332" t="str">
        <f t="shared" si="4"/>
        <v/>
      </c>
      <c r="L76" s="332" t="str">
        <f t="shared" si="5"/>
        <v/>
      </c>
    </row>
    <row r="77" spans="1:12">
      <c r="A77" t="s">
        <v>10690</v>
      </c>
      <c r="J77" s="332" t="str">
        <f t="shared" si="3"/>
        <v/>
      </c>
      <c r="K77" s="332" t="str">
        <f t="shared" si="4"/>
        <v/>
      </c>
      <c r="L77" s="332" t="str">
        <f t="shared" si="5"/>
        <v/>
      </c>
    </row>
    <row r="78" spans="1:12">
      <c r="A78" s="3" t="s">
        <v>10691</v>
      </c>
      <c r="J78" s="332" t="str">
        <f t="shared" si="3"/>
        <v/>
      </c>
      <c r="K78" s="332" t="str">
        <f t="shared" si="4"/>
        <v/>
      </c>
      <c r="L78" s="332" t="str">
        <f t="shared" si="5"/>
        <v/>
      </c>
    </row>
    <row r="79" spans="1:12">
      <c r="J79" s="332" t="str">
        <f t="shared" si="3"/>
        <v/>
      </c>
      <c r="K79" s="332" t="str">
        <f t="shared" si="4"/>
        <v/>
      </c>
      <c r="L79" s="332" t="str">
        <f t="shared" si="5"/>
        <v/>
      </c>
    </row>
    <row r="80" spans="1:12">
      <c r="A80" s="2" t="s">
        <v>10692</v>
      </c>
      <c r="J80" s="332" t="str">
        <f t="shared" si="3"/>
        <v/>
      </c>
      <c r="K80" s="332" t="str">
        <f t="shared" si="4"/>
        <v/>
      </c>
      <c r="L80" s="332" t="str">
        <f t="shared" si="5"/>
        <v/>
      </c>
    </row>
    <row r="81" spans="1:12">
      <c r="A81" s="2" t="s">
        <v>10693</v>
      </c>
      <c r="J81" s="332" t="str">
        <f t="shared" si="3"/>
        <v/>
      </c>
      <c r="K81" s="332" t="str">
        <f t="shared" si="4"/>
        <v/>
      </c>
      <c r="L81" s="332" t="str">
        <f t="shared" si="5"/>
        <v/>
      </c>
    </row>
    <row r="82" spans="1:12">
      <c r="A82" t="s">
        <v>15078</v>
      </c>
      <c r="J82" s="332" t="str">
        <f t="shared" si="3"/>
        <v/>
      </c>
      <c r="K82" s="332" t="str">
        <f t="shared" si="4"/>
        <v/>
      </c>
      <c r="L82" s="332" t="str">
        <f t="shared" si="5"/>
        <v/>
      </c>
    </row>
    <row r="83" spans="1:12">
      <c r="A83" s="3" t="s">
        <v>15079</v>
      </c>
      <c r="J83" s="332" t="str">
        <f t="shared" si="3"/>
        <v/>
      </c>
      <c r="K83" s="332" t="str">
        <f t="shared" si="4"/>
        <v/>
      </c>
      <c r="L83" s="332" t="str">
        <f t="shared" si="5"/>
        <v/>
      </c>
    </row>
    <row r="84" spans="1:12">
      <c r="A84" s="2" t="s">
        <v>15080</v>
      </c>
      <c r="J84" s="332" t="str">
        <f t="shared" si="3"/>
        <v/>
      </c>
      <c r="K84" s="332" t="str">
        <f t="shared" si="4"/>
        <v/>
      </c>
      <c r="L84" s="332" t="str">
        <f t="shared" si="5"/>
        <v/>
      </c>
    </row>
    <row r="85" spans="1:12">
      <c r="A85" s="2" t="s">
        <v>11182</v>
      </c>
      <c r="J85" s="332" t="str">
        <f t="shared" si="3"/>
        <v/>
      </c>
      <c r="K85" s="332" t="str">
        <f t="shared" si="4"/>
        <v/>
      </c>
      <c r="L85" s="332" t="str">
        <f t="shared" si="5"/>
        <v/>
      </c>
    </row>
    <row r="86" spans="1:12">
      <c r="A86" s="2" t="s">
        <v>10695</v>
      </c>
      <c r="J86" s="332" t="str">
        <f t="shared" si="3"/>
        <v/>
      </c>
      <c r="K86" s="332" t="str">
        <f t="shared" si="4"/>
        <v/>
      </c>
      <c r="L86" s="332" t="str">
        <f t="shared" si="5"/>
        <v/>
      </c>
    </row>
    <row r="87" spans="1:12">
      <c r="J87" s="332" t="str">
        <f t="shared" si="3"/>
        <v/>
      </c>
      <c r="K87" s="332" t="str">
        <f t="shared" si="4"/>
        <v/>
      </c>
      <c r="L87" s="332" t="str">
        <f t="shared" si="5"/>
        <v/>
      </c>
    </row>
    <row r="88" spans="1:12">
      <c r="A88" s="2" t="s">
        <v>10696</v>
      </c>
      <c r="J88" s="332" t="str">
        <f t="shared" si="3"/>
        <v/>
      </c>
      <c r="K88" s="332" t="str">
        <f t="shared" si="4"/>
        <v/>
      </c>
      <c r="L88" s="332" t="str">
        <f t="shared" si="5"/>
        <v/>
      </c>
    </row>
    <row r="89" spans="1:12">
      <c r="A89" s="2"/>
      <c r="J89" s="332" t="str">
        <f t="shared" si="3"/>
        <v/>
      </c>
      <c r="K89" s="332" t="str">
        <f t="shared" si="4"/>
        <v/>
      </c>
      <c r="L89" s="332" t="str">
        <f t="shared" si="5"/>
        <v/>
      </c>
    </row>
    <row r="90" spans="1:12">
      <c r="J90" s="332" t="str">
        <f t="shared" si="3"/>
        <v/>
      </c>
      <c r="K90" s="332" t="str">
        <f t="shared" si="4"/>
        <v/>
      </c>
      <c r="L90" s="332" t="str">
        <f t="shared" si="5"/>
        <v/>
      </c>
    </row>
    <row r="91" spans="1:12">
      <c r="A91" s="3" t="s">
        <v>10697</v>
      </c>
      <c r="J91" s="332" t="str">
        <f t="shared" si="3"/>
        <v/>
      </c>
      <c r="K91" s="332" t="str">
        <f t="shared" si="4"/>
        <v/>
      </c>
      <c r="L91" s="332" t="str">
        <f t="shared" si="5"/>
        <v/>
      </c>
    </row>
    <row r="92" spans="1:12">
      <c r="A92" t="s">
        <v>10698</v>
      </c>
      <c r="J92" s="332" t="str">
        <f t="shared" si="3"/>
        <v/>
      </c>
      <c r="K92" s="332" t="str">
        <f t="shared" si="4"/>
        <v/>
      </c>
      <c r="L92" s="332" t="str">
        <f t="shared" si="5"/>
        <v/>
      </c>
    </row>
    <row r="93" spans="1:12">
      <c r="A93" t="s">
        <v>10699</v>
      </c>
      <c r="J93" s="332" t="str">
        <f t="shared" si="3"/>
        <v/>
      </c>
      <c r="K93" s="332" t="str">
        <f t="shared" si="4"/>
        <v/>
      </c>
      <c r="L93" s="332" t="str">
        <f t="shared" si="5"/>
        <v/>
      </c>
    </row>
    <row r="94" spans="1:12">
      <c r="A94" t="s">
        <v>11179</v>
      </c>
      <c r="J94" s="332" t="str">
        <f t="shared" si="3"/>
        <v/>
      </c>
      <c r="K94" s="332" t="str">
        <f t="shared" si="4"/>
        <v/>
      </c>
      <c r="L94" s="332" t="str">
        <f t="shared" si="5"/>
        <v/>
      </c>
    </row>
    <row r="95" spans="1:12">
      <c r="J95" s="332" t="str">
        <f t="shared" si="3"/>
        <v/>
      </c>
      <c r="K95" s="332" t="str">
        <f t="shared" si="4"/>
        <v/>
      </c>
      <c r="L95" s="332" t="str">
        <f t="shared" si="5"/>
        <v/>
      </c>
    </row>
    <row r="96" spans="1:12">
      <c r="A96" t="s">
        <v>10701</v>
      </c>
      <c r="J96" s="332" t="str">
        <f t="shared" si="3"/>
        <v/>
      </c>
      <c r="K96" s="332" t="str">
        <f t="shared" si="4"/>
        <v/>
      </c>
      <c r="L96" s="332" t="str">
        <f t="shared" si="5"/>
        <v/>
      </c>
    </row>
    <row r="97" spans="1:12">
      <c r="A97" s="3" t="s">
        <v>10702</v>
      </c>
      <c r="J97" s="332" t="str">
        <f t="shared" si="3"/>
        <v/>
      </c>
      <c r="K97" s="332" t="str">
        <f t="shared" si="4"/>
        <v/>
      </c>
      <c r="L97" s="332" t="str">
        <f t="shared" si="5"/>
        <v/>
      </c>
    </row>
    <row r="98" spans="1:12">
      <c r="A98" t="s">
        <v>10703</v>
      </c>
      <c r="J98" s="332" t="str">
        <f t="shared" si="3"/>
        <v/>
      </c>
      <c r="K98" s="332" t="str">
        <f t="shared" si="4"/>
        <v/>
      </c>
      <c r="L98" s="332" t="str">
        <f t="shared" si="5"/>
        <v/>
      </c>
    </row>
    <row r="99" spans="1:12">
      <c r="A99" s="3" t="s">
        <v>11178</v>
      </c>
      <c r="J99" s="332" t="str">
        <f t="shared" si="3"/>
        <v/>
      </c>
      <c r="K99" s="332" t="str">
        <f t="shared" si="4"/>
        <v/>
      </c>
      <c r="L99" s="332" t="str">
        <f t="shared" si="5"/>
        <v/>
      </c>
    </row>
    <row r="100" spans="1:12">
      <c r="A100" s="4"/>
      <c r="J100" s="332" t="str">
        <f t="shared" si="3"/>
        <v/>
      </c>
      <c r="K100" s="332" t="str">
        <f t="shared" si="4"/>
        <v/>
      </c>
      <c r="L100" s="332" t="str">
        <f t="shared" si="5"/>
        <v/>
      </c>
    </row>
    <row r="101" spans="1:12">
      <c r="A101" t="s">
        <v>10704</v>
      </c>
      <c r="J101" s="332" t="str">
        <f t="shared" si="3"/>
        <v/>
      </c>
      <c r="K101" s="332" t="str">
        <f t="shared" si="4"/>
        <v/>
      </c>
      <c r="L101" s="332" t="str">
        <f t="shared" si="5"/>
        <v/>
      </c>
    </row>
    <row r="102" spans="1:12">
      <c r="A102" t="s">
        <v>10705</v>
      </c>
      <c r="J102" s="332" t="str">
        <f t="shared" si="3"/>
        <v/>
      </c>
      <c r="K102" s="332" t="str">
        <f t="shared" si="4"/>
        <v/>
      </c>
      <c r="L102" s="332" t="str">
        <f t="shared" si="5"/>
        <v/>
      </c>
    </row>
    <row r="103" spans="1:12">
      <c r="A103" t="s">
        <v>11176</v>
      </c>
      <c r="J103" s="332" t="str">
        <f t="shared" si="3"/>
        <v/>
      </c>
      <c r="K103" s="332" t="str">
        <f t="shared" si="4"/>
        <v/>
      </c>
      <c r="L103" s="332" t="str">
        <f t="shared" si="5"/>
        <v/>
      </c>
    </row>
    <row r="104" spans="1:12">
      <c r="A104" s="4" t="s">
        <v>11177</v>
      </c>
      <c r="J104" s="332" t="str">
        <f t="shared" si="3"/>
        <v/>
      </c>
      <c r="K104" s="332" t="str">
        <f t="shared" si="4"/>
        <v/>
      </c>
      <c r="L104" s="332" t="str">
        <f t="shared" si="5"/>
        <v/>
      </c>
    </row>
    <row r="105" spans="1:12">
      <c r="A105" s="4" t="s">
        <v>11177</v>
      </c>
      <c r="J105" s="332" t="str">
        <f t="shared" si="3"/>
        <v/>
      </c>
      <c r="K105" s="332" t="str">
        <f t="shared" si="4"/>
        <v/>
      </c>
      <c r="L105" s="332" t="str">
        <f t="shared" si="5"/>
        <v/>
      </c>
    </row>
    <row r="106" spans="1:12">
      <c r="A106" t="s">
        <v>10694</v>
      </c>
      <c r="J106" s="332" t="str">
        <f t="shared" si="3"/>
        <v/>
      </c>
      <c r="K106" s="332" t="str">
        <f t="shared" si="4"/>
        <v/>
      </c>
      <c r="L106" s="332" t="str">
        <f t="shared" si="5"/>
        <v/>
      </c>
    </row>
    <row r="107" spans="1:12">
      <c r="A107" t="s">
        <v>10706</v>
      </c>
      <c r="J107" s="332" t="str">
        <f t="shared" si="3"/>
        <v/>
      </c>
      <c r="K107" s="332" t="str">
        <f t="shared" si="4"/>
        <v/>
      </c>
      <c r="L107" s="332" t="str">
        <f t="shared" si="5"/>
        <v/>
      </c>
    </row>
    <row r="108" spans="1:12">
      <c r="A108" s="3" t="s">
        <v>10707</v>
      </c>
      <c r="J108" s="332" t="str">
        <f t="shared" si="3"/>
        <v/>
      </c>
      <c r="K108" s="332" t="str">
        <f t="shared" si="4"/>
        <v/>
      </c>
      <c r="L108" s="332" t="str">
        <f t="shared" si="5"/>
        <v/>
      </c>
    </row>
    <row r="109" spans="1:12">
      <c r="A109" s="3"/>
      <c r="J109" s="332" t="str">
        <f t="shared" si="3"/>
        <v/>
      </c>
      <c r="K109" s="332" t="str">
        <f t="shared" si="4"/>
        <v/>
      </c>
      <c r="L109" s="332" t="str">
        <f t="shared" si="5"/>
        <v/>
      </c>
    </row>
    <row r="110" spans="1:12">
      <c r="A110" t="s">
        <v>10937</v>
      </c>
      <c r="J110" s="332" t="str">
        <f t="shared" si="3"/>
        <v/>
      </c>
      <c r="K110" s="332" t="str">
        <f t="shared" si="4"/>
        <v/>
      </c>
      <c r="L110" s="332" t="str">
        <f t="shared" si="5"/>
        <v/>
      </c>
    </row>
    <row r="111" spans="1:12">
      <c r="A111" s="3" t="s">
        <v>12424</v>
      </c>
      <c r="J111" s="332" t="str">
        <f t="shared" si="3"/>
        <v/>
      </c>
      <c r="K111" s="332" t="str">
        <f t="shared" si="4"/>
        <v/>
      </c>
      <c r="L111" s="332" t="str">
        <f t="shared" si="5"/>
        <v/>
      </c>
    </row>
    <row r="112" spans="1:12">
      <c r="A112" s="3" t="s">
        <v>10938</v>
      </c>
      <c r="J112" s="332" t="str">
        <f t="shared" si="3"/>
        <v/>
      </c>
      <c r="K112" s="332" t="str">
        <f t="shared" si="4"/>
        <v/>
      </c>
      <c r="L112" s="332" t="str">
        <f t="shared" si="5"/>
        <v/>
      </c>
    </row>
    <row r="113" spans="1:12">
      <c r="A113" s="3" t="s">
        <v>9136</v>
      </c>
      <c r="J113" s="332" t="str">
        <f t="shared" si="3"/>
        <v/>
      </c>
      <c r="K113" s="332" t="str">
        <f t="shared" si="4"/>
        <v/>
      </c>
      <c r="L113" s="332" t="str">
        <f t="shared" si="5"/>
        <v/>
      </c>
    </row>
    <row r="114" spans="1:12">
      <c r="A114" t="s">
        <v>11175</v>
      </c>
      <c r="J114" s="332" t="str">
        <f t="shared" si="3"/>
        <v/>
      </c>
      <c r="K114" s="332" t="str">
        <f t="shared" si="4"/>
        <v/>
      </c>
      <c r="L114" s="332" t="str">
        <f t="shared" si="5"/>
        <v/>
      </c>
    </row>
    <row r="115" spans="1:12">
      <c r="A115" s="3"/>
      <c r="J115" s="332" t="str">
        <f t="shared" si="3"/>
        <v/>
      </c>
      <c r="K115" s="332" t="str">
        <f t="shared" si="4"/>
        <v/>
      </c>
      <c r="L115" s="332" t="str">
        <f t="shared" si="5"/>
        <v/>
      </c>
    </row>
    <row r="116" spans="1:12">
      <c r="A116" s="3" t="s">
        <v>2164</v>
      </c>
      <c r="J116" s="332" t="str">
        <f t="shared" si="3"/>
        <v/>
      </c>
      <c r="K116" s="332" t="str">
        <f t="shared" si="4"/>
        <v/>
      </c>
      <c r="L116" s="332" t="str">
        <f t="shared" si="5"/>
        <v/>
      </c>
    </row>
    <row r="117" spans="1:12">
      <c r="A117" s="3"/>
      <c r="J117" s="332" t="str">
        <f t="shared" si="3"/>
        <v/>
      </c>
      <c r="K117" s="332" t="str">
        <f t="shared" si="4"/>
        <v/>
      </c>
      <c r="L117" s="332" t="str">
        <f t="shared" si="5"/>
        <v/>
      </c>
    </row>
    <row r="118" spans="1:12">
      <c r="A118" s="3" t="s">
        <v>10668</v>
      </c>
      <c r="J118" s="332" t="str">
        <f t="shared" si="3"/>
        <v/>
      </c>
      <c r="K118" s="332" t="str">
        <f t="shared" si="4"/>
        <v/>
      </c>
      <c r="L118" s="332" t="str">
        <f t="shared" si="5"/>
        <v/>
      </c>
    </row>
    <row r="119" spans="1:12">
      <c r="A119" s="3" t="s">
        <v>10944</v>
      </c>
      <c r="J119" s="332" t="str">
        <f t="shared" si="3"/>
        <v/>
      </c>
      <c r="K119" s="332" t="str">
        <f t="shared" si="4"/>
        <v/>
      </c>
      <c r="L119" s="332" t="str">
        <f t="shared" si="5"/>
        <v/>
      </c>
    </row>
    <row r="120" spans="1:12">
      <c r="A120" s="3" t="s">
        <v>10698</v>
      </c>
      <c r="J120" s="332" t="str">
        <f t="shared" si="3"/>
        <v/>
      </c>
      <c r="K120" s="332" t="str">
        <f t="shared" si="4"/>
        <v/>
      </c>
      <c r="L120" s="332" t="str">
        <f t="shared" si="5"/>
        <v/>
      </c>
    </row>
    <row r="121" spans="1:12">
      <c r="A121" s="3" t="s">
        <v>10692</v>
      </c>
      <c r="J121" s="332" t="str">
        <f t="shared" si="3"/>
        <v/>
      </c>
      <c r="K121" s="332" t="str">
        <f t="shared" si="4"/>
        <v/>
      </c>
      <c r="L121" s="332" t="str">
        <f t="shared" si="5"/>
        <v/>
      </c>
    </row>
    <row r="122" spans="1:12">
      <c r="A122" t="s">
        <v>10693</v>
      </c>
      <c r="J122" s="332" t="str">
        <f t="shared" si="3"/>
        <v/>
      </c>
      <c r="K122" s="332" t="str">
        <f t="shared" si="4"/>
        <v/>
      </c>
      <c r="L122" s="332" t="str">
        <f t="shared" si="5"/>
        <v/>
      </c>
    </row>
    <row r="123" spans="1:12">
      <c r="A123" s="3" t="s">
        <v>10708</v>
      </c>
      <c r="J123" s="332" t="str">
        <f t="shared" si="3"/>
        <v/>
      </c>
      <c r="K123" s="332" t="str">
        <f t="shared" si="4"/>
        <v/>
      </c>
      <c r="L123" s="332" t="str">
        <f t="shared" si="5"/>
        <v/>
      </c>
    </row>
    <row r="124" spans="1:12">
      <c r="A124" s="3" t="s">
        <v>11183</v>
      </c>
      <c r="J124" s="332" t="str">
        <f t="shared" si="3"/>
        <v/>
      </c>
      <c r="K124" s="332" t="str">
        <f t="shared" si="4"/>
        <v/>
      </c>
      <c r="L124" s="332" t="str">
        <f t="shared" si="5"/>
        <v/>
      </c>
    </row>
    <row r="125" spans="1:12">
      <c r="A125" s="3" t="s">
        <v>10943</v>
      </c>
      <c r="J125" s="332" t="str">
        <f t="shared" si="3"/>
        <v/>
      </c>
      <c r="K125" s="332" t="str">
        <f t="shared" si="4"/>
        <v/>
      </c>
      <c r="L125" s="332" t="str">
        <f t="shared" si="5"/>
        <v/>
      </c>
    </row>
    <row r="126" spans="1:12">
      <c r="A126" s="3" t="s">
        <v>10668</v>
      </c>
      <c r="J126" s="332" t="str">
        <f t="shared" si="3"/>
        <v/>
      </c>
      <c r="K126" s="332" t="str">
        <f t="shared" si="4"/>
        <v/>
      </c>
      <c r="L126" s="332" t="str">
        <f t="shared" si="5"/>
        <v/>
      </c>
    </row>
    <row r="127" spans="1:12">
      <c r="A127" s="3" t="s">
        <v>10709</v>
      </c>
      <c r="J127" s="332" t="str">
        <f t="shared" si="3"/>
        <v/>
      </c>
      <c r="K127" s="332" t="str">
        <f t="shared" si="4"/>
        <v/>
      </c>
      <c r="L127" s="332" t="str">
        <f t="shared" si="5"/>
        <v/>
      </c>
    </row>
    <row r="128" spans="1:12">
      <c r="A128" s="3" t="s">
        <v>10670</v>
      </c>
      <c r="J128" s="332" t="str">
        <f t="shared" si="3"/>
        <v/>
      </c>
      <c r="K128" s="332" t="str">
        <f t="shared" si="4"/>
        <v/>
      </c>
      <c r="L128" s="332" t="str">
        <f t="shared" si="5"/>
        <v/>
      </c>
    </row>
    <row r="129" spans="1:12">
      <c r="A129" s="3" t="s">
        <v>10671</v>
      </c>
      <c r="J129" s="332" t="str">
        <f t="shared" si="3"/>
        <v/>
      </c>
      <c r="K129" s="332" t="str">
        <f t="shared" si="4"/>
        <v/>
      </c>
      <c r="L129" s="332" t="str">
        <f t="shared" si="5"/>
        <v/>
      </c>
    </row>
    <row r="130" spans="1:12">
      <c r="A130" t="s">
        <v>10946</v>
      </c>
      <c r="J130" s="332" t="str">
        <f t="shared" si="3"/>
        <v/>
      </c>
      <c r="K130" s="332" t="str">
        <f t="shared" si="4"/>
        <v/>
      </c>
      <c r="L130" s="332" t="str">
        <f t="shared" si="5"/>
        <v/>
      </c>
    </row>
    <row r="131" spans="1:12">
      <c r="A131" s="3" t="s">
        <v>10672</v>
      </c>
      <c r="J131" s="332" t="str">
        <f t="shared" si="3"/>
        <v/>
      </c>
      <c r="K131" s="332" t="str">
        <f t="shared" si="4"/>
        <v/>
      </c>
      <c r="L131" s="332" t="str">
        <f t="shared" si="5"/>
        <v/>
      </c>
    </row>
    <row r="132" spans="1:12">
      <c r="A132" s="3" t="s">
        <v>10673</v>
      </c>
      <c r="J132" s="332" t="str">
        <f t="shared" si="3"/>
        <v/>
      </c>
      <c r="K132" s="332" t="str">
        <f t="shared" si="4"/>
        <v/>
      </c>
      <c r="L132" s="332" t="str">
        <f t="shared" si="5"/>
        <v/>
      </c>
    </row>
    <row r="133" spans="1:12">
      <c r="A133" t="s">
        <v>10710</v>
      </c>
      <c r="J133" s="332" t="str">
        <f t="shared" ref="J133:J196" si="6">IF(OR(A133="Devizy",J132="Devizy"),"Devizy","")</f>
        <v/>
      </c>
      <c r="K133" s="332" t="str">
        <f t="shared" ref="K133:K196" si="7">IFERROR(IF(AND(J133="Devizy",FIND("Nakupujeme ",A133)=1),RIGHT(A133,7),""),"")</f>
        <v/>
      </c>
      <c r="L133" s="332" t="str">
        <f t="shared" ref="L133:L196" si="8">IFERROR(K133+M133,"")</f>
        <v/>
      </c>
    </row>
    <row r="134" spans="1:12">
      <c r="A134" s="3" t="s">
        <v>10674</v>
      </c>
      <c r="J134" s="332" t="str">
        <f t="shared" si="6"/>
        <v/>
      </c>
      <c r="K134" s="332" t="str">
        <f t="shared" si="7"/>
        <v/>
      </c>
      <c r="L134" s="332" t="str">
        <f t="shared" si="8"/>
        <v/>
      </c>
    </row>
    <row r="135" spans="1:12">
      <c r="A135" t="s">
        <v>10675</v>
      </c>
      <c r="J135" s="332" t="str">
        <f t="shared" si="6"/>
        <v/>
      </c>
      <c r="K135" s="332" t="str">
        <f t="shared" si="7"/>
        <v/>
      </c>
      <c r="L135" s="332" t="str">
        <f t="shared" si="8"/>
        <v/>
      </c>
    </row>
    <row r="136" spans="1:12">
      <c r="A136" t="s">
        <v>10711</v>
      </c>
      <c r="J136" s="332" t="str">
        <f t="shared" si="6"/>
        <v/>
      </c>
      <c r="K136" s="332" t="str">
        <f t="shared" si="7"/>
        <v/>
      </c>
      <c r="L136" s="332" t="str">
        <f t="shared" si="8"/>
        <v/>
      </c>
    </row>
    <row r="137" spans="1:12">
      <c r="A137" t="s">
        <v>10945</v>
      </c>
      <c r="J137" s="332" t="str">
        <f t="shared" si="6"/>
        <v/>
      </c>
      <c r="K137" s="332" t="str">
        <f t="shared" si="7"/>
        <v/>
      </c>
      <c r="L137" s="332" t="str">
        <f t="shared" si="8"/>
        <v/>
      </c>
    </row>
    <row r="138" spans="1:12">
      <c r="A138" s="4" t="s">
        <v>10676</v>
      </c>
      <c r="J138" s="332" t="str">
        <f t="shared" si="6"/>
        <v/>
      </c>
      <c r="K138" s="332" t="str">
        <f t="shared" si="7"/>
        <v/>
      </c>
      <c r="L138" s="332" t="str">
        <f t="shared" si="8"/>
        <v/>
      </c>
    </row>
    <row r="139" spans="1:12">
      <c r="A139" s="4" t="s">
        <v>10677</v>
      </c>
      <c r="J139" s="332" t="str">
        <f t="shared" si="6"/>
        <v/>
      </c>
      <c r="K139" s="332" t="str">
        <f t="shared" si="7"/>
        <v/>
      </c>
      <c r="L139" s="332" t="str">
        <f t="shared" si="8"/>
        <v/>
      </c>
    </row>
    <row r="140" spans="1:12">
      <c r="A140" t="s">
        <v>11623</v>
      </c>
      <c r="J140" s="332" t="str">
        <f t="shared" si="6"/>
        <v/>
      </c>
      <c r="K140" s="332" t="str">
        <f t="shared" si="7"/>
        <v/>
      </c>
      <c r="L140" s="332" t="str">
        <f t="shared" si="8"/>
        <v/>
      </c>
    </row>
    <row r="141" spans="1:12">
      <c r="A141" s="4" t="s">
        <v>10673</v>
      </c>
      <c r="J141" s="332" t="str">
        <f t="shared" si="6"/>
        <v/>
      </c>
      <c r="K141" s="332" t="str">
        <f t="shared" si="7"/>
        <v/>
      </c>
      <c r="L141" s="332" t="str">
        <f t="shared" si="8"/>
        <v/>
      </c>
    </row>
    <row r="142" spans="1:12">
      <c r="A142" s="4" t="s">
        <v>10712</v>
      </c>
      <c r="J142" s="332" t="str">
        <f t="shared" si="6"/>
        <v/>
      </c>
      <c r="K142" s="332" t="str">
        <f t="shared" si="7"/>
        <v/>
      </c>
      <c r="L142" s="332" t="str">
        <f t="shared" si="8"/>
        <v/>
      </c>
    </row>
    <row r="143" spans="1:12">
      <c r="A143" s="4" t="s">
        <v>10678</v>
      </c>
      <c r="J143" s="332" t="str">
        <f t="shared" si="6"/>
        <v/>
      </c>
      <c r="K143" s="332" t="str">
        <f t="shared" si="7"/>
        <v/>
      </c>
      <c r="L143" s="332" t="str">
        <f t="shared" si="8"/>
        <v/>
      </c>
    </row>
    <row r="144" spans="1:12">
      <c r="A144" t="s">
        <v>10679</v>
      </c>
      <c r="J144" s="332" t="str">
        <f t="shared" si="6"/>
        <v/>
      </c>
      <c r="K144" s="332" t="str">
        <f t="shared" si="7"/>
        <v/>
      </c>
      <c r="L144" s="332" t="str">
        <f t="shared" si="8"/>
        <v/>
      </c>
    </row>
    <row r="145" spans="1:12">
      <c r="A145" s="4" t="s">
        <v>10680</v>
      </c>
      <c r="J145" s="332" t="str">
        <f t="shared" si="6"/>
        <v/>
      </c>
      <c r="K145" s="332" t="str">
        <f t="shared" si="7"/>
        <v/>
      </c>
      <c r="L145" s="332" t="str">
        <f t="shared" si="8"/>
        <v/>
      </c>
    </row>
    <row r="146" spans="1:12">
      <c r="A146" s="4" t="s">
        <v>10681</v>
      </c>
      <c r="J146" s="332" t="str">
        <f t="shared" si="6"/>
        <v/>
      </c>
      <c r="K146" s="332" t="str">
        <f t="shared" si="7"/>
        <v/>
      </c>
      <c r="L146" s="332" t="str">
        <f t="shared" si="8"/>
        <v/>
      </c>
    </row>
    <row r="147" spans="1:12">
      <c r="A147" s="4" t="s">
        <v>10673</v>
      </c>
      <c r="J147" s="332" t="str">
        <f t="shared" si="6"/>
        <v/>
      </c>
      <c r="K147" s="332" t="str">
        <f t="shared" si="7"/>
        <v/>
      </c>
      <c r="L147" s="332" t="str">
        <f t="shared" si="8"/>
        <v/>
      </c>
    </row>
    <row r="148" spans="1:12">
      <c r="A148" s="4" t="s">
        <v>10713</v>
      </c>
      <c r="J148" s="332" t="str">
        <f t="shared" si="6"/>
        <v/>
      </c>
      <c r="K148" s="332" t="str">
        <f t="shared" si="7"/>
        <v/>
      </c>
      <c r="L148" s="332" t="str">
        <f t="shared" si="8"/>
        <v/>
      </c>
    </row>
    <row r="149" spans="1:12">
      <c r="A149" s="4" t="s">
        <v>10682</v>
      </c>
      <c r="J149" s="332" t="str">
        <f t="shared" si="6"/>
        <v/>
      </c>
      <c r="K149" s="332" t="str">
        <f t="shared" si="7"/>
        <v/>
      </c>
      <c r="L149" s="332" t="str">
        <f t="shared" si="8"/>
        <v/>
      </c>
    </row>
    <row r="150" spans="1:12">
      <c r="A150" s="4" t="s">
        <v>10683</v>
      </c>
      <c r="J150" s="332" t="str">
        <f t="shared" si="6"/>
        <v/>
      </c>
      <c r="K150" s="332" t="str">
        <f t="shared" si="7"/>
        <v/>
      </c>
      <c r="L150" s="332" t="str">
        <f t="shared" si="8"/>
        <v/>
      </c>
    </row>
    <row r="151" spans="1:12">
      <c r="A151" s="4" t="s">
        <v>10684</v>
      </c>
      <c r="J151" s="332" t="str">
        <f t="shared" si="6"/>
        <v/>
      </c>
      <c r="K151" s="332" t="str">
        <f t="shared" si="7"/>
        <v/>
      </c>
      <c r="L151" s="332" t="str">
        <f t="shared" si="8"/>
        <v/>
      </c>
    </row>
    <row r="152" spans="1:12">
      <c r="A152" s="4" t="s">
        <v>10685</v>
      </c>
      <c r="J152" s="332" t="str">
        <f t="shared" si="6"/>
        <v/>
      </c>
      <c r="K152" s="332" t="str">
        <f t="shared" si="7"/>
        <v/>
      </c>
      <c r="L152" s="332" t="str">
        <f t="shared" si="8"/>
        <v/>
      </c>
    </row>
    <row r="153" spans="1:12">
      <c r="A153" s="4" t="s">
        <v>10673</v>
      </c>
      <c r="J153" s="332" t="str">
        <f t="shared" si="6"/>
        <v/>
      </c>
      <c r="K153" s="332" t="str">
        <f t="shared" si="7"/>
        <v/>
      </c>
      <c r="L153" s="332" t="str">
        <f t="shared" si="8"/>
        <v/>
      </c>
    </row>
    <row r="154" spans="1:12">
      <c r="A154" s="4" t="s">
        <v>10714</v>
      </c>
      <c r="J154" s="332" t="str">
        <f t="shared" si="6"/>
        <v/>
      </c>
      <c r="K154" s="332" t="str">
        <f t="shared" si="7"/>
        <v/>
      </c>
      <c r="L154" s="332" t="str">
        <f t="shared" si="8"/>
        <v/>
      </c>
    </row>
    <row r="155" spans="1:12">
      <c r="A155" t="s">
        <v>10686</v>
      </c>
      <c r="J155" s="332" t="str">
        <f t="shared" si="6"/>
        <v/>
      </c>
      <c r="K155" s="332" t="str">
        <f t="shared" si="7"/>
        <v/>
      </c>
      <c r="L155" s="332" t="str">
        <f t="shared" si="8"/>
        <v/>
      </c>
    </row>
    <row r="156" spans="1:12">
      <c r="A156" s="4" t="s">
        <v>10687</v>
      </c>
      <c r="J156" s="332" t="str">
        <f t="shared" si="6"/>
        <v/>
      </c>
      <c r="K156" s="332" t="str">
        <f t="shared" si="7"/>
        <v/>
      </c>
      <c r="L156" s="332" t="str">
        <f t="shared" si="8"/>
        <v/>
      </c>
    </row>
    <row r="157" spans="1:12">
      <c r="A157" s="2" t="s">
        <v>10688</v>
      </c>
      <c r="J157" s="332" t="str">
        <f t="shared" si="6"/>
        <v/>
      </c>
      <c r="K157" s="332" t="str">
        <f t="shared" si="7"/>
        <v/>
      </c>
      <c r="L157" s="332" t="str">
        <f t="shared" si="8"/>
        <v/>
      </c>
    </row>
    <row r="158" spans="1:12">
      <c r="A158" t="s">
        <v>10689</v>
      </c>
      <c r="J158" s="332" t="str">
        <f t="shared" si="6"/>
        <v/>
      </c>
      <c r="K158" s="332" t="str">
        <f t="shared" si="7"/>
        <v/>
      </c>
      <c r="L158" s="332" t="str">
        <f t="shared" si="8"/>
        <v/>
      </c>
    </row>
    <row r="159" spans="1:12">
      <c r="A159" t="s">
        <v>10673</v>
      </c>
      <c r="J159" s="332" t="str">
        <f t="shared" si="6"/>
        <v/>
      </c>
      <c r="K159" s="332" t="str">
        <f t="shared" si="7"/>
        <v/>
      </c>
      <c r="L159" s="332" t="str">
        <f t="shared" si="8"/>
        <v/>
      </c>
    </row>
    <row r="160" spans="1:12">
      <c r="A160" s="2" t="s">
        <v>11182</v>
      </c>
      <c r="J160" s="332" t="str">
        <f t="shared" si="6"/>
        <v/>
      </c>
      <c r="K160" s="332" t="str">
        <f t="shared" si="7"/>
        <v/>
      </c>
      <c r="L160" s="332" t="str">
        <f t="shared" si="8"/>
        <v/>
      </c>
    </row>
    <row r="161" spans="1:12">
      <c r="A161" s="2" t="s">
        <v>11181</v>
      </c>
      <c r="J161" s="332" t="str">
        <f t="shared" si="6"/>
        <v/>
      </c>
      <c r="K161" s="332" t="str">
        <f t="shared" si="7"/>
        <v/>
      </c>
      <c r="L161" s="332" t="str">
        <f t="shared" si="8"/>
        <v/>
      </c>
    </row>
    <row r="162" spans="1:12">
      <c r="A162" s="2" t="s">
        <v>10695</v>
      </c>
      <c r="J162" s="332" t="str">
        <f t="shared" si="6"/>
        <v/>
      </c>
      <c r="K162" s="332" t="str">
        <f t="shared" si="7"/>
        <v/>
      </c>
      <c r="L162" s="332" t="str">
        <f t="shared" si="8"/>
        <v/>
      </c>
    </row>
    <row r="163" spans="1:12">
      <c r="A163" s="2" t="s">
        <v>10699</v>
      </c>
      <c r="J163" s="332" t="str">
        <f t="shared" si="6"/>
        <v/>
      </c>
      <c r="K163" s="332" t="str">
        <f t="shared" si="7"/>
        <v/>
      </c>
      <c r="L163" s="332" t="str">
        <f t="shared" si="8"/>
        <v/>
      </c>
    </row>
    <row r="164" spans="1:12">
      <c r="A164" t="s">
        <v>10697</v>
      </c>
      <c r="J164" s="332" t="str">
        <f t="shared" si="6"/>
        <v/>
      </c>
      <c r="K164" s="332" t="str">
        <f t="shared" si="7"/>
        <v/>
      </c>
      <c r="L164" s="332" t="str">
        <f t="shared" si="8"/>
        <v/>
      </c>
    </row>
    <row r="165" spans="1:12">
      <c r="A165" t="s">
        <v>10698</v>
      </c>
      <c r="J165" s="332" t="str">
        <f t="shared" si="6"/>
        <v/>
      </c>
      <c r="K165" s="332" t="str">
        <f t="shared" si="7"/>
        <v/>
      </c>
      <c r="L165" s="332" t="str">
        <f t="shared" si="8"/>
        <v/>
      </c>
    </row>
    <row r="166" spans="1:12">
      <c r="A166" t="s">
        <v>10700</v>
      </c>
      <c r="J166" s="332" t="str">
        <f t="shared" si="6"/>
        <v/>
      </c>
      <c r="K166" s="332" t="str">
        <f t="shared" si="7"/>
        <v/>
      </c>
      <c r="L166" s="332" t="str">
        <f t="shared" si="8"/>
        <v/>
      </c>
    </row>
    <row r="167" spans="1:12">
      <c r="A167" t="s">
        <v>10703</v>
      </c>
      <c r="J167" s="332" t="str">
        <f t="shared" si="6"/>
        <v/>
      </c>
      <c r="K167" s="332" t="str">
        <f t="shared" si="7"/>
        <v/>
      </c>
      <c r="L167" s="332" t="str">
        <f t="shared" si="8"/>
        <v/>
      </c>
    </row>
    <row r="168" spans="1:12">
      <c r="A168" t="s">
        <v>10702</v>
      </c>
      <c r="J168" s="332" t="str">
        <f t="shared" si="6"/>
        <v/>
      </c>
      <c r="K168" s="332" t="str">
        <f t="shared" si="7"/>
        <v/>
      </c>
      <c r="L168" s="332" t="str">
        <f t="shared" si="8"/>
        <v/>
      </c>
    </row>
    <row r="169" spans="1:12">
      <c r="A169" t="s">
        <v>10701</v>
      </c>
      <c r="J169" s="332" t="str">
        <f t="shared" si="6"/>
        <v/>
      </c>
      <c r="K169" s="332" t="str">
        <f t="shared" si="7"/>
        <v/>
      </c>
      <c r="L169" s="332" t="str">
        <f t="shared" si="8"/>
        <v/>
      </c>
    </row>
    <row r="170" spans="1:12">
      <c r="A170" t="s">
        <v>11179</v>
      </c>
      <c r="J170" s="332" t="str">
        <f t="shared" si="6"/>
        <v/>
      </c>
      <c r="K170" s="332" t="str">
        <f t="shared" si="7"/>
        <v/>
      </c>
      <c r="L170" s="332" t="str">
        <f t="shared" si="8"/>
        <v/>
      </c>
    </row>
    <row r="171" spans="1:12">
      <c r="A171" t="s">
        <v>10705</v>
      </c>
      <c r="J171" s="332" t="str">
        <f t="shared" si="6"/>
        <v/>
      </c>
      <c r="K171" s="332" t="str">
        <f t="shared" si="7"/>
        <v/>
      </c>
      <c r="L171" s="332" t="str">
        <f t="shared" si="8"/>
        <v/>
      </c>
    </row>
    <row r="172" spans="1:12">
      <c r="A172" t="s">
        <v>10704</v>
      </c>
      <c r="J172" s="332" t="str">
        <f t="shared" si="6"/>
        <v/>
      </c>
      <c r="K172" s="332" t="str">
        <f t="shared" si="7"/>
        <v/>
      </c>
      <c r="L172" s="332" t="str">
        <f t="shared" si="8"/>
        <v/>
      </c>
    </row>
    <row r="173" spans="1:12">
      <c r="A173" t="s">
        <v>11176</v>
      </c>
      <c r="J173" s="332" t="str">
        <f t="shared" si="6"/>
        <v/>
      </c>
      <c r="K173" s="332" t="str">
        <f t="shared" si="7"/>
        <v/>
      </c>
      <c r="L173" s="332" t="str">
        <f t="shared" si="8"/>
        <v/>
      </c>
    </row>
    <row r="174" spans="1:12">
      <c r="A174" t="s">
        <v>10715</v>
      </c>
      <c r="J174" s="332" t="str">
        <f t="shared" si="6"/>
        <v/>
      </c>
      <c r="K174" s="332" t="str">
        <f t="shared" si="7"/>
        <v/>
      </c>
      <c r="L174" s="332" t="str">
        <f t="shared" si="8"/>
        <v/>
      </c>
    </row>
    <row r="175" spans="1:12">
      <c r="A175" t="s">
        <v>10939</v>
      </c>
      <c r="J175" s="332" t="str">
        <f t="shared" si="6"/>
        <v/>
      </c>
      <c r="K175" s="332" t="str">
        <f t="shared" si="7"/>
        <v/>
      </c>
      <c r="L175" s="332" t="str">
        <f t="shared" si="8"/>
        <v/>
      </c>
    </row>
    <row r="176" spans="1:12">
      <c r="A176" t="s">
        <v>10716</v>
      </c>
      <c r="J176" s="332" t="str">
        <f t="shared" si="6"/>
        <v/>
      </c>
      <c r="K176" s="332" t="str">
        <f t="shared" si="7"/>
        <v/>
      </c>
      <c r="L176" s="332" t="str">
        <f t="shared" si="8"/>
        <v/>
      </c>
    </row>
    <row r="177" spans="1:12">
      <c r="A177" t="s">
        <v>11183</v>
      </c>
      <c r="J177" s="332" t="str">
        <f t="shared" si="6"/>
        <v/>
      </c>
      <c r="K177" s="332" t="str">
        <f t="shared" si="7"/>
        <v/>
      </c>
      <c r="L177" s="332" t="str">
        <f t="shared" si="8"/>
        <v/>
      </c>
    </row>
    <row r="178" spans="1:12">
      <c r="A178" t="s">
        <v>10943</v>
      </c>
      <c r="J178" s="332" t="str">
        <f t="shared" si="6"/>
        <v/>
      </c>
      <c r="K178" s="332" t="str">
        <f t="shared" si="7"/>
        <v/>
      </c>
      <c r="L178" s="332" t="str">
        <f t="shared" si="8"/>
        <v/>
      </c>
    </row>
    <row r="179" spans="1:12">
      <c r="A179" t="s">
        <v>10718</v>
      </c>
      <c r="J179" s="332" t="str">
        <f t="shared" si="6"/>
        <v/>
      </c>
      <c r="K179" s="332" t="str">
        <f t="shared" si="7"/>
        <v/>
      </c>
      <c r="L179" s="332" t="str">
        <f t="shared" si="8"/>
        <v/>
      </c>
    </row>
    <row r="180" spans="1:12">
      <c r="A180" t="s">
        <v>10717</v>
      </c>
      <c r="J180" s="332" t="str">
        <f t="shared" si="6"/>
        <v/>
      </c>
      <c r="K180" s="332" t="str">
        <f t="shared" si="7"/>
        <v/>
      </c>
      <c r="L180" s="332" t="str">
        <f t="shared" si="8"/>
        <v/>
      </c>
    </row>
    <row r="181" spans="1:12">
      <c r="A181" t="s">
        <v>10719</v>
      </c>
      <c r="J181" s="332" t="str">
        <f t="shared" si="6"/>
        <v/>
      </c>
      <c r="K181" s="332" t="str">
        <f t="shared" si="7"/>
        <v/>
      </c>
      <c r="L181" s="332" t="str">
        <f t="shared" si="8"/>
        <v/>
      </c>
    </row>
    <row r="182" spans="1:12">
      <c r="A182" t="s">
        <v>2157</v>
      </c>
      <c r="J182" s="332" t="str">
        <f t="shared" si="6"/>
        <v/>
      </c>
      <c r="K182" s="332" t="str">
        <f t="shared" si="7"/>
        <v/>
      </c>
      <c r="L182" s="332" t="str">
        <f t="shared" si="8"/>
        <v/>
      </c>
    </row>
    <row r="183" spans="1:12">
      <c r="A183" t="s">
        <v>2158</v>
      </c>
      <c r="J183" s="332" t="str">
        <f t="shared" si="6"/>
        <v/>
      </c>
      <c r="K183" s="332" t="str">
        <f t="shared" si="7"/>
        <v/>
      </c>
      <c r="L183" s="332" t="str">
        <f t="shared" si="8"/>
        <v/>
      </c>
    </row>
    <row r="184" spans="1:12">
      <c r="J184" s="332" t="str">
        <f t="shared" si="6"/>
        <v/>
      </c>
      <c r="K184" s="332" t="str">
        <f t="shared" si="7"/>
        <v/>
      </c>
      <c r="L184" s="332" t="str">
        <f t="shared" si="8"/>
        <v/>
      </c>
    </row>
    <row r="185" spans="1:12">
      <c r="A185" t="s">
        <v>11070</v>
      </c>
      <c r="J185" s="332" t="str">
        <f t="shared" si="6"/>
        <v/>
      </c>
      <c r="K185" s="332" t="str">
        <f t="shared" si="7"/>
        <v/>
      </c>
      <c r="L185" s="332" t="str">
        <f t="shared" si="8"/>
        <v/>
      </c>
    </row>
    <row r="186" spans="1:12">
      <c r="J186" s="332" t="str">
        <f t="shared" si="6"/>
        <v/>
      </c>
      <c r="K186" s="332" t="str">
        <f t="shared" si="7"/>
        <v/>
      </c>
      <c r="L186" s="332" t="str">
        <f t="shared" si="8"/>
        <v/>
      </c>
    </row>
    <row r="187" spans="1:12">
      <c r="A187" t="s">
        <v>11976</v>
      </c>
      <c r="J187" s="332" t="str">
        <f t="shared" si="6"/>
        <v/>
      </c>
      <c r="K187" s="332" t="str">
        <f t="shared" si="7"/>
        <v/>
      </c>
      <c r="L187" s="332" t="str">
        <f t="shared" si="8"/>
        <v/>
      </c>
    </row>
    <row r="188" spans="1:12">
      <c r="J188" s="332" t="str">
        <f t="shared" si="6"/>
        <v/>
      </c>
      <c r="K188" s="332" t="str">
        <f t="shared" si="7"/>
        <v/>
      </c>
      <c r="L188" s="332" t="str">
        <f t="shared" si="8"/>
        <v/>
      </c>
    </row>
    <row r="189" spans="1:12">
      <c r="A189" t="s">
        <v>15101</v>
      </c>
      <c r="J189" s="332" t="str">
        <f t="shared" si="6"/>
        <v/>
      </c>
      <c r="K189" s="332" t="str">
        <f t="shared" si="7"/>
        <v/>
      </c>
      <c r="L189" s="332" t="str">
        <f t="shared" si="8"/>
        <v/>
      </c>
    </row>
    <row r="190" spans="1:12">
      <c r="J190" s="332" t="str">
        <f t="shared" si="6"/>
        <v/>
      </c>
      <c r="K190" s="332" t="str">
        <f t="shared" si="7"/>
        <v/>
      </c>
      <c r="L190" s="332" t="str">
        <f t="shared" si="8"/>
        <v/>
      </c>
    </row>
    <row r="191" spans="1:12">
      <c r="A191" t="s">
        <v>2160</v>
      </c>
      <c r="J191" s="332" t="str">
        <f t="shared" si="6"/>
        <v/>
      </c>
      <c r="K191" s="332" t="str">
        <f t="shared" si="7"/>
        <v/>
      </c>
      <c r="L191" s="332" t="str">
        <f t="shared" si="8"/>
        <v/>
      </c>
    </row>
    <row r="192" spans="1:12">
      <c r="J192" s="332" t="str">
        <f t="shared" si="6"/>
        <v/>
      </c>
      <c r="K192" s="332" t="str">
        <f t="shared" si="7"/>
        <v/>
      </c>
      <c r="L192" s="332" t="str">
        <f t="shared" si="8"/>
        <v/>
      </c>
    </row>
    <row r="193" spans="1:12">
      <c r="A193" t="s">
        <v>15107</v>
      </c>
      <c r="J193" s="332" t="str">
        <f t="shared" si="6"/>
        <v/>
      </c>
      <c r="K193" s="332" t="str">
        <f t="shared" si="7"/>
        <v/>
      </c>
      <c r="L193" s="332" t="str">
        <f t="shared" si="8"/>
        <v/>
      </c>
    </row>
    <row r="194" spans="1:12">
      <c r="A194" t="s">
        <v>15108</v>
      </c>
      <c r="J194" s="332" t="str">
        <f t="shared" si="6"/>
        <v/>
      </c>
      <c r="K194" s="332" t="str">
        <f t="shared" si="7"/>
        <v/>
      </c>
      <c r="L194" s="332" t="str">
        <f t="shared" si="8"/>
        <v/>
      </c>
    </row>
    <row r="195" spans="1:12">
      <c r="J195" s="332" t="str">
        <f t="shared" si="6"/>
        <v/>
      </c>
      <c r="K195" s="332" t="str">
        <f t="shared" si="7"/>
        <v/>
      </c>
      <c r="L195" s="332" t="str">
        <f t="shared" si="8"/>
        <v/>
      </c>
    </row>
    <row r="196" spans="1:12">
      <c r="A196" t="s">
        <v>2161</v>
      </c>
      <c r="J196" s="332" t="str">
        <f t="shared" si="6"/>
        <v/>
      </c>
      <c r="K196" s="332" t="str">
        <f t="shared" si="7"/>
        <v/>
      </c>
      <c r="L196" s="332" t="str">
        <f t="shared" si="8"/>
        <v/>
      </c>
    </row>
    <row r="197" spans="1:12">
      <c r="J197" s="332" t="str">
        <f t="shared" ref="J197:J260" si="9">IF(OR(A197="Devizy",J196="Devizy"),"Devizy","")</f>
        <v/>
      </c>
      <c r="K197" s="332" t="str">
        <f t="shared" ref="K197:K260" si="10">IFERROR(IF(AND(J197="Devizy",FIND("Nakupujeme ",A197)=1),RIGHT(A197,7),""),"")</f>
        <v/>
      </c>
      <c r="L197" s="332" t="str">
        <f t="shared" ref="L197:L260" si="11">IFERROR(K197+M197,"")</f>
        <v/>
      </c>
    </row>
    <row r="198" spans="1:12">
      <c r="A198" t="s">
        <v>15109</v>
      </c>
      <c r="J198" s="332" t="str">
        <f t="shared" si="9"/>
        <v/>
      </c>
      <c r="K198" s="332" t="str">
        <f t="shared" si="10"/>
        <v/>
      </c>
      <c r="L198" s="332" t="str">
        <f t="shared" si="11"/>
        <v/>
      </c>
    </row>
    <row r="199" spans="1:12">
      <c r="A199" t="s">
        <v>15110</v>
      </c>
      <c r="J199" s="332" t="str">
        <f t="shared" si="9"/>
        <v/>
      </c>
      <c r="K199" s="332" t="str">
        <f t="shared" si="10"/>
        <v/>
      </c>
      <c r="L199" s="332" t="str">
        <f t="shared" si="11"/>
        <v/>
      </c>
    </row>
    <row r="200" spans="1:12">
      <c r="J200" s="332" t="str">
        <f t="shared" si="9"/>
        <v/>
      </c>
      <c r="K200" s="332" t="str">
        <f t="shared" si="10"/>
        <v/>
      </c>
      <c r="L200" s="332" t="str">
        <f t="shared" si="11"/>
        <v/>
      </c>
    </row>
    <row r="201" spans="1:12">
      <c r="A201" t="s">
        <v>2162</v>
      </c>
      <c r="J201" s="332" t="str">
        <f t="shared" si="9"/>
        <v>Devizy</v>
      </c>
      <c r="K201" s="332" t="str">
        <f t="shared" si="10"/>
        <v/>
      </c>
      <c r="L201" s="332" t="str">
        <f t="shared" si="11"/>
        <v/>
      </c>
    </row>
    <row r="202" spans="1:12">
      <c r="J202" s="332" t="str">
        <f t="shared" si="9"/>
        <v>Devizy</v>
      </c>
      <c r="K202" s="332" t="str">
        <f t="shared" si="10"/>
        <v/>
      </c>
      <c r="L202" s="332" t="str">
        <f t="shared" si="11"/>
        <v/>
      </c>
    </row>
    <row r="203" spans="1:12">
      <c r="A203" t="s">
        <v>15111</v>
      </c>
      <c r="J203" s="332" t="str">
        <f t="shared" si="9"/>
        <v>Devizy</v>
      </c>
      <c r="K203" s="332" t="str">
        <f t="shared" si="10"/>
        <v>27,2059</v>
      </c>
      <c r="L203" s="332">
        <f t="shared" si="11"/>
        <v>27.2059</v>
      </c>
    </row>
    <row r="204" spans="1:12">
      <c r="A204" s="2" t="s">
        <v>15112</v>
      </c>
      <c r="J204" s="332" t="str">
        <f t="shared" si="9"/>
        <v>Devizy</v>
      </c>
      <c r="K204" s="332" t="str">
        <f t="shared" si="10"/>
        <v/>
      </c>
      <c r="L204" s="332" t="str">
        <f t="shared" si="11"/>
        <v/>
      </c>
    </row>
    <row r="205" spans="1:12">
      <c r="A205" s="2"/>
      <c r="J205" s="332" t="str">
        <f t="shared" si="9"/>
        <v>Devizy</v>
      </c>
      <c r="K205" s="332" t="str">
        <f t="shared" si="10"/>
        <v/>
      </c>
      <c r="L205" s="332" t="str">
        <f t="shared" si="11"/>
        <v/>
      </c>
    </row>
    <row r="206" spans="1:12">
      <c r="A206" s="2" t="s">
        <v>10720</v>
      </c>
      <c r="J206" s="332" t="str">
        <f t="shared" si="9"/>
        <v>Devizy</v>
      </c>
      <c r="K206" s="332" t="str">
        <f t="shared" si="10"/>
        <v/>
      </c>
      <c r="L206" s="332" t="str">
        <f t="shared" si="11"/>
        <v/>
      </c>
    </row>
    <row r="207" spans="1:12">
      <c r="J207" s="332" t="str">
        <f t="shared" si="9"/>
        <v>Devizy</v>
      </c>
      <c r="K207" s="332" t="str">
        <f t="shared" si="10"/>
        <v/>
      </c>
      <c r="L207" s="332" t="str">
        <f t="shared" si="11"/>
        <v/>
      </c>
    </row>
    <row r="208" spans="1:12">
      <c r="A208" s="2" t="s">
        <v>10694</v>
      </c>
      <c r="J208" s="332" t="str">
        <f t="shared" si="9"/>
        <v>Devizy</v>
      </c>
      <c r="K208" s="332" t="str">
        <f t="shared" si="10"/>
        <v/>
      </c>
      <c r="L208" s="332" t="str">
        <f t="shared" si="11"/>
        <v/>
      </c>
    </row>
    <row r="209" spans="1:12">
      <c r="A209" s="2"/>
      <c r="J209" s="332" t="str">
        <f t="shared" si="9"/>
        <v>Devizy</v>
      </c>
      <c r="K209" s="332" t="str">
        <f t="shared" si="10"/>
        <v/>
      </c>
      <c r="L209" s="332" t="str">
        <f t="shared" si="11"/>
        <v/>
      </c>
    </row>
    <row r="210" spans="1:12">
      <c r="A210" s="2" t="s">
        <v>10721</v>
      </c>
      <c r="J210" s="332" t="str">
        <f t="shared" si="9"/>
        <v>Devizy</v>
      </c>
      <c r="K210" s="332" t="str">
        <f t="shared" si="10"/>
        <v/>
      </c>
      <c r="L210" s="332" t="str">
        <f t="shared" si="11"/>
        <v/>
      </c>
    </row>
    <row r="211" spans="1:12">
      <c r="A211" s="2"/>
      <c r="J211" s="332" t="str">
        <f t="shared" si="9"/>
        <v>Devizy</v>
      </c>
      <c r="K211" s="332" t="str">
        <f t="shared" si="10"/>
        <v/>
      </c>
      <c r="L211" s="332" t="str">
        <f t="shared" si="11"/>
        <v/>
      </c>
    </row>
    <row r="212" spans="1:12">
      <c r="A212" s="2" t="s">
        <v>10694</v>
      </c>
      <c r="J212" s="332" t="str">
        <f t="shared" si="9"/>
        <v>Devizy</v>
      </c>
      <c r="K212" s="332" t="str">
        <f t="shared" si="10"/>
        <v/>
      </c>
      <c r="L212" s="332" t="str">
        <f t="shared" si="11"/>
        <v/>
      </c>
    </row>
    <row r="213" spans="1:12">
      <c r="A213" t="s">
        <v>12416</v>
      </c>
      <c r="J213" s="332" t="str">
        <f t="shared" si="9"/>
        <v>Devizy</v>
      </c>
      <c r="K213" s="332" t="str">
        <f t="shared" si="10"/>
        <v/>
      </c>
      <c r="L213" s="332" t="str">
        <f t="shared" si="11"/>
        <v/>
      </c>
    </row>
    <row r="214" spans="1:12">
      <c r="A214" s="2" t="s">
        <v>10722</v>
      </c>
      <c r="J214" s="332" t="str">
        <f t="shared" si="9"/>
        <v>Devizy</v>
      </c>
      <c r="K214" s="332" t="str">
        <f t="shared" si="10"/>
        <v/>
      </c>
      <c r="L214" s="332" t="str">
        <f t="shared" si="11"/>
        <v/>
      </c>
    </row>
    <row r="215" spans="1:12">
      <c r="A215" s="2" t="s">
        <v>15081</v>
      </c>
      <c r="J215" s="332" t="str">
        <f t="shared" si="9"/>
        <v>Devizy</v>
      </c>
      <c r="K215" s="332" t="str">
        <f t="shared" si="10"/>
        <v/>
      </c>
      <c r="L215" s="332" t="str">
        <f t="shared" si="11"/>
        <v/>
      </c>
    </row>
    <row r="216" spans="1:12">
      <c r="A216" s="2" t="s">
        <v>10723</v>
      </c>
      <c r="J216" s="332" t="str">
        <f t="shared" si="9"/>
        <v>Devizy</v>
      </c>
      <c r="K216" s="332" t="str">
        <f t="shared" si="10"/>
        <v/>
      </c>
      <c r="L216" s="332" t="str">
        <f t="shared" si="11"/>
        <v/>
      </c>
    </row>
    <row r="217" spans="1:12">
      <c r="A217" s="2" t="s">
        <v>11183</v>
      </c>
      <c r="J217" s="332" t="str">
        <f t="shared" si="9"/>
        <v>Devizy</v>
      </c>
      <c r="K217" s="332" t="str">
        <f t="shared" si="10"/>
        <v/>
      </c>
      <c r="L217" s="332" t="str">
        <f t="shared" si="11"/>
        <v/>
      </c>
    </row>
    <row r="218" spans="1:12">
      <c r="A218" s="2" t="s">
        <v>10943</v>
      </c>
      <c r="J218" s="332" t="str">
        <f t="shared" si="9"/>
        <v>Devizy</v>
      </c>
      <c r="K218" s="332" t="str">
        <f t="shared" si="10"/>
        <v/>
      </c>
      <c r="L218" s="332" t="str">
        <f t="shared" si="11"/>
        <v/>
      </c>
    </row>
    <row r="219" spans="1:12">
      <c r="A219" s="2" t="s">
        <v>10724</v>
      </c>
      <c r="J219" s="332" t="str">
        <f t="shared" si="9"/>
        <v>Devizy</v>
      </c>
      <c r="K219" s="332" t="str">
        <f t="shared" si="10"/>
        <v/>
      </c>
      <c r="L219" s="332" t="str">
        <f t="shared" si="11"/>
        <v/>
      </c>
    </row>
    <row r="220" spans="1:12">
      <c r="A220" s="2" t="s">
        <v>10725</v>
      </c>
      <c r="J220" s="332" t="str">
        <f t="shared" si="9"/>
        <v>Devizy</v>
      </c>
      <c r="K220" s="332" t="str">
        <f t="shared" si="10"/>
        <v/>
      </c>
      <c r="L220" s="332" t="str">
        <f t="shared" si="11"/>
        <v/>
      </c>
    </row>
    <row r="221" spans="1:12">
      <c r="A221" t="s">
        <v>10726</v>
      </c>
      <c r="J221" s="332" t="str">
        <f t="shared" si="9"/>
        <v>Devizy</v>
      </c>
      <c r="K221" s="332" t="str">
        <f t="shared" si="10"/>
        <v/>
      </c>
      <c r="L221" s="332" t="str">
        <f t="shared" si="11"/>
        <v/>
      </c>
    </row>
    <row r="222" spans="1:12">
      <c r="A222" t="s">
        <v>10718</v>
      </c>
      <c r="J222" s="332" t="str">
        <f t="shared" si="9"/>
        <v>Devizy</v>
      </c>
      <c r="K222" s="332" t="str">
        <f t="shared" si="10"/>
        <v/>
      </c>
      <c r="L222" s="332" t="str">
        <f t="shared" si="11"/>
        <v/>
      </c>
    </row>
    <row r="223" spans="1:12">
      <c r="A223" t="s">
        <v>10737</v>
      </c>
      <c r="J223" s="332" t="str">
        <f t="shared" si="9"/>
        <v>Devizy</v>
      </c>
      <c r="K223" s="332" t="str">
        <f t="shared" si="10"/>
        <v/>
      </c>
      <c r="L223" s="332" t="str">
        <f t="shared" si="11"/>
        <v/>
      </c>
    </row>
    <row r="224" spans="1:12">
      <c r="A224" t="s">
        <v>10690</v>
      </c>
      <c r="J224" s="332" t="str">
        <f t="shared" si="9"/>
        <v>Devizy</v>
      </c>
      <c r="K224" s="332" t="str">
        <f t="shared" si="10"/>
        <v/>
      </c>
      <c r="L224" s="332" t="str">
        <f t="shared" si="11"/>
        <v/>
      </c>
    </row>
    <row r="225" spans="1:12">
      <c r="A225" t="s">
        <v>10692</v>
      </c>
      <c r="J225" s="332" t="str">
        <f t="shared" si="9"/>
        <v>Devizy</v>
      </c>
      <c r="K225" s="332" t="str">
        <f t="shared" si="10"/>
        <v/>
      </c>
      <c r="L225" s="332" t="str">
        <f t="shared" si="11"/>
        <v/>
      </c>
    </row>
    <row r="226" spans="1:12">
      <c r="A226" t="s">
        <v>10704</v>
      </c>
      <c r="J226" s="332" t="str">
        <f t="shared" si="9"/>
        <v>Devizy</v>
      </c>
      <c r="K226" s="332" t="str">
        <f t="shared" si="10"/>
        <v/>
      </c>
      <c r="L226" s="332" t="str">
        <f t="shared" si="11"/>
        <v/>
      </c>
    </row>
    <row r="227" spans="1:12">
      <c r="A227" t="s">
        <v>10693</v>
      </c>
      <c r="J227" s="332" t="str">
        <f t="shared" si="9"/>
        <v>Devizy</v>
      </c>
      <c r="K227" s="332" t="str">
        <f t="shared" si="10"/>
        <v/>
      </c>
      <c r="L227" s="332" t="str">
        <f t="shared" si="11"/>
        <v/>
      </c>
    </row>
    <row r="228" spans="1:12">
      <c r="A228" t="s">
        <v>10695</v>
      </c>
      <c r="J228" s="332" t="str">
        <f t="shared" si="9"/>
        <v>Devizy</v>
      </c>
      <c r="K228" s="332" t="str">
        <f t="shared" si="10"/>
        <v/>
      </c>
      <c r="L228" s="332" t="str">
        <f t="shared" si="11"/>
        <v/>
      </c>
    </row>
    <row r="229" spans="1:12">
      <c r="A229" t="s">
        <v>10703</v>
      </c>
      <c r="J229" s="332" t="str">
        <f t="shared" si="9"/>
        <v>Devizy</v>
      </c>
      <c r="K229" s="332" t="str">
        <f t="shared" si="10"/>
        <v/>
      </c>
      <c r="L229" s="332" t="str">
        <f t="shared" si="11"/>
        <v/>
      </c>
    </row>
    <row r="230" spans="1:12">
      <c r="A230" t="s">
        <v>10727</v>
      </c>
      <c r="J230" s="332" t="str">
        <f t="shared" si="9"/>
        <v>Devizy</v>
      </c>
      <c r="K230" s="332" t="str">
        <f t="shared" si="10"/>
        <v/>
      </c>
      <c r="L230" s="332" t="str">
        <f t="shared" si="11"/>
        <v/>
      </c>
    </row>
    <row r="231" spans="1:12">
      <c r="A231" t="s">
        <v>10728</v>
      </c>
      <c r="J231" s="332" t="str">
        <f t="shared" si="9"/>
        <v>Devizy</v>
      </c>
      <c r="K231" s="332" t="str">
        <f t="shared" si="10"/>
        <v/>
      </c>
      <c r="L231" s="332" t="str">
        <f t="shared" si="11"/>
        <v/>
      </c>
    </row>
    <row r="232" spans="1:12">
      <c r="A232" t="s">
        <v>10702</v>
      </c>
      <c r="J232" s="332" t="str">
        <f t="shared" si="9"/>
        <v>Devizy</v>
      </c>
      <c r="K232" s="332" t="str">
        <f t="shared" si="10"/>
        <v/>
      </c>
      <c r="L232" s="332" t="str">
        <f t="shared" si="11"/>
        <v/>
      </c>
    </row>
    <row r="233" spans="1:12">
      <c r="A233" t="s">
        <v>10697</v>
      </c>
      <c r="J233" s="332" t="str">
        <f t="shared" si="9"/>
        <v>Devizy</v>
      </c>
      <c r="K233" s="332" t="str">
        <f t="shared" si="10"/>
        <v/>
      </c>
      <c r="L233" s="332" t="str">
        <f t="shared" si="11"/>
        <v/>
      </c>
    </row>
    <row r="234" spans="1:12">
      <c r="A234" t="s">
        <v>11178</v>
      </c>
      <c r="J234" s="332" t="str">
        <f t="shared" si="9"/>
        <v>Devizy</v>
      </c>
      <c r="K234" s="332" t="str">
        <f t="shared" si="10"/>
        <v/>
      </c>
      <c r="L234" s="332" t="str">
        <f t="shared" si="11"/>
        <v/>
      </c>
    </row>
    <row r="235" spans="1:12">
      <c r="A235" t="s">
        <v>12417</v>
      </c>
      <c r="J235" s="332" t="str">
        <f t="shared" si="9"/>
        <v>Devizy</v>
      </c>
      <c r="K235" s="332" t="str">
        <f t="shared" si="10"/>
        <v/>
      </c>
      <c r="L235" s="332" t="str">
        <f t="shared" si="11"/>
        <v/>
      </c>
    </row>
    <row r="236" spans="1:12">
      <c r="A236" t="s">
        <v>10739</v>
      </c>
      <c r="J236" s="332" t="str">
        <f t="shared" si="9"/>
        <v>Devizy</v>
      </c>
      <c r="K236" s="332" t="str">
        <f t="shared" si="10"/>
        <v/>
      </c>
      <c r="L236" s="332" t="str">
        <f t="shared" si="11"/>
        <v/>
      </c>
    </row>
    <row r="237" spans="1:12">
      <c r="A237" t="s">
        <v>9137</v>
      </c>
      <c r="J237" s="332" t="str">
        <f t="shared" si="9"/>
        <v>Devizy</v>
      </c>
      <c r="K237" s="332" t="str">
        <f t="shared" si="10"/>
        <v/>
      </c>
      <c r="L237" s="332" t="str">
        <f t="shared" si="11"/>
        <v/>
      </c>
    </row>
    <row r="238" spans="1:12">
      <c r="A238" t="s">
        <v>10729</v>
      </c>
      <c r="J238" s="332" t="str">
        <f t="shared" si="9"/>
        <v>Devizy</v>
      </c>
      <c r="K238" s="332" t="str">
        <f t="shared" si="10"/>
        <v/>
      </c>
      <c r="L238" s="332" t="str">
        <f t="shared" si="11"/>
        <v/>
      </c>
    </row>
    <row r="239" spans="1:12">
      <c r="A239" t="s">
        <v>12436</v>
      </c>
      <c r="J239" s="332" t="str">
        <f t="shared" si="9"/>
        <v>Devizy</v>
      </c>
      <c r="K239" s="332" t="str">
        <f t="shared" si="10"/>
        <v/>
      </c>
      <c r="L239" s="332" t="str">
        <f t="shared" si="11"/>
        <v/>
      </c>
    </row>
    <row r="240" spans="1:12">
      <c r="A240" t="s">
        <v>2156</v>
      </c>
      <c r="J240" s="332" t="str">
        <f t="shared" si="9"/>
        <v>Devizy</v>
      </c>
      <c r="K240" s="332" t="str">
        <f t="shared" si="10"/>
        <v/>
      </c>
      <c r="L240" s="332" t="str">
        <f t="shared" si="11"/>
        <v/>
      </c>
    </row>
    <row r="241" spans="1:12">
      <c r="A241" t="s">
        <v>10730</v>
      </c>
      <c r="J241" s="332" t="str">
        <f t="shared" si="9"/>
        <v>Devizy</v>
      </c>
      <c r="K241" s="332" t="str">
        <f t="shared" si="10"/>
        <v/>
      </c>
      <c r="L241" s="332" t="str">
        <f t="shared" si="11"/>
        <v/>
      </c>
    </row>
    <row r="242" spans="1:12">
      <c r="A242" t="s">
        <v>15081</v>
      </c>
      <c r="J242" s="332" t="str">
        <f t="shared" si="9"/>
        <v>Devizy</v>
      </c>
      <c r="K242" s="332" t="str">
        <f t="shared" si="10"/>
        <v/>
      </c>
      <c r="L242" s="332" t="str">
        <f t="shared" si="11"/>
        <v/>
      </c>
    </row>
    <row r="243" spans="1:12">
      <c r="A243" t="s">
        <v>10723</v>
      </c>
      <c r="J243" s="332" t="str">
        <f t="shared" si="9"/>
        <v>Devizy</v>
      </c>
      <c r="K243" s="332" t="str">
        <f t="shared" si="10"/>
        <v/>
      </c>
      <c r="L243" s="332" t="str">
        <f t="shared" si="11"/>
        <v/>
      </c>
    </row>
    <row r="244" spans="1:12">
      <c r="A244" t="s">
        <v>11183</v>
      </c>
      <c r="J244" s="332" t="str">
        <f t="shared" si="9"/>
        <v>Devizy</v>
      </c>
      <c r="K244" s="332" t="str">
        <f t="shared" si="10"/>
        <v/>
      </c>
      <c r="L244" s="332" t="str">
        <f t="shared" si="11"/>
        <v/>
      </c>
    </row>
    <row r="245" spans="1:12">
      <c r="A245" t="s">
        <v>10943</v>
      </c>
      <c r="J245" s="332" t="str">
        <f t="shared" si="9"/>
        <v>Devizy</v>
      </c>
      <c r="K245" s="332" t="str">
        <f t="shared" si="10"/>
        <v/>
      </c>
      <c r="L245" s="332" t="str">
        <f t="shared" si="11"/>
        <v/>
      </c>
    </row>
    <row r="246" spans="1:12">
      <c r="A246" t="s">
        <v>10724</v>
      </c>
      <c r="J246" s="332" t="str">
        <f t="shared" si="9"/>
        <v>Devizy</v>
      </c>
      <c r="K246" s="332" t="str">
        <f t="shared" si="10"/>
        <v/>
      </c>
      <c r="L246" s="332" t="str">
        <f t="shared" si="11"/>
        <v/>
      </c>
    </row>
    <row r="247" spans="1:12">
      <c r="A247" t="s">
        <v>10725</v>
      </c>
      <c r="J247" s="332" t="str">
        <f t="shared" si="9"/>
        <v>Devizy</v>
      </c>
      <c r="K247" s="332" t="str">
        <f t="shared" si="10"/>
        <v/>
      </c>
      <c r="L247" s="332" t="str">
        <f t="shared" si="11"/>
        <v/>
      </c>
    </row>
    <row r="248" spans="1:12">
      <c r="A248" t="s">
        <v>10731</v>
      </c>
      <c r="J248" s="332" t="str">
        <f t="shared" si="9"/>
        <v>Devizy</v>
      </c>
      <c r="K248" s="332" t="str">
        <f t="shared" si="10"/>
        <v/>
      </c>
      <c r="L248" s="332" t="str">
        <f t="shared" si="11"/>
        <v/>
      </c>
    </row>
    <row r="249" spans="1:12">
      <c r="A249" t="s">
        <v>10718</v>
      </c>
      <c r="J249" s="332" t="str">
        <f t="shared" si="9"/>
        <v>Devizy</v>
      </c>
      <c r="K249" s="332" t="str">
        <f t="shared" si="10"/>
        <v/>
      </c>
      <c r="L249" s="332" t="str">
        <f t="shared" si="11"/>
        <v/>
      </c>
    </row>
    <row r="250" spans="1:12">
      <c r="A250" t="s">
        <v>10737</v>
      </c>
      <c r="J250" s="332" t="str">
        <f t="shared" si="9"/>
        <v>Devizy</v>
      </c>
      <c r="K250" s="332" t="str">
        <f t="shared" si="10"/>
        <v/>
      </c>
      <c r="L250" s="332" t="str">
        <f t="shared" si="11"/>
        <v/>
      </c>
    </row>
    <row r="251" spans="1:12">
      <c r="A251" t="s">
        <v>10690</v>
      </c>
      <c r="J251" s="332" t="str">
        <f t="shared" si="9"/>
        <v>Devizy</v>
      </c>
      <c r="K251" s="332" t="str">
        <f t="shared" si="10"/>
        <v/>
      </c>
      <c r="L251" s="332" t="str">
        <f t="shared" si="11"/>
        <v/>
      </c>
    </row>
    <row r="252" spans="1:12" hidden="1">
      <c r="A252" t="s">
        <v>10692</v>
      </c>
      <c r="J252" s="332" t="str">
        <f t="shared" si="9"/>
        <v>Devizy</v>
      </c>
      <c r="K252" s="332" t="str">
        <f t="shared" si="10"/>
        <v/>
      </c>
      <c r="L252" s="332" t="str">
        <f t="shared" si="11"/>
        <v/>
      </c>
    </row>
    <row r="253" spans="1:12">
      <c r="A253" t="s">
        <v>10704</v>
      </c>
      <c r="J253" s="332" t="str">
        <f t="shared" si="9"/>
        <v>Devizy</v>
      </c>
      <c r="K253" s="332" t="str">
        <f t="shared" si="10"/>
        <v/>
      </c>
      <c r="L253" s="332" t="str">
        <f t="shared" si="11"/>
        <v/>
      </c>
    </row>
    <row r="254" spans="1:12">
      <c r="A254" t="s">
        <v>10693</v>
      </c>
      <c r="J254" s="332" t="str">
        <f t="shared" si="9"/>
        <v>Devizy</v>
      </c>
      <c r="K254" s="332" t="str">
        <f t="shared" si="10"/>
        <v/>
      </c>
      <c r="L254" s="332" t="str">
        <f t="shared" si="11"/>
        <v/>
      </c>
    </row>
    <row r="255" spans="1:12">
      <c r="A255" t="s">
        <v>10696</v>
      </c>
      <c r="J255" s="332" t="str">
        <f t="shared" si="9"/>
        <v>Devizy</v>
      </c>
      <c r="K255" s="332" t="str">
        <f t="shared" si="10"/>
        <v/>
      </c>
      <c r="L255" s="332" t="str">
        <f t="shared" si="11"/>
        <v/>
      </c>
    </row>
    <row r="256" spans="1:12">
      <c r="A256" t="s">
        <v>10703</v>
      </c>
      <c r="J256" s="332" t="str">
        <f t="shared" si="9"/>
        <v>Devizy</v>
      </c>
      <c r="K256" s="332" t="str">
        <f t="shared" si="10"/>
        <v/>
      </c>
      <c r="L256" s="332" t="str">
        <f t="shared" si="11"/>
        <v/>
      </c>
    </row>
    <row r="257" spans="1:12">
      <c r="A257" t="s">
        <v>10727</v>
      </c>
      <c r="J257" s="332" t="str">
        <f t="shared" si="9"/>
        <v>Devizy</v>
      </c>
      <c r="K257" s="332" t="str">
        <f t="shared" si="10"/>
        <v/>
      </c>
      <c r="L257" s="332" t="str">
        <f t="shared" si="11"/>
        <v/>
      </c>
    </row>
    <row r="258" spans="1:12">
      <c r="A258" t="s">
        <v>10728</v>
      </c>
      <c r="J258" s="332" t="str">
        <f t="shared" si="9"/>
        <v>Devizy</v>
      </c>
      <c r="K258" s="332" t="str">
        <f t="shared" si="10"/>
        <v/>
      </c>
      <c r="L258" s="332" t="str">
        <f t="shared" si="11"/>
        <v/>
      </c>
    </row>
    <row r="259" spans="1:12">
      <c r="A259" t="s">
        <v>10702</v>
      </c>
      <c r="J259" s="332" t="str">
        <f t="shared" si="9"/>
        <v>Devizy</v>
      </c>
      <c r="K259" s="332" t="str">
        <f t="shared" si="10"/>
        <v/>
      </c>
      <c r="L259" s="332" t="str">
        <f t="shared" si="11"/>
        <v/>
      </c>
    </row>
    <row r="260" spans="1:12">
      <c r="A260" s="2" t="s">
        <v>10697</v>
      </c>
      <c r="J260" s="332" t="str">
        <f t="shared" si="9"/>
        <v>Devizy</v>
      </c>
      <c r="K260" s="332" t="str">
        <f t="shared" si="10"/>
        <v/>
      </c>
      <c r="L260" s="332" t="str">
        <f t="shared" si="11"/>
        <v/>
      </c>
    </row>
    <row r="261" spans="1:12">
      <c r="A261" s="2" t="s">
        <v>11178</v>
      </c>
      <c r="J261" s="332" t="str">
        <f t="shared" ref="J261:J273" si="12">IF(OR(A261="Devizy",J260="Devizy"),"Devizy","")</f>
        <v>Devizy</v>
      </c>
      <c r="K261" s="332" t="str">
        <f t="shared" ref="K261:K273" si="13">IFERROR(IF(AND(J261="Devizy",FIND("Nakupujeme ",A261)=1),RIGHT(A261,7),""),"")</f>
        <v/>
      </c>
      <c r="L261" s="332" t="str">
        <f t="shared" ref="L261:L324" si="14">IFERROR(K261+M261,"")</f>
        <v/>
      </c>
    </row>
    <row r="262" spans="1:12">
      <c r="A262" s="2" t="s">
        <v>12416</v>
      </c>
      <c r="J262" s="332" t="str">
        <f t="shared" si="12"/>
        <v>Devizy</v>
      </c>
      <c r="K262" s="332" t="str">
        <f t="shared" si="13"/>
        <v/>
      </c>
      <c r="L262" s="332" t="str">
        <f t="shared" si="14"/>
        <v/>
      </c>
    </row>
    <row r="263" spans="1:12">
      <c r="A263" t="s">
        <v>12418</v>
      </c>
      <c r="J263" s="332" t="str">
        <f t="shared" si="12"/>
        <v>Devizy</v>
      </c>
      <c r="K263" s="332" t="str">
        <f t="shared" si="13"/>
        <v/>
      </c>
      <c r="L263" s="332" t="str">
        <f t="shared" si="14"/>
        <v/>
      </c>
    </row>
    <row r="264" spans="1:12">
      <c r="A264" s="2" t="s">
        <v>10740</v>
      </c>
      <c r="J264" s="332" t="str">
        <f t="shared" si="12"/>
        <v>Devizy</v>
      </c>
      <c r="K264" s="332" t="str">
        <f t="shared" si="13"/>
        <v/>
      </c>
      <c r="L264" s="332" t="str">
        <f t="shared" si="14"/>
        <v/>
      </c>
    </row>
    <row r="265" spans="1:12">
      <c r="A265" s="2" t="s">
        <v>10701</v>
      </c>
      <c r="J265" s="332" t="str">
        <f t="shared" si="12"/>
        <v>Devizy</v>
      </c>
      <c r="K265" s="332" t="str">
        <f t="shared" si="13"/>
        <v/>
      </c>
      <c r="L265" s="332" t="str">
        <f t="shared" si="14"/>
        <v/>
      </c>
    </row>
    <row r="266" spans="1:12">
      <c r="A266" s="2" t="s">
        <v>10732</v>
      </c>
      <c r="J266" s="332" t="str">
        <f t="shared" si="12"/>
        <v>Devizy</v>
      </c>
      <c r="K266" s="332" t="str">
        <f t="shared" si="13"/>
        <v/>
      </c>
      <c r="L266" s="332" t="str">
        <f t="shared" si="14"/>
        <v/>
      </c>
    </row>
    <row r="267" spans="1:12">
      <c r="A267" s="2" t="s">
        <v>12437</v>
      </c>
      <c r="J267" s="332" t="str">
        <f t="shared" si="12"/>
        <v>Devizy</v>
      </c>
      <c r="K267" s="332" t="str">
        <f t="shared" si="13"/>
        <v/>
      </c>
      <c r="L267" s="332" t="str">
        <f t="shared" si="14"/>
        <v/>
      </c>
    </row>
    <row r="268" spans="1:12">
      <c r="A268" t="s">
        <v>10698</v>
      </c>
      <c r="J268" s="332" t="str">
        <f t="shared" si="12"/>
        <v>Devizy</v>
      </c>
      <c r="K268" s="332" t="str">
        <f t="shared" si="13"/>
        <v/>
      </c>
      <c r="L268" s="332" t="str">
        <f t="shared" si="14"/>
        <v/>
      </c>
    </row>
    <row r="269" spans="1:12">
      <c r="A269" t="s">
        <v>11073</v>
      </c>
      <c r="J269" s="332" t="str">
        <f t="shared" si="12"/>
        <v>Devizy</v>
      </c>
      <c r="K269" s="332" t="str">
        <f t="shared" si="13"/>
        <v/>
      </c>
      <c r="L269" s="332" t="str">
        <f t="shared" si="14"/>
        <v/>
      </c>
    </row>
    <row r="270" spans="1:12">
      <c r="A270" t="s">
        <v>10733</v>
      </c>
      <c r="J270" s="332" t="str">
        <f t="shared" si="12"/>
        <v>Devizy</v>
      </c>
      <c r="K270" s="332" t="str">
        <f t="shared" si="13"/>
        <v/>
      </c>
      <c r="L270" s="332" t="str">
        <f t="shared" si="14"/>
        <v/>
      </c>
    </row>
    <row r="271" spans="1:12">
      <c r="A271" s="2" t="s">
        <v>10734</v>
      </c>
      <c r="J271" s="332" t="str">
        <f t="shared" si="12"/>
        <v>Devizy</v>
      </c>
      <c r="K271" s="332" t="str">
        <f t="shared" si="13"/>
        <v/>
      </c>
      <c r="L271" s="332" t="str">
        <f t="shared" si="14"/>
        <v/>
      </c>
    </row>
    <row r="272" spans="1:12">
      <c r="A272" s="2" t="s">
        <v>10735</v>
      </c>
      <c r="J272" s="332" t="str">
        <f t="shared" si="12"/>
        <v>Devizy</v>
      </c>
      <c r="K272" s="332" t="str">
        <f t="shared" si="13"/>
        <v/>
      </c>
      <c r="L272" s="332" t="str">
        <f t="shared" si="14"/>
        <v/>
      </c>
    </row>
    <row r="273" spans="1:12">
      <c r="A273" s="2" t="s">
        <v>10736</v>
      </c>
      <c r="J273" s="332" t="str">
        <f t="shared" si="12"/>
        <v>Devizy</v>
      </c>
      <c r="K273" s="332" t="str">
        <f t="shared" si="13"/>
        <v/>
      </c>
      <c r="L273" s="332" t="str">
        <f t="shared" si="14"/>
        <v/>
      </c>
    </row>
    <row r="274" spans="1:12">
      <c r="A274" s="2" t="s">
        <v>10738</v>
      </c>
      <c r="J274" s="332" t="e">
        <f>IF(OR(#REF!="Devizy",J273="Devizy"),"Devizy","")</f>
        <v>#REF!</v>
      </c>
      <c r="K274" s="332" t="str">
        <f>IFERROR(IF(AND(J274="Devizy",FIND("Nakupujeme ",#REF!)=1),RIGHT(#REF!,7),""),"")</f>
        <v/>
      </c>
      <c r="L274" s="332" t="str">
        <f t="shared" si="14"/>
        <v/>
      </c>
    </row>
    <row r="275" spans="1:12">
      <c r="A275" s="2" t="s">
        <v>12438</v>
      </c>
      <c r="J275" s="332" t="e">
        <f>IF(OR(#REF!="Devizy",J274="Devizy"),"Devizy","")</f>
        <v>#REF!</v>
      </c>
      <c r="K275" s="332" t="str">
        <f>IFERROR(IF(AND(J275="Devizy",FIND("Nakupujeme ",#REF!)=1),RIGHT(#REF!,7),""),"")</f>
        <v/>
      </c>
      <c r="L275" s="332" t="str">
        <f t="shared" si="14"/>
        <v/>
      </c>
    </row>
    <row r="276" spans="1:12">
      <c r="A276" s="2"/>
      <c r="J276" s="332" t="e">
        <f>IF(OR(#REF!="Devizy",J275="Devizy"),"Devizy","")</f>
        <v>#REF!</v>
      </c>
      <c r="K276" s="332" t="str">
        <f>IFERROR(IF(AND(J276="Devizy",FIND("Nakupujeme ",#REF!)=1),RIGHT(#REF!,7),""),"")</f>
        <v/>
      </c>
      <c r="L276" s="332" t="str">
        <f t="shared" si="14"/>
        <v/>
      </c>
    </row>
    <row r="277" spans="1:12">
      <c r="A277" s="2" t="s">
        <v>12420</v>
      </c>
      <c r="J277" s="332" t="e">
        <f>IF(OR(#REF!="Devizy",J276="Devizy"),"Devizy","")</f>
        <v>#REF!</v>
      </c>
      <c r="K277" s="332" t="str">
        <f>IFERROR(IF(AND(J277="Devizy",FIND("Nakupujeme ",#REF!)=1),RIGHT(#REF!,7),""),"")</f>
        <v/>
      </c>
      <c r="L277" s="332" t="str">
        <f t="shared" si="14"/>
        <v/>
      </c>
    </row>
    <row r="278" spans="1:12">
      <c r="A278" s="2"/>
      <c r="J278" s="332" t="e">
        <f t="shared" ref="J278:J341" si="15">IF(OR(A280="Devizy",J277="Devizy"),"Devizy","")</f>
        <v>#REF!</v>
      </c>
      <c r="K278" s="332" t="str">
        <f>IFERROR(IF(AND(J278="Devizy",FIND("Nakupujeme ",#REF!)=1),RIGHT(#REF!,7),""),"")</f>
        <v/>
      </c>
      <c r="L278" s="332" t="str">
        <f t="shared" si="14"/>
        <v/>
      </c>
    </row>
    <row r="279" spans="1:12">
      <c r="A279" s="2" t="s">
        <v>12421</v>
      </c>
      <c r="J279" s="332" t="e">
        <f t="shared" si="15"/>
        <v>#REF!</v>
      </c>
      <c r="K279" s="332" t="str">
        <f t="shared" ref="K279:K342" si="16">IFERROR(IF(AND(J279="Devizy",FIND("Nakupujeme ",A280)=1),RIGHT(A280,7),""),"")</f>
        <v/>
      </c>
      <c r="L279" s="332" t="str">
        <f t="shared" si="14"/>
        <v/>
      </c>
    </row>
    <row r="280" spans="1:12">
      <c r="A280" s="519" t="s">
        <v>12422</v>
      </c>
      <c r="J280" s="332" t="e">
        <f t="shared" si="15"/>
        <v>#REF!</v>
      </c>
      <c r="K280" s="332" t="str">
        <f t="shared" si="16"/>
        <v/>
      </c>
      <c r="L280" s="332" t="str">
        <f t="shared" si="14"/>
        <v/>
      </c>
    </row>
    <row r="281" spans="1:12">
      <c r="A281" s="8" t="s">
        <v>20</v>
      </c>
      <c r="J281" s="332" t="e">
        <f t="shared" si="15"/>
        <v>#REF!</v>
      </c>
      <c r="K281" s="332" t="str">
        <f t="shared" si="16"/>
        <v/>
      </c>
      <c r="L281" s="332" t="str">
        <f t="shared" si="14"/>
        <v/>
      </c>
    </row>
    <row r="282" spans="1:12">
      <c r="A282" s="8" t="s">
        <v>20</v>
      </c>
      <c r="J282" s="332" t="e">
        <f t="shared" si="15"/>
        <v>#REF!</v>
      </c>
      <c r="K282" s="332" t="str">
        <f t="shared" si="16"/>
        <v/>
      </c>
      <c r="L282" s="332" t="str">
        <f t="shared" si="14"/>
        <v/>
      </c>
    </row>
    <row r="283" spans="1:12">
      <c r="A283" s="8" t="s">
        <v>20</v>
      </c>
      <c r="J283" s="332" t="e">
        <f t="shared" si="15"/>
        <v>#REF!</v>
      </c>
      <c r="K283" s="332" t="str">
        <f t="shared" si="16"/>
        <v/>
      </c>
      <c r="L283" s="332" t="str">
        <f t="shared" si="14"/>
        <v/>
      </c>
    </row>
    <row r="284" spans="1:12">
      <c r="A284" s="8" t="s">
        <v>20</v>
      </c>
      <c r="J284" s="332" t="e">
        <f t="shared" si="15"/>
        <v>#REF!</v>
      </c>
      <c r="K284" s="332" t="str">
        <f t="shared" si="16"/>
        <v/>
      </c>
      <c r="L284" s="332" t="str">
        <f t="shared" si="14"/>
        <v/>
      </c>
    </row>
    <row r="285" spans="1:12">
      <c r="A285" s="8" t="s">
        <v>20</v>
      </c>
      <c r="J285" s="332" t="e">
        <f t="shared" si="15"/>
        <v>#REF!</v>
      </c>
      <c r="K285" s="332" t="str">
        <f t="shared" si="16"/>
        <v/>
      </c>
      <c r="L285" s="332" t="str">
        <f t="shared" si="14"/>
        <v/>
      </c>
    </row>
    <row r="286" spans="1:12">
      <c r="A286" s="8" t="s">
        <v>20</v>
      </c>
      <c r="J286" s="332" t="e">
        <f t="shared" si="15"/>
        <v>#REF!</v>
      </c>
      <c r="K286" s="332" t="str">
        <f t="shared" si="16"/>
        <v/>
      </c>
      <c r="L286" s="332" t="str">
        <f t="shared" si="14"/>
        <v/>
      </c>
    </row>
    <row r="287" spans="1:12">
      <c r="A287" s="8" t="s">
        <v>20</v>
      </c>
      <c r="J287" s="332" t="e">
        <f t="shared" si="15"/>
        <v>#REF!</v>
      </c>
      <c r="K287" s="332" t="str">
        <f t="shared" si="16"/>
        <v/>
      </c>
      <c r="L287" s="332" t="str">
        <f t="shared" si="14"/>
        <v/>
      </c>
    </row>
    <row r="288" spans="1:12">
      <c r="A288" s="8" t="s">
        <v>20</v>
      </c>
      <c r="J288" s="332" t="e">
        <f t="shared" si="15"/>
        <v>#REF!</v>
      </c>
      <c r="K288" s="332" t="str">
        <f t="shared" si="16"/>
        <v/>
      </c>
      <c r="L288" s="332" t="str">
        <f t="shared" si="14"/>
        <v/>
      </c>
    </row>
    <row r="289" spans="1:12">
      <c r="A289" s="8" t="s">
        <v>20</v>
      </c>
      <c r="J289" s="332" t="e">
        <f t="shared" si="15"/>
        <v>#REF!</v>
      </c>
      <c r="K289" s="332" t="str">
        <f t="shared" si="16"/>
        <v/>
      </c>
      <c r="L289" s="332" t="str">
        <f t="shared" si="14"/>
        <v/>
      </c>
    </row>
    <row r="290" spans="1:12">
      <c r="A290" s="8" t="s">
        <v>20</v>
      </c>
      <c r="J290" s="332" t="e">
        <f t="shared" si="15"/>
        <v>#REF!</v>
      </c>
      <c r="K290" s="332" t="str">
        <f t="shared" si="16"/>
        <v/>
      </c>
      <c r="L290" s="332" t="str">
        <f t="shared" si="14"/>
        <v/>
      </c>
    </row>
    <row r="291" spans="1:12">
      <c r="A291" s="8" t="s">
        <v>20</v>
      </c>
      <c r="J291" s="332" t="e">
        <f t="shared" si="15"/>
        <v>#REF!</v>
      </c>
      <c r="K291" s="332" t="str">
        <f t="shared" si="16"/>
        <v/>
      </c>
      <c r="L291" s="332" t="str">
        <f t="shared" si="14"/>
        <v/>
      </c>
    </row>
    <row r="292" spans="1:12">
      <c r="A292" s="8" t="s">
        <v>20</v>
      </c>
      <c r="J292" s="332" t="e">
        <f t="shared" si="15"/>
        <v>#REF!</v>
      </c>
      <c r="K292" s="332" t="str">
        <f t="shared" si="16"/>
        <v/>
      </c>
      <c r="L292" s="332" t="str">
        <f t="shared" si="14"/>
        <v/>
      </c>
    </row>
    <row r="293" spans="1:12">
      <c r="A293" s="8" t="s">
        <v>20</v>
      </c>
      <c r="J293" s="332" t="e">
        <f t="shared" si="15"/>
        <v>#REF!</v>
      </c>
      <c r="K293" s="332" t="str">
        <f t="shared" si="16"/>
        <v/>
      </c>
      <c r="L293" s="332" t="str">
        <f t="shared" si="14"/>
        <v/>
      </c>
    </row>
    <row r="294" spans="1:12">
      <c r="A294" s="8" t="s">
        <v>20</v>
      </c>
      <c r="J294" s="332" t="e">
        <f t="shared" si="15"/>
        <v>#REF!</v>
      </c>
      <c r="K294" s="332" t="str">
        <f t="shared" si="16"/>
        <v/>
      </c>
      <c r="L294" s="332" t="str">
        <f t="shared" si="14"/>
        <v/>
      </c>
    </row>
    <row r="295" spans="1:12">
      <c r="A295" s="8" t="s">
        <v>20</v>
      </c>
      <c r="J295" s="332" t="e">
        <f t="shared" si="15"/>
        <v>#REF!</v>
      </c>
      <c r="K295" s="332" t="str">
        <f t="shared" si="16"/>
        <v/>
      </c>
      <c r="L295" s="332" t="str">
        <f t="shared" si="14"/>
        <v/>
      </c>
    </row>
    <row r="296" spans="1:12">
      <c r="A296" s="8" t="s">
        <v>20</v>
      </c>
      <c r="J296" s="332" t="e">
        <f t="shared" si="15"/>
        <v>#REF!</v>
      </c>
      <c r="K296" s="332" t="str">
        <f t="shared" si="16"/>
        <v/>
      </c>
      <c r="L296" s="332" t="str">
        <f t="shared" si="14"/>
        <v/>
      </c>
    </row>
    <row r="297" spans="1:12">
      <c r="A297" s="8" t="s">
        <v>20</v>
      </c>
      <c r="J297" s="332" t="e">
        <f t="shared" si="15"/>
        <v>#REF!</v>
      </c>
      <c r="K297" s="332" t="str">
        <f t="shared" si="16"/>
        <v/>
      </c>
      <c r="L297" s="332" t="str">
        <f t="shared" si="14"/>
        <v/>
      </c>
    </row>
    <row r="298" spans="1:12">
      <c r="A298" s="8" t="s">
        <v>20</v>
      </c>
      <c r="J298" s="332" t="e">
        <f t="shared" si="15"/>
        <v>#REF!</v>
      </c>
      <c r="K298" s="332" t="str">
        <f t="shared" si="16"/>
        <v/>
      </c>
      <c r="L298" s="332" t="str">
        <f t="shared" si="14"/>
        <v/>
      </c>
    </row>
    <row r="299" spans="1:12">
      <c r="A299" s="8" t="s">
        <v>20</v>
      </c>
      <c r="J299" s="332" t="e">
        <f t="shared" si="15"/>
        <v>#REF!</v>
      </c>
      <c r="K299" s="332" t="str">
        <f t="shared" si="16"/>
        <v/>
      </c>
      <c r="L299" s="332" t="str">
        <f t="shared" si="14"/>
        <v/>
      </c>
    </row>
    <row r="300" spans="1:12">
      <c r="A300" s="8" t="s">
        <v>20</v>
      </c>
      <c r="J300" s="332" t="e">
        <f t="shared" si="15"/>
        <v>#REF!</v>
      </c>
      <c r="K300" s="332" t="str">
        <f t="shared" si="16"/>
        <v/>
      </c>
      <c r="L300" s="332" t="str">
        <f t="shared" si="14"/>
        <v/>
      </c>
    </row>
    <row r="301" spans="1:12">
      <c r="A301" s="8" t="s">
        <v>20</v>
      </c>
      <c r="J301" s="332" t="e">
        <f t="shared" si="15"/>
        <v>#REF!</v>
      </c>
      <c r="K301" s="332" t="str">
        <f t="shared" si="16"/>
        <v/>
      </c>
      <c r="L301" s="332" t="str">
        <f t="shared" si="14"/>
        <v/>
      </c>
    </row>
    <row r="302" spans="1:12">
      <c r="A302" s="8" t="s">
        <v>20</v>
      </c>
      <c r="J302" s="332" t="e">
        <f t="shared" si="15"/>
        <v>#REF!</v>
      </c>
      <c r="K302" s="332" t="str">
        <f t="shared" si="16"/>
        <v/>
      </c>
      <c r="L302" s="332" t="str">
        <f t="shared" si="14"/>
        <v/>
      </c>
    </row>
    <row r="303" spans="1:12">
      <c r="A303" s="8" t="s">
        <v>20</v>
      </c>
      <c r="J303" s="332" t="e">
        <f t="shared" si="15"/>
        <v>#REF!</v>
      </c>
      <c r="K303" s="332" t="str">
        <f t="shared" si="16"/>
        <v/>
      </c>
      <c r="L303" s="332" t="str">
        <f t="shared" si="14"/>
        <v/>
      </c>
    </row>
    <row r="304" spans="1:12">
      <c r="A304" s="8" t="s">
        <v>20</v>
      </c>
      <c r="J304" s="332" t="e">
        <f t="shared" si="15"/>
        <v>#REF!</v>
      </c>
      <c r="K304" s="332" t="str">
        <f t="shared" si="16"/>
        <v/>
      </c>
      <c r="L304" s="332" t="str">
        <f t="shared" si="14"/>
        <v/>
      </c>
    </row>
    <row r="305" spans="1:12">
      <c r="A305" s="8" t="s">
        <v>20</v>
      </c>
      <c r="J305" s="332" t="e">
        <f t="shared" si="15"/>
        <v>#REF!</v>
      </c>
      <c r="K305" s="332" t="str">
        <f t="shared" si="16"/>
        <v/>
      </c>
      <c r="L305" s="332" t="str">
        <f t="shared" si="14"/>
        <v/>
      </c>
    </row>
    <row r="306" spans="1:12">
      <c r="A306" s="8" t="s">
        <v>20</v>
      </c>
      <c r="J306" s="332" t="e">
        <f t="shared" si="15"/>
        <v>#REF!</v>
      </c>
      <c r="K306" s="332" t="str">
        <f t="shared" si="16"/>
        <v/>
      </c>
      <c r="L306" s="332" t="str">
        <f t="shared" si="14"/>
        <v/>
      </c>
    </row>
    <row r="307" spans="1:12">
      <c r="A307" s="8" t="s">
        <v>20</v>
      </c>
      <c r="J307" s="332" t="e">
        <f t="shared" si="15"/>
        <v>#REF!</v>
      </c>
      <c r="K307" s="332" t="str">
        <f t="shared" si="16"/>
        <v/>
      </c>
      <c r="L307" s="332" t="str">
        <f t="shared" si="14"/>
        <v/>
      </c>
    </row>
    <row r="308" spans="1:12">
      <c r="A308" s="8"/>
      <c r="J308" s="332" t="e">
        <f t="shared" si="15"/>
        <v>#REF!</v>
      </c>
      <c r="K308" s="332" t="str">
        <f t="shared" si="16"/>
        <v/>
      </c>
      <c r="L308" s="332" t="str">
        <f t="shared" si="14"/>
        <v/>
      </c>
    </row>
    <row r="309" spans="1:12">
      <c r="A309" s="8" t="s">
        <v>20</v>
      </c>
      <c r="J309" s="332" t="e">
        <f t="shared" si="15"/>
        <v>#REF!</v>
      </c>
      <c r="K309" s="332" t="str">
        <f t="shared" si="16"/>
        <v/>
      </c>
      <c r="L309" s="332" t="str">
        <f t="shared" si="14"/>
        <v/>
      </c>
    </row>
    <row r="310" spans="1:12">
      <c r="A310" s="8" t="s">
        <v>20</v>
      </c>
      <c r="J310" s="332" t="e">
        <f t="shared" si="15"/>
        <v>#REF!</v>
      </c>
      <c r="K310" s="332" t="str">
        <f t="shared" si="16"/>
        <v/>
      </c>
      <c r="L310" s="332" t="str">
        <f t="shared" si="14"/>
        <v/>
      </c>
    </row>
    <row r="311" spans="1:12">
      <c r="A311" s="8" t="s">
        <v>20</v>
      </c>
      <c r="J311" s="332" t="e">
        <f t="shared" si="15"/>
        <v>#REF!</v>
      </c>
      <c r="K311" s="332" t="str">
        <f t="shared" si="16"/>
        <v/>
      </c>
      <c r="L311" s="332" t="str">
        <f t="shared" si="14"/>
        <v/>
      </c>
    </row>
    <row r="312" spans="1:12">
      <c r="A312" s="8" t="s">
        <v>20</v>
      </c>
      <c r="J312" s="332" t="e">
        <f t="shared" si="15"/>
        <v>#REF!</v>
      </c>
      <c r="K312" s="332" t="str">
        <f t="shared" si="16"/>
        <v/>
      </c>
      <c r="L312" s="332" t="str">
        <f t="shared" si="14"/>
        <v/>
      </c>
    </row>
    <row r="313" spans="1:12">
      <c r="A313" s="8" t="s">
        <v>20</v>
      </c>
      <c r="J313" s="332" t="e">
        <f t="shared" si="15"/>
        <v>#REF!</v>
      </c>
      <c r="K313" s="332" t="str">
        <f t="shared" si="16"/>
        <v/>
      </c>
      <c r="L313" s="332" t="str">
        <f t="shared" si="14"/>
        <v/>
      </c>
    </row>
    <row r="314" spans="1:12">
      <c r="A314" s="8" t="s">
        <v>20</v>
      </c>
      <c r="J314" s="332" t="e">
        <f t="shared" si="15"/>
        <v>#REF!</v>
      </c>
      <c r="K314" s="332" t="str">
        <f t="shared" si="16"/>
        <v/>
      </c>
      <c r="L314" s="332" t="str">
        <f t="shared" si="14"/>
        <v/>
      </c>
    </row>
    <row r="315" spans="1:12">
      <c r="A315" s="8" t="s">
        <v>20</v>
      </c>
      <c r="J315" s="332" t="e">
        <f t="shared" si="15"/>
        <v>#REF!</v>
      </c>
      <c r="K315" s="332" t="str">
        <f t="shared" si="16"/>
        <v/>
      </c>
      <c r="L315" s="332" t="str">
        <f t="shared" si="14"/>
        <v/>
      </c>
    </row>
    <row r="316" spans="1:12">
      <c r="A316" s="8"/>
      <c r="J316" s="332" t="e">
        <f t="shared" si="15"/>
        <v>#REF!</v>
      </c>
      <c r="K316" s="332" t="str">
        <f t="shared" si="16"/>
        <v/>
      </c>
      <c r="L316" s="332" t="str">
        <f t="shared" si="14"/>
        <v/>
      </c>
    </row>
    <row r="317" spans="1:12">
      <c r="A317" s="8" t="s">
        <v>20</v>
      </c>
      <c r="J317" s="332" t="e">
        <f t="shared" si="15"/>
        <v>#REF!</v>
      </c>
      <c r="K317" s="332" t="str">
        <f t="shared" si="16"/>
        <v/>
      </c>
      <c r="L317" s="332" t="str">
        <f t="shared" si="14"/>
        <v/>
      </c>
    </row>
    <row r="318" spans="1:12">
      <c r="A318" s="8" t="s">
        <v>20</v>
      </c>
      <c r="J318" s="332" t="e">
        <f t="shared" si="15"/>
        <v>#REF!</v>
      </c>
      <c r="K318" s="332" t="str">
        <f t="shared" si="16"/>
        <v/>
      </c>
      <c r="L318" s="332" t="str">
        <f t="shared" si="14"/>
        <v/>
      </c>
    </row>
    <row r="319" spans="1:12">
      <c r="A319" s="8" t="s">
        <v>20</v>
      </c>
      <c r="J319" s="332" t="e">
        <f t="shared" si="15"/>
        <v>#REF!</v>
      </c>
      <c r="K319" s="332" t="str">
        <f t="shared" si="16"/>
        <v/>
      </c>
      <c r="L319" s="332" t="str">
        <f t="shared" si="14"/>
        <v/>
      </c>
    </row>
    <row r="320" spans="1:12">
      <c r="A320" s="8"/>
      <c r="J320" s="332" t="e">
        <f t="shared" si="15"/>
        <v>#REF!</v>
      </c>
      <c r="K320" s="332" t="str">
        <f t="shared" si="16"/>
        <v/>
      </c>
      <c r="L320" s="332" t="str">
        <f t="shared" si="14"/>
        <v/>
      </c>
    </row>
    <row r="321" spans="1:12">
      <c r="A321" s="8" t="s">
        <v>20</v>
      </c>
      <c r="J321" s="332" t="e">
        <f t="shared" si="15"/>
        <v>#REF!</v>
      </c>
      <c r="K321" s="332" t="str">
        <f t="shared" si="16"/>
        <v/>
      </c>
      <c r="L321" s="332" t="str">
        <f t="shared" si="14"/>
        <v/>
      </c>
    </row>
    <row r="322" spans="1:12">
      <c r="A322" s="8" t="s">
        <v>20</v>
      </c>
      <c r="J322" s="332" t="e">
        <f t="shared" si="15"/>
        <v>#REF!</v>
      </c>
      <c r="K322" s="332" t="str">
        <f t="shared" si="16"/>
        <v/>
      </c>
      <c r="L322" s="332" t="str">
        <f t="shared" si="14"/>
        <v/>
      </c>
    </row>
    <row r="323" spans="1:12">
      <c r="A323" s="8" t="s">
        <v>20</v>
      </c>
      <c r="J323" s="332" t="e">
        <f t="shared" si="15"/>
        <v>#REF!</v>
      </c>
      <c r="K323" s="332" t="str">
        <f t="shared" si="16"/>
        <v/>
      </c>
      <c r="L323" s="332" t="str">
        <f t="shared" si="14"/>
        <v/>
      </c>
    </row>
    <row r="324" spans="1:12">
      <c r="A324" s="8" t="s">
        <v>20</v>
      </c>
      <c r="J324" s="332" t="e">
        <f t="shared" si="15"/>
        <v>#REF!</v>
      </c>
      <c r="K324" s="332" t="str">
        <f t="shared" si="16"/>
        <v/>
      </c>
      <c r="L324" s="332" t="str">
        <f t="shared" si="14"/>
        <v/>
      </c>
    </row>
    <row r="325" spans="1:12">
      <c r="A325" s="8" t="s">
        <v>20</v>
      </c>
      <c r="J325" s="332" t="e">
        <f t="shared" si="15"/>
        <v>#REF!</v>
      </c>
      <c r="K325" s="332" t="str">
        <f t="shared" si="16"/>
        <v/>
      </c>
      <c r="L325" s="332" t="str">
        <f t="shared" ref="L325:L388" si="17">IFERROR(K325+M325,"")</f>
        <v/>
      </c>
    </row>
    <row r="326" spans="1:12">
      <c r="A326" s="8" t="s">
        <v>20</v>
      </c>
      <c r="J326" s="332" t="e">
        <f t="shared" si="15"/>
        <v>#REF!</v>
      </c>
      <c r="K326" s="332" t="str">
        <f t="shared" si="16"/>
        <v/>
      </c>
      <c r="L326" s="332" t="str">
        <f t="shared" si="17"/>
        <v/>
      </c>
    </row>
    <row r="327" spans="1:12">
      <c r="A327" s="8" t="s">
        <v>20</v>
      </c>
      <c r="J327" s="332" t="e">
        <f t="shared" si="15"/>
        <v>#REF!</v>
      </c>
      <c r="K327" s="332" t="str">
        <f t="shared" si="16"/>
        <v/>
      </c>
      <c r="L327" s="332" t="str">
        <f t="shared" si="17"/>
        <v/>
      </c>
    </row>
    <row r="328" spans="1:12">
      <c r="A328" s="8" t="s">
        <v>20</v>
      </c>
      <c r="J328" s="332" t="e">
        <f t="shared" si="15"/>
        <v>#REF!</v>
      </c>
      <c r="K328" s="332" t="str">
        <f t="shared" si="16"/>
        <v/>
      </c>
      <c r="L328" s="332" t="str">
        <f t="shared" si="17"/>
        <v/>
      </c>
    </row>
    <row r="329" spans="1:12">
      <c r="A329" s="8" t="s">
        <v>20</v>
      </c>
      <c r="J329" s="332" t="e">
        <f t="shared" si="15"/>
        <v>#REF!</v>
      </c>
      <c r="K329" s="332" t="str">
        <f t="shared" si="16"/>
        <v/>
      </c>
      <c r="L329" s="332" t="str">
        <f t="shared" si="17"/>
        <v/>
      </c>
    </row>
    <row r="330" spans="1:12">
      <c r="A330" s="8"/>
      <c r="J330" s="332" t="e">
        <f t="shared" si="15"/>
        <v>#REF!</v>
      </c>
      <c r="K330" s="332" t="str">
        <f t="shared" si="16"/>
        <v/>
      </c>
      <c r="L330" s="332" t="str">
        <f t="shared" si="17"/>
        <v/>
      </c>
    </row>
    <row r="331" spans="1:12">
      <c r="A331" s="8" t="s">
        <v>20</v>
      </c>
      <c r="J331" s="332" t="e">
        <f t="shared" si="15"/>
        <v>#REF!</v>
      </c>
      <c r="K331" s="332" t="str">
        <f t="shared" si="16"/>
        <v/>
      </c>
      <c r="L331" s="332" t="str">
        <f t="shared" si="17"/>
        <v/>
      </c>
    </row>
    <row r="332" spans="1:12">
      <c r="A332" s="8" t="s">
        <v>20</v>
      </c>
      <c r="J332" s="332" t="e">
        <f t="shared" si="15"/>
        <v>#REF!</v>
      </c>
      <c r="K332" s="332" t="str">
        <f t="shared" si="16"/>
        <v/>
      </c>
      <c r="L332" s="332" t="str">
        <f t="shared" si="17"/>
        <v/>
      </c>
    </row>
    <row r="333" spans="1:12">
      <c r="A333" s="8" t="s">
        <v>20</v>
      </c>
      <c r="J333" s="332" t="e">
        <f t="shared" si="15"/>
        <v>#REF!</v>
      </c>
      <c r="K333" s="332" t="str">
        <f t="shared" si="16"/>
        <v/>
      </c>
      <c r="L333" s="332" t="str">
        <f t="shared" si="17"/>
        <v/>
      </c>
    </row>
    <row r="334" spans="1:12">
      <c r="A334" s="8" t="s">
        <v>20</v>
      </c>
      <c r="J334" s="332" t="e">
        <f t="shared" si="15"/>
        <v>#REF!</v>
      </c>
      <c r="K334" s="332" t="str">
        <f t="shared" si="16"/>
        <v/>
      </c>
      <c r="L334" s="332" t="str">
        <f t="shared" si="17"/>
        <v/>
      </c>
    </row>
    <row r="335" spans="1:12">
      <c r="A335" s="8" t="s">
        <v>20</v>
      </c>
      <c r="J335" s="332" t="e">
        <f t="shared" si="15"/>
        <v>#REF!</v>
      </c>
      <c r="K335" s="332" t="str">
        <f t="shared" si="16"/>
        <v/>
      </c>
      <c r="L335" s="332" t="str">
        <f t="shared" si="17"/>
        <v/>
      </c>
    </row>
    <row r="336" spans="1:12">
      <c r="A336" s="8" t="s">
        <v>20</v>
      </c>
      <c r="J336" s="332" t="e">
        <f t="shared" si="15"/>
        <v>#REF!</v>
      </c>
      <c r="K336" s="332" t="str">
        <f t="shared" si="16"/>
        <v/>
      </c>
      <c r="L336" s="332" t="str">
        <f t="shared" si="17"/>
        <v/>
      </c>
    </row>
    <row r="337" spans="1:12">
      <c r="A337" s="8" t="s">
        <v>20</v>
      </c>
      <c r="J337" s="332" t="e">
        <f t="shared" si="15"/>
        <v>#REF!</v>
      </c>
      <c r="K337" s="332" t="str">
        <f t="shared" si="16"/>
        <v/>
      </c>
      <c r="L337" s="332" t="str">
        <f t="shared" si="17"/>
        <v/>
      </c>
    </row>
    <row r="338" spans="1:12">
      <c r="A338" s="8" t="s">
        <v>20</v>
      </c>
      <c r="J338" s="332" t="e">
        <f t="shared" si="15"/>
        <v>#REF!</v>
      </c>
      <c r="K338" s="332" t="str">
        <f t="shared" si="16"/>
        <v/>
      </c>
      <c r="L338" s="332" t="str">
        <f t="shared" si="17"/>
        <v/>
      </c>
    </row>
    <row r="339" spans="1:12">
      <c r="A339" s="8"/>
      <c r="J339" s="332" t="e">
        <f t="shared" si="15"/>
        <v>#REF!</v>
      </c>
      <c r="K339" s="332" t="str">
        <f t="shared" si="16"/>
        <v/>
      </c>
      <c r="L339" s="332" t="str">
        <f t="shared" si="17"/>
        <v/>
      </c>
    </row>
    <row r="340" spans="1:12">
      <c r="A340" s="8" t="s">
        <v>20</v>
      </c>
      <c r="J340" s="332" t="e">
        <f t="shared" si="15"/>
        <v>#REF!</v>
      </c>
      <c r="K340" s="332" t="str">
        <f t="shared" si="16"/>
        <v/>
      </c>
      <c r="L340" s="332" t="str">
        <f t="shared" si="17"/>
        <v/>
      </c>
    </row>
    <row r="341" spans="1:12">
      <c r="A341" s="8" t="s">
        <v>20</v>
      </c>
      <c r="J341" s="332" t="e">
        <f t="shared" si="15"/>
        <v>#REF!</v>
      </c>
      <c r="K341" s="332" t="str">
        <f t="shared" si="16"/>
        <v/>
      </c>
      <c r="L341" s="332" t="str">
        <f t="shared" si="17"/>
        <v/>
      </c>
    </row>
    <row r="342" spans="1:12">
      <c r="A342" s="8" t="s">
        <v>20</v>
      </c>
      <c r="J342" s="332" t="e">
        <f t="shared" ref="J342:J405" si="18">IF(OR(A344="Devizy",J341="Devizy"),"Devizy","")</f>
        <v>#REF!</v>
      </c>
      <c r="K342" s="332" t="str">
        <f t="shared" si="16"/>
        <v/>
      </c>
      <c r="L342" s="332" t="str">
        <f t="shared" si="17"/>
        <v/>
      </c>
    </row>
    <row r="343" spans="1:12">
      <c r="A343" s="8" t="s">
        <v>20</v>
      </c>
      <c r="J343" s="332" t="e">
        <f t="shared" si="18"/>
        <v>#REF!</v>
      </c>
      <c r="K343" s="332" t="str">
        <f t="shared" ref="K343:K406" si="19">IFERROR(IF(AND(J343="Devizy",FIND("Nakupujeme ",A344)=1),RIGHT(A344,7),""),"")</f>
        <v/>
      </c>
      <c r="L343" s="332" t="str">
        <f t="shared" si="17"/>
        <v/>
      </c>
    </row>
    <row r="344" spans="1:12">
      <c r="A344" s="8" t="s">
        <v>20</v>
      </c>
      <c r="J344" s="332" t="e">
        <f t="shared" si="18"/>
        <v>#REF!</v>
      </c>
      <c r="K344" s="332" t="str">
        <f t="shared" si="19"/>
        <v/>
      </c>
      <c r="L344" s="332" t="str">
        <f t="shared" si="17"/>
        <v/>
      </c>
    </row>
    <row r="345" spans="1:12">
      <c r="A345" s="8" t="s">
        <v>20</v>
      </c>
      <c r="J345" s="332" t="e">
        <f t="shared" si="18"/>
        <v>#REF!</v>
      </c>
      <c r="K345" s="332" t="str">
        <f t="shared" si="19"/>
        <v/>
      </c>
      <c r="L345" s="332" t="str">
        <f t="shared" si="17"/>
        <v/>
      </c>
    </row>
    <row r="346" spans="1:12">
      <c r="A346" s="8" t="s">
        <v>20</v>
      </c>
      <c r="J346" s="332" t="e">
        <f t="shared" si="18"/>
        <v>#REF!</v>
      </c>
      <c r="K346" s="332" t="str">
        <f t="shared" si="19"/>
        <v/>
      </c>
      <c r="L346" s="332" t="str">
        <f t="shared" si="17"/>
        <v/>
      </c>
    </row>
    <row r="347" spans="1:12">
      <c r="A347" s="8" t="s">
        <v>20</v>
      </c>
      <c r="J347" s="332" t="e">
        <f t="shared" si="18"/>
        <v>#REF!</v>
      </c>
      <c r="K347" s="332" t="str">
        <f t="shared" si="19"/>
        <v/>
      </c>
      <c r="L347" s="332" t="str">
        <f t="shared" si="17"/>
        <v/>
      </c>
    </row>
    <row r="348" spans="1:12">
      <c r="A348" s="8" t="s">
        <v>20</v>
      </c>
      <c r="J348" s="332" t="e">
        <f t="shared" si="18"/>
        <v>#REF!</v>
      </c>
      <c r="K348" s="332" t="str">
        <f t="shared" si="19"/>
        <v/>
      </c>
      <c r="L348" s="332" t="str">
        <f t="shared" si="17"/>
        <v/>
      </c>
    </row>
    <row r="349" spans="1:12">
      <c r="A349" s="8" t="s">
        <v>20</v>
      </c>
      <c r="J349" s="332" t="e">
        <f t="shared" si="18"/>
        <v>#REF!</v>
      </c>
      <c r="K349" s="332" t="str">
        <f t="shared" si="19"/>
        <v/>
      </c>
      <c r="L349" s="332" t="str">
        <f t="shared" si="17"/>
        <v/>
      </c>
    </row>
    <row r="350" spans="1:12">
      <c r="A350" s="8" t="s">
        <v>20</v>
      </c>
      <c r="J350" s="332" t="e">
        <f t="shared" si="18"/>
        <v>#REF!</v>
      </c>
      <c r="K350" s="332" t="str">
        <f t="shared" si="19"/>
        <v/>
      </c>
      <c r="L350" s="332" t="str">
        <f t="shared" si="17"/>
        <v/>
      </c>
    </row>
    <row r="351" spans="1:12">
      <c r="A351" s="8" t="s">
        <v>20</v>
      </c>
      <c r="J351" s="332" t="e">
        <f t="shared" si="18"/>
        <v>#REF!</v>
      </c>
      <c r="K351" s="332" t="str">
        <f t="shared" si="19"/>
        <v/>
      </c>
      <c r="L351" s="332" t="str">
        <f t="shared" si="17"/>
        <v/>
      </c>
    </row>
    <row r="352" spans="1:12">
      <c r="A352" s="8" t="s">
        <v>20</v>
      </c>
      <c r="J352" s="332" t="e">
        <f t="shared" si="18"/>
        <v>#REF!</v>
      </c>
      <c r="K352" s="332" t="str">
        <f t="shared" si="19"/>
        <v/>
      </c>
      <c r="L352" s="332" t="str">
        <f t="shared" si="17"/>
        <v/>
      </c>
    </row>
    <row r="353" spans="1:12">
      <c r="A353" s="8" t="s">
        <v>20</v>
      </c>
      <c r="J353" s="332" t="e">
        <f t="shared" si="18"/>
        <v>#REF!</v>
      </c>
      <c r="K353" s="332" t="str">
        <f t="shared" si="19"/>
        <v/>
      </c>
      <c r="L353" s="332" t="str">
        <f t="shared" si="17"/>
        <v/>
      </c>
    </row>
    <row r="354" spans="1:12">
      <c r="A354" s="8" t="s">
        <v>20</v>
      </c>
      <c r="J354" s="332" t="e">
        <f t="shared" si="18"/>
        <v>#REF!</v>
      </c>
      <c r="K354" s="332" t="str">
        <f t="shared" si="19"/>
        <v/>
      </c>
      <c r="L354" s="332" t="str">
        <f t="shared" si="17"/>
        <v/>
      </c>
    </row>
    <row r="355" spans="1:12">
      <c r="A355" s="8" t="s">
        <v>20</v>
      </c>
      <c r="J355" s="332" t="e">
        <f t="shared" si="18"/>
        <v>#REF!</v>
      </c>
      <c r="K355" s="332" t="str">
        <f t="shared" si="19"/>
        <v/>
      </c>
      <c r="L355" s="332" t="str">
        <f t="shared" si="17"/>
        <v/>
      </c>
    </row>
    <row r="356" spans="1:12">
      <c r="A356" s="8" t="s">
        <v>20</v>
      </c>
      <c r="J356" s="332" t="e">
        <f t="shared" si="18"/>
        <v>#REF!</v>
      </c>
      <c r="K356" s="332" t="str">
        <f t="shared" si="19"/>
        <v/>
      </c>
      <c r="L356" s="332" t="str">
        <f t="shared" si="17"/>
        <v/>
      </c>
    </row>
    <row r="357" spans="1:12">
      <c r="A357" s="8" t="s">
        <v>20</v>
      </c>
      <c r="J357" s="332" t="e">
        <f t="shared" si="18"/>
        <v>#REF!</v>
      </c>
      <c r="K357" s="332" t="str">
        <f t="shared" si="19"/>
        <v/>
      </c>
      <c r="L357" s="332" t="str">
        <f t="shared" si="17"/>
        <v/>
      </c>
    </row>
    <row r="358" spans="1:12">
      <c r="A358" s="8" t="s">
        <v>20</v>
      </c>
      <c r="J358" s="332" t="e">
        <f t="shared" si="18"/>
        <v>#REF!</v>
      </c>
      <c r="K358" s="332" t="str">
        <f t="shared" si="19"/>
        <v/>
      </c>
      <c r="L358" s="332" t="str">
        <f t="shared" si="17"/>
        <v/>
      </c>
    </row>
    <row r="359" spans="1:12">
      <c r="A359" s="8" t="s">
        <v>20</v>
      </c>
      <c r="J359" s="332" t="e">
        <f t="shared" si="18"/>
        <v>#REF!</v>
      </c>
      <c r="K359" s="332" t="str">
        <f t="shared" si="19"/>
        <v/>
      </c>
      <c r="L359" s="332" t="str">
        <f t="shared" si="17"/>
        <v/>
      </c>
    </row>
    <row r="360" spans="1:12">
      <c r="A360" s="8" t="s">
        <v>20</v>
      </c>
      <c r="J360" s="332" t="e">
        <f t="shared" si="18"/>
        <v>#REF!</v>
      </c>
      <c r="K360" s="332" t="str">
        <f t="shared" si="19"/>
        <v/>
      </c>
      <c r="L360" s="332" t="str">
        <f t="shared" si="17"/>
        <v/>
      </c>
    </row>
    <row r="361" spans="1:12">
      <c r="A361" s="8" t="s">
        <v>20</v>
      </c>
      <c r="J361" s="332" t="e">
        <f t="shared" si="18"/>
        <v>#REF!</v>
      </c>
      <c r="K361" s="332" t="str">
        <f t="shared" si="19"/>
        <v/>
      </c>
      <c r="L361" s="332" t="str">
        <f t="shared" si="17"/>
        <v/>
      </c>
    </row>
    <row r="362" spans="1:12">
      <c r="A362" s="8" t="s">
        <v>20</v>
      </c>
      <c r="J362" s="332" t="e">
        <f t="shared" si="18"/>
        <v>#REF!</v>
      </c>
      <c r="K362" s="332" t="str">
        <f t="shared" si="19"/>
        <v/>
      </c>
      <c r="L362" s="332" t="str">
        <f t="shared" si="17"/>
        <v/>
      </c>
    </row>
    <row r="363" spans="1:12">
      <c r="A363" s="8" t="s">
        <v>20</v>
      </c>
      <c r="J363" s="332" t="e">
        <f t="shared" si="18"/>
        <v>#REF!</v>
      </c>
      <c r="K363" s="332" t="str">
        <f t="shared" si="19"/>
        <v/>
      </c>
      <c r="L363" s="332" t="str">
        <f t="shared" si="17"/>
        <v/>
      </c>
    </row>
    <row r="364" spans="1:12">
      <c r="A364" s="8" t="s">
        <v>20</v>
      </c>
      <c r="J364" s="332" t="e">
        <f t="shared" si="18"/>
        <v>#REF!</v>
      </c>
      <c r="K364" s="332" t="str">
        <f t="shared" si="19"/>
        <v/>
      </c>
      <c r="L364" s="332" t="str">
        <f t="shared" si="17"/>
        <v/>
      </c>
    </row>
    <row r="365" spans="1:12">
      <c r="A365" s="8" t="s">
        <v>20</v>
      </c>
      <c r="J365" s="332" t="e">
        <f t="shared" si="18"/>
        <v>#REF!</v>
      </c>
      <c r="K365" s="332" t="str">
        <f t="shared" si="19"/>
        <v/>
      </c>
      <c r="L365" s="332" t="str">
        <f t="shared" si="17"/>
        <v/>
      </c>
    </row>
    <row r="366" spans="1:12">
      <c r="A366" s="8" t="s">
        <v>20</v>
      </c>
      <c r="J366" s="332" t="e">
        <f t="shared" si="18"/>
        <v>#REF!</v>
      </c>
      <c r="K366" s="332" t="str">
        <f t="shared" si="19"/>
        <v/>
      </c>
      <c r="L366" s="332" t="str">
        <f t="shared" si="17"/>
        <v/>
      </c>
    </row>
    <row r="367" spans="1:12">
      <c r="A367" s="8" t="s">
        <v>20</v>
      </c>
      <c r="J367" s="332" t="e">
        <f t="shared" si="18"/>
        <v>#REF!</v>
      </c>
      <c r="K367" s="332" t="str">
        <f t="shared" si="19"/>
        <v/>
      </c>
      <c r="L367" s="332" t="str">
        <f t="shared" si="17"/>
        <v/>
      </c>
    </row>
    <row r="368" spans="1:12">
      <c r="A368" s="8" t="s">
        <v>20</v>
      </c>
      <c r="J368" s="332" t="e">
        <f t="shared" si="18"/>
        <v>#REF!</v>
      </c>
      <c r="K368" s="332" t="str">
        <f t="shared" si="19"/>
        <v/>
      </c>
      <c r="L368" s="332" t="str">
        <f t="shared" si="17"/>
        <v/>
      </c>
    </row>
    <row r="369" spans="1:12">
      <c r="A369" s="8" t="s">
        <v>20</v>
      </c>
      <c r="J369" s="332" t="e">
        <f t="shared" si="18"/>
        <v>#REF!</v>
      </c>
      <c r="K369" s="332" t="str">
        <f t="shared" si="19"/>
        <v/>
      </c>
      <c r="L369" s="332" t="str">
        <f t="shared" si="17"/>
        <v/>
      </c>
    </row>
    <row r="370" spans="1:12">
      <c r="A370" s="8" t="s">
        <v>20</v>
      </c>
      <c r="J370" s="332" t="e">
        <f t="shared" si="18"/>
        <v>#REF!</v>
      </c>
      <c r="K370" s="332" t="str">
        <f t="shared" si="19"/>
        <v/>
      </c>
      <c r="L370" s="332" t="str">
        <f t="shared" si="17"/>
        <v/>
      </c>
    </row>
    <row r="371" spans="1:12">
      <c r="A371" s="8" t="s">
        <v>20</v>
      </c>
      <c r="J371" s="332" t="e">
        <f t="shared" si="18"/>
        <v>#REF!</v>
      </c>
      <c r="K371" s="332" t="str">
        <f t="shared" si="19"/>
        <v/>
      </c>
      <c r="L371" s="332" t="str">
        <f t="shared" si="17"/>
        <v/>
      </c>
    </row>
    <row r="372" spans="1:12">
      <c r="A372" s="8" t="s">
        <v>20</v>
      </c>
      <c r="J372" s="332" t="e">
        <f t="shared" si="18"/>
        <v>#REF!</v>
      </c>
      <c r="K372" s="332" t="str">
        <f t="shared" si="19"/>
        <v/>
      </c>
      <c r="L372" s="332" t="str">
        <f t="shared" si="17"/>
        <v/>
      </c>
    </row>
    <row r="373" spans="1:12">
      <c r="A373" s="8" t="s">
        <v>20</v>
      </c>
      <c r="J373" s="332" t="e">
        <f t="shared" si="18"/>
        <v>#REF!</v>
      </c>
      <c r="K373" s="332" t="str">
        <f t="shared" si="19"/>
        <v/>
      </c>
      <c r="L373" s="332" t="str">
        <f t="shared" si="17"/>
        <v/>
      </c>
    </row>
    <row r="374" spans="1:12">
      <c r="A374" s="8" t="s">
        <v>20</v>
      </c>
      <c r="J374" s="332" t="e">
        <f t="shared" si="18"/>
        <v>#REF!</v>
      </c>
      <c r="K374" s="332" t="str">
        <f t="shared" si="19"/>
        <v/>
      </c>
      <c r="L374" s="332" t="str">
        <f t="shared" si="17"/>
        <v/>
      </c>
    </row>
    <row r="375" spans="1:12">
      <c r="A375" s="8" t="s">
        <v>20</v>
      </c>
      <c r="J375" s="332" t="e">
        <f t="shared" si="18"/>
        <v>#REF!</v>
      </c>
      <c r="K375" s="332" t="str">
        <f t="shared" si="19"/>
        <v/>
      </c>
      <c r="L375" s="332" t="str">
        <f t="shared" si="17"/>
        <v/>
      </c>
    </row>
    <row r="376" spans="1:12">
      <c r="A376" s="8" t="s">
        <v>20</v>
      </c>
      <c r="J376" s="332" t="e">
        <f t="shared" si="18"/>
        <v>#REF!</v>
      </c>
      <c r="K376" s="332" t="str">
        <f t="shared" si="19"/>
        <v/>
      </c>
      <c r="L376" s="332" t="str">
        <f t="shared" si="17"/>
        <v/>
      </c>
    </row>
    <row r="377" spans="1:12">
      <c r="A377" s="8" t="s">
        <v>20</v>
      </c>
      <c r="J377" s="332" t="e">
        <f t="shared" si="18"/>
        <v>#REF!</v>
      </c>
      <c r="K377" s="332" t="str">
        <f t="shared" si="19"/>
        <v/>
      </c>
      <c r="L377" s="332" t="str">
        <f t="shared" si="17"/>
        <v/>
      </c>
    </row>
    <row r="378" spans="1:12">
      <c r="A378" s="8" t="s">
        <v>20</v>
      </c>
      <c r="J378" s="332" t="e">
        <f t="shared" si="18"/>
        <v>#REF!</v>
      </c>
      <c r="K378" s="332" t="str">
        <f t="shared" si="19"/>
        <v/>
      </c>
      <c r="L378" s="332" t="str">
        <f t="shared" si="17"/>
        <v/>
      </c>
    </row>
    <row r="379" spans="1:12">
      <c r="A379" s="8" t="s">
        <v>20</v>
      </c>
      <c r="J379" s="332" t="e">
        <f t="shared" si="18"/>
        <v>#REF!</v>
      </c>
      <c r="K379" s="332" t="str">
        <f t="shared" si="19"/>
        <v/>
      </c>
      <c r="L379" s="332" t="str">
        <f t="shared" si="17"/>
        <v/>
      </c>
    </row>
    <row r="380" spans="1:12">
      <c r="A380" s="8" t="s">
        <v>20</v>
      </c>
      <c r="J380" s="332" t="e">
        <f t="shared" si="18"/>
        <v>#REF!</v>
      </c>
      <c r="K380" s="332" t="str">
        <f t="shared" si="19"/>
        <v/>
      </c>
      <c r="L380" s="332" t="str">
        <f t="shared" si="17"/>
        <v/>
      </c>
    </row>
    <row r="381" spans="1:12">
      <c r="A381" s="8" t="s">
        <v>20</v>
      </c>
      <c r="J381" s="332" t="e">
        <f t="shared" si="18"/>
        <v>#REF!</v>
      </c>
      <c r="K381" s="332" t="str">
        <f t="shared" si="19"/>
        <v/>
      </c>
      <c r="L381" s="332" t="str">
        <f t="shared" si="17"/>
        <v/>
      </c>
    </row>
    <row r="382" spans="1:12">
      <c r="A382" s="8" t="s">
        <v>20</v>
      </c>
      <c r="J382" s="332" t="e">
        <f t="shared" si="18"/>
        <v>#REF!</v>
      </c>
      <c r="K382" s="332" t="str">
        <f t="shared" si="19"/>
        <v/>
      </c>
      <c r="L382" s="332" t="str">
        <f t="shared" si="17"/>
        <v/>
      </c>
    </row>
    <row r="383" spans="1:12">
      <c r="A383" s="8" t="s">
        <v>20</v>
      </c>
      <c r="J383" s="332" t="e">
        <f t="shared" si="18"/>
        <v>#REF!</v>
      </c>
      <c r="K383" s="332" t="str">
        <f t="shared" si="19"/>
        <v/>
      </c>
      <c r="L383" s="332" t="str">
        <f t="shared" si="17"/>
        <v/>
      </c>
    </row>
    <row r="384" spans="1:12">
      <c r="A384" s="8" t="s">
        <v>20</v>
      </c>
      <c r="J384" s="332" t="e">
        <f t="shared" si="18"/>
        <v>#REF!</v>
      </c>
      <c r="K384" s="332" t="str">
        <f t="shared" si="19"/>
        <v/>
      </c>
      <c r="L384" s="332" t="str">
        <f t="shared" si="17"/>
        <v/>
      </c>
    </row>
    <row r="385" spans="1:12">
      <c r="A385" s="8" t="s">
        <v>20</v>
      </c>
      <c r="J385" s="332" t="e">
        <f t="shared" si="18"/>
        <v>#REF!</v>
      </c>
      <c r="K385" s="332" t="str">
        <f t="shared" si="19"/>
        <v/>
      </c>
      <c r="L385" s="332" t="str">
        <f t="shared" si="17"/>
        <v/>
      </c>
    </row>
    <row r="386" spans="1:12">
      <c r="A386" s="8" t="s">
        <v>20</v>
      </c>
      <c r="J386" s="332" t="e">
        <f t="shared" si="18"/>
        <v>#REF!</v>
      </c>
      <c r="K386" s="332" t="str">
        <f t="shared" si="19"/>
        <v/>
      </c>
      <c r="L386" s="332" t="str">
        <f t="shared" si="17"/>
        <v/>
      </c>
    </row>
    <row r="387" spans="1:12">
      <c r="A387" s="8" t="s">
        <v>20</v>
      </c>
      <c r="J387" s="332" t="e">
        <f t="shared" si="18"/>
        <v>#REF!</v>
      </c>
      <c r="K387" s="332" t="str">
        <f t="shared" si="19"/>
        <v/>
      </c>
      <c r="L387" s="332" t="str">
        <f t="shared" si="17"/>
        <v/>
      </c>
    </row>
    <row r="388" spans="1:12">
      <c r="A388" s="8" t="s">
        <v>20</v>
      </c>
      <c r="J388" s="332" t="e">
        <f t="shared" si="18"/>
        <v>#REF!</v>
      </c>
      <c r="K388" s="332" t="str">
        <f t="shared" si="19"/>
        <v/>
      </c>
      <c r="L388" s="332" t="str">
        <f t="shared" si="17"/>
        <v/>
      </c>
    </row>
    <row r="389" spans="1:12">
      <c r="A389" s="8" t="s">
        <v>20</v>
      </c>
      <c r="J389" s="332" t="e">
        <f t="shared" si="18"/>
        <v>#REF!</v>
      </c>
      <c r="K389" s="332" t="str">
        <f t="shared" si="19"/>
        <v/>
      </c>
      <c r="L389" s="332" t="str">
        <f t="shared" ref="L389:L452" si="20">IFERROR(K389+M389,"")</f>
        <v/>
      </c>
    </row>
    <row r="390" spans="1:12">
      <c r="A390" s="8" t="s">
        <v>20</v>
      </c>
      <c r="J390" s="332" t="e">
        <f t="shared" si="18"/>
        <v>#REF!</v>
      </c>
      <c r="K390" s="332" t="str">
        <f t="shared" si="19"/>
        <v/>
      </c>
      <c r="L390" s="332" t="str">
        <f t="shared" si="20"/>
        <v/>
      </c>
    </row>
    <row r="391" spans="1:12">
      <c r="A391" s="8" t="s">
        <v>20</v>
      </c>
      <c r="J391" s="332" t="e">
        <f t="shared" si="18"/>
        <v>#REF!</v>
      </c>
      <c r="K391" s="332" t="str">
        <f t="shared" si="19"/>
        <v/>
      </c>
      <c r="L391" s="332" t="str">
        <f t="shared" si="20"/>
        <v/>
      </c>
    </row>
    <row r="392" spans="1:12">
      <c r="A392" s="8"/>
      <c r="J392" s="332" t="e">
        <f t="shared" si="18"/>
        <v>#REF!</v>
      </c>
      <c r="K392" s="332" t="str">
        <f t="shared" si="19"/>
        <v/>
      </c>
      <c r="L392" s="332" t="str">
        <f t="shared" si="20"/>
        <v/>
      </c>
    </row>
    <row r="393" spans="1:12">
      <c r="A393" s="8" t="s">
        <v>20</v>
      </c>
      <c r="J393" s="332" t="e">
        <f t="shared" si="18"/>
        <v>#REF!</v>
      </c>
      <c r="K393" s="332" t="str">
        <f t="shared" si="19"/>
        <v/>
      </c>
      <c r="L393" s="332" t="str">
        <f t="shared" si="20"/>
        <v/>
      </c>
    </row>
    <row r="394" spans="1:12">
      <c r="A394" s="8" t="s">
        <v>20</v>
      </c>
      <c r="J394" s="332" t="e">
        <f t="shared" si="18"/>
        <v>#REF!</v>
      </c>
      <c r="K394" s="332" t="str">
        <f t="shared" si="19"/>
        <v/>
      </c>
      <c r="L394" s="332" t="str">
        <f t="shared" si="20"/>
        <v/>
      </c>
    </row>
    <row r="395" spans="1:12">
      <c r="A395" s="8" t="s">
        <v>20</v>
      </c>
      <c r="J395" s="332" t="e">
        <f t="shared" si="18"/>
        <v>#REF!</v>
      </c>
      <c r="K395" s="332" t="str">
        <f t="shared" si="19"/>
        <v/>
      </c>
      <c r="L395" s="332" t="str">
        <f t="shared" si="20"/>
        <v/>
      </c>
    </row>
    <row r="396" spans="1:12">
      <c r="A396" s="8" t="s">
        <v>20</v>
      </c>
      <c r="J396" s="332" t="e">
        <f t="shared" si="18"/>
        <v>#REF!</v>
      </c>
      <c r="K396" s="332" t="str">
        <f t="shared" si="19"/>
        <v/>
      </c>
      <c r="L396" s="332" t="str">
        <f t="shared" si="20"/>
        <v/>
      </c>
    </row>
    <row r="397" spans="1:12">
      <c r="A397" s="8" t="s">
        <v>20</v>
      </c>
      <c r="J397" s="332" t="e">
        <f t="shared" si="18"/>
        <v>#REF!</v>
      </c>
      <c r="K397" s="332" t="str">
        <f t="shared" si="19"/>
        <v/>
      </c>
      <c r="L397" s="332" t="str">
        <f t="shared" si="20"/>
        <v/>
      </c>
    </row>
    <row r="398" spans="1:12">
      <c r="A398" s="8" t="s">
        <v>20</v>
      </c>
      <c r="J398" s="332" t="e">
        <f t="shared" si="18"/>
        <v>#REF!</v>
      </c>
      <c r="K398" s="332" t="str">
        <f t="shared" si="19"/>
        <v/>
      </c>
      <c r="L398" s="332" t="str">
        <f t="shared" si="20"/>
        <v/>
      </c>
    </row>
    <row r="399" spans="1:12">
      <c r="A399" s="8" t="s">
        <v>20</v>
      </c>
      <c r="J399" s="332" t="e">
        <f t="shared" si="18"/>
        <v>#REF!</v>
      </c>
      <c r="K399" s="332" t="str">
        <f t="shared" si="19"/>
        <v/>
      </c>
      <c r="L399" s="332" t="str">
        <f t="shared" si="20"/>
        <v/>
      </c>
    </row>
    <row r="400" spans="1:12">
      <c r="A400" s="8" t="s">
        <v>20</v>
      </c>
      <c r="J400" s="332" t="e">
        <f t="shared" si="18"/>
        <v>#REF!</v>
      </c>
      <c r="K400" s="332" t="str">
        <f t="shared" si="19"/>
        <v/>
      </c>
      <c r="L400" s="332" t="str">
        <f t="shared" si="20"/>
        <v/>
      </c>
    </row>
    <row r="401" spans="1:12">
      <c r="A401" s="8" t="s">
        <v>20</v>
      </c>
      <c r="J401" s="332" t="e">
        <f t="shared" si="18"/>
        <v>#REF!</v>
      </c>
      <c r="K401" s="332" t="str">
        <f t="shared" si="19"/>
        <v/>
      </c>
      <c r="L401" s="332" t="str">
        <f t="shared" si="20"/>
        <v/>
      </c>
    </row>
    <row r="402" spans="1:12">
      <c r="A402" s="8" t="s">
        <v>20</v>
      </c>
      <c r="J402" s="332" t="e">
        <f t="shared" si="18"/>
        <v>#REF!</v>
      </c>
      <c r="K402" s="332" t="str">
        <f t="shared" si="19"/>
        <v/>
      </c>
      <c r="L402" s="332" t="str">
        <f t="shared" si="20"/>
        <v/>
      </c>
    </row>
    <row r="403" spans="1:12">
      <c r="A403" s="8" t="s">
        <v>20</v>
      </c>
      <c r="J403" s="332" t="e">
        <f t="shared" si="18"/>
        <v>#REF!</v>
      </c>
      <c r="K403" s="332" t="str">
        <f t="shared" si="19"/>
        <v/>
      </c>
      <c r="L403" s="332" t="str">
        <f t="shared" si="20"/>
        <v/>
      </c>
    </row>
    <row r="404" spans="1:12">
      <c r="A404" s="8" t="s">
        <v>20</v>
      </c>
      <c r="J404" s="332" t="e">
        <f t="shared" si="18"/>
        <v>#REF!</v>
      </c>
      <c r="K404" s="332" t="str">
        <f t="shared" si="19"/>
        <v/>
      </c>
      <c r="L404" s="332" t="str">
        <f t="shared" si="20"/>
        <v/>
      </c>
    </row>
    <row r="405" spans="1:12">
      <c r="A405" s="8" t="s">
        <v>20</v>
      </c>
      <c r="J405" s="332" t="e">
        <f t="shared" si="18"/>
        <v>#REF!</v>
      </c>
      <c r="K405" s="332" t="str">
        <f t="shared" si="19"/>
        <v/>
      </c>
      <c r="L405" s="332" t="str">
        <f t="shared" si="20"/>
        <v/>
      </c>
    </row>
    <row r="406" spans="1:12">
      <c r="A406" s="8"/>
      <c r="J406" s="332" t="e">
        <f t="shared" ref="J406:J469" si="21">IF(OR(A408="Devizy",J405="Devizy"),"Devizy","")</f>
        <v>#REF!</v>
      </c>
      <c r="K406" s="332" t="str">
        <f t="shared" si="19"/>
        <v/>
      </c>
      <c r="L406" s="332" t="str">
        <f t="shared" si="20"/>
        <v/>
      </c>
    </row>
    <row r="407" spans="1:12">
      <c r="A407" s="8" t="s">
        <v>20</v>
      </c>
      <c r="J407" s="332" t="e">
        <f t="shared" si="21"/>
        <v>#REF!</v>
      </c>
      <c r="K407" s="332" t="str">
        <f t="shared" ref="K407:K470" si="22">IFERROR(IF(AND(J407="Devizy",FIND("Nakupujeme ",A408)=1),RIGHT(A408,7),""),"")</f>
        <v/>
      </c>
      <c r="L407" s="332" t="str">
        <f t="shared" si="20"/>
        <v/>
      </c>
    </row>
    <row r="408" spans="1:12">
      <c r="A408" s="8" t="s">
        <v>20</v>
      </c>
      <c r="J408" s="332" t="e">
        <f t="shared" si="21"/>
        <v>#REF!</v>
      </c>
      <c r="K408" s="332" t="str">
        <f t="shared" si="22"/>
        <v/>
      </c>
      <c r="L408" s="332" t="str">
        <f t="shared" si="20"/>
        <v/>
      </c>
    </row>
    <row r="409" spans="1:12">
      <c r="A409" s="8" t="s">
        <v>20</v>
      </c>
      <c r="J409" s="332" t="e">
        <f t="shared" si="21"/>
        <v>#REF!</v>
      </c>
      <c r="K409" s="332" t="str">
        <f t="shared" si="22"/>
        <v/>
      </c>
      <c r="L409" s="332" t="str">
        <f t="shared" si="20"/>
        <v/>
      </c>
    </row>
    <row r="410" spans="1:12">
      <c r="A410" s="8" t="s">
        <v>20</v>
      </c>
      <c r="J410" s="332" t="e">
        <f t="shared" si="21"/>
        <v>#REF!</v>
      </c>
      <c r="K410" s="332" t="str">
        <f t="shared" si="22"/>
        <v/>
      </c>
      <c r="L410" s="332" t="str">
        <f t="shared" si="20"/>
        <v/>
      </c>
    </row>
    <row r="411" spans="1:12">
      <c r="A411" s="8" t="s">
        <v>20</v>
      </c>
      <c r="J411" s="332" t="e">
        <f t="shared" si="21"/>
        <v>#REF!</v>
      </c>
      <c r="K411" s="332" t="str">
        <f t="shared" si="22"/>
        <v/>
      </c>
      <c r="L411" s="332" t="str">
        <f t="shared" si="20"/>
        <v/>
      </c>
    </row>
    <row r="412" spans="1:12">
      <c r="A412" s="8" t="s">
        <v>20</v>
      </c>
      <c r="J412" s="332" t="e">
        <f t="shared" si="21"/>
        <v>#REF!</v>
      </c>
      <c r="K412" s="332" t="str">
        <f t="shared" si="22"/>
        <v/>
      </c>
      <c r="L412" s="332" t="str">
        <f t="shared" si="20"/>
        <v/>
      </c>
    </row>
    <row r="413" spans="1:12">
      <c r="A413" s="8" t="s">
        <v>20</v>
      </c>
      <c r="J413" s="332" t="e">
        <f t="shared" si="21"/>
        <v>#REF!</v>
      </c>
      <c r="K413" s="332" t="str">
        <f t="shared" si="22"/>
        <v/>
      </c>
      <c r="L413" s="332" t="str">
        <f t="shared" si="20"/>
        <v/>
      </c>
    </row>
    <row r="414" spans="1:12">
      <c r="A414" s="8" t="s">
        <v>20</v>
      </c>
      <c r="J414" s="332" t="e">
        <f t="shared" si="21"/>
        <v>#REF!</v>
      </c>
      <c r="K414" s="332" t="str">
        <f t="shared" si="22"/>
        <v/>
      </c>
      <c r="L414" s="332" t="str">
        <f t="shared" si="20"/>
        <v/>
      </c>
    </row>
    <row r="415" spans="1:12">
      <c r="A415" s="8" t="s">
        <v>20</v>
      </c>
      <c r="J415" s="332" t="e">
        <f t="shared" si="21"/>
        <v>#REF!</v>
      </c>
      <c r="K415" s="332" t="str">
        <f t="shared" si="22"/>
        <v/>
      </c>
      <c r="L415" s="332" t="str">
        <f t="shared" si="20"/>
        <v/>
      </c>
    </row>
    <row r="416" spans="1:12">
      <c r="A416" s="8" t="s">
        <v>20</v>
      </c>
      <c r="J416" s="332" t="e">
        <f t="shared" si="21"/>
        <v>#REF!</v>
      </c>
      <c r="K416" s="332" t="str">
        <f t="shared" si="22"/>
        <v/>
      </c>
      <c r="L416" s="332" t="str">
        <f t="shared" si="20"/>
        <v/>
      </c>
    </row>
    <row r="417" spans="1:12">
      <c r="A417" s="8" t="s">
        <v>20</v>
      </c>
      <c r="J417" s="332" t="e">
        <f t="shared" si="21"/>
        <v>#REF!</v>
      </c>
      <c r="K417" s="332" t="str">
        <f t="shared" si="22"/>
        <v/>
      </c>
      <c r="L417" s="332" t="str">
        <f t="shared" si="20"/>
        <v/>
      </c>
    </row>
    <row r="418" spans="1:12">
      <c r="A418" s="8" t="s">
        <v>20</v>
      </c>
      <c r="J418" s="332" t="e">
        <f t="shared" si="21"/>
        <v>#REF!</v>
      </c>
      <c r="K418" s="332" t="str">
        <f t="shared" si="22"/>
        <v/>
      </c>
      <c r="L418" s="332" t="str">
        <f t="shared" si="20"/>
        <v/>
      </c>
    </row>
    <row r="419" spans="1:12">
      <c r="A419" s="8" t="s">
        <v>20</v>
      </c>
      <c r="J419" s="332" t="e">
        <f t="shared" si="21"/>
        <v>#REF!</v>
      </c>
      <c r="K419" s="332" t="str">
        <f t="shared" si="22"/>
        <v/>
      </c>
      <c r="L419" s="332" t="str">
        <f t="shared" si="20"/>
        <v/>
      </c>
    </row>
    <row r="420" spans="1:12">
      <c r="A420" s="8" t="s">
        <v>20</v>
      </c>
      <c r="J420" s="332" t="e">
        <f t="shared" si="21"/>
        <v>#REF!</v>
      </c>
      <c r="K420" s="332" t="str">
        <f t="shared" si="22"/>
        <v/>
      </c>
      <c r="L420" s="332" t="str">
        <f t="shared" si="20"/>
        <v/>
      </c>
    </row>
    <row r="421" spans="1:12">
      <c r="A421" s="8" t="s">
        <v>20</v>
      </c>
      <c r="J421" s="332" t="e">
        <f t="shared" si="21"/>
        <v>#REF!</v>
      </c>
      <c r="K421" s="332" t="str">
        <f t="shared" si="22"/>
        <v/>
      </c>
      <c r="L421" s="332" t="str">
        <f t="shared" si="20"/>
        <v/>
      </c>
    </row>
    <row r="422" spans="1:12">
      <c r="A422" s="8" t="s">
        <v>20</v>
      </c>
      <c r="J422" s="332" t="e">
        <f t="shared" si="21"/>
        <v>#REF!</v>
      </c>
      <c r="K422" s="332" t="str">
        <f t="shared" si="22"/>
        <v/>
      </c>
      <c r="L422" s="332" t="str">
        <f t="shared" si="20"/>
        <v/>
      </c>
    </row>
    <row r="423" spans="1:12">
      <c r="A423" s="8"/>
      <c r="J423" s="332" t="e">
        <f t="shared" si="21"/>
        <v>#REF!</v>
      </c>
      <c r="K423" s="332" t="str">
        <f t="shared" si="22"/>
        <v/>
      </c>
      <c r="L423" s="332" t="str">
        <f t="shared" si="20"/>
        <v/>
      </c>
    </row>
    <row r="424" spans="1:12">
      <c r="A424" s="8" t="s">
        <v>20</v>
      </c>
      <c r="J424" s="332" t="e">
        <f t="shared" si="21"/>
        <v>#REF!</v>
      </c>
      <c r="K424" s="332" t="str">
        <f t="shared" si="22"/>
        <v/>
      </c>
      <c r="L424" s="332" t="str">
        <f t="shared" si="20"/>
        <v/>
      </c>
    </row>
    <row r="425" spans="1:12">
      <c r="A425" s="8" t="s">
        <v>20</v>
      </c>
      <c r="J425" s="332" t="e">
        <f t="shared" si="21"/>
        <v>#REF!</v>
      </c>
      <c r="K425" s="332" t="str">
        <f t="shared" si="22"/>
        <v/>
      </c>
      <c r="L425" s="332" t="str">
        <f t="shared" si="20"/>
        <v/>
      </c>
    </row>
    <row r="426" spans="1:12">
      <c r="A426" s="8" t="s">
        <v>20</v>
      </c>
      <c r="J426" s="332" t="e">
        <f t="shared" si="21"/>
        <v>#REF!</v>
      </c>
      <c r="K426" s="332" t="str">
        <f t="shared" si="22"/>
        <v/>
      </c>
      <c r="L426" s="332" t="str">
        <f t="shared" si="20"/>
        <v/>
      </c>
    </row>
    <row r="427" spans="1:12">
      <c r="A427" s="8" t="s">
        <v>20</v>
      </c>
      <c r="J427" s="332" t="e">
        <f t="shared" si="21"/>
        <v>#REF!</v>
      </c>
      <c r="K427" s="332" t="str">
        <f t="shared" si="22"/>
        <v/>
      </c>
      <c r="L427" s="332" t="str">
        <f t="shared" si="20"/>
        <v/>
      </c>
    </row>
    <row r="428" spans="1:12">
      <c r="A428" s="8" t="s">
        <v>20</v>
      </c>
      <c r="J428" s="332" t="e">
        <f t="shared" si="21"/>
        <v>#REF!</v>
      </c>
      <c r="K428" s="332" t="str">
        <f t="shared" si="22"/>
        <v/>
      </c>
      <c r="L428" s="332" t="str">
        <f t="shared" si="20"/>
        <v/>
      </c>
    </row>
    <row r="429" spans="1:12">
      <c r="A429" s="8" t="s">
        <v>20</v>
      </c>
      <c r="J429" s="332" t="e">
        <f t="shared" si="21"/>
        <v>#REF!</v>
      </c>
      <c r="K429" s="332" t="str">
        <f t="shared" si="22"/>
        <v/>
      </c>
      <c r="L429" s="332" t="str">
        <f t="shared" si="20"/>
        <v/>
      </c>
    </row>
    <row r="430" spans="1:12">
      <c r="A430" s="8" t="s">
        <v>20</v>
      </c>
      <c r="J430" s="332" t="e">
        <f t="shared" si="21"/>
        <v>#REF!</v>
      </c>
      <c r="K430" s="332" t="str">
        <f t="shared" si="22"/>
        <v/>
      </c>
      <c r="L430" s="332" t="str">
        <f t="shared" si="20"/>
        <v/>
      </c>
    </row>
    <row r="431" spans="1:12">
      <c r="A431" s="8" t="s">
        <v>20</v>
      </c>
      <c r="J431" s="332" t="e">
        <f t="shared" si="21"/>
        <v>#REF!</v>
      </c>
      <c r="K431" s="332" t="str">
        <f t="shared" si="22"/>
        <v/>
      </c>
      <c r="L431" s="332" t="str">
        <f t="shared" si="20"/>
        <v/>
      </c>
    </row>
    <row r="432" spans="1:12">
      <c r="A432" s="8" t="s">
        <v>20</v>
      </c>
      <c r="J432" s="332" t="e">
        <f t="shared" si="21"/>
        <v>#REF!</v>
      </c>
      <c r="K432" s="332" t="str">
        <f t="shared" si="22"/>
        <v/>
      </c>
      <c r="L432" s="332" t="str">
        <f t="shared" si="20"/>
        <v/>
      </c>
    </row>
    <row r="433" spans="1:12">
      <c r="A433" s="8" t="s">
        <v>20</v>
      </c>
      <c r="J433" s="332" t="e">
        <f t="shared" si="21"/>
        <v>#REF!</v>
      </c>
      <c r="K433" s="332" t="str">
        <f t="shared" si="22"/>
        <v/>
      </c>
      <c r="L433" s="332" t="str">
        <f t="shared" si="20"/>
        <v/>
      </c>
    </row>
    <row r="434" spans="1:12">
      <c r="A434" s="8" t="s">
        <v>20</v>
      </c>
      <c r="J434" s="332" t="e">
        <f t="shared" si="21"/>
        <v>#REF!</v>
      </c>
      <c r="K434" s="332" t="str">
        <f t="shared" si="22"/>
        <v/>
      </c>
      <c r="L434" s="332" t="str">
        <f t="shared" si="20"/>
        <v/>
      </c>
    </row>
    <row r="435" spans="1:12">
      <c r="A435" s="8" t="s">
        <v>20</v>
      </c>
      <c r="J435" s="332" t="e">
        <f t="shared" si="21"/>
        <v>#REF!</v>
      </c>
      <c r="K435" s="332" t="str">
        <f t="shared" si="22"/>
        <v/>
      </c>
      <c r="L435" s="332" t="str">
        <f t="shared" si="20"/>
        <v/>
      </c>
    </row>
    <row r="436" spans="1:12">
      <c r="A436" s="8" t="s">
        <v>20</v>
      </c>
      <c r="J436" s="332" t="e">
        <f t="shared" si="21"/>
        <v>#REF!</v>
      </c>
      <c r="K436" s="332" t="str">
        <f t="shared" si="22"/>
        <v/>
      </c>
      <c r="L436" s="332" t="str">
        <f t="shared" si="20"/>
        <v/>
      </c>
    </row>
    <row r="437" spans="1:12">
      <c r="A437" s="8" t="s">
        <v>20</v>
      </c>
      <c r="J437" s="332" t="e">
        <f t="shared" si="21"/>
        <v>#REF!</v>
      </c>
      <c r="K437" s="332" t="str">
        <f t="shared" si="22"/>
        <v/>
      </c>
      <c r="L437" s="332" t="str">
        <f t="shared" si="20"/>
        <v/>
      </c>
    </row>
    <row r="438" spans="1:12">
      <c r="A438" s="8" t="s">
        <v>20</v>
      </c>
      <c r="J438" s="332" t="e">
        <f t="shared" si="21"/>
        <v>#REF!</v>
      </c>
      <c r="K438" s="332" t="str">
        <f t="shared" si="22"/>
        <v/>
      </c>
      <c r="L438" s="332" t="str">
        <f t="shared" si="20"/>
        <v/>
      </c>
    </row>
    <row r="439" spans="1:12">
      <c r="A439" s="8" t="s">
        <v>20</v>
      </c>
      <c r="J439" s="332" t="e">
        <f t="shared" si="21"/>
        <v>#REF!</v>
      </c>
      <c r="K439" s="332" t="str">
        <f t="shared" si="22"/>
        <v/>
      </c>
      <c r="L439" s="332" t="str">
        <f t="shared" si="20"/>
        <v/>
      </c>
    </row>
    <row r="440" spans="1:12">
      <c r="A440" s="8" t="s">
        <v>20</v>
      </c>
      <c r="J440" s="332" t="e">
        <f t="shared" si="21"/>
        <v>#REF!</v>
      </c>
      <c r="K440" s="332" t="str">
        <f t="shared" si="22"/>
        <v/>
      </c>
      <c r="L440" s="332" t="str">
        <f t="shared" si="20"/>
        <v/>
      </c>
    </row>
    <row r="441" spans="1:12">
      <c r="A441" s="8" t="s">
        <v>20</v>
      </c>
      <c r="J441" s="332" t="e">
        <f t="shared" si="21"/>
        <v>#REF!</v>
      </c>
      <c r="K441" s="332" t="str">
        <f t="shared" si="22"/>
        <v/>
      </c>
      <c r="L441" s="332" t="str">
        <f t="shared" si="20"/>
        <v/>
      </c>
    </row>
    <row r="442" spans="1:12">
      <c r="A442" s="8"/>
      <c r="J442" s="332" t="e">
        <f t="shared" si="21"/>
        <v>#REF!</v>
      </c>
      <c r="K442" s="332" t="str">
        <f t="shared" si="22"/>
        <v/>
      </c>
      <c r="L442" s="332" t="str">
        <f t="shared" si="20"/>
        <v/>
      </c>
    </row>
    <row r="443" spans="1:12">
      <c r="A443" s="8" t="s">
        <v>20</v>
      </c>
      <c r="J443" s="332" t="e">
        <f t="shared" si="21"/>
        <v>#REF!</v>
      </c>
      <c r="K443" s="332" t="str">
        <f t="shared" si="22"/>
        <v/>
      </c>
      <c r="L443" s="332" t="str">
        <f t="shared" si="20"/>
        <v/>
      </c>
    </row>
    <row r="444" spans="1:12">
      <c r="A444" s="8" t="s">
        <v>20</v>
      </c>
      <c r="J444" s="332" t="e">
        <f t="shared" si="21"/>
        <v>#REF!</v>
      </c>
      <c r="K444" s="332" t="str">
        <f t="shared" si="22"/>
        <v/>
      </c>
      <c r="L444" s="332" t="str">
        <f t="shared" si="20"/>
        <v/>
      </c>
    </row>
    <row r="445" spans="1:12">
      <c r="A445" s="8" t="s">
        <v>20</v>
      </c>
      <c r="J445" s="332" t="e">
        <f t="shared" si="21"/>
        <v>#REF!</v>
      </c>
      <c r="K445" s="332" t="str">
        <f t="shared" si="22"/>
        <v/>
      </c>
      <c r="L445" s="332" t="str">
        <f t="shared" si="20"/>
        <v/>
      </c>
    </row>
    <row r="446" spans="1:12">
      <c r="A446" s="8" t="s">
        <v>20</v>
      </c>
      <c r="J446" s="332" t="e">
        <f t="shared" si="21"/>
        <v>#REF!</v>
      </c>
      <c r="K446" s="332" t="str">
        <f t="shared" si="22"/>
        <v/>
      </c>
      <c r="L446" s="332" t="str">
        <f t="shared" si="20"/>
        <v/>
      </c>
    </row>
    <row r="447" spans="1:12">
      <c r="A447" s="8" t="s">
        <v>20</v>
      </c>
      <c r="J447" s="332" t="e">
        <f t="shared" si="21"/>
        <v>#REF!</v>
      </c>
      <c r="K447" s="332" t="str">
        <f t="shared" si="22"/>
        <v/>
      </c>
      <c r="L447" s="332" t="str">
        <f t="shared" si="20"/>
        <v/>
      </c>
    </row>
    <row r="448" spans="1:12">
      <c r="A448" s="8" t="s">
        <v>20</v>
      </c>
      <c r="J448" s="332" t="e">
        <f t="shared" si="21"/>
        <v>#REF!</v>
      </c>
      <c r="K448" s="332" t="str">
        <f t="shared" si="22"/>
        <v/>
      </c>
      <c r="L448" s="332" t="str">
        <f t="shared" si="20"/>
        <v/>
      </c>
    </row>
    <row r="449" spans="1:12">
      <c r="A449" s="8" t="s">
        <v>20</v>
      </c>
      <c r="J449" s="332" t="e">
        <f t="shared" si="21"/>
        <v>#REF!</v>
      </c>
      <c r="K449" s="332" t="str">
        <f t="shared" si="22"/>
        <v/>
      </c>
      <c r="L449" s="332" t="str">
        <f t="shared" si="20"/>
        <v/>
      </c>
    </row>
    <row r="450" spans="1:12">
      <c r="A450" s="8"/>
      <c r="J450" s="332" t="e">
        <f t="shared" si="21"/>
        <v>#REF!</v>
      </c>
      <c r="K450" s="332" t="str">
        <f t="shared" si="22"/>
        <v/>
      </c>
      <c r="L450" s="332" t="str">
        <f t="shared" si="20"/>
        <v/>
      </c>
    </row>
    <row r="451" spans="1:12">
      <c r="A451" s="8" t="s">
        <v>20</v>
      </c>
      <c r="J451" s="332" t="e">
        <f t="shared" si="21"/>
        <v>#REF!</v>
      </c>
      <c r="K451" s="332" t="str">
        <f t="shared" si="22"/>
        <v/>
      </c>
      <c r="L451" s="332" t="str">
        <f t="shared" si="20"/>
        <v/>
      </c>
    </row>
    <row r="452" spans="1:12">
      <c r="A452" s="8"/>
      <c r="J452" s="332" t="e">
        <f t="shared" si="21"/>
        <v>#REF!</v>
      </c>
      <c r="K452" s="332" t="str">
        <f t="shared" si="22"/>
        <v/>
      </c>
      <c r="L452" s="332" t="str">
        <f t="shared" si="20"/>
        <v/>
      </c>
    </row>
    <row r="453" spans="1:12">
      <c r="A453" s="8" t="s">
        <v>20</v>
      </c>
      <c r="J453" s="332" t="e">
        <f t="shared" si="21"/>
        <v>#REF!</v>
      </c>
      <c r="K453" s="332" t="str">
        <f t="shared" si="22"/>
        <v/>
      </c>
      <c r="L453" s="332" t="str">
        <f t="shared" ref="L453:L516" si="23">IFERROR(K453+M453,"")</f>
        <v/>
      </c>
    </row>
    <row r="454" spans="1:12">
      <c r="A454" s="8" t="s">
        <v>20</v>
      </c>
      <c r="J454" s="332" t="e">
        <f t="shared" si="21"/>
        <v>#REF!</v>
      </c>
      <c r="K454" s="332" t="str">
        <f t="shared" si="22"/>
        <v/>
      </c>
      <c r="L454" s="332" t="str">
        <f t="shared" si="23"/>
        <v/>
      </c>
    </row>
    <row r="455" spans="1:12">
      <c r="A455" s="8" t="s">
        <v>20</v>
      </c>
      <c r="J455" s="332" t="e">
        <f t="shared" si="21"/>
        <v>#REF!</v>
      </c>
      <c r="K455" s="332" t="str">
        <f t="shared" si="22"/>
        <v/>
      </c>
      <c r="L455" s="332" t="str">
        <f t="shared" si="23"/>
        <v/>
      </c>
    </row>
    <row r="456" spans="1:12">
      <c r="A456" s="8" t="s">
        <v>20</v>
      </c>
      <c r="J456" s="332" t="e">
        <f t="shared" si="21"/>
        <v>#REF!</v>
      </c>
      <c r="K456" s="332" t="str">
        <f t="shared" si="22"/>
        <v/>
      </c>
      <c r="L456" s="332" t="str">
        <f t="shared" si="23"/>
        <v/>
      </c>
    </row>
    <row r="457" spans="1:12">
      <c r="A457" s="8" t="s">
        <v>20</v>
      </c>
      <c r="J457" s="332" t="e">
        <f t="shared" si="21"/>
        <v>#REF!</v>
      </c>
      <c r="K457" s="332" t="str">
        <f t="shared" si="22"/>
        <v/>
      </c>
      <c r="L457" s="332" t="str">
        <f t="shared" si="23"/>
        <v/>
      </c>
    </row>
    <row r="458" spans="1:12">
      <c r="A458" s="8" t="s">
        <v>20</v>
      </c>
      <c r="J458" s="332" t="e">
        <f t="shared" si="21"/>
        <v>#REF!</v>
      </c>
      <c r="K458" s="332" t="str">
        <f t="shared" si="22"/>
        <v/>
      </c>
      <c r="L458" s="332" t="str">
        <f t="shared" si="23"/>
        <v/>
      </c>
    </row>
    <row r="459" spans="1:12">
      <c r="A459" s="8" t="s">
        <v>20</v>
      </c>
      <c r="J459" s="332" t="e">
        <f t="shared" si="21"/>
        <v>#REF!</v>
      </c>
      <c r="K459" s="332" t="str">
        <f t="shared" si="22"/>
        <v/>
      </c>
      <c r="L459" s="332" t="str">
        <f t="shared" si="23"/>
        <v/>
      </c>
    </row>
    <row r="460" spans="1:12">
      <c r="A460" s="8" t="s">
        <v>20</v>
      </c>
      <c r="J460" s="332" t="e">
        <f t="shared" si="21"/>
        <v>#REF!</v>
      </c>
      <c r="K460" s="332" t="str">
        <f t="shared" si="22"/>
        <v/>
      </c>
      <c r="L460" s="332" t="str">
        <f t="shared" si="23"/>
        <v/>
      </c>
    </row>
    <row r="461" spans="1:12">
      <c r="A461" s="8" t="s">
        <v>20</v>
      </c>
      <c r="J461" s="332" t="e">
        <f t="shared" si="21"/>
        <v>#REF!</v>
      </c>
      <c r="K461" s="332" t="str">
        <f t="shared" si="22"/>
        <v/>
      </c>
      <c r="L461" s="332" t="str">
        <f t="shared" si="23"/>
        <v/>
      </c>
    </row>
    <row r="462" spans="1:12">
      <c r="A462" s="8" t="s">
        <v>20</v>
      </c>
      <c r="J462" s="332" t="e">
        <f t="shared" si="21"/>
        <v>#REF!</v>
      </c>
      <c r="K462" s="332" t="str">
        <f t="shared" si="22"/>
        <v/>
      </c>
      <c r="L462" s="332" t="str">
        <f t="shared" si="23"/>
        <v/>
      </c>
    </row>
    <row r="463" spans="1:12">
      <c r="A463" s="8" t="s">
        <v>20</v>
      </c>
      <c r="J463" s="332" t="e">
        <f t="shared" si="21"/>
        <v>#REF!</v>
      </c>
      <c r="K463" s="332" t="str">
        <f t="shared" si="22"/>
        <v/>
      </c>
      <c r="L463" s="332" t="str">
        <f t="shared" si="23"/>
        <v/>
      </c>
    </row>
    <row r="464" spans="1:12">
      <c r="A464" s="8"/>
      <c r="J464" s="332" t="e">
        <f t="shared" si="21"/>
        <v>#REF!</v>
      </c>
      <c r="K464" s="332" t="str">
        <f t="shared" si="22"/>
        <v/>
      </c>
      <c r="L464" s="332" t="str">
        <f t="shared" si="23"/>
        <v/>
      </c>
    </row>
    <row r="465" spans="1:12">
      <c r="A465" s="8" t="s">
        <v>20</v>
      </c>
      <c r="J465" s="332" t="e">
        <f t="shared" si="21"/>
        <v>#REF!</v>
      </c>
      <c r="K465" s="332" t="str">
        <f t="shared" si="22"/>
        <v/>
      </c>
      <c r="L465" s="332" t="str">
        <f t="shared" si="23"/>
        <v/>
      </c>
    </row>
    <row r="466" spans="1:12">
      <c r="A466" s="8" t="s">
        <v>20</v>
      </c>
      <c r="J466" s="332" t="e">
        <f t="shared" si="21"/>
        <v>#REF!</v>
      </c>
      <c r="K466" s="332" t="str">
        <f t="shared" si="22"/>
        <v/>
      </c>
      <c r="L466" s="332" t="str">
        <f t="shared" si="23"/>
        <v/>
      </c>
    </row>
    <row r="467" spans="1:12">
      <c r="A467" s="8" t="s">
        <v>20</v>
      </c>
      <c r="J467" s="332" t="e">
        <f t="shared" si="21"/>
        <v>#REF!</v>
      </c>
      <c r="K467" s="332" t="str">
        <f t="shared" si="22"/>
        <v/>
      </c>
      <c r="L467" s="332" t="str">
        <f t="shared" si="23"/>
        <v/>
      </c>
    </row>
    <row r="468" spans="1:12">
      <c r="A468" s="8" t="s">
        <v>20</v>
      </c>
      <c r="J468" s="332" t="e">
        <f t="shared" si="21"/>
        <v>#REF!</v>
      </c>
      <c r="K468" s="332" t="str">
        <f t="shared" si="22"/>
        <v/>
      </c>
      <c r="L468" s="332" t="str">
        <f t="shared" si="23"/>
        <v/>
      </c>
    </row>
    <row r="469" spans="1:12">
      <c r="A469" s="8"/>
      <c r="J469" s="332" t="e">
        <f t="shared" si="21"/>
        <v>#REF!</v>
      </c>
      <c r="K469" s="332" t="str">
        <f t="shared" si="22"/>
        <v/>
      </c>
      <c r="L469" s="332" t="str">
        <f t="shared" si="23"/>
        <v/>
      </c>
    </row>
    <row r="470" spans="1:12">
      <c r="A470" s="8" t="s">
        <v>20</v>
      </c>
      <c r="J470" s="332" t="e">
        <f t="shared" ref="J470:J529" si="24">IF(OR(A472="Devizy",J469="Devizy"),"Devizy","")</f>
        <v>#REF!</v>
      </c>
      <c r="K470" s="332" t="str">
        <f t="shared" si="22"/>
        <v/>
      </c>
      <c r="L470" s="332" t="str">
        <f t="shared" si="23"/>
        <v/>
      </c>
    </row>
    <row r="471" spans="1:12">
      <c r="A471" s="8" t="s">
        <v>20</v>
      </c>
      <c r="J471" s="332" t="e">
        <f t="shared" si="24"/>
        <v>#REF!</v>
      </c>
      <c r="K471" s="332" t="str">
        <f t="shared" ref="K471:K529" si="25">IFERROR(IF(AND(J471="Devizy",FIND("Nakupujeme ",A472)=1),RIGHT(A472,7),""),"")</f>
        <v/>
      </c>
      <c r="L471" s="332" t="str">
        <f t="shared" si="23"/>
        <v/>
      </c>
    </row>
    <row r="472" spans="1:12">
      <c r="A472" s="8" t="s">
        <v>20</v>
      </c>
      <c r="J472" s="332" t="e">
        <f t="shared" si="24"/>
        <v>#REF!</v>
      </c>
      <c r="K472" s="332" t="str">
        <f t="shared" si="25"/>
        <v/>
      </c>
      <c r="L472" s="332" t="str">
        <f t="shared" si="23"/>
        <v/>
      </c>
    </row>
    <row r="473" spans="1:12">
      <c r="A473" s="8"/>
      <c r="J473" s="332" t="e">
        <f t="shared" si="24"/>
        <v>#REF!</v>
      </c>
      <c r="K473" s="332" t="str">
        <f t="shared" si="25"/>
        <v/>
      </c>
      <c r="L473" s="332" t="str">
        <f t="shared" si="23"/>
        <v/>
      </c>
    </row>
    <row r="474" spans="1:12">
      <c r="A474" s="8" t="s">
        <v>20</v>
      </c>
      <c r="J474" s="332" t="e">
        <f t="shared" si="24"/>
        <v>#REF!</v>
      </c>
      <c r="K474" s="332" t="str">
        <f t="shared" si="25"/>
        <v/>
      </c>
      <c r="L474" s="332" t="str">
        <f t="shared" si="23"/>
        <v/>
      </c>
    </row>
    <row r="475" spans="1:12">
      <c r="A475" s="8"/>
      <c r="J475" s="332" t="e">
        <f t="shared" si="24"/>
        <v>#REF!</v>
      </c>
      <c r="K475" s="332" t="str">
        <f t="shared" si="25"/>
        <v/>
      </c>
      <c r="L475" s="332" t="str">
        <f t="shared" si="23"/>
        <v/>
      </c>
    </row>
    <row r="476" spans="1:12">
      <c r="A476" s="8" t="s">
        <v>20</v>
      </c>
      <c r="J476" s="332" t="e">
        <f t="shared" si="24"/>
        <v>#REF!</v>
      </c>
      <c r="K476" s="332" t="str">
        <f t="shared" si="25"/>
        <v/>
      </c>
      <c r="L476" s="332" t="str">
        <f t="shared" si="23"/>
        <v/>
      </c>
    </row>
    <row r="477" spans="1:12">
      <c r="A477" s="8" t="s">
        <v>20</v>
      </c>
      <c r="J477" s="332" t="e">
        <f t="shared" si="24"/>
        <v>#REF!</v>
      </c>
      <c r="K477" s="332" t="str">
        <f t="shared" si="25"/>
        <v/>
      </c>
      <c r="L477" s="332" t="str">
        <f t="shared" si="23"/>
        <v/>
      </c>
    </row>
    <row r="478" spans="1:12">
      <c r="A478" s="8" t="s">
        <v>20</v>
      </c>
      <c r="J478" s="332" t="e">
        <f t="shared" si="24"/>
        <v>#REF!</v>
      </c>
      <c r="K478" s="332" t="str">
        <f t="shared" si="25"/>
        <v/>
      </c>
      <c r="L478" s="332" t="str">
        <f t="shared" si="23"/>
        <v/>
      </c>
    </row>
    <row r="479" spans="1:12">
      <c r="A479" s="8" t="s">
        <v>20</v>
      </c>
      <c r="J479" s="332" t="e">
        <f t="shared" si="24"/>
        <v>#REF!</v>
      </c>
      <c r="K479" s="332" t="str">
        <f t="shared" si="25"/>
        <v/>
      </c>
      <c r="L479" s="332" t="str">
        <f t="shared" si="23"/>
        <v/>
      </c>
    </row>
    <row r="480" spans="1:12">
      <c r="A480" s="8" t="s">
        <v>20</v>
      </c>
      <c r="J480" s="332" t="e">
        <f t="shared" si="24"/>
        <v>#REF!</v>
      </c>
      <c r="K480" s="332" t="str">
        <f t="shared" si="25"/>
        <v/>
      </c>
      <c r="L480" s="332" t="str">
        <f t="shared" si="23"/>
        <v/>
      </c>
    </row>
    <row r="481" spans="1:12">
      <c r="A481" s="8"/>
      <c r="J481" s="332" t="e">
        <f t="shared" si="24"/>
        <v>#REF!</v>
      </c>
      <c r="K481" s="332" t="str">
        <f t="shared" si="25"/>
        <v/>
      </c>
      <c r="L481" s="332" t="str">
        <f t="shared" si="23"/>
        <v/>
      </c>
    </row>
    <row r="482" spans="1:12">
      <c r="A482" s="8" t="s">
        <v>20</v>
      </c>
      <c r="J482" s="332" t="e">
        <f t="shared" si="24"/>
        <v>#REF!</v>
      </c>
      <c r="K482" s="332" t="str">
        <f t="shared" si="25"/>
        <v/>
      </c>
      <c r="L482" s="332" t="str">
        <f t="shared" si="23"/>
        <v/>
      </c>
    </row>
    <row r="483" spans="1:12">
      <c r="A483" s="8" t="s">
        <v>20</v>
      </c>
      <c r="J483" s="332" t="e">
        <f t="shared" si="24"/>
        <v>#REF!</v>
      </c>
      <c r="K483" s="332" t="str">
        <f t="shared" si="25"/>
        <v/>
      </c>
      <c r="L483" s="332" t="str">
        <f t="shared" si="23"/>
        <v/>
      </c>
    </row>
    <row r="484" spans="1:12">
      <c r="A484" s="8" t="s">
        <v>20</v>
      </c>
      <c r="J484" s="332" t="e">
        <f t="shared" si="24"/>
        <v>#REF!</v>
      </c>
      <c r="K484" s="332" t="str">
        <f t="shared" si="25"/>
        <v/>
      </c>
      <c r="L484" s="332" t="str">
        <f t="shared" si="23"/>
        <v/>
      </c>
    </row>
    <row r="485" spans="1:12">
      <c r="A485" s="8" t="s">
        <v>20</v>
      </c>
      <c r="J485" s="332" t="e">
        <f t="shared" si="24"/>
        <v>#REF!</v>
      </c>
      <c r="K485" s="332" t="str">
        <f t="shared" si="25"/>
        <v/>
      </c>
      <c r="L485" s="332" t="str">
        <f t="shared" si="23"/>
        <v/>
      </c>
    </row>
    <row r="486" spans="1:12">
      <c r="A486" s="8" t="s">
        <v>20</v>
      </c>
      <c r="J486" s="332" t="e">
        <f t="shared" si="24"/>
        <v>#REF!</v>
      </c>
      <c r="K486" s="332" t="str">
        <f t="shared" si="25"/>
        <v/>
      </c>
      <c r="L486" s="332" t="str">
        <f t="shared" si="23"/>
        <v/>
      </c>
    </row>
    <row r="487" spans="1:12">
      <c r="A487" s="8"/>
      <c r="J487" s="332" t="e">
        <f t="shared" si="24"/>
        <v>#REF!</v>
      </c>
      <c r="K487" s="332" t="str">
        <f t="shared" si="25"/>
        <v/>
      </c>
      <c r="L487" s="332" t="str">
        <f t="shared" si="23"/>
        <v/>
      </c>
    </row>
    <row r="488" spans="1:12">
      <c r="A488" s="8" t="s">
        <v>20</v>
      </c>
      <c r="J488" s="332" t="e">
        <f t="shared" si="24"/>
        <v>#REF!</v>
      </c>
      <c r="K488" s="332" t="str">
        <f t="shared" si="25"/>
        <v/>
      </c>
      <c r="L488" s="332" t="str">
        <f t="shared" si="23"/>
        <v/>
      </c>
    </row>
    <row r="489" spans="1:12">
      <c r="A489" s="8" t="s">
        <v>20</v>
      </c>
      <c r="J489" s="332" t="e">
        <f t="shared" si="24"/>
        <v>#REF!</v>
      </c>
      <c r="K489" s="332" t="str">
        <f t="shared" si="25"/>
        <v/>
      </c>
      <c r="L489" s="332" t="str">
        <f t="shared" si="23"/>
        <v/>
      </c>
    </row>
    <row r="490" spans="1:12">
      <c r="A490" s="8"/>
      <c r="J490" s="332" t="e">
        <f t="shared" si="24"/>
        <v>#REF!</v>
      </c>
      <c r="K490" s="332" t="str">
        <f t="shared" si="25"/>
        <v/>
      </c>
      <c r="L490" s="332" t="str">
        <f t="shared" si="23"/>
        <v/>
      </c>
    </row>
    <row r="491" spans="1:12">
      <c r="A491" s="8" t="s">
        <v>20</v>
      </c>
      <c r="J491" s="332" t="e">
        <f t="shared" si="24"/>
        <v>#REF!</v>
      </c>
      <c r="K491" s="332" t="str">
        <f t="shared" si="25"/>
        <v/>
      </c>
      <c r="L491" s="332" t="str">
        <f t="shared" si="23"/>
        <v/>
      </c>
    </row>
    <row r="492" spans="1:12">
      <c r="A492" s="8" t="s">
        <v>20</v>
      </c>
      <c r="J492" s="332" t="e">
        <f t="shared" si="24"/>
        <v>#REF!</v>
      </c>
      <c r="K492" s="332" t="str">
        <f t="shared" si="25"/>
        <v/>
      </c>
      <c r="L492" s="332" t="str">
        <f t="shared" si="23"/>
        <v/>
      </c>
    </row>
    <row r="493" spans="1:12">
      <c r="A493" s="8" t="s">
        <v>20</v>
      </c>
      <c r="J493" s="332" t="e">
        <f t="shared" si="24"/>
        <v>#REF!</v>
      </c>
      <c r="K493" s="332" t="str">
        <f t="shared" si="25"/>
        <v/>
      </c>
      <c r="L493" s="332" t="str">
        <f t="shared" si="23"/>
        <v/>
      </c>
    </row>
    <row r="494" spans="1:12">
      <c r="A494" s="8"/>
      <c r="J494" s="332" t="e">
        <f t="shared" si="24"/>
        <v>#REF!</v>
      </c>
      <c r="K494" s="332" t="str">
        <f t="shared" si="25"/>
        <v/>
      </c>
      <c r="L494" s="332" t="str">
        <f t="shared" si="23"/>
        <v/>
      </c>
    </row>
    <row r="495" spans="1:12">
      <c r="A495" s="8" t="s">
        <v>20</v>
      </c>
      <c r="J495" s="332" t="e">
        <f t="shared" si="24"/>
        <v>#REF!</v>
      </c>
      <c r="K495" s="332" t="str">
        <f t="shared" si="25"/>
        <v/>
      </c>
      <c r="L495" s="332" t="str">
        <f t="shared" si="23"/>
        <v/>
      </c>
    </row>
    <row r="496" spans="1:12">
      <c r="A496" s="8" t="s">
        <v>20</v>
      </c>
      <c r="J496" s="332" t="e">
        <f t="shared" si="24"/>
        <v>#REF!</v>
      </c>
      <c r="K496" s="332" t="str">
        <f t="shared" si="25"/>
        <v/>
      </c>
      <c r="L496" s="332" t="str">
        <f t="shared" si="23"/>
        <v/>
      </c>
    </row>
    <row r="497" spans="1:12">
      <c r="A497" s="8" t="s">
        <v>20</v>
      </c>
      <c r="J497" s="332" t="e">
        <f t="shared" si="24"/>
        <v>#REF!</v>
      </c>
      <c r="K497" s="332" t="str">
        <f t="shared" si="25"/>
        <v/>
      </c>
      <c r="L497" s="332" t="str">
        <f t="shared" si="23"/>
        <v/>
      </c>
    </row>
    <row r="498" spans="1:12">
      <c r="A498" s="8" t="s">
        <v>20</v>
      </c>
      <c r="J498" s="332" t="e">
        <f t="shared" si="24"/>
        <v>#REF!</v>
      </c>
      <c r="K498" s="332" t="str">
        <f t="shared" si="25"/>
        <v/>
      </c>
      <c r="L498" s="332" t="str">
        <f t="shared" si="23"/>
        <v/>
      </c>
    </row>
    <row r="499" spans="1:12">
      <c r="A499" s="8" t="s">
        <v>20</v>
      </c>
      <c r="J499" s="332" t="e">
        <f t="shared" si="24"/>
        <v>#REF!</v>
      </c>
      <c r="K499" s="332" t="str">
        <f t="shared" si="25"/>
        <v/>
      </c>
      <c r="L499" s="332" t="str">
        <f t="shared" si="23"/>
        <v/>
      </c>
    </row>
    <row r="500" spans="1:12">
      <c r="A500" s="8" t="s">
        <v>20</v>
      </c>
      <c r="J500" s="332" t="e">
        <f t="shared" si="24"/>
        <v>#REF!</v>
      </c>
      <c r="K500" s="332" t="str">
        <f t="shared" si="25"/>
        <v/>
      </c>
      <c r="L500" s="332" t="str">
        <f t="shared" si="23"/>
        <v/>
      </c>
    </row>
    <row r="501" spans="1:12">
      <c r="A501" s="8" t="s">
        <v>20</v>
      </c>
      <c r="J501" s="332" t="e">
        <f t="shared" si="24"/>
        <v>#REF!</v>
      </c>
      <c r="K501" s="332" t="str">
        <f t="shared" si="25"/>
        <v/>
      </c>
      <c r="L501" s="332" t="str">
        <f t="shared" si="23"/>
        <v/>
      </c>
    </row>
    <row r="502" spans="1:12">
      <c r="A502" s="8"/>
      <c r="J502" s="332" t="e">
        <f t="shared" si="24"/>
        <v>#REF!</v>
      </c>
      <c r="K502" s="332" t="str">
        <f t="shared" si="25"/>
        <v/>
      </c>
      <c r="L502" s="332" t="str">
        <f t="shared" si="23"/>
        <v/>
      </c>
    </row>
    <row r="503" spans="1:12">
      <c r="A503" s="8" t="s">
        <v>20</v>
      </c>
      <c r="J503" s="332" t="e">
        <f t="shared" si="24"/>
        <v>#REF!</v>
      </c>
      <c r="K503" s="332" t="str">
        <f t="shared" si="25"/>
        <v/>
      </c>
      <c r="L503" s="332" t="str">
        <f t="shared" si="23"/>
        <v/>
      </c>
    </row>
    <row r="504" spans="1:12">
      <c r="A504" s="8" t="s">
        <v>20</v>
      </c>
      <c r="J504" s="332" t="e">
        <f t="shared" si="24"/>
        <v>#REF!</v>
      </c>
      <c r="K504" s="332" t="str">
        <f t="shared" si="25"/>
        <v/>
      </c>
      <c r="L504" s="332" t="str">
        <f t="shared" si="23"/>
        <v/>
      </c>
    </row>
    <row r="505" spans="1:12">
      <c r="A505" s="8" t="s">
        <v>20</v>
      </c>
      <c r="J505" s="332" t="e">
        <f t="shared" si="24"/>
        <v>#REF!</v>
      </c>
      <c r="K505" s="332" t="str">
        <f t="shared" si="25"/>
        <v/>
      </c>
      <c r="L505" s="332" t="str">
        <f t="shared" si="23"/>
        <v/>
      </c>
    </row>
    <row r="506" spans="1:12">
      <c r="A506" s="8" t="s">
        <v>20</v>
      </c>
      <c r="J506" s="332" t="e">
        <f t="shared" si="24"/>
        <v>#REF!</v>
      </c>
      <c r="K506" s="332" t="str">
        <f t="shared" si="25"/>
        <v/>
      </c>
      <c r="L506" s="332" t="str">
        <f t="shared" si="23"/>
        <v/>
      </c>
    </row>
    <row r="507" spans="1:12">
      <c r="A507" s="8" t="s">
        <v>20</v>
      </c>
      <c r="J507" s="332" t="e">
        <f t="shared" si="24"/>
        <v>#REF!</v>
      </c>
      <c r="K507" s="332" t="str">
        <f t="shared" si="25"/>
        <v/>
      </c>
      <c r="L507" s="332" t="str">
        <f t="shared" si="23"/>
        <v/>
      </c>
    </row>
    <row r="508" spans="1:12">
      <c r="A508" s="8" t="s">
        <v>20</v>
      </c>
      <c r="J508" s="332" t="e">
        <f t="shared" si="24"/>
        <v>#REF!</v>
      </c>
      <c r="K508" s="332" t="str">
        <f t="shared" si="25"/>
        <v/>
      </c>
      <c r="L508" s="332" t="str">
        <f t="shared" si="23"/>
        <v/>
      </c>
    </row>
    <row r="509" spans="1:12">
      <c r="A509" s="8" t="s">
        <v>20</v>
      </c>
      <c r="J509" s="332" t="e">
        <f t="shared" si="24"/>
        <v>#REF!</v>
      </c>
      <c r="K509" s="332" t="str">
        <f t="shared" si="25"/>
        <v/>
      </c>
      <c r="L509" s="332" t="str">
        <f t="shared" si="23"/>
        <v/>
      </c>
    </row>
    <row r="510" spans="1:12">
      <c r="A510" s="8" t="s">
        <v>20</v>
      </c>
      <c r="J510" s="332" t="e">
        <f t="shared" si="24"/>
        <v>#REF!</v>
      </c>
      <c r="K510" s="332" t="str">
        <f t="shared" si="25"/>
        <v/>
      </c>
      <c r="L510" s="332" t="str">
        <f t="shared" si="23"/>
        <v/>
      </c>
    </row>
    <row r="511" spans="1:12">
      <c r="A511" s="8" t="s">
        <v>20</v>
      </c>
      <c r="J511" s="332" t="e">
        <f t="shared" si="24"/>
        <v>#REF!</v>
      </c>
      <c r="K511" s="332" t="str">
        <f t="shared" si="25"/>
        <v/>
      </c>
      <c r="L511" s="332" t="str">
        <f t="shared" si="23"/>
        <v/>
      </c>
    </row>
    <row r="512" spans="1:12">
      <c r="A512" s="8" t="s">
        <v>20</v>
      </c>
      <c r="J512" s="332" t="e">
        <f t="shared" si="24"/>
        <v>#REF!</v>
      </c>
      <c r="K512" s="332" t="str">
        <f t="shared" si="25"/>
        <v/>
      </c>
      <c r="L512" s="332" t="str">
        <f t="shared" si="23"/>
        <v/>
      </c>
    </row>
    <row r="513" spans="1:12">
      <c r="A513" s="8"/>
      <c r="J513" s="332" t="e">
        <f t="shared" si="24"/>
        <v>#REF!</v>
      </c>
      <c r="K513" s="332" t="str">
        <f t="shared" si="25"/>
        <v/>
      </c>
      <c r="L513" s="332" t="str">
        <f t="shared" si="23"/>
        <v/>
      </c>
    </row>
    <row r="514" spans="1:12">
      <c r="A514" s="8" t="s">
        <v>20</v>
      </c>
      <c r="J514" s="332" t="e">
        <f t="shared" si="24"/>
        <v>#REF!</v>
      </c>
      <c r="K514" s="332" t="str">
        <f t="shared" si="25"/>
        <v/>
      </c>
      <c r="L514" s="332" t="str">
        <f t="shared" si="23"/>
        <v/>
      </c>
    </row>
    <row r="515" spans="1:12">
      <c r="A515" s="8" t="s">
        <v>20</v>
      </c>
      <c r="J515" s="332" t="e">
        <f t="shared" si="24"/>
        <v>#REF!</v>
      </c>
      <c r="K515" s="332" t="str">
        <f t="shared" si="25"/>
        <v/>
      </c>
      <c r="L515" s="332" t="str">
        <f t="shared" si="23"/>
        <v/>
      </c>
    </row>
    <row r="516" spans="1:12">
      <c r="A516" s="8" t="s">
        <v>20</v>
      </c>
      <c r="J516" s="332" t="e">
        <f t="shared" si="24"/>
        <v>#REF!</v>
      </c>
      <c r="K516" s="332" t="str">
        <f t="shared" si="25"/>
        <v/>
      </c>
      <c r="L516" s="332" t="str">
        <f t="shared" si="23"/>
        <v/>
      </c>
    </row>
    <row r="517" spans="1:12">
      <c r="A517" s="8"/>
      <c r="J517" s="332" t="e">
        <f t="shared" si="24"/>
        <v>#REF!</v>
      </c>
      <c r="K517" s="332" t="str">
        <f t="shared" si="25"/>
        <v/>
      </c>
      <c r="L517" s="332" t="str">
        <f t="shared" ref="L517:L529" si="26">IFERROR(K517+M517,"")</f>
        <v/>
      </c>
    </row>
    <row r="518" spans="1:12">
      <c r="A518" s="8" t="s">
        <v>20</v>
      </c>
      <c r="J518" s="332" t="e">
        <f t="shared" si="24"/>
        <v>#REF!</v>
      </c>
      <c r="K518" s="332" t="str">
        <f t="shared" si="25"/>
        <v/>
      </c>
      <c r="L518" s="332" t="str">
        <f t="shared" si="26"/>
        <v/>
      </c>
    </row>
    <row r="519" spans="1:12">
      <c r="A519" s="8" t="s">
        <v>20</v>
      </c>
      <c r="J519" s="332" t="e">
        <f t="shared" si="24"/>
        <v>#REF!</v>
      </c>
      <c r="K519" s="332" t="str">
        <f t="shared" si="25"/>
        <v/>
      </c>
      <c r="L519" s="332" t="str">
        <f t="shared" si="26"/>
        <v/>
      </c>
    </row>
    <row r="520" spans="1:12">
      <c r="A520" s="8" t="s">
        <v>20</v>
      </c>
      <c r="J520" s="332" t="e">
        <f t="shared" si="24"/>
        <v>#REF!</v>
      </c>
      <c r="K520" s="332" t="str">
        <f t="shared" si="25"/>
        <v/>
      </c>
      <c r="L520" s="332" t="str">
        <f t="shared" si="26"/>
        <v/>
      </c>
    </row>
    <row r="521" spans="1:12">
      <c r="A521" s="8" t="s">
        <v>20</v>
      </c>
      <c r="J521" s="332" t="e">
        <f t="shared" si="24"/>
        <v>#REF!</v>
      </c>
      <c r="K521" s="332" t="str">
        <f t="shared" si="25"/>
        <v/>
      </c>
      <c r="L521" s="332" t="str">
        <f t="shared" si="26"/>
        <v/>
      </c>
    </row>
    <row r="522" spans="1:12">
      <c r="A522" s="8" t="s">
        <v>20</v>
      </c>
      <c r="J522" s="332" t="e">
        <f t="shared" si="24"/>
        <v>#REF!</v>
      </c>
      <c r="K522" s="332" t="str">
        <f t="shared" si="25"/>
        <v/>
      </c>
      <c r="L522" s="332" t="str">
        <f t="shared" si="26"/>
        <v/>
      </c>
    </row>
    <row r="523" spans="1:12">
      <c r="A523" s="8" t="s">
        <v>20</v>
      </c>
      <c r="J523" s="332" t="e">
        <f t="shared" si="24"/>
        <v>#REF!</v>
      </c>
      <c r="K523" s="332" t="str">
        <f t="shared" si="25"/>
        <v/>
      </c>
      <c r="L523" s="332" t="str">
        <f t="shared" si="26"/>
        <v/>
      </c>
    </row>
    <row r="524" spans="1:12">
      <c r="A524" s="8"/>
      <c r="J524" s="332" t="e">
        <f t="shared" si="24"/>
        <v>#REF!</v>
      </c>
      <c r="K524" s="332" t="str">
        <f t="shared" si="25"/>
        <v/>
      </c>
      <c r="L524" s="332" t="str">
        <f t="shared" si="26"/>
        <v/>
      </c>
    </row>
    <row r="525" spans="1:12">
      <c r="A525" s="8" t="s">
        <v>20</v>
      </c>
      <c r="J525" s="332" t="e">
        <f t="shared" si="24"/>
        <v>#REF!</v>
      </c>
      <c r="K525" s="332" t="str">
        <f t="shared" si="25"/>
        <v/>
      </c>
      <c r="L525" s="332" t="str">
        <f t="shared" si="26"/>
        <v/>
      </c>
    </row>
    <row r="526" spans="1:12">
      <c r="A526" s="8" t="s">
        <v>20</v>
      </c>
      <c r="J526" s="332" t="e">
        <f t="shared" si="24"/>
        <v>#REF!</v>
      </c>
      <c r="K526" s="332" t="str">
        <f t="shared" si="25"/>
        <v/>
      </c>
      <c r="L526" s="332" t="str">
        <f t="shared" si="26"/>
        <v/>
      </c>
    </row>
    <row r="527" spans="1:12">
      <c r="A527" s="8" t="s">
        <v>20</v>
      </c>
      <c r="J527" s="332" t="e">
        <f t="shared" si="24"/>
        <v>#REF!</v>
      </c>
      <c r="K527" s="332" t="str">
        <f t="shared" si="25"/>
        <v/>
      </c>
      <c r="L527" s="332" t="str">
        <f t="shared" si="26"/>
        <v/>
      </c>
    </row>
    <row r="528" spans="1:12">
      <c r="A528" s="8" t="s">
        <v>20</v>
      </c>
      <c r="J528" s="332" t="e">
        <f t="shared" si="24"/>
        <v>#REF!</v>
      </c>
      <c r="K528" s="332" t="str">
        <f t="shared" si="25"/>
        <v/>
      </c>
      <c r="L528" s="332" t="str">
        <f t="shared" si="26"/>
        <v/>
      </c>
    </row>
    <row r="529" spans="1:12">
      <c r="A529" s="8" t="s">
        <v>20</v>
      </c>
      <c r="J529" s="332" t="e">
        <f t="shared" si="24"/>
        <v>#REF!</v>
      </c>
      <c r="K529" s="332" t="str">
        <f t="shared" si="25"/>
        <v/>
      </c>
      <c r="L529" s="332" t="str">
        <f t="shared" si="26"/>
        <v/>
      </c>
    </row>
    <row r="530" spans="1:12">
      <c r="A530" s="8" t="s">
        <v>20</v>
      </c>
    </row>
    <row r="531" spans="1:12">
      <c r="A531" s="8" t="s">
        <v>20</v>
      </c>
    </row>
    <row r="532" spans="1:12">
      <c r="A532" s="8" t="s">
        <v>20</v>
      </c>
    </row>
    <row r="533" spans="1:12">
      <c r="A533" s="8"/>
    </row>
    <row r="534" spans="1:12">
      <c r="A534" s="8" t="s">
        <v>20</v>
      </c>
    </row>
    <row r="535" spans="1:12">
      <c r="A535" s="8" t="s">
        <v>20</v>
      </c>
    </row>
    <row r="536" spans="1:12">
      <c r="A536" s="8" t="s">
        <v>20</v>
      </c>
    </row>
    <row r="537" spans="1:12">
      <c r="A537" s="8" t="s">
        <v>20</v>
      </c>
    </row>
    <row r="538" spans="1:12">
      <c r="A538" s="8" t="s">
        <v>20</v>
      </c>
    </row>
    <row r="539" spans="1:12">
      <c r="A539" s="8" t="s">
        <v>20</v>
      </c>
    </row>
    <row r="540" spans="1:12">
      <c r="A540" s="8" t="s">
        <v>20</v>
      </c>
    </row>
    <row r="541" spans="1:12">
      <c r="A541" s="8" t="s">
        <v>20</v>
      </c>
    </row>
    <row r="542" spans="1:12">
      <c r="A542" s="8" t="s">
        <v>20</v>
      </c>
    </row>
    <row r="543" spans="1:12">
      <c r="A543" s="8" t="s">
        <v>20</v>
      </c>
    </row>
    <row r="544" spans="1:12">
      <c r="A544" s="8" t="s">
        <v>20</v>
      </c>
    </row>
    <row r="545" spans="1:1">
      <c r="A545" s="8" t="s">
        <v>20</v>
      </c>
    </row>
    <row r="546" spans="1:1">
      <c r="A546" s="8"/>
    </row>
    <row r="547" spans="1:1">
      <c r="A547" s="8" t="s">
        <v>20</v>
      </c>
    </row>
    <row r="548" spans="1:1">
      <c r="A548" s="8" t="s">
        <v>20</v>
      </c>
    </row>
    <row r="549" spans="1:1">
      <c r="A549" s="8" t="s">
        <v>20</v>
      </c>
    </row>
    <row r="550" spans="1:1">
      <c r="A550" s="8" t="s">
        <v>20</v>
      </c>
    </row>
    <row r="551" spans="1:1">
      <c r="A551" s="8" t="s">
        <v>20</v>
      </c>
    </row>
    <row r="552" spans="1:1">
      <c r="A552" s="8" t="s">
        <v>20</v>
      </c>
    </row>
    <row r="553" spans="1:1">
      <c r="A553" s="8" t="s">
        <v>20</v>
      </c>
    </row>
    <row r="554" spans="1:1">
      <c r="A554" s="8" t="s">
        <v>20</v>
      </c>
    </row>
    <row r="555" spans="1:1">
      <c r="A555" s="8" t="s">
        <v>20</v>
      </c>
    </row>
    <row r="556" spans="1:1">
      <c r="A556" s="8" t="s">
        <v>20</v>
      </c>
    </row>
    <row r="557" spans="1:1">
      <c r="A557" s="8" t="s">
        <v>20</v>
      </c>
    </row>
    <row r="558" spans="1:1">
      <c r="A558" s="8" t="s">
        <v>20</v>
      </c>
    </row>
    <row r="559" spans="1:1">
      <c r="A559" s="8" t="s">
        <v>20</v>
      </c>
    </row>
    <row r="560" spans="1:1">
      <c r="A560" s="8" t="s">
        <v>20</v>
      </c>
    </row>
    <row r="561" spans="1:1">
      <c r="A561" s="8" t="s">
        <v>20</v>
      </c>
    </row>
    <row r="562" spans="1:1">
      <c r="A562" s="8"/>
    </row>
    <row r="563" spans="1:1">
      <c r="A563" s="8" t="s">
        <v>20</v>
      </c>
    </row>
    <row r="564" spans="1:1">
      <c r="A564" s="8" t="s">
        <v>20</v>
      </c>
    </row>
    <row r="565" spans="1:1">
      <c r="A565" s="8" t="s">
        <v>20</v>
      </c>
    </row>
    <row r="566" spans="1:1">
      <c r="A566" s="8" t="s">
        <v>20</v>
      </c>
    </row>
    <row r="567" spans="1:1">
      <c r="A567" s="8" t="s">
        <v>20</v>
      </c>
    </row>
    <row r="568" spans="1:1">
      <c r="A568" s="8" t="s">
        <v>20</v>
      </c>
    </row>
    <row r="569" spans="1:1">
      <c r="A569" s="8" t="s">
        <v>20</v>
      </c>
    </row>
    <row r="570" spans="1:1">
      <c r="A570" s="8" t="s">
        <v>20</v>
      </c>
    </row>
    <row r="571" spans="1:1">
      <c r="A571" s="8" t="s">
        <v>20</v>
      </c>
    </row>
    <row r="572" spans="1:1">
      <c r="A572" s="8" t="s">
        <v>20</v>
      </c>
    </row>
    <row r="573" spans="1:1">
      <c r="A573" s="8" t="s">
        <v>20</v>
      </c>
    </row>
    <row r="574" spans="1:1">
      <c r="A574" s="8"/>
    </row>
    <row r="575" spans="1:1">
      <c r="A575" s="8" t="s">
        <v>20</v>
      </c>
    </row>
    <row r="576" spans="1:1">
      <c r="A576" s="8" t="s">
        <v>20</v>
      </c>
    </row>
    <row r="577" spans="1:1">
      <c r="A577" s="8" t="s">
        <v>20</v>
      </c>
    </row>
    <row r="578" spans="1:1">
      <c r="A578" s="8" t="s">
        <v>20</v>
      </c>
    </row>
    <row r="579" spans="1:1">
      <c r="A579" s="8" t="s">
        <v>20</v>
      </c>
    </row>
    <row r="580" spans="1:1">
      <c r="A580" s="8" t="s">
        <v>20</v>
      </c>
    </row>
    <row r="581" spans="1:1">
      <c r="A581" s="8" t="s">
        <v>20</v>
      </c>
    </row>
    <row r="582" spans="1:1">
      <c r="A582" s="8" t="s">
        <v>20</v>
      </c>
    </row>
    <row r="583" spans="1:1">
      <c r="A583" s="8" t="s">
        <v>20</v>
      </c>
    </row>
    <row r="584" spans="1:1">
      <c r="A584" s="8" t="s">
        <v>20</v>
      </c>
    </row>
    <row r="585" spans="1:1">
      <c r="A585" s="8" t="s">
        <v>20</v>
      </c>
    </row>
    <row r="586" spans="1:1">
      <c r="A586" s="8" t="s">
        <v>20</v>
      </c>
    </row>
    <row r="587" spans="1:1">
      <c r="A587" s="8" t="s">
        <v>20</v>
      </c>
    </row>
    <row r="588" spans="1:1">
      <c r="A588" s="8" t="s">
        <v>20</v>
      </c>
    </row>
    <row r="589" spans="1:1">
      <c r="A589" s="8" t="s">
        <v>20</v>
      </c>
    </row>
    <row r="590" spans="1:1">
      <c r="A590" s="8" t="s">
        <v>20</v>
      </c>
    </row>
    <row r="591" spans="1:1">
      <c r="A591" s="8" t="s">
        <v>20</v>
      </c>
    </row>
    <row r="592" spans="1:1">
      <c r="A592" s="8" t="s">
        <v>20</v>
      </c>
    </row>
    <row r="593" spans="1:1">
      <c r="A593" s="8" t="s">
        <v>20</v>
      </c>
    </row>
    <row r="594" spans="1:1">
      <c r="A594" s="8" t="s">
        <v>20</v>
      </c>
    </row>
    <row r="595" spans="1:1">
      <c r="A595" s="8"/>
    </row>
    <row r="596" spans="1:1">
      <c r="A596" s="8" t="s">
        <v>20</v>
      </c>
    </row>
    <row r="597" spans="1:1">
      <c r="A597" s="8" t="s">
        <v>20</v>
      </c>
    </row>
    <row r="598" spans="1:1">
      <c r="A598" s="8" t="s">
        <v>20</v>
      </c>
    </row>
    <row r="599" spans="1:1">
      <c r="A599" s="8" t="s">
        <v>20</v>
      </c>
    </row>
    <row r="600" spans="1:1">
      <c r="A600" s="8" t="s">
        <v>20</v>
      </c>
    </row>
    <row r="601" spans="1:1">
      <c r="A601" s="8" t="s">
        <v>20</v>
      </c>
    </row>
    <row r="602" spans="1:1">
      <c r="A602" s="8" t="s">
        <v>20</v>
      </c>
    </row>
    <row r="603" spans="1:1">
      <c r="A603" s="8" t="s">
        <v>20</v>
      </c>
    </row>
    <row r="604" spans="1:1">
      <c r="A604" s="8" t="s">
        <v>20</v>
      </c>
    </row>
    <row r="605" spans="1:1">
      <c r="A605" s="8" t="s">
        <v>20</v>
      </c>
    </row>
    <row r="606" spans="1:1">
      <c r="A606" s="8" t="s">
        <v>20</v>
      </c>
    </row>
    <row r="607" spans="1:1">
      <c r="A607" s="8" t="s">
        <v>20</v>
      </c>
    </row>
    <row r="608" spans="1:1">
      <c r="A608" s="8" t="s">
        <v>20</v>
      </c>
    </row>
    <row r="609" spans="1:1">
      <c r="A609" s="8" t="s">
        <v>20</v>
      </c>
    </row>
    <row r="610" spans="1:1">
      <c r="A610" s="8" t="s">
        <v>20</v>
      </c>
    </row>
    <row r="611" spans="1:1">
      <c r="A611" s="8" t="s">
        <v>20</v>
      </c>
    </row>
    <row r="612" spans="1:1">
      <c r="A612" s="8" t="s">
        <v>20</v>
      </c>
    </row>
    <row r="613" spans="1:1">
      <c r="A613" s="8" t="s">
        <v>20</v>
      </c>
    </row>
    <row r="614" spans="1:1">
      <c r="A614" s="8" t="s">
        <v>20</v>
      </c>
    </row>
    <row r="615" spans="1:1">
      <c r="A615" s="8" t="s">
        <v>20</v>
      </c>
    </row>
    <row r="616" spans="1:1">
      <c r="A616" s="8" t="s">
        <v>20</v>
      </c>
    </row>
    <row r="617" spans="1:1">
      <c r="A617" s="8" t="s">
        <v>20</v>
      </c>
    </row>
    <row r="618" spans="1:1">
      <c r="A618" s="8" t="s">
        <v>20</v>
      </c>
    </row>
    <row r="619" spans="1:1">
      <c r="A619" s="8"/>
    </row>
    <row r="620" spans="1:1">
      <c r="A620" s="8" t="s">
        <v>20</v>
      </c>
    </row>
    <row r="621" spans="1:1">
      <c r="A621" s="8" t="s">
        <v>20</v>
      </c>
    </row>
    <row r="622" spans="1:1">
      <c r="A622" s="8" t="s">
        <v>20</v>
      </c>
    </row>
    <row r="623" spans="1:1">
      <c r="A623" s="8" t="s">
        <v>20</v>
      </c>
    </row>
    <row r="624" spans="1:1">
      <c r="A624" s="8"/>
    </row>
    <row r="625" spans="1:1">
      <c r="A625" s="8" t="s">
        <v>20</v>
      </c>
    </row>
    <row r="626" spans="1:1">
      <c r="A626" s="8"/>
    </row>
    <row r="627" spans="1:1">
      <c r="A627" s="8" t="s">
        <v>20</v>
      </c>
    </row>
    <row r="628" spans="1:1">
      <c r="A628" s="8"/>
    </row>
    <row r="629" spans="1:1">
      <c r="A629" s="8" t="s">
        <v>20</v>
      </c>
    </row>
    <row r="630" spans="1:1">
      <c r="A630" s="8"/>
    </row>
    <row r="631" spans="1:1">
      <c r="A631" s="8" t="s">
        <v>20</v>
      </c>
    </row>
    <row r="632" spans="1:1">
      <c r="A632" s="8"/>
    </row>
    <row r="633" spans="1:1">
      <c r="A633" s="8" t="s">
        <v>20</v>
      </c>
    </row>
    <row r="634" spans="1:1">
      <c r="A634" s="8" t="s">
        <v>20</v>
      </c>
    </row>
    <row r="635" spans="1:1">
      <c r="A635" s="8"/>
    </row>
    <row r="636" spans="1:1">
      <c r="A636" s="8" t="s">
        <v>20</v>
      </c>
    </row>
    <row r="637" spans="1:1">
      <c r="A637" s="8" t="s">
        <v>20</v>
      </c>
    </row>
    <row r="638" spans="1:1">
      <c r="A638" s="8"/>
    </row>
    <row r="639" spans="1:1">
      <c r="A639" s="8" t="s">
        <v>20</v>
      </c>
    </row>
    <row r="640" spans="1:1">
      <c r="A640" s="8" t="s">
        <v>20</v>
      </c>
    </row>
    <row r="641" spans="1:1">
      <c r="A641" s="8"/>
    </row>
    <row r="642" spans="1:1">
      <c r="A642" s="8" t="s">
        <v>20</v>
      </c>
    </row>
    <row r="643" spans="1:1">
      <c r="A643" s="8" t="s">
        <v>20</v>
      </c>
    </row>
    <row r="644" spans="1:1">
      <c r="A644" s="8"/>
    </row>
    <row r="645" spans="1:1">
      <c r="A645" s="8" t="s">
        <v>20</v>
      </c>
    </row>
    <row r="646" spans="1:1">
      <c r="A646" s="8" t="s">
        <v>20</v>
      </c>
    </row>
    <row r="647" spans="1:1">
      <c r="A647" s="8" t="s">
        <v>20</v>
      </c>
    </row>
    <row r="648" spans="1:1">
      <c r="A648" s="8" t="s">
        <v>20</v>
      </c>
    </row>
    <row r="649" spans="1:1">
      <c r="A649" s="8" t="s">
        <v>20</v>
      </c>
    </row>
    <row r="650" spans="1:1">
      <c r="A650" s="8" t="s">
        <v>20</v>
      </c>
    </row>
    <row r="651" spans="1:1">
      <c r="A651" s="8"/>
    </row>
    <row r="652" spans="1:1">
      <c r="A652" s="8" t="s">
        <v>20</v>
      </c>
    </row>
    <row r="653" spans="1:1">
      <c r="A653" s="8" t="s">
        <v>20</v>
      </c>
    </row>
    <row r="654" spans="1:1">
      <c r="A654" s="8" t="s">
        <v>20</v>
      </c>
    </row>
    <row r="655" spans="1:1">
      <c r="A655" s="8" t="s">
        <v>20</v>
      </c>
    </row>
    <row r="656" spans="1:1">
      <c r="A656" s="8" t="s">
        <v>20</v>
      </c>
    </row>
    <row r="657" spans="1:1">
      <c r="A657" s="8" t="s">
        <v>20</v>
      </c>
    </row>
    <row r="658" spans="1:1">
      <c r="A658" s="8"/>
    </row>
    <row r="659" spans="1:1">
      <c r="A659" s="8" t="s">
        <v>20</v>
      </c>
    </row>
    <row r="660" spans="1:1">
      <c r="A660" s="8" t="s">
        <v>20</v>
      </c>
    </row>
    <row r="661" spans="1:1">
      <c r="A661" s="8" t="s">
        <v>20</v>
      </c>
    </row>
    <row r="662" spans="1:1">
      <c r="A662" s="8" t="s">
        <v>20</v>
      </c>
    </row>
    <row r="663" spans="1:1">
      <c r="A663" s="8" t="s">
        <v>20</v>
      </c>
    </row>
    <row r="664" spans="1:1">
      <c r="A664" s="8" t="s">
        <v>20</v>
      </c>
    </row>
    <row r="665" spans="1:1">
      <c r="A665" s="8" t="s">
        <v>20</v>
      </c>
    </row>
    <row r="666" spans="1:1">
      <c r="A666" s="8" t="s">
        <v>20</v>
      </c>
    </row>
    <row r="667" spans="1:1">
      <c r="A667" s="8"/>
    </row>
    <row r="668" spans="1:1">
      <c r="A668" s="8" t="s">
        <v>20</v>
      </c>
    </row>
    <row r="669" spans="1:1">
      <c r="A669" s="8" t="s">
        <v>20</v>
      </c>
    </row>
    <row r="670" spans="1:1">
      <c r="A670" s="8" t="s">
        <v>20</v>
      </c>
    </row>
    <row r="671" spans="1:1">
      <c r="A671" s="8" t="s">
        <v>20</v>
      </c>
    </row>
    <row r="672" spans="1:1">
      <c r="A672" s="8" t="s">
        <v>20</v>
      </c>
    </row>
    <row r="673" spans="1:1">
      <c r="A673" s="8" t="s">
        <v>20</v>
      </c>
    </row>
    <row r="674" spans="1:1">
      <c r="A674" s="8" t="s">
        <v>20</v>
      </c>
    </row>
    <row r="675" spans="1:1">
      <c r="A675" s="8"/>
    </row>
    <row r="676" spans="1:1">
      <c r="A676" s="8" t="s">
        <v>20</v>
      </c>
    </row>
    <row r="677" spans="1:1">
      <c r="A677" s="8" t="s">
        <v>20</v>
      </c>
    </row>
    <row r="678" spans="1:1">
      <c r="A678" s="8" t="s">
        <v>20</v>
      </c>
    </row>
    <row r="679" spans="1:1">
      <c r="A679" s="8" t="s">
        <v>20</v>
      </c>
    </row>
    <row r="680" spans="1:1">
      <c r="A680" s="8" t="s">
        <v>20</v>
      </c>
    </row>
    <row r="681" spans="1:1">
      <c r="A681" s="8"/>
    </row>
    <row r="682" spans="1:1">
      <c r="A682" s="8" t="s">
        <v>20</v>
      </c>
    </row>
    <row r="683" spans="1:1">
      <c r="A683" s="8" t="s">
        <v>20</v>
      </c>
    </row>
    <row r="684" spans="1:1">
      <c r="A684" s="8" t="s">
        <v>20</v>
      </c>
    </row>
    <row r="685" spans="1:1">
      <c r="A685" s="8" t="s">
        <v>20</v>
      </c>
    </row>
    <row r="686" spans="1:1">
      <c r="A686" s="8"/>
    </row>
    <row r="687" spans="1:1">
      <c r="A687" s="8" t="s">
        <v>20</v>
      </c>
    </row>
    <row r="688" spans="1:1">
      <c r="A688" s="8" t="s">
        <v>20</v>
      </c>
    </row>
    <row r="689" spans="1:1">
      <c r="A689" s="8" t="s">
        <v>20</v>
      </c>
    </row>
    <row r="690" spans="1:1">
      <c r="A690" s="8" t="s">
        <v>20</v>
      </c>
    </row>
    <row r="691" spans="1:1">
      <c r="A691" s="8" t="s">
        <v>20</v>
      </c>
    </row>
    <row r="692" spans="1:1">
      <c r="A692" s="8" t="s">
        <v>20</v>
      </c>
    </row>
    <row r="693" spans="1:1">
      <c r="A693" s="8"/>
    </row>
    <row r="694" spans="1:1">
      <c r="A694" s="8" t="s">
        <v>20</v>
      </c>
    </row>
    <row r="695" spans="1:1">
      <c r="A695" s="8" t="s">
        <v>20</v>
      </c>
    </row>
    <row r="696" spans="1:1">
      <c r="A696" s="8" t="s">
        <v>20</v>
      </c>
    </row>
    <row r="697" spans="1:1">
      <c r="A697" s="8" t="s">
        <v>20</v>
      </c>
    </row>
    <row r="698" spans="1:1">
      <c r="A698" s="8" t="s">
        <v>20</v>
      </c>
    </row>
    <row r="699" spans="1:1">
      <c r="A699" s="8"/>
    </row>
    <row r="700" spans="1:1">
      <c r="A700" s="8" t="s">
        <v>20</v>
      </c>
    </row>
    <row r="701" spans="1:1">
      <c r="A701" s="8" t="s">
        <v>20</v>
      </c>
    </row>
    <row r="702" spans="1:1">
      <c r="A702" s="8" t="s">
        <v>20</v>
      </c>
    </row>
    <row r="703" spans="1:1">
      <c r="A703" s="8"/>
    </row>
    <row r="704" spans="1:1">
      <c r="A704" s="8" t="s">
        <v>20</v>
      </c>
    </row>
    <row r="705" spans="1:1">
      <c r="A705" s="8" t="s">
        <v>20</v>
      </c>
    </row>
    <row r="706" spans="1:1">
      <c r="A706" s="8"/>
    </row>
    <row r="707" spans="1:1">
      <c r="A707" s="8" t="s">
        <v>20</v>
      </c>
    </row>
    <row r="708" spans="1:1">
      <c r="A708" s="8" t="s">
        <v>20</v>
      </c>
    </row>
    <row r="709" spans="1:1">
      <c r="A709" s="8"/>
    </row>
    <row r="710" spans="1:1">
      <c r="A710" s="8" t="s">
        <v>20</v>
      </c>
    </row>
    <row r="711" spans="1:1">
      <c r="A711" s="8"/>
    </row>
    <row r="712" spans="1:1">
      <c r="A712" s="8" t="s">
        <v>20</v>
      </c>
    </row>
    <row r="713" spans="1:1">
      <c r="A713" s="8" t="s">
        <v>20</v>
      </c>
    </row>
    <row r="714" spans="1:1">
      <c r="A714" s="8" t="s">
        <v>20</v>
      </c>
    </row>
    <row r="715" spans="1:1">
      <c r="A715" s="8" t="s">
        <v>20</v>
      </c>
    </row>
    <row r="716" spans="1:1">
      <c r="A716" s="8"/>
    </row>
    <row r="717" spans="1:1">
      <c r="A717" s="8" t="s">
        <v>20</v>
      </c>
    </row>
    <row r="718" spans="1:1">
      <c r="A718" s="8" t="s">
        <v>20</v>
      </c>
    </row>
    <row r="719" spans="1:1">
      <c r="A719" s="8"/>
    </row>
    <row r="720" spans="1:1">
      <c r="A720" s="8" t="s">
        <v>20</v>
      </c>
    </row>
    <row r="721" spans="1:1">
      <c r="A721" s="8" t="s">
        <v>20</v>
      </c>
    </row>
    <row r="722" spans="1:1">
      <c r="A722" s="8" t="s">
        <v>20</v>
      </c>
    </row>
    <row r="723" spans="1:1">
      <c r="A723" s="8"/>
    </row>
    <row r="724" spans="1:1">
      <c r="A724" s="8" t="s">
        <v>20</v>
      </c>
    </row>
    <row r="725" spans="1:1">
      <c r="A725" s="8" t="s">
        <v>20</v>
      </c>
    </row>
    <row r="726" spans="1:1">
      <c r="A726" s="8" t="s">
        <v>20</v>
      </c>
    </row>
    <row r="727" spans="1:1">
      <c r="A727" s="8" t="s">
        <v>20</v>
      </c>
    </row>
    <row r="728" spans="1:1">
      <c r="A728" s="8"/>
    </row>
    <row r="729" spans="1:1">
      <c r="A729" s="8" t="s">
        <v>20</v>
      </c>
    </row>
    <row r="730" spans="1:1">
      <c r="A730" s="8" t="s">
        <v>20</v>
      </c>
    </row>
    <row r="731" spans="1:1">
      <c r="A731" s="8" t="s">
        <v>20</v>
      </c>
    </row>
    <row r="732" spans="1:1">
      <c r="A732" s="8" t="s">
        <v>20</v>
      </c>
    </row>
    <row r="733" spans="1:1">
      <c r="A733" s="8"/>
    </row>
    <row r="734" spans="1:1">
      <c r="A734" s="8" t="s">
        <v>20</v>
      </c>
    </row>
    <row r="735" spans="1:1">
      <c r="A735" s="8" t="s">
        <v>20</v>
      </c>
    </row>
    <row r="736" spans="1:1">
      <c r="A736" s="8" t="s">
        <v>20</v>
      </c>
    </row>
    <row r="737" spans="1:1">
      <c r="A737" s="8"/>
    </row>
    <row r="738" spans="1:1">
      <c r="A738" s="8" t="s">
        <v>20</v>
      </c>
    </row>
    <row r="739" spans="1:1">
      <c r="A739" s="8" t="s">
        <v>20</v>
      </c>
    </row>
    <row r="740" spans="1:1">
      <c r="A740" s="8"/>
    </row>
    <row r="741" spans="1:1">
      <c r="A741" s="8" t="s">
        <v>20</v>
      </c>
    </row>
    <row r="742" spans="1:1">
      <c r="A742" s="8" t="s">
        <v>20</v>
      </c>
    </row>
    <row r="743" spans="1:1">
      <c r="A743" s="8" t="s">
        <v>20</v>
      </c>
    </row>
    <row r="744" spans="1:1">
      <c r="A744" s="8" t="s">
        <v>20</v>
      </c>
    </row>
    <row r="745" spans="1:1">
      <c r="A745" s="8"/>
    </row>
    <row r="746" spans="1:1">
      <c r="A746" s="8" t="s">
        <v>20</v>
      </c>
    </row>
    <row r="747" spans="1:1">
      <c r="A747" s="8" t="s">
        <v>20</v>
      </c>
    </row>
    <row r="748" spans="1:1">
      <c r="A748" s="8"/>
    </row>
    <row r="749" spans="1:1">
      <c r="A749" s="8" t="s">
        <v>20</v>
      </c>
    </row>
    <row r="750" spans="1:1">
      <c r="A750" s="8"/>
    </row>
    <row r="751" spans="1:1">
      <c r="A751" s="8" t="s">
        <v>20</v>
      </c>
    </row>
    <row r="752" spans="1:1">
      <c r="A752" s="8" t="s">
        <v>20</v>
      </c>
    </row>
    <row r="753" spans="1:1">
      <c r="A753" s="8"/>
    </row>
    <row r="754" spans="1:1">
      <c r="A754" s="8" t="s">
        <v>20</v>
      </c>
    </row>
    <row r="755" spans="1:1">
      <c r="A755" s="8" t="s">
        <v>20</v>
      </c>
    </row>
    <row r="756" spans="1:1">
      <c r="A756" s="8" t="s">
        <v>20</v>
      </c>
    </row>
    <row r="757" spans="1:1">
      <c r="A757" s="8" t="s">
        <v>20</v>
      </c>
    </row>
    <row r="758" spans="1:1">
      <c r="A758" s="8" t="s">
        <v>20</v>
      </c>
    </row>
    <row r="759" spans="1:1">
      <c r="A759" s="8" t="s">
        <v>20</v>
      </c>
    </row>
    <row r="760" spans="1:1">
      <c r="A760" s="8" t="s">
        <v>20</v>
      </c>
    </row>
    <row r="761" spans="1:1">
      <c r="A761" s="8" t="s">
        <v>20</v>
      </c>
    </row>
    <row r="762" spans="1:1">
      <c r="A762" s="8"/>
    </row>
    <row r="763" spans="1:1">
      <c r="A763" s="8" t="s">
        <v>20</v>
      </c>
    </row>
    <row r="764" spans="1:1">
      <c r="A764" s="8" t="s">
        <v>20</v>
      </c>
    </row>
    <row r="765" spans="1:1">
      <c r="A765" s="8" t="s">
        <v>20</v>
      </c>
    </row>
    <row r="766" spans="1:1">
      <c r="A766" s="8" t="s">
        <v>20</v>
      </c>
    </row>
    <row r="767" spans="1:1">
      <c r="A767" s="8" t="s">
        <v>20</v>
      </c>
    </row>
    <row r="768" spans="1:1">
      <c r="A768" s="8" t="s">
        <v>20</v>
      </c>
    </row>
    <row r="769" spans="1:1">
      <c r="A769" s="8" t="s">
        <v>20</v>
      </c>
    </row>
    <row r="770" spans="1:1">
      <c r="A770" s="8" t="s">
        <v>20</v>
      </c>
    </row>
    <row r="771" spans="1:1">
      <c r="A771" s="8"/>
    </row>
    <row r="772" spans="1:1">
      <c r="A772" s="8" t="s">
        <v>20</v>
      </c>
    </row>
    <row r="773" spans="1:1">
      <c r="A773" s="8" t="s">
        <v>20</v>
      </c>
    </row>
    <row r="774" spans="1:1">
      <c r="A774" s="8" t="s">
        <v>20</v>
      </c>
    </row>
    <row r="775" spans="1:1">
      <c r="A775" s="8" t="s">
        <v>20</v>
      </c>
    </row>
    <row r="776" spans="1:1">
      <c r="A776" s="8" t="s">
        <v>20</v>
      </c>
    </row>
    <row r="777" spans="1:1">
      <c r="A777" s="8" t="s">
        <v>20</v>
      </c>
    </row>
    <row r="778" spans="1:1">
      <c r="A778" s="8" t="s">
        <v>20</v>
      </c>
    </row>
    <row r="779" spans="1:1">
      <c r="A779" s="8" t="s">
        <v>20</v>
      </c>
    </row>
    <row r="780" spans="1:1">
      <c r="A780" s="8" t="s">
        <v>20</v>
      </c>
    </row>
    <row r="781" spans="1:1">
      <c r="A781" s="8"/>
    </row>
    <row r="782" spans="1:1">
      <c r="A782" s="8" t="s">
        <v>20</v>
      </c>
    </row>
    <row r="783" spans="1:1">
      <c r="A783" s="8" t="s">
        <v>20</v>
      </c>
    </row>
    <row r="784" spans="1:1">
      <c r="A784" s="8" t="s">
        <v>20</v>
      </c>
    </row>
    <row r="785" spans="1:1">
      <c r="A785" s="8" t="s">
        <v>20</v>
      </c>
    </row>
    <row r="786" spans="1:1">
      <c r="A786" s="8" t="s">
        <v>20</v>
      </c>
    </row>
    <row r="787" spans="1:1">
      <c r="A787" s="8"/>
    </row>
    <row r="788" spans="1:1">
      <c r="A788" s="8" t="s">
        <v>20</v>
      </c>
    </row>
    <row r="789" spans="1:1">
      <c r="A789" s="8" t="s">
        <v>20</v>
      </c>
    </row>
    <row r="790" spans="1:1">
      <c r="A790" s="8" t="s">
        <v>20</v>
      </c>
    </row>
    <row r="791" spans="1:1">
      <c r="A791" s="8"/>
    </row>
    <row r="792" spans="1:1">
      <c r="A792" s="8" t="s">
        <v>20</v>
      </c>
    </row>
    <row r="793" spans="1:1">
      <c r="A793" s="8" t="s">
        <v>20</v>
      </c>
    </row>
    <row r="794" spans="1:1">
      <c r="A794" s="8" t="s">
        <v>20</v>
      </c>
    </row>
    <row r="795" spans="1:1">
      <c r="A795" s="8" t="s">
        <v>20</v>
      </c>
    </row>
    <row r="796" spans="1:1">
      <c r="A796" s="8" t="s">
        <v>20</v>
      </c>
    </row>
    <row r="797" spans="1:1">
      <c r="A797" s="8" t="s">
        <v>20</v>
      </c>
    </row>
    <row r="798" spans="1:1">
      <c r="A798" s="8"/>
    </row>
    <row r="799" spans="1:1">
      <c r="A799" s="8" t="s">
        <v>20</v>
      </c>
    </row>
    <row r="800" spans="1:1">
      <c r="A800" s="8" t="s">
        <v>20</v>
      </c>
    </row>
    <row r="801" spans="1:1">
      <c r="A801" s="8" t="s">
        <v>20</v>
      </c>
    </row>
    <row r="802" spans="1:1">
      <c r="A802" s="8" t="s">
        <v>20</v>
      </c>
    </row>
    <row r="803" spans="1:1">
      <c r="A803" s="8"/>
    </row>
    <row r="804" spans="1:1">
      <c r="A804" s="8" t="s">
        <v>20</v>
      </c>
    </row>
    <row r="805" spans="1:1">
      <c r="A805" s="8" t="s">
        <v>20</v>
      </c>
    </row>
    <row r="806" spans="1:1">
      <c r="A806" s="8" t="s">
        <v>20</v>
      </c>
    </row>
    <row r="807" spans="1:1">
      <c r="A807" s="8"/>
    </row>
    <row r="808" spans="1:1">
      <c r="A808" s="8" t="s">
        <v>20</v>
      </c>
    </row>
    <row r="809" spans="1:1">
      <c r="A809" s="8" t="s">
        <v>20</v>
      </c>
    </row>
    <row r="810" spans="1:1">
      <c r="A810" s="8"/>
    </row>
    <row r="811" spans="1:1">
      <c r="A811" s="8" t="s">
        <v>20</v>
      </c>
    </row>
    <row r="812" spans="1:1">
      <c r="A812" s="8" t="s">
        <v>20</v>
      </c>
    </row>
    <row r="813" spans="1:1">
      <c r="A813" s="8"/>
    </row>
    <row r="814" spans="1:1">
      <c r="A814" s="8" t="s">
        <v>20</v>
      </c>
    </row>
    <row r="815" spans="1:1">
      <c r="A815" s="8" t="s">
        <v>20</v>
      </c>
    </row>
    <row r="816" spans="1:1">
      <c r="A816" s="8" t="s">
        <v>20</v>
      </c>
    </row>
    <row r="817" spans="1:1">
      <c r="A817" s="8"/>
    </row>
    <row r="818" spans="1:1">
      <c r="A818" s="8" t="s">
        <v>20</v>
      </c>
    </row>
    <row r="819" spans="1:1">
      <c r="A819" s="8" t="s">
        <v>20</v>
      </c>
    </row>
    <row r="820" spans="1:1">
      <c r="A820" s="8" t="s">
        <v>20</v>
      </c>
    </row>
    <row r="821" spans="1:1">
      <c r="A821" s="8"/>
    </row>
    <row r="822" spans="1:1">
      <c r="A822" s="8" t="s">
        <v>20</v>
      </c>
    </row>
    <row r="823" spans="1:1">
      <c r="A823" s="8" t="s">
        <v>20</v>
      </c>
    </row>
    <row r="824" spans="1:1">
      <c r="A824" s="8" t="s">
        <v>20</v>
      </c>
    </row>
    <row r="825" spans="1:1">
      <c r="A825" s="8" t="s">
        <v>20</v>
      </c>
    </row>
    <row r="826" spans="1:1">
      <c r="A826" s="8" t="s">
        <v>20</v>
      </c>
    </row>
    <row r="827" spans="1:1">
      <c r="A827" s="8"/>
    </row>
    <row r="828" spans="1:1">
      <c r="A828" s="8" t="s">
        <v>20</v>
      </c>
    </row>
    <row r="829" spans="1:1">
      <c r="A829" s="8" t="s">
        <v>20</v>
      </c>
    </row>
    <row r="830" spans="1:1">
      <c r="A830" s="8"/>
    </row>
    <row r="831" spans="1:1">
      <c r="A831" s="8" t="s">
        <v>20</v>
      </c>
    </row>
    <row r="832" spans="1:1">
      <c r="A832" s="8" t="s">
        <v>20</v>
      </c>
    </row>
    <row r="833" spans="1:1">
      <c r="A833" s="8" t="s">
        <v>20</v>
      </c>
    </row>
    <row r="834" spans="1:1">
      <c r="A834" s="8" t="s">
        <v>20</v>
      </c>
    </row>
    <row r="835" spans="1:1">
      <c r="A835" s="8"/>
    </row>
    <row r="836" spans="1:1">
      <c r="A836" s="8" t="s">
        <v>20</v>
      </c>
    </row>
    <row r="837" spans="1:1">
      <c r="A837" s="8" t="s">
        <v>20</v>
      </c>
    </row>
    <row r="838" spans="1:1">
      <c r="A838" s="8" t="s">
        <v>20</v>
      </c>
    </row>
    <row r="839" spans="1:1">
      <c r="A839" s="8"/>
    </row>
    <row r="840" spans="1:1">
      <c r="A840" s="8" t="s">
        <v>20</v>
      </c>
    </row>
    <row r="841" spans="1:1">
      <c r="A841" s="8" t="s">
        <v>20</v>
      </c>
    </row>
    <row r="842" spans="1:1">
      <c r="A842" s="8" t="s">
        <v>20</v>
      </c>
    </row>
    <row r="843" spans="1:1">
      <c r="A843" s="8" t="s">
        <v>20</v>
      </c>
    </row>
    <row r="844" spans="1:1">
      <c r="A844" s="8"/>
    </row>
    <row r="845" spans="1:1">
      <c r="A845" s="8" t="s">
        <v>20</v>
      </c>
    </row>
    <row r="846" spans="1:1">
      <c r="A846" s="8" t="s">
        <v>20</v>
      </c>
    </row>
    <row r="847" spans="1:1">
      <c r="A847" s="8" t="s">
        <v>20</v>
      </c>
    </row>
    <row r="848" spans="1:1">
      <c r="A848" s="8" t="s">
        <v>20</v>
      </c>
    </row>
    <row r="849" spans="1:1">
      <c r="A849" s="8" t="s">
        <v>20</v>
      </c>
    </row>
    <row r="850" spans="1:1">
      <c r="A850" s="8"/>
    </row>
    <row r="851" spans="1:1">
      <c r="A851" s="8" t="s">
        <v>20</v>
      </c>
    </row>
    <row r="852" spans="1:1">
      <c r="A852" s="8" t="s">
        <v>20</v>
      </c>
    </row>
    <row r="853" spans="1:1">
      <c r="A853" s="8" t="s">
        <v>20</v>
      </c>
    </row>
    <row r="854" spans="1:1">
      <c r="A854" s="8"/>
    </row>
    <row r="855" spans="1:1">
      <c r="A855" s="8" t="s">
        <v>20</v>
      </c>
    </row>
    <row r="856" spans="1:1">
      <c r="A856" s="8" t="s">
        <v>20</v>
      </c>
    </row>
    <row r="857" spans="1:1">
      <c r="A857" s="8" t="s">
        <v>20</v>
      </c>
    </row>
    <row r="858" spans="1:1">
      <c r="A858" s="8" t="s">
        <v>20</v>
      </c>
    </row>
    <row r="859" spans="1:1">
      <c r="A859" s="8" t="s">
        <v>20</v>
      </c>
    </row>
    <row r="860" spans="1:1">
      <c r="A860" s="8" t="s">
        <v>20</v>
      </c>
    </row>
    <row r="861" spans="1:1">
      <c r="A861" s="8" t="s">
        <v>20</v>
      </c>
    </row>
    <row r="862" spans="1:1">
      <c r="A862" s="8" t="s">
        <v>20</v>
      </c>
    </row>
    <row r="863" spans="1:1">
      <c r="A863" s="8" t="s">
        <v>20</v>
      </c>
    </row>
    <row r="864" spans="1:1">
      <c r="A864" s="8" t="s">
        <v>20</v>
      </c>
    </row>
    <row r="865" spans="1:1">
      <c r="A865" s="8" t="s">
        <v>20</v>
      </c>
    </row>
    <row r="866" spans="1:1">
      <c r="A866" s="8"/>
    </row>
    <row r="867" spans="1:1">
      <c r="A867" s="8" t="s">
        <v>20</v>
      </c>
    </row>
    <row r="868" spans="1:1">
      <c r="A868" s="8"/>
    </row>
    <row r="869" spans="1:1">
      <c r="A869" s="8" t="s">
        <v>20</v>
      </c>
    </row>
    <row r="870" spans="1:1">
      <c r="A870" s="8" t="s">
        <v>20</v>
      </c>
    </row>
    <row r="871" spans="1:1">
      <c r="A871" s="8" t="s">
        <v>20</v>
      </c>
    </row>
    <row r="872" spans="1:1">
      <c r="A872" s="8" t="s">
        <v>20</v>
      </c>
    </row>
    <row r="873" spans="1:1">
      <c r="A873" s="8" t="s">
        <v>20</v>
      </c>
    </row>
    <row r="874" spans="1:1">
      <c r="A874" s="8" t="s">
        <v>20</v>
      </c>
    </row>
    <row r="875" spans="1:1">
      <c r="A875" s="8"/>
    </row>
    <row r="876" spans="1:1">
      <c r="A876" s="8" t="s">
        <v>20</v>
      </c>
    </row>
    <row r="877" spans="1:1">
      <c r="A877" s="8" t="s">
        <v>20</v>
      </c>
    </row>
    <row r="878" spans="1:1">
      <c r="A878" s="8" t="s">
        <v>20</v>
      </c>
    </row>
    <row r="879" spans="1:1">
      <c r="A879" s="8" t="s">
        <v>20</v>
      </c>
    </row>
    <row r="880" spans="1:1">
      <c r="A880" s="8"/>
    </row>
    <row r="881" spans="1:1">
      <c r="A881" s="8" t="s">
        <v>20</v>
      </c>
    </row>
    <row r="882" spans="1:1">
      <c r="A882" s="8" t="s">
        <v>20</v>
      </c>
    </row>
    <row r="883" spans="1:1">
      <c r="A883" s="8" t="s">
        <v>20</v>
      </c>
    </row>
    <row r="884" spans="1:1">
      <c r="A884" s="8" t="s">
        <v>20</v>
      </c>
    </row>
    <row r="885" spans="1:1">
      <c r="A885" s="8" t="s">
        <v>20</v>
      </c>
    </row>
    <row r="886" spans="1:1">
      <c r="A886" s="8"/>
    </row>
    <row r="887" spans="1:1">
      <c r="A887" s="8" t="s">
        <v>20</v>
      </c>
    </row>
    <row r="888" spans="1:1">
      <c r="A888" s="8" t="s">
        <v>20</v>
      </c>
    </row>
    <row r="889" spans="1:1">
      <c r="A889" s="8"/>
    </row>
    <row r="890" spans="1:1">
      <c r="A890" s="8" t="s">
        <v>20</v>
      </c>
    </row>
    <row r="891" spans="1:1">
      <c r="A891" s="8" t="s">
        <v>20</v>
      </c>
    </row>
    <row r="892" spans="1:1">
      <c r="A892" s="8" t="s">
        <v>20</v>
      </c>
    </row>
    <row r="893" spans="1:1">
      <c r="A893" s="8" t="s">
        <v>20</v>
      </c>
    </row>
    <row r="894" spans="1:1">
      <c r="A894" s="8" t="s">
        <v>20</v>
      </c>
    </row>
    <row r="895" spans="1:1">
      <c r="A895" s="8"/>
    </row>
    <row r="896" spans="1:1">
      <c r="A896" s="8" t="s">
        <v>20</v>
      </c>
    </row>
    <row r="897" spans="1:1">
      <c r="A897" s="8"/>
    </row>
    <row r="898" spans="1:1">
      <c r="A898" s="8" t="s">
        <v>20</v>
      </c>
    </row>
    <row r="899" spans="1:1">
      <c r="A899" s="8" t="s">
        <v>20</v>
      </c>
    </row>
    <row r="900" spans="1:1">
      <c r="A900" s="8" t="s">
        <v>20</v>
      </c>
    </row>
    <row r="901" spans="1:1">
      <c r="A901" s="8"/>
    </row>
    <row r="902" spans="1:1">
      <c r="A902" s="8" t="s">
        <v>20</v>
      </c>
    </row>
    <row r="903" spans="1:1">
      <c r="A903" s="8" t="s">
        <v>20</v>
      </c>
    </row>
    <row r="904" spans="1:1">
      <c r="A904" s="8"/>
    </row>
    <row r="905" spans="1:1">
      <c r="A905" s="8" t="s">
        <v>20</v>
      </c>
    </row>
    <row r="906" spans="1:1">
      <c r="A906" s="8" t="s">
        <v>20</v>
      </c>
    </row>
    <row r="907" spans="1:1">
      <c r="A907" s="8" t="s">
        <v>20</v>
      </c>
    </row>
    <row r="908" spans="1:1">
      <c r="A908" s="8"/>
    </row>
    <row r="909" spans="1:1">
      <c r="A909" s="8" t="s">
        <v>20</v>
      </c>
    </row>
    <row r="910" spans="1:1">
      <c r="A910" s="8" t="s">
        <v>20</v>
      </c>
    </row>
    <row r="911" spans="1:1">
      <c r="A911" s="8" t="s">
        <v>20</v>
      </c>
    </row>
    <row r="912" spans="1:1">
      <c r="A912" s="8" t="s">
        <v>20</v>
      </c>
    </row>
    <row r="913" spans="1:1">
      <c r="A913" s="8" t="s">
        <v>20</v>
      </c>
    </row>
    <row r="914" spans="1:1">
      <c r="A914" s="8" t="s">
        <v>20</v>
      </c>
    </row>
    <row r="915" spans="1:1">
      <c r="A915" s="8" t="s">
        <v>20</v>
      </c>
    </row>
    <row r="916" spans="1:1">
      <c r="A916" s="8" t="s">
        <v>20</v>
      </c>
    </row>
    <row r="917" spans="1:1">
      <c r="A917" s="8" t="s">
        <v>20</v>
      </c>
    </row>
    <row r="918" spans="1:1">
      <c r="A918" s="8" t="s">
        <v>20</v>
      </c>
    </row>
    <row r="919" spans="1:1">
      <c r="A919" s="8" t="s">
        <v>20</v>
      </c>
    </row>
    <row r="920" spans="1:1">
      <c r="A920" s="8"/>
    </row>
    <row r="921" spans="1:1">
      <c r="A921" s="8" t="s">
        <v>20</v>
      </c>
    </row>
    <row r="922" spans="1:1">
      <c r="A922" s="8"/>
    </row>
    <row r="923" spans="1:1">
      <c r="A923" s="8" t="s">
        <v>20</v>
      </c>
    </row>
    <row r="924" spans="1:1">
      <c r="A924" s="8" t="s">
        <v>20</v>
      </c>
    </row>
    <row r="925" spans="1:1">
      <c r="A925" s="8" t="s">
        <v>20</v>
      </c>
    </row>
    <row r="926" spans="1:1">
      <c r="A926" s="8" t="s">
        <v>20</v>
      </c>
    </row>
    <row r="927" spans="1:1">
      <c r="A927" s="8"/>
    </row>
    <row r="928" spans="1:1">
      <c r="A928" s="8" t="s">
        <v>20</v>
      </c>
    </row>
    <row r="929" spans="1:1">
      <c r="A929" s="8"/>
    </row>
    <row r="930" spans="1:1">
      <c r="A930" s="8" t="s">
        <v>20</v>
      </c>
    </row>
    <row r="931" spans="1:1">
      <c r="A931" s="8" t="s">
        <v>20</v>
      </c>
    </row>
    <row r="932" spans="1:1">
      <c r="A932" s="8" t="s">
        <v>20</v>
      </c>
    </row>
    <row r="933" spans="1:1">
      <c r="A933" s="8"/>
    </row>
    <row r="934" spans="1:1">
      <c r="A934" s="8" t="s">
        <v>20</v>
      </c>
    </row>
    <row r="935" spans="1:1">
      <c r="A935" s="8" t="s">
        <v>20</v>
      </c>
    </row>
    <row r="936" spans="1:1">
      <c r="A936" s="8"/>
    </row>
    <row r="937" spans="1:1">
      <c r="A937" s="8" t="s">
        <v>20</v>
      </c>
    </row>
    <row r="938" spans="1:1">
      <c r="A938" s="8" t="s">
        <v>20</v>
      </c>
    </row>
    <row r="939" spans="1:1">
      <c r="A939" s="8"/>
    </row>
    <row r="940" spans="1:1">
      <c r="A940" s="8" t="s">
        <v>20</v>
      </c>
    </row>
    <row r="941" spans="1:1">
      <c r="A941" s="8" t="s">
        <v>20</v>
      </c>
    </row>
    <row r="942" spans="1:1">
      <c r="A942" s="8" t="s">
        <v>20</v>
      </c>
    </row>
    <row r="943" spans="1:1">
      <c r="A943" s="8" t="s">
        <v>20</v>
      </c>
    </row>
    <row r="944" spans="1:1">
      <c r="A944" s="8" t="s">
        <v>20</v>
      </c>
    </row>
    <row r="945" spans="1:1">
      <c r="A945" s="8"/>
    </row>
    <row r="946" spans="1:1">
      <c r="A946" s="8" t="s">
        <v>20</v>
      </c>
    </row>
    <row r="947" spans="1:1">
      <c r="A947" s="8" t="s">
        <v>20</v>
      </c>
    </row>
    <row r="948" spans="1:1">
      <c r="A948" s="8"/>
    </row>
    <row r="949" spans="1:1">
      <c r="A949" s="8" t="s">
        <v>20</v>
      </c>
    </row>
    <row r="950" spans="1:1">
      <c r="A950" s="8" t="s">
        <v>20</v>
      </c>
    </row>
    <row r="951" spans="1:1">
      <c r="A951" s="8"/>
    </row>
    <row r="952" spans="1:1">
      <c r="A952" s="8" t="s">
        <v>20</v>
      </c>
    </row>
    <row r="953" spans="1:1">
      <c r="A953" s="8" t="s">
        <v>20</v>
      </c>
    </row>
    <row r="954" spans="1:1">
      <c r="A954" s="8" t="s">
        <v>20</v>
      </c>
    </row>
    <row r="955" spans="1:1">
      <c r="A955" s="8" t="s">
        <v>20</v>
      </c>
    </row>
    <row r="956" spans="1:1">
      <c r="A956" s="8" t="s">
        <v>20</v>
      </c>
    </row>
    <row r="957" spans="1:1">
      <c r="A957" s="8" t="s">
        <v>20</v>
      </c>
    </row>
    <row r="958" spans="1:1">
      <c r="A958" s="8"/>
    </row>
    <row r="959" spans="1:1">
      <c r="A959" s="8" t="s">
        <v>20</v>
      </c>
    </row>
    <row r="960" spans="1:1">
      <c r="A960" s="8" t="s">
        <v>20</v>
      </c>
    </row>
    <row r="961" spans="1:1">
      <c r="A961" s="8" t="s">
        <v>20</v>
      </c>
    </row>
    <row r="962" spans="1:1">
      <c r="A962" s="8" t="s">
        <v>20</v>
      </c>
    </row>
    <row r="963" spans="1:1">
      <c r="A963" s="8" t="s">
        <v>20</v>
      </c>
    </row>
    <row r="964" spans="1:1">
      <c r="A964" s="8" t="s">
        <v>20</v>
      </c>
    </row>
    <row r="965" spans="1:1">
      <c r="A965" s="8"/>
    </row>
    <row r="966" spans="1:1">
      <c r="A966" s="8" t="s">
        <v>20</v>
      </c>
    </row>
    <row r="967" spans="1:1">
      <c r="A967" s="8" t="s">
        <v>20</v>
      </c>
    </row>
    <row r="968" spans="1:1">
      <c r="A968" s="8" t="s">
        <v>20</v>
      </c>
    </row>
    <row r="969" spans="1:1">
      <c r="A969" s="8" t="s">
        <v>20</v>
      </c>
    </row>
    <row r="970" spans="1:1">
      <c r="A970" s="8"/>
    </row>
    <row r="971" spans="1:1">
      <c r="A971" s="8" t="s">
        <v>20</v>
      </c>
    </row>
    <row r="972" spans="1:1">
      <c r="A972" s="8"/>
    </row>
    <row r="973" spans="1:1">
      <c r="A973" s="8" t="s">
        <v>20</v>
      </c>
    </row>
    <row r="974" spans="1:1">
      <c r="A974" s="8" t="s">
        <v>20</v>
      </c>
    </row>
    <row r="975" spans="1:1">
      <c r="A975" s="8" t="s">
        <v>20</v>
      </c>
    </row>
    <row r="976" spans="1:1">
      <c r="A976" s="8" t="s">
        <v>20</v>
      </c>
    </row>
    <row r="977" spans="1:1">
      <c r="A977" s="8" t="s">
        <v>20</v>
      </c>
    </row>
    <row r="978" spans="1:1">
      <c r="A978" s="8" t="s">
        <v>20</v>
      </c>
    </row>
    <row r="979" spans="1:1">
      <c r="A979" s="8" t="s">
        <v>20</v>
      </c>
    </row>
    <row r="980" spans="1:1">
      <c r="A980" s="8" t="s">
        <v>20</v>
      </c>
    </row>
    <row r="981" spans="1:1">
      <c r="A981" s="8"/>
    </row>
    <row r="982" spans="1:1">
      <c r="A982" s="8" t="s">
        <v>20</v>
      </c>
    </row>
    <row r="983" spans="1:1">
      <c r="A983" s="8" t="s">
        <v>20</v>
      </c>
    </row>
    <row r="984" spans="1:1">
      <c r="A984" s="8" t="s">
        <v>20</v>
      </c>
    </row>
    <row r="985" spans="1:1">
      <c r="A985" s="8" t="s">
        <v>20</v>
      </c>
    </row>
    <row r="986" spans="1:1">
      <c r="A986" s="8" t="s">
        <v>20</v>
      </c>
    </row>
    <row r="987" spans="1:1">
      <c r="A987" s="8"/>
    </row>
    <row r="988" spans="1:1">
      <c r="A988" s="8" t="s">
        <v>20</v>
      </c>
    </row>
    <row r="989" spans="1:1">
      <c r="A989" s="8" t="s">
        <v>20</v>
      </c>
    </row>
    <row r="990" spans="1:1">
      <c r="A990" s="8" t="s">
        <v>20</v>
      </c>
    </row>
    <row r="991" spans="1:1">
      <c r="A991" s="8"/>
    </row>
    <row r="992" spans="1:1">
      <c r="A992" s="8" t="s">
        <v>20</v>
      </c>
    </row>
    <row r="993" spans="1:1">
      <c r="A993" s="8"/>
    </row>
    <row r="994" spans="1:1">
      <c r="A994" s="8" t="s">
        <v>20</v>
      </c>
    </row>
    <row r="995" spans="1:1">
      <c r="A995" s="8" t="s">
        <v>20</v>
      </c>
    </row>
    <row r="996" spans="1:1">
      <c r="A996" s="8"/>
    </row>
    <row r="997" spans="1:1">
      <c r="A997" s="8" t="s">
        <v>20</v>
      </c>
    </row>
    <row r="998" spans="1:1">
      <c r="A998" s="8" t="s">
        <v>20</v>
      </c>
    </row>
    <row r="999" spans="1:1">
      <c r="A999" s="8" t="s">
        <v>20</v>
      </c>
    </row>
    <row r="1000" spans="1:1">
      <c r="A1000" s="8" t="s">
        <v>20</v>
      </c>
    </row>
    <row r="1001" spans="1:1">
      <c r="A1001" s="8" t="s">
        <v>20</v>
      </c>
    </row>
    <row r="1002" spans="1:1">
      <c r="A1002" s="8" t="s">
        <v>20</v>
      </c>
    </row>
    <row r="1003" spans="1:1">
      <c r="A1003" s="8" t="s">
        <v>20</v>
      </c>
    </row>
    <row r="1004" spans="1:1">
      <c r="A1004" s="8" t="s">
        <v>20</v>
      </c>
    </row>
    <row r="1005" spans="1:1">
      <c r="A1005" s="8" t="s">
        <v>20</v>
      </c>
    </row>
    <row r="1006" spans="1:1">
      <c r="A1006" s="8" t="s">
        <v>20</v>
      </c>
    </row>
    <row r="1007" spans="1:1">
      <c r="A1007" s="8" t="s">
        <v>20</v>
      </c>
    </row>
    <row r="1008" spans="1:1">
      <c r="A1008" s="8"/>
    </row>
    <row r="1009" spans="1:1">
      <c r="A1009" s="8" t="s">
        <v>20</v>
      </c>
    </row>
    <row r="1010" spans="1:1">
      <c r="A1010" s="8" t="s">
        <v>20</v>
      </c>
    </row>
    <row r="1011" spans="1:1">
      <c r="A1011" s="8" t="s">
        <v>20</v>
      </c>
    </row>
    <row r="1012" spans="1:1">
      <c r="A1012" s="8" t="s">
        <v>20</v>
      </c>
    </row>
    <row r="1013" spans="1:1">
      <c r="A1013" s="8" t="s">
        <v>20</v>
      </c>
    </row>
    <row r="1014" spans="1:1">
      <c r="A1014" s="8" t="s">
        <v>20</v>
      </c>
    </row>
    <row r="1015" spans="1:1">
      <c r="A1015" s="8" t="s">
        <v>20</v>
      </c>
    </row>
    <row r="1016" spans="1:1">
      <c r="A1016" s="8" t="s">
        <v>20</v>
      </c>
    </row>
    <row r="1017" spans="1:1">
      <c r="A1017" s="8" t="s">
        <v>20</v>
      </c>
    </row>
    <row r="1018" spans="1:1">
      <c r="A1018" s="8" t="s">
        <v>20</v>
      </c>
    </row>
    <row r="1019" spans="1:1">
      <c r="A1019" s="8" t="s">
        <v>20</v>
      </c>
    </row>
    <row r="1020" spans="1:1">
      <c r="A1020" s="8" t="s">
        <v>20</v>
      </c>
    </row>
    <row r="1021" spans="1:1">
      <c r="A1021" s="8" t="s">
        <v>20</v>
      </c>
    </row>
    <row r="1022" spans="1:1">
      <c r="A1022" s="8" t="s">
        <v>20</v>
      </c>
    </row>
    <row r="1023" spans="1:1">
      <c r="A1023" s="8" t="s">
        <v>20</v>
      </c>
    </row>
    <row r="1024" spans="1:1">
      <c r="A1024" s="8" t="s">
        <v>20</v>
      </c>
    </row>
    <row r="1025" spans="1:1">
      <c r="A1025" s="8" t="s">
        <v>20</v>
      </c>
    </row>
    <row r="1026" spans="1:1">
      <c r="A1026" s="8" t="s">
        <v>20</v>
      </c>
    </row>
    <row r="1027" spans="1:1">
      <c r="A1027" s="8" t="s">
        <v>20</v>
      </c>
    </row>
    <row r="1028" spans="1:1">
      <c r="A1028" s="8" t="s">
        <v>20</v>
      </c>
    </row>
    <row r="1029" spans="1:1">
      <c r="A1029" s="8" t="s">
        <v>20</v>
      </c>
    </row>
    <row r="1030" spans="1:1">
      <c r="A1030" s="8" t="s">
        <v>20</v>
      </c>
    </row>
    <row r="1031" spans="1:1">
      <c r="A1031" s="8"/>
    </row>
    <row r="1032" spans="1:1">
      <c r="A1032" s="8" t="s">
        <v>20</v>
      </c>
    </row>
    <row r="1033" spans="1:1">
      <c r="A1033" s="8"/>
    </row>
    <row r="1034" spans="1:1">
      <c r="A1034" s="8" t="s">
        <v>20</v>
      </c>
    </row>
    <row r="1035" spans="1:1">
      <c r="A1035" s="8"/>
    </row>
    <row r="1036" spans="1:1">
      <c r="A1036" s="8" t="s">
        <v>20</v>
      </c>
    </row>
    <row r="1037" spans="1:1">
      <c r="A1037" s="8" t="s">
        <v>20</v>
      </c>
    </row>
    <row r="1038" spans="1:1">
      <c r="A1038" s="8" t="s">
        <v>20</v>
      </c>
    </row>
    <row r="1039" spans="1:1">
      <c r="A1039" s="8" t="s">
        <v>20</v>
      </c>
    </row>
    <row r="1040" spans="1:1">
      <c r="A1040" s="8"/>
    </row>
    <row r="1041" spans="1:1">
      <c r="A1041" s="8" t="s">
        <v>20</v>
      </c>
    </row>
    <row r="1042" spans="1:1">
      <c r="A1042" s="8" t="s">
        <v>20</v>
      </c>
    </row>
    <row r="1043" spans="1:1">
      <c r="A1043" s="8" t="s">
        <v>20</v>
      </c>
    </row>
    <row r="1044" spans="1:1">
      <c r="A1044" s="8" t="s">
        <v>20</v>
      </c>
    </row>
    <row r="1045" spans="1:1">
      <c r="A1045" s="8"/>
    </row>
    <row r="1046" spans="1:1">
      <c r="A1046" s="8" t="s">
        <v>20</v>
      </c>
    </row>
    <row r="1047" spans="1:1">
      <c r="A1047" s="8" t="s">
        <v>20</v>
      </c>
    </row>
    <row r="1048" spans="1:1">
      <c r="A1048" s="8" t="s">
        <v>20</v>
      </c>
    </row>
    <row r="1049" spans="1:1">
      <c r="A1049" s="8"/>
    </row>
    <row r="1050" spans="1:1">
      <c r="A1050" s="8" t="s">
        <v>20</v>
      </c>
    </row>
    <row r="1051" spans="1:1">
      <c r="A1051" s="8" t="s">
        <v>20</v>
      </c>
    </row>
    <row r="1052" spans="1:1">
      <c r="A1052" s="8" t="s">
        <v>20</v>
      </c>
    </row>
    <row r="1053" spans="1:1">
      <c r="A1053" s="8"/>
    </row>
    <row r="1054" spans="1:1">
      <c r="A1054" s="8" t="s">
        <v>20</v>
      </c>
    </row>
    <row r="1055" spans="1:1">
      <c r="A1055" s="8"/>
    </row>
    <row r="1056" spans="1:1">
      <c r="A1056" s="8" t="s">
        <v>20</v>
      </c>
    </row>
    <row r="1057" spans="1:1">
      <c r="A1057" s="8" t="s">
        <v>20</v>
      </c>
    </row>
    <row r="1058" spans="1:1">
      <c r="A1058" s="8"/>
    </row>
    <row r="1059" spans="1:1">
      <c r="A1059" s="8" t="s">
        <v>20</v>
      </c>
    </row>
    <row r="1060" spans="1:1">
      <c r="A1060" s="8"/>
    </row>
    <row r="1061" spans="1:1">
      <c r="A1061" s="8" t="s">
        <v>20</v>
      </c>
    </row>
    <row r="1062" spans="1:1">
      <c r="A1062" s="8" t="s">
        <v>20</v>
      </c>
    </row>
    <row r="1063" spans="1:1">
      <c r="A1063" s="8"/>
    </row>
    <row r="1064" spans="1:1">
      <c r="A1064" s="8" t="s">
        <v>20</v>
      </c>
    </row>
    <row r="1065" spans="1:1">
      <c r="A1065" s="8"/>
    </row>
    <row r="1066" spans="1:1">
      <c r="A1066" s="8" t="s">
        <v>20</v>
      </c>
    </row>
    <row r="1067" spans="1:1">
      <c r="A1067" s="8"/>
    </row>
    <row r="1068" spans="1:1">
      <c r="A1068" s="8" t="s">
        <v>20</v>
      </c>
    </row>
    <row r="1069" spans="1:1">
      <c r="A1069" s="8" t="s">
        <v>20</v>
      </c>
    </row>
    <row r="1070" spans="1:1">
      <c r="A1070" s="8"/>
    </row>
    <row r="1071" spans="1:1">
      <c r="A1071" s="8" t="s">
        <v>20</v>
      </c>
    </row>
    <row r="1072" spans="1:1">
      <c r="A1072" s="8" t="s">
        <v>20</v>
      </c>
    </row>
    <row r="1073" spans="1:1">
      <c r="A1073" s="8"/>
    </row>
    <row r="1074" spans="1:1">
      <c r="A1074" s="8" t="s">
        <v>20</v>
      </c>
    </row>
    <row r="1075" spans="1:1">
      <c r="A1075" s="8"/>
    </row>
    <row r="1076" spans="1:1">
      <c r="A1076" s="8" t="s">
        <v>20</v>
      </c>
    </row>
    <row r="1077" spans="1:1">
      <c r="A1077" s="8"/>
    </row>
    <row r="1078" spans="1:1">
      <c r="A1078" s="8" t="s">
        <v>20</v>
      </c>
    </row>
    <row r="1079" spans="1:1">
      <c r="A1079" s="8"/>
    </row>
    <row r="1080" spans="1:1">
      <c r="A1080" s="8" t="s">
        <v>20</v>
      </c>
    </row>
    <row r="1081" spans="1:1">
      <c r="A1081" s="8"/>
    </row>
    <row r="1082" spans="1:1">
      <c r="A1082" s="8" t="s">
        <v>20</v>
      </c>
    </row>
    <row r="1083" spans="1:1">
      <c r="A1083" s="8"/>
    </row>
    <row r="1084" spans="1:1">
      <c r="A1084" s="8" t="s">
        <v>20</v>
      </c>
    </row>
    <row r="1085" spans="1:1">
      <c r="A1085" s="8"/>
    </row>
    <row r="1086" spans="1:1">
      <c r="A1086" s="8" t="s">
        <v>20</v>
      </c>
    </row>
    <row r="1087" spans="1:1">
      <c r="A1087" s="8"/>
    </row>
    <row r="1088" spans="1:1">
      <c r="A1088" s="8" t="s">
        <v>20</v>
      </c>
    </row>
    <row r="1089" spans="1:1">
      <c r="A1089" s="8" t="s">
        <v>20</v>
      </c>
    </row>
    <row r="1090" spans="1:1">
      <c r="A1090" s="8" t="s">
        <v>20</v>
      </c>
    </row>
    <row r="1091" spans="1:1">
      <c r="A1091" s="8"/>
    </row>
    <row r="1092" spans="1:1">
      <c r="A1092" s="8" t="s">
        <v>20</v>
      </c>
    </row>
    <row r="1093" spans="1:1">
      <c r="A1093" s="8" t="s">
        <v>20</v>
      </c>
    </row>
    <row r="1094" spans="1:1">
      <c r="A1094" s="8" t="s">
        <v>20</v>
      </c>
    </row>
    <row r="1095" spans="1:1">
      <c r="A1095" s="8"/>
    </row>
    <row r="1096" spans="1:1">
      <c r="A1096" s="8" t="s">
        <v>20</v>
      </c>
    </row>
    <row r="1097" spans="1:1">
      <c r="A1097" s="8" t="s">
        <v>20</v>
      </c>
    </row>
    <row r="1098" spans="1:1">
      <c r="A1098" s="8"/>
    </row>
    <row r="1099" spans="1:1">
      <c r="A1099" s="8" t="s">
        <v>20</v>
      </c>
    </row>
    <row r="1100" spans="1:1">
      <c r="A1100" s="8" t="s">
        <v>20</v>
      </c>
    </row>
    <row r="1101" spans="1:1">
      <c r="A1101" s="8" t="s">
        <v>20</v>
      </c>
    </row>
    <row r="1102" spans="1:1">
      <c r="A1102" s="8"/>
    </row>
    <row r="1103" spans="1:1">
      <c r="A1103" s="8" t="s">
        <v>20</v>
      </c>
    </row>
    <row r="1104" spans="1:1">
      <c r="A1104" s="8" t="s">
        <v>20</v>
      </c>
    </row>
    <row r="1105" spans="1:1">
      <c r="A1105" s="8" t="s">
        <v>20</v>
      </c>
    </row>
    <row r="1106" spans="1:1">
      <c r="A1106" s="8"/>
    </row>
    <row r="1107" spans="1:1">
      <c r="A1107" s="8" t="s">
        <v>20</v>
      </c>
    </row>
    <row r="1108" spans="1:1">
      <c r="A1108" s="8" t="s">
        <v>20</v>
      </c>
    </row>
    <row r="1109" spans="1:1">
      <c r="A1109" s="8"/>
    </row>
    <row r="1110" spans="1:1">
      <c r="A1110" s="8" t="s">
        <v>20</v>
      </c>
    </row>
    <row r="1111" spans="1:1">
      <c r="A1111" s="8" t="s">
        <v>20</v>
      </c>
    </row>
    <row r="1112" spans="1:1">
      <c r="A1112" s="8"/>
    </row>
    <row r="1113" spans="1:1">
      <c r="A1113" s="8" t="s">
        <v>20</v>
      </c>
    </row>
    <row r="1114" spans="1:1">
      <c r="A1114" s="8" t="s">
        <v>20</v>
      </c>
    </row>
    <row r="1115" spans="1:1">
      <c r="A1115" s="8"/>
    </row>
    <row r="1116" spans="1:1">
      <c r="A1116" s="8" t="s">
        <v>20</v>
      </c>
    </row>
    <row r="1117" spans="1:1">
      <c r="A1117" s="8" t="s">
        <v>20</v>
      </c>
    </row>
    <row r="1118" spans="1:1">
      <c r="A1118" s="8"/>
    </row>
    <row r="1119" spans="1:1">
      <c r="A1119" s="8" t="s">
        <v>20</v>
      </c>
    </row>
    <row r="1120" spans="1:1">
      <c r="A1120" s="8" t="s">
        <v>20</v>
      </c>
    </row>
    <row r="1121" spans="1:1">
      <c r="A1121" s="8"/>
    </row>
    <row r="1122" spans="1:1">
      <c r="A1122" s="8" t="s">
        <v>20</v>
      </c>
    </row>
    <row r="1123" spans="1:1">
      <c r="A1123" s="8" t="s">
        <v>20</v>
      </c>
    </row>
    <row r="1124" spans="1:1">
      <c r="A1124" s="8"/>
    </row>
    <row r="1125" spans="1:1">
      <c r="A1125" s="8" t="s">
        <v>20</v>
      </c>
    </row>
    <row r="1126" spans="1:1">
      <c r="A1126" s="8"/>
    </row>
    <row r="1127" spans="1:1">
      <c r="A1127" s="8" t="s">
        <v>20</v>
      </c>
    </row>
    <row r="1128" spans="1:1">
      <c r="A1128" s="8" t="s">
        <v>20</v>
      </c>
    </row>
    <row r="1129" spans="1:1">
      <c r="A1129" s="8"/>
    </row>
    <row r="1130" spans="1:1">
      <c r="A1130" s="8" t="s">
        <v>20</v>
      </c>
    </row>
    <row r="1131" spans="1:1">
      <c r="A1131" s="8"/>
    </row>
    <row r="1132" spans="1:1">
      <c r="A1132" s="8" t="s">
        <v>20</v>
      </c>
    </row>
    <row r="1133" spans="1:1">
      <c r="A1133" s="8" t="s">
        <v>20</v>
      </c>
    </row>
    <row r="1134" spans="1:1">
      <c r="A1134" s="8"/>
    </row>
    <row r="1135" spans="1:1">
      <c r="A1135" s="8" t="s">
        <v>20</v>
      </c>
    </row>
    <row r="1136" spans="1:1">
      <c r="A1136" s="8" t="s">
        <v>20</v>
      </c>
    </row>
    <row r="1137" spans="1:1">
      <c r="A1137" s="8"/>
    </row>
    <row r="1138" spans="1:1">
      <c r="A1138" s="8" t="s">
        <v>20</v>
      </c>
    </row>
    <row r="1139" spans="1:1">
      <c r="A1139" s="8" t="s">
        <v>20</v>
      </c>
    </row>
    <row r="1140" spans="1:1">
      <c r="A1140" s="8"/>
    </row>
    <row r="1141" spans="1:1">
      <c r="A1141" s="8" t="s">
        <v>20</v>
      </c>
    </row>
    <row r="1142" spans="1:1">
      <c r="A1142" s="8" t="s">
        <v>20</v>
      </c>
    </row>
    <row r="1143" spans="1:1">
      <c r="A1143" s="8" t="s">
        <v>20</v>
      </c>
    </row>
    <row r="1144" spans="1:1">
      <c r="A1144" s="8" t="s">
        <v>20</v>
      </c>
    </row>
    <row r="1145" spans="1:1">
      <c r="A1145" s="8" t="s">
        <v>20</v>
      </c>
    </row>
    <row r="1146" spans="1:1">
      <c r="A1146" s="8"/>
    </row>
    <row r="1147" spans="1:1">
      <c r="A1147" s="8" t="s">
        <v>20</v>
      </c>
    </row>
    <row r="1148" spans="1:1">
      <c r="A1148" s="8" t="s">
        <v>20</v>
      </c>
    </row>
    <row r="1149" spans="1:1">
      <c r="A1149" s="8" t="s">
        <v>20</v>
      </c>
    </row>
    <row r="1150" spans="1:1">
      <c r="A1150" s="8" t="s">
        <v>20</v>
      </c>
    </row>
    <row r="1151" spans="1:1">
      <c r="A1151" s="8" t="s">
        <v>20</v>
      </c>
    </row>
    <row r="1152" spans="1:1">
      <c r="A1152" s="8" t="s">
        <v>20</v>
      </c>
    </row>
    <row r="1153" spans="1:1">
      <c r="A1153" s="8" t="s">
        <v>20</v>
      </c>
    </row>
    <row r="1154" spans="1:1">
      <c r="A1154" s="8"/>
    </row>
    <row r="1155" spans="1:1">
      <c r="A1155" s="8" t="s">
        <v>20</v>
      </c>
    </row>
    <row r="1156" spans="1:1">
      <c r="A1156" s="8" t="s">
        <v>20</v>
      </c>
    </row>
    <row r="1157" spans="1:1">
      <c r="A1157" s="8" t="s">
        <v>20</v>
      </c>
    </row>
    <row r="1158" spans="1:1">
      <c r="A1158" s="8" t="s">
        <v>20</v>
      </c>
    </row>
    <row r="1159" spans="1:1">
      <c r="A1159" s="8" t="s">
        <v>20</v>
      </c>
    </row>
    <row r="1160" spans="1:1">
      <c r="A1160" s="8" t="s">
        <v>20</v>
      </c>
    </row>
    <row r="1161" spans="1:1">
      <c r="A1161" s="8" t="s">
        <v>20</v>
      </c>
    </row>
    <row r="1162" spans="1:1">
      <c r="A1162" s="8"/>
    </row>
    <row r="1163" spans="1:1">
      <c r="A1163" s="8" t="s">
        <v>20</v>
      </c>
    </row>
    <row r="1164" spans="1:1">
      <c r="A1164" s="8" t="s">
        <v>20</v>
      </c>
    </row>
    <row r="1165" spans="1:1">
      <c r="A1165" s="8" t="s">
        <v>20</v>
      </c>
    </row>
    <row r="1166" spans="1:1">
      <c r="A1166" s="8" t="s">
        <v>20</v>
      </c>
    </row>
    <row r="1167" spans="1:1">
      <c r="A1167" s="8" t="s">
        <v>20</v>
      </c>
    </row>
    <row r="1168" spans="1:1">
      <c r="A1168" s="8" t="s">
        <v>20</v>
      </c>
    </row>
    <row r="1169" spans="1:1">
      <c r="A1169" s="8" t="s">
        <v>20</v>
      </c>
    </row>
    <row r="1170" spans="1:1">
      <c r="A1170" s="8" t="s">
        <v>20</v>
      </c>
    </row>
    <row r="1171" spans="1:1">
      <c r="A1171" s="8" t="s">
        <v>20</v>
      </c>
    </row>
    <row r="1172" spans="1:1">
      <c r="A1172" s="8" t="s">
        <v>20</v>
      </c>
    </row>
    <row r="1173" spans="1:1">
      <c r="A1173" s="8" t="s">
        <v>20</v>
      </c>
    </row>
    <row r="1174" spans="1:1">
      <c r="A1174" s="8"/>
    </row>
    <row r="1175" spans="1:1">
      <c r="A1175" s="8" t="s">
        <v>20</v>
      </c>
    </row>
    <row r="1176" spans="1:1">
      <c r="A1176" s="8" t="s">
        <v>20</v>
      </c>
    </row>
    <row r="1177" spans="1:1">
      <c r="A1177" s="8" t="s">
        <v>20</v>
      </c>
    </row>
    <row r="1178" spans="1:1">
      <c r="A1178" s="8" t="s">
        <v>20</v>
      </c>
    </row>
    <row r="1179" spans="1:1">
      <c r="A1179" s="8" t="s">
        <v>20</v>
      </c>
    </row>
    <row r="1180" spans="1:1">
      <c r="A1180" s="8" t="s">
        <v>20</v>
      </c>
    </row>
    <row r="1181" spans="1:1">
      <c r="A1181" s="8"/>
    </row>
    <row r="1182" spans="1:1">
      <c r="A1182" s="8"/>
    </row>
    <row r="1183" spans="1:1">
      <c r="A1183" s="8" t="s">
        <v>20</v>
      </c>
    </row>
    <row r="1184" spans="1:1">
      <c r="A1184" s="8" t="s">
        <v>20</v>
      </c>
    </row>
    <row r="1185" spans="1:1">
      <c r="A1185" s="8" t="s">
        <v>20</v>
      </c>
    </row>
    <row r="1186" spans="1:1">
      <c r="A1186" s="8" t="s">
        <v>20</v>
      </c>
    </row>
    <row r="1187" spans="1:1">
      <c r="A1187" s="8" t="s">
        <v>20</v>
      </c>
    </row>
    <row r="1188" spans="1:1">
      <c r="A1188" s="8" t="s">
        <v>20</v>
      </c>
    </row>
    <row r="1189" spans="1:1">
      <c r="A1189" s="8" t="s">
        <v>20</v>
      </c>
    </row>
    <row r="1190" spans="1:1">
      <c r="A1190" s="8" t="s">
        <v>20</v>
      </c>
    </row>
    <row r="1191" spans="1:1">
      <c r="A1191" s="8"/>
    </row>
    <row r="1192" spans="1:1">
      <c r="A1192" s="8" t="s">
        <v>20</v>
      </c>
    </row>
    <row r="1193" spans="1:1">
      <c r="A1193" s="8" t="s">
        <v>20</v>
      </c>
    </row>
    <row r="1194" spans="1:1">
      <c r="A1194" s="8"/>
    </row>
    <row r="1195" spans="1:1">
      <c r="A1195" s="8" t="s">
        <v>20</v>
      </c>
    </row>
    <row r="1196" spans="1:1">
      <c r="A1196" s="8" t="s">
        <v>20</v>
      </c>
    </row>
    <row r="1197" spans="1:1">
      <c r="A1197" s="8" t="s">
        <v>20</v>
      </c>
    </row>
    <row r="1198" spans="1:1">
      <c r="A1198" s="8" t="s">
        <v>20</v>
      </c>
    </row>
    <row r="1199" spans="1:1">
      <c r="A1199" s="8"/>
    </row>
    <row r="1200" spans="1:1">
      <c r="A1200" s="8" t="s">
        <v>20</v>
      </c>
    </row>
    <row r="1201" spans="1:1">
      <c r="A1201" s="8" t="s">
        <v>20</v>
      </c>
    </row>
    <row r="1202" spans="1:1">
      <c r="A1202" s="8" t="s">
        <v>20</v>
      </c>
    </row>
    <row r="1203" spans="1:1">
      <c r="A1203" s="8" t="s">
        <v>20</v>
      </c>
    </row>
    <row r="1204" spans="1:1">
      <c r="A1204" s="8" t="s">
        <v>20</v>
      </c>
    </row>
    <row r="1205" spans="1:1">
      <c r="A1205" s="8" t="s">
        <v>20</v>
      </c>
    </row>
    <row r="1206" spans="1:1">
      <c r="A1206" s="8" t="s">
        <v>20</v>
      </c>
    </row>
    <row r="1207" spans="1:1">
      <c r="A1207" s="8" t="s">
        <v>20</v>
      </c>
    </row>
    <row r="1208" spans="1:1">
      <c r="A1208" s="8" t="s">
        <v>20</v>
      </c>
    </row>
    <row r="1209" spans="1:1">
      <c r="A1209" s="8" t="s">
        <v>20</v>
      </c>
    </row>
    <row r="1210" spans="1:1">
      <c r="A1210" s="8" t="s">
        <v>20</v>
      </c>
    </row>
    <row r="1211" spans="1:1">
      <c r="A1211" s="8" t="s">
        <v>20</v>
      </c>
    </row>
    <row r="1212" spans="1:1">
      <c r="A1212" s="8"/>
    </row>
    <row r="1213" spans="1:1">
      <c r="A1213" s="8" t="s">
        <v>20</v>
      </c>
    </row>
    <row r="1214" spans="1:1">
      <c r="A1214" s="8" t="s">
        <v>20</v>
      </c>
    </row>
    <row r="1215" spans="1:1">
      <c r="A1215" s="8" t="s">
        <v>20</v>
      </c>
    </row>
    <row r="1216" spans="1:1">
      <c r="A1216" s="8" t="s">
        <v>20</v>
      </c>
    </row>
    <row r="1217" spans="1:1">
      <c r="A1217" s="8" t="s">
        <v>20</v>
      </c>
    </row>
    <row r="1218" spans="1:1">
      <c r="A1218" s="8" t="s">
        <v>20</v>
      </c>
    </row>
    <row r="1219" spans="1:1">
      <c r="A1219" s="8"/>
    </row>
    <row r="1220" spans="1:1">
      <c r="A1220" s="8" t="s">
        <v>20</v>
      </c>
    </row>
    <row r="1221" spans="1:1">
      <c r="A1221" s="8" t="s">
        <v>20</v>
      </c>
    </row>
    <row r="1222" spans="1:1">
      <c r="A1222" s="8" t="s">
        <v>20</v>
      </c>
    </row>
    <row r="1223" spans="1:1">
      <c r="A1223" s="8"/>
    </row>
    <row r="1224" spans="1:1">
      <c r="A1224" s="8" t="s">
        <v>20</v>
      </c>
    </row>
    <row r="1225" spans="1:1">
      <c r="A1225" s="8" t="s">
        <v>20</v>
      </c>
    </row>
    <row r="1226" spans="1:1">
      <c r="A1226" s="8" t="s">
        <v>20</v>
      </c>
    </row>
    <row r="1227" spans="1:1">
      <c r="A1227" s="8" t="s">
        <v>20</v>
      </c>
    </row>
    <row r="1228" spans="1:1">
      <c r="A1228" s="8" t="s">
        <v>20</v>
      </c>
    </row>
    <row r="1229" spans="1:1">
      <c r="A1229" s="8" t="s">
        <v>20</v>
      </c>
    </row>
    <row r="1230" spans="1:1">
      <c r="A1230" s="8" t="s">
        <v>20</v>
      </c>
    </row>
    <row r="1231" spans="1:1">
      <c r="A1231" s="8" t="s">
        <v>20</v>
      </c>
    </row>
    <row r="1232" spans="1:1">
      <c r="A1232" s="8" t="s">
        <v>20</v>
      </c>
    </row>
    <row r="1233" spans="1:1">
      <c r="A1233" s="8" t="s">
        <v>20</v>
      </c>
    </row>
    <row r="1234" spans="1:1">
      <c r="A1234" s="8" t="s">
        <v>20</v>
      </c>
    </row>
    <row r="1235" spans="1:1">
      <c r="A1235" s="8" t="s">
        <v>20</v>
      </c>
    </row>
    <row r="1236" spans="1:1">
      <c r="A1236" s="8" t="s">
        <v>20</v>
      </c>
    </row>
    <row r="1237" spans="1:1">
      <c r="A1237" s="8" t="s">
        <v>20</v>
      </c>
    </row>
    <row r="1238" spans="1:1">
      <c r="A1238" s="8" t="s">
        <v>20</v>
      </c>
    </row>
    <row r="1239" spans="1:1">
      <c r="A1239" s="8" t="s">
        <v>20</v>
      </c>
    </row>
    <row r="1240" spans="1:1">
      <c r="A1240" s="8"/>
    </row>
    <row r="1241" spans="1:1">
      <c r="A1241" s="8" t="s">
        <v>20</v>
      </c>
    </row>
    <row r="1242" spans="1:1">
      <c r="A1242" s="8" t="s">
        <v>20</v>
      </c>
    </row>
    <row r="1243" spans="1:1">
      <c r="A1243" s="8" t="s">
        <v>20</v>
      </c>
    </row>
    <row r="1244" spans="1:1">
      <c r="A1244" s="8" t="s">
        <v>20</v>
      </c>
    </row>
    <row r="1245" spans="1:1">
      <c r="A1245" s="8" t="s">
        <v>20</v>
      </c>
    </row>
    <row r="1246" spans="1:1">
      <c r="A1246" s="8" t="s">
        <v>20</v>
      </c>
    </row>
    <row r="1247" spans="1:1">
      <c r="A1247" s="8" t="s">
        <v>20</v>
      </c>
    </row>
    <row r="1248" spans="1:1">
      <c r="A1248" s="8" t="s">
        <v>20</v>
      </c>
    </row>
    <row r="1249" spans="1:1">
      <c r="A1249" s="8" t="s">
        <v>20</v>
      </c>
    </row>
    <row r="1250" spans="1:1">
      <c r="A1250" s="8" t="s">
        <v>20</v>
      </c>
    </row>
    <row r="1251" spans="1:1">
      <c r="A1251" s="8" t="s">
        <v>20</v>
      </c>
    </row>
    <row r="1252" spans="1:1">
      <c r="A1252" s="8" t="s">
        <v>20</v>
      </c>
    </row>
    <row r="1253" spans="1:1">
      <c r="A1253" s="8" t="s">
        <v>20</v>
      </c>
    </row>
    <row r="1254" spans="1:1">
      <c r="A1254" s="8" t="s">
        <v>20</v>
      </c>
    </row>
    <row r="1255" spans="1:1">
      <c r="A1255" s="8" t="s">
        <v>20</v>
      </c>
    </row>
    <row r="1256" spans="1:1">
      <c r="A1256" s="8" t="s">
        <v>20</v>
      </c>
    </row>
    <row r="1257" spans="1:1">
      <c r="A1257" s="8" t="s">
        <v>20</v>
      </c>
    </row>
    <row r="1258" spans="1:1">
      <c r="A1258" s="8" t="s">
        <v>20</v>
      </c>
    </row>
    <row r="1259" spans="1:1">
      <c r="A1259" s="8" t="s">
        <v>20</v>
      </c>
    </row>
    <row r="1260" spans="1:1">
      <c r="A1260" s="8" t="s">
        <v>20</v>
      </c>
    </row>
    <row r="1261" spans="1:1">
      <c r="A1261" s="8" t="s">
        <v>20</v>
      </c>
    </row>
    <row r="1262" spans="1:1">
      <c r="A1262" s="8" t="s">
        <v>20</v>
      </c>
    </row>
    <row r="1263" spans="1:1">
      <c r="A1263" s="8" t="s">
        <v>20</v>
      </c>
    </row>
    <row r="1264" spans="1:1">
      <c r="A1264" s="8" t="s">
        <v>20</v>
      </c>
    </row>
    <row r="1265" spans="1:1">
      <c r="A1265" s="8" t="s">
        <v>20</v>
      </c>
    </row>
    <row r="1266" spans="1:1">
      <c r="A1266" s="8" t="s">
        <v>20</v>
      </c>
    </row>
    <row r="1267" spans="1:1">
      <c r="A1267" s="8" t="s">
        <v>20</v>
      </c>
    </row>
    <row r="1268" spans="1:1">
      <c r="A1268" s="8" t="s">
        <v>20</v>
      </c>
    </row>
    <row r="1269" spans="1:1">
      <c r="A1269" s="8" t="s">
        <v>20</v>
      </c>
    </row>
    <row r="1270" spans="1:1">
      <c r="A1270" s="8" t="s">
        <v>20</v>
      </c>
    </row>
    <row r="1271" spans="1:1">
      <c r="A1271" s="8" t="s">
        <v>20</v>
      </c>
    </row>
    <row r="1272" spans="1:1">
      <c r="A1272" s="8"/>
    </row>
    <row r="1273" spans="1:1">
      <c r="A1273" s="8" t="s">
        <v>20</v>
      </c>
    </row>
    <row r="1274" spans="1:1">
      <c r="A1274" s="8" t="s">
        <v>20</v>
      </c>
    </row>
    <row r="1275" spans="1:1">
      <c r="A1275" s="8" t="s">
        <v>20</v>
      </c>
    </row>
    <row r="1276" spans="1:1">
      <c r="A1276" s="8" t="s">
        <v>20</v>
      </c>
    </row>
    <row r="1277" spans="1:1">
      <c r="A1277" s="8" t="s">
        <v>20</v>
      </c>
    </row>
    <row r="1278" spans="1:1">
      <c r="A1278" s="8" t="s">
        <v>20</v>
      </c>
    </row>
    <row r="1279" spans="1:1">
      <c r="A1279" s="8" t="s">
        <v>20</v>
      </c>
    </row>
    <row r="1280" spans="1:1">
      <c r="A1280" s="8" t="s">
        <v>20</v>
      </c>
    </row>
    <row r="1281" spans="1:1">
      <c r="A1281" s="8" t="s">
        <v>20</v>
      </c>
    </row>
    <row r="1282" spans="1:1">
      <c r="A1282" s="8" t="s">
        <v>20</v>
      </c>
    </row>
    <row r="1283" spans="1:1">
      <c r="A1283" s="8" t="s">
        <v>20</v>
      </c>
    </row>
    <row r="1284" spans="1:1">
      <c r="A1284" s="8" t="s">
        <v>20</v>
      </c>
    </row>
    <row r="1285" spans="1:1">
      <c r="A1285" s="8" t="s">
        <v>20</v>
      </c>
    </row>
    <row r="1286" spans="1:1">
      <c r="A1286" s="8" t="s">
        <v>20</v>
      </c>
    </row>
    <row r="1287" spans="1:1">
      <c r="A1287" s="8" t="s">
        <v>20</v>
      </c>
    </row>
    <row r="1288" spans="1:1">
      <c r="A1288" s="8" t="s">
        <v>20</v>
      </c>
    </row>
    <row r="1289" spans="1:1">
      <c r="A1289" s="8" t="s">
        <v>20</v>
      </c>
    </row>
    <row r="1290" spans="1:1">
      <c r="A1290" s="8" t="s">
        <v>20</v>
      </c>
    </row>
    <row r="1291" spans="1:1">
      <c r="A1291" s="8" t="s">
        <v>20</v>
      </c>
    </row>
    <row r="1292" spans="1:1">
      <c r="A1292" s="8" t="s">
        <v>20</v>
      </c>
    </row>
    <row r="1293" spans="1:1">
      <c r="A1293" s="8" t="s">
        <v>20</v>
      </c>
    </row>
    <row r="1294" spans="1:1">
      <c r="A1294" s="8" t="s">
        <v>20</v>
      </c>
    </row>
    <row r="1295" spans="1:1">
      <c r="A1295" s="8" t="s">
        <v>20</v>
      </c>
    </row>
    <row r="1296" spans="1:1">
      <c r="A1296" s="8" t="s">
        <v>20</v>
      </c>
    </row>
    <row r="1297" spans="1:1">
      <c r="A1297" s="8" t="s">
        <v>20</v>
      </c>
    </row>
    <row r="1298" spans="1:1">
      <c r="A1298" s="8" t="s">
        <v>20</v>
      </c>
    </row>
    <row r="1299" spans="1:1">
      <c r="A1299" s="8" t="s">
        <v>20</v>
      </c>
    </row>
    <row r="1300" spans="1:1">
      <c r="A1300" s="8" t="s">
        <v>20</v>
      </c>
    </row>
    <row r="1301" spans="1:1">
      <c r="A1301" s="8"/>
    </row>
    <row r="1302" spans="1:1">
      <c r="A1302" s="8" t="s">
        <v>20</v>
      </c>
    </row>
    <row r="1303" spans="1:1">
      <c r="A1303" s="8" t="s">
        <v>20</v>
      </c>
    </row>
    <row r="1304" spans="1:1">
      <c r="A1304" s="8" t="s">
        <v>20</v>
      </c>
    </row>
    <row r="1305" spans="1:1">
      <c r="A1305" s="8" t="s">
        <v>20</v>
      </c>
    </row>
    <row r="1306" spans="1:1">
      <c r="A1306" s="8" t="s">
        <v>20</v>
      </c>
    </row>
    <row r="1307" spans="1:1">
      <c r="A1307" s="8" t="s">
        <v>20</v>
      </c>
    </row>
    <row r="1308" spans="1:1">
      <c r="A1308" s="8"/>
    </row>
    <row r="1309" spans="1:1">
      <c r="A1309" s="8" t="s">
        <v>20</v>
      </c>
    </row>
    <row r="1310" spans="1:1">
      <c r="A1310" s="8" t="s">
        <v>20</v>
      </c>
    </row>
    <row r="1311" spans="1:1">
      <c r="A1311" s="8"/>
    </row>
    <row r="1312" spans="1:1">
      <c r="A1312" s="8" t="s">
        <v>20</v>
      </c>
    </row>
    <row r="1313" spans="1:1">
      <c r="A1313" s="8" t="s">
        <v>20</v>
      </c>
    </row>
    <row r="1314" spans="1:1">
      <c r="A1314" s="8"/>
    </row>
    <row r="1315" spans="1:1">
      <c r="A1315" s="8" t="s">
        <v>20</v>
      </c>
    </row>
    <row r="1316" spans="1:1">
      <c r="A1316" s="8"/>
    </row>
    <row r="1317" spans="1:1">
      <c r="A1317" s="8" t="s">
        <v>20</v>
      </c>
    </row>
    <row r="1318" spans="1:1">
      <c r="A1318" s="8" t="s">
        <v>20</v>
      </c>
    </row>
    <row r="1319" spans="1:1">
      <c r="A1319" s="8" t="s">
        <v>20</v>
      </c>
    </row>
    <row r="1320" spans="1:1">
      <c r="A1320" s="8" t="s">
        <v>20</v>
      </c>
    </row>
    <row r="1321" spans="1:1">
      <c r="A1321" s="8" t="s">
        <v>20</v>
      </c>
    </row>
    <row r="1322" spans="1:1">
      <c r="A1322" s="8"/>
    </row>
    <row r="1323" spans="1:1">
      <c r="A1323" s="8" t="s">
        <v>20</v>
      </c>
    </row>
    <row r="1324" spans="1:1">
      <c r="A1324" s="8" t="s">
        <v>20</v>
      </c>
    </row>
    <row r="1325" spans="1:1">
      <c r="A1325" s="8" t="s">
        <v>20</v>
      </c>
    </row>
    <row r="1326" spans="1:1">
      <c r="A1326" s="8" t="s">
        <v>20</v>
      </c>
    </row>
    <row r="1327" spans="1:1">
      <c r="A1327" s="8" t="s">
        <v>20</v>
      </c>
    </row>
    <row r="1328" spans="1:1">
      <c r="A1328" s="8" t="s">
        <v>20</v>
      </c>
    </row>
    <row r="1329" spans="1:1">
      <c r="A1329" s="8" t="s">
        <v>20</v>
      </c>
    </row>
    <row r="1330" spans="1:1">
      <c r="A1330" s="8" t="s">
        <v>20</v>
      </c>
    </row>
    <row r="1331" spans="1:1">
      <c r="A1331" s="8" t="s">
        <v>20</v>
      </c>
    </row>
    <row r="1332" spans="1:1">
      <c r="A1332" s="8" t="s">
        <v>20</v>
      </c>
    </row>
    <row r="1333" spans="1:1">
      <c r="A1333" s="8" t="s">
        <v>20</v>
      </c>
    </row>
    <row r="1334" spans="1:1">
      <c r="A1334" s="8" t="s">
        <v>20</v>
      </c>
    </row>
    <row r="1335" spans="1:1">
      <c r="A1335" s="8" t="s">
        <v>20</v>
      </c>
    </row>
    <row r="1336" spans="1:1">
      <c r="A1336" s="8" t="s">
        <v>20</v>
      </c>
    </row>
    <row r="1337" spans="1:1">
      <c r="A1337" s="8" t="s">
        <v>20</v>
      </c>
    </row>
    <row r="1338" spans="1:1">
      <c r="A1338" s="8" t="s">
        <v>20</v>
      </c>
    </row>
    <row r="1339" spans="1:1">
      <c r="A1339" s="8" t="s">
        <v>20</v>
      </c>
    </row>
    <row r="1340" spans="1:1">
      <c r="A1340" s="8" t="s">
        <v>20</v>
      </c>
    </row>
    <row r="1341" spans="1:1">
      <c r="A1341" s="8"/>
    </row>
    <row r="1342" spans="1:1">
      <c r="A1342" s="8" t="s">
        <v>20</v>
      </c>
    </row>
    <row r="1343" spans="1:1">
      <c r="A1343" s="8" t="s">
        <v>20</v>
      </c>
    </row>
    <row r="1344" spans="1:1">
      <c r="A1344" s="8" t="s">
        <v>20</v>
      </c>
    </row>
    <row r="1345" spans="1:1">
      <c r="A1345" s="8" t="s">
        <v>20</v>
      </c>
    </row>
    <row r="1346" spans="1:1">
      <c r="A1346" s="8" t="s">
        <v>20</v>
      </c>
    </row>
    <row r="1347" spans="1:1">
      <c r="A1347" s="8" t="s">
        <v>20</v>
      </c>
    </row>
    <row r="1348" spans="1:1">
      <c r="A1348" s="8" t="s">
        <v>20</v>
      </c>
    </row>
    <row r="1349" spans="1:1">
      <c r="A1349" s="8"/>
    </row>
    <row r="1350" spans="1:1">
      <c r="A1350" s="8" t="s">
        <v>20</v>
      </c>
    </row>
    <row r="1351" spans="1:1">
      <c r="A1351" s="8" t="s">
        <v>20</v>
      </c>
    </row>
    <row r="1352" spans="1:1">
      <c r="A1352" s="8" t="s">
        <v>20</v>
      </c>
    </row>
    <row r="1353" spans="1:1">
      <c r="A1353" s="8" t="s">
        <v>20</v>
      </c>
    </row>
    <row r="1354" spans="1:1">
      <c r="A1354" s="8" t="s">
        <v>20</v>
      </c>
    </row>
    <row r="1355" spans="1:1">
      <c r="A1355" s="8" t="s">
        <v>20</v>
      </c>
    </row>
    <row r="1356" spans="1:1">
      <c r="A1356" s="8" t="s">
        <v>20</v>
      </c>
    </row>
    <row r="1357" spans="1:1">
      <c r="A1357" s="8" t="s">
        <v>20</v>
      </c>
    </row>
    <row r="1358" spans="1:1">
      <c r="A1358" s="8" t="s">
        <v>20</v>
      </c>
    </row>
    <row r="1359" spans="1:1">
      <c r="A1359" s="8" t="s">
        <v>20</v>
      </c>
    </row>
    <row r="1360" spans="1:1">
      <c r="A1360" s="8" t="s">
        <v>20</v>
      </c>
    </row>
    <row r="1361" spans="1:1">
      <c r="A1361" s="8"/>
    </row>
    <row r="1362" spans="1:1">
      <c r="A1362" s="8" t="s">
        <v>20</v>
      </c>
    </row>
    <row r="1363" spans="1:1">
      <c r="A1363" s="8" t="s">
        <v>20</v>
      </c>
    </row>
    <row r="1364" spans="1:1">
      <c r="A1364" s="8" t="s">
        <v>20</v>
      </c>
    </row>
    <row r="1365" spans="1:1">
      <c r="A1365" s="8"/>
    </row>
    <row r="1366" spans="1:1">
      <c r="A1366" s="8" t="s">
        <v>20</v>
      </c>
    </row>
    <row r="1367" spans="1:1">
      <c r="A1367" s="8" t="s">
        <v>20</v>
      </c>
    </row>
    <row r="1368" spans="1:1">
      <c r="A1368" s="8" t="s">
        <v>20</v>
      </c>
    </row>
    <row r="1369" spans="1:1">
      <c r="A1369" s="8" t="s">
        <v>20</v>
      </c>
    </row>
    <row r="1370" spans="1:1">
      <c r="A1370" s="8" t="s">
        <v>20</v>
      </c>
    </row>
    <row r="1371" spans="1:1">
      <c r="A1371" s="8" t="s">
        <v>20</v>
      </c>
    </row>
    <row r="1372" spans="1:1">
      <c r="A1372" s="8" t="s">
        <v>20</v>
      </c>
    </row>
    <row r="1373" spans="1:1">
      <c r="A1373" s="8" t="s">
        <v>20</v>
      </c>
    </row>
    <row r="1374" spans="1:1">
      <c r="A1374" s="8" t="s">
        <v>20</v>
      </c>
    </row>
    <row r="1375" spans="1:1">
      <c r="A1375" s="8" t="s">
        <v>20</v>
      </c>
    </row>
    <row r="1376" spans="1:1">
      <c r="A1376" s="8" t="s">
        <v>20</v>
      </c>
    </row>
    <row r="1377" spans="1:1">
      <c r="A1377" s="8" t="s">
        <v>20</v>
      </c>
    </row>
    <row r="1378" spans="1:1">
      <c r="A1378" s="8" t="s">
        <v>20</v>
      </c>
    </row>
    <row r="1379" spans="1:1">
      <c r="A1379" s="8" t="s">
        <v>20</v>
      </c>
    </row>
    <row r="1380" spans="1:1">
      <c r="A1380" s="8" t="s">
        <v>20</v>
      </c>
    </row>
    <row r="1381" spans="1:1">
      <c r="A1381" s="8" t="s">
        <v>20</v>
      </c>
    </row>
    <row r="1382" spans="1:1">
      <c r="A1382" s="8" t="s">
        <v>20</v>
      </c>
    </row>
    <row r="1383" spans="1:1">
      <c r="A1383" s="8" t="s">
        <v>20</v>
      </c>
    </row>
    <row r="1384" spans="1:1">
      <c r="A1384" s="8" t="s">
        <v>20</v>
      </c>
    </row>
    <row r="1385" spans="1:1">
      <c r="A1385" s="8" t="s">
        <v>20</v>
      </c>
    </row>
    <row r="1386" spans="1:1">
      <c r="A1386" s="8"/>
    </row>
    <row r="1387" spans="1:1">
      <c r="A1387" s="8" t="s">
        <v>20</v>
      </c>
    </row>
    <row r="1388" spans="1:1">
      <c r="A1388" s="8" t="s">
        <v>20</v>
      </c>
    </row>
    <row r="1389" spans="1:1">
      <c r="A1389" s="8"/>
    </row>
    <row r="1390" spans="1:1">
      <c r="A1390" s="8" t="s">
        <v>20</v>
      </c>
    </row>
    <row r="1391" spans="1:1">
      <c r="A1391" s="8" t="s">
        <v>20</v>
      </c>
    </row>
    <row r="1392" spans="1:1">
      <c r="A1392" s="8" t="s">
        <v>20</v>
      </c>
    </row>
    <row r="1393" spans="1:1">
      <c r="A1393" s="8" t="s">
        <v>20</v>
      </c>
    </row>
    <row r="1394" spans="1:1">
      <c r="A1394" s="8" t="s">
        <v>20</v>
      </c>
    </row>
    <row r="1395" spans="1:1">
      <c r="A1395" s="8" t="s">
        <v>20</v>
      </c>
    </row>
    <row r="1396" spans="1:1">
      <c r="A1396" s="8" t="s">
        <v>20</v>
      </c>
    </row>
    <row r="1397" spans="1:1">
      <c r="A1397" s="8" t="s">
        <v>20</v>
      </c>
    </row>
    <row r="1398" spans="1:1">
      <c r="A1398" s="8" t="s">
        <v>20</v>
      </c>
    </row>
    <row r="1399" spans="1:1">
      <c r="A1399" s="8" t="s">
        <v>20</v>
      </c>
    </row>
    <row r="1400" spans="1:1">
      <c r="A1400" s="8" t="s">
        <v>20</v>
      </c>
    </row>
    <row r="1401" spans="1:1">
      <c r="A1401" s="8" t="s">
        <v>20</v>
      </c>
    </row>
    <row r="1402" spans="1:1">
      <c r="A1402" s="8" t="s">
        <v>20</v>
      </c>
    </row>
    <row r="1403" spans="1:1">
      <c r="A1403" s="8" t="s">
        <v>20</v>
      </c>
    </row>
    <row r="1404" spans="1:1">
      <c r="A1404" s="8" t="s">
        <v>20</v>
      </c>
    </row>
    <row r="1405" spans="1:1">
      <c r="A1405" s="8" t="s">
        <v>20</v>
      </c>
    </row>
    <row r="1406" spans="1:1">
      <c r="A1406" s="8" t="s">
        <v>20</v>
      </c>
    </row>
    <row r="1407" spans="1:1">
      <c r="A1407" s="8" t="s">
        <v>20</v>
      </c>
    </row>
    <row r="1408" spans="1:1">
      <c r="A1408" s="8" t="s">
        <v>20</v>
      </c>
    </row>
    <row r="1409" spans="1:1">
      <c r="A1409" s="8" t="s">
        <v>20</v>
      </c>
    </row>
    <row r="1410" spans="1:1">
      <c r="A1410" s="8" t="s">
        <v>20</v>
      </c>
    </row>
    <row r="1411" spans="1:1">
      <c r="A1411" s="8" t="s">
        <v>20</v>
      </c>
    </row>
    <row r="1412" spans="1:1">
      <c r="A1412" s="8" t="s">
        <v>20</v>
      </c>
    </row>
    <row r="1413" spans="1:1">
      <c r="A1413" s="8" t="s">
        <v>20</v>
      </c>
    </row>
    <row r="1414" spans="1:1">
      <c r="A1414" s="8" t="s">
        <v>20</v>
      </c>
    </row>
    <row r="1415" spans="1:1">
      <c r="A1415" s="8" t="s">
        <v>20</v>
      </c>
    </row>
    <row r="1416" spans="1:1">
      <c r="A1416" s="8" t="s">
        <v>20</v>
      </c>
    </row>
    <row r="1417" spans="1:1">
      <c r="A1417" s="8" t="s">
        <v>20</v>
      </c>
    </row>
    <row r="1418" spans="1:1">
      <c r="A1418" s="8" t="s">
        <v>20</v>
      </c>
    </row>
    <row r="1419" spans="1:1">
      <c r="A1419" s="8" t="s">
        <v>20</v>
      </c>
    </row>
    <row r="1420" spans="1:1">
      <c r="A1420" s="8" t="s">
        <v>20</v>
      </c>
    </row>
    <row r="1421" spans="1:1">
      <c r="A1421" s="8" t="s">
        <v>20</v>
      </c>
    </row>
    <row r="1422" spans="1:1">
      <c r="A1422" s="8" t="s">
        <v>20</v>
      </c>
    </row>
    <row r="1423" spans="1:1">
      <c r="A1423" s="8"/>
    </row>
    <row r="1424" spans="1:1">
      <c r="A1424" s="8" t="s">
        <v>20</v>
      </c>
    </row>
    <row r="1425" spans="1:1">
      <c r="A1425" s="8" t="s">
        <v>20</v>
      </c>
    </row>
    <row r="1426" spans="1:1">
      <c r="A1426" s="8" t="s">
        <v>20</v>
      </c>
    </row>
    <row r="1427" spans="1:1">
      <c r="A1427" s="8" t="s">
        <v>20</v>
      </c>
    </row>
    <row r="1428" spans="1:1">
      <c r="A1428" s="8" t="s">
        <v>20</v>
      </c>
    </row>
    <row r="1429" spans="1:1">
      <c r="A1429" s="8" t="s">
        <v>20</v>
      </c>
    </row>
    <row r="1430" spans="1:1">
      <c r="A1430" s="8" t="s">
        <v>20</v>
      </c>
    </row>
    <row r="1431" spans="1:1">
      <c r="A1431" s="8" t="s">
        <v>20</v>
      </c>
    </row>
    <row r="1432" spans="1:1">
      <c r="A1432" s="8" t="s">
        <v>20</v>
      </c>
    </row>
    <row r="1433" spans="1:1">
      <c r="A1433" s="8" t="s">
        <v>20</v>
      </c>
    </row>
    <row r="1434" spans="1:1">
      <c r="A1434" s="8"/>
    </row>
    <row r="1435" spans="1:1">
      <c r="A1435" s="8" t="s">
        <v>20</v>
      </c>
    </row>
    <row r="1436" spans="1:1">
      <c r="A1436" s="8"/>
    </row>
    <row r="1437" spans="1:1">
      <c r="A1437" s="8" t="s">
        <v>20</v>
      </c>
    </row>
    <row r="1438" spans="1:1">
      <c r="A1438" s="8" t="s">
        <v>20</v>
      </c>
    </row>
    <row r="1439" spans="1:1">
      <c r="A1439" s="8" t="s">
        <v>20</v>
      </c>
    </row>
    <row r="1440" spans="1:1">
      <c r="A1440" s="8" t="s">
        <v>20</v>
      </c>
    </row>
    <row r="1441" spans="1:1">
      <c r="A1441" s="8" t="s">
        <v>20</v>
      </c>
    </row>
    <row r="1442" spans="1:1">
      <c r="A1442" s="8" t="s">
        <v>20</v>
      </c>
    </row>
    <row r="1443" spans="1:1">
      <c r="A1443" s="8" t="s">
        <v>20</v>
      </c>
    </row>
    <row r="1444" spans="1:1">
      <c r="A1444" s="8" t="s">
        <v>20</v>
      </c>
    </row>
    <row r="1445" spans="1:1">
      <c r="A1445" s="8" t="s">
        <v>20</v>
      </c>
    </row>
    <row r="1446" spans="1:1">
      <c r="A1446" s="8" t="s">
        <v>20</v>
      </c>
    </row>
    <row r="1447" spans="1:1">
      <c r="A1447" s="8" t="s">
        <v>20</v>
      </c>
    </row>
    <row r="1448" spans="1:1">
      <c r="A1448" s="8" t="s">
        <v>20</v>
      </c>
    </row>
    <row r="1449" spans="1:1">
      <c r="A1449" s="8" t="s">
        <v>20</v>
      </c>
    </row>
    <row r="1450" spans="1:1">
      <c r="A1450" s="8" t="s">
        <v>20</v>
      </c>
    </row>
    <row r="1451" spans="1:1">
      <c r="A1451" s="8" t="s">
        <v>20</v>
      </c>
    </row>
    <row r="1452" spans="1:1">
      <c r="A1452" s="8" t="s">
        <v>20</v>
      </c>
    </row>
    <row r="1453" spans="1:1">
      <c r="A1453" s="8" t="s">
        <v>20</v>
      </c>
    </row>
    <row r="1454" spans="1:1">
      <c r="A1454" s="8"/>
    </row>
    <row r="1455" spans="1:1">
      <c r="A1455" s="8" t="s">
        <v>20</v>
      </c>
    </row>
    <row r="1456" spans="1:1">
      <c r="A1456" s="8" t="s">
        <v>20</v>
      </c>
    </row>
    <row r="1457" spans="1:1">
      <c r="A1457" s="8" t="s">
        <v>20</v>
      </c>
    </row>
    <row r="1458" spans="1:1">
      <c r="A1458" s="8" t="s">
        <v>20</v>
      </c>
    </row>
    <row r="1459" spans="1:1">
      <c r="A1459" s="8"/>
    </row>
    <row r="1460" spans="1:1">
      <c r="A1460" s="8" t="s">
        <v>20</v>
      </c>
    </row>
    <row r="1461" spans="1:1">
      <c r="A1461" s="8" t="s">
        <v>20</v>
      </c>
    </row>
    <row r="1462" spans="1:1">
      <c r="A1462" s="8" t="s">
        <v>20</v>
      </c>
    </row>
    <row r="1463" spans="1:1">
      <c r="A1463" s="8" t="s">
        <v>20</v>
      </c>
    </row>
    <row r="1464" spans="1:1">
      <c r="A1464" s="8" t="s">
        <v>20</v>
      </c>
    </row>
    <row r="1465" spans="1:1">
      <c r="A1465" s="8" t="s">
        <v>20</v>
      </c>
    </row>
    <row r="1466" spans="1:1">
      <c r="A1466" s="8"/>
    </row>
    <row r="1467" spans="1:1">
      <c r="A1467" s="8" t="s">
        <v>20</v>
      </c>
    </row>
    <row r="1468" spans="1:1">
      <c r="A1468" s="8" t="s">
        <v>20</v>
      </c>
    </row>
    <row r="1469" spans="1:1">
      <c r="A1469" s="8" t="s">
        <v>20</v>
      </c>
    </row>
    <row r="1470" spans="1:1">
      <c r="A1470" s="8" t="s">
        <v>20</v>
      </c>
    </row>
    <row r="1471" spans="1:1">
      <c r="A1471" s="8" t="s">
        <v>20</v>
      </c>
    </row>
    <row r="1472" spans="1:1">
      <c r="A1472" s="8" t="s">
        <v>20</v>
      </c>
    </row>
    <row r="1473" spans="1:1">
      <c r="A1473" s="8" t="s">
        <v>20</v>
      </c>
    </row>
    <row r="1474" spans="1:1">
      <c r="A1474" s="8" t="s">
        <v>20</v>
      </c>
    </row>
    <row r="1475" spans="1:1">
      <c r="A1475" s="8"/>
    </row>
    <row r="1476" spans="1:1">
      <c r="A1476" s="8" t="s">
        <v>20</v>
      </c>
    </row>
    <row r="1477" spans="1:1">
      <c r="A1477" s="8" t="s">
        <v>20</v>
      </c>
    </row>
    <row r="1478" spans="1:1">
      <c r="A1478" s="8" t="s">
        <v>20</v>
      </c>
    </row>
    <row r="1479" spans="1:1">
      <c r="A1479" s="8" t="s">
        <v>20</v>
      </c>
    </row>
    <row r="1480" spans="1:1">
      <c r="A1480" s="8" t="s">
        <v>20</v>
      </c>
    </row>
    <row r="1481" spans="1:1">
      <c r="A1481" s="8" t="s">
        <v>20</v>
      </c>
    </row>
    <row r="1482" spans="1:1">
      <c r="A1482" s="8" t="s">
        <v>20</v>
      </c>
    </row>
    <row r="1483" spans="1:1">
      <c r="A1483" s="8" t="s">
        <v>20</v>
      </c>
    </row>
    <row r="1484" spans="1:1">
      <c r="A1484" s="8"/>
    </row>
    <row r="1485" spans="1:1">
      <c r="A1485" s="8" t="s">
        <v>20</v>
      </c>
    </row>
    <row r="1486" spans="1:1">
      <c r="A1486" s="8" t="s">
        <v>20</v>
      </c>
    </row>
    <row r="1487" spans="1:1">
      <c r="A1487" s="8"/>
    </row>
    <row r="1488" spans="1:1">
      <c r="A1488" s="8"/>
    </row>
    <row r="1489" spans="1:1">
      <c r="A1489" s="8" t="s">
        <v>20</v>
      </c>
    </row>
    <row r="1490" spans="1:1">
      <c r="A1490" s="8" t="s">
        <v>20</v>
      </c>
    </row>
    <row r="1491" spans="1:1">
      <c r="A1491" s="8"/>
    </row>
    <row r="1492" spans="1:1">
      <c r="A1492" s="8" t="s">
        <v>20</v>
      </c>
    </row>
    <row r="1493" spans="1:1">
      <c r="A1493" s="8"/>
    </row>
    <row r="1494" spans="1:1">
      <c r="A1494" s="8" t="s">
        <v>20</v>
      </c>
    </row>
    <row r="1495" spans="1:1">
      <c r="A1495" s="8"/>
    </row>
    <row r="1496" spans="1:1">
      <c r="A1496" s="8" t="s">
        <v>20</v>
      </c>
    </row>
    <row r="1497" spans="1:1">
      <c r="A1497" s="8"/>
    </row>
    <row r="1498" spans="1:1">
      <c r="A1498" s="8" t="s">
        <v>20</v>
      </c>
    </row>
    <row r="1499" spans="1:1">
      <c r="A1499" s="8" t="s">
        <v>20</v>
      </c>
    </row>
    <row r="1500" spans="1:1">
      <c r="A1500" s="8" t="s">
        <v>20</v>
      </c>
    </row>
    <row r="1501" spans="1:1">
      <c r="A1501" s="8" t="s">
        <v>20</v>
      </c>
    </row>
    <row r="1502" spans="1:1">
      <c r="A1502" s="8" t="s">
        <v>20</v>
      </c>
    </row>
    <row r="1503" spans="1:1">
      <c r="A1503" s="8"/>
    </row>
    <row r="1504" spans="1:1">
      <c r="A1504" s="8" t="s">
        <v>20</v>
      </c>
    </row>
    <row r="1505" spans="1:1">
      <c r="A1505" s="8"/>
    </row>
    <row r="1506" spans="1:1">
      <c r="A1506" s="8" t="s">
        <v>20</v>
      </c>
    </row>
    <row r="1507" spans="1:1">
      <c r="A1507" s="8"/>
    </row>
    <row r="1508" spans="1:1">
      <c r="A1508" s="8" t="s">
        <v>20</v>
      </c>
    </row>
    <row r="1509" spans="1:1">
      <c r="A1509" s="8" t="s">
        <v>20</v>
      </c>
    </row>
    <row r="1510" spans="1:1">
      <c r="A1510" s="8"/>
    </row>
    <row r="1511" spans="1:1">
      <c r="A1511" s="8" t="s">
        <v>20</v>
      </c>
    </row>
    <row r="1512" spans="1:1">
      <c r="A1512" s="8"/>
    </row>
    <row r="1513" spans="1:1">
      <c r="A1513" s="8" t="s">
        <v>20</v>
      </c>
    </row>
    <row r="1514" spans="1:1">
      <c r="A1514" s="8" t="s">
        <v>20</v>
      </c>
    </row>
    <row r="1515" spans="1:1">
      <c r="A1515" s="8" t="s">
        <v>20</v>
      </c>
    </row>
    <row r="1516" spans="1:1">
      <c r="A1516" s="8"/>
    </row>
    <row r="1517" spans="1:1">
      <c r="A1517" s="8" t="s">
        <v>20</v>
      </c>
    </row>
    <row r="1518" spans="1:1">
      <c r="A1518" s="8" t="s">
        <v>20</v>
      </c>
    </row>
    <row r="1519" spans="1:1">
      <c r="A1519" s="8" t="s">
        <v>20</v>
      </c>
    </row>
    <row r="1520" spans="1:1">
      <c r="A1520" s="8" t="s">
        <v>20</v>
      </c>
    </row>
    <row r="1521" spans="1:1">
      <c r="A1521" s="8" t="s">
        <v>20</v>
      </c>
    </row>
    <row r="1522" spans="1:1">
      <c r="A1522" s="8"/>
    </row>
    <row r="1523" spans="1:1">
      <c r="A1523" s="8" t="s">
        <v>20</v>
      </c>
    </row>
    <row r="1524" spans="1:1">
      <c r="A1524" s="8"/>
    </row>
    <row r="1525" spans="1:1">
      <c r="A1525" s="8" t="s">
        <v>20</v>
      </c>
    </row>
    <row r="1526" spans="1:1">
      <c r="A1526" s="8"/>
    </row>
    <row r="1527" spans="1:1">
      <c r="A1527" s="8" t="s">
        <v>20</v>
      </c>
    </row>
    <row r="1528" spans="1:1">
      <c r="A1528" s="8" t="s">
        <v>20</v>
      </c>
    </row>
    <row r="1529" spans="1:1">
      <c r="A1529" s="8" t="s">
        <v>20</v>
      </c>
    </row>
    <row r="1530" spans="1:1">
      <c r="A1530" s="8"/>
    </row>
    <row r="1531" spans="1:1">
      <c r="A1531" s="8" t="s">
        <v>20</v>
      </c>
    </row>
    <row r="1532" spans="1:1">
      <c r="A1532" s="8"/>
    </row>
    <row r="1533" spans="1:1">
      <c r="A1533" s="8" t="s">
        <v>20</v>
      </c>
    </row>
    <row r="1534" spans="1:1">
      <c r="A1534" s="8" t="s">
        <v>20</v>
      </c>
    </row>
    <row r="1535" spans="1:1">
      <c r="A1535" s="8" t="s">
        <v>20</v>
      </c>
    </row>
    <row r="1536" spans="1:1">
      <c r="A1536" s="8" t="s">
        <v>20</v>
      </c>
    </row>
    <row r="1537" spans="1:1">
      <c r="A1537" s="8"/>
    </row>
    <row r="1538" spans="1:1">
      <c r="A1538" s="8" t="s">
        <v>20</v>
      </c>
    </row>
    <row r="1539" spans="1:1">
      <c r="A1539" s="8"/>
    </row>
    <row r="1540" spans="1:1">
      <c r="A1540" s="8" t="s">
        <v>20</v>
      </c>
    </row>
    <row r="1541" spans="1:1">
      <c r="A1541" s="8" t="s">
        <v>20</v>
      </c>
    </row>
    <row r="1542" spans="1:1">
      <c r="A1542" s="8" t="s">
        <v>20</v>
      </c>
    </row>
    <row r="1543" spans="1:1">
      <c r="A1543" s="8" t="s">
        <v>20</v>
      </c>
    </row>
    <row r="1544" spans="1:1">
      <c r="A1544" s="8"/>
    </row>
    <row r="1545" spans="1:1">
      <c r="A1545" s="8" t="s">
        <v>20</v>
      </c>
    </row>
    <row r="1546" spans="1:1">
      <c r="A1546" s="8" t="s">
        <v>20</v>
      </c>
    </row>
    <row r="1547" spans="1:1">
      <c r="A1547" s="8"/>
    </row>
    <row r="1548" spans="1:1">
      <c r="A1548" s="8" t="s">
        <v>20</v>
      </c>
    </row>
    <row r="1549" spans="1:1">
      <c r="A1549" s="8" t="s">
        <v>20</v>
      </c>
    </row>
    <row r="1550" spans="1:1">
      <c r="A1550" s="8" t="s">
        <v>20</v>
      </c>
    </row>
    <row r="1551" spans="1:1">
      <c r="A1551" s="8" t="s">
        <v>20</v>
      </c>
    </row>
    <row r="1552" spans="1:1">
      <c r="A1552" s="8"/>
    </row>
    <row r="1553" spans="1:1">
      <c r="A1553" s="8" t="s">
        <v>20</v>
      </c>
    </row>
    <row r="1554" spans="1:1">
      <c r="A1554" s="8" t="s">
        <v>20</v>
      </c>
    </row>
    <row r="1555" spans="1:1">
      <c r="A1555" s="8"/>
    </row>
    <row r="1556" spans="1:1">
      <c r="A1556" s="8" t="s">
        <v>20</v>
      </c>
    </row>
    <row r="1557" spans="1:1">
      <c r="A1557" s="8"/>
    </row>
    <row r="1558" spans="1:1">
      <c r="A1558" s="8" t="s">
        <v>20</v>
      </c>
    </row>
    <row r="1559" spans="1:1">
      <c r="A1559" s="8"/>
    </row>
    <row r="1560" spans="1:1">
      <c r="A1560" s="8" t="s">
        <v>20</v>
      </c>
    </row>
    <row r="1561" spans="1:1">
      <c r="A1561" s="8"/>
    </row>
    <row r="1562" spans="1:1">
      <c r="A1562" s="8" t="s">
        <v>20</v>
      </c>
    </row>
    <row r="1563" spans="1:1">
      <c r="A1563" s="8"/>
    </row>
    <row r="1564" spans="1:1">
      <c r="A1564" s="8" t="s">
        <v>20</v>
      </c>
    </row>
    <row r="1565" spans="1:1">
      <c r="A1565" s="8"/>
    </row>
    <row r="1566" spans="1:1">
      <c r="A1566" s="8" t="s">
        <v>20</v>
      </c>
    </row>
    <row r="1567" spans="1:1">
      <c r="A1567" s="8" t="s">
        <v>20</v>
      </c>
    </row>
    <row r="1568" spans="1:1">
      <c r="A1568" s="8"/>
    </row>
    <row r="1569" spans="1:1">
      <c r="A1569" s="8" t="s">
        <v>20</v>
      </c>
    </row>
    <row r="1570" spans="1:1">
      <c r="A1570" s="8"/>
    </row>
    <row r="1571" spans="1:1">
      <c r="A1571" s="8" t="s">
        <v>20</v>
      </c>
    </row>
    <row r="1572" spans="1:1">
      <c r="A1572" s="8"/>
    </row>
    <row r="1573" spans="1:1">
      <c r="A1573" s="8" t="s">
        <v>20</v>
      </c>
    </row>
    <row r="1574" spans="1:1">
      <c r="A1574" s="8"/>
    </row>
    <row r="1575" spans="1:1">
      <c r="A1575" s="8" t="s">
        <v>20</v>
      </c>
    </row>
    <row r="1576" spans="1:1">
      <c r="A1576" s="8"/>
    </row>
    <row r="1577" spans="1:1">
      <c r="A1577" s="8" t="s">
        <v>20</v>
      </c>
    </row>
    <row r="1578" spans="1:1">
      <c r="A1578" s="8" t="s">
        <v>20</v>
      </c>
    </row>
    <row r="1579" spans="1:1">
      <c r="A1579" s="8" t="s">
        <v>20</v>
      </c>
    </row>
    <row r="1580" spans="1:1">
      <c r="A1580" s="8"/>
    </row>
    <row r="1581" spans="1:1">
      <c r="A1581" s="8" t="s">
        <v>20</v>
      </c>
    </row>
    <row r="1582" spans="1:1">
      <c r="A1582" s="8" t="s">
        <v>20</v>
      </c>
    </row>
    <row r="1583" spans="1:1">
      <c r="A1583" s="8" t="s">
        <v>20</v>
      </c>
    </row>
    <row r="1584" spans="1:1">
      <c r="A1584" s="8"/>
    </row>
    <row r="1585" spans="1:1">
      <c r="A1585" s="8" t="s">
        <v>20</v>
      </c>
    </row>
    <row r="1586" spans="1:1">
      <c r="A1586" s="8" t="s">
        <v>20</v>
      </c>
    </row>
    <row r="1587" spans="1:1">
      <c r="A1587" s="8" t="s">
        <v>20</v>
      </c>
    </row>
    <row r="1588" spans="1:1">
      <c r="A1588" s="8" t="s">
        <v>20</v>
      </c>
    </row>
    <row r="1589" spans="1:1">
      <c r="A1589" s="8"/>
    </row>
    <row r="1590" spans="1:1">
      <c r="A1590" s="8" t="s">
        <v>20</v>
      </c>
    </row>
    <row r="1591" spans="1:1">
      <c r="A1591" s="8" t="s">
        <v>20</v>
      </c>
    </row>
    <row r="1592" spans="1:1">
      <c r="A1592" s="8" t="s">
        <v>20</v>
      </c>
    </row>
    <row r="1593" spans="1:1">
      <c r="A1593" s="8"/>
    </row>
    <row r="1594" spans="1:1">
      <c r="A1594" s="8" t="s">
        <v>20</v>
      </c>
    </row>
    <row r="1595" spans="1:1">
      <c r="A1595" s="8"/>
    </row>
    <row r="1596" spans="1:1">
      <c r="A1596" s="8" t="s">
        <v>20</v>
      </c>
    </row>
    <row r="1597" spans="1:1">
      <c r="A1597" s="8" t="s">
        <v>20</v>
      </c>
    </row>
    <row r="1598" spans="1:1">
      <c r="A1598" s="8" t="s">
        <v>20</v>
      </c>
    </row>
    <row r="1599" spans="1:1">
      <c r="A1599" s="8" t="s">
        <v>20</v>
      </c>
    </row>
    <row r="1600" spans="1:1">
      <c r="A1600" s="8" t="s">
        <v>20</v>
      </c>
    </row>
    <row r="1601" spans="1:1">
      <c r="A1601" s="8"/>
    </row>
    <row r="1602" spans="1:1">
      <c r="A1602" s="8" t="s">
        <v>20</v>
      </c>
    </row>
    <row r="1603" spans="1:1">
      <c r="A1603" s="8" t="s">
        <v>20</v>
      </c>
    </row>
    <row r="1604" spans="1:1">
      <c r="A1604" s="8"/>
    </row>
    <row r="1605" spans="1:1">
      <c r="A1605" s="8" t="s">
        <v>20</v>
      </c>
    </row>
    <row r="1606" spans="1:1">
      <c r="A1606" s="8" t="s">
        <v>20</v>
      </c>
    </row>
    <row r="1607" spans="1:1">
      <c r="A1607" s="8"/>
    </row>
    <row r="1608" spans="1:1">
      <c r="A1608" s="8" t="s">
        <v>20</v>
      </c>
    </row>
    <row r="1609" spans="1:1">
      <c r="A1609" s="8"/>
    </row>
    <row r="1610" spans="1:1">
      <c r="A1610" s="8" t="s">
        <v>20</v>
      </c>
    </row>
    <row r="1611" spans="1:1">
      <c r="A1611" s="8" t="s">
        <v>20</v>
      </c>
    </row>
    <row r="1612" spans="1:1">
      <c r="A1612" s="8"/>
    </row>
    <row r="1613" spans="1:1">
      <c r="A1613" s="8" t="s">
        <v>20</v>
      </c>
    </row>
    <row r="1614" spans="1:1">
      <c r="A1614" s="8" t="s">
        <v>20</v>
      </c>
    </row>
    <row r="1615" spans="1:1">
      <c r="A1615" s="8" t="s">
        <v>20</v>
      </c>
    </row>
    <row r="1616" spans="1:1">
      <c r="A1616" s="8"/>
    </row>
    <row r="1617" spans="1:1">
      <c r="A1617" s="8" t="s">
        <v>20</v>
      </c>
    </row>
    <row r="1618" spans="1:1">
      <c r="A1618" s="8"/>
    </row>
    <row r="1619" spans="1:1">
      <c r="A1619" s="8" t="s">
        <v>20</v>
      </c>
    </row>
    <row r="1620" spans="1:1">
      <c r="A1620" s="8" t="s">
        <v>20</v>
      </c>
    </row>
    <row r="1621" spans="1:1">
      <c r="A1621" s="8"/>
    </row>
    <row r="1622" spans="1:1">
      <c r="A1622" s="8" t="s">
        <v>20</v>
      </c>
    </row>
    <row r="1623" spans="1:1">
      <c r="A1623" s="8"/>
    </row>
    <row r="1624" spans="1:1">
      <c r="A1624" s="8" t="s">
        <v>20</v>
      </c>
    </row>
    <row r="1625" spans="1:1">
      <c r="A1625" s="8" t="s">
        <v>20</v>
      </c>
    </row>
    <row r="1626" spans="1:1">
      <c r="A1626" s="8"/>
    </row>
    <row r="1627" spans="1:1">
      <c r="A1627" s="8" t="s">
        <v>20</v>
      </c>
    </row>
    <row r="1628" spans="1:1">
      <c r="A1628" s="8" t="s">
        <v>20</v>
      </c>
    </row>
    <row r="1629" spans="1:1">
      <c r="A1629" s="8"/>
    </row>
    <row r="1630" spans="1:1">
      <c r="A1630" s="8" t="s">
        <v>20</v>
      </c>
    </row>
    <row r="1631" spans="1:1">
      <c r="A1631" s="8"/>
    </row>
    <row r="1632" spans="1:1">
      <c r="A1632" s="8" t="s">
        <v>20</v>
      </c>
    </row>
    <row r="1633" spans="1:1">
      <c r="A1633" s="8"/>
    </row>
    <row r="1634" spans="1:1">
      <c r="A1634" s="8" t="s">
        <v>20</v>
      </c>
    </row>
    <row r="1635" spans="1:1">
      <c r="A1635" s="8"/>
    </row>
    <row r="1636" spans="1:1">
      <c r="A1636" s="8" t="s">
        <v>20</v>
      </c>
    </row>
    <row r="1637" spans="1:1">
      <c r="A1637" s="8" t="s">
        <v>20</v>
      </c>
    </row>
    <row r="1638" spans="1:1">
      <c r="A1638" s="8" t="s">
        <v>20</v>
      </c>
    </row>
    <row r="1639" spans="1:1">
      <c r="A1639" s="8"/>
    </row>
    <row r="1640" spans="1:1">
      <c r="A1640" s="8" t="s">
        <v>20</v>
      </c>
    </row>
    <row r="1641" spans="1:1">
      <c r="A1641" s="8" t="s">
        <v>20</v>
      </c>
    </row>
    <row r="1642" spans="1:1">
      <c r="A1642" s="8" t="s">
        <v>20</v>
      </c>
    </row>
    <row r="1643" spans="1:1">
      <c r="A1643" s="8" t="s">
        <v>20</v>
      </c>
    </row>
    <row r="1644" spans="1:1">
      <c r="A1644" s="8" t="s">
        <v>20</v>
      </c>
    </row>
    <row r="1645" spans="1:1">
      <c r="A1645" s="8"/>
    </row>
    <row r="1646" spans="1:1">
      <c r="A1646" s="8" t="s">
        <v>20</v>
      </c>
    </row>
    <row r="1647" spans="1:1">
      <c r="A1647" s="8"/>
    </row>
    <row r="1648" spans="1:1">
      <c r="A1648" s="8" t="s">
        <v>20</v>
      </c>
    </row>
    <row r="1649" spans="1:1">
      <c r="A1649" s="8"/>
    </row>
    <row r="1650" spans="1:1">
      <c r="A1650" s="8" t="s">
        <v>20</v>
      </c>
    </row>
    <row r="1651" spans="1:1">
      <c r="A1651" s="8"/>
    </row>
    <row r="1652" spans="1:1">
      <c r="A1652" s="8" t="s">
        <v>20</v>
      </c>
    </row>
    <row r="1653" spans="1:1">
      <c r="A1653" s="8"/>
    </row>
    <row r="1654" spans="1:1">
      <c r="A1654" s="8" t="s">
        <v>20</v>
      </c>
    </row>
    <row r="1655" spans="1:1">
      <c r="A1655" s="8" t="s">
        <v>20</v>
      </c>
    </row>
    <row r="1656" spans="1:1">
      <c r="A1656" s="8"/>
    </row>
    <row r="1657" spans="1:1">
      <c r="A1657" s="8" t="s">
        <v>20</v>
      </c>
    </row>
    <row r="1658" spans="1:1">
      <c r="A1658" s="8"/>
    </row>
    <row r="1659" spans="1:1">
      <c r="A1659" s="8" t="s">
        <v>20</v>
      </c>
    </row>
    <row r="1660" spans="1:1">
      <c r="A1660" s="8" t="s">
        <v>20</v>
      </c>
    </row>
    <row r="1661" spans="1:1">
      <c r="A1661" s="8" t="s">
        <v>20</v>
      </c>
    </row>
    <row r="1662" spans="1:1">
      <c r="A1662" s="8" t="s">
        <v>20</v>
      </c>
    </row>
    <row r="1663" spans="1:1">
      <c r="A1663" s="8" t="s">
        <v>20</v>
      </c>
    </row>
    <row r="1664" spans="1:1">
      <c r="A1664" s="8"/>
    </row>
    <row r="1665" spans="1:1">
      <c r="A1665" s="8" t="s">
        <v>20</v>
      </c>
    </row>
    <row r="1666" spans="1:1">
      <c r="A1666" s="8"/>
    </row>
    <row r="1667" spans="1:1">
      <c r="A1667" s="8" t="s">
        <v>20</v>
      </c>
    </row>
    <row r="1668" spans="1:1">
      <c r="A1668" s="8"/>
    </row>
    <row r="1669" spans="1:1">
      <c r="A1669" s="8" t="s">
        <v>20</v>
      </c>
    </row>
    <row r="1670" spans="1:1">
      <c r="A1670" s="8"/>
    </row>
    <row r="1671" spans="1:1">
      <c r="A1671" s="8" t="s">
        <v>20</v>
      </c>
    </row>
    <row r="1672" spans="1:1">
      <c r="A1672" s="8" t="s">
        <v>20</v>
      </c>
    </row>
    <row r="1673" spans="1:1">
      <c r="A1673" s="8"/>
    </row>
    <row r="1674" spans="1:1">
      <c r="A1674" s="8" t="s">
        <v>20</v>
      </c>
    </row>
    <row r="1675" spans="1:1">
      <c r="A1675" s="8"/>
    </row>
    <row r="1676" spans="1:1">
      <c r="A1676" s="8" t="s">
        <v>20</v>
      </c>
    </row>
    <row r="1677" spans="1:1">
      <c r="A1677" s="8" t="s">
        <v>20</v>
      </c>
    </row>
    <row r="1678" spans="1:1">
      <c r="A1678" s="8"/>
    </row>
    <row r="1679" spans="1:1">
      <c r="A1679" s="8" t="s">
        <v>20</v>
      </c>
    </row>
    <row r="1680" spans="1:1">
      <c r="A1680" s="8" t="s">
        <v>20</v>
      </c>
    </row>
    <row r="1681" spans="1:27">
      <c r="A1681" s="8"/>
    </row>
    <row r="1682" spans="1:27">
      <c r="A1682" s="8" t="s">
        <v>20</v>
      </c>
    </row>
    <row r="1683" spans="1:27">
      <c r="A1683" s="8"/>
    </row>
    <row r="1684" spans="1:27">
      <c r="A1684" s="8" t="s">
        <v>20</v>
      </c>
    </row>
    <row r="1685" spans="1:27">
      <c r="A1685" s="8"/>
    </row>
    <row r="1686" spans="1:27">
      <c r="A1686" s="8" t="s">
        <v>20</v>
      </c>
    </row>
    <row r="1687" spans="1:27">
      <c r="A1687" s="8"/>
    </row>
    <row r="1688" spans="1:27">
      <c r="A1688" s="8" t="s">
        <v>20</v>
      </c>
    </row>
    <row r="1689" spans="1:27">
      <c r="A1689" s="8" t="s">
        <v>20</v>
      </c>
    </row>
    <row r="1690" spans="1:27">
      <c r="A1690" s="8"/>
    </row>
    <row r="1691" spans="1:27">
      <c r="A1691" s="8" t="s">
        <v>20</v>
      </c>
    </row>
    <row r="1692" spans="1:27">
      <c r="A1692" s="8" t="s">
        <v>20</v>
      </c>
    </row>
    <row r="1693" spans="1:27">
      <c r="A1693" s="8" t="s">
        <v>20</v>
      </c>
      <c r="AA1693" t="s">
        <v>2659</v>
      </c>
    </row>
    <row r="1694" spans="1:27" ht="15" customHeight="1">
      <c r="A1694" s="8"/>
    </row>
    <row r="1695" spans="1:27" ht="15" customHeight="1">
      <c r="A1695" s="8" t="s">
        <v>20</v>
      </c>
    </row>
    <row r="1696" spans="1:27" ht="15" customHeight="1">
      <c r="A1696" s="8"/>
    </row>
    <row r="1697" spans="1:1" ht="15" customHeight="1">
      <c r="A1697" s="8"/>
    </row>
    <row r="1698" spans="1:1" ht="15" customHeight="1">
      <c r="A1698" s="8" t="s">
        <v>20</v>
      </c>
    </row>
    <row r="1699" spans="1:1" ht="15" customHeight="1">
      <c r="A1699" s="8"/>
    </row>
    <row r="1700" spans="1:1" ht="15" customHeight="1">
      <c r="A1700" s="8" t="s">
        <v>20</v>
      </c>
    </row>
    <row r="1701" spans="1:1" ht="15" customHeight="1">
      <c r="A1701" s="8" t="s">
        <v>20</v>
      </c>
    </row>
    <row r="1702" spans="1:1" ht="15" customHeight="1">
      <c r="A1702" s="8" t="s">
        <v>20</v>
      </c>
    </row>
    <row r="1703" spans="1:1" ht="15" customHeight="1">
      <c r="A1703" t="s">
        <v>2165</v>
      </c>
    </row>
    <row r="1720" spans="1:1" ht="15" customHeight="1">
      <c r="A1720" s="7" t="s">
        <v>2206</v>
      </c>
    </row>
    <row r="1722" spans="1:1" ht="15" customHeight="1">
      <c r="A1722" s="7" t="s">
        <v>2205</v>
      </c>
    </row>
    <row r="1779" spans="2:18" ht="15" customHeight="1">
      <c r="B1779" s="174"/>
    </row>
    <row r="1781" spans="2:18" ht="15" customHeight="1">
      <c r="C1781" s="174"/>
      <c r="D1781" s="174"/>
      <c r="E1781" s="174"/>
      <c r="F1781" s="174"/>
      <c r="G1781" s="174"/>
      <c r="H1781" s="174"/>
      <c r="I1781" s="174"/>
      <c r="J1781" s="174"/>
      <c r="K1781" s="174"/>
      <c r="L1781" s="174"/>
      <c r="M1781" s="174"/>
      <c r="N1781" s="174"/>
      <c r="O1781" s="174"/>
      <c r="P1781" s="174"/>
      <c r="Q1781" s="174"/>
      <c r="R1781" s="174"/>
    </row>
    <row r="1872" spans="1:1" ht="15" customHeight="1">
      <c r="A1872" s="174"/>
    </row>
  </sheetData>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335C-6D6C-4396-89FD-E909BC3F9BF3}">
  <dimension ref="A1:AA981"/>
  <sheetViews>
    <sheetView topLeftCell="A944" workbookViewId="0">
      <selection activeCell="W981" sqref="W981"/>
    </sheetView>
  </sheetViews>
  <sheetFormatPr defaultRowHeight="15"/>
  <cols>
    <col min="3" max="3" width="9.140625" style="340"/>
    <col min="23" max="23" width="11.85546875" bestFit="1" customWidth="1"/>
    <col min="24" max="24" width="9.140625" style="154"/>
    <col min="25" max="25" width="9.140625" style="341"/>
    <col min="26" max="26" width="11.85546875" bestFit="1" customWidth="1"/>
  </cols>
  <sheetData>
    <row r="1" spans="10:27">
      <c r="X1"/>
    </row>
    <row r="2" spans="10:27">
      <c r="X2"/>
      <c r="AA2" s="356"/>
    </row>
    <row r="3" spans="10:27">
      <c r="O3" s="360"/>
      <c r="P3" s="360">
        <v>1</v>
      </c>
      <c r="Q3" s="360">
        <v>2</v>
      </c>
      <c r="R3" s="360">
        <v>3</v>
      </c>
      <c r="S3" s="360">
        <v>4</v>
      </c>
      <c r="T3" s="361">
        <v>5</v>
      </c>
      <c r="U3" s="362">
        <v>1</v>
      </c>
      <c r="V3" s="360">
        <f>P6</f>
        <v>0</v>
      </c>
      <c r="W3" s="360"/>
      <c r="X3"/>
    </row>
    <row r="4" spans="10:27">
      <c r="O4" s="360" t="s">
        <v>11074</v>
      </c>
      <c r="P4" s="360">
        <v>100</v>
      </c>
      <c r="Q4" s="360"/>
      <c r="R4" s="360"/>
      <c r="S4" s="360"/>
      <c r="T4" s="361"/>
      <c r="U4" s="362">
        <v>2</v>
      </c>
      <c r="V4" s="360">
        <f>Q6</f>
        <v>0</v>
      </c>
      <c r="W4" s="360" t="s">
        <v>11080</v>
      </c>
      <c r="X4"/>
    </row>
    <row r="5" spans="10:27">
      <c r="O5" s="360" t="s">
        <v>11075</v>
      </c>
      <c r="P5" s="360">
        <v>50</v>
      </c>
      <c r="Q5" s="360"/>
      <c r="R5" s="360"/>
      <c r="S5" s="360"/>
      <c r="T5" s="361"/>
      <c r="U5" s="362">
        <v>3</v>
      </c>
      <c r="V5" s="360" t="str">
        <f>R6</f>
        <v/>
      </c>
      <c r="W5" s="360" t="s">
        <v>11081</v>
      </c>
      <c r="X5"/>
    </row>
    <row r="6" spans="10:27">
      <c r="O6" s="360" t="s">
        <v>11076</v>
      </c>
      <c r="P6" s="360">
        <f>IF($W$20&lt;101,$W$20,Q6)</f>
        <v>0</v>
      </c>
      <c r="Q6" s="360">
        <f>IF(AND($W$19=Q3,$W$20&lt;101),R6,CEILING($W$20/Q3,1))</f>
        <v>0</v>
      </c>
      <c r="R6" s="360" t="str">
        <f>IF($W$19=R3,CEILING($W$20/R3,1),S6)</f>
        <v/>
      </c>
      <c r="S6" s="360" t="str">
        <f>IF($W$19=S3,CEILING($W$20/S3,1),T6)</f>
        <v/>
      </c>
      <c r="T6" s="361" t="str">
        <f>IF($W$19&gt;=T3,CEILING($W$20/T3,1),"")</f>
        <v/>
      </c>
      <c r="U6" s="362">
        <v>4</v>
      </c>
      <c r="V6" s="360" t="str">
        <f>S6</f>
        <v/>
      </c>
      <c r="W6" s="360" t="s">
        <v>11082</v>
      </c>
      <c r="X6"/>
    </row>
    <row r="7" spans="10:27">
      <c r="N7" s="356" t="s">
        <v>11077</v>
      </c>
      <c r="O7" s="360">
        <f>SUM(P7:T7)</f>
        <v>1</v>
      </c>
      <c r="P7" s="360">
        <f>IF(P6&lt;&gt;"",1,"")</f>
        <v>1</v>
      </c>
      <c r="Q7" s="360" t="str">
        <f>IF(Q6&lt;&gt;0,1,"")</f>
        <v/>
      </c>
      <c r="R7" s="360" t="str">
        <f>IF(R6&lt;&gt;"",1,"")</f>
        <v/>
      </c>
      <c r="S7" s="360" t="str">
        <f>IF(S6&lt;&gt;"",1,"")</f>
        <v/>
      </c>
      <c r="T7" s="363" t="str">
        <f>IF(T6&lt;&gt;"",1,"")</f>
        <v/>
      </c>
      <c r="U7" s="362">
        <v>5</v>
      </c>
      <c r="V7" s="360" t="str">
        <f>T6</f>
        <v/>
      </c>
      <c r="W7" s="360" t="s">
        <v>11083</v>
      </c>
      <c r="X7"/>
    </row>
    <row r="8" spans="10:27">
      <c r="N8" s="356"/>
      <c r="X8"/>
    </row>
    <row r="9" spans="10:27">
      <c r="X9"/>
    </row>
    <row r="10" spans="10:27">
      <c r="X10"/>
    </row>
    <row r="11" spans="10:27">
      <c r="X11"/>
    </row>
    <row r="12" spans="10:27">
      <c r="J12" t="s">
        <v>11905</v>
      </c>
      <c r="X12"/>
    </row>
    <row r="13" spans="10:27">
      <c r="X13"/>
    </row>
    <row r="14" spans="10:27">
      <c r="O14" s="356"/>
      <c r="X14"/>
    </row>
    <row r="15" spans="10:27">
      <c r="O15" s="356"/>
      <c r="V15" s="356" t="s">
        <v>11097</v>
      </c>
      <c r="W15" s="365">
        <f>SUM(Z:Z)</f>
        <v>0</v>
      </c>
      <c r="X15"/>
    </row>
    <row r="16" spans="10:27">
      <c r="V16" s="356" t="s">
        <v>11098</v>
      </c>
      <c r="W16" s="365">
        <f>SUM(AA:AA)</f>
        <v>0</v>
      </c>
      <c r="X16"/>
    </row>
    <row r="17" spans="1:27">
      <c r="C17" s="351"/>
      <c r="D17" s="352" t="s">
        <v>11064</v>
      </c>
      <c r="E17" s="347" t="e">
        <f>VLOOKUP(1,A:C,3,FALSE)&amp;", ř."&amp;VLOOKUP(1,A:C,2,FALSE)&amp;" - "&amp;VLOOKUP($C$21,A:C,3,FALSE)&amp;", ř."&amp;VLOOKUP($C$21,A:C,2,FALSE)</f>
        <v>#N/A</v>
      </c>
      <c r="F17" s="347"/>
      <c r="G17" s="347"/>
      <c r="X17"/>
    </row>
    <row r="18" spans="1:27">
      <c r="C18" s="348">
        <v>1</v>
      </c>
      <c r="D18" s="343">
        <v>2</v>
      </c>
      <c r="E18" s="343">
        <v>3</v>
      </c>
      <c r="F18" s="343">
        <v>4</v>
      </c>
      <c r="G18" s="343">
        <v>5</v>
      </c>
    </row>
    <row r="19" spans="1:27">
      <c r="C19" s="349" t="str">
        <f>"0 - "&amp;W21-1</f>
        <v>0 - -1</v>
      </c>
      <c r="D19" s="1" t="str">
        <f>W21&amp;" - "&amp;W21+W21-1</f>
        <v>0 - -1</v>
      </c>
      <c r="E19" s="1" t="str">
        <f>W21+W21&amp;" - "&amp;W21*3-1</f>
        <v>0 - -1</v>
      </c>
      <c r="F19" s="1" t="str">
        <f>W21*3&amp;" - "&amp;W21*4-1</f>
        <v>0 - -1</v>
      </c>
      <c r="G19" s="1" t="str">
        <f>W21*4&amp;" - "&amp;W21*5</f>
        <v>0 - 0</v>
      </c>
      <c r="V19" s="356" t="s">
        <v>11078</v>
      </c>
      <c r="W19">
        <f>ROUND($W$20/50,0)</f>
        <v>0</v>
      </c>
      <c r="X19" s="357" t="s">
        <v>11068</v>
      </c>
    </row>
    <row r="20" spans="1:27">
      <c r="C20" s="349">
        <v>0</v>
      </c>
      <c r="D20">
        <f>W21</f>
        <v>0</v>
      </c>
      <c r="E20">
        <f>W21*2</f>
        <v>0</v>
      </c>
      <c r="F20">
        <f>W21*3</f>
        <v>0</v>
      </c>
      <c r="G20">
        <f>W21*4</f>
        <v>0</v>
      </c>
      <c r="V20" s="356" t="s">
        <v>11062</v>
      </c>
      <c r="W20">
        <f>SUM(W22:W981)</f>
        <v>0</v>
      </c>
      <c r="X20" s="357" t="s">
        <v>9303</v>
      </c>
    </row>
    <row r="21" spans="1:27" s="20" customFormat="1">
      <c r="C21" s="350">
        <f>W21-1</f>
        <v>-1</v>
      </c>
      <c r="D21" s="20">
        <f>W21*2-1</f>
        <v>-1</v>
      </c>
      <c r="E21" s="20">
        <f>W21*3-1</f>
        <v>-1</v>
      </c>
      <c r="F21" s="20">
        <f>W21*4-1</f>
        <v>-1</v>
      </c>
      <c r="G21" s="20">
        <f>W21*5</f>
        <v>0</v>
      </c>
      <c r="V21" s="359" t="s">
        <v>11063</v>
      </c>
      <c r="W21" s="358">
        <f>VLOOKUP(O7,U3:V7,2,FALSE)</f>
        <v>0</v>
      </c>
      <c r="X21" s="364" t="s">
        <v>11069</v>
      </c>
      <c r="Y21" s="89"/>
      <c r="Z21" s="20" t="s">
        <v>11095</v>
      </c>
      <c r="AA21" s="20" t="s">
        <v>11096</v>
      </c>
    </row>
    <row r="22" spans="1:27">
      <c r="A22" t="str">
        <f>W22</f>
        <v/>
      </c>
      <c r="B22">
        <v>22</v>
      </c>
      <c r="C22" s="340" t="str">
        <f>IFERROR(Tabulka1[[#This Row],[KOD]],"")</f>
        <v>BK1P</v>
      </c>
      <c r="W22" t="str">
        <f>IF(Y22+1=1,"",1)</f>
        <v/>
      </c>
      <c r="X22" s="154" t="str">
        <f>IF(Y22+1=1,"",Y22)</f>
        <v/>
      </c>
      <c r="Y22" s="341">
        <f>IF('General price list'!$AB22="",0,'General price list'!$AB22)</f>
        <v>0</v>
      </c>
      <c r="Z22" s="365" t="str">
        <f>IFERROR(X22*VLOOKUP(C22,'General price list'!C:I,7,FALSE),"")</f>
        <v/>
      </c>
      <c r="AA22" s="365" t="str">
        <f>IF(X22&lt;&gt;"",VLOOKUP(C22,'General price list'!C22:AN997,MATCH("HM",Tabulka1[[#Headers],[KOD]:[NEQ]],0),FALSE),"")</f>
        <v/>
      </c>
    </row>
    <row r="23" spans="1:27">
      <c r="A23">
        <f>COUNTIF($W$22:W23,1)</f>
        <v>0</v>
      </c>
      <c r="B23">
        <v>23</v>
      </c>
      <c r="C23" s="340" t="str">
        <f>IFERROR(Tabulka1[[#This Row],[KOD]],"")</f>
        <v>BK1P(1)</v>
      </c>
      <c r="W23" s="804" t="str">
        <f t="shared" ref="W23" si="0">IF(Y23+1=1,"",1)</f>
        <v/>
      </c>
      <c r="X23" s="154" t="str">
        <f t="shared" ref="X23" si="1">IF(Y23+1=1,"",Y23)</f>
        <v/>
      </c>
      <c r="Y23" s="341">
        <f>IF('General price list'!$AB23="",0,'General price list'!$AB23)</f>
        <v>0</v>
      </c>
      <c r="Z23" s="365" t="str">
        <f>IFERROR(X23*VLOOKUP(C23,'General price list'!C:I,7,FALSE),"")</f>
        <v/>
      </c>
      <c r="AA23" s="805" t="str">
        <f>IF(X23&lt;&gt;"",VLOOKUP(C23,'General price list'!C23:AN998,MATCH("HM",Tabulka1[[#Headers],[KOD]:[NEQ]],0),FALSE),"")</f>
        <v/>
      </c>
    </row>
    <row r="24" spans="1:27">
      <c r="A24">
        <f>COUNTIF($W$22:W24,1)</f>
        <v>0</v>
      </c>
      <c r="B24">
        <v>24</v>
      </c>
      <c r="C24" s="340" t="str">
        <f>IFERROR(Tabulka1[[#This Row],[KOD]],"")</f>
        <v>BK2V</v>
      </c>
      <c r="W24" s="804" t="str">
        <f t="shared" ref="W24:W87" si="2">IF(Y24+1=1,"",1)</f>
        <v/>
      </c>
      <c r="X24" s="154" t="str">
        <f t="shared" ref="X24:X87" si="3">IF(Y24+1=1,"",Y24)</f>
        <v/>
      </c>
      <c r="Y24" s="341">
        <f>IF('General price list'!$AB24="",0,'General price list'!$AB24)</f>
        <v>0</v>
      </c>
      <c r="Z24" s="365" t="str">
        <f>IFERROR(X24*VLOOKUP(C24,'General price list'!C:I,7,FALSE),"")</f>
        <v/>
      </c>
      <c r="AA24" s="805" t="str">
        <f>IF(X24&lt;&gt;"",VLOOKUP(C24,'General price list'!C24:AN999,MATCH("HM",Tabulka1[[#Headers],[KOD]:[NEQ]],0),FALSE),"")</f>
        <v/>
      </c>
    </row>
    <row r="25" spans="1:27">
      <c r="A25">
        <f>COUNTIF($W$22:W25,1)</f>
        <v>0</v>
      </c>
      <c r="B25">
        <v>25</v>
      </c>
      <c r="C25" s="340" t="str">
        <f>IFERROR(Tabulka1[[#This Row],[KOD]],"")</f>
        <v>S5DU14</v>
      </c>
      <c r="W25" s="804" t="str">
        <f t="shared" si="2"/>
        <v/>
      </c>
      <c r="X25" s="154" t="str">
        <f t="shared" si="3"/>
        <v/>
      </c>
      <c r="Y25" s="341">
        <f>IF('General price list'!$AB25="",0,'General price list'!$AB25)</f>
        <v>0</v>
      </c>
      <c r="Z25" s="365" t="str">
        <f>IFERROR(X25*VLOOKUP(C25,'General price list'!C:I,7,FALSE),"")</f>
        <v/>
      </c>
      <c r="AA25" s="805" t="str">
        <f>IF(X25&lt;&gt;"",VLOOKUP(C25,'General price list'!C25:AN1000,MATCH("HM",Tabulka1[[#Headers],[KOD]:[NEQ]],0),FALSE),"")</f>
        <v/>
      </c>
    </row>
    <row r="26" spans="1:27">
      <c r="A26">
        <f>COUNTIF($W$22:W26,1)</f>
        <v>0</v>
      </c>
      <c r="B26">
        <v>26</v>
      </c>
      <c r="C26" s="340" t="str">
        <f>IFERROR(Tabulka1[[#This Row],[KOD]],"")</f>
        <v>R5DU14</v>
      </c>
      <c r="W26" s="804" t="str">
        <f t="shared" si="2"/>
        <v/>
      </c>
      <c r="X26" s="154" t="str">
        <f t="shared" si="3"/>
        <v/>
      </c>
      <c r="Y26" s="341">
        <f>IF('General price list'!$AB26="",0,'General price list'!$AB26)</f>
        <v>0</v>
      </c>
      <c r="Z26" s="365" t="str">
        <f>IFERROR(X26*VLOOKUP(C26,'General price list'!C:I,7,FALSE),"")</f>
        <v/>
      </c>
      <c r="AA26" s="805" t="str">
        <f>IF(X26&lt;&gt;"",VLOOKUP(C26,'General price list'!C26:AN1001,MATCH("HM",Tabulka1[[#Headers],[KOD]:[NEQ]],0),FALSE),"")</f>
        <v/>
      </c>
    </row>
    <row r="27" spans="1:27">
      <c r="A27">
        <f>COUNTIF($W$22:W27,1)</f>
        <v>0</v>
      </c>
      <c r="B27">
        <v>27</v>
      </c>
      <c r="C27" s="340" t="str">
        <f>IFERROR(Tabulka1[[#This Row],[KOD]],"")</f>
        <v>C5DU14</v>
      </c>
      <c r="W27" s="804" t="str">
        <f t="shared" si="2"/>
        <v/>
      </c>
      <c r="X27" s="154" t="str">
        <f t="shared" si="3"/>
        <v/>
      </c>
      <c r="Y27" s="341">
        <f>IF('General price list'!$AB27="",0,'General price list'!$AB27)</f>
        <v>0</v>
      </c>
      <c r="Z27" s="365" t="str">
        <f>IFERROR(X27*VLOOKUP(C27,'General price list'!C:I,7,FALSE),"")</f>
        <v/>
      </c>
      <c r="AA27" s="805" t="str">
        <f>IF(X27&lt;&gt;"",VLOOKUP(C27,'General price list'!C27:AN1002,MATCH("HM",Tabulka1[[#Headers],[KOD]:[NEQ]],0),FALSE),"")</f>
        <v/>
      </c>
    </row>
    <row r="28" spans="1:27">
      <c r="A28">
        <f>COUNTIF($W$22:W28,1)</f>
        <v>0</v>
      </c>
      <c r="B28">
        <v>28</v>
      </c>
      <c r="C28" s="340" t="str">
        <f>IFERROR(Tabulka1[[#This Row],[KOD]],"")</f>
        <v>DP1CB</v>
      </c>
      <c r="W28" s="804" t="str">
        <f t="shared" si="2"/>
        <v/>
      </c>
      <c r="X28" s="154" t="str">
        <f t="shared" si="3"/>
        <v/>
      </c>
      <c r="Y28" s="341">
        <f>IF('General price list'!$AB28="",0,'General price list'!$AB28)</f>
        <v>0</v>
      </c>
      <c r="Z28" s="365" t="str">
        <f>IFERROR(X28*VLOOKUP(C28,'General price list'!C:I,7,FALSE),"")</f>
        <v/>
      </c>
      <c r="AA28" s="805" t="str">
        <f>IF(X28&lt;&gt;"",VLOOKUP(C28,'General price list'!C28:AN1003,MATCH("HM",Tabulka1[[#Headers],[KOD]:[NEQ]],0),FALSE),"")</f>
        <v/>
      </c>
    </row>
    <row r="29" spans="1:27">
      <c r="A29">
        <f>COUNTIF($W$22:W29,1)</f>
        <v>0</v>
      </c>
      <c r="B29">
        <v>29</v>
      </c>
      <c r="C29" s="340" t="str">
        <f>IFERROR(Tabulka1[[#This Row],[KOD]],"")</f>
        <v>DP1CB(1)</v>
      </c>
      <c r="W29" s="804" t="str">
        <f t="shared" si="2"/>
        <v/>
      </c>
      <c r="X29" s="154" t="str">
        <f t="shared" si="3"/>
        <v/>
      </c>
      <c r="Y29" s="341">
        <f>IF('General price list'!$AB29="",0,'General price list'!$AB29)</f>
        <v>0</v>
      </c>
      <c r="Z29" s="365" t="str">
        <f>IFERROR(X29*VLOOKUP(C29,'General price list'!C:I,7,FALSE),"")</f>
        <v/>
      </c>
      <c r="AA29" s="805" t="str">
        <f>IF(X29&lt;&gt;"",VLOOKUP(C29,'General price list'!C29:AN1004,MATCH("HM",Tabulka1[[#Headers],[KOD]:[NEQ]],0),FALSE),"")</f>
        <v/>
      </c>
    </row>
    <row r="30" spans="1:27">
      <c r="A30">
        <f>COUNTIF($W$22:W30,1)</f>
        <v>0</v>
      </c>
      <c r="B30">
        <v>30</v>
      </c>
      <c r="C30" s="340" t="str">
        <f>IFERROR(Tabulka1[[#This Row],[KOD]],"")</f>
        <v>DP2CB</v>
      </c>
      <c r="W30" s="804" t="str">
        <f t="shared" si="2"/>
        <v/>
      </c>
      <c r="X30" s="154" t="str">
        <f t="shared" si="3"/>
        <v/>
      </c>
      <c r="Y30" s="341">
        <f>IF('General price list'!$AB30="",0,'General price list'!$AB30)</f>
        <v>0</v>
      </c>
      <c r="Z30" s="365" t="str">
        <f>IFERROR(X30*VLOOKUP(C30,'General price list'!C:I,7,FALSE),"")</f>
        <v/>
      </c>
      <c r="AA30" s="805" t="str">
        <f>IF(X30&lt;&gt;"",VLOOKUP(C30,'General price list'!C30:AN1005,MATCH("HM",Tabulka1[[#Headers],[KOD]:[NEQ]],0),FALSE),"")</f>
        <v/>
      </c>
    </row>
    <row r="31" spans="1:27">
      <c r="A31">
        <f>COUNTIF($W$22:W31,1)</f>
        <v>0</v>
      </c>
      <c r="B31">
        <v>31</v>
      </c>
      <c r="C31" s="340" t="str">
        <f>IFERROR(Tabulka1[[#This Row],[KOD]],"")</f>
        <v>DP2CB(1)</v>
      </c>
      <c r="W31" s="804" t="str">
        <f t="shared" si="2"/>
        <v/>
      </c>
      <c r="X31" s="154" t="str">
        <f t="shared" si="3"/>
        <v/>
      </c>
      <c r="Y31" s="341">
        <f>IF('General price list'!$AB31="",0,'General price list'!$AB31)</f>
        <v>0</v>
      </c>
      <c r="Z31" s="365" t="str">
        <f>IFERROR(X31*VLOOKUP(C31,'General price list'!C:I,7,FALSE),"")</f>
        <v/>
      </c>
      <c r="AA31" s="805" t="str">
        <f>IF(X31&lt;&gt;"",VLOOKUP(C31,'General price list'!C31:AN1006,MATCH("HM",Tabulka1[[#Headers],[KOD]:[NEQ]],0),FALSE),"")</f>
        <v/>
      </c>
    </row>
    <row r="32" spans="1:27">
      <c r="A32">
        <f>COUNTIF($W$22:W32,1)</f>
        <v>0</v>
      </c>
      <c r="B32">
        <v>32</v>
      </c>
      <c r="C32" s="340" t="str">
        <f>IFERROR(Tabulka1[[#This Row],[KOD]],"")</f>
        <v>DP1M</v>
      </c>
      <c r="W32" s="804" t="str">
        <f t="shared" si="2"/>
        <v/>
      </c>
      <c r="X32" s="154" t="str">
        <f t="shared" si="3"/>
        <v/>
      </c>
      <c r="Y32" s="341">
        <f>IF('General price list'!$AB32="",0,'General price list'!$AB32)</f>
        <v>0</v>
      </c>
      <c r="Z32" s="365" t="str">
        <f>IFERROR(X32*VLOOKUP(C32,'General price list'!C:I,7,FALSE),"")</f>
        <v/>
      </c>
      <c r="AA32" s="805" t="str">
        <f>IF(X32&lt;&gt;"",VLOOKUP(C32,'General price list'!C32:AN1007,MATCH("HM",Tabulka1[[#Headers],[KOD]:[NEQ]],0),FALSE),"")</f>
        <v/>
      </c>
    </row>
    <row r="33" spans="1:27">
      <c r="A33">
        <f>COUNTIF($W$22:W33,1)</f>
        <v>0</v>
      </c>
      <c r="B33">
        <v>33</v>
      </c>
      <c r="C33" s="340" t="str">
        <f>IFERROR(Tabulka1[[#This Row],[KOD]],"")</f>
        <v>DP1M(1)</v>
      </c>
      <c r="W33" s="804" t="str">
        <f t="shared" si="2"/>
        <v/>
      </c>
      <c r="X33" s="154" t="str">
        <f t="shared" si="3"/>
        <v/>
      </c>
      <c r="Y33" s="341">
        <f>IF('General price list'!$AB33="",0,'General price list'!$AB33)</f>
        <v>0</v>
      </c>
      <c r="Z33" s="365" t="str">
        <f>IFERROR(X33*VLOOKUP(C33,'General price list'!C:I,7,FALSE),"")</f>
        <v/>
      </c>
      <c r="AA33" s="805" t="str">
        <f>IF(X33&lt;&gt;"",VLOOKUP(C33,'General price list'!C33:AN1008,MATCH("HM",Tabulka1[[#Headers],[KOD]:[NEQ]],0),FALSE),"")</f>
        <v/>
      </c>
    </row>
    <row r="34" spans="1:27">
      <c r="A34">
        <f>COUNTIF($W$22:W34,1)</f>
        <v>0</v>
      </c>
      <c r="B34">
        <v>34</v>
      </c>
      <c r="C34" s="340" t="str">
        <f>IFERROR(Tabulka1[[#This Row],[KOD]],"")</f>
        <v>DP1Z20</v>
      </c>
      <c r="W34" s="804" t="str">
        <f t="shared" si="2"/>
        <v/>
      </c>
      <c r="X34" s="154" t="str">
        <f t="shared" si="3"/>
        <v/>
      </c>
      <c r="Y34" s="341">
        <f>IF('General price list'!$AB34="",0,'General price list'!$AB34)</f>
        <v>0</v>
      </c>
      <c r="Z34" s="365" t="str">
        <f>IFERROR(X34*VLOOKUP(C34,'General price list'!C:I,7,FALSE),"")</f>
        <v/>
      </c>
      <c r="AA34" s="805" t="str">
        <f>IF(X34&lt;&gt;"",VLOOKUP(C34,'General price list'!C34:AN1009,MATCH("HM",Tabulka1[[#Headers],[KOD]:[NEQ]],0),FALSE),"")</f>
        <v/>
      </c>
    </row>
    <row r="35" spans="1:27">
      <c r="A35">
        <f>COUNTIF($W$22:W35,1)</f>
        <v>0</v>
      </c>
      <c r="B35">
        <v>35</v>
      </c>
      <c r="C35" s="340" t="str">
        <f>IFERROR(Tabulka1[[#This Row],[KOD]],"")</f>
        <v>DP1Z20(1)</v>
      </c>
      <c r="W35" s="804" t="str">
        <f t="shared" si="2"/>
        <v/>
      </c>
      <c r="X35" s="154" t="str">
        <f t="shared" si="3"/>
        <v/>
      </c>
      <c r="Y35" s="341">
        <f>IF('General price list'!$AB35="",0,'General price list'!$AB35)</f>
        <v>0</v>
      </c>
      <c r="Z35" s="365" t="str">
        <f>IFERROR(X35*VLOOKUP(C35,'General price list'!C:I,7,FALSE),"")</f>
        <v/>
      </c>
      <c r="AA35" s="805" t="str">
        <f>IF(X35&lt;&gt;"",VLOOKUP(C35,'General price list'!C35:AN1010,MATCH("HM",Tabulka1[[#Headers],[KOD]:[NEQ]],0),FALSE),"")</f>
        <v/>
      </c>
    </row>
    <row r="36" spans="1:27">
      <c r="A36">
        <f>COUNTIF($W$22:W36,1)</f>
        <v>0</v>
      </c>
      <c r="B36">
        <v>36</v>
      </c>
      <c r="C36" s="340" t="str">
        <f>IFERROR(Tabulka1[[#This Row],[KOD]],"")</f>
        <v>CDK1</v>
      </c>
      <c r="W36" s="804" t="str">
        <f t="shared" si="2"/>
        <v/>
      </c>
      <c r="X36" s="154" t="str">
        <f t="shared" si="3"/>
        <v/>
      </c>
      <c r="Y36" s="341">
        <f>IF('General price list'!$AB36="",0,'General price list'!$AB36)</f>
        <v>0</v>
      </c>
      <c r="Z36" s="365" t="str">
        <f>IFERROR(X36*VLOOKUP(C36,'General price list'!C:I,7,FALSE),"")</f>
        <v/>
      </c>
      <c r="AA36" s="805" t="str">
        <f>IF(X36&lt;&gt;"",VLOOKUP(C36,'General price list'!C36:AN1011,MATCH("HM",Tabulka1[[#Headers],[KOD]:[NEQ]],0),FALSE),"")</f>
        <v/>
      </c>
    </row>
    <row r="37" spans="1:27">
      <c r="A37">
        <f>COUNTIF($W$22:W37,1)</f>
        <v>0</v>
      </c>
      <c r="B37">
        <v>37</v>
      </c>
      <c r="C37" s="340" t="str">
        <f>IFERROR(Tabulka1[[#This Row],[KOD]],"")</f>
        <v>CDK1(1)</v>
      </c>
      <c r="W37" s="804" t="str">
        <f t="shared" si="2"/>
        <v/>
      </c>
      <c r="X37" s="154" t="str">
        <f t="shared" si="3"/>
        <v/>
      </c>
      <c r="Y37" s="341">
        <f>IF('General price list'!$AB37="",0,'General price list'!$AB37)</f>
        <v>0</v>
      </c>
      <c r="Z37" s="365" t="str">
        <f>IFERROR(X37*VLOOKUP(C37,'General price list'!C:I,7,FALSE),"")</f>
        <v/>
      </c>
      <c r="AA37" s="805" t="str">
        <f>IF(X37&lt;&gt;"",VLOOKUP(C37,'General price list'!C37:AN1012,MATCH("HM",Tabulka1[[#Headers],[KOD]:[NEQ]],0),FALSE),"")</f>
        <v/>
      </c>
    </row>
    <row r="38" spans="1:27">
      <c r="A38">
        <f>COUNTIF($W$22:W38,1)</f>
        <v>0</v>
      </c>
      <c r="B38">
        <v>38</v>
      </c>
      <c r="C38" s="340" t="str">
        <f>IFERROR(Tabulka1[[#This Row],[KOD]],"")</f>
        <v>DP1BP</v>
      </c>
      <c r="W38" s="804" t="str">
        <f t="shared" si="2"/>
        <v/>
      </c>
      <c r="X38" s="154" t="str">
        <f t="shared" si="3"/>
        <v/>
      </c>
      <c r="Y38" s="341">
        <f>IF('General price list'!$AB38="",0,'General price list'!$AB38)</f>
        <v>0</v>
      </c>
      <c r="Z38" s="365" t="str">
        <f>IFERROR(X38*VLOOKUP(C38,'General price list'!C:I,7,FALSE),"")</f>
        <v/>
      </c>
      <c r="AA38" s="805" t="str">
        <f>IF(X38&lt;&gt;"",VLOOKUP(C38,'General price list'!C38:AN1013,MATCH("HM",Tabulka1[[#Headers],[KOD]:[NEQ]],0),FALSE),"")</f>
        <v/>
      </c>
    </row>
    <row r="39" spans="1:27">
      <c r="A39">
        <f>COUNTIF($W$22:W39,1)</f>
        <v>0</v>
      </c>
      <c r="B39">
        <v>39</v>
      </c>
      <c r="C39" s="340">
        <f>IFERROR(Tabulka1[[#This Row],[KOD]],"")</f>
        <v>0</v>
      </c>
      <c r="W39" s="804" t="str">
        <f t="shared" si="2"/>
        <v/>
      </c>
      <c r="X39" s="154" t="str">
        <f t="shared" si="3"/>
        <v/>
      </c>
      <c r="Y39" s="341">
        <f>IF('General price list'!$AB39="",0,'General price list'!$AB39)</f>
        <v>0</v>
      </c>
      <c r="Z39" s="365" t="str">
        <f>IFERROR(X39*VLOOKUP(C39,'General price list'!C:I,7,FALSE),"")</f>
        <v/>
      </c>
      <c r="AA39" s="805" t="str">
        <f>IF(X39&lt;&gt;"",VLOOKUP(C39,'General price list'!C39:AN1014,MATCH("HM",Tabulka1[[#Headers],[KOD]:[NEQ]],0),FALSE),"")</f>
        <v/>
      </c>
    </row>
    <row r="40" spans="1:27">
      <c r="A40">
        <f>COUNTIF($W$22:W40,1)</f>
        <v>0</v>
      </c>
      <c r="B40">
        <v>40</v>
      </c>
      <c r="C40" s="340" t="str">
        <f>IFERROR(Tabulka1[[#This Row],[KOD]],"")</f>
        <v>DP1T</v>
      </c>
      <c r="W40" s="804" t="str">
        <f t="shared" si="2"/>
        <v/>
      </c>
      <c r="X40" s="154" t="str">
        <f t="shared" si="3"/>
        <v/>
      </c>
      <c r="Y40" s="341">
        <f>IF('General price list'!$AB40="",0,'General price list'!$AB40)</f>
        <v>0</v>
      </c>
      <c r="Z40" s="365" t="str">
        <f>IFERROR(X40*VLOOKUP(C40,'General price list'!C:I,7,FALSE),"")</f>
        <v/>
      </c>
      <c r="AA40" s="805" t="str">
        <f>IF(X40&lt;&gt;"",VLOOKUP(C40,'General price list'!C40:AN1015,MATCH("HM",Tabulka1[[#Headers],[KOD]:[NEQ]],0),FALSE),"")</f>
        <v/>
      </c>
    </row>
    <row r="41" spans="1:27">
      <c r="A41">
        <f>COUNTIF($W$22:W41,1)</f>
        <v>0</v>
      </c>
      <c r="B41">
        <v>41</v>
      </c>
      <c r="C41" s="340" t="str">
        <f>IFERROR(Tabulka1[[#This Row],[KOD]],"")</f>
        <v>DP1R</v>
      </c>
      <c r="W41" s="804" t="str">
        <f t="shared" si="2"/>
        <v/>
      </c>
      <c r="X41" s="154" t="str">
        <f t="shared" si="3"/>
        <v/>
      </c>
      <c r="Y41" s="341">
        <f>IF('General price list'!$AB41="",0,'General price list'!$AB41)</f>
        <v>0</v>
      </c>
      <c r="Z41" s="365" t="str">
        <f>IFERROR(X41*VLOOKUP(C41,'General price list'!C:I,7,FALSE),"")</f>
        <v/>
      </c>
      <c r="AA41" s="805" t="str">
        <f>IF(X41&lt;&gt;"",VLOOKUP(C41,'General price list'!C41:AN1016,MATCH("HM",Tabulka1[[#Headers],[KOD]:[NEQ]],0),FALSE),"")</f>
        <v/>
      </c>
    </row>
    <row r="42" spans="1:27">
      <c r="A42">
        <f>COUNTIF($W$22:W42,1)</f>
        <v>0</v>
      </c>
      <c r="B42">
        <v>42</v>
      </c>
      <c r="C42" s="340" t="str">
        <f>IFERROR(Tabulka1[[#This Row],[KOD]],"")</f>
        <v>DP1VR</v>
      </c>
      <c r="W42" s="804" t="str">
        <f t="shared" si="2"/>
        <v/>
      </c>
      <c r="X42" s="154" t="str">
        <f t="shared" si="3"/>
        <v/>
      </c>
      <c r="Y42" s="341">
        <f>IF('General price list'!$AB42="",0,'General price list'!$AB42)</f>
        <v>0</v>
      </c>
      <c r="Z42" s="365" t="str">
        <f>IFERROR(X42*VLOOKUP(C42,'General price list'!C:I,7,FALSE),"")</f>
        <v/>
      </c>
      <c r="AA42" s="805" t="str">
        <f>IF(X42&lt;&gt;"",VLOOKUP(C42,'General price list'!C42:AN1017,MATCH("HM",Tabulka1[[#Headers],[KOD]:[NEQ]],0),FALSE),"")</f>
        <v/>
      </c>
    </row>
    <row r="43" spans="1:27">
      <c r="A43">
        <f>COUNTIF($W$22:W43,1)</f>
        <v>0</v>
      </c>
      <c r="B43">
        <v>43</v>
      </c>
      <c r="C43" s="340" t="str">
        <f>IFERROR(Tabulka1[[#This Row],[KOD]],"")</f>
        <v>DP1EM</v>
      </c>
      <c r="W43" s="804" t="str">
        <f t="shared" si="2"/>
        <v/>
      </c>
      <c r="X43" s="154" t="str">
        <f t="shared" si="3"/>
        <v/>
      </c>
      <c r="Y43" s="341">
        <f>IF('General price list'!$AB43="",0,'General price list'!$AB43)</f>
        <v>0</v>
      </c>
      <c r="Z43" s="365" t="str">
        <f>IFERROR(X43*VLOOKUP(C43,'General price list'!C:I,7,FALSE),"")</f>
        <v/>
      </c>
      <c r="AA43" s="805" t="str">
        <f>IF(X43&lt;&gt;"",VLOOKUP(C43,'General price list'!C43:AN1018,MATCH("HM",Tabulka1[[#Headers],[KOD]:[NEQ]],0),FALSE),"")</f>
        <v/>
      </c>
    </row>
    <row r="44" spans="1:27">
      <c r="A44">
        <f>COUNTIF($W$22:W44,1)</f>
        <v>0</v>
      </c>
      <c r="B44">
        <v>44</v>
      </c>
      <c r="C44" s="340" t="str">
        <f>IFERROR(Tabulka1[[#This Row],[KOD]],"")</f>
        <v>DP1SW</v>
      </c>
      <c r="W44" s="804" t="str">
        <f t="shared" si="2"/>
        <v/>
      </c>
      <c r="X44" s="154" t="str">
        <f t="shared" si="3"/>
        <v/>
      </c>
      <c r="Y44" s="341">
        <f>IF('General price list'!$AB44="",0,'General price list'!$AB44)</f>
        <v>0</v>
      </c>
      <c r="Z44" s="365" t="str">
        <f>IFERROR(X44*VLOOKUP(C44,'General price list'!C:I,7,FALSE),"")</f>
        <v/>
      </c>
      <c r="AA44" s="805" t="str">
        <f>IF(X44&lt;&gt;"",VLOOKUP(C44,'General price list'!C44:AN1019,MATCH("HM",Tabulka1[[#Headers],[KOD]:[NEQ]],0),FALSE),"")</f>
        <v/>
      </c>
    </row>
    <row r="45" spans="1:27">
      <c r="A45">
        <f>COUNTIF($W$22:W45,1)</f>
        <v>0</v>
      </c>
      <c r="B45">
        <v>45</v>
      </c>
      <c r="C45" s="340">
        <f>IFERROR(Tabulka1[[#This Row],[KOD]],"")</f>
        <v>0</v>
      </c>
      <c r="W45" s="804" t="str">
        <f t="shared" si="2"/>
        <v/>
      </c>
      <c r="X45" s="154" t="str">
        <f t="shared" si="3"/>
        <v/>
      </c>
      <c r="Y45" s="341">
        <f>IF('General price list'!$AB45="",0,'General price list'!$AB45)</f>
        <v>0</v>
      </c>
      <c r="Z45" s="365" t="str">
        <f>IFERROR(X45*VLOOKUP(C45,'General price list'!C:I,7,FALSE),"")</f>
        <v/>
      </c>
      <c r="AA45" s="805" t="str">
        <f>IF(X45&lt;&gt;"",VLOOKUP(C45,'General price list'!C45:AN1020,MATCH("HM",Tabulka1[[#Headers],[KOD]:[NEQ]],0),FALSE),"")</f>
        <v/>
      </c>
    </row>
    <row r="46" spans="1:27">
      <c r="A46">
        <f>COUNTIF($W$22:W46,1)</f>
        <v>0</v>
      </c>
      <c r="B46">
        <v>46</v>
      </c>
      <c r="C46" s="340" t="str">
        <f>IFERROR(Tabulka1[[#This Row],[KOD]],"")</f>
        <v>DP1FR</v>
      </c>
      <c r="W46" s="804" t="str">
        <f t="shared" si="2"/>
        <v/>
      </c>
      <c r="X46" s="154" t="str">
        <f t="shared" si="3"/>
        <v/>
      </c>
      <c r="Y46" s="341">
        <f>IF('General price list'!$AB46="",0,'General price list'!$AB46)</f>
        <v>0</v>
      </c>
      <c r="Z46" s="365" t="str">
        <f>IFERROR(X46*VLOOKUP(C46,'General price list'!C:I,7,FALSE),"")</f>
        <v/>
      </c>
      <c r="AA46" s="805" t="str">
        <f>IF(X46&lt;&gt;"",VLOOKUP(C46,'General price list'!C46:AN1021,MATCH("HM",Tabulka1[[#Headers],[KOD]:[NEQ]],0),FALSE),"")</f>
        <v/>
      </c>
    </row>
    <row r="47" spans="1:27">
      <c r="A47">
        <f>COUNTIF($W$22:W47,1)</f>
        <v>0</v>
      </c>
      <c r="B47">
        <v>47</v>
      </c>
      <c r="C47" s="340" t="str">
        <f>IFERROR(Tabulka1[[#This Row],[KOD]],"")</f>
        <v>DP1FM</v>
      </c>
      <c r="W47" s="804" t="str">
        <f t="shared" si="2"/>
        <v/>
      </c>
      <c r="X47" s="154" t="str">
        <f t="shared" si="3"/>
        <v/>
      </c>
      <c r="Y47" s="341">
        <f>IF('General price list'!$AB47="",0,'General price list'!$AB47)</f>
        <v>0</v>
      </c>
      <c r="Z47" s="365" t="str">
        <f>IFERROR(X47*VLOOKUP(C47,'General price list'!C:I,7,FALSE),"")</f>
        <v/>
      </c>
      <c r="AA47" s="805" t="str">
        <f>IF(X47&lt;&gt;"",VLOOKUP(C47,'General price list'!C47:AN1022,MATCH("HM",Tabulka1[[#Headers],[KOD]:[NEQ]],0),FALSE),"")</f>
        <v/>
      </c>
    </row>
    <row r="48" spans="1:27">
      <c r="A48">
        <f>COUNTIF($W$22:W48,1)</f>
        <v>0</v>
      </c>
      <c r="B48">
        <v>48</v>
      </c>
      <c r="C48" s="340" t="str">
        <f>IFERROR(Tabulka1[[#This Row],[KOD]],"")</f>
        <v>DP1FV</v>
      </c>
      <c r="W48" s="804" t="str">
        <f t="shared" si="2"/>
        <v/>
      </c>
      <c r="X48" s="154" t="str">
        <f t="shared" si="3"/>
        <v/>
      </c>
      <c r="Y48" s="341">
        <f>IF('General price list'!$AB48="",0,'General price list'!$AB48)</f>
        <v>0</v>
      </c>
      <c r="Z48" s="365" t="str">
        <f>IFERROR(X48*VLOOKUP(C48,'General price list'!C:I,7,FALSE),"")</f>
        <v/>
      </c>
      <c r="AA48" s="805" t="str">
        <f>IF(X48&lt;&gt;"",VLOOKUP(C48,'General price list'!C48:AN1023,MATCH("HM",Tabulka1[[#Headers],[KOD]:[NEQ]],0),FALSE),"")</f>
        <v/>
      </c>
    </row>
    <row r="49" spans="1:27">
      <c r="A49">
        <f>COUNTIF($W$22:W49,1)</f>
        <v>0</v>
      </c>
      <c r="B49">
        <v>49</v>
      </c>
      <c r="C49" s="340" t="str">
        <f>IFERROR(Tabulka1[[#This Row],[KOD]],"")</f>
        <v>DP1FD</v>
      </c>
      <c r="W49" s="804" t="str">
        <f t="shared" si="2"/>
        <v/>
      </c>
      <c r="X49" s="154" t="str">
        <f t="shared" si="3"/>
        <v/>
      </c>
      <c r="Y49" s="341">
        <f>IF('General price list'!$AB49="",0,'General price list'!$AB49)</f>
        <v>0</v>
      </c>
      <c r="Z49" s="365" t="str">
        <f>IFERROR(X49*VLOOKUP(C49,'General price list'!C:I,7,FALSE),"")</f>
        <v/>
      </c>
      <c r="AA49" s="805" t="str">
        <f>IF(X49&lt;&gt;"",VLOOKUP(C49,'General price list'!C49:AN1024,MATCH("HM",Tabulka1[[#Headers],[KOD]:[NEQ]],0),FALSE),"")</f>
        <v/>
      </c>
    </row>
    <row r="50" spans="1:27">
      <c r="A50">
        <f>COUNTIF($W$22:W50,1)</f>
        <v>0</v>
      </c>
      <c r="B50">
        <v>50</v>
      </c>
      <c r="C50" s="340" t="str">
        <f>IFERROR(Tabulka1[[#This Row],[KOD]],"")</f>
        <v>F1DB</v>
      </c>
      <c r="W50" s="804" t="str">
        <f t="shared" si="2"/>
        <v/>
      </c>
      <c r="X50" s="154" t="str">
        <f t="shared" si="3"/>
        <v/>
      </c>
      <c r="Y50" s="341">
        <f>IF('General price list'!$AB51="",0,'General price list'!$AB51)</f>
        <v>0</v>
      </c>
      <c r="Z50" s="365" t="str">
        <f>IFERROR(X50*VLOOKUP(C50,'General price list'!C:I,7,FALSE),"")</f>
        <v/>
      </c>
      <c r="AA50" s="805" t="str">
        <f>IF(X50&lt;&gt;"",VLOOKUP(C50,'General price list'!C51:AN1025,MATCH("HM",Tabulka1[[#Headers],[KOD]:[NEQ]],0),FALSE),"")</f>
        <v/>
      </c>
    </row>
    <row r="51" spans="1:27">
      <c r="A51">
        <f>COUNTIF($W$22:W51,1)</f>
        <v>0</v>
      </c>
      <c r="B51">
        <v>51</v>
      </c>
      <c r="C51" s="340" t="str">
        <f>IFERROR(Tabulka1[[#This Row],[KOD]],"")</f>
        <v>F19MF1</v>
      </c>
      <c r="W51" s="804" t="str">
        <f t="shared" si="2"/>
        <v/>
      </c>
      <c r="X51" s="154" t="str">
        <f t="shared" si="3"/>
        <v/>
      </c>
      <c r="Y51" s="341">
        <f>IF('General price list'!$AB52="",0,'General price list'!$AB52)</f>
        <v>0</v>
      </c>
      <c r="Z51" s="365" t="str">
        <f>IFERROR(X51*VLOOKUP(C51,'General price list'!C:I,7,FALSE),"")</f>
        <v/>
      </c>
      <c r="AA51" s="805" t="str">
        <f>IF(X51&lt;&gt;"",VLOOKUP(C51,'General price list'!C52:AN1026,MATCH("HM",Tabulka1[[#Headers],[KOD]:[NEQ]],0),FALSE),"")</f>
        <v/>
      </c>
    </row>
    <row r="52" spans="1:27">
      <c r="A52">
        <f>COUNTIF($W$22:W52,1)</f>
        <v>0</v>
      </c>
      <c r="B52">
        <v>52</v>
      </c>
      <c r="C52" s="340" t="str">
        <f>IFERROR(Tabulka1[[#This Row],[KOD]],"")</f>
        <v>BP30S</v>
      </c>
      <c r="W52" s="804" t="str">
        <f t="shared" si="2"/>
        <v/>
      </c>
      <c r="X52" s="154" t="str">
        <f t="shared" si="3"/>
        <v/>
      </c>
      <c r="Y52" s="341">
        <f>IF('General price list'!$AB53="",0,'General price list'!$AB53)</f>
        <v>0</v>
      </c>
      <c r="Z52" s="365" t="str">
        <f>IFERROR(X52*VLOOKUP(C52,'General price list'!C:I,7,FALSE),"")</f>
        <v/>
      </c>
      <c r="AA52" s="805" t="str">
        <f>IF(X52&lt;&gt;"",VLOOKUP(C52,'General price list'!C53:AN1027,MATCH("HM",Tabulka1[[#Headers],[KOD]:[NEQ]],0),FALSE),"")</f>
        <v/>
      </c>
    </row>
    <row r="53" spans="1:27">
      <c r="A53">
        <f>COUNTIF($W$22:W53,1)</f>
        <v>0</v>
      </c>
      <c r="B53">
        <v>53</v>
      </c>
      <c r="C53" s="340" t="str">
        <f>IFERROR(Tabulka1[[#This Row],[KOD]],"")</f>
        <v>CST12S</v>
      </c>
      <c r="W53" s="804" t="str">
        <f t="shared" si="2"/>
        <v/>
      </c>
      <c r="X53" s="154" t="str">
        <f t="shared" si="3"/>
        <v/>
      </c>
      <c r="Y53" s="341">
        <f>IF('General price list'!$AB54="",0,'General price list'!$AB54)</f>
        <v>0</v>
      </c>
      <c r="Z53" s="365" t="str">
        <f>IFERROR(X53*VLOOKUP(C53,'General price list'!C:I,7,FALSE),"")</f>
        <v/>
      </c>
      <c r="AA53" s="805" t="str">
        <f>IF(X53&lt;&gt;"",VLOOKUP(C53,'General price list'!C54:AN1028,MATCH("HM",Tabulka1[[#Headers],[KOD]:[NEQ]],0),FALSE),"")</f>
        <v/>
      </c>
    </row>
    <row r="54" spans="1:27">
      <c r="A54">
        <f>COUNTIF($W$22:W54,1)</f>
        <v>0</v>
      </c>
      <c r="B54">
        <v>54</v>
      </c>
      <c r="C54" s="340" t="str">
        <f>IFERROR(Tabulka1[[#This Row],[KOD]],"")</f>
        <v>CST40S</v>
      </c>
      <c r="W54" s="804" t="str">
        <f t="shared" si="2"/>
        <v/>
      </c>
      <c r="X54" s="154" t="str">
        <f t="shared" si="3"/>
        <v/>
      </c>
      <c r="Y54" s="341">
        <f>IF('General price list'!$AB55="",0,'General price list'!$AB55)</f>
        <v>0</v>
      </c>
      <c r="Z54" s="365" t="str">
        <f>IFERROR(X54*VLOOKUP(C54,'General price list'!C:I,7,FALSE),"")</f>
        <v/>
      </c>
      <c r="AA54" s="805" t="str">
        <f>IF(X54&lt;&gt;"",VLOOKUP(C54,'General price list'!C55:AN1029,MATCH("HM",Tabulka1[[#Headers],[KOD]:[NEQ]],0),FALSE),"")</f>
        <v/>
      </c>
    </row>
    <row r="55" spans="1:27">
      <c r="A55">
        <f>COUNTIF($W$22:W55,1)</f>
        <v>0</v>
      </c>
      <c r="B55">
        <v>55</v>
      </c>
      <c r="C55" s="340">
        <f>IFERROR(Tabulka1[[#This Row],[KOD]],"")</f>
        <v>0</v>
      </c>
      <c r="W55" s="804" t="str">
        <f t="shared" si="2"/>
        <v/>
      </c>
      <c r="X55" s="154" t="str">
        <f t="shared" si="3"/>
        <v/>
      </c>
      <c r="Y55" s="341">
        <f>IF('General price list'!$AB56="",0,'General price list'!$AB56)</f>
        <v>0</v>
      </c>
      <c r="Z55" s="365" t="str">
        <f>IFERROR(X55*VLOOKUP(C55,'General price list'!C:I,7,FALSE),"")</f>
        <v/>
      </c>
      <c r="AA55" s="805" t="str">
        <f>IF(X55&lt;&gt;"",VLOOKUP(C55,'General price list'!C56:AN1030,MATCH("HM",Tabulka1[[#Headers],[KOD]:[NEQ]],0),FALSE),"")</f>
        <v/>
      </c>
    </row>
    <row r="56" spans="1:27">
      <c r="A56">
        <f>COUNTIF($W$22:W56,1)</f>
        <v>0</v>
      </c>
      <c r="B56">
        <v>56</v>
      </c>
      <c r="C56" s="340" t="str">
        <f>IFERROR(Tabulka1[[#This Row],[KOD]],"")</f>
        <v>DP1TA</v>
      </c>
      <c r="W56" s="804" t="str">
        <f t="shared" si="2"/>
        <v/>
      </c>
      <c r="X56" s="154" t="str">
        <f t="shared" si="3"/>
        <v/>
      </c>
      <c r="Y56" s="341">
        <f>IF('General price list'!$AB57="",0,'General price list'!$AB57)</f>
        <v>0</v>
      </c>
      <c r="Z56" s="365" t="str">
        <f>IFERROR(X56*VLOOKUP(C56,'General price list'!C:I,7,FALSE),"")</f>
        <v/>
      </c>
      <c r="AA56" s="805" t="str">
        <f>IF(X56&lt;&gt;"",VLOOKUP(C56,'General price list'!C57:AN1031,MATCH("HM",Tabulka1[[#Headers],[KOD]:[NEQ]],0),FALSE),"")</f>
        <v/>
      </c>
    </row>
    <row r="57" spans="1:27">
      <c r="A57">
        <f>COUNTIF($W$22:W57,1)</f>
        <v>0</v>
      </c>
      <c r="B57">
        <v>57</v>
      </c>
      <c r="C57" s="340" t="str">
        <f>IFERROR(Tabulka1[[#This Row],[KOD]],"")</f>
        <v>DP1TA(1)</v>
      </c>
      <c r="W57" s="804" t="str">
        <f t="shared" si="2"/>
        <v/>
      </c>
      <c r="X57" s="154" t="str">
        <f t="shared" si="3"/>
        <v/>
      </c>
      <c r="Y57" s="341">
        <f>IF('General price list'!$AB58="",0,'General price list'!$AB58)</f>
        <v>0</v>
      </c>
      <c r="Z57" s="365" t="str">
        <f>IFERROR(X57*VLOOKUP(C57,'General price list'!C:I,7,FALSE),"")</f>
        <v/>
      </c>
      <c r="AA57" s="805" t="str">
        <f>IF(X57&lt;&gt;"",VLOOKUP(C57,'General price list'!C58:AN1032,MATCH("HM",Tabulka1[[#Headers],[KOD]:[NEQ]],0),FALSE),"")</f>
        <v/>
      </c>
    </row>
    <row r="58" spans="1:27">
      <c r="A58">
        <f>COUNTIF($W$22:W58,1)</f>
        <v>0</v>
      </c>
      <c r="B58">
        <v>58</v>
      </c>
      <c r="C58" s="340" t="str">
        <f>IFERROR(Tabulka1[[#This Row],[KOD]],"")</f>
        <v>DP1BS(1)</v>
      </c>
      <c r="W58" s="804" t="str">
        <f t="shared" si="2"/>
        <v/>
      </c>
      <c r="X58" s="154" t="str">
        <f t="shared" si="3"/>
        <v/>
      </c>
      <c r="Y58" s="341">
        <f>IF('General price list'!$AB59="",0,'General price list'!$AB59)</f>
        <v>0</v>
      </c>
      <c r="Z58" s="365" t="str">
        <f>IFERROR(X58*VLOOKUP(C58,'General price list'!C:I,7,FALSE),"")</f>
        <v/>
      </c>
      <c r="AA58" s="805" t="str">
        <f>IF(X58&lt;&gt;"",VLOOKUP(C58,'General price list'!C59:AN1033,MATCH("HM",Tabulka1[[#Headers],[KOD]:[NEQ]],0),FALSE),"")</f>
        <v/>
      </c>
    </row>
    <row r="59" spans="1:27">
      <c r="A59">
        <f>COUNTIF($W$22:W59,1)</f>
        <v>0</v>
      </c>
      <c r="B59">
        <v>59</v>
      </c>
      <c r="C59" s="340" t="str">
        <f>IFERROR(Tabulka1[[#This Row],[KOD]],"")</f>
        <v>DP1P</v>
      </c>
      <c r="W59" s="804" t="str">
        <f t="shared" si="2"/>
        <v/>
      </c>
      <c r="X59" s="154" t="str">
        <f t="shared" si="3"/>
        <v/>
      </c>
      <c r="Y59" s="341">
        <f>IF('General price list'!$AB60="",0,'General price list'!$AB60)</f>
        <v>0</v>
      </c>
      <c r="Z59" s="365" t="str">
        <f>IFERROR(X59*VLOOKUP(C59,'General price list'!C:I,7,FALSE),"")</f>
        <v/>
      </c>
      <c r="AA59" s="805" t="str">
        <f>IF(X59&lt;&gt;"",VLOOKUP(C59,'General price list'!C60:AN1034,MATCH("HM",Tabulka1[[#Headers],[KOD]:[NEQ]],0),FALSE),"")</f>
        <v/>
      </c>
    </row>
    <row r="60" spans="1:27">
      <c r="A60">
        <f>COUNTIF($W$22:W60,1)</f>
        <v>0</v>
      </c>
      <c r="B60">
        <v>60</v>
      </c>
      <c r="C60" s="340" t="str">
        <f>IFERROR(Tabulka1[[#This Row],[KOD]],"")</f>
        <v>DP2W</v>
      </c>
      <c r="W60" s="804" t="str">
        <f t="shared" si="2"/>
        <v/>
      </c>
      <c r="X60" s="154" t="str">
        <f t="shared" si="3"/>
        <v/>
      </c>
      <c r="Y60" s="341">
        <f>IF('General price list'!$AB61="",0,'General price list'!$AB61)</f>
        <v>0</v>
      </c>
      <c r="Z60" s="365" t="str">
        <f>IFERROR(X60*VLOOKUP(C60,'General price list'!C:I,7,FALSE),"")</f>
        <v/>
      </c>
      <c r="AA60" s="805" t="str">
        <f>IF(X60&lt;&gt;"",VLOOKUP(C60,'General price list'!C61:AN1035,MATCH("HM",Tabulka1[[#Headers],[KOD]:[NEQ]],0),FALSE),"")</f>
        <v/>
      </c>
    </row>
    <row r="61" spans="1:27">
      <c r="A61">
        <f>COUNTIF($W$22:W61,1)</f>
        <v>0</v>
      </c>
      <c r="B61">
        <v>61</v>
      </c>
      <c r="C61" s="340" t="str">
        <f>IFERROR(Tabulka1[[#This Row],[KOD]],"")</f>
        <v>S12S</v>
      </c>
      <c r="W61" s="804" t="str">
        <f t="shared" si="2"/>
        <v/>
      </c>
      <c r="X61" s="154" t="str">
        <f t="shared" si="3"/>
        <v/>
      </c>
      <c r="Y61" s="341">
        <f>IF('General price list'!$AB62="",0,'General price list'!$AB62)</f>
        <v>0</v>
      </c>
      <c r="Z61" s="365" t="str">
        <f>IFERROR(X61*VLOOKUP(C61,'General price list'!C:I,7,FALSE),"")</f>
        <v/>
      </c>
      <c r="AA61" s="805" t="str">
        <f>IF(X61&lt;&gt;"",VLOOKUP(C61,'General price list'!C62:AN1036,MATCH("HM",Tabulka1[[#Headers],[KOD]:[NEQ]],0),FALSE),"")</f>
        <v/>
      </c>
    </row>
    <row r="62" spans="1:27">
      <c r="A62">
        <f>COUNTIF($W$22:W62,1)</f>
        <v>0</v>
      </c>
      <c r="B62">
        <v>62</v>
      </c>
      <c r="C62" s="340" t="str">
        <f>IFERROR(Tabulka1[[#This Row],[KOD]],"")</f>
        <v>S12S(1)</v>
      </c>
      <c r="W62" s="804" t="str">
        <f t="shared" si="2"/>
        <v/>
      </c>
      <c r="X62" s="154" t="str">
        <f t="shared" si="3"/>
        <v/>
      </c>
      <c r="Y62" s="341">
        <f>IF('General price list'!$AB63="",0,'General price list'!$AB63)</f>
        <v>0</v>
      </c>
      <c r="Z62" s="365" t="str">
        <f>IFERROR(X62*VLOOKUP(C62,'General price list'!C:I,7,FALSE),"")</f>
        <v/>
      </c>
      <c r="AA62" s="805" t="str">
        <f>IF(X62&lt;&gt;"",VLOOKUP(C62,'General price list'!C63:AN1037,MATCH("HM",Tabulka1[[#Headers],[KOD]:[NEQ]],0),FALSE),"")</f>
        <v/>
      </c>
    </row>
    <row r="63" spans="1:27">
      <c r="A63">
        <f>COUNTIF($W$22:W63,1)</f>
        <v>0</v>
      </c>
      <c r="B63">
        <v>63</v>
      </c>
      <c r="C63" s="340">
        <f>IFERROR(Tabulka1[[#This Row],[KOD]],"")</f>
        <v>0</v>
      </c>
      <c r="W63" s="804" t="str">
        <f t="shared" si="2"/>
        <v/>
      </c>
      <c r="X63" s="154" t="str">
        <f t="shared" si="3"/>
        <v/>
      </c>
      <c r="Y63" s="341">
        <f>IF('General price list'!$AB65="",0,'General price list'!$AB65)</f>
        <v>0</v>
      </c>
      <c r="Z63" s="365" t="str">
        <f>IFERROR(X63*VLOOKUP(C63,'General price list'!C:I,7,FALSE),"")</f>
        <v/>
      </c>
      <c r="AA63" s="805" t="str">
        <f>IF(X63&lt;&gt;"",VLOOKUP(C63,'General price list'!C65:AN1038,MATCH("HM",Tabulka1[[#Headers],[KOD]:[NEQ]],0),FALSE),"")</f>
        <v/>
      </c>
    </row>
    <row r="64" spans="1:27">
      <c r="A64">
        <f>COUNTIF($W$22:W64,1)</f>
        <v>0</v>
      </c>
      <c r="B64">
        <v>64</v>
      </c>
      <c r="C64" s="340" t="str">
        <f>IFERROR(Tabulka1[[#This Row],[KOD]],"")</f>
        <v>CB1DB</v>
      </c>
      <c r="W64" s="804" t="str">
        <f t="shared" si="2"/>
        <v/>
      </c>
      <c r="X64" s="154" t="str">
        <f t="shared" si="3"/>
        <v/>
      </c>
      <c r="Y64" s="341">
        <f>IF('General price list'!$AB66="",0,'General price list'!$AB66)</f>
        <v>0</v>
      </c>
      <c r="Z64" s="365" t="str">
        <f>IFERROR(X64*VLOOKUP(C64,'General price list'!C:I,7,FALSE),"")</f>
        <v/>
      </c>
      <c r="AA64" s="805" t="str">
        <f>IF(X64&lt;&gt;"",VLOOKUP(C64,'General price list'!C66:AN1039,MATCH("HM",Tabulka1[[#Headers],[KOD]:[NEQ]],0),FALSE),"")</f>
        <v/>
      </c>
    </row>
    <row r="65" spans="1:27">
      <c r="A65">
        <f>COUNTIF($W$22:W65,1)</f>
        <v>0</v>
      </c>
      <c r="B65">
        <v>65</v>
      </c>
      <c r="C65" s="340" t="str">
        <f>IFERROR(Tabulka1[[#This Row],[KOD]],"")</f>
        <v>DP1VC</v>
      </c>
      <c r="W65" s="804" t="str">
        <f t="shared" si="2"/>
        <v/>
      </c>
      <c r="X65" s="154" t="str">
        <f t="shared" si="3"/>
        <v/>
      </c>
      <c r="Y65" s="341">
        <f>IF('General price list'!$AB67="",0,'General price list'!$AB67)</f>
        <v>0</v>
      </c>
      <c r="Z65" s="365" t="str">
        <f>IFERROR(X65*VLOOKUP(C65,'General price list'!C:I,7,FALSE),"")</f>
        <v/>
      </c>
      <c r="AA65" s="805" t="str">
        <f>IF(X65&lt;&gt;"",VLOOKUP(C65,'General price list'!C67:AN1040,MATCH("HM",Tabulka1[[#Headers],[KOD]:[NEQ]],0),FALSE),"")</f>
        <v/>
      </c>
    </row>
    <row r="66" spans="1:27">
      <c r="A66">
        <f>COUNTIF($W$22:W66,1)</f>
        <v>0</v>
      </c>
      <c r="B66">
        <v>66</v>
      </c>
      <c r="C66" s="340" t="str">
        <f>IFERROR(Tabulka1[[#This Row],[KOD]],"")</f>
        <v>LM0SW</v>
      </c>
      <c r="W66" s="804" t="str">
        <f t="shared" si="2"/>
        <v/>
      </c>
      <c r="X66" s="154" t="str">
        <f t="shared" si="3"/>
        <v/>
      </c>
      <c r="Y66" s="341">
        <f>IF('General price list'!$AB68="",0,'General price list'!$AB68)</f>
        <v>0</v>
      </c>
      <c r="Z66" s="365" t="str">
        <f>IFERROR(X66*VLOOKUP(C66,'General price list'!C:I,7,FALSE),"")</f>
        <v/>
      </c>
      <c r="AA66" s="805" t="str">
        <f>IF(X66&lt;&gt;"",VLOOKUP(C66,'General price list'!C68:AN1041,MATCH("HM",Tabulka1[[#Headers],[KOD]:[NEQ]],0),FALSE),"")</f>
        <v/>
      </c>
    </row>
    <row r="67" spans="1:27">
      <c r="A67">
        <f>COUNTIF($W$22:W67,1)</f>
        <v>0</v>
      </c>
      <c r="B67">
        <v>67</v>
      </c>
      <c r="C67" s="340" t="str">
        <f>IFERROR(Tabulka1[[#This Row],[KOD]],"")</f>
        <v>LM1O</v>
      </c>
      <c r="W67" s="804" t="str">
        <f t="shared" si="2"/>
        <v/>
      </c>
      <c r="X67" s="154" t="str">
        <f t="shared" si="3"/>
        <v/>
      </c>
      <c r="Y67" s="341">
        <f>IF('General price list'!$AB69="",0,'General price list'!$AB69)</f>
        <v>0</v>
      </c>
      <c r="Z67" s="365" t="str">
        <f>IFERROR(X67*VLOOKUP(C67,'General price list'!C:I,7,FALSE),"")</f>
        <v/>
      </c>
      <c r="AA67" s="805" t="str">
        <f>IF(X67&lt;&gt;"",VLOOKUP(C67,'General price list'!C69:AN1042,MATCH("HM",Tabulka1[[#Headers],[KOD]:[NEQ]],0),FALSE),"")</f>
        <v/>
      </c>
    </row>
    <row r="68" spans="1:27">
      <c r="A68">
        <f>COUNTIF($W$22:W68,1)</f>
        <v>0</v>
      </c>
      <c r="B68">
        <v>68</v>
      </c>
      <c r="C68" s="340" t="str">
        <f>IFERROR(Tabulka1[[#This Row],[KOD]],"")</f>
        <v>LM2C</v>
      </c>
      <c r="W68" s="804" t="str">
        <f t="shared" si="2"/>
        <v/>
      </c>
      <c r="X68" s="154" t="str">
        <f t="shared" si="3"/>
        <v/>
      </c>
      <c r="Y68" s="341">
        <f>IF('General price list'!$AB70="",0,'General price list'!$AB70)</f>
        <v>0</v>
      </c>
      <c r="Z68" s="365" t="str">
        <f>IFERROR(X68*VLOOKUP(C68,'General price list'!C:I,7,FALSE),"")</f>
        <v/>
      </c>
      <c r="AA68" s="805" t="str">
        <f>IF(X68&lt;&gt;"",VLOOKUP(C68,'General price list'!C70:AN1043,MATCH("HM",Tabulka1[[#Headers],[KOD]:[NEQ]],0),FALSE),"")</f>
        <v/>
      </c>
    </row>
    <row r="69" spans="1:27">
      <c r="A69">
        <f>COUNTIF($W$22:W69,1)</f>
        <v>0</v>
      </c>
      <c r="B69">
        <v>69</v>
      </c>
      <c r="C69" s="340" t="str">
        <f>IFERROR(Tabulka1[[#This Row],[KOD]],"")</f>
        <v>LM2V</v>
      </c>
      <c r="W69" s="804" t="str">
        <f t="shared" si="2"/>
        <v/>
      </c>
      <c r="X69" s="154" t="str">
        <f t="shared" si="3"/>
        <v/>
      </c>
      <c r="Y69" s="341">
        <f>IF('General price list'!$AB71="",0,'General price list'!$AB71)</f>
        <v>0</v>
      </c>
      <c r="Z69" s="365" t="str">
        <f>IFERROR(X69*VLOOKUP(C69,'General price list'!C:I,7,FALSE),"")</f>
        <v/>
      </c>
      <c r="AA69" s="805" t="str">
        <f>IF(X69&lt;&gt;"",VLOOKUP(C69,'General price list'!C71:AN1044,MATCH("HM",Tabulka1[[#Headers],[KOD]:[NEQ]],0),FALSE),"")</f>
        <v/>
      </c>
    </row>
    <row r="70" spans="1:27">
      <c r="A70">
        <f>COUNTIF($W$22:W70,1)</f>
        <v>0</v>
      </c>
      <c r="B70">
        <v>70</v>
      </c>
      <c r="C70" s="340" t="str">
        <f>IFERROR(Tabulka1[[#This Row],[KOD]],"")</f>
        <v>LM3T</v>
      </c>
      <c r="W70" s="804" t="str">
        <f t="shared" si="2"/>
        <v/>
      </c>
      <c r="X70" s="154" t="str">
        <f t="shared" si="3"/>
        <v/>
      </c>
      <c r="Y70" s="341">
        <f>IF('General price list'!$AB72="",0,'General price list'!$AB72)</f>
        <v>0</v>
      </c>
      <c r="Z70" s="365" t="str">
        <f>IFERROR(X70*VLOOKUP(C70,'General price list'!C:I,7,FALSE),"")</f>
        <v/>
      </c>
      <c r="AA70" s="805" t="str">
        <f>IF(X70&lt;&gt;"",VLOOKUP(C70,'General price list'!C72:AN1045,MATCH("HM",Tabulka1[[#Headers],[KOD]:[NEQ]],0),FALSE),"")</f>
        <v/>
      </c>
    </row>
    <row r="71" spans="1:27">
      <c r="A71">
        <f>COUNTIF($W$22:W71,1)</f>
        <v>0</v>
      </c>
      <c r="B71">
        <v>71</v>
      </c>
      <c r="C71" s="340" t="str">
        <f>IFERROR(Tabulka1[[#This Row],[KOD]],"")</f>
        <v>LM4O</v>
      </c>
      <c r="W71" s="804" t="str">
        <f t="shared" si="2"/>
        <v/>
      </c>
      <c r="X71" s="154" t="str">
        <f t="shared" si="3"/>
        <v/>
      </c>
      <c r="Y71" s="341">
        <f>IF('General price list'!$AB73="",0,'General price list'!$AB73)</f>
        <v>0</v>
      </c>
      <c r="Z71" s="365" t="str">
        <f>IFERROR(X71*VLOOKUP(C71,'General price list'!C:I,7,FALSE),"")</f>
        <v/>
      </c>
      <c r="AA71" s="805" t="str">
        <f>IF(X71&lt;&gt;"",VLOOKUP(C71,'General price list'!C73:AN1046,MATCH("HM",Tabulka1[[#Headers],[KOD]:[NEQ]],0),FALSE),"")</f>
        <v/>
      </c>
    </row>
    <row r="72" spans="1:27">
      <c r="A72">
        <f>COUNTIF($W$22:W72,1)</f>
        <v>0</v>
      </c>
      <c r="B72">
        <v>72</v>
      </c>
      <c r="C72" s="340" t="str">
        <f>IFERROR(Tabulka1[[#This Row],[KOD]],"")</f>
        <v>LM5W</v>
      </c>
      <c r="W72" s="804" t="str">
        <f t="shared" si="2"/>
        <v/>
      </c>
      <c r="X72" s="154" t="str">
        <f t="shared" si="3"/>
        <v/>
      </c>
      <c r="Y72" s="341">
        <f>IF('General price list'!$AB74="",0,'General price list'!$AB74)</f>
        <v>0</v>
      </c>
      <c r="Z72" s="365" t="str">
        <f>IFERROR(X72*VLOOKUP(C72,'General price list'!C:I,7,FALSE),"")</f>
        <v/>
      </c>
      <c r="AA72" s="805" t="str">
        <f>IF(X72&lt;&gt;"",VLOOKUP(C72,'General price list'!C74:AN1047,MATCH("HM",Tabulka1[[#Headers],[KOD]:[NEQ]],0),FALSE),"")</f>
        <v/>
      </c>
    </row>
    <row r="73" spans="1:27">
      <c r="A73">
        <f>COUNTIF($W$22:W73,1)</f>
        <v>0</v>
      </c>
      <c r="B73">
        <v>73</v>
      </c>
      <c r="C73" s="340" t="str">
        <f>IFERROR(Tabulka1[[#This Row],[KOD]],"")</f>
        <v>LM6M</v>
      </c>
      <c r="W73" s="804" t="str">
        <f t="shared" si="2"/>
        <v/>
      </c>
      <c r="X73" s="154" t="str">
        <f t="shared" si="3"/>
        <v/>
      </c>
      <c r="Y73" s="341">
        <f>IF('General price list'!$AB75="",0,'General price list'!$AB75)</f>
        <v>0</v>
      </c>
      <c r="Z73" s="365" t="str">
        <f>IFERROR(X73*VLOOKUP(C73,'General price list'!C:I,7,FALSE),"")</f>
        <v/>
      </c>
      <c r="AA73" s="805" t="str">
        <f>IF(X73&lt;&gt;"",VLOOKUP(C73,'General price list'!C75:AN1048,MATCH("HM",Tabulka1[[#Headers],[KOD]:[NEQ]],0),FALSE),"")</f>
        <v/>
      </c>
    </row>
    <row r="74" spans="1:27">
      <c r="A74">
        <f>COUNTIF($W$22:W74,1)</f>
        <v>0</v>
      </c>
      <c r="B74">
        <v>74</v>
      </c>
      <c r="C74" s="340" t="str">
        <f>IFERROR(Tabulka1[[#This Row],[KOD]],"")</f>
        <v>LM7S</v>
      </c>
      <c r="W74" s="804" t="str">
        <f t="shared" si="2"/>
        <v/>
      </c>
      <c r="X74" s="154" t="str">
        <f t="shared" si="3"/>
        <v/>
      </c>
      <c r="Y74" s="341">
        <f>IF('General price list'!$AB76="",0,'General price list'!$AB76)</f>
        <v>0</v>
      </c>
      <c r="Z74" s="365" t="str">
        <f>IFERROR(X74*VLOOKUP(C74,'General price list'!C:I,7,FALSE),"")</f>
        <v/>
      </c>
      <c r="AA74" s="805" t="str">
        <f>IF(X74&lt;&gt;"",VLOOKUP(C74,'General price list'!C76:AN1049,MATCH("HM",Tabulka1[[#Headers],[KOD]:[NEQ]],0),FALSE),"")</f>
        <v/>
      </c>
    </row>
    <row r="75" spans="1:27">
      <c r="A75">
        <f>COUNTIF($W$22:W75,1)</f>
        <v>0</v>
      </c>
      <c r="B75">
        <v>75</v>
      </c>
      <c r="C75" s="340" t="str">
        <f>IFERROR(Tabulka1[[#This Row],[KOD]],"")</f>
        <v>LM8SA</v>
      </c>
      <c r="W75" s="804" t="str">
        <f t="shared" si="2"/>
        <v/>
      </c>
      <c r="X75" s="154" t="str">
        <f t="shared" si="3"/>
        <v/>
      </c>
      <c r="Y75" s="341">
        <f>IF('General price list'!$AB77="",0,'General price list'!$AB77)</f>
        <v>0</v>
      </c>
      <c r="Z75" s="365" t="str">
        <f>IFERROR(X75*VLOOKUP(C75,'General price list'!C:I,7,FALSE),"")</f>
        <v/>
      </c>
      <c r="AA75" s="805" t="str">
        <f>IF(X75&lt;&gt;"",VLOOKUP(C75,'General price list'!C77:AN1050,MATCH("HM",Tabulka1[[#Headers],[KOD]:[NEQ]],0),FALSE),"")</f>
        <v/>
      </c>
    </row>
    <row r="76" spans="1:27">
      <c r="A76">
        <f>COUNTIF($W$22:W76,1)</f>
        <v>0</v>
      </c>
      <c r="B76">
        <v>76</v>
      </c>
      <c r="C76" s="340" t="str">
        <f>IFERROR(Tabulka1[[#This Row],[KOD]],"")</f>
        <v>SU45B</v>
      </c>
      <c r="W76" s="804" t="str">
        <f t="shared" si="2"/>
        <v/>
      </c>
      <c r="X76" s="154" t="str">
        <f t="shared" si="3"/>
        <v/>
      </c>
      <c r="Y76" s="341">
        <f>IF('General price list'!$AB78="",0,'General price list'!$AB78)</f>
        <v>0</v>
      </c>
      <c r="Z76" s="365" t="str">
        <f>IFERROR(X76*VLOOKUP(C76,'General price list'!C:I,7,FALSE),"")</f>
        <v/>
      </c>
      <c r="AA76" s="805" t="str">
        <f>IF(X76&lt;&gt;"",VLOOKUP(C76,'General price list'!C78:AN1051,MATCH("HM",Tabulka1[[#Headers],[KOD]:[NEQ]],0),FALSE),"")</f>
        <v/>
      </c>
    </row>
    <row r="77" spans="1:27">
      <c r="A77">
        <f>COUNTIF($W$22:W77,1)</f>
        <v>0</v>
      </c>
      <c r="B77">
        <v>77</v>
      </c>
      <c r="C77" s="340" t="str">
        <f>IFERROR(Tabulka1[[#This Row],[KOD]],"")</f>
        <v>RD8</v>
      </c>
      <c r="W77" s="804" t="str">
        <f t="shared" si="2"/>
        <v/>
      </c>
      <c r="X77" s="154" t="str">
        <f t="shared" si="3"/>
        <v/>
      </c>
      <c r="Y77" s="341">
        <f>IF('General price list'!$AB79="",0,'General price list'!$AB79)</f>
        <v>0</v>
      </c>
      <c r="Z77" s="365" t="str">
        <f>IFERROR(X77*VLOOKUP(C77,'General price list'!C:I,7,FALSE),"")</f>
        <v/>
      </c>
      <c r="AA77" s="805" t="str">
        <f>IF(X77&lt;&gt;"",VLOOKUP(C77,'General price list'!C79:AN1052,MATCH("HM",Tabulka1[[#Headers],[KOD]:[NEQ]],0),FALSE),"")</f>
        <v/>
      </c>
    </row>
    <row r="78" spans="1:27">
      <c r="A78">
        <f>COUNTIF($W$22:W78,1)</f>
        <v>0</v>
      </c>
      <c r="B78">
        <v>78</v>
      </c>
      <c r="C78" s="340">
        <f>IFERROR(Tabulka1[[#This Row],[KOD]],"")</f>
        <v>0</v>
      </c>
      <c r="W78" s="804" t="str">
        <f t="shared" si="2"/>
        <v/>
      </c>
      <c r="X78" s="154" t="str">
        <f t="shared" si="3"/>
        <v/>
      </c>
      <c r="Y78" s="341">
        <f>IF('General price list'!$AB80="",0,'General price list'!$AB80)</f>
        <v>0</v>
      </c>
      <c r="Z78" s="365" t="str">
        <f>IFERROR(X78*VLOOKUP(C78,'General price list'!C:I,7,FALSE),"")</f>
        <v/>
      </c>
      <c r="AA78" s="805" t="str">
        <f>IF(X78&lt;&gt;"",VLOOKUP(C78,'General price list'!C80:AN1053,MATCH("HM",Tabulka1[[#Headers],[KOD]:[NEQ]],0),FALSE),"")</f>
        <v/>
      </c>
    </row>
    <row r="79" spans="1:27">
      <c r="A79">
        <f>COUNTIF($W$22:W79,1)</f>
        <v>0</v>
      </c>
      <c r="B79">
        <v>79</v>
      </c>
      <c r="C79" s="340" t="str">
        <f>IFERROR(Tabulka1[[#This Row],[KOD]],"")</f>
        <v>DS1</v>
      </c>
      <c r="W79" s="804" t="str">
        <f t="shared" si="2"/>
        <v/>
      </c>
      <c r="X79" s="154" t="str">
        <f t="shared" si="3"/>
        <v/>
      </c>
      <c r="Y79" s="341">
        <f>IF('General price list'!$AB81="",0,'General price list'!$AB81)</f>
        <v>0</v>
      </c>
      <c r="Z79" s="365" t="str">
        <f>IFERROR(X79*VLOOKUP(C79,'General price list'!C:I,7,FALSE),"")</f>
        <v/>
      </c>
      <c r="AA79" s="805" t="str">
        <f>IF(X79&lt;&gt;"",VLOOKUP(C79,'General price list'!C81:AN1054,MATCH("HM",Tabulka1[[#Headers],[KOD]:[NEQ]],0),FALSE),"")</f>
        <v/>
      </c>
    </row>
    <row r="80" spans="1:27">
      <c r="A80">
        <f>COUNTIF($W$22:W80,1)</f>
        <v>0</v>
      </c>
      <c r="B80">
        <v>80</v>
      </c>
      <c r="C80" s="340" t="str">
        <f>IFERROR(Tabulka1[[#This Row],[KOD]],"")</f>
        <v>RB1</v>
      </c>
      <c r="W80" s="804" t="str">
        <f t="shared" si="2"/>
        <v/>
      </c>
      <c r="X80" s="154" t="str">
        <f t="shared" si="3"/>
        <v/>
      </c>
      <c r="Y80" s="341">
        <f>IF('General price list'!$AB82="",0,'General price list'!$AB82)</f>
        <v>0</v>
      </c>
      <c r="Z80" s="365" t="str">
        <f>IFERROR(X80*VLOOKUP(C80,'General price list'!C:I,7,FALSE),"")</f>
        <v/>
      </c>
      <c r="AA80" s="805" t="str">
        <f>IF(X80&lt;&gt;"",VLOOKUP(C80,'General price list'!C82:AN1055,MATCH("HM",Tabulka1[[#Headers],[KOD]:[NEQ]],0),FALSE),"")</f>
        <v/>
      </c>
    </row>
    <row r="81" spans="1:27">
      <c r="A81">
        <f>COUNTIF($W$22:W81,1)</f>
        <v>0</v>
      </c>
      <c r="B81">
        <v>81</v>
      </c>
      <c r="C81" s="340" t="str">
        <f>IFERROR(Tabulka1[[#This Row],[KOD]],"")</f>
        <v>FPS1</v>
      </c>
      <c r="W81" s="804" t="str">
        <f t="shared" si="2"/>
        <v/>
      </c>
      <c r="X81" s="154" t="str">
        <f t="shared" si="3"/>
        <v/>
      </c>
      <c r="Y81" s="341">
        <f>IF('General price list'!$AB83="",0,'General price list'!$AB83)</f>
        <v>0</v>
      </c>
      <c r="Z81" s="365" t="str">
        <f>IFERROR(X81*VLOOKUP(C81,'General price list'!C:I,7,FALSE),"")</f>
        <v/>
      </c>
      <c r="AA81" s="805" t="str">
        <f>IF(X81&lt;&gt;"",VLOOKUP(C81,'General price list'!C83:AN1056,MATCH("HM",Tabulka1[[#Headers],[KOD]:[NEQ]],0),FALSE),"")</f>
        <v/>
      </c>
    </row>
    <row r="82" spans="1:27">
      <c r="A82">
        <f>COUNTIF($W$22:W82,1)</f>
        <v>0</v>
      </c>
      <c r="B82">
        <v>82</v>
      </c>
      <c r="C82" s="340">
        <f>IFERROR(Tabulka1[[#This Row],[KOD]],"")</f>
        <v>0</v>
      </c>
      <c r="W82" s="804" t="str">
        <f t="shared" si="2"/>
        <v/>
      </c>
      <c r="X82" s="154" t="str">
        <f t="shared" si="3"/>
        <v/>
      </c>
      <c r="Y82" s="341">
        <f>IF('General price list'!$AB84="",0,'General price list'!$AB84)</f>
        <v>0</v>
      </c>
      <c r="Z82" s="365" t="str">
        <f>IFERROR(X82*VLOOKUP(C82,'General price list'!C:I,7,FALSE),"")</f>
        <v/>
      </c>
      <c r="AA82" s="805" t="str">
        <f>IF(X82&lt;&gt;"",VLOOKUP(C82,'General price list'!C84:AN1057,MATCH("HM",Tabulka1[[#Headers],[KOD]:[NEQ]],0),FALSE),"")</f>
        <v/>
      </c>
    </row>
    <row r="83" spans="1:27">
      <c r="A83">
        <f>COUNTIF($W$22:W83,1)</f>
        <v>0</v>
      </c>
      <c r="B83">
        <v>83</v>
      </c>
      <c r="C83" s="340" t="str">
        <f>IFERROR(Tabulka1[[#This Row],[KOD]],"")</f>
        <v>VP90</v>
      </c>
      <c r="W83" s="804" t="str">
        <f t="shared" si="2"/>
        <v/>
      </c>
      <c r="X83" s="154" t="str">
        <f t="shared" si="3"/>
        <v/>
      </c>
      <c r="Y83" s="341">
        <f>IF('General price list'!$AB85="",0,'General price list'!$AB85)</f>
        <v>0</v>
      </c>
      <c r="Z83" s="365" t="str">
        <f>IFERROR(X83*VLOOKUP(C83,'General price list'!C:I,7,FALSE),"")</f>
        <v/>
      </c>
      <c r="AA83" s="805" t="str">
        <f>IF(X83&lt;&gt;"",VLOOKUP(C83,'General price list'!C85:AN1058,MATCH("HM",Tabulka1[[#Headers],[KOD]:[NEQ]],0),FALSE),"")</f>
        <v/>
      </c>
    </row>
    <row r="84" spans="1:27">
      <c r="A84">
        <f>COUNTIF($W$22:W84,1)</f>
        <v>0</v>
      </c>
      <c r="B84">
        <v>84</v>
      </c>
      <c r="C84" s="340" t="str">
        <f>IFERROR(Tabulka1[[#This Row],[KOD]],"")</f>
        <v>VP70</v>
      </c>
      <c r="W84" s="804" t="str">
        <f t="shared" si="2"/>
        <v/>
      </c>
      <c r="X84" s="154" t="str">
        <f t="shared" si="3"/>
        <v/>
      </c>
      <c r="Y84" s="341">
        <f>IF('General price list'!$AB86="",0,'General price list'!$AB86)</f>
        <v>0</v>
      </c>
      <c r="Z84" s="365" t="str">
        <f>IFERROR(X84*VLOOKUP(C84,'General price list'!C:I,7,FALSE),"")</f>
        <v/>
      </c>
      <c r="AA84" s="805" t="str">
        <f>IF(X84&lt;&gt;"",VLOOKUP(C84,'General price list'!C86:AN1059,MATCH("HM",Tabulka1[[#Headers],[KOD]:[NEQ]],0),FALSE),"")</f>
        <v/>
      </c>
    </row>
    <row r="85" spans="1:27">
      <c r="A85">
        <f>COUNTIF($W$22:W85,1)</f>
        <v>0</v>
      </c>
      <c r="B85">
        <v>85</v>
      </c>
      <c r="C85" s="340" t="str">
        <f>IFERROR(Tabulka1[[#This Row],[KOD]],"")</f>
        <v>VP70W</v>
      </c>
      <c r="W85" s="804" t="str">
        <f t="shared" si="2"/>
        <v/>
      </c>
      <c r="X85" s="154" t="str">
        <f t="shared" si="3"/>
        <v/>
      </c>
      <c r="Y85" s="341">
        <f>IF('General price list'!$AB87="",0,'General price list'!$AB87)</f>
        <v>0</v>
      </c>
      <c r="Z85" s="365" t="str">
        <f>IFERROR(X85*VLOOKUP(C85,'General price list'!C:I,7,FALSE),"")</f>
        <v/>
      </c>
      <c r="AA85" s="805" t="str">
        <f>IF(X85&lt;&gt;"",VLOOKUP(C85,'General price list'!C87:AN1060,MATCH("HM",Tabulka1[[#Headers],[KOD]:[NEQ]],0),FALSE),"")</f>
        <v/>
      </c>
    </row>
    <row r="86" spans="1:27">
      <c r="A86">
        <f>COUNTIF($W$22:W86,1)</f>
        <v>0</v>
      </c>
      <c r="B86">
        <v>86</v>
      </c>
      <c r="C86" s="340" t="str">
        <f>IFERROR(Tabulka1[[#This Row],[KOD]],"")</f>
        <v>VP40</v>
      </c>
      <c r="W86" s="804" t="str">
        <f t="shared" si="2"/>
        <v/>
      </c>
      <c r="X86" s="154" t="str">
        <f t="shared" si="3"/>
        <v/>
      </c>
      <c r="Y86" s="341">
        <f>IF('General price list'!$AB88="",0,'General price list'!$AB88)</f>
        <v>0</v>
      </c>
      <c r="Z86" s="365" t="str">
        <f>IFERROR(X86*VLOOKUP(C86,'General price list'!C:I,7,FALSE),"")</f>
        <v/>
      </c>
      <c r="AA86" s="805" t="str">
        <f>IF(X86&lt;&gt;"",VLOOKUP(C86,'General price list'!C88:AN1061,MATCH("HM",Tabulka1[[#Headers],[KOD]:[NEQ]],0),FALSE),"")</f>
        <v/>
      </c>
    </row>
    <row r="87" spans="1:27">
      <c r="A87">
        <f>COUNTIF($W$22:W87,1)</f>
        <v>0</v>
      </c>
      <c r="B87">
        <v>87</v>
      </c>
      <c r="C87" s="340" t="str">
        <f>IFERROR(Tabulka1[[#This Row],[KOD]],"")</f>
        <v>VP40/20</v>
      </c>
      <c r="W87" s="804" t="str">
        <f t="shared" si="2"/>
        <v/>
      </c>
      <c r="X87" s="154" t="str">
        <f t="shared" si="3"/>
        <v/>
      </c>
      <c r="Y87" s="341">
        <f>IF('General price list'!$AB89="",0,'General price list'!$AB89)</f>
        <v>0</v>
      </c>
      <c r="Z87" s="365" t="str">
        <f>IFERROR(X87*VLOOKUP(C87,'General price list'!C:I,7,FALSE),"")</f>
        <v/>
      </c>
      <c r="AA87" s="805" t="str">
        <f>IF(X87&lt;&gt;"",VLOOKUP(C87,'General price list'!C89:AN1062,MATCH("HM",Tabulka1[[#Headers],[KOD]:[NEQ]],0),FALSE),"")</f>
        <v/>
      </c>
    </row>
    <row r="88" spans="1:27">
      <c r="A88">
        <f>COUNTIF($W$22:W88,1)</f>
        <v>0</v>
      </c>
      <c r="B88">
        <v>88</v>
      </c>
      <c r="C88" s="340" t="str">
        <f>IFERROR(Tabulka1[[#This Row],[KOD]],"")</f>
        <v>VP40W</v>
      </c>
      <c r="W88" s="804" t="str">
        <f t="shared" ref="W88:W151" si="4">IF(Y88+1=1,"",1)</f>
        <v/>
      </c>
      <c r="X88" s="154" t="str">
        <f t="shared" ref="X88:X151" si="5">IF(Y88+1=1,"",Y88)</f>
        <v/>
      </c>
      <c r="Y88" s="341">
        <f>IF('General price list'!$AB90="",0,'General price list'!$AB90)</f>
        <v>0</v>
      </c>
      <c r="Z88" s="365" t="str">
        <f>IFERROR(X88*VLOOKUP(C88,'General price list'!C:I,7,FALSE),"")</f>
        <v/>
      </c>
      <c r="AA88" s="805" t="str">
        <f>IF(X88&lt;&gt;"",VLOOKUP(C88,'General price list'!C90:AN1063,MATCH("HM",Tabulka1[[#Headers],[KOD]:[NEQ]],0),FALSE),"")</f>
        <v/>
      </c>
    </row>
    <row r="89" spans="1:27">
      <c r="A89">
        <f>COUNTIF($W$22:W89,1)</f>
        <v>0</v>
      </c>
      <c r="B89">
        <v>89</v>
      </c>
      <c r="C89" s="340" t="str">
        <f>IFERROR(Tabulka1[[#This Row],[KOD]],"")</f>
        <v>VP28</v>
      </c>
      <c r="W89" s="804" t="str">
        <f t="shared" si="4"/>
        <v/>
      </c>
      <c r="X89" s="154" t="str">
        <f t="shared" si="5"/>
        <v/>
      </c>
      <c r="Y89" s="341">
        <f>IF('General price list'!$AB91="",0,'General price list'!$AB91)</f>
        <v>0</v>
      </c>
      <c r="Z89" s="365" t="str">
        <f>IFERROR(X89*VLOOKUP(C89,'General price list'!C:I,7,FALSE),"")</f>
        <v/>
      </c>
      <c r="AA89" s="805" t="str">
        <f>IF(X89&lt;&gt;"",VLOOKUP(C89,'General price list'!C91:AN1064,MATCH("HM",Tabulka1[[#Headers],[KOD]:[NEQ]],0),FALSE),"")</f>
        <v/>
      </c>
    </row>
    <row r="90" spans="1:27">
      <c r="A90">
        <f>COUNTIF($W$22:W90,1)</f>
        <v>0</v>
      </c>
      <c r="B90">
        <v>90</v>
      </c>
      <c r="C90" s="340" t="str">
        <f>IFERROR(Tabulka1[[#This Row],[KOD]],"")</f>
        <v>VP16A</v>
      </c>
      <c r="W90" s="804" t="str">
        <f t="shared" si="4"/>
        <v/>
      </c>
      <c r="X90" s="154" t="str">
        <f t="shared" si="5"/>
        <v/>
      </c>
      <c r="Y90" s="341">
        <f>IF('General price list'!$AB92="",0,'General price list'!$AB92)</f>
        <v>0</v>
      </c>
      <c r="Z90" s="365" t="str">
        <f>IFERROR(X90*VLOOKUP(C90,'General price list'!C:I,7,FALSE),"")</f>
        <v/>
      </c>
      <c r="AA90" s="805" t="str">
        <f>IF(X90&lt;&gt;"",VLOOKUP(C90,'General price list'!C92:AN1065,MATCH("HM",Tabulka1[[#Headers],[KOD]:[NEQ]],0),FALSE),"")</f>
        <v/>
      </c>
    </row>
    <row r="91" spans="1:27">
      <c r="A91">
        <f>COUNTIF($W$22:W91,1)</f>
        <v>0</v>
      </c>
      <c r="B91">
        <v>91</v>
      </c>
      <c r="C91" s="340" t="str">
        <f>IFERROR(Tabulka1[[#This Row],[KOD]],"")</f>
        <v>VP16A(1)</v>
      </c>
      <c r="W91" s="804" t="str">
        <f t="shared" si="4"/>
        <v/>
      </c>
      <c r="X91" s="154" t="str">
        <f t="shared" si="5"/>
        <v/>
      </c>
      <c r="Y91" s="341">
        <f>IF('General price list'!$AB93="",0,'General price list'!$AB93)</f>
        <v>0</v>
      </c>
      <c r="Z91" s="365" t="str">
        <f>IFERROR(X91*VLOOKUP(C91,'General price list'!C:I,7,FALSE),"")</f>
        <v/>
      </c>
      <c r="AA91" s="805" t="str">
        <f>IF(X91&lt;&gt;"",VLOOKUP(C91,'General price list'!C93:AN1066,MATCH("HM",Tabulka1[[#Headers],[KOD]:[NEQ]],0),FALSE),"")</f>
        <v/>
      </c>
    </row>
    <row r="92" spans="1:27">
      <c r="A92">
        <f>COUNTIF($W$22:W92,1)</f>
        <v>0</v>
      </c>
      <c r="B92">
        <v>92</v>
      </c>
      <c r="C92" s="340">
        <f>IFERROR(Tabulka1[[#This Row],[KOD]],"")</f>
        <v>0</v>
      </c>
      <c r="W92" s="804" t="str">
        <f t="shared" si="4"/>
        <v/>
      </c>
      <c r="X92" s="154" t="str">
        <f t="shared" si="5"/>
        <v/>
      </c>
      <c r="Y92" s="341">
        <f>IF('General price list'!$AB94="",0,'General price list'!$AB94)</f>
        <v>0</v>
      </c>
      <c r="Z92" s="365" t="str">
        <f>IFERROR(X92*VLOOKUP(C92,'General price list'!C:I,7,FALSE),"")</f>
        <v/>
      </c>
      <c r="AA92" s="805" t="str">
        <f>IF(X92&lt;&gt;"",VLOOKUP(C92,'General price list'!C94:AN1067,MATCH("HM",Tabulka1[[#Headers],[KOD]:[NEQ]],0),FALSE),"")</f>
        <v/>
      </c>
    </row>
    <row r="93" spans="1:27">
      <c r="A93">
        <f>COUNTIF($W$22:W93,1)</f>
        <v>0</v>
      </c>
      <c r="B93">
        <v>93</v>
      </c>
      <c r="C93" s="340" t="str">
        <f>IFERROR(Tabulka1[[#This Row],[KOD]],"")</f>
        <v>VP28N</v>
      </c>
      <c r="W93" s="804" t="str">
        <f t="shared" si="4"/>
        <v/>
      </c>
      <c r="X93" s="154" t="str">
        <f t="shared" si="5"/>
        <v/>
      </c>
      <c r="Y93" s="341">
        <f>IF('General price list'!$AB95="",0,'General price list'!$AB95)</f>
        <v>0</v>
      </c>
      <c r="Z93" s="365" t="str">
        <f>IFERROR(X93*VLOOKUP(C93,'General price list'!C:I,7,FALSE),"")</f>
        <v/>
      </c>
      <c r="AA93" s="805" t="str">
        <f>IF(X93&lt;&gt;"",VLOOKUP(C93,'General price list'!C95:AN1068,MATCH("HM",Tabulka1[[#Headers],[KOD]:[NEQ]],0),FALSE),"")</f>
        <v/>
      </c>
    </row>
    <row r="94" spans="1:27">
      <c r="A94">
        <f>COUNTIF($W$22:W94,1)</f>
        <v>0</v>
      </c>
      <c r="B94">
        <v>94</v>
      </c>
      <c r="C94" s="340" t="str">
        <f>IFERROR(Tabulka1[[#This Row],[KOD]],"")</f>
        <v>VP40N</v>
      </c>
      <c r="W94" s="804" t="str">
        <f t="shared" si="4"/>
        <v/>
      </c>
      <c r="X94" s="154" t="str">
        <f t="shared" si="5"/>
        <v/>
      </c>
      <c r="Y94" s="341">
        <f>IF('General price list'!$AB96="",0,'General price list'!$AB96)</f>
        <v>0</v>
      </c>
      <c r="Z94" s="365" t="str">
        <f>IFERROR(X94*VLOOKUP(C94,'General price list'!C:I,7,FALSE),"")</f>
        <v/>
      </c>
      <c r="AA94" s="805" t="str">
        <f>IF(X94&lt;&gt;"",VLOOKUP(C94,'General price list'!C96:AN1069,MATCH("HM",Tabulka1[[#Headers],[KOD]:[NEQ]],0),FALSE),"")</f>
        <v/>
      </c>
    </row>
    <row r="95" spans="1:27">
      <c r="A95">
        <f>COUNTIF($W$22:W95,1)</f>
        <v>0</v>
      </c>
      <c r="B95">
        <v>95</v>
      </c>
      <c r="C95" s="340" t="str">
        <f>IFERROR(Tabulka1[[#This Row],[KOD]],"")</f>
        <v>VP12MIX</v>
      </c>
      <c r="W95" s="804" t="str">
        <f t="shared" si="4"/>
        <v/>
      </c>
      <c r="X95" s="154" t="str">
        <f t="shared" si="5"/>
        <v/>
      </c>
      <c r="Y95" s="341">
        <f>IF('General price list'!$AB97="",0,'General price list'!$AB97)</f>
        <v>0</v>
      </c>
      <c r="Z95" s="365" t="str">
        <f>IFERROR(X95*VLOOKUP(C95,'General price list'!C:I,7,FALSE),"")</f>
        <v/>
      </c>
      <c r="AA95" s="805" t="str">
        <f>IF(X95&lt;&gt;"",VLOOKUP(C95,'General price list'!C97:AN1070,MATCH("HM",Tabulka1[[#Headers],[KOD]:[NEQ]],0),FALSE),"")</f>
        <v/>
      </c>
    </row>
    <row r="96" spans="1:27">
      <c r="A96">
        <f>COUNTIF($W$22:W96,1)</f>
        <v>0</v>
      </c>
      <c r="B96">
        <v>96</v>
      </c>
      <c r="C96" s="340" t="str">
        <f>IFERROR(Tabulka1[[#This Row],[KOD]],"")</f>
        <v>SPRS1E</v>
      </c>
      <c r="W96" s="804" t="str">
        <f t="shared" si="4"/>
        <v/>
      </c>
      <c r="X96" s="154" t="str">
        <f t="shared" si="5"/>
        <v/>
      </c>
      <c r="Y96" s="341">
        <f>IF('General price list'!$AB98="",0,'General price list'!$AB98)</f>
        <v>0</v>
      </c>
      <c r="Z96" s="365" t="str">
        <f>IFERROR(X96*VLOOKUP(C96,'General price list'!C:I,7,FALSE),"")</f>
        <v/>
      </c>
      <c r="AA96" s="805" t="str">
        <f>IF(X96&lt;&gt;"",VLOOKUP(C96,'General price list'!C98:AN1071,MATCH("HM",Tabulka1[[#Headers],[KOD]:[NEQ]],0),FALSE),"")</f>
        <v/>
      </c>
    </row>
    <row r="97" spans="1:27">
      <c r="A97">
        <f>COUNTIF($W$22:W97,1)</f>
        <v>0</v>
      </c>
      <c r="B97">
        <v>97</v>
      </c>
      <c r="C97" s="340">
        <f>IFERROR(Tabulka1[[#This Row],[KOD]],"")</f>
        <v>0</v>
      </c>
      <c r="W97" s="804" t="str">
        <f t="shared" si="4"/>
        <v/>
      </c>
      <c r="X97" s="154" t="str">
        <f t="shared" si="5"/>
        <v/>
      </c>
      <c r="Y97" s="341">
        <f>IF('General price list'!$AB99="",0,'General price list'!$AB99)</f>
        <v>0</v>
      </c>
      <c r="Z97" s="365" t="str">
        <f>IFERROR(X97*VLOOKUP(C97,'General price list'!C:I,7,FALSE),"")</f>
        <v/>
      </c>
      <c r="AA97" s="805" t="str">
        <f>IF(X97&lt;&gt;"",VLOOKUP(C97,'General price list'!C99:AN1072,MATCH("HM",Tabulka1[[#Headers],[KOD]:[NEQ]],0),FALSE),"")</f>
        <v/>
      </c>
    </row>
    <row r="98" spans="1:27">
      <c r="A98">
        <f>COUNTIF($W$22:W98,1)</f>
        <v>0</v>
      </c>
      <c r="B98">
        <v>98</v>
      </c>
      <c r="C98" s="340" t="str">
        <f>IFERROR(Tabulka1[[#This Row],[KOD]],"")</f>
        <v>D1D</v>
      </c>
      <c r="W98" s="804" t="str">
        <f t="shared" si="4"/>
        <v/>
      </c>
      <c r="X98" s="154" t="str">
        <f t="shared" si="5"/>
        <v/>
      </c>
      <c r="Y98" s="341">
        <f>IF('General price list'!$AB100="",0,'General price list'!$AB100)</f>
        <v>0</v>
      </c>
      <c r="Z98" s="365" t="str">
        <f>IFERROR(X98*VLOOKUP(C98,'General price list'!C:I,7,FALSE),"")</f>
        <v/>
      </c>
      <c r="AA98" s="805" t="str">
        <f>IF(X98&lt;&gt;"",VLOOKUP(C98,'General price list'!C100:AN1073,MATCH("HM",Tabulka1[[#Headers],[KOD]:[NEQ]],0),FALSE),"")</f>
        <v/>
      </c>
    </row>
    <row r="99" spans="1:27">
      <c r="A99">
        <f>COUNTIF($W$22:W99,1)</f>
        <v>0</v>
      </c>
      <c r="B99">
        <v>99</v>
      </c>
      <c r="C99" s="340" t="str">
        <f>IFERROR(Tabulka1[[#This Row],[KOD]],"")</f>
        <v>D1M</v>
      </c>
      <c r="W99" s="804" t="str">
        <f t="shared" si="4"/>
        <v/>
      </c>
      <c r="X99" s="154" t="str">
        <f t="shared" si="5"/>
        <v/>
      </c>
      <c r="Y99" s="341">
        <f>IF('General price list'!$AB101="",0,'General price list'!$AB101)</f>
        <v>0</v>
      </c>
      <c r="Z99" s="365" t="str">
        <f>IFERROR(X99*VLOOKUP(C99,'General price list'!C:I,7,FALSE),"")</f>
        <v/>
      </c>
      <c r="AA99" s="805" t="str">
        <f>IF(X99&lt;&gt;"",VLOOKUP(C99,'General price list'!C101:AN1074,MATCH("HM",Tabulka1[[#Headers],[KOD]:[NEQ]],0),FALSE),"")</f>
        <v/>
      </c>
    </row>
    <row r="100" spans="1:27">
      <c r="A100">
        <f>COUNTIF($W$22:W100,1)</f>
        <v>0</v>
      </c>
      <c r="B100">
        <v>100</v>
      </c>
      <c r="C100" s="340" t="str">
        <f>IFERROR(Tabulka1[[#This Row],[KOD]],"")</f>
        <v>D2C</v>
      </c>
      <c r="W100" s="804" t="str">
        <f t="shared" si="4"/>
        <v/>
      </c>
      <c r="X100" s="154" t="str">
        <f t="shared" si="5"/>
        <v/>
      </c>
      <c r="Y100" s="341">
        <f>IF('General price list'!$AB102="",0,'General price list'!$AB102)</f>
        <v>0</v>
      </c>
      <c r="Z100" s="365" t="str">
        <f>IFERROR(X100*VLOOKUP(C100,'General price list'!C:I,7,FALSE),"")</f>
        <v/>
      </c>
      <c r="AA100" s="805" t="str">
        <f>IF(X100&lt;&gt;"",VLOOKUP(C100,'General price list'!C102:AN1075,MATCH("HM",Tabulka1[[#Headers],[KOD]:[NEQ]],0),FALSE),"")</f>
        <v/>
      </c>
    </row>
    <row r="101" spans="1:27">
      <c r="A101">
        <f>COUNTIF($W$22:W101,1)</f>
        <v>0</v>
      </c>
      <c r="B101">
        <v>101</v>
      </c>
      <c r="C101" s="340" t="str">
        <f>IFERROR(Tabulka1[[#This Row],[KOD]],"")</f>
        <v>D2CN(1)</v>
      </c>
      <c r="W101" s="804" t="str">
        <f t="shared" si="4"/>
        <v/>
      </c>
      <c r="X101" s="154" t="str">
        <f t="shared" si="5"/>
        <v/>
      </c>
      <c r="Y101" s="341">
        <f>IF('General price list'!$AB103="",0,'General price list'!$AB103)</f>
        <v>0</v>
      </c>
      <c r="Z101" s="365" t="str">
        <f>IFERROR(X101*VLOOKUP(C101,'General price list'!C:I,7,FALSE),"")</f>
        <v/>
      </c>
      <c r="AA101" s="805" t="str">
        <f>IF(X101&lt;&gt;"",VLOOKUP(C101,'General price list'!C103:AN1076,MATCH("HM",Tabulka1[[#Headers],[KOD]:[NEQ]],0),FALSE),"")</f>
        <v/>
      </c>
    </row>
    <row r="102" spans="1:27">
      <c r="A102">
        <f>COUNTIF($W$22:W102,1)</f>
        <v>0</v>
      </c>
      <c r="B102">
        <v>102</v>
      </c>
      <c r="C102" s="340" t="str">
        <f>IFERROR(Tabulka1[[#This Row],[KOD]],"")</f>
        <v>D3SK</v>
      </c>
      <c r="W102" s="804" t="str">
        <f t="shared" si="4"/>
        <v/>
      </c>
      <c r="X102" s="154" t="str">
        <f t="shared" si="5"/>
        <v/>
      </c>
      <c r="Y102" s="341">
        <f>IF('General price list'!$AB104="",0,'General price list'!$AB104)</f>
        <v>0</v>
      </c>
      <c r="Z102" s="365" t="str">
        <f>IFERROR(X102*VLOOKUP(C102,'General price list'!C:I,7,FALSE),"")</f>
        <v/>
      </c>
      <c r="AA102" s="805" t="str">
        <f>IF(X102&lt;&gt;"",VLOOKUP(C102,'General price list'!C104:AN1077,MATCH("HM",Tabulka1[[#Headers],[KOD]:[NEQ]],0),FALSE),"")</f>
        <v/>
      </c>
    </row>
    <row r="103" spans="1:27">
      <c r="A103">
        <f>COUNTIF($W$22:W103,1)</f>
        <v>0</v>
      </c>
      <c r="B103">
        <v>103</v>
      </c>
      <c r="C103" s="340" t="str">
        <f>IFERROR(Tabulka1[[#This Row],[KOD]],"")</f>
        <v>RDG1B</v>
      </c>
      <c r="W103" s="804" t="str">
        <f t="shared" si="4"/>
        <v/>
      </c>
      <c r="X103" s="154" t="str">
        <f t="shared" si="5"/>
        <v/>
      </c>
      <c r="Y103" s="341">
        <f>IF('General price list'!$AB105="",0,'General price list'!$AB105)</f>
        <v>0</v>
      </c>
      <c r="Z103" s="365" t="str">
        <f>IFERROR(X103*VLOOKUP(C103,'General price list'!C:I,7,FALSE),"")</f>
        <v/>
      </c>
      <c r="AA103" s="805" t="str">
        <f>IF(X103&lt;&gt;"",VLOOKUP(C103,'General price list'!C105:AN1078,MATCH("HM",Tabulka1[[#Headers],[KOD]:[NEQ]],0),FALSE),"")</f>
        <v/>
      </c>
    </row>
    <row r="104" spans="1:27">
      <c r="A104">
        <f>COUNTIF($W$22:W104,1)</f>
        <v>0</v>
      </c>
      <c r="B104">
        <v>104</v>
      </c>
      <c r="C104" s="340" t="str">
        <f>IFERROR(Tabulka1[[#This Row],[KOD]],"")</f>
        <v>RDG1C</v>
      </c>
      <c r="W104" s="804" t="str">
        <f t="shared" si="4"/>
        <v/>
      </c>
      <c r="X104" s="154" t="str">
        <f t="shared" si="5"/>
        <v/>
      </c>
      <c r="Y104" s="341">
        <f>IF('General price list'!$AB106="",0,'General price list'!$AB106)</f>
        <v>0</v>
      </c>
      <c r="Z104" s="365" t="str">
        <f>IFERROR(X104*VLOOKUP(C104,'General price list'!C:I,7,FALSE),"")</f>
        <v/>
      </c>
      <c r="AA104" s="805" t="str">
        <f>IF(X104&lt;&gt;"",VLOOKUP(C104,'General price list'!C106:AN1079,MATCH("HM",Tabulka1[[#Headers],[KOD]:[NEQ]],0),FALSE),"")</f>
        <v/>
      </c>
    </row>
    <row r="105" spans="1:27">
      <c r="A105">
        <f>COUNTIF($W$22:W105,1)</f>
        <v>0</v>
      </c>
      <c r="B105">
        <v>105</v>
      </c>
      <c r="C105" s="340" t="str">
        <f>IFERROR(Tabulka1[[#This Row],[KOD]],"")</f>
        <v>RDG1M</v>
      </c>
      <c r="W105" s="804" t="str">
        <f t="shared" si="4"/>
        <v/>
      </c>
      <c r="X105" s="154" t="str">
        <f t="shared" si="5"/>
        <v/>
      </c>
      <c r="Y105" s="341">
        <f>IF('General price list'!$AB107="",0,'General price list'!$AB107)</f>
        <v>0</v>
      </c>
      <c r="Z105" s="365" t="str">
        <f>IFERROR(X105*VLOOKUP(C105,'General price list'!C:I,7,FALSE),"")</f>
        <v/>
      </c>
      <c r="AA105" s="805" t="str">
        <f>IF(X105&lt;&gt;"",VLOOKUP(C105,'General price list'!C107:AN1080,MATCH("HM",Tabulka1[[#Headers],[KOD]:[NEQ]],0),FALSE),"")</f>
        <v/>
      </c>
    </row>
    <row r="106" spans="1:27">
      <c r="A106">
        <f>COUNTIF($W$22:W106,1)</f>
        <v>0</v>
      </c>
      <c r="B106">
        <v>106</v>
      </c>
      <c r="C106" s="340" t="str">
        <f>IFERROR(Tabulka1[[#This Row],[KOD]],"")</f>
        <v>RDG1ZL</v>
      </c>
      <c r="W106" s="804" t="str">
        <f t="shared" si="4"/>
        <v/>
      </c>
      <c r="X106" s="154" t="str">
        <f t="shared" si="5"/>
        <v/>
      </c>
      <c r="Y106" s="341">
        <f>IF('General price list'!$AB108="",0,'General price list'!$AB108)</f>
        <v>0</v>
      </c>
      <c r="Z106" s="365" t="str">
        <f>IFERROR(X106*VLOOKUP(C106,'General price list'!C:I,7,FALSE),"")</f>
        <v/>
      </c>
      <c r="AA106" s="805" t="str">
        <f>IF(X106&lt;&gt;"",VLOOKUP(C106,'General price list'!C108:AN1081,MATCH("HM",Tabulka1[[#Headers],[KOD]:[NEQ]],0),FALSE),"")</f>
        <v/>
      </c>
    </row>
    <row r="107" spans="1:27">
      <c r="A107">
        <f>COUNTIF($W$22:W107,1)</f>
        <v>0</v>
      </c>
      <c r="B107">
        <v>107</v>
      </c>
      <c r="C107" s="340" t="str">
        <f>IFERROR(Tabulka1[[#This Row],[KOD]],"")</f>
        <v>RDG1ZL(1)</v>
      </c>
      <c r="W107" s="804" t="str">
        <f t="shared" si="4"/>
        <v/>
      </c>
      <c r="X107" s="154" t="str">
        <f t="shared" si="5"/>
        <v/>
      </c>
      <c r="Y107" s="341">
        <f>IF('General price list'!$AB109="",0,'General price list'!$AB109)</f>
        <v>0</v>
      </c>
      <c r="Z107" s="365" t="str">
        <f>IFERROR(X107*VLOOKUP(C107,'General price list'!C:I,7,FALSE),"")</f>
        <v/>
      </c>
      <c r="AA107" s="805" t="str">
        <f>IF(X107&lt;&gt;"",VLOOKUP(C107,'General price list'!C109:AN1082,MATCH("HM",Tabulka1[[#Headers],[KOD]:[NEQ]],0),FALSE),"")</f>
        <v/>
      </c>
    </row>
    <row r="108" spans="1:27">
      <c r="A108">
        <f>COUNTIF($W$22:W108,1)</f>
        <v>0</v>
      </c>
      <c r="B108">
        <v>108</v>
      </c>
      <c r="C108" s="340" t="str">
        <f>IFERROR(Tabulka1[[#This Row],[KOD]],"")</f>
        <v>RDG1ZE</v>
      </c>
      <c r="W108" s="804" t="str">
        <f t="shared" si="4"/>
        <v/>
      </c>
      <c r="X108" s="154" t="str">
        <f t="shared" si="5"/>
        <v/>
      </c>
      <c r="Y108" s="341">
        <f>IF('General price list'!$AB110="",0,'General price list'!$AB110)</f>
        <v>0</v>
      </c>
      <c r="Z108" s="365" t="str">
        <f>IFERROR(X108*VLOOKUP(C108,'General price list'!C:I,7,FALSE),"")</f>
        <v/>
      </c>
      <c r="AA108" s="805" t="str">
        <f>IF(X108&lt;&gt;"",VLOOKUP(C108,'General price list'!C110:AN1083,MATCH("HM",Tabulka1[[#Headers],[KOD]:[NEQ]],0),FALSE),"")</f>
        <v/>
      </c>
    </row>
    <row r="109" spans="1:27">
      <c r="A109">
        <f>COUNTIF($W$22:W109,1)</f>
        <v>0</v>
      </c>
      <c r="B109">
        <v>109</v>
      </c>
      <c r="C109" s="340" t="str">
        <f>IFERROR(Tabulka1[[#This Row],[KOD]],"")</f>
        <v>RDG2B</v>
      </c>
      <c r="W109" s="804" t="str">
        <f t="shared" si="4"/>
        <v/>
      </c>
      <c r="X109" s="154" t="str">
        <f t="shared" si="5"/>
        <v/>
      </c>
      <c r="Y109" s="341">
        <f>IF('General price list'!$AB111="",0,'General price list'!$AB111)</f>
        <v>0</v>
      </c>
      <c r="Z109" s="365" t="str">
        <f>IFERROR(X109*VLOOKUP(C109,'General price list'!C:I,7,FALSE),"")</f>
        <v/>
      </c>
      <c r="AA109" s="805" t="str">
        <f>IF(X109&lt;&gt;"",VLOOKUP(C109,'General price list'!C111:AN1084,MATCH("HM",Tabulka1[[#Headers],[KOD]:[NEQ]],0),FALSE),"")</f>
        <v/>
      </c>
    </row>
    <row r="110" spans="1:27">
      <c r="A110">
        <f>COUNTIF($W$22:W110,1)</f>
        <v>0</v>
      </c>
      <c r="B110">
        <v>110</v>
      </c>
      <c r="C110" s="340" t="str">
        <f>IFERROR(Tabulka1[[#This Row],[KOD]],"")</f>
        <v>RDG2C</v>
      </c>
      <c r="W110" s="804" t="str">
        <f t="shared" si="4"/>
        <v/>
      </c>
      <c r="X110" s="154" t="str">
        <f t="shared" si="5"/>
        <v/>
      </c>
      <c r="Y110" s="341">
        <f>IF('General price list'!$AB112="",0,'General price list'!$AB112)</f>
        <v>0</v>
      </c>
      <c r="Z110" s="365" t="str">
        <f>IFERROR(X110*VLOOKUP(C110,'General price list'!C:I,7,FALSE),"")</f>
        <v/>
      </c>
      <c r="AA110" s="805" t="str">
        <f>IF(X110&lt;&gt;"",VLOOKUP(C110,'General price list'!C112:AN1085,MATCH("HM",Tabulka1[[#Headers],[KOD]:[NEQ]],0),FALSE),"")</f>
        <v/>
      </c>
    </row>
    <row r="111" spans="1:27">
      <c r="A111">
        <f>COUNTIF($W$22:W111,1)</f>
        <v>0</v>
      </c>
      <c r="B111">
        <v>111</v>
      </c>
      <c r="C111" s="340" t="str">
        <f>IFERROR(Tabulka1[[#This Row],[KOD]],"")</f>
        <v>RDG2M</v>
      </c>
      <c r="W111" s="804" t="str">
        <f t="shared" si="4"/>
        <v/>
      </c>
      <c r="X111" s="154" t="str">
        <f t="shared" si="5"/>
        <v/>
      </c>
      <c r="Y111" s="341">
        <f>IF('General price list'!$AB113="",0,'General price list'!$AB113)</f>
        <v>0</v>
      </c>
      <c r="Z111" s="365" t="str">
        <f>IFERROR(X111*VLOOKUP(C111,'General price list'!C:I,7,FALSE),"")</f>
        <v/>
      </c>
      <c r="AA111" s="805" t="str">
        <f>IF(X111&lt;&gt;"",VLOOKUP(C111,'General price list'!C113:AN1086,MATCH("HM",Tabulka1[[#Headers],[KOD]:[NEQ]],0),FALSE),"")</f>
        <v/>
      </c>
    </row>
    <row r="112" spans="1:27">
      <c r="A112">
        <f>COUNTIF($W$22:W112,1)</f>
        <v>0</v>
      </c>
      <c r="B112">
        <v>112</v>
      </c>
      <c r="C112" s="340">
        <f>IFERROR(Tabulka1[[#This Row],[KOD]],"")</f>
        <v>0</v>
      </c>
      <c r="W112" s="804" t="str">
        <f t="shared" si="4"/>
        <v/>
      </c>
      <c r="X112" s="154" t="str">
        <f t="shared" si="5"/>
        <v/>
      </c>
      <c r="Y112" s="341">
        <f>IF('General price list'!$AB114="",0,'General price list'!$AB114)</f>
        <v>0</v>
      </c>
      <c r="Z112" s="365" t="str">
        <f>IFERROR(X112*VLOOKUP(C112,'General price list'!C:I,7,FALSE),"")</f>
        <v/>
      </c>
      <c r="AA112" s="805" t="str">
        <f>IF(X112&lt;&gt;"",VLOOKUP(C112,'General price list'!C114:AN1087,MATCH("HM",Tabulka1[[#Headers],[KOD]:[NEQ]],0),FALSE),"")</f>
        <v/>
      </c>
    </row>
    <row r="113" spans="1:27">
      <c r="A113">
        <f>COUNTIF($W$22:W113,1)</f>
        <v>0</v>
      </c>
      <c r="B113">
        <v>113</v>
      </c>
      <c r="C113" s="340" t="str">
        <f>IFERROR(Tabulka1[[#This Row],[KOD]],"")</f>
        <v>RDG60B(SH)</v>
      </c>
      <c r="W113" s="804" t="str">
        <f t="shared" si="4"/>
        <v/>
      </c>
      <c r="X113" s="154" t="str">
        <f t="shared" si="5"/>
        <v/>
      </c>
      <c r="Y113" s="341">
        <f>IF('General price list'!$AB115="",0,'General price list'!$AB115)</f>
        <v>0</v>
      </c>
      <c r="Z113" s="365" t="str">
        <f>IFERROR(X113*VLOOKUP(C113,'General price list'!C:I,7,FALSE),"")</f>
        <v/>
      </c>
      <c r="AA113" s="805" t="str">
        <f>IF(X113&lt;&gt;"",VLOOKUP(C113,'General price list'!C115:AN1088,MATCH("HM",Tabulka1[[#Headers],[KOD]:[NEQ]],0),FALSE),"")</f>
        <v/>
      </c>
    </row>
    <row r="114" spans="1:27">
      <c r="A114">
        <f>COUNTIF($W$22:W114,1)</f>
        <v>0</v>
      </c>
      <c r="B114">
        <v>114</v>
      </c>
      <c r="C114" s="340" t="str">
        <f>IFERROR(Tabulka1[[#This Row],[KOD]],"")</f>
        <v>RDG60ZL(SH)</v>
      </c>
      <c r="W114" s="804" t="str">
        <f t="shared" si="4"/>
        <v/>
      </c>
      <c r="X114" s="154" t="str">
        <f t="shared" si="5"/>
        <v/>
      </c>
      <c r="Y114" s="341">
        <f>IF('General price list'!$AB116="",0,'General price list'!$AB116)</f>
        <v>0</v>
      </c>
      <c r="Z114" s="365" t="str">
        <f>IFERROR(X114*VLOOKUP(C114,'General price list'!C:I,7,FALSE),"")</f>
        <v/>
      </c>
      <c r="AA114" s="805" t="str">
        <f>IF(X114&lt;&gt;"",VLOOKUP(C114,'General price list'!C116:AN1089,MATCH("HM",Tabulka1[[#Headers],[KOD]:[NEQ]],0),FALSE),"")</f>
        <v/>
      </c>
    </row>
    <row r="115" spans="1:27">
      <c r="A115">
        <f>COUNTIF($W$22:W115,1)</f>
        <v>0</v>
      </c>
      <c r="B115">
        <v>115</v>
      </c>
      <c r="C115" s="340" t="str">
        <f>IFERROR(Tabulka1[[#This Row],[KOD]],"")</f>
        <v>RDG60R(SH)</v>
      </c>
      <c r="W115" s="804" t="str">
        <f t="shared" si="4"/>
        <v/>
      </c>
      <c r="X115" s="154" t="str">
        <f t="shared" si="5"/>
        <v/>
      </c>
      <c r="Y115" s="341">
        <f>IF('General price list'!$AB117="",0,'General price list'!$AB117)</f>
        <v>0</v>
      </c>
      <c r="Z115" s="365" t="str">
        <f>IFERROR(X115*VLOOKUP(C115,'General price list'!C:I,7,FALSE),"")</f>
        <v/>
      </c>
      <c r="AA115" s="805" t="str">
        <f>IF(X115&lt;&gt;"",VLOOKUP(C115,'General price list'!C117:AN1090,MATCH("HM",Tabulka1[[#Headers],[KOD]:[NEQ]],0),FALSE),"")</f>
        <v/>
      </c>
    </row>
    <row r="116" spans="1:27">
      <c r="A116">
        <f>COUNTIF($W$22:W116,1)</f>
        <v>0</v>
      </c>
      <c r="B116">
        <v>116</v>
      </c>
      <c r="C116" s="340" t="str">
        <f>IFERROR(Tabulka1[[#This Row],[KOD]],"")</f>
        <v>RDG60ZEOCER(SH)</v>
      </c>
      <c r="W116" s="804" t="str">
        <f t="shared" si="4"/>
        <v/>
      </c>
      <c r="X116" s="154" t="str">
        <f t="shared" si="5"/>
        <v/>
      </c>
      <c r="Y116" s="341">
        <f>IF('General price list'!$AB118="",0,'General price list'!$AB118)</f>
        <v>0</v>
      </c>
      <c r="Z116" s="365" t="str">
        <f>IFERROR(X116*VLOOKUP(C116,'General price list'!C:I,7,FALSE),"")</f>
        <v/>
      </c>
      <c r="AA116" s="805" t="str">
        <f>IF(X116&lt;&gt;"",VLOOKUP(C116,'General price list'!C118:AN1091,MATCH("HM",Tabulka1[[#Headers],[KOD]:[NEQ]],0),FALSE),"")</f>
        <v/>
      </c>
    </row>
    <row r="117" spans="1:27">
      <c r="A117">
        <f>COUNTIF($W$22:W117,1)</f>
        <v>0</v>
      </c>
      <c r="B117">
        <v>117</v>
      </c>
      <c r="C117" s="340">
        <f>IFERROR(Tabulka1[[#This Row],[KOD]],"")</f>
        <v>0</v>
      </c>
      <c r="W117" s="804" t="str">
        <f t="shared" si="4"/>
        <v/>
      </c>
      <c r="X117" s="154" t="str">
        <f t="shared" si="5"/>
        <v/>
      </c>
      <c r="Y117" s="341">
        <f>IF('General price list'!$AB119="",0,'General price list'!$AB119)</f>
        <v>0</v>
      </c>
      <c r="Z117" s="365" t="str">
        <f>IFERROR(X117*VLOOKUP(C117,'General price list'!C:I,7,FALSE),"")</f>
        <v/>
      </c>
      <c r="AA117" s="805" t="str">
        <f>IF(X117&lt;&gt;"",VLOOKUP(C117,'General price list'!C119:AN1092,MATCH("HM",Tabulka1[[#Headers],[KOD]:[NEQ]],0),FALSE),"")</f>
        <v/>
      </c>
    </row>
    <row r="118" spans="1:27">
      <c r="A118">
        <f>COUNTIF($W$22:W118,1)</f>
        <v>0</v>
      </c>
      <c r="B118">
        <v>118</v>
      </c>
      <c r="C118" s="340" t="str">
        <f>IFERROR(Tabulka1[[#This Row],[KOD]],"")</f>
        <v>RDG1ZL-P</v>
      </c>
      <c r="W118" s="804" t="str">
        <f t="shared" si="4"/>
        <v/>
      </c>
      <c r="X118" s="154" t="str">
        <f t="shared" si="5"/>
        <v/>
      </c>
      <c r="Y118" s="341">
        <f>IF('General price list'!$AB120="",0,'General price list'!$AB120)</f>
        <v>0</v>
      </c>
      <c r="Z118" s="365" t="str">
        <f>IFERROR(X118*VLOOKUP(C118,'General price list'!C:I,7,FALSE),"")</f>
        <v/>
      </c>
      <c r="AA118" s="805" t="str">
        <f>IF(X118&lt;&gt;"",VLOOKUP(C118,'General price list'!C120:AN1093,MATCH("HM",Tabulka1[[#Headers],[KOD]:[NEQ]],0),FALSE),"")</f>
        <v/>
      </c>
    </row>
    <row r="119" spans="1:27">
      <c r="A119">
        <f>COUNTIF($W$22:W119,1)</f>
        <v>0</v>
      </c>
      <c r="B119">
        <v>119</v>
      </c>
      <c r="C119" s="340" t="str">
        <f>IFERROR(Tabulka1[[#This Row],[KOD]],"")</f>
        <v>RDG1ZL-P(1)</v>
      </c>
      <c r="W119" s="804" t="str">
        <f t="shared" si="4"/>
        <v/>
      </c>
      <c r="X119" s="154" t="str">
        <f t="shared" si="5"/>
        <v/>
      </c>
      <c r="Y119" s="341">
        <f>IF('General price list'!$AB121="",0,'General price list'!$AB121)</f>
        <v>0</v>
      </c>
      <c r="Z119" s="365" t="str">
        <f>IFERROR(X119*VLOOKUP(C119,'General price list'!C:I,7,FALSE),"")</f>
        <v/>
      </c>
      <c r="AA119" s="805" t="str">
        <f>IF(X119&lt;&gt;"",VLOOKUP(C119,'General price list'!C121:AN1094,MATCH("HM",Tabulka1[[#Headers],[KOD]:[NEQ]],0),FALSE),"")</f>
        <v/>
      </c>
    </row>
    <row r="120" spans="1:27">
      <c r="A120">
        <f>COUNTIF($W$22:W120,1)</f>
        <v>0</v>
      </c>
      <c r="B120">
        <v>120</v>
      </c>
      <c r="C120" s="340" t="str">
        <f>IFERROR(Tabulka1[[#This Row],[KOD]],"")</f>
        <v>RDG1O-P</v>
      </c>
      <c r="W120" s="804" t="str">
        <f t="shared" si="4"/>
        <v/>
      </c>
      <c r="X120" s="154" t="str">
        <f t="shared" si="5"/>
        <v/>
      </c>
      <c r="Y120" s="341">
        <f>IF('General price list'!$AB122="",0,'General price list'!$AB122)</f>
        <v>0</v>
      </c>
      <c r="Z120" s="365" t="str">
        <f>IFERROR(X120*VLOOKUP(C120,'General price list'!C:I,7,FALSE),"")</f>
        <v/>
      </c>
      <c r="AA120" s="805" t="str">
        <f>IF(X120&lt;&gt;"",VLOOKUP(C120,'General price list'!C122:AN1095,MATCH("HM",Tabulka1[[#Headers],[KOD]:[NEQ]],0),FALSE),"")</f>
        <v/>
      </c>
    </row>
    <row r="121" spans="1:27">
      <c r="A121">
        <f>COUNTIF($W$22:W121,1)</f>
        <v>0</v>
      </c>
      <c r="B121">
        <v>121</v>
      </c>
      <c r="C121" s="340" t="str">
        <f>IFERROR(Tabulka1[[#This Row],[KOD]],"")</f>
        <v>RDG1O-P(1)</v>
      </c>
      <c r="W121" s="804" t="str">
        <f t="shared" si="4"/>
        <v/>
      </c>
      <c r="X121" s="154" t="str">
        <f t="shared" si="5"/>
        <v/>
      </c>
      <c r="Y121" s="341">
        <f>IF('General price list'!$AB123="",0,'General price list'!$AB123)</f>
        <v>0</v>
      </c>
      <c r="Z121" s="365" t="str">
        <f>IFERROR(X121*VLOOKUP(C121,'General price list'!C:I,7,FALSE),"")</f>
        <v/>
      </c>
      <c r="AA121" s="805" t="str">
        <f>IF(X121&lt;&gt;"",VLOOKUP(C121,'General price list'!C123:AN1096,MATCH("HM",Tabulka1[[#Headers],[KOD]:[NEQ]],0),FALSE),"")</f>
        <v/>
      </c>
    </row>
    <row r="122" spans="1:27">
      <c r="A122">
        <f>COUNTIF($W$22:W122,1)</f>
        <v>0</v>
      </c>
      <c r="B122">
        <v>122</v>
      </c>
      <c r="C122" s="340">
        <f>IFERROR(Tabulka1[[#This Row],[KOD]],"")</f>
        <v>0</v>
      </c>
      <c r="W122" s="804" t="str">
        <f t="shared" si="4"/>
        <v/>
      </c>
      <c r="X122" s="154" t="str">
        <f t="shared" si="5"/>
        <v/>
      </c>
      <c r="Y122" s="341">
        <f>IF('General price list'!$AB124="",0,'General price list'!$AB124)</f>
        <v>0</v>
      </c>
      <c r="Z122" s="365" t="str">
        <f>IFERROR(X122*VLOOKUP(C122,'General price list'!C:I,7,FALSE),"")</f>
        <v/>
      </c>
      <c r="AA122" s="805" t="str">
        <f>IF(X122&lt;&gt;"",VLOOKUP(C122,'General price list'!C124:AN1097,MATCH("HM",Tabulka1[[#Headers],[KOD]:[NEQ]],0),FALSE),"")</f>
        <v/>
      </c>
    </row>
    <row r="123" spans="1:27">
      <c r="A123">
        <f>COUNTIF($W$22:W123,1)</f>
        <v>0</v>
      </c>
      <c r="B123">
        <v>123</v>
      </c>
      <c r="C123" s="340" t="str">
        <f>IFERROR(Tabulka1[[#This Row],[KOD]],"")</f>
        <v>RDP60M</v>
      </c>
      <c r="W123" s="804" t="str">
        <f t="shared" si="4"/>
        <v/>
      </c>
      <c r="X123" s="154" t="str">
        <f t="shared" si="5"/>
        <v/>
      </c>
      <c r="Y123" s="341">
        <f>IF('General price list'!$AB125="",0,'General price list'!$AB125)</f>
        <v>0</v>
      </c>
      <c r="Z123" s="365" t="str">
        <f>IFERROR(X123*VLOOKUP(C123,'General price list'!C:I,7,FALSE),"")</f>
        <v/>
      </c>
      <c r="AA123" s="805" t="str">
        <f>IF(X123&lt;&gt;"",VLOOKUP(C123,'General price list'!C125:AN1098,MATCH("HM",Tabulka1[[#Headers],[KOD]:[NEQ]],0),FALSE),"")</f>
        <v/>
      </c>
    </row>
    <row r="124" spans="1:27">
      <c r="A124">
        <f>COUNTIF($W$22:W124,1)</f>
        <v>0</v>
      </c>
      <c r="B124">
        <v>124</v>
      </c>
      <c r="C124" s="340" t="str">
        <f>IFERROR(Tabulka1[[#This Row],[KOD]],"")</f>
        <v>HDP60B</v>
      </c>
      <c r="W124" s="804" t="str">
        <f t="shared" si="4"/>
        <v/>
      </c>
      <c r="X124" s="154" t="str">
        <f t="shared" si="5"/>
        <v/>
      </c>
      <c r="Y124" s="341">
        <f>IF('General price list'!$AB126="",0,'General price list'!$AB126)</f>
        <v>0</v>
      </c>
      <c r="Z124" s="365" t="str">
        <f>IFERROR(X124*VLOOKUP(C124,'General price list'!C:I,7,FALSE),"")</f>
        <v/>
      </c>
      <c r="AA124" s="805" t="str">
        <f>IF(X124&lt;&gt;"",VLOOKUP(C124,'General price list'!C126:AN1099,MATCH("HM",Tabulka1[[#Headers],[KOD]:[NEQ]],0),FALSE),"")</f>
        <v/>
      </c>
    </row>
    <row r="125" spans="1:27">
      <c r="A125">
        <f>COUNTIF($W$22:W125,1)</f>
        <v>0</v>
      </c>
      <c r="B125">
        <v>125</v>
      </c>
      <c r="C125" s="340" t="str">
        <f>IFERROR(Tabulka1[[#This Row],[KOD]],"")</f>
        <v>HDP60C</v>
      </c>
      <c r="W125" s="804" t="str">
        <f t="shared" si="4"/>
        <v/>
      </c>
      <c r="X125" s="154" t="str">
        <f t="shared" si="5"/>
        <v/>
      </c>
      <c r="Y125" s="341">
        <f>IF('General price list'!$AB127="",0,'General price list'!$AB127)</f>
        <v>0</v>
      </c>
      <c r="Z125" s="365" t="str">
        <f>IFERROR(X125*VLOOKUP(C125,'General price list'!C:I,7,FALSE),"")</f>
        <v/>
      </c>
      <c r="AA125" s="805" t="str">
        <f>IF(X125&lt;&gt;"",VLOOKUP(C125,'General price list'!C127:AN1100,MATCH("HM",Tabulka1[[#Headers],[KOD]:[NEQ]],0),FALSE),"")</f>
        <v/>
      </c>
    </row>
    <row r="126" spans="1:27">
      <c r="A126">
        <f>COUNTIF($W$22:W126,1)</f>
        <v>0</v>
      </c>
      <c r="B126">
        <v>126</v>
      </c>
      <c r="C126" s="340" t="str">
        <f>IFERROR(Tabulka1[[#This Row],[KOD]],"")</f>
        <v>HDP60M</v>
      </c>
      <c r="W126" s="804" t="str">
        <f t="shared" si="4"/>
        <v/>
      </c>
      <c r="X126" s="154" t="str">
        <f t="shared" si="5"/>
        <v/>
      </c>
      <c r="Y126" s="341">
        <f>IF('General price list'!$AB128="",0,'General price list'!$AB128)</f>
        <v>0</v>
      </c>
      <c r="Z126" s="365" t="str">
        <f>IFERROR(X126*VLOOKUP(C126,'General price list'!C:I,7,FALSE),"")</f>
        <v/>
      </c>
      <c r="AA126" s="805" t="str">
        <f>IF(X126&lt;&gt;"",VLOOKUP(C126,'General price list'!C128:AN1101,MATCH("HM",Tabulka1[[#Headers],[KOD]:[NEQ]],0),FALSE),"")</f>
        <v/>
      </c>
    </row>
    <row r="127" spans="1:27">
      <c r="A127">
        <f>COUNTIF($W$22:W127,1)</f>
        <v>0</v>
      </c>
      <c r="B127">
        <v>127</v>
      </c>
      <c r="C127" s="340" t="str">
        <f>IFERROR(Tabulka1[[#This Row],[KOD]],"")</f>
        <v>HDP60ZE</v>
      </c>
      <c r="W127" s="804" t="str">
        <f t="shared" si="4"/>
        <v/>
      </c>
      <c r="X127" s="154" t="str">
        <f t="shared" si="5"/>
        <v/>
      </c>
      <c r="Y127" s="341">
        <f>IF('General price list'!$AB129="",0,'General price list'!$AB129)</f>
        <v>0</v>
      </c>
      <c r="Z127" s="365" t="str">
        <f>IFERROR(X127*VLOOKUP(C127,'General price list'!C:I,7,FALSE),"")</f>
        <v/>
      </c>
      <c r="AA127" s="805" t="str">
        <f>IF(X127&lt;&gt;"",VLOOKUP(C127,'General price list'!C129:AN1102,MATCH("HM",Tabulka1[[#Headers],[KOD]:[NEQ]],0),FALSE),"")</f>
        <v/>
      </c>
    </row>
    <row r="128" spans="1:27">
      <c r="A128">
        <f>COUNTIF($W$22:W128,1)</f>
        <v>0</v>
      </c>
      <c r="B128">
        <v>128</v>
      </c>
      <c r="C128" s="340">
        <f>IFERROR(Tabulka1[[#This Row],[KOD]],"")</f>
        <v>0</v>
      </c>
      <c r="W128" s="804" t="str">
        <f t="shared" si="4"/>
        <v/>
      </c>
      <c r="X128" s="154" t="str">
        <f t="shared" si="5"/>
        <v/>
      </c>
      <c r="Y128" s="341">
        <f>IF('General price list'!$AB130="",0,'General price list'!$AB130)</f>
        <v>0</v>
      </c>
      <c r="Z128" s="365" t="str">
        <f>IFERROR(X128*VLOOKUP(C128,'General price list'!C:I,7,FALSE),"")</f>
        <v/>
      </c>
      <c r="AA128" s="805" t="str">
        <f>IF(X128&lt;&gt;"",VLOOKUP(C128,'General price list'!C130:AN1103,MATCH("HM",Tabulka1[[#Headers],[KOD]:[NEQ]],0),FALSE),"")</f>
        <v/>
      </c>
    </row>
    <row r="129" spans="1:27">
      <c r="A129">
        <f>COUNTIF($W$22:W129,1)</f>
        <v>0</v>
      </c>
      <c r="B129">
        <v>129</v>
      </c>
      <c r="C129" s="340" t="str">
        <f>IFERROR(Tabulka1[[#This Row],[KOD]],"")</f>
        <v>P40C25</v>
      </c>
      <c r="W129" s="804" t="str">
        <f t="shared" si="4"/>
        <v/>
      </c>
      <c r="X129" s="154" t="str">
        <f t="shared" si="5"/>
        <v/>
      </c>
      <c r="Y129" s="341">
        <f>IF('General price list'!$AB131="",0,'General price list'!$AB131)</f>
        <v>0</v>
      </c>
      <c r="Z129" s="365" t="str">
        <f>IFERROR(X129*VLOOKUP(C129,'General price list'!C:I,7,FALSE),"")</f>
        <v/>
      </c>
      <c r="AA129" s="805" t="str">
        <f>IF(X129&lt;&gt;"",VLOOKUP(C129,'General price list'!C131:AN1104,MATCH("HM",Tabulka1[[#Headers],[KOD]:[NEQ]],0),FALSE),"")</f>
        <v/>
      </c>
    </row>
    <row r="130" spans="1:27">
      <c r="A130">
        <f>COUNTIF($W$22:W130,1)</f>
        <v>0</v>
      </c>
      <c r="B130">
        <v>130</v>
      </c>
      <c r="C130" s="340" t="str">
        <f>IFERROR(Tabulka1[[#This Row],[KOD]],"")</f>
        <v>P40Z25</v>
      </c>
      <c r="W130" s="804" t="str">
        <f t="shared" si="4"/>
        <v/>
      </c>
      <c r="X130" s="154" t="str">
        <f t="shared" si="5"/>
        <v/>
      </c>
      <c r="Y130" s="341">
        <f>IF('General price list'!$AB132="",0,'General price list'!$AB132)</f>
        <v>0</v>
      </c>
      <c r="Z130" s="365" t="str">
        <f>IFERROR(X130*VLOOKUP(C130,'General price list'!C:I,7,FALSE),"")</f>
        <v/>
      </c>
      <c r="AA130" s="805" t="str">
        <f>IF(X130&lt;&gt;"",VLOOKUP(C130,'General price list'!C132:AN1105,MATCH("HM",Tabulka1[[#Headers],[KOD]:[NEQ]],0),FALSE),"")</f>
        <v/>
      </c>
    </row>
    <row r="131" spans="1:27">
      <c r="A131">
        <f>COUNTIF($W$22:W131,1)</f>
        <v>0</v>
      </c>
      <c r="B131">
        <v>131</v>
      </c>
      <c r="C131" s="340" t="str">
        <f>IFERROR(Tabulka1[[#This Row],[KOD]],"")</f>
        <v>P40B25</v>
      </c>
      <c r="W131" s="804" t="str">
        <f t="shared" si="4"/>
        <v/>
      </c>
      <c r="X131" s="154" t="str">
        <f t="shared" si="5"/>
        <v/>
      </c>
      <c r="Y131" s="341">
        <f>IF('General price list'!$AB133="",0,'General price list'!$AB133)</f>
        <v>0</v>
      </c>
      <c r="Z131" s="365" t="str">
        <f>IFERROR(X131*VLOOKUP(C131,'General price list'!C:I,7,FALSE),"")</f>
        <v/>
      </c>
      <c r="AA131" s="805" t="str">
        <f>IF(X131&lt;&gt;"",VLOOKUP(C131,'General price list'!C133:AN1106,MATCH("HM",Tabulka1[[#Headers],[KOD]:[NEQ]],0),FALSE),"")</f>
        <v/>
      </c>
    </row>
    <row r="132" spans="1:27">
      <c r="A132">
        <f>COUNTIF($W$22:W132,1)</f>
        <v>0</v>
      </c>
      <c r="B132">
        <v>132</v>
      </c>
      <c r="C132" s="340" t="str">
        <f>IFERROR(Tabulka1[[#This Row],[KOD]],"")</f>
        <v>P40MO25</v>
      </c>
      <c r="W132" s="804" t="str">
        <f t="shared" si="4"/>
        <v/>
      </c>
      <c r="X132" s="154" t="str">
        <f t="shared" si="5"/>
        <v/>
      </c>
      <c r="Y132" s="341">
        <f>IF('General price list'!$AB134="",0,'General price list'!$AB134)</f>
        <v>0</v>
      </c>
      <c r="Z132" s="365" t="str">
        <f>IFERROR(X132*VLOOKUP(C132,'General price list'!C:I,7,FALSE),"")</f>
        <v/>
      </c>
      <c r="AA132" s="805" t="str">
        <f>IF(X132&lt;&gt;"",VLOOKUP(C132,'General price list'!C134:AN1107,MATCH("HM",Tabulka1[[#Headers],[KOD]:[NEQ]],0),FALSE),"")</f>
        <v/>
      </c>
    </row>
    <row r="133" spans="1:27">
      <c r="A133">
        <f>COUNTIF($W$22:W133,1)</f>
        <v>0</v>
      </c>
      <c r="B133">
        <v>133</v>
      </c>
      <c r="C133" s="340" t="str">
        <f>IFERROR(Tabulka1[[#This Row],[KOD]],"")</f>
        <v>SP60S</v>
      </c>
      <c r="W133" s="804" t="str">
        <f t="shared" si="4"/>
        <v/>
      </c>
      <c r="X133" s="154" t="str">
        <f t="shared" si="5"/>
        <v/>
      </c>
      <c r="Y133" s="341">
        <f>IF('General price list'!$AB135="",0,'General price list'!$AB135)</f>
        <v>0</v>
      </c>
      <c r="Z133" s="365" t="str">
        <f>IFERROR(X133*VLOOKUP(C133,'General price list'!C:I,7,FALSE),"")</f>
        <v/>
      </c>
      <c r="AA133" s="805" t="str">
        <f>IF(X133&lt;&gt;"",VLOOKUP(C133,'General price list'!C135:AN1108,MATCH("HM",Tabulka1[[#Headers],[KOD]:[NEQ]],0),FALSE),"")</f>
        <v/>
      </c>
    </row>
    <row r="134" spans="1:27">
      <c r="A134">
        <f>COUNTIF($W$22:W134,1)</f>
        <v>0</v>
      </c>
      <c r="B134">
        <v>134</v>
      </c>
      <c r="C134" s="340" t="str">
        <f>IFERROR(Tabulka1[[#This Row],[KOD]],"")</f>
        <v>BP60S</v>
      </c>
      <c r="W134" s="804" t="str">
        <f t="shared" si="4"/>
        <v/>
      </c>
      <c r="X134" s="154" t="str">
        <f t="shared" si="5"/>
        <v/>
      </c>
      <c r="Y134" s="341">
        <f>IF('General price list'!$AB136="",0,'General price list'!$AB136)</f>
        <v>0</v>
      </c>
      <c r="Z134" s="365" t="str">
        <f>IFERROR(X134*VLOOKUP(C134,'General price list'!C:I,7,FALSE),"")</f>
        <v/>
      </c>
      <c r="AA134" s="805" t="str">
        <f>IF(X134&lt;&gt;"",VLOOKUP(C134,'General price list'!C136:AN1109,MATCH("HM",Tabulka1[[#Headers],[KOD]:[NEQ]],0),FALSE),"")</f>
        <v/>
      </c>
    </row>
    <row r="135" spans="1:27">
      <c r="A135">
        <f>COUNTIF($W$22:W135,1)</f>
        <v>0</v>
      </c>
      <c r="B135">
        <v>135</v>
      </c>
      <c r="C135" s="340">
        <f>IFERROR(Tabulka1[[#This Row],[KOD]],"")</f>
        <v>0</v>
      </c>
      <c r="W135" s="804" t="str">
        <f t="shared" si="4"/>
        <v/>
      </c>
      <c r="X135" s="154" t="str">
        <f t="shared" si="5"/>
        <v/>
      </c>
      <c r="Y135" s="341">
        <f>IF('General price list'!$AB137="",0,'General price list'!$AB137)</f>
        <v>0</v>
      </c>
      <c r="Z135" s="365" t="str">
        <f>IFERROR(X135*VLOOKUP(C135,'General price list'!C:I,7,FALSE),"")</f>
        <v/>
      </c>
      <c r="AA135" s="805" t="str">
        <f>IF(X135&lt;&gt;"",VLOOKUP(C135,'General price list'!C137:AN1110,MATCH("HM",Tabulka1[[#Headers],[KOD]:[NEQ]],0),FALSE),"")</f>
        <v/>
      </c>
    </row>
    <row r="136" spans="1:27">
      <c r="A136">
        <f>COUNTIF($W$22:W136,1)</f>
        <v>0</v>
      </c>
      <c r="B136">
        <v>136</v>
      </c>
      <c r="C136" s="340" t="str">
        <f>IFERROR(Tabulka1[[#This Row],[KOD]],"")</f>
        <v>S90S</v>
      </c>
      <c r="W136" s="804" t="str">
        <f t="shared" si="4"/>
        <v/>
      </c>
      <c r="X136" s="154" t="str">
        <f t="shared" si="5"/>
        <v/>
      </c>
      <c r="Y136" s="341">
        <f>IF('General price list'!$AB138="",0,'General price list'!$AB138)</f>
        <v>0</v>
      </c>
      <c r="Z136" s="365" t="str">
        <f>IFERROR(X136*VLOOKUP(C136,'General price list'!C:I,7,FALSE),"")</f>
        <v/>
      </c>
      <c r="AA136" s="805" t="str">
        <f>IF(X136&lt;&gt;"",VLOOKUP(C136,'General price list'!C138:AN1111,MATCH("HM",Tabulka1[[#Headers],[KOD]:[NEQ]],0),FALSE),"")</f>
        <v/>
      </c>
    </row>
    <row r="137" spans="1:27">
      <c r="A137">
        <f>COUNTIF($W$22:W137,1)</f>
        <v>0</v>
      </c>
      <c r="B137">
        <v>137</v>
      </c>
      <c r="C137" s="340" t="str">
        <f>IFERROR(Tabulka1[[#This Row],[KOD]],"")</f>
        <v>S60S</v>
      </c>
      <c r="W137" s="804" t="str">
        <f t="shared" si="4"/>
        <v/>
      </c>
      <c r="X137" s="154" t="str">
        <f t="shared" si="5"/>
        <v/>
      </c>
      <c r="Y137" s="341">
        <f>IF('General price list'!$AB139="",0,'General price list'!$AB139)</f>
        <v>0</v>
      </c>
      <c r="Z137" s="365" t="str">
        <f>IFERROR(X137*VLOOKUP(C137,'General price list'!C:I,7,FALSE),"")</f>
        <v/>
      </c>
      <c r="AA137" s="805" t="str">
        <f>IF(X137&lt;&gt;"",VLOOKUP(C137,'General price list'!C139:AN1112,MATCH("HM",Tabulka1[[#Headers],[KOD]:[NEQ]],0),FALSE),"")</f>
        <v/>
      </c>
    </row>
    <row r="138" spans="1:27">
      <c r="A138">
        <f>COUNTIF($W$22:W138,1)</f>
        <v>0</v>
      </c>
      <c r="B138">
        <v>138</v>
      </c>
      <c r="C138" s="340">
        <f>IFERROR(Tabulka1[[#This Row],[KOD]],"")</f>
        <v>0</v>
      </c>
      <c r="W138" s="804" t="str">
        <f t="shared" si="4"/>
        <v/>
      </c>
      <c r="X138" s="154" t="str">
        <f t="shared" si="5"/>
        <v/>
      </c>
      <c r="Y138" s="341">
        <f>IF('General price list'!$AB140="",0,'General price list'!$AB140)</f>
        <v>0</v>
      </c>
      <c r="Z138" s="365" t="str">
        <f>IFERROR(X138*VLOOKUP(C138,'General price list'!C:I,7,FALSE),"")</f>
        <v/>
      </c>
      <c r="AA138" s="805" t="str">
        <f>IF(X138&lt;&gt;"",VLOOKUP(C138,'General price list'!C140:AN1113,MATCH("HM",Tabulka1[[#Headers],[KOD]:[NEQ]],0),FALSE),"")</f>
        <v/>
      </c>
    </row>
    <row r="139" spans="1:27">
      <c r="A139">
        <f>COUNTIF($W$22:W139,1)</f>
        <v>0</v>
      </c>
      <c r="B139">
        <v>139</v>
      </c>
      <c r="C139" s="340" t="str">
        <f>IFERROR(Tabulka1[[#This Row],[KOD]],"")</f>
        <v>F1M</v>
      </c>
      <c r="W139" s="804" t="str">
        <f t="shared" si="4"/>
        <v/>
      </c>
      <c r="X139" s="154" t="str">
        <f t="shared" si="5"/>
        <v/>
      </c>
      <c r="Y139" s="341">
        <f>IF('General price list'!$AB141="",0,'General price list'!$AB141)</f>
        <v>0</v>
      </c>
      <c r="Z139" s="365" t="str">
        <f>IFERROR(X139*VLOOKUP(C139,'General price list'!C:I,7,FALSE),"")</f>
        <v/>
      </c>
      <c r="AA139" s="805" t="str">
        <f>IF(X139&lt;&gt;"",VLOOKUP(C139,'General price list'!C141:AN1114,MATCH("HM",Tabulka1[[#Headers],[KOD]:[NEQ]],0),FALSE),"")</f>
        <v/>
      </c>
    </row>
    <row r="140" spans="1:27">
      <c r="A140">
        <f>COUNTIF($W$22:W140,1)</f>
        <v>0</v>
      </c>
      <c r="B140">
        <v>140</v>
      </c>
      <c r="C140" s="340" t="str">
        <f>IFERROR(Tabulka1[[#This Row],[KOD]],"")</f>
        <v>F2M</v>
      </c>
      <c r="W140" s="804" t="str">
        <f t="shared" si="4"/>
        <v/>
      </c>
      <c r="X140" s="154" t="str">
        <f t="shared" si="5"/>
        <v/>
      </c>
      <c r="Y140" s="341">
        <f>IF('General price list'!$AB142="",0,'General price list'!$AB142)</f>
        <v>0</v>
      </c>
      <c r="Z140" s="365" t="str">
        <f>IFERROR(X140*VLOOKUP(C140,'General price list'!C:I,7,FALSE),"")</f>
        <v/>
      </c>
      <c r="AA140" s="805" t="str">
        <f>IF(X140&lt;&gt;"",VLOOKUP(C140,'General price list'!C142:AN1115,MATCH("HM",Tabulka1[[#Headers],[KOD]:[NEQ]],0),FALSE),"")</f>
        <v/>
      </c>
    </row>
    <row r="141" spans="1:27">
      <c r="A141">
        <f>COUNTIF($W$22:W141,1)</f>
        <v>0</v>
      </c>
      <c r="B141">
        <v>141</v>
      </c>
      <c r="C141" s="340" t="str">
        <f>IFERROR(Tabulka1[[#This Row],[KOD]],"")</f>
        <v>F3CC</v>
      </c>
      <c r="W141" s="804" t="str">
        <f t="shared" si="4"/>
        <v/>
      </c>
      <c r="X141" s="154" t="str">
        <f t="shared" si="5"/>
        <v/>
      </c>
      <c r="Y141" s="341">
        <f>IF('General price list'!$AB143="",0,'General price list'!$AB143)</f>
        <v>0</v>
      </c>
      <c r="Z141" s="365" t="str">
        <f>IFERROR(X141*VLOOKUP(C141,'General price list'!C:I,7,FALSE),"")</f>
        <v/>
      </c>
      <c r="AA141" s="805" t="str">
        <f>IF(X141&lt;&gt;"",VLOOKUP(C141,'General price list'!C143:AN1116,MATCH("HM",Tabulka1[[#Headers],[KOD]:[NEQ]],0),FALSE),"")</f>
        <v/>
      </c>
    </row>
    <row r="142" spans="1:27">
      <c r="A142">
        <f>COUNTIF($W$22:W142,1)</f>
        <v>0</v>
      </c>
      <c r="B142">
        <v>142</v>
      </c>
      <c r="C142" s="340" t="str">
        <f>IFERROR(Tabulka1[[#This Row],[KOD]],"")</f>
        <v>F6K</v>
      </c>
      <c r="W142" s="804" t="str">
        <f t="shared" si="4"/>
        <v/>
      </c>
      <c r="X142" s="154" t="str">
        <f t="shared" si="5"/>
        <v/>
      </c>
      <c r="Y142" s="341">
        <f>IF('General price list'!$AB144="",0,'General price list'!$AB144)</f>
        <v>0</v>
      </c>
      <c r="Z142" s="365" t="str">
        <f>IFERROR(X142*VLOOKUP(C142,'General price list'!C:I,7,FALSE),"")</f>
        <v/>
      </c>
      <c r="AA142" s="805" t="str">
        <f>IF(X142&lt;&gt;"",VLOOKUP(C142,'General price list'!C144:AN1117,MATCH("HM",Tabulka1[[#Headers],[KOD]:[NEQ]],0),FALSE),"")</f>
        <v/>
      </c>
    </row>
    <row r="143" spans="1:27">
      <c r="A143">
        <f>COUNTIF($W$22:W143,1)</f>
        <v>0</v>
      </c>
      <c r="B143">
        <v>143</v>
      </c>
      <c r="C143" s="340" t="str">
        <f>IFERROR(Tabulka1[[#This Row],[KOD]],"")</f>
        <v>F16CS</v>
      </c>
      <c r="W143" s="804" t="str">
        <f t="shared" si="4"/>
        <v/>
      </c>
      <c r="X143" s="154" t="str">
        <f t="shared" si="5"/>
        <v/>
      </c>
      <c r="Y143" s="341">
        <f>IF('General price list'!$AB145="",0,'General price list'!$AB145)</f>
        <v>0</v>
      </c>
      <c r="Z143" s="365" t="str">
        <f>IFERROR(X143*VLOOKUP(C143,'General price list'!C:I,7,FALSE),"")</f>
        <v/>
      </c>
      <c r="AA143" s="805" t="str">
        <f>IF(X143&lt;&gt;"",VLOOKUP(C143,'General price list'!C145:AN1118,MATCH("HM",Tabulka1[[#Headers],[KOD]:[NEQ]],0),FALSE),"")</f>
        <v/>
      </c>
    </row>
    <row r="144" spans="1:27">
      <c r="A144">
        <f>COUNTIF($W$22:W144,1)</f>
        <v>0</v>
      </c>
      <c r="B144">
        <v>144</v>
      </c>
      <c r="C144" s="340" t="str">
        <f>IFERROR(Tabulka1[[#This Row],[KOD]],"")</f>
        <v>F8B</v>
      </c>
      <c r="W144" s="804" t="str">
        <f t="shared" si="4"/>
        <v/>
      </c>
      <c r="X144" s="154" t="str">
        <f t="shared" si="5"/>
        <v/>
      </c>
      <c r="Y144" s="341">
        <f>IF('General price list'!$AB146="",0,'General price list'!$AB146)</f>
        <v>0</v>
      </c>
      <c r="Z144" s="365" t="str">
        <f>IFERROR(X144*VLOOKUP(C144,'General price list'!C:I,7,FALSE),"")</f>
        <v/>
      </c>
      <c r="AA144" s="805" t="str">
        <f>IF(X144&lt;&gt;"",VLOOKUP(C144,'General price list'!C146:AN1119,MATCH("HM",Tabulka1[[#Headers],[KOD]:[NEQ]],0),FALSE),"")</f>
        <v/>
      </c>
    </row>
    <row r="145" spans="1:27">
      <c r="A145">
        <f>COUNTIF($W$22:W145,1)</f>
        <v>0</v>
      </c>
      <c r="B145">
        <v>145</v>
      </c>
      <c r="C145" s="340" t="str">
        <f>IFERROR(Tabulka1[[#This Row],[KOD]],"")</f>
        <v>F10E</v>
      </c>
      <c r="W145" s="804" t="str">
        <f t="shared" si="4"/>
        <v/>
      </c>
      <c r="X145" s="154" t="str">
        <f t="shared" si="5"/>
        <v/>
      </c>
      <c r="Y145" s="341">
        <f>IF('General price list'!$AB147="",0,'General price list'!$AB147)</f>
        <v>0</v>
      </c>
      <c r="Z145" s="365" t="str">
        <f>IFERROR(X145*VLOOKUP(C145,'General price list'!C:I,7,FALSE),"")</f>
        <v/>
      </c>
      <c r="AA145" s="805" t="str">
        <f>IF(X145&lt;&gt;"",VLOOKUP(C145,'General price list'!C147:AN1120,MATCH("HM",Tabulka1[[#Headers],[KOD]:[NEQ]],0),FALSE),"")</f>
        <v/>
      </c>
    </row>
    <row r="146" spans="1:27">
      <c r="A146">
        <f>COUNTIF($W$22:W146,1)</f>
        <v>0</v>
      </c>
      <c r="B146">
        <v>146</v>
      </c>
      <c r="C146" s="340" t="str">
        <f>IFERROR(Tabulka1[[#This Row],[KOD]],"")</f>
        <v>F11M</v>
      </c>
      <c r="W146" s="804" t="str">
        <f t="shared" si="4"/>
        <v/>
      </c>
      <c r="X146" s="154" t="str">
        <f t="shared" si="5"/>
        <v/>
      </c>
      <c r="Y146" s="341">
        <f>IF('General price list'!$AB148="",0,'General price list'!$AB148)</f>
        <v>0</v>
      </c>
      <c r="Z146" s="365" t="str">
        <f>IFERROR(X146*VLOOKUP(C146,'General price list'!C:I,7,FALSE),"")</f>
        <v/>
      </c>
      <c r="AA146" s="805" t="str">
        <f>IF(X146&lt;&gt;"",VLOOKUP(C146,'General price list'!C148:AN1121,MATCH("HM",Tabulka1[[#Headers],[KOD]:[NEQ]],0),FALSE),"")</f>
        <v/>
      </c>
    </row>
    <row r="147" spans="1:27">
      <c r="A147">
        <f>COUNTIF($W$22:W147,1)</f>
        <v>0</v>
      </c>
      <c r="B147">
        <v>147</v>
      </c>
      <c r="C147" s="340" t="str">
        <f>IFERROR(Tabulka1[[#This Row],[KOD]],"")</f>
        <v>F14R</v>
      </c>
      <c r="W147" s="804" t="str">
        <f t="shared" si="4"/>
        <v/>
      </c>
      <c r="X147" s="154" t="str">
        <f t="shared" si="5"/>
        <v/>
      </c>
      <c r="Y147" s="341">
        <f>IF('General price list'!$AB149="",0,'General price list'!$AB149)</f>
        <v>0</v>
      </c>
      <c r="Z147" s="365" t="str">
        <f>IFERROR(X147*VLOOKUP(C147,'General price list'!C:I,7,FALSE),"")</f>
        <v/>
      </c>
      <c r="AA147" s="805" t="str">
        <f>IF(X147&lt;&gt;"",VLOOKUP(C147,'General price list'!C149:AN1122,MATCH("HM",Tabulka1[[#Headers],[KOD]:[NEQ]],0),FALSE),"")</f>
        <v/>
      </c>
    </row>
    <row r="148" spans="1:27">
      <c r="A148">
        <f>COUNTIF($W$22:W148,1)</f>
        <v>0</v>
      </c>
      <c r="B148">
        <v>148</v>
      </c>
      <c r="C148" s="340" t="str">
        <f>IFERROR(Tabulka1[[#This Row],[KOD]],"")</f>
        <v>F14R F</v>
      </c>
      <c r="W148" s="804" t="str">
        <f t="shared" si="4"/>
        <v/>
      </c>
      <c r="X148" s="154" t="str">
        <f t="shared" si="5"/>
        <v/>
      </c>
      <c r="Y148" s="341">
        <f>IF('General price list'!$AB150="",0,'General price list'!$AB150)</f>
        <v>0</v>
      </c>
      <c r="Z148" s="365" t="str">
        <f>IFERROR(X148*VLOOKUP(C148,'General price list'!C:I,7,FALSE),"")</f>
        <v/>
      </c>
      <c r="AA148" s="805" t="str">
        <f>IF(X148&lt;&gt;"",VLOOKUP(C148,'General price list'!C150:AN1123,MATCH("HM",Tabulka1[[#Headers],[KOD]:[NEQ]],0),FALSE),"")</f>
        <v/>
      </c>
    </row>
    <row r="149" spans="1:27">
      <c r="A149">
        <f>COUNTIF($W$22:W149,1)</f>
        <v>0</v>
      </c>
      <c r="B149">
        <v>149</v>
      </c>
      <c r="C149" s="340" t="str">
        <f>IFERROR(Tabulka1[[#This Row],[KOD]],"")</f>
        <v>F17S</v>
      </c>
      <c r="W149" s="804" t="str">
        <f t="shared" si="4"/>
        <v/>
      </c>
      <c r="X149" s="154" t="str">
        <f t="shared" si="5"/>
        <v/>
      </c>
      <c r="Y149" s="341">
        <f>IF('General price list'!$AB151="",0,'General price list'!$AB151)</f>
        <v>0</v>
      </c>
      <c r="Z149" s="365" t="str">
        <f>IFERROR(X149*VLOOKUP(C149,'General price list'!C:I,7,FALSE),"")</f>
        <v/>
      </c>
      <c r="AA149" s="805" t="str">
        <f>IF(X149&lt;&gt;"",VLOOKUP(C149,'General price list'!C151:AN1124,MATCH("HM",Tabulka1[[#Headers],[KOD]:[NEQ]],0),FALSE),"")</f>
        <v/>
      </c>
    </row>
    <row r="150" spans="1:27">
      <c r="A150">
        <f>COUNTIF($W$22:W150,1)</f>
        <v>0</v>
      </c>
      <c r="B150">
        <v>150</v>
      </c>
      <c r="C150" s="340" t="str">
        <f>IFERROR(Tabulka1[[#This Row],[KOD]],"")</f>
        <v>F18NB</v>
      </c>
      <c r="W150" s="804" t="str">
        <f t="shared" si="4"/>
        <v/>
      </c>
      <c r="X150" s="154" t="str">
        <f t="shared" si="5"/>
        <v/>
      </c>
      <c r="Y150" s="341">
        <f>IF('General price list'!$AB152="",0,'General price list'!$AB152)</f>
        <v>0</v>
      </c>
      <c r="Z150" s="365" t="str">
        <f>IFERROR(X150*VLOOKUP(C150,'General price list'!C:I,7,FALSE),"")</f>
        <v/>
      </c>
      <c r="AA150" s="805" t="str">
        <f>IF(X150&lt;&gt;"",VLOOKUP(C150,'General price list'!C152:AN1125,MATCH("HM",Tabulka1[[#Headers],[KOD]:[NEQ]],0),FALSE),"")</f>
        <v/>
      </c>
    </row>
    <row r="151" spans="1:27">
      <c r="A151">
        <f>COUNTIF($W$22:W151,1)</f>
        <v>0</v>
      </c>
      <c r="B151">
        <v>151</v>
      </c>
      <c r="C151" s="340" t="str">
        <f>IFERROR(Tabulka1[[#This Row],[KOD]],"")</f>
        <v>F216M</v>
      </c>
      <c r="W151" s="804" t="str">
        <f t="shared" si="4"/>
        <v/>
      </c>
      <c r="X151" s="154" t="str">
        <f t="shared" si="5"/>
        <v/>
      </c>
      <c r="Y151" s="341">
        <f>IF('General price list'!$AB153="",0,'General price list'!$AB153)</f>
        <v>0</v>
      </c>
      <c r="Z151" s="365" t="str">
        <f>IFERROR(X151*VLOOKUP(C151,'General price list'!C:I,7,FALSE),"")</f>
        <v/>
      </c>
      <c r="AA151" s="805" t="str">
        <f>IF(X151&lt;&gt;"",VLOOKUP(C151,'General price list'!C153:AN1126,MATCH("HM",Tabulka1[[#Headers],[KOD]:[NEQ]],0),FALSE),"")</f>
        <v/>
      </c>
    </row>
    <row r="152" spans="1:27">
      <c r="A152">
        <f>COUNTIF($W$22:W152,1)</f>
        <v>0</v>
      </c>
      <c r="B152">
        <v>152</v>
      </c>
      <c r="C152" s="340" t="str">
        <f>IFERROR(Tabulka1[[#This Row],[KOD]],"")</f>
        <v>RK25002F</v>
      </c>
      <c r="W152" s="804" t="str">
        <f t="shared" ref="W152:W215" si="6">IF(Y152+1=1,"",1)</f>
        <v/>
      </c>
      <c r="X152" s="154" t="str">
        <f t="shared" ref="X152:X215" si="7">IF(Y152+1=1,"",Y152)</f>
        <v/>
      </c>
      <c r="Y152" s="341">
        <f>IF('General price list'!$AB154="",0,'General price list'!$AB154)</f>
        <v>0</v>
      </c>
      <c r="Z152" s="365" t="str">
        <f>IFERROR(X152*VLOOKUP(C152,'General price list'!C:I,7,FALSE),"")</f>
        <v/>
      </c>
      <c r="AA152" s="805" t="str">
        <f>IF(X152&lt;&gt;"",VLOOKUP(C152,'General price list'!C154:AN1127,MATCH("HM",Tabulka1[[#Headers],[KOD]:[NEQ]],0),FALSE),"")</f>
        <v/>
      </c>
    </row>
    <row r="153" spans="1:27">
      <c r="A153">
        <f>COUNTIF($W$22:W153,1)</f>
        <v>0</v>
      </c>
      <c r="B153">
        <v>153</v>
      </c>
      <c r="C153" s="340">
        <f>IFERROR(Tabulka1[[#This Row],[KOD]],"")</f>
        <v>0</v>
      </c>
      <c r="W153" s="804" t="str">
        <f t="shared" si="6"/>
        <v/>
      </c>
      <c r="X153" s="154" t="str">
        <f t="shared" si="7"/>
        <v/>
      </c>
      <c r="Y153" s="341">
        <f>IF('General price list'!$AB155="",0,'General price list'!$AB155)</f>
        <v>0</v>
      </c>
      <c r="Z153" s="365" t="str">
        <f>IFERROR(X153*VLOOKUP(C153,'General price list'!C:I,7,FALSE),"")</f>
        <v/>
      </c>
      <c r="AA153" s="805" t="str">
        <f>IF(X153&lt;&gt;"",VLOOKUP(C153,'General price list'!C155:AN1128,MATCH("HM",Tabulka1[[#Headers],[KOD]:[NEQ]],0),FALSE),"")</f>
        <v/>
      </c>
    </row>
    <row r="154" spans="1:27">
      <c r="A154">
        <f>COUNTIF($W$22:W154,1)</f>
        <v>0</v>
      </c>
      <c r="B154">
        <v>154</v>
      </c>
      <c r="C154" s="340" t="str">
        <f>IFERROR(Tabulka1[[#This Row],[KOD]],"")</f>
        <v>F100C</v>
      </c>
      <c r="W154" s="804" t="str">
        <f t="shared" si="6"/>
        <v/>
      </c>
      <c r="X154" s="154" t="str">
        <f t="shared" si="7"/>
        <v/>
      </c>
      <c r="Y154" s="341">
        <f>IF('General price list'!$AB156="",0,'General price list'!$AB156)</f>
        <v>0</v>
      </c>
      <c r="Z154" s="365" t="str">
        <f>IFERROR(X154*VLOOKUP(C154,'General price list'!C:I,7,FALSE),"")</f>
        <v/>
      </c>
      <c r="AA154" s="805" t="str">
        <f>IF(X154&lt;&gt;"",VLOOKUP(C154,'General price list'!C156:AN1129,MATCH("HM",Tabulka1[[#Headers],[KOD]:[NEQ]],0),FALSE),"")</f>
        <v/>
      </c>
    </row>
    <row r="155" spans="1:27">
      <c r="A155">
        <f>COUNTIF($W$22:W155,1)</f>
        <v>0</v>
      </c>
      <c r="B155">
        <v>155</v>
      </c>
      <c r="C155" s="340" t="str">
        <f>IFERROR(Tabulka1[[#This Row],[KOD]],"")</f>
        <v>F100DC</v>
      </c>
      <c r="W155" s="804" t="str">
        <f t="shared" si="6"/>
        <v/>
      </c>
      <c r="X155" s="154" t="str">
        <f t="shared" si="7"/>
        <v/>
      </c>
      <c r="Y155" s="341">
        <f>IF('General price list'!$AB157="",0,'General price list'!$AB157)</f>
        <v>0</v>
      </c>
      <c r="Z155" s="365" t="str">
        <f>IFERROR(X155*VLOOKUP(C155,'General price list'!C:I,7,FALSE),"")</f>
        <v/>
      </c>
      <c r="AA155" s="805" t="str">
        <f>IF(X155&lt;&gt;"",VLOOKUP(C155,'General price list'!C157:AN1130,MATCH("HM",Tabulka1[[#Headers],[KOD]:[NEQ]],0),FALSE),"")</f>
        <v/>
      </c>
    </row>
    <row r="156" spans="1:27">
      <c r="A156">
        <f>COUNTIF($W$22:W156,1)</f>
        <v>0</v>
      </c>
      <c r="B156">
        <v>156</v>
      </c>
      <c r="C156" s="340" t="str">
        <f>IFERROR(Tabulka1[[#This Row],[KOD]],"")</f>
        <v>F250SC</v>
      </c>
      <c r="W156" s="804" t="str">
        <f t="shared" si="6"/>
        <v/>
      </c>
      <c r="X156" s="154" t="str">
        <f t="shared" si="7"/>
        <v/>
      </c>
      <c r="Y156" s="341">
        <f>IF('General price list'!$AB158="",0,'General price list'!$AB158)</f>
        <v>0</v>
      </c>
      <c r="Z156" s="365" t="str">
        <f>IFERROR(X156*VLOOKUP(C156,'General price list'!C:I,7,FALSE),"")</f>
        <v/>
      </c>
      <c r="AA156" s="805" t="str">
        <f>IF(X156&lt;&gt;"",VLOOKUP(C156,'General price list'!C158:AN1131,MATCH("HM",Tabulka1[[#Headers],[KOD]:[NEQ]],0),FALSE),"")</f>
        <v/>
      </c>
    </row>
    <row r="157" spans="1:27">
      <c r="A157">
        <f>COUNTIF($W$22:W157,1)</f>
        <v>0</v>
      </c>
      <c r="B157">
        <v>157</v>
      </c>
      <c r="C157" s="340" t="str">
        <f>IFERROR(Tabulka1[[#This Row],[KOD]],"")</f>
        <v>F250C</v>
      </c>
      <c r="W157" s="804" t="str">
        <f t="shared" si="6"/>
        <v/>
      </c>
      <c r="X157" s="154" t="str">
        <f t="shared" si="7"/>
        <v/>
      </c>
      <c r="Y157" s="341">
        <f>IF('General price list'!$AB159="",0,'General price list'!$AB159)</f>
        <v>0</v>
      </c>
      <c r="Z157" s="365" t="str">
        <f>IFERROR(X157*VLOOKUP(C157,'General price list'!C:I,7,FALSE),"")</f>
        <v/>
      </c>
      <c r="AA157" s="805" t="str">
        <f>IF(X157&lt;&gt;"",VLOOKUP(C157,'General price list'!C159:AN1132,MATCH("HM",Tabulka1[[#Headers],[KOD]:[NEQ]],0),FALSE),"")</f>
        <v/>
      </c>
    </row>
    <row r="158" spans="1:27">
      <c r="A158">
        <f>COUNTIF($W$22:W158,1)</f>
        <v>0</v>
      </c>
      <c r="B158">
        <v>158</v>
      </c>
      <c r="C158" s="340" t="str">
        <f>IFERROR(Tabulka1[[#This Row],[KOD]],"")</f>
        <v>F500SIG</v>
      </c>
      <c r="W158" s="804" t="str">
        <f t="shared" si="6"/>
        <v/>
      </c>
      <c r="X158" s="154" t="str">
        <f t="shared" si="7"/>
        <v/>
      </c>
      <c r="Y158" s="341">
        <f>IF('General price list'!$AB160="",0,'General price list'!$AB160)</f>
        <v>0</v>
      </c>
      <c r="Z158" s="365" t="str">
        <f>IFERROR(X158*VLOOKUP(C158,'General price list'!C:I,7,FALSE),"")</f>
        <v/>
      </c>
      <c r="AA158" s="805" t="str">
        <f>IF(X158&lt;&gt;"",VLOOKUP(C158,'General price list'!C160:AN1133,MATCH("HM",Tabulka1[[#Headers],[KOD]:[NEQ]],0),FALSE),"")</f>
        <v/>
      </c>
    </row>
    <row r="159" spans="1:27">
      <c r="A159">
        <f>COUNTIF($W$22:W159,1)</f>
        <v>0</v>
      </c>
      <c r="B159">
        <v>159</v>
      </c>
      <c r="C159" s="340" t="str">
        <f>IFERROR(Tabulka1[[#This Row],[KOD]],"")</f>
        <v>F500SS</v>
      </c>
      <c r="W159" s="804" t="str">
        <f t="shared" si="6"/>
        <v/>
      </c>
      <c r="X159" s="154" t="str">
        <f t="shared" si="7"/>
        <v/>
      </c>
      <c r="Y159" s="341">
        <f>IF('General price list'!$AB161="",0,'General price list'!$AB161)</f>
        <v>0</v>
      </c>
      <c r="Z159" s="365" t="str">
        <f>IFERROR(X159*VLOOKUP(C159,'General price list'!C:I,7,FALSE),"")</f>
        <v/>
      </c>
      <c r="AA159" s="805" t="str">
        <f>IF(X159&lt;&gt;"",VLOOKUP(C159,'General price list'!C161:AN1134,MATCH("HM",Tabulka1[[#Headers],[KOD]:[NEQ]],0),FALSE),"")</f>
        <v/>
      </c>
    </row>
    <row r="160" spans="1:27">
      <c r="A160">
        <f>COUNTIF($W$22:W160,1)</f>
        <v>0</v>
      </c>
      <c r="B160">
        <v>160</v>
      </c>
      <c r="C160" s="340" t="str">
        <f>IFERROR(Tabulka1[[#This Row],[KOD]],"")</f>
        <v>F500C</v>
      </c>
      <c r="W160" s="804" t="str">
        <f t="shared" si="6"/>
        <v/>
      </c>
      <c r="X160" s="154" t="str">
        <f t="shared" si="7"/>
        <v/>
      </c>
      <c r="Y160" s="341">
        <f>IF('General price list'!$AB162="",0,'General price list'!$AB162)</f>
        <v>0</v>
      </c>
      <c r="Z160" s="365" t="str">
        <f>IFERROR(X160*VLOOKUP(C160,'General price list'!C:I,7,FALSE),"")</f>
        <v/>
      </c>
      <c r="AA160" s="805" t="str">
        <f>IF(X160&lt;&gt;"",VLOOKUP(C160,'General price list'!C162:AN1135,MATCH("HM",Tabulka1[[#Headers],[KOD]:[NEQ]],0),FALSE),"")</f>
        <v/>
      </c>
    </row>
    <row r="161" spans="1:27">
      <c r="A161">
        <f>COUNTIF($W$22:W161,1)</f>
        <v>0</v>
      </c>
      <c r="B161">
        <v>161</v>
      </c>
      <c r="C161" s="340" t="str">
        <f>IFERROR(Tabulka1[[#This Row],[KOD]],"")</f>
        <v>F1000SS</v>
      </c>
      <c r="W161" s="804" t="str">
        <f t="shared" si="6"/>
        <v/>
      </c>
      <c r="X161" s="154" t="str">
        <f t="shared" si="7"/>
        <v/>
      </c>
      <c r="Y161" s="341">
        <f>IF('General price list'!$AB163="",0,'General price list'!$AB163)</f>
        <v>0</v>
      </c>
      <c r="Z161" s="365" t="str">
        <f>IFERROR(X161*VLOOKUP(C161,'General price list'!C:I,7,FALSE),"")</f>
        <v/>
      </c>
      <c r="AA161" s="805" t="str">
        <f>IF(X161&lt;&gt;"",VLOOKUP(C161,'General price list'!C163:AN1136,MATCH("HM",Tabulka1[[#Headers],[KOD]:[NEQ]],0),FALSE),"")</f>
        <v/>
      </c>
    </row>
    <row r="162" spans="1:27">
      <c r="A162">
        <f>COUNTIF($W$22:W162,1)</f>
        <v>0</v>
      </c>
      <c r="B162">
        <v>162</v>
      </c>
      <c r="C162" s="340" t="str">
        <f>IFERROR(Tabulka1[[#This Row],[KOD]],"")</f>
        <v>F1500C</v>
      </c>
      <c r="W162" s="804" t="str">
        <f t="shared" si="6"/>
        <v/>
      </c>
      <c r="X162" s="154" t="str">
        <f t="shared" si="7"/>
        <v/>
      </c>
      <c r="Y162" s="341">
        <f>IF('General price list'!$AB164="",0,'General price list'!$AB164)</f>
        <v>0</v>
      </c>
      <c r="Z162" s="365" t="str">
        <f>IFERROR(X162*VLOOKUP(C162,'General price list'!C:I,7,FALSE),"")</f>
        <v/>
      </c>
      <c r="AA162" s="805" t="str">
        <f>IF(X162&lt;&gt;"",VLOOKUP(C162,'General price list'!C164:AN1137,MATCH("HM",Tabulka1[[#Headers],[KOD]:[NEQ]],0),FALSE),"")</f>
        <v/>
      </c>
    </row>
    <row r="163" spans="1:27">
      <c r="A163">
        <f>COUNTIF($W$22:W163,1)</f>
        <v>0</v>
      </c>
      <c r="B163">
        <v>163</v>
      </c>
      <c r="C163" s="340">
        <f>IFERROR(Tabulka1[[#This Row],[KOD]],"")</f>
        <v>0</v>
      </c>
      <c r="W163" s="804" t="str">
        <f t="shared" si="6"/>
        <v/>
      </c>
      <c r="X163" s="154" t="str">
        <f t="shared" si="7"/>
        <v/>
      </c>
      <c r="Y163" s="341">
        <f>IF('General price list'!$AB165="",0,'General price list'!$AB165)</f>
        <v>0</v>
      </c>
      <c r="Z163" s="365" t="str">
        <f>IFERROR(X163*VLOOKUP(C163,'General price list'!C:I,7,FALSE),"")</f>
        <v/>
      </c>
      <c r="AA163" s="805" t="str">
        <f>IF(X163&lt;&gt;"",VLOOKUP(C163,'General price list'!C165:AN1138,MATCH("HM",Tabulka1[[#Headers],[KOD]:[NEQ]],0),FALSE),"")</f>
        <v/>
      </c>
    </row>
    <row r="164" spans="1:27">
      <c r="A164">
        <f>COUNTIF($W$22:W164,1)</f>
        <v>0</v>
      </c>
      <c r="B164">
        <v>164</v>
      </c>
      <c r="C164" s="340" t="str">
        <f>IFERROR(Tabulka1[[#This Row],[KOD]],"")</f>
        <v>F3N</v>
      </c>
      <c r="W164" s="804" t="str">
        <f t="shared" si="6"/>
        <v/>
      </c>
      <c r="X164" s="154" t="str">
        <f t="shared" si="7"/>
        <v/>
      </c>
      <c r="Y164" s="341">
        <f>IF('General price list'!$AB166="",0,'General price list'!$AB166)</f>
        <v>0</v>
      </c>
      <c r="Z164" s="365" t="str">
        <f>IFERROR(X164*VLOOKUP(C164,'General price list'!C:I,7,FALSE),"")</f>
        <v/>
      </c>
      <c r="AA164" s="805" t="str">
        <f>IF(X164&lt;&gt;"",VLOOKUP(C164,'General price list'!C166:AN1139,MATCH("HM",Tabulka1[[#Headers],[KOD]:[NEQ]],0),FALSE),"")</f>
        <v/>
      </c>
    </row>
    <row r="165" spans="1:27">
      <c r="A165">
        <f>COUNTIF($W$22:W165,1)</f>
        <v>0</v>
      </c>
      <c r="B165">
        <v>165</v>
      </c>
      <c r="C165" s="340" t="str">
        <f>IFERROR(Tabulka1[[#This Row],[KOD]],"")</f>
        <v>DF10CM</v>
      </c>
      <c r="W165" s="804" t="str">
        <f t="shared" si="6"/>
        <v/>
      </c>
      <c r="X165" s="154" t="str">
        <f t="shared" si="7"/>
        <v/>
      </c>
      <c r="Y165" s="341">
        <f>IF('General price list'!$AB167="",0,'General price list'!$AB167)</f>
        <v>0</v>
      </c>
      <c r="Z165" s="365" t="str">
        <f>IFERROR(X165*VLOOKUP(C165,'General price list'!C:I,7,FALSE),"")</f>
        <v/>
      </c>
      <c r="AA165" s="805" t="str">
        <f>IF(X165&lt;&gt;"",VLOOKUP(C165,'General price list'!C167:AN1140,MATCH("HM",Tabulka1[[#Headers],[KOD]:[NEQ]],0),FALSE),"")</f>
        <v/>
      </c>
    </row>
    <row r="166" spans="1:27">
      <c r="A166">
        <f>COUNTIF($W$22:W166,1)</f>
        <v>0</v>
      </c>
      <c r="B166">
        <v>166</v>
      </c>
      <c r="C166" s="340" t="str">
        <f>IFERROR(Tabulka1[[#This Row],[KOD]],"")</f>
        <v>DF20CM</v>
      </c>
      <c r="W166" s="804" t="str">
        <f t="shared" si="6"/>
        <v/>
      </c>
      <c r="X166" s="154" t="str">
        <f t="shared" si="7"/>
        <v/>
      </c>
      <c r="Y166" s="341">
        <f>IF('General price list'!$AB168="",0,'General price list'!$AB168)</f>
        <v>0</v>
      </c>
      <c r="Z166" s="365" t="str">
        <f>IFERROR(X166*VLOOKUP(C166,'General price list'!C:I,7,FALSE),"")</f>
        <v/>
      </c>
      <c r="AA166" s="805" t="str">
        <f>IF(X166&lt;&gt;"",VLOOKUP(C166,'General price list'!C168:AN1141,MATCH("HM",Tabulka1[[#Headers],[KOD]:[NEQ]],0),FALSE),"")</f>
        <v/>
      </c>
    </row>
    <row r="167" spans="1:27">
      <c r="A167">
        <f>COUNTIF($W$22:W167,1)</f>
        <v>0</v>
      </c>
      <c r="B167">
        <v>167</v>
      </c>
      <c r="C167" s="340" t="str">
        <f>IFERROR(Tabulka1[[#This Row],[KOD]],"")</f>
        <v>DF30CM</v>
      </c>
      <c r="W167" s="804" t="str">
        <f t="shared" si="6"/>
        <v/>
      </c>
      <c r="X167" s="154" t="str">
        <f t="shared" si="7"/>
        <v/>
      </c>
      <c r="Y167" s="341">
        <f>IF('General price list'!$AB169="",0,'General price list'!$AB169)</f>
        <v>0</v>
      </c>
      <c r="Z167" s="365" t="str">
        <f>IFERROR(X167*VLOOKUP(C167,'General price list'!C:I,7,FALSE),"")</f>
        <v/>
      </c>
      <c r="AA167" s="805" t="str">
        <f>IF(X167&lt;&gt;"",VLOOKUP(C167,'General price list'!C169:AN1142,MATCH("HM",Tabulka1[[#Headers],[KOD]:[NEQ]],0),FALSE),"")</f>
        <v/>
      </c>
    </row>
    <row r="168" spans="1:27">
      <c r="A168">
        <f>COUNTIF($W$22:W168,1)</f>
        <v>0</v>
      </c>
      <c r="B168">
        <v>168</v>
      </c>
      <c r="C168" s="340">
        <f>IFERROR(Tabulka1[[#This Row],[KOD]],"")</f>
        <v>0</v>
      </c>
      <c r="W168" s="804" t="str">
        <f t="shared" si="6"/>
        <v/>
      </c>
      <c r="X168" s="154" t="str">
        <f t="shared" si="7"/>
        <v/>
      </c>
      <c r="Y168" s="341">
        <f>IF('General price list'!$AB170="",0,'General price list'!$AB170)</f>
        <v>0</v>
      </c>
      <c r="Z168" s="365" t="str">
        <f>IFERROR(X168*VLOOKUP(C168,'General price list'!C:I,7,FALSE),"")</f>
        <v/>
      </c>
      <c r="AA168" s="805" t="str">
        <f>IF(X168&lt;&gt;"",VLOOKUP(C168,'General price list'!C170:AN1143,MATCH("HM",Tabulka1[[#Headers],[KOD]:[NEQ]],0),FALSE),"")</f>
        <v/>
      </c>
    </row>
    <row r="169" spans="1:27">
      <c r="A169">
        <f>COUNTIF($W$22:W169,1)</f>
        <v>0</v>
      </c>
      <c r="B169">
        <v>169</v>
      </c>
      <c r="C169" s="340" t="str">
        <f>IFERROR(Tabulka1[[#This Row],[KOD]],"")</f>
        <v>CON80P</v>
      </c>
      <c r="W169" s="804" t="str">
        <f t="shared" si="6"/>
        <v/>
      </c>
      <c r="X169" s="154" t="str">
        <f t="shared" si="7"/>
        <v/>
      </c>
      <c r="Y169" s="341">
        <f>IF('General price list'!$AB171="",0,'General price list'!$AB171)</f>
        <v>0</v>
      </c>
      <c r="Z169" s="365" t="str">
        <f>IFERROR(X169*VLOOKUP(C169,'General price list'!C:I,7,FALSE),"")</f>
        <v/>
      </c>
      <c r="AA169" s="805" t="str">
        <f>IF(X169&lt;&gt;"",VLOOKUP(C169,'General price list'!C171:AN1144,MATCH("HM",Tabulka1[[#Headers],[KOD]:[NEQ]],0),FALSE),"")</f>
        <v/>
      </c>
    </row>
    <row r="170" spans="1:27">
      <c r="A170">
        <f>COUNTIF($W$22:W170,1)</f>
        <v>0</v>
      </c>
      <c r="B170">
        <v>170</v>
      </c>
      <c r="C170" s="340">
        <f>IFERROR(Tabulka1[[#This Row],[KOD]],"")</f>
        <v>0</v>
      </c>
      <c r="W170" s="804" t="str">
        <f t="shared" si="6"/>
        <v/>
      </c>
      <c r="X170" s="154" t="str">
        <f t="shared" si="7"/>
        <v/>
      </c>
      <c r="Y170" s="341">
        <f>IF('General price list'!$AB172="",0,'General price list'!$AB172)</f>
        <v>0</v>
      </c>
      <c r="Z170" s="365" t="str">
        <f>IFERROR(X170*VLOOKUP(C170,'General price list'!C:I,7,FALSE),"")</f>
        <v/>
      </c>
      <c r="AA170" s="805" t="str">
        <f>IF(X170&lt;&gt;"",VLOOKUP(C170,'General price list'!C172:AN1145,MATCH("HM",Tabulka1[[#Headers],[KOD]:[NEQ]],0),FALSE),"")</f>
        <v/>
      </c>
    </row>
    <row r="171" spans="1:27">
      <c r="A171">
        <f>COUNTIF($W$22:W171,1)</f>
        <v>0</v>
      </c>
      <c r="B171">
        <v>171</v>
      </c>
      <c r="C171" s="340" t="str">
        <f>IFERROR(Tabulka1[[#This Row],[KOD]],"")</f>
        <v>R4420B</v>
      </c>
      <c r="W171" s="804" t="str">
        <f t="shared" si="6"/>
        <v/>
      </c>
      <c r="X171" s="154" t="str">
        <f t="shared" si="7"/>
        <v/>
      </c>
      <c r="Y171" s="341">
        <f>IF('General price list'!$AB173="",0,'General price list'!$AB173)</f>
        <v>0</v>
      </c>
      <c r="Z171" s="365" t="str">
        <f>IFERROR(X171*VLOOKUP(C171,'General price list'!C:I,7,FALSE),"")</f>
        <v/>
      </c>
      <c r="AA171" s="805" t="str">
        <f>IF(X171&lt;&gt;"",VLOOKUP(C171,'General price list'!C173:AN1146,MATCH("HM",Tabulka1[[#Headers],[KOD]:[NEQ]],0),FALSE),"")</f>
        <v/>
      </c>
    </row>
    <row r="172" spans="1:27">
      <c r="A172">
        <f>COUNTIF($W$22:W172,1)</f>
        <v>0</v>
      </c>
      <c r="B172">
        <v>172</v>
      </c>
      <c r="C172" s="340" t="str">
        <f>IFERROR(Tabulka1[[#This Row],[KOD]],"")</f>
        <v>R7040C</v>
      </c>
      <c r="W172" s="804" t="str">
        <f t="shared" si="6"/>
        <v/>
      </c>
      <c r="X172" s="154" t="str">
        <f t="shared" si="7"/>
        <v/>
      </c>
      <c r="Y172" s="341">
        <f>IF('General price list'!$AB174="",0,'General price list'!$AB174)</f>
        <v>0</v>
      </c>
      <c r="Z172" s="365" t="str">
        <f>IFERROR(X172*VLOOKUP(C172,'General price list'!C:I,7,FALSE),"")</f>
        <v/>
      </c>
      <c r="AA172" s="805" t="str">
        <f>IF(X172&lt;&gt;"",VLOOKUP(C172,'General price list'!C174:AN1147,MATCH("HM",Tabulka1[[#Headers],[KOD]:[NEQ]],0),FALSE),"")</f>
        <v/>
      </c>
    </row>
    <row r="173" spans="1:27">
      <c r="A173">
        <f>COUNTIF($W$22:W173,1)</f>
        <v>0</v>
      </c>
      <c r="B173">
        <v>173</v>
      </c>
      <c r="C173" s="340">
        <f>IFERROR(Tabulka1[[#This Row],[KOD]],"")</f>
        <v>0</v>
      </c>
      <c r="W173" s="804" t="str">
        <f t="shared" si="6"/>
        <v/>
      </c>
      <c r="X173" s="154" t="str">
        <f t="shared" si="7"/>
        <v/>
      </c>
      <c r="Y173" s="341">
        <f>IF('General price list'!$AB175="",0,'General price list'!$AB175)</f>
        <v>0</v>
      </c>
      <c r="Z173" s="365" t="str">
        <f>IFERROR(X173*VLOOKUP(C173,'General price list'!C:I,7,FALSE),"")</f>
        <v/>
      </c>
      <c r="AA173" s="805" t="str">
        <f>IF(X173&lt;&gt;"",VLOOKUP(C173,'General price list'!C175:AN1148,MATCH("HM",Tabulka1[[#Headers],[KOD]:[NEQ]],0),FALSE),"")</f>
        <v/>
      </c>
    </row>
    <row r="174" spans="1:27">
      <c r="A174">
        <f>COUNTIF($W$22:W174,1)</f>
        <v>0</v>
      </c>
      <c r="B174">
        <v>174</v>
      </c>
      <c r="C174" s="340" t="str">
        <f>IFERROR(Tabulka1[[#This Row],[KOD]],"")</f>
        <v>R5410B</v>
      </c>
      <c r="W174" s="804" t="str">
        <f t="shared" si="6"/>
        <v/>
      </c>
      <c r="X174" s="154" t="str">
        <f t="shared" si="7"/>
        <v/>
      </c>
      <c r="Y174" s="341">
        <f>IF('General price list'!$AB176="",0,'General price list'!$AB176)</f>
        <v>0</v>
      </c>
      <c r="Z174" s="365" t="str">
        <f>IFERROR(X174*VLOOKUP(C174,'General price list'!C:I,7,FALSE),"")</f>
        <v/>
      </c>
      <c r="AA174" s="805" t="str">
        <f>IF(X174&lt;&gt;"",VLOOKUP(C174,'General price list'!C176:AN1149,MATCH("HM",Tabulka1[[#Headers],[KOD]:[NEQ]],0),FALSE),"")</f>
        <v/>
      </c>
    </row>
    <row r="175" spans="1:27">
      <c r="A175">
        <f>COUNTIF($W$22:W175,1)</f>
        <v>0</v>
      </c>
      <c r="B175">
        <v>175</v>
      </c>
      <c r="C175" s="340" t="str">
        <f>IFERROR(Tabulka1[[#This Row],[KOD]],"")</f>
        <v>R5420K</v>
      </c>
      <c r="W175" s="804" t="str">
        <f t="shared" si="6"/>
        <v/>
      </c>
      <c r="X175" s="154" t="str">
        <f t="shared" si="7"/>
        <v/>
      </c>
      <c r="Y175" s="341">
        <f>IF('General price list'!$AB177="",0,'General price list'!$AB177)</f>
        <v>0</v>
      </c>
      <c r="Z175" s="365" t="str">
        <f>IFERROR(X175*VLOOKUP(C175,'General price list'!C:I,7,FALSE),"")</f>
        <v/>
      </c>
      <c r="AA175" s="805" t="str">
        <f>IF(X175&lt;&gt;"",VLOOKUP(C175,'General price list'!C177:AN1150,MATCH("HM",Tabulka1[[#Headers],[KOD]:[NEQ]],0),FALSE),"")</f>
        <v/>
      </c>
    </row>
    <row r="176" spans="1:27">
      <c r="A176">
        <f>COUNTIF($W$22:W176,1)</f>
        <v>0</v>
      </c>
      <c r="B176">
        <v>176</v>
      </c>
      <c r="C176" s="340" t="str">
        <f>IFERROR(Tabulka1[[#This Row],[KOD]],"")</f>
        <v>R7020K</v>
      </c>
      <c r="W176" s="804" t="str">
        <f t="shared" si="6"/>
        <v/>
      </c>
      <c r="X176" s="154" t="str">
        <f t="shared" si="7"/>
        <v/>
      </c>
      <c r="Y176" s="341">
        <f>IF('General price list'!$AB178="",0,'General price list'!$AB178)</f>
        <v>0</v>
      </c>
      <c r="Z176" s="365" t="str">
        <f>IFERROR(X176*VLOOKUP(C176,'General price list'!C:I,7,FALSE),"")</f>
        <v/>
      </c>
      <c r="AA176" s="805" t="str">
        <f>IF(X176&lt;&gt;"",VLOOKUP(C176,'General price list'!C178:AN1151,MATCH("HM",Tabulka1[[#Headers],[KOD]:[NEQ]],0),FALSE),"")</f>
        <v/>
      </c>
    </row>
    <row r="177" spans="1:27">
      <c r="A177">
        <f>COUNTIF($W$22:W177,1)</f>
        <v>0</v>
      </c>
      <c r="B177">
        <v>177</v>
      </c>
      <c r="C177" s="340" t="str">
        <f>IFERROR(Tabulka1[[#This Row],[KOD]],"")</f>
        <v>R6020B</v>
      </c>
      <c r="W177" s="804" t="str">
        <f t="shared" si="6"/>
        <v/>
      </c>
      <c r="X177" s="154" t="str">
        <f t="shared" si="7"/>
        <v/>
      </c>
      <c r="Y177" s="341">
        <f>IF('General price list'!$AB179="",0,'General price list'!$AB179)</f>
        <v>0</v>
      </c>
      <c r="Z177" s="365" t="str">
        <f>IFERROR(X177*VLOOKUP(C177,'General price list'!C:I,7,FALSE),"")</f>
        <v/>
      </c>
      <c r="AA177" s="805" t="str">
        <f>IF(X177&lt;&gt;"",VLOOKUP(C177,'General price list'!C179:AN1152,MATCH("HM",Tabulka1[[#Headers],[KOD]:[NEQ]],0),FALSE),"")</f>
        <v/>
      </c>
    </row>
    <row r="178" spans="1:27">
      <c r="A178">
        <f>COUNTIF($W$22:W178,1)</f>
        <v>0</v>
      </c>
      <c r="B178">
        <v>178</v>
      </c>
      <c r="C178" s="340" t="str">
        <f>IFERROR(Tabulka1[[#This Row],[KOD]],"")</f>
        <v>R6520BK/2</v>
      </c>
      <c r="W178" s="804" t="str">
        <f t="shared" si="6"/>
        <v/>
      </c>
      <c r="X178" s="154" t="str">
        <f t="shared" si="7"/>
        <v/>
      </c>
      <c r="Y178" s="341">
        <f>IF('General price list'!$AB180="",0,'General price list'!$AB180)</f>
        <v>0</v>
      </c>
      <c r="Z178" s="365" t="str">
        <f>IFERROR(X178*VLOOKUP(C178,'General price list'!C:I,7,FALSE),"")</f>
        <v/>
      </c>
      <c r="AA178" s="805" t="str">
        <f>IF(X178&lt;&gt;"",VLOOKUP(C178,'General price list'!C180:AN1153,MATCH("HM",Tabulka1[[#Headers],[KOD]:[NEQ]],0),FALSE),"")</f>
        <v/>
      </c>
    </row>
    <row r="179" spans="1:27">
      <c r="A179">
        <f>COUNTIF($W$22:W179,1)</f>
        <v>0</v>
      </c>
      <c r="B179">
        <v>179</v>
      </c>
      <c r="C179" s="340" t="str">
        <f>IFERROR(Tabulka1[[#This Row],[KOD]],"")</f>
        <v>R6020M</v>
      </c>
      <c r="W179" s="804" t="str">
        <f t="shared" si="6"/>
        <v/>
      </c>
      <c r="X179" s="154" t="str">
        <f t="shared" si="7"/>
        <v/>
      </c>
      <c r="Y179" s="341">
        <f>IF('General price list'!$AB181="",0,'General price list'!$AB181)</f>
        <v>0</v>
      </c>
      <c r="Z179" s="365" t="str">
        <f>IFERROR(X179*VLOOKUP(C179,'General price list'!C:I,7,FALSE),"")</f>
        <v/>
      </c>
      <c r="AA179" s="805" t="str">
        <f>IF(X179&lt;&gt;"",VLOOKUP(C179,'General price list'!C181:AN1154,MATCH("HM",Tabulka1[[#Headers],[KOD]:[NEQ]],0),FALSE),"")</f>
        <v/>
      </c>
    </row>
    <row r="180" spans="1:27">
      <c r="A180">
        <f>COUNTIF($W$22:W180,1)</f>
        <v>0</v>
      </c>
      <c r="B180">
        <v>180</v>
      </c>
      <c r="C180" s="340" t="str">
        <f>IFERROR(Tabulka1[[#This Row],[KOD]],"")</f>
        <v>R7020M</v>
      </c>
      <c r="W180" s="804" t="str">
        <f t="shared" si="6"/>
        <v/>
      </c>
      <c r="X180" s="154" t="str">
        <f t="shared" si="7"/>
        <v/>
      </c>
      <c r="Y180" s="341">
        <f>IF('General price list'!$AB182="",0,'General price list'!$AB182)</f>
        <v>0</v>
      </c>
      <c r="Z180" s="365" t="str">
        <f>IFERROR(X180*VLOOKUP(C180,'General price list'!C:I,7,FALSE),"")</f>
        <v/>
      </c>
      <c r="AA180" s="805" t="str">
        <f>IF(X180&lt;&gt;"",VLOOKUP(C180,'General price list'!C182:AN1155,MATCH("HM",Tabulka1[[#Headers],[KOD]:[NEQ]],0),FALSE),"")</f>
        <v/>
      </c>
    </row>
    <row r="181" spans="1:27">
      <c r="A181">
        <f>COUNTIF($W$22:W181,1)</f>
        <v>0</v>
      </c>
      <c r="B181">
        <v>181</v>
      </c>
      <c r="C181" s="340">
        <f>IFERROR(Tabulka1[[#This Row],[KOD]],"")</f>
        <v>0</v>
      </c>
      <c r="W181" s="804" t="str">
        <f t="shared" si="6"/>
        <v/>
      </c>
      <c r="X181" s="154" t="str">
        <f t="shared" si="7"/>
        <v/>
      </c>
      <c r="Y181" s="341">
        <f>IF('General price list'!$AB183="",0,'General price list'!$AB183)</f>
        <v>0</v>
      </c>
      <c r="Z181" s="365" t="str">
        <f>IFERROR(X181*VLOOKUP(C181,'General price list'!C:I,7,FALSE),"")</f>
        <v/>
      </c>
      <c r="AA181" s="805" t="str">
        <f>IF(X181&lt;&gt;"",VLOOKUP(C181,'General price list'!C183:AN1156,MATCH("HM",Tabulka1[[#Headers],[KOD]:[NEQ]],0),FALSE),"")</f>
        <v/>
      </c>
    </row>
    <row r="182" spans="1:27">
      <c r="A182">
        <f>COUNTIF($W$22:W182,1)</f>
        <v>0</v>
      </c>
      <c r="B182">
        <v>182</v>
      </c>
      <c r="C182" s="340" t="str">
        <f>IFERROR(Tabulka1[[#This Row],[KOD]],"")</f>
        <v>R60508E</v>
      </c>
      <c r="W182" s="804" t="str">
        <f t="shared" si="6"/>
        <v/>
      </c>
      <c r="X182" s="154" t="str">
        <f t="shared" si="7"/>
        <v/>
      </c>
      <c r="Y182" s="341">
        <f>IF('General price list'!$AB184="",0,'General price list'!$AB184)</f>
        <v>0</v>
      </c>
      <c r="Z182" s="365" t="str">
        <f>IFERROR(X182*VLOOKUP(C182,'General price list'!C:I,7,FALSE),"")</f>
        <v/>
      </c>
      <c r="AA182" s="805" t="str">
        <f>IF(X182&lt;&gt;"",VLOOKUP(C182,'General price list'!C184:AN1157,MATCH("HM",Tabulka1[[#Headers],[KOD]:[NEQ]],0),FALSE),"")</f>
        <v/>
      </c>
    </row>
    <row r="183" spans="1:27">
      <c r="A183">
        <f>COUNTIF($W$22:W183,1)</f>
        <v>0</v>
      </c>
      <c r="B183">
        <v>183</v>
      </c>
      <c r="C183" s="340" t="str">
        <f>IFERROR(Tabulka1[[#This Row],[KOD]],"")</f>
        <v>R6508S</v>
      </c>
      <c r="W183" s="804" t="str">
        <f t="shared" si="6"/>
        <v/>
      </c>
      <c r="X183" s="154" t="str">
        <f t="shared" si="7"/>
        <v/>
      </c>
      <c r="Y183" s="341">
        <f>IF('General price list'!$AB185="",0,'General price list'!$AB185)</f>
        <v>0</v>
      </c>
      <c r="Z183" s="365" t="str">
        <f>IFERROR(X183*VLOOKUP(C183,'General price list'!C:I,7,FALSE),"")</f>
        <v/>
      </c>
      <c r="AA183" s="805" t="str">
        <f>IF(X183&lt;&gt;"",VLOOKUP(C183,'General price list'!C185:AN1158,MATCH("HM",Tabulka1[[#Headers],[KOD]:[NEQ]],0),FALSE),"")</f>
        <v/>
      </c>
    </row>
    <row r="184" spans="1:27">
      <c r="A184">
        <f>COUNTIF($W$22:W184,1)</f>
        <v>0</v>
      </c>
      <c r="B184">
        <v>184</v>
      </c>
      <c r="C184" s="340" t="str">
        <f>IFERROR(Tabulka1[[#This Row],[KOD]],"")</f>
        <v>R75508SIG</v>
      </c>
      <c r="W184" s="804" t="str">
        <f t="shared" si="6"/>
        <v/>
      </c>
      <c r="X184" s="154" t="str">
        <f t="shared" si="7"/>
        <v/>
      </c>
      <c r="Y184" s="341">
        <f>IF('General price list'!$AB186="",0,'General price list'!$AB186)</f>
        <v>0</v>
      </c>
      <c r="Z184" s="365" t="str">
        <f>IFERROR(X184*VLOOKUP(C184,'General price list'!C:I,7,FALSE),"")</f>
        <v/>
      </c>
      <c r="AA184" s="805" t="str">
        <f>IF(X184&lt;&gt;"",VLOOKUP(C184,'General price list'!C186:AN1159,MATCH("HM",Tabulka1[[#Headers],[KOD]:[NEQ]],0),FALSE),"")</f>
        <v/>
      </c>
    </row>
    <row r="185" spans="1:27">
      <c r="A185">
        <f>COUNTIF($W$22:W185,1)</f>
        <v>0</v>
      </c>
      <c r="B185">
        <v>185</v>
      </c>
      <c r="C185" s="340">
        <f>IFERROR(Tabulka1[[#This Row],[KOD]],"")</f>
        <v>0</v>
      </c>
      <c r="W185" s="804" t="str">
        <f t="shared" si="6"/>
        <v/>
      </c>
      <c r="X185" s="154" t="str">
        <f t="shared" si="7"/>
        <v/>
      </c>
      <c r="Y185" s="341">
        <f>IF('General price list'!$AB187="",0,'General price list'!$AB187)</f>
        <v>0</v>
      </c>
      <c r="Z185" s="365" t="str">
        <f>IFERROR(X185*VLOOKUP(C185,'General price list'!C:I,7,FALSE),"")</f>
        <v/>
      </c>
      <c r="AA185" s="805" t="str">
        <f>IF(X185&lt;&gt;"",VLOOKUP(C185,'General price list'!C187:AN1160,MATCH("HM",Tabulka1[[#Headers],[KOD]:[NEQ]],0),FALSE),"")</f>
        <v/>
      </c>
    </row>
    <row r="186" spans="1:27">
      <c r="A186">
        <f>COUNTIF($W$22:W186,1)</f>
        <v>0</v>
      </c>
      <c r="B186">
        <v>186</v>
      </c>
      <c r="C186" s="340" t="str">
        <f>IFERROR(Tabulka1[[#This Row],[KOD]],"")</f>
        <v>R5808D</v>
      </c>
      <c r="W186" s="804" t="str">
        <f t="shared" si="6"/>
        <v/>
      </c>
      <c r="X186" s="154" t="str">
        <f t="shared" si="7"/>
        <v/>
      </c>
      <c r="Y186" s="341">
        <f>IF('General price list'!$AB188="",0,'General price list'!$AB188)</f>
        <v>0</v>
      </c>
      <c r="Z186" s="365" t="str">
        <f>IFERROR(X186*VLOOKUP(C186,'General price list'!C:I,7,FALSE),"")</f>
        <v/>
      </c>
      <c r="AA186" s="805" t="str">
        <f>IF(X186&lt;&gt;"",VLOOKUP(C186,'General price list'!C188:AN1161,MATCH("HM",Tabulka1[[#Headers],[KOD]:[NEQ]],0),FALSE),"")</f>
        <v/>
      </c>
    </row>
    <row r="187" spans="1:27">
      <c r="A187">
        <f>COUNTIF($W$22:W187,1)</f>
        <v>0</v>
      </c>
      <c r="B187">
        <v>187</v>
      </c>
      <c r="C187" s="340" t="str">
        <f>IFERROR(Tabulka1[[#This Row],[KOD]],"")</f>
        <v>R6008E</v>
      </c>
      <c r="W187" s="804" t="str">
        <f t="shared" si="6"/>
        <v/>
      </c>
      <c r="X187" s="154" t="str">
        <f t="shared" si="7"/>
        <v/>
      </c>
      <c r="Y187" s="341">
        <f>IF('General price list'!$AB189="",0,'General price list'!$AB189)</f>
        <v>0</v>
      </c>
      <c r="Z187" s="365" t="str">
        <f>IFERROR(X187*VLOOKUP(C187,'General price list'!C:I,7,FALSE),"")</f>
        <v/>
      </c>
      <c r="AA187" s="805" t="str">
        <f>IF(X187&lt;&gt;"",VLOOKUP(C187,'General price list'!C189:AN1162,MATCH("HM",Tabulka1[[#Headers],[KOD]:[NEQ]],0),FALSE),"")</f>
        <v/>
      </c>
    </row>
    <row r="188" spans="1:27">
      <c r="A188">
        <f>COUNTIF($W$22:W188,1)</f>
        <v>0</v>
      </c>
      <c r="B188">
        <v>188</v>
      </c>
      <c r="C188" s="340" t="str">
        <f>IFERROR(Tabulka1[[#This Row],[KOD]],"")</f>
        <v>R6008M</v>
      </c>
      <c r="W188" s="804" t="str">
        <f t="shared" si="6"/>
        <v/>
      </c>
      <c r="X188" s="154" t="str">
        <f t="shared" si="7"/>
        <v/>
      </c>
      <c r="Y188" s="341">
        <f>IF('General price list'!$AB190="",0,'General price list'!$AB190)</f>
        <v>0</v>
      </c>
      <c r="Z188" s="365" t="str">
        <f>IFERROR(X188*VLOOKUP(C188,'General price list'!C:I,7,FALSE),"")</f>
        <v/>
      </c>
      <c r="AA188" s="805" t="str">
        <f>IF(X188&lt;&gt;"",VLOOKUP(C188,'General price list'!C190:AN1163,MATCH("HM",Tabulka1[[#Headers],[KOD]:[NEQ]],0),FALSE),"")</f>
        <v/>
      </c>
    </row>
    <row r="189" spans="1:27">
      <c r="A189">
        <f>COUNTIF($W$22:W189,1)</f>
        <v>0</v>
      </c>
      <c r="B189">
        <v>189</v>
      </c>
      <c r="C189" s="340" t="str">
        <f>IFERROR(Tabulka1[[#This Row],[KOD]],"")</f>
        <v>R7508E</v>
      </c>
      <c r="W189" s="804" t="str">
        <f t="shared" si="6"/>
        <v/>
      </c>
      <c r="X189" s="154" t="str">
        <f t="shared" si="7"/>
        <v/>
      </c>
      <c r="Y189" s="341">
        <f>IF('General price list'!$AB191="",0,'General price list'!$AB191)</f>
        <v>0</v>
      </c>
      <c r="Z189" s="365" t="str">
        <f>IFERROR(X189*VLOOKUP(C189,'General price list'!C:I,7,FALSE),"")</f>
        <v/>
      </c>
      <c r="AA189" s="805" t="str">
        <f>IF(X189&lt;&gt;"",VLOOKUP(C189,'General price list'!C191:AN1164,MATCH("HM",Tabulka1[[#Headers],[KOD]:[NEQ]],0),FALSE),"")</f>
        <v/>
      </c>
    </row>
    <row r="190" spans="1:27">
      <c r="A190">
        <f>COUNTIF($W$22:W190,1)</f>
        <v>0</v>
      </c>
      <c r="B190">
        <v>190</v>
      </c>
      <c r="C190" s="340" t="str">
        <f>IFERROR(Tabulka1[[#This Row],[KOD]],"")</f>
        <v>R7508SIG</v>
      </c>
      <c r="W190" s="804" t="str">
        <f t="shared" si="6"/>
        <v/>
      </c>
      <c r="X190" s="154" t="str">
        <f t="shared" si="7"/>
        <v/>
      </c>
      <c r="Y190" s="341">
        <f>IF('General price list'!$AB192="",0,'General price list'!$AB192)</f>
        <v>0</v>
      </c>
      <c r="Z190" s="365" t="str">
        <f>IFERROR(X190*VLOOKUP(C190,'General price list'!C:I,7,FALSE),"")</f>
        <v/>
      </c>
      <c r="AA190" s="805" t="str">
        <f>IF(X190&lt;&gt;"",VLOOKUP(C190,'General price list'!C192:AN1165,MATCH("HM",Tabulka1[[#Headers],[KOD]:[NEQ]],0),FALSE),"")</f>
        <v/>
      </c>
    </row>
    <row r="191" spans="1:27">
      <c r="A191">
        <f>COUNTIF($W$22:W191,1)</f>
        <v>0</v>
      </c>
      <c r="B191">
        <v>191</v>
      </c>
      <c r="C191" s="340">
        <f>IFERROR(Tabulka1[[#This Row],[KOD]],"")</f>
        <v>0</v>
      </c>
      <c r="W191" s="804" t="str">
        <f t="shared" si="6"/>
        <v/>
      </c>
      <c r="X191" s="154" t="str">
        <f t="shared" si="7"/>
        <v/>
      </c>
      <c r="Y191" s="341">
        <f>IF('General price list'!$AB193="",0,'General price list'!$AB193)</f>
        <v>0</v>
      </c>
      <c r="Z191" s="365" t="str">
        <f>IFERROR(X191*VLOOKUP(C191,'General price list'!C:I,7,FALSE),"")</f>
        <v/>
      </c>
      <c r="AA191" s="805" t="str">
        <f>IF(X191&lt;&gt;"",VLOOKUP(C191,'General price list'!C193:AN1166,MATCH("HM",Tabulka1[[#Headers],[KOD]:[NEQ]],0),FALSE),"")</f>
        <v/>
      </c>
    </row>
    <row r="192" spans="1:27">
      <c r="A192">
        <f>COUNTIF($W$22:W192,1)</f>
        <v>0</v>
      </c>
      <c r="B192">
        <v>192</v>
      </c>
      <c r="C192" s="340" t="str">
        <f>IFERROR(Tabulka1[[#This Row],[KOD]],"")</f>
        <v>R7538S</v>
      </c>
      <c r="W192" s="804" t="str">
        <f t="shared" si="6"/>
        <v/>
      </c>
      <c r="X192" s="154" t="str">
        <f t="shared" si="7"/>
        <v/>
      </c>
      <c r="Y192" s="341">
        <f>IF('General price list'!$AB194="",0,'General price list'!$AB194)</f>
        <v>0</v>
      </c>
      <c r="Z192" s="365" t="str">
        <f>IFERROR(X192*VLOOKUP(C192,'General price list'!C:I,7,FALSE),"")</f>
        <v/>
      </c>
      <c r="AA192" s="805" t="str">
        <f>IF(X192&lt;&gt;"",VLOOKUP(C192,'General price list'!C194:AN1167,MATCH("HM",Tabulka1[[#Headers],[KOD]:[NEQ]],0),FALSE),"")</f>
        <v/>
      </c>
    </row>
    <row r="193" spans="1:27">
      <c r="A193">
        <f>COUNTIF($W$22:W193,1)</f>
        <v>0</v>
      </c>
      <c r="B193">
        <v>193</v>
      </c>
      <c r="C193" s="340" t="str">
        <f>IFERROR(Tabulka1[[#This Row],[KOD]],"")</f>
        <v>R7538I</v>
      </c>
      <c r="W193" s="804" t="str">
        <f t="shared" si="6"/>
        <v/>
      </c>
      <c r="X193" s="154" t="str">
        <f t="shared" si="7"/>
        <v/>
      </c>
      <c r="Y193" s="341">
        <f>IF('General price list'!$AB195="",0,'General price list'!$AB195)</f>
        <v>0</v>
      </c>
      <c r="Z193" s="365" t="str">
        <f>IFERROR(X193*VLOOKUP(C193,'General price list'!C:I,7,FALSE),"")</f>
        <v/>
      </c>
      <c r="AA193" s="805" t="str">
        <f>IF(X193&lt;&gt;"",VLOOKUP(C193,'General price list'!C195:AN1168,MATCH("HM",Tabulka1[[#Headers],[KOD]:[NEQ]],0),FALSE),"")</f>
        <v/>
      </c>
    </row>
    <row r="194" spans="1:27">
      <c r="A194">
        <f>COUNTIF($W$22:W194,1)</f>
        <v>0</v>
      </c>
      <c r="B194">
        <v>194</v>
      </c>
      <c r="C194" s="340">
        <f>IFERROR(Tabulka1[[#This Row],[KOD]],"")</f>
        <v>0</v>
      </c>
      <c r="W194" s="804" t="str">
        <f t="shared" si="6"/>
        <v/>
      </c>
      <c r="X194" s="154" t="str">
        <f t="shared" si="7"/>
        <v/>
      </c>
      <c r="Y194" s="341">
        <f>IF('General price list'!$AB196="",0,'General price list'!$AB196)</f>
        <v>0</v>
      </c>
      <c r="Z194" s="365" t="str">
        <f>IFERROR(X194*VLOOKUP(C194,'General price list'!C:I,7,FALSE),"")</f>
        <v/>
      </c>
      <c r="AA194" s="805" t="str">
        <f>IF(X194&lt;&gt;"",VLOOKUP(C194,'General price list'!C196:AN1169,MATCH("HM",Tabulka1[[#Headers],[KOD]:[NEQ]],0),FALSE),"")</f>
        <v/>
      </c>
    </row>
    <row r="195" spans="1:27">
      <c r="A195">
        <f>COUNTIF($W$22:W195,1)</f>
        <v>0</v>
      </c>
      <c r="B195">
        <v>195</v>
      </c>
      <c r="C195" s="340" t="str">
        <f>IFERROR(Tabulka1[[#This Row],[KOD]],"")</f>
        <v>GAT300</v>
      </c>
      <c r="W195" s="804" t="str">
        <f t="shared" si="6"/>
        <v/>
      </c>
      <c r="X195" s="154" t="str">
        <f t="shared" si="7"/>
        <v/>
      </c>
      <c r="Y195" s="341">
        <f>IF('General price list'!$AB197="",0,'General price list'!$AB197)</f>
        <v>0</v>
      </c>
      <c r="Z195" s="365" t="str">
        <f>IFERROR(X195*VLOOKUP(C195,'General price list'!C:I,7,FALSE),"")</f>
        <v/>
      </c>
      <c r="AA195" s="805" t="str">
        <f>IF(X195&lt;&gt;"",VLOOKUP(C195,'General price list'!C197:AN1170,MATCH("HM",Tabulka1[[#Headers],[KOD]:[NEQ]],0),FALSE),"")</f>
        <v/>
      </c>
    </row>
    <row r="196" spans="1:27">
      <c r="A196">
        <f>COUNTIF($W$22:W196,1)</f>
        <v>0</v>
      </c>
      <c r="B196">
        <v>196</v>
      </c>
      <c r="C196" s="340" t="str">
        <f>IFERROR(Tabulka1[[#This Row],[KOD]],"")</f>
        <v>R100M</v>
      </c>
      <c r="W196" s="804" t="str">
        <f t="shared" si="6"/>
        <v/>
      </c>
      <c r="X196" s="154" t="str">
        <f t="shared" si="7"/>
        <v/>
      </c>
      <c r="Y196" s="341">
        <f>IF('General price list'!$AB198="",0,'General price list'!$AB198)</f>
        <v>0</v>
      </c>
      <c r="Z196" s="365" t="str">
        <f>IFERROR(X196*VLOOKUP(C196,'General price list'!C:I,7,FALSE),"")</f>
        <v/>
      </c>
      <c r="AA196" s="805" t="str">
        <f>IF(X196&lt;&gt;"",VLOOKUP(C196,'General price list'!C198:AN1171,MATCH("HM",Tabulka1[[#Headers],[KOD]:[NEQ]],0),FALSE),"")</f>
        <v/>
      </c>
    </row>
    <row r="197" spans="1:27">
      <c r="A197">
        <f>COUNTIF($W$22:W197,1)</f>
        <v>0</v>
      </c>
      <c r="B197">
        <v>197</v>
      </c>
      <c r="C197" s="340">
        <f>IFERROR(Tabulka1[[#This Row],[KOD]],"")</f>
        <v>0</v>
      </c>
      <c r="W197" s="804" t="str">
        <f t="shared" si="6"/>
        <v/>
      </c>
      <c r="X197" s="154" t="str">
        <f t="shared" si="7"/>
        <v/>
      </c>
      <c r="Y197" s="341">
        <f>IF('General price list'!$AB199="",0,'General price list'!$AB199)</f>
        <v>0</v>
      </c>
      <c r="Z197" s="365" t="str">
        <f>IFERROR(X197*VLOOKUP(C197,'General price list'!C:I,7,FALSE),"")</f>
        <v/>
      </c>
      <c r="AA197" s="805" t="str">
        <f>IF(X197&lt;&gt;"",VLOOKUP(C197,'General price list'!C199:AN1172,MATCH("HM",Tabulka1[[#Headers],[KOD]:[NEQ]],0),FALSE),"")</f>
        <v/>
      </c>
    </row>
    <row r="198" spans="1:27">
      <c r="A198">
        <f>COUNTIF($W$22:W198,1)</f>
        <v>0</v>
      </c>
      <c r="B198">
        <v>198</v>
      </c>
      <c r="C198" s="340" t="str">
        <f>IFERROR(Tabulka1[[#This Row],[KOD]],"")</f>
        <v>SS14D</v>
      </c>
      <c r="W198" s="804" t="str">
        <f t="shared" si="6"/>
        <v/>
      </c>
      <c r="X198" s="154" t="str">
        <f t="shared" si="7"/>
        <v/>
      </c>
      <c r="Y198" s="341">
        <f>IF('General price list'!$AB200="",0,'General price list'!$AB200)</f>
        <v>0</v>
      </c>
      <c r="Z198" s="365" t="str">
        <f>IFERROR(X198*VLOOKUP(C198,'General price list'!C:I,7,FALSE),"")</f>
        <v/>
      </c>
      <c r="AA198" s="805" t="str">
        <f>IF(X198&lt;&gt;"",VLOOKUP(C198,'General price list'!C200:AN1173,MATCH("HM",Tabulka1[[#Headers],[KOD]:[NEQ]],0),FALSE),"")</f>
        <v/>
      </c>
    </row>
    <row r="199" spans="1:27">
      <c r="A199">
        <f>COUNTIF($W$22:W199,1)</f>
        <v>0</v>
      </c>
      <c r="B199">
        <v>199</v>
      </c>
      <c r="C199" s="340" t="str">
        <f>IFERROR(Tabulka1[[#This Row],[KOD]],"")</f>
        <v>SS20D</v>
      </c>
      <c r="W199" s="804" t="str">
        <f t="shared" si="6"/>
        <v/>
      </c>
      <c r="X199" s="154" t="str">
        <f t="shared" si="7"/>
        <v/>
      </c>
      <c r="Y199" s="341">
        <f>IF('General price list'!$AB201="",0,'General price list'!$AB201)</f>
        <v>0</v>
      </c>
      <c r="Z199" s="365" t="str">
        <f>IFERROR(X199*VLOOKUP(C199,'General price list'!C:I,7,FALSE),"")</f>
        <v/>
      </c>
      <c r="AA199" s="805" t="str">
        <f>IF(X199&lt;&gt;"",VLOOKUP(C199,'General price list'!C201:AN1174,MATCH("HM",Tabulka1[[#Headers],[KOD]:[NEQ]],0),FALSE),"")</f>
        <v/>
      </c>
    </row>
    <row r="200" spans="1:27">
      <c r="A200">
        <f>COUNTIF($W$22:W200,1)</f>
        <v>0</v>
      </c>
      <c r="B200">
        <v>200</v>
      </c>
      <c r="C200" s="340" t="str">
        <f>IFERROR(Tabulka1[[#This Row],[KOD]],"")</f>
        <v>SS20SIG14</v>
      </c>
      <c r="W200" s="804" t="str">
        <f t="shared" si="6"/>
        <v/>
      </c>
      <c r="X200" s="154" t="str">
        <f t="shared" si="7"/>
        <v/>
      </c>
      <c r="Y200" s="341">
        <f>IF('General price list'!$AB202="",0,'General price list'!$AB202)</f>
        <v>0</v>
      </c>
      <c r="Z200" s="365" t="str">
        <f>IFERROR(X200*VLOOKUP(C200,'General price list'!C:I,7,FALSE),"")</f>
        <v/>
      </c>
      <c r="AA200" s="805" t="str">
        <f>IF(X200&lt;&gt;"",VLOOKUP(C200,'General price list'!C202:AN1175,MATCH("HM",Tabulka1[[#Headers],[KOD]:[NEQ]],0),FALSE),"")</f>
        <v/>
      </c>
    </row>
    <row r="201" spans="1:27">
      <c r="A201">
        <f>COUNTIF($W$22:W201,1)</f>
        <v>0</v>
      </c>
      <c r="B201">
        <v>201</v>
      </c>
      <c r="C201" s="340" t="str">
        <f>IFERROR(Tabulka1[[#This Row],[KOD]],"")</f>
        <v>SS25SC</v>
      </c>
      <c r="W201" s="804" t="str">
        <f t="shared" si="6"/>
        <v/>
      </c>
      <c r="X201" s="154" t="str">
        <f t="shared" si="7"/>
        <v/>
      </c>
      <c r="Y201" s="341">
        <f>IF('General price list'!$AB203="",0,'General price list'!$AB203)</f>
        <v>0</v>
      </c>
      <c r="Z201" s="365" t="str">
        <f>IFERROR(X201*VLOOKUP(C201,'General price list'!C:I,7,FALSE),"")</f>
        <v/>
      </c>
      <c r="AA201" s="805" t="str">
        <f>IF(X201&lt;&gt;"",VLOOKUP(C201,'General price list'!C203:AN1176,MATCH("HM",Tabulka1[[#Headers],[KOD]:[NEQ]],0),FALSE),"")</f>
        <v/>
      </c>
    </row>
    <row r="202" spans="1:27">
      <c r="A202">
        <f>COUNTIF($W$22:W202,1)</f>
        <v>0</v>
      </c>
      <c r="B202">
        <v>202</v>
      </c>
      <c r="C202" s="340" t="str">
        <f>IFERROR(Tabulka1[[#This Row],[KOD]],"")</f>
        <v>SS25SIG14</v>
      </c>
      <c r="W202" s="804" t="str">
        <f t="shared" si="6"/>
        <v/>
      </c>
      <c r="X202" s="154" t="str">
        <f t="shared" si="7"/>
        <v/>
      </c>
      <c r="Y202" s="341">
        <f>IF('General price list'!$AB204="",0,'General price list'!$AB204)</f>
        <v>0</v>
      </c>
      <c r="Z202" s="365" t="str">
        <f>IFERROR(X202*VLOOKUP(C202,'General price list'!C:I,7,FALSE),"")</f>
        <v/>
      </c>
      <c r="AA202" s="805" t="str">
        <f>IF(X202&lt;&gt;"",VLOOKUP(C202,'General price list'!C204:AN1177,MATCH("HM",Tabulka1[[#Headers],[KOD]:[NEQ]],0),FALSE),"")</f>
        <v/>
      </c>
    </row>
    <row r="203" spans="1:27">
      <c r="A203">
        <f>COUNTIF($W$22:W203,1)</f>
        <v>0</v>
      </c>
      <c r="B203">
        <v>203</v>
      </c>
      <c r="C203" s="340" t="str">
        <f>IFERROR(Tabulka1[[#This Row],[KOD]],"")</f>
        <v>SS25DU14</v>
      </c>
      <c r="W203" s="804" t="str">
        <f t="shared" si="6"/>
        <v/>
      </c>
      <c r="X203" s="154" t="str">
        <f t="shared" si="7"/>
        <v/>
      </c>
      <c r="Y203" s="341">
        <f>IF('General price list'!$AB205="",0,'General price list'!$AB205)</f>
        <v>0</v>
      </c>
      <c r="Z203" s="365" t="str">
        <f>IFERROR(X203*VLOOKUP(C203,'General price list'!C:I,7,FALSE),"")</f>
        <v/>
      </c>
      <c r="AA203" s="805" t="str">
        <f>IF(X203&lt;&gt;"",VLOOKUP(C203,'General price list'!C205:AN1178,MATCH("HM",Tabulka1[[#Headers],[KOD]:[NEQ]],0),FALSE),"")</f>
        <v/>
      </c>
    </row>
    <row r="204" spans="1:27">
      <c r="A204">
        <f>COUNTIF($W$22:W204,1)</f>
        <v>0</v>
      </c>
      <c r="B204">
        <v>204</v>
      </c>
      <c r="C204" s="340" t="str">
        <f>IFERROR(Tabulka1[[#This Row],[KOD]],"")</f>
        <v>SS30A14</v>
      </c>
      <c r="W204" s="804" t="str">
        <f t="shared" si="6"/>
        <v/>
      </c>
      <c r="X204" s="154" t="str">
        <f t="shared" si="7"/>
        <v/>
      </c>
      <c r="Y204" s="341">
        <f>IF('General price list'!$AB206="",0,'General price list'!$AB206)</f>
        <v>0</v>
      </c>
      <c r="Z204" s="365" t="str">
        <f>IFERROR(X204*VLOOKUP(C204,'General price list'!C:I,7,FALSE),"")</f>
        <v/>
      </c>
      <c r="AA204" s="805" t="str">
        <f>IF(X204&lt;&gt;"",VLOOKUP(C204,'General price list'!C206:AN1179,MATCH("HM",Tabulka1[[#Headers],[KOD]:[NEQ]],0),FALSE),"")</f>
        <v/>
      </c>
    </row>
    <row r="205" spans="1:27">
      <c r="A205">
        <f>COUNTIF($W$22:W205,1)</f>
        <v>0</v>
      </c>
      <c r="B205">
        <v>205</v>
      </c>
      <c r="C205" s="340" t="str">
        <f>IFERROR(Tabulka1[[#This Row],[KOD]],"")</f>
        <v>SS30SIGF2</v>
      </c>
      <c r="W205" s="804" t="str">
        <f t="shared" si="6"/>
        <v/>
      </c>
      <c r="X205" s="154" t="str">
        <f t="shared" si="7"/>
        <v/>
      </c>
      <c r="Y205" s="341">
        <f>IF('General price list'!$AB207="",0,'General price list'!$AB207)</f>
        <v>0</v>
      </c>
      <c r="Z205" s="365" t="str">
        <f>IFERROR(X205*VLOOKUP(C205,'General price list'!C:I,7,FALSE),"")</f>
        <v/>
      </c>
      <c r="AA205" s="805" t="str">
        <f>IF(X205&lt;&gt;"",VLOOKUP(C205,'General price list'!C207:AN1180,MATCH("HM",Tabulka1[[#Headers],[KOD]:[NEQ]],0),FALSE),"")</f>
        <v/>
      </c>
    </row>
    <row r="206" spans="1:27">
      <c r="A206">
        <f>COUNTIF($W$22:W206,1)</f>
        <v>0</v>
      </c>
      <c r="B206">
        <v>206</v>
      </c>
      <c r="C206" s="340">
        <f>IFERROR(Tabulka1[[#This Row],[KOD]],"")</f>
        <v>0</v>
      </c>
      <c r="W206" s="804" t="str">
        <f t="shared" si="6"/>
        <v/>
      </c>
      <c r="X206" s="154" t="str">
        <f t="shared" si="7"/>
        <v/>
      </c>
      <c r="Y206" s="341">
        <f>IF('General price list'!$AB208="",0,'General price list'!$AB208)</f>
        <v>0</v>
      </c>
      <c r="Z206" s="365" t="str">
        <f>IFERROR(X206*VLOOKUP(C206,'General price list'!C:I,7,FALSE),"")</f>
        <v/>
      </c>
      <c r="AA206" s="805" t="str">
        <f>IF(X206&lt;&gt;"",VLOOKUP(C206,'General price list'!C208:AN1181,MATCH("HM",Tabulka1[[#Headers],[KOD]:[NEQ]],0),FALSE),"")</f>
        <v/>
      </c>
    </row>
    <row r="207" spans="1:27">
      <c r="A207">
        <f>COUNTIF($W$22:W207,1)</f>
        <v>0</v>
      </c>
      <c r="B207">
        <v>207</v>
      </c>
      <c r="C207" s="340" t="str">
        <f>IFERROR(Tabulka1[[#This Row],[KOD]],"")</f>
        <v>SS30D</v>
      </c>
      <c r="W207" s="804" t="str">
        <f t="shared" si="6"/>
        <v/>
      </c>
      <c r="X207" s="154" t="str">
        <f t="shared" si="7"/>
        <v/>
      </c>
      <c r="Y207" s="341">
        <f>IF('General price list'!$AB209="",0,'General price list'!$AB209)</f>
        <v>0</v>
      </c>
      <c r="Z207" s="365" t="str">
        <f>IFERROR(X207*VLOOKUP(C207,'General price list'!C:I,7,FALSE),"")</f>
        <v/>
      </c>
      <c r="AA207" s="805" t="str">
        <f>IF(X207&lt;&gt;"",VLOOKUP(C207,'General price list'!C209:AN1182,MATCH("HM",Tabulka1[[#Headers],[KOD]:[NEQ]],0),FALSE),"")</f>
        <v/>
      </c>
    </row>
    <row r="208" spans="1:27">
      <c r="A208">
        <f>COUNTIF($W$22:W208,1)</f>
        <v>0</v>
      </c>
      <c r="B208">
        <v>208</v>
      </c>
      <c r="C208" s="340" t="str">
        <f>IFERROR(Tabulka1[[#This Row],[KOD]],"")</f>
        <v>SS30A</v>
      </c>
      <c r="W208" s="804" t="str">
        <f t="shared" si="6"/>
        <v/>
      </c>
      <c r="X208" s="154" t="str">
        <f t="shared" si="7"/>
        <v/>
      </c>
      <c r="Y208" s="341">
        <f>IF('General price list'!$AB210="",0,'General price list'!$AB210)</f>
        <v>0</v>
      </c>
      <c r="Z208" s="365" t="str">
        <f>IFERROR(X208*VLOOKUP(C208,'General price list'!C:I,7,FALSE),"")</f>
        <v/>
      </c>
      <c r="AA208" s="805" t="str">
        <f>IF(X208&lt;&gt;"",VLOOKUP(C208,'General price list'!C210:AN1183,MATCH("HM",Tabulka1[[#Headers],[KOD]:[NEQ]],0),FALSE),"")</f>
        <v/>
      </c>
    </row>
    <row r="209" spans="1:27">
      <c r="A209">
        <f>COUNTIF($W$22:W209,1)</f>
        <v>0</v>
      </c>
      <c r="B209">
        <v>209</v>
      </c>
      <c r="C209" s="340" t="str">
        <f>IFERROR(Tabulka1[[#This Row],[KOD]],"")</f>
        <v>SS37K</v>
      </c>
      <c r="W209" s="804" t="str">
        <f t="shared" si="6"/>
        <v/>
      </c>
      <c r="X209" s="154" t="str">
        <f t="shared" si="7"/>
        <v/>
      </c>
      <c r="Y209" s="341">
        <f>IF('General price list'!$AB211="",0,'General price list'!$AB211)</f>
        <v>0</v>
      </c>
      <c r="Z209" s="365" t="str">
        <f>IFERROR(X209*VLOOKUP(C209,'General price list'!C:I,7,FALSE),"")</f>
        <v/>
      </c>
      <c r="AA209" s="805" t="str">
        <f>IF(X209&lt;&gt;"",VLOOKUP(C209,'General price list'!C211:AN1184,MATCH("HM",Tabulka1[[#Headers],[KOD]:[NEQ]],0),FALSE),"")</f>
        <v/>
      </c>
    </row>
    <row r="210" spans="1:27">
      <c r="A210">
        <f>COUNTIF($W$22:W210,1)</f>
        <v>0</v>
      </c>
      <c r="B210">
        <v>210</v>
      </c>
      <c r="C210" s="340" t="str">
        <f>IFERROR(Tabulka1[[#This Row],[KOD]],"")</f>
        <v>SS50K</v>
      </c>
      <c r="W210" s="804" t="str">
        <f t="shared" si="6"/>
        <v/>
      </c>
      <c r="X210" s="154" t="str">
        <f t="shared" si="7"/>
        <v/>
      </c>
      <c r="Y210" s="341">
        <f>IF('General price list'!$AB212="",0,'General price list'!$AB212)</f>
        <v>0</v>
      </c>
      <c r="Z210" s="365" t="str">
        <f>IFERROR(X210*VLOOKUP(C210,'General price list'!C:I,7,FALSE),"")</f>
        <v/>
      </c>
      <c r="AA210" s="805" t="str">
        <f>IF(X210&lt;&gt;"",VLOOKUP(C210,'General price list'!C212:AN1185,MATCH("HM",Tabulka1[[#Headers],[KOD]:[NEQ]],0),FALSE),"")</f>
        <v/>
      </c>
    </row>
    <row r="211" spans="1:27">
      <c r="A211">
        <f>COUNTIF($W$22:W211,1)</f>
        <v>0</v>
      </c>
      <c r="B211">
        <v>211</v>
      </c>
      <c r="C211" s="340">
        <f>IFERROR(Tabulka1[[#This Row],[KOD]],"")</f>
        <v>0</v>
      </c>
      <c r="W211" s="804" t="str">
        <f t="shared" si="6"/>
        <v/>
      </c>
      <c r="X211" s="154" t="str">
        <f t="shared" si="7"/>
        <v/>
      </c>
      <c r="Y211" s="341">
        <f>IF('General price list'!$AB213="",0,'General price list'!$AB213)</f>
        <v>0</v>
      </c>
      <c r="Z211" s="365" t="str">
        <f>IFERROR(X211*VLOOKUP(C211,'General price list'!C:I,7,FALSE),"")</f>
        <v/>
      </c>
      <c r="AA211" s="805" t="str">
        <f>IF(X211&lt;&gt;"",VLOOKUP(C211,'General price list'!C213:AN1186,MATCH("HM",Tabulka1[[#Headers],[KOD]:[NEQ]],0),FALSE),"")</f>
        <v/>
      </c>
    </row>
    <row r="212" spans="1:27">
      <c r="A212">
        <f>COUNTIF($W$22:W212,1)</f>
        <v>0</v>
      </c>
      <c r="B212">
        <v>212</v>
      </c>
      <c r="C212" s="340" t="str">
        <f>IFERROR(Tabulka1[[#This Row],[KOD]],"")</f>
        <v>SS50NO14</v>
      </c>
      <c r="W212" s="804" t="str">
        <f t="shared" si="6"/>
        <v/>
      </c>
      <c r="X212" s="154" t="str">
        <f t="shared" si="7"/>
        <v/>
      </c>
      <c r="Y212" s="341">
        <f>IF('General price list'!$AB214="",0,'General price list'!$AB214)</f>
        <v>0</v>
      </c>
      <c r="Z212" s="365" t="str">
        <f>IFERROR(X212*VLOOKUP(C212,'General price list'!C:I,7,FALSE),"")</f>
        <v/>
      </c>
      <c r="AA212" s="805" t="str">
        <f>IF(X212&lt;&gt;"",VLOOKUP(C212,'General price list'!C214:AN1187,MATCH("HM",Tabulka1[[#Headers],[KOD]:[NEQ]],0),FALSE),"")</f>
        <v/>
      </c>
    </row>
    <row r="213" spans="1:27">
      <c r="A213">
        <f>COUNTIF($W$22:W213,1)</f>
        <v>0</v>
      </c>
      <c r="B213">
        <v>213</v>
      </c>
      <c r="C213" s="340" t="str">
        <f>IFERROR(Tabulka1[[#This Row],[KOD]],"")</f>
        <v>SS50DU14</v>
      </c>
      <c r="W213" s="804" t="str">
        <f t="shared" si="6"/>
        <v/>
      </c>
      <c r="X213" s="154" t="str">
        <f t="shared" si="7"/>
        <v/>
      </c>
      <c r="Y213" s="341">
        <f>IF('General price list'!$AB215="",0,'General price list'!$AB215)</f>
        <v>0</v>
      </c>
      <c r="Z213" s="365" t="str">
        <f>IFERROR(X213*VLOOKUP(C213,'General price list'!C:I,7,FALSE),"")</f>
        <v/>
      </c>
      <c r="AA213" s="805" t="str">
        <f>IF(X213&lt;&gt;"",VLOOKUP(C213,'General price list'!C215:AN1188,MATCH("HM",Tabulka1[[#Headers],[KOD]:[NEQ]],0),FALSE),"")</f>
        <v/>
      </c>
    </row>
    <row r="214" spans="1:27">
      <c r="A214">
        <f>COUNTIF($W$22:W214,1)</f>
        <v>0</v>
      </c>
      <c r="B214">
        <v>214</v>
      </c>
      <c r="C214" s="340">
        <f>IFERROR(Tabulka1[[#This Row],[KOD]],"")</f>
        <v>0</v>
      </c>
      <c r="W214" s="804" t="str">
        <f t="shared" si="6"/>
        <v/>
      </c>
      <c r="X214" s="154" t="str">
        <f t="shared" si="7"/>
        <v/>
      </c>
      <c r="Y214" s="341">
        <f>IF('General price list'!$AB216="",0,'General price list'!$AB216)</f>
        <v>0</v>
      </c>
      <c r="Z214" s="365" t="str">
        <f>IFERROR(X214*VLOOKUP(C214,'General price list'!C:I,7,FALSE),"")</f>
        <v/>
      </c>
      <c r="AA214" s="805" t="str">
        <f>IF(X214&lt;&gt;"",VLOOKUP(C214,'General price list'!C216:AN1189,MATCH("HM",Tabulka1[[#Headers],[KOD]:[NEQ]],0),FALSE),"")</f>
        <v/>
      </c>
    </row>
    <row r="215" spans="1:27">
      <c r="A215">
        <f>COUNTIF($W$22:W215,1)</f>
        <v>0</v>
      </c>
      <c r="B215">
        <v>215</v>
      </c>
      <c r="C215" s="340" t="str">
        <f>IFERROR(Tabulka1[[#This Row],[KOD]],"")</f>
        <v>C320D</v>
      </c>
      <c r="W215" s="804" t="str">
        <f t="shared" si="6"/>
        <v/>
      </c>
      <c r="X215" s="154" t="str">
        <f t="shared" si="7"/>
        <v/>
      </c>
      <c r="Y215" s="341">
        <f>IF('General price list'!$AB217="",0,'General price list'!$AB217)</f>
        <v>0</v>
      </c>
      <c r="Z215" s="365" t="str">
        <f>IFERROR(X215*VLOOKUP(C215,'General price list'!C:I,7,FALSE),"")</f>
        <v/>
      </c>
      <c r="AA215" s="805" t="str">
        <f>IF(X215&lt;&gt;"",VLOOKUP(C215,'General price list'!C217:AN1190,MATCH("HM",Tabulka1[[#Headers],[KOD]:[NEQ]],0),FALSE),"")</f>
        <v/>
      </c>
    </row>
    <row r="216" spans="1:27">
      <c r="A216">
        <f>COUNTIF($W$22:W216,1)</f>
        <v>0</v>
      </c>
      <c r="B216">
        <v>216</v>
      </c>
      <c r="C216" s="340" t="str">
        <f>IFERROR(Tabulka1[[#This Row],[KOD]],"")</f>
        <v>C320B</v>
      </c>
      <c r="W216" s="804" t="str">
        <f t="shared" ref="W216:W279" si="8">IF(Y216+1=1,"",1)</f>
        <v/>
      </c>
      <c r="X216" s="154" t="str">
        <f t="shared" ref="X216:X279" si="9">IF(Y216+1=1,"",Y216)</f>
        <v/>
      </c>
      <c r="Y216" s="341">
        <f>IF('General price list'!$AB218="",0,'General price list'!$AB218)</f>
        <v>0</v>
      </c>
      <c r="Z216" s="365" t="str">
        <f>IFERROR(X216*VLOOKUP(C216,'General price list'!C:I,7,FALSE),"")</f>
        <v/>
      </c>
      <c r="AA216" s="805" t="str">
        <f>IF(X216&lt;&gt;"",VLOOKUP(C216,'General price list'!C218:AN1191,MATCH("HM",Tabulka1[[#Headers],[KOD]:[NEQ]],0),FALSE),"")</f>
        <v/>
      </c>
    </row>
    <row r="217" spans="1:27">
      <c r="A217">
        <f>COUNTIF($W$22:W217,1)</f>
        <v>0</v>
      </c>
      <c r="B217">
        <v>217</v>
      </c>
      <c r="C217" s="340" t="str">
        <f>IFERROR(Tabulka1[[#This Row],[KOD]],"")</f>
        <v>C320X14</v>
      </c>
      <c r="W217" s="804" t="str">
        <f t="shared" si="8"/>
        <v/>
      </c>
      <c r="X217" s="154" t="str">
        <f t="shared" si="9"/>
        <v/>
      </c>
      <c r="Y217" s="341">
        <f>IF('General price list'!$AB219="",0,'General price list'!$AB219)</f>
        <v>0</v>
      </c>
      <c r="Z217" s="365" t="str">
        <f>IFERROR(X217*VLOOKUP(C217,'General price list'!C:I,7,FALSE),"")</f>
        <v/>
      </c>
      <c r="AA217" s="805" t="str">
        <f>IF(X217&lt;&gt;"",VLOOKUP(C217,'General price list'!C219:AN1192,MATCH("HM",Tabulka1[[#Headers],[KOD]:[NEQ]],0),FALSE),"")</f>
        <v/>
      </c>
    </row>
    <row r="218" spans="1:27">
      <c r="A218">
        <f>COUNTIF($W$22:W218,1)</f>
        <v>0</v>
      </c>
      <c r="B218">
        <v>218</v>
      </c>
      <c r="C218" s="340">
        <f>IFERROR(Tabulka1[[#This Row],[KOD]],"")</f>
        <v>0</v>
      </c>
      <c r="W218" s="804" t="str">
        <f t="shared" si="8"/>
        <v/>
      </c>
      <c r="X218" s="154" t="str">
        <f t="shared" si="9"/>
        <v/>
      </c>
      <c r="Y218" s="341">
        <f>IF('General price list'!$AB220="",0,'General price list'!$AB220)</f>
        <v>0</v>
      </c>
      <c r="Z218" s="365" t="str">
        <f>IFERROR(X218*VLOOKUP(C218,'General price list'!C:I,7,FALSE),"")</f>
        <v/>
      </c>
      <c r="AA218" s="805" t="str">
        <f>IF(X218&lt;&gt;"",VLOOKUP(C218,'General price list'!C220:AN1193,MATCH("HM",Tabulka1[[#Headers],[KOD]:[NEQ]],0),FALSE),"")</f>
        <v/>
      </c>
    </row>
    <row r="219" spans="1:27">
      <c r="A219">
        <f>COUNTIF($W$22:W219,1)</f>
        <v>0</v>
      </c>
      <c r="B219">
        <v>219</v>
      </c>
      <c r="C219" s="340" t="str">
        <f>IFERROR(Tabulka1[[#This Row],[KOD]],"")</f>
        <v>C330D</v>
      </c>
      <c r="W219" s="804" t="str">
        <f t="shared" si="8"/>
        <v/>
      </c>
      <c r="X219" s="154" t="str">
        <f t="shared" si="9"/>
        <v/>
      </c>
      <c r="Y219" s="341">
        <f>IF('General price list'!$AB221="",0,'General price list'!$AB221)</f>
        <v>0</v>
      </c>
      <c r="Z219" s="365" t="str">
        <f>IFERROR(X219*VLOOKUP(C219,'General price list'!C:I,7,FALSE),"")</f>
        <v/>
      </c>
      <c r="AA219" s="805" t="str">
        <f>IF(X219&lt;&gt;"",VLOOKUP(C219,'General price list'!C221:AN1194,MATCH("HM",Tabulka1[[#Headers],[KOD]:[NEQ]],0),FALSE),"")</f>
        <v/>
      </c>
    </row>
    <row r="220" spans="1:27">
      <c r="A220">
        <f>COUNTIF($W$22:W220,1)</f>
        <v>0</v>
      </c>
      <c r="B220">
        <v>220</v>
      </c>
      <c r="C220" s="340" t="str">
        <f>IFERROR(Tabulka1[[#This Row],[KOD]],"")</f>
        <v>C330B</v>
      </c>
      <c r="W220" s="804" t="str">
        <f t="shared" si="8"/>
        <v/>
      </c>
      <c r="X220" s="154" t="str">
        <f t="shared" si="9"/>
        <v/>
      </c>
      <c r="Y220" s="341">
        <f>IF('General price list'!$AB222="",0,'General price list'!$AB222)</f>
        <v>0</v>
      </c>
      <c r="Z220" s="365" t="str">
        <f>IFERROR(X220*VLOOKUP(C220,'General price list'!C:I,7,FALSE),"")</f>
        <v/>
      </c>
      <c r="AA220" s="805" t="str">
        <f>IF(X220&lt;&gt;"",VLOOKUP(C220,'General price list'!C222:AN1195,MATCH("HM",Tabulka1[[#Headers],[KOD]:[NEQ]],0),FALSE),"")</f>
        <v/>
      </c>
    </row>
    <row r="221" spans="1:27">
      <c r="A221">
        <f>COUNTIF($W$22:W221,1)</f>
        <v>0</v>
      </c>
      <c r="B221">
        <v>221</v>
      </c>
      <c r="C221" s="340">
        <f>IFERROR(Tabulka1[[#This Row],[KOD]],"")</f>
        <v>0</v>
      </c>
      <c r="W221" s="804" t="str">
        <f t="shared" si="8"/>
        <v/>
      </c>
      <c r="X221" s="154" t="str">
        <f t="shared" si="9"/>
        <v/>
      </c>
      <c r="Y221" s="341">
        <f>IF('General price list'!$AB223="",0,'General price list'!$AB223)</f>
        <v>0</v>
      </c>
      <c r="Z221" s="365" t="str">
        <f>IFERROR(X221*VLOOKUP(C221,'General price list'!C:I,7,FALSE),"")</f>
        <v/>
      </c>
      <c r="AA221" s="805" t="str">
        <f>IF(X221&lt;&gt;"",VLOOKUP(C221,'General price list'!C223:AN1196,MATCH("HM",Tabulka1[[#Headers],[KOD]:[NEQ]],0),FALSE),"")</f>
        <v/>
      </c>
    </row>
    <row r="222" spans="1:27">
      <c r="A222">
        <f>COUNTIF($W$22:W222,1)</f>
        <v>0</v>
      </c>
      <c r="B222">
        <v>222</v>
      </c>
      <c r="C222" s="340" t="str">
        <f>IFERROR(Tabulka1[[#This Row],[KOD]],"")</f>
        <v>CS2BB</v>
      </c>
      <c r="W222" s="804" t="str">
        <f t="shared" si="8"/>
        <v/>
      </c>
      <c r="X222" s="154" t="str">
        <f t="shared" si="9"/>
        <v/>
      </c>
      <c r="Y222" s="341">
        <f>IF('General price list'!$AB224="",0,'General price list'!$AB224)</f>
        <v>0</v>
      </c>
      <c r="Z222" s="365" t="str">
        <f>IFERROR(X222*VLOOKUP(C222,'General price list'!C:I,7,FALSE),"")</f>
        <v/>
      </c>
      <c r="AA222" s="805" t="str">
        <f>IF(X222&lt;&gt;"",VLOOKUP(C222,'General price list'!C224:AN1197,MATCH("HM",Tabulka1[[#Headers],[KOD]:[NEQ]],0),FALSE),"")</f>
        <v/>
      </c>
    </row>
    <row r="223" spans="1:27">
      <c r="A223">
        <f>COUNTIF($W$22:W223,1)</f>
        <v>0</v>
      </c>
      <c r="B223">
        <v>223</v>
      </c>
      <c r="C223" s="340">
        <f>IFERROR(Tabulka1[[#This Row],[KOD]],"")</f>
        <v>0</v>
      </c>
      <c r="W223" s="804" t="str">
        <f t="shared" si="8"/>
        <v/>
      </c>
      <c r="X223" s="154" t="str">
        <f t="shared" si="9"/>
        <v/>
      </c>
      <c r="Y223" s="341">
        <f>IF('General price list'!$AB225="",0,'General price list'!$AB225)</f>
        <v>0</v>
      </c>
      <c r="Z223" s="365" t="str">
        <f>IFERROR(X223*VLOOKUP(C223,'General price list'!C:I,7,FALSE),"")</f>
        <v/>
      </c>
      <c r="AA223" s="805" t="str">
        <f>IF(X223&lt;&gt;"",VLOOKUP(C223,'General price list'!C225:AN1198,MATCH("HM",Tabulka1[[#Headers],[KOD]:[NEQ]],0),FALSE),"")</f>
        <v/>
      </c>
    </row>
    <row r="224" spans="1:27">
      <c r="A224">
        <f>COUNTIF($W$22:W224,1)</f>
        <v>0</v>
      </c>
      <c r="B224">
        <v>224</v>
      </c>
      <c r="C224" s="340" t="str">
        <f>IFERROR(Tabulka1[[#This Row],[KOD]],"")</f>
        <v>K0203BP</v>
      </c>
      <c r="W224" s="804" t="str">
        <f t="shared" si="8"/>
        <v/>
      </c>
      <c r="X224" s="154" t="str">
        <f t="shared" si="9"/>
        <v/>
      </c>
      <c r="Y224" s="341">
        <f>IF('General price list'!$AB226="",0,'General price list'!$AB226)</f>
        <v>0</v>
      </c>
      <c r="Z224" s="365" t="str">
        <f>IFERROR(X224*VLOOKUP(C224,'General price list'!C:I,7,FALSE),"")</f>
        <v/>
      </c>
      <c r="AA224" s="805" t="str">
        <f>IF(X224&lt;&gt;"",VLOOKUP(C224,'General price list'!C226:AN1199,MATCH("HM",Tabulka1[[#Headers],[KOD]:[NEQ]],0),FALSE),"")</f>
        <v/>
      </c>
    </row>
    <row r="225" spans="1:27">
      <c r="A225">
        <f>COUNTIF($W$22:W225,1)</f>
        <v>0</v>
      </c>
      <c r="B225">
        <v>225</v>
      </c>
      <c r="C225" s="340" t="str">
        <f>IFERROR(Tabulka1[[#This Row],[KOD]],"")</f>
        <v>P05DSP1</v>
      </c>
      <c r="W225" s="804" t="str">
        <f t="shared" si="8"/>
        <v/>
      </c>
      <c r="X225" s="154" t="str">
        <f t="shared" si="9"/>
        <v/>
      </c>
      <c r="Y225" s="341">
        <f>IF('General price list'!$AB227="",0,'General price list'!$AB227)</f>
        <v>0</v>
      </c>
      <c r="Z225" s="365" t="str">
        <f>IFERROR(X225*VLOOKUP(C225,'General price list'!C:I,7,FALSE),"")</f>
        <v/>
      </c>
      <c r="AA225" s="805" t="str">
        <f>IF(X225&lt;&gt;"",VLOOKUP(C225,'General price list'!C227:AN1200,MATCH("HM",Tabulka1[[#Headers],[KOD]:[NEQ]],0),FALSE),"")</f>
        <v/>
      </c>
    </row>
    <row r="226" spans="1:27">
      <c r="A226">
        <f>COUNTIF($W$22:W226,1)</f>
        <v>0</v>
      </c>
      <c r="B226">
        <v>226</v>
      </c>
      <c r="C226" s="340" t="str">
        <f>IFERROR(Tabulka1[[#This Row],[KOD]],"")</f>
        <v>P10D20SP1</v>
      </c>
      <c r="W226" s="804" t="str">
        <f t="shared" si="8"/>
        <v/>
      </c>
      <c r="X226" s="154" t="str">
        <f t="shared" si="9"/>
        <v/>
      </c>
      <c r="Y226" s="341">
        <f>IF('General price list'!$AB228="",0,'General price list'!$AB228)</f>
        <v>0</v>
      </c>
      <c r="Z226" s="365" t="str">
        <f>IFERROR(X226*VLOOKUP(C226,'General price list'!C:I,7,FALSE),"")</f>
        <v/>
      </c>
      <c r="AA226" s="805" t="str">
        <f>IF(X226&lt;&gt;"",VLOOKUP(C226,'General price list'!C228:AN1201,MATCH("HM",Tabulka1[[#Headers],[KOD]:[NEQ]],0),FALSE),"")</f>
        <v/>
      </c>
    </row>
    <row r="227" spans="1:27">
      <c r="A227">
        <f>COUNTIF($W$22:W227,1)</f>
        <v>0</v>
      </c>
      <c r="B227">
        <v>227</v>
      </c>
      <c r="C227" s="340">
        <f>IFERROR(Tabulka1[[#This Row],[KOD]],"")</f>
        <v>0</v>
      </c>
      <c r="W227" s="804" t="str">
        <f t="shared" si="8"/>
        <v/>
      </c>
      <c r="X227" s="154" t="str">
        <f t="shared" si="9"/>
        <v/>
      </c>
      <c r="Y227" s="341">
        <f>IF('General price list'!$AB229="",0,'General price list'!$AB229)</f>
        <v>0</v>
      </c>
      <c r="Z227" s="365" t="str">
        <f>IFERROR(X227*VLOOKUP(C227,'General price list'!C:I,7,FALSE),"")</f>
        <v/>
      </c>
      <c r="AA227" s="805" t="str">
        <f>IF(X227&lt;&gt;"",VLOOKUP(C227,'General price list'!C229:AN1202,MATCH("HM",Tabulka1[[#Headers],[KOD]:[NEQ]],0),FALSE),"")</f>
        <v/>
      </c>
    </row>
    <row r="228" spans="1:27">
      <c r="A228">
        <f>COUNTIF($W$22:W228,1)</f>
        <v>0</v>
      </c>
      <c r="B228">
        <v>228</v>
      </c>
      <c r="C228" s="340" t="str">
        <f>IFERROR(Tabulka1[[#This Row],[KOD]],"")</f>
        <v>P1D</v>
      </c>
      <c r="W228" s="804" t="str">
        <f t="shared" si="8"/>
        <v/>
      </c>
      <c r="X228" s="154" t="str">
        <f t="shared" si="9"/>
        <v/>
      </c>
      <c r="Y228" s="341">
        <f>IF('General price list'!$AB230="",0,'General price list'!$AB230)</f>
        <v>0</v>
      </c>
      <c r="Z228" s="365" t="str">
        <f>IFERROR(X228*VLOOKUP(C228,'General price list'!C:I,7,FALSE),"")</f>
        <v/>
      </c>
      <c r="AA228" s="805" t="str">
        <f>IF(X228&lt;&gt;"",VLOOKUP(C228,'General price list'!C230:AN1203,MATCH("HM",Tabulka1[[#Headers],[KOD]:[NEQ]],0),FALSE),"")</f>
        <v/>
      </c>
    </row>
    <row r="229" spans="1:27">
      <c r="A229">
        <f>COUNTIF($W$22:W229,1)</f>
        <v>0</v>
      </c>
      <c r="B229">
        <v>229</v>
      </c>
      <c r="C229" s="340" t="str">
        <f>IFERROR(Tabulka1[[#This Row],[KOD]],"")</f>
        <v>P2D</v>
      </c>
      <c r="W229" s="804" t="str">
        <f t="shared" si="8"/>
        <v/>
      </c>
      <c r="X229" s="154" t="str">
        <f t="shared" si="9"/>
        <v/>
      </c>
      <c r="Y229" s="341">
        <f>IF('General price list'!$AB231="",0,'General price list'!$AB231)</f>
        <v>0</v>
      </c>
      <c r="Z229" s="365" t="str">
        <f>IFERROR(X229*VLOOKUP(C229,'General price list'!C:I,7,FALSE),"")</f>
        <v/>
      </c>
      <c r="AA229" s="805" t="str">
        <f>IF(X229&lt;&gt;"",VLOOKUP(C229,'General price list'!C231:AN1204,MATCH("HM",Tabulka1[[#Headers],[KOD]:[NEQ]],0),FALSE),"")</f>
        <v/>
      </c>
    </row>
    <row r="230" spans="1:27">
      <c r="A230">
        <f>COUNTIF($W$22:W230,1)</f>
        <v>0</v>
      </c>
      <c r="B230">
        <v>230</v>
      </c>
      <c r="C230" s="340" t="str">
        <f>IFERROR(Tabulka1[[#This Row],[KOD]],"")</f>
        <v>K0203K</v>
      </c>
      <c r="W230" s="804" t="str">
        <f t="shared" si="8"/>
        <v/>
      </c>
      <c r="X230" s="154" t="str">
        <f t="shared" si="9"/>
        <v/>
      </c>
      <c r="Y230" s="341">
        <f>IF('General price list'!$AB232="",0,'General price list'!$AB232)</f>
        <v>0</v>
      </c>
      <c r="Z230" s="365" t="str">
        <f>IFERROR(X230*VLOOKUP(C230,'General price list'!C:I,7,FALSE),"")</f>
        <v/>
      </c>
      <c r="AA230" s="805" t="str">
        <f>IF(X230&lt;&gt;"",VLOOKUP(C230,'General price list'!C232:AN1205,MATCH("HM",Tabulka1[[#Headers],[KOD]:[NEQ]],0),FALSE),"")</f>
        <v/>
      </c>
    </row>
    <row r="231" spans="1:27">
      <c r="A231">
        <f>COUNTIF($W$22:W231,1)</f>
        <v>0</v>
      </c>
      <c r="B231">
        <v>231</v>
      </c>
      <c r="C231" s="340" t="str">
        <f>IFERROR(Tabulka1[[#This Row],[KOD]],"")</f>
        <v>K0203KB</v>
      </c>
      <c r="W231" s="804" t="str">
        <f t="shared" si="8"/>
        <v/>
      </c>
      <c r="X231" s="154" t="str">
        <f t="shared" si="9"/>
        <v/>
      </c>
      <c r="Y231" s="341">
        <f>IF('General price list'!$AB233="",0,'General price list'!$AB233)</f>
        <v>0</v>
      </c>
      <c r="Z231" s="365" t="str">
        <f>IFERROR(X231*VLOOKUP(C231,'General price list'!C:I,7,FALSE),"")</f>
        <v/>
      </c>
      <c r="AA231" s="805" t="str">
        <f>IF(X231&lt;&gt;"",VLOOKUP(C231,'General price list'!C233:AN1206,MATCH("HM",Tabulka1[[#Headers],[KOD]:[NEQ]],0),FALSE),"")</f>
        <v/>
      </c>
    </row>
    <row r="232" spans="1:27">
      <c r="A232">
        <f>COUNTIF($W$22:W232,1)</f>
        <v>0</v>
      </c>
      <c r="B232">
        <v>232</v>
      </c>
      <c r="C232" s="340" t="str">
        <f>IFERROR(Tabulka1[[#This Row],[KOD]],"")</f>
        <v>P05D</v>
      </c>
      <c r="W232" s="804" t="str">
        <f t="shared" si="8"/>
        <v/>
      </c>
      <c r="X232" s="154" t="str">
        <f t="shared" si="9"/>
        <v/>
      </c>
      <c r="Y232" s="341">
        <f>IF('General price list'!$AB234="",0,'General price list'!$AB234)</f>
        <v>0</v>
      </c>
      <c r="Z232" s="365" t="str">
        <f>IFERROR(X232*VLOOKUP(C232,'General price list'!C:I,7,FALSE),"")</f>
        <v/>
      </c>
      <c r="AA232" s="805" t="str">
        <f>IF(X232&lt;&gt;"",VLOOKUP(C232,'General price list'!C234:AN1207,MATCH("HM",Tabulka1[[#Headers],[KOD]:[NEQ]],0),FALSE),"")</f>
        <v/>
      </c>
    </row>
    <row r="233" spans="1:27">
      <c r="A233">
        <f>COUNTIF($W$22:W233,1)</f>
        <v>0</v>
      </c>
      <c r="B233">
        <v>233</v>
      </c>
      <c r="C233" s="340" t="str">
        <f>IFERROR(Tabulka1[[#This Row],[KOD]],"")</f>
        <v>PSF2D</v>
      </c>
      <c r="W233" s="804" t="str">
        <f t="shared" si="8"/>
        <v/>
      </c>
      <c r="X233" s="154" t="str">
        <f t="shared" si="9"/>
        <v/>
      </c>
      <c r="Y233" s="341">
        <f>IF('General price list'!$AB235="",0,'General price list'!$AB235)</f>
        <v>0</v>
      </c>
      <c r="Z233" s="365" t="str">
        <f>IFERROR(X233*VLOOKUP(C233,'General price list'!C:I,7,FALSE),"")</f>
        <v/>
      </c>
      <c r="AA233" s="805" t="str">
        <f>IF(X233&lt;&gt;"",VLOOKUP(C233,'General price list'!C235:AN1208,MATCH("HM",Tabulka1[[#Headers],[KOD]:[NEQ]],0),FALSE),"")</f>
        <v/>
      </c>
    </row>
    <row r="234" spans="1:27">
      <c r="A234">
        <f>COUNTIF($W$22:W234,1)</f>
        <v>0</v>
      </c>
      <c r="B234">
        <v>234</v>
      </c>
      <c r="C234" s="340">
        <f>IFERROR(Tabulka1[[#This Row],[KOD]],"")</f>
        <v>0</v>
      </c>
      <c r="W234" s="804" t="str">
        <f t="shared" si="8"/>
        <v/>
      </c>
      <c r="X234" s="154" t="str">
        <f t="shared" si="9"/>
        <v/>
      </c>
      <c r="Y234" s="341">
        <f>IF('General price list'!$AB236="",0,'General price list'!$AB236)</f>
        <v>0</v>
      </c>
      <c r="Z234" s="365" t="str">
        <f>IFERROR(X234*VLOOKUP(C234,'General price list'!C:I,7,FALSE),"")</f>
        <v/>
      </c>
      <c r="AA234" s="805" t="str">
        <f>IF(X234&lt;&gt;"",VLOOKUP(C234,'General price list'!C236:AN1209,MATCH("HM",Tabulka1[[#Headers],[KOD]:[NEQ]],0),FALSE),"")</f>
        <v/>
      </c>
    </row>
    <row r="235" spans="1:27">
      <c r="A235">
        <f>COUNTIF($W$22:W235,1)</f>
        <v>0</v>
      </c>
      <c r="B235">
        <v>235</v>
      </c>
      <c r="C235" s="340" t="str">
        <f>IFERROR(Tabulka1[[#This Row],[KOD]],"")</f>
        <v>PBDF2</v>
      </c>
      <c r="W235" s="804" t="str">
        <f t="shared" si="8"/>
        <v/>
      </c>
      <c r="X235" s="154" t="str">
        <f t="shared" si="9"/>
        <v/>
      </c>
      <c r="Y235" s="341">
        <f>IF('General price list'!$AB237="",0,'General price list'!$AB237)</f>
        <v>0</v>
      </c>
      <c r="Z235" s="365" t="str">
        <f>IFERROR(X235*VLOOKUP(C235,'General price list'!C:I,7,FALSE),"")</f>
        <v/>
      </c>
      <c r="AA235" s="805" t="str">
        <f>IF(X235&lt;&gt;"",VLOOKUP(C235,'General price list'!C237:AN1210,MATCH("HM",Tabulka1[[#Headers],[KOD]:[NEQ]],0),FALSE),"")</f>
        <v/>
      </c>
    </row>
    <row r="236" spans="1:27">
      <c r="A236">
        <f>COUNTIF($W$22:W236,1)</f>
        <v>0</v>
      </c>
      <c r="B236">
        <v>236</v>
      </c>
      <c r="C236" s="340" t="str">
        <f>IFERROR(Tabulka1[[#This Row],[KOD]],"")</f>
        <v>PBF2D</v>
      </c>
      <c r="W236" s="804" t="str">
        <f t="shared" si="8"/>
        <v/>
      </c>
      <c r="X236" s="154" t="str">
        <f t="shared" si="9"/>
        <v/>
      </c>
      <c r="Y236" s="341">
        <f>IF('General price list'!$AB238="",0,'General price list'!$AB238)</f>
        <v>0</v>
      </c>
      <c r="Z236" s="365" t="str">
        <f>IFERROR(X236*VLOOKUP(C236,'General price list'!C:I,7,FALSE),"")</f>
        <v/>
      </c>
      <c r="AA236" s="805" t="str">
        <f>IF(X236&lt;&gt;"",VLOOKUP(C236,'General price list'!C238:AN1211,MATCH("HM",Tabulka1[[#Headers],[KOD]:[NEQ]],0),FALSE),"")</f>
        <v/>
      </c>
    </row>
    <row r="237" spans="1:27">
      <c r="A237">
        <f>COUNTIF($W$22:W237,1)</f>
        <v>0</v>
      </c>
      <c r="B237">
        <v>237</v>
      </c>
      <c r="C237" s="340" t="str">
        <f>IFERROR(Tabulka1[[#This Row],[KOD]],"")</f>
        <v>PB120D</v>
      </c>
      <c r="W237" s="804" t="str">
        <f t="shared" si="8"/>
        <v/>
      </c>
      <c r="X237" s="154" t="str">
        <f t="shared" si="9"/>
        <v/>
      </c>
      <c r="Y237" s="341">
        <f>IF('General price list'!$AB239="",0,'General price list'!$AB239)</f>
        <v>0</v>
      </c>
      <c r="Z237" s="365" t="str">
        <f>IFERROR(X237*VLOOKUP(C237,'General price list'!C:I,7,FALSE),"")</f>
        <v/>
      </c>
      <c r="AA237" s="805" t="str">
        <f>IF(X237&lt;&gt;"",VLOOKUP(C237,'General price list'!C239:AN1212,MATCH("HM",Tabulka1[[#Headers],[KOD]:[NEQ]],0),FALSE),"")</f>
        <v/>
      </c>
    </row>
    <row r="238" spans="1:27">
      <c r="A238">
        <f>COUNTIF($W$22:W238,1)</f>
        <v>0</v>
      </c>
      <c r="B238">
        <v>238</v>
      </c>
      <c r="C238" s="340">
        <f>IFERROR(Tabulka1[[#This Row],[KOD]],"")</f>
        <v>0</v>
      </c>
      <c r="W238" s="804" t="str">
        <f t="shared" si="8"/>
        <v/>
      </c>
      <c r="X238" s="154" t="str">
        <f t="shared" si="9"/>
        <v/>
      </c>
      <c r="Y238" s="341">
        <f>IF('General price list'!$AB240="",0,'General price list'!$AB240)</f>
        <v>0</v>
      </c>
      <c r="Z238" s="365" t="str">
        <f>IFERROR(X238*VLOOKUP(C238,'General price list'!C:I,7,FALSE),"")</f>
        <v/>
      </c>
      <c r="AA238" s="805" t="str">
        <f>IF(X238&lt;&gt;"",VLOOKUP(C238,'General price list'!C240:AN1213,MATCH("HM",Tabulka1[[#Headers],[KOD]:[NEQ]],0),FALSE),"")</f>
        <v/>
      </c>
    </row>
    <row r="239" spans="1:27">
      <c r="A239">
        <f>COUNTIF($W$22:W239,1)</f>
        <v>0</v>
      </c>
      <c r="B239">
        <v>239</v>
      </c>
      <c r="C239" s="340" t="str">
        <f>IFERROR(Tabulka1[[#This Row],[KOD]],"")</f>
        <v>P6A14F3</v>
      </c>
      <c r="W239" s="804" t="str">
        <f t="shared" si="8"/>
        <v/>
      </c>
      <c r="X239" s="154" t="str">
        <f t="shared" si="9"/>
        <v/>
      </c>
      <c r="Y239" s="341">
        <f>IF('General price list'!$AB241="",0,'General price list'!$AB241)</f>
        <v>0</v>
      </c>
      <c r="Z239" s="365" t="str">
        <f>IFERROR(X239*VLOOKUP(C239,'General price list'!C:I,7,FALSE),"")</f>
        <v/>
      </c>
      <c r="AA239" s="805" t="str">
        <f>IF(X239&lt;&gt;"",VLOOKUP(C239,'General price list'!C241:AN1214,MATCH("HM",Tabulka1[[#Headers],[KOD]:[NEQ]],0),FALSE),"")</f>
        <v/>
      </c>
    </row>
    <row r="240" spans="1:27">
      <c r="A240">
        <f>COUNTIF($W$22:W240,1)</f>
        <v>0</v>
      </c>
      <c r="B240">
        <v>240</v>
      </c>
      <c r="C240" s="340" t="str">
        <f>IFERROR(Tabulka1[[#This Row],[KOD]],"")</f>
        <v>P7A14</v>
      </c>
      <c r="W240" s="804" t="str">
        <f t="shared" si="8"/>
        <v/>
      </c>
      <c r="X240" s="154" t="str">
        <f t="shared" si="9"/>
        <v/>
      </c>
      <c r="Y240" s="341">
        <f>IF('General price list'!$AB242="",0,'General price list'!$AB242)</f>
        <v>0</v>
      </c>
      <c r="Z240" s="365" t="str">
        <f>IFERROR(X240*VLOOKUP(C240,'General price list'!C:I,7,FALSE),"")</f>
        <v/>
      </c>
      <c r="AA240" s="805" t="str">
        <f>IF(X240&lt;&gt;"",VLOOKUP(C240,'General price list'!C242:AN1215,MATCH("HM",Tabulka1[[#Headers],[KOD]:[NEQ]],0),FALSE),"")</f>
        <v/>
      </c>
    </row>
    <row r="241" spans="1:27">
      <c r="A241">
        <f>COUNTIF($W$22:W241,1)</f>
        <v>0</v>
      </c>
      <c r="B241">
        <v>241</v>
      </c>
      <c r="C241" s="340" t="str">
        <f>IFERROR(Tabulka1[[#This Row],[KOD]],"")</f>
        <v>P4B</v>
      </c>
      <c r="W241" s="804" t="str">
        <f t="shared" si="8"/>
        <v/>
      </c>
      <c r="X241" s="154" t="str">
        <f t="shared" si="9"/>
        <v/>
      </c>
      <c r="Y241" s="341">
        <f>IF('General price list'!$AB243="",0,'General price list'!$AB243)</f>
        <v>0</v>
      </c>
      <c r="Z241" s="365" t="str">
        <f>IFERROR(X241*VLOOKUP(C241,'General price list'!C:I,7,FALSE),"")</f>
        <v/>
      </c>
      <c r="AA241" s="805" t="str">
        <f>IF(X241&lt;&gt;"",VLOOKUP(C241,'General price list'!C243:AN1216,MATCH("HM",Tabulka1[[#Headers],[KOD]:[NEQ]],0),FALSE),"")</f>
        <v/>
      </c>
    </row>
    <row r="242" spans="1:27">
      <c r="A242">
        <f>COUNTIF($W$22:W242,1)</f>
        <v>0</v>
      </c>
      <c r="B242">
        <v>242</v>
      </c>
      <c r="C242" s="340" t="str">
        <f>IFERROR(Tabulka1[[#This Row],[KOD]],"")</f>
        <v>P5DU13</v>
      </c>
      <c r="W242" s="804" t="str">
        <f t="shared" si="8"/>
        <v/>
      </c>
      <c r="X242" s="154" t="str">
        <f t="shared" si="9"/>
        <v/>
      </c>
      <c r="Y242" s="341">
        <f>IF('General price list'!$AB244="",0,'General price list'!$AB244)</f>
        <v>0</v>
      </c>
      <c r="Z242" s="365" t="str">
        <f>IFERROR(X242*VLOOKUP(C242,'General price list'!C:I,7,FALSE),"")</f>
        <v/>
      </c>
      <c r="AA242" s="805" t="str">
        <f>IF(X242&lt;&gt;"",VLOOKUP(C242,'General price list'!C244:AN1217,MATCH("HM",Tabulka1[[#Headers],[KOD]:[NEQ]],0),FALSE),"")</f>
        <v/>
      </c>
    </row>
    <row r="243" spans="1:27">
      <c r="A243">
        <f>COUNTIF($W$22:W243,1)</f>
        <v>0</v>
      </c>
      <c r="B243">
        <v>243</v>
      </c>
      <c r="C243" s="340" t="str">
        <f>IFERROR(Tabulka1[[#This Row],[KOD]],"")</f>
        <v>P5DU13(M)</v>
      </c>
      <c r="W243" s="804" t="str">
        <f t="shared" si="8"/>
        <v/>
      </c>
      <c r="X243" s="154" t="str">
        <f t="shared" si="9"/>
        <v/>
      </c>
      <c r="Y243" s="341">
        <f>IF('General price list'!$AB245="",0,'General price list'!$AB245)</f>
        <v>0</v>
      </c>
      <c r="Z243" s="365" t="str">
        <f>IFERROR(X243*VLOOKUP(C243,'General price list'!C:I,7,FALSE),"")</f>
        <v/>
      </c>
      <c r="AA243" s="805" t="str">
        <f>IF(X243&lt;&gt;"",VLOOKUP(C243,'General price list'!C245:AN1218,MATCH("HM",Tabulka1[[#Headers],[KOD]:[NEQ]],0),FALSE),"")</f>
        <v/>
      </c>
    </row>
    <row r="244" spans="1:27">
      <c r="A244">
        <f>COUNTIF($W$22:W244,1)</f>
        <v>0</v>
      </c>
      <c r="B244">
        <v>244</v>
      </c>
      <c r="C244" s="340" t="str">
        <f>IFERROR(Tabulka1[[#This Row],[KOD]],"")</f>
        <v>P5DU</v>
      </c>
      <c r="W244" s="804" t="str">
        <f t="shared" si="8"/>
        <v/>
      </c>
      <c r="X244" s="154" t="str">
        <f t="shared" si="9"/>
        <v/>
      </c>
      <c r="Y244" s="341">
        <f>IF('General price list'!$AB246="",0,'General price list'!$AB246)</f>
        <v>0</v>
      </c>
      <c r="Z244" s="365" t="str">
        <f>IFERROR(X244*VLOOKUP(C244,'General price list'!C:I,7,FALSE),"")</f>
        <v/>
      </c>
      <c r="AA244" s="805" t="str">
        <f>IF(X244&lt;&gt;"",VLOOKUP(C244,'General price list'!C246:AN1219,MATCH("HM",Tabulka1[[#Headers],[KOD]:[NEQ]],0),FALSE),"")</f>
        <v/>
      </c>
    </row>
    <row r="245" spans="1:27">
      <c r="A245">
        <f>COUNTIF($W$22:W245,1)</f>
        <v>0</v>
      </c>
      <c r="B245">
        <v>245</v>
      </c>
      <c r="C245" s="340" t="str">
        <f>IFERROR(Tabulka1[[#This Row],[KOD]],"")</f>
        <v>P5A13</v>
      </c>
      <c r="W245" s="804" t="str">
        <f t="shared" si="8"/>
        <v/>
      </c>
      <c r="X245" s="154" t="str">
        <f t="shared" si="9"/>
        <v/>
      </c>
      <c r="Y245" s="341">
        <f>IF('General price list'!$AB247="",0,'General price list'!$AB247)</f>
        <v>0</v>
      </c>
      <c r="Z245" s="365" t="str">
        <f>IFERROR(X245*VLOOKUP(C245,'General price list'!C:I,7,FALSE),"")</f>
        <v/>
      </c>
      <c r="AA245" s="805" t="str">
        <f>IF(X245&lt;&gt;"",VLOOKUP(C245,'General price list'!C247:AN1220,MATCH("HM",Tabulka1[[#Headers],[KOD]:[NEQ]],0),FALSE),"")</f>
        <v/>
      </c>
    </row>
    <row r="246" spans="1:27">
      <c r="A246">
        <f>COUNTIF($W$22:W246,1)</f>
        <v>0</v>
      </c>
      <c r="B246">
        <v>246</v>
      </c>
      <c r="C246" s="340" t="str">
        <f>IFERROR(Tabulka1[[#This Row],[KOD]],"")</f>
        <v>P5D13</v>
      </c>
      <c r="W246" s="804" t="str">
        <f t="shared" si="8"/>
        <v/>
      </c>
      <c r="X246" s="154" t="str">
        <f t="shared" si="9"/>
        <v/>
      </c>
      <c r="Y246" s="341">
        <f>IF('General price list'!$AB248="",0,'General price list'!$AB248)</f>
        <v>0</v>
      </c>
      <c r="Z246" s="365" t="str">
        <f>IFERROR(X246*VLOOKUP(C246,'General price list'!C:I,7,FALSE),"")</f>
        <v/>
      </c>
      <c r="AA246" s="805" t="str">
        <f>IF(X246&lt;&gt;"",VLOOKUP(C246,'General price list'!C248:AN1221,MATCH("HM",Tabulka1[[#Headers],[KOD]:[NEQ]],0),FALSE),"")</f>
        <v/>
      </c>
    </row>
    <row r="247" spans="1:27">
      <c r="A247">
        <f>COUNTIF($W$22:W247,1)</f>
        <v>0</v>
      </c>
      <c r="B247">
        <v>247</v>
      </c>
      <c r="C247" s="340" t="str">
        <f>IFERROR(Tabulka1[[#This Row],[KOD]],"")</f>
        <v>P5D13(W)</v>
      </c>
      <c r="W247" s="804" t="str">
        <f t="shared" si="8"/>
        <v/>
      </c>
      <c r="X247" s="154" t="str">
        <f t="shared" si="9"/>
        <v/>
      </c>
      <c r="Y247" s="341">
        <f>IF('General price list'!$AB249="",0,'General price list'!$AB249)</f>
        <v>0</v>
      </c>
      <c r="Z247" s="365" t="str">
        <f>IFERROR(X247*VLOOKUP(C247,'General price list'!C:I,7,FALSE),"")</f>
        <v/>
      </c>
      <c r="AA247" s="805" t="str">
        <f>IF(X247&lt;&gt;"",VLOOKUP(C247,'General price list'!C249:AN1222,MATCH("HM",Tabulka1[[#Headers],[KOD]:[NEQ]],0),FALSE),"")</f>
        <v/>
      </c>
    </row>
    <row r="248" spans="1:27">
      <c r="A248">
        <f>COUNTIF($W$22:W248,1)</f>
        <v>0</v>
      </c>
      <c r="B248">
        <v>248</v>
      </c>
      <c r="C248" s="340" t="str">
        <f>IFERROR(Tabulka1[[#This Row],[KOD]],"")</f>
        <v>P6A13(G)F3</v>
      </c>
      <c r="W248" s="804" t="str">
        <f t="shared" si="8"/>
        <v/>
      </c>
      <c r="X248" s="154" t="str">
        <f t="shared" si="9"/>
        <v/>
      </c>
      <c r="Y248" s="341">
        <f>IF('General price list'!$AB250="",0,'General price list'!$AB250)</f>
        <v>0</v>
      </c>
      <c r="Z248" s="365" t="str">
        <f>IFERROR(X248*VLOOKUP(C248,'General price list'!C:I,7,FALSE),"")</f>
        <v/>
      </c>
      <c r="AA248" s="805" t="str">
        <f>IF(X248&lt;&gt;"",VLOOKUP(C248,'General price list'!C250:AN1223,MATCH("HM",Tabulka1[[#Headers],[KOD]:[NEQ]],0),FALSE),"")</f>
        <v/>
      </c>
    </row>
    <row r="249" spans="1:27">
      <c r="A249">
        <f>COUNTIF($W$22:W249,1)</f>
        <v>0</v>
      </c>
      <c r="B249">
        <v>249</v>
      </c>
      <c r="C249" s="340" t="str">
        <f>IFERROR(Tabulka1[[#This Row],[KOD]],"")</f>
        <v>P6A13(R)F3</v>
      </c>
      <c r="W249" s="804" t="str">
        <f t="shared" si="8"/>
        <v/>
      </c>
      <c r="X249" s="154" t="str">
        <f t="shared" si="9"/>
        <v/>
      </c>
      <c r="Y249" s="341">
        <f>IF('General price list'!$AB251="",0,'General price list'!$AB251)</f>
        <v>0</v>
      </c>
      <c r="Z249" s="365" t="str">
        <f>IFERROR(X249*VLOOKUP(C249,'General price list'!C:I,7,FALSE),"")</f>
        <v/>
      </c>
      <c r="AA249" s="805" t="str">
        <f>IF(X249&lt;&gt;"",VLOOKUP(C249,'General price list'!C251:AN1224,MATCH("HM",Tabulka1[[#Headers],[KOD]:[NEQ]],0),FALSE),"")</f>
        <v/>
      </c>
    </row>
    <row r="250" spans="1:27">
      <c r="A250">
        <f>COUNTIF($W$22:W250,1)</f>
        <v>0</v>
      </c>
      <c r="B250">
        <v>250</v>
      </c>
      <c r="C250" s="340">
        <f>IFERROR(Tabulka1[[#This Row],[KOD]],"")</f>
        <v>0</v>
      </c>
      <c r="W250" s="804" t="str">
        <f t="shared" si="8"/>
        <v/>
      </c>
      <c r="X250" s="154" t="str">
        <f t="shared" si="9"/>
        <v/>
      </c>
      <c r="Y250" s="341">
        <f>IF('General price list'!$AB252="",0,'General price list'!$AB252)</f>
        <v>0</v>
      </c>
      <c r="Z250" s="365" t="str">
        <f>IFERROR(X250*VLOOKUP(C250,'General price list'!C:I,7,FALSE),"")</f>
        <v/>
      </c>
      <c r="AA250" s="805" t="str">
        <f>IF(X250&lt;&gt;"",VLOOKUP(C250,'General price list'!C252:AN1225,MATCH("HM",Tabulka1[[#Headers],[KOD]:[NEQ]],0),FALSE),"")</f>
        <v/>
      </c>
    </row>
    <row r="251" spans="1:27">
      <c r="A251">
        <f>COUNTIF($W$22:W251,1)</f>
        <v>0</v>
      </c>
      <c r="B251">
        <v>251</v>
      </c>
      <c r="C251" s="340" t="str">
        <f>IFERROR(Tabulka1[[#This Row],[KOD]],"")</f>
        <v>P066D20P1</v>
      </c>
      <c r="W251" s="804" t="str">
        <f t="shared" si="8"/>
        <v/>
      </c>
      <c r="X251" s="154" t="str">
        <f t="shared" si="9"/>
        <v/>
      </c>
      <c r="Y251" s="341">
        <f>IF('General price list'!$AB253="",0,'General price list'!$AB253)</f>
        <v>0</v>
      </c>
      <c r="Z251" s="365" t="str">
        <f>IFERROR(X251*VLOOKUP(C251,'General price list'!C:I,7,FALSE),"")</f>
        <v/>
      </c>
      <c r="AA251" s="805" t="str">
        <f>IF(X251&lt;&gt;"",VLOOKUP(C251,'General price list'!C253:AN1226,MATCH("HM",Tabulka1[[#Headers],[KOD]:[NEQ]],0),FALSE),"")</f>
        <v/>
      </c>
    </row>
    <row r="252" spans="1:27">
      <c r="A252">
        <f>COUNTIF($W$22:W252,1)</f>
        <v>0</v>
      </c>
      <c r="B252">
        <v>252</v>
      </c>
      <c r="C252" s="340" t="str">
        <f>IFERROR(Tabulka1[[#This Row],[KOD]],"")</f>
        <v>P5DU13(1)</v>
      </c>
      <c r="W252" s="804" t="str">
        <f t="shared" si="8"/>
        <v/>
      </c>
      <c r="X252" s="154" t="str">
        <f t="shared" si="9"/>
        <v/>
      </c>
      <c r="Y252" s="341">
        <f>IF('General price list'!$AB254="",0,'General price list'!$AB254)</f>
        <v>0</v>
      </c>
      <c r="Z252" s="365" t="str">
        <f>IFERROR(X252*VLOOKUP(C252,'General price list'!C:I,7,FALSE),"")</f>
        <v/>
      </c>
      <c r="AA252" s="805" t="str">
        <f>IF(X252&lt;&gt;"",VLOOKUP(C252,'General price list'!C254:AN1227,MATCH("HM",Tabulka1[[#Headers],[KOD]:[NEQ]],0),FALSE),"")</f>
        <v/>
      </c>
    </row>
    <row r="253" spans="1:27">
      <c r="A253">
        <f>COUNTIF($W$22:W253,1)</f>
        <v>0</v>
      </c>
      <c r="B253">
        <v>253</v>
      </c>
      <c r="C253" s="340" t="str">
        <f>IFERROR(Tabulka1[[#This Row],[KOD]],"")</f>
        <v>P2GP1</v>
      </c>
      <c r="W253" s="804" t="str">
        <f t="shared" si="8"/>
        <v/>
      </c>
      <c r="X253" s="154" t="str">
        <f t="shared" si="9"/>
        <v/>
      </c>
      <c r="Y253" s="341">
        <f>IF('General price list'!$AB255="",0,'General price list'!$AB255)</f>
        <v>0</v>
      </c>
      <c r="Z253" s="365" t="str">
        <f>IFERROR(X253*VLOOKUP(C253,'General price list'!C:I,7,FALSE),"")</f>
        <v/>
      </c>
      <c r="AA253" s="805" t="str">
        <f>IF(X253&lt;&gt;"",VLOOKUP(C253,'General price list'!C255:AN1228,MATCH("HM",Tabulka1[[#Headers],[KOD]:[NEQ]],0),FALSE),"")</f>
        <v/>
      </c>
    </row>
    <row r="254" spans="1:27">
      <c r="A254">
        <f>COUNTIF($W$22:W254,1)</f>
        <v>0</v>
      </c>
      <c r="B254">
        <v>254</v>
      </c>
      <c r="C254" s="340">
        <f>IFERROR(Tabulka1[[#This Row],[KOD]],"")</f>
        <v>0</v>
      </c>
      <c r="W254" s="804" t="str">
        <f t="shared" si="8"/>
        <v/>
      </c>
      <c r="X254" s="154" t="str">
        <f t="shared" si="9"/>
        <v/>
      </c>
      <c r="Y254" s="341">
        <f>IF('General price list'!$AB256="",0,'General price list'!$AB256)</f>
        <v>0</v>
      </c>
      <c r="Z254" s="365" t="str">
        <f>IFERROR(X254*VLOOKUP(C254,'General price list'!C:I,7,FALSE),"")</f>
        <v/>
      </c>
      <c r="AA254" s="805" t="str">
        <f>IF(X254&lt;&gt;"",VLOOKUP(C254,'General price list'!C256:AN1229,MATCH("HM",Tabulka1[[#Headers],[KOD]:[NEQ]],0),FALSE),"")</f>
        <v/>
      </c>
    </row>
    <row r="255" spans="1:27">
      <c r="A255">
        <f>COUNTIF($W$22:W255,1)</f>
        <v>0</v>
      </c>
      <c r="B255">
        <v>255</v>
      </c>
      <c r="C255" s="340" t="str">
        <f>IFERROR(Tabulka1[[#This Row],[KOD]],"")</f>
        <v>P6AE</v>
      </c>
      <c r="W255" s="804" t="str">
        <f t="shared" si="8"/>
        <v/>
      </c>
      <c r="X255" s="154" t="str">
        <f t="shared" si="9"/>
        <v/>
      </c>
      <c r="Y255" s="341">
        <f>IF('General price list'!$AB257="",0,'General price list'!$AB257)</f>
        <v>0</v>
      </c>
      <c r="Z255" s="365" t="str">
        <f>IFERROR(X255*VLOOKUP(C255,'General price list'!C:I,7,FALSE),"")</f>
        <v/>
      </c>
      <c r="AA255" s="805" t="str">
        <f>IF(X255&lt;&gt;"",VLOOKUP(C255,'General price list'!C257:AN1230,MATCH("HM",Tabulka1[[#Headers],[KOD]:[NEQ]],0),FALSE),"")</f>
        <v/>
      </c>
    </row>
    <row r="256" spans="1:27">
      <c r="A256">
        <f>COUNTIF($W$22:W256,1)</f>
        <v>0</v>
      </c>
      <c r="B256">
        <v>256</v>
      </c>
      <c r="C256" s="340" t="str">
        <f>IFERROR(Tabulka1[[#This Row],[KOD]],"")</f>
        <v>P30D</v>
      </c>
      <c r="W256" s="804" t="str">
        <f t="shared" si="8"/>
        <v/>
      </c>
      <c r="X256" s="154" t="str">
        <f t="shared" si="9"/>
        <v/>
      </c>
      <c r="Y256" s="341">
        <f>IF('General price list'!$AB258="",0,'General price list'!$AB258)</f>
        <v>0</v>
      </c>
      <c r="Z256" s="365" t="str">
        <f>IFERROR(X256*VLOOKUP(C256,'General price list'!C:I,7,FALSE),"")</f>
        <v/>
      </c>
      <c r="AA256" s="805" t="str">
        <f>IF(X256&lt;&gt;"",VLOOKUP(C256,'General price list'!C258:AN1231,MATCH("HM",Tabulka1[[#Headers],[KOD]:[NEQ]],0),FALSE),"")</f>
        <v/>
      </c>
    </row>
    <row r="257" spans="1:27">
      <c r="A257">
        <f>COUNTIF($W$22:W257,1)</f>
        <v>0</v>
      </c>
      <c r="B257">
        <v>257</v>
      </c>
      <c r="C257" s="340" t="str">
        <f>IFERROR(Tabulka1[[#This Row],[KOD]],"")</f>
        <v>P50D</v>
      </c>
      <c r="W257" s="804" t="str">
        <f t="shared" si="8"/>
        <v/>
      </c>
      <c r="X257" s="154" t="str">
        <f t="shared" si="9"/>
        <v/>
      </c>
      <c r="Y257" s="341">
        <f>IF('General price list'!$AB259="",0,'General price list'!$AB259)</f>
        <v>0</v>
      </c>
      <c r="Z257" s="365" t="str">
        <f>IFERROR(X257*VLOOKUP(C257,'General price list'!C:I,7,FALSE),"")</f>
        <v/>
      </c>
      <c r="AA257" s="805" t="str">
        <f>IF(X257&lt;&gt;"",VLOOKUP(C257,'General price list'!C259:AN1232,MATCH("HM",Tabulka1[[#Headers],[KOD]:[NEQ]],0),FALSE),"")</f>
        <v/>
      </c>
    </row>
    <row r="258" spans="1:27">
      <c r="A258">
        <f>COUNTIF($W$22:W258,1)</f>
        <v>0</v>
      </c>
      <c r="B258">
        <v>258</v>
      </c>
      <c r="C258" s="340" t="str">
        <f>IFERROR(Tabulka1[[#This Row],[KOD]],"")</f>
        <v>P170</v>
      </c>
      <c r="W258" s="804" t="str">
        <f t="shared" si="8"/>
        <v/>
      </c>
      <c r="X258" s="154" t="str">
        <f t="shared" si="9"/>
        <v/>
      </c>
      <c r="Y258" s="341">
        <f>IF('General price list'!$AB260="",0,'General price list'!$AB260)</f>
        <v>0</v>
      </c>
      <c r="Z258" s="365" t="str">
        <f>IFERROR(X258*VLOOKUP(C258,'General price list'!C:I,7,FALSE),"")</f>
        <v/>
      </c>
      <c r="AA258" s="805" t="str">
        <f>IF(X258&lt;&gt;"",VLOOKUP(C258,'General price list'!C260:AN1233,MATCH("HM",Tabulka1[[#Headers],[KOD]:[NEQ]],0),FALSE),"")</f>
        <v/>
      </c>
    </row>
    <row r="259" spans="1:27">
      <c r="A259">
        <f>COUNTIF($W$22:W259,1)</f>
        <v>0</v>
      </c>
      <c r="B259">
        <v>259</v>
      </c>
      <c r="C259" s="340">
        <f>IFERROR(Tabulka1[[#This Row],[KOD]],"")</f>
        <v>0</v>
      </c>
      <c r="W259" s="804" t="str">
        <f t="shared" si="8"/>
        <v/>
      </c>
      <c r="X259" s="154" t="str">
        <f t="shared" si="9"/>
        <v/>
      </c>
      <c r="Y259" s="341">
        <f>IF('General price list'!$AB261="",0,'General price list'!$AB261)</f>
        <v>0</v>
      </c>
      <c r="Z259" s="365" t="str">
        <f>IFERROR(X259*VLOOKUP(C259,'General price list'!C:I,7,FALSE),"")</f>
        <v/>
      </c>
      <c r="AA259" s="805" t="str">
        <f>IF(X259&lt;&gt;"",VLOOKUP(C259,'General price list'!C261:AN1234,MATCH("HM",Tabulka1[[#Headers],[KOD]:[NEQ]],0),FALSE),"")</f>
        <v/>
      </c>
    </row>
    <row r="260" spans="1:27">
      <c r="A260">
        <f>COUNTIF($W$22:W260,1)</f>
        <v>0</v>
      </c>
      <c r="B260">
        <v>260</v>
      </c>
      <c r="C260" s="340" t="str">
        <f>IFERROR(Tabulka1[[#This Row],[KOD]],"")</f>
        <v>EB15</v>
      </c>
      <c r="W260" s="804" t="str">
        <f t="shared" si="8"/>
        <v/>
      </c>
      <c r="X260" s="154" t="str">
        <f t="shared" si="9"/>
        <v/>
      </c>
      <c r="Y260" s="341">
        <f>IF('General price list'!$AB262="",0,'General price list'!$AB262)</f>
        <v>0</v>
      </c>
      <c r="Z260" s="365" t="str">
        <f>IFERROR(X260*VLOOKUP(C260,'General price list'!C:I,7,FALSE),"")</f>
        <v/>
      </c>
      <c r="AA260" s="805" t="str">
        <f>IF(X260&lt;&gt;"",VLOOKUP(C260,'General price list'!C262:AN1235,MATCH("HM",Tabulka1[[#Headers],[KOD]:[NEQ]],0),FALSE),"")</f>
        <v/>
      </c>
    </row>
    <row r="261" spans="1:27">
      <c r="A261">
        <f>COUNTIF($W$22:W261,1)</f>
        <v>0</v>
      </c>
      <c r="B261">
        <v>261</v>
      </c>
      <c r="C261" s="340" t="str">
        <f>IFERROR(Tabulka1[[#This Row],[KOD]],"")</f>
        <v>EB9</v>
      </c>
      <c r="W261" s="804" t="str">
        <f t="shared" si="8"/>
        <v/>
      </c>
      <c r="X261" s="154" t="str">
        <f t="shared" si="9"/>
        <v/>
      </c>
      <c r="Y261" s="341">
        <f>IF('General price list'!$AB263="",0,'General price list'!$AB263)</f>
        <v>0</v>
      </c>
      <c r="Z261" s="365" t="str">
        <f>IFERROR(X261*VLOOKUP(C261,'General price list'!C:I,7,FALSE),"")</f>
        <v/>
      </c>
      <c r="AA261" s="805" t="str">
        <f>IF(X261&lt;&gt;"",VLOOKUP(C261,'General price list'!C263:AN1236,MATCH("HM",Tabulka1[[#Headers],[KOD]:[NEQ]],0),FALSE),"")</f>
        <v/>
      </c>
    </row>
    <row r="262" spans="1:27">
      <c r="A262">
        <f>COUNTIF($W$22:W262,1)</f>
        <v>0</v>
      </c>
      <c r="B262">
        <v>262</v>
      </c>
      <c r="C262" s="340" t="str">
        <f>IFERROR(Tabulka1[[#This Row],[KOD]],"")</f>
        <v>K20K</v>
      </c>
      <c r="W262" s="804" t="str">
        <f t="shared" si="8"/>
        <v/>
      </c>
      <c r="X262" s="154" t="str">
        <f t="shared" si="9"/>
        <v/>
      </c>
      <c r="Y262" s="341">
        <f>IF('General price list'!$AB264="",0,'General price list'!$AB264)</f>
        <v>0</v>
      </c>
      <c r="Z262" s="365" t="str">
        <f>IFERROR(X262*VLOOKUP(C262,'General price list'!C:I,7,FALSE),"")</f>
        <v/>
      </c>
      <c r="AA262" s="805" t="str">
        <f>IF(X262&lt;&gt;"",VLOOKUP(C262,'General price list'!C264:AN1237,MATCH("HM",Tabulka1[[#Headers],[KOD]:[NEQ]],0),FALSE),"")</f>
        <v/>
      </c>
    </row>
    <row r="263" spans="1:27">
      <c r="A263">
        <f>COUNTIF($W$22:W263,1)</f>
        <v>0</v>
      </c>
      <c r="B263">
        <v>263</v>
      </c>
      <c r="C263" s="340" t="str">
        <f>IFERROR(Tabulka1[[#This Row],[KOD]],"")</f>
        <v>K60K</v>
      </c>
      <c r="W263" s="804" t="str">
        <f t="shared" si="8"/>
        <v/>
      </c>
      <c r="X263" s="154" t="str">
        <f t="shared" si="9"/>
        <v/>
      </c>
      <c r="Y263" s="341">
        <f>IF('General price list'!$AB265="",0,'General price list'!$AB265)</f>
        <v>0</v>
      </c>
      <c r="Z263" s="365" t="str">
        <f>IFERROR(X263*VLOOKUP(C263,'General price list'!C:I,7,FALSE),"")</f>
        <v/>
      </c>
      <c r="AA263" s="805" t="str">
        <f>IF(X263&lt;&gt;"",VLOOKUP(C263,'General price list'!C265:AN1238,MATCH("HM",Tabulka1[[#Headers],[KOD]:[NEQ]],0),FALSE),"")</f>
        <v/>
      </c>
    </row>
    <row r="264" spans="1:27">
      <c r="A264">
        <f>COUNTIF($W$22:W264,1)</f>
        <v>0</v>
      </c>
      <c r="B264">
        <v>264</v>
      </c>
      <c r="C264" s="340" t="str">
        <f>IFERROR(Tabulka1[[#This Row],[KOD]],"")</f>
        <v>K01M</v>
      </c>
      <c r="W264" s="804" t="str">
        <f t="shared" si="8"/>
        <v/>
      </c>
      <c r="X264" s="154" t="str">
        <f t="shared" si="9"/>
        <v/>
      </c>
      <c r="Y264" s="341">
        <f>IF('General price list'!$AB266="",0,'General price list'!$AB266)</f>
        <v>0</v>
      </c>
      <c r="Z264" s="365" t="str">
        <f>IFERROR(X264*VLOOKUP(C264,'General price list'!C:I,7,FALSE),"")</f>
        <v/>
      </c>
      <c r="AA264" s="805" t="str">
        <f>IF(X264&lt;&gt;"",VLOOKUP(C264,'General price list'!C266:AN1239,MATCH("HM",Tabulka1[[#Headers],[KOD]:[NEQ]],0),FALSE),"")</f>
        <v/>
      </c>
    </row>
    <row r="265" spans="1:27">
      <c r="A265">
        <f>COUNTIF($W$22:W265,1)</f>
        <v>0</v>
      </c>
      <c r="B265">
        <v>265</v>
      </c>
      <c r="C265" s="340" t="str">
        <f>IFERROR(Tabulka1[[#This Row],[KOD]],"")</f>
        <v>K100R</v>
      </c>
      <c r="W265" s="804" t="str">
        <f t="shared" si="8"/>
        <v/>
      </c>
      <c r="X265" s="154" t="str">
        <f t="shared" si="9"/>
        <v/>
      </c>
      <c r="Y265" s="341">
        <f>IF('General price list'!$AB267="",0,'General price list'!$AB267)</f>
        <v>0</v>
      </c>
      <c r="Z265" s="365" t="str">
        <f>IFERROR(X265*VLOOKUP(C265,'General price list'!C:I,7,FALSE),"")</f>
        <v/>
      </c>
      <c r="AA265" s="805" t="str">
        <f>IF(X265&lt;&gt;"",VLOOKUP(C265,'General price list'!C267:AN1240,MATCH("HM",Tabulka1[[#Headers],[KOD]:[NEQ]],0),FALSE),"")</f>
        <v/>
      </c>
    </row>
    <row r="266" spans="1:27">
      <c r="A266">
        <f>COUNTIF($W$22:W266,1)</f>
        <v>0</v>
      </c>
      <c r="B266">
        <v>266</v>
      </c>
      <c r="C266" s="340" t="str">
        <f>IFERROR(Tabulka1[[#This Row],[KOD]],"")</f>
        <v>K200R</v>
      </c>
      <c r="W266" s="804" t="str">
        <f t="shared" si="8"/>
        <v/>
      </c>
      <c r="X266" s="154" t="str">
        <f t="shared" si="9"/>
        <v/>
      </c>
      <c r="Y266" s="341">
        <f>IF('General price list'!$AB268="",0,'General price list'!$AB268)</f>
        <v>0</v>
      </c>
      <c r="Z266" s="365" t="str">
        <f>IFERROR(X266*VLOOKUP(C266,'General price list'!C:I,7,FALSE),"")</f>
        <v/>
      </c>
      <c r="AA266" s="805" t="str">
        <f>IF(X266&lt;&gt;"",VLOOKUP(C266,'General price list'!C268:AN1241,MATCH("HM",Tabulka1[[#Headers],[KOD]:[NEQ]],0),FALSE),"")</f>
        <v/>
      </c>
    </row>
    <row r="267" spans="1:27">
      <c r="A267">
        <f>COUNTIF($W$22:W267,1)</f>
        <v>0</v>
      </c>
      <c r="B267">
        <v>267</v>
      </c>
      <c r="C267" s="340" t="str">
        <f>IFERROR(Tabulka1[[#This Row],[KOD]],"")</f>
        <v>K500R</v>
      </c>
      <c r="W267" s="804" t="str">
        <f t="shared" si="8"/>
        <v/>
      </c>
      <c r="X267" s="154" t="str">
        <f t="shared" si="9"/>
        <v/>
      </c>
      <c r="Y267" s="341">
        <f>IF('General price list'!$AB269="",0,'General price list'!$AB269)</f>
        <v>0</v>
      </c>
      <c r="Z267" s="365" t="str">
        <f>IFERROR(X267*VLOOKUP(C267,'General price list'!C:I,7,FALSE),"")</f>
        <v/>
      </c>
      <c r="AA267" s="805" t="str">
        <f>IF(X267&lt;&gt;"",VLOOKUP(C267,'General price list'!C269:AN1242,MATCH("HM",Tabulka1[[#Headers],[KOD]:[NEQ]],0),FALSE),"")</f>
        <v/>
      </c>
    </row>
    <row r="268" spans="1:27">
      <c r="A268">
        <f>COUNTIF($W$22:W268,1)</f>
        <v>0</v>
      </c>
      <c r="B268">
        <v>268</v>
      </c>
      <c r="C268" s="340" t="str">
        <f>IFERROR(Tabulka1[[#This Row],[KOD]],"")</f>
        <v>K1000R</v>
      </c>
      <c r="W268" s="804" t="str">
        <f t="shared" si="8"/>
        <v/>
      </c>
      <c r="X268" s="154" t="str">
        <f t="shared" si="9"/>
        <v/>
      </c>
      <c r="Y268" s="341">
        <f>IF('General price list'!$AB270="",0,'General price list'!$AB270)</f>
        <v>0</v>
      </c>
      <c r="Z268" s="365" t="str">
        <f>IFERROR(X268*VLOOKUP(C268,'General price list'!C:I,7,FALSE),"")</f>
        <v/>
      </c>
      <c r="AA268" s="805" t="str">
        <f>IF(X268&lt;&gt;"",VLOOKUP(C268,'General price list'!C270:AN1243,MATCH("HM",Tabulka1[[#Headers],[KOD]:[NEQ]],0),FALSE),"")</f>
        <v/>
      </c>
    </row>
    <row r="269" spans="1:27">
      <c r="A269">
        <f>COUNTIF($W$22:W269,1)</f>
        <v>0</v>
      </c>
      <c r="B269">
        <v>269</v>
      </c>
      <c r="C269" s="340" t="str">
        <f>IFERROR(Tabulka1[[#This Row],[KOD]],"")</f>
        <v>K1969R</v>
      </c>
      <c r="W269" s="804" t="str">
        <f t="shared" si="8"/>
        <v/>
      </c>
      <c r="X269" s="154" t="str">
        <f t="shared" si="9"/>
        <v/>
      </c>
      <c r="Y269" s="341">
        <f>IF('General price list'!$AB271="",0,'General price list'!$AB271)</f>
        <v>0</v>
      </c>
      <c r="Z269" s="365" t="str">
        <f>IFERROR(X269*VLOOKUP(C269,'General price list'!C:I,7,FALSE),"")</f>
        <v/>
      </c>
      <c r="AA269" s="805" t="str">
        <f>IF(X269&lt;&gt;"",VLOOKUP(C269,'General price list'!C271:AN1244,MATCH("HM",Tabulka1[[#Headers],[KOD]:[NEQ]],0),FALSE),"")</f>
        <v/>
      </c>
    </row>
    <row r="270" spans="1:27">
      <c r="A270">
        <f>COUNTIF($W$22:W270,1)</f>
        <v>0</v>
      </c>
      <c r="B270">
        <v>270</v>
      </c>
      <c r="C270" s="340" t="str">
        <f>IFERROR(Tabulka1[[#This Row],[KOD]],"")</f>
        <v>K10M</v>
      </c>
      <c r="W270" s="804" t="str">
        <f t="shared" si="8"/>
        <v/>
      </c>
      <c r="X270" s="154" t="str">
        <f t="shared" si="9"/>
        <v/>
      </c>
      <c r="Y270" s="341">
        <f>IF('General price list'!$AB272="",0,'General price list'!$AB272)</f>
        <v>0</v>
      </c>
      <c r="Z270" s="365" t="str">
        <f>IFERROR(X270*VLOOKUP(C270,'General price list'!C:I,7,FALSE),"")</f>
        <v/>
      </c>
      <c r="AA270" s="805" t="str">
        <f>IF(X270&lt;&gt;"",VLOOKUP(C270,'General price list'!C272:AN1245,MATCH("HM",Tabulka1[[#Headers],[KOD]:[NEQ]],0),FALSE),"")</f>
        <v/>
      </c>
    </row>
    <row r="271" spans="1:27">
      <c r="A271">
        <f>COUNTIF($W$22:W271,1)</f>
        <v>0</v>
      </c>
      <c r="B271">
        <v>271</v>
      </c>
      <c r="C271" s="340" t="str">
        <f>IFERROR(Tabulka1[[#This Row],[KOD]],"")</f>
        <v>DBB1E</v>
      </c>
      <c r="W271" s="804" t="str">
        <f t="shared" si="8"/>
        <v/>
      </c>
      <c r="X271" s="154" t="str">
        <f t="shared" si="9"/>
        <v/>
      </c>
      <c r="Y271" s="341">
        <f>IF('General price list'!$AB273="",0,'General price list'!$AB273)</f>
        <v>0</v>
      </c>
      <c r="Z271" s="365" t="str">
        <f>IFERROR(X271*VLOOKUP(C271,'General price list'!C:I,7,FALSE),"")</f>
        <v/>
      </c>
      <c r="AA271" s="805" t="str">
        <f>IF(X271&lt;&gt;"",VLOOKUP(C271,'General price list'!C273:AN1246,MATCH("HM",Tabulka1[[#Headers],[KOD]:[NEQ]],0),FALSE),"")</f>
        <v/>
      </c>
    </row>
    <row r="272" spans="1:27">
      <c r="A272">
        <f>COUNTIF($W$22:W272,1)</f>
        <v>0</v>
      </c>
      <c r="B272">
        <v>272</v>
      </c>
      <c r="C272" s="340">
        <f>IFERROR(Tabulka1[[#This Row],[KOD]],"")</f>
        <v>0</v>
      </c>
      <c r="W272" s="804" t="str">
        <f t="shared" si="8"/>
        <v/>
      </c>
      <c r="X272" s="154" t="str">
        <f t="shared" si="9"/>
        <v/>
      </c>
      <c r="Y272" s="341">
        <f>IF('General price list'!$AB274="",0,'General price list'!$AB274)</f>
        <v>0</v>
      </c>
      <c r="Z272" s="365" t="str">
        <f>IFERROR(X272*VLOOKUP(C272,'General price list'!C:I,7,FALSE),"")</f>
        <v/>
      </c>
      <c r="AA272" s="805" t="str">
        <f>IF(X272&lt;&gt;"",VLOOKUP(C272,'General price list'!C274:AN1247,MATCH("HM",Tabulka1[[#Headers],[KOD]:[NEQ]],0),FALSE),"")</f>
        <v/>
      </c>
    </row>
    <row r="273" spans="1:27">
      <c r="A273">
        <f>COUNTIF($W$22:W273,1)</f>
        <v>0</v>
      </c>
      <c r="B273">
        <v>273</v>
      </c>
      <c r="C273" s="340" t="str">
        <f>IFERROR(Tabulka1[[#This Row],[KOD]],"")</f>
        <v>RS1</v>
      </c>
      <c r="W273" s="804" t="str">
        <f t="shared" si="8"/>
        <v/>
      </c>
      <c r="X273" s="154" t="str">
        <f t="shared" si="9"/>
        <v/>
      </c>
      <c r="Y273" s="341">
        <f>IF('General price list'!$AB275="",0,'General price list'!$AB275)</f>
        <v>0</v>
      </c>
      <c r="Z273" s="365" t="str">
        <f>IFERROR(X273*VLOOKUP(C273,'General price list'!C:I,7,FALSE),"")</f>
        <v/>
      </c>
      <c r="AA273" s="805" t="str">
        <f>IF(X273&lt;&gt;"",VLOOKUP(C273,'General price list'!C275:AN1248,MATCH("HM",Tabulka1[[#Headers],[KOD]:[NEQ]],0),FALSE),"")</f>
        <v/>
      </c>
    </row>
    <row r="274" spans="1:27">
      <c r="A274">
        <f>COUNTIF($W$22:W274,1)</f>
        <v>0</v>
      </c>
      <c r="B274">
        <v>274</v>
      </c>
      <c r="C274" s="340" t="str">
        <f>IFERROR(Tabulka1[[#This Row],[KOD]],"")</f>
        <v>RS6P</v>
      </c>
      <c r="W274" s="804" t="str">
        <f t="shared" si="8"/>
        <v/>
      </c>
      <c r="X274" s="154" t="str">
        <f t="shared" si="9"/>
        <v/>
      </c>
      <c r="Y274" s="341">
        <f>IF('General price list'!$AB276="",0,'General price list'!$AB276)</f>
        <v>0</v>
      </c>
      <c r="Z274" s="365" t="str">
        <f>IFERROR(X274*VLOOKUP(C274,'General price list'!C:I,7,FALSE),"")</f>
        <v/>
      </c>
      <c r="AA274" s="805" t="str">
        <f>IF(X274&lt;&gt;"",VLOOKUP(C274,'General price list'!C276:AN1249,MATCH("HM",Tabulka1[[#Headers],[KOD]:[NEQ]],0),FALSE),"")</f>
        <v/>
      </c>
    </row>
    <row r="275" spans="1:27">
      <c r="A275">
        <f>COUNTIF($W$22:W275,1)</f>
        <v>0</v>
      </c>
      <c r="B275">
        <v>275</v>
      </c>
      <c r="C275" s="340" t="str">
        <f>IFERROR(Tabulka1[[#This Row],[KOD]],"")</f>
        <v>RS6O</v>
      </c>
      <c r="W275" s="804" t="str">
        <f t="shared" si="8"/>
        <v/>
      </c>
      <c r="X275" s="154" t="str">
        <f t="shared" si="9"/>
        <v/>
      </c>
      <c r="Y275" s="341">
        <f>IF('General price list'!$AB277="",0,'General price list'!$AB277)</f>
        <v>0</v>
      </c>
      <c r="Z275" s="365" t="str">
        <f>IFERROR(X275*VLOOKUP(C275,'General price list'!C:I,7,FALSE),"")</f>
        <v/>
      </c>
      <c r="AA275" s="805" t="str">
        <f>IF(X275&lt;&gt;"",VLOOKUP(C275,'General price list'!C277:AN1250,MATCH("HM",Tabulka1[[#Headers],[KOD]:[NEQ]],0),FALSE),"")</f>
        <v/>
      </c>
    </row>
    <row r="276" spans="1:27">
      <c r="A276">
        <f>COUNTIF($W$22:W276,1)</f>
        <v>0</v>
      </c>
      <c r="B276">
        <v>276</v>
      </c>
      <c r="C276" s="340" t="str">
        <f>IFERROR(Tabulka1[[#This Row],[KOD]],"")</f>
        <v>RS6S</v>
      </c>
      <c r="W276" s="804" t="str">
        <f t="shared" si="8"/>
        <v/>
      </c>
      <c r="X276" s="154" t="str">
        <f t="shared" si="9"/>
        <v/>
      </c>
      <c r="Y276" s="341">
        <f>IF('General price list'!$AB278="",0,'General price list'!$AB278)</f>
        <v>0</v>
      </c>
      <c r="Z276" s="365" t="str">
        <f>IFERROR(X276*VLOOKUP(C276,'General price list'!C:I,7,FALSE),"")</f>
        <v/>
      </c>
      <c r="AA276" s="805" t="str">
        <f>IF(X276&lt;&gt;"",VLOOKUP(C276,'General price list'!C278:AN1251,MATCH("HM",Tabulka1[[#Headers],[KOD]:[NEQ]],0),FALSE),"")</f>
        <v/>
      </c>
    </row>
    <row r="277" spans="1:27">
      <c r="A277">
        <f>COUNTIF($W$22:W277,1)</f>
        <v>0</v>
      </c>
      <c r="B277">
        <v>277</v>
      </c>
      <c r="C277" s="340" t="str">
        <f>IFERROR(Tabulka1[[#This Row],[KOD]],"")</f>
        <v>RS6SM</v>
      </c>
      <c r="W277" s="804" t="str">
        <f t="shared" si="8"/>
        <v/>
      </c>
      <c r="X277" s="154" t="str">
        <f t="shared" si="9"/>
        <v/>
      </c>
      <c r="Y277" s="341">
        <f>IF('General price list'!$AB279="",0,'General price list'!$AB279)</f>
        <v>0</v>
      </c>
      <c r="Z277" s="365" t="str">
        <f>IFERROR(X277*VLOOKUP(C277,'General price list'!C:I,7,FALSE),"")</f>
        <v/>
      </c>
      <c r="AA277" s="805" t="str">
        <f>IF(X277&lt;&gt;"",VLOOKUP(C277,'General price list'!C279:AN1252,MATCH("HM",Tabulka1[[#Headers],[KOD]:[NEQ]],0),FALSE),"")</f>
        <v/>
      </c>
    </row>
    <row r="278" spans="1:27">
      <c r="A278">
        <f>COUNTIF($W$22:W278,1)</f>
        <v>0</v>
      </c>
      <c r="B278">
        <v>278</v>
      </c>
      <c r="C278" s="340" t="str">
        <f>IFERROR(Tabulka1[[#This Row],[KOD]],"")</f>
        <v>R12T1</v>
      </c>
      <c r="W278" s="804" t="str">
        <f t="shared" si="8"/>
        <v/>
      </c>
      <c r="X278" s="154" t="str">
        <f t="shared" si="9"/>
        <v/>
      </c>
      <c r="Y278" s="341">
        <f>IF('General price list'!$AB280="",0,'General price list'!$AB280)</f>
        <v>0</v>
      </c>
      <c r="Z278" s="365" t="str">
        <f>IFERROR(X278*VLOOKUP(C278,'General price list'!C:I,7,FALSE),"")</f>
        <v/>
      </c>
      <c r="AA278" s="805" t="str">
        <f>IF(X278&lt;&gt;"",VLOOKUP(C278,'General price list'!C280:AN1253,MATCH("HM",Tabulka1[[#Headers],[KOD]:[NEQ]],0),FALSE),"")</f>
        <v/>
      </c>
    </row>
    <row r="279" spans="1:27">
      <c r="A279">
        <f>COUNTIF($W$22:W279,1)</f>
        <v>0</v>
      </c>
      <c r="B279">
        <v>279</v>
      </c>
      <c r="C279" s="340" t="str">
        <f>IFERROR(Tabulka1[[#This Row],[KOD]],"")</f>
        <v>R12T3</v>
      </c>
      <c r="W279" s="804" t="str">
        <f t="shared" si="8"/>
        <v/>
      </c>
      <c r="X279" s="154" t="str">
        <f t="shared" si="9"/>
        <v/>
      </c>
      <c r="Y279" s="341">
        <f>IF('General price list'!$AB281="",0,'General price list'!$AB281)</f>
        <v>0</v>
      </c>
      <c r="Z279" s="365" t="str">
        <f>IFERROR(X279*VLOOKUP(C279,'General price list'!C:I,7,FALSE),"")</f>
        <v/>
      </c>
      <c r="AA279" s="805" t="str">
        <f>IF(X279&lt;&gt;"",VLOOKUP(C279,'General price list'!C281:AN1254,MATCH("HM",Tabulka1[[#Headers],[KOD]:[NEQ]],0),FALSE),"")</f>
        <v/>
      </c>
    </row>
    <row r="280" spans="1:27">
      <c r="A280">
        <f>COUNTIF($W$22:W280,1)</f>
        <v>0</v>
      </c>
      <c r="B280">
        <v>280</v>
      </c>
      <c r="C280" s="340" t="str">
        <f>IFERROR(Tabulka1[[#This Row],[KOD]],"")</f>
        <v>RSD6</v>
      </c>
      <c r="W280" s="804" t="str">
        <f t="shared" ref="W280:W343" si="10">IF(Y280+1=1,"",1)</f>
        <v/>
      </c>
      <c r="X280" s="154" t="str">
        <f t="shared" ref="X280:X343" si="11">IF(Y280+1=1,"",Y280)</f>
        <v/>
      </c>
      <c r="Y280" s="341">
        <f>IF('General price list'!$AB282="",0,'General price list'!$AB282)</f>
        <v>0</v>
      </c>
      <c r="Z280" s="365" t="str">
        <f>IFERROR(X280*VLOOKUP(C280,'General price list'!C:I,7,FALSE),"")</f>
        <v/>
      </c>
      <c r="AA280" s="805" t="str">
        <f>IF(X280&lt;&gt;"",VLOOKUP(C280,'General price list'!C282:AN1255,MATCH("HM",Tabulka1[[#Headers],[KOD]:[NEQ]],0),FALSE),"")</f>
        <v/>
      </c>
    </row>
    <row r="281" spans="1:27">
      <c r="A281">
        <f>COUNTIF($W$22:W281,1)</f>
        <v>0</v>
      </c>
      <c r="B281">
        <v>281</v>
      </c>
      <c r="C281" s="340" t="str">
        <f>IFERROR(Tabulka1[[#This Row],[KOD]],"")</f>
        <v>RS6XS</v>
      </c>
      <c r="W281" s="804" t="str">
        <f t="shared" si="10"/>
        <v/>
      </c>
      <c r="X281" s="154" t="str">
        <f t="shared" si="11"/>
        <v/>
      </c>
      <c r="Y281" s="341">
        <f>IF('General price list'!$AB283="",0,'General price list'!$AB283)</f>
        <v>0</v>
      </c>
      <c r="Z281" s="365" t="str">
        <f>IFERROR(X281*VLOOKUP(C281,'General price list'!C:I,7,FALSE),"")</f>
        <v/>
      </c>
      <c r="AA281" s="805" t="str">
        <f>IF(X281&lt;&gt;"",VLOOKUP(C281,'General price list'!C283:AN1256,MATCH("HM",Tabulka1[[#Headers],[KOD]:[NEQ]],0),FALSE),"")</f>
        <v/>
      </c>
    </row>
    <row r="282" spans="1:27">
      <c r="A282">
        <f>COUNTIF($W$22:W282,1)</f>
        <v>0</v>
      </c>
      <c r="B282">
        <v>282</v>
      </c>
      <c r="C282" s="340" t="str">
        <f>IFERROR(Tabulka1[[#This Row],[KOD]],"")</f>
        <v>RS5DU</v>
      </c>
      <c r="W282" s="804" t="str">
        <f t="shared" si="10"/>
        <v/>
      </c>
      <c r="X282" s="154" t="str">
        <f t="shared" si="11"/>
        <v/>
      </c>
      <c r="Y282" s="341">
        <f>IF('General price list'!$AB284="",0,'General price list'!$AB284)</f>
        <v>0</v>
      </c>
      <c r="Z282" s="365" t="str">
        <f>IFERROR(X282*VLOOKUP(C282,'General price list'!C:I,7,FALSE),"")</f>
        <v/>
      </c>
      <c r="AA282" s="805" t="str">
        <f>IF(X282&lt;&gt;"",VLOOKUP(C282,'General price list'!C284:AN1257,MATCH("HM",Tabulka1[[#Headers],[KOD]:[NEQ]],0),FALSE),"")</f>
        <v/>
      </c>
    </row>
    <row r="283" spans="1:27">
      <c r="A283">
        <f>COUNTIF($W$22:W283,1)</f>
        <v>0</v>
      </c>
      <c r="B283">
        <v>283</v>
      </c>
      <c r="C283" s="340" t="str">
        <f>IFERROR(Tabulka1[[#This Row],[KOD]],"")</f>
        <v>HF24733RK</v>
      </c>
      <c r="W283" s="804" t="str">
        <f t="shared" si="10"/>
        <v/>
      </c>
      <c r="X283" s="154" t="str">
        <f t="shared" si="11"/>
        <v/>
      </c>
      <c r="Y283" s="341">
        <f>IF('General price list'!$AB285="",0,'General price list'!$AB285)</f>
        <v>0</v>
      </c>
      <c r="Z283" s="365" t="str">
        <f>IFERROR(X283*VLOOKUP(C283,'General price list'!C:I,7,FALSE),"")</f>
        <v/>
      </c>
      <c r="AA283" s="805" t="str">
        <f>IF(X283&lt;&gt;"",VLOOKUP(C283,'General price list'!C285:AN1258,MATCH("HM",Tabulka1[[#Headers],[KOD]:[NEQ]],0),FALSE),"")</f>
        <v/>
      </c>
    </row>
    <row r="284" spans="1:27">
      <c r="A284">
        <f>COUNTIF($W$22:W284,1)</f>
        <v>0</v>
      </c>
      <c r="B284">
        <v>284</v>
      </c>
      <c r="C284" s="340" t="str">
        <f>IFERROR(Tabulka1[[#This Row],[KOD]],"")</f>
        <v>RS4H14</v>
      </c>
      <c r="W284" s="804" t="str">
        <f t="shared" si="10"/>
        <v/>
      </c>
      <c r="X284" s="154" t="str">
        <f t="shared" si="11"/>
        <v/>
      </c>
      <c r="Y284" s="341">
        <f>IF('General price list'!$AB286="",0,'General price list'!$AB286)</f>
        <v>0</v>
      </c>
      <c r="Z284" s="365" t="str">
        <f>IFERROR(X284*VLOOKUP(C284,'General price list'!C:I,7,FALSE),"")</f>
        <v/>
      </c>
      <c r="AA284" s="805" t="str">
        <f>IF(X284&lt;&gt;"",VLOOKUP(C284,'General price list'!C286:AN1259,MATCH("HM",Tabulka1[[#Headers],[KOD]:[NEQ]],0),FALSE),"")</f>
        <v/>
      </c>
    </row>
    <row r="285" spans="1:27">
      <c r="A285">
        <f>COUNTIF($W$22:W285,1)</f>
        <v>0</v>
      </c>
      <c r="B285">
        <v>285</v>
      </c>
      <c r="C285" s="340" t="str">
        <f>IFERROR(Tabulka1[[#This Row],[KOD]],"")</f>
        <v>RS7MD14</v>
      </c>
      <c r="W285" s="804" t="str">
        <f t="shared" si="10"/>
        <v/>
      </c>
      <c r="X285" s="154" t="str">
        <f t="shared" si="11"/>
        <v/>
      </c>
      <c r="Y285" s="341">
        <f>IF('General price list'!$AB287="",0,'General price list'!$AB287)</f>
        <v>0</v>
      </c>
      <c r="Z285" s="365" t="str">
        <f>IFERROR(X285*VLOOKUP(C285,'General price list'!C:I,7,FALSE),"")</f>
        <v/>
      </c>
      <c r="AA285" s="805" t="str">
        <f>IF(X285&lt;&gt;"",VLOOKUP(C285,'General price list'!C287:AN1260,MATCH("HM",Tabulka1[[#Headers],[KOD]:[NEQ]],0),FALSE),"")</f>
        <v/>
      </c>
    </row>
    <row r="286" spans="1:27">
      <c r="A286">
        <f>COUNTIF($W$22:W286,1)</f>
        <v>0</v>
      </c>
      <c r="B286">
        <v>286</v>
      </c>
      <c r="C286" s="340" t="str">
        <f>IFERROR(Tabulka1[[#This Row],[KOD]],"")</f>
        <v>RS7T14</v>
      </c>
      <c r="W286" s="804" t="str">
        <f t="shared" si="10"/>
        <v/>
      </c>
      <c r="X286" s="154" t="str">
        <f t="shared" si="11"/>
        <v/>
      </c>
      <c r="Y286" s="341">
        <f>IF('General price list'!$AB288="",0,'General price list'!$AB288)</f>
        <v>0</v>
      </c>
      <c r="Z286" s="365" t="str">
        <f>IFERROR(X286*VLOOKUP(C286,'General price list'!C:I,7,FALSE),"")</f>
        <v/>
      </c>
      <c r="AA286" s="805" t="str">
        <f>IF(X286&lt;&gt;"",VLOOKUP(C286,'General price list'!C288:AN1261,MATCH("HM",Tabulka1[[#Headers],[KOD]:[NEQ]],0),FALSE),"")</f>
        <v/>
      </c>
    </row>
    <row r="287" spans="1:27">
      <c r="A287">
        <f>COUNTIF($W$22:W287,1)</f>
        <v>0</v>
      </c>
      <c r="B287">
        <v>287</v>
      </c>
      <c r="C287" s="340" t="str">
        <f>IFERROR(Tabulka1[[#This Row],[KOD]],"")</f>
        <v>RS9T14</v>
      </c>
      <c r="W287" s="804" t="str">
        <f t="shared" si="10"/>
        <v/>
      </c>
      <c r="X287" s="154" t="str">
        <f t="shared" si="11"/>
        <v/>
      </c>
      <c r="Y287" s="341">
        <f>IF('General price list'!$AB289="",0,'General price list'!$AB289)</f>
        <v>0</v>
      </c>
      <c r="Z287" s="365" t="str">
        <f>IFERROR(X287*VLOOKUP(C287,'General price list'!C:I,7,FALSE),"")</f>
        <v/>
      </c>
      <c r="AA287" s="805" t="str">
        <f>IF(X287&lt;&gt;"",VLOOKUP(C287,'General price list'!C289:AN1262,MATCH("HM",Tabulka1[[#Headers],[KOD]:[NEQ]],0),FALSE),"")</f>
        <v/>
      </c>
    </row>
    <row r="288" spans="1:27">
      <c r="A288">
        <f>COUNTIF($W$22:W288,1)</f>
        <v>0</v>
      </c>
      <c r="B288">
        <v>288</v>
      </c>
      <c r="C288" s="340" t="str">
        <f>IFERROR(Tabulka1[[#This Row],[KOD]],"")</f>
        <v>RS9P14</v>
      </c>
      <c r="W288" s="804" t="str">
        <f t="shared" si="10"/>
        <v/>
      </c>
      <c r="X288" s="154" t="str">
        <f t="shared" si="11"/>
        <v/>
      </c>
      <c r="Y288" s="341">
        <f>IF('General price list'!$AB290="",0,'General price list'!$AB290)</f>
        <v>0</v>
      </c>
      <c r="Z288" s="365" t="str">
        <f>IFERROR(X288*VLOOKUP(C288,'General price list'!C:I,7,FALSE),"")</f>
        <v/>
      </c>
      <c r="AA288" s="805" t="str">
        <f>IF(X288&lt;&gt;"",VLOOKUP(C288,'General price list'!C290:AN1263,MATCH("HM",Tabulka1[[#Headers],[KOD]:[NEQ]],0),FALSE),"")</f>
        <v/>
      </c>
    </row>
    <row r="289" spans="1:27">
      <c r="A289">
        <f>COUNTIF($W$22:W289,1)</f>
        <v>0</v>
      </c>
      <c r="B289">
        <v>289</v>
      </c>
      <c r="C289" s="340" t="str">
        <f>IFERROR(Tabulka1[[#This Row],[KOD]],"")</f>
        <v>RS11HF2</v>
      </c>
      <c r="W289" s="804" t="str">
        <f t="shared" si="10"/>
        <v/>
      </c>
      <c r="X289" s="154" t="str">
        <f t="shared" si="11"/>
        <v/>
      </c>
      <c r="Y289" s="341">
        <f>IF('General price list'!$AB291="",0,'General price list'!$AB291)</f>
        <v>0</v>
      </c>
      <c r="Z289" s="365" t="str">
        <f>IFERROR(X289*VLOOKUP(C289,'General price list'!C:I,7,FALSE),"")</f>
        <v/>
      </c>
      <c r="AA289" s="805" t="str">
        <f>IF(X289&lt;&gt;"",VLOOKUP(C289,'General price list'!C291:AN1264,MATCH("HM",Tabulka1[[#Headers],[KOD]:[NEQ]],0),FALSE),"")</f>
        <v/>
      </c>
    </row>
    <row r="290" spans="1:27">
      <c r="A290">
        <f>COUNTIF($W$22:W290,1)</f>
        <v>0</v>
      </c>
      <c r="B290">
        <v>290</v>
      </c>
      <c r="C290" s="340" t="str">
        <f>IFERROR(Tabulka1[[#This Row],[KOD]],"")</f>
        <v>SP3CF2</v>
      </c>
      <c r="W290" s="804" t="str">
        <f t="shared" si="10"/>
        <v/>
      </c>
      <c r="X290" s="154" t="str">
        <f t="shared" si="11"/>
        <v/>
      </c>
      <c r="Y290" s="341">
        <f>IF('General price list'!$AB292="",0,'General price list'!$AB292)</f>
        <v>0</v>
      </c>
      <c r="Z290" s="365" t="str">
        <f>IFERROR(X290*VLOOKUP(C290,'General price list'!C:I,7,FALSE),"")</f>
        <v/>
      </c>
      <c r="AA290" s="805" t="str">
        <f>IF(X290&lt;&gt;"",VLOOKUP(C290,'General price list'!C292:AN1265,MATCH("HM",Tabulka1[[#Headers],[KOD]:[NEQ]],0),FALSE),"")</f>
        <v/>
      </c>
    </row>
    <row r="291" spans="1:27">
      <c r="A291">
        <f>COUNTIF($W$22:W291,1)</f>
        <v>0</v>
      </c>
      <c r="B291">
        <v>291</v>
      </c>
      <c r="C291" s="340" t="str">
        <f>IFERROR(Tabulka1[[#This Row],[KOD]],"")</f>
        <v>RS18TF2</v>
      </c>
      <c r="W291" s="804" t="str">
        <f t="shared" si="10"/>
        <v/>
      </c>
      <c r="X291" s="154" t="str">
        <f t="shared" si="11"/>
        <v/>
      </c>
      <c r="Y291" s="341">
        <f>IF('General price list'!$AB293="",0,'General price list'!$AB293)</f>
        <v>0</v>
      </c>
      <c r="Z291" s="365" t="str">
        <f>IFERROR(X291*VLOOKUP(C291,'General price list'!C:I,7,FALSE),"")</f>
        <v/>
      </c>
      <c r="AA291" s="805" t="str">
        <f>IF(X291&lt;&gt;"",VLOOKUP(C291,'General price list'!C293:AN1266,MATCH("HM",Tabulka1[[#Headers],[KOD]:[NEQ]],0),FALSE),"")</f>
        <v/>
      </c>
    </row>
    <row r="292" spans="1:27">
      <c r="A292">
        <f>COUNTIF($W$22:W292,1)</f>
        <v>0</v>
      </c>
      <c r="B292">
        <v>292</v>
      </c>
      <c r="C292" s="340" t="str">
        <f>IFERROR(Tabulka1[[#This Row],[KOD]],"")</f>
        <v>RS18SF2</v>
      </c>
      <c r="W292" s="804" t="str">
        <f t="shared" si="10"/>
        <v/>
      </c>
      <c r="X292" s="154" t="str">
        <f t="shared" si="11"/>
        <v/>
      </c>
      <c r="Y292" s="341">
        <f>IF('General price list'!$AB294="",0,'General price list'!$AB294)</f>
        <v>0</v>
      </c>
      <c r="Z292" s="365" t="str">
        <f>IFERROR(X292*VLOOKUP(C292,'General price list'!C:I,7,FALSE),"")</f>
        <v/>
      </c>
      <c r="AA292" s="805" t="str">
        <f>IF(X292&lt;&gt;"",VLOOKUP(C292,'General price list'!C294:AN1267,MATCH("HM",Tabulka1[[#Headers],[KOD]:[NEQ]],0),FALSE),"")</f>
        <v/>
      </c>
    </row>
    <row r="293" spans="1:27">
      <c r="A293">
        <f>COUNTIF($W$22:W293,1)</f>
        <v>0</v>
      </c>
      <c r="B293">
        <v>293</v>
      </c>
      <c r="C293" s="340" t="str">
        <f>IFERROR(Tabulka1[[#This Row],[KOD]],"")</f>
        <v>RS21Z14</v>
      </c>
      <c r="W293" s="804" t="str">
        <f t="shared" si="10"/>
        <v/>
      </c>
      <c r="X293" s="154" t="str">
        <f t="shared" si="11"/>
        <v/>
      </c>
      <c r="Y293" s="341">
        <f>IF('General price list'!$AB295="",0,'General price list'!$AB295)</f>
        <v>0</v>
      </c>
      <c r="Z293" s="365" t="str">
        <f>IFERROR(X293*VLOOKUP(C293,'General price list'!C:I,7,FALSE),"")</f>
        <v/>
      </c>
      <c r="AA293" s="805" t="str">
        <f>IF(X293&lt;&gt;"",VLOOKUP(C293,'General price list'!C295:AN1268,MATCH("HM",Tabulka1[[#Headers],[KOD]:[NEQ]],0),FALSE),"")</f>
        <v/>
      </c>
    </row>
    <row r="294" spans="1:27">
      <c r="A294">
        <f>COUNTIF($W$22:W294,1)</f>
        <v>0</v>
      </c>
      <c r="B294">
        <v>294</v>
      </c>
      <c r="C294" s="340" t="str">
        <f>IFERROR(Tabulka1[[#This Row],[KOD]],"")</f>
        <v>RS33R14</v>
      </c>
      <c r="W294" s="804" t="str">
        <f t="shared" si="10"/>
        <v/>
      </c>
      <c r="X294" s="154" t="str">
        <f t="shared" si="11"/>
        <v/>
      </c>
      <c r="Y294" s="341">
        <f>IF('General price list'!$AB296="",0,'General price list'!$AB296)</f>
        <v>0</v>
      </c>
      <c r="Z294" s="365" t="str">
        <f>IFERROR(X294*VLOOKUP(C294,'General price list'!C:I,7,FALSE),"")</f>
        <v/>
      </c>
      <c r="AA294" s="805" t="str">
        <f>IF(X294&lt;&gt;"",VLOOKUP(C294,'General price list'!C296:AN1269,MATCH("HM",Tabulka1[[#Headers],[KOD]:[NEQ]],0),FALSE),"")</f>
        <v/>
      </c>
    </row>
    <row r="295" spans="1:27">
      <c r="A295">
        <f>COUNTIF($W$22:W295,1)</f>
        <v>0</v>
      </c>
      <c r="B295">
        <v>295</v>
      </c>
      <c r="C295" s="340" t="str">
        <f>IFERROR(Tabulka1[[#This Row],[KOD]],"")</f>
        <v>RSSF2</v>
      </c>
      <c r="W295" s="804" t="str">
        <f t="shared" si="10"/>
        <v/>
      </c>
      <c r="X295" s="154" t="str">
        <f t="shared" si="11"/>
        <v/>
      </c>
      <c r="Y295" s="341">
        <f>IF('General price list'!$AB297="",0,'General price list'!$AB297)</f>
        <v>0</v>
      </c>
      <c r="Z295" s="365" t="str">
        <f>IFERROR(X295*VLOOKUP(C295,'General price list'!C:I,7,FALSE),"")</f>
        <v/>
      </c>
      <c r="AA295" s="805" t="str">
        <f>IF(X295&lt;&gt;"",VLOOKUP(C295,'General price list'!C297:AN1270,MATCH("HM",Tabulka1[[#Headers],[KOD]:[NEQ]],0),FALSE),"")</f>
        <v/>
      </c>
    </row>
    <row r="296" spans="1:27">
      <c r="A296">
        <f>COUNTIF($W$22:W296,1)</f>
        <v>0</v>
      </c>
      <c r="B296">
        <v>296</v>
      </c>
      <c r="C296" s="340" t="str">
        <f>IFERROR(Tabulka1[[#This Row],[KOD]],"")</f>
        <v>RSS75</v>
      </c>
      <c r="W296" s="804" t="str">
        <f t="shared" si="10"/>
        <v/>
      </c>
      <c r="X296" s="154" t="str">
        <f t="shared" si="11"/>
        <v/>
      </c>
      <c r="Y296" s="341">
        <f>IF('General price list'!$AB298="",0,'General price list'!$AB298)</f>
        <v>0</v>
      </c>
      <c r="Z296" s="365" t="str">
        <f>IFERROR(X296*VLOOKUP(C296,'General price list'!C:I,7,FALSE),"")</f>
        <v/>
      </c>
      <c r="AA296" s="805" t="str">
        <f>IF(X296&lt;&gt;"",VLOOKUP(C296,'General price list'!C298:AN1271,MATCH("HM",Tabulka1[[#Headers],[KOD]:[NEQ]],0),FALSE),"")</f>
        <v/>
      </c>
    </row>
    <row r="297" spans="1:27">
      <c r="A297">
        <f>COUNTIF($W$22:W297,1)</f>
        <v>0</v>
      </c>
      <c r="B297">
        <v>297</v>
      </c>
      <c r="C297" s="340">
        <f>IFERROR(Tabulka1[[#This Row],[KOD]],"")</f>
        <v>0</v>
      </c>
      <c r="W297" s="804" t="str">
        <f t="shared" si="10"/>
        <v/>
      </c>
      <c r="X297" s="154" t="str">
        <f t="shared" si="11"/>
        <v/>
      </c>
      <c r="Y297" s="341">
        <f>IF('General price list'!$AB299="",0,'General price list'!$AB299)</f>
        <v>0</v>
      </c>
      <c r="Z297" s="365" t="str">
        <f>IFERROR(X297*VLOOKUP(C297,'General price list'!C:I,7,FALSE),"")</f>
        <v/>
      </c>
      <c r="AA297" s="805" t="str">
        <f>IF(X297&lt;&gt;"",VLOOKUP(C297,'General price list'!C299:AN1272,MATCH("HM",Tabulka1[[#Headers],[KOD]:[NEQ]],0),FALSE),"")</f>
        <v/>
      </c>
    </row>
    <row r="298" spans="1:27">
      <c r="A298">
        <f>COUNTIF($W$22:W298,1)</f>
        <v>0</v>
      </c>
      <c r="B298">
        <v>298</v>
      </c>
      <c r="C298" s="340" t="str">
        <f>IFERROR(Tabulka1[[#This Row],[KOD]],"")</f>
        <v>RS4D</v>
      </c>
      <c r="W298" s="804" t="str">
        <f t="shared" si="10"/>
        <v/>
      </c>
      <c r="X298" s="154" t="str">
        <f t="shared" si="11"/>
        <v/>
      </c>
      <c r="Y298" s="341">
        <f>IF('General price list'!$AB300="",0,'General price list'!$AB300)</f>
        <v>0</v>
      </c>
      <c r="Z298" s="365" t="str">
        <f>IFERROR(X298*VLOOKUP(C298,'General price list'!C:I,7,FALSE),"")</f>
        <v/>
      </c>
      <c r="AA298" s="805" t="str">
        <f>IF(X298&lt;&gt;"",VLOOKUP(C298,'General price list'!C300:AN1273,MATCH("HM",Tabulka1[[#Headers],[KOD]:[NEQ]],0),FALSE),"")</f>
        <v/>
      </c>
    </row>
    <row r="299" spans="1:27">
      <c r="A299">
        <f>COUNTIF($W$22:W299,1)</f>
        <v>0</v>
      </c>
      <c r="B299">
        <v>299</v>
      </c>
      <c r="C299" s="340" t="str">
        <f>IFERROR(Tabulka1[[#This Row],[KOD]],"")</f>
        <v>SP3C</v>
      </c>
      <c r="W299" s="804" t="str">
        <f t="shared" si="10"/>
        <v/>
      </c>
      <c r="X299" s="154" t="str">
        <f t="shared" si="11"/>
        <v/>
      </c>
      <c r="Y299" s="341">
        <f>IF('General price list'!$AB301="",0,'General price list'!$AB301)</f>
        <v>0</v>
      </c>
      <c r="Z299" s="365" t="str">
        <f>IFERROR(X299*VLOOKUP(C299,'General price list'!C:I,7,FALSE),"")</f>
        <v/>
      </c>
      <c r="AA299" s="805" t="str">
        <f>IF(X299&lt;&gt;"",VLOOKUP(C299,'General price list'!C301:AN1274,MATCH("HM",Tabulka1[[#Headers],[KOD]:[NEQ]],0),FALSE),"")</f>
        <v/>
      </c>
    </row>
    <row r="300" spans="1:27">
      <c r="A300">
        <f>COUNTIF($W$22:W300,1)</f>
        <v>0</v>
      </c>
      <c r="B300">
        <v>300</v>
      </c>
      <c r="C300" s="340" t="str">
        <f>IFERROR(Tabulka1[[#This Row],[KOD]],"")</f>
        <v>RS18T</v>
      </c>
      <c r="W300" s="804" t="str">
        <f t="shared" si="10"/>
        <v/>
      </c>
      <c r="X300" s="154" t="str">
        <f t="shared" si="11"/>
        <v/>
      </c>
      <c r="Y300" s="341">
        <f>IF('General price list'!$AB302="",0,'General price list'!$AB302)</f>
        <v>0</v>
      </c>
      <c r="Z300" s="365" t="str">
        <f>IFERROR(X300*VLOOKUP(C300,'General price list'!C:I,7,FALSE),"")</f>
        <v/>
      </c>
      <c r="AA300" s="805" t="str">
        <f>IF(X300&lt;&gt;"",VLOOKUP(C300,'General price list'!C302:AN1275,MATCH("HM",Tabulka1[[#Headers],[KOD]:[NEQ]],0),FALSE),"")</f>
        <v/>
      </c>
    </row>
    <row r="301" spans="1:27">
      <c r="A301">
        <f>COUNTIF($W$22:W301,1)</f>
        <v>0</v>
      </c>
      <c r="B301">
        <v>301</v>
      </c>
      <c r="C301" s="340" t="str">
        <f>IFERROR(Tabulka1[[#This Row],[KOD]],"")</f>
        <v>RS18S</v>
      </c>
      <c r="W301" s="804" t="str">
        <f t="shared" si="10"/>
        <v/>
      </c>
      <c r="X301" s="154" t="str">
        <f t="shared" si="11"/>
        <v/>
      </c>
      <c r="Y301" s="341">
        <f>IF('General price list'!$AB303="",0,'General price list'!$AB303)</f>
        <v>0</v>
      </c>
      <c r="Z301" s="365" t="str">
        <f>IFERROR(X301*VLOOKUP(C301,'General price list'!C:I,7,FALSE),"")</f>
        <v/>
      </c>
      <c r="AA301" s="805" t="str">
        <f>IF(X301&lt;&gt;"",VLOOKUP(C301,'General price list'!C303:AN1276,MATCH("HM",Tabulka1[[#Headers],[KOD]:[NEQ]],0),FALSE),"")</f>
        <v/>
      </c>
    </row>
    <row r="302" spans="1:27">
      <c r="A302">
        <f>COUNTIF($W$22:W302,1)</f>
        <v>0</v>
      </c>
      <c r="B302">
        <v>302</v>
      </c>
      <c r="C302" s="340" t="str">
        <f>IFERROR(Tabulka1[[#This Row],[KOD]],"")</f>
        <v>RS33R</v>
      </c>
      <c r="W302" s="804" t="str">
        <f t="shared" si="10"/>
        <v/>
      </c>
      <c r="X302" s="154" t="str">
        <f t="shared" si="11"/>
        <v/>
      </c>
      <c r="Y302" s="341">
        <f>IF('General price list'!$AB304="",0,'General price list'!$AB304)</f>
        <v>0</v>
      </c>
      <c r="Z302" s="365" t="str">
        <f>IFERROR(X302*VLOOKUP(C302,'General price list'!C:I,7,FALSE),"")</f>
        <v/>
      </c>
      <c r="AA302" s="805" t="str">
        <f>IF(X302&lt;&gt;"",VLOOKUP(C302,'General price list'!C304:AN1277,MATCH("HM",Tabulka1[[#Headers],[KOD]:[NEQ]],0),FALSE),"")</f>
        <v/>
      </c>
    </row>
    <row r="303" spans="1:27">
      <c r="A303">
        <f>COUNTIF($W$22:W303,1)</f>
        <v>0</v>
      </c>
      <c r="B303">
        <v>303</v>
      </c>
      <c r="C303" s="340" t="str">
        <f>IFERROR(Tabulka1[[#This Row],[KOD]],"")</f>
        <v>RSS100</v>
      </c>
      <c r="W303" s="804" t="str">
        <f t="shared" si="10"/>
        <v/>
      </c>
      <c r="X303" s="154" t="str">
        <f t="shared" si="11"/>
        <v/>
      </c>
      <c r="Y303" s="341">
        <f>IF('General price list'!$AB305="",0,'General price list'!$AB305)</f>
        <v>0</v>
      </c>
      <c r="Z303" s="365" t="str">
        <f>IFERROR(X303*VLOOKUP(C303,'General price list'!C:I,7,FALSE),"")</f>
        <v/>
      </c>
      <c r="AA303" s="805" t="str">
        <f>IF(X303&lt;&gt;"",VLOOKUP(C303,'General price list'!C305:AN1278,MATCH("HM",Tabulka1[[#Headers],[KOD]:[NEQ]],0),FALSE),"")</f>
        <v/>
      </c>
    </row>
    <row r="304" spans="1:27">
      <c r="A304">
        <f>COUNTIF($W$22:W304,1)</f>
        <v>0</v>
      </c>
      <c r="B304">
        <v>304</v>
      </c>
      <c r="C304" s="340" t="str">
        <f>IFERROR(Tabulka1[[#This Row],[KOD]],"")</f>
        <v>R170B</v>
      </c>
      <c r="W304" s="804" t="str">
        <f t="shared" si="10"/>
        <v/>
      </c>
      <c r="X304" s="154" t="str">
        <f t="shared" si="11"/>
        <v/>
      </c>
      <c r="Y304" s="341">
        <f>IF('General price list'!$AB306="",0,'General price list'!$AB306)</f>
        <v>0</v>
      </c>
      <c r="Z304" s="365" t="str">
        <f>IFERROR(X304*VLOOKUP(C304,'General price list'!C:I,7,FALSE),"")</f>
        <v/>
      </c>
      <c r="AA304" s="805" t="str">
        <f>IF(X304&lt;&gt;"",VLOOKUP(C304,'General price list'!C306:AN1279,MATCH("HM",Tabulka1[[#Headers],[KOD]:[NEQ]],0),FALSE),"")</f>
        <v/>
      </c>
    </row>
    <row r="305" spans="1:27">
      <c r="A305">
        <f>COUNTIF($W$22:W305,1)</f>
        <v>0</v>
      </c>
      <c r="B305">
        <v>305</v>
      </c>
      <c r="C305" s="340" t="str">
        <f>IFERROR(Tabulka1[[#This Row],[KOD]],"")</f>
        <v>R170X</v>
      </c>
      <c r="W305" s="804" t="str">
        <f t="shared" si="10"/>
        <v/>
      </c>
      <c r="X305" s="154" t="str">
        <f t="shared" si="11"/>
        <v/>
      </c>
      <c r="Y305" s="341">
        <f>IF('General price list'!$AB307="",0,'General price list'!$AB307)</f>
        <v>0</v>
      </c>
      <c r="Z305" s="365" t="str">
        <f>IFERROR(X305*VLOOKUP(C305,'General price list'!C:I,7,FALSE),"")</f>
        <v/>
      </c>
      <c r="AA305" s="805" t="str">
        <f>IF(X305&lt;&gt;"",VLOOKUP(C305,'General price list'!C307:AN1280,MATCH("HM",Tabulka1[[#Headers],[KOD]:[NEQ]],0),FALSE),"")</f>
        <v/>
      </c>
    </row>
    <row r="306" spans="1:27">
      <c r="A306">
        <f>COUNTIF($W$22:W306,1)</f>
        <v>0</v>
      </c>
      <c r="B306">
        <v>306</v>
      </c>
      <c r="C306" s="340" t="str">
        <f>IFERROR(Tabulka1[[#This Row],[KOD]],"")</f>
        <v>R170M</v>
      </c>
      <c r="W306" s="804" t="str">
        <f t="shared" si="10"/>
        <v/>
      </c>
      <c r="X306" s="154" t="str">
        <f t="shared" si="11"/>
        <v/>
      </c>
      <c r="Y306" s="341">
        <f>IF('General price list'!$AB308="",0,'General price list'!$AB308)</f>
        <v>0</v>
      </c>
      <c r="Z306" s="365" t="str">
        <f>IFERROR(X306*VLOOKUP(C306,'General price list'!C:I,7,FALSE),"")</f>
        <v/>
      </c>
      <c r="AA306" s="805" t="str">
        <f>IF(X306&lt;&gt;"",VLOOKUP(C306,'General price list'!C308:AN1281,MATCH("HM",Tabulka1[[#Headers],[KOD]:[NEQ]],0),FALSE),"")</f>
        <v/>
      </c>
    </row>
    <row r="307" spans="1:27">
      <c r="A307">
        <f>COUNTIF($W$22:W307,1)</f>
        <v>0</v>
      </c>
      <c r="B307">
        <v>307</v>
      </c>
      <c r="C307" s="340" t="str">
        <f>IFERROR(Tabulka1[[#This Row],[KOD]],"")</f>
        <v>RSSF3</v>
      </c>
      <c r="W307" s="804" t="str">
        <f t="shared" si="10"/>
        <v/>
      </c>
      <c r="X307" s="154" t="str">
        <f t="shared" si="11"/>
        <v/>
      </c>
      <c r="Y307" s="341">
        <f>IF('General price list'!$AB309="",0,'General price list'!$AB309)</f>
        <v>0</v>
      </c>
      <c r="Z307" s="365" t="str">
        <f>IFERROR(X307*VLOOKUP(C307,'General price list'!C:I,7,FALSE),"")</f>
        <v/>
      </c>
      <c r="AA307" s="805" t="str">
        <f>IF(X307&lt;&gt;"",VLOOKUP(C307,'General price list'!C309:AN1282,MATCH("HM",Tabulka1[[#Headers],[KOD]:[NEQ]],0),FALSE),"")</f>
        <v/>
      </c>
    </row>
    <row r="308" spans="1:27">
      <c r="A308">
        <f>COUNTIF($W$22:W308,1)</f>
        <v>0</v>
      </c>
      <c r="B308">
        <v>308</v>
      </c>
      <c r="C308" s="340">
        <f>IFERROR(Tabulka1[[#This Row],[KOD]],"")</f>
        <v>0</v>
      </c>
      <c r="W308" s="804" t="str">
        <f t="shared" si="10"/>
        <v/>
      </c>
      <c r="X308" s="154" t="str">
        <f t="shared" si="11"/>
        <v/>
      </c>
      <c r="Y308" s="341">
        <f>IF('General price list'!$AB310="",0,'General price list'!$AB310)</f>
        <v>0</v>
      </c>
      <c r="Z308" s="365" t="str">
        <f>IFERROR(X308*VLOOKUP(C308,'General price list'!C:I,7,FALSE),"")</f>
        <v/>
      </c>
      <c r="AA308" s="805" t="str">
        <f>IF(X308&lt;&gt;"",VLOOKUP(C308,'General price list'!C310:AN1283,MATCH("HM",Tabulka1[[#Headers],[KOD]:[NEQ]],0),FALSE),"")</f>
        <v/>
      </c>
    </row>
    <row r="309" spans="1:27">
      <c r="A309">
        <f>COUNTIF($W$22:W309,1)</f>
        <v>0</v>
      </c>
      <c r="B309">
        <v>309</v>
      </c>
      <c r="C309" s="340" t="str">
        <f>IFERROR(Tabulka1[[#This Row],[KOD]],"")</f>
        <v>TIDB1L</v>
      </c>
      <c r="W309" s="804" t="str">
        <f t="shared" si="10"/>
        <v/>
      </c>
      <c r="X309" s="154" t="str">
        <f t="shared" si="11"/>
        <v/>
      </c>
      <c r="Y309" s="341">
        <f>IF('General price list'!$AB311="",0,'General price list'!$AB311)</f>
        <v>0</v>
      </c>
      <c r="Z309" s="365" t="str">
        <f>IFERROR(X309*VLOOKUP(C309,'General price list'!C:I,7,FALSE),"")</f>
        <v/>
      </c>
      <c r="AA309" s="805" t="str">
        <f>IF(X309&lt;&gt;"",VLOOKUP(C309,'General price list'!C311:AN1284,MATCH("HM",Tabulka1[[#Headers],[KOD]:[NEQ]],0),FALSE),"")</f>
        <v/>
      </c>
    </row>
    <row r="310" spans="1:27">
      <c r="A310">
        <f>COUNTIF($W$22:W310,1)</f>
        <v>0</v>
      </c>
      <c r="B310">
        <v>310</v>
      </c>
      <c r="C310" s="340" t="str">
        <f>IFERROR(Tabulka1[[#This Row],[KOD]],"")</f>
        <v>TPD1L</v>
      </c>
      <c r="W310" s="804" t="str">
        <f t="shared" si="10"/>
        <v/>
      </c>
      <c r="X310" s="154" t="str">
        <f t="shared" si="11"/>
        <v/>
      </c>
      <c r="Y310" s="341">
        <f>IF('General price list'!$AB312="",0,'General price list'!$AB312)</f>
        <v>0</v>
      </c>
      <c r="Z310" s="365" t="str">
        <f>IFERROR(X310*VLOOKUP(C310,'General price list'!C:I,7,FALSE),"")</f>
        <v/>
      </c>
      <c r="AA310" s="805" t="str">
        <f>IF(X310&lt;&gt;"",VLOOKUP(C310,'General price list'!C312:AN1285,MATCH("HM",Tabulka1[[#Headers],[KOD]:[NEQ]],0),FALSE),"")</f>
        <v/>
      </c>
    </row>
    <row r="311" spans="1:27">
      <c r="A311">
        <f>COUNTIF($W$22:W311,1)</f>
        <v>0</v>
      </c>
      <c r="B311">
        <v>311</v>
      </c>
      <c r="C311" s="340" t="str">
        <f>IFERROR(Tabulka1[[#This Row],[KOD]],"")</f>
        <v>TPD1XL</v>
      </c>
      <c r="W311" s="804" t="str">
        <f t="shared" si="10"/>
        <v/>
      </c>
      <c r="X311" s="154" t="str">
        <f t="shared" si="11"/>
        <v/>
      </c>
      <c r="Y311" s="341">
        <f>IF('General price list'!$AB313="",0,'General price list'!$AB313)</f>
        <v>0</v>
      </c>
      <c r="Z311" s="365" t="str">
        <f>IFERROR(X311*VLOOKUP(C311,'General price list'!C:I,7,FALSE),"")</f>
        <v/>
      </c>
      <c r="AA311" s="805" t="str">
        <f>IF(X311&lt;&gt;"",VLOOKUP(C311,'General price list'!C313:AN1286,MATCH("HM",Tabulka1[[#Headers],[KOD]:[NEQ]],0),FALSE),"")</f>
        <v/>
      </c>
    </row>
    <row r="312" spans="1:27">
      <c r="A312">
        <f>COUNTIF($W$22:W312,1)</f>
        <v>0</v>
      </c>
      <c r="B312">
        <v>312</v>
      </c>
      <c r="C312" s="340" t="str">
        <f>IFERROR(Tabulka1[[#This Row],[KOD]],"")</f>
        <v>BD1XXL</v>
      </c>
      <c r="W312" s="804" t="str">
        <f t="shared" si="10"/>
        <v/>
      </c>
      <c r="X312" s="154" t="str">
        <f t="shared" si="11"/>
        <v/>
      </c>
      <c r="Y312" s="341">
        <f>IF('General price list'!$AB314="",0,'General price list'!$AB314)</f>
        <v>0</v>
      </c>
      <c r="Z312" s="365" t="str">
        <f>IFERROR(X312*VLOOKUP(C312,'General price list'!C:I,7,FALSE),"")</f>
        <v/>
      </c>
      <c r="AA312" s="805" t="str">
        <f>IF(X312&lt;&gt;"",VLOOKUP(C312,'General price list'!C314:AN1287,MATCH("HM",Tabulka1[[#Headers],[KOD]:[NEQ]],0),FALSE),"")</f>
        <v/>
      </c>
    </row>
    <row r="313" spans="1:27">
      <c r="A313">
        <f>COUNTIF($W$22:W313,1)</f>
        <v>0</v>
      </c>
      <c r="B313">
        <v>313</v>
      </c>
      <c r="C313" s="340">
        <f>IFERROR(Tabulka1[[#This Row],[KOD]],"")</f>
        <v>0</v>
      </c>
      <c r="W313" s="804" t="str">
        <f t="shared" si="10"/>
        <v/>
      </c>
      <c r="X313" s="154" t="str">
        <f t="shared" si="11"/>
        <v/>
      </c>
      <c r="Y313" s="341">
        <f>IF('General price list'!$AB315="",0,'General price list'!$AB315)</f>
        <v>0</v>
      </c>
      <c r="Z313" s="365" t="str">
        <f>IFERROR(X313*VLOOKUP(C313,'General price list'!C:I,7,FALSE),"")</f>
        <v/>
      </c>
      <c r="AA313" s="805" t="str">
        <f>IF(X313&lt;&gt;"",VLOOKUP(C313,'General price list'!C315:AN1288,MATCH("HM",Tabulka1[[#Headers],[KOD]:[NEQ]],0),FALSE),"")</f>
        <v/>
      </c>
    </row>
    <row r="314" spans="1:27">
      <c r="A314">
        <f>COUNTIF($W$22:W314,1)</f>
        <v>0</v>
      </c>
      <c r="B314">
        <v>314</v>
      </c>
      <c r="C314" s="340" t="str">
        <f>IFERROR(Tabulka1[[#This Row],[KOD]],"")</f>
        <v>TDLE1M</v>
      </c>
      <c r="W314" s="804" t="str">
        <f t="shared" si="10"/>
        <v/>
      </c>
      <c r="X314" s="154" t="str">
        <f t="shared" si="11"/>
        <v/>
      </c>
      <c r="Y314" s="341">
        <f>IF('General price list'!$AB316="",0,'General price list'!$AB316)</f>
        <v>0</v>
      </c>
      <c r="Z314" s="365" t="str">
        <f>IFERROR(X314*VLOOKUP(C314,'General price list'!C:I,7,FALSE),"")</f>
        <v/>
      </c>
      <c r="AA314" s="805" t="str">
        <f>IF(X314&lt;&gt;"",VLOOKUP(C314,'General price list'!C316:AN1289,MATCH("HM",Tabulka1[[#Headers],[KOD]:[NEQ]],0),FALSE),"")</f>
        <v/>
      </c>
    </row>
    <row r="315" spans="1:27">
      <c r="A315">
        <f>COUNTIF($W$22:W315,1)</f>
        <v>0</v>
      </c>
      <c r="B315">
        <v>315</v>
      </c>
      <c r="C315" s="340" t="str">
        <f>IFERROR(Tabulka1[[#This Row],[KOD]],"")</f>
        <v>TDLE1L</v>
      </c>
      <c r="W315" s="804" t="str">
        <f t="shared" si="10"/>
        <v/>
      </c>
      <c r="X315" s="154" t="str">
        <f t="shared" si="11"/>
        <v/>
      </c>
      <c r="Y315" s="341">
        <f>IF('General price list'!$AB317="",0,'General price list'!$AB317)</f>
        <v>0</v>
      </c>
      <c r="Z315" s="365" t="str">
        <f>IFERROR(X315*VLOOKUP(C315,'General price list'!C:I,7,FALSE),"")</f>
        <v/>
      </c>
      <c r="AA315" s="805" t="str">
        <f>IF(X315&lt;&gt;"",VLOOKUP(C315,'General price list'!C317:AN1290,MATCH("HM",Tabulka1[[#Headers],[KOD]:[NEQ]],0),FALSE),"")</f>
        <v/>
      </c>
    </row>
    <row r="316" spans="1:27">
      <c r="A316">
        <f>COUNTIF($W$22:W316,1)</f>
        <v>0</v>
      </c>
      <c r="B316">
        <v>316</v>
      </c>
      <c r="C316" s="340" t="str">
        <f>IFERROR(Tabulka1[[#This Row],[KOD]],"")</f>
        <v>TDLE1XL</v>
      </c>
      <c r="W316" s="804" t="str">
        <f t="shared" si="10"/>
        <v/>
      </c>
      <c r="X316" s="154" t="str">
        <f t="shared" si="11"/>
        <v/>
      </c>
      <c r="Y316" s="341">
        <f>IF('General price list'!$AB318="",0,'General price list'!$AB318)</f>
        <v>0</v>
      </c>
      <c r="Z316" s="365" t="str">
        <f>IFERROR(X316*VLOOKUP(C316,'General price list'!C:I,7,FALSE),"")</f>
        <v/>
      </c>
      <c r="AA316" s="805" t="str">
        <f>IF(X316&lt;&gt;"",VLOOKUP(C316,'General price list'!C318:AN1291,MATCH("HM",Tabulka1[[#Headers],[KOD]:[NEQ]],0),FALSE),"")</f>
        <v/>
      </c>
    </row>
    <row r="317" spans="1:27">
      <c r="A317">
        <f>COUNTIF($W$22:W317,1)</f>
        <v>0</v>
      </c>
      <c r="B317">
        <v>317</v>
      </c>
      <c r="C317" s="340" t="str">
        <f>IFERROR(Tabulka1[[#This Row],[KOD]],"")</f>
        <v>TDLE1XXL</v>
      </c>
      <c r="W317" s="804" t="str">
        <f t="shared" si="10"/>
        <v/>
      </c>
      <c r="X317" s="154" t="str">
        <f t="shared" si="11"/>
        <v/>
      </c>
      <c r="Y317" s="341">
        <f>IF('General price list'!$AB319="",0,'General price list'!$AB319)</f>
        <v>0</v>
      </c>
      <c r="Z317" s="365" t="str">
        <f>IFERROR(X317*VLOOKUP(C317,'General price list'!C:I,7,FALSE),"")</f>
        <v/>
      </c>
      <c r="AA317" s="805" t="str">
        <f>IF(X317&lt;&gt;"",VLOOKUP(C317,'General price list'!C319:AN1292,MATCH("HM",Tabulka1[[#Headers],[KOD]:[NEQ]],0),FALSE),"")</f>
        <v/>
      </c>
    </row>
    <row r="318" spans="1:27">
      <c r="A318">
        <f>COUNTIF($W$22:W318,1)</f>
        <v>0</v>
      </c>
      <c r="B318">
        <v>318</v>
      </c>
      <c r="C318" s="340">
        <f>IFERROR(Tabulka1[[#This Row],[KOD]],"")</f>
        <v>0</v>
      </c>
      <c r="W318" s="804" t="str">
        <f t="shared" si="10"/>
        <v/>
      </c>
      <c r="X318" s="154" t="str">
        <f t="shared" si="11"/>
        <v/>
      </c>
      <c r="Y318" s="341">
        <f>IF('General price list'!$AB320="",0,'General price list'!$AB320)</f>
        <v>0</v>
      </c>
      <c r="Z318" s="365" t="str">
        <f>IFERROR(X318*VLOOKUP(C318,'General price list'!C:I,7,FALSE),"")</f>
        <v/>
      </c>
      <c r="AA318" s="805" t="str">
        <f>IF(X318&lt;&gt;"",VLOOKUP(C318,'General price list'!C320:AN1293,MATCH("HM",Tabulka1[[#Headers],[KOD]:[NEQ]],0),FALSE),"")</f>
        <v/>
      </c>
    </row>
    <row r="319" spans="1:27">
      <c r="A319">
        <f>COUNTIF($W$22:W319,1)</f>
        <v>0</v>
      </c>
      <c r="B319">
        <v>319</v>
      </c>
      <c r="C319" s="340" t="str">
        <f>IFERROR(Tabulka1[[#This Row],[KOD]],"")</f>
        <v>TPDLE1M</v>
      </c>
      <c r="W319" s="804" t="str">
        <f t="shared" si="10"/>
        <v/>
      </c>
      <c r="X319" s="154" t="str">
        <f t="shared" si="11"/>
        <v/>
      </c>
      <c r="Y319" s="341">
        <f>IF('General price list'!$AB321="",0,'General price list'!$AB321)</f>
        <v>0</v>
      </c>
      <c r="Z319" s="365" t="str">
        <f>IFERROR(X319*VLOOKUP(C319,'General price list'!C:I,7,FALSE),"")</f>
        <v/>
      </c>
      <c r="AA319" s="805" t="str">
        <f>IF(X319&lt;&gt;"",VLOOKUP(C319,'General price list'!C321:AN1294,MATCH("HM",Tabulka1[[#Headers],[KOD]:[NEQ]],0),FALSE),"")</f>
        <v/>
      </c>
    </row>
    <row r="320" spans="1:27">
      <c r="A320">
        <f>COUNTIF($W$22:W320,1)</f>
        <v>0</v>
      </c>
      <c r="B320">
        <v>320</v>
      </c>
      <c r="C320" s="340" t="str">
        <f>IFERROR(Tabulka1[[#This Row],[KOD]],"")</f>
        <v>TPDLE1L</v>
      </c>
      <c r="W320" s="804" t="str">
        <f t="shared" si="10"/>
        <v/>
      </c>
      <c r="X320" s="154" t="str">
        <f t="shared" si="11"/>
        <v/>
      </c>
      <c r="Y320" s="341">
        <f>IF('General price list'!$AB322="",0,'General price list'!$AB322)</f>
        <v>0</v>
      </c>
      <c r="Z320" s="365" t="str">
        <f>IFERROR(X320*VLOOKUP(C320,'General price list'!C:I,7,FALSE),"")</f>
        <v/>
      </c>
      <c r="AA320" s="805" t="str">
        <f>IF(X320&lt;&gt;"",VLOOKUP(C320,'General price list'!C322:AN1295,MATCH("HM",Tabulka1[[#Headers],[KOD]:[NEQ]],0),FALSE),"")</f>
        <v/>
      </c>
    </row>
    <row r="321" spans="1:27">
      <c r="A321">
        <f>COUNTIF($W$22:W321,1)</f>
        <v>0</v>
      </c>
      <c r="B321">
        <v>321</v>
      </c>
      <c r="C321" s="340" t="str">
        <f>IFERROR(Tabulka1[[#This Row],[KOD]],"")</f>
        <v>TPDLE1XL</v>
      </c>
      <c r="W321" s="804" t="str">
        <f t="shared" si="10"/>
        <v/>
      </c>
      <c r="X321" s="154" t="str">
        <f t="shared" si="11"/>
        <v/>
      </c>
      <c r="Y321" s="341">
        <f>IF('General price list'!$AB323="",0,'General price list'!$AB323)</f>
        <v>0</v>
      </c>
      <c r="Z321" s="365" t="str">
        <f>IFERROR(X321*VLOOKUP(C321,'General price list'!C:I,7,FALSE),"")</f>
        <v/>
      </c>
      <c r="AA321" s="805" t="str">
        <f>IF(X321&lt;&gt;"",VLOOKUP(C321,'General price list'!C323:AN1296,MATCH("HM",Tabulka1[[#Headers],[KOD]:[NEQ]],0),FALSE),"")</f>
        <v/>
      </c>
    </row>
    <row r="322" spans="1:27">
      <c r="A322">
        <f>COUNTIF($W$22:W322,1)</f>
        <v>0</v>
      </c>
      <c r="B322">
        <v>322</v>
      </c>
      <c r="C322" s="340" t="str">
        <f>IFERROR(Tabulka1[[#This Row],[KOD]],"")</f>
        <v>TPDLE1XXL</v>
      </c>
      <c r="W322" s="804" t="str">
        <f t="shared" si="10"/>
        <v/>
      </c>
      <c r="X322" s="154" t="str">
        <f t="shared" si="11"/>
        <v/>
      </c>
      <c r="Y322" s="341">
        <f>IF('General price list'!$AB324="",0,'General price list'!$AB324)</f>
        <v>0</v>
      </c>
      <c r="Z322" s="365" t="str">
        <f>IFERROR(X322*VLOOKUP(C322,'General price list'!C:I,7,FALSE),"")</f>
        <v/>
      </c>
      <c r="AA322" s="805" t="str">
        <f>IF(X322&lt;&gt;"",VLOOKUP(C322,'General price list'!C324:AN1297,MATCH("HM",Tabulka1[[#Headers],[KOD]:[NEQ]],0),FALSE),"")</f>
        <v/>
      </c>
    </row>
    <row r="323" spans="1:27">
      <c r="A323">
        <f>COUNTIF($W$22:W323,1)</f>
        <v>0</v>
      </c>
      <c r="B323">
        <v>323</v>
      </c>
      <c r="C323" s="340">
        <f>IFERROR(Tabulka1[[#This Row],[KOD]],"")</f>
        <v>0</v>
      </c>
      <c r="W323" s="804" t="str">
        <f t="shared" si="10"/>
        <v/>
      </c>
      <c r="X323" s="154" t="str">
        <f t="shared" si="11"/>
        <v/>
      </c>
      <c r="Y323" s="341">
        <f>IF('General price list'!$AB325="",0,'General price list'!$AB325)</f>
        <v>0</v>
      </c>
      <c r="Z323" s="365" t="str">
        <f>IFERROR(X323*VLOOKUP(C323,'General price list'!C:I,7,FALSE),"")</f>
        <v/>
      </c>
      <c r="AA323" s="805" t="str">
        <f>IF(X323&lt;&gt;"",VLOOKUP(C323,'General price list'!C325:AN1298,MATCH("HM",Tabulka1[[#Headers],[KOD]:[NEQ]],0),FALSE),"")</f>
        <v/>
      </c>
    </row>
    <row r="324" spans="1:27">
      <c r="A324">
        <f>COUNTIF($W$22:W324,1)</f>
        <v>0</v>
      </c>
      <c r="B324">
        <v>324</v>
      </c>
      <c r="C324" s="340" t="str">
        <f>IFERROR(Tabulka1[[#This Row],[KOD]],"")</f>
        <v>VDLE1M</v>
      </c>
      <c r="W324" s="804" t="str">
        <f t="shared" si="10"/>
        <v/>
      </c>
      <c r="X324" s="154" t="str">
        <f t="shared" si="11"/>
        <v/>
      </c>
      <c r="Y324" s="341">
        <f>IF('General price list'!$AB326="",0,'General price list'!$AB326)</f>
        <v>0</v>
      </c>
      <c r="Z324" s="365" t="str">
        <f>IFERROR(X324*VLOOKUP(C324,'General price list'!C:I,7,FALSE),"")</f>
        <v/>
      </c>
      <c r="AA324" s="805" t="str">
        <f>IF(X324&lt;&gt;"",VLOOKUP(C324,'General price list'!C326:AN1299,MATCH("HM",Tabulka1[[#Headers],[KOD]:[NEQ]],0),FALSE),"")</f>
        <v/>
      </c>
    </row>
    <row r="325" spans="1:27">
      <c r="A325">
        <f>COUNTIF($W$22:W325,1)</f>
        <v>0</v>
      </c>
      <c r="B325">
        <v>325</v>
      </c>
      <c r="C325" s="340" t="str">
        <f>IFERROR(Tabulka1[[#This Row],[KOD]],"")</f>
        <v>VDLE1L</v>
      </c>
      <c r="W325" s="804" t="str">
        <f t="shared" si="10"/>
        <v/>
      </c>
      <c r="X325" s="154" t="str">
        <f t="shared" si="11"/>
        <v/>
      </c>
      <c r="Y325" s="341">
        <f>IF('General price list'!$AB327="",0,'General price list'!$AB327)</f>
        <v>0</v>
      </c>
      <c r="Z325" s="365" t="str">
        <f>IFERROR(X325*VLOOKUP(C325,'General price list'!C:I,7,FALSE),"")</f>
        <v/>
      </c>
      <c r="AA325" s="805" t="str">
        <f>IF(X325&lt;&gt;"",VLOOKUP(C325,'General price list'!C327:AN1300,MATCH("HM",Tabulka1[[#Headers],[KOD]:[NEQ]],0),FALSE),"")</f>
        <v/>
      </c>
    </row>
    <row r="326" spans="1:27">
      <c r="A326">
        <f>COUNTIF($W$22:W326,1)</f>
        <v>0</v>
      </c>
      <c r="B326">
        <v>326</v>
      </c>
      <c r="C326" s="340" t="str">
        <f>IFERROR(Tabulka1[[#This Row],[KOD]],"")</f>
        <v>VDLE1XL</v>
      </c>
      <c r="W326" s="804" t="str">
        <f t="shared" si="10"/>
        <v/>
      </c>
      <c r="X326" s="154" t="str">
        <f t="shared" si="11"/>
        <v/>
      </c>
      <c r="Y326" s="341">
        <f>IF('General price list'!$AB328="",0,'General price list'!$AB328)</f>
        <v>0</v>
      </c>
      <c r="Z326" s="365" t="str">
        <f>IFERROR(X326*VLOOKUP(C326,'General price list'!C:I,7,FALSE),"")</f>
        <v/>
      </c>
      <c r="AA326" s="805" t="str">
        <f>IF(X326&lt;&gt;"",VLOOKUP(C326,'General price list'!C328:AN1301,MATCH("HM",Tabulka1[[#Headers],[KOD]:[NEQ]],0),FALSE),"")</f>
        <v/>
      </c>
    </row>
    <row r="327" spans="1:27">
      <c r="A327">
        <f>COUNTIF($W$22:W327,1)</f>
        <v>0</v>
      </c>
      <c r="B327">
        <v>327</v>
      </c>
      <c r="C327" s="340" t="str">
        <f>IFERROR(Tabulka1[[#This Row],[KOD]],"")</f>
        <v>VDLE1XXL</v>
      </c>
      <c r="W327" s="804" t="str">
        <f t="shared" si="10"/>
        <v/>
      </c>
      <c r="X327" s="154" t="str">
        <f t="shared" si="11"/>
        <v/>
      </c>
      <c r="Y327" s="341">
        <f>IF('General price list'!$AB329="",0,'General price list'!$AB329)</f>
        <v>0</v>
      </c>
      <c r="Z327" s="365" t="str">
        <f>IFERROR(X327*VLOOKUP(C327,'General price list'!C:I,7,FALSE),"")</f>
        <v/>
      </c>
      <c r="AA327" s="805" t="str">
        <f>IF(X327&lt;&gt;"",VLOOKUP(C327,'General price list'!C329:AN1302,MATCH("HM",Tabulka1[[#Headers],[KOD]:[NEQ]],0),FALSE),"")</f>
        <v/>
      </c>
    </row>
    <row r="328" spans="1:27">
      <c r="A328">
        <f>COUNTIF($W$22:W328,1)</f>
        <v>0</v>
      </c>
      <c r="B328">
        <v>328</v>
      </c>
      <c r="C328" s="340">
        <f>IFERROR(Tabulka1[[#This Row],[KOD]],"")</f>
        <v>0</v>
      </c>
      <c r="W328" s="804" t="str">
        <f t="shared" si="10"/>
        <v/>
      </c>
      <c r="X328" s="154" t="str">
        <f t="shared" si="11"/>
        <v/>
      </c>
      <c r="Y328" s="341">
        <f>IF('General price list'!$AB330="",0,'General price list'!$AB330)</f>
        <v>0</v>
      </c>
      <c r="Z328" s="365" t="str">
        <f>IFERROR(X328*VLOOKUP(C328,'General price list'!C:I,7,FALSE),"")</f>
        <v/>
      </c>
      <c r="AA328" s="805" t="str">
        <f>IF(X328&lt;&gt;"",VLOOKUP(C328,'General price list'!C330:AN1303,MATCH("HM",Tabulka1[[#Headers],[KOD]:[NEQ]],0),FALSE),"")</f>
        <v/>
      </c>
    </row>
    <row r="329" spans="1:27">
      <c r="A329">
        <f>COUNTIF($W$22:W329,1)</f>
        <v>0</v>
      </c>
      <c r="B329">
        <v>329</v>
      </c>
      <c r="C329" s="340" t="str">
        <f>IFERROR(Tabulka1[[#This Row],[KOD]],"")</f>
        <v>BDLE1M</v>
      </c>
      <c r="W329" s="804" t="str">
        <f t="shared" si="10"/>
        <v/>
      </c>
      <c r="X329" s="154" t="str">
        <f t="shared" si="11"/>
        <v/>
      </c>
      <c r="Y329" s="341">
        <f>IF('General price list'!$AB331="",0,'General price list'!$AB331)</f>
        <v>0</v>
      </c>
      <c r="Z329" s="365" t="str">
        <f>IFERROR(X329*VLOOKUP(C329,'General price list'!C:I,7,FALSE),"")</f>
        <v/>
      </c>
      <c r="AA329" s="805" t="str">
        <f>IF(X329&lt;&gt;"",VLOOKUP(C329,'General price list'!C331:AN1304,MATCH("HM",Tabulka1[[#Headers],[KOD]:[NEQ]],0),FALSE),"")</f>
        <v/>
      </c>
    </row>
    <row r="330" spans="1:27">
      <c r="A330">
        <f>COUNTIF($W$22:W330,1)</f>
        <v>0</v>
      </c>
      <c r="B330">
        <v>330</v>
      </c>
      <c r="C330" s="340" t="str">
        <f>IFERROR(Tabulka1[[#This Row],[KOD]],"")</f>
        <v>BDLE1L</v>
      </c>
      <c r="W330" s="804" t="str">
        <f t="shared" si="10"/>
        <v/>
      </c>
      <c r="X330" s="154" t="str">
        <f t="shared" si="11"/>
        <v/>
      </c>
      <c r="Y330" s="341">
        <f>IF('General price list'!$AB332="",0,'General price list'!$AB332)</f>
        <v>0</v>
      </c>
      <c r="Z330" s="365" t="str">
        <f>IFERROR(X330*VLOOKUP(C330,'General price list'!C:I,7,FALSE),"")</f>
        <v/>
      </c>
      <c r="AA330" s="805" t="str">
        <f>IF(X330&lt;&gt;"",VLOOKUP(C330,'General price list'!C332:AN1305,MATCH("HM",Tabulka1[[#Headers],[KOD]:[NEQ]],0),FALSE),"")</f>
        <v/>
      </c>
    </row>
    <row r="331" spans="1:27">
      <c r="A331">
        <f>COUNTIF($W$22:W331,1)</f>
        <v>0</v>
      </c>
      <c r="B331">
        <v>331</v>
      </c>
      <c r="C331" s="340" t="str">
        <f>IFERROR(Tabulka1[[#This Row],[KOD]],"")</f>
        <v>BDLE1XL</v>
      </c>
      <c r="W331" s="804" t="str">
        <f t="shared" si="10"/>
        <v/>
      </c>
      <c r="X331" s="154" t="str">
        <f t="shared" si="11"/>
        <v/>
      </c>
      <c r="Y331" s="341">
        <f>IF('General price list'!$AB333="",0,'General price list'!$AB333)</f>
        <v>0</v>
      </c>
      <c r="Z331" s="365" t="str">
        <f>IFERROR(X331*VLOOKUP(C331,'General price list'!C:I,7,FALSE),"")</f>
        <v/>
      </c>
      <c r="AA331" s="805" t="str">
        <f>IF(X331&lt;&gt;"",VLOOKUP(C331,'General price list'!C333:AN1306,MATCH("HM",Tabulka1[[#Headers],[KOD]:[NEQ]],0),FALSE),"")</f>
        <v/>
      </c>
    </row>
    <row r="332" spans="1:27">
      <c r="A332">
        <f>COUNTIF($W$22:W332,1)</f>
        <v>0</v>
      </c>
      <c r="B332">
        <v>332</v>
      </c>
      <c r="C332" s="340" t="str">
        <f>IFERROR(Tabulka1[[#This Row],[KOD]],"")</f>
        <v>BDLE1XXL</v>
      </c>
      <c r="W332" s="804" t="str">
        <f t="shared" si="10"/>
        <v/>
      </c>
      <c r="X332" s="154" t="str">
        <f t="shared" si="11"/>
        <v/>
      </c>
      <c r="Y332" s="341">
        <f>IF('General price list'!$AB334="",0,'General price list'!$AB334)</f>
        <v>0</v>
      </c>
      <c r="Z332" s="365" t="str">
        <f>IFERROR(X332*VLOOKUP(C332,'General price list'!C:I,7,FALSE),"")</f>
        <v/>
      </c>
      <c r="AA332" s="805" t="str">
        <f>IF(X332&lt;&gt;"",VLOOKUP(C332,'General price list'!C334:AN1307,MATCH("HM",Tabulka1[[#Headers],[KOD]:[NEQ]],0),FALSE),"")</f>
        <v/>
      </c>
    </row>
    <row r="333" spans="1:27">
      <c r="A333">
        <f>COUNTIF($W$22:W333,1)</f>
        <v>0</v>
      </c>
      <c r="B333">
        <v>333</v>
      </c>
      <c r="C333" s="340">
        <f>IFERROR(Tabulka1[[#This Row],[KOD]],"")</f>
        <v>0</v>
      </c>
      <c r="W333" s="804" t="str">
        <f t="shared" si="10"/>
        <v/>
      </c>
      <c r="X333" s="154" t="str">
        <f t="shared" si="11"/>
        <v/>
      </c>
      <c r="Y333" s="341">
        <f>IF('General price list'!$AB335="",0,'General price list'!$AB335)</f>
        <v>0</v>
      </c>
      <c r="Z333" s="365" t="str">
        <f>IFERROR(X333*VLOOKUP(C333,'General price list'!C:I,7,FALSE),"")</f>
        <v/>
      </c>
      <c r="AA333" s="805" t="str">
        <f>IF(X333&lt;&gt;"",VLOOKUP(C333,'General price list'!C335:AN1308,MATCH("HM",Tabulka1[[#Headers],[KOD]:[NEQ]],0),FALSE),"")</f>
        <v/>
      </c>
    </row>
    <row r="334" spans="1:27">
      <c r="A334">
        <f>COUNTIF($W$22:W334,1)</f>
        <v>0</v>
      </c>
      <c r="B334">
        <v>334</v>
      </c>
      <c r="C334" s="340" t="str">
        <f>IFERROR(Tabulka1[[#This Row],[KOD]],"")</f>
        <v>MDLE1M</v>
      </c>
      <c r="W334" s="804" t="str">
        <f t="shared" si="10"/>
        <v/>
      </c>
      <c r="X334" s="154" t="str">
        <f t="shared" si="11"/>
        <v/>
      </c>
      <c r="Y334" s="341">
        <f>IF('General price list'!$AB336="",0,'General price list'!$AB336)</f>
        <v>0</v>
      </c>
      <c r="Z334" s="365" t="str">
        <f>IFERROR(X334*VLOOKUP(C334,'General price list'!C:I,7,FALSE),"")</f>
        <v/>
      </c>
      <c r="AA334" s="805" t="str">
        <f>IF(X334&lt;&gt;"",VLOOKUP(C334,'General price list'!C336:AN1309,MATCH("HM",Tabulka1[[#Headers],[KOD]:[NEQ]],0),FALSE),"")</f>
        <v/>
      </c>
    </row>
    <row r="335" spans="1:27">
      <c r="A335">
        <f>COUNTIF($W$22:W335,1)</f>
        <v>0</v>
      </c>
      <c r="B335">
        <v>335</v>
      </c>
      <c r="C335" s="340" t="str">
        <f>IFERROR(Tabulka1[[#This Row],[KOD]],"")</f>
        <v>MDLE1L</v>
      </c>
      <c r="W335" s="804" t="str">
        <f t="shared" si="10"/>
        <v/>
      </c>
      <c r="X335" s="154" t="str">
        <f t="shared" si="11"/>
        <v/>
      </c>
      <c r="Y335" s="341">
        <f>IF('General price list'!$AB337="",0,'General price list'!$AB337)</f>
        <v>0</v>
      </c>
      <c r="Z335" s="365" t="str">
        <f>IFERROR(X335*VLOOKUP(C335,'General price list'!C:I,7,FALSE),"")</f>
        <v/>
      </c>
      <c r="AA335" s="805" t="str">
        <f>IF(X335&lt;&gt;"",VLOOKUP(C335,'General price list'!C337:AN1310,MATCH("HM",Tabulka1[[#Headers],[KOD]:[NEQ]],0),FALSE),"")</f>
        <v/>
      </c>
    </row>
    <row r="336" spans="1:27">
      <c r="A336">
        <f>COUNTIF($W$22:W336,1)</f>
        <v>0</v>
      </c>
      <c r="B336">
        <v>336</v>
      </c>
      <c r="C336" s="340" t="str">
        <f>IFERROR(Tabulka1[[#This Row],[KOD]],"")</f>
        <v>MDLE1XL</v>
      </c>
      <c r="W336" s="804" t="str">
        <f t="shared" si="10"/>
        <v/>
      </c>
      <c r="X336" s="154" t="str">
        <f t="shared" si="11"/>
        <v/>
      </c>
      <c r="Y336" s="341">
        <f>IF('General price list'!$AB338="",0,'General price list'!$AB338)</f>
        <v>0</v>
      </c>
      <c r="Z336" s="365" t="str">
        <f>IFERROR(X336*VLOOKUP(C336,'General price list'!C:I,7,FALSE),"")</f>
        <v/>
      </c>
      <c r="AA336" s="805" t="str">
        <f>IF(X336&lt;&gt;"",VLOOKUP(C336,'General price list'!C338:AN1311,MATCH("HM",Tabulka1[[#Headers],[KOD]:[NEQ]],0),FALSE),"")</f>
        <v/>
      </c>
    </row>
    <row r="337" spans="1:27">
      <c r="A337">
        <f>COUNTIF($W$22:W337,1)</f>
        <v>0</v>
      </c>
      <c r="B337">
        <v>337</v>
      </c>
      <c r="C337" s="340" t="str">
        <f>IFERROR(Tabulka1[[#This Row],[KOD]],"")</f>
        <v>MDLE1XXL</v>
      </c>
      <c r="W337" s="804" t="str">
        <f t="shared" si="10"/>
        <v/>
      </c>
      <c r="X337" s="154" t="str">
        <f t="shared" si="11"/>
        <v/>
      </c>
      <c r="Y337" s="341">
        <f>IF('General price list'!$AB339="",0,'General price list'!$AB339)</f>
        <v>0</v>
      </c>
      <c r="Z337" s="365" t="str">
        <f>IFERROR(X337*VLOOKUP(C337,'General price list'!C:I,7,FALSE),"")</f>
        <v/>
      </c>
      <c r="AA337" s="805" t="str">
        <f>IF(X337&lt;&gt;"",VLOOKUP(C337,'General price list'!C339:AN1312,MATCH("HM",Tabulka1[[#Headers],[KOD]:[NEQ]],0),FALSE),"")</f>
        <v/>
      </c>
    </row>
    <row r="338" spans="1:27">
      <c r="A338">
        <f>COUNTIF($W$22:W338,1)</f>
        <v>0</v>
      </c>
      <c r="B338">
        <v>338</v>
      </c>
      <c r="C338" s="340">
        <f>IFERROR(Tabulka1[[#This Row],[KOD]],"")</f>
        <v>0</v>
      </c>
      <c r="W338" s="804" t="str">
        <f t="shared" si="10"/>
        <v/>
      </c>
      <c r="X338" s="154" t="str">
        <f t="shared" si="11"/>
        <v/>
      </c>
      <c r="Y338" s="341">
        <f>IF('General price list'!$AB340="",0,'General price list'!$AB340)</f>
        <v>0</v>
      </c>
      <c r="Z338" s="365" t="str">
        <f>IFERROR(X338*VLOOKUP(C338,'General price list'!C:I,7,FALSE),"")</f>
        <v/>
      </c>
      <c r="AA338" s="805" t="str">
        <f>IF(X338&lt;&gt;"",VLOOKUP(C338,'General price list'!C340:AN1313,MATCH("HM",Tabulka1[[#Headers],[KOD]:[NEQ]],0),FALSE),"")</f>
        <v/>
      </c>
    </row>
    <row r="339" spans="1:27">
      <c r="A339">
        <f>COUNTIF($W$22:W339,1)</f>
        <v>0</v>
      </c>
      <c r="B339">
        <v>339</v>
      </c>
      <c r="C339" s="340" t="str">
        <f>IFERROR(Tabulka1[[#This Row],[KOD]],"")</f>
        <v>MDLEZ1M</v>
      </c>
      <c r="W339" s="804" t="str">
        <f t="shared" si="10"/>
        <v/>
      </c>
      <c r="X339" s="154" t="str">
        <f t="shared" si="11"/>
        <v/>
      </c>
      <c r="Y339" s="341">
        <f>IF('General price list'!$AB341="",0,'General price list'!$AB341)</f>
        <v>0</v>
      </c>
      <c r="Z339" s="365" t="str">
        <f>IFERROR(X339*VLOOKUP(C339,'General price list'!C:I,7,FALSE),"")</f>
        <v/>
      </c>
      <c r="AA339" s="805" t="str">
        <f>IF(X339&lt;&gt;"",VLOOKUP(C339,'General price list'!C341:AN1314,MATCH("HM",Tabulka1[[#Headers],[KOD]:[NEQ]],0),FALSE),"")</f>
        <v/>
      </c>
    </row>
    <row r="340" spans="1:27">
      <c r="A340">
        <f>COUNTIF($W$22:W340,1)</f>
        <v>0</v>
      </c>
      <c r="B340">
        <v>340</v>
      </c>
      <c r="C340" s="340" t="str">
        <f>IFERROR(Tabulka1[[#This Row],[KOD]],"")</f>
        <v>MDLEZ1L</v>
      </c>
      <c r="W340" s="804" t="str">
        <f t="shared" si="10"/>
        <v/>
      </c>
      <c r="X340" s="154" t="str">
        <f t="shared" si="11"/>
        <v/>
      </c>
      <c r="Y340" s="341">
        <f>IF('General price list'!$AB342="",0,'General price list'!$AB342)</f>
        <v>0</v>
      </c>
      <c r="Z340" s="365" t="str">
        <f>IFERROR(X340*VLOOKUP(C340,'General price list'!C:I,7,FALSE),"")</f>
        <v/>
      </c>
      <c r="AA340" s="805" t="str">
        <f>IF(X340&lt;&gt;"",VLOOKUP(C340,'General price list'!C342:AN1315,MATCH("HM",Tabulka1[[#Headers],[KOD]:[NEQ]],0),FALSE),"")</f>
        <v/>
      </c>
    </row>
    <row r="341" spans="1:27">
      <c r="A341">
        <f>COUNTIF($W$22:W341,1)</f>
        <v>0</v>
      </c>
      <c r="B341">
        <v>341</v>
      </c>
      <c r="C341" s="340" t="str">
        <f>IFERROR(Tabulka1[[#This Row],[KOD]],"")</f>
        <v>MDLEZ1XL</v>
      </c>
      <c r="W341" s="804" t="str">
        <f t="shared" si="10"/>
        <v/>
      </c>
      <c r="X341" s="154" t="str">
        <f t="shared" si="11"/>
        <v/>
      </c>
      <c r="Y341" s="341">
        <f>IF('General price list'!$AB343="",0,'General price list'!$AB343)</f>
        <v>0</v>
      </c>
      <c r="Z341" s="365" t="str">
        <f>IFERROR(X341*VLOOKUP(C341,'General price list'!C:I,7,FALSE),"")</f>
        <v/>
      </c>
      <c r="AA341" s="805" t="str">
        <f>IF(X341&lt;&gt;"",VLOOKUP(C341,'General price list'!C343:AN1316,MATCH("HM",Tabulka1[[#Headers],[KOD]:[NEQ]],0),FALSE),"")</f>
        <v/>
      </c>
    </row>
    <row r="342" spans="1:27">
      <c r="A342">
        <f>COUNTIF($W$22:W342,1)</f>
        <v>0</v>
      </c>
      <c r="B342">
        <v>342</v>
      </c>
      <c r="C342" s="340" t="str">
        <f>IFERROR(Tabulka1[[#This Row],[KOD]],"")</f>
        <v>MDLEZ1XXL</v>
      </c>
      <c r="W342" s="804" t="str">
        <f t="shared" si="10"/>
        <v/>
      </c>
      <c r="X342" s="154" t="str">
        <f t="shared" si="11"/>
        <v/>
      </c>
      <c r="Y342" s="341">
        <f>IF('General price list'!$AB344="",0,'General price list'!$AB344)</f>
        <v>0</v>
      </c>
      <c r="Z342" s="365" t="str">
        <f>IFERROR(X342*VLOOKUP(C342,'General price list'!C:I,7,FALSE),"")</f>
        <v/>
      </c>
      <c r="AA342" s="805" t="str">
        <f>IF(X342&lt;&gt;"",VLOOKUP(C342,'General price list'!C344:AN1317,MATCH("HM",Tabulka1[[#Headers],[KOD]:[NEQ]],0),FALSE),"")</f>
        <v/>
      </c>
    </row>
    <row r="343" spans="1:27">
      <c r="A343">
        <f>COUNTIF($W$22:W343,1)</f>
        <v>0</v>
      </c>
      <c r="B343">
        <v>343</v>
      </c>
      <c r="C343" s="340">
        <f>IFERROR(Tabulka1[[#This Row],[KOD]],"")</f>
        <v>0</v>
      </c>
      <c r="W343" s="804" t="str">
        <f t="shared" si="10"/>
        <v/>
      </c>
      <c r="X343" s="154" t="str">
        <f t="shared" si="11"/>
        <v/>
      </c>
      <c r="Y343" s="341">
        <f>IF('General price list'!$AB345="",0,'General price list'!$AB345)</f>
        <v>0</v>
      </c>
      <c r="Z343" s="365" t="str">
        <f>IFERROR(X343*VLOOKUP(C343,'General price list'!C:I,7,FALSE),"")</f>
        <v/>
      </c>
      <c r="AA343" s="805" t="str">
        <f>IF(X343&lt;&gt;"",VLOOKUP(C343,'General price list'!C345:AN1318,MATCH("HM",Tabulka1[[#Headers],[KOD]:[NEQ]],0),FALSE),"")</f>
        <v/>
      </c>
    </row>
    <row r="344" spans="1:27">
      <c r="A344">
        <f>COUNTIF($W$22:W344,1)</f>
        <v>0</v>
      </c>
      <c r="B344">
        <v>344</v>
      </c>
      <c r="C344" s="340" t="str">
        <f>IFERROR(Tabulka1[[#This Row],[KOD]],"")</f>
        <v>KDLE1</v>
      </c>
      <c r="W344" s="804" t="str">
        <f t="shared" ref="W344:W407" si="12">IF(Y344+1=1,"",1)</f>
        <v/>
      </c>
      <c r="X344" s="154" t="str">
        <f t="shared" ref="X344:X407" si="13">IF(Y344+1=1,"",Y344)</f>
        <v/>
      </c>
      <c r="Y344" s="341">
        <f>IF('General price list'!$AB346="",0,'General price list'!$AB346)</f>
        <v>0</v>
      </c>
      <c r="Z344" s="365" t="str">
        <f>IFERROR(X344*VLOOKUP(C344,'General price list'!C:I,7,FALSE),"")</f>
        <v/>
      </c>
      <c r="AA344" s="805" t="str">
        <f>IF(X344&lt;&gt;"",VLOOKUP(C344,'General price list'!C346:AN1319,MATCH("HM",Tabulka1[[#Headers],[KOD]:[NEQ]],0),FALSE),"")</f>
        <v/>
      </c>
    </row>
    <row r="345" spans="1:27">
      <c r="A345">
        <f>COUNTIF($W$22:W345,1)</f>
        <v>0</v>
      </c>
      <c r="B345">
        <v>345</v>
      </c>
      <c r="C345" s="340" t="str">
        <f>IFERROR(Tabulka1[[#This Row],[KOD]],"")</f>
        <v>CDLE1</v>
      </c>
      <c r="W345" s="804" t="str">
        <f t="shared" si="12"/>
        <v/>
      </c>
      <c r="X345" s="154" t="str">
        <f t="shared" si="13"/>
        <v/>
      </c>
      <c r="Y345" s="341">
        <f>IF('General price list'!$AB347="",0,'General price list'!$AB347)</f>
        <v>0</v>
      </c>
      <c r="Z345" s="365" t="str">
        <f>IFERROR(X345*VLOOKUP(C345,'General price list'!C:I,7,FALSE),"")</f>
        <v/>
      </c>
      <c r="AA345" s="805" t="str">
        <f>IF(X345&lt;&gt;"",VLOOKUP(C345,'General price list'!C347:AN1320,MATCH("HM",Tabulka1[[#Headers],[KOD]:[NEQ]],0),FALSE),"")</f>
        <v/>
      </c>
    </row>
    <row r="346" spans="1:27">
      <c r="A346">
        <f>COUNTIF($W$22:W346,1)</f>
        <v>0</v>
      </c>
      <c r="B346">
        <v>346</v>
      </c>
      <c r="C346" s="340">
        <f>IFERROR(Tabulka1[[#This Row],[KOD]],"")</f>
        <v>0</v>
      </c>
      <c r="W346" s="804" t="str">
        <f t="shared" si="12"/>
        <v/>
      </c>
      <c r="X346" s="154" t="str">
        <f t="shared" si="13"/>
        <v/>
      </c>
      <c r="Y346" s="341">
        <f>IF('General price list'!$AB348="",0,'General price list'!$AB348)</f>
        <v>0</v>
      </c>
      <c r="Z346" s="365" t="str">
        <f>IFERROR(X346*VLOOKUP(C346,'General price list'!C:I,7,FALSE),"")</f>
        <v/>
      </c>
      <c r="AA346" s="805" t="str">
        <f>IF(X346&lt;&gt;"",VLOOKUP(C346,'General price list'!C348:AN1321,MATCH("HM",Tabulka1[[#Headers],[KOD]:[NEQ]],0),FALSE),"")</f>
        <v/>
      </c>
    </row>
    <row r="347" spans="1:27">
      <c r="A347">
        <f>COUNTIF($W$22:W347,1)</f>
        <v>0</v>
      </c>
      <c r="B347">
        <v>347</v>
      </c>
      <c r="C347" s="340" t="str">
        <f>IFERROR(Tabulka1[[#This Row],[KOD]],"")</f>
        <v>N1</v>
      </c>
      <c r="W347" s="804" t="str">
        <f t="shared" si="12"/>
        <v/>
      </c>
      <c r="X347" s="154" t="str">
        <f t="shared" si="13"/>
        <v/>
      </c>
      <c r="Y347" s="341">
        <f>IF('General price list'!$AB349="",0,'General price list'!$AB349)</f>
        <v>0</v>
      </c>
      <c r="Z347" s="365" t="str">
        <f>IFERROR(X347*VLOOKUP(C347,'General price list'!C:I,7,FALSE),"")</f>
        <v/>
      </c>
      <c r="AA347" s="805" t="str">
        <f>IF(X347&lt;&gt;"",VLOOKUP(C347,'General price list'!C349:AN1322,MATCH("HM",Tabulka1[[#Headers],[KOD]:[NEQ]],0),FALSE),"")</f>
        <v/>
      </c>
    </row>
    <row r="348" spans="1:27">
      <c r="A348">
        <f>COUNTIF($W$22:W348,1)</f>
        <v>0</v>
      </c>
      <c r="B348">
        <v>348</v>
      </c>
      <c r="C348" s="340" t="str">
        <f>IFERROR(Tabulka1[[#This Row],[KOD]],"")</f>
        <v>RUN1</v>
      </c>
      <c r="W348" s="804" t="str">
        <f t="shared" si="12"/>
        <v/>
      </c>
      <c r="X348" s="154" t="str">
        <f t="shared" si="13"/>
        <v/>
      </c>
      <c r="Y348" s="341">
        <f>IF('General price list'!$AB350="",0,'General price list'!$AB350)</f>
        <v>0</v>
      </c>
      <c r="Z348" s="365" t="str">
        <f>IFERROR(X348*VLOOKUP(C348,'General price list'!C:I,7,FALSE),"")</f>
        <v/>
      </c>
      <c r="AA348" s="805" t="str">
        <f>IF(X348&lt;&gt;"",VLOOKUP(C348,'General price list'!C350:AN1323,MATCH("HM",Tabulka1[[#Headers],[KOD]:[NEQ]],0),FALSE),"")</f>
        <v/>
      </c>
    </row>
    <row r="349" spans="1:27">
      <c r="A349">
        <f>COUNTIF($W$22:W349,1)</f>
        <v>0</v>
      </c>
      <c r="B349">
        <v>349</v>
      </c>
      <c r="C349" s="340" t="str">
        <f>IFERROR(Tabulka1[[#This Row],[KOD]],"")</f>
        <v>RT1DU</v>
      </c>
      <c r="W349" s="804" t="str">
        <f t="shared" si="12"/>
        <v/>
      </c>
      <c r="X349" s="154" t="str">
        <f t="shared" si="13"/>
        <v/>
      </c>
      <c r="Y349" s="341">
        <f>IF('General price list'!$AB351="",0,'General price list'!$AB351)</f>
        <v>0</v>
      </c>
      <c r="Z349" s="365" t="str">
        <f>IFERROR(X349*VLOOKUP(C349,'General price list'!C:I,7,FALSE),"")</f>
        <v/>
      </c>
      <c r="AA349" s="805" t="str">
        <f>IF(X349&lt;&gt;"",VLOOKUP(C349,'General price list'!C351:AN1324,MATCH("HM",Tabulka1[[#Headers],[KOD]:[NEQ]],0),FALSE),"")</f>
        <v/>
      </c>
    </row>
    <row r="350" spans="1:27">
      <c r="A350">
        <f>COUNTIF($W$22:W350,1)</f>
        <v>0</v>
      </c>
      <c r="B350">
        <v>350</v>
      </c>
      <c r="C350" s="340" t="str">
        <f>IFERROR(Tabulka1[[#This Row],[KOD]],"")</f>
        <v>PL1DU</v>
      </c>
      <c r="W350" s="804" t="str">
        <f t="shared" si="12"/>
        <v/>
      </c>
      <c r="X350" s="154" t="str">
        <f t="shared" si="13"/>
        <v/>
      </c>
      <c r="Y350" s="341">
        <f>IF('General price list'!$AB352="",0,'General price list'!$AB352)</f>
        <v>0</v>
      </c>
      <c r="Z350" s="365" t="str">
        <f>IFERROR(X350*VLOOKUP(C350,'General price list'!C:I,7,FALSE),"")</f>
        <v/>
      </c>
      <c r="AA350" s="805" t="str">
        <f>IF(X350&lt;&gt;"",VLOOKUP(C350,'General price list'!C352:AN1325,MATCH("HM",Tabulka1[[#Headers],[KOD]:[NEQ]],0),FALSE),"")</f>
        <v/>
      </c>
    </row>
    <row r="351" spans="1:27">
      <c r="A351">
        <f>COUNTIF($W$22:W351,1)</f>
        <v>0</v>
      </c>
      <c r="B351">
        <v>351</v>
      </c>
      <c r="C351" s="340" t="str">
        <f>IFERROR(Tabulka1[[#This Row],[KOD]],"")</f>
        <v>ZD1</v>
      </c>
      <c r="W351" s="804" t="str">
        <f t="shared" si="12"/>
        <v/>
      </c>
      <c r="X351" s="154" t="str">
        <f t="shared" si="13"/>
        <v/>
      </c>
      <c r="Y351" s="341">
        <f>IF('General price list'!$AB353="",0,'General price list'!$AB353)</f>
        <v>0</v>
      </c>
      <c r="Z351" s="365" t="str">
        <f>IFERROR(X351*VLOOKUP(C351,'General price list'!C:I,7,FALSE),"")</f>
        <v/>
      </c>
      <c r="AA351" s="805" t="str">
        <f>IF(X351&lt;&gt;"",VLOOKUP(C351,'General price list'!C353:AN1326,MATCH("HM",Tabulka1[[#Headers],[KOD]:[NEQ]],0),FALSE),"")</f>
        <v/>
      </c>
    </row>
    <row r="352" spans="1:27">
      <c r="A352">
        <f>COUNTIF($W$22:W352,1)</f>
        <v>0</v>
      </c>
      <c r="B352">
        <v>352</v>
      </c>
      <c r="C352" s="340" t="str">
        <f>IFERROR(Tabulka1[[#This Row],[KOD]],"")</f>
        <v>UZD2</v>
      </c>
      <c r="W352" s="804" t="str">
        <f t="shared" si="12"/>
        <v/>
      </c>
      <c r="X352" s="154" t="str">
        <f t="shared" si="13"/>
        <v/>
      </c>
      <c r="Y352" s="341">
        <f>IF('General price list'!$AB354="",0,'General price list'!$AB354)</f>
        <v>0</v>
      </c>
      <c r="Z352" s="365" t="str">
        <f>IFERROR(X352*VLOOKUP(C352,'General price list'!C:I,7,FALSE),"")</f>
        <v/>
      </c>
      <c r="AA352" s="805" t="str">
        <f>IF(X352&lt;&gt;"",VLOOKUP(C352,'General price list'!C354:AN1327,MATCH("HM",Tabulka1[[#Headers],[KOD]:[NEQ]],0),FALSE),"")</f>
        <v/>
      </c>
    </row>
    <row r="353" spans="1:27">
      <c r="A353">
        <f>COUNTIF($W$22:W353,1)</f>
        <v>0</v>
      </c>
      <c r="B353">
        <v>353</v>
      </c>
      <c r="C353" s="340" t="str">
        <f>IFERROR(Tabulka1[[#This Row],[KOD]],"")</f>
        <v>ND1</v>
      </c>
      <c r="W353" s="804" t="str">
        <f t="shared" si="12"/>
        <v/>
      </c>
      <c r="X353" s="154" t="str">
        <f t="shared" si="13"/>
        <v/>
      </c>
      <c r="Y353" s="341">
        <f>IF('General price list'!$AB355="",0,'General price list'!$AB355)</f>
        <v>0</v>
      </c>
      <c r="Z353" s="365" t="str">
        <f>IFERROR(X353*VLOOKUP(C353,'General price list'!C:I,7,FALSE),"")</f>
        <v/>
      </c>
      <c r="AA353" s="805" t="str">
        <f>IF(X353&lt;&gt;"",VLOOKUP(C353,'General price list'!C355:AN1328,MATCH("HM",Tabulka1[[#Headers],[KOD]:[NEQ]],0),FALSE),"")</f>
        <v/>
      </c>
    </row>
    <row r="354" spans="1:27">
      <c r="A354">
        <f>COUNTIF($W$22:W354,1)</f>
        <v>0</v>
      </c>
      <c r="B354">
        <v>354</v>
      </c>
      <c r="C354" s="340" t="str">
        <f>IFERROR(Tabulka1[[#This Row],[KOD]],"")</f>
        <v>T2</v>
      </c>
      <c r="W354" s="804" t="str">
        <f t="shared" si="12"/>
        <v/>
      </c>
      <c r="X354" s="154" t="str">
        <f t="shared" si="13"/>
        <v/>
      </c>
      <c r="Y354" s="341">
        <f>IF('General price list'!$AB356="",0,'General price list'!$AB356)</f>
        <v>0</v>
      </c>
      <c r="Z354" s="365" t="str">
        <f>IFERROR(X354*VLOOKUP(C354,'General price list'!C:I,7,FALSE),"")</f>
        <v/>
      </c>
      <c r="AA354" s="805" t="str">
        <f>IF(X354&lt;&gt;"",VLOOKUP(C354,'General price list'!C356:AN1329,MATCH("HM",Tabulka1[[#Headers],[KOD]:[NEQ]],0),FALSE),"")</f>
        <v/>
      </c>
    </row>
    <row r="355" spans="1:27">
      <c r="A355">
        <f>COUNTIF($W$22:W355,1)</f>
        <v>0</v>
      </c>
      <c r="B355">
        <v>355</v>
      </c>
      <c r="C355" s="340" t="str">
        <f>IFERROR(Tabulka1[[#This Row],[KOD]],"")</f>
        <v>KK2025</v>
      </c>
      <c r="W355" s="804" t="str">
        <f t="shared" si="12"/>
        <v/>
      </c>
      <c r="X355" s="154" t="str">
        <f t="shared" si="13"/>
        <v/>
      </c>
      <c r="Y355" s="341">
        <f>IF('General price list'!$AB357="",0,'General price list'!$AB357)</f>
        <v>0</v>
      </c>
      <c r="Z355" s="365" t="str">
        <f>IFERROR(X355*VLOOKUP(C355,'General price list'!C:I,7,FALSE),"")</f>
        <v/>
      </c>
      <c r="AA355" s="805" t="str">
        <f>IF(X355&lt;&gt;"",VLOOKUP(C355,'General price list'!C357:AN1330,MATCH("HM",Tabulka1[[#Headers],[KOD]:[NEQ]],0),FALSE),"")</f>
        <v/>
      </c>
    </row>
    <row r="356" spans="1:27">
      <c r="A356">
        <f>COUNTIF($W$22:W356,1)</f>
        <v>0</v>
      </c>
      <c r="B356">
        <v>356</v>
      </c>
      <c r="C356" s="340" t="str">
        <f>IFERROR(Tabulka1[[#This Row],[KOD]],"")</f>
        <v>HD1</v>
      </c>
      <c r="W356" s="804" t="str">
        <f t="shared" si="12"/>
        <v/>
      </c>
      <c r="X356" s="154" t="str">
        <f t="shared" si="13"/>
        <v/>
      </c>
      <c r="Y356" s="341">
        <f>IF('General price list'!$AB358="",0,'General price list'!$AB358)</f>
        <v>0</v>
      </c>
      <c r="Z356" s="365" t="str">
        <f>IFERROR(X356*VLOOKUP(C356,'General price list'!C:I,7,FALSE),"")</f>
        <v/>
      </c>
      <c r="AA356" s="805" t="str">
        <f>IF(X356&lt;&gt;"",VLOOKUP(C356,'General price list'!C358:AN1331,MATCH("HM",Tabulka1[[#Headers],[KOD]:[NEQ]],0),FALSE),"")</f>
        <v/>
      </c>
    </row>
    <row r="357" spans="1:27">
      <c r="A357">
        <f>COUNTIF($W$22:W357,1)</f>
        <v>0</v>
      </c>
      <c r="B357">
        <v>357</v>
      </c>
      <c r="C357" s="340" t="str">
        <f>IFERROR(Tabulka1[[#This Row],[KOD]],"")</f>
        <v>PPMD1</v>
      </c>
      <c r="W357" s="804" t="str">
        <f t="shared" si="12"/>
        <v/>
      </c>
      <c r="X357" s="154" t="str">
        <f t="shared" si="13"/>
        <v/>
      </c>
      <c r="Y357" s="341">
        <f>IF('General price list'!$AB359="",0,'General price list'!$AB359)</f>
        <v>0</v>
      </c>
      <c r="Z357" s="365" t="str">
        <f>IFERROR(X357*VLOOKUP(C357,'General price list'!C:I,7,FALSE),"")</f>
        <v/>
      </c>
      <c r="AA357" s="805" t="str">
        <f>IF(X357&lt;&gt;"",VLOOKUP(C357,'General price list'!C359:AN1332,MATCH("HM",Tabulka1[[#Headers],[KOD]:[NEQ]],0),FALSE),"")</f>
        <v/>
      </c>
    </row>
    <row r="358" spans="1:27">
      <c r="A358">
        <f>COUNTIF($W$22:W358,1)</f>
        <v>0</v>
      </c>
      <c r="B358">
        <v>358</v>
      </c>
      <c r="C358" s="340" t="str">
        <f>IFERROR(Tabulka1[[#This Row],[KOD]],"")</f>
        <v>DD1</v>
      </c>
      <c r="W358" s="804" t="str">
        <f t="shared" si="12"/>
        <v/>
      </c>
      <c r="X358" s="154" t="str">
        <f t="shared" si="13"/>
        <v/>
      </c>
      <c r="Y358" s="341">
        <f>IF('General price list'!$AB360="",0,'General price list'!$AB360)</f>
        <v>0</v>
      </c>
      <c r="Z358" s="365" t="str">
        <f>IFERROR(X358*VLOOKUP(C358,'General price list'!C:I,7,FALSE),"")</f>
        <v/>
      </c>
      <c r="AA358" s="805" t="str">
        <f>IF(X358&lt;&gt;"",VLOOKUP(C358,'General price list'!C360:AN1333,MATCH("HM",Tabulka1[[#Headers],[KOD]:[NEQ]],0),FALSE),"")</f>
        <v/>
      </c>
    </row>
    <row r="359" spans="1:27">
      <c r="A359">
        <f>COUNTIF($W$22:W359,1)</f>
        <v>0</v>
      </c>
      <c r="B359">
        <v>359</v>
      </c>
      <c r="C359" s="340" t="str">
        <f>IFERROR(Tabulka1[[#This Row],[KOD]],"")</f>
        <v>KKD1</v>
      </c>
      <c r="W359" s="804" t="str">
        <f t="shared" si="12"/>
        <v/>
      </c>
      <c r="X359" s="154" t="str">
        <f t="shared" si="13"/>
        <v/>
      </c>
      <c r="Y359" s="341">
        <f>IF('General price list'!$AB361="",0,'General price list'!$AB361)</f>
        <v>0</v>
      </c>
      <c r="Z359" s="365" t="str">
        <f>IFERROR(X359*VLOOKUP(C359,'General price list'!C:I,7,FALSE),"")</f>
        <v/>
      </c>
      <c r="AA359" s="805" t="str">
        <f>IF(X359&lt;&gt;"",VLOOKUP(C359,'General price list'!C361:AN1334,MATCH("HM",Tabulka1[[#Headers],[KOD]:[NEQ]],0),FALSE),"")</f>
        <v/>
      </c>
    </row>
    <row r="360" spans="1:27">
      <c r="A360">
        <f>COUNTIF($W$22:W360,1)</f>
        <v>0</v>
      </c>
      <c r="B360">
        <v>360</v>
      </c>
      <c r="C360" s="340" t="str">
        <f>IFERROR(Tabulka1[[#This Row],[KOD]],"")</f>
        <v>LO1DU</v>
      </c>
      <c r="W360" s="804" t="str">
        <f t="shared" si="12"/>
        <v/>
      </c>
      <c r="X360" s="154" t="str">
        <f t="shared" si="13"/>
        <v/>
      </c>
      <c r="Y360" s="341">
        <f>IF('General price list'!$AB362="",0,'General price list'!$AB362)</f>
        <v>0</v>
      </c>
      <c r="Z360" s="365" t="str">
        <f>IFERROR(X360*VLOOKUP(C360,'General price list'!C:I,7,FALSE),"")</f>
        <v/>
      </c>
      <c r="AA360" s="805" t="str">
        <f>IF(X360&lt;&gt;"",VLOOKUP(C360,'General price list'!C362:AN1335,MATCH("HM",Tabulka1[[#Headers],[KOD]:[NEQ]],0),FALSE),"")</f>
        <v/>
      </c>
    </row>
    <row r="361" spans="1:27">
      <c r="A361">
        <f>COUNTIF($W$22:W361,1)</f>
        <v>0</v>
      </c>
      <c r="B361">
        <v>361</v>
      </c>
      <c r="C361" s="340">
        <f>IFERROR(Tabulka1[[#This Row],[KOD]],"")</f>
        <v>0</v>
      </c>
      <c r="W361" s="804" t="str">
        <f t="shared" si="12"/>
        <v/>
      </c>
      <c r="X361" s="154" t="str">
        <f t="shared" si="13"/>
        <v/>
      </c>
      <c r="Y361" s="341">
        <f>IF('General price list'!$AB363="",0,'General price list'!$AB363)</f>
        <v>0</v>
      </c>
      <c r="Z361" s="365" t="str">
        <f>IFERROR(X361*VLOOKUP(C361,'General price list'!C:I,7,FALSE),"")</f>
        <v/>
      </c>
      <c r="AA361" s="805" t="str">
        <f>IF(X361&lt;&gt;"",VLOOKUP(C361,'General price list'!C363:AN1336,MATCH("HM",Tabulka1[[#Headers],[KOD]:[NEQ]],0),FALSE),"")</f>
        <v/>
      </c>
    </row>
    <row r="362" spans="1:27">
      <c r="A362">
        <f>COUNTIF($W$22:W362,1)</f>
        <v>0</v>
      </c>
      <c r="B362">
        <v>362</v>
      </c>
      <c r="C362" s="340" t="str">
        <f>IFERROR(Tabulka1[[#This Row],[KOD]],"")</f>
        <v>OZ4</v>
      </c>
      <c r="W362" s="804" t="str">
        <f t="shared" si="12"/>
        <v/>
      </c>
      <c r="X362" s="154" t="str">
        <f t="shared" si="13"/>
        <v/>
      </c>
      <c r="Y362" s="341">
        <f>IF('General price list'!$AB364="",0,'General price list'!$AB364)</f>
        <v>0</v>
      </c>
      <c r="Z362" s="365" t="str">
        <f>IFERROR(X362*VLOOKUP(C362,'General price list'!C:I,7,FALSE),"")</f>
        <v/>
      </c>
      <c r="AA362" s="805" t="str">
        <f>IF(X362&lt;&gt;"",VLOOKUP(C362,'General price list'!C364:AN1337,MATCH("HM",Tabulka1[[#Headers],[KOD]:[NEQ]],0),FALSE),"")</f>
        <v/>
      </c>
    </row>
    <row r="363" spans="1:27">
      <c r="A363">
        <f>COUNTIF($W$22:W363,1)</f>
        <v>0</v>
      </c>
      <c r="B363">
        <v>363</v>
      </c>
      <c r="C363" s="340" t="str">
        <f>IFERROR(Tabulka1[[#This Row],[KOD]],"")</f>
        <v>ZS5M</v>
      </c>
      <c r="W363" s="804" t="str">
        <f t="shared" si="12"/>
        <v/>
      </c>
      <c r="X363" s="154" t="str">
        <f t="shared" si="13"/>
        <v/>
      </c>
      <c r="Y363" s="341">
        <f>IF('General price list'!$AB365="",0,'General price list'!$AB365)</f>
        <v>0</v>
      </c>
      <c r="Z363" s="365" t="str">
        <f>IFERROR(X363*VLOOKUP(C363,'General price list'!C:I,7,FALSE),"")</f>
        <v/>
      </c>
      <c r="AA363" s="805" t="str">
        <f>IF(X363&lt;&gt;"",VLOOKUP(C363,'General price list'!C365:AN1338,MATCH("HM",Tabulka1[[#Headers],[KOD]:[NEQ]],0),FALSE),"")</f>
        <v/>
      </c>
    </row>
    <row r="364" spans="1:27">
      <c r="A364">
        <f>COUNTIF($W$22:W364,1)</f>
        <v>0</v>
      </c>
      <c r="B364">
        <v>364</v>
      </c>
      <c r="C364" s="340">
        <f>IFERROR(Tabulka1[[#This Row],[KOD]],"")</f>
        <v>0</v>
      </c>
      <c r="W364" s="804" t="str">
        <f t="shared" si="12"/>
        <v/>
      </c>
      <c r="X364" s="154" t="str">
        <f t="shared" si="13"/>
        <v/>
      </c>
      <c r="Y364" s="341">
        <f>IF('General price list'!$AB366="",0,'General price list'!$AB366)</f>
        <v>0</v>
      </c>
      <c r="Z364" s="365" t="str">
        <f>IFERROR(X364*VLOOKUP(C364,'General price list'!C:I,7,FALSE),"")</f>
        <v/>
      </c>
      <c r="AA364" s="805" t="str">
        <f>IF(X364&lt;&gt;"",VLOOKUP(C364,'General price list'!C366:AN1339,MATCH("HM",Tabulka1[[#Headers],[KOD]:[NEQ]],0),FALSE),"")</f>
        <v/>
      </c>
    </row>
    <row r="365" spans="1:27">
      <c r="A365">
        <f>COUNTIF($W$22:W365,1)</f>
        <v>0</v>
      </c>
      <c r="B365">
        <v>365</v>
      </c>
      <c r="C365" s="340" t="str">
        <f>IFERROR(Tabulka1[[#This Row],[KOD]],"")</f>
        <v>C2508R</v>
      </c>
      <c r="W365" s="804" t="str">
        <f t="shared" si="12"/>
        <v/>
      </c>
      <c r="X365" s="154" t="str">
        <f t="shared" si="13"/>
        <v/>
      </c>
      <c r="Y365" s="341">
        <f>IF('General price list'!$AB367="",0,'General price list'!$AB367)</f>
        <v>0</v>
      </c>
      <c r="Z365" s="365" t="str">
        <f>IFERROR(X365*VLOOKUP(C365,'General price list'!C:I,7,FALSE),"")</f>
        <v/>
      </c>
      <c r="AA365" s="805" t="str">
        <f>IF(X365&lt;&gt;"",VLOOKUP(C365,'General price list'!C367:AN1340,MATCH("HM",Tabulka1[[#Headers],[KOD]:[NEQ]],0),FALSE),"")</f>
        <v/>
      </c>
    </row>
    <row r="366" spans="1:27">
      <c r="A366">
        <f>COUNTIF($W$22:W366,1)</f>
        <v>0</v>
      </c>
      <c r="B366">
        <v>366</v>
      </c>
      <c r="C366" s="340" t="str">
        <f>IFERROR(Tabulka1[[#This Row],[KOD]],"")</f>
        <v>C10008R</v>
      </c>
      <c r="W366" s="804" t="str">
        <f t="shared" si="12"/>
        <v/>
      </c>
      <c r="X366" s="154" t="str">
        <f t="shared" si="13"/>
        <v/>
      </c>
      <c r="Y366" s="341">
        <f>IF('General price list'!$AB368="",0,'General price list'!$AB368)</f>
        <v>0</v>
      </c>
      <c r="Z366" s="365" t="str">
        <f>IFERROR(X366*VLOOKUP(C366,'General price list'!C:I,7,FALSE),"")</f>
        <v/>
      </c>
      <c r="AA366" s="805" t="str">
        <f>IF(X366&lt;&gt;"",VLOOKUP(C366,'General price list'!C368:AN1341,MATCH("HM",Tabulka1[[#Headers],[KOD]:[NEQ]],0),FALSE),"")</f>
        <v/>
      </c>
    </row>
    <row r="367" spans="1:27">
      <c r="A367">
        <f>COUNTIF($W$22:W367,1)</f>
        <v>0</v>
      </c>
      <c r="B367">
        <v>367</v>
      </c>
      <c r="C367" s="340">
        <f>IFERROR(Tabulka1[[#This Row],[KOD]],"")</f>
        <v>0</v>
      </c>
      <c r="W367" s="804" t="str">
        <f t="shared" si="12"/>
        <v/>
      </c>
      <c r="X367" s="154" t="str">
        <f t="shared" si="13"/>
        <v/>
      </c>
      <c r="Y367" s="341">
        <f>IF('General price list'!$AB369="",0,'General price list'!$AB369)</f>
        <v>0</v>
      </c>
      <c r="Z367" s="365" t="str">
        <f>IFERROR(X367*VLOOKUP(C367,'General price list'!C:I,7,FALSE),"")</f>
        <v/>
      </c>
      <c r="AA367" s="805" t="str">
        <f>IF(X367&lt;&gt;"",VLOOKUP(C367,'General price list'!C369:AN1342,MATCH("HM",Tabulka1[[#Headers],[KOD]:[NEQ]],0),FALSE),"")</f>
        <v/>
      </c>
    </row>
    <row r="368" spans="1:27">
      <c r="A368">
        <f>COUNTIF($W$22:W368,1)</f>
        <v>0</v>
      </c>
      <c r="B368">
        <v>368</v>
      </c>
      <c r="C368" s="340" t="str">
        <f>IFERROR(Tabulka1[[#This Row],[KOD]],"")</f>
        <v>C1008CC</v>
      </c>
      <c r="W368" s="804" t="str">
        <f t="shared" si="12"/>
        <v/>
      </c>
      <c r="X368" s="154" t="str">
        <f t="shared" si="13"/>
        <v/>
      </c>
      <c r="Y368" s="341">
        <f>IF('General price list'!$AB370="",0,'General price list'!$AB370)</f>
        <v>0</v>
      </c>
      <c r="Z368" s="365" t="str">
        <f>IFERROR(X368*VLOOKUP(C368,'General price list'!C:I,7,FALSE),"")</f>
        <v/>
      </c>
      <c r="AA368" s="805" t="str">
        <f>IF(X368&lt;&gt;"",VLOOKUP(C368,'General price list'!C370:AN1343,MATCH("HM",Tabulka1[[#Headers],[KOD]:[NEQ]],0),FALSE),"")</f>
        <v/>
      </c>
    </row>
    <row r="369" spans="1:27">
      <c r="A369">
        <f>COUNTIF($W$22:W369,1)</f>
        <v>0</v>
      </c>
      <c r="B369">
        <v>369</v>
      </c>
      <c r="C369" s="340">
        <f>IFERROR(Tabulka1[[#This Row],[KOD]],"")</f>
        <v>0</v>
      </c>
      <c r="W369" s="804" t="str">
        <f t="shared" si="12"/>
        <v/>
      </c>
      <c r="X369" s="154" t="str">
        <f t="shared" si="13"/>
        <v/>
      </c>
      <c r="Y369" s="341">
        <f>IF('General price list'!$AB371="",0,'General price list'!$AB371)</f>
        <v>0</v>
      </c>
      <c r="Z369" s="365" t="str">
        <f>IFERROR(X369*VLOOKUP(C369,'General price list'!C:I,7,FALSE),"")</f>
        <v/>
      </c>
      <c r="AA369" s="805" t="str">
        <f>IF(X369&lt;&gt;"",VLOOKUP(C369,'General price list'!C371:AN1344,MATCH("HM",Tabulka1[[#Headers],[KOD]:[NEQ]],0),FALSE),"")</f>
        <v/>
      </c>
    </row>
    <row r="370" spans="1:27">
      <c r="A370">
        <f>COUNTIF($W$22:W370,1)</f>
        <v>0</v>
      </c>
      <c r="B370">
        <v>370</v>
      </c>
      <c r="C370" s="340" t="str">
        <f>IFERROR(Tabulka1[[#This Row],[KOD]],"")</f>
        <v>C1614E14</v>
      </c>
      <c r="W370" s="804" t="str">
        <f t="shared" si="12"/>
        <v/>
      </c>
      <c r="X370" s="154" t="str">
        <f t="shared" si="13"/>
        <v/>
      </c>
      <c r="Y370" s="341">
        <f>IF('General price list'!$AB372="",0,'General price list'!$AB372)</f>
        <v>0</v>
      </c>
      <c r="Z370" s="365" t="str">
        <f>IFERROR(X370*VLOOKUP(C370,'General price list'!C:I,7,FALSE),"")</f>
        <v/>
      </c>
      <c r="AA370" s="805" t="str">
        <f>IF(X370&lt;&gt;"",VLOOKUP(C370,'General price list'!C372:AN1345,MATCH("HM",Tabulka1[[#Headers],[KOD]:[NEQ]],0),FALSE),"")</f>
        <v/>
      </c>
    </row>
    <row r="371" spans="1:27">
      <c r="A371">
        <f>COUNTIF($W$22:W371,1)</f>
        <v>0</v>
      </c>
      <c r="B371">
        <v>371</v>
      </c>
      <c r="C371" s="340">
        <f>IFERROR(Tabulka1[[#This Row],[KOD]],"")</f>
        <v>0</v>
      </c>
      <c r="W371" s="804" t="str">
        <f t="shared" si="12"/>
        <v/>
      </c>
      <c r="X371" s="154" t="str">
        <f t="shared" si="13"/>
        <v/>
      </c>
      <c r="Y371" s="341">
        <f>IF('General price list'!$AB373="",0,'General price list'!$AB373)</f>
        <v>0</v>
      </c>
      <c r="Z371" s="365" t="str">
        <f>IFERROR(X371*VLOOKUP(C371,'General price list'!C:I,7,FALSE),"")</f>
        <v/>
      </c>
      <c r="AA371" s="805" t="str">
        <f>IF(X371&lt;&gt;"",VLOOKUP(C371,'General price list'!C373:AN1346,MATCH("HM",Tabulka1[[#Headers],[KOD]:[NEQ]],0),FALSE),"")</f>
        <v/>
      </c>
    </row>
    <row r="372" spans="1:27">
      <c r="A372">
        <f>COUNTIF($W$22:W372,1)</f>
        <v>0</v>
      </c>
      <c r="B372">
        <v>372</v>
      </c>
      <c r="C372" s="340" t="str">
        <f>IFERROR(Tabulka1[[#This Row],[KOD]],"")</f>
        <v>C3614B14</v>
      </c>
      <c r="W372" s="804" t="str">
        <f t="shared" si="12"/>
        <v/>
      </c>
      <c r="X372" s="154" t="str">
        <f t="shared" si="13"/>
        <v/>
      </c>
      <c r="Y372" s="341">
        <f>IF('General price list'!$AB374="",0,'General price list'!$AB374)</f>
        <v>0</v>
      </c>
      <c r="Z372" s="365" t="str">
        <f>IFERROR(X372*VLOOKUP(C372,'General price list'!C:I,7,FALSE),"")</f>
        <v/>
      </c>
      <c r="AA372" s="805" t="str">
        <f>IF(X372&lt;&gt;"",VLOOKUP(C372,'General price list'!C374:AN1347,MATCH("HM",Tabulka1[[#Headers],[KOD]:[NEQ]],0),FALSE),"")</f>
        <v/>
      </c>
    </row>
    <row r="373" spans="1:27">
      <c r="A373">
        <f>COUNTIF($W$22:W373,1)</f>
        <v>0</v>
      </c>
      <c r="B373">
        <v>373</v>
      </c>
      <c r="C373" s="340">
        <f>IFERROR(Tabulka1[[#This Row],[KOD]],"")</f>
        <v>0</v>
      </c>
      <c r="W373" s="804" t="str">
        <f t="shared" si="12"/>
        <v/>
      </c>
      <c r="X373" s="154" t="str">
        <f t="shared" si="13"/>
        <v/>
      </c>
      <c r="Y373" s="341">
        <f>IF('General price list'!$AB375="",0,'General price list'!$AB375)</f>
        <v>0</v>
      </c>
      <c r="Z373" s="365" t="str">
        <f>IFERROR(X373*VLOOKUP(C373,'General price list'!C:I,7,FALSE),"")</f>
        <v/>
      </c>
      <c r="AA373" s="805" t="str">
        <f>IF(X373&lt;&gt;"",VLOOKUP(C373,'General price list'!C375:AN1348,MATCH("HM",Tabulka1[[#Headers],[KOD]:[NEQ]],0),FALSE),"")</f>
        <v/>
      </c>
    </row>
    <row r="374" spans="1:27">
      <c r="A374">
        <f>COUNTIF($W$22:W374,1)</f>
        <v>0</v>
      </c>
      <c r="B374">
        <v>374</v>
      </c>
      <c r="C374" s="340" t="str">
        <f>IFERROR(Tabulka1[[#This Row],[KOD]],"")</f>
        <v>C6414C14</v>
      </c>
      <c r="W374" s="804" t="str">
        <f t="shared" si="12"/>
        <v/>
      </c>
      <c r="X374" s="154" t="str">
        <f t="shared" si="13"/>
        <v/>
      </c>
      <c r="Y374" s="341">
        <f>IF('General price list'!$AB376="",0,'General price list'!$AB376)</f>
        <v>0</v>
      </c>
      <c r="Z374" s="365" t="str">
        <f>IFERROR(X374*VLOOKUP(C374,'General price list'!C:I,7,FALSE),"")</f>
        <v/>
      </c>
      <c r="AA374" s="805" t="str">
        <f>IF(X374&lt;&gt;"",VLOOKUP(C374,'General price list'!C376:AN1349,MATCH("HM",Tabulka1[[#Headers],[KOD]:[NEQ]],0),FALSE),"")</f>
        <v/>
      </c>
    </row>
    <row r="375" spans="1:27">
      <c r="A375">
        <f>COUNTIF($W$22:W375,1)</f>
        <v>0</v>
      </c>
      <c r="B375">
        <v>375</v>
      </c>
      <c r="C375" s="340">
        <f>IFERROR(Tabulka1[[#This Row],[KOD]],"")</f>
        <v>0</v>
      </c>
      <c r="W375" s="804" t="str">
        <f t="shared" si="12"/>
        <v/>
      </c>
      <c r="X375" s="154" t="str">
        <f t="shared" si="13"/>
        <v/>
      </c>
      <c r="Y375" s="341">
        <f>IF('General price list'!$AB377="",0,'General price list'!$AB377)</f>
        <v>0</v>
      </c>
      <c r="Z375" s="365" t="str">
        <f>IFERROR(X375*VLOOKUP(C375,'General price list'!C:I,7,FALSE),"")</f>
        <v/>
      </c>
      <c r="AA375" s="805" t="str">
        <f>IF(X375&lt;&gt;"",VLOOKUP(C375,'General price list'!C377:AN1350,MATCH("HM",Tabulka1[[#Headers],[KOD]:[NEQ]],0),FALSE),"")</f>
        <v/>
      </c>
    </row>
    <row r="376" spans="1:27">
      <c r="A376">
        <f>COUNTIF($W$22:W376,1)</f>
        <v>0</v>
      </c>
      <c r="B376">
        <v>376</v>
      </c>
      <c r="C376" s="340" t="str">
        <f>IFERROR(Tabulka1[[#This Row],[KOD]],"")</f>
        <v>C10014A</v>
      </c>
      <c r="W376" s="804" t="str">
        <f t="shared" si="12"/>
        <v/>
      </c>
      <c r="X376" s="154" t="str">
        <f t="shared" si="13"/>
        <v/>
      </c>
      <c r="Y376" s="341">
        <f>IF('General price list'!$AB378="",0,'General price list'!$AB378)</f>
        <v>0</v>
      </c>
      <c r="Z376" s="365" t="str">
        <f>IFERROR(X376*VLOOKUP(C376,'General price list'!C:I,7,FALSE),"")</f>
        <v/>
      </c>
      <c r="AA376" s="805" t="str">
        <f>IF(X376&lt;&gt;"",VLOOKUP(C376,'General price list'!C378:AN1351,MATCH("HM",Tabulka1[[#Headers],[KOD]:[NEQ]],0),FALSE),"")</f>
        <v/>
      </c>
    </row>
    <row r="377" spans="1:27">
      <c r="A377">
        <f>COUNTIF($W$22:W377,1)</f>
        <v>0</v>
      </c>
      <c r="B377">
        <v>377</v>
      </c>
      <c r="C377" s="340">
        <f>IFERROR(Tabulka1[[#This Row],[KOD]],"")</f>
        <v>0</v>
      </c>
      <c r="W377" s="804" t="str">
        <f t="shared" si="12"/>
        <v/>
      </c>
      <c r="X377" s="154" t="str">
        <f t="shared" si="13"/>
        <v/>
      </c>
      <c r="Y377" s="341">
        <f>IF('General price list'!$AB379="",0,'General price list'!$AB379)</f>
        <v>0</v>
      </c>
      <c r="Z377" s="365" t="str">
        <f>IFERROR(X377*VLOOKUP(C377,'General price list'!C:I,7,FALSE),"")</f>
        <v/>
      </c>
      <c r="AA377" s="805" t="str">
        <f>IF(X377&lt;&gt;"",VLOOKUP(C377,'General price list'!C379:AN1352,MATCH("HM",Tabulka1[[#Headers],[KOD]:[NEQ]],0),FALSE),"")</f>
        <v/>
      </c>
    </row>
    <row r="378" spans="1:27">
      <c r="A378">
        <f>COUNTIF($W$22:W378,1)</f>
        <v>0</v>
      </c>
      <c r="B378">
        <v>378</v>
      </c>
      <c r="C378" s="340" t="str">
        <f>IFERROR(Tabulka1[[#This Row],[KOD]],"")</f>
        <v>C20014F14</v>
      </c>
      <c r="W378" s="804" t="str">
        <f t="shared" si="12"/>
        <v/>
      </c>
      <c r="X378" s="154" t="str">
        <f t="shared" si="13"/>
        <v/>
      </c>
      <c r="Y378" s="341">
        <f>IF('General price list'!$AB380="",0,'General price list'!$AB380)</f>
        <v>0</v>
      </c>
      <c r="Z378" s="365" t="str">
        <f>IFERROR(X378*VLOOKUP(C378,'General price list'!C:I,7,FALSE),"")</f>
        <v/>
      </c>
      <c r="AA378" s="805" t="str">
        <f>IF(X378&lt;&gt;"",VLOOKUP(C378,'General price list'!C380:AN1353,MATCH("HM",Tabulka1[[#Headers],[KOD]:[NEQ]],0),FALSE),"")</f>
        <v/>
      </c>
    </row>
    <row r="379" spans="1:27">
      <c r="A379">
        <f>COUNTIF($W$22:W379,1)</f>
        <v>0</v>
      </c>
      <c r="B379">
        <v>379</v>
      </c>
      <c r="C379" s="340">
        <f>IFERROR(Tabulka1[[#This Row],[KOD]],"")</f>
        <v>0</v>
      </c>
      <c r="W379" s="804" t="str">
        <f t="shared" si="12"/>
        <v/>
      </c>
      <c r="X379" s="154" t="str">
        <f t="shared" si="13"/>
        <v/>
      </c>
      <c r="Y379" s="341">
        <f>IF('General price list'!$AB381="",0,'General price list'!$AB381)</f>
        <v>0</v>
      </c>
      <c r="Z379" s="365" t="str">
        <f>IFERROR(X379*VLOOKUP(C379,'General price list'!C:I,7,FALSE),"")</f>
        <v/>
      </c>
      <c r="AA379" s="805" t="str">
        <f>IF(X379&lt;&gt;"",VLOOKUP(C379,'General price list'!C381:AN1354,MATCH("HM",Tabulka1[[#Headers],[KOD]:[NEQ]],0),FALSE),"")</f>
        <v/>
      </c>
    </row>
    <row r="380" spans="1:27">
      <c r="A380">
        <f>COUNTIF($W$22:W380,1)</f>
        <v>0</v>
      </c>
      <c r="B380">
        <v>380</v>
      </c>
      <c r="C380" s="340" t="str">
        <f>IFERROR(Tabulka1[[#This Row],[KOD]],"")</f>
        <v>C40014W/C14</v>
      </c>
      <c r="W380" s="804" t="str">
        <f t="shared" si="12"/>
        <v/>
      </c>
      <c r="X380" s="154" t="str">
        <f t="shared" si="13"/>
        <v/>
      </c>
      <c r="Y380" s="341">
        <f>IF('General price list'!$AB382="",0,'General price list'!$AB382)</f>
        <v>0</v>
      </c>
      <c r="Z380" s="365" t="str">
        <f>IFERROR(X380*VLOOKUP(C380,'General price list'!C:I,7,FALSE),"")</f>
        <v/>
      </c>
      <c r="AA380" s="805" t="str">
        <f>IF(X380&lt;&gt;"",VLOOKUP(C380,'General price list'!C382:AN1355,MATCH("HM",Tabulka1[[#Headers],[KOD]:[NEQ]],0),FALSE),"")</f>
        <v/>
      </c>
    </row>
    <row r="381" spans="1:27">
      <c r="A381">
        <f>COUNTIF($W$22:W381,1)</f>
        <v>0</v>
      </c>
      <c r="B381">
        <v>381</v>
      </c>
      <c r="C381" s="340">
        <f>IFERROR(Tabulka1[[#This Row],[KOD]],"")</f>
        <v>0</v>
      </c>
      <c r="W381" s="804" t="str">
        <f t="shared" si="12"/>
        <v/>
      </c>
      <c r="X381" s="154" t="str">
        <f t="shared" si="13"/>
        <v/>
      </c>
      <c r="Y381" s="341">
        <f>IF('General price list'!$AB383="",0,'General price list'!$AB383)</f>
        <v>0</v>
      </c>
      <c r="Z381" s="365" t="str">
        <f>IFERROR(X381*VLOOKUP(C381,'General price list'!C:I,7,FALSE),"")</f>
        <v/>
      </c>
      <c r="AA381" s="805" t="str">
        <f>IF(X381&lt;&gt;"",VLOOKUP(C381,'General price list'!C383:AN1356,MATCH("HM",Tabulka1[[#Headers],[KOD]:[NEQ]],0),FALSE),"")</f>
        <v/>
      </c>
    </row>
    <row r="382" spans="1:27">
      <c r="A382">
        <f>COUNTIF($W$22:W382,1)</f>
        <v>0</v>
      </c>
      <c r="B382">
        <v>382</v>
      </c>
      <c r="C382" s="340" t="str">
        <f>IFERROR(Tabulka1[[#This Row],[KOD]],"")</f>
        <v>C20814XPR14</v>
      </c>
      <c r="W382" s="804" t="str">
        <f t="shared" si="12"/>
        <v/>
      </c>
      <c r="X382" s="154" t="str">
        <f t="shared" si="13"/>
        <v/>
      </c>
      <c r="Y382" s="341">
        <f>IF('General price list'!$AB384="",0,'General price list'!$AB384)</f>
        <v>0</v>
      </c>
      <c r="Z382" s="365" t="str">
        <f>IFERROR(X382*VLOOKUP(C382,'General price list'!C:I,7,FALSE),"")</f>
        <v/>
      </c>
      <c r="AA382" s="805" t="str">
        <f>IF(X382&lt;&gt;"",VLOOKUP(C382,'General price list'!C384:AN1357,MATCH("HM",Tabulka1[[#Headers],[KOD]:[NEQ]],0),FALSE),"")</f>
        <v/>
      </c>
    </row>
    <row r="383" spans="1:27">
      <c r="A383">
        <f>COUNTIF($W$22:W383,1)</f>
        <v>0</v>
      </c>
      <c r="B383">
        <v>383</v>
      </c>
      <c r="C383" s="340">
        <f>IFERROR(Tabulka1[[#This Row],[KOD]],"")</f>
        <v>0</v>
      </c>
      <c r="W383" s="804" t="str">
        <f t="shared" si="12"/>
        <v/>
      </c>
      <c r="X383" s="154" t="str">
        <f t="shared" si="13"/>
        <v/>
      </c>
      <c r="Y383" s="341">
        <f>IF('General price list'!$AB385="",0,'General price list'!$AB385)</f>
        <v>0</v>
      </c>
      <c r="Z383" s="365" t="str">
        <f>IFERROR(X383*VLOOKUP(C383,'General price list'!C:I,7,FALSE),"")</f>
        <v/>
      </c>
      <c r="AA383" s="805" t="str">
        <f>IF(X383&lt;&gt;"",VLOOKUP(C383,'General price list'!C385:AN1358,MATCH("HM",Tabulka1[[#Headers],[KOD]:[NEQ]],0),FALSE),"")</f>
        <v/>
      </c>
    </row>
    <row r="384" spans="1:27">
      <c r="A384">
        <f>COUNTIF($W$22:W384,1)</f>
        <v>0</v>
      </c>
      <c r="B384">
        <v>384</v>
      </c>
      <c r="C384" s="340" t="str">
        <f>IFERROR(Tabulka1[[#This Row],[KOD]],"")</f>
        <v>C9016XC14</v>
      </c>
      <c r="W384" s="804" t="str">
        <f t="shared" si="12"/>
        <v/>
      </c>
      <c r="X384" s="154" t="str">
        <f t="shared" si="13"/>
        <v/>
      </c>
      <c r="Y384" s="341">
        <f>IF('General price list'!$AB386="",0,'General price list'!$AB386)</f>
        <v>0</v>
      </c>
      <c r="Z384" s="365" t="str">
        <f>IFERROR(X384*VLOOKUP(C384,'General price list'!C:I,7,FALSE),"")</f>
        <v/>
      </c>
      <c r="AA384" s="805" t="str">
        <f>IF(X384&lt;&gt;"",VLOOKUP(C384,'General price list'!C386:AN1359,MATCH("HM",Tabulka1[[#Headers],[KOD]:[NEQ]],0),FALSE),"")</f>
        <v/>
      </c>
    </row>
    <row r="385" spans="1:27">
      <c r="A385">
        <f>COUNTIF($W$22:W385,1)</f>
        <v>0</v>
      </c>
      <c r="B385">
        <v>385</v>
      </c>
      <c r="C385" s="340">
        <f>IFERROR(Tabulka1[[#This Row],[KOD]],"")</f>
        <v>0</v>
      </c>
      <c r="W385" s="804" t="str">
        <f t="shared" si="12"/>
        <v/>
      </c>
      <c r="X385" s="154" t="str">
        <f t="shared" si="13"/>
        <v/>
      </c>
      <c r="Y385" s="341">
        <f>IF('General price list'!$AB387="",0,'General price list'!$AB387)</f>
        <v>0</v>
      </c>
      <c r="Z385" s="365" t="str">
        <f>IFERROR(X385*VLOOKUP(C385,'General price list'!C:I,7,FALSE),"")</f>
        <v/>
      </c>
      <c r="AA385" s="805" t="str">
        <f>IF(X385&lt;&gt;"",VLOOKUP(C385,'General price list'!C387:AN1360,MATCH("HM",Tabulka1[[#Headers],[KOD]:[NEQ]],0),FALSE),"")</f>
        <v/>
      </c>
    </row>
    <row r="386" spans="1:27">
      <c r="A386">
        <f>COUNTIF($W$22:W386,1)</f>
        <v>0</v>
      </c>
      <c r="B386">
        <v>386</v>
      </c>
      <c r="C386" s="340" t="str">
        <f>IFERROR(Tabulka1[[#This Row],[KOD]],"")</f>
        <v>C16016XP14</v>
      </c>
      <c r="W386" s="804" t="str">
        <f t="shared" si="12"/>
        <v/>
      </c>
      <c r="X386" s="154" t="str">
        <f t="shared" si="13"/>
        <v/>
      </c>
      <c r="Y386" s="341">
        <f>IF('General price list'!$AB388="",0,'General price list'!$AB388)</f>
        <v>0</v>
      </c>
      <c r="Z386" s="365" t="str">
        <f>IFERROR(X386*VLOOKUP(C386,'General price list'!C:I,7,FALSE),"")</f>
        <v/>
      </c>
      <c r="AA386" s="805" t="str">
        <f>IF(X386&lt;&gt;"",VLOOKUP(C386,'General price list'!C388:AN1361,MATCH("HM",Tabulka1[[#Headers],[KOD]:[NEQ]],0),FALSE),"")</f>
        <v/>
      </c>
    </row>
    <row r="387" spans="1:27">
      <c r="A387">
        <f>COUNTIF($W$22:W387,1)</f>
        <v>0</v>
      </c>
      <c r="B387">
        <v>387</v>
      </c>
      <c r="C387" s="340">
        <f>IFERROR(Tabulka1[[#This Row],[KOD]],"")</f>
        <v>0</v>
      </c>
      <c r="W387" s="804" t="str">
        <f t="shared" si="12"/>
        <v/>
      </c>
      <c r="X387" s="154" t="str">
        <f t="shared" si="13"/>
        <v/>
      </c>
      <c r="Y387" s="341">
        <f>IF('General price list'!$AB389="",0,'General price list'!$AB389)</f>
        <v>0</v>
      </c>
      <c r="Z387" s="365" t="str">
        <f>IFERROR(X387*VLOOKUP(C387,'General price list'!C:I,7,FALSE),"")</f>
        <v/>
      </c>
      <c r="AA387" s="805" t="str">
        <f>IF(X387&lt;&gt;"",VLOOKUP(C387,'General price list'!C389:AN1362,MATCH("HM",Tabulka1[[#Headers],[KOD]:[NEQ]],0),FALSE),"")</f>
        <v/>
      </c>
    </row>
    <row r="388" spans="1:27">
      <c r="A388">
        <f>COUNTIF($W$22:W388,1)</f>
        <v>0</v>
      </c>
      <c r="B388">
        <v>388</v>
      </c>
      <c r="C388" s="340" t="str">
        <f>IFERROR(Tabulka1[[#This Row],[KOD]],"")</f>
        <v>C27016XG/C14</v>
      </c>
      <c r="W388" s="804" t="str">
        <f t="shared" si="12"/>
        <v/>
      </c>
      <c r="X388" s="154" t="str">
        <f t="shared" si="13"/>
        <v/>
      </c>
      <c r="Y388" s="341">
        <f>IF('General price list'!$AB390="",0,'General price list'!$AB390)</f>
        <v>0</v>
      </c>
      <c r="Z388" s="365" t="str">
        <f>IFERROR(X388*VLOOKUP(C388,'General price list'!C:I,7,FALSE),"")</f>
        <v/>
      </c>
      <c r="AA388" s="805" t="str">
        <f>IF(X388&lt;&gt;"",VLOOKUP(C388,'General price list'!C390:AN1363,MATCH("HM",Tabulka1[[#Headers],[KOD]:[NEQ]],0),FALSE),"")</f>
        <v/>
      </c>
    </row>
    <row r="389" spans="1:27">
      <c r="A389">
        <f>COUNTIF($W$22:W389,1)</f>
        <v>0</v>
      </c>
      <c r="B389">
        <v>389</v>
      </c>
      <c r="C389" s="340" t="str">
        <f>IFERROR(Tabulka1[[#This Row],[KOD]],"")</f>
        <v>C32016XB/C14</v>
      </c>
      <c r="W389" s="804" t="str">
        <f t="shared" si="12"/>
        <v/>
      </c>
      <c r="X389" s="154" t="str">
        <f t="shared" si="13"/>
        <v/>
      </c>
      <c r="Y389" s="341">
        <f>IF('General price list'!$AB391="",0,'General price list'!$AB391)</f>
        <v>0</v>
      </c>
      <c r="Z389" s="365" t="str">
        <f>IFERROR(X389*VLOOKUP(C389,'General price list'!C:I,7,FALSE),"")</f>
        <v/>
      </c>
      <c r="AA389" s="805" t="str">
        <f>IF(X389&lt;&gt;"",VLOOKUP(C389,'General price list'!C391:AN1364,MATCH("HM",Tabulka1[[#Headers],[KOD]:[NEQ]],0),FALSE),"")</f>
        <v/>
      </c>
    </row>
    <row r="390" spans="1:27">
      <c r="A390">
        <f>COUNTIF($W$22:W390,1)</f>
        <v>0</v>
      </c>
      <c r="B390">
        <v>390</v>
      </c>
      <c r="C390" s="340">
        <f>IFERROR(Tabulka1[[#This Row],[KOD]],"")</f>
        <v>0</v>
      </c>
      <c r="W390" s="804" t="str">
        <f t="shared" si="12"/>
        <v/>
      </c>
      <c r="X390" s="154" t="str">
        <f t="shared" si="13"/>
        <v/>
      </c>
      <c r="Y390" s="341">
        <f>IF('General price list'!$AB392="",0,'General price list'!$AB392)</f>
        <v>0</v>
      </c>
      <c r="Z390" s="365" t="str">
        <f>IFERROR(X390*VLOOKUP(C390,'General price list'!C:I,7,FALSE),"")</f>
        <v/>
      </c>
      <c r="AA390" s="805" t="str">
        <f>IF(X390&lt;&gt;"",VLOOKUP(C390,'General price list'!C392:AN1365,MATCH("HM",Tabulka1[[#Headers],[KOD]:[NEQ]],0),FALSE),"")</f>
        <v/>
      </c>
    </row>
    <row r="391" spans="1:27">
      <c r="A391">
        <f>COUNTIF($W$22:W391,1)</f>
        <v>0</v>
      </c>
      <c r="B391">
        <v>391</v>
      </c>
      <c r="C391" s="340" t="str">
        <f>IFERROR(Tabulka1[[#This Row],[KOD]],"")</f>
        <v>C63MXS14</v>
      </c>
      <c r="W391" s="804" t="str">
        <f t="shared" si="12"/>
        <v/>
      </c>
      <c r="X391" s="154" t="str">
        <f t="shared" si="13"/>
        <v/>
      </c>
      <c r="Y391" s="341">
        <f>IF('General price list'!$AB393="",0,'General price list'!$AB393)</f>
        <v>0</v>
      </c>
      <c r="Z391" s="365" t="str">
        <f>IFERROR(X391*VLOOKUP(C391,'General price list'!C:I,7,FALSE),"")</f>
        <v/>
      </c>
      <c r="AA391" s="805" t="str">
        <f>IF(X391&lt;&gt;"",VLOOKUP(C391,'General price list'!C393:AN1366,MATCH("HM",Tabulka1[[#Headers],[KOD]:[NEQ]],0),FALSE),"")</f>
        <v/>
      </c>
    </row>
    <row r="392" spans="1:27">
      <c r="A392">
        <f>COUNTIF($W$22:W392,1)</f>
        <v>0</v>
      </c>
      <c r="B392">
        <v>392</v>
      </c>
      <c r="C392" s="340">
        <f>IFERROR(Tabulka1[[#This Row],[KOD]],"")</f>
        <v>0</v>
      </c>
      <c r="W392" s="804" t="str">
        <f t="shared" si="12"/>
        <v/>
      </c>
      <c r="X392" s="154" t="str">
        <f t="shared" si="13"/>
        <v/>
      </c>
      <c r="Y392" s="341">
        <f>IF('General price list'!$AB394="",0,'General price list'!$AB394)</f>
        <v>0</v>
      </c>
      <c r="Z392" s="365" t="str">
        <f>IFERROR(X392*VLOOKUP(C392,'General price list'!C:I,7,FALSE),"")</f>
        <v/>
      </c>
      <c r="AA392" s="805" t="str">
        <f>IF(X392&lt;&gt;"",VLOOKUP(C392,'General price list'!C394:AN1367,MATCH("HM",Tabulka1[[#Headers],[KOD]:[NEQ]],0),FALSE),"")</f>
        <v/>
      </c>
    </row>
    <row r="393" spans="1:27">
      <c r="A393">
        <f>COUNTIF($W$22:W393,1)</f>
        <v>0</v>
      </c>
      <c r="B393">
        <v>393</v>
      </c>
      <c r="C393" s="340" t="str">
        <f>IFERROR(Tabulka1[[#This Row],[KOD]],"")</f>
        <v>C920L</v>
      </c>
      <c r="W393" s="804" t="str">
        <f t="shared" si="12"/>
        <v/>
      </c>
      <c r="X393" s="154" t="str">
        <f t="shared" si="13"/>
        <v/>
      </c>
      <c r="Y393" s="341">
        <f>IF('General price list'!$AB395="",0,'General price list'!$AB395)</f>
        <v>0</v>
      </c>
      <c r="Z393" s="365" t="str">
        <f>IFERROR(X393*VLOOKUP(C393,'General price list'!C:I,7,FALSE),"")</f>
        <v/>
      </c>
      <c r="AA393" s="805" t="str">
        <f>IF(X393&lt;&gt;"",VLOOKUP(C393,'General price list'!C395:AN1368,MATCH("HM",Tabulka1[[#Headers],[KOD]:[NEQ]],0),FALSE),"")</f>
        <v/>
      </c>
    </row>
    <row r="394" spans="1:27">
      <c r="A394">
        <f>COUNTIF($W$22:W394,1)</f>
        <v>0</v>
      </c>
      <c r="B394">
        <v>394</v>
      </c>
      <c r="C394" s="340" t="str">
        <f>IFERROR(Tabulka1[[#This Row],[KOD]],"")</f>
        <v>C920M</v>
      </c>
      <c r="W394" s="804" t="str">
        <f t="shared" si="12"/>
        <v/>
      </c>
      <c r="X394" s="154" t="str">
        <f t="shared" si="13"/>
        <v/>
      </c>
      <c r="Y394" s="341">
        <f>IF('General price list'!$AB396="",0,'General price list'!$AB396)</f>
        <v>0</v>
      </c>
      <c r="Z394" s="365" t="str">
        <f>IFERROR(X394*VLOOKUP(C394,'General price list'!C:I,7,FALSE),"")</f>
        <v/>
      </c>
      <c r="AA394" s="805" t="str">
        <f>IF(X394&lt;&gt;"",VLOOKUP(C394,'General price list'!C396:AN1369,MATCH("HM",Tabulka1[[#Headers],[KOD]:[NEQ]],0),FALSE),"")</f>
        <v/>
      </c>
    </row>
    <row r="395" spans="1:27">
      <c r="A395">
        <f>COUNTIF($W$22:W395,1)</f>
        <v>0</v>
      </c>
      <c r="B395">
        <v>395</v>
      </c>
      <c r="C395" s="340">
        <f>IFERROR(Tabulka1[[#This Row],[KOD]],"")</f>
        <v>0</v>
      </c>
      <c r="W395" s="804" t="str">
        <f t="shared" si="12"/>
        <v/>
      </c>
      <c r="X395" s="154" t="str">
        <f t="shared" si="13"/>
        <v/>
      </c>
      <c r="Y395" s="341">
        <f>IF('General price list'!$AB397="",0,'General price list'!$AB397)</f>
        <v>0</v>
      </c>
      <c r="Z395" s="365" t="str">
        <f>IFERROR(X395*VLOOKUP(C395,'General price list'!C:I,7,FALSE),"")</f>
        <v/>
      </c>
      <c r="AA395" s="805" t="str">
        <f>IF(X395&lt;&gt;"",VLOOKUP(C395,'General price list'!C397:AN1370,MATCH("HM",Tabulka1[[#Headers],[KOD]:[NEQ]],0),FALSE),"")</f>
        <v/>
      </c>
    </row>
    <row r="396" spans="1:27">
      <c r="A396">
        <f>COUNTIF($W$22:W396,1)</f>
        <v>0</v>
      </c>
      <c r="B396">
        <v>396</v>
      </c>
      <c r="C396" s="340" t="str">
        <f>IFERROR(Tabulka1[[#This Row],[KOD]],"")</f>
        <v>C1620DU</v>
      </c>
      <c r="W396" s="804" t="str">
        <f t="shared" si="12"/>
        <v/>
      </c>
      <c r="X396" s="154" t="str">
        <f t="shared" si="13"/>
        <v/>
      </c>
      <c r="Y396" s="341">
        <f>IF('General price list'!$AB398="",0,'General price list'!$AB398)</f>
        <v>0</v>
      </c>
      <c r="Z396" s="365" t="str">
        <f>IFERROR(X396*VLOOKUP(C396,'General price list'!C:I,7,FALSE),"")</f>
        <v/>
      </c>
      <c r="AA396" s="805" t="str">
        <f>IF(X396&lt;&gt;"",VLOOKUP(C396,'General price list'!C398:AN1371,MATCH("HM",Tabulka1[[#Headers],[KOD]:[NEQ]],0),FALSE),"")</f>
        <v/>
      </c>
    </row>
    <row r="397" spans="1:27">
      <c r="A397">
        <f>COUNTIF($W$22:W397,1)</f>
        <v>0</v>
      </c>
      <c r="B397">
        <v>397</v>
      </c>
      <c r="C397" s="340" t="str">
        <f>IFERROR(Tabulka1[[#This Row],[KOD]],"")</f>
        <v>C1620DU(5)</v>
      </c>
      <c r="W397" s="804" t="str">
        <f t="shared" si="12"/>
        <v/>
      </c>
      <c r="X397" s="154" t="str">
        <f t="shared" si="13"/>
        <v/>
      </c>
      <c r="Y397" s="341">
        <f>IF('General price list'!$AB399="",0,'General price list'!$AB399)</f>
        <v>0</v>
      </c>
      <c r="Z397" s="365" t="str">
        <f>IFERROR(X397*VLOOKUP(C397,'General price list'!C:I,7,FALSE),"")</f>
        <v/>
      </c>
      <c r="AA397" s="805" t="str">
        <f>IF(X397&lt;&gt;"",VLOOKUP(C397,'General price list'!C399:AN1372,MATCH("HM",Tabulka1[[#Headers],[KOD]:[NEQ]],0),FALSE),"")</f>
        <v/>
      </c>
    </row>
    <row r="398" spans="1:27">
      <c r="A398">
        <f>COUNTIF($W$22:W398,1)</f>
        <v>0</v>
      </c>
      <c r="B398">
        <v>398</v>
      </c>
      <c r="C398" s="340" t="str">
        <f>IFERROR(Tabulka1[[#This Row],[KOD]],"")</f>
        <v>C1620BPF</v>
      </c>
      <c r="W398" s="804" t="str">
        <f t="shared" si="12"/>
        <v/>
      </c>
      <c r="X398" s="154" t="str">
        <f t="shared" si="13"/>
        <v/>
      </c>
      <c r="Y398" s="341">
        <f>IF('General price list'!$AB400="",0,'General price list'!$AB400)</f>
        <v>0</v>
      </c>
      <c r="Z398" s="365" t="str">
        <f>IFERROR(X398*VLOOKUP(C398,'General price list'!C:I,7,FALSE),"")</f>
        <v/>
      </c>
      <c r="AA398" s="805" t="str">
        <f>IF(X398&lt;&gt;"",VLOOKUP(C398,'General price list'!C400:AN1373,MATCH("HM",Tabulka1[[#Headers],[KOD]:[NEQ]],0),FALSE),"")</f>
        <v/>
      </c>
    </row>
    <row r="399" spans="1:27">
      <c r="A399">
        <f>COUNTIF($W$22:W399,1)</f>
        <v>0</v>
      </c>
      <c r="B399">
        <v>399</v>
      </c>
      <c r="C399" s="340" t="str">
        <f>IFERROR(Tabulka1[[#This Row],[KOD]],"")</f>
        <v>C1620H</v>
      </c>
      <c r="W399" s="804" t="str">
        <f t="shared" si="12"/>
        <v/>
      </c>
      <c r="X399" s="154" t="str">
        <f t="shared" si="13"/>
        <v/>
      </c>
      <c r="Y399" s="341">
        <f>IF('General price list'!$AB401="",0,'General price list'!$AB401)</f>
        <v>0</v>
      </c>
      <c r="Z399" s="365" t="str">
        <f>IFERROR(X399*VLOOKUP(C399,'General price list'!C:I,7,FALSE),"")</f>
        <v/>
      </c>
      <c r="AA399" s="805" t="str">
        <f>IF(X399&lt;&gt;"",VLOOKUP(C399,'General price list'!C401:AN1374,MATCH("HM",Tabulka1[[#Headers],[KOD]:[NEQ]],0),FALSE),"")</f>
        <v/>
      </c>
    </row>
    <row r="400" spans="1:27">
      <c r="A400">
        <f>COUNTIF($W$22:W400,1)</f>
        <v>0</v>
      </c>
      <c r="B400">
        <v>400</v>
      </c>
      <c r="C400" s="340" t="str">
        <f>IFERROR(Tabulka1[[#This Row],[KOD]],"")</f>
        <v>C1620N</v>
      </c>
      <c r="W400" s="804" t="str">
        <f t="shared" si="12"/>
        <v/>
      </c>
      <c r="X400" s="154" t="str">
        <f t="shared" si="13"/>
        <v/>
      </c>
      <c r="Y400" s="341">
        <f>IF('General price list'!$AB402="",0,'General price list'!$AB402)</f>
        <v>0</v>
      </c>
      <c r="Z400" s="365" t="str">
        <f>IFERROR(X400*VLOOKUP(C400,'General price list'!C:I,7,FALSE),"")</f>
        <v/>
      </c>
      <c r="AA400" s="805" t="str">
        <f>IF(X400&lt;&gt;"",VLOOKUP(C400,'General price list'!C402:AN1375,MATCH("HM",Tabulka1[[#Headers],[KOD]:[NEQ]],0),FALSE),"")</f>
        <v/>
      </c>
    </row>
    <row r="401" spans="1:27">
      <c r="A401">
        <f>COUNTIF($W$22:W401,1)</f>
        <v>0</v>
      </c>
      <c r="B401">
        <v>401</v>
      </c>
      <c r="C401" s="340" t="str">
        <f>IFERROR(Tabulka1[[#This Row],[KOD]],"")</f>
        <v>C1620F</v>
      </c>
      <c r="W401" s="804" t="str">
        <f t="shared" si="12"/>
        <v/>
      </c>
      <c r="X401" s="154" t="str">
        <f t="shared" si="13"/>
        <v/>
      </c>
      <c r="Y401" s="341">
        <f>IF('General price list'!$AB403="",0,'General price list'!$AB403)</f>
        <v>0</v>
      </c>
      <c r="Z401" s="365" t="str">
        <f>IFERROR(X401*VLOOKUP(C401,'General price list'!C:I,7,FALSE),"")</f>
        <v/>
      </c>
      <c r="AA401" s="805" t="str">
        <f>IF(X401&lt;&gt;"",VLOOKUP(C401,'General price list'!C403:AN1376,MATCH("HM",Tabulka1[[#Headers],[KOD]:[NEQ]],0),FALSE),"")</f>
        <v/>
      </c>
    </row>
    <row r="402" spans="1:27">
      <c r="A402">
        <f>COUNTIF($W$22:W402,1)</f>
        <v>0</v>
      </c>
      <c r="B402">
        <v>402</v>
      </c>
      <c r="C402" s="340">
        <f>IFERROR(Tabulka1[[#This Row],[KOD]],"")</f>
        <v>0</v>
      </c>
      <c r="W402" s="804" t="str">
        <f t="shared" si="12"/>
        <v/>
      </c>
      <c r="X402" s="154" t="str">
        <f t="shared" si="13"/>
        <v/>
      </c>
      <c r="Y402" s="341">
        <f>IF('General price list'!$AB404="",0,'General price list'!$AB404)</f>
        <v>0</v>
      </c>
      <c r="Z402" s="365" t="str">
        <f>IFERROR(X402*VLOOKUP(C402,'General price list'!C:I,7,FALSE),"")</f>
        <v/>
      </c>
      <c r="AA402" s="805" t="str">
        <f>IF(X402&lt;&gt;"",VLOOKUP(C402,'General price list'!C404:AN1377,MATCH("HM",Tabulka1[[#Headers],[KOD]:[NEQ]],0),FALSE),"")</f>
        <v/>
      </c>
    </row>
    <row r="403" spans="1:27">
      <c r="A403">
        <f>COUNTIF($W$22:W403,1)</f>
        <v>0</v>
      </c>
      <c r="B403">
        <v>403</v>
      </c>
      <c r="C403" s="340" t="str">
        <f>IFERROR(Tabulka1[[#This Row],[KOD]],"")</f>
        <v>C1620H14</v>
      </c>
      <c r="W403" s="804" t="str">
        <f t="shared" si="12"/>
        <v/>
      </c>
      <c r="X403" s="154" t="str">
        <f t="shared" si="13"/>
        <v/>
      </c>
      <c r="Y403" s="341">
        <f>IF('General price list'!$AB405="",0,'General price list'!$AB405)</f>
        <v>0</v>
      </c>
      <c r="Z403" s="365" t="str">
        <f>IFERROR(X403*VLOOKUP(C403,'General price list'!C:I,7,FALSE),"")</f>
        <v/>
      </c>
      <c r="AA403" s="805" t="str">
        <f>IF(X403&lt;&gt;"",VLOOKUP(C403,'General price list'!C405:AN1378,MATCH("HM",Tabulka1[[#Headers],[KOD]:[NEQ]],0),FALSE),"")</f>
        <v/>
      </c>
    </row>
    <row r="404" spans="1:27">
      <c r="A404">
        <f>COUNTIF($W$22:W404,1)</f>
        <v>0</v>
      </c>
      <c r="B404">
        <v>404</v>
      </c>
      <c r="C404" s="340" t="str">
        <f>IFERROR(Tabulka1[[#This Row],[KOD]],"")</f>
        <v>C1620F14</v>
      </c>
      <c r="W404" s="804" t="str">
        <f t="shared" si="12"/>
        <v/>
      </c>
      <c r="X404" s="154" t="str">
        <f t="shared" si="13"/>
        <v/>
      </c>
      <c r="Y404" s="341">
        <f>IF('General price list'!$AB406="",0,'General price list'!$AB406)</f>
        <v>0</v>
      </c>
      <c r="Z404" s="365" t="str">
        <f>IFERROR(X404*VLOOKUP(C404,'General price list'!C:I,7,FALSE),"")</f>
        <v/>
      </c>
      <c r="AA404" s="805" t="str">
        <f>IF(X404&lt;&gt;"",VLOOKUP(C404,'General price list'!C406:AN1379,MATCH("HM",Tabulka1[[#Headers],[KOD]:[NEQ]],0),FALSE),"")</f>
        <v/>
      </c>
    </row>
    <row r="405" spans="1:27">
      <c r="A405">
        <f>COUNTIF($W$22:W405,1)</f>
        <v>0</v>
      </c>
      <c r="B405">
        <v>405</v>
      </c>
      <c r="C405" s="340">
        <f>IFERROR(Tabulka1[[#This Row],[KOD]],"")</f>
        <v>0</v>
      </c>
      <c r="W405" s="804" t="str">
        <f t="shared" si="12"/>
        <v/>
      </c>
      <c r="X405" s="154" t="str">
        <f t="shared" si="13"/>
        <v/>
      </c>
      <c r="Y405" s="341">
        <f>IF('General price list'!$AB407="",0,'General price list'!$AB407)</f>
        <v>0</v>
      </c>
      <c r="Z405" s="365" t="str">
        <f>IFERROR(X405*VLOOKUP(C405,'General price list'!C:I,7,FALSE),"")</f>
        <v/>
      </c>
      <c r="AA405" s="805" t="str">
        <f>IF(X405&lt;&gt;"",VLOOKUP(C405,'General price list'!C407:AN1380,MATCH("HM",Tabulka1[[#Headers],[KOD]:[NEQ]],0),FALSE),"")</f>
        <v/>
      </c>
    </row>
    <row r="406" spans="1:27">
      <c r="A406">
        <f>COUNTIF($W$22:W406,1)</f>
        <v>0</v>
      </c>
      <c r="B406">
        <v>406</v>
      </c>
      <c r="C406" s="340" t="str">
        <f>IFERROR(Tabulka1[[#This Row],[KOD]],"")</f>
        <v>CX1620D</v>
      </c>
      <c r="W406" s="804" t="str">
        <f t="shared" si="12"/>
        <v/>
      </c>
      <c r="X406" s="154" t="str">
        <f t="shared" si="13"/>
        <v/>
      </c>
      <c r="Y406" s="341">
        <f>IF('General price list'!$AB408="",0,'General price list'!$AB408)</f>
        <v>0</v>
      </c>
      <c r="Z406" s="365" t="str">
        <f>IFERROR(X406*VLOOKUP(C406,'General price list'!C:I,7,FALSE),"")</f>
        <v/>
      </c>
      <c r="AA406" s="805" t="str">
        <f>IF(X406&lt;&gt;"",VLOOKUP(C406,'General price list'!C408:AN1381,MATCH("HM",Tabulka1[[#Headers],[KOD]:[NEQ]],0),FALSE),"")</f>
        <v/>
      </c>
    </row>
    <row r="407" spans="1:27">
      <c r="A407">
        <f>COUNTIF($W$22:W407,1)</f>
        <v>0</v>
      </c>
      <c r="B407">
        <v>407</v>
      </c>
      <c r="C407" s="340" t="str">
        <f>IFERROR(Tabulka1[[#This Row],[KOD]],"")</f>
        <v>CX1620X</v>
      </c>
      <c r="W407" s="804" t="str">
        <f t="shared" si="12"/>
        <v/>
      </c>
      <c r="X407" s="154" t="str">
        <f t="shared" si="13"/>
        <v/>
      </c>
      <c r="Y407" s="341">
        <f>IF('General price list'!$AB409="",0,'General price list'!$AB409)</f>
        <v>0</v>
      </c>
      <c r="Z407" s="365" t="str">
        <f>IFERROR(X407*VLOOKUP(C407,'General price list'!C:I,7,FALSE),"")</f>
        <v/>
      </c>
      <c r="AA407" s="805" t="str">
        <f>IF(X407&lt;&gt;"",VLOOKUP(C407,'General price list'!C409:AN1382,MATCH("HM",Tabulka1[[#Headers],[KOD]:[NEQ]],0),FALSE),"")</f>
        <v/>
      </c>
    </row>
    <row r="408" spans="1:27">
      <c r="A408">
        <f>COUNTIF($W$22:W408,1)</f>
        <v>0</v>
      </c>
      <c r="B408">
        <v>408</v>
      </c>
      <c r="C408" s="340">
        <f>IFERROR(Tabulka1[[#This Row],[KOD]],"")</f>
        <v>0</v>
      </c>
      <c r="W408" s="804" t="str">
        <f t="shared" ref="W408:W471" si="14">IF(Y408+1=1,"",1)</f>
        <v/>
      </c>
      <c r="X408" s="154" t="str">
        <f t="shared" ref="X408:X471" si="15">IF(Y408+1=1,"",Y408)</f>
        <v/>
      </c>
      <c r="Y408" s="341">
        <f>IF('General price list'!$AB410="",0,'General price list'!$AB410)</f>
        <v>0</v>
      </c>
      <c r="Z408" s="365" t="str">
        <f>IFERROR(X408*VLOOKUP(C408,'General price list'!C:I,7,FALSE),"")</f>
        <v/>
      </c>
      <c r="AA408" s="805" t="str">
        <f>IF(X408&lt;&gt;"",VLOOKUP(C408,'General price list'!C410:AN1383,MATCH("HM",Tabulka1[[#Headers],[KOD]:[NEQ]],0),FALSE),"")</f>
        <v/>
      </c>
    </row>
    <row r="409" spans="1:27">
      <c r="A409">
        <f>COUNTIF($W$22:W409,1)</f>
        <v>0</v>
      </c>
      <c r="B409">
        <v>409</v>
      </c>
      <c r="C409" s="340" t="str">
        <f>IFERROR(Tabulka1[[#This Row],[KOD]],"")</f>
        <v>C2520BP</v>
      </c>
      <c r="W409" s="804" t="str">
        <f t="shared" si="14"/>
        <v/>
      </c>
      <c r="X409" s="154" t="str">
        <f t="shared" si="15"/>
        <v/>
      </c>
      <c r="Y409" s="341">
        <f>IF('General price list'!$AB411="",0,'General price list'!$AB411)</f>
        <v>0</v>
      </c>
      <c r="Z409" s="365" t="str">
        <f>IFERROR(X409*VLOOKUP(C409,'General price list'!C:I,7,FALSE),"")</f>
        <v/>
      </c>
      <c r="AA409" s="805" t="str">
        <f>IF(X409&lt;&gt;"",VLOOKUP(C409,'General price list'!C411:AN1384,MATCH("HM",Tabulka1[[#Headers],[KOD]:[NEQ]],0),FALSE),"")</f>
        <v/>
      </c>
    </row>
    <row r="410" spans="1:27">
      <c r="A410">
        <f>COUNTIF($W$22:W410,1)</f>
        <v>0</v>
      </c>
      <c r="B410">
        <v>410</v>
      </c>
      <c r="C410" s="340" t="str">
        <f>IFERROR(Tabulka1[[#This Row],[KOD]],"")</f>
        <v>C2520SIG</v>
      </c>
      <c r="W410" s="804" t="str">
        <f t="shared" si="14"/>
        <v/>
      </c>
      <c r="X410" s="154" t="str">
        <f t="shared" si="15"/>
        <v/>
      </c>
      <c r="Y410" s="341">
        <f>IF('General price list'!$AB412="",0,'General price list'!$AB412)</f>
        <v>0</v>
      </c>
      <c r="Z410" s="365" t="str">
        <f>IFERROR(X410*VLOOKUP(C410,'General price list'!C:I,7,FALSE),"")</f>
        <v/>
      </c>
      <c r="AA410" s="805" t="str">
        <f>IF(X410&lt;&gt;"",VLOOKUP(C410,'General price list'!C412:AN1385,MATCH("HM",Tabulka1[[#Headers],[KOD]:[NEQ]],0),FALSE),"")</f>
        <v/>
      </c>
    </row>
    <row r="411" spans="1:27">
      <c r="A411">
        <f>COUNTIF($W$22:W411,1)</f>
        <v>0</v>
      </c>
      <c r="B411">
        <v>411</v>
      </c>
      <c r="C411" s="340" t="str">
        <f>IFERROR(Tabulka1[[#This Row],[KOD]],"")</f>
        <v>C2520Z</v>
      </c>
      <c r="W411" s="804" t="str">
        <f t="shared" si="14"/>
        <v/>
      </c>
      <c r="X411" s="154" t="str">
        <f t="shared" si="15"/>
        <v/>
      </c>
      <c r="Y411" s="341">
        <f>IF('General price list'!$AB413="",0,'General price list'!$AB413)</f>
        <v>0</v>
      </c>
      <c r="Z411" s="365" t="str">
        <f>IFERROR(X411*VLOOKUP(C411,'General price list'!C:I,7,FALSE),"")</f>
        <v/>
      </c>
      <c r="AA411" s="805" t="str">
        <f>IF(X411&lt;&gt;"",VLOOKUP(C411,'General price list'!C413:AN1386,MATCH("HM",Tabulka1[[#Headers],[KOD]:[NEQ]],0),FALSE),"")</f>
        <v/>
      </c>
    </row>
    <row r="412" spans="1:27">
      <c r="A412">
        <f>COUNTIF($W$22:W412,1)</f>
        <v>0</v>
      </c>
      <c r="B412">
        <v>412</v>
      </c>
      <c r="C412" s="340" t="str">
        <f>IFERROR(Tabulka1[[#This Row],[KOD]],"")</f>
        <v>C2520DI</v>
      </c>
      <c r="W412" s="804" t="str">
        <f t="shared" si="14"/>
        <v/>
      </c>
      <c r="X412" s="154" t="str">
        <f t="shared" si="15"/>
        <v/>
      </c>
      <c r="Y412" s="341">
        <f>IF('General price list'!$AB414="",0,'General price list'!$AB414)</f>
        <v>0</v>
      </c>
      <c r="Z412" s="365" t="str">
        <f>IFERROR(X412*VLOOKUP(C412,'General price list'!C:I,7,FALSE),"")</f>
        <v/>
      </c>
      <c r="AA412" s="805" t="str">
        <f>IF(X412&lt;&gt;"",VLOOKUP(C412,'General price list'!C414:AN1387,MATCH("HM",Tabulka1[[#Headers],[KOD]:[NEQ]],0),FALSE),"")</f>
        <v/>
      </c>
    </row>
    <row r="413" spans="1:27">
      <c r="A413">
        <f>COUNTIF($W$22:W413,1)</f>
        <v>0</v>
      </c>
      <c r="B413">
        <v>413</v>
      </c>
      <c r="C413" s="340" t="str">
        <f>IFERROR(Tabulka1[[#This Row],[KOD]],"")</f>
        <v>C2520T</v>
      </c>
      <c r="W413" s="804" t="str">
        <f t="shared" si="14"/>
        <v/>
      </c>
      <c r="X413" s="154" t="str">
        <f t="shared" si="15"/>
        <v/>
      </c>
      <c r="Y413" s="341">
        <f>IF('General price list'!$AB415="",0,'General price list'!$AB415)</f>
        <v>0</v>
      </c>
      <c r="Z413" s="365" t="str">
        <f>IFERROR(X413*VLOOKUP(C413,'General price list'!C:I,7,FALSE),"")</f>
        <v/>
      </c>
      <c r="AA413" s="805" t="str">
        <f>IF(X413&lt;&gt;"",VLOOKUP(C413,'General price list'!C415:AN1388,MATCH("HM",Tabulka1[[#Headers],[KOD]:[NEQ]],0),FALSE),"")</f>
        <v/>
      </c>
    </row>
    <row r="414" spans="1:27">
      <c r="A414">
        <f>COUNTIF($W$22:W414,1)</f>
        <v>0</v>
      </c>
      <c r="B414">
        <v>414</v>
      </c>
      <c r="C414" s="340" t="str">
        <f>IFERROR(Tabulka1[[#This Row],[KOD]],"")</f>
        <v>C2520SE</v>
      </c>
      <c r="W414" s="804" t="str">
        <f t="shared" si="14"/>
        <v/>
      </c>
      <c r="X414" s="154" t="str">
        <f t="shared" si="15"/>
        <v/>
      </c>
      <c r="Y414" s="341">
        <f>IF('General price list'!$AB416="",0,'General price list'!$AB416)</f>
        <v>0</v>
      </c>
      <c r="Z414" s="365" t="str">
        <f>IFERROR(X414*VLOOKUP(C414,'General price list'!C:I,7,FALSE),"")</f>
        <v/>
      </c>
      <c r="AA414" s="805" t="str">
        <f>IF(X414&lt;&gt;"",VLOOKUP(C414,'General price list'!C416:AN1389,MATCH("HM",Tabulka1[[#Headers],[KOD]:[NEQ]],0),FALSE),"")</f>
        <v/>
      </c>
    </row>
    <row r="415" spans="1:27">
      <c r="A415">
        <f>COUNTIF($W$22:W415,1)</f>
        <v>0</v>
      </c>
      <c r="B415">
        <v>415</v>
      </c>
      <c r="C415" s="340" t="str">
        <f>IFERROR(Tabulka1[[#This Row],[KOD]],"")</f>
        <v>C2520ST</v>
      </c>
      <c r="W415" s="804" t="str">
        <f t="shared" si="14"/>
        <v/>
      </c>
      <c r="X415" s="154" t="str">
        <f t="shared" si="15"/>
        <v/>
      </c>
      <c r="Y415" s="341">
        <f>IF('General price list'!$AB417="",0,'General price list'!$AB417)</f>
        <v>0</v>
      </c>
      <c r="Z415" s="365" t="str">
        <f>IFERROR(X415*VLOOKUP(C415,'General price list'!C:I,7,FALSE),"")</f>
        <v/>
      </c>
      <c r="AA415" s="805" t="str">
        <f>IF(X415&lt;&gt;"",VLOOKUP(C415,'General price list'!C417:AN1390,MATCH("HM",Tabulka1[[#Headers],[KOD]:[NEQ]],0),FALSE),"")</f>
        <v/>
      </c>
    </row>
    <row r="416" spans="1:27">
      <c r="A416">
        <f>COUNTIF($W$22:W416,1)</f>
        <v>0</v>
      </c>
      <c r="B416">
        <v>416</v>
      </c>
      <c r="C416" s="340" t="str">
        <f>IFERROR(Tabulka1[[#This Row],[KOD]],"")</f>
        <v>C2520SL</v>
      </c>
      <c r="W416" s="804" t="str">
        <f t="shared" si="14"/>
        <v/>
      </c>
      <c r="X416" s="154" t="str">
        <f t="shared" si="15"/>
        <v/>
      </c>
      <c r="Y416" s="341">
        <f>IF('General price list'!$AB418="",0,'General price list'!$AB418)</f>
        <v>0</v>
      </c>
      <c r="Z416" s="365" t="str">
        <f>IFERROR(X416*VLOOKUP(C416,'General price list'!C:I,7,FALSE),"")</f>
        <v/>
      </c>
      <c r="AA416" s="805" t="str">
        <f>IF(X416&lt;&gt;"",VLOOKUP(C416,'General price list'!C418:AN1391,MATCH("HM",Tabulka1[[#Headers],[KOD]:[NEQ]],0),FALSE),"")</f>
        <v/>
      </c>
    </row>
    <row r="417" spans="1:27">
      <c r="A417">
        <f>COUNTIF($W$22:W417,1)</f>
        <v>0</v>
      </c>
      <c r="B417">
        <v>417</v>
      </c>
      <c r="C417" s="340" t="str">
        <f>IFERROR(Tabulka1[[#This Row],[KOD]],"")</f>
        <v>C2520R</v>
      </c>
      <c r="W417" s="804" t="str">
        <f t="shared" si="14"/>
        <v/>
      </c>
      <c r="X417" s="154" t="str">
        <f t="shared" si="15"/>
        <v/>
      </c>
      <c r="Y417" s="341">
        <f>IF('General price list'!$AB419="",0,'General price list'!$AB419)</f>
        <v>0</v>
      </c>
      <c r="Z417" s="365" t="str">
        <f>IFERROR(X417*VLOOKUP(C417,'General price list'!C:I,7,FALSE),"")</f>
        <v/>
      </c>
      <c r="AA417" s="805" t="str">
        <f>IF(X417&lt;&gt;"",VLOOKUP(C417,'General price list'!C419:AN1392,MATCH("HM",Tabulka1[[#Headers],[KOD]:[NEQ]],0),FALSE),"")</f>
        <v/>
      </c>
    </row>
    <row r="418" spans="1:27">
      <c r="A418">
        <f>COUNTIF($W$22:W418,1)</f>
        <v>0</v>
      </c>
      <c r="B418">
        <v>418</v>
      </c>
      <c r="C418" s="340" t="str">
        <f>IFERROR(Tabulka1[[#This Row],[KOD]],"")</f>
        <v>C2520VI</v>
      </c>
      <c r="W418" s="804" t="str">
        <f t="shared" si="14"/>
        <v/>
      </c>
      <c r="X418" s="154" t="str">
        <f t="shared" si="15"/>
        <v/>
      </c>
      <c r="Y418" s="341">
        <f>IF('General price list'!$AB420="",0,'General price list'!$AB420)</f>
        <v>0</v>
      </c>
      <c r="Z418" s="365" t="str">
        <f>IFERROR(X418*VLOOKUP(C418,'General price list'!C:I,7,FALSE),"")</f>
        <v/>
      </c>
      <c r="AA418" s="805" t="str">
        <f>IF(X418&lt;&gt;"",VLOOKUP(C418,'General price list'!C420:AN1393,MATCH("HM",Tabulka1[[#Headers],[KOD]:[NEQ]],0),FALSE),"")</f>
        <v/>
      </c>
    </row>
    <row r="419" spans="1:27">
      <c r="A419">
        <f>COUNTIF($W$22:W419,1)</f>
        <v>0</v>
      </c>
      <c r="B419">
        <v>419</v>
      </c>
      <c r="C419" s="340">
        <f>IFERROR(Tabulka1[[#This Row],[KOD]],"")</f>
        <v>0</v>
      </c>
      <c r="W419" s="804" t="str">
        <f t="shared" si="14"/>
        <v/>
      </c>
      <c r="X419" s="154" t="str">
        <f t="shared" si="15"/>
        <v/>
      </c>
      <c r="Y419" s="341">
        <f>IF('General price list'!$AB421="",0,'General price list'!$AB421)</f>
        <v>0</v>
      </c>
      <c r="Z419" s="365" t="str">
        <f>IFERROR(X419*VLOOKUP(C419,'General price list'!C:I,7,FALSE),"")</f>
        <v/>
      </c>
      <c r="AA419" s="805" t="str">
        <f>IF(X419&lt;&gt;"",VLOOKUP(C419,'General price list'!C421:AN1394,MATCH("HM",Tabulka1[[#Headers],[KOD]:[NEQ]],0),FALSE),"")</f>
        <v/>
      </c>
    </row>
    <row r="420" spans="1:27">
      <c r="A420">
        <f>COUNTIF($W$22:W420,1)</f>
        <v>0</v>
      </c>
      <c r="B420">
        <v>420</v>
      </c>
      <c r="C420" s="340" t="str">
        <f>IFERROR(Tabulka1[[#This Row],[KOD]],"")</f>
        <v>C2520DI14</v>
      </c>
      <c r="W420" s="804" t="str">
        <f t="shared" si="14"/>
        <v/>
      </c>
      <c r="X420" s="154" t="str">
        <f t="shared" si="15"/>
        <v/>
      </c>
      <c r="Y420" s="341">
        <f>IF('General price list'!$AB422="",0,'General price list'!$AB422)</f>
        <v>0</v>
      </c>
      <c r="Z420" s="365" t="str">
        <f>IFERROR(X420*VLOOKUP(C420,'General price list'!C:I,7,FALSE),"")</f>
        <v/>
      </c>
      <c r="AA420" s="805" t="str">
        <f>IF(X420&lt;&gt;"",VLOOKUP(C420,'General price list'!C422:AN1395,MATCH("HM",Tabulka1[[#Headers],[KOD]:[NEQ]],0),FALSE),"")</f>
        <v/>
      </c>
    </row>
    <row r="421" spans="1:27">
      <c r="A421">
        <f>COUNTIF($W$22:W421,1)</f>
        <v>0</v>
      </c>
      <c r="B421">
        <v>421</v>
      </c>
      <c r="C421" s="340" t="str">
        <f>IFERROR(Tabulka1[[#This Row],[KOD]],"")</f>
        <v>C2520T14</v>
      </c>
      <c r="W421" s="804" t="str">
        <f t="shared" si="14"/>
        <v/>
      </c>
      <c r="X421" s="154" t="str">
        <f t="shared" si="15"/>
        <v/>
      </c>
      <c r="Y421" s="341">
        <f>IF('General price list'!$AB423="",0,'General price list'!$AB423)</f>
        <v>0</v>
      </c>
      <c r="Z421" s="365" t="str">
        <f>IFERROR(X421*VLOOKUP(C421,'General price list'!C:I,7,FALSE),"")</f>
        <v/>
      </c>
      <c r="AA421" s="805" t="str">
        <f>IF(X421&lt;&gt;"",VLOOKUP(C421,'General price list'!C423:AN1396,MATCH("HM",Tabulka1[[#Headers],[KOD]:[NEQ]],0),FALSE),"")</f>
        <v/>
      </c>
    </row>
    <row r="422" spans="1:27">
      <c r="A422">
        <f>COUNTIF($W$22:W422,1)</f>
        <v>0</v>
      </c>
      <c r="B422">
        <v>422</v>
      </c>
      <c r="C422" s="340" t="str">
        <f>IFERROR(Tabulka1[[#This Row],[KOD]],"")</f>
        <v>C2520SE14</v>
      </c>
      <c r="W422" s="804" t="str">
        <f t="shared" si="14"/>
        <v/>
      </c>
      <c r="X422" s="154" t="str">
        <f t="shared" si="15"/>
        <v/>
      </c>
      <c r="Y422" s="341">
        <f>IF('General price list'!$AB424="",0,'General price list'!$AB424)</f>
        <v>0</v>
      </c>
      <c r="Z422" s="365" t="str">
        <f>IFERROR(X422*VLOOKUP(C422,'General price list'!C:I,7,FALSE),"")</f>
        <v/>
      </c>
      <c r="AA422" s="805" t="str">
        <f>IF(X422&lt;&gt;"",VLOOKUP(C422,'General price list'!C424:AN1397,MATCH("HM",Tabulka1[[#Headers],[KOD]:[NEQ]],0),FALSE),"")</f>
        <v/>
      </c>
    </row>
    <row r="423" spans="1:27">
      <c r="A423">
        <f>COUNTIF($W$22:W423,1)</f>
        <v>0</v>
      </c>
      <c r="B423">
        <v>423</v>
      </c>
      <c r="C423" s="340">
        <f>IFERROR(Tabulka1[[#This Row],[KOD]],"")</f>
        <v>0</v>
      </c>
      <c r="W423" s="804" t="str">
        <f t="shared" si="14"/>
        <v/>
      </c>
      <c r="X423" s="154" t="str">
        <f t="shared" si="15"/>
        <v/>
      </c>
      <c r="Y423" s="341">
        <f>IF('General price list'!$AB425="",0,'General price list'!$AB425)</f>
        <v>0</v>
      </c>
      <c r="Z423" s="365" t="str">
        <f>IFERROR(X423*VLOOKUP(C423,'General price list'!C:I,7,FALSE),"")</f>
        <v/>
      </c>
      <c r="AA423" s="805" t="str">
        <f>IF(X423&lt;&gt;"",VLOOKUP(C423,'General price list'!C425:AN1398,MATCH("HM",Tabulka1[[#Headers],[KOD]:[NEQ]],0),FALSE),"")</f>
        <v/>
      </c>
    </row>
    <row r="424" spans="1:27">
      <c r="A424">
        <f>COUNTIF($W$22:W424,1)</f>
        <v>0</v>
      </c>
      <c r="B424">
        <v>424</v>
      </c>
      <c r="C424" s="340" t="str">
        <f>IFERROR(Tabulka1[[#This Row],[KOD]],"")</f>
        <v>C3620V</v>
      </c>
      <c r="W424" s="804" t="str">
        <f t="shared" si="14"/>
        <v/>
      </c>
      <c r="X424" s="154" t="str">
        <f t="shared" si="15"/>
        <v/>
      </c>
      <c r="Y424" s="341">
        <f>IF('General price list'!$AB426="",0,'General price list'!$AB426)</f>
        <v>0</v>
      </c>
      <c r="Z424" s="365" t="str">
        <f>IFERROR(X424*VLOOKUP(C424,'General price list'!C:I,7,FALSE),"")</f>
        <v/>
      </c>
      <c r="AA424" s="805" t="str">
        <f>IF(X424&lt;&gt;"",VLOOKUP(C424,'General price list'!C426:AN1399,MATCH("HM",Tabulka1[[#Headers],[KOD]:[NEQ]],0),FALSE),"")</f>
        <v/>
      </c>
    </row>
    <row r="425" spans="1:27">
      <c r="A425">
        <f>COUNTIF($W$22:W425,1)</f>
        <v>0</v>
      </c>
      <c r="B425">
        <v>425</v>
      </c>
      <c r="C425" s="340">
        <f>IFERROR(Tabulka1[[#This Row],[KOD]],"")</f>
        <v>0</v>
      </c>
      <c r="W425" s="804" t="str">
        <f t="shared" si="14"/>
        <v/>
      </c>
      <c r="X425" s="154" t="str">
        <f t="shared" si="15"/>
        <v/>
      </c>
      <c r="Y425" s="341">
        <f>IF('General price list'!$AB427="",0,'General price list'!$AB427)</f>
        <v>0</v>
      </c>
      <c r="Z425" s="365" t="str">
        <f>IFERROR(X425*VLOOKUP(C425,'General price list'!C:I,7,FALSE),"")</f>
        <v/>
      </c>
      <c r="AA425" s="805" t="str">
        <f>IF(X425&lt;&gt;"",VLOOKUP(C425,'General price list'!C427:AN1400,MATCH("HM",Tabulka1[[#Headers],[KOD]:[NEQ]],0),FALSE),"")</f>
        <v/>
      </c>
    </row>
    <row r="426" spans="1:27">
      <c r="A426">
        <f>COUNTIF($W$22:W426,1)</f>
        <v>0</v>
      </c>
      <c r="B426">
        <v>426</v>
      </c>
      <c r="C426" s="340" t="str">
        <f>IFERROR(Tabulka1[[#This Row],[KOD]],"")</f>
        <v>C3620N14</v>
      </c>
      <c r="W426" s="804" t="str">
        <f t="shared" si="14"/>
        <v/>
      </c>
      <c r="X426" s="154" t="str">
        <f t="shared" si="15"/>
        <v/>
      </c>
      <c r="Y426" s="341">
        <f>IF('General price list'!$AB428="",0,'General price list'!$AB428)</f>
        <v>0</v>
      </c>
      <c r="Z426" s="365" t="str">
        <f>IFERROR(X426*VLOOKUP(C426,'General price list'!C:I,7,FALSE),"")</f>
        <v/>
      </c>
      <c r="AA426" s="805" t="str">
        <f>IF(X426&lt;&gt;"",VLOOKUP(C426,'General price list'!C428:AN1401,MATCH("HM",Tabulka1[[#Headers],[KOD]:[NEQ]],0),FALSE),"")</f>
        <v/>
      </c>
    </row>
    <row r="427" spans="1:27">
      <c r="A427">
        <f>COUNTIF($W$22:W427,1)</f>
        <v>0</v>
      </c>
      <c r="B427">
        <v>427</v>
      </c>
      <c r="C427" s="340" t="str">
        <f>IFERROR(Tabulka1[[#This Row],[KOD]],"")</f>
        <v>C3620NO14</v>
      </c>
      <c r="W427" s="804" t="str">
        <f t="shared" si="14"/>
        <v/>
      </c>
      <c r="X427" s="154" t="str">
        <f t="shared" si="15"/>
        <v/>
      </c>
      <c r="Y427" s="341">
        <f>IF('General price list'!$AB429="",0,'General price list'!$AB429)</f>
        <v>0</v>
      </c>
      <c r="Z427" s="365" t="str">
        <f>IFERROR(X427*VLOOKUP(C427,'General price list'!C:I,7,FALSE),"")</f>
        <v/>
      </c>
      <c r="AA427" s="805" t="str">
        <f>IF(X427&lt;&gt;"",VLOOKUP(C427,'General price list'!C429:AN1402,MATCH("HM",Tabulka1[[#Headers],[KOD]:[NEQ]],0),FALSE),"")</f>
        <v/>
      </c>
    </row>
    <row r="428" spans="1:27">
      <c r="A428">
        <f>COUNTIF($W$22:W428,1)</f>
        <v>0</v>
      </c>
      <c r="B428">
        <v>428</v>
      </c>
      <c r="C428" s="340">
        <f>IFERROR(Tabulka1[[#This Row],[KOD]],"")</f>
        <v>0</v>
      </c>
      <c r="W428" s="804" t="str">
        <f t="shared" si="14"/>
        <v/>
      </c>
      <c r="X428" s="154" t="str">
        <f t="shared" si="15"/>
        <v/>
      </c>
      <c r="Y428" s="341">
        <f>IF('General price list'!$AB430="",0,'General price list'!$AB430)</f>
        <v>0</v>
      </c>
      <c r="Z428" s="365" t="str">
        <f>IFERROR(X428*VLOOKUP(C428,'General price list'!C:I,7,FALSE),"")</f>
        <v/>
      </c>
      <c r="AA428" s="805" t="str">
        <f>IF(X428&lt;&gt;"",VLOOKUP(C428,'General price list'!C430:AN1403,MATCH("HM",Tabulka1[[#Headers],[KOD]:[NEQ]],0),FALSE),"")</f>
        <v/>
      </c>
    </row>
    <row r="429" spans="1:27">
      <c r="A429">
        <f>COUNTIF($W$22:W429,1)</f>
        <v>0</v>
      </c>
      <c r="B429">
        <v>429</v>
      </c>
      <c r="C429" s="340" t="str">
        <f>IFERROR(Tabulka1[[#This Row],[KOD]],"")</f>
        <v>C4920BPF</v>
      </c>
      <c r="W429" s="804" t="str">
        <f t="shared" si="14"/>
        <v/>
      </c>
      <c r="X429" s="154" t="str">
        <f t="shared" si="15"/>
        <v/>
      </c>
      <c r="Y429" s="341">
        <f>IF('General price list'!$AB431="",0,'General price list'!$AB431)</f>
        <v>0</v>
      </c>
      <c r="Z429" s="365" t="str">
        <f>IFERROR(X429*VLOOKUP(C429,'General price list'!C:I,7,FALSE),"")</f>
        <v/>
      </c>
      <c r="AA429" s="805" t="str">
        <f>IF(X429&lt;&gt;"",VLOOKUP(C429,'General price list'!C431:AN1404,MATCH("HM",Tabulka1[[#Headers],[KOD]:[NEQ]],0),FALSE),"")</f>
        <v/>
      </c>
    </row>
    <row r="430" spans="1:27">
      <c r="A430">
        <f>COUNTIF($W$22:W430,1)</f>
        <v>0</v>
      </c>
      <c r="B430">
        <v>430</v>
      </c>
      <c r="C430" s="340" t="str">
        <f>IFERROR(Tabulka1[[#This Row],[KOD]],"")</f>
        <v>C4920SIG</v>
      </c>
      <c r="W430" s="804" t="str">
        <f t="shared" si="14"/>
        <v/>
      </c>
      <c r="X430" s="154" t="str">
        <f t="shared" si="15"/>
        <v/>
      </c>
      <c r="Y430" s="341">
        <f>IF('General price list'!$AB432="",0,'General price list'!$AB432)</f>
        <v>0</v>
      </c>
      <c r="Z430" s="365" t="str">
        <f>IFERROR(X430*VLOOKUP(C430,'General price list'!C:I,7,FALSE),"")</f>
        <v/>
      </c>
      <c r="AA430" s="805" t="str">
        <f>IF(X430&lt;&gt;"",VLOOKUP(C430,'General price list'!C432:AN1405,MATCH("HM",Tabulka1[[#Headers],[KOD]:[NEQ]],0),FALSE),"")</f>
        <v/>
      </c>
    </row>
    <row r="431" spans="1:27">
      <c r="A431">
        <f>COUNTIF($W$22:W431,1)</f>
        <v>0</v>
      </c>
      <c r="B431">
        <v>431</v>
      </c>
      <c r="C431" s="340" t="str">
        <f>IFERROR(Tabulka1[[#This Row],[KOD]],"")</f>
        <v>C4920DR</v>
      </c>
      <c r="W431" s="804" t="str">
        <f t="shared" si="14"/>
        <v/>
      </c>
      <c r="X431" s="154" t="str">
        <f t="shared" si="15"/>
        <v/>
      </c>
      <c r="Y431" s="341">
        <f>IF('General price list'!$AB433="",0,'General price list'!$AB433)</f>
        <v>0</v>
      </c>
      <c r="Z431" s="365" t="str">
        <f>IFERROR(X431*VLOOKUP(C431,'General price list'!C:I,7,FALSE),"")</f>
        <v/>
      </c>
      <c r="AA431" s="805" t="str">
        <f>IF(X431&lt;&gt;"",VLOOKUP(C431,'General price list'!C433:AN1406,MATCH("HM",Tabulka1[[#Headers],[KOD]:[NEQ]],0),FALSE),"")</f>
        <v/>
      </c>
    </row>
    <row r="432" spans="1:27">
      <c r="A432">
        <f>COUNTIF($W$22:W432,1)</f>
        <v>0</v>
      </c>
      <c r="B432">
        <v>432</v>
      </c>
      <c r="C432" s="340" t="str">
        <f>IFERROR(Tabulka1[[#This Row],[KOD]],"")</f>
        <v>C4920K</v>
      </c>
      <c r="W432" s="804" t="str">
        <f t="shared" si="14"/>
        <v/>
      </c>
      <c r="X432" s="154" t="str">
        <f t="shared" si="15"/>
        <v/>
      </c>
      <c r="Y432" s="341">
        <f>IF('General price list'!$AB434="",0,'General price list'!$AB434)</f>
        <v>0</v>
      </c>
      <c r="Z432" s="365" t="str">
        <f>IFERROR(X432*VLOOKUP(C432,'General price list'!C:I,7,FALSE),"")</f>
        <v/>
      </c>
      <c r="AA432" s="805" t="str">
        <f>IF(X432&lt;&gt;"",VLOOKUP(C432,'General price list'!C434:AN1407,MATCH("HM",Tabulka1[[#Headers],[KOD]:[NEQ]],0),FALSE),"")</f>
        <v/>
      </c>
    </row>
    <row r="433" spans="1:27">
      <c r="A433">
        <f>COUNTIF($W$22:W433,1)</f>
        <v>0</v>
      </c>
      <c r="B433">
        <v>433</v>
      </c>
      <c r="C433" s="340" t="str">
        <f>IFERROR(Tabulka1[[#This Row],[KOD]],"")</f>
        <v>C4920S</v>
      </c>
      <c r="W433" s="804" t="str">
        <f t="shared" si="14"/>
        <v/>
      </c>
      <c r="X433" s="154" t="str">
        <f t="shared" si="15"/>
        <v/>
      </c>
      <c r="Y433" s="341">
        <f>IF('General price list'!$AB435="",0,'General price list'!$AB435)</f>
        <v>0</v>
      </c>
      <c r="Z433" s="365" t="str">
        <f>IFERROR(X433*VLOOKUP(C433,'General price list'!C:I,7,FALSE),"")</f>
        <v/>
      </c>
      <c r="AA433" s="805" t="str">
        <f>IF(X433&lt;&gt;"",VLOOKUP(C433,'General price list'!C435:AN1408,MATCH("HM",Tabulka1[[#Headers],[KOD]:[NEQ]],0),FALSE),"")</f>
        <v/>
      </c>
    </row>
    <row r="434" spans="1:27">
      <c r="A434">
        <f>COUNTIF($W$22:W434,1)</f>
        <v>0</v>
      </c>
      <c r="B434">
        <v>434</v>
      </c>
      <c r="C434" s="340">
        <f>IFERROR(Tabulka1[[#This Row],[KOD]],"")</f>
        <v>0</v>
      </c>
      <c r="W434" s="804" t="str">
        <f t="shared" si="14"/>
        <v/>
      </c>
      <c r="X434" s="154" t="str">
        <f t="shared" si="15"/>
        <v/>
      </c>
      <c r="Y434" s="341">
        <f>IF('General price list'!$AB436="",0,'General price list'!$AB436)</f>
        <v>0</v>
      </c>
      <c r="Z434" s="365" t="str">
        <f>IFERROR(X434*VLOOKUP(C434,'General price list'!C:I,7,FALSE),"")</f>
        <v/>
      </c>
      <c r="AA434" s="805" t="str">
        <f>IF(X434&lt;&gt;"",VLOOKUP(C434,'General price list'!C436:AN1409,MATCH("HM",Tabulka1[[#Headers],[KOD]:[NEQ]],0),FALSE),"")</f>
        <v/>
      </c>
    </row>
    <row r="435" spans="1:27">
      <c r="A435">
        <f>COUNTIF($W$22:W435,1)</f>
        <v>0</v>
      </c>
      <c r="B435">
        <v>435</v>
      </c>
      <c r="C435" s="340" t="str">
        <f>IFERROR(Tabulka1[[#This Row],[KOD]],"")</f>
        <v>C4920DR14</v>
      </c>
      <c r="W435" s="804" t="str">
        <f t="shared" si="14"/>
        <v/>
      </c>
      <c r="X435" s="154" t="str">
        <f t="shared" si="15"/>
        <v/>
      </c>
      <c r="Y435" s="341">
        <f>IF('General price list'!$AB437="",0,'General price list'!$AB437)</f>
        <v>0</v>
      </c>
      <c r="Z435" s="365" t="str">
        <f>IFERROR(X435*VLOOKUP(C435,'General price list'!C:I,7,FALSE),"")</f>
        <v/>
      </c>
      <c r="AA435" s="805" t="str">
        <f>IF(X435&lt;&gt;"",VLOOKUP(C435,'General price list'!C437:AN1410,MATCH("HM",Tabulka1[[#Headers],[KOD]:[NEQ]],0),FALSE),"")</f>
        <v/>
      </c>
    </row>
    <row r="436" spans="1:27">
      <c r="A436">
        <f>COUNTIF($W$22:W436,1)</f>
        <v>0</v>
      </c>
      <c r="B436">
        <v>436</v>
      </c>
      <c r="C436" s="340" t="str">
        <f>IFERROR(Tabulka1[[#This Row],[KOD]],"")</f>
        <v>C4920S14</v>
      </c>
      <c r="W436" s="804" t="str">
        <f t="shared" si="14"/>
        <v/>
      </c>
      <c r="X436" s="154" t="str">
        <f t="shared" si="15"/>
        <v/>
      </c>
      <c r="Y436" s="341">
        <f>IF('General price list'!$AB438="",0,'General price list'!$AB438)</f>
        <v>0</v>
      </c>
      <c r="Z436" s="365" t="str">
        <f>IFERROR(X436*VLOOKUP(C436,'General price list'!C:I,7,FALSE),"")</f>
        <v/>
      </c>
      <c r="AA436" s="805" t="str">
        <f>IF(X436&lt;&gt;"",VLOOKUP(C436,'General price list'!C438:AN1411,MATCH("HM",Tabulka1[[#Headers],[KOD]:[NEQ]],0),FALSE),"")</f>
        <v/>
      </c>
    </row>
    <row r="437" spans="1:27">
      <c r="A437">
        <f>COUNTIF($W$22:W437,1)</f>
        <v>0</v>
      </c>
      <c r="B437">
        <v>437</v>
      </c>
      <c r="C437" s="340">
        <f>IFERROR(Tabulka1[[#This Row],[KOD]],"")</f>
        <v>0</v>
      </c>
      <c r="W437" s="804" t="str">
        <f t="shared" si="14"/>
        <v/>
      </c>
      <c r="X437" s="154" t="str">
        <f t="shared" si="15"/>
        <v/>
      </c>
      <c r="Y437" s="341">
        <f>IF('General price list'!$AB439="",0,'General price list'!$AB439)</f>
        <v>0</v>
      </c>
      <c r="Z437" s="365" t="str">
        <f>IFERROR(X437*VLOOKUP(C437,'General price list'!C:I,7,FALSE),"")</f>
        <v/>
      </c>
      <c r="AA437" s="805" t="str">
        <f>IF(X437&lt;&gt;"",VLOOKUP(C437,'General price list'!C439:AN1412,MATCH("HM",Tabulka1[[#Headers],[KOD]:[NEQ]],0),FALSE),"")</f>
        <v/>
      </c>
    </row>
    <row r="438" spans="1:27">
      <c r="A438">
        <f>COUNTIF($W$22:W438,1)</f>
        <v>0</v>
      </c>
      <c r="B438">
        <v>438</v>
      </c>
      <c r="C438" s="340" t="str">
        <f>IFERROR(Tabulka1[[#This Row],[KOD]],"")</f>
        <v>CF4920G</v>
      </c>
      <c r="W438" s="804" t="str">
        <f t="shared" si="14"/>
        <v/>
      </c>
      <c r="X438" s="154" t="str">
        <f t="shared" si="15"/>
        <v/>
      </c>
      <c r="Y438" s="341">
        <f>IF('General price list'!$AB440="",0,'General price list'!$AB440)</f>
        <v>0</v>
      </c>
      <c r="Z438" s="365" t="str">
        <f>IFERROR(X438*VLOOKUP(C438,'General price list'!C:I,7,FALSE),"")</f>
        <v/>
      </c>
      <c r="AA438" s="805" t="str">
        <f>IF(X438&lt;&gt;"",VLOOKUP(C438,'General price list'!C440:AN1413,MATCH("HM",Tabulka1[[#Headers],[KOD]:[NEQ]],0),FALSE),"")</f>
        <v/>
      </c>
    </row>
    <row r="439" spans="1:27">
      <c r="A439">
        <f>COUNTIF($W$22:W439,1)</f>
        <v>0</v>
      </c>
      <c r="B439">
        <v>439</v>
      </c>
      <c r="C439" s="340" t="str">
        <f>IFERROR(Tabulka1[[#This Row],[KOD]],"")</f>
        <v>CF4920J</v>
      </c>
      <c r="W439" s="804" t="str">
        <f t="shared" si="14"/>
        <v/>
      </c>
      <c r="X439" s="154" t="str">
        <f t="shared" si="15"/>
        <v/>
      </c>
      <c r="Y439" s="341">
        <f>IF('General price list'!$AB441="",0,'General price list'!$AB441)</f>
        <v>0</v>
      </c>
      <c r="Z439" s="365" t="str">
        <f>IFERROR(X439*VLOOKUP(C439,'General price list'!C:I,7,FALSE),"")</f>
        <v/>
      </c>
      <c r="AA439" s="805" t="str">
        <f>IF(X439&lt;&gt;"",VLOOKUP(C439,'General price list'!C441:AN1414,MATCH("HM",Tabulka1[[#Headers],[KOD]:[NEQ]],0),FALSE),"")</f>
        <v/>
      </c>
    </row>
    <row r="440" spans="1:27">
      <c r="A440">
        <f>COUNTIF($W$22:W440,1)</f>
        <v>0</v>
      </c>
      <c r="B440">
        <v>440</v>
      </c>
      <c r="C440" s="340" t="str">
        <f>IFERROR(Tabulka1[[#This Row],[KOD]],"")</f>
        <v>CF4920A</v>
      </c>
      <c r="W440" s="804" t="str">
        <f t="shared" si="14"/>
        <v/>
      </c>
      <c r="X440" s="154" t="str">
        <f t="shared" si="15"/>
        <v/>
      </c>
      <c r="Y440" s="341">
        <f>IF('General price list'!$AB442="",0,'General price list'!$AB442)</f>
        <v>0</v>
      </c>
      <c r="Z440" s="365" t="str">
        <f>IFERROR(X440*VLOOKUP(C440,'General price list'!C:I,7,FALSE),"")</f>
        <v/>
      </c>
      <c r="AA440" s="805" t="str">
        <f>IF(X440&lt;&gt;"",VLOOKUP(C440,'General price list'!C442:AN1415,MATCH("HM",Tabulka1[[#Headers],[KOD]:[NEQ]],0),FALSE),"")</f>
        <v/>
      </c>
    </row>
    <row r="441" spans="1:27">
      <c r="A441">
        <f>COUNTIF($W$22:W441,1)</f>
        <v>0</v>
      </c>
      <c r="B441">
        <v>441</v>
      </c>
      <c r="C441" s="340">
        <f>IFERROR(Tabulka1[[#This Row],[KOD]],"")</f>
        <v>0</v>
      </c>
      <c r="W441" s="804" t="str">
        <f t="shared" si="14"/>
        <v/>
      </c>
      <c r="X441" s="154" t="str">
        <f t="shared" si="15"/>
        <v/>
      </c>
      <c r="Y441" s="341">
        <f>IF('General price list'!$AB443="",0,'General price list'!$AB443)</f>
        <v>0</v>
      </c>
      <c r="Z441" s="365" t="str">
        <f>IFERROR(X441*VLOOKUP(C441,'General price list'!C:I,7,FALSE),"")</f>
        <v/>
      </c>
      <c r="AA441" s="805" t="str">
        <f>IF(X441&lt;&gt;"",VLOOKUP(C441,'General price list'!C443:AN1416,MATCH("HM",Tabulka1[[#Headers],[KOD]:[NEQ]],0),FALSE),"")</f>
        <v/>
      </c>
    </row>
    <row r="442" spans="1:27">
      <c r="A442">
        <f>COUNTIF($W$22:W442,1)</f>
        <v>0</v>
      </c>
      <c r="B442">
        <v>442</v>
      </c>
      <c r="C442" s="340" t="str">
        <f>IFERROR(Tabulka1[[#This Row],[KOD]],"")</f>
        <v>CF4920G14</v>
      </c>
      <c r="W442" s="804" t="str">
        <f t="shared" si="14"/>
        <v/>
      </c>
      <c r="X442" s="154" t="str">
        <f t="shared" si="15"/>
        <v/>
      </c>
      <c r="Y442" s="341">
        <f>IF('General price list'!$AB444="",0,'General price list'!$AB444)</f>
        <v>0</v>
      </c>
      <c r="Z442" s="365" t="str">
        <f>IFERROR(X442*VLOOKUP(C442,'General price list'!C:I,7,FALSE),"")</f>
        <v/>
      </c>
      <c r="AA442" s="805" t="str">
        <f>IF(X442&lt;&gt;"",VLOOKUP(C442,'General price list'!C444:AN1417,MATCH("HM",Tabulka1[[#Headers],[KOD]:[NEQ]],0),FALSE),"")</f>
        <v/>
      </c>
    </row>
    <row r="443" spans="1:27">
      <c r="A443">
        <f>COUNTIF($W$22:W443,1)</f>
        <v>0</v>
      </c>
      <c r="B443">
        <v>443</v>
      </c>
      <c r="C443" s="340">
        <f>IFERROR(Tabulka1[[#This Row],[KOD]],"")</f>
        <v>0</v>
      </c>
      <c r="W443" s="804" t="str">
        <f t="shared" si="14"/>
        <v/>
      </c>
      <c r="X443" s="154" t="str">
        <f t="shared" si="15"/>
        <v/>
      </c>
      <c r="Y443" s="341">
        <f>IF('General price list'!$AB445="",0,'General price list'!$AB445)</f>
        <v>0</v>
      </c>
      <c r="Z443" s="365" t="str">
        <f>IFERROR(X443*VLOOKUP(C443,'General price list'!C:I,7,FALSE),"")</f>
        <v/>
      </c>
      <c r="AA443" s="805" t="str">
        <f>IF(X443&lt;&gt;"",VLOOKUP(C443,'General price list'!C445:AN1418,MATCH("HM",Tabulka1[[#Headers],[KOD]:[NEQ]],0),FALSE),"")</f>
        <v/>
      </c>
    </row>
    <row r="444" spans="1:27">
      <c r="A444">
        <f>COUNTIF($W$22:W444,1)</f>
        <v>0</v>
      </c>
      <c r="B444">
        <v>444</v>
      </c>
      <c r="C444" s="340" t="str">
        <f>IFERROR(Tabulka1[[#This Row],[KOD]],"")</f>
        <v>C6420BPW</v>
      </c>
      <c r="W444" s="804" t="str">
        <f t="shared" si="14"/>
        <v/>
      </c>
      <c r="X444" s="154" t="str">
        <f t="shared" si="15"/>
        <v/>
      </c>
      <c r="Y444" s="341">
        <f>IF('General price list'!$AB446="",0,'General price list'!$AB446)</f>
        <v>0</v>
      </c>
      <c r="Z444" s="365" t="str">
        <f>IFERROR(X444*VLOOKUP(C444,'General price list'!C:I,7,FALSE),"")</f>
        <v/>
      </c>
      <c r="AA444" s="805" t="str">
        <f>IF(X444&lt;&gt;"",VLOOKUP(C444,'General price list'!C446:AN1419,MATCH("HM",Tabulka1[[#Headers],[KOD]:[NEQ]],0),FALSE),"")</f>
        <v/>
      </c>
    </row>
    <row r="445" spans="1:27">
      <c r="A445">
        <f>COUNTIF($W$22:W445,1)</f>
        <v>0</v>
      </c>
      <c r="B445">
        <v>445</v>
      </c>
      <c r="C445" s="340" t="str">
        <f>IFERROR(Tabulka1[[#This Row],[KOD]],"")</f>
        <v>C6420B</v>
      </c>
      <c r="W445" s="804" t="str">
        <f t="shared" si="14"/>
        <v/>
      </c>
      <c r="X445" s="154" t="str">
        <f t="shared" si="15"/>
        <v/>
      </c>
      <c r="Y445" s="341">
        <f>IF('General price list'!$AB447="",0,'General price list'!$AB447)</f>
        <v>0</v>
      </c>
      <c r="Z445" s="365" t="str">
        <f>IFERROR(X445*VLOOKUP(C445,'General price list'!C:I,7,FALSE),"")</f>
        <v/>
      </c>
      <c r="AA445" s="805" t="str">
        <f>IF(X445&lt;&gt;"",VLOOKUP(C445,'General price list'!C447:AN1420,MATCH("HM",Tabulka1[[#Headers],[KOD]:[NEQ]],0),FALSE),"")</f>
        <v/>
      </c>
    </row>
    <row r="446" spans="1:27">
      <c r="A446">
        <f>COUNTIF($W$22:W446,1)</f>
        <v>0</v>
      </c>
      <c r="B446">
        <v>446</v>
      </c>
      <c r="C446" s="340" t="str">
        <f>IFERROR(Tabulka1[[#This Row],[KOD]],"")</f>
        <v>C6420G</v>
      </c>
      <c r="W446" s="804" t="str">
        <f t="shared" si="14"/>
        <v/>
      </c>
      <c r="X446" s="154" t="str">
        <f t="shared" si="15"/>
        <v/>
      </c>
      <c r="Y446" s="341">
        <f>IF('General price list'!$AB448="",0,'General price list'!$AB448)</f>
        <v>0</v>
      </c>
      <c r="Z446" s="365" t="str">
        <f>IFERROR(X446*VLOOKUP(C446,'General price list'!C:I,7,FALSE),"")</f>
        <v/>
      </c>
      <c r="AA446" s="805" t="str">
        <f>IF(X446&lt;&gt;"",VLOOKUP(C446,'General price list'!C448:AN1421,MATCH("HM",Tabulka1[[#Headers],[KOD]:[NEQ]],0),FALSE),"")</f>
        <v/>
      </c>
    </row>
    <row r="447" spans="1:27">
      <c r="A447">
        <f>COUNTIF($W$22:W447,1)</f>
        <v>0</v>
      </c>
      <c r="B447">
        <v>447</v>
      </c>
      <c r="C447" s="340" t="str">
        <f>IFERROR(Tabulka1[[#This Row],[KOD]],"")</f>
        <v>C6420D</v>
      </c>
      <c r="W447" s="804" t="str">
        <f t="shared" si="14"/>
        <v/>
      </c>
      <c r="X447" s="154" t="str">
        <f t="shared" si="15"/>
        <v/>
      </c>
      <c r="Y447" s="341">
        <f>IF('General price list'!$AB449="",0,'General price list'!$AB449)</f>
        <v>0</v>
      </c>
      <c r="Z447" s="365" t="str">
        <f>IFERROR(X447*VLOOKUP(C447,'General price list'!C:I,7,FALSE),"")</f>
        <v/>
      </c>
      <c r="AA447" s="805" t="str">
        <f>IF(X447&lt;&gt;"",VLOOKUP(C447,'General price list'!C449:AN1422,MATCH("HM",Tabulka1[[#Headers],[KOD]:[NEQ]],0),FALSE),"")</f>
        <v/>
      </c>
    </row>
    <row r="448" spans="1:27">
      <c r="A448">
        <f>COUNTIF($W$22:W448,1)</f>
        <v>0</v>
      </c>
      <c r="B448">
        <v>448</v>
      </c>
      <c r="C448" s="340">
        <f>IFERROR(Tabulka1[[#This Row],[KOD]],"")</f>
        <v>0</v>
      </c>
      <c r="W448" s="804" t="str">
        <f t="shared" si="14"/>
        <v/>
      </c>
      <c r="X448" s="154" t="str">
        <f t="shared" si="15"/>
        <v/>
      </c>
      <c r="Y448" s="341">
        <f>IF('General price list'!$AB450="",0,'General price list'!$AB450)</f>
        <v>0</v>
      </c>
      <c r="Z448" s="365" t="str">
        <f>IFERROR(X448*VLOOKUP(C448,'General price list'!C:I,7,FALSE),"")</f>
        <v/>
      </c>
      <c r="AA448" s="805" t="str">
        <f>IF(X448&lt;&gt;"",VLOOKUP(C448,'General price list'!C450:AN1423,MATCH("HM",Tabulka1[[#Headers],[KOD]:[NEQ]],0),FALSE),"")</f>
        <v/>
      </c>
    </row>
    <row r="449" spans="1:27">
      <c r="A449">
        <f>COUNTIF($W$22:W449,1)</f>
        <v>0</v>
      </c>
      <c r="B449">
        <v>449</v>
      </c>
      <c r="C449" s="340" t="str">
        <f>IFERROR(Tabulka1[[#This Row],[KOD]],"")</f>
        <v>C6420D14</v>
      </c>
      <c r="W449" s="804" t="str">
        <f t="shared" si="14"/>
        <v/>
      </c>
      <c r="X449" s="154" t="str">
        <f t="shared" si="15"/>
        <v/>
      </c>
      <c r="Y449" s="341">
        <f>IF('General price list'!$AB451="",0,'General price list'!$AB451)</f>
        <v>0</v>
      </c>
      <c r="Z449" s="365" t="str">
        <f>IFERROR(X449*VLOOKUP(C449,'General price list'!C:I,7,FALSE),"")</f>
        <v/>
      </c>
      <c r="AA449" s="805" t="str">
        <f>IF(X449&lt;&gt;"",VLOOKUP(C449,'General price list'!C451:AN1424,MATCH("HM",Tabulka1[[#Headers],[KOD]:[NEQ]],0),FALSE),"")</f>
        <v/>
      </c>
    </row>
    <row r="450" spans="1:27">
      <c r="A450">
        <f>COUNTIF($W$22:W450,1)</f>
        <v>0</v>
      </c>
      <c r="B450">
        <v>450</v>
      </c>
      <c r="C450" s="340">
        <f>IFERROR(Tabulka1[[#This Row],[KOD]],"")</f>
        <v>0</v>
      </c>
      <c r="W450" s="804" t="str">
        <f t="shared" si="14"/>
        <v/>
      </c>
      <c r="X450" s="154" t="str">
        <f t="shared" si="15"/>
        <v/>
      </c>
      <c r="Y450" s="341">
        <f>IF('General price list'!$AB452="",0,'General price list'!$AB452)</f>
        <v>0</v>
      </c>
      <c r="Z450" s="365" t="str">
        <f>IFERROR(X450*VLOOKUP(C450,'General price list'!C:I,7,FALSE),"")</f>
        <v/>
      </c>
      <c r="AA450" s="805" t="str">
        <f>IF(X450&lt;&gt;"",VLOOKUP(C450,'General price list'!C452:AN1425,MATCH("HM",Tabulka1[[#Headers],[KOD]:[NEQ]],0),FALSE),"")</f>
        <v/>
      </c>
    </row>
    <row r="451" spans="1:27">
      <c r="A451">
        <f>COUNTIF($W$22:W451,1)</f>
        <v>0</v>
      </c>
      <c r="B451">
        <v>451</v>
      </c>
      <c r="C451" s="340" t="str">
        <f>IFERROR(Tabulka1[[#This Row],[KOD]],"")</f>
        <v>C6620P</v>
      </c>
      <c r="W451" s="804" t="str">
        <f t="shared" si="14"/>
        <v/>
      </c>
      <c r="X451" s="154" t="str">
        <f t="shared" si="15"/>
        <v/>
      </c>
      <c r="Y451" s="341">
        <f>IF('General price list'!$AB453="",0,'General price list'!$AB453)</f>
        <v>0</v>
      </c>
      <c r="Z451" s="365" t="str">
        <f>IFERROR(X451*VLOOKUP(C451,'General price list'!C:I,7,FALSE),"")</f>
        <v/>
      </c>
      <c r="AA451" s="805" t="str">
        <f>IF(X451&lt;&gt;"",VLOOKUP(C451,'General price list'!C453:AN1426,MATCH("HM",Tabulka1[[#Headers],[KOD]:[NEQ]],0),FALSE),"")</f>
        <v/>
      </c>
    </row>
    <row r="452" spans="1:27">
      <c r="A452">
        <f>COUNTIF($W$22:W452,1)</f>
        <v>0</v>
      </c>
      <c r="B452">
        <v>452</v>
      </c>
      <c r="C452" s="340" t="str">
        <f>IFERROR(Tabulka1[[#This Row],[KOD]],"")</f>
        <v>C6620L</v>
      </c>
      <c r="W452" s="804" t="str">
        <f t="shared" si="14"/>
        <v/>
      </c>
      <c r="X452" s="154" t="str">
        <f t="shared" si="15"/>
        <v/>
      </c>
      <c r="Y452" s="341">
        <f>IF('General price list'!$AB454="",0,'General price list'!$AB454)</f>
        <v>0</v>
      </c>
      <c r="Z452" s="365" t="str">
        <f>IFERROR(X452*VLOOKUP(C452,'General price list'!C:I,7,FALSE),"")</f>
        <v/>
      </c>
      <c r="AA452" s="805" t="str">
        <f>IF(X452&lt;&gt;"",VLOOKUP(C452,'General price list'!C454:AN1427,MATCH("HM",Tabulka1[[#Headers],[KOD]:[NEQ]],0),FALSE),"")</f>
        <v/>
      </c>
    </row>
    <row r="453" spans="1:27">
      <c r="A453">
        <f>COUNTIF($W$22:W453,1)</f>
        <v>0</v>
      </c>
      <c r="B453">
        <v>453</v>
      </c>
      <c r="C453" s="340">
        <f>IFERROR(Tabulka1[[#This Row],[KOD]],"")</f>
        <v>0</v>
      </c>
      <c r="W453" s="804" t="str">
        <f t="shared" si="14"/>
        <v/>
      </c>
      <c r="X453" s="154" t="str">
        <f t="shared" si="15"/>
        <v/>
      </c>
      <c r="Y453" s="341">
        <f>IF('General price list'!$AB455="",0,'General price list'!$AB455)</f>
        <v>0</v>
      </c>
      <c r="Z453" s="365" t="str">
        <f>IFERROR(X453*VLOOKUP(C453,'General price list'!C:I,7,FALSE),"")</f>
        <v/>
      </c>
      <c r="AA453" s="805" t="str">
        <f>IF(X453&lt;&gt;"",VLOOKUP(C453,'General price list'!C455:AN1428,MATCH("HM",Tabulka1[[#Headers],[KOD]:[NEQ]],0),FALSE),"")</f>
        <v/>
      </c>
    </row>
    <row r="454" spans="1:27">
      <c r="A454">
        <f>COUNTIF($W$22:W454,1)</f>
        <v>0</v>
      </c>
      <c r="B454">
        <v>454</v>
      </c>
      <c r="C454" s="340" t="str">
        <f>IFERROR(Tabulka1[[#This Row],[KOD]],"")</f>
        <v>C6620P14</v>
      </c>
      <c r="W454" s="804" t="str">
        <f t="shared" si="14"/>
        <v/>
      </c>
      <c r="X454" s="154" t="str">
        <f t="shared" si="15"/>
        <v/>
      </c>
      <c r="Y454" s="341">
        <f>IF('General price list'!$AB456="",0,'General price list'!$AB456)</f>
        <v>0</v>
      </c>
      <c r="Z454" s="365" t="str">
        <f>IFERROR(X454*VLOOKUP(C454,'General price list'!C:I,7,FALSE),"")</f>
        <v/>
      </c>
      <c r="AA454" s="805" t="str">
        <f>IF(X454&lt;&gt;"",VLOOKUP(C454,'General price list'!C456:AN1429,MATCH("HM",Tabulka1[[#Headers],[KOD]:[NEQ]],0),FALSE),"")</f>
        <v/>
      </c>
    </row>
    <row r="455" spans="1:27">
      <c r="A455">
        <f>COUNTIF($W$22:W455,1)</f>
        <v>0</v>
      </c>
      <c r="B455">
        <v>455</v>
      </c>
      <c r="C455" s="340">
        <f>IFERROR(Tabulka1[[#This Row],[KOD]],"")</f>
        <v>0</v>
      </c>
      <c r="W455" s="804" t="str">
        <f t="shared" si="14"/>
        <v/>
      </c>
      <c r="X455" s="154" t="str">
        <f t="shared" si="15"/>
        <v/>
      </c>
      <c r="Y455" s="341">
        <f>IF('General price list'!$AB457="",0,'General price list'!$AB457)</f>
        <v>0</v>
      </c>
      <c r="Z455" s="365" t="str">
        <f>IFERROR(X455*VLOOKUP(C455,'General price list'!C:I,7,FALSE),"")</f>
        <v/>
      </c>
      <c r="AA455" s="805" t="str">
        <f>IF(X455&lt;&gt;"",VLOOKUP(C455,'General price list'!C457:AN1430,MATCH("HM",Tabulka1[[#Headers],[KOD]:[NEQ]],0),FALSE),"")</f>
        <v/>
      </c>
    </row>
    <row r="456" spans="1:27">
      <c r="A456">
        <f>COUNTIF($W$22:W456,1)</f>
        <v>0</v>
      </c>
      <c r="B456">
        <v>456</v>
      </c>
      <c r="C456" s="340" t="str">
        <f>IFERROR(Tabulka1[[#This Row],[KOD]],"")</f>
        <v>C9020SIG</v>
      </c>
      <c r="W456" s="804" t="str">
        <f t="shared" si="14"/>
        <v/>
      </c>
      <c r="X456" s="154" t="str">
        <f t="shared" si="15"/>
        <v/>
      </c>
      <c r="Y456" s="341">
        <f>IF('General price list'!$AB458="",0,'General price list'!$AB458)</f>
        <v>0</v>
      </c>
      <c r="Z456" s="365" t="str">
        <f>IFERROR(X456*VLOOKUP(C456,'General price list'!C:I,7,FALSE),"")</f>
        <v/>
      </c>
      <c r="AA456" s="805" t="str">
        <f>IF(X456&lt;&gt;"",VLOOKUP(C456,'General price list'!C458:AN1431,MATCH("HM",Tabulka1[[#Headers],[KOD]:[NEQ]],0),FALSE),"")</f>
        <v/>
      </c>
    </row>
    <row r="457" spans="1:27">
      <c r="A457">
        <f>COUNTIF($W$22:W457,1)</f>
        <v>0</v>
      </c>
      <c r="B457">
        <v>457</v>
      </c>
      <c r="C457" s="340" t="str">
        <f>IFERROR(Tabulka1[[#This Row],[KOD]],"")</f>
        <v>C9020V</v>
      </c>
      <c r="W457" s="804" t="str">
        <f t="shared" si="14"/>
        <v/>
      </c>
      <c r="X457" s="154" t="str">
        <f t="shared" si="15"/>
        <v/>
      </c>
      <c r="Y457" s="341">
        <f>IF('General price list'!$AB459="",0,'General price list'!$AB459)</f>
        <v>0</v>
      </c>
      <c r="Z457" s="365" t="str">
        <f>IFERROR(X457*VLOOKUP(C457,'General price list'!C:I,7,FALSE),"")</f>
        <v/>
      </c>
      <c r="AA457" s="805" t="str">
        <f>IF(X457&lt;&gt;"",VLOOKUP(C457,'General price list'!C459:AN1432,MATCH("HM",Tabulka1[[#Headers],[KOD]:[NEQ]],0),FALSE),"")</f>
        <v/>
      </c>
    </row>
    <row r="458" spans="1:27">
      <c r="A458">
        <f>COUNTIF($W$22:W458,1)</f>
        <v>0</v>
      </c>
      <c r="B458">
        <v>458</v>
      </c>
      <c r="C458" s="340" t="str">
        <f>IFERROR(Tabulka1[[#This Row],[KOD]],"")</f>
        <v>C9020X</v>
      </c>
      <c r="W458" s="804" t="str">
        <f t="shared" si="14"/>
        <v/>
      </c>
      <c r="X458" s="154" t="str">
        <f t="shared" si="15"/>
        <v/>
      </c>
      <c r="Y458" s="341">
        <f>IF('General price list'!$AB460="",0,'General price list'!$AB460)</f>
        <v>0</v>
      </c>
      <c r="Z458" s="365" t="str">
        <f>IFERROR(X458*VLOOKUP(C458,'General price list'!C:I,7,FALSE),"")</f>
        <v/>
      </c>
      <c r="AA458" s="805" t="str">
        <f>IF(X458&lt;&gt;"",VLOOKUP(C458,'General price list'!C460:AN1433,MATCH("HM",Tabulka1[[#Headers],[KOD]:[NEQ]],0),FALSE),"")</f>
        <v/>
      </c>
    </row>
    <row r="459" spans="1:27">
      <c r="A459">
        <f>COUNTIF($W$22:W459,1)</f>
        <v>0</v>
      </c>
      <c r="B459">
        <v>459</v>
      </c>
      <c r="C459" s="340">
        <f>IFERROR(Tabulka1[[#This Row],[KOD]],"")</f>
        <v>0</v>
      </c>
      <c r="W459" s="804" t="str">
        <f t="shared" si="14"/>
        <v/>
      </c>
      <c r="X459" s="154" t="str">
        <f t="shared" si="15"/>
        <v/>
      </c>
      <c r="Y459" s="341">
        <f>IF('General price list'!$AB461="",0,'General price list'!$AB461)</f>
        <v>0</v>
      </c>
      <c r="Z459" s="365" t="str">
        <f>IFERROR(X459*VLOOKUP(C459,'General price list'!C:I,7,FALSE),"")</f>
        <v/>
      </c>
      <c r="AA459" s="805" t="str">
        <f>IF(X459&lt;&gt;"",VLOOKUP(C459,'General price list'!C461:AN1434,MATCH("HM",Tabulka1[[#Headers],[KOD]:[NEQ]],0),FALSE),"")</f>
        <v/>
      </c>
    </row>
    <row r="460" spans="1:27">
      <c r="A460">
        <f>COUNTIF($W$22:W460,1)</f>
        <v>0</v>
      </c>
      <c r="B460">
        <v>460</v>
      </c>
      <c r="C460" s="340" t="str">
        <f>IFERROR(Tabulka1[[#This Row],[KOD]],"")</f>
        <v>C10020BP14</v>
      </c>
      <c r="W460" s="804" t="str">
        <f t="shared" si="14"/>
        <v/>
      </c>
      <c r="X460" s="154" t="str">
        <f t="shared" si="15"/>
        <v/>
      </c>
      <c r="Y460" s="341">
        <f>IF('General price list'!$AB462="",0,'General price list'!$AB462)</f>
        <v>0</v>
      </c>
      <c r="Z460" s="365" t="str">
        <f>IFERROR(X460*VLOOKUP(C460,'General price list'!C:I,7,FALSE),"")</f>
        <v/>
      </c>
      <c r="AA460" s="805" t="str">
        <f>IF(X460&lt;&gt;"",VLOOKUP(C460,'General price list'!C462:AN1435,MATCH("HM",Tabulka1[[#Headers],[KOD]:[NEQ]],0),FALSE),"")</f>
        <v/>
      </c>
    </row>
    <row r="461" spans="1:27">
      <c r="A461">
        <f>COUNTIF($W$22:W461,1)</f>
        <v>0</v>
      </c>
      <c r="B461">
        <v>461</v>
      </c>
      <c r="C461" s="340" t="str">
        <f>IFERROR(Tabulka1[[#This Row],[KOD]],"")</f>
        <v>C10020BPS14</v>
      </c>
      <c r="W461" s="804" t="str">
        <f t="shared" si="14"/>
        <v/>
      </c>
      <c r="X461" s="154" t="str">
        <f t="shared" si="15"/>
        <v/>
      </c>
      <c r="Y461" s="341">
        <f>IF('General price list'!$AB463="",0,'General price list'!$AB463)</f>
        <v>0</v>
      </c>
      <c r="Z461" s="365" t="str">
        <f>IFERROR(X461*VLOOKUP(C461,'General price list'!C:I,7,FALSE),"")</f>
        <v/>
      </c>
      <c r="AA461" s="805" t="str">
        <f>IF(X461&lt;&gt;"",VLOOKUP(C461,'General price list'!C463:AN1436,MATCH("HM",Tabulka1[[#Headers],[KOD]:[NEQ]],0),FALSE),"")</f>
        <v/>
      </c>
    </row>
    <row r="462" spans="1:27">
      <c r="A462">
        <f>COUNTIF($W$22:W462,1)</f>
        <v>0</v>
      </c>
      <c r="B462">
        <v>462</v>
      </c>
      <c r="C462" s="340" t="str">
        <f>IFERROR(Tabulka1[[#This Row],[KOD]],"")</f>
        <v>C10020NID14</v>
      </c>
      <c r="W462" s="804" t="str">
        <f t="shared" si="14"/>
        <v/>
      </c>
      <c r="X462" s="154" t="str">
        <f t="shared" si="15"/>
        <v/>
      </c>
      <c r="Y462" s="341">
        <f>IF('General price list'!$AB464="",0,'General price list'!$AB464)</f>
        <v>0</v>
      </c>
      <c r="Z462" s="365" t="str">
        <f>IFERROR(X462*VLOOKUP(C462,'General price list'!C:I,7,FALSE),"")</f>
        <v/>
      </c>
      <c r="AA462" s="805" t="str">
        <f>IF(X462&lt;&gt;"",VLOOKUP(C462,'General price list'!C464:AN1437,MATCH("HM",Tabulka1[[#Headers],[KOD]:[NEQ]],0),FALSE),"")</f>
        <v/>
      </c>
    </row>
    <row r="463" spans="1:27">
      <c r="A463">
        <f>COUNTIF($W$22:W463,1)</f>
        <v>0</v>
      </c>
      <c r="B463">
        <v>463</v>
      </c>
      <c r="C463" s="340">
        <f>IFERROR(Tabulka1[[#This Row],[KOD]],"")</f>
        <v>0</v>
      </c>
      <c r="W463" s="804" t="str">
        <f t="shared" si="14"/>
        <v/>
      </c>
      <c r="X463" s="154" t="str">
        <f t="shared" si="15"/>
        <v/>
      </c>
      <c r="Y463" s="341">
        <f>IF('General price list'!$AB465="",0,'General price list'!$AB465)</f>
        <v>0</v>
      </c>
      <c r="Z463" s="365" t="str">
        <f>IFERROR(X463*VLOOKUP(C463,'General price list'!C:I,7,FALSE),"")</f>
        <v/>
      </c>
      <c r="AA463" s="805" t="str">
        <f>IF(X463&lt;&gt;"",VLOOKUP(C463,'General price list'!C465:AN1438,MATCH("HM",Tabulka1[[#Headers],[KOD]:[NEQ]],0),FALSE),"")</f>
        <v/>
      </c>
    </row>
    <row r="464" spans="1:27">
      <c r="A464">
        <f>COUNTIF($W$22:W464,1)</f>
        <v>0</v>
      </c>
      <c r="B464">
        <v>464</v>
      </c>
      <c r="C464" s="340" t="str">
        <f>IFERROR(Tabulka1[[#This Row],[KOD]],"")</f>
        <v>C10020XBPW14</v>
      </c>
      <c r="W464" s="804" t="str">
        <f t="shared" si="14"/>
        <v/>
      </c>
      <c r="X464" s="154" t="str">
        <f t="shared" si="15"/>
        <v/>
      </c>
      <c r="Y464" s="341">
        <f>IF('General price list'!$AB466="",0,'General price list'!$AB466)</f>
        <v>0</v>
      </c>
      <c r="Z464" s="365" t="str">
        <f>IFERROR(X464*VLOOKUP(C464,'General price list'!C:I,7,FALSE),"")</f>
        <v/>
      </c>
      <c r="AA464" s="805" t="str">
        <f>IF(X464&lt;&gt;"",VLOOKUP(C464,'General price list'!C466:AN1439,MATCH("HM",Tabulka1[[#Headers],[KOD]:[NEQ]],0),FALSE),"")</f>
        <v/>
      </c>
    </row>
    <row r="465" spans="1:27">
      <c r="A465">
        <f>COUNTIF($W$22:W465,1)</f>
        <v>0</v>
      </c>
      <c r="B465">
        <v>465</v>
      </c>
      <c r="C465" s="340" t="str">
        <f>IFERROR(Tabulka1[[#This Row],[KOD]],"")</f>
        <v>C10020XBP14</v>
      </c>
      <c r="W465" s="804" t="str">
        <f t="shared" si="14"/>
        <v/>
      </c>
      <c r="X465" s="154" t="str">
        <f t="shared" si="15"/>
        <v/>
      </c>
      <c r="Y465" s="341">
        <f>IF('General price list'!$AB467="",0,'General price list'!$AB467)</f>
        <v>0</v>
      </c>
      <c r="Z465" s="365" t="str">
        <f>IFERROR(X465*VLOOKUP(C465,'General price list'!C:I,7,FALSE),"")</f>
        <v/>
      </c>
      <c r="AA465" s="805" t="str">
        <f>IF(X465&lt;&gt;"",VLOOKUP(C465,'General price list'!C467:AN1440,MATCH("HM",Tabulka1[[#Headers],[KOD]:[NEQ]],0),FALSE),"")</f>
        <v/>
      </c>
    </row>
    <row r="466" spans="1:27">
      <c r="A466">
        <f>COUNTIF($W$22:W466,1)</f>
        <v>0</v>
      </c>
      <c r="B466">
        <v>466</v>
      </c>
      <c r="C466" s="340" t="str">
        <f>IFERROR(Tabulka1[[#This Row],[KOD]],"")</f>
        <v>C10020XTS14</v>
      </c>
      <c r="W466" s="804" t="str">
        <f t="shared" si="14"/>
        <v/>
      </c>
      <c r="X466" s="154" t="str">
        <f t="shared" si="15"/>
        <v/>
      </c>
      <c r="Y466" s="341">
        <f>IF('General price list'!$AB468="",0,'General price list'!$AB468)</f>
        <v>0</v>
      </c>
      <c r="Z466" s="365" t="str">
        <f>IFERROR(X466*VLOOKUP(C466,'General price list'!C:I,7,FALSE),"")</f>
        <v/>
      </c>
      <c r="AA466" s="805" t="str">
        <f>IF(X466&lt;&gt;"",VLOOKUP(C466,'General price list'!C468:AN1441,MATCH("HM",Tabulka1[[#Headers],[KOD]:[NEQ]],0),FALSE),"")</f>
        <v/>
      </c>
    </row>
    <row r="467" spans="1:27">
      <c r="A467">
        <f>COUNTIF($W$22:W467,1)</f>
        <v>0</v>
      </c>
      <c r="B467">
        <v>467</v>
      </c>
      <c r="C467" s="340" t="str">
        <f>IFERROR(Tabulka1[[#This Row],[KOD]],"")</f>
        <v>C10020XPR14</v>
      </c>
      <c r="W467" s="804" t="str">
        <f t="shared" si="14"/>
        <v/>
      </c>
      <c r="X467" s="154" t="str">
        <f t="shared" si="15"/>
        <v/>
      </c>
      <c r="Y467" s="341">
        <f>IF('General price list'!$AB469="",0,'General price list'!$AB469)</f>
        <v>0</v>
      </c>
      <c r="Z467" s="365" t="str">
        <f>IFERROR(X467*VLOOKUP(C467,'General price list'!C:I,7,FALSE),"")</f>
        <v/>
      </c>
      <c r="AA467" s="805" t="str">
        <f>IF(X467&lt;&gt;"",VLOOKUP(C467,'General price list'!C469:AN1442,MATCH("HM",Tabulka1[[#Headers],[KOD]:[NEQ]],0),FALSE),"")</f>
        <v/>
      </c>
    </row>
    <row r="468" spans="1:27">
      <c r="A468">
        <f>COUNTIF($W$22:W468,1)</f>
        <v>0</v>
      </c>
      <c r="B468">
        <v>468</v>
      </c>
      <c r="C468" s="340">
        <f>IFERROR(Tabulka1[[#This Row],[KOD]],"")</f>
        <v>0</v>
      </c>
      <c r="W468" s="804" t="str">
        <f t="shared" si="14"/>
        <v/>
      </c>
      <c r="X468" s="154" t="str">
        <f t="shared" si="15"/>
        <v/>
      </c>
      <c r="Y468" s="341">
        <f>IF('General price list'!$AB470="",0,'General price list'!$AB470)</f>
        <v>0</v>
      </c>
      <c r="Z468" s="365" t="str">
        <f>IFERROR(X468*VLOOKUP(C468,'General price list'!C:I,7,FALSE),"")</f>
        <v/>
      </c>
      <c r="AA468" s="805" t="str">
        <f>IF(X468&lt;&gt;"",VLOOKUP(C468,'General price list'!C470:AN1443,MATCH("HM",Tabulka1[[#Headers],[KOD]:[NEQ]],0),FALSE),"")</f>
        <v/>
      </c>
    </row>
    <row r="469" spans="1:27">
      <c r="A469">
        <f>COUNTIF($W$22:W469,1)</f>
        <v>0</v>
      </c>
      <c r="B469">
        <v>469</v>
      </c>
      <c r="C469" s="340" t="str">
        <f>IFERROR(Tabulka1[[#This Row],[KOD]],"")</f>
        <v>CF10020P</v>
      </c>
      <c r="W469" s="804" t="str">
        <f t="shared" si="14"/>
        <v/>
      </c>
      <c r="X469" s="154" t="str">
        <f t="shared" si="15"/>
        <v/>
      </c>
      <c r="Y469" s="341">
        <f>IF('General price list'!$AB471="",0,'General price list'!$AB471)</f>
        <v>0</v>
      </c>
      <c r="Z469" s="365" t="str">
        <f>IFERROR(X469*VLOOKUP(C469,'General price list'!C:I,7,FALSE),"")</f>
        <v/>
      </c>
      <c r="AA469" s="805" t="str">
        <f>IF(X469&lt;&gt;"",VLOOKUP(C469,'General price list'!C471:AN1444,MATCH("HM",Tabulka1[[#Headers],[KOD]:[NEQ]],0),FALSE),"")</f>
        <v/>
      </c>
    </row>
    <row r="470" spans="1:27">
      <c r="A470">
        <f>COUNTIF($W$22:W470,1)</f>
        <v>0</v>
      </c>
      <c r="B470">
        <v>470</v>
      </c>
      <c r="C470" s="340">
        <f>IFERROR(Tabulka1[[#This Row],[KOD]],"")</f>
        <v>0</v>
      </c>
      <c r="W470" s="804" t="str">
        <f t="shared" si="14"/>
        <v/>
      </c>
      <c r="X470" s="154" t="str">
        <f t="shared" si="15"/>
        <v/>
      </c>
      <c r="Y470" s="341">
        <f>IF('General price list'!$AB472="",0,'General price list'!$AB472)</f>
        <v>0</v>
      </c>
      <c r="Z470" s="365" t="str">
        <f>IFERROR(X470*VLOOKUP(C470,'General price list'!C:I,7,FALSE),"")</f>
        <v/>
      </c>
      <c r="AA470" s="805" t="str">
        <f>IF(X470&lt;&gt;"",VLOOKUP(C470,'General price list'!C472:AN1445,MATCH("HM",Tabulka1[[#Headers],[KOD]:[NEQ]],0),FALSE),"")</f>
        <v/>
      </c>
    </row>
    <row r="471" spans="1:27">
      <c r="A471">
        <f>COUNTIF($W$22:W471,1)</f>
        <v>0</v>
      </c>
      <c r="B471">
        <v>471</v>
      </c>
      <c r="C471" s="340" t="str">
        <f>IFERROR(Tabulka1[[#This Row],[KOD]],"")</f>
        <v>C13020BP</v>
      </c>
      <c r="W471" s="804" t="str">
        <f t="shared" si="14"/>
        <v/>
      </c>
      <c r="X471" s="154" t="str">
        <f t="shared" si="15"/>
        <v/>
      </c>
      <c r="Y471" s="341">
        <f>IF('General price list'!$AB473="",0,'General price list'!$AB473)</f>
        <v>0</v>
      </c>
      <c r="Z471" s="365" t="str">
        <f>IFERROR(X471*VLOOKUP(C471,'General price list'!C:I,7,FALSE),"")</f>
        <v/>
      </c>
      <c r="AA471" s="805" t="str">
        <f>IF(X471&lt;&gt;"",VLOOKUP(C471,'General price list'!C473:AN1446,MATCH("HM",Tabulka1[[#Headers],[KOD]:[NEQ]],0),FALSE),"")</f>
        <v/>
      </c>
    </row>
    <row r="472" spans="1:27">
      <c r="A472">
        <f>COUNTIF($W$22:W472,1)</f>
        <v>0</v>
      </c>
      <c r="B472">
        <v>472</v>
      </c>
      <c r="C472" s="340" t="str">
        <f>IFERROR(Tabulka1[[#This Row],[KOD]],"")</f>
        <v>C13020M</v>
      </c>
      <c r="W472" s="804" t="str">
        <f t="shared" ref="W472:W535" si="16">IF(Y472+1=1,"",1)</f>
        <v/>
      </c>
      <c r="X472" s="154" t="str">
        <f t="shared" ref="X472:X535" si="17">IF(Y472+1=1,"",Y472)</f>
        <v/>
      </c>
      <c r="Y472" s="341">
        <f>IF('General price list'!$AB474="",0,'General price list'!$AB474)</f>
        <v>0</v>
      </c>
      <c r="Z472" s="365" t="str">
        <f>IFERROR(X472*VLOOKUP(C472,'General price list'!C:I,7,FALSE),"")</f>
        <v/>
      </c>
      <c r="AA472" s="805" t="str">
        <f>IF(X472&lt;&gt;"",VLOOKUP(C472,'General price list'!C474:AN1447,MATCH("HM",Tabulka1[[#Headers],[KOD]:[NEQ]],0),FALSE),"")</f>
        <v/>
      </c>
    </row>
    <row r="473" spans="1:27">
      <c r="A473">
        <f>COUNTIF($W$22:W473,1)</f>
        <v>0</v>
      </c>
      <c r="B473">
        <v>473</v>
      </c>
      <c r="C473" s="340" t="str">
        <f>IFERROR(Tabulka1[[#This Row],[KOD]],"")</f>
        <v>C13020B</v>
      </c>
      <c r="W473" s="804" t="str">
        <f t="shared" si="16"/>
        <v/>
      </c>
      <c r="X473" s="154" t="str">
        <f t="shared" si="17"/>
        <v/>
      </c>
      <c r="Y473" s="341">
        <f>IF('General price list'!$AB475="",0,'General price list'!$AB475)</f>
        <v>0</v>
      </c>
      <c r="Z473" s="365" t="str">
        <f>IFERROR(X473*VLOOKUP(C473,'General price list'!C:I,7,FALSE),"")</f>
        <v/>
      </c>
      <c r="AA473" s="805" t="str">
        <f>IF(X473&lt;&gt;"",VLOOKUP(C473,'General price list'!C475:AN1448,MATCH("HM",Tabulka1[[#Headers],[KOD]:[NEQ]],0),FALSE),"")</f>
        <v/>
      </c>
    </row>
    <row r="474" spans="1:27">
      <c r="A474">
        <f>COUNTIF($W$22:W474,1)</f>
        <v>0</v>
      </c>
      <c r="B474">
        <v>474</v>
      </c>
      <c r="C474" s="340">
        <f>IFERROR(Tabulka1[[#This Row],[KOD]],"")</f>
        <v>0</v>
      </c>
      <c r="W474" s="804" t="str">
        <f t="shared" si="16"/>
        <v/>
      </c>
      <c r="X474" s="154" t="str">
        <f t="shared" si="17"/>
        <v/>
      </c>
      <c r="Y474" s="341">
        <f>IF('General price list'!$AB476="",0,'General price list'!$AB476)</f>
        <v>0</v>
      </c>
      <c r="Z474" s="365" t="str">
        <f>IFERROR(X474*VLOOKUP(C474,'General price list'!C:I,7,FALSE),"")</f>
        <v/>
      </c>
      <c r="AA474" s="805" t="str">
        <f>IF(X474&lt;&gt;"",VLOOKUP(C474,'General price list'!C476:AN1449,MATCH("HM",Tabulka1[[#Headers],[KOD]:[NEQ]],0),FALSE),"")</f>
        <v/>
      </c>
    </row>
    <row r="475" spans="1:27">
      <c r="A475">
        <f>COUNTIF($W$22:W475,1)</f>
        <v>0</v>
      </c>
      <c r="B475">
        <v>475</v>
      </c>
      <c r="C475" s="340" t="str">
        <f>IFERROR(Tabulka1[[#This Row],[KOD]],"")</f>
        <v>C13420H</v>
      </c>
      <c r="W475" s="804" t="str">
        <f t="shared" si="16"/>
        <v/>
      </c>
      <c r="X475" s="154" t="str">
        <f t="shared" si="17"/>
        <v/>
      </c>
      <c r="Y475" s="341">
        <f>IF('General price list'!$AB477="",0,'General price list'!$AB477)</f>
        <v>0</v>
      </c>
      <c r="Z475" s="365" t="str">
        <f>IFERROR(X475*VLOOKUP(C475,'General price list'!C:I,7,FALSE),"")</f>
        <v/>
      </c>
      <c r="AA475" s="805" t="str">
        <f>IF(X475&lt;&gt;"",VLOOKUP(C475,'General price list'!C477:AN1450,MATCH("HM",Tabulka1[[#Headers],[KOD]:[NEQ]],0),FALSE),"")</f>
        <v/>
      </c>
    </row>
    <row r="476" spans="1:27">
      <c r="A476">
        <f>COUNTIF($W$22:W476,1)</f>
        <v>0</v>
      </c>
      <c r="B476">
        <v>476</v>
      </c>
      <c r="C476" s="340">
        <f>IFERROR(Tabulka1[[#This Row],[KOD]],"")</f>
        <v>0</v>
      </c>
      <c r="W476" s="804" t="str">
        <f t="shared" si="16"/>
        <v/>
      </c>
      <c r="X476" s="154" t="str">
        <f t="shared" si="17"/>
        <v/>
      </c>
      <c r="Y476" s="341">
        <f>IF('General price list'!$AB478="",0,'General price list'!$AB478)</f>
        <v>0</v>
      </c>
      <c r="Z476" s="365" t="str">
        <f>IFERROR(X476*VLOOKUP(C476,'General price list'!C:I,7,FALSE),"")</f>
        <v/>
      </c>
      <c r="AA476" s="805" t="str">
        <f>IF(X476&lt;&gt;"",VLOOKUP(C476,'General price list'!C478:AN1451,MATCH("HM",Tabulka1[[#Headers],[KOD]:[NEQ]],0),FALSE),"")</f>
        <v/>
      </c>
    </row>
    <row r="477" spans="1:27">
      <c r="A477">
        <f>COUNTIF($W$22:W477,1)</f>
        <v>0</v>
      </c>
      <c r="B477">
        <v>477</v>
      </c>
      <c r="C477" s="340" t="str">
        <f>IFERROR(Tabulka1[[#This Row],[KOD]],"")</f>
        <v>C20020BPS</v>
      </c>
      <c r="W477" s="804" t="str">
        <f t="shared" si="16"/>
        <v/>
      </c>
      <c r="X477" s="154" t="str">
        <f t="shared" si="17"/>
        <v/>
      </c>
      <c r="Y477" s="341">
        <f>IF('General price list'!$AB479="",0,'General price list'!$AB479)</f>
        <v>0</v>
      </c>
      <c r="Z477" s="365" t="str">
        <f>IFERROR(X477*VLOOKUP(C477,'General price list'!C:I,7,FALSE),"")</f>
        <v/>
      </c>
      <c r="AA477" s="805" t="str">
        <f>IF(X477&lt;&gt;"",VLOOKUP(C477,'General price list'!C479:AN1452,MATCH("HM",Tabulka1[[#Headers],[KOD]:[NEQ]],0),FALSE),"")</f>
        <v/>
      </c>
    </row>
    <row r="478" spans="1:27">
      <c r="A478">
        <f>COUNTIF($W$22:W478,1)</f>
        <v>0</v>
      </c>
      <c r="B478">
        <v>478</v>
      </c>
      <c r="C478" s="340" t="str">
        <f>IFERROR(Tabulka1[[#This Row],[KOD]],"")</f>
        <v>C20020PR</v>
      </c>
      <c r="W478" s="804" t="str">
        <f t="shared" si="16"/>
        <v/>
      </c>
      <c r="X478" s="154" t="str">
        <f t="shared" si="17"/>
        <v/>
      </c>
      <c r="Y478" s="341">
        <f>IF('General price list'!$AB480="",0,'General price list'!$AB480)</f>
        <v>0</v>
      </c>
      <c r="Z478" s="365" t="str">
        <f>IFERROR(X478*VLOOKUP(C478,'General price list'!C:I,7,FALSE),"")</f>
        <v/>
      </c>
      <c r="AA478" s="805" t="str">
        <f>IF(X478&lt;&gt;"",VLOOKUP(C478,'General price list'!C480:AN1453,MATCH("HM",Tabulka1[[#Headers],[KOD]:[NEQ]],0),FALSE),"")</f>
        <v/>
      </c>
    </row>
    <row r="479" spans="1:27">
      <c r="A479">
        <f>COUNTIF($W$22:W479,1)</f>
        <v>0</v>
      </c>
      <c r="B479">
        <v>479</v>
      </c>
      <c r="C479" s="340">
        <f>IFERROR(Tabulka1[[#This Row],[KOD]],"")</f>
        <v>0</v>
      </c>
      <c r="W479" s="804" t="str">
        <f t="shared" si="16"/>
        <v/>
      </c>
      <c r="X479" s="154" t="str">
        <f t="shared" si="17"/>
        <v/>
      </c>
      <c r="Y479" s="341">
        <f>IF('General price list'!$AB481="",0,'General price list'!$AB481)</f>
        <v>0</v>
      </c>
      <c r="Z479" s="365" t="str">
        <f>IFERROR(X479*VLOOKUP(C479,'General price list'!C:I,7,FALSE),"")</f>
        <v/>
      </c>
      <c r="AA479" s="805" t="str">
        <f>IF(X479&lt;&gt;"",VLOOKUP(C479,'General price list'!C481:AN1454,MATCH("HM",Tabulka1[[#Headers],[KOD]:[NEQ]],0),FALSE),"")</f>
        <v/>
      </c>
    </row>
    <row r="480" spans="1:27">
      <c r="A480">
        <f>COUNTIF($W$22:W480,1)</f>
        <v>0</v>
      </c>
      <c r="B480">
        <v>480</v>
      </c>
      <c r="C480" s="340" t="str">
        <f>IFERROR(Tabulka1[[#This Row],[KOD]],"")</f>
        <v>C20020XBP</v>
      </c>
      <c r="W480" s="804" t="str">
        <f t="shared" si="16"/>
        <v/>
      </c>
      <c r="X480" s="154" t="str">
        <f t="shared" si="17"/>
        <v/>
      </c>
      <c r="Y480" s="341">
        <f>IF('General price list'!$AB482="",0,'General price list'!$AB482)</f>
        <v>0</v>
      </c>
      <c r="Z480" s="365" t="str">
        <f>IFERROR(X480*VLOOKUP(C480,'General price list'!C:I,7,FALSE),"")</f>
        <v/>
      </c>
      <c r="AA480" s="805" t="str">
        <f>IF(X480&lt;&gt;"",VLOOKUP(C480,'General price list'!C482:AN1455,MATCH("HM",Tabulka1[[#Headers],[KOD]:[NEQ]],0),FALSE),"")</f>
        <v/>
      </c>
    </row>
    <row r="481" spans="1:27">
      <c r="A481">
        <f>COUNTIF($W$22:W481,1)</f>
        <v>0</v>
      </c>
      <c r="B481">
        <v>481</v>
      </c>
      <c r="C481" s="340" t="str">
        <f>IFERROR(Tabulka1[[#This Row],[KOD]],"")</f>
        <v>C20020XPR</v>
      </c>
      <c r="W481" s="804" t="str">
        <f t="shared" si="16"/>
        <v/>
      </c>
      <c r="X481" s="154" t="str">
        <f t="shared" si="17"/>
        <v/>
      </c>
      <c r="Y481" s="341">
        <f>IF('General price list'!$AB483="",0,'General price list'!$AB483)</f>
        <v>0</v>
      </c>
      <c r="Z481" s="365" t="str">
        <f>IFERROR(X481*VLOOKUP(C481,'General price list'!C:I,7,FALSE),"")</f>
        <v/>
      </c>
      <c r="AA481" s="805" t="str">
        <f>IF(X481&lt;&gt;"",VLOOKUP(C481,'General price list'!C483:AN1456,MATCH("HM",Tabulka1[[#Headers],[KOD]:[NEQ]],0),FALSE),"")</f>
        <v/>
      </c>
    </row>
    <row r="482" spans="1:27">
      <c r="A482">
        <f>COUNTIF($W$22:W482,1)</f>
        <v>0</v>
      </c>
      <c r="B482">
        <v>482</v>
      </c>
      <c r="C482" s="340">
        <f>IFERROR(Tabulka1[[#This Row],[KOD]],"")</f>
        <v>0</v>
      </c>
      <c r="W482" s="804" t="str">
        <f t="shared" si="16"/>
        <v/>
      </c>
      <c r="X482" s="154" t="str">
        <f t="shared" si="17"/>
        <v/>
      </c>
      <c r="Y482" s="341">
        <f>IF('General price list'!$AB484="",0,'General price list'!$AB484)</f>
        <v>0</v>
      </c>
      <c r="Z482" s="365" t="str">
        <f>IFERROR(X482*VLOOKUP(C482,'General price list'!C:I,7,FALSE),"")</f>
        <v/>
      </c>
      <c r="AA482" s="805" t="str">
        <f>IF(X482&lt;&gt;"",VLOOKUP(C482,'General price list'!C484:AN1457,MATCH("HM",Tabulka1[[#Headers],[KOD]:[NEQ]],0),FALSE),"")</f>
        <v/>
      </c>
    </row>
    <row r="483" spans="1:27">
      <c r="A483">
        <f>COUNTIF($W$22:W483,1)</f>
        <v>0</v>
      </c>
      <c r="B483">
        <v>483</v>
      </c>
      <c r="C483" s="340" t="str">
        <f>IFERROR(Tabulka1[[#This Row],[KOD]],"")</f>
        <v>C12820F/C14</v>
      </c>
      <c r="W483" s="804" t="str">
        <f t="shared" si="16"/>
        <v/>
      </c>
      <c r="X483" s="154" t="str">
        <f t="shared" si="17"/>
        <v/>
      </c>
      <c r="Y483" s="341">
        <f>IF('General price list'!$AB485="",0,'General price list'!$AB485)</f>
        <v>0</v>
      </c>
      <c r="Z483" s="365" t="str">
        <f>IFERROR(X483*VLOOKUP(C483,'General price list'!C:I,7,FALSE),"")</f>
        <v/>
      </c>
      <c r="AA483" s="805" t="str">
        <f>IF(X483&lt;&gt;"",VLOOKUP(C483,'General price list'!C485:AN1458,MATCH("HM",Tabulka1[[#Headers],[KOD]:[NEQ]],0),FALSE),"")</f>
        <v/>
      </c>
    </row>
    <row r="484" spans="1:27">
      <c r="A484">
        <f>COUNTIF($W$22:W484,1)</f>
        <v>0</v>
      </c>
      <c r="B484">
        <v>484</v>
      </c>
      <c r="C484" s="340" t="str">
        <f>IFERROR(Tabulka1[[#This Row],[KOD]],"")</f>
        <v>C13220B/C14</v>
      </c>
      <c r="W484" s="804" t="str">
        <f t="shared" si="16"/>
        <v/>
      </c>
      <c r="X484" s="154" t="str">
        <f t="shared" si="17"/>
        <v/>
      </c>
      <c r="Y484" s="341">
        <f>IF('General price list'!$AB486="",0,'General price list'!$AB486)</f>
        <v>0</v>
      </c>
      <c r="Z484" s="365" t="str">
        <f>IFERROR(X484*VLOOKUP(C484,'General price list'!C:I,7,FALSE),"")</f>
        <v/>
      </c>
      <c r="AA484" s="805" t="str">
        <f>IF(X484&lt;&gt;"",VLOOKUP(C484,'General price list'!C486:AN1459,MATCH("HM",Tabulka1[[#Headers],[KOD]:[NEQ]],0),FALSE),"")</f>
        <v/>
      </c>
    </row>
    <row r="485" spans="1:27">
      <c r="A485">
        <f>COUNTIF($W$22:W485,1)</f>
        <v>0</v>
      </c>
      <c r="B485">
        <v>485</v>
      </c>
      <c r="C485" s="340" t="str">
        <f>IFERROR(Tabulka1[[#This Row],[KOD]],"")</f>
        <v>C13220TS/C14</v>
      </c>
      <c r="W485" s="804" t="str">
        <f t="shared" si="16"/>
        <v/>
      </c>
      <c r="X485" s="154" t="str">
        <f t="shared" si="17"/>
        <v/>
      </c>
      <c r="Y485" s="341">
        <f>IF('General price list'!$AB487="",0,'General price list'!$AB487)</f>
        <v>0</v>
      </c>
      <c r="Z485" s="365" t="str">
        <f>IFERROR(X485*VLOOKUP(C485,'General price list'!C:I,7,FALSE),"")</f>
        <v/>
      </c>
      <c r="AA485" s="805" t="str">
        <f>IF(X485&lt;&gt;"",VLOOKUP(C485,'General price list'!C487:AN1460,MATCH("HM",Tabulka1[[#Headers],[KOD]:[NEQ]],0),FALSE),"")</f>
        <v/>
      </c>
    </row>
    <row r="486" spans="1:27">
      <c r="A486">
        <f>COUNTIF($W$22:W486,1)</f>
        <v>0</v>
      </c>
      <c r="B486">
        <v>486</v>
      </c>
      <c r="C486" s="340" t="str">
        <f>IFERROR(Tabulka1[[#This Row],[KOD]],"")</f>
        <v>C18820XR/C14</v>
      </c>
      <c r="W486" s="804" t="str">
        <f t="shared" si="16"/>
        <v/>
      </c>
      <c r="X486" s="154" t="str">
        <f t="shared" si="17"/>
        <v/>
      </c>
      <c r="Y486" s="341">
        <f>IF('General price list'!$AB488="",0,'General price list'!$AB488)</f>
        <v>0</v>
      </c>
      <c r="Z486" s="365" t="str">
        <f>IFERROR(X486*VLOOKUP(C486,'General price list'!C:I,7,FALSE),"")</f>
        <v/>
      </c>
      <c r="AA486" s="805" t="str">
        <f>IF(X486&lt;&gt;"",VLOOKUP(C486,'General price list'!C488:AN1461,MATCH("HM",Tabulka1[[#Headers],[KOD]:[NEQ]],0),FALSE),"")</f>
        <v/>
      </c>
    </row>
    <row r="487" spans="1:27">
      <c r="A487">
        <f>COUNTIF($W$22:W487,1)</f>
        <v>0</v>
      </c>
      <c r="B487">
        <v>487</v>
      </c>
      <c r="C487" s="340" t="str">
        <f>IFERROR(Tabulka1[[#This Row],[KOD]],"")</f>
        <v>C20020N/C14</v>
      </c>
      <c r="W487" s="804" t="str">
        <f t="shared" si="16"/>
        <v/>
      </c>
      <c r="X487" s="154" t="str">
        <f t="shared" si="17"/>
        <v/>
      </c>
      <c r="Y487" s="341">
        <f>IF('General price list'!$AB489="",0,'General price list'!$AB489)</f>
        <v>0</v>
      </c>
      <c r="Z487" s="365" t="str">
        <f>IFERROR(X487*VLOOKUP(C487,'General price list'!C:I,7,FALSE),"")</f>
        <v/>
      </c>
      <c r="AA487" s="805" t="str">
        <f>IF(X487&lt;&gt;"",VLOOKUP(C487,'General price list'!C489:AN1462,MATCH("HM",Tabulka1[[#Headers],[KOD]:[NEQ]],0),FALSE),"")</f>
        <v/>
      </c>
    </row>
    <row r="488" spans="1:27">
      <c r="A488">
        <f>COUNTIF($W$22:W488,1)</f>
        <v>0</v>
      </c>
      <c r="B488">
        <v>488</v>
      </c>
      <c r="C488" s="340" t="str">
        <f>IFERROR(Tabulka1[[#This Row],[KOD]],"")</f>
        <v>C20020XPR/C14</v>
      </c>
      <c r="W488" s="804" t="str">
        <f t="shared" si="16"/>
        <v/>
      </c>
      <c r="X488" s="154" t="str">
        <f t="shared" si="17"/>
        <v/>
      </c>
      <c r="Y488" s="341">
        <f>IF('General price list'!$AB490="",0,'General price list'!$AB490)</f>
        <v>0</v>
      </c>
      <c r="Z488" s="365" t="str">
        <f>IFERROR(X488*VLOOKUP(C488,'General price list'!C:I,7,FALSE),"")</f>
        <v/>
      </c>
      <c r="AA488" s="805" t="str">
        <f>IF(X488&lt;&gt;"",VLOOKUP(C488,'General price list'!C490:AN1463,MATCH("HM",Tabulka1[[#Headers],[KOD]:[NEQ]],0),FALSE),"")</f>
        <v/>
      </c>
    </row>
    <row r="489" spans="1:27">
      <c r="A489">
        <f>COUNTIF($W$22:W489,1)</f>
        <v>0</v>
      </c>
      <c r="B489">
        <v>489</v>
      </c>
      <c r="C489" s="340" t="str">
        <f>IFERROR(Tabulka1[[#This Row],[KOD]],"")</f>
        <v>C20020XTS/C14</v>
      </c>
      <c r="W489" s="804" t="str">
        <f t="shared" si="16"/>
        <v/>
      </c>
      <c r="X489" s="154" t="str">
        <f t="shared" si="17"/>
        <v/>
      </c>
      <c r="Y489" s="341">
        <f>IF('General price list'!$AB491="",0,'General price list'!$AB491)</f>
        <v>0</v>
      </c>
      <c r="Z489" s="365" t="str">
        <f>IFERROR(X489*VLOOKUP(C489,'General price list'!C:I,7,FALSE),"")</f>
        <v/>
      </c>
      <c r="AA489" s="805" t="str">
        <f>IF(X489&lt;&gt;"",VLOOKUP(C489,'General price list'!C491:AN1464,MATCH("HM",Tabulka1[[#Headers],[KOD]:[NEQ]],0),FALSE),"")</f>
        <v/>
      </c>
    </row>
    <row r="490" spans="1:27">
      <c r="A490">
        <f>COUNTIF($W$22:W490,1)</f>
        <v>0</v>
      </c>
      <c r="B490">
        <v>490</v>
      </c>
      <c r="C490" s="340" t="str">
        <f>IFERROR(Tabulka1[[#This Row],[KOD]],"")</f>
        <v>C19320XR/C14</v>
      </c>
      <c r="W490" s="804" t="str">
        <f t="shared" si="16"/>
        <v/>
      </c>
      <c r="X490" s="154" t="str">
        <f t="shared" si="17"/>
        <v/>
      </c>
      <c r="Y490" s="341">
        <f>IF('General price list'!$AB492="",0,'General price list'!$AB492)</f>
        <v>0</v>
      </c>
      <c r="Z490" s="365" t="str">
        <f>IFERROR(X490*VLOOKUP(C490,'General price list'!C:I,7,FALSE),"")</f>
        <v/>
      </c>
      <c r="AA490" s="805" t="str">
        <f>IF(X490&lt;&gt;"",VLOOKUP(C490,'General price list'!C492:AN1465,MATCH("HM",Tabulka1[[#Headers],[KOD]:[NEQ]],0),FALSE),"")</f>
        <v/>
      </c>
    </row>
    <row r="491" spans="1:27">
      <c r="A491">
        <f>COUNTIF($W$22:W491,1)</f>
        <v>0</v>
      </c>
      <c r="B491">
        <v>491</v>
      </c>
      <c r="C491" s="340">
        <f>IFERROR(Tabulka1[[#This Row],[KOD]],"")</f>
        <v>0</v>
      </c>
      <c r="W491" s="804" t="str">
        <f t="shared" si="16"/>
        <v/>
      </c>
      <c r="X491" s="154" t="str">
        <f t="shared" si="17"/>
        <v/>
      </c>
      <c r="Y491" s="341">
        <f>IF('General price list'!$AB493="",0,'General price list'!$AB493)</f>
        <v>0</v>
      </c>
      <c r="Z491" s="365" t="str">
        <f>IFERROR(X491*VLOOKUP(C491,'General price list'!C:I,7,FALSE),"")</f>
        <v/>
      </c>
      <c r="AA491" s="805" t="str">
        <f>IF(X491&lt;&gt;"",VLOOKUP(C491,'General price list'!C493:AN1466,MATCH("HM",Tabulka1[[#Headers],[KOD]:[NEQ]],0),FALSE),"")</f>
        <v/>
      </c>
    </row>
    <row r="492" spans="1:27">
      <c r="A492">
        <f>COUNTIF($W$22:W492,1)</f>
        <v>0</v>
      </c>
      <c r="B492">
        <v>492</v>
      </c>
      <c r="C492" s="340" t="str">
        <f>IFERROR(Tabulka1[[#This Row],[KOD]],"")</f>
        <v>C19220F/C14</v>
      </c>
      <c r="W492" s="804" t="str">
        <f t="shared" si="16"/>
        <v/>
      </c>
      <c r="X492" s="154" t="str">
        <f t="shared" si="17"/>
        <v/>
      </c>
      <c r="Y492" s="341">
        <f>IF('General price list'!$AB494="",0,'General price list'!$AB494)</f>
        <v>0</v>
      </c>
      <c r="Z492" s="365" t="str">
        <f>IFERROR(X492*VLOOKUP(C492,'General price list'!C:I,7,FALSE),"")</f>
        <v/>
      </c>
      <c r="AA492" s="805" t="str">
        <f>IF(X492&lt;&gt;"",VLOOKUP(C492,'General price list'!C494:AN1467,MATCH("HM",Tabulka1[[#Headers],[KOD]:[NEQ]],0),FALSE),"")</f>
        <v/>
      </c>
    </row>
    <row r="493" spans="1:27">
      <c r="A493">
        <f>COUNTIF($W$22:W493,1)</f>
        <v>0</v>
      </c>
      <c r="B493">
        <v>493</v>
      </c>
      <c r="C493" s="340" t="str">
        <f>IFERROR(Tabulka1[[#This Row],[KOD]],"")</f>
        <v>C25220XFS/C14</v>
      </c>
      <c r="W493" s="804" t="str">
        <f t="shared" si="16"/>
        <v/>
      </c>
      <c r="X493" s="154" t="str">
        <f t="shared" si="17"/>
        <v/>
      </c>
      <c r="Y493" s="341">
        <f>IF('General price list'!$AB495="",0,'General price list'!$AB495)</f>
        <v>0</v>
      </c>
      <c r="Z493" s="365" t="str">
        <f>IFERROR(X493*VLOOKUP(C493,'General price list'!C:I,7,FALSE),"")</f>
        <v/>
      </c>
      <c r="AA493" s="805" t="str">
        <f>IF(X493&lt;&gt;"",VLOOKUP(C493,'General price list'!C495:AN1468,MATCH("HM",Tabulka1[[#Headers],[KOD]:[NEQ]],0),FALSE),"")</f>
        <v/>
      </c>
    </row>
    <row r="494" spans="1:27">
      <c r="A494">
        <f>COUNTIF($W$22:W494,1)</f>
        <v>0</v>
      </c>
      <c r="B494">
        <v>494</v>
      </c>
      <c r="C494" s="340" t="str">
        <f>IFERROR(Tabulka1[[#This Row],[KOD]],"")</f>
        <v>C25620F/C14</v>
      </c>
      <c r="W494" s="804" t="str">
        <f t="shared" si="16"/>
        <v/>
      </c>
      <c r="X494" s="154" t="str">
        <f t="shared" si="17"/>
        <v/>
      </c>
      <c r="Y494" s="341">
        <f>IF('General price list'!$AB496="",0,'General price list'!$AB496)</f>
        <v>0</v>
      </c>
      <c r="Z494" s="365" t="str">
        <f>IFERROR(X494*VLOOKUP(C494,'General price list'!C:I,7,FALSE),"")</f>
        <v/>
      </c>
      <c r="AA494" s="805" t="str">
        <f>IF(X494&lt;&gt;"",VLOOKUP(C494,'General price list'!C496:AN1469,MATCH("HM",Tabulka1[[#Headers],[KOD]:[NEQ]],0),FALSE),"")</f>
        <v/>
      </c>
    </row>
    <row r="495" spans="1:27">
      <c r="A495">
        <f>COUNTIF($W$22:W495,1)</f>
        <v>0</v>
      </c>
      <c r="B495">
        <v>495</v>
      </c>
      <c r="C495" s="340" t="str">
        <f>IFERROR(Tabulka1[[#This Row],[KOD]],"")</f>
        <v>C26420N/C14</v>
      </c>
      <c r="W495" s="804" t="str">
        <f t="shared" si="16"/>
        <v/>
      </c>
      <c r="X495" s="154" t="str">
        <f t="shared" si="17"/>
        <v/>
      </c>
      <c r="Y495" s="341">
        <f>IF('General price list'!$AB497="",0,'General price list'!$AB497)</f>
        <v>0</v>
      </c>
      <c r="Z495" s="365" t="str">
        <f>IFERROR(X495*VLOOKUP(C495,'General price list'!C:I,7,FALSE),"")</f>
        <v/>
      </c>
      <c r="AA495" s="805" t="str">
        <f>IF(X495&lt;&gt;"",VLOOKUP(C495,'General price list'!C497:AN1470,MATCH("HM",Tabulka1[[#Headers],[KOD]:[NEQ]],0),FALSE),"")</f>
        <v/>
      </c>
    </row>
    <row r="496" spans="1:27">
      <c r="A496">
        <f>COUNTIF($W$22:W496,1)</f>
        <v>0</v>
      </c>
      <c r="B496">
        <v>496</v>
      </c>
      <c r="C496" s="340" t="str">
        <f>IFERROR(Tabulka1[[#This Row],[KOD]],"")</f>
        <v>C30020R/C14</v>
      </c>
      <c r="W496" s="804" t="str">
        <f t="shared" si="16"/>
        <v/>
      </c>
      <c r="X496" s="154" t="str">
        <f t="shared" si="17"/>
        <v/>
      </c>
      <c r="Y496" s="341">
        <f>IF('General price list'!$AB498="",0,'General price list'!$AB498)</f>
        <v>0</v>
      </c>
      <c r="Z496" s="365" t="str">
        <f>IFERROR(X496*VLOOKUP(C496,'General price list'!C:I,7,FALSE),"")</f>
        <v/>
      </c>
      <c r="AA496" s="805" t="str">
        <f>IF(X496&lt;&gt;"",VLOOKUP(C496,'General price list'!C498:AN1471,MATCH("HM",Tabulka1[[#Headers],[KOD]:[NEQ]],0),FALSE),"")</f>
        <v/>
      </c>
    </row>
    <row r="497" spans="1:27">
      <c r="A497">
        <f>COUNTIF($W$22:W497,1)</f>
        <v>0</v>
      </c>
      <c r="B497">
        <v>497</v>
      </c>
      <c r="C497" s="340" t="str">
        <f>IFERROR(Tabulka1[[#This Row],[KOD]],"")</f>
        <v>C40020B/C14</v>
      </c>
      <c r="W497" s="804" t="str">
        <f t="shared" si="16"/>
        <v/>
      </c>
      <c r="X497" s="154" t="str">
        <f t="shared" si="17"/>
        <v/>
      </c>
      <c r="Y497" s="341">
        <f>IF('General price list'!$AB499="",0,'General price list'!$AB499)</f>
        <v>0</v>
      </c>
      <c r="Z497" s="365" t="str">
        <f>IFERROR(X497*VLOOKUP(C497,'General price list'!C:I,7,FALSE),"")</f>
        <v/>
      </c>
      <c r="AA497" s="805" t="str">
        <f>IF(X497&lt;&gt;"",VLOOKUP(C497,'General price list'!C499:AN1472,MATCH("HM",Tabulka1[[#Headers],[KOD]:[NEQ]],0),FALSE),"")</f>
        <v/>
      </c>
    </row>
    <row r="498" spans="1:27">
      <c r="A498">
        <f>COUNTIF($W$22:W498,1)</f>
        <v>0</v>
      </c>
      <c r="B498">
        <v>498</v>
      </c>
      <c r="C498" s="340" t="str">
        <f>IFERROR(Tabulka1[[#This Row],[KOD]],"")</f>
        <v>C40020XPR/C14</v>
      </c>
      <c r="W498" s="804" t="str">
        <f t="shared" si="16"/>
        <v/>
      </c>
      <c r="X498" s="154" t="str">
        <f t="shared" si="17"/>
        <v/>
      </c>
      <c r="Y498" s="341">
        <f>IF('General price list'!$AB500="",0,'General price list'!$AB500)</f>
        <v>0</v>
      </c>
      <c r="Z498" s="365" t="str">
        <f>IFERROR(X498*VLOOKUP(C498,'General price list'!C:I,7,FALSE),"")</f>
        <v/>
      </c>
      <c r="AA498" s="805" t="str">
        <f>IF(X498&lt;&gt;"",VLOOKUP(C498,'General price list'!C500:AN1473,MATCH("HM",Tabulka1[[#Headers],[KOD]:[NEQ]],0),FALSE),"")</f>
        <v/>
      </c>
    </row>
    <row r="499" spans="1:27">
      <c r="A499">
        <f>COUNTIF($W$22:W499,1)</f>
        <v>0</v>
      </c>
      <c r="B499">
        <v>499</v>
      </c>
      <c r="C499" s="340" t="str">
        <f>IFERROR(Tabulka1[[#This Row],[KOD]],"")</f>
        <v>C1-C2 C51220I/C14</v>
      </c>
      <c r="W499" s="804" t="str">
        <f t="shared" si="16"/>
        <v/>
      </c>
      <c r="X499" s="154" t="str">
        <f t="shared" si="17"/>
        <v/>
      </c>
      <c r="Y499" s="341">
        <f>IF('General price list'!$AB501="",0,'General price list'!$AB501)</f>
        <v>0</v>
      </c>
      <c r="Z499" s="365" t="str">
        <f>IFERROR(X499*VLOOKUP(C499,'General price list'!C:I,7,FALSE),"")</f>
        <v/>
      </c>
      <c r="AA499" s="805" t="str">
        <f>IF(X499&lt;&gt;"",VLOOKUP(C499,'General price list'!C501:AN1474,MATCH("HM",Tabulka1[[#Headers],[KOD]:[NEQ]],0),FALSE),"")</f>
        <v/>
      </c>
    </row>
    <row r="500" spans="1:27">
      <c r="A500">
        <f>COUNTIF($W$22:W500,1)</f>
        <v>0</v>
      </c>
      <c r="B500">
        <v>500</v>
      </c>
      <c r="C500" s="340" t="str">
        <f>IFERROR(Tabulka1[[#This Row],[KOD]],"")</f>
        <v>C1-C2 C65620XH/C14</v>
      </c>
      <c r="W500" s="804" t="str">
        <f t="shared" si="16"/>
        <v/>
      </c>
      <c r="X500" s="154" t="str">
        <f t="shared" si="17"/>
        <v/>
      </c>
      <c r="Y500" s="341">
        <f>IF('General price list'!$AB502="",0,'General price list'!$AB502)</f>
        <v>0</v>
      </c>
      <c r="Z500" s="365" t="str">
        <f>IFERROR(X500*VLOOKUP(C500,'General price list'!C:I,7,FALSE),"")</f>
        <v/>
      </c>
      <c r="AA500" s="805" t="str">
        <f>IF(X500&lt;&gt;"",VLOOKUP(C500,'General price list'!C502:AN1475,MATCH("HM",Tabulka1[[#Headers],[KOD]:[NEQ]],0),FALSE),"")</f>
        <v/>
      </c>
    </row>
    <row r="501" spans="1:27">
      <c r="A501">
        <f>COUNTIF($W$22:W501,1)</f>
        <v>0</v>
      </c>
      <c r="B501">
        <v>501</v>
      </c>
      <c r="C501" s="340" t="str">
        <f>IFERROR(Tabulka1[[#This Row],[KOD]],"")</f>
        <v>C1-C2 C80020S/C14</v>
      </c>
      <c r="W501" s="804" t="str">
        <f t="shared" si="16"/>
        <v/>
      </c>
      <c r="X501" s="154" t="str">
        <f t="shared" si="17"/>
        <v/>
      </c>
      <c r="Y501" s="341">
        <f>IF('General price list'!$AB503="",0,'General price list'!$AB503)</f>
        <v>0</v>
      </c>
      <c r="Z501" s="365" t="str">
        <f>IFERROR(X501*VLOOKUP(C501,'General price list'!C:I,7,FALSE),"")</f>
        <v/>
      </c>
      <c r="AA501" s="805" t="str">
        <f>IF(X501&lt;&gt;"",VLOOKUP(C501,'General price list'!C503:AN1476,MATCH("HM",Tabulka1[[#Headers],[KOD]:[NEQ]],0),FALSE),"")</f>
        <v/>
      </c>
    </row>
    <row r="502" spans="1:27">
      <c r="A502">
        <f>COUNTIF($W$22:W502,1)</f>
        <v>0</v>
      </c>
      <c r="B502">
        <v>502</v>
      </c>
      <c r="C502" s="340">
        <f>IFERROR(Tabulka1[[#This Row],[KOD]],"")</f>
        <v>0</v>
      </c>
      <c r="W502" s="804" t="str">
        <f t="shared" si="16"/>
        <v/>
      </c>
      <c r="X502" s="154" t="str">
        <f t="shared" si="17"/>
        <v/>
      </c>
      <c r="Y502" s="341">
        <f>IF('General price list'!$AB504="",0,'General price list'!$AB504)</f>
        <v>0</v>
      </c>
      <c r="Z502" s="365" t="str">
        <f>IFERROR(X502*VLOOKUP(C502,'General price list'!C:I,7,FALSE),"")</f>
        <v/>
      </c>
      <c r="AA502" s="805" t="str">
        <f>IF(X502&lt;&gt;"",VLOOKUP(C502,'General price list'!C504:AN1477,MATCH("HM",Tabulka1[[#Headers],[KOD]:[NEQ]],0),FALSE),"")</f>
        <v/>
      </c>
    </row>
    <row r="503" spans="1:27">
      <c r="A503">
        <f>COUNTIF($W$22:W503,1)</f>
        <v>0</v>
      </c>
      <c r="B503">
        <v>503</v>
      </c>
      <c r="C503" s="340" t="str">
        <f>IFERROR(Tabulka1[[#This Row],[KOD]],"")</f>
        <v>C6420DU/C</v>
      </c>
      <c r="W503" s="804" t="str">
        <f t="shared" si="16"/>
        <v/>
      </c>
      <c r="X503" s="154" t="str">
        <f t="shared" si="17"/>
        <v/>
      </c>
      <c r="Y503" s="341">
        <f>IF('General price list'!$AB505="",0,'General price list'!$AB505)</f>
        <v>0</v>
      </c>
      <c r="Z503" s="365" t="str">
        <f>IFERROR(X503*VLOOKUP(C503,'General price list'!C:I,7,FALSE),"")</f>
        <v/>
      </c>
      <c r="AA503" s="805" t="str">
        <f>IF(X503&lt;&gt;"",VLOOKUP(C503,'General price list'!C505:AN1478,MATCH("HM",Tabulka1[[#Headers],[KOD]:[NEQ]],0),FALSE),"")</f>
        <v/>
      </c>
    </row>
    <row r="504" spans="1:27">
      <c r="A504">
        <f>COUNTIF($W$22:W504,1)</f>
        <v>0</v>
      </c>
      <c r="B504">
        <v>504</v>
      </c>
      <c r="C504" s="340" t="str">
        <f>IFERROR(Tabulka1[[#This Row],[KOD]],"")</f>
        <v>C12820F/C</v>
      </c>
      <c r="W504" s="804" t="str">
        <f t="shared" si="16"/>
        <v/>
      </c>
      <c r="X504" s="154" t="str">
        <f t="shared" si="17"/>
        <v/>
      </c>
      <c r="Y504" s="341">
        <f>IF('General price list'!$AB506="",0,'General price list'!$AB506)</f>
        <v>0</v>
      </c>
      <c r="Z504" s="365" t="str">
        <f>IFERROR(X504*VLOOKUP(C504,'General price list'!C:I,7,FALSE),"")</f>
        <v/>
      </c>
      <c r="AA504" s="805" t="str">
        <f>IF(X504&lt;&gt;"",VLOOKUP(C504,'General price list'!C506:AN1479,MATCH("HM",Tabulka1[[#Headers],[KOD]:[NEQ]],0),FALSE),"")</f>
        <v/>
      </c>
    </row>
    <row r="505" spans="1:27">
      <c r="A505">
        <f>COUNTIF($W$22:W505,1)</f>
        <v>0</v>
      </c>
      <c r="B505">
        <v>505</v>
      </c>
      <c r="C505" s="340" t="str">
        <f>IFERROR(Tabulka1[[#This Row],[KOD]],"")</f>
        <v>C13220B/C</v>
      </c>
      <c r="W505" s="804" t="str">
        <f t="shared" si="16"/>
        <v/>
      </c>
      <c r="X505" s="154" t="str">
        <f t="shared" si="17"/>
        <v/>
      </c>
      <c r="Y505" s="341">
        <f>IF('General price list'!$AB507="",0,'General price list'!$AB507)</f>
        <v>0</v>
      </c>
      <c r="Z505" s="365" t="str">
        <f>IFERROR(X505*VLOOKUP(C505,'General price list'!C:I,7,FALSE),"")</f>
        <v/>
      </c>
      <c r="AA505" s="805" t="str">
        <f>IF(X505&lt;&gt;"",VLOOKUP(C505,'General price list'!C507:AN1480,MATCH("HM",Tabulka1[[#Headers],[KOD]:[NEQ]],0),FALSE),"")</f>
        <v/>
      </c>
    </row>
    <row r="506" spans="1:27">
      <c r="A506">
        <f>COUNTIF($W$22:W506,1)</f>
        <v>0</v>
      </c>
      <c r="B506">
        <v>506</v>
      </c>
      <c r="C506" s="340" t="str">
        <f>IFERROR(Tabulka1[[#This Row],[KOD]],"")</f>
        <v>C19220F/C</v>
      </c>
      <c r="W506" s="804" t="str">
        <f t="shared" si="16"/>
        <v/>
      </c>
      <c r="X506" s="154" t="str">
        <f t="shared" si="17"/>
        <v/>
      </c>
      <c r="Y506" s="341">
        <f>IF('General price list'!$AB508="",0,'General price list'!$AB508)</f>
        <v>0</v>
      </c>
      <c r="Z506" s="365" t="str">
        <f>IFERROR(X506*VLOOKUP(C506,'General price list'!C:I,7,FALSE),"")</f>
        <v/>
      </c>
      <c r="AA506" s="805" t="str">
        <f>IF(X506&lt;&gt;"",VLOOKUP(C506,'General price list'!C508:AN1481,MATCH("HM",Tabulka1[[#Headers],[KOD]:[NEQ]],0),FALSE),"")</f>
        <v/>
      </c>
    </row>
    <row r="507" spans="1:27">
      <c r="A507">
        <f>COUNTIF($W$22:W507,1)</f>
        <v>0</v>
      </c>
      <c r="B507">
        <v>507</v>
      </c>
      <c r="C507" s="340" t="str">
        <f>IFERROR(Tabulka1[[#This Row],[KOD]],"")</f>
        <v>C25220XFS/C</v>
      </c>
      <c r="W507" s="804" t="str">
        <f t="shared" si="16"/>
        <v/>
      </c>
      <c r="X507" s="154" t="str">
        <f t="shared" si="17"/>
        <v/>
      </c>
      <c r="Y507" s="341">
        <f>IF('General price list'!$AB509="",0,'General price list'!$AB509)</f>
        <v>0</v>
      </c>
      <c r="Z507" s="365" t="str">
        <f>IFERROR(X507*VLOOKUP(C507,'General price list'!C:I,7,FALSE),"")</f>
        <v/>
      </c>
      <c r="AA507" s="805" t="str">
        <f>IF(X507&lt;&gt;"",VLOOKUP(C507,'General price list'!C509:AN1482,MATCH("HM",Tabulka1[[#Headers],[KOD]:[NEQ]],0),FALSE),"")</f>
        <v/>
      </c>
    </row>
    <row r="508" spans="1:27">
      <c r="A508">
        <f>COUNTIF($W$22:W508,1)</f>
        <v>0</v>
      </c>
      <c r="B508">
        <v>508</v>
      </c>
      <c r="C508" s="340" t="str">
        <f>IFERROR(Tabulka1[[#This Row],[KOD]],"")</f>
        <v>C25620NID/C</v>
      </c>
      <c r="W508" s="804" t="str">
        <f t="shared" si="16"/>
        <v/>
      </c>
      <c r="X508" s="154" t="str">
        <f t="shared" si="17"/>
        <v/>
      </c>
      <c r="Y508" s="341">
        <f>IF('General price list'!$AB510="",0,'General price list'!$AB510)</f>
        <v>0</v>
      </c>
      <c r="Z508" s="365" t="str">
        <f>IFERROR(X508*VLOOKUP(C508,'General price list'!C:I,7,FALSE),"")</f>
        <v/>
      </c>
      <c r="AA508" s="805" t="str">
        <f>IF(X508&lt;&gt;"",VLOOKUP(C508,'General price list'!C510:AN1483,MATCH("HM",Tabulka1[[#Headers],[KOD]:[NEQ]],0),FALSE),"")</f>
        <v/>
      </c>
    </row>
    <row r="509" spans="1:27">
      <c r="A509">
        <f>COUNTIF($W$22:W509,1)</f>
        <v>0</v>
      </c>
      <c r="B509">
        <v>509</v>
      </c>
      <c r="C509" s="340" t="str">
        <f>IFERROR(Tabulka1[[#This Row],[KOD]],"")</f>
        <v>C25620F/C</v>
      </c>
      <c r="W509" s="804" t="str">
        <f t="shared" si="16"/>
        <v/>
      </c>
      <c r="X509" s="154" t="str">
        <f t="shared" si="17"/>
        <v/>
      </c>
      <c r="Y509" s="341">
        <f>IF('General price list'!$AB511="",0,'General price list'!$AB511)</f>
        <v>0</v>
      </c>
      <c r="Z509" s="365" t="str">
        <f>IFERROR(X509*VLOOKUP(C509,'General price list'!C:I,7,FALSE),"")</f>
        <v/>
      </c>
      <c r="AA509" s="805" t="str">
        <f>IF(X509&lt;&gt;"",VLOOKUP(C509,'General price list'!C511:AN1484,MATCH("HM",Tabulka1[[#Headers],[KOD]:[NEQ]],0),FALSE),"")</f>
        <v/>
      </c>
    </row>
    <row r="510" spans="1:27">
      <c r="A510">
        <f>COUNTIF($W$22:W510,1)</f>
        <v>0</v>
      </c>
      <c r="B510">
        <v>510</v>
      </c>
      <c r="C510" s="340" t="str">
        <f>IFERROR(Tabulka1[[#This Row],[KOD]],"")</f>
        <v>C26420N/C</v>
      </c>
      <c r="W510" s="804" t="str">
        <f t="shared" si="16"/>
        <v/>
      </c>
      <c r="X510" s="154" t="str">
        <f t="shared" si="17"/>
        <v/>
      </c>
      <c r="Y510" s="341">
        <f>IF('General price list'!$AB512="",0,'General price list'!$AB512)</f>
        <v>0</v>
      </c>
      <c r="Z510" s="365" t="str">
        <f>IFERROR(X510*VLOOKUP(C510,'General price list'!C:I,7,FALSE),"")</f>
        <v/>
      </c>
      <c r="AA510" s="805" t="str">
        <f>IF(X510&lt;&gt;"",VLOOKUP(C510,'General price list'!C512:AN1485,MATCH("HM",Tabulka1[[#Headers],[KOD]:[NEQ]],0),FALSE),"")</f>
        <v/>
      </c>
    </row>
    <row r="511" spans="1:27">
      <c r="A511">
        <f>COUNTIF($W$22:W511,1)</f>
        <v>0</v>
      </c>
      <c r="B511">
        <v>511</v>
      </c>
      <c r="C511" s="340" t="str">
        <f>IFERROR(Tabulka1[[#This Row],[KOD]],"")</f>
        <v>C32820XM/C</v>
      </c>
      <c r="W511" s="804" t="str">
        <f t="shared" si="16"/>
        <v/>
      </c>
      <c r="X511" s="154" t="str">
        <f t="shared" si="17"/>
        <v/>
      </c>
      <c r="Y511" s="341">
        <f>IF('General price list'!$AB513="",0,'General price list'!$AB513)</f>
        <v>0</v>
      </c>
      <c r="Z511" s="365" t="str">
        <f>IFERROR(X511*VLOOKUP(C511,'General price list'!C:I,7,FALSE),"")</f>
        <v/>
      </c>
      <c r="AA511" s="805" t="str">
        <f>IF(X511&lt;&gt;"",VLOOKUP(C511,'General price list'!C513:AN1486,MATCH("HM",Tabulka1[[#Headers],[KOD]:[NEQ]],0),FALSE),"")</f>
        <v/>
      </c>
    </row>
    <row r="512" spans="1:27">
      <c r="A512">
        <f>COUNTIF($W$22:W512,1)</f>
        <v>0</v>
      </c>
      <c r="B512">
        <v>512</v>
      </c>
      <c r="C512" s="340">
        <f>IFERROR(Tabulka1[[#This Row],[KOD]],"")</f>
        <v>0</v>
      </c>
      <c r="W512" s="804" t="str">
        <f t="shared" si="16"/>
        <v/>
      </c>
      <c r="X512" s="154" t="str">
        <f t="shared" si="17"/>
        <v/>
      </c>
      <c r="Y512" s="341">
        <f>IF('General price list'!$AB514="",0,'General price list'!$AB514)</f>
        <v>0</v>
      </c>
      <c r="Z512" s="365" t="str">
        <f>IFERROR(X512*VLOOKUP(C512,'General price list'!C:I,7,FALSE),"")</f>
        <v/>
      </c>
      <c r="AA512" s="805" t="str">
        <f>IF(X512&lt;&gt;"",VLOOKUP(C512,'General price list'!C514:AN1487,MATCH("HM",Tabulka1[[#Headers],[KOD]:[NEQ]],0),FALSE),"")</f>
        <v/>
      </c>
    </row>
    <row r="513" spans="1:27">
      <c r="A513">
        <f>COUNTIF($W$22:W513,1)</f>
        <v>0</v>
      </c>
      <c r="B513">
        <v>513</v>
      </c>
      <c r="C513" s="340" t="str">
        <f>IFERROR(Tabulka1[[#This Row],[KOD]],"")</f>
        <v>C18020SIG/C</v>
      </c>
      <c r="W513" s="804" t="str">
        <f t="shared" si="16"/>
        <v/>
      </c>
      <c r="X513" s="154" t="str">
        <f t="shared" si="17"/>
        <v/>
      </c>
      <c r="Y513" s="341">
        <f>IF('General price list'!$AB515="",0,'General price list'!$AB515)</f>
        <v>0</v>
      </c>
      <c r="Z513" s="365" t="str">
        <f>IFERROR(X513*VLOOKUP(C513,'General price list'!C:I,7,FALSE),"")</f>
        <v/>
      </c>
      <c r="AA513" s="805" t="str">
        <f>IF(X513&lt;&gt;"",VLOOKUP(C513,'General price list'!C515:AN1488,MATCH("HM",Tabulka1[[#Headers],[KOD]:[NEQ]],0),FALSE),"")</f>
        <v/>
      </c>
    </row>
    <row r="514" spans="1:27">
      <c r="A514">
        <f>COUNTIF($W$22:W514,1)</f>
        <v>0</v>
      </c>
      <c r="B514">
        <v>514</v>
      </c>
      <c r="C514" s="340" t="str">
        <f>IFERROR(Tabulka1[[#This Row],[KOD]],"")</f>
        <v>C26020F/C</v>
      </c>
      <c r="W514" s="804" t="str">
        <f t="shared" si="16"/>
        <v/>
      </c>
      <c r="X514" s="154" t="str">
        <f t="shared" si="17"/>
        <v/>
      </c>
      <c r="Y514" s="341">
        <f>IF('General price list'!$AB516="",0,'General price list'!$AB516)</f>
        <v>0</v>
      </c>
      <c r="Z514" s="365" t="str">
        <f>IFERROR(X514*VLOOKUP(C514,'General price list'!C:I,7,FALSE),"")</f>
        <v/>
      </c>
      <c r="AA514" s="805" t="str">
        <f>IF(X514&lt;&gt;"",VLOOKUP(C514,'General price list'!C516:AN1489,MATCH("HM",Tabulka1[[#Headers],[KOD]:[NEQ]],0),FALSE),"")</f>
        <v/>
      </c>
    </row>
    <row r="515" spans="1:27">
      <c r="A515">
        <f>COUNTIF($W$22:W515,1)</f>
        <v>0</v>
      </c>
      <c r="B515">
        <v>515</v>
      </c>
      <c r="C515" s="340" t="str">
        <f>IFERROR(Tabulka1[[#This Row],[KOD]],"")</f>
        <v>C26820F/C</v>
      </c>
      <c r="W515" s="804" t="str">
        <f t="shared" si="16"/>
        <v/>
      </c>
      <c r="X515" s="154" t="str">
        <f t="shared" si="17"/>
        <v/>
      </c>
      <c r="Y515" s="341">
        <f>IF('General price list'!$AB517="",0,'General price list'!$AB517)</f>
        <v>0</v>
      </c>
      <c r="Z515" s="365" t="str">
        <f>IFERROR(X515*VLOOKUP(C515,'General price list'!C:I,7,FALSE),"")</f>
        <v/>
      </c>
      <c r="AA515" s="805" t="str">
        <f>IF(X515&lt;&gt;"",VLOOKUP(C515,'General price list'!C517:AN1490,MATCH("HM",Tabulka1[[#Headers],[KOD]:[NEQ]],0),FALSE),"")</f>
        <v/>
      </c>
    </row>
    <row r="516" spans="1:27">
      <c r="A516">
        <f>COUNTIF($W$22:W516,1)</f>
        <v>0</v>
      </c>
      <c r="B516">
        <v>516</v>
      </c>
      <c r="C516" s="340" t="str">
        <f>IFERROR(Tabulka1[[#This Row],[KOD]],"")</f>
        <v>C39020F/C</v>
      </c>
      <c r="W516" s="804" t="str">
        <f t="shared" si="16"/>
        <v/>
      </c>
      <c r="X516" s="154" t="str">
        <f t="shared" si="17"/>
        <v/>
      </c>
      <c r="Y516" s="341">
        <f>IF('General price list'!$AB518="",0,'General price list'!$AB518)</f>
        <v>0</v>
      </c>
      <c r="Z516" s="365" t="str">
        <f>IFERROR(X516*VLOOKUP(C516,'General price list'!C:I,7,FALSE),"")</f>
        <v/>
      </c>
      <c r="AA516" s="805" t="str">
        <f>IF(X516&lt;&gt;"",VLOOKUP(C516,'General price list'!C518:AN1491,MATCH("HM",Tabulka1[[#Headers],[KOD]:[NEQ]],0),FALSE),"")</f>
        <v/>
      </c>
    </row>
    <row r="517" spans="1:27">
      <c r="A517">
        <f>COUNTIF($W$22:W517,1)</f>
        <v>0</v>
      </c>
      <c r="B517">
        <v>517</v>
      </c>
      <c r="C517" s="340" t="str">
        <f>IFERROR(Tabulka1[[#This Row],[KOD]],"")</f>
        <v>C52020F/C</v>
      </c>
      <c r="W517" s="804" t="str">
        <f t="shared" si="16"/>
        <v/>
      </c>
      <c r="X517" s="154" t="str">
        <f t="shared" si="17"/>
        <v/>
      </c>
      <c r="Y517" s="341">
        <f>IF('General price list'!$AB519="",0,'General price list'!$AB519)</f>
        <v>0</v>
      </c>
      <c r="Z517" s="365" t="str">
        <f>IFERROR(X517*VLOOKUP(C517,'General price list'!C:I,7,FALSE),"")</f>
        <v/>
      </c>
      <c r="AA517" s="805" t="str">
        <f>IF(X517&lt;&gt;"",VLOOKUP(C517,'General price list'!C519:AN1492,MATCH("HM",Tabulka1[[#Headers],[KOD]:[NEQ]],0),FALSE),"")</f>
        <v/>
      </c>
    </row>
    <row r="518" spans="1:27">
      <c r="A518">
        <f>COUNTIF($W$22:W518,1)</f>
        <v>0</v>
      </c>
      <c r="B518">
        <v>518</v>
      </c>
      <c r="C518" s="340" t="str">
        <f>IFERROR(Tabulka1[[#This Row],[KOD]],"")</f>
        <v>C53620F/C</v>
      </c>
      <c r="W518" s="804" t="str">
        <f t="shared" si="16"/>
        <v/>
      </c>
      <c r="X518" s="154" t="str">
        <f t="shared" si="17"/>
        <v/>
      </c>
      <c r="Y518" s="341">
        <f>IF('General price list'!$AB520="",0,'General price list'!$AB520)</f>
        <v>0</v>
      </c>
      <c r="Z518" s="365" t="str">
        <f>IFERROR(X518*VLOOKUP(C518,'General price list'!C:I,7,FALSE),"")</f>
        <v/>
      </c>
      <c r="AA518" s="805" t="str">
        <f>IF(X518&lt;&gt;"",VLOOKUP(C518,'General price list'!C520:AN1493,MATCH("HM",Tabulka1[[#Headers],[KOD]:[NEQ]],0),FALSE),"")</f>
        <v/>
      </c>
    </row>
    <row r="519" spans="1:27">
      <c r="A519">
        <f>COUNTIF($W$22:W519,1)</f>
        <v>0</v>
      </c>
      <c r="B519">
        <v>519</v>
      </c>
      <c r="C519" s="340" t="str">
        <f>IFERROR(Tabulka1[[#This Row],[KOD]],"")</f>
        <v>C60020XPR/C</v>
      </c>
      <c r="W519" s="804" t="str">
        <f t="shared" si="16"/>
        <v/>
      </c>
      <c r="X519" s="154" t="str">
        <f t="shared" si="17"/>
        <v/>
      </c>
      <c r="Y519" s="341">
        <f>IF('General price list'!$AB521="",0,'General price list'!$AB521)</f>
        <v>0</v>
      </c>
      <c r="Z519" s="365" t="str">
        <f>IFERROR(X519*VLOOKUP(C519,'General price list'!C:I,7,FALSE),"")</f>
        <v/>
      </c>
      <c r="AA519" s="805" t="str">
        <f>IF(X519&lt;&gt;"",VLOOKUP(C519,'General price list'!C521:AN1494,MATCH("HM",Tabulka1[[#Headers],[KOD]:[NEQ]],0),FALSE),"")</f>
        <v/>
      </c>
    </row>
    <row r="520" spans="1:27">
      <c r="A520">
        <f>COUNTIF($W$22:W520,1)</f>
        <v>0</v>
      </c>
      <c r="B520">
        <v>520</v>
      </c>
      <c r="C520" s="340">
        <f>IFERROR(Tabulka1[[#This Row],[KOD]],"")</f>
        <v>0</v>
      </c>
      <c r="W520" s="804" t="str">
        <f t="shared" si="16"/>
        <v/>
      </c>
      <c r="X520" s="154" t="str">
        <f t="shared" si="17"/>
        <v/>
      </c>
      <c r="Y520" s="341">
        <f>IF('General price list'!$AB522="",0,'General price list'!$AB522)</f>
        <v>0</v>
      </c>
      <c r="Z520" s="365" t="str">
        <f>IFERROR(X520*VLOOKUP(C520,'General price list'!C:I,7,FALSE),"")</f>
        <v/>
      </c>
      <c r="AA520" s="805" t="str">
        <f>IF(X520&lt;&gt;"",VLOOKUP(C520,'General price list'!C522:AN1495,MATCH("HM",Tabulka1[[#Headers],[KOD]:[NEQ]],0),FALSE),"")</f>
        <v/>
      </c>
    </row>
    <row r="521" spans="1:27">
      <c r="A521">
        <f>COUNTIF($W$22:W521,1)</f>
        <v>0</v>
      </c>
      <c r="B521">
        <v>521</v>
      </c>
      <c r="C521" s="340" t="str">
        <f>IFERROR(Tabulka1[[#This Row],[KOD]],"")</f>
        <v>C1625B</v>
      </c>
      <c r="W521" s="804" t="str">
        <f t="shared" si="16"/>
        <v/>
      </c>
      <c r="X521" s="154" t="str">
        <f t="shared" si="17"/>
        <v/>
      </c>
      <c r="Y521" s="341">
        <f>IF('General price list'!$AB523="",0,'General price list'!$AB523)</f>
        <v>0</v>
      </c>
      <c r="Z521" s="365" t="str">
        <f>IFERROR(X521*VLOOKUP(C521,'General price list'!C:I,7,FALSE),"")</f>
        <v/>
      </c>
      <c r="AA521" s="805" t="str">
        <f>IF(X521&lt;&gt;"",VLOOKUP(C521,'General price list'!C523:AN1496,MATCH("HM",Tabulka1[[#Headers],[KOD]:[NEQ]],0),FALSE),"")</f>
        <v/>
      </c>
    </row>
    <row r="522" spans="1:27">
      <c r="A522">
        <f>COUNTIF($W$22:W522,1)</f>
        <v>0</v>
      </c>
      <c r="B522">
        <v>522</v>
      </c>
      <c r="C522" s="340" t="str">
        <f>IFERROR(Tabulka1[[#This Row],[KOD]],"")</f>
        <v>C1625D</v>
      </c>
      <c r="W522" s="804" t="str">
        <f t="shared" si="16"/>
        <v/>
      </c>
      <c r="X522" s="154" t="str">
        <f t="shared" si="17"/>
        <v/>
      </c>
      <c r="Y522" s="341">
        <f>IF('General price list'!$AB524="",0,'General price list'!$AB524)</f>
        <v>0</v>
      </c>
      <c r="Z522" s="365" t="str">
        <f>IFERROR(X522*VLOOKUP(C522,'General price list'!C:I,7,FALSE),"")</f>
        <v/>
      </c>
      <c r="AA522" s="805" t="str">
        <f>IF(X522&lt;&gt;"",VLOOKUP(C522,'General price list'!C524:AN1497,MATCH("HM",Tabulka1[[#Headers],[KOD]:[NEQ]],0),FALSE),"")</f>
        <v/>
      </c>
    </row>
    <row r="523" spans="1:27">
      <c r="A523">
        <f>COUNTIF($W$22:W523,1)</f>
        <v>0</v>
      </c>
      <c r="B523">
        <v>523</v>
      </c>
      <c r="C523" s="340" t="str">
        <f>IFERROR(Tabulka1[[#This Row],[KOD]],"")</f>
        <v>C1625F</v>
      </c>
      <c r="W523" s="804" t="str">
        <f t="shared" si="16"/>
        <v/>
      </c>
      <c r="X523" s="154" t="str">
        <f t="shared" si="17"/>
        <v/>
      </c>
      <c r="Y523" s="341">
        <f>IF('General price list'!$AB525="",0,'General price list'!$AB525)</f>
        <v>0</v>
      </c>
      <c r="Z523" s="365" t="str">
        <f>IFERROR(X523*VLOOKUP(C523,'General price list'!C:I,7,FALSE),"")</f>
        <v/>
      </c>
      <c r="AA523" s="805" t="str">
        <f>IF(X523&lt;&gt;"",VLOOKUP(C523,'General price list'!C525:AN1498,MATCH("HM",Tabulka1[[#Headers],[KOD]:[NEQ]],0),FALSE),"")</f>
        <v/>
      </c>
    </row>
    <row r="524" spans="1:27">
      <c r="A524">
        <f>COUNTIF($W$22:W524,1)</f>
        <v>0</v>
      </c>
      <c r="B524">
        <v>524</v>
      </c>
      <c r="C524" s="340" t="str">
        <f>IFERROR(Tabulka1[[#This Row],[KOD]],"")</f>
        <v>C1625G</v>
      </c>
      <c r="W524" s="804" t="str">
        <f t="shared" si="16"/>
        <v/>
      </c>
      <c r="X524" s="154" t="str">
        <f t="shared" si="17"/>
        <v/>
      </c>
      <c r="Y524" s="341">
        <f>IF('General price list'!$AB526="",0,'General price list'!$AB526)</f>
        <v>0</v>
      </c>
      <c r="Z524" s="365" t="str">
        <f>IFERROR(X524*VLOOKUP(C524,'General price list'!C:I,7,FALSE),"")</f>
        <v/>
      </c>
      <c r="AA524" s="805" t="str">
        <f>IF(X524&lt;&gt;"",VLOOKUP(C524,'General price list'!C526:AN1499,MATCH("HM",Tabulka1[[#Headers],[KOD]:[NEQ]],0),FALSE),"")</f>
        <v/>
      </c>
    </row>
    <row r="525" spans="1:27">
      <c r="A525">
        <f>COUNTIF($W$22:W525,1)</f>
        <v>0</v>
      </c>
      <c r="B525">
        <v>525</v>
      </c>
      <c r="C525" s="340">
        <f>IFERROR(Tabulka1[[#This Row],[KOD]],"")</f>
        <v>0</v>
      </c>
      <c r="W525" s="804" t="str">
        <f t="shared" si="16"/>
        <v/>
      </c>
      <c r="X525" s="154" t="str">
        <f t="shared" si="17"/>
        <v/>
      </c>
      <c r="Y525" s="341">
        <f>IF('General price list'!$AB527="",0,'General price list'!$AB527)</f>
        <v>0</v>
      </c>
      <c r="Z525" s="365" t="str">
        <f>IFERROR(X525*VLOOKUP(C525,'General price list'!C:I,7,FALSE),"")</f>
        <v/>
      </c>
      <c r="AA525" s="805" t="str">
        <f>IF(X525&lt;&gt;"",VLOOKUP(C525,'General price list'!C527:AN1500,MATCH("HM",Tabulka1[[#Headers],[KOD]:[NEQ]],0),FALSE),"")</f>
        <v/>
      </c>
    </row>
    <row r="526" spans="1:27">
      <c r="A526">
        <f>COUNTIF($W$22:W526,1)</f>
        <v>0</v>
      </c>
      <c r="B526">
        <v>526</v>
      </c>
      <c r="C526" s="340" t="str">
        <f>IFERROR(Tabulka1[[#This Row],[KOD]],"")</f>
        <v>C1625DU</v>
      </c>
      <c r="W526" s="804" t="str">
        <f t="shared" si="16"/>
        <v/>
      </c>
      <c r="X526" s="154" t="str">
        <f t="shared" si="17"/>
        <v/>
      </c>
      <c r="Y526" s="341">
        <f>IF('General price list'!$AB528="",0,'General price list'!$AB528)</f>
        <v>0</v>
      </c>
      <c r="Z526" s="365" t="str">
        <f>IFERROR(X526*VLOOKUP(C526,'General price list'!C:I,7,FALSE),"")</f>
        <v/>
      </c>
      <c r="AA526" s="805" t="str">
        <f>IF(X526&lt;&gt;"",VLOOKUP(C526,'General price list'!C528:AN1501,MATCH("HM",Tabulka1[[#Headers],[KOD]:[NEQ]],0),FALSE),"")</f>
        <v/>
      </c>
    </row>
    <row r="527" spans="1:27">
      <c r="A527">
        <f>COUNTIF($W$22:W527,1)</f>
        <v>0</v>
      </c>
      <c r="B527">
        <v>527</v>
      </c>
      <c r="C527" s="340" t="str">
        <f>IFERROR(Tabulka1[[#This Row],[KOD]],"")</f>
        <v>C1625D14</v>
      </c>
      <c r="W527" s="804" t="str">
        <f t="shared" si="16"/>
        <v/>
      </c>
      <c r="X527" s="154" t="str">
        <f t="shared" si="17"/>
        <v/>
      </c>
      <c r="Y527" s="341">
        <f>IF('General price list'!$AB529="",0,'General price list'!$AB529)</f>
        <v>0</v>
      </c>
      <c r="Z527" s="365" t="str">
        <f>IFERROR(X527*VLOOKUP(C527,'General price list'!C:I,7,FALSE),"")</f>
        <v/>
      </c>
      <c r="AA527" s="805" t="str">
        <f>IF(X527&lt;&gt;"",VLOOKUP(C527,'General price list'!C529:AN1502,MATCH("HM",Tabulka1[[#Headers],[KOD]:[NEQ]],0),FALSE),"")</f>
        <v/>
      </c>
    </row>
    <row r="528" spans="1:27">
      <c r="A528">
        <f>COUNTIF($W$22:W528,1)</f>
        <v>0</v>
      </c>
      <c r="B528">
        <v>528</v>
      </c>
      <c r="C528" s="340" t="str">
        <f>IFERROR(Tabulka1[[#This Row],[KOD]],"")</f>
        <v>C1625F14</v>
      </c>
      <c r="W528" s="804" t="str">
        <f t="shared" si="16"/>
        <v/>
      </c>
      <c r="X528" s="154" t="str">
        <f t="shared" si="17"/>
        <v/>
      </c>
      <c r="Y528" s="341">
        <f>IF('General price list'!$AB530="",0,'General price list'!$AB530)</f>
        <v>0</v>
      </c>
      <c r="Z528" s="365" t="str">
        <f>IFERROR(X528*VLOOKUP(C528,'General price list'!C:I,7,FALSE),"")</f>
        <v/>
      </c>
      <c r="AA528" s="805" t="str">
        <f>IF(X528&lt;&gt;"",VLOOKUP(C528,'General price list'!C530:AN1503,MATCH("HM",Tabulka1[[#Headers],[KOD]:[NEQ]],0),FALSE),"")</f>
        <v/>
      </c>
    </row>
    <row r="529" spans="1:27">
      <c r="A529">
        <f>COUNTIF($W$22:W529,1)</f>
        <v>0</v>
      </c>
      <c r="B529">
        <v>529</v>
      </c>
      <c r="C529" s="340">
        <f>IFERROR(Tabulka1[[#This Row],[KOD]],"")</f>
        <v>0</v>
      </c>
      <c r="W529" s="804" t="str">
        <f t="shared" si="16"/>
        <v/>
      </c>
      <c r="X529" s="154" t="str">
        <f t="shared" si="17"/>
        <v/>
      </c>
      <c r="Y529" s="341">
        <f>IF('General price list'!$AB531="",0,'General price list'!$AB531)</f>
        <v>0</v>
      </c>
      <c r="Z529" s="365" t="str">
        <f>IFERROR(X529*VLOOKUP(C529,'General price list'!C:I,7,FALSE),"")</f>
        <v/>
      </c>
      <c r="AA529" s="805" t="str">
        <f>IF(X529&lt;&gt;"",VLOOKUP(C529,'General price list'!C531:AN1504,MATCH("HM",Tabulka1[[#Headers],[KOD]:[NEQ]],0),FALSE),"")</f>
        <v/>
      </c>
    </row>
    <row r="530" spans="1:27">
      <c r="A530">
        <f>COUNTIF($W$22:W530,1)</f>
        <v>0</v>
      </c>
      <c r="B530">
        <v>530</v>
      </c>
      <c r="C530" s="340" t="str">
        <f>IFERROR(Tabulka1[[#This Row],[KOD]],"")</f>
        <v>C2525BPW</v>
      </c>
      <c r="W530" s="804" t="str">
        <f t="shared" si="16"/>
        <v/>
      </c>
      <c r="X530" s="154" t="str">
        <f t="shared" si="17"/>
        <v/>
      </c>
      <c r="Y530" s="341">
        <f>IF('General price list'!$AB532="",0,'General price list'!$AB532)</f>
        <v>0</v>
      </c>
      <c r="Z530" s="365" t="str">
        <f>IFERROR(X530*VLOOKUP(C530,'General price list'!C:I,7,FALSE),"")</f>
        <v/>
      </c>
      <c r="AA530" s="805" t="str">
        <f>IF(X530&lt;&gt;"",VLOOKUP(C530,'General price list'!C532:AN1505,MATCH("HM",Tabulka1[[#Headers],[KOD]:[NEQ]],0),FALSE),"")</f>
        <v/>
      </c>
    </row>
    <row r="531" spans="1:27">
      <c r="A531">
        <f>COUNTIF($W$22:W531,1)</f>
        <v>0</v>
      </c>
      <c r="B531">
        <v>531</v>
      </c>
      <c r="C531" s="340" t="str">
        <f>IFERROR(Tabulka1[[#This Row],[KOD]],"")</f>
        <v>C2525SIG</v>
      </c>
      <c r="W531" s="804" t="str">
        <f t="shared" si="16"/>
        <v/>
      </c>
      <c r="X531" s="154" t="str">
        <f t="shared" si="17"/>
        <v/>
      </c>
      <c r="Y531" s="341">
        <f>IF('General price list'!$AB533="",0,'General price list'!$AB533)</f>
        <v>0</v>
      </c>
      <c r="Z531" s="365" t="str">
        <f>IFERROR(X531*VLOOKUP(C531,'General price list'!C:I,7,FALSE),"")</f>
        <v/>
      </c>
      <c r="AA531" s="805" t="str">
        <f>IF(X531&lt;&gt;"",VLOOKUP(C531,'General price list'!C533:AN1506,MATCH("HM",Tabulka1[[#Headers],[KOD]:[NEQ]],0),FALSE),"")</f>
        <v/>
      </c>
    </row>
    <row r="532" spans="1:27">
      <c r="A532">
        <f>COUNTIF($W$22:W532,1)</f>
        <v>0</v>
      </c>
      <c r="B532">
        <v>532</v>
      </c>
      <c r="C532" s="340" t="str">
        <f>IFERROR(Tabulka1[[#This Row],[KOD]],"")</f>
        <v>C2525DU</v>
      </c>
      <c r="W532" s="804" t="str">
        <f t="shared" si="16"/>
        <v/>
      </c>
      <c r="X532" s="154" t="str">
        <f t="shared" si="17"/>
        <v/>
      </c>
      <c r="Y532" s="341">
        <f>IF('General price list'!$AB534="",0,'General price list'!$AB534)</f>
        <v>0</v>
      </c>
      <c r="Z532" s="365" t="str">
        <f>IFERROR(X532*VLOOKUP(C532,'General price list'!C:I,7,FALSE),"")</f>
        <v/>
      </c>
      <c r="AA532" s="805" t="str">
        <f>IF(X532&lt;&gt;"",VLOOKUP(C532,'General price list'!C534:AN1507,MATCH("HM",Tabulka1[[#Headers],[KOD]:[NEQ]],0),FALSE),"")</f>
        <v/>
      </c>
    </row>
    <row r="533" spans="1:27">
      <c r="A533">
        <f>COUNTIF($W$22:W533,1)</f>
        <v>0</v>
      </c>
      <c r="B533">
        <v>533</v>
      </c>
      <c r="C533" s="340" t="str">
        <f>IFERROR(Tabulka1[[#This Row],[KOD]],"")</f>
        <v>C2525C</v>
      </c>
      <c r="W533" s="804" t="str">
        <f t="shared" si="16"/>
        <v/>
      </c>
      <c r="X533" s="154" t="str">
        <f t="shared" si="17"/>
        <v/>
      </c>
      <c r="Y533" s="341">
        <f>IF('General price list'!$AB535="",0,'General price list'!$AB535)</f>
        <v>0</v>
      </c>
      <c r="Z533" s="365" t="str">
        <f>IFERROR(X533*VLOOKUP(C533,'General price list'!C:I,7,FALSE),"")</f>
        <v/>
      </c>
      <c r="AA533" s="805" t="str">
        <f>IF(X533&lt;&gt;"",VLOOKUP(C533,'General price list'!C535:AN1508,MATCH("HM",Tabulka1[[#Headers],[KOD]:[NEQ]],0),FALSE),"")</f>
        <v/>
      </c>
    </row>
    <row r="534" spans="1:27">
      <c r="A534">
        <f>COUNTIF($W$22:W534,1)</f>
        <v>0</v>
      </c>
      <c r="B534">
        <v>534</v>
      </c>
      <c r="C534" s="340" t="str">
        <f>IFERROR(Tabulka1[[#This Row],[KOD]],"")</f>
        <v>C2525L</v>
      </c>
      <c r="W534" s="804" t="str">
        <f t="shared" si="16"/>
        <v/>
      </c>
      <c r="X534" s="154" t="str">
        <f t="shared" si="17"/>
        <v/>
      </c>
      <c r="Y534" s="341">
        <f>IF('General price list'!$AB536="",0,'General price list'!$AB536)</f>
        <v>0</v>
      </c>
      <c r="Z534" s="365" t="str">
        <f>IFERROR(X534*VLOOKUP(C534,'General price list'!C:I,7,FALSE),"")</f>
        <v/>
      </c>
      <c r="AA534" s="805" t="str">
        <f>IF(X534&lt;&gt;"",VLOOKUP(C534,'General price list'!C536:AN1509,MATCH("HM",Tabulka1[[#Headers],[KOD]:[NEQ]],0),FALSE),"")</f>
        <v/>
      </c>
    </row>
    <row r="535" spans="1:27">
      <c r="A535">
        <f>COUNTIF($W$22:W535,1)</f>
        <v>0</v>
      </c>
      <c r="B535">
        <v>535</v>
      </c>
      <c r="C535" s="340">
        <f>IFERROR(Tabulka1[[#This Row],[KOD]],"")</f>
        <v>0</v>
      </c>
      <c r="W535" s="804" t="str">
        <f t="shared" si="16"/>
        <v/>
      </c>
      <c r="X535" s="154" t="str">
        <f t="shared" si="17"/>
        <v/>
      </c>
      <c r="Y535" s="341">
        <f>IF('General price list'!$AB537="",0,'General price list'!$AB537)</f>
        <v>0</v>
      </c>
      <c r="Z535" s="365" t="str">
        <f>IFERROR(X535*VLOOKUP(C535,'General price list'!C:I,7,FALSE),"")</f>
        <v/>
      </c>
      <c r="AA535" s="805" t="str">
        <f>IF(X535&lt;&gt;"",VLOOKUP(C535,'General price list'!C537:AN1510,MATCH("HM",Tabulka1[[#Headers],[KOD]:[NEQ]],0),FALSE),"")</f>
        <v/>
      </c>
    </row>
    <row r="536" spans="1:27">
      <c r="A536">
        <f>COUNTIF($W$22:W536,1)</f>
        <v>0</v>
      </c>
      <c r="B536">
        <v>536</v>
      </c>
      <c r="C536" s="340" t="str">
        <f>IFERROR(Tabulka1[[#This Row],[KOD]],"")</f>
        <v>C2525SC14</v>
      </c>
      <c r="W536" s="804" t="str">
        <f t="shared" ref="W536:W599" si="18">IF(Y536+1=1,"",1)</f>
        <v/>
      </c>
      <c r="X536" s="154" t="str">
        <f t="shared" ref="X536:X599" si="19">IF(Y536+1=1,"",Y536)</f>
        <v/>
      </c>
      <c r="Y536" s="341">
        <f>IF('General price list'!$AB538="",0,'General price list'!$AB538)</f>
        <v>0</v>
      </c>
      <c r="Z536" s="365" t="str">
        <f>IFERROR(X536*VLOOKUP(C536,'General price list'!C:I,7,FALSE),"")</f>
        <v/>
      </c>
      <c r="AA536" s="805" t="str">
        <f>IF(X536&lt;&gt;"",VLOOKUP(C536,'General price list'!C538:AN1511,MATCH("HM",Tabulka1[[#Headers],[KOD]:[NEQ]],0),FALSE),"")</f>
        <v/>
      </c>
    </row>
    <row r="537" spans="1:27">
      <c r="A537">
        <f>COUNTIF($W$22:W537,1)</f>
        <v>0</v>
      </c>
      <c r="B537">
        <v>537</v>
      </c>
      <c r="C537" s="340">
        <f>IFERROR(Tabulka1[[#This Row],[KOD]],"")</f>
        <v>0</v>
      </c>
      <c r="W537" s="804" t="str">
        <f t="shared" si="18"/>
        <v/>
      </c>
      <c r="X537" s="154" t="str">
        <f t="shared" si="19"/>
        <v/>
      </c>
      <c r="Y537" s="341">
        <f>IF('General price list'!$AB539="",0,'General price list'!$AB539)</f>
        <v>0</v>
      </c>
      <c r="Z537" s="365" t="str">
        <f>IFERROR(X537*VLOOKUP(C537,'General price list'!C:I,7,FALSE),"")</f>
        <v/>
      </c>
      <c r="AA537" s="805" t="str">
        <f>IF(X537&lt;&gt;"",VLOOKUP(C537,'General price list'!C539:AN1512,MATCH("HM",Tabulka1[[#Headers],[KOD]:[NEQ]],0),FALSE),"")</f>
        <v/>
      </c>
    </row>
    <row r="538" spans="1:27">
      <c r="A538">
        <f>COUNTIF($W$22:W538,1)</f>
        <v>0</v>
      </c>
      <c r="B538">
        <v>538</v>
      </c>
      <c r="C538" s="340" t="str">
        <f>IFERROR(Tabulka1[[#This Row],[KOD]],"")</f>
        <v>CF2525D</v>
      </c>
      <c r="W538" s="804" t="str">
        <f t="shared" si="18"/>
        <v/>
      </c>
      <c r="X538" s="154" t="str">
        <f t="shared" si="19"/>
        <v/>
      </c>
      <c r="Y538" s="341">
        <f>IF('General price list'!$AB540="",0,'General price list'!$AB540)</f>
        <v>0</v>
      </c>
      <c r="Z538" s="365" t="str">
        <f>IFERROR(X538*VLOOKUP(C538,'General price list'!C:I,7,FALSE),"")</f>
        <v/>
      </c>
      <c r="AA538" s="805" t="str">
        <f>IF(X538&lt;&gt;"",VLOOKUP(C538,'General price list'!C540:AN1513,MATCH("HM",Tabulka1[[#Headers],[KOD]:[NEQ]],0),FALSE),"")</f>
        <v/>
      </c>
    </row>
    <row r="539" spans="1:27">
      <c r="A539">
        <f>COUNTIF($W$22:W539,1)</f>
        <v>0</v>
      </c>
      <c r="B539">
        <v>539</v>
      </c>
      <c r="C539" s="340" t="str">
        <f>IFERROR(Tabulka1[[#This Row],[KOD]],"")</f>
        <v>CF2525O</v>
      </c>
      <c r="W539" s="804" t="str">
        <f t="shared" si="18"/>
        <v/>
      </c>
      <c r="X539" s="154" t="str">
        <f t="shared" si="19"/>
        <v/>
      </c>
      <c r="Y539" s="341">
        <f>IF('General price list'!$AB541="",0,'General price list'!$AB541)</f>
        <v>0</v>
      </c>
      <c r="Z539" s="365" t="str">
        <f>IFERROR(X539*VLOOKUP(C539,'General price list'!C:I,7,FALSE),"")</f>
        <v/>
      </c>
      <c r="AA539" s="805" t="str">
        <f>IF(X539&lt;&gt;"",VLOOKUP(C539,'General price list'!C541:AN1514,MATCH("HM",Tabulka1[[#Headers],[KOD]:[NEQ]],0),FALSE),"")</f>
        <v/>
      </c>
    </row>
    <row r="540" spans="1:27">
      <c r="A540">
        <f>COUNTIF($W$22:W540,1)</f>
        <v>0</v>
      </c>
      <c r="B540">
        <v>540</v>
      </c>
      <c r="C540" s="340" t="str">
        <f>IFERROR(Tabulka1[[#This Row],[KOD]],"")</f>
        <v>CF2525S</v>
      </c>
      <c r="W540" s="804" t="str">
        <f t="shared" si="18"/>
        <v/>
      </c>
      <c r="X540" s="154" t="str">
        <f t="shared" si="19"/>
        <v/>
      </c>
      <c r="Y540" s="341">
        <f>IF('General price list'!$AB542="",0,'General price list'!$AB542)</f>
        <v>0</v>
      </c>
      <c r="Z540" s="365" t="str">
        <f>IFERROR(X540*VLOOKUP(C540,'General price list'!C:I,7,FALSE),"")</f>
        <v/>
      </c>
      <c r="AA540" s="805" t="str">
        <f>IF(X540&lt;&gt;"",VLOOKUP(C540,'General price list'!C542:AN1515,MATCH("HM",Tabulka1[[#Headers],[KOD]:[NEQ]],0),FALSE),"")</f>
        <v/>
      </c>
    </row>
    <row r="541" spans="1:27">
      <c r="A541">
        <f>COUNTIF($W$22:W541,1)</f>
        <v>0</v>
      </c>
      <c r="B541">
        <v>541</v>
      </c>
      <c r="C541" s="340">
        <f>IFERROR(Tabulka1[[#This Row],[KOD]],"")</f>
        <v>0</v>
      </c>
      <c r="W541" s="804" t="str">
        <f t="shared" si="18"/>
        <v/>
      </c>
      <c r="X541" s="154" t="str">
        <f t="shared" si="19"/>
        <v/>
      </c>
      <c r="Y541" s="341">
        <f>IF('General price list'!$AB543="",0,'General price list'!$AB543)</f>
        <v>0</v>
      </c>
      <c r="Z541" s="365" t="str">
        <f>IFERROR(X541*VLOOKUP(C541,'General price list'!C:I,7,FALSE),"")</f>
        <v/>
      </c>
      <c r="AA541" s="805" t="str">
        <f>IF(X541&lt;&gt;"",VLOOKUP(C541,'General price list'!C543:AN1516,MATCH("HM",Tabulka1[[#Headers],[KOD]:[NEQ]],0),FALSE),"")</f>
        <v/>
      </c>
    </row>
    <row r="542" spans="1:27">
      <c r="A542">
        <f>COUNTIF($W$22:W542,1)</f>
        <v>0</v>
      </c>
      <c r="B542">
        <v>542</v>
      </c>
      <c r="C542" s="340" t="str">
        <f>IFERROR(Tabulka1[[#This Row],[KOD]],"")</f>
        <v>C3625P</v>
      </c>
      <c r="W542" s="804" t="str">
        <f t="shared" si="18"/>
        <v/>
      </c>
      <c r="X542" s="154" t="str">
        <f t="shared" si="19"/>
        <v/>
      </c>
      <c r="Y542" s="341">
        <f>IF('General price list'!$AB544="",0,'General price list'!$AB544)</f>
        <v>0</v>
      </c>
      <c r="Z542" s="365" t="str">
        <f>IFERROR(X542*VLOOKUP(C542,'General price list'!C:I,7,FALSE),"")</f>
        <v/>
      </c>
      <c r="AA542" s="805" t="str">
        <f>IF(X542&lt;&gt;"",VLOOKUP(C542,'General price list'!C544:AN1517,MATCH("HM",Tabulka1[[#Headers],[KOD]:[NEQ]],0),FALSE),"")</f>
        <v/>
      </c>
    </row>
    <row r="543" spans="1:27">
      <c r="A543">
        <f>COUNTIF($W$22:W543,1)</f>
        <v>0</v>
      </c>
      <c r="B543">
        <v>543</v>
      </c>
      <c r="C543" s="340">
        <f>IFERROR(Tabulka1[[#This Row],[KOD]],"")</f>
        <v>0</v>
      </c>
      <c r="W543" s="804" t="str">
        <f t="shared" si="18"/>
        <v/>
      </c>
      <c r="X543" s="154" t="str">
        <f t="shared" si="19"/>
        <v/>
      </c>
      <c r="Y543" s="341">
        <f>IF('General price list'!$AB545="",0,'General price list'!$AB545)</f>
        <v>0</v>
      </c>
      <c r="Z543" s="365" t="str">
        <f>IFERROR(X543*VLOOKUP(C543,'General price list'!C:I,7,FALSE),"")</f>
        <v/>
      </c>
      <c r="AA543" s="805" t="str">
        <f>IF(X543&lt;&gt;"",VLOOKUP(C543,'General price list'!C545:AN1518,MATCH("HM",Tabulka1[[#Headers],[KOD]:[NEQ]],0),FALSE),"")</f>
        <v/>
      </c>
    </row>
    <row r="544" spans="1:27">
      <c r="A544">
        <f>COUNTIF($W$22:W544,1)</f>
        <v>0</v>
      </c>
      <c r="B544">
        <v>544</v>
      </c>
      <c r="C544" s="340" t="str">
        <f>IFERROR(Tabulka1[[#This Row],[KOD]],"")</f>
        <v>C3625P14</v>
      </c>
      <c r="W544" s="804" t="str">
        <f t="shared" si="18"/>
        <v/>
      </c>
      <c r="X544" s="154" t="str">
        <f t="shared" si="19"/>
        <v/>
      </c>
      <c r="Y544" s="341">
        <f>IF('General price list'!$AB546="",0,'General price list'!$AB546)</f>
        <v>0</v>
      </c>
      <c r="Z544" s="365" t="str">
        <f>IFERROR(X544*VLOOKUP(C544,'General price list'!C:I,7,FALSE),"")</f>
        <v/>
      </c>
      <c r="AA544" s="805" t="str">
        <f>IF(X544&lt;&gt;"",VLOOKUP(C544,'General price list'!C546:AN1519,MATCH("HM",Tabulka1[[#Headers],[KOD]:[NEQ]],0),FALSE),"")</f>
        <v/>
      </c>
    </row>
    <row r="545" spans="1:27">
      <c r="A545">
        <f>COUNTIF($W$22:W545,1)</f>
        <v>0</v>
      </c>
      <c r="B545">
        <v>545</v>
      </c>
      <c r="C545" s="340">
        <f>IFERROR(Tabulka1[[#This Row],[KOD]],"")</f>
        <v>0</v>
      </c>
      <c r="W545" s="804" t="str">
        <f t="shared" si="18"/>
        <v/>
      </c>
      <c r="X545" s="154" t="str">
        <f t="shared" si="19"/>
        <v/>
      </c>
      <c r="Y545" s="341">
        <f>IF('General price list'!$AB547="",0,'General price list'!$AB547)</f>
        <v>0</v>
      </c>
      <c r="Z545" s="365" t="str">
        <f>IFERROR(X545*VLOOKUP(C545,'General price list'!C:I,7,FALSE),"")</f>
        <v/>
      </c>
      <c r="AA545" s="805" t="str">
        <f>IF(X545&lt;&gt;"",VLOOKUP(C545,'General price list'!C547:AN1520,MATCH("HM",Tabulka1[[#Headers],[KOD]:[NEQ]],0),FALSE),"")</f>
        <v/>
      </c>
    </row>
    <row r="546" spans="1:27">
      <c r="A546">
        <f>COUNTIF($W$22:W546,1)</f>
        <v>0</v>
      </c>
      <c r="B546">
        <v>546</v>
      </c>
      <c r="C546" s="340" t="str">
        <f>IFERROR(Tabulka1[[#This Row],[KOD]],"")</f>
        <v>C4825MP</v>
      </c>
      <c r="W546" s="804" t="str">
        <f t="shared" si="18"/>
        <v/>
      </c>
      <c r="X546" s="154" t="str">
        <f t="shared" si="19"/>
        <v/>
      </c>
      <c r="Y546" s="341">
        <f>IF('General price list'!$AB548="",0,'General price list'!$AB548)</f>
        <v>0</v>
      </c>
      <c r="Z546" s="365" t="str">
        <f>IFERROR(X546*VLOOKUP(C546,'General price list'!C:I,7,FALSE),"")</f>
        <v/>
      </c>
      <c r="AA546" s="805" t="str">
        <f>IF(X546&lt;&gt;"",VLOOKUP(C546,'General price list'!C548:AN1521,MATCH("HM",Tabulka1[[#Headers],[KOD]:[NEQ]],0),FALSE),"")</f>
        <v/>
      </c>
    </row>
    <row r="547" spans="1:27">
      <c r="A547">
        <f>COUNTIF($W$22:W547,1)</f>
        <v>0</v>
      </c>
      <c r="B547">
        <v>547</v>
      </c>
      <c r="C547" s="340">
        <f>IFERROR(Tabulka1[[#This Row],[KOD]],"")</f>
        <v>0</v>
      </c>
      <c r="W547" s="804" t="str">
        <f t="shared" si="18"/>
        <v/>
      </c>
      <c r="X547" s="154" t="str">
        <f t="shared" si="19"/>
        <v/>
      </c>
      <c r="Y547" s="341">
        <f>IF('General price list'!$AB549="",0,'General price list'!$AB549)</f>
        <v>0</v>
      </c>
      <c r="Z547" s="365" t="str">
        <f>IFERROR(X547*VLOOKUP(C547,'General price list'!C:I,7,FALSE),"")</f>
        <v/>
      </c>
      <c r="AA547" s="805" t="str">
        <f>IF(X547&lt;&gt;"",VLOOKUP(C547,'General price list'!C549:AN1522,MATCH("HM",Tabulka1[[#Headers],[KOD]:[NEQ]],0),FALSE),"")</f>
        <v/>
      </c>
    </row>
    <row r="548" spans="1:27">
      <c r="A548">
        <f>COUNTIF($W$22:W548,1)</f>
        <v>0</v>
      </c>
      <c r="B548">
        <v>548</v>
      </c>
      <c r="C548" s="340" t="str">
        <f>IFERROR(Tabulka1[[#This Row],[KOD]],"")</f>
        <v>C4925G</v>
      </c>
      <c r="W548" s="804" t="str">
        <f t="shared" si="18"/>
        <v/>
      </c>
      <c r="X548" s="154" t="str">
        <f t="shared" si="19"/>
        <v/>
      </c>
      <c r="Y548" s="341">
        <f>IF('General price list'!$AB550="",0,'General price list'!$AB550)</f>
        <v>0</v>
      </c>
      <c r="Z548" s="365" t="str">
        <f>IFERROR(X548*VLOOKUP(C548,'General price list'!C:I,7,FALSE),"")</f>
        <v/>
      </c>
      <c r="AA548" s="805" t="str">
        <f>IF(X548&lt;&gt;"",VLOOKUP(C548,'General price list'!C550:AN1523,MATCH("HM",Tabulka1[[#Headers],[KOD]:[NEQ]],0),FALSE),"")</f>
        <v/>
      </c>
    </row>
    <row r="549" spans="1:27">
      <c r="A549">
        <f>COUNTIF($W$22:W549,1)</f>
        <v>0</v>
      </c>
      <c r="B549">
        <v>549</v>
      </c>
      <c r="C549" s="340" t="str">
        <f>IFERROR(Tabulka1[[#This Row],[KOD]],"")</f>
        <v>C4925P</v>
      </c>
      <c r="W549" s="804" t="str">
        <f t="shared" si="18"/>
        <v/>
      </c>
      <c r="X549" s="154" t="str">
        <f t="shared" si="19"/>
        <v/>
      </c>
      <c r="Y549" s="341">
        <f>IF('General price list'!$AB551="",0,'General price list'!$AB551)</f>
        <v>0</v>
      </c>
      <c r="Z549" s="365" t="str">
        <f>IFERROR(X549*VLOOKUP(C549,'General price list'!C:I,7,FALSE),"")</f>
        <v/>
      </c>
      <c r="AA549" s="805" t="str">
        <f>IF(X549&lt;&gt;"",VLOOKUP(C549,'General price list'!C551:AN1524,MATCH("HM",Tabulka1[[#Headers],[KOD]:[NEQ]],0),FALSE),"")</f>
        <v/>
      </c>
    </row>
    <row r="550" spans="1:27">
      <c r="A550">
        <f>COUNTIF($W$22:W550,1)</f>
        <v>0</v>
      </c>
      <c r="B550">
        <v>550</v>
      </c>
      <c r="C550" s="340" t="str">
        <f>IFERROR(Tabulka1[[#This Row],[KOD]],"")</f>
        <v>C4925V</v>
      </c>
      <c r="W550" s="804" t="str">
        <f t="shared" si="18"/>
        <v/>
      </c>
      <c r="X550" s="154" t="str">
        <f t="shared" si="19"/>
        <v/>
      </c>
      <c r="Y550" s="341">
        <f>IF('General price list'!$AB552="",0,'General price list'!$AB552)</f>
        <v>0</v>
      </c>
      <c r="Z550" s="365" t="str">
        <f>IFERROR(X550*VLOOKUP(C550,'General price list'!C:I,7,FALSE),"")</f>
        <v/>
      </c>
      <c r="AA550" s="805" t="str">
        <f>IF(X550&lt;&gt;"",VLOOKUP(C550,'General price list'!C552:AN1525,MATCH("HM",Tabulka1[[#Headers],[KOD]:[NEQ]],0),FALSE),"")</f>
        <v/>
      </c>
    </row>
    <row r="551" spans="1:27">
      <c r="A551">
        <f>COUNTIF($W$22:W551,1)</f>
        <v>0</v>
      </c>
      <c r="B551">
        <v>551</v>
      </c>
      <c r="C551" s="340">
        <f>IFERROR(Tabulka1[[#This Row],[KOD]],"")</f>
        <v>0</v>
      </c>
      <c r="W551" s="804" t="str">
        <f t="shared" si="18"/>
        <v/>
      </c>
      <c r="X551" s="154" t="str">
        <f t="shared" si="19"/>
        <v/>
      </c>
      <c r="Y551" s="341">
        <f>IF('General price list'!$AB553="",0,'General price list'!$AB553)</f>
        <v>0</v>
      </c>
      <c r="Z551" s="365" t="str">
        <f>IFERROR(X551*VLOOKUP(C551,'General price list'!C:I,7,FALSE),"")</f>
        <v/>
      </c>
      <c r="AA551" s="805" t="str">
        <f>IF(X551&lt;&gt;"",VLOOKUP(C551,'General price list'!C553:AN1526,MATCH("HM",Tabulka1[[#Headers],[KOD]:[NEQ]],0),FALSE),"")</f>
        <v/>
      </c>
    </row>
    <row r="552" spans="1:27">
      <c r="A552">
        <f>COUNTIF($W$22:W552,1)</f>
        <v>0</v>
      </c>
      <c r="B552">
        <v>552</v>
      </c>
      <c r="C552" s="340" t="str">
        <f>IFERROR(Tabulka1[[#This Row],[KOD]],"")</f>
        <v>C4925BP14</v>
      </c>
      <c r="W552" s="804" t="str">
        <f t="shared" si="18"/>
        <v/>
      </c>
      <c r="X552" s="154" t="str">
        <f t="shared" si="19"/>
        <v/>
      </c>
      <c r="Y552" s="341">
        <f>IF('General price list'!$AB554="",0,'General price list'!$AB554)</f>
        <v>0</v>
      </c>
      <c r="Z552" s="365" t="str">
        <f>IFERROR(X552*VLOOKUP(C552,'General price list'!C:I,7,FALSE),"")</f>
        <v/>
      </c>
      <c r="AA552" s="805" t="str">
        <f>IF(X552&lt;&gt;"",VLOOKUP(C552,'General price list'!C554:AN1527,MATCH("HM",Tabulka1[[#Headers],[KOD]:[NEQ]],0),FALSE),"")</f>
        <v/>
      </c>
    </row>
    <row r="553" spans="1:27">
      <c r="A553">
        <f>COUNTIF($W$22:W553,1)</f>
        <v>0</v>
      </c>
      <c r="B553">
        <v>553</v>
      </c>
      <c r="C553" s="340" t="str">
        <f>IFERROR(Tabulka1[[#This Row],[KOD]],"")</f>
        <v>C4925NO14</v>
      </c>
      <c r="W553" s="804" t="str">
        <f t="shared" si="18"/>
        <v/>
      </c>
      <c r="X553" s="154" t="str">
        <f t="shared" si="19"/>
        <v/>
      </c>
      <c r="Y553" s="341">
        <f>IF('General price list'!$AB555="",0,'General price list'!$AB555)</f>
        <v>0</v>
      </c>
      <c r="Z553" s="365" t="str">
        <f>IFERROR(X553*VLOOKUP(C553,'General price list'!C:I,7,FALSE),"")</f>
        <v/>
      </c>
      <c r="AA553" s="805" t="str">
        <f>IF(X553&lt;&gt;"",VLOOKUP(C553,'General price list'!C555:AN1528,MATCH("HM",Tabulka1[[#Headers],[KOD]:[NEQ]],0),FALSE),"")</f>
        <v/>
      </c>
    </row>
    <row r="554" spans="1:27">
      <c r="A554">
        <f>COUNTIF($W$22:W554,1)</f>
        <v>0</v>
      </c>
      <c r="B554">
        <v>554</v>
      </c>
      <c r="C554" s="340" t="str">
        <f>IFERROR(Tabulka1[[#This Row],[KOD]],"")</f>
        <v>C4925V14</v>
      </c>
      <c r="W554" s="804" t="str">
        <f t="shared" si="18"/>
        <v/>
      </c>
      <c r="X554" s="154" t="str">
        <f t="shared" si="19"/>
        <v/>
      </c>
      <c r="Y554" s="341">
        <f>IF('General price list'!$AB556="",0,'General price list'!$AB556)</f>
        <v>0</v>
      </c>
      <c r="Z554" s="365" t="str">
        <f>IFERROR(X554*VLOOKUP(C554,'General price list'!C:I,7,FALSE),"")</f>
        <v/>
      </c>
      <c r="AA554" s="805" t="str">
        <f>IF(X554&lt;&gt;"",VLOOKUP(C554,'General price list'!C556:AN1529,MATCH("HM",Tabulka1[[#Headers],[KOD]:[NEQ]],0),FALSE),"")</f>
        <v/>
      </c>
    </row>
    <row r="555" spans="1:27">
      <c r="A555">
        <f>COUNTIF($W$22:W555,1)</f>
        <v>0</v>
      </c>
      <c r="B555">
        <v>555</v>
      </c>
      <c r="C555" s="340" t="str">
        <f>IFERROR(Tabulka1[[#This Row],[KOD]],"")</f>
        <v>C4925VS14</v>
      </c>
      <c r="W555" s="804" t="str">
        <f t="shared" si="18"/>
        <v/>
      </c>
      <c r="X555" s="154" t="str">
        <f t="shared" si="19"/>
        <v/>
      </c>
      <c r="Y555" s="341">
        <f>IF('General price list'!$AB557="",0,'General price list'!$AB557)</f>
        <v>0</v>
      </c>
      <c r="Z555" s="365" t="str">
        <f>IFERROR(X555*VLOOKUP(C555,'General price list'!C:I,7,FALSE),"")</f>
        <v/>
      </c>
      <c r="AA555" s="805" t="str">
        <f>IF(X555&lt;&gt;"",VLOOKUP(C555,'General price list'!C557:AN1530,MATCH("HM",Tabulka1[[#Headers],[KOD]:[NEQ]],0),FALSE),"")</f>
        <v/>
      </c>
    </row>
    <row r="556" spans="1:27">
      <c r="A556">
        <f>COUNTIF($W$22:W556,1)</f>
        <v>0</v>
      </c>
      <c r="B556">
        <v>556</v>
      </c>
      <c r="C556" s="340">
        <f>IFERROR(Tabulka1[[#This Row],[KOD]],"")</f>
        <v>0</v>
      </c>
      <c r="W556" s="804" t="str">
        <f t="shared" si="18"/>
        <v/>
      </c>
      <c r="X556" s="154" t="str">
        <f t="shared" si="19"/>
        <v/>
      </c>
      <c r="Y556" s="341">
        <f>IF('General price list'!$AB558="",0,'General price list'!$AB558)</f>
        <v>0</v>
      </c>
      <c r="Z556" s="365" t="str">
        <f>IFERROR(X556*VLOOKUP(C556,'General price list'!C:I,7,FALSE),"")</f>
        <v/>
      </c>
      <c r="AA556" s="805" t="str">
        <f>IF(X556&lt;&gt;"",VLOOKUP(C556,'General price list'!C558:AN1531,MATCH("HM",Tabulka1[[#Headers],[KOD]:[NEQ]],0),FALSE),"")</f>
        <v/>
      </c>
    </row>
    <row r="557" spans="1:27">
      <c r="A557">
        <f>COUNTIF($W$22:W557,1)</f>
        <v>0</v>
      </c>
      <c r="B557">
        <v>557</v>
      </c>
      <c r="C557" s="340" t="str">
        <f>IFERROR(Tabulka1[[#This Row],[KOD]],"")</f>
        <v>C4925SIG</v>
      </c>
      <c r="W557" s="804" t="str">
        <f t="shared" si="18"/>
        <v/>
      </c>
      <c r="X557" s="154" t="str">
        <f t="shared" si="19"/>
        <v/>
      </c>
      <c r="Y557" s="341">
        <f>IF('General price list'!$AB559="",0,'General price list'!$AB559)</f>
        <v>0</v>
      </c>
      <c r="Z557" s="365" t="str">
        <f>IFERROR(X557*VLOOKUP(C557,'General price list'!C:I,7,FALSE),"")</f>
        <v/>
      </c>
      <c r="AA557" s="805" t="str">
        <f>IF(X557&lt;&gt;"",VLOOKUP(C557,'General price list'!C559:AN1532,MATCH("HM",Tabulka1[[#Headers],[KOD]:[NEQ]],0),FALSE),"")</f>
        <v/>
      </c>
    </row>
    <row r="558" spans="1:27">
      <c r="A558">
        <f>COUNTIF($W$22:W558,1)</f>
        <v>0</v>
      </c>
      <c r="B558">
        <v>558</v>
      </c>
      <c r="C558" s="340" t="str">
        <f>IFERROR(Tabulka1[[#This Row],[KOD]],"")</f>
        <v>C4925D</v>
      </c>
      <c r="W558" s="804" t="str">
        <f t="shared" si="18"/>
        <v/>
      </c>
      <c r="X558" s="154" t="str">
        <f t="shared" si="19"/>
        <v/>
      </c>
      <c r="Y558" s="341">
        <f>IF('General price list'!$AB560="",0,'General price list'!$AB560)</f>
        <v>0</v>
      </c>
      <c r="Z558" s="365" t="str">
        <f>IFERROR(X558*VLOOKUP(C558,'General price list'!C:I,7,FALSE),"")</f>
        <v/>
      </c>
      <c r="AA558" s="805" t="str">
        <f>IF(X558&lt;&gt;"",VLOOKUP(C558,'General price list'!C560:AN1533,MATCH("HM",Tabulka1[[#Headers],[KOD]:[NEQ]],0),FALSE),"")</f>
        <v/>
      </c>
    </row>
    <row r="559" spans="1:27">
      <c r="A559">
        <f>COUNTIF($W$22:W559,1)</f>
        <v>0</v>
      </c>
      <c r="B559">
        <v>559</v>
      </c>
      <c r="C559" s="340">
        <f>IFERROR(Tabulka1[[#This Row],[KOD]],"")</f>
        <v>0</v>
      </c>
      <c r="W559" s="804" t="str">
        <f t="shared" si="18"/>
        <v/>
      </c>
      <c r="X559" s="154" t="str">
        <f t="shared" si="19"/>
        <v/>
      </c>
      <c r="Y559" s="341">
        <f>IF('General price list'!$AB561="",0,'General price list'!$AB561)</f>
        <v>0</v>
      </c>
      <c r="Z559" s="365" t="str">
        <f>IFERROR(X559*VLOOKUP(C559,'General price list'!C:I,7,FALSE),"")</f>
        <v/>
      </c>
      <c r="AA559" s="805" t="str">
        <f>IF(X559&lt;&gt;"",VLOOKUP(C559,'General price list'!C561:AN1534,MATCH("HM",Tabulka1[[#Headers],[KOD]:[NEQ]],0),FALSE),"")</f>
        <v/>
      </c>
    </row>
    <row r="560" spans="1:27">
      <c r="A560">
        <f>COUNTIF($W$22:W560,1)</f>
        <v>0</v>
      </c>
      <c r="B560">
        <v>560</v>
      </c>
      <c r="C560" s="340" t="str">
        <f>IFERROR(Tabulka1[[#This Row],[KOD]],"")</f>
        <v>CF4925S14</v>
      </c>
      <c r="W560" s="804" t="str">
        <f t="shared" si="18"/>
        <v/>
      </c>
      <c r="X560" s="154" t="str">
        <f t="shared" si="19"/>
        <v/>
      </c>
      <c r="Y560" s="341">
        <f>IF('General price list'!$AB562="",0,'General price list'!$AB562)</f>
        <v>0</v>
      </c>
      <c r="Z560" s="365" t="str">
        <f>IFERROR(X560*VLOOKUP(C560,'General price list'!C:I,7,FALSE),"")</f>
        <v/>
      </c>
      <c r="AA560" s="805" t="str">
        <f>IF(X560&lt;&gt;"",VLOOKUP(C560,'General price list'!C562:AN1535,MATCH("HM",Tabulka1[[#Headers],[KOD]:[NEQ]],0),FALSE),"")</f>
        <v/>
      </c>
    </row>
    <row r="561" spans="1:27">
      <c r="A561">
        <f>COUNTIF($W$22:W561,1)</f>
        <v>0</v>
      </c>
      <c r="B561">
        <v>561</v>
      </c>
      <c r="C561" s="340" t="str">
        <f>IFERROR(Tabulka1[[#This Row],[KOD]],"")</f>
        <v>CF4925B14</v>
      </c>
      <c r="W561" s="804" t="str">
        <f t="shared" si="18"/>
        <v/>
      </c>
      <c r="X561" s="154" t="str">
        <f t="shared" si="19"/>
        <v/>
      </c>
      <c r="Y561" s="341">
        <f>IF('General price list'!$AB563="",0,'General price list'!$AB563)</f>
        <v>0</v>
      </c>
      <c r="Z561" s="365" t="str">
        <f>IFERROR(X561*VLOOKUP(C561,'General price list'!C:I,7,FALSE),"")</f>
        <v/>
      </c>
      <c r="AA561" s="805" t="str">
        <f>IF(X561&lt;&gt;"",VLOOKUP(C561,'General price list'!C563:AN1536,MATCH("HM",Tabulka1[[#Headers],[KOD]:[NEQ]],0),FALSE),"")</f>
        <v/>
      </c>
    </row>
    <row r="562" spans="1:27">
      <c r="A562">
        <f>COUNTIF($W$22:W562,1)</f>
        <v>0</v>
      </c>
      <c r="B562">
        <v>562</v>
      </c>
      <c r="C562" s="340">
        <f>IFERROR(Tabulka1[[#This Row],[KOD]],"")</f>
        <v>0</v>
      </c>
      <c r="W562" s="804" t="str">
        <f t="shared" si="18"/>
        <v/>
      </c>
      <c r="X562" s="154" t="str">
        <f t="shared" si="19"/>
        <v/>
      </c>
      <c r="Y562" s="341">
        <f>IF('General price list'!$AB564="",0,'General price list'!$AB564)</f>
        <v>0</v>
      </c>
      <c r="Z562" s="365" t="str">
        <f>IFERROR(X562*VLOOKUP(C562,'General price list'!C:I,7,FALSE),"")</f>
        <v/>
      </c>
      <c r="AA562" s="805" t="str">
        <f>IF(X562&lt;&gt;"",VLOOKUP(C562,'General price list'!C564:AN1537,MATCH("HM",Tabulka1[[#Headers],[KOD]:[NEQ]],0),FALSE),"")</f>
        <v/>
      </c>
    </row>
    <row r="563" spans="1:27">
      <c r="A563">
        <f>COUNTIF($W$22:W563,1)</f>
        <v>0</v>
      </c>
      <c r="B563">
        <v>563</v>
      </c>
      <c r="C563" s="340" t="str">
        <f>IFERROR(Tabulka1[[#This Row],[KOD]],"")</f>
        <v>CF4925S</v>
      </c>
      <c r="W563" s="804" t="str">
        <f t="shared" si="18"/>
        <v/>
      </c>
      <c r="X563" s="154" t="str">
        <f t="shared" si="19"/>
        <v/>
      </c>
      <c r="Y563" s="341">
        <f>IF('General price list'!$AB565="",0,'General price list'!$AB565)</f>
        <v>0</v>
      </c>
      <c r="Z563" s="365" t="str">
        <f>IFERROR(X563*VLOOKUP(C563,'General price list'!C:I,7,FALSE),"")</f>
        <v/>
      </c>
      <c r="AA563" s="805" t="str">
        <f>IF(X563&lt;&gt;"",VLOOKUP(C563,'General price list'!C565:AN1538,MATCH("HM",Tabulka1[[#Headers],[KOD]:[NEQ]],0),FALSE),"")</f>
        <v/>
      </c>
    </row>
    <row r="564" spans="1:27">
      <c r="A564">
        <f>COUNTIF($W$22:W564,1)</f>
        <v>0</v>
      </c>
      <c r="B564">
        <v>564</v>
      </c>
      <c r="C564" s="340" t="str">
        <f>IFERROR(Tabulka1[[#This Row],[KOD]],"")</f>
        <v>CF4925D</v>
      </c>
      <c r="W564" s="804" t="str">
        <f t="shared" si="18"/>
        <v/>
      </c>
      <c r="X564" s="154" t="str">
        <f t="shared" si="19"/>
        <v/>
      </c>
      <c r="Y564" s="341">
        <f>IF('General price list'!$AB566="",0,'General price list'!$AB566)</f>
        <v>0</v>
      </c>
      <c r="Z564" s="365" t="str">
        <f>IFERROR(X564*VLOOKUP(C564,'General price list'!C:I,7,FALSE),"")</f>
        <v/>
      </c>
      <c r="AA564" s="805" t="str">
        <f>IF(X564&lt;&gt;"",VLOOKUP(C564,'General price list'!C566:AN1539,MATCH("HM",Tabulka1[[#Headers],[KOD]:[NEQ]],0),FALSE),"")</f>
        <v/>
      </c>
    </row>
    <row r="565" spans="1:27">
      <c r="A565">
        <f>COUNTIF($W$22:W565,1)</f>
        <v>0</v>
      </c>
      <c r="B565">
        <v>565</v>
      </c>
      <c r="C565" s="340" t="str">
        <f>IFERROR(Tabulka1[[#This Row],[KOD]],"")</f>
        <v>CF4925B</v>
      </c>
      <c r="W565" s="804" t="str">
        <f t="shared" si="18"/>
        <v/>
      </c>
      <c r="X565" s="154" t="str">
        <f t="shared" si="19"/>
        <v/>
      </c>
      <c r="Y565" s="341">
        <f>IF('General price list'!$AB567="",0,'General price list'!$AB567)</f>
        <v>0</v>
      </c>
      <c r="Z565" s="365" t="str">
        <f>IFERROR(X565*VLOOKUP(C565,'General price list'!C:I,7,FALSE),"")</f>
        <v/>
      </c>
      <c r="AA565" s="805" t="str">
        <f>IF(X565&lt;&gt;"",VLOOKUP(C565,'General price list'!C567:AN1540,MATCH("HM",Tabulka1[[#Headers],[KOD]:[NEQ]],0),FALSE),"")</f>
        <v/>
      </c>
    </row>
    <row r="566" spans="1:27">
      <c r="A566">
        <f>COUNTIF($W$22:W566,1)</f>
        <v>0</v>
      </c>
      <c r="B566">
        <v>566</v>
      </c>
      <c r="C566" s="340">
        <f>IFERROR(Tabulka1[[#This Row],[KOD]],"")</f>
        <v>0</v>
      </c>
      <c r="W566" s="804" t="str">
        <f t="shared" si="18"/>
        <v/>
      </c>
      <c r="X566" s="154" t="str">
        <f t="shared" si="19"/>
        <v/>
      </c>
      <c r="Y566" s="341">
        <f>IF('General price list'!$AB568="",0,'General price list'!$AB568)</f>
        <v>0</v>
      </c>
      <c r="Z566" s="365" t="str">
        <f>IFERROR(X566*VLOOKUP(C566,'General price list'!C:I,7,FALSE),"")</f>
        <v/>
      </c>
      <c r="AA566" s="805" t="str">
        <f>IF(X566&lt;&gt;"",VLOOKUP(C566,'General price list'!C568:AN1541,MATCH("HM",Tabulka1[[#Headers],[KOD]:[NEQ]],0),FALSE),"")</f>
        <v/>
      </c>
    </row>
    <row r="567" spans="1:27">
      <c r="A567">
        <f>COUNTIF($W$22:W567,1)</f>
        <v>0</v>
      </c>
      <c r="B567">
        <v>567</v>
      </c>
      <c r="C567" s="340" t="str">
        <f>IFERROR(Tabulka1[[#This Row],[KOD]],"")</f>
        <v>C6425XPT</v>
      </c>
      <c r="W567" s="804" t="str">
        <f t="shared" si="18"/>
        <v/>
      </c>
      <c r="X567" s="154" t="str">
        <f t="shared" si="19"/>
        <v/>
      </c>
      <c r="Y567" s="341">
        <f>IF('General price list'!$AB569="",0,'General price list'!$AB569)</f>
        <v>0</v>
      </c>
      <c r="Z567" s="365" t="str">
        <f>IFERROR(X567*VLOOKUP(C567,'General price list'!C:I,7,FALSE),"")</f>
        <v/>
      </c>
      <c r="AA567" s="805" t="str">
        <f>IF(X567&lt;&gt;"",VLOOKUP(C567,'General price list'!C569:AN1542,MATCH("HM",Tabulka1[[#Headers],[KOD]:[NEQ]],0),FALSE),"")</f>
        <v/>
      </c>
    </row>
    <row r="568" spans="1:27">
      <c r="A568">
        <f>COUNTIF($W$22:W568,1)</f>
        <v>0</v>
      </c>
      <c r="B568">
        <v>568</v>
      </c>
      <c r="C568" s="340">
        <f>IFERROR(Tabulka1[[#This Row],[KOD]],"")</f>
        <v>0</v>
      </c>
      <c r="W568" s="804" t="str">
        <f t="shared" si="18"/>
        <v/>
      </c>
      <c r="X568" s="154" t="str">
        <f t="shared" si="19"/>
        <v/>
      </c>
      <c r="Y568" s="341">
        <f>IF('General price list'!$AB570="",0,'General price list'!$AB570)</f>
        <v>0</v>
      </c>
      <c r="Z568" s="365" t="str">
        <f>IFERROR(X568*VLOOKUP(C568,'General price list'!C:I,7,FALSE),"")</f>
        <v/>
      </c>
      <c r="AA568" s="805" t="str">
        <f>IF(X568&lt;&gt;"",VLOOKUP(C568,'General price list'!C570:AN1543,MATCH("HM",Tabulka1[[#Headers],[KOD]:[NEQ]],0),FALSE),"")</f>
        <v/>
      </c>
    </row>
    <row r="569" spans="1:27">
      <c r="A569">
        <f>COUNTIF($W$22:W569,1)</f>
        <v>0</v>
      </c>
      <c r="B569">
        <v>569</v>
      </c>
      <c r="C569" s="340" t="str">
        <f>IFERROR(Tabulka1[[#This Row],[KOD]],"")</f>
        <v>C8825G</v>
      </c>
      <c r="W569" s="804" t="str">
        <f t="shared" si="18"/>
        <v/>
      </c>
      <c r="X569" s="154" t="str">
        <f t="shared" si="19"/>
        <v/>
      </c>
      <c r="Y569" s="341">
        <f>IF('General price list'!$AB571="",0,'General price list'!$AB571)</f>
        <v>0</v>
      </c>
      <c r="Z569" s="365" t="str">
        <f>IFERROR(X569*VLOOKUP(C569,'General price list'!C:I,7,FALSE),"")</f>
        <v/>
      </c>
      <c r="AA569" s="805" t="str">
        <f>IF(X569&lt;&gt;"",VLOOKUP(C569,'General price list'!C571:AN1544,MATCH("HM",Tabulka1[[#Headers],[KOD]:[NEQ]],0),FALSE),"")</f>
        <v/>
      </c>
    </row>
    <row r="570" spans="1:27">
      <c r="A570">
        <f>COUNTIF($W$22:W570,1)</f>
        <v>0</v>
      </c>
      <c r="B570">
        <v>570</v>
      </c>
      <c r="C570" s="340" t="str">
        <f>IFERROR(Tabulka1[[#This Row],[KOD]],"")</f>
        <v>C8825PA</v>
      </c>
      <c r="W570" s="804" t="str">
        <f t="shared" si="18"/>
        <v/>
      </c>
      <c r="X570" s="154" t="str">
        <f t="shared" si="19"/>
        <v/>
      </c>
      <c r="Y570" s="341">
        <f>IF('General price list'!$AB572="",0,'General price list'!$AB572)</f>
        <v>0</v>
      </c>
      <c r="Z570" s="365" t="str">
        <f>IFERROR(X570*VLOOKUP(C570,'General price list'!C:I,7,FALSE),"")</f>
        <v/>
      </c>
      <c r="AA570" s="805" t="str">
        <f>IF(X570&lt;&gt;"",VLOOKUP(C570,'General price list'!C572:AN1545,MATCH("HM",Tabulka1[[#Headers],[KOD]:[NEQ]],0),FALSE),"")</f>
        <v/>
      </c>
    </row>
    <row r="571" spans="1:27">
      <c r="A571">
        <f>COUNTIF($W$22:W571,1)</f>
        <v>0</v>
      </c>
      <c r="B571">
        <v>571</v>
      </c>
      <c r="C571" s="340" t="str">
        <f>IFERROR(Tabulka1[[#This Row],[KOD]],"")</f>
        <v>C8825BR</v>
      </c>
      <c r="W571" s="804" t="str">
        <f t="shared" si="18"/>
        <v/>
      </c>
      <c r="X571" s="154" t="str">
        <f t="shared" si="19"/>
        <v/>
      </c>
      <c r="Y571" s="341">
        <f>IF('General price list'!$AB573="",0,'General price list'!$AB573)</f>
        <v>0</v>
      </c>
      <c r="Z571" s="365" t="str">
        <f>IFERROR(X571*VLOOKUP(C571,'General price list'!C:I,7,FALSE),"")</f>
        <v/>
      </c>
      <c r="AA571" s="805" t="str">
        <f>IF(X571&lt;&gt;"",VLOOKUP(C571,'General price list'!C573:AN1546,MATCH("HM",Tabulka1[[#Headers],[KOD]:[NEQ]],0),FALSE),"")</f>
        <v/>
      </c>
    </row>
    <row r="572" spans="1:27">
      <c r="A572">
        <f>COUNTIF($W$22:W572,1)</f>
        <v>0</v>
      </c>
      <c r="B572">
        <v>572</v>
      </c>
      <c r="C572" s="340">
        <f>IFERROR(Tabulka1[[#This Row],[KOD]],"")</f>
        <v>0</v>
      </c>
      <c r="W572" s="804" t="str">
        <f t="shared" si="18"/>
        <v/>
      </c>
      <c r="X572" s="154" t="str">
        <f t="shared" si="19"/>
        <v/>
      </c>
      <c r="Y572" s="341">
        <f>IF('General price list'!$AB574="",0,'General price list'!$AB574)</f>
        <v>0</v>
      </c>
      <c r="Z572" s="365" t="str">
        <f>IFERROR(X572*VLOOKUP(C572,'General price list'!C:I,7,FALSE),"")</f>
        <v/>
      </c>
      <c r="AA572" s="805" t="str">
        <f>IF(X572&lt;&gt;"",VLOOKUP(C572,'General price list'!C574:AN1547,MATCH("HM",Tabulka1[[#Headers],[KOD]:[NEQ]],0),FALSE),"")</f>
        <v/>
      </c>
    </row>
    <row r="573" spans="1:27">
      <c r="A573">
        <f>COUNTIF($W$22:W573,1)</f>
        <v>0</v>
      </c>
      <c r="B573">
        <v>573</v>
      </c>
      <c r="C573" s="340" t="str">
        <f>IFERROR(Tabulka1[[#This Row],[KOD]],"")</f>
        <v>C10025BPS</v>
      </c>
      <c r="W573" s="804" t="str">
        <f t="shared" si="18"/>
        <v/>
      </c>
      <c r="X573" s="154" t="str">
        <f t="shared" si="19"/>
        <v/>
      </c>
      <c r="Y573" s="341">
        <f>IF('General price list'!$AB575="",0,'General price list'!$AB575)</f>
        <v>0</v>
      </c>
      <c r="Z573" s="365" t="str">
        <f>IFERROR(X573*VLOOKUP(C573,'General price list'!C:I,7,FALSE),"")</f>
        <v/>
      </c>
      <c r="AA573" s="805" t="str">
        <f>IF(X573&lt;&gt;"",VLOOKUP(C573,'General price list'!C575:AN1548,MATCH("HM",Tabulka1[[#Headers],[KOD]:[NEQ]],0),FALSE),"")</f>
        <v/>
      </c>
    </row>
    <row r="574" spans="1:27">
      <c r="A574">
        <f>COUNTIF($W$22:W574,1)</f>
        <v>0</v>
      </c>
      <c r="B574">
        <v>574</v>
      </c>
      <c r="C574" s="340" t="str">
        <f>IFERROR(Tabulka1[[#This Row],[KOD]],"")</f>
        <v>C10025PR1</v>
      </c>
      <c r="W574" s="804" t="str">
        <f t="shared" si="18"/>
        <v/>
      </c>
      <c r="X574" s="154" t="str">
        <f t="shared" si="19"/>
        <v/>
      </c>
      <c r="Y574" s="341">
        <f>IF('General price list'!$AB576="",0,'General price list'!$AB576)</f>
        <v>0</v>
      </c>
      <c r="Z574" s="365" t="str">
        <f>IFERROR(X574*VLOOKUP(C574,'General price list'!C:I,7,FALSE),"")</f>
        <v/>
      </c>
      <c r="AA574" s="805" t="str">
        <f>IF(X574&lt;&gt;"",VLOOKUP(C574,'General price list'!C576:AN1549,MATCH("HM",Tabulka1[[#Headers],[KOD]:[NEQ]],0),FALSE),"")</f>
        <v/>
      </c>
    </row>
    <row r="575" spans="1:27">
      <c r="A575">
        <f>COUNTIF($W$22:W575,1)</f>
        <v>0</v>
      </c>
      <c r="B575">
        <v>575</v>
      </c>
      <c r="C575" s="340" t="str">
        <f>IFERROR(Tabulka1[[#This Row],[KOD]],"")</f>
        <v>C10025I</v>
      </c>
      <c r="W575" s="804" t="str">
        <f t="shared" si="18"/>
        <v/>
      </c>
      <c r="X575" s="154" t="str">
        <f t="shared" si="19"/>
        <v/>
      </c>
      <c r="Y575" s="341">
        <f>IF('General price list'!$AB577="",0,'General price list'!$AB577)</f>
        <v>0</v>
      </c>
      <c r="Z575" s="365" t="str">
        <f>IFERROR(X575*VLOOKUP(C575,'General price list'!C:I,7,FALSE),"")</f>
        <v/>
      </c>
      <c r="AA575" s="805" t="str">
        <f>IF(X575&lt;&gt;"",VLOOKUP(C575,'General price list'!C577:AN1550,MATCH("HM",Tabulka1[[#Headers],[KOD]:[NEQ]],0),FALSE),"")</f>
        <v/>
      </c>
    </row>
    <row r="576" spans="1:27">
      <c r="A576">
        <f>COUNTIF($W$22:W576,1)</f>
        <v>0</v>
      </c>
      <c r="B576">
        <v>576</v>
      </c>
      <c r="C576" s="340">
        <f>IFERROR(Tabulka1[[#This Row],[KOD]],"")</f>
        <v>0</v>
      </c>
      <c r="W576" s="804" t="str">
        <f t="shared" si="18"/>
        <v/>
      </c>
      <c r="X576" s="154" t="str">
        <f t="shared" si="19"/>
        <v/>
      </c>
      <c r="Y576" s="341">
        <f>IF('General price list'!$AB578="",0,'General price list'!$AB578)</f>
        <v>0</v>
      </c>
      <c r="Z576" s="365" t="str">
        <f>IFERROR(X576*VLOOKUP(C576,'General price list'!C:I,7,FALSE),"")</f>
        <v/>
      </c>
      <c r="AA576" s="805" t="str">
        <f>IF(X576&lt;&gt;"",VLOOKUP(C576,'General price list'!C578:AN1551,MATCH("HM",Tabulka1[[#Headers],[KOD]:[NEQ]],0),FALSE),"")</f>
        <v/>
      </c>
    </row>
    <row r="577" spans="1:27">
      <c r="A577">
        <f>COUNTIF($W$22:W577,1)</f>
        <v>0</v>
      </c>
      <c r="B577">
        <v>577</v>
      </c>
      <c r="C577" s="340" t="str">
        <f>IFERROR(Tabulka1[[#This Row],[KOD]],"")</f>
        <v>C6425DU/C14</v>
      </c>
      <c r="W577" s="804" t="str">
        <f t="shared" si="18"/>
        <v/>
      </c>
      <c r="X577" s="154" t="str">
        <f t="shared" si="19"/>
        <v/>
      </c>
      <c r="Y577" s="341">
        <f>IF('General price list'!$AB579="",0,'General price list'!$AB579)</f>
        <v>0</v>
      </c>
      <c r="Z577" s="365" t="str">
        <f>IFERROR(X577*VLOOKUP(C577,'General price list'!C:I,7,FALSE),"")</f>
        <v/>
      </c>
      <c r="AA577" s="805" t="str">
        <f>IF(X577&lt;&gt;"",VLOOKUP(C577,'General price list'!C579:AN1552,MATCH("HM",Tabulka1[[#Headers],[KOD]:[NEQ]],0),FALSE),"")</f>
        <v/>
      </c>
    </row>
    <row r="578" spans="1:27">
      <c r="A578">
        <f>COUNTIF($W$22:W578,1)</f>
        <v>0</v>
      </c>
      <c r="B578">
        <v>578</v>
      </c>
      <c r="C578" s="340" t="str">
        <f>IFERROR(Tabulka1[[#This Row],[KOD]],"")</f>
        <v>C9625MF/C14</v>
      </c>
      <c r="W578" s="804" t="str">
        <f t="shared" si="18"/>
        <v/>
      </c>
      <c r="X578" s="154" t="str">
        <f t="shared" si="19"/>
        <v/>
      </c>
      <c r="Y578" s="341">
        <f>IF('General price list'!$AB580="",0,'General price list'!$AB580)</f>
        <v>0</v>
      </c>
      <c r="Z578" s="365" t="str">
        <f>IFERROR(X578*VLOOKUP(C578,'General price list'!C:I,7,FALSE),"")</f>
        <v/>
      </c>
      <c r="AA578" s="805" t="str">
        <f>IF(X578&lt;&gt;"",VLOOKUP(C578,'General price list'!C580:AN1553,MATCH("HM",Tabulka1[[#Headers],[KOD]:[NEQ]],0),FALSE),"")</f>
        <v/>
      </c>
    </row>
    <row r="579" spans="1:27">
      <c r="A579">
        <f>COUNTIF($W$22:W579,1)</f>
        <v>0</v>
      </c>
      <c r="B579">
        <v>579</v>
      </c>
      <c r="C579" s="340" t="str">
        <f>IFERROR(Tabulka1[[#This Row],[KOD]],"")</f>
        <v>C9825C/C14</v>
      </c>
      <c r="W579" s="804" t="str">
        <f t="shared" si="18"/>
        <v/>
      </c>
      <c r="X579" s="154" t="str">
        <f t="shared" si="19"/>
        <v/>
      </c>
      <c r="Y579" s="341">
        <f>IF('General price list'!$AB581="",0,'General price list'!$AB581)</f>
        <v>0</v>
      </c>
      <c r="Z579" s="365" t="str">
        <f>IFERROR(X579*VLOOKUP(C579,'General price list'!C:I,7,FALSE),"")</f>
        <v/>
      </c>
      <c r="AA579" s="805" t="str">
        <f>IF(X579&lt;&gt;"",VLOOKUP(C579,'General price list'!C581:AN1554,MATCH("HM",Tabulka1[[#Headers],[KOD]:[NEQ]],0),FALSE),"")</f>
        <v/>
      </c>
    </row>
    <row r="580" spans="1:27">
      <c r="A580">
        <f>COUNTIF($W$22:W580,1)</f>
        <v>0</v>
      </c>
      <c r="B580">
        <v>580</v>
      </c>
      <c r="C580" s="340" t="str">
        <f>IFERROR(Tabulka1[[#This Row],[KOD]],"")</f>
        <v>C9825SIG/C14</v>
      </c>
      <c r="W580" s="804" t="str">
        <f t="shared" si="18"/>
        <v/>
      </c>
      <c r="X580" s="154" t="str">
        <f t="shared" si="19"/>
        <v/>
      </c>
      <c r="Y580" s="341">
        <f>IF('General price list'!$AB582="",0,'General price list'!$AB582)</f>
        <v>0</v>
      </c>
      <c r="Z580" s="365" t="str">
        <f>IFERROR(X580*VLOOKUP(C580,'General price list'!C:I,7,FALSE),"")</f>
        <v/>
      </c>
      <c r="AA580" s="805" t="str">
        <f>IF(X580&lt;&gt;"",VLOOKUP(C580,'General price list'!C582:AN1555,MATCH("HM",Tabulka1[[#Headers],[KOD]:[NEQ]],0),FALSE),"")</f>
        <v/>
      </c>
    </row>
    <row r="581" spans="1:27">
      <c r="A581">
        <f>COUNTIF($W$22:W581,1)</f>
        <v>0</v>
      </c>
      <c r="B581">
        <v>581</v>
      </c>
      <c r="C581" s="340" t="str">
        <f>IFERROR(Tabulka1[[#This Row],[KOD]],"")</f>
        <v>C10025BPW/C14</v>
      </c>
      <c r="W581" s="804" t="str">
        <f t="shared" si="18"/>
        <v/>
      </c>
      <c r="X581" s="154" t="str">
        <f t="shared" si="19"/>
        <v/>
      </c>
      <c r="Y581" s="341">
        <f>IF('General price list'!$AB583="",0,'General price list'!$AB583)</f>
        <v>0</v>
      </c>
      <c r="Z581" s="365" t="str">
        <f>IFERROR(X581*VLOOKUP(C581,'General price list'!C:I,7,FALSE),"")</f>
        <v/>
      </c>
      <c r="AA581" s="805" t="str">
        <f>IF(X581&lt;&gt;"",VLOOKUP(C581,'General price list'!C583:AN1556,MATCH("HM",Tabulka1[[#Headers],[KOD]:[NEQ]],0),FALSE),"")</f>
        <v/>
      </c>
    </row>
    <row r="582" spans="1:27">
      <c r="A582">
        <f>COUNTIF($W$22:W582,1)</f>
        <v>0</v>
      </c>
      <c r="B582">
        <v>582</v>
      </c>
      <c r="C582" s="340" t="str">
        <f>IFERROR(Tabulka1[[#This Row],[KOD]],"")</f>
        <v>C14025XFS/C14</v>
      </c>
      <c r="W582" s="804" t="str">
        <f t="shared" si="18"/>
        <v/>
      </c>
      <c r="X582" s="154" t="str">
        <f t="shared" si="19"/>
        <v/>
      </c>
      <c r="Y582" s="341">
        <f>IF('General price list'!$AB584="",0,'General price list'!$AB584)</f>
        <v>0</v>
      </c>
      <c r="Z582" s="365" t="str">
        <f>IFERROR(X582*VLOOKUP(C582,'General price list'!C:I,7,FALSE),"")</f>
        <v/>
      </c>
      <c r="AA582" s="805" t="str">
        <f>IF(X582&lt;&gt;"",VLOOKUP(C582,'General price list'!C584:AN1557,MATCH("HM",Tabulka1[[#Headers],[KOD]:[NEQ]],0),FALSE),"")</f>
        <v/>
      </c>
    </row>
    <row r="583" spans="1:27">
      <c r="A583">
        <f>COUNTIF($W$22:W583,1)</f>
        <v>0</v>
      </c>
      <c r="B583">
        <v>583</v>
      </c>
      <c r="C583" s="340" t="str">
        <f>IFERROR(Tabulka1[[#This Row],[KOD]],"")</f>
        <v>C19225MF/C14</v>
      </c>
      <c r="W583" s="804" t="str">
        <f t="shared" si="18"/>
        <v/>
      </c>
      <c r="X583" s="154" t="str">
        <f t="shared" si="19"/>
        <v/>
      </c>
      <c r="Y583" s="341">
        <f>IF('General price list'!$AB585="",0,'General price list'!$AB585)</f>
        <v>0</v>
      </c>
      <c r="Z583" s="365" t="str">
        <f>IFERROR(X583*VLOOKUP(C583,'General price list'!C:I,7,FALSE),"")</f>
        <v/>
      </c>
      <c r="AA583" s="805" t="str">
        <f>IF(X583&lt;&gt;"",VLOOKUP(C583,'General price list'!C585:AN1558,MATCH("HM",Tabulka1[[#Headers],[KOD]:[NEQ]],0),FALSE),"")</f>
        <v/>
      </c>
    </row>
    <row r="584" spans="1:27">
      <c r="A584">
        <f>COUNTIF($W$22:W584,1)</f>
        <v>0</v>
      </c>
      <c r="B584">
        <v>584</v>
      </c>
      <c r="C584" s="340" t="str">
        <f>IFERROR(Tabulka1[[#This Row],[KOD]],"")</f>
        <v>C19625/C14</v>
      </c>
      <c r="W584" s="804" t="str">
        <f t="shared" si="18"/>
        <v/>
      </c>
      <c r="X584" s="154" t="str">
        <f t="shared" si="19"/>
        <v/>
      </c>
      <c r="Y584" s="341">
        <f>IF('General price list'!$AB586="",0,'General price list'!$AB586)</f>
        <v>0</v>
      </c>
      <c r="Z584" s="365" t="str">
        <f>IFERROR(X584*VLOOKUP(C584,'General price list'!C:I,7,FALSE),"")</f>
        <v/>
      </c>
      <c r="AA584" s="805" t="str">
        <f>IF(X584&lt;&gt;"",VLOOKUP(C584,'General price list'!C586:AN1559,MATCH("HM",Tabulka1[[#Headers],[KOD]:[NEQ]],0),FALSE),"")</f>
        <v/>
      </c>
    </row>
    <row r="585" spans="1:27">
      <c r="A585">
        <f>COUNTIF($W$22:W585,1)</f>
        <v>0</v>
      </c>
      <c r="B585">
        <v>585</v>
      </c>
      <c r="C585" s="340" t="str">
        <f>IFERROR(Tabulka1[[#This Row],[KOD]],"")</f>
        <v>C1-C2 C40025F/C14</v>
      </c>
      <c r="W585" s="804" t="str">
        <f t="shared" si="18"/>
        <v/>
      </c>
      <c r="X585" s="154" t="str">
        <f t="shared" si="19"/>
        <v/>
      </c>
      <c r="Y585" s="341">
        <f>IF('General price list'!$AB587="",0,'General price list'!$AB587)</f>
        <v>0</v>
      </c>
      <c r="Z585" s="365" t="str">
        <f>IFERROR(X585*VLOOKUP(C585,'General price list'!C:I,7,FALSE),"")</f>
        <v/>
      </c>
      <c r="AA585" s="805" t="str">
        <f>IF(X585&lt;&gt;"",VLOOKUP(C585,'General price list'!C587:AN1560,MATCH("HM",Tabulka1[[#Headers],[KOD]:[NEQ]],0),FALSE),"")</f>
        <v/>
      </c>
    </row>
    <row r="586" spans="1:27">
      <c r="A586">
        <f>COUNTIF($W$22:W586,1)</f>
        <v>0</v>
      </c>
      <c r="B586">
        <v>586</v>
      </c>
      <c r="C586" s="340">
        <f>IFERROR(Tabulka1[[#This Row],[KOD]],"")</f>
        <v>0</v>
      </c>
      <c r="W586" s="804" t="str">
        <f t="shared" si="18"/>
        <v/>
      </c>
      <c r="X586" s="154" t="str">
        <f t="shared" si="19"/>
        <v/>
      </c>
      <c r="Y586" s="341">
        <f>IF('General price list'!$AB588="",0,'General price list'!$AB588)</f>
        <v>0</v>
      </c>
      <c r="Z586" s="365" t="str">
        <f>IFERROR(X586*VLOOKUP(C586,'General price list'!C:I,7,FALSE),"")</f>
        <v/>
      </c>
      <c r="AA586" s="805" t="str">
        <f>IF(X586&lt;&gt;"",VLOOKUP(C586,'General price list'!C588:AN1561,MATCH("HM",Tabulka1[[#Headers],[KOD]:[NEQ]],0),FALSE),"")</f>
        <v/>
      </c>
    </row>
    <row r="587" spans="1:27">
      <c r="A587">
        <f>COUNTIF($W$22:W587,1)</f>
        <v>0</v>
      </c>
      <c r="B587">
        <v>587</v>
      </c>
      <c r="C587" s="340" t="str">
        <f>IFERROR(Tabulka1[[#This Row],[KOD]],"")</f>
        <v>C9825C/C</v>
      </c>
      <c r="W587" s="804" t="str">
        <f t="shared" si="18"/>
        <v/>
      </c>
      <c r="X587" s="154" t="str">
        <f t="shared" si="19"/>
        <v/>
      </c>
      <c r="Y587" s="341">
        <f>IF('General price list'!$AB589="",0,'General price list'!$AB589)</f>
        <v>0</v>
      </c>
      <c r="Z587" s="365" t="str">
        <f>IFERROR(X587*VLOOKUP(C587,'General price list'!C:I,7,FALSE),"")</f>
        <v/>
      </c>
      <c r="AA587" s="805" t="str">
        <f>IF(X587&lt;&gt;"",VLOOKUP(C587,'General price list'!C589:AN1562,MATCH("HM",Tabulka1[[#Headers],[KOD]:[NEQ]],0),FALSE),"")</f>
        <v/>
      </c>
    </row>
    <row r="588" spans="1:27">
      <c r="A588">
        <f>COUNTIF($W$22:W588,1)</f>
        <v>0</v>
      </c>
      <c r="B588">
        <v>588</v>
      </c>
      <c r="C588" s="340" t="str">
        <f>IFERROR(Tabulka1[[#This Row],[KOD]],"")</f>
        <v>C10025SIG/C</v>
      </c>
      <c r="W588" s="804" t="str">
        <f t="shared" si="18"/>
        <v/>
      </c>
      <c r="X588" s="154" t="str">
        <f t="shared" si="19"/>
        <v/>
      </c>
      <c r="Y588" s="341">
        <f>IF('General price list'!$AB590="",0,'General price list'!$AB590)</f>
        <v>0</v>
      </c>
      <c r="Z588" s="365" t="str">
        <f>IFERROR(X588*VLOOKUP(C588,'General price list'!C:I,7,FALSE),"")</f>
        <v/>
      </c>
      <c r="AA588" s="805" t="str">
        <f>IF(X588&lt;&gt;"",VLOOKUP(C588,'General price list'!C590:AN1563,MATCH("HM",Tabulka1[[#Headers],[KOD]:[NEQ]],0),FALSE),"")</f>
        <v/>
      </c>
    </row>
    <row r="589" spans="1:27">
      <c r="A589">
        <f>COUNTIF($W$22:W589,1)</f>
        <v>0</v>
      </c>
      <c r="B589">
        <v>589</v>
      </c>
      <c r="C589" s="340" t="str">
        <f>IFERROR(Tabulka1[[#This Row],[KOD]],"")</f>
        <v>C14025XFS/C</v>
      </c>
      <c r="W589" s="804" t="str">
        <f t="shared" si="18"/>
        <v/>
      </c>
      <c r="X589" s="154" t="str">
        <f t="shared" si="19"/>
        <v/>
      </c>
      <c r="Y589" s="341">
        <f>IF('General price list'!$AB591="",0,'General price list'!$AB591)</f>
        <v>0</v>
      </c>
      <c r="Z589" s="365" t="str">
        <f>IFERROR(X589*VLOOKUP(C589,'General price list'!C:I,7,FALSE),"")</f>
        <v/>
      </c>
      <c r="AA589" s="805" t="str">
        <f>IF(X589&lt;&gt;"",VLOOKUP(C589,'General price list'!C591:AN1564,MATCH("HM",Tabulka1[[#Headers],[KOD]:[NEQ]],0),FALSE),"")</f>
        <v/>
      </c>
    </row>
    <row r="590" spans="1:27">
      <c r="A590">
        <f>COUNTIF($W$22:W590,1)</f>
        <v>0</v>
      </c>
      <c r="B590">
        <v>590</v>
      </c>
      <c r="C590" s="340" t="str">
        <f>IFERROR(Tabulka1[[#This Row],[KOD]],"")</f>
        <v>C19625F/C</v>
      </c>
      <c r="W590" s="804" t="str">
        <f t="shared" si="18"/>
        <v/>
      </c>
      <c r="X590" s="154" t="str">
        <f t="shared" si="19"/>
        <v/>
      </c>
      <c r="Y590" s="341">
        <f>IF('General price list'!$AB592="",0,'General price list'!$AB592)</f>
        <v>0</v>
      </c>
      <c r="Z590" s="365" t="str">
        <f>IFERROR(X590*VLOOKUP(C590,'General price list'!C:I,7,FALSE),"")</f>
        <v/>
      </c>
      <c r="AA590" s="805" t="str">
        <f>IF(X590&lt;&gt;"",VLOOKUP(C590,'General price list'!C592:AN1565,MATCH("HM",Tabulka1[[#Headers],[KOD]:[NEQ]],0),FALSE),"")</f>
        <v/>
      </c>
    </row>
    <row r="591" spans="1:27">
      <c r="A591">
        <f>COUNTIF($W$22:W591,1)</f>
        <v>0</v>
      </c>
      <c r="B591">
        <v>591</v>
      </c>
      <c r="C591" s="340" t="str">
        <f>IFERROR(Tabulka1[[#This Row],[KOD]],"")</f>
        <v>C20025I/C</v>
      </c>
      <c r="W591" s="804" t="str">
        <f t="shared" si="18"/>
        <v/>
      </c>
      <c r="X591" s="154" t="str">
        <f t="shared" si="19"/>
        <v/>
      </c>
      <c r="Y591" s="341">
        <f>IF('General price list'!$AB593="",0,'General price list'!$AB593)</f>
        <v>0</v>
      </c>
      <c r="Z591" s="365" t="str">
        <f>IFERROR(X591*VLOOKUP(C591,'General price list'!C:I,7,FALSE),"")</f>
        <v/>
      </c>
      <c r="AA591" s="805" t="str">
        <f>IF(X591&lt;&gt;"",VLOOKUP(C591,'General price list'!C593:AN1566,MATCH("HM",Tabulka1[[#Headers],[KOD]:[NEQ]],0),FALSE),"")</f>
        <v/>
      </c>
    </row>
    <row r="592" spans="1:27">
      <c r="A592">
        <f>COUNTIF($W$22:W592,1)</f>
        <v>0</v>
      </c>
      <c r="B592">
        <v>592</v>
      </c>
      <c r="C592" s="340">
        <f>IFERROR(Tabulka1[[#This Row],[KOD]],"")</f>
        <v>0</v>
      </c>
      <c r="W592" s="804" t="str">
        <f t="shared" si="18"/>
        <v/>
      </c>
      <c r="X592" s="154" t="str">
        <f t="shared" si="19"/>
        <v/>
      </c>
      <c r="Y592" s="341">
        <f>IF('General price list'!$AB594="",0,'General price list'!$AB594)</f>
        <v>0</v>
      </c>
      <c r="Z592" s="365" t="str">
        <f>IFERROR(X592*VLOOKUP(C592,'General price list'!C:I,7,FALSE),"")</f>
        <v/>
      </c>
      <c r="AA592" s="805" t="str">
        <f>IF(X592&lt;&gt;"",VLOOKUP(C592,'General price list'!C594:AN1567,MATCH("HM",Tabulka1[[#Headers],[KOD]:[NEQ]],0),FALSE),"")</f>
        <v/>
      </c>
    </row>
    <row r="593" spans="1:27">
      <c r="A593">
        <f>COUNTIF($W$22:W593,1)</f>
        <v>0</v>
      </c>
      <c r="B593">
        <v>593</v>
      </c>
      <c r="C593" s="340" t="str">
        <f>IFERROR(Tabulka1[[#This Row],[KOD]],"")</f>
        <v>C17825W/C</v>
      </c>
      <c r="W593" s="804" t="str">
        <f t="shared" si="18"/>
        <v/>
      </c>
      <c r="X593" s="154" t="str">
        <f t="shared" si="19"/>
        <v/>
      </c>
      <c r="Y593" s="341">
        <f>IF('General price list'!$AB595="",0,'General price list'!$AB595)</f>
        <v>0</v>
      </c>
      <c r="Z593" s="365" t="str">
        <f>IFERROR(X593*VLOOKUP(C593,'General price list'!C:I,7,FALSE),"")</f>
        <v/>
      </c>
      <c r="AA593" s="805" t="str">
        <f>IF(X593&lt;&gt;"",VLOOKUP(C593,'General price list'!C595:AN1568,MATCH("HM",Tabulka1[[#Headers],[KOD]:[NEQ]],0),FALSE),"")</f>
        <v/>
      </c>
    </row>
    <row r="594" spans="1:27">
      <c r="A594">
        <f>COUNTIF($W$22:W594,1)</f>
        <v>0</v>
      </c>
      <c r="B594">
        <v>594</v>
      </c>
      <c r="C594" s="340" t="str">
        <f>IFERROR(Tabulka1[[#This Row],[KOD]],"")</f>
        <v>C20025F/C</v>
      </c>
      <c r="W594" s="804" t="str">
        <f t="shared" si="18"/>
        <v/>
      </c>
      <c r="X594" s="154" t="str">
        <f t="shared" si="19"/>
        <v/>
      </c>
      <c r="Y594" s="341">
        <f>IF('General price list'!$AB596="",0,'General price list'!$AB596)</f>
        <v>0</v>
      </c>
      <c r="Z594" s="365" t="str">
        <f>IFERROR(X594*VLOOKUP(C594,'General price list'!C:I,7,FALSE),"")</f>
        <v/>
      </c>
      <c r="AA594" s="805" t="str">
        <f>IF(X594&lt;&gt;"",VLOOKUP(C594,'General price list'!C596:AN1569,MATCH("HM",Tabulka1[[#Headers],[KOD]:[NEQ]],0),FALSE),"")</f>
        <v/>
      </c>
    </row>
    <row r="595" spans="1:27">
      <c r="A595">
        <f>COUNTIF($W$22:W595,1)</f>
        <v>0</v>
      </c>
      <c r="B595">
        <v>595</v>
      </c>
      <c r="C595" s="340" t="str">
        <f>IFERROR(Tabulka1[[#This Row],[KOD]],"")</f>
        <v>C30025F/C</v>
      </c>
      <c r="W595" s="804" t="str">
        <f t="shared" si="18"/>
        <v/>
      </c>
      <c r="X595" s="154" t="str">
        <f t="shared" si="19"/>
        <v/>
      </c>
      <c r="Y595" s="341">
        <f>IF('General price list'!$AB597="",0,'General price list'!$AB597)</f>
        <v>0</v>
      </c>
      <c r="Z595" s="365" t="str">
        <f>IFERROR(X595*VLOOKUP(C595,'General price list'!C:I,7,FALSE),"")</f>
        <v/>
      </c>
      <c r="AA595" s="805" t="str">
        <f>IF(X595&lt;&gt;"",VLOOKUP(C595,'General price list'!C597:AN1570,MATCH("HM",Tabulka1[[#Headers],[KOD]:[NEQ]],0),FALSE),"")</f>
        <v/>
      </c>
    </row>
    <row r="596" spans="1:27">
      <c r="A596">
        <f>COUNTIF($W$22:W596,1)</f>
        <v>0</v>
      </c>
      <c r="B596">
        <v>596</v>
      </c>
      <c r="C596" s="340" t="str">
        <f>IFERROR(Tabulka1[[#This Row],[KOD]],"")</f>
        <v>C40025F/C</v>
      </c>
      <c r="W596" s="804" t="str">
        <f t="shared" si="18"/>
        <v/>
      </c>
      <c r="X596" s="154" t="str">
        <f t="shared" si="19"/>
        <v/>
      </c>
      <c r="Y596" s="341">
        <f>IF('General price list'!$AB598="",0,'General price list'!$AB598)</f>
        <v>0</v>
      </c>
      <c r="Z596" s="365" t="str">
        <f>IFERROR(X596*VLOOKUP(C596,'General price list'!C:I,7,FALSE),"")</f>
        <v/>
      </c>
      <c r="AA596" s="805" t="str">
        <f>IF(X596&lt;&gt;"",VLOOKUP(C596,'General price list'!C598:AN1571,MATCH("HM",Tabulka1[[#Headers],[KOD]:[NEQ]],0),FALSE),"")</f>
        <v/>
      </c>
    </row>
    <row r="597" spans="1:27">
      <c r="A597">
        <f>COUNTIF($W$22:W597,1)</f>
        <v>0</v>
      </c>
      <c r="B597">
        <v>597</v>
      </c>
      <c r="C597" s="340">
        <f>IFERROR(Tabulka1[[#This Row],[KOD]],"")</f>
        <v>0</v>
      </c>
      <c r="W597" s="804" t="str">
        <f t="shared" si="18"/>
        <v/>
      </c>
      <c r="X597" s="154" t="str">
        <f t="shared" si="19"/>
        <v/>
      </c>
      <c r="Y597" s="341">
        <f>IF('General price list'!$AB599="",0,'General price list'!$AB599)</f>
        <v>0</v>
      </c>
      <c r="Z597" s="365" t="str">
        <f>IFERROR(X597*VLOOKUP(C597,'General price list'!C:I,7,FALSE),"")</f>
        <v/>
      </c>
      <c r="AA597" s="805" t="str">
        <f>IF(X597&lt;&gt;"",VLOOKUP(C597,'General price list'!C599:AN1572,MATCH("HM",Tabulka1[[#Headers],[KOD]:[NEQ]],0),FALSE),"")</f>
        <v/>
      </c>
    </row>
    <row r="598" spans="1:27">
      <c r="A598">
        <f>COUNTIF($W$22:W598,1)</f>
        <v>0</v>
      </c>
      <c r="B598">
        <v>598</v>
      </c>
      <c r="C598" s="340" t="str">
        <f>IFERROR(Tabulka1[[#This Row],[KOD]],"")</f>
        <v>C163BP</v>
      </c>
      <c r="W598" s="804" t="str">
        <f t="shared" si="18"/>
        <v/>
      </c>
      <c r="X598" s="154" t="str">
        <f t="shared" si="19"/>
        <v/>
      </c>
      <c r="Y598" s="341">
        <f>IF('General price list'!$AB600="",0,'General price list'!$AB600)</f>
        <v>0</v>
      </c>
      <c r="Z598" s="365" t="str">
        <f>IFERROR(X598*VLOOKUP(C598,'General price list'!C:I,7,FALSE),"")</f>
        <v/>
      </c>
      <c r="AA598" s="805" t="str">
        <f>IF(X598&lt;&gt;"",VLOOKUP(C598,'General price list'!C600:AN1573,MATCH("HM",Tabulka1[[#Headers],[KOD]:[NEQ]],0),FALSE),"")</f>
        <v/>
      </c>
    </row>
    <row r="599" spans="1:27">
      <c r="A599">
        <f>COUNTIF($W$22:W599,1)</f>
        <v>0</v>
      </c>
      <c r="B599">
        <v>599</v>
      </c>
      <c r="C599" s="340" t="str">
        <f>IFERROR(Tabulka1[[#This Row],[KOD]],"")</f>
        <v>C163SIG</v>
      </c>
      <c r="W599" s="804" t="str">
        <f t="shared" si="18"/>
        <v/>
      </c>
      <c r="X599" s="154" t="str">
        <f t="shared" si="19"/>
        <v/>
      </c>
      <c r="Y599" s="341">
        <f>IF('General price list'!$AB601="",0,'General price list'!$AB601)</f>
        <v>0</v>
      </c>
      <c r="Z599" s="365" t="str">
        <f>IFERROR(X599*VLOOKUP(C599,'General price list'!C:I,7,FALSE),"")</f>
        <v/>
      </c>
      <c r="AA599" s="805" t="str">
        <f>IF(X599&lt;&gt;"",VLOOKUP(C599,'General price list'!C601:AN1574,MATCH("HM",Tabulka1[[#Headers],[KOD]:[NEQ]],0),FALSE),"")</f>
        <v/>
      </c>
    </row>
    <row r="600" spans="1:27">
      <c r="A600">
        <f>COUNTIF($W$22:W600,1)</f>
        <v>0</v>
      </c>
      <c r="B600">
        <v>600</v>
      </c>
      <c r="C600" s="340" t="str">
        <f>IFERROR(Tabulka1[[#This Row],[KOD]],"")</f>
        <v>C163A</v>
      </c>
      <c r="W600" s="804" t="str">
        <f t="shared" ref="W600:W663" si="20">IF(Y600+1=1,"",1)</f>
        <v/>
      </c>
      <c r="X600" s="154" t="str">
        <f t="shared" ref="X600:X663" si="21">IF(Y600+1=1,"",Y600)</f>
        <v/>
      </c>
      <c r="Y600" s="341">
        <f>IF('General price list'!$AB602="",0,'General price list'!$AB602)</f>
        <v>0</v>
      </c>
      <c r="Z600" s="365" t="str">
        <f>IFERROR(X600*VLOOKUP(C600,'General price list'!C:I,7,FALSE),"")</f>
        <v/>
      </c>
      <c r="AA600" s="805" t="str">
        <f>IF(X600&lt;&gt;"",VLOOKUP(C600,'General price list'!C602:AN1575,MATCH("HM",Tabulka1[[#Headers],[KOD]:[NEQ]],0),FALSE),"")</f>
        <v/>
      </c>
    </row>
    <row r="601" spans="1:27">
      <c r="A601">
        <f>COUNTIF($W$22:W601,1)</f>
        <v>0</v>
      </c>
      <c r="B601">
        <v>601</v>
      </c>
      <c r="C601" s="340" t="str">
        <f>IFERROR(Tabulka1[[#This Row],[KOD]],"")</f>
        <v>C163B</v>
      </c>
      <c r="W601" s="804" t="str">
        <f t="shared" si="20"/>
        <v/>
      </c>
      <c r="X601" s="154" t="str">
        <f t="shared" si="21"/>
        <v/>
      </c>
      <c r="Y601" s="341">
        <f>IF('General price list'!$AB603="",0,'General price list'!$AB603)</f>
        <v>0</v>
      </c>
      <c r="Z601" s="365" t="str">
        <f>IFERROR(X601*VLOOKUP(C601,'General price list'!C:I,7,FALSE),"")</f>
        <v/>
      </c>
      <c r="AA601" s="805" t="str">
        <f>IF(X601&lt;&gt;"",VLOOKUP(C601,'General price list'!C603:AN1576,MATCH("HM",Tabulka1[[#Headers],[KOD]:[NEQ]],0),FALSE),"")</f>
        <v/>
      </c>
    </row>
    <row r="602" spans="1:27">
      <c r="A602">
        <f>COUNTIF($W$22:W602,1)</f>
        <v>0</v>
      </c>
      <c r="B602">
        <v>602</v>
      </c>
      <c r="C602" s="340" t="str">
        <f>IFERROR(Tabulka1[[#This Row],[KOD]],"")</f>
        <v>C163L</v>
      </c>
      <c r="W602" s="804" t="str">
        <f t="shared" si="20"/>
        <v/>
      </c>
      <c r="X602" s="154" t="str">
        <f t="shared" si="21"/>
        <v/>
      </c>
      <c r="Y602" s="341">
        <f>IF('General price list'!$AB604="",0,'General price list'!$AB604)</f>
        <v>0</v>
      </c>
      <c r="Z602" s="365" t="str">
        <f>IFERROR(X602*VLOOKUP(C602,'General price list'!C:I,7,FALSE),"")</f>
        <v/>
      </c>
      <c r="AA602" s="805" t="str">
        <f>IF(X602&lt;&gt;"",VLOOKUP(C602,'General price list'!C604:AN1577,MATCH("HM",Tabulka1[[#Headers],[KOD]:[NEQ]],0),FALSE),"")</f>
        <v/>
      </c>
    </row>
    <row r="603" spans="1:27">
      <c r="A603">
        <f>COUNTIF($W$22:W603,1)</f>
        <v>0</v>
      </c>
      <c r="B603">
        <v>603</v>
      </c>
      <c r="C603" s="340" t="str">
        <f>IFERROR(Tabulka1[[#This Row],[KOD]],"")</f>
        <v>C163E</v>
      </c>
      <c r="W603" s="804" t="str">
        <f t="shared" si="20"/>
        <v/>
      </c>
      <c r="X603" s="154" t="str">
        <f t="shared" si="21"/>
        <v/>
      </c>
      <c r="Y603" s="341">
        <f>IF('General price list'!$AB605="",0,'General price list'!$AB605)</f>
        <v>0</v>
      </c>
      <c r="Z603" s="365" t="str">
        <f>IFERROR(X603*VLOOKUP(C603,'General price list'!C:I,7,FALSE),"")</f>
        <v/>
      </c>
      <c r="AA603" s="805" t="str">
        <f>IF(X603&lt;&gt;"",VLOOKUP(C603,'General price list'!C605:AN1578,MATCH("HM",Tabulka1[[#Headers],[KOD]:[NEQ]],0),FALSE),"")</f>
        <v/>
      </c>
    </row>
    <row r="604" spans="1:27">
      <c r="A604">
        <f>COUNTIF($W$22:W604,1)</f>
        <v>0</v>
      </c>
      <c r="B604">
        <v>604</v>
      </c>
      <c r="C604" s="340" t="str">
        <f>IFERROR(Tabulka1[[#This Row],[KOD]],"")</f>
        <v>C163K</v>
      </c>
      <c r="W604" s="804" t="str">
        <f t="shared" si="20"/>
        <v/>
      </c>
      <c r="X604" s="154" t="str">
        <f t="shared" si="21"/>
        <v/>
      </c>
      <c r="Y604" s="341">
        <f>IF('General price list'!$AB606="",0,'General price list'!$AB606)</f>
        <v>0</v>
      </c>
      <c r="Z604" s="365" t="str">
        <f>IFERROR(X604*VLOOKUP(C604,'General price list'!C:I,7,FALSE),"")</f>
        <v/>
      </c>
      <c r="AA604" s="805" t="str">
        <f>IF(X604&lt;&gt;"",VLOOKUP(C604,'General price list'!C606:AN1579,MATCH("HM",Tabulka1[[#Headers],[KOD]:[NEQ]],0),FALSE),"")</f>
        <v/>
      </c>
    </row>
    <row r="605" spans="1:27">
      <c r="A605">
        <f>COUNTIF($W$22:W605,1)</f>
        <v>0</v>
      </c>
      <c r="B605">
        <v>605</v>
      </c>
      <c r="C605" s="340">
        <f>IFERROR(Tabulka1[[#This Row],[KOD]],"")</f>
        <v>0</v>
      </c>
      <c r="W605" s="804" t="str">
        <f t="shared" si="20"/>
        <v/>
      </c>
      <c r="X605" s="154" t="str">
        <f t="shared" si="21"/>
        <v/>
      </c>
      <c r="Y605" s="341">
        <f>IF('General price list'!$AB607="",0,'General price list'!$AB607)</f>
        <v>0</v>
      </c>
      <c r="Z605" s="365" t="str">
        <f>IFERROR(X605*VLOOKUP(C605,'General price list'!C:I,7,FALSE),"")</f>
        <v/>
      </c>
      <c r="AA605" s="805" t="str">
        <f>IF(X605&lt;&gt;"",VLOOKUP(C605,'General price list'!C607:AN1580,MATCH("HM",Tabulka1[[#Headers],[KOD]:[NEQ]],0),FALSE),"")</f>
        <v/>
      </c>
    </row>
    <row r="606" spans="1:27">
      <c r="A606">
        <f>COUNTIF($W$22:W606,1)</f>
        <v>0</v>
      </c>
      <c r="B606">
        <v>606</v>
      </c>
      <c r="C606" s="340" t="str">
        <f>IFERROR(Tabulka1[[#This Row],[KOD]],"")</f>
        <v>C163A14</v>
      </c>
      <c r="W606" s="804" t="str">
        <f t="shared" si="20"/>
        <v/>
      </c>
      <c r="X606" s="154" t="str">
        <f t="shared" si="21"/>
        <v/>
      </c>
      <c r="Y606" s="341">
        <f>IF('General price list'!$AB608="",0,'General price list'!$AB608)</f>
        <v>0</v>
      </c>
      <c r="Z606" s="365" t="str">
        <f>IFERROR(X606*VLOOKUP(C606,'General price list'!C:I,7,FALSE),"")</f>
        <v/>
      </c>
      <c r="AA606" s="805" t="str">
        <f>IF(X606&lt;&gt;"",VLOOKUP(C606,'General price list'!C608:AN1581,MATCH("HM",Tabulka1[[#Headers],[KOD]:[NEQ]],0),FALSE),"")</f>
        <v/>
      </c>
    </row>
    <row r="607" spans="1:27">
      <c r="A607">
        <f>COUNTIF($W$22:W607,1)</f>
        <v>0</v>
      </c>
      <c r="B607">
        <v>607</v>
      </c>
      <c r="C607" s="340">
        <f>IFERROR(Tabulka1[[#This Row],[KOD]],"")</f>
        <v>0</v>
      </c>
      <c r="W607" s="804" t="str">
        <f t="shared" si="20"/>
        <v/>
      </c>
      <c r="X607" s="154" t="str">
        <f t="shared" si="21"/>
        <v/>
      </c>
      <c r="Y607" s="341">
        <f>IF('General price list'!$AB609="",0,'General price list'!$AB609)</f>
        <v>0</v>
      </c>
      <c r="Z607" s="365" t="str">
        <f>IFERROR(X607*VLOOKUP(C607,'General price list'!C:I,7,FALSE),"")</f>
        <v/>
      </c>
      <c r="AA607" s="805" t="str">
        <f>IF(X607&lt;&gt;"",VLOOKUP(C607,'General price list'!C609:AN1582,MATCH("HM",Tabulka1[[#Headers],[KOD]:[NEQ]],0),FALSE),"")</f>
        <v/>
      </c>
    </row>
    <row r="608" spans="1:27">
      <c r="A608">
        <f>COUNTIF($W$22:W608,1)</f>
        <v>0</v>
      </c>
      <c r="B608">
        <v>608</v>
      </c>
      <c r="C608" s="340" t="str">
        <f>IFERROR(Tabulka1[[#This Row],[KOD]],"")</f>
        <v>C193BP</v>
      </c>
      <c r="W608" s="804" t="str">
        <f t="shared" si="20"/>
        <v/>
      </c>
      <c r="X608" s="154" t="str">
        <f t="shared" si="21"/>
        <v/>
      </c>
      <c r="Y608" s="341">
        <f>IF('General price list'!$AB610="",0,'General price list'!$AB610)</f>
        <v>0</v>
      </c>
      <c r="Z608" s="365" t="str">
        <f>IFERROR(X608*VLOOKUP(C608,'General price list'!C:I,7,FALSE),"")</f>
        <v/>
      </c>
      <c r="AA608" s="805" t="str">
        <f>IF(X608&lt;&gt;"",VLOOKUP(C608,'General price list'!C610:AN1583,MATCH("HM",Tabulka1[[#Headers],[KOD]:[NEQ]],0),FALSE),"")</f>
        <v/>
      </c>
    </row>
    <row r="609" spans="1:27">
      <c r="A609">
        <f>COUNTIF($W$22:W609,1)</f>
        <v>0</v>
      </c>
      <c r="B609">
        <v>609</v>
      </c>
      <c r="C609" s="340" t="str">
        <f>IFERROR(Tabulka1[[#This Row],[KOD]],"")</f>
        <v>C193C</v>
      </c>
      <c r="W609" s="804" t="str">
        <f t="shared" si="20"/>
        <v/>
      </c>
      <c r="X609" s="154" t="str">
        <f t="shared" si="21"/>
        <v/>
      </c>
      <c r="Y609" s="341">
        <f>IF('General price list'!$AB611="",0,'General price list'!$AB611)</f>
        <v>0</v>
      </c>
      <c r="Z609" s="365" t="str">
        <f>IFERROR(X609*VLOOKUP(C609,'General price list'!C:I,7,FALSE),"")</f>
        <v/>
      </c>
      <c r="AA609" s="805" t="str">
        <f>IF(X609&lt;&gt;"",VLOOKUP(C609,'General price list'!C611:AN1584,MATCH("HM",Tabulka1[[#Headers],[KOD]:[NEQ]],0),FALSE),"")</f>
        <v/>
      </c>
    </row>
    <row r="610" spans="1:27">
      <c r="A610">
        <f>COUNTIF($W$22:W610,1)</f>
        <v>0</v>
      </c>
      <c r="B610">
        <v>610</v>
      </c>
      <c r="C610" s="340" t="str">
        <f>IFERROR(Tabulka1[[#This Row],[KOD]],"")</f>
        <v>C193D</v>
      </c>
      <c r="W610" s="804" t="str">
        <f t="shared" si="20"/>
        <v/>
      </c>
      <c r="X610" s="154" t="str">
        <f t="shared" si="21"/>
        <v/>
      </c>
      <c r="Y610" s="341">
        <f>IF('General price list'!$AB612="",0,'General price list'!$AB612)</f>
        <v>0</v>
      </c>
      <c r="Z610" s="365" t="str">
        <f>IFERROR(X610*VLOOKUP(C610,'General price list'!C:I,7,FALSE),"")</f>
        <v/>
      </c>
      <c r="AA610" s="805" t="str">
        <f>IF(X610&lt;&gt;"",VLOOKUP(C610,'General price list'!C612:AN1585,MATCH("HM",Tabulka1[[#Headers],[KOD]:[NEQ]],0),FALSE),"")</f>
        <v/>
      </c>
    </row>
    <row r="611" spans="1:27">
      <c r="A611">
        <f>COUNTIF($W$22:W611,1)</f>
        <v>0</v>
      </c>
      <c r="B611">
        <v>611</v>
      </c>
      <c r="C611" s="340" t="str">
        <f>IFERROR(Tabulka1[[#This Row],[KOD]],"")</f>
        <v>C193J</v>
      </c>
      <c r="W611" s="804" t="str">
        <f t="shared" si="20"/>
        <v/>
      </c>
      <c r="X611" s="154" t="str">
        <f t="shared" si="21"/>
        <v/>
      </c>
      <c r="Y611" s="341">
        <f>IF('General price list'!$AB613="",0,'General price list'!$AB613)</f>
        <v>0</v>
      </c>
      <c r="Z611" s="365" t="str">
        <f>IFERROR(X611*VLOOKUP(C611,'General price list'!C:I,7,FALSE),"")</f>
        <v/>
      </c>
      <c r="AA611" s="805" t="str">
        <f>IF(X611&lt;&gt;"",VLOOKUP(C611,'General price list'!C613:AN1586,MATCH("HM",Tabulka1[[#Headers],[KOD]:[NEQ]],0),FALSE),"")</f>
        <v/>
      </c>
    </row>
    <row r="612" spans="1:27">
      <c r="A612">
        <f>COUNTIF($W$22:W612,1)</f>
        <v>0</v>
      </c>
      <c r="B612">
        <v>612</v>
      </c>
      <c r="C612" s="340" t="str">
        <f>IFERROR(Tabulka1[[#This Row],[KOD]],"")</f>
        <v>C193I</v>
      </c>
      <c r="W612" s="804" t="str">
        <f t="shared" si="20"/>
        <v/>
      </c>
      <c r="X612" s="154" t="str">
        <f t="shared" si="21"/>
        <v/>
      </c>
      <c r="Y612" s="341">
        <f>IF('General price list'!$AB614="",0,'General price list'!$AB614)</f>
        <v>0</v>
      </c>
      <c r="Z612" s="365" t="str">
        <f>IFERROR(X612*VLOOKUP(C612,'General price list'!C:I,7,FALSE),"")</f>
        <v/>
      </c>
      <c r="AA612" s="805" t="str">
        <f>IF(X612&lt;&gt;"",VLOOKUP(C612,'General price list'!C614:AN1587,MATCH("HM",Tabulka1[[#Headers],[KOD]:[NEQ]],0),FALSE),"")</f>
        <v/>
      </c>
    </row>
    <row r="613" spans="1:27">
      <c r="A613">
        <f>COUNTIF($W$22:W613,1)</f>
        <v>0</v>
      </c>
      <c r="B613">
        <v>613</v>
      </c>
      <c r="C613" s="340">
        <f>IFERROR(Tabulka1[[#This Row],[KOD]],"")</f>
        <v>0</v>
      </c>
      <c r="W613" s="804" t="str">
        <f t="shared" si="20"/>
        <v/>
      </c>
      <c r="X613" s="154" t="str">
        <f t="shared" si="21"/>
        <v/>
      </c>
      <c r="Y613" s="341">
        <f>IF('General price list'!$AB615="",0,'General price list'!$AB615)</f>
        <v>0</v>
      </c>
      <c r="Z613" s="365" t="str">
        <f>IFERROR(X613*VLOOKUP(C613,'General price list'!C:I,7,FALSE),"")</f>
        <v/>
      </c>
      <c r="AA613" s="805" t="str">
        <f>IF(X613&lt;&gt;"",VLOOKUP(C613,'General price list'!C615:AN1588,MATCH("HM",Tabulka1[[#Headers],[KOD]:[NEQ]],0),FALSE),"")</f>
        <v/>
      </c>
    </row>
    <row r="614" spans="1:27">
      <c r="A614">
        <f>COUNTIF($W$22:W614,1)</f>
        <v>0</v>
      </c>
      <c r="B614">
        <v>614</v>
      </c>
      <c r="C614" s="340" t="str">
        <f>IFERROR(Tabulka1[[#This Row],[KOD]],"")</f>
        <v>C253SIG</v>
      </c>
      <c r="W614" s="804" t="str">
        <f t="shared" si="20"/>
        <v/>
      </c>
      <c r="X614" s="154" t="str">
        <f t="shared" si="21"/>
        <v/>
      </c>
      <c r="Y614" s="341">
        <f>IF('General price list'!$AB616="",0,'General price list'!$AB616)</f>
        <v>0</v>
      </c>
      <c r="Z614" s="365" t="str">
        <f>IFERROR(X614*VLOOKUP(C614,'General price list'!C:I,7,FALSE),"")</f>
        <v/>
      </c>
      <c r="AA614" s="805" t="str">
        <f>IF(X614&lt;&gt;"",VLOOKUP(C614,'General price list'!C616:AN1589,MATCH("HM",Tabulka1[[#Headers],[KOD]:[NEQ]],0),FALSE),"")</f>
        <v/>
      </c>
    </row>
    <row r="615" spans="1:27">
      <c r="A615">
        <f>COUNTIF($W$22:W615,1)</f>
        <v>0</v>
      </c>
      <c r="B615">
        <v>615</v>
      </c>
      <c r="C615" s="340" t="str">
        <f>IFERROR(Tabulka1[[#This Row],[KOD]],"")</f>
        <v>C253SIG B</v>
      </c>
      <c r="W615" s="804" t="str">
        <f t="shared" si="20"/>
        <v/>
      </c>
      <c r="X615" s="154" t="str">
        <f t="shared" si="21"/>
        <v/>
      </c>
      <c r="Y615" s="341">
        <f>IF('General price list'!$AB617="",0,'General price list'!$AB617)</f>
        <v>0</v>
      </c>
      <c r="Z615" s="365" t="str">
        <f>IFERROR(X615*VLOOKUP(C615,'General price list'!C:I,7,FALSE),"")</f>
        <v/>
      </c>
      <c r="AA615" s="805" t="str">
        <f>IF(X615&lt;&gt;"",VLOOKUP(C615,'General price list'!C617:AN1590,MATCH("HM",Tabulka1[[#Headers],[KOD]:[NEQ]],0),FALSE),"")</f>
        <v/>
      </c>
    </row>
    <row r="616" spans="1:27">
      <c r="A616">
        <f>COUNTIF($W$22:W616,1)</f>
        <v>0</v>
      </c>
      <c r="B616">
        <v>616</v>
      </c>
      <c r="C616" s="340" t="str">
        <f>IFERROR(Tabulka1[[#This Row],[KOD]],"")</f>
        <v>C253FR</v>
      </c>
      <c r="W616" s="804" t="str">
        <f t="shared" si="20"/>
        <v/>
      </c>
      <c r="X616" s="154" t="str">
        <f t="shared" si="21"/>
        <v/>
      </c>
      <c r="Y616" s="341">
        <f>IF('General price list'!$AB618="",0,'General price list'!$AB618)</f>
        <v>0</v>
      </c>
      <c r="Z616" s="365" t="str">
        <f>IFERROR(X616*VLOOKUP(C616,'General price list'!C:I,7,FALSE),"")</f>
        <v/>
      </c>
      <c r="AA616" s="805" t="str">
        <f>IF(X616&lt;&gt;"",VLOOKUP(C616,'General price list'!C618:AN1591,MATCH("HM",Tabulka1[[#Headers],[KOD]:[NEQ]],0),FALSE),"")</f>
        <v/>
      </c>
    </row>
    <row r="617" spans="1:27">
      <c r="A617">
        <f>COUNTIF($W$22:W617,1)</f>
        <v>0</v>
      </c>
      <c r="B617">
        <v>617</v>
      </c>
      <c r="C617" s="340" t="str">
        <f>IFERROR(Tabulka1[[#This Row],[KOD]],"")</f>
        <v>C253MY</v>
      </c>
      <c r="W617" s="804" t="str">
        <f t="shared" si="20"/>
        <v/>
      </c>
      <c r="X617" s="154" t="str">
        <f t="shared" si="21"/>
        <v/>
      </c>
      <c r="Y617" s="341">
        <f>IF('General price list'!$AB619="",0,'General price list'!$AB619)</f>
        <v>0</v>
      </c>
      <c r="Z617" s="365" t="str">
        <f>IFERROR(X617*VLOOKUP(C617,'General price list'!C:I,7,FALSE),"")</f>
        <v/>
      </c>
      <c r="AA617" s="805" t="str">
        <f>IF(X617&lt;&gt;"",VLOOKUP(C617,'General price list'!C619:AN1592,MATCH("HM",Tabulka1[[#Headers],[KOD]:[NEQ]],0),FALSE),"")</f>
        <v/>
      </c>
    </row>
    <row r="618" spans="1:27">
      <c r="A618">
        <f>COUNTIF($W$22:W618,1)</f>
        <v>0</v>
      </c>
      <c r="B618">
        <v>618</v>
      </c>
      <c r="C618" s="340" t="str">
        <f>IFERROR(Tabulka1[[#This Row],[KOD]],"")</f>
        <v>C253DU</v>
      </c>
      <c r="W618" s="804" t="str">
        <f t="shared" si="20"/>
        <v/>
      </c>
      <c r="X618" s="154" t="str">
        <f t="shared" si="21"/>
        <v/>
      </c>
      <c r="Y618" s="341">
        <f>IF('General price list'!$AB620="",0,'General price list'!$AB620)</f>
        <v>0</v>
      </c>
      <c r="Z618" s="365" t="str">
        <f>IFERROR(X618*VLOOKUP(C618,'General price list'!C:I,7,FALSE),"")</f>
        <v/>
      </c>
      <c r="AA618" s="805" t="str">
        <f>IF(X618&lt;&gt;"",VLOOKUP(C618,'General price list'!C620:AN1593,MATCH("HM",Tabulka1[[#Headers],[KOD]:[NEQ]],0),FALSE),"")</f>
        <v/>
      </c>
    </row>
    <row r="619" spans="1:27">
      <c r="A619">
        <f>COUNTIF($W$22:W619,1)</f>
        <v>0</v>
      </c>
      <c r="B619">
        <v>619</v>
      </c>
      <c r="C619" s="340">
        <f>IFERROR(Tabulka1[[#This Row],[KOD]],"")</f>
        <v>0</v>
      </c>
      <c r="W619" s="804" t="str">
        <f t="shared" si="20"/>
        <v/>
      </c>
      <c r="X619" s="154" t="str">
        <f t="shared" si="21"/>
        <v/>
      </c>
      <c r="Y619" s="341">
        <f>IF('General price list'!$AB621="",0,'General price list'!$AB621)</f>
        <v>0</v>
      </c>
      <c r="Z619" s="365" t="str">
        <f>IFERROR(X619*VLOOKUP(C619,'General price list'!C:I,7,FALSE),"")</f>
        <v/>
      </c>
      <c r="AA619" s="805" t="str">
        <f>IF(X619&lt;&gt;"",VLOOKUP(C619,'General price list'!C621:AN1594,MATCH("HM",Tabulka1[[#Headers],[KOD]:[NEQ]],0),FALSE),"")</f>
        <v/>
      </c>
    </row>
    <row r="620" spans="1:27">
      <c r="A620">
        <f>COUNTIF($W$22:W620,1)</f>
        <v>0</v>
      </c>
      <c r="B620">
        <v>620</v>
      </c>
      <c r="C620" s="340" t="str">
        <f>IFERROR(Tabulka1[[#This Row],[KOD]],"")</f>
        <v>C253BP14</v>
      </c>
      <c r="W620" s="804" t="str">
        <f t="shared" si="20"/>
        <v/>
      </c>
      <c r="X620" s="154" t="str">
        <f t="shared" si="21"/>
        <v/>
      </c>
      <c r="Y620" s="341">
        <f>IF('General price list'!$AB622="",0,'General price list'!$AB622)</f>
        <v>0</v>
      </c>
      <c r="Z620" s="365" t="str">
        <f>IFERROR(X620*VLOOKUP(C620,'General price list'!C:I,7,FALSE),"")</f>
        <v/>
      </c>
      <c r="AA620" s="805" t="str">
        <f>IF(X620&lt;&gt;"",VLOOKUP(C620,'General price list'!C622:AN1595,MATCH("HM",Tabulka1[[#Headers],[KOD]:[NEQ]],0),FALSE),"")</f>
        <v/>
      </c>
    </row>
    <row r="621" spans="1:27">
      <c r="A621">
        <f>COUNTIF($W$22:W621,1)</f>
        <v>0</v>
      </c>
      <c r="B621">
        <v>621</v>
      </c>
      <c r="C621" s="340" t="str">
        <f>IFERROR(Tabulka1[[#This Row],[KOD]],"")</f>
        <v>C253NO14</v>
      </c>
      <c r="W621" s="804" t="str">
        <f t="shared" si="20"/>
        <v/>
      </c>
      <c r="X621" s="154" t="str">
        <f t="shared" si="21"/>
        <v/>
      </c>
      <c r="Y621" s="341">
        <f>IF('General price list'!$AB623="",0,'General price list'!$AB623)</f>
        <v>0</v>
      </c>
      <c r="Z621" s="365" t="str">
        <f>IFERROR(X621*VLOOKUP(C621,'General price list'!C:I,7,FALSE),"")</f>
        <v/>
      </c>
      <c r="AA621" s="805" t="str">
        <f>IF(X621&lt;&gt;"",VLOOKUP(C621,'General price list'!C623:AN1596,MATCH("HM",Tabulka1[[#Headers],[KOD]:[NEQ]],0),FALSE),"")</f>
        <v/>
      </c>
    </row>
    <row r="622" spans="1:27">
      <c r="A622">
        <f>COUNTIF($W$22:W622,1)</f>
        <v>0</v>
      </c>
      <c r="B622">
        <v>622</v>
      </c>
      <c r="C622" s="340" t="str">
        <f>IFERROR(Tabulka1[[#This Row],[KOD]],"")</f>
        <v>C253B14</v>
      </c>
      <c r="W622" s="804" t="str">
        <f t="shared" si="20"/>
        <v/>
      </c>
      <c r="X622" s="154" t="str">
        <f t="shared" si="21"/>
        <v/>
      </c>
      <c r="Y622" s="341">
        <f>IF('General price list'!$AB624="",0,'General price list'!$AB624)</f>
        <v>0</v>
      </c>
      <c r="Z622" s="365" t="str">
        <f>IFERROR(X622*VLOOKUP(C622,'General price list'!C:I,7,FALSE),"")</f>
        <v/>
      </c>
      <c r="AA622" s="805" t="str">
        <f>IF(X622&lt;&gt;"",VLOOKUP(C622,'General price list'!C624:AN1597,MATCH("HM",Tabulka1[[#Headers],[KOD]:[NEQ]],0),FALSE),"")</f>
        <v/>
      </c>
    </row>
    <row r="623" spans="1:27">
      <c r="A623">
        <f>COUNTIF($W$22:W623,1)</f>
        <v>0</v>
      </c>
      <c r="B623">
        <v>623</v>
      </c>
      <c r="C623" s="340" t="str">
        <f>IFERROR(Tabulka1[[#This Row],[KOD]],"")</f>
        <v>C253TH14</v>
      </c>
      <c r="W623" s="804" t="str">
        <f t="shared" si="20"/>
        <v/>
      </c>
      <c r="X623" s="154" t="str">
        <f t="shared" si="21"/>
        <v/>
      </c>
      <c r="Y623" s="341">
        <f>IF('General price list'!$AB625="",0,'General price list'!$AB625)</f>
        <v>0</v>
      </c>
      <c r="Z623" s="365" t="str">
        <f>IFERROR(X623*VLOOKUP(C623,'General price list'!C:I,7,FALSE),"")</f>
        <v/>
      </c>
      <c r="AA623" s="805" t="str">
        <f>IF(X623&lt;&gt;"",VLOOKUP(C623,'General price list'!C625:AN1598,MATCH("HM",Tabulka1[[#Headers],[KOD]:[NEQ]],0),FALSE),"")</f>
        <v/>
      </c>
    </row>
    <row r="624" spans="1:27">
      <c r="A624">
        <f>COUNTIF($W$22:W624,1)</f>
        <v>0</v>
      </c>
      <c r="B624">
        <v>624</v>
      </c>
      <c r="C624" s="340" t="str">
        <f>IFERROR(Tabulka1[[#This Row],[KOD]],"")</f>
        <v>C253E14</v>
      </c>
      <c r="W624" s="804" t="str">
        <f t="shared" si="20"/>
        <v/>
      </c>
      <c r="X624" s="154" t="str">
        <f t="shared" si="21"/>
        <v/>
      </c>
      <c r="Y624" s="341">
        <f>IF('General price list'!$AB626="",0,'General price list'!$AB626)</f>
        <v>0</v>
      </c>
      <c r="Z624" s="365" t="str">
        <f>IFERROR(X624*VLOOKUP(C624,'General price list'!C:I,7,FALSE),"")</f>
        <v/>
      </c>
      <c r="AA624" s="805" t="str">
        <f>IF(X624&lt;&gt;"",VLOOKUP(C624,'General price list'!C626:AN1599,MATCH("HM",Tabulka1[[#Headers],[KOD]:[NEQ]],0),FALSE),"")</f>
        <v/>
      </c>
    </row>
    <row r="625" spans="1:27">
      <c r="A625">
        <f>COUNTIF($W$22:W625,1)</f>
        <v>0</v>
      </c>
      <c r="B625">
        <v>625</v>
      </c>
      <c r="C625" s="340">
        <f>IFERROR(Tabulka1[[#This Row],[KOD]],"")</f>
        <v>0</v>
      </c>
      <c r="W625" s="804" t="str">
        <f t="shared" si="20"/>
        <v/>
      </c>
      <c r="X625" s="154" t="str">
        <f t="shared" si="21"/>
        <v/>
      </c>
      <c r="Y625" s="341">
        <f>IF('General price list'!$AB627="",0,'General price list'!$AB627)</f>
        <v>0</v>
      </c>
      <c r="Z625" s="365" t="str">
        <f>IFERROR(X625*VLOOKUP(C625,'General price list'!C:I,7,FALSE),"")</f>
        <v/>
      </c>
      <c r="AA625" s="805" t="str">
        <f>IF(X625&lt;&gt;"",VLOOKUP(C625,'General price list'!C627:AN1600,MATCH("HM",Tabulka1[[#Headers],[KOD]:[NEQ]],0),FALSE),"")</f>
        <v/>
      </c>
    </row>
    <row r="626" spans="1:27">
      <c r="A626">
        <f>COUNTIF($W$22:W626,1)</f>
        <v>0</v>
      </c>
      <c r="B626">
        <v>626</v>
      </c>
      <c r="C626" s="340" t="str">
        <f>IFERROR(Tabulka1[[#This Row],[KOD]],"")</f>
        <v>C253F14</v>
      </c>
      <c r="W626" s="804" t="str">
        <f t="shared" si="20"/>
        <v/>
      </c>
      <c r="X626" s="154" t="str">
        <f t="shared" si="21"/>
        <v/>
      </c>
      <c r="Y626" s="341">
        <f>IF('General price list'!$AB628="",0,'General price list'!$AB628)</f>
        <v>0</v>
      </c>
      <c r="Z626" s="365" t="str">
        <f>IFERROR(X626*VLOOKUP(C626,'General price list'!C:I,7,FALSE),"")</f>
        <v/>
      </c>
      <c r="AA626" s="805" t="str">
        <f>IF(X626&lt;&gt;"",VLOOKUP(C626,'General price list'!C628:AN1601,MATCH("HM",Tabulka1[[#Headers],[KOD]:[NEQ]],0),FALSE),"")</f>
        <v/>
      </c>
    </row>
    <row r="627" spans="1:27">
      <c r="A627">
        <f>COUNTIF($W$22:W627,1)</f>
        <v>0</v>
      </c>
      <c r="B627">
        <v>627</v>
      </c>
      <c r="C627" s="340">
        <f>IFERROR(Tabulka1[[#This Row],[KOD]],"")</f>
        <v>0</v>
      </c>
      <c r="W627" s="804" t="str">
        <f t="shared" si="20"/>
        <v/>
      </c>
      <c r="X627" s="154" t="str">
        <f t="shared" si="21"/>
        <v/>
      </c>
      <c r="Y627" s="341">
        <f>IF('General price list'!$AB629="",0,'General price list'!$AB629)</f>
        <v>0</v>
      </c>
      <c r="Z627" s="365" t="str">
        <f>IFERROR(X627*VLOOKUP(C627,'General price list'!C:I,7,FALSE),"")</f>
        <v/>
      </c>
      <c r="AA627" s="805" t="str">
        <f>IF(X627&lt;&gt;"",VLOOKUP(C627,'General price list'!C629:AN1602,MATCH("HM",Tabulka1[[#Headers],[KOD]:[NEQ]],0),FALSE),"")</f>
        <v/>
      </c>
    </row>
    <row r="628" spans="1:27">
      <c r="A628">
        <f>COUNTIF($W$22:W628,1)</f>
        <v>0</v>
      </c>
      <c r="B628">
        <v>628</v>
      </c>
      <c r="C628" s="340" t="str">
        <f>IFERROR(Tabulka1[[#This Row],[KOD]],"")</f>
        <v>CF253R14</v>
      </c>
      <c r="W628" s="804" t="str">
        <f t="shared" si="20"/>
        <v/>
      </c>
      <c r="X628" s="154" t="str">
        <f t="shared" si="21"/>
        <v/>
      </c>
      <c r="Y628" s="341">
        <f>IF('General price list'!$AB630="",0,'General price list'!$AB630)</f>
        <v>0</v>
      </c>
      <c r="Z628" s="365" t="str">
        <f>IFERROR(X628*VLOOKUP(C628,'General price list'!C:I,7,FALSE),"")</f>
        <v/>
      </c>
      <c r="AA628" s="805" t="str">
        <f>IF(X628&lt;&gt;"",VLOOKUP(C628,'General price list'!C630:AN1603,MATCH("HM",Tabulka1[[#Headers],[KOD]:[NEQ]],0),FALSE),"")</f>
        <v/>
      </c>
    </row>
    <row r="629" spans="1:27">
      <c r="A629">
        <f>COUNTIF($W$22:W629,1)</f>
        <v>0</v>
      </c>
      <c r="B629">
        <v>629</v>
      </c>
      <c r="C629" s="340" t="str">
        <f>IFERROR(Tabulka1[[#This Row],[KOD]],"")</f>
        <v>CF253D14</v>
      </c>
      <c r="W629" s="804" t="str">
        <f t="shared" si="20"/>
        <v/>
      </c>
      <c r="X629" s="154" t="str">
        <f t="shared" si="21"/>
        <v/>
      </c>
      <c r="Y629" s="341">
        <f>IF('General price list'!$AB631="",0,'General price list'!$AB631)</f>
        <v>0</v>
      </c>
      <c r="Z629" s="365" t="str">
        <f>IFERROR(X629*VLOOKUP(C629,'General price list'!C:I,7,FALSE),"")</f>
        <v/>
      </c>
      <c r="AA629" s="805" t="str">
        <f>IF(X629&lt;&gt;"",VLOOKUP(C629,'General price list'!C631:AN1604,MATCH("HM",Tabulka1[[#Headers],[KOD]:[NEQ]],0),FALSE),"")</f>
        <v/>
      </c>
    </row>
    <row r="630" spans="1:27">
      <c r="A630">
        <f>COUNTIF($W$22:W630,1)</f>
        <v>0</v>
      </c>
      <c r="B630">
        <v>630</v>
      </c>
      <c r="C630" s="340" t="str">
        <f>IFERROR(Tabulka1[[#This Row],[KOD]],"")</f>
        <v>CF253K14</v>
      </c>
      <c r="W630" s="804" t="str">
        <f t="shared" si="20"/>
        <v/>
      </c>
      <c r="X630" s="154" t="str">
        <f t="shared" si="21"/>
        <v/>
      </c>
      <c r="Y630" s="341">
        <f>IF('General price list'!$AB632="",0,'General price list'!$AB632)</f>
        <v>0</v>
      </c>
      <c r="Z630" s="365" t="str">
        <f>IFERROR(X630*VLOOKUP(C630,'General price list'!C:I,7,FALSE),"")</f>
        <v/>
      </c>
      <c r="AA630" s="805" t="str">
        <f>IF(X630&lt;&gt;"",VLOOKUP(C630,'General price list'!C632:AN1605,MATCH("HM",Tabulka1[[#Headers],[KOD]:[NEQ]],0),FALSE),"")</f>
        <v/>
      </c>
    </row>
    <row r="631" spans="1:27">
      <c r="A631">
        <f>COUNTIF($W$22:W631,1)</f>
        <v>0</v>
      </c>
      <c r="B631">
        <v>631</v>
      </c>
      <c r="C631" s="340">
        <f>IFERROR(Tabulka1[[#This Row],[KOD]],"")</f>
        <v>0</v>
      </c>
      <c r="W631" s="804" t="str">
        <f t="shared" si="20"/>
        <v/>
      </c>
      <c r="X631" s="154" t="str">
        <f t="shared" si="21"/>
        <v/>
      </c>
      <c r="Y631" s="341">
        <f>IF('General price list'!$AB633="",0,'General price list'!$AB633)</f>
        <v>0</v>
      </c>
      <c r="Z631" s="365" t="str">
        <f>IFERROR(X631*VLOOKUP(C631,'General price list'!C:I,7,FALSE),"")</f>
        <v/>
      </c>
      <c r="AA631" s="805" t="str">
        <f>IF(X631&lt;&gt;"",VLOOKUP(C631,'General price list'!C633:AN1606,MATCH("HM",Tabulka1[[#Headers],[KOD]:[NEQ]],0),FALSE),"")</f>
        <v/>
      </c>
    </row>
    <row r="632" spans="1:27">
      <c r="A632">
        <f>COUNTIF($W$22:W632,1)</f>
        <v>0</v>
      </c>
      <c r="B632">
        <v>632</v>
      </c>
      <c r="C632" s="340" t="str">
        <f>IFERROR(Tabulka1[[#This Row],[KOD]],"")</f>
        <v>C363PL</v>
      </c>
      <c r="W632" s="804" t="str">
        <f t="shared" si="20"/>
        <v/>
      </c>
      <c r="X632" s="154" t="str">
        <f t="shared" si="21"/>
        <v/>
      </c>
      <c r="Y632" s="341">
        <f>IF('General price list'!$AB634="",0,'General price list'!$AB634)</f>
        <v>0</v>
      </c>
      <c r="Z632" s="365" t="str">
        <f>IFERROR(X632*VLOOKUP(C632,'General price list'!C:I,7,FALSE),"")</f>
        <v/>
      </c>
      <c r="AA632" s="805" t="str">
        <f>IF(X632&lt;&gt;"",VLOOKUP(C632,'General price list'!C634:AN1607,MATCH("HM",Tabulka1[[#Headers],[KOD]:[NEQ]],0),FALSE),"")</f>
        <v/>
      </c>
    </row>
    <row r="633" spans="1:27">
      <c r="A633">
        <f>COUNTIF($W$22:W633,1)</f>
        <v>0</v>
      </c>
      <c r="B633">
        <v>633</v>
      </c>
      <c r="C633" s="340" t="str">
        <f>IFERROR(Tabulka1[[#This Row],[KOD]],"")</f>
        <v>C363PA</v>
      </c>
      <c r="W633" s="804" t="str">
        <f t="shared" si="20"/>
        <v/>
      </c>
      <c r="X633" s="154" t="str">
        <f t="shared" si="21"/>
        <v/>
      </c>
      <c r="Y633" s="341">
        <f>IF('General price list'!$AB635="",0,'General price list'!$AB635)</f>
        <v>0</v>
      </c>
      <c r="Z633" s="365" t="str">
        <f>IFERROR(X633*VLOOKUP(C633,'General price list'!C:I,7,FALSE),"")</f>
        <v/>
      </c>
      <c r="AA633" s="805" t="str">
        <f>IF(X633&lt;&gt;"",VLOOKUP(C633,'General price list'!C635:AN1608,MATCH("HM",Tabulka1[[#Headers],[KOD]:[NEQ]],0),FALSE),"")</f>
        <v/>
      </c>
    </row>
    <row r="634" spans="1:27">
      <c r="A634">
        <f>COUNTIF($W$22:W634,1)</f>
        <v>0</v>
      </c>
      <c r="B634">
        <v>634</v>
      </c>
      <c r="C634" s="340" t="str">
        <f>IFERROR(Tabulka1[[#This Row],[KOD]],"")</f>
        <v>C363DR</v>
      </c>
      <c r="W634" s="804" t="str">
        <f t="shared" si="20"/>
        <v/>
      </c>
      <c r="X634" s="154" t="str">
        <f t="shared" si="21"/>
        <v/>
      </c>
      <c r="Y634" s="341">
        <f>IF('General price list'!$AB636="",0,'General price list'!$AB636)</f>
        <v>0</v>
      </c>
      <c r="Z634" s="365" t="str">
        <f>IFERROR(X634*VLOOKUP(C634,'General price list'!C:I,7,FALSE),"")</f>
        <v/>
      </c>
      <c r="AA634" s="805" t="str">
        <f>IF(X634&lt;&gt;"",VLOOKUP(C634,'General price list'!C636:AN1609,MATCH("HM",Tabulka1[[#Headers],[KOD]:[NEQ]],0),FALSE),"")</f>
        <v/>
      </c>
    </row>
    <row r="635" spans="1:27">
      <c r="A635">
        <f>COUNTIF($W$22:W635,1)</f>
        <v>0</v>
      </c>
      <c r="B635">
        <v>635</v>
      </c>
      <c r="C635" s="340">
        <f>IFERROR(Tabulka1[[#This Row],[KOD]],"")</f>
        <v>0</v>
      </c>
      <c r="W635" s="804" t="str">
        <f t="shared" si="20"/>
        <v/>
      </c>
      <c r="X635" s="154" t="str">
        <f t="shared" si="21"/>
        <v/>
      </c>
      <c r="Y635" s="341">
        <f>IF('General price list'!$AB637="",0,'General price list'!$AB637)</f>
        <v>0</v>
      </c>
      <c r="Z635" s="365" t="str">
        <f>IFERROR(X635*VLOOKUP(C635,'General price list'!C:I,7,FALSE),"")</f>
        <v/>
      </c>
      <c r="AA635" s="805" t="str">
        <f>IF(X635&lt;&gt;"",VLOOKUP(C635,'General price list'!C637:AN1610,MATCH("HM",Tabulka1[[#Headers],[KOD]:[NEQ]],0),FALSE),"")</f>
        <v/>
      </c>
    </row>
    <row r="636" spans="1:27">
      <c r="A636">
        <f>COUNTIF($W$22:W636,1)</f>
        <v>0</v>
      </c>
      <c r="B636">
        <v>636</v>
      </c>
      <c r="C636" s="340" t="str">
        <f>IFERROR(Tabulka1[[#This Row],[KOD]],"")</f>
        <v>CF363S</v>
      </c>
      <c r="W636" s="804" t="str">
        <f t="shared" si="20"/>
        <v/>
      </c>
      <c r="X636" s="154" t="str">
        <f t="shared" si="21"/>
        <v/>
      </c>
      <c r="Y636" s="341">
        <f>IF('General price list'!$AB638="",0,'General price list'!$AB638)</f>
        <v>0</v>
      </c>
      <c r="Z636" s="365" t="str">
        <f>IFERROR(X636*VLOOKUP(C636,'General price list'!C:I,7,FALSE),"")</f>
        <v/>
      </c>
      <c r="AA636" s="805" t="str">
        <f>IF(X636&lt;&gt;"",VLOOKUP(C636,'General price list'!C638:AN1611,MATCH("HM",Tabulka1[[#Headers],[KOD]:[NEQ]],0),FALSE),"")</f>
        <v/>
      </c>
    </row>
    <row r="637" spans="1:27">
      <c r="A637">
        <f>COUNTIF($W$22:W637,1)</f>
        <v>0</v>
      </c>
      <c r="B637">
        <v>637</v>
      </c>
      <c r="C637" s="340">
        <f>IFERROR(Tabulka1[[#This Row],[KOD]],"")</f>
        <v>0</v>
      </c>
      <c r="W637" s="804" t="str">
        <f t="shared" si="20"/>
        <v/>
      </c>
      <c r="X637" s="154" t="str">
        <f t="shared" si="21"/>
        <v/>
      </c>
      <c r="Y637" s="341">
        <f>IF('General price list'!$AB639="",0,'General price list'!$AB639)</f>
        <v>0</v>
      </c>
      <c r="Z637" s="365" t="str">
        <f>IFERROR(X637*VLOOKUP(C637,'General price list'!C:I,7,FALSE),"")</f>
        <v/>
      </c>
      <c r="AA637" s="805" t="str">
        <f>IF(X637&lt;&gt;"",VLOOKUP(C637,'General price list'!C639:AN1612,MATCH("HM",Tabulka1[[#Headers],[KOD]:[NEQ]],0),FALSE),"")</f>
        <v/>
      </c>
    </row>
    <row r="638" spans="1:27">
      <c r="A638">
        <f>COUNTIF($W$22:W638,1)</f>
        <v>0</v>
      </c>
      <c r="B638">
        <v>638</v>
      </c>
      <c r="C638" s="340" t="str">
        <f>IFERROR(Tabulka1[[#This Row],[KOD]],"")</f>
        <v>C493BPS</v>
      </c>
      <c r="W638" s="804" t="str">
        <f t="shared" si="20"/>
        <v/>
      </c>
      <c r="X638" s="154" t="str">
        <f t="shared" si="21"/>
        <v/>
      </c>
      <c r="Y638" s="341">
        <f>IF('General price list'!$AB640="",0,'General price list'!$AB640)</f>
        <v>0</v>
      </c>
      <c r="Z638" s="365" t="str">
        <f>IFERROR(X638*VLOOKUP(C638,'General price list'!C:I,7,FALSE),"")</f>
        <v/>
      </c>
      <c r="AA638" s="805" t="str">
        <f>IF(X638&lt;&gt;"",VLOOKUP(C638,'General price list'!C640:AN1613,MATCH("HM",Tabulka1[[#Headers],[KOD]:[NEQ]],0),FALSE),"")</f>
        <v/>
      </c>
    </row>
    <row r="639" spans="1:27">
      <c r="A639">
        <f>COUNTIF($W$22:W639,1)</f>
        <v>0</v>
      </c>
      <c r="B639">
        <v>639</v>
      </c>
      <c r="C639" s="340" t="str">
        <f>IFERROR(Tabulka1[[#This Row],[KOD]],"")</f>
        <v>C493PR</v>
      </c>
      <c r="W639" s="804" t="str">
        <f t="shared" si="20"/>
        <v/>
      </c>
      <c r="X639" s="154" t="str">
        <f t="shared" si="21"/>
        <v/>
      </c>
      <c r="Y639" s="341">
        <f>IF('General price list'!$AB641="",0,'General price list'!$AB641)</f>
        <v>0</v>
      </c>
      <c r="Z639" s="365" t="str">
        <f>IFERROR(X639*VLOOKUP(C639,'General price list'!C:I,7,FALSE),"")</f>
        <v/>
      </c>
      <c r="AA639" s="805" t="str">
        <f>IF(X639&lt;&gt;"",VLOOKUP(C639,'General price list'!C641:AN1614,MATCH("HM",Tabulka1[[#Headers],[KOD]:[NEQ]],0),FALSE),"")</f>
        <v/>
      </c>
    </row>
    <row r="640" spans="1:27">
      <c r="A640">
        <f>COUNTIF($W$22:W640,1)</f>
        <v>0</v>
      </c>
      <c r="B640">
        <v>640</v>
      </c>
      <c r="C640" s="340" t="str">
        <f>IFERROR(Tabulka1[[#This Row],[KOD]],"")</f>
        <v>C493RU</v>
      </c>
      <c r="W640" s="804" t="str">
        <f t="shared" si="20"/>
        <v/>
      </c>
      <c r="X640" s="154" t="str">
        <f t="shared" si="21"/>
        <v/>
      </c>
      <c r="Y640" s="341">
        <f>IF('General price list'!$AB642="",0,'General price list'!$AB642)</f>
        <v>0</v>
      </c>
      <c r="Z640" s="365" t="str">
        <f>IFERROR(X640*VLOOKUP(C640,'General price list'!C:I,7,FALSE),"")</f>
        <v/>
      </c>
      <c r="AA640" s="805" t="str">
        <f>IF(X640&lt;&gt;"",VLOOKUP(C640,'General price list'!C642:AN1615,MATCH("HM",Tabulka1[[#Headers],[KOD]:[NEQ]],0),FALSE),"")</f>
        <v/>
      </c>
    </row>
    <row r="641" spans="1:27">
      <c r="A641">
        <f>COUNTIF($W$22:W641,1)</f>
        <v>0</v>
      </c>
      <c r="B641">
        <v>641</v>
      </c>
      <c r="C641" s="340" t="str">
        <f>IFERROR(Tabulka1[[#This Row],[KOD]],"")</f>
        <v>C493MA</v>
      </c>
      <c r="W641" s="804" t="str">
        <f t="shared" si="20"/>
        <v/>
      </c>
      <c r="X641" s="154" t="str">
        <f t="shared" si="21"/>
        <v/>
      </c>
      <c r="Y641" s="341">
        <f>IF('General price list'!$AB643="",0,'General price list'!$AB643)</f>
        <v>0</v>
      </c>
      <c r="Z641" s="365" t="str">
        <f>IFERROR(X641*VLOOKUP(C641,'General price list'!C:I,7,FALSE),"")</f>
        <v/>
      </c>
      <c r="AA641" s="805" t="str">
        <f>IF(X641&lt;&gt;"",VLOOKUP(C641,'General price list'!C643:AN1616,MATCH("HM",Tabulka1[[#Headers],[KOD]:[NEQ]],0),FALSE),"")</f>
        <v/>
      </c>
    </row>
    <row r="642" spans="1:27">
      <c r="A642">
        <f>COUNTIF($W$22:W642,1)</f>
        <v>0</v>
      </c>
      <c r="B642">
        <v>642</v>
      </c>
      <c r="C642" s="340" t="str">
        <f>IFERROR(Tabulka1[[#This Row],[KOD]],"")</f>
        <v>C493LI</v>
      </c>
      <c r="W642" s="804" t="str">
        <f t="shared" si="20"/>
        <v/>
      </c>
      <c r="X642" s="154" t="str">
        <f t="shared" si="21"/>
        <v/>
      </c>
      <c r="Y642" s="341">
        <f>IF('General price list'!$AB644="",0,'General price list'!$AB644)</f>
        <v>0</v>
      </c>
      <c r="Z642" s="365" t="str">
        <f>IFERROR(X642*VLOOKUP(C642,'General price list'!C:I,7,FALSE),"")</f>
        <v/>
      </c>
      <c r="AA642" s="805" t="str">
        <f>IF(X642&lt;&gt;"",VLOOKUP(C642,'General price list'!C644:AN1617,MATCH("HM",Tabulka1[[#Headers],[KOD]:[NEQ]],0),FALSE),"")</f>
        <v/>
      </c>
    </row>
    <row r="643" spans="1:27">
      <c r="A643">
        <f>COUNTIF($W$22:W643,1)</f>
        <v>0</v>
      </c>
      <c r="B643">
        <v>643</v>
      </c>
      <c r="C643" s="340" t="str">
        <f>IFERROR(Tabulka1[[#This Row],[KOD]],"")</f>
        <v>C493DU</v>
      </c>
      <c r="W643" s="804" t="str">
        <f t="shared" si="20"/>
        <v/>
      </c>
      <c r="X643" s="154" t="str">
        <f t="shared" si="21"/>
        <v/>
      </c>
      <c r="Y643" s="341">
        <f>IF('General price list'!$AB645="",0,'General price list'!$AB645)</f>
        <v>0</v>
      </c>
      <c r="Z643" s="365" t="str">
        <f>IFERROR(X643*VLOOKUP(C643,'General price list'!C:I,7,FALSE),"")</f>
        <v/>
      </c>
      <c r="AA643" s="805" t="str">
        <f>IF(X643&lt;&gt;"",VLOOKUP(C643,'General price list'!C645:AN1618,MATCH("HM",Tabulka1[[#Headers],[KOD]:[NEQ]],0),FALSE),"")</f>
        <v/>
      </c>
    </row>
    <row r="644" spans="1:27">
      <c r="A644">
        <f>COUNTIF($W$22:W644,1)</f>
        <v>0</v>
      </c>
      <c r="B644">
        <v>644</v>
      </c>
      <c r="C644" s="340" t="str">
        <f>IFERROR(Tabulka1[[#This Row],[KOD]],"")</f>
        <v>C493SW</v>
      </c>
      <c r="W644" s="804" t="str">
        <f t="shared" si="20"/>
        <v/>
      </c>
      <c r="X644" s="154" t="str">
        <f t="shared" si="21"/>
        <v/>
      </c>
      <c r="Y644" s="341">
        <f>IF('General price list'!$AB646="",0,'General price list'!$AB646)</f>
        <v>0</v>
      </c>
      <c r="Z644" s="365" t="str">
        <f>IFERROR(X644*VLOOKUP(C644,'General price list'!C:I,7,FALSE),"")</f>
        <v/>
      </c>
      <c r="AA644" s="805" t="str">
        <f>IF(X644&lt;&gt;"",VLOOKUP(C644,'General price list'!C646:AN1619,MATCH("HM",Tabulka1[[#Headers],[KOD]:[NEQ]],0),FALSE),"")</f>
        <v/>
      </c>
    </row>
    <row r="645" spans="1:27">
      <c r="A645">
        <f>COUNTIF($W$22:W645,1)</f>
        <v>0</v>
      </c>
      <c r="B645">
        <v>645</v>
      </c>
      <c r="C645" s="340" t="str">
        <f>IFERROR(Tabulka1[[#This Row],[KOD]],"")</f>
        <v>C493GH</v>
      </c>
      <c r="W645" s="804" t="str">
        <f t="shared" si="20"/>
        <v/>
      </c>
      <c r="X645" s="154" t="str">
        <f t="shared" si="21"/>
        <v/>
      </c>
      <c r="Y645" s="341">
        <f>IF('General price list'!$AB647="",0,'General price list'!$AB647)</f>
        <v>0</v>
      </c>
      <c r="Z645" s="365" t="str">
        <f>IFERROR(X645*VLOOKUP(C645,'General price list'!C:I,7,FALSE),"")</f>
        <v/>
      </c>
      <c r="AA645" s="805" t="str">
        <f>IF(X645&lt;&gt;"",VLOOKUP(C645,'General price list'!C647:AN1620,MATCH("HM",Tabulka1[[#Headers],[KOD]:[NEQ]],0),FALSE),"")</f>
        <v/>
      </c>
    </row>
    <row r="646" spans="1:27">
      <c r="A646">
        <f>COUNTIF($W$22:W646,1)</f>
        <v>0</v>
      </c>
      <c r="B646">
        <v>646</v>
      </c>
      <c r="C646" s="340" t="str">
        <f>IFERROR(Tabulka1[[#This Row],[KOD]],"")</f>
        <v>C493RG</v>
      </c>
      <c r="W646" s="804" t="str">
        <f t="shared" si="20"/>
        <v/>
      </c>
      <c r="X646" s="154" t="str">
        <f t="shared" si="21"/>
        <v/>
      </c>
      <c r="Y646" s="341">
        <f>IF('General price list'!$AB648="",0,'General price list'!$AB648)</f>
        <v>0</v>
      </c>
      <c r="Z646" s="365" t="str">
        <f>IFERROR(X646*VLOOKUP(C646,'General price list'!C:I,7,FALSE),"")</f>
        <v/>
      </c>
      <c r="AA646" s="805" t="str">
        <f>IF(X646&lt;&gt;"",VLOOKUP(C646,'General price list'!C648:AN1621,MATCH("HM",Tabulka1[[#Headers],[KOD]:[NEQ]],0),FALSE),"")</f>
        <v/>
      </c>
    </row>
    <row r="647" spans="1:27">
      <c r="A647">
        <f>COUNTIF($W$22:W647,1)</f>
        <v>0</v>
      </c>
      <c r="B647">
        <v>647</v>
      </c>
      <c r="C647" s="340" t="str">
        <f>IFERROR(Tabulka1[[#This Row],[KOD]],"")</f>
        <v>C493BW</v>
      </c>
      <c r="W647" s="804" t="str">
        <f t="shared" si="20"/>
        <v/>
      </c>
      <c r="X647" s="154" t="str">
        <f t="shared" si="21"/>
        <v/>
      </c>
      <c r="Y647" s="341">
        <f>IF('General price list'!$AB649="",0,'General price list'!$AB649)</f>
        <v>0</v>
      </c>
      <c r="Z647" s="365" t="str">
        <f>IFERROR(X647*VLOOKUP(C647,'General price list'!C:I,7,FALSE),"")</f>
        <v/>
      </c>
      <c r="AA647" s="805" t="str">
        <f>IF(X647&lt;&gt;"",VLOOKUP(C647,'General price list'!C649:AN1622,MATCH("HM",Tabulka1[[#Headers],[KOD]:[NEQ]],0),FALSE),"")</f>
        <v/>
      </c>
    </row>
    <row r="648" spans="1:27">
      <c r="A648">
        <f>COUNTIF($W$22:W648,1)</f>
        <v>0</v>
      </c>
      <c r="B648">
        <v>648</v>
      </c>
      <c r="C648" s="340">
        <f>IFERROR(Tabulka1[[#This Row],[KOD]],"")</f>
        <v>0</v>
      </c>
      <c r="W648" s="804" t="str">
        <f t="shared" si="20"/>
        <v/>
      </c>
      <c r="X648" s="154" t="str">
        <f t="shared" si="21"/>
        <v/>
      </c>
      <c r="Y648" s="341">
        <f>IF('General price list'!$AB650="",0,'General price list'!$AB650)</f>
        <v>0</v>
      </c>
      <c r="Z648" s="365" t="str">
        <f>IFERROR(X648*VLOOKUP(C648,'General price list'!C:I,7,FALSE),"")</f>
        <v/>
      </c>
      <c r="AA648" s="805" t="str">
        <f>IF(X648&lt;&gt;"",VLOOKUP(C648,'General price list'!C650:AN1623,MATCH("HM",Tabulka1[[#Headers],[KOD]:[NEQ]],0),FALSE),"")</f>
        <v/>
      </c>
    </row>
    <row r="649" spans="1:27">
      <c r="A649">
        <f>COUNTIF($W$22:W649,1)</f>
        <v>0</v>
      </c>
      <c r="B649">
        <v>649</v>
      </c>
      <c r="C649" s="340" t="str">
        <f>IFERROR(Tabulka1[[#This Row],[KOD]],"")</f>
        <v>CF493ST</v>
      </c>
      <c r="W649" s="804" t="str">
        <f t="shared" si="20"/>
        <v/>
      </c>
      <c r="X649" s="154" t="str">
        <f t="shared" si="21"/>
        <v/>
      </c>
      <c r="Y649" s="341">
        <f>IF('General price list'!$AB651="",0,'General price list'!$AB651)</f>
        <v>0</v>
      </c>
      <c r="Z649" s="365" t="str">
        <f>IFERROR(X649*VLOOKUP(C649,'General price list'!C:I,7,FALSE),"")</f>
        <v/>
      </c>
      <c r="AA649" s="805" t="str">
        <f>IF(X649&lt;&gt;"",VLOOKUP(C649,'General price list'!C651:AN1624,MATCH("HM",Tabulka1[[#Headers],[KOD]:[NEQ]],0),FALSE),"")</f>
        <v/>
      </c>
    </row>
    <row r="650" spans="1:27">
      <c r="A650">
        <f>COUNTIF($W$22:W650,1)</f>
        <v>0</v>
      </c>
      <c r="B650">
        <v>650</v>
      </c>
      <c r="C650" s="340" t="str">
        <f>IFERROR(Tabulka1[[#This Row],[KOD]],"")</f>
        <v>CF493SA</v>
      </c>
      <c r="W650" s="804" t="str">
        <f t="shared" si="20"/>
        <v/>
      </c>
      <c r="X650" s="154" t="str">
        <f t="shared" si="21"/>
        <v/>
      </c>
      <c r="Y650" s="341">
        <f>IF('General price list'!$AB652="",0,'General price list'!$AB652)</f>
        <v>0</v>
      </c>
      <c r="Z650" s="365" t="str">
        <f>IFERROR(X650*VLOOKUP(C650,'General price list'!C:I,7,FALSE),"")</f>
        <v/>
      </c>
      <c r="AA650" s="805" t="str">
        <f>IF(X650&lt;&gt;"",VLOOKUP(C650,'General price list'!C652:AN1625,MATCH("HM",Tabulka1[[#Headers],[KOD]:[NEQ]],0),FALSE),"")</f>
        <v/>
      </c>
    </row>
    <row r="651" spans="1:27">
      <c r="A651">
        <f>COUNTIF($W$22:W651,1)</f>
        <v>0</v>
      </c>
      <c r="B651">
        <v>651</v>
      </c>
      <c r="C651" s="340" t="str">
        <f>IFERROR(Tabulka1[[#This Row],[KOD]],"")</f>
        <v>CF493W</v>
      </c>
      <c r="W651" s="804" t="str">
        <f t="shared" si="20"/>
        <v/>
      </c>
      <c r="X651" s="154" t="str">
        <f t="shared" si="21"/>
        <v/>
      </c>
      <c r="Y651" s="341">
        <f>IF('General price list'!$AB653="",0,'General price list'!$AB653)</f>
        <v>0</v>
      </c>
      <c r="Z651" s="365" t="str">
        <f>IFERROR(X651*VLOOKUP(C651,'General price list'!C:I,7,FALSE),"")</f>
        <v/>
      </c>
      <c r="AA651" s="805" t="str">
        <f>IF(X651&lt;&gt;"",VLOOKUP(C651,'General price list'!C653:AN1626,MATCH("HM",Tabulka1[[#Headers],[KOD]:[NEQ]],0),FALSE),"")</f>
        <v/>
      </c>
    </row>
    <row r="652" spans="1:27">
      <c r="A652">
        <f>COUNTIF($W$22:W652,1)</f>
        <v>0</v>
      </c>
      <c r="B652">
        <v>652</v>
      </c>
      <c r="C652" s="340" t="str">
        <f>IFERROR(Tabulka1[[#This Row],[KOD]],"")</f>
        <v>CF493ME</v>
      </c>
      <c r="W652" s="804" t="str">
        <f t="shared" si="20"/>
        <v/>
      </c>
      <c r="X652" s="154" t="str">
        <f t="shared" si="21"/>
        <v/>
      </c>
      <c r="Y652" s="341">
        <f>IF('General price list'!$AB654="",0,'General price list'!$AB654)</f>
        <v>0</v>
      </c>
      <c r="Z652" s="365" t="str">
        <f>IFERROR(X652*VLOOKUP(C652,'General price list'!C:I,7,FALSE),"")</f>
        <v/>
      </c>
      <c r="AA652" s="805" t="str">
        <f>IF(X652&lt;&gt;"",VLOOKUP(C652,'General price list'!C654:AN1627,MATCH("HM",Tabulka1[[#Headers],[KOD]:[NEQ]],0),FALSE),"")</f>
        <v/>
      </c>
    </row>
    <row r="653" spans="1:27">
      <c r="A653">
        <f>COUNTIF($W$22:W653,1)</f>
        <v>0</v>
      </c>
      <c r="B653">
        <v>653</v>
      </c>
      <c r="C653" s="340">
        <f>IFERROR(Tabulka1[[#This Row],[KOD]],"")</f>
        <v>0</v>
      </c>
      <c r="W653" s="804" t="str">
        <f t="shared" si="20"/>
        <v/>
      </c>
      <c r="X653" s="154" t="str">
        <f t="shared" si="21"/>
        <v/>
      </c>
      <c r="Y653" s="341">
        <f>IF('General price list'!$AB655="",0,'General price list'!$AB655)</f>
        <v>0</v>
      </c>
      <c r="Z653" s="365" t="str">
        <f>IFERROR(X653*VLOOKUP(C653,'General price list'!C:I,7,FALSE),"")</f>
        <v/>
      </c>
      <c r="AA653" s="805" t="str">
        <f>IF(X653&lt;&gt;"",VLOOKUP(C653,'General price list'!C655:AN1628,MATCH("HM",Tabulka1[[#Headers],[KOD]:[NEQ]],0),FALSE),"")</f>
        <v/>
      </c>
    </row>
    <row r="654" spans="1:27">
      <c r="A654">
        <f>COUNTIF($W$22:W654,1)</f>
        <v>0</v>
      </c>
      <c r="B654">
        <v>654</v>
      </c>
      <c r="C654" s="340" t="str">
        <f>IFERROR(Tabulka1[[#This Row],[KOD]],"")</f>
        <v>C503SIGA</v>
      </c>
      <c r="W654" s="804" t="str">
        <f t="shared" si="20"/>
        <v/>
      </c>
      <c r="X654" s="154" t="str">
        <f t="shared" si="21"/>
        <v/>
      </c>
      <c r="Y654" s="341">
        <f>IF('General price list'!$AB656="",0,'General price list'!$AB656)</f>
        <v>0</v>
      </c>
      <c r="Z654" s="365" t="str">
        <f>IFERROR(X654*VLOOKUP(C654,'General price list'!C:I,7,FALSE),"")</f>
        <v/>
      </c>
      <c r="AA654" s="805" t="str">
        <f>IF(X654&lt;&gt;"",VLOOKUP(C654,'General price list'!C656:AN1629,MATCH("HM",Tabulka1[[#Headers],[KOD]:[NEQ]],0),FALSE),"")</f>
        <v/>
      </c>
    </row>
    <row r="655" spans="1:27">
      <c r="A655">
        <f>COUNTIF($W$22:W655,1)</f>
        <v>0</v>
      </c>
      <c r="B655">
        <v>655</v>
      </c>
      <c r="C655" s="340" t="str">
        <f>IFERROR(Tabulka1[[#This Row],[KOD]],"")</f>
        <v>C503RA</v>
      </c>
      <c r="W655" s="804" t="str">
        <f t="shared" si="20"/>
        <v/>
      </c>
      <c r="X655" s="154" t="str">
        <f t="shared" si="21"/>
        <v/>
      </c>
      <c r="Y655" s="341">
        <f>IF('General price list'!$AB657="",0,'General price list'!$AB657)</f>
        <v>0</v>
      </c>
      <c r="Z655" s="365" t="str">
        <f>IFERROR(X655*VLOOKUP(C655,'General price list'!C:I,7,FALSE),"")</f>
        <v/>
      </c>
      <c r="AA655" s="805" t="str">
        <f>IF(X655&lt;&gt;"",VLOOKUP(C655,'General price list'!C657:AN1630,MATCH("HM",Tabulka1[[#Headers],[KOD]:[NEQ]],0),FALSE),"")</f>
        <v/>
      </c>
    </row>
    <row r="656" spans="1:27">
      <c r="A656">
        <f>COUNTIF($W$22:W656,1)</f>
        <v>0</v>
      </c>
      <c r="B656">
        <v>656</v>
      </c>
      <c r="C656" s="340" t="str">
        <f>IFERROR(Tabulka1[[#This Row],[KOD]],"")</f>
        <v>C503RO</v>
      </c>
      <c r="W656" s="804" t="str">
        <f t="shared" si="20"/>
        <v/>
      </c>
      <c r="X656" s="154" t="str">
        <f t="shared" si="21"/>
        <v/>
      </c>
      <c r="Y656" s="341">
        <f>IF('General price list'!$AB658="",0,'General price list'!$AB658)</f>
        <v>0</v>
      </c>
      <c r="Z656" s="365" t="str">
        <f>IFERROR(X656*VLOOKUP(C656,'General price list'!C:I,7,FALSE),"")</f>
        <v/>
      </c>
      <c r="AA656" s="805" t="str">
        <f>IF(X656&lt;&gt;"",VLOOKUP(C656,'General price list'!C658:AN1631,MATCH("HM",Tabulka1[[#Headers],[KOD]:[NEQ]],0),FALSE),"")</f>
        <v/>
      </c>
    </row>
    <row r="657" spans="1:27">
      <c r="A657">
        <f>COUNTIF($W$22:W657,1)</f>
        <v>0</v>
      </c>
      <c r="B657">
        <v>657</v>
      </c>
      <c r="C657" s="340" t="str">
        <f>IFERROR(Tabulka1[[#This Row],[KOD]],"")</f>
        <v>C503BI</v>
      </c>
      <c r="W657" s="804" t="str">
        <f t="shared" si="20"/>
        <v/>
      </c>
      <c r="X657" s="154" t="str">
        <f t="shared" si="21"/>
        <v/>
      </c>
      <c r="Y657" s="341">
        <f>IF('General price list'!$AB659="",0,'General price list'!$AB659)</f>
        <v>0</v>
      </c>
      <c r="Z657" s="365" t="str">
        <f>IFERROR(X657*VLOOKUP(C657,'General price list'!C:I,7,FALSE),"")</f>
        <v/>
      </c>
      <c r="AA657" s="805" t="str">
        <f>IF(X657&lt;&gt;"",VLOOKUP(C657,'General price list'!C659:AN1632,MATCH("HM",Tabulka1[[#Headers],[KOD]:[NEQ]],0),FALSE),"")</f>
        <v/>
      </c>
    </row>
    <row r="658" spans="1:27">
      <c r="A658">
        <f>COUNTIF($W$22:W658,1)</f>
        <v>0</v>
      </c>
      <c r="B658">
        <v>658</v>
      </c>
      <c r="C658" s="340">
        <f>IFERROR(Tabulka1[[#This Row],[KOD]],"")</f>
        <v>0</v>
      </c>
      <c r="W658" s="804" t="str">
        <f t="shared" si="20"/>
        <v/>
      </c>
      <c r="X658" s="154" t="str">
        <f t="shared" si="21"/>
        <v/>
      </c>
      <c r="Y658" s="341">
        <f>IF('General price list'!$AB660="",0,'General price list'!$AB660)</f>
        <v>0</v>
      </c>
      <c r="Z658" s="365" t="str">
        <f>IFERROR(X658*VLOOKUP(C658,'General price list'!C:I,7,FALSE),"")</f>
        <v/>
      </c>
      <c r="AA658" s="805" t="str">
        <f>IF(X658&lt;&gt;"",VLOOKUP(C658,'General price list'!C660:AN1633,MATCH("HM",Tabulka1[[#Headers],[KOD]:[NEQ]],0),FALSE),"")</f>
        <v/>
      </c>
    </row>
    <row r="659" spans="1:27">
      <c r="A659">
        <f>COUNTIF($W$22:W659,1)</f>
        <v>0</v>
      </c>
      <c r="B659">
        <v>659</v>
      </c>
      <c r="C659" s="340" t="str">
        <f>IFERROR(Tabulka1[[#This Row],[KOD]],"")</f>
        <v>C643BI</v>
      </c>
      <c r="W659" s="804" t="str">
        <f t="shared" si="20"/>
        <v/>
      </c>
      <c r="X659" s="154" t="str">
        <f t="shared" si="21"/>
        <v/>
      </c>
      <c r="Y659" s="341">
        <f>IF('General price list'!$AB661="",0,'General price list'!$AB661)</f>
        <v>0</v>
      </c>
      <c r="Z659" s="365" t="str">
        <f>IFERROR(X659*VLOOKUP(C659,'General price list'!C:I,7,FALSE),"")</f>
        <v/>
      </c>
      <c r="AA659" s="805" t="str">
        <f>IF(X659&lt;&gt;"",VLOOKUP(C659,'General price list'!C661:AN1634,MATCH("HM",Tabulka1[[#Headers],[KOD]:[NEQ]],0),FALSE),"")</f>
        <v/>
      </c>
    </row>
    <row r="660" spans="1:27">
      <c r="A660">
        <f>COUNTIF($W$22:W660,1)</f>
        <v>0</v>
      </c>
      <c r="B660">
        <v>660</v>
      </c>
      <c r="C660" s="340" t="str">
        <f>IFERROR(Tabulka1[[#This Row],[KOD]],"")</f>
        <v>C643H</v>
      </c>
      <c r="W660" s="804" t="str">
        <f t="shared" si="20"/>
        <v/>
      </c>
      <c r="X660" s="154" t="str">
        <f t="shared" si="21"/>
        <v/>
      </c>
      <c r="Y660" s="341">
        <f>IF('General price list'!$AB662="",0,'General price list'!$AB662)</f>
        <v>0</v>
      </c>
      <c r="Z660" s="365" t="str">
        <f>IFERROR(X660*VLOOKUP(C660,'General price list'!C:I,7,FALSE),"")</f>
        <v/>
      </c>
      <c r="AA660" s="805" t="str">
        <f>IF(X660&lt;&gt;"",VLOOKUP(C660,'General price list'!C662:AN1635,MATCH("HM",Tabulka1[[#Headers],[KOD]:[NEQ]],0),FALSE),"")</f>
        <v/>
      </c>
    </row>
    <row r="661" spans="1:27">
      <c r="A661">
        <f>COUNTIF($W$22:W661,1)</f>
        <v>0</v>
      </c>
      <c r="B661">
        <v>661</v>
      </c>
      <c r="C661" s="340">
        <f>IFERROR(Tabulka1[[#This Row],[KOD]],"")</f>
        <v>0</v>
      </c>
      <c r="W661" s="804" t="str">
        <f t="shared" si="20"/>
        <v/>
      </c>
      <c r="X661" s="154" t="str">
        <f t="shared" si="21"/>
        <v/>
      </c>
      <c r="Y661" s="341">
        <f>IF('General price list'!$AB663="",0,'General price list'!$AB663)</f>
        <v>0</v>
      </c>
      <c r="Z661" s="365" t="str">
        <f>IFERROR(X661*VLOOKUP(C661,'General price list'!C:I,7,FALSE),"")</f>
        <v/>
      </c>
      <c r="AA661" s="805" t="str">
        <f>IF(X661&lt;&gt;"",VLOOKUP(C661,'General price list'!C663:AN1636,MATCH("HM",Tabulka1[[#Headers],[KOD]:[NEQ]],0),FALSE),"")</f>
        <v/>
      </c>
    </row>
    <row r="662" spans="1:27">
      <c r="A662">
        <f>COUNTIF($W$22:W662,1)</f>
        <v>0</v>
      </c>
      <c r="B662">
        <v>662</v>
      </c>
      <c r="C662" s="340" t="str">
        <f>IFERROR(Tabulka1[[#This Row],[KOD]],"")</f>
        <v>CF643M</v>
      </c>
      <c r="W662" s="804" t="str">
        <f t="shared" si="20"/>
        <v/>
      </c>
      <c r="X662" s="154" t="str">
        <f t="shared" si="21"/>
        <v/>
      </c>
      <c r="Y662" s="341">
        <f>IF('General price list'!$AB664="",0,'General price list'!$AB664)</f>
        <v>0</v>
      </c>
      <c r="Z662" s="365" t="str">
        <f>IFERROR(X662*VLOOKUP(C662,'General price list'!C:I,7,FALSE),"")</f>
        <v/>
      </c>
      <c r="AA662" s="805" t="str">
        <f>IF(X662&lt;&gt;"",VLOOKUP(C662,'General price list'!C664:AN1637,MATCH("HM",Tabulka1[[#Headers],[KOD]:[NEQ]],0),FALSE),"")</f>
        <v/>
      </c>
    </row>
    <row r="663" spans="1:27">
      <c r="A663">
        <f>COUNTIF($W$22:W663,1)</f>
        <v>0</v>
      </c>
      <c r="B663">
        <v>663</v>
      </c>
      <c r="C663" s="340" t="str">
        <f>IFERROR(Tabulka1[[#This Row],[KOD]],"")</f>
        <v>CF643T</v>
      </c>
      <c r="W663" s="804" t="str">
        <f t="shared" si="20"/>
        <v/>
      </c>
      <c r="X663" s="154" t="str">
        <f t="shared" si="21"/>
        <v/>
      </c>
      <c r="Y663" s="341">
        <f>IF('General price list'!$AB665="",0,'General price list'!$AB665)</f>
        <v>0</v>
      </c>
      <c r="Z663" s="365" t="str">
        <f>IFERROR(X663*VLOOKUP(C663,'General price list'!C:I,7,FALSE),"")</f>
        <v/>
      </c>
      <c r="AA663" s="805" t="str">
        <f>IF(X663&lt;&gt;"",VLOOKUP(C663,'General price list'!C665:AN1638,MATCH("HM",Tabulka1[[#Headers],[KOD]:[NEQ]],0),FALSE),"")</f>
        <v/>
      </c>
    </row>
    <row r="664" spans="1:27">
      <c r="A664">
        <f>COUNTIF($W$22:W664,1)</f>
        <v>0</v>
      </c>
      <c r="B664">
        <v>664</v>
      </c>
      <c r="C664" s="340">
        <f>IFERROR(Tabulka1[[#This Row],[KOD]],"")</f>
        <v>0</v>
      </c>
      <c r="W664" s="804" t="str">
        <f t="shared" ref="W664:W727" si="22">IF(Y664+1=1,"",1)</f>
        <v/>
      </c>
      <c r="X664" s="154" t="str">
        <f t="shared" ref="X664:X727" si="23">IF(Y664+1=1,"",Y664)</f>
        <v/>
      </c>
      <c r="Y664" s="341">
        <f>IF('General price list'!$AB666="",0,'General price list'!$AB666)</f>
        <v>0</v>
      </c>
      <c r="Z664" s="365" t="str">
        <f>IFERROR(X664*VLOOKUP(C664,'General price list'!C:I,7,FALSE),"")</f>
        <v/>
      </c>
      <c r="AA664" s="805" t="str">
        <f>IF(X664&lt;&gt;"",VLOOKUP(C664,'General price list'!C666:AN1639,MATCH("HM",Tabulka1[[#Headers],[KOD]:[NEQ]],0),FALSE),"")</f>
        <v/>
      </c>
    </row>
    <row r="665" spans="1:27">
      <c r="A665">
        <f>COUNTIF($W$22:W665,1)</f>
        <v>0</v>
      </c>
      <c r="B665">
        <v>665</v>
      </c>
      <c r="C665" s="340" t="str">
        <f>IFERROR(Tabulka1[[#This Row],[KOD]],"")</f>
        <v>C643XMO</v>
      </c>
      <c r="W665" s="804" t="str">
        <f t="shared" si="22"/>
        <v/>
      </c>
      <c r="X665" s="154" t="str">
        <f t="shared" si="23"/>
        <v/>
      </c>
      <c r="Y665" s="341">
        <f>IF('General price list'!$AB667="",0,'General price list'!$AB667)</f>
        <v>0</v>
      </c>
      <c r="Z665" s="365" t="str">
        <f>IFERROR(X665*VLOOKUP(C665,'General price list'!C:I,7,FALSE),"")</f>
        <v/>
      </c>
      <c r="AA665" s="805" t="str">
        <f>IF(X665&lt;&gt;"",VLOOKUP(C665,'General price list'!C667:AN1640,MATCH("HM",Tabulka1[[#Headers],[KOD]:[NEQ]],0),FALSE),"")</f>
        <v/>
      </c>
    </row>
    <row r="666" spans="1:27">
      <c r="A666">
        <f>COUNTIF($W$22:W666,1)</f>
        <v>0</v>
      </c>
      <c r="B666">
        <v>666</v>
      </c>
      <c r="C666" s="340" t="str">
        <f>IFERROR(Tabulka1[[#This Row],[KOD]],"")</f>
        <v>C643XMS</v>
      </c>
      <c r="W666" s="804" t="str">
        <f t="shared" si="22"/>
        <v/>
      </c>
      <c r="X666" s="154" t="str">
        <f t="shared" si="23"/>
        <v/>
      </c>
      <c r="Y666" s="341">
        <f>IF('General price list'!$AB668="",0,'General price list'!$AB668)</f>
        <v>0</v>
      </c>
      <c r="Z666" s="365" t="str">
        <f>IFERROR(X666*VLOOKUP(C666,'General price list'!C:I,7,FALSE),"")</f>
        <v/>
      </c>
      <c r="AA666" s="805" t="str">
        <f>IF(X666&lt;&gt;"",VLOOKUP(C666,'General price list'!C668:AN1641,MATCH("HM",Tabulka1[[#Headers],[KOD]:[NEQ]],0),FALSE),"")</f>
        <v/>
      </c>
    </row>
    <row r="667" spans="1:27">
      <c r="A667">
        <f>COUNTIF($W$22:W667,1)</f>
        <v>0</v>
      </c>
      <c r="B667">
        <v>667</v>
      </c>
      <c r="C667" s="340">
        <f>IFERROR(Tabulka1[[#This Row],[KOD]],"")</f>
        <v>0</v>
      </c>
      <c r="W667" s="804" t="str">
        <f t="shared" si="22"/>
        <v/>
      </c>
      <c r="X667" s="154" t="str">
        <f t="shared" si="23"/>
        <v/>
      </c>
      <c r="Y667" s="341">
        <f>IF('General price list'!$AB669="",0,'General price list'!$AB669)</f>
        <v>0</v>
      </c>
      <c r="Z667" s="365" t="str">
        <f>IFERROR(X667*VLOOKUP(C667,'General price list'!C:I,7,FALSE),"")</f>
        <v/>
      </c>
      <c r="AA667" s="805" t="str">
        <f>IF(X667&lt;&gt;"",VLOOKUP(C667,'General price list'!C669:AN1642,MATCH("HM",Tabulka1[[#Headers],[KOD]:[NEQ]],0),FALSE),"")</f>
        <v/>
      </c>
    </row>
    <row r="668" spans="1:27">
      <c r="A668">
        <f>COUNTIF($W$22:W668,1)</f>
        <v>0</v>
      </c>
      <c r="B668">
        <v>668</v>
      </c>
      <c r="C668" s="340" t="str">
        <f>IFERROR(Tabulka1[[#This Row],[KOD]],"")</f>
        <v>C503BW/C14</v>
      </c>
      <c r="W668" s="804" t="str">
        <f t="shared" si="22"/>
        <v/>
      </c>
      <c r="X668" s="154" t="str">
        <f t="shared" si="23"/>
        <v/>
      </c>
      <c r="Y668" s="341">
        <f>IF('General price list'!$AB670="",0,'General price list'!$AB670)</f>
        <v>0</v>
      </c>
      <c r="Z668" s="365" t="str">
        <f>IFERROR(X668*VLOOKUP(C668,'General price list'!C:I,7,FALSE),"")</f>
        <v/>
      </c>
      <c r="AA668" s="805" t="str">
        <f>IF(X668&lt;&gt;"",VLOOKUP(C668,'General price list'!C670:AN1643,MATCH("HM",Tabulka1[[#Headers],[KOD]:[NEQ]],0),FALSE),"")</f>
        <v/>
      </c>
    </row>
    <row r="669" spans="1:27">
      <c r="A669">
        <f>COUNTIF($W$22:W669,1)</f>
        <v>0</v>
      </c>
      <c r="B669">
        <v>669</v>
      </c>
      <c r="C669" s="340" t="str">
        <f>IFERROR(Tabulka1[[#This Row],[KOD]],"")</f>
        <v>C503TS/C14</v>
      </c>
      <c r="W669" s="804" t="str">
        <f t="shared" si="22"/>
        <v/>
      </c>
      <c r="X669" s="154" t="str">
        <f t="shared" si="23"/>
        <v/>
      </c>
      <c r="Y669" s="341">
        <f>IF('General price list'!$AB671="",0,'General price list'!$AB671)</f>
        <v>0</v>
      </c>
      <c r="Z669" s="365" t="str">
        <f>IFERROR(X669*VLOOKUP(C669,'General price list'!C:I,7,FALSE),"")</f>
        <v/>
      </c>
      <c r="AA669" s="805" t="str">
        <f>IF(X669&lt;&gt;"",VLOOKUP(C669,'General price list'!C671:AN1644,MATCH("HM",Tabulka1[[#Headers],[KOD]:[NEQ]],0),FALSE),"")</f>
        <v/>
      </c>
    </row>
    <row r="670" spans="1:27">
      <c r="A670">
        <f>COUNTIF($W$22:W670,1)</f>
        <v>0</v>
      </c>
      <c r="B670">
        <v>670</v>
      </c>
      <c r="C670" s="340" t="str">
        <f>IFERROR(Tabulka1[[#This Row],[KOD]],"")</f>
        <v>C503RO/C14</v>
      </c>
      <c r="W670" s="804" t="str">
        <f t="shared" si="22"/>
        <v/>
      </c>
      <c r="X670" s="154" t="str">
        <f t="shared" si="23"/>
        <v/>
      </c>
      <c r="Y670" s="341">
        <f>IF('General price list'!$AB672="",0,'General price list'!$AB672)</f>
        <v>0</v>
      </c>
      <c r="Z670" s="365" t="str">
        <f>IFERROR(X670*VLOOKUP(C670,'General price list'!C:I,7,FALSE),"")</f>
        <v/>
      </c>
      <c r="AA670" s="805" t="str">
        <f>IF(X670&lt;&gt;"",VLOOKUP(C670,'General price list'!C672:AN1645,MATCH("HM",Tabulka1[[#Headers],[KOD]:[NEQ]],0),FALSE),"")</f>
        <v/>
      </c>
    </row>
    <row r="671" spans="1:27">
      <c r="A671">
        <f>COUNTIF($W$22:W671,1)</f>
        <v>0</v>
      </c>
      <c r="B671">
        <v>671</v>
      </c>
      <c r="C671" s="340" t="str">
        <f>IFERROR(Tabulka1[[#This Row],[KOD]],"")</f>
        <v>C503F/C14</v>
      </c>
      <c r="W671" s="804" t="str">
        <f t="shared" si="22"/>
        <v/>
      </c>
      <c r="X671" s="154" t="str">
        <f t="shared" si="23"/>
        <v/>
      </c>
      <c r="Y671" s="341">
        <f>IF('General price list'!$AB673="",0,'General price list'!$AB673)</f>
        <v>0</v>
      </c>
      <c r="Z671" s="365" t="str">
        <f>IFERROR(X671*VLOOKUP(C671,'General price list'!C:I,7,FALSE),"")</f>
        <v/>
      </c>
      <c r="AA671" s="805" t="str">
        <f>IF(X671&lt;&gt;"",VLOOKUP(C671,'General price list'!C673:AN1646,MATCH("HM",Tabulka1[[#Headers],[KOD]:[NEQ]],0),FALSE),"")</f>
        <v/>
      </c>
    </row>
    <row r="672" spans="1:27">
      <c r="A672">
        <f>COUNTIF($W$22:W672,1)</f>
        <v>0</v>
      </c>
      <c r="B672">
        <v>672</v>
      </c>
      <c r="C672" s="340" t="str">
        <f>IFERROR(Tabulka1[[#This Row],[KOD]],"")</f>
        <v>C503SIG/C14</v>
      </c>
      <c r="W672" s="804" t="str">
        <f t="shared" si="22"/>
        <v/>
      </c>
      <c r="X672" s="154" t="str">
        <f t="shared" si="23"/>
        <v/>
      </c>
      <c r="Y672" s="341">
        <f>IF('General price list'!$AB674="",0,'General price list'!$AB674)</f>
        <v>0</v>
      </c>
      <c r="Z672" s="365" t="str">
        <f>IFERROR(X672*VLOOKUP(C672,'General price list'!C:I,7,FALSE),"")</f>
        <v/>
      </c>
      <c r="AA672" s="805" t="str">
        <f>IF(X672&lt;&gt;"",VLOOKUP(C672,'General price list'!C674:AN1647,MATCH("HM",Tabulka1[[#Headers],[KOD]:[NEQ]],0),FALSE),"")</f>
        <v/>
      </c>
    </row>
    <row r="673" spans="1:27">
      <c r="A673">
        <f>COUNTIF($W$22:W673,1)</f>
        <v>0</v>
      </c>
      <c r="B673">
        <v>673</v>
      </c>
      <c r="C673" s="340" t="str">
        <f>IFERROR(Tabulka1[[#This Row],[KOD]],"")</f>
        <v>C1003F/C14</v>
      </c>
      <c r="W673" s="804" t="str">
        <f t="shared" si="22"/>
        <v/>
      </c>
      <c r="X673" s="154" t="str">
        <f t="shared" si="23"/>
        <v/>
      </c>
      <c r="Y673" s="341">
        <f>IF('General price list'!$AB675="",0,'General price list'!$AB675)</f>
        <v>0</v>
      </c>
      <c r="Z673" s="365" t="str">
        <f>IFERROR(X673*VLOOKUP(C673,'General price list'!C:I,7,FALSE),"")</f>
        <v/>
      </c>
      <c r="AA673" s="805" t="str">
        <f>IF(X673&lt;&gt;"",VLOOKUP(C673,'General price list'!C675:AN1648,MATCH("HM",Tabulka1[[#Headers],[KOD]:[NEQ]],0),FALSE),"")</f>
        <v/>
      </c>
    </row>
    <row r="674" spans="1:27">
      <c r="A674">
        <f>COUNTIF($W$22:W674,1)</f>
        <v>0</v>
      </c>
      <c r="B674">
        <v>674</v>
      </c>
      <c r="C674" s="340" t="str">
        <f>IFERROR(Tabulka1[[#This Row],[KOD]],"")</f>
        <v>C1003VS/C14</v>
      </c>
      <c r="W674" s="804" t="str">
        <f t="shared" si="22"/>
        <v/>
      </c>
      <c r="X674" s="154" t="str">
        <f t="shared" si="23"/>
        <v/>
      </c>
      <c r="Y674" s="341">
        <f>IF('General price list'!$AB676="",0,'General price list'!$AB676)</f>
        <v>0</v>
      </c>
      <c r="Z674" s="365" t="str">
        <f>IFERROR(X674*VLOOKUP(C674,'General price list'!C:I,7,FALSE),"")</f>
        <v/>
      </c>
      <c r="AA674" s="805" t="str">
        <f>IF(X674&lt;&gt;"",VLOOKUP(C674,'General price list'!C676:AN1649,MATCH("HM",Tabulka1[[#Headers],[KOD]:[NEQ]],0),FALSE),"")</f>
        <v/>
      </c>
    </row>
    <row r="675" spans="1:27">
      <c r="A675">
        <f>COUNTIF($W$22:W675,1)</f>
        <v>0</v>
      </c>
      <c r="B675">
        <v>675</v>
      </c>
      <c r="C675" s="340" t="str">
        <f>IFERROR(Tabulka1[[#This Row],[KOD]],"")</f>
        <v>C1003CY/C</v>
      </c>
      <c r="W675" s="804" t="str">
        <f t="shared" si="22"/>
        <v/>
      </c>
      <c r="X675" s="154" t="str">
        <f t="shared" si="23"/>
        <v/>
      </c>
      <c r="Y675" s="341">
        <f>IF('General price list'!$AB677="",0,'General price list'!$AB677)</f>
        <v>0</v>
      </c>
      <c r="Z675" s="365" t="str">
        <f>IFERROR(X675*VLOOKUP(C675,'General price list'!C:I,7,FALSE),"")</f>
        <v/>
      </c>
      <c r="AA675" s="805" t="str">
        <f>IF(X675&lt;&gt;"",VLOOKUP(C675,'General price list'!C677:AN1650,MATCH("HM",Tabulka1[[#Headers],[KOD]:[NEQ]],0),FALSE),"")</f>
        <v/>
      </c>
    </row>
    <row r="676" spans="1:27">
      <c r="A676">
        <f>COUNTIF($W$22:W676,1)</f>
        <v>0</v>
      </c>
      <c r="B676">
        <v>676</v>
      </c>
      <c r="C676" s="340" t="str">
        <f>IFERROR(Tabulka1[[#This Row],[KOD]],"")</f>
        <v>C10030XF/C14</v>
      </c>
      <c r="W676" s="804" t="str">
        <f t="shared" si="22"/>
        <v/>
      </c>
      <c r="X676" s="154" t="str">
        <f t="shared" si="23"/>
        <v/>
      </c>
      <c r="Y676" s="341">
        <f>IF('General price list'!$AB678="",0,'General price list'!$AB678)</f>
        <v>0</v>
      </c>
      <c r="Z676" s="365" t="str">
        <f>IFERROR(X676*VLOOKUP(C676,'General price list'!C:I,7,FALSE),"")</f>
        <v/>
      </c>
      <c r="AA676" s="805" t="str">
        <f>IF(X676&lt;&gt;"",VLOOKUP(C676,'General price list'!C678:AN1651,MATCH("HM",Tabulka1[[#Headers],[KOD]:[NEQ]],0),FALSE),"")</f>
        <v/>
      </c>
    </row>
    <row r="677" spans="1:27">
      <c r="A677">
        <f>COUNTIF($W$22:W677,1)</f>
        <v>0</v>
      </c>
      <c r="B677">
        <v>677</v>
      </c>
      <c r="C677" s="340" t="str">
        <f>IFERROR(Tabulka1[[#This Row],[KOD]],"")</f>
        <v>C1163MB/C14</v>
      </c>
      <c r="W677" s="804" t="str">
        <f t="shared" si="22"/>
        <v/>
      </c>
      <c r="X677" s="154" t="str">
        <f t="shared" si="23"/>
        <v/>
      </c>
      <c r="Y677" s="341">
        <f>IF('General price list'!$AB679="",0,'General price list'!$AB679)</f>
        <v>0</v>
      </c>
      <c r="Z677" s="365" t="str">
        <f>IFERROR(X677*VLOOKUP(C677,'General price list'!C:I,7,FALSE),"")</f>
        <v/>
      </c>
      <c r="AA677" s="805" t="str">
        <f>IF(X677&lt;&gt;"",VLOOKUP(C677,'General price list'!C679:AN1652,MATCH("HM",Tabulka1[[#Headers],[KOD]:[NEQ]],0),FALSE),"")</f>
        <v/>
      </c>
    </row>
    <row r="678" spans="1:27">
      <c r="A678">
        <f>COUNTIF($W$22:W678,1)</f>
        <v>0</v>
      </c>
      <c r="B678">
        <v>678</v>
      </c>
      <c r="C678" s="340" t="str">
        <f>IFERROR(Tabulka1[[#This Row],[KOD]],"")</f>
        <v>C12230XPT/C14</v>
      </c>
      <c r="W678" s="804" t="str">
        <f t="shared" si="22"/>
        <v/>
      </c>
      <c r="X678" s="154" t="str">
        <f t="shared" si="23"/>
        <v/>
      </c>
      <c r="Y678" s="341">
        <f>IF('General price list'!$AB680="",0,'General price list'!$AB680)</f>
        <v>0</v>
      </c>
      <c r="Z678" s="365" t="str">
        <f>IFERROR(X678*VLOOKUP(C678,'General price list'!C:I,7,FALSE),"")</f>
        <v/>
      </c>
      <c r="AA678" s="805" t="str">
        <f>IF(X678&lt;&gt;"",VLOOKUP(C678,'General price list'!C680:AN1653,MATCH("HM",Tabulka1[[#Headers],[KOD]:[NEQ]],0),FALSE),"")</f>
        <v/>
      </c>
    </row>
    <row r="679" spans="1:27">
      <c r="A679">
        <f>COUNTIF($W$22:W679,1)</f>
        <v>0</v>
      </c>
      <c r="B679">
        <v>679</v>
      </c>
      <c r="C679" s="340">
        <f>IFERROR(Tabulka1[[#This Row],[KOD]],"")</f>
        <v>0</v>
      </c>
      <c r="W679" s="804" t="str">
        <f t="shared" si="22"/>
        <v/>
      </c>
      <c r="X679" s="154" t="str">
        <f t="shared" si="23"/>
        <v/>
      </c>
      <c r="Y679" s="341">
        <f>IF('General price list'!$AB681="",0,'General price list'!$AB681)</f>
        <v>0</v>
      </c>
      <c r="Z679" s="365" t="str">
        <f>IFERROR(X679*VLOOKUP(C679,'General price list'!C:I,7,FALSE),"")</f>
        <v/>
      </c>
      <c r="AA679" s="805" t="str">
        <f>IF(X679&lt;&gt;"",VLOOKUP(C679,'General price list'!C681:AN1654,MATCH("HM",Tabulka1[[#Headers],[KOD]:[NEQ]],0),FALSE),"")</f>
        <v/>
      </c>
    </row>
    <row r="680" spans="1:27">
      <c r="A680">
        <f>COUNTIF($W$22:W680,1)</f>
        <v>0</v>
      </c>
      <c r="B680">
        <v>680</v>
      </c>
      <c r="C680" s="340" t="str">
        <f>IFERROR(Tabulka1[[#This Row],[KOD]],"")</f>
        <v>C1-C2 C1503X/C14</v>
      </c>
      <c r="W680" s="804" t="str">
        <f t="shared" si="22"/>
        <v/>
      </c>
      <c r="X680" s="154" t="str">
        <f t="shared" si="23"/>
        <v/>
      </c>
      <c r="Y680" s="341">
        <f>IF('General price list'!$AB682="",0,'General price list'!$AB682)</f>
        <v>0</v>
      </c>
      <c r="Z680" s="365" t="str">
        <f>IFERROR(X680*VLOOKUP(C680,'General price list'!C:I,7,FALSE),"")</f>
        <v/>
      </c>
      <c r="AA680" s="805" t="str">
        <f>IF(X680&lt;&gt;"",VLOOKUP(C680,'General price list'!C682:AN1655,MATCH("HM",Tabulka1[[#Headers],[KOD]:[NEQ]],0),FALSE),"")</f>
        <v/>
      </c>
    </row>
    <row r="681" spans="1:27">
      <c r="A681">
        <f>COUNTIF($W$22:W681,1)</f>
        <v>0</v>
      </c>
      <c r="B681">
        <v>681</v>
      </c>
      <c r="C681" s="340" t="str">
        <f>IFERROR(Tabulka1[[#This Row],[KOD]],"")</f>
        <v>C1-C2 C2003U/C14</v>
      </c>
      <c r="W681" s="804" t="str">
        <f t="shared" si="22"/>
        <v/>
      </c>
      <c r="X681" s="154" t="str">
        <f t="shared" si="23"/>
        <v/>
      </c>
      <c r="Y681" s="341">
        <f>IF('General price list'!$AB683="",0,'General price list'!$AB683)</f>
        <v>0</v>
      </c>
      <c r="Z681" s="365" t="str">
        <f>IFERROR(X681*VLOOKUP(C681,'General price list'!C:I,7,FALSE),"")</f>
        <v/>
      </c>
      <c r="AA681" s="805" t="str">
        <f>IF(X681&lt;&gt;"",VLOOKUP(C681,'General price list'!C683:AN1656,MATCH("HM",Tabulka1[[#Headers],[KOD]:[NEQ]],0),FALSE),"")</f>
        <v/>
      </c>
    </row>
    <row r="682" spans="1:27">
      <c r="A682">
        <f>COUNTIF($W$22:W682,1)</f>
        <v>0</v>
      </c>
      <c r="B682">
        <v>682</v>
      </c>
      <c r="C682" s="340">
        <f>IFERROR(Tabulka1[[#This Row],[KOD]],"")</f>
        <v>0</v>
      </c>
      <c r="W682" s="804" t="str">
        <f t="shared" si="22"/>
        <v/>
      </c>
      <c r="X682" s="154" t="str">
        <f t="shared" si="23"/>
        <v/>
      </c>
      <c r="Y682" s="341">
        <f>IF('General price list'!$AB684="",0,'General price list'!$AB684)</f>
        <v>0</v>
      </c>
      <c r="Z682" s="365" t="str">
        <f>IFERROR(X682*VLOOKUP(C682,'General price list'!C:I,7,FALSE),"")</f>
        <v/>
      </c>
      <c r="AA682" s="805" t="str">
        <f>IF(X682&lt;&gt;"",VLOOKUP(C682,'General price list'!C684:AN1657,MATCH("HM",Tabulka1[[#Headers],[KOD]:[NEQ]],0),FALSE),"")</f>
        <v/>
      </c>
    </row>
    <row r="683" spans="1:27">
      <c r="A683">
        <f>COUNTIF($W$22:W683,1)</f>
        <v>0</v>
      </c>
      <c r="B683">
        <v>683</v>
      </c>
      <c r="C683" s="340" t="str">
        <f>IFERROR(Tabulka1[[#This Row],[KOD]],"")</f>
        <v>C1003BP/C</v>
      </c>
      <c r="W683" s="804" t="str">
        <f t="shared" si="22"/>
        <v/>
      </c>
      <c r="X683" s="154" t="str">
        <f t="shared" si="23"/>
        <v/>
      </c>
      <c r="Y683" s="341">
        <f>IF('General price list'!$AB685="",0,'General price list'!$AB685)</f>
        <v>0</v>
      </c>
      <c r="Z683" s="365" t="str">
        <f>IFERROR(X683*VLOOKUP(C683,'General price list'!C:I,7,FALSE),"")</f>
        <v/>
      </c>
      <c r="AA683" s="805" t="str">
        <f>IF(X683&lt;&gt;"",VLOOKUP(C683,'General price list'!C685:AN1658,MATCH("HM",Tabulka1[[#Headers],[KOD]:[NEQ]],0),FALSE),"")</f>
        <v/>
      </c>
    </row>
    <row r="684" spans="1:27">
      <c r="A684">
        <f>COUNTIF($W$22:W684,1)</f>
        <v>0</v>
      </c>
      <c r="B684">
        <v>684</v>
      </c>
      <c r="C684" s="340" t="str">
        <f>IFERROR(Tabulka1[[#This Row],[KOD]],"")</f>
        <v>C1003BPS/C</v>
      </c>
      <c r="W684" s="804" t="str">
        <f t="shared" si="22"/>
        <v/>
      </c>
      <c r="X684" s="154" t="str">
        <f t="shared" si="23"/>
        <v/>
      </c>
      <c r="Y684" s="341">
        <f>IF('General price list'!$AB686="",0,'General price list'!$AB686)</f>
        <v>0</v>
      </c>
      <c r="Z684" s="365" t="str">
        <f>IFERROR(X684*VLOOKUP(C684,'General price list'!C:I,7,FALSE),"")</f>
        <v/>
      </c>
      <c r="AA684" s="805" t="str">
        <f>IF(X684&lt;&gt;"",VLOOKUP(C684,'General price list'!C686:AN1659,MATCH("HM",Tabulka1[[#Headers],[KOD]:[NEQ]],0),FALSE),"")</f>
        <v/>
      </c>
    </row>
    <row r="685" spans="1:27">
      <c r="A685">
        <f>COUNTIF($W$22:W685,1)</f>
        <v>0</v>
      </c>
      <c r="B685">
        <v>685</v>
      </c>
      <c r="C685" s="340" t="str">
        <f>IFERROR(Tabulka1[[#This Row],[KOD]],"")</f>
        <v>C1003BB/C</v>
      </c>
      <c r="W685" s="804" t="str">
        <f t="shared" si="22"/>
        <v/>
      </c>
      <c r="X685" s="154" t="str">
        <f t="shared" si="23"/>
        <v/>
      </c>
      <c r="Y685" s="341">
        <f>IF('General price list'!$AB687="",0,'General price list'!$AB687)</f>
        <v>0</v>
      </c>
      <c r="Z685" s="365" t="str">
        <f>IFERROR(X685*VLOOKUP(C685,'General price list'!C:I,7,FALSE),"")</f>
        <v/>
      </c>
      <c r="AA685" s="805" t="str">
        <f>IF(X685&lt;&gt;"",VLOOKUP(C685,'General price list'!C687:AN1660,MATCH("HM",Tabulka1[[#Headers],[KOD]:[NEQ]],0),FALSE),"")</f>
        <v/>
      </c>
    </row>
    <row r="686" spans="1:27">
      <c r="A686">
        <f>COUNTIF($W$22:W686,1)</f>
        <v>0</v>
      </c>
      <c r="B686">
        <v>686</v>
      </c>
      <c r="C686" s="340" t="str">
        <f>IFERROR(Tabulka1[[#This Row],[KOD]],"")</f>
        <v>C1003F/C</v>
      </c>
      <c r="W686" s="804" t="str">
        <f t="shared" si="22"/>
        <v/>
      </c>
      <c r="X686" s="154" t="str">
        <f t="shared" si="23"/>
        <v/>
      </c>
      <c r="Y686" s="341">
        <f>IF('General price list'!$AB688="",0,'General price list'!$AB688)</f>
        <v>0</v>
      </c>
      <c r="Z686" s="365" t="str">
        <f>IFERROR(X686*VLOOKUP(C686,'General price list'!C:I,7,FALSE),"")</f>
        <v/>
      </c>
      <c r="AA686" s="805" t="str">
        <f>IF(X686&lt;&gt;"",VLOOKUP(C686,'General price list'!C688:AN1661,MATCH("HM",Tabulka1[[#Headers],[KOD]:[NEQ]],0),FALSE),"")</f>
        <v/>
      </c>
    </row>
    <row r="687" spans="1:27">
      <c r="A687">
        <f>COUNTIF($W$22:W687,1)</f>
        <v>0</v>
      </c>
      <c r="B687">
        <v>687</v>
      </c>
      <c r="C687" s="340" t="str">
        <f>IFERROR(Tabulka1[[#This Row],[KOD]],"")</f>
        <v>C1003SIG/C</v>
      </c>
      <c r="W687" s="804" t="str">
        <f t="shared" si="22"/>
        <v/>
      </c>
      <c r="X687" s="154" t="str">
        <f t="shared" si="23"/>
        <v/>
      </c>
      <c r="Y687" s="341">
        <f>IF('General price list'!$AB689="",0,'General price list'!$AB689)</f>
        <v>0</v>
      </c>
      <c r="Z687" s="365" t="str">
        <f>IFERROR(X687*VLOOKUP(C687,'General price list'!C:I,7,FALSE),"")</f>
        <v/>
      </c>
      <c r="AA687" s="805" t="str">
        <f>IF(X687&lt;&gt;"",VLOOKUP(C687,'General price list'!C689:AN1662,MATCH("HM",Tabulka1[[#Headers],[KOD]:[NEQ]],0),FALSE),"")</f>
        <v/>
      </c>
    </row>
    <row r="688" spans="1:27">
      <c r="A688">
        <f>COUNTIF($W$22:W688,1)</f>
        <v>0</v>
      </c>
      <c r="B688">
        <v>688</v>
      </c>
      <c r="C688" s="340" t="str">
        <f>IFERROR(Tabulka1[[#This Row],[KOD]],"")</f>
        <v>C1003VS/C</v>
      </c>
      <c r="W688" s="804" t="str">
        <f t="shared" si="22"/>
        <v/>
      </c>
      <c r="X688" s="154" t="str">
        <f t="shared" si="23"/>
        <v/>
      </c>
      <c r="Y688" s="341">
        <f>IF('General price list'!$AB690="",0,'General price list'!$AB690)</f>
        <v>0</v>
      </c>
      <c r="Z688" s="365" t="str">
        <f>IFERROR(X688*VLOOKUP(C688,'General price list'!C:I,7,FALSE),"")</f>
        <v/>
      </c>
      <c r="AA688" s="805" t="str">
        <f>IF(X688&lt;&gt;"",VLOOKUP(C688,'General price list'!C690:AN1663,MATCH("HM",Tabulka1[[#Headers],[KOD]:[NEQ]],0),FALSE),"")</f>
        <v/>
      </c>
    </row>
    <row r="689" spans="1:27">
      <c r="A689">
        <f>COUNTIF($W$22:W689,1)</f>
        <v>0</v>
      </c>
      <c r="B689">
        <v>689</v>
      </c>
      <c r="C689" s="340" t="str">
        <f>IFERROR(Tabulka1[[#This Row],[KOD]],"")</f>
        <v>C128XMPT/C</v>
      </c>
      <c r="W689" s="804" t="str">
        <f t="shared" si="22"/>
        <v/>
      </c>
      <c r="X689" s="154" t="str">
        <f t="shared" si="23"/>
        <v/>
      </c>
      <c r="Y689" s="341">
        <f>IF('General price list'!$AB691="",0,'General price list'!$AB691)</f>
        <v>0</v>
      </c>
      <c r="Z689" s="365" t="str">
        <f>IFERROR(X689*VLOOKUP(C689,'General price list'!C:I,7,FALSE),"")</f>
        <v/>
      </c>
      <c r="AA689" s="805" t="str">
        <f>IF(X689&lt;&gt;"",VLOOKUP(C689,'General price list'!C691:AN1664,MATCH("HM",Tabulka1[[#Headers],[KOD]:[NEQ]],0),FALSE),"")</f>
        <v/>
      </c>
    </row>
    <row r="690" spans="1:27">
      <c r="A690">
        <f>COUNTIF($W$22:W690,1)</f>
        <v>0</v>
      </c>
      <c r="B690">
        <v>690</v>
      </c>
      <c r="C690" s="340" t="str">
        <f>IFERROR(Tabulka1[[#This Row],[KOD]],"")</f>
        <v>C128XMB/C</v>
      </c>
      <c r="W690" s="804" t="str">
        <f t="shared" si="22"/>
        <v/>
      </c>
      <c r="X690" s="154" t="str">
        <f t="shared" si="23"/>
        <v/>
      </c>
      <c r="Y690" s="341">
        <f>IF('General price list'!$AB692="",0,'General price list'!$AB692)</f>
        <v>0</v>
      </c>
      <c r="Z690" s="365" t="str">
        <f>IFERROR(X690*VLOOKUP(C690,'General price list'!C:I,7,FALSE),"")</f>
        <v/>
      </c>
      <c r="AA690" s="805" t="str">
        <f>IF(X690&lt;&gt;"",VLOOKUP(C690,'General price list'!C692:AN1665,MATCH("HM",Tabulka1[[#Headers],[KOD]:[NEQ]],0),FALSE),"")</f>
        <v/>
      </c>
    </row>
    <row r="691" spans="1:27">
      <c r="A691">
        <f>COUNTIF($W$22:W691,1)</f>
        <v>0</v>
      </c>
      <c r="B691">
        <v>691</v>
      </c>
      <c r="C691" s="340" t="str">
        <f>IFERROR(Tabulka1[[#This Row],[KOD]],"")</f>
        <v>C1503X/C</v>
      </c>
      <c r="W691" s="804" t="str">
        <f t="shared" si="22"/>
        <v/>
      </c>
      <c r="X691" s="154" t="str">
        <f t="shared" si="23"/>
        <v/>
      </c>
      <c r="Y691" s="341">
        <f>IF('General price list'!$AB693="",0,'General price list'!$AB693)</f>
        <v>0</v>
      </c>
      <c r="Z691" s="365" t="str">
        <f>IFERROR(X691*VLOOKUP(C691,'General price list'!C:I,7,FALSE),"")</f>
        <v/>
      </c>
      <c r="AA691" s="805" t="str">
        <f>IF(X691&lt;&gt;"",VLOOKUP(C691,'General price list'!C693:AN1666,MATCH("HM",Tabulka1[[#Headers],[KOD]:[NEQ]],0),FALSE),"")</f>
        <v/>
      </c>
    </row>
    <row r="692" spans="1:27">
      <c r="A692">
        <f>COUNTIF($W$22:W692,1)</f>
        <v>0</v>
      </c>
      <c r="B692">
        <v>692</v>
      </c>
      <c r="C692" s="340" t="str">
        <f>IFERROR(Tabulka1[[#This Row],[KOD]],"")</f>
        <v>C1503BPF/C</v>
      </c>
      <c r="W692" s="804" t="str">
        <f t="shared" si="22"/>
        <v/>
      </c>
      <c r="X692" s="154" t="str">
        <f t="shared" si="23"/>
        <v/>
      </c>
      <c r="Y692" s="341">
        <f>IF('General price list'!$AB694="",0,'General price list'!$AB694)</f>
        <v>0</v>
      </c>
      <c r="Z692" s="365" t="str">
        <f>IFERROR(X692*VLOOKUP(C692,'General price list'!C:I,7,FALSE),"")</f>
        <v/>
      </c>
      <c r="AA692" s="805" t="str">
        <f>IF(X692&lt;&gt;"",VLOOKUP(C692,'General price list'!C694:AN1667,MATCH("HM",Tabulka1[[#Headers],[KOD]:[NEQ]],0),FALSE),"")</f>
        <v/>
      </c>
    </row>
    <row r="693" spans="1:27">
      <c r="A693">
        <f>COUNTIF($W$22:W693,1)</f>
        <v>0</v>
      </c>
      <c r="B693">
        <v>693</v>
      </c>
      <c r="C693" s="340" t="str">
        <f>IFERROR(Tabulka1[[#This Row],[KOD]],"")</f>
        <v>C1923XMF/C</v>
      </c>
      <c r="W693" s="804" t="str">
        <f t="shared" si="22"/>
        <v/>
      </c>
      <c r="X693" s="154" t="str">
        <f t="shared" si="23"/>
        <v/>
      </c>
      <c r="Y693" s="341">
        <f>IF('General price list'!$AB695="",0,'General price list'!$AB695)</f>
        <v>0</v>
      </c>
      <c r="Z693" s="365" t="str">
        <f>IFERROR(X693*VLOOKUP(C693,'General price list'!C:I,7,FALSE),"")</f>
        <v/>
      </c>
      <c r="AA693" s="805" t="str">
        <f>IF(X693&lt;&gt;"",VLOOKUP(C693,'General price list'!C695:AN1668,MATCH("HM",Tabulka1[[#Headers],[KOD]:[NEQ]],0),FALSE),"")</f>
        <v/>
      </c>
    </row>
    <row r="694" spans="1:27">
      <c r="A694">
        <f>COUNTIF($W$22:W694,1)</f>
        <v>0</v>
      </c>
      <c r="B694">
        <v>694</v>
      </c>
      <c r="C694" s="340" t="str">
        <f>IFERROR(Tabulka1[[#This Row],[KOD]],"")</f>
        <v>C2003BP/C</v>
      </c>
      <c r="W694" s="804" t="str">
        <f t="shared" si="22"/>
        <v/>
      </c>
      <c r="X694" s="154" t="str">
        <f t="shared" si="23"/>
        <v/>
      </c>
      <c r="Y694" s="341">
        <f>IF('General price list'!$AB696="",0,'General price list'!$AB696)</f>
        <v>0</v>
      </c>
      <c r="Z694" s="365" t="str">
        <f>IFERROR(X694*VLOOKUP(C694,'General price list'!C:I,7,FALSE),"")</f>
        <v/>
      </c>
      <c r="AA694" s="805" t="str">
        <f>IF(X694&lt;&gt;"",VLOOKUP(C694,'General price list'!C696:AN1669,MATCH("HM",Tabulka1[[#Headers],[KOD]:[NEQ]],0),FALSE),"")</f>
        <v/>
      </c>
    </row>
    <row r="695" spans="1:27">
      <c r="A695">
        <f>COUNTIF($W$22:W695,1)</f>
        <v>0</v>
      </c>
      <c r="B695">
        <v>695</v>
      </c>
      <c r="C695" s="340" t="str">
        <f>IFERROR(Tabulka1[[#This Row],[KOD]],"")</f>
        <v>C2003U/C</v>
      </c>
      <c r="W695" s="804" t="str">
        <f t="shared" si="22"/>
        <v/>
      </c>
      <c r="X695" s="154" t="str">
        <f t="shared" si="23"/>
        <v/>
      </c>
      <c r="Y695" s="341">
        <f>IF('General price list'!$AB697="",0,'General price list'!$AB697)</f>
        <v>0</v>
      </c>
      <c r="Z695" s="365" t="str">
        <f>IFERROR(X695*VLOOKUP(C695,'General price list'!C:I,7,FALSE),"")</f>
        <v/>
      </c>
      <c r="AA695" s="805" t="str">
        <f>IF(X695&lt;&gt;"",VLOOKUP(C695,'General price list'!C697:AN1670,MATCH("HM",Tabulka1[[#Headers],[KOD]:[NEQ]],0),FALSE),"")</f>
        <v/>
      </c>
    </row>
    <row r="696" spans="1:27">
      <c r="A696">
        <f>COUNTIF($W$22:W696,1)</f>
        <v>0</v>
      </c>
      <c r="B696">
        <v>696</v>
      </c>
      <c r="C696" s="340" t="str">
        <f>IFERROR(Tabulka1[[#This Row],[KOD]],"")</f>
        <v>C2003F/C</v>
      </c>
      <c r="W696" s="804" t="str">
        <f t="shared" si="22"/>
        <v/>
      </c>
      <c r="X696" s="154" t="str">
        <f t="shared" si="23"/>
        <v/>
      </c>
      <c r="Y696" s="341">
        <f>IF('General price list'!$AB698="",0,'General price list'!$AB698)</f>
        <v>0</v>
      </c>
      <c r="Z696" s="365" t="str">
        <f>IFERROR(X696*VLOOKUP(C696,'General price list'!C:I,7,FALSE),"")</f>
        <v/>
      </c>
      <c r="AA696" s="805" t="str">
        <f>IF(X696&lt;&gt;"",VLOOKUP(C696,'General price list'!C698:AN1671,MATCH("HM",Tabulka1[[#Headers],[KOD]:[NEQ]],0),FALSE),"")</f>
        <v/>
      </c>
    </row>
    <row r="697" spans="1:27">
      <c r="A697">
        <f>COUNTIF($W$22:W697,1)</f>
        <v>0</v>
      </c>
      <c r="B697">
        <v>697</v>
      </c>
      <c r="C697" s="340" t="str">
        <f>IFERROR(Tabulka1[[#This Row],[KOD]],"")</f>
        <v>C2003SIG/C</v>
      </c>
      <c r="W697" s="804" t="str">
        <f t="shared" si="22"/>
        <v/>
      </c>
      <c r="X697" s="154" t="str">
        <f t="shared" si="23"/>
        <v/>
      </c>
      <c r="Y697" s="341">
        <f>IF('General price list'!$AB699="",0,'General price list'!$AB699)</f>
        <v>0</v>
      </c>
      <c r="Z697" s="365" t="str">
        <f>IFERROR(X697*VLOOKUP(C697,'General price list'!C:I,7,FALSE),"")</f>
        <v/>
      </c>
      <c r="AA697" s="805" t="str">
        <f>IF(X697&lt;&gt;"",VLOOKUP(C697,'General price list'!C699:AN1672,MATCH("HM",Tabulka1[[#Headers],[KOD]:[NEQ]],0),FALSE),"")</f>
        <v/>
      </c>
    </row>
    <row r="698" spans="1:27">
      <c r="A698">
        <f>COUNTIF($W$22:W698,1)</f>
        <v>0</v>
      </c>
      <c r="B698">
        <v>698</v>
      </c>
      <c r="C698" s="340" t="str">
        <f>IFERROR(Tabulka1[[#This Row],[KOD]],"")</f>
        <v>C2563XMF/C</v>
      </c>
      <c r="W698" s="804" t="str">
        <f t="shared" si="22"/>
        <v/>
      </c>
      <c r="X698" s="154" t="str">
        <f t="shared" si="23"/>
        <v/>
      </c>
      <c r="Y698" s="341">
        <f>IF('General price list'!$AB700="",0,'General price list'!$AB700)</f>
        <v>0</v>
      </c>
      <c r="Z698" s="365" t="str">
        <f>IFERROR(X698*VLOOKUP(C698,'General price list'!C:I,7,FALSE),"")</f>
        <v/>
      </c>
      <c r="AA698" s="805" t="str">
        <f>IF(X698&lt;&gt;"",VLOOKUP(C698,'General price list'!C700:AN1673,MATCH("HM",Tabulka1[[#Headers],[KOD]:[NEQ]],0),FALSE),"")</f>
        <v/>
      </c>
    </row>
    <row r="699" spans="1:27">
      <c r="A699">
        <f>COUNTIF($W$22:W699,1)</f>
        <v>0</v>
      </c>
      <c r="B699">
        <v>699</v>
      </c>
      <c r="C699" s="340">
        <f>IFERROR(Tabulka1[[#This Row],[KOD]],"")</f>
        <v>0</v>
      </c>
      <c r="W699" s="804" t="str">
        <f t="shared" si="22"/>
        <v/>
      </c>
      <c r="X699" s="154" t="str">
        <f t="shared" si="23"/>
        <v/>
      </c>
      <c r="Y699" s="341">
        <f>IF('General price list'!$AB701="",0,'General price list'!$AB701)</f>
        <v>0</v>
      </c>
      <c r="Z699" s="365" t="str">
        <f>IFERROR(X699*VLOOKUP(C699,'General price list'!C:I,7,FALSE),"")</f>
        <v/>
      </c>
      <c r="AA699" s="805" t="str">
        <f>IF(X699&lt;&gt;"",VLOOKUP(C699,'General price list'!C701:AN1674,MATCH("HM",Tabulka1[[#Headers],[KOD]:[NEQ]],0),FALSE),"")</f>
        <v/>
      </c>
    </row>
    <row r="700" spans="1:27">
      <c r="A700">
        <f>COUNTIF($W$22:W700,1)</f>
        <v>0</v>
      </c>
      <c r="B700">
        <v>700</v>
      </c>
      <c r="C700" s="340" t="str">
        <f>IFERROR(Tabulka1[[#This Row],[KOD]],"")</f>
        <v>C165DU14</v>
      </c>
      <c r="W700" s="804" t="str">
        <f t="shared" si="22"/>
        <v/>
      </c>
      <c r="X700" s="154" t="str">
        <f t="shared" si="23"/>
        <v/>
      </c>
      <c r="Y700" s="341">
        <f>IF('General price list'!$AB702="",0,'General price list'!$AB702)</f>
        <v>0</v>
      </c>
      <c r="Z700" s="365" t="str">
        <f>IFERROR(X700*VLOOKUP(C700,'General price list'!C:I,7,FALSE),"")</f>
        <v/>
      </c>
      <c r="AA700" s="805" t="str">
        <f>IF(X700&lt;&gt;"",VLOOKUP(C700,'General price list'!C702:AN1675,MATCH("HM",Tabulka1[[#Headers],[KOD]:[NEQ]],0),FALSE),"")</f>
        <v/>
      </c>
    </row>
    <row r="701" spans="1:27">
      <c r="A701">
        <f>COUNTIF($W$22:W701,1)</f>
        <v>0</v>
      </c>
      <c r="B701">
        <v>701</v>
      </c>
      <c r="C701" s="340" t="str">
        <f>IFERROR(Tabulka1[[#This Row],[KOD]],"")</f>
        <v>C165NO14</v>
      </c>
      <c r="W701" s="804" t="str">
        <f t="shared" si="22"/>
        <v/>
      </c>
      <c r="X701" s="154" t="str">
        <f t="shared" si="23"/>
        <v/>
      </c>
      <c r="Y701" s="341">
        <f>IF('General price list'!$AB703="",0,'General price list'!$AB703)</f>
        <v>0</v>
      </c>
      <c r="Z701" s="365" t="str">
        <f>IFERROR(X701*VLOOKUP(C701,'General price list'!C:I,7,FALSE),"")</f>
        <v/>
      </c>
      <c r="AA701" s="805" t="str">
        <f>IF(X701&lt;&gt;"",VLOOKUP(C701,'General price list'!C703:AN1676,MATCH("HM",Tabulka1[[#Headers],[KOD]:[NEQ]],0),FALSE),"")</f>
        <v/>
      </c>
    </row>
    <row r="702" spans="1:27">
      <c r="A702">
        <f>COUNTIF($W$22:W702,1)</f>
        <v>0</v>
      </c>
      <c r="B702">
        <v>702</v>
      </c>
      <c r="C702" s="340">
        <f>IFERROR(Tabulka1[[#This Row],[KOD]],"")</f>
        <v>0</v>
      </c>
      <c r="W702" s="804" t="str">
        <f t="shared" si="22"/>
        <v/>
      </c>
      <c r="X702" s="154" t="str">
        <f t="shared" si="23"/>
        <v/>
      </c>
      <c r="Y702" s="341">
        <f>IF('General price list'!$AB704="",0,'General price list'!$AB704)</f>
        <v>0</v>
      </c>
      <c r="Z702" s="365" t="str">
        <f>IFERROR(X702*VLOOKUP(C702,'General price list'!C:I,7,FALSE),"")</f>
        <v/>
      </c>
      <c r="AA702" s="805" t="str">
        <f>IF(X702&lt;&gt;"",VLOOKUP(C702,'General price list'!C704:AN1677,MATCH("HM",Tabulka1[[#Headers],[KOD]:[NEQ]],0),FALSE),"")</f>
        <v/>
      </c>
    </row>
    <row r="703" spans="1:27">
      <c r="A703">
        <f>COUNTIF($W$22:W703,1)</f>
        <v>0</v>
      </c>
      <c r="B703">
        <v>703</v>
      </c>
      <c r="C703" s="340" t="str">
        <f>IFERROR(Tabulka1[[#This Row],[KOD]],"")</f>
        <v>C165JA</v>
      </c>
      <c r="W703" s="804" t="str">
        <f t="shared" si="22"/>
        <v/>
      </c>
      <c r="X703" s="154" t="str">
        <f t="shared" si="23"/>
        <v/>
      </c>
      <c r="Y703" s="341">
        <f>IF('General price list'!$AB705="",0,'General price list'!$AB705)</f>
        <v>0</v>
      </c>
      <c r="Z703" s="365" t="str">
        <f>IFERROR(X703*VLOOKUP(C703,'General price list'!C:I,7,FALSE),"")</f>
        <v/>
      </c>
      <c r="AA703" s="805" t="str">
        <f>IF(X703&lt;&gt;"",VLOOKUP(C703,'General price list'!C705:AN1678,MATCH("HM",Tabulka1[[#Headers],[KOD]:[NEQ]],0),FALSE),"")</f>
        <v/>
      </c>
    </row>
    <row r="704" spans="1:27">
      <c r="A704">
        <f>COUNTIF($W$22:W704,1)</f>
        <v>0</v>
      </c>
      <c r="B704">
        <v>704</v>
      </c>
      <c r="C704" s="340" t="str">
        <f>IFERROR(Tabulka1[[#This Row],[KOD]],"")</f>
        <v>C165P</v>
      </c>
      <c r="W704" s="804" t="str">
        <f t="shared" si="22"/>
        <v/>
      </c>
      <c r="X704" s="154" t="str">
        <f t="shared" si="23"/>
        <v/>
      </c>
      <c r="Y704" s="341">
        <f>IF('General price list'!$AB706="",0,'General price list'!$AB706)</f>
        <v>0</v>
      </c>
      <c r="Z704" s="365" t="str">
        <f>IFERROR(X704*VLOOKUP(C704,'General price list'!C:I,7,FALSE),"")</f>
        <v/>
      </c>
      <c r="AA704" s="805" t="str">
        <f>IF(X704&lt;&gt;"",VLOOKUP(C704,'General price list'!C706:AN1679,MATCH("HM",Tabulka1[[#Headers],[KOD]:[NEQ]],0),FALSE),"")</f>
        <v/>
      </c>
    </row>
    <row r="705" spans="1:27">
      <c r="A705">
        <f>COUNTIF($W$22:W705,1)</f>
        <v>0</v>
      </c>
      <c r="B705">
        <v>705</v>
      </c>
      <c r="C705" s="340">
        <f>IFERROR(Tabulka1[[#This Row],[KOD]],"")</f>
        <v>0</v>
      </c>
      <c r="W705" s="804" t="str">
        <f t="shared" si="22"/>
        <v/>
      </c>
      <c r="X705" s="154" t="str">
        <f t="shared" si="23"/>
        <v/>
      </c>
      <c r="Y705" s="341">
        <f>IF('General price list'!$AB707="",0,'General price list'!$AB707)</f>
        <v>0</v>
      </c>
      <c r="Z705" s="365" t="str">
        <f>IFERROR(X705*VLOOKUP(C705,'General price list'!C:I,7,FALSE),"")</f>
        <v/>
      </c>
      <c r="AA705" s="805" t="str">
        <f>IF(X705&lt;&gt;"",VLOOKUP(C705,'General price list'!C707:AN1680,MATCH("HM",Tabulka1[[#Headers],[KOD]:[NEQ]],0),FALSE),"")</f>
        <v/>
      </c>
    </row>
    <row r="706" spans="1:27">
      <c r="A706">
        <f>COUNTIF($W$22:W706,1)</f>
        <v>0</v>
      </c>
      <c r="B706">
        <v>706</v>
      </c>
      <c r="C706" s="340" t="str">
        <f>IFERROR(Tabulka1[[#This Row],[KOD]],"")</f>
        <v>C2545NO</v>
      </c>
      <c r="W706" s="804" t="str">
        <f t="shared" si="22"/>
        <v/>
      </c>
      <c r="X706" s="154" t="str">
        <f t="shared" si="23"/>
        <v/>
      </c>
      <c r="Y706" s="341">
        <f>IF('General price list'!$AB708="",0,'General price list'!$AB708)</f>
        <v>0</v>
      </c>
      <c r="Z706" s="365" t="str">
        <f>IFERROR(X706*VLOOKUP(C706,'General price list'!C:I,7,FALSE),"")</f>
        <v/>
      </c>
      <c r="AA706" s="805" t="str">
        <f>IF(X706&lt;&gt;"",VLOOKUP(C706,'General price list'!C708:AN1681,MATCH("HM",Tabulka1[[#Headers],[KOD]:[NEQ]],0),FALSE),"")</f>
        <v/>
      </c>
    </row>
    <row r="707" spans="1:27">
      <c r="A707">
        <f>COUNTIF($W$22:W707,1)</f>
        <v>0</v>
      </c>
      <c r="B707">
        <v>707</v>
      </c>
      <c r="C707" s="340" t="str">
        <f>IFERROR(Tabulka1[[#This Row],[KOD]],"")</f>
        <v>C2545DI</v>
      </c>
      <c r="W707" s="804" t="str">
        <f t="shared" si="22"/>
        <v/>
      </c>
      <c r="X707" s="154" t="str">
        <f t="shared" si="23"/>
        <v/>
      </c>
      <c r="Y707" s="341">
        <f>IF('General price list'!$AB709="",0,'General price list'!$AB709)</f>
        <v>0</v>
      </c>
      <c r="Z707" s="365" t="str">
        <f>IFERROR(X707*VLOOKUP(C707,'General price list'!C:I,7,FALSE),"")</f>
        <v/>
      </c>
      <c r="AA707" s="805" t="str">
        <f>IF(X707&lt;&gt;"",VLOOKUP(C707,'General price list'!C709:AN1682,MATCH("HM",Tabulka1[[#Headers],[KOD]:[NEQ]],0),FALSE),"")</f>
        <v/>
      </c>
    </row>
    <row r="708" spans="1:27">
      <c r="A708">
        <f>COUNTIF($W$22:W708,1)</f>
        <v>0</v>
      </c>
      <c r="B708">
        <v>708</v>
      </c>
      <c r="C708" s="340">
        <f>IFERROR(Tabulka1[[#This Row],[KOD]],"")</f>
        <v>0</v>
      </c>
      <c r="W708" s="804" t="str">
        <f t="shared" si="22"/>
        <v/>
      </c>
      <c r="X708" s="154" t="str">
        <f t="shared" si="23"/>
        <v/>
      </c>
      <c r="Y708" s="341">
        <f>IF('General price list'!$AB710="",0,'General price list'!$AB710)</f>
        <v>0</v>
      </c>
      <c r="Z708" s="365" t="str">
        <f>IFERROR(X708*VLOOKUP(C708,'General price list'!C:I,7,FALSE),"")</f>
        <v/>
      </c>
      <c r="AA708" s="805" t="str">
        <f>IF(X708&lt;&gt;"",VLOOKUP(C708,'General price list'!C710:AN1683,MATCH("HM",Tabulka1[[#Headers],[KOD]:[NEQ]],0),FALSE),"")</f>
        <v/>
      </c>
    </row>
    <row r="709" spans="1:27">
      <c r="A709">
        <f>COUNTIF($W$22:W709,1)</f>
        <v>0</v>
      </c>
      <c r="B709">
        <v>709</v>
      </c>
      <c r="C709" s="340" t="str">
        <f>IFERROR(Tabulka1[[#This Row],[KOD]],"")</f>
        <v>C255BP</v>
      </c>
      <c r="W709" s="804" t="str">
        <f t="shared" si="22"/>
        <v/>
      </c>
      <c r="X709" s="154" t="str">
        <f t="shared" si="23"/>
        <v/>
      </c>
      <c r="Y709" s="341">
        <f>IF('General price list'!$AB711="",0,'General price list'!$AB711)</f>
        <v>0</v>
      </c>
      <c r="Z709" s="365" t="str">
        <f>IFERROR(X709*VLOOKUP(C709,'General price list'!C:I,7,FALSE),"")</f>
        <v/>
      </c>
      <c r="AA709" s="805" t="str">
        <f>IF(X709&lt;&gt;"",VLOOKUP(C709,'General price list'!C711:AN1684,MATCH("HM",Tabulka1[[#Headers],[KOD]:[NEQ]],0),FALSE),"")</f>
        <v/>
      </c>
    </row>
    <row r="710" spans="1:27">
      <c r="A710">
        <f>COUNTIF($W$22:W710,1)</f>
        <v>0</v>
      </c>
      <c r="B710">
        <v>710</v>
      </c>
      <c r="C710" s="340">
        <f>IFERROR(Tabulka1[[#This Row],[KOD]],"")</f>
        <v>0</v>
      </c>
      <c r="W710" s="804" t="str">
        <f t="shared" si="22"/>
        <v/>
      </c>
      <c r="X710" s="154" t="str">
        <f t="shared" si="23"/>
        <v/>
      </c>
      <c r="Y710" s="341">
        <f>IF('General price list'!$AB712="",0,'General price list'!$AB712)</f>
        <v>0</v>
      </c>
      <c r="Z710" s="365" t="str">
        <f>IFERROR(X710*VLOOKUP(C710,'General price list'!C:I,7,FALSE),"")</f>
        <v/>
      </c>
      <c r="AA710" s="805" t="str">
        <f>IF(X710&lt;&gt;"",VLOOKUP(C710,'General price list'!C712:AN1685,MATCH("HM",Tabulka1[[#Headers],[KOD]:[NEQ]],0),FALSE),"")</f>
        <v/>
      </c>
    </row>
    <row r="711" spans="1:27">
      <c r="A711">
        <f>COUNTIF($W$22:W711,1)</f>
        <v>0</v>
      </c>
      <c r="B711">
        <v>711</v>
      </c>
      <c r="C711" s="340" t="str">
        <f>IFERROR(Tabulka1[[#This Row],[KOD]],"")</f>
        <v>C3545MF</v>
      </c>
      <c r="W711" s="804" t="str">
        <f t="shared" si="22"/>
        <v/>
      </c>
      <c r="X711" s="154" t="str">
        <f t="shared" si="23"/>
        <v/>
      </c>
      <c r="Y711" s="341">
        <f>IF('General price list'!$AB713="",0,'General price list'!$AB713)</f>
        <v>0</v>
      </c>
      <c r="Z711" s="365" t="str">
        <f>IFERROR(X711*VLOOKUP(C711,'General price list'!C:I,7,FALSE),"")</f>
        <v/>
      </c>
      <c r="AA711" s="805" t="str">
        <f>IF(X711&lt;&gt;"",VLOOKUP(C711,'General price list'!C713:AN1686,MATCH("HM",Tabulka1[[#Headers],[KOD]:[NEQ]],0),FALSE),"")</f>
        <v/>
      </c>
    </row>
    <row r="712" spans="1:27">
      <c r="A712">
        <f>COUNTIF($W$22:W712,1)</f>
        <v>0</v>
      </c>
      <c r="B712">
        <v>712</v>
      </c>
      <c r="C712" s="340" t="str">
        <f>IFERROR(Tabulka1[[#This Row],[KOD]],"")</f>
        <v>C3545NO</v>
      </c>
      <c r="W712" s="804" t="str">
        <f t="shared" si="22"/>
        <v/>
      </c>
      <c r="X712" s="154" t="str">
        <f t="shared" si="23"/>
        <v/>
      </c>
      <c r="Y712" s="341">
        <f>IF('General price list'!$AB714="",0,'General price list'!$AB714)</f>
        <v>0</v>
      </c>
      <c r="Z712" s="365" t="str">
        <f>IFERROR(X712*VLOOKUP(C712,'General price list'!C:I,7,FALSE),"")</f>
        <v/>
      </c>
      <c r="AA712" s="805" t="str">
        <f>IF(X712&lt;&gt;"",VLOOKUP(C712,'General price list'!C714:AN1687,MATCH("HM",Tabulka1[[#Headers],[KOD]:[NEQ]],0),FALSE),"")</f>
        <v/>
      </c>
    </row>
    <row r="713" spans="1:27">
      <c r="A713">
        <f>COUNTIF($W$22:W713,1)</f>
        <v>0</v>
      </c>
      <c r="B713">
        <v>713</v>
      </c>
      <c r="C713" s="340">
        <f>IFERROR(Tabulka1[[#This Row],[KOD]],"")</f>
        <v>0</v>
      </c>
      <c r="W713" s="804" t="str">
        <f t="shared" si="22"/>
        <v/>
      </c>
      <c r="X713" s="154" t="str">
        <f t="shared" si="23"/>
        <v/>
      </c>
      <c r="Y713" s="341">
        <f>IF('General price list'!$AB715="",0,'General price list'!$AB715)</f>
        <v>0</v>
      </c>
      <c r="Z713" s="365" t="str">
        <f>IFERROR(X713*VLOOKUP(C713,'General price list'!C:I,7,FALSE),"")</f>
        <v/>
      </c>
      <c r="AA713" s="805" t="str">
        <f>IF(X713&lt;&gt;"",VLOOKUP(C713,'General price list'!C715:AN1688,MATCH("HM",Tabulka1[[#Headers],[KOD]:[NEQ]],0),FALSE),"")</f>
        <v/>
      </c>
    </row>
    <row r="714" spans="1:27">
      <c r="A714">
        <f>COUNTIF($W$22:W714,1)</f>
        <v>0</v>
      </c>
      <c r="B714">
        <v>714</v>
      </c>
      <c r="C714" s="340" t="str">
        <f>IFERROR(Tabulka1[[#This Row],[KOD]],"")</f>
        <v>C3645BA</v>
      </c>
      <c r="W714" s="804" t="str">
        <f t="shared" si="22"/>
        <v/>
      </c>
      <c r="X714" s="154" t="str">
        <f t="shared" si="23"/>
        <v/>
      </c>
      <c r="Y714" s="341">
        <f>IF('General price list'!$AB716="",0,'General price list'!$AB716)</f>
        <v>0</v>
      </c>
      <c r="Z714" s="365" t="str">
        <f>IFERROR(X714*VLOOKUP(C714,'General price list'!C:I,7,FALSE),"")</f>
        <v/>
      </c>
      <c r="AA714" s="805" t="str">
        <f>IF(X714&lt;&gt;"",VLOOKUP(C714,'General price list'!C716:AN1689,MATCH("HM",Tabulka1[[#Headers],[KOD]:[NEQ]],0),FALSE),"")</f>
        <v/>
      </c>
    </row>
    <row r="715" spans="1:27">
      <c r="A715">
        <f>COUNTIF($W$22:W715,1)</f>
        <v>0</v>
      </c>
      <c r="B715">
        <v>715</v>
      </c>
      <c r="C715" s="340" t="str">
        <f>IFERROR(Tabulka1[[#This Row],[KOD]],"")</f>
        <v>C3645SE</v>
      </c>
      <c r="W715" s="804" t="str">
        <f t="shared" si="22"/>
        <v/>
      </c>
      <c r="X715" s="154" t="str">
        <f t="shared" si="23"/>
        <v/>
      </c>
      <c r="Y715" s="341">
        <f>IF('General price list'!$AB717="",0,'General price list'!$AB717)</f>
        <v>0</v>
      </c>
      <c r="Z715" s="365" t="str">
        <f>IFERROR(X715*VLOOKUP(C715,'General price list'!C:I,7,FALSE),"")</f>
        <v/>
      </c>
      <c r="AA715" s="805" t="str">
        <f>IF(X715&lt;&gt;"",VLOOKUP(C715,'General price list'!C717:AN1690,MATCH("HM",Tabulka1[[#Headers],[KOD]:[NEQ]],0),FALSE),"")</f>
        <v/>
      </c>
    </row>
    <row r="716" spans="1:27">
      <c r="A716">
        <f>COUNTIF($W$22:W716,1)</f>
        <v>0</v>
      </c>
      <c r="B716">
        <v>716</v>
      </c>
      <c r="C716" s="340">
        <f>IFERROR(Tabulka1[[#This Row],[KOD]],"")</f>
        <v>0</v>
      </c>
      <c r="W716" s="804" t="str">
        <f t="shared" si="22"/>
        <v/>
      </c>
      <c r="X716" s="154" t="str">
        <f t="shared" si="23"/>
        <v/>
      </c>
      <c r="Y716" s="341">
        <f>IF('General price list'!$AB718="",0,'General price list'!$AB718)</f>
        <v>0</v>
      </c>
      <c r="Z716" s="365" t="str">
        <f>IFERROR(X716*VLOOKUP(C716,'General price list'!C:I,7,FALSE),"")</f>
        <v/>
      </c>
      <c r="AA716" s="805" t="str">
        <f>IF(X716&lt;&gt;"",VLOOKUP(C716,'General price list'!C718:AN1691,MATCH("HM",Tabulka1[[#Headers],[KOD]:[NEQ]],0),FALSE),"")</f>
        <v/>
      </c>
    </row>
    <row r="717" spans="1:27">
      <c r="A717">
        <f>COUNTIF($W$22:W717,1)</f>
        <v>0</v>
      </c>
      <c r="B717">
        <v>717</v>
      </c>
      <c r="C717" s="340" t="str">
        <f>IFERROR(Tabulka1[[#This Row],[KOD]],"")</f>
        <v>C365DU</v>
      </c>
      <c r="W717" s="804" t="str">
        <f t="shared" si="22"/>
        <v/>
      </c>
      <c r="X717" s="154" t="str">
        <f t="shared" si="23"/>
        <v/>
      </c>
      <c r="Y717" s="341">
        <f>IF('General price list'!$AB719="",0,'General price list'!$AB719)</f>
        <v>0</v>
      </c>
      <c r="Z717" s="365" t="str">
        <f>IFERROR(X717*VLOOKUP(C717,'General price list'!C:I,7,FALSE),"")</f>
        <v/>
      </c>
      <c r="AA717" s="805" t="str">
        <f>IF(X717&lt;&gt;"",VLOOKUP(C717,'General price list'!C719:AN1692,MATCH("HM",Tabulka1[[#Headers],[KOD]:[NEQ]],0),FALSE),"")</f>
        <v/>
      </c>
    </row>
    <row r="718" spans="1:27">
      <c r="A718">
        <f>COUNTIF($W$22:W718,1)</f>
        <v>0</v>
      </c>
      <c r="B718">
        <v>718</v>
      </c>
      <c r="C718" s="340">
        <f>IFERROR(Tabulka1[[#This Row],[KOD]],"")</f>
        <v>0</v>
      </c>
      <c r="W718" s="804" t="str">
        <f t="shared" si="22"/>
        <v/>
      </c>
      <c r="X718" s="154" t="str">
        <f t="shared" si="23"/>
        <v/>
      </c>
      <c r="Y718" s="341">
        <f>IF('General price list'!$AB720="",0,'General price list'!$AB720)</f>
        <v>0</v>
      </c>
      <c r="Z718" s="365" t="str">
        <f>IFERROR(X718*VLOOKUP(C718,'General price list'!C:I,7,FALSE),"")</f>
        <v/>
      </c>
      <c r="AA718" s="805" t="str">
        <f>IF(X718&lt;&gt;"",VLOOKUP(C718,'General price list'!C720:AN1693,MATCH("HM",Tabulka1[[#Headers],[KOD]:[NEQ]],0),FALSE),"")</f>
        <v/>
      </c>
    </row>
    <row r="719" spans="1:27">
      <c r="A719">
        <f>COUNTIF($W$22:W719,1)</f>
        <v>0</v>
      </c>
      <c r="B719">
        <v>719</v>
      </c>
      <c r="C719" s="340" t="str">
        <f>IFERROR(Tabulka1[[#This Row],[KOD]],"")</f>
        <v>C505X/C</v>
      </c>
      <c r="W719" s="804" t="str">
        <f t="shared" si="22"/>
        <v/>
      </c>
      <c r="X719" s="154" t="str">
        <f t="shared" si="23"/>
        <v/>
      </c>
      <c r="Y719" s="341">
        <f>IF('General price list'!$AB721="",0,'General price list'!$AB721)</f>
        <v>0</v>
      </c>
      <c r="Z719" s="365" t="str">
        <f>IFERROR(X719*VLOOKUP(C719,'General price list'!C:I,7,FALSE),"")</f>
        <v/>
      </c>
      <c r="AA719" s="805" t="str">
        <f>IF(X719&lt;&gt;"",VLOOKUP(C719,'General price list'!C721:AN1694,MATCH("HM",Tabulka1[[#Headers],[KOD]:[NEQ]],0),FALSE),"")</f>
        <v/>
      </c>
    </row>
    <row r="720" spans="1:27">
      <c r="A720">
        <f>COUNTIF($W$22:W720,1)</f>
        <v>0</v>
      </c>
      <c r="B720">
        <v>720</v>
      </c>
      <c r="C720" s="340" t="str">
        <f>IFERROR(Tabulka1[[#This Row],[KOD]],"")</f>
        <v>C505V/C</v>
      </c>
      <c r="W720" s="804" t="str">
        <f t="shared" si="22"/>
        <v/>
      </c>
      <c r="X720" s="154" t="str">
        <f t="shared" si="23"/>
        <v/>
      </c>
      <c r="Y720" s="341">
        <f>IF('General price list'!$AB722="",0,'General price list'!$AB722)</f>
        <v>0</v>
      </c>
      <c r="Z720" s="365" t="str">
        <f>IFERROR(X720*VLOOKUP(C720,'General price list'!C:I,7,FALSE),"")</f>
        <v/>
      </c>
      <c r="AA720" s="805" t="str">
        <f>IF(X720&lt;&gt;"",VLOOKUP(C720,'General price list'!C722:AN1695,MATCH("HM",Tabulka1[[#Headers],[KOD]:[NEQ]],0),FALSE),"")</f>
        <v/>
      </c>
    </row>
    <row r="721" spans="1:27">
      <c r="A721">
        <f>COUNTIF($W$22:W721,1)</f>
        <v>0</v>
      </c>
      <c r="B721">
        <v>721</v>
      </c>
      <c r="C721" s="340" t="str">
        <f>IFERROR(Tabulka1[[#This Row],[KOD]],"")</f>
        <v>C755R/C</v>
      </c>
      <c r="W721" s="804" t="str">
        <f t="shared" si="22"/>
        <v/>
      </c>
      <c r="X721" s="154" t="str">
        <f t="shared" si="23"/>
        <v/>
      </c>
      <c r="Y721" s="341">
        <f>IF('General price list'!$AB723="",0,'General price list'!$AB723)</f>
        <v>0</v>
      </c>
      <c r="Z721" s="365" t="str">
        <f>IFERROR(X721*VLOOKUP(C721,'General price list'!C:I,7,FALSE),"")</f>
        <v/>
      </c>
      <c r="AA721" s="805" t="str">
        <f>IF(X721&lt;&gt;"",VLOOKUP(C721,'General price list'!C723:AN1696,MATCH("HM",Tabulka1[[#Headers],[KOD]:[NEQ]],0),FALSE),"")</f>
        <v/>
      </c>
    </row>
    <row r="722" spans="1:27">
      <c r="A722">
        <f>COUNTIF($W$22:W722,1)</f>
        <v>0</v>
      </c>
      <c r="B722">
        <v>722</v>
      </c>
      <c r="C722" s="340" t="str">
        <f>IFERROR(Tabulka1[[#This Row],[KOD]],"")</f>
        <v>C10545GI/C</v>
      </c>
      <c r="W722" s="804" t="str">
        <f t="shared" si="22"/>
        <v/>
      </c>
      <c r="X722" s="154" t="str">
        <f t="shared" si="23"/>
        <v/>
      </c>
      <c r="Y722" s="341">
        <f>IF('General price list'!$AB724="",0,'General price list'!$AB724)</f>
        <v>0</v>
      </c>
      <c r="Z722" s="365" t="str">
        <f>IFERROR(X722*VLOOKUP(C722,'General price list'!C:I,7,FALSE),"")</f>
        <v/>
      </c>
      <c r="AA722" s="805" t="str">
        <f>IF(X722&lt;&gt;"",VLOOKUP(C722,'General price list'!C724:AN1697,MATCH("HM",Tabulka1[[#Headers],[KOD]:[NEQ]],0),FALSE),"")</f>
        <v/>
      </c>
    </row>
    <row r="723" spans="1:27">
      <c r="A723">
        <f>COUNTIF($W$22:W723,1)</f>
        <v>0</v>
      </c>
      <c r="B723">
        <v>723</v>
      </c>
      <c r="C723" s="340">
        <f>IFERROR(Tabulka1[[#This Row],[KOD]],"")</f>
        <v>0</v>
      </c>
      <c r="W723" s="804" t="str">
        <f t="shared" si="22"/>
        <v/>
      </c>
      <c r="X723" s="154" t="str">
        <f t="shared" si="23"/>
        <v/>
      </c>
      <c r="Y723" s="341">
        <f>IF('General price list'!$AB725="",0,'General price list'!$AB725)</f>
        <v>0</v>
      </c>
      <c r="Z723" s="365" t="str">
        <f>IFERROR(X723*VLOOKUP(C723,'General price list'!C:I,7,FALSE),"")</f>
        <v/>
      </c>
      <c r="AA723" s="805" t="str">
        <f>IF(X723&lt;&gt;"",VLOOKUP(C723,'General price list'!C725:AN1698,MATCH("HM",Tabulka1[[#Headers],[KOD]:[NEQ]],0),FALSE),"")</f>
        <v/>
      </c>
    </row>
    <row r="724" spans="1:27">
      <c r="A724">
        <f>COUNTIF($W$22:W724,1)</f>
        <v>0</v>
      </c>
      <c r="B724">
        <v>724</v>
      </c>
      <c r="C724" s="340" t="str">
        <f>IFERROR(Tabulka1[[#This Row],[KOD]],"")</f>
        <v>C2505D</v>
      </c>
      <c r="W724" s="804" t="str">
        <f t="shared" si="22"/>
        <v/>
      </c>
      <c r="X724" s="154" t="str">
        <f t="shared" si="23"/>
        <v/>
      </c>
      <c r="Y724" s="341">
        <f>IF('General price list'!$AB726="",0,'General price list'!$AB726)</f>
        <v>0</v>
      </c>
      <c r="Z724" s="365" t="str">
        <f>IFERROR(X724*VLOOKUP(C724,'General price list'!C:I,7,FALSE),"")</f>
        <v/>
      </c>
      <c r="AA724" s="805" t="str">
        <f>IF(X724&lt;&gt;"",VLOOKUP(C724,'General price list'!C726:AN1699,MATCH("HM",Tabulka1[[#Headers],[KOD]:[NEQ]],0),FALSE),"")</f>
        <v/>
      </c>
    </row>
    <row r="725" spans="1:27">
      <c r="A725">
        <f>COUNTIF($W$22:W725,1)</f>
        <v>0</v>
      </c>
      <c r="B725">
        <v>725</v>
      </c>
      <c r="C725" s="340">
        <f>IFERROR(Tabulka1[[#This Row],[KOD]],"")</f>
        <v>0</v>
      </c>
      <c r="W725" s="804" t="str">
        <f t="shared" si="22"/>
        <v/>
      </c>
      <c r="X725" s="154" t="str">
        <f t="shared" si="23"/>
        <v/>
      </c>
      <c r="Y725" s="341">
        <f>IF('General price list'!$AB727="",0,'General price list'!$AB727)</f>
        <v>0</v>
      </c>
      <c r="Z725" s="365" t="str">
        <f>IFERROR(X725*VLOOKUP(C725,'General price list'!C:I,7,FALSE),"")</f>
        <v/>
      </c>
      <c r="AA725" s="805" t="str">
        <f>IF(X725&lt;&gt;"",VLOOKUP(C725,'General price list'!C727:AN1700,MATCH("HM",Tabulka1[[#Headers],[KOD]:[NEQ]],0),FALSE),"")</f>
        <v/>
      </c>
    </row>
    <row r="726" spans="1:27">
      <c r="A726">
        <f>COUNTIF($W$22:W726,1)</f>
        <v>0</v>
      </c>
      <c r="B726">
        <v>726</v>
      </c>
      <c r="C726" s="340" t="str">
        <f>IFERROR(Tabulka1[[#This Row],[KOD]],"")</f>
        <v>C2463B</v>
      </c>
      <c r="W726" s="804" t="str">
        <f t="shared" si="22"/>
        <v/>
      </c>
      <c r="X726" s="154" t="str">
        <f t="shared" si="23"/>
        <v/>
      </c>
      <c r="Y726" s="341">
        <f>IF('General price list'!$AB728="",0,'General price list'!$AB728)</f>
        <v>0</v>
      </c>
      <c r="Z726" s="365" t="str">
        <f>IFERROR(X726*VLOOKUP(C726,'General price list'!C:I,7,FALSE),"")</f>
        <v/>
      </c>
      <c r="AA726" s="805" t="str">
        <f>IF(X726&lt;&gt;"",VLOOKUP(C726,'General price list'!C728:AN1701,MATCH("HM",Tabulka1[[#Headers],[KOD]:[NEQ]],0),FALSE),"")</f>
        <v/>
      </c>
    </row>
    <row r="727" spans="1:27">
      <c r="A727">
        <f>COUNTIF($W$22:W727,1)</f>
        <v>0</v>
      </c>
      <c r="B727">
        <v>727</v>
      </c>
      <c r="C727" s="340">
        <f>IFERROR(Tabulka1[[#This Row],[KOD]],"")</f>
        <v>0</v>
      </c>
      <c r="W727" s="804" t="str">
        <f t="shared" si="22"/>
        <v/>
      </c>
      <c r="X727" s="154" t="str">
        <f t="shared" si="23"/>
        <v/>
      </c>
      <c r="Y727" s="341">
        <f>IF('General price list'!$AB729="",0,'General price list'!$AB729)</f>
        <v>0</v>
      </c>
      <c r="Z727" s="365" t="str">
        <f>IFERROR(X727*VLOOKUP(C727,'General price list'!C:I,7,FALSE),"")</f>
        <v/>
      </c>
      <c r="AA727" s="805" t="str">
        <f>IF(X727&lt;&gt;"",VLOOKUP(C727,'General price list'!C729:AN1702,MATCH("HM",Tabulka1[[#Headers],[KOD]:[NEQ]],0),FALSE),"")</f>
        <v/>
      </c>
    </row>
    <row r="728" spans="1:27">
      <c r="A728">
        <f>COUNTIF($W$22:W728,1)</f>
        <v>0</v>
      </c>
      <c r="B728">
        <v>728</v>
      </c>
      <c r="C728" s="340" t="str">
        <f>IFERROR(Tabulka1[[#This Row],[KOD]],"")</f>
        <v>C2575C</v>
      </c>
      <c r="W728" s="804" t="str">
        <f t="shared" ref="W728:W791" si="24">IF(Y728+1=1,"",1)</f>
        <v/>
      </c>
      <c r="X728" s="154" t="str">
        <f t="shared" ref="X728:X791" si="25">IF(Y728+1=1,"",Y728)</f>
        <v/>
      </c>
      <c r="Y728" s="341">
        <f>IF('General price list'!$AB730="",0,'General price list'!$AB730)</f>
        <v>0</v>
      </c>
      <c r="Z728" s="365" t="str">
        <f>IFERROR(X728*VLOOKUP(C728,'General price list'!C:I,7,FALSE),"")</f>
        <v/>
      </c>
      <c r="AA728" s="805" t="str">
        <f>IF(X728&lt;&gt;"",VLOOKUP(C728,'General price list'!C730:AN1703,MATCH("HM",Tabulka1[[#Headers],[KOD]:[NEQ]],0),FALSE),"")</f>
        <v/>
      </c>
    </row>
    <row r="729" spans="1:27">
      <c r="A729">
        <f>COUNTIF($W$22:W729,1)</f>
        <v>0</v>
      </c>
      <c r="B729">
        <v>729</v>
      </c>
      <c r="C729" s="340">
        <f>IFERROR(Tabulka1[[#This Row],[KOD]],"")</f>
        <v>0</v>
      </c>
      <c r="W729" s="804" t="str">
        <f t="shared" si="24"/>
        <v/>
      </c>
      <c r="X729" s="154" t="str">
        <f t="shared" si="25"/>
        <v/>
      </c>
      <c r="Y729" s="341">
        <f>IF('General price list'!$AB731="",0,'General price list'!$AB731)</f>
        <v>0</v>
      </c>
      <c r="Z729" s="365" t="str">
        <f>IFERROR(X729*VLOOKUP(C729,'General price list'!C:I,7,FALSE),"")</f>
        <v/>
      </c>
      <c r="AA729" s="805" t="str">
        <f>IF(X729&lt;&gt;"",VLOOKUP(C729,'General price list'!C731:AN1704,MATCH("HM",Tabulka1[[#Headers],[KOD]:[NEQ]],0),FALSE),"")</f>
        <v/>
      </c>
    </row>
    <row r="730" spans="1:27">
      <c r="A730">
        <f>COUNTIF($W$22:W730,1)</f>
        <v>0</v>
      </c>
      <c r="B730">
        <v>730</v>
      </c>
      <c r="C730" s="340">
        <f>IFERROR(Tabulka1[[#This Row],[KOD]],"")</f>
        <v>0</v>
      </c>
      <c r="W730" s="804" t="str">
        <f t="shared" si="24"/>
        <v/>
      </c>
      <c r="X730" s="154" t="str">
        <f t="shared" si="25"/>
        <v/>
      </c>
      <c r="Y730" s="341">
        <f>IF('General price list'!$AB732="",0,'General price list'!$AB732)</f>
        <v>0</v>
      </c>
      <c r="Z730" s="365" t="str">
        <f>IFERROR(X730*VLOOKUP(C730,'General price list'!C:I,7,FALSE),"")</f>
        <v/>
      </c>
      <c r="AA730" s="805" t="str">
        <f>IF(X730&lt;&gt;"",VLOOKUP(C730,'General price list'!C732:AN1705,MATCH("HM",Tabulka1[[#Headers],[KOD]:[NEQ]],0),FALSE),"")</f>
        <v/>
      </c>
    </row>
    <row r="731" spans="1:27">
      <c r="A731">
        <f>COUNTIF($W$22:W731,1)</f>
        <v>0</v>
      </c>
      <c r="B731">
        <v>731</v>
      </c>
      <c r="C731" s="340" t="str">
        <f>IFERROR(Tabulka1[[#This Row],[KOD]],"")</f>
        <v>C39MPT</v>
      </c>
      <c r="W731" s="804" t="str">
        <f t="shared" si="24"/>
        <v/>
      </c>
      <c r="X731" s="154" t="str">
        <f t="shared" si="25"/>
        <v/>
      </c>
      <c r="Y731" s="341">
        <f>IF('General price list'!$AB733="",0,'General price list'!$AB733)</f>
        <v>0</v>
      </c>
      <c r="Z731" s="365" t="str">
        <f>IFERROR(X731*VLOOKUP(C731,'General price list'!C:I,7,FALSE),"")</f>
        <v/>
      </c>
      <c r="AA731" s="805" t="str">
        <f>IF(X731&lt;&gt;"",VLOOKUP(C731,'General price list'!C733:AN1706,MATCH("HM",Tabulka1[[#Headers],[KOD]:[NEQ]],0),FALSE),"")</f>
        <v/>
      </c>
    </row>
    <row r="732" spans="1:27">
      <c r="A732">
        <f>COUNTIF($W$22:W732,1)</f>
        <v>0</v>
      </c>
      <c r="B732">
        <v>732</v>
      </c>
      <c r="C732" s="340">
        <f>IFERROR(Tabulka1[[#This Row],[KOD]],"")</f>
        <v>0</v>
      </c>
      <c r="W732" s="804" t="str">
        <f t="shared" si="24"/>
        <v/>
      </c>
      <c r="X732" s="154" t="str">
        <f t="shared" si="25"/>
        <v/>
      </c>
      <c r="Y732" s="341">
        <f>IF('General price list'!$AB734="",0,'General price list'!$AB734)</f>
        <v>0</v>
      </c>
      <c r="Z732" s="365" t="str">
        <f>IFERROR(X732*VLOOKUP(C732,'General price list'!C:I,7,FALSE),"")</f>
        <v/>
      </c>
      <c r="AA732" s="805" t="str">
        <f>IF(X732&lt;&gt;"",VLOOKUP(C732,'General price list'!C734:AN1707,MATCH("HM",Tabulka1[[#Headers],[KOD]:[NEQ]],0),FALSE),"")</f>
        <v/>
      </c>
    </row>
    <row r="733" spans="1:27">
      <c r="A733">
        <f>COUNTIF($W$22:W733,1)</f>
        <v>0</v>
      </c>
      <c r="B733">
        <v>733</v>
      </c>
      <c r="C733" s="340" t="str">
        <f>IFERROR(Tabulka1[[#This Row],[KOD]],"")</f>
        <v>C46MXP</v>
      </c>
      <c r="W733" s="804" t="str">
        <f t="shared" si="24"/>
        <v/>
      </c>
      <c r="X733" s="154" t="str">
        <f t="shared" si="25"/>
        <v/>
      </c>
      <c r="Y733" s="341">
        <f>IF('General price list'!$AB735="",0,'General price list'!$AB735)</f>
        <v>0</v>
      </c>
      <c r="Z733" s="365" t="str">
        <f>IFERROR(X733*VLOOKUP(C733,'General price list'!C:I,7,FALSE),"")</f>
        <v/>
      </c>
      <c r="AA733" s="805" t="str">
        <f>IF(X733&lt;&gt;"",VLOOKUP(C733,'General price list'!C735:AN1708,MATCH("HM",Tabulka1[[#Headers],[KOD]:[NEQ]],0),FALSE),"")</f>
        <v/>
      </c>
    </row>
    <row r="734" spans="1:27">
      <c r="A734">
        <f>COUNTIF($W$22:W734,1)</f>
        <v>0</v>
      </c>
      <c r="B734">
        <v>734</v>
      </c>
      <c r="C734" s="340">
        <f>IFERROR(Tabulka1[[#This Row],[KOD]],"")</f>
        <v>0</v>
      </c>
      <c r="W734" s="804" t="str">
        <f t="shared" si="24"/>
        <v/>
      </c>
      <c r="X734" s="154" t="str">
        <f t="shared" si="25"/>
        <v/>
      </c>
      <c r="Y734" s="341">
        <f>IF('General price list'!$AB736="",0,'General price list'!$AB736)</f>
        <v>0</v>
      </c>
      <c r="Z734" s="365" t="str">
        <f>IFERROR(X734*VLOOKUP(C734,'General price list'!C:I,7,FALSE),"")</f>
        <v/>
      </c>
      <c r="AA734" s="805" t="str">
        <f>IF(X734&lt;&gt;"",VLOOKUP(C734,'General price list'!C736:AN1709,MATCH("HM",Tabulka1[[#Headers],[KOD]:[NEQ]],0),FALSE),"")</f>
        <v/>
      </c>
    </row>
    <row r="735" spans="1:27">
      <c r="A735">
        <f>COUNTIF($W$22:W735,1)</f>
        <v>0</v>
      </c>
      <c r="B735">
        <v>735</v>
      </c>
      <c r="C735" s="340" t="str">
        <f>IFERROR(Tabulka1[[#This Row],[KOD]],"")</f>
        <v>C48XMF14</v>
      </c>
      <c r="W735" s="804" t="str">
        <f t="shared" si="24"/>
        <v/>
      </c>
      <c r="X735" s="154" t="str">
        <f t="shared" si="25"/>
        <v/>
      </c>
      <c r="Y735" s="341">
        <f>IF('General price list'!$AB737="",0,'General price list'!$AB737)</f>
        <v>0</v>
      </c>
      <c r="Z735" s="365" t="str">
        <f>IFERROR(X735*VLOOKUP(C735,'General price list'!C:I,7,FALSE),"")</f>
        <v/>
      </c>
      <c r="AA735" s="805" t="str">
        <f>IF(X735&lt;&gt;"",VLOOKUP(C735,'General price list'!C737:AN1710,MATCH("HM",Tabulka1[[#Headers],[KOD]:[NEQ]],0),FALSE),"")</f>
        <v/>
      </c>
    </row>
    <row r="736" spans="1:27">
      <c r="A736">
        <f>COUNTIF($W$22:W736,1)</f>
        <v>0</v>
      </c>
      <c r="B736">
        <v>736</v>
      </c>
      <c r="C736" s="340">
        <f>IFERROR(Tabulka1[[#This Row],[KOD]],"")</f>
        <v>0</v>
      </c>
      <c r="W736" s="804" t="str">
        <f t="shared" si="24"/>
        <v/>
      </c>
      <c r="X736" s="154" t="str">
        <f t="shared" si="25"/>
        <v/>
      </c>
      <c r="Y736" s="341">
        <f>IF('General price list'!$AB738="",0,'General price list'!$AB738)</f>
        <v>0</v>
      </c>
      <c r="Z736" s="365" t="str">
        <f>IFERROR(X736*VLOOKUP(C736,'General price list'!C:I,7,FALSE),"")</f>
        <v/>
      </c>
      <c r="AA736" s="805" t="str">
        <f>IF(X736&lt;&gt;"",VLOOKUP(C736,'General price list'!C738:AN1711,MATCH("HM",Tabulka1[[#Headers],[KOD]:[NEQ]],0),FALSE),"")</f>
        <v/>
      </c>
    </row>
    <row r="737" spans="1:27">
      <c r="A737">
        <f>COUNTIF($W$22:W737,1)</f>
        <v>0</v>
      </c>
      <c r="B737">
        <v>737</v>
      </c>
      <c r="C737" s="340" t="str">
        <f>IFERROR(Tabulka1[[#This Row],[KOD]],"")</f>
        <v>C50MO</v>
      </c>
      <c r="W737" s="804" t="str">
        <f t="shared" si="24"/>
        <v/>
      </c>
      <c r="X737" s="154" t="str">
        <f t="shared" si="25"/>
        <v/>
      </c>
      <c r="Y737" s="341">
        <f>IF('General price list'!$AB739="",0,'General price list'!$AB739)</f>
        <v>0</v>
      </c>
      <c r="Z737" s="365" t="str">
        <f>IFERROR(X737*VLOOKUP(C737,'General price list'!C:I,7,FALSE),"")</f>
        <v/>
      </c>
      <c r="AA737" s="805" t="str">
        <f>IF(X737&lt;&gt;"",VLOOKUP(C737,'General price list'!C739:AN1712,MATCH("HM",Tabulka1[[#Headers],[KOD]:[NEQ]],0),FALSE),"")</f>
        <v/>
      </c>
    </row>
    <row r="738" spans="1:27">
      <c r="A738">
        <f>COUNTIF($W$22:W738,1)</f>
        <v>0</v>
      </c>
      <c r="B738">
        <v>738</v>
      </c>
      <c r="C738" s="340" t="str">
        <f>IFERROR(Tabulka1[[#This Row],[KOD]],"")</f>
        <v>C50MCH</v>
      </c>
      <c r="W738" s="804" t="str">
        <f t="shared" si="24"/>
        <v/>
      </c>
      <c r="X738" s="154" t="str">
        <f t="shared" si="25"/>
        <v/>
      </c>
      <c r="Y738" s="341">
        <f>IF('General price list'!$AB740="",0,'General price list'!$AB740)</f>
        <v>0</v>
      </c>
      <c r="Z738" s="365" t="str">
        <f>IFERROR(X738*VLOOKUP(C738,'General price list'!C:I,7,FALSE),"")</f>
        <v/>
      </c>
      <c r="AA738" s="805" t="str">
        <f>IF(X738&lt;&gt;"",VLOOKUP(C738,'General price list'!C740:AN1713,MATCH("HM",Tabulka1[[#Headers],[KOD]:[NEQ]],0),FALSE),"")</f>
        <v/>
      </c>
    </row>
    <row r="739" spans="1:27">
      <c r="A739">
        <f>COUNTIF($W$22:W739,1)</f>
        <v>0</v>
      </c>
      <c r="B739">
        <v>739</v>
      </c>
      <c r="C739" s="340">
        <f>IFERROR(Tabulka1[[#This Row],[KOD]],"")</f>
        <v>0</v>
      </c>
      <c r="W739" s="804" t="str">
        <f t="shared" si="24"/>
        <v/>
      </c>
      <c r="X739" s="154" t="str">
        <f t="shared" si="25"/>
        <v/>
      </c>
      <c r="Y739" s="341">
        <f>IF('General price list'!$AB741="",0,'General price list'!$AB741)</f>
        <v>0</v>
      </c>
      <c r="Z739" s="365" t="str">
        <f>IFERROR(X739*VLOOKUP(C739,'General price list'!C:I,7,FALSE),"")</f>
        <v/>
      </c>
      <c r="AA739" s="805" t="str">
        <f>IF(X739&lt;&gt;"",VLOOKUP(C739,'General price list'!C741:AN1714,MATCH("HM",Tabulka1[[#Headers],[KOD]:[NEQ]],0),FALSE),"")</f>
        <v/>
      </c>
    </row>
    <row r="740" spans="1:27">
      <c r="A740">
        <f>COUNTIF($W$22:W740,1)</f>
        <v>0</v>
      </c>
      <c r="B740">
        <v>740</v>
      </c>
      <c r="C740" s="340" t="str">
        <f>IFERROR(Tabulka1[[#This Row],[KOD]],"")</f>
        <v>C64MT</v>
      </c>
      <c r="W740" s="804" t="str">
        <f t="shared" si="24"/>
        <v/>
      </c>
      <c r="X740" s="154" t="str">
        <f t="shared" si="25"/>
        <v/>
      </c>
      <c r="Y740" s="341">
        <f>IF('General price list'!$AB742="",0,'General price list'!$AB742)</f>
        <v>0</v>
      </c>
      <c r="Z740" s="365" t="str">
        <f>IFERROR(X740*VLOOKUP(C740,'General price list'!C:I,7,FALSE),"")</f>
        <v/>
      </c>
      <c r="AA740" s="805" t="str">
        <f>IF(X740&lt;&gt;"",VLOOKUP(C740,'General price list'!C742:AN1715,MATCH("HM",Tabulka1[[#Headers],[KOD]:[NEQ]],0),FALSE),"")</f>
        <v/>
      </c>
    </row>
    <row r="741" spans="1:27">
      <c r="A741">
        <f>COUNTIF($W$22:W741,1)</f>
        <v>0</v>
      </c>
      <c r="B741">
        <v>741</v>
      </c>
      <c r="C741" s="340" t="str">
        <f>IFERROR(Tabulka1[[#This Row],[KOD]],"")</f>
        <v>C64MP</v>
      </c>
      <c r="W741" s="804" t="str">
        <f t="shared" si="24"/>
        <v/>
      </c>
      <c r="X741" s="154" t="str">
        <f t="shared" si="25"/>
        <v/>
      </c>
      <c r="Y741" s="341">
        <f>IF('General price list'!$AB743="",0,'General price list'!$AB743)</f>
        <v>0</v>
      </c>
      <c r="Z741" s="365" t="str">
        <f>IFERROR(X741*VLOOKUP(C741,'General price list'!C:I,7,FALSE),"")</f>
        <v/>
      </c>
      <c r="AA741" s="805" t="str">
        <f>IF(X741&lt;&gt;"",VLOOKUP(C741,'General price list'!C743:AN1716,MATCH("HM",Tabulka1[[#Headers],[KOD]:[NEQ]],0),FALSE),"")</f>
        <v/>
      </c>
    </row>
    <row r="742" spans="1:27">
      <c r="A742">
        <f>COUNTIF($W$22:W742,1)</f>
        <v>0</v>
      </c>
      <c r="B742">
        <v>742</v>
      </c>
      <c r="C742" s="340">
        <f>IFERROR(Tabulka1[[#This Row],[KOD]],"")</f>
        <v>0</v>
      </c>
      <c r="W742" s="804" t="str">
        <f t="shared" si="24"/>
        <v/>
      </c>
      <c r="X742" s="154" t="str">
        <f t="shared" si="25"/>
        <v/>
      </c>
      <c r="Y742" s="341">
        <f>IF('General price list'!$AB744="",0,'General price list'!$AB744)</f>
        <v>0</v>
      </c>
      <c r="Z742" s="365" t="str">
        <f>IFERROR(X742*VLOOKUP(C742,'General price list'!C:I,7,FALSE),"")</f>
        <v/>
      </c>
      <c r="AA742" s="805" t="str">
        <f>IF(X742&lt;&gt;"",VLOOKUP(C742,'General price list'!C744:AN1717,MATCH("HM",Tabulka1[[#Headers],[KOD]:[NEQ]],0),FALSE),"")</f>
        <v/>
      </c>
    </row>
    <row r="743" spans="1:27">
      <c r="A743">
        <f>COUNTIF($W$22:W743,1)</f>
        <v>0</v>
      </c>
      <c r="B743">
        <v>743</v>
      </c>
      <c r="C743" s="340" t="str">
        <f>IFERROR(Tabulka1[[#This Row],[KOD]],"")</f>
        <v>C68XMPT</v>
      </c>
      <c r="W743" s="804" t="str">
        <f t="shared" si="24"/>
        <v/>
      </c>
      <c r="X743" s="154" t="str">
        <f t="shared" si="25"/>
        <v/>
      </c>
      <c r="Y743" s="341">
        <f>IF('General price list'!$AB745="",0,'General price list'!$AB745)</f>
        <v>0</v>
      </c>
      <c r="Z743" s="365" t="str">
        <f>IFERROR(X743*VLOOKUP(C743,'General price list'!C:I,7,FALSE),"")</f>
        <v/>
      </c>
      <c r="AA743" s="805" t="str">
        <f>IF(X743&lt;&gt;"",VLOOKUP(C743,'General price list'!C745:AN1718,MATCH("HM",Tabulka1[[#Headers],[KOD]:[NEQ]],0),FALSE),"")</f>
        <v/>
      </c>
    </row>
    <row r="744" spans="1:27">
      <c r="A744">
        <f>COUNTIF($W$22:W744,1)</f>
        <v>0</v>
      </c>
      <c r="B744">
        <v>744</v>
      </c>
      <c r="C744" s="340">
        <f>IFERROR(Tabulka1[[#This Row],[KOD]],"")</f>
        <v>0</v>
      </c>
      <c r="W744" s="804" t="str">
        <f t="shared" si="24"/>
        <v/>
      </c>
      <c r="X744" s="154" t="str">
        <f t="shared" si="25"/>
        <v/>
      </c>
      <c r="Y744" s="341">
        <f>IF('General price list'!$AB746="",0,'General price list'!$AB746)</f>
        <v>0</v>
      </c>
      <c r="Z744" s="365" t="str">
        <f>IFERROR(X744*VLOOKUP(C744,'General price list'!C:I,7,FALSE),"")</f>
        <v/>
      </c>
      <c r="AA744" s="805" t="str">
        <f>IF(X744&lt;&gt;"",VLOOKUP(C744,'General price list'!C746:AN1719,MATCH("HM",Tabulka1[[#Headers],[KOD]:[NEQ]],0),FALSE),"")</f>
        <v/>
      </c>
    </row>
    <row r="745" spans="1:27">
      <c r="A745">
        <f>COUNTIF($W$22:W745,1)</f>
        <v>0</v>
      </c>
      <c r="B745">
        <v>745</v>
      </c>
      <c r="C745" s="340" t="str">
        <f>IFERROR(Tabulka1[[#This Row],[KOD]],"")</f>
        <v>C68XMPT14</v>
      </c>
      <c r="W745" s="804" t="str">
        <f t="shared" si="24"/>
        <v/>
      </c>
      <c r="X745" s="154" t="str">
        <f t="shared" si="25"/>
        <v/>
      </c>
      <c r="Y745" s="341">
        <f>IF('General price list'!$AB747="",0,'General price list'!$AB747)</f>
        <v>0</v>
      </c>
      <c r="Z745" s="365" t="str">
        <f>IFERROR(X745*VLOOKUP(C745,'General price list'!C:I,7,FALSE),"")</f>
        <v/>
      </c>
      <c r="AA745" s="805" t="str">
        <f>IF(X745&lt;&gt;"",VLOOKUP(C745,'General price list'!C747:AN1720,MATCH("HM",Tabulka1[[#Headers],[KOD]:[NEQ]],0),FALSE),"")</f>
        <v/>
      </c>
    </row>
    <row r="746" spans="1:27">
      <c r="A746">
        <f>COUNTIF($W$22:W746,1)</f>
        <v>0</v>
      </c>
      <c r="B746">
        <v>746</v>
      </c>
      <c r="C746" s="340">
        <f>IFERROR(Tabulka1[[#This Row],[KOD]],"")</f>
        <v>0</v>
      </c>
      <c r="W746" s="804" t="str">
        <f t="shared" si="24"/>
        <v/>
      </c>
      <c r="X746" s="154" t="str">
        <f t="shared" si="25"/>
        <v/>
      </c>
      <c r="Y746" s="341">
        <f>IF('General price list'!$AB748="",0,'General price list'!$AB748)</f>
        <v>0</v>
      </c>
      <c r="Z746" s="365" t="str">
        <f>IFERROR(X746*VLOOKUP(C746,'General price list'!C:I,7,FALSE),"")</f>
        <v/>
      </c>
      <c r="AA746" s="805" t="str">
        <f>IF(X746&lt;&gt;"",VLOOKUP(C746,'General price list'!C748:AN1721,MATCH("HM",Tabulka1[[#Headers],[KOD]:[NEQ]],0),FALSE),"")</f>
        <v/>
      </c>
    </row>
    <row r="747" spans="1:27">
      <c r="A747">
        <f>COUNTIF($W$22:W747,1)</f>
        <v>0</v>
      </c>
      <c r="B747">
        <v>747</v>
      </c>
      <c r="C747" s="340" t="str">
        <f>IFERROR(Tabulka1[[#This Row],[KOD]],"")</f>
        <v>C77MXR14</v>
      </c>
      <c r="W747" s="804" t="str">
        <f t="shared" si="24"/>
        <v/>
      </c>
      <c r="X747" s="154" t="str">
        <f t="shared" si="25"/>
        <v/>
      </c>
      <c r="Y747" s="341">
        <f>IF('General price list'!$AB749="",0,'General price list'!$AB749)</f>
        <v>0</v>
      </c>
      <c r="Z747" s="365" t="str">
        <f>IFERROR(X747*VLOOKUP(C747,'General price list'!C:I,7,FALSE),"")</f>
        <v/>
      </c>
      <c r="AA747" s="805" t="str">
        <f>IF(X747&lt;&gt;"",VLOOKUP(C747,'General price list'!C749:AN1722,MATCH("HM",Tabulka1[[#Headers],[KOD]:[NEQ]],0),FALSE),"")</f>
        <v/>
      </c>
    </row>
    <row r="748" spans="1:27">
      <c r="A748">
        <f>COUNTIF($W$22:W748,1)</f>
        <v>0</v>
      </c>
      <c r="B748">
        <v>748</v>
      </c>
      <c r="C748" s="340">
        <f>IFERROR(Tabulka1[[#This Row],[KOD]],"")</f>
        <v>0</v>
      </c>
      <c r="W748" s="804" t="str">
        <f t="shared" si="24"/>
        <v/>
      </c>
      <c r="X748" s="154" t="str">
        <f t="shared" si="25"/>
        <v/>
      </c>
      <c r="Y748" s="341">
        <f>IF('General price list'!$AB750="",0,'General price list'!$AB750)</f>
        <v>0</v>
      </c>
      <c r="Z748" s="365" t="str">
        <f>IFERROR(X748*VLOOKUP(C748,'General price list'!C:I,7,FALSE),"")</f>
        <v/>
      </c>
      <c r="AA748" s="805" t="str">
        <f>IF(X748&lt;&gt;"",VLOOKUP(C748,'General price list'!C750:AN1723,MATCH("HM",Tabulka1[[#Headers],[KOD]:[NEQ]],0),FALSE),"")</f>
        <v/>
      </c>
    </row>
    <row r="749" spans="1:27">
      <c r="A749">
        <f>COUNTIF($W$22:W749,1)</f>
        <v>0</v>
      </c>
      <c r="B749">
        <v>749</v>
      </c>
      <c r="C749" s="340" t="str">
        <f>IFERROR(Tabulka1[[#This Row],[KOD]],"")</f>
        <v>C100MXS14</v>
      </c>
      <c r="W749" s="804" t="str">
        <f t="shared" si="24"/>
        <v/>
      </c>
      <c r="X749" s="154" t="str">
        <f t="shared" si="25"/>
        <v/>
      </c>
      <c r="Y749" s="341">
        <f>IF('General price list'!$AB751="",0,'General price list'!$AB751)</f>
        <v>0</v>
      </c>
      <c r="Z749" s="365" t="str">
        <f>IFERROR(X749*VLOOKUP(C749,'General price list'!C:I,7,FALSE),"")</f>
        <v/>
      </c>
      <c r="AA749" s="805" t="str">
        <f>IF(X749&lt;&gt;"",VLOOKUP(C749,'General price list'!C751:AN1724,MATCH("HM",Tabulka1[[#Headers],[KOD]:[NEQ]],0),FALSE),"")</f>
        <v/>
      </c>
    </row>
    <row r="750" spans="1:27">
      <c r="A750">
        <f>COUNTIF($W$22:W750,1)</f>
        <v>0</v>
      </c>
      <c r="B750">
        <v>750</v>
      </c>
      <c r="C750" s="340">
        <f>IFERROR(Tabulka1[[#This Row],[KOD]],"")</f>
        <v>0</v>
      </c>
      <c r="W750" s="804" t="str">
        <f t="shared" si="24"/>
        <v/>
      </c>
      <c r="X750" s="154" t="str">
        <f t="shared" si="25"/>
        <v/>
      </c>
      <c r="Y750" s="341">
        <f>IF('General price list'!$AB752="",0,'General price list'!$AB752)</f>
        <v>0</v>
      </c>
      <c r="Z750" s="365" t="str">
        <f>IFERROR(X750*VLOOKUP(C750,'General price list'!C:I,7,FALSE),"")</f>
        <v/>
      </c>
      <c r="AA750" s="805" t="str">
        <f>IF(X750&lt;&gt;"",VLOOKUP(C750,'General price list'!C752:AN1725,MATCH("HM",Tabulka1[[#Headers],[KOD]:[NEQ]],0),FALSE),"")</f>
        <v/>
      </c>
    </row>
    <row r="751" spans="1:27">
      <c r="A751">
        <f>COUNTIF($W$22:W751,1)</f>
        <v>0</v>
      </c>
      <c r="B751">
        <v>751</v>
      </c>
      <c r="C751" s="340" t="str">
        <f>IFERROR(Tabulka1[[#This Row],[KOD]],"")</f>
        <v>C148MXP14</v>
      </c>
      <c r="W751" s="804" t="str">
        <f t="shared" si="24"/>
        <v/>
      </c>
      <c r="X751" s="154" t="str">
        <f t="shared" si="25"/>
        <v/>
      </c>
      <c r="Y751" s="341">
        <f>IF('General price list'!$AB753="",0,'General price list'!$AB753)</f>
        <v>0</v>
      </c>
      <c r="Z751" s="365" t="str">
        <f>IFERROR(X751*VLOOKUP(C751,'General price list'!C:I,7,FALSE),"")</f>
        <v/>
      </c>
      <c r="AA751" s="805" t="str">
        <f>IF(X751&lt;&gt;"",VLOOKUP(C751,'General price list'!C753:AN1726,MATCH("HM",Tabulka1[[#Headers],[KOD]:[NEQ]],0),FALSE),"")</f>
        <v/>
      </c>
    </row>
    <row r="752" spans="1:27">
      <c r="A752">
        <f>COUNTIF($W$22:W752,1)</f>
        <v>0</v>
      </c>
      <c r="B752">
        <v>752</v>
      </c>
      <c r="C752" s="340">
        <f>IFERROR(Tabulka1[[#This Row],[KOD]],"")</f>
        <v>0</v>
      </c>
      <c r="W752" s="804" t="str">
        <f t="shared" si="24"/>
        <v/>
      </c>
      <c r="X752" s="154" t="str">
        <f t="shared" si="25"/>
        <v/>
      </c>
      <c r="Y752" s="341">
        <f>IF('General price list'!$AB754="",0,'General price list'!$AB754)</f>
        <v>0</v>
      </c>
      <c r="Z752" s="365" t="str">
        <f>IFERROR(X752*VLOOKUP(C752,'General price list'!C:I,7,FALSE),"")</f>
        <v/>
      </c>
      <c r="AA752" s="805" t="str">
        <f>IF(X752&lt;&gt;"",VLOOKUP(C752,'General price list'!C754:AN1727,MATCH("HM",Tabulka1[[#Headers],[KOD]:[NEQ]],0),FALSE),"")</f>
        <v/>
      </c>
    </row>
    <row r="753" spans="1:27">
      <c r="A753">
        <f>COUNTIF($W$22:W753,1)</f>
        <v>0</v>
      </c>
      <c r="B753">
        <v>753</v>
      </c>
      <c r="C753" s="340" t="str">
        <f>IFERROR(Tabulka1[[#This Row],[KOD]],"")</f>
        <v>C165MXV14</v>
      </c>
      <c r="W753" s="804" t="str">
        <f t="shared" si="24"/>
        <v/>
      </c>
      <c r="X753" s="154" t="str">
        <f t="shared" si="25"/>
        <v/>
      </c>
      <c r="Y753" s="341">
        <f>IF('General price list'!$AB755="",0,'General price list'!$AB755)</f>
        <v>0</v>
      </c>
      <c r="Z753" s="365" t="str">
        <f>IFERROR(X753*VLOOKUP(C753,'General price list'!C:I,7,FALSE),"")</f>
        <v/>
      </c>
      <c r="AA753" s="805" t="str">
        <f>IF(X753&lt;&gt;"",VLOOKUP(C753,'General price list'!C755:AN1728,MATCH("HM",Tabulka1[[#Headers],[KOD]:[NEQ]],0),FALSE),"")</f>
        <v/>
      </c>
    </row>
    <row r="754" spans="1:27">
      <c r="A754">
        <f>COUNTIF($W$22:W754,1)</f>
        <v>0</v>
      </c>
      <c r="B754">
        <v>754</v>
      </c>
      <c r="C754" s="340">
        <f>IFERROR(Tabulka1[[#This Row],[KOD]],"")</f>
        <v>0</v>
      </c>
      <c r="W754" s="804" t="str">
        <f t="shared" si="24"/>
        <v/>
      </c>
      <c r="X754" s="154" t="str">
        <f t="shared" si="25"/>
        <v/>
      </c>
      <c r="Y754" s="341">
        <f>IF('General price list'!$AB756="",0,'General price list'!$AB756)</f>
        <v>0</v>
      </c>
      <c r="Z754" s="365" t="str">
        <f>IFERROR(X754*VLOOKUP(C754,'General price list'!C:I,7,FALSE),"")</f>
        <v/>
      </c>
      <c r="AA754" s="805" t="str">
        <f>IF(X754&lt;&gt;"",VLOOKUP(C754,'General price list'!C756:AN1729,MATCH("HM",Tabulka1[[#Headers],[KOD]:[NEQ]],0),FALSE),"")</f>
        <v/>
      </c>
    </row>
    <row r="755" spans="1:27">
      <c r="A755">
        <f>COUNTIF($W$22:W755,1)</f>
        <v>0</v>
      </c>
      <c r="B755">
        <v>755</v>
      </c>
      <c r="C755" s="340" t="str">
        <f>IFERROR(Tabulka1[[#This Row],[KOD]],"")</f>
        <v>C170MXR14</v>
      </c>
      <c r="W755" s="804" t="str">
        <f t="shared" si="24"/>
        <v/>
      </c>
      <c r="X755" s="154" t="str">
        <f t="shared" si="25"/>
        <v/>
      </c>
      <c r="Y755" s="341">
        <f>IF('General price list'!$AB757="",0,'General price list'!$AB757)</f>
        <v>0</v>
      </c>
      <c r="Z755" s="365" t="str">
        <f>IFERROR(X755*VLOOKUP(C755,'General price list'!C:I,7,FALSE),"")</f>
        <v/>
      </c>
      <c r="AA755" s="805" t="str">
        <f>IF(X755&lt;&gt;"",VLOOKUP(C755,'General price list'!C757:AN1730,MATCH("HM",Tabulka1[[#Headers],[KOD]:[NEQ]],0),FALSE),"")</f>
        <v/>
      </c>
    </row>
    <row r="756" spans="1:27">
      <c r="A756">
        <f>COUNTIF($W$22:W756,1)</f>
        <v>0</v>
      </c>
      <c r="B756">
        <v>756</v>
      </c>
      <c r="C756" s="340">
        <f>IFERROR(Tabulka1[[#This Row],[KOD]],"")</f>
        <v>0</v>
      </c>
      <c r="W756" s="804" t="str">
        <f t="shared" si="24"/>
        <v/>
      </c>
      <c r="X756" s="154" t="str">
        <f t="shared" si="25"/>
        <v/>
      </c>
      <c r="Y756" s="341">
        <f>IF('General price list'!$AB758="",0,'General price list'!$AB758)</f>
        <v>0</v>
      </c>
      <c r="Z756" s="365" t="str">
        <f>IFERROR(X756*VLOOKUP(C756,'General price list'!C:I,7,FALSE),"")</f>
        <v/>
      </c>
      <c r="AA756" s="805" t="str">
        <f>IF(X756&lt;&gt;"",VLOOKUP(C756,'General price list'!C758:AN1731,MATCH("HM",Tabulka1[[#Headers],[KOD]:[NEQ]],0),FALSE),"")</f>
        <v/>
      </c>
    </row>
    <row r="757" spans="1:27">
      <c r="A757">
        <f>COUNTIF($W$22:W757,1)</f>
        <v>0</v>
      </c>
      <c r="B757">
        <v>757</v>
      </c>
      <c r="C757" s="340">
        <f>IFERROR(Tabulka1[[#This Row],[KOD]],"")</f>
        <v>0</v>
      </c>
      <c r="W757" s="804" t="str">
        <f t="shared" si="24"/>
        <v/>
      </c>
      <c r="X757" s="154" t="str">
        <f t="shared" si="25"/>
        <v/>
      </c>
      <c r="Y757" s="341">
        <f>IF('General price list'!$AB759="",0,'General price list'!$AB759)</f>
        <v>0</v>
      </c>
      <c r="Z757" s="365" t="str">
        <f>IFERROR(X757*VLOOKUP(C757,'General price list'!C:I,7,FALSE),"")</f>
        <v/>
      </c>
      <c r="AA757" s="805" t="str">
        <f>IF(X757&lt;&gt;"",VLOOKUP(C757,'General price list'!C759:AN1732,MATCH("HM",Tabulka1[[#Headers],[KOD]:[NEQ]],0),FALSE),"")</f>
        <v/>
      </c>
    </row>
    <row r="758" spans="1:27">
      <c r="A758">
        <f>COUNTIF($W$22:W758,1)</f>
        <v>0</v>
      </c>
      <c r="B758">
        <v>758</v>
      </c>
      <c r="C758" s="340" t="str">
        <f>IFERROR(Tabulka1[[#This Row],[KOD]],"")</f>
        <v>C40FMH</v>
      </c>
      <c r="W758" s="804" t="str">
        <f t="shared" si="24"/>
        <v/>
      </c>
      <c r="X758" s="154" t="str">
        <f t="shared" si="25"/>
        <v/>
      </c>
      <c r="Y758" s="341">
        <f>IF('General price list'!$AB760="",0,'General price list'!$AB760)</f>
        <v>0</v>
      </c>
      <c r="Z758" s="365" t="str">
        <f>IFERROR(X758*VLOOKUP(C758,'General price list'!C:I,7,FALSE),"")</f>
        <v/>
      </c>
      <c r="AA758" s="805" t="str">
        <f>IF(X758&lt;&gt;"",VLOOKUP(C758,'General price list'!C760:AN1733,MATCH("HM",Tabulka1[[#Headers],[KOD]:[NEQ]],0),FALSE),"")</f>
        <v/>
      </c>
    </row>
    <row r="759" spans="1:27">
      <c r="A759">
        <f>COUNTIF($W$22:W759,1)</f>
        <v>0</v>
      </c>
      <c r="B759">
        <v>759</v>
      </c>
      <c r="C759" s="340">
        <f>IFERROR(Tabulka1[[#This Row],[KOD]],"")</f>
        <v>0</v>
      </c>
      <c r="W759" s="804" t="str">
        <f t="shared" si="24"/>
        <v/>
      </c>
      <c r="X759" s="154" t="str">
        <f t="shared" si="25"/>
        <v/>
      </c>
      <c r="Y759" s="341">
        <f>IF('General price list'!$AB761="",0,'General price list'!$AB761)</f>
        <v>0</v>
      </c>
      <c r="Z759" s="365" t="str">
        <f>IFERROR(X759*VLOOKUP(C759,'General price list'!C:I,7,FALSE),"")</f>
        <v/>
      </c>
      <c r="AA759" s="805" t="str">
        <f>IF(X759&lt;&gt;"",VLOOKUP(C759,'General price list'!C761:AN1734,MATCH("HM",Tabulka1[[#Headers],[KOD]:[NEQ]],0),FALSE),"")</f>
        <v/>
      </c>
    </row>
    <row r="760" spans="1:27">
      <c r="A760">
        <f>COUNTIF($W$22:W760,1)</f>
        <v>0</v>
      </c>
      <c r="B760">
        <v>760</v>
      </c>
      <c r="C760" s="340" t="str">
        <f>IFERROR(Tabulka1[[#This Row],[KOD]],"")</f>
        <v>C100MPT</v>
      </c>
      <c r="W760" s="804" t="str">
        <f t="shared" si="24"/>
        <v/>
      </c>
      <c r="X760" s="154" t="str">
        <f t="shared" si="25"/>
        <v/>
      </c>
      <c r="Y760" s="341">
        <f>IF('General price list'!$AB762="",0,'General price list'!$AB762)</f>
        <v>0</v>
      </c>
      <c r="Z760" s="365" t="str">
        <f>IFERROR(X760*VLOOKUP(C760,'General price list'!C:I,7,FALSE),"")</f>
        <v/>
      </c>
      <c r="AA760" s="805" t="str">
        <f>IF(X760&lt;&gt;"",VLOOKUP(C760,'General price list'!C762:AN1735,MATCH("HM",Tabulka1[[#Headers],[KOD]:[NEQ]],0),FALSE),"")</f>
        <v/>
      </c>
    </row>
    <row r="761" spans="1:27">
      <c r="A761">
        <f>COUNTIF($W$22:W761,1)</f>
        <v>0</v>
      </c>
      <c r="B761">
        <v>761</v>
      </c>
      <c r="C761" s="340" t="str">
        <f>IFERROR(Tabulka1[[#This Row],[KOD]],"")</f>
        <v>C100MN</v>
      </c>
      <c r="W761" s="804" t="str">
        <f t="shared" si="24"/>
        <v/>
      </c>
      <c r="X761" s="154" t="str">
        <f t="shared" si="25"/>
        <v/>
      </c>
      <c r="Y761" s="341">
        <f>IF('General price list'!$AB763="",0,'General price list'!$AB763)</f>
        <v>0</v>
      </c>
      <c r="Z761" s="365" t="str">
        <f>IFERROR(X761*VLOOKUP(C761,'General price list'!C:I,7,FALSE),"")</f>
        <v/>
      </c>
      <c r="AA761" s="805" t="str">
        <f>IF(X761&lt;&gt;"",VLOOKUP(C761,'General price list'!C763:AN1736,MATCH("HM",Tabulka1[[#Headers],[KOD]:[NEQ]],0),FALSE),"")</f>
        <v/>
      </c>
    </row>
    <row r="762" spans="1:27">
      <c r="A762">
        <f>COUNTIF($W$22:W762,1)</f>
        <v>0</v>
      </c>
      <c r="B762">
        <v>762</v>
      </c>
      <c r="C762" s="340">
        <f>IFERROR(Tabulka1[[#This Row],[KOD]],"")</f>
        <v>0</v>
      </c>
      <c r="W762" s="804" t="str">
        <f t="shared" si="24"/>
        <v/>
      </c>
      <c r="X762" s="154" t="str">
        <f t="shared" si="25"/>
        <v/>
      </c>
      <c r="Y762" s="341">
        <f>IF('General price list'!$AB764="",0,'General price list'!$AB764)</f>
        <v>0</v>
      </c>
      <c r="Z762" s="365" t="str">
        <f>IFERROR(X762*VLOOKUP(C762,'General price list'!C:I,7,FALSE),"")</f>
        <v/>
      </c>
      <c r="AA762" s="805" t="str">
        <f>IF(X762&lt;&gt;"",VLOOKUP(C762,'General price list'!C764:AN1737,MATCH("HM",Tabulka1[[#Headers],[KOD]:[NEQ]],0),FALSE),"")</f>
        <v/>
      </c>
    </row>
    <row r="763" spans="1:27">
      <c r="A763">
        <f>COUNTIF($W$22:W763,1)</f>
        <v>0</v>
      </c>
      <c r="B763">
        <v>763</v>
      </c>
      <c r="C763" s="340" t="str">
        <f>IFERROR(Tabulka1[[#This Row],[KOD]],"")</f>
        <v>C106MH</v>
      </c>
      <c r="W763" s="804" t="str">
        <f t="shared" si="24"/>
        <v/>
      </c>
      <c r="X763" s="154" t="str">
        <f t="shared" si="25"/>
        <v/>
      </c>
      <c r="Y763" s="341">
        <f>IF('General price list'!$AB765="",0,'General price list'!$AB765)</f>
        <v>0</v>
      </c>
      <c r="Z763" s="365" t="str">
        <f>IFERROR(X763*VLOOKUP(C763,'General price list'!C:I,7,FALSE),"")</f>
        <v/>
      </c>
      <c r="AA763" s="805" t="str">
        <f>IF(X763&lt;&gt;"",VLOOKUP(C763,'General price list'!C765:AN1738,MATCH("HM",Tabulka1[[#Headers],[KOD]:[NEQ]],0),FALSE),"")</f>
        <v/>
      </c>
    </row>
    <row r="764" spans="1:27">
      <c r="A764">
        <f>COUNTIF($W$22:W764,1)</f>
        <v>0</v>
      </c>
      <c r="B764">
        <v>764</v>
      </c>
      <c r="C764" s="340" t="str">
        <f>IFERROR(Tabulka1[[#This Row],[KOD]],"")</f>
        <v>C106MB</v>
      </c>
      <c r="W764" s="804" t="str">
        <f t="shared" si="24"/>
        <v/>
      </c>
      <c r="X764" s="154" t="str">
        <f t="shared" si="25"/>
        <v/>
      </c>
      <c r="Y764" s="341">
        <f>IF('General price list'!$AB766="",0,'General price list'!$AB766)</f>
        <v>0</v>
      </c>
      <c r="Z764" s="365" t="str">
        <f>IFERROR(X764*VLOOKUP(C764,'General price list'!C:I,7,FALSE),"")</f>
        <v/>
      </c>
      <c r="AA764" s="805" t="str">
        <f>IF(X764&lt;&gt;"",VLOOKUP(C764,'General price list'!C766:AN1739,MATCH("HM",Tabulka1[[#Headers],[KOD]:[NEQ]],0),FALSE),"")</f>
        <v/>
      </c>
    </row>
    <row r="765" spans="1:27">
      <c r="A765">
        <f>COUNTIF($W$22:W765,1)</f>
        <v>0</v>
      </c>
      <c r="B765">
        <v>765</v>
      </c>
      <c r="C765" s="340">
        <f>IFERROR(Tabulka1[[#This Row],[KOD]],"")</f>
        <v>0</v>
      </c>
      <c r="W765" s="804" t="str">
        <f t="shared" si="24"/>
        <v/>
      </c>
      <c r="X765" s="154" t="str">
        <f t="shared" si="25"/>
        <v/>
      </c>
      <c r="Y765" s="341">
        <f>IF('General price list'!$AB767="",0,'General price list'!$AB767)</f>
        <v>0</v>
      </c>
      <c r="Z765" s="365" t="str">
        <f>IFERROR(X765*VLOOKUP(C765,'General price list'!C:I,7,FALSE),"")</f>
        <v/>
      </c>
      <c r="AA765" s="805" t="str">
        <f>IF(X765&lt;&gt;"",VLOOKUP(C765,'General price list'!C767:AN1740,MATCH("HM",Tabulka1[[#Headers],[KOD]:[NEQ]],0),FALSE),"")</f>
        <v/>
      </c>
    </row>
    <row r="766" spans="1:27">
      <c r="A766">
        <f>COUNTIF($W$22:W766,1)</f>
        <v>0</v>
      </c>
      <c r="B766">
        <v>766</v>
      </c>
      <c r="C766" s="340" t="str">
        <f>IFERROR(Tabulka1[[#This Row],[KOD]],"")</f>
        <v>C109MG</v>
      </c>
      <c r="W766" s="804" t="str">
        <f t="shared" si="24"/>
        <v/>
      </c>
      <c r="X766" s="154" t="str">
        <f t="shared" si="25"/>
        <v/>
      </c>
      <c r="Y766" s="341">
        <f>IF('General price list'!$AB768="",0,'General price list'!$AB768)</f>
        <v>0</v>
      </c>
      <c r="Z766" s="365" t="str">
        <f>IFERROR(X766*VLOOKUP(C766,'General price list'!C:I,7,FALSE),"")</f>
        <v/>
      </c>
      <c r="AA766" s="805" t="str">
        <f>IF(X766&lt;&gt;"",VLOOKUP(C766,'General price list'!C768:AN1741,MATCH("HM",Tabulka1[[#Headers],[KOD]:[NEQ]],0),FALSE),"")</f>
        <v/>
      </c>
    </row>
    <row r="767" spans="1:27">
      <c r="A767">
        <f>COUNTIF($W$22:W767,1)</f>
        <v>0</v>
      </c>
      <c r="B767">
        <v>767</v>
      </c>
      <c r="C767" s="340" t="str">
        <f>IFERROR(Tabulka1[[#This Row],[KOD]],"")</f>
        <v>C109MM</v>
      </c>
      <c r="W767" s="804" t="str">
        <f t="shared" si="24"/>
        <v/>
      </c>
      <c r="X767" s="154" t="str">
        <f t="shared" si="25"/>
        <v/>
      </c>
      <c r="Y767" s="341">
        <f>IF('General price list'!$AB769="",0,'General price list'!$AB769)</f>
        <v>0</v>
      </c>
      <c r="Z767" s="365" t="str">
        <f>IFERROR(X767*VLOOKUP(C767,'General price list'!C:I,7,FALSE),"")</f>
        <v/>
      </c>
      <c r="AA767" s="805" t="str">
        <f>IF(X767&lt;&gt;"",VLOOKUP(C767,'General price list'!C769:AN1742,MATCH("HM",Tabulka1[[#Headers],[KOD]:[NEQ]],0),FALSE),"")</f>
        <v/>
      </c>
    </row>
    <row r="768" spans="1:27">
      <c r="A768">
        <f>COUNTIF($W$22:W768,1)</f>
        <v>0</v>
      </c>
      <c r="B768">
        <v>768</v>
      </c>
      <c r="C768" s="340">
        <f>IFERROR(Tabulka1[[#This Row],[KOD]],"")</f>
        <v>0</v>
      </c>
      <c r="W768" s="804" t="str">
        <f t="shared" si="24"/>
        <v/>
      </c>
      <c r="X768" s="154" t="str">
        <f t="shared" si="25"/>
        <v/>
      </c>
      <c r="Y768" s="341">
        <f>IF('General price list'!$AB770="",0,'General price list'!$AB770)</f>
        <v>0</v>
      </c>
      <c r="Z768" s="365" t="str">
        <f>IFERROR(X768*VLOOKUP(C768,'General price list'!C:I,7,FALSE),"")</f>
        <v/>
      </c>
      <c r="AA768" s="805" t="str">
        <f>IF(X768&lt;&gt;"",VLOOKUP(C768,'General price list'!C770:AN1743,MATCH("HM",Tabulka1[[#Headers],[KOD]:[NEQ]],0),FALSE),"")</f>
        <v/>
      </c>
    </row>
    <row r="769" spans="1:27">
      <c r="A769">
        <f>COUNTIF($W$22:W769,1)</f>
        <v>0</v>
      </c>
      <c r="B769">
        <v>769</v>
      </c>
      <c r="C769" s="340" t="str">
        <f>IFERROR(Tabulka1[[#This Row],[KOD]],"")</f>
        <v>C100MTS/C14</v>
      </c>
      <c r="W769" s="804" t="str">
        <f t="shared" si="24"/>
        <v/>
      </c>
      <c r="X769" s="154" t="str">
        <f t="shared" si="25"/>
        <v/>
      </c>
      <c r="Y769" s="341">
        <f>IF('General price list'!$AB771="",0,'General price list'!$AB771)</f>
        <v>0</v>
      </c>
      <c r="Z769" s="365" t="str">
        <f>IFERROR(X769*VLOOKUP(C769,'General price list'!C:I,7,FALSE),"")</f>
        <v/>
      </c>
      <c r="AA769" s="805" t="str">
        <f>IF(X769&lt;&gt;"",VLOOKUP(C769,'General price list'!C771:AN1744,MATCH("HM",Tabulka1[[#Headers],[KOD]:[NEQ]],0),FALSE),"")</f>
        <v/>
      </c>
    </row>
    <row r="770" spans="1:27">
      <c r="A770">
        <f>COUNTIF($W$22:W770,1)</f>
        <v>0</v>
      </c>
      <c r="B770">
        <v>770</v>
      </c>
      <c r="C770" s="340" t="str">
        <f>IFERROR(Tabulka1[[#This Row],[KOD]],"")</f>
        <v>C100MPT/C14</v>
      </c>
      <c r="W770" s="804" t="str">
        <f t="shared" si="24"/>
        <v/>
      </c>
      <c r="X770" s="154" t="str">
        <f t="shared" si="25"/>
        <v/>
      </c>
      <c r="Y770" s="341">
        <f>IF('General price list'!$AB772="",0,'General price list'!$AB772)</f>
        <v>0</v>
      </c>
      <c r="Z770" s="365" t="str">
        <f>IFERROR(X770*VLOOKUP(C770,'General price list'!C:I,7,FALSE),"")</f>
        <v/>
      </c>
      <c r="AA770" s="805" t="str">
        <f>IF(X770&lt;&gt;"",VLOOKUP(C770,'General price list'!C772:AN1745,MATCH("HM",Tabulka1[[#Headers],[KOD]:[NEQ]],0),FALSE),"")</f>
        <v/>
      </c>
    </row>
    <row r="771" spans="1:27">
      <c r="A771">
        <f>COUNTIF($W$22:W771,1)</f>
        <v>0</v>
      </c>
      <c r="B771">
        <v>771</v>
      </c>
      <c r="C771" s="340" t="str">
        <f>IFERROR(Tabulka1[[#This Row],[KOD]],"")</f>
        <v>C124MXM/C14</v>
      </c>
      <c r="W771" s="804" t="str">
        <f t="shared" si="24"/>
        <v/>
      </c>
      <c r="X771" s="154" t="str">
        <f t="shared" si="25"/>
        <v/>
      </c>
      <c r="Y771" s="341">
        <f>IF('General price list'!$AB773="",0,'General price list'!$AB773)</f>
        <v>0</v>
      </c>
      <c r="Z771" s="365" t="str">
        <f>IFERROR(X771*VLOOKUP(C771,'General price list'!C:I,7,FALSE),"")</f>
        <v/>
      </c>
      <c r="AA771" s="805" t="str">
        <f>IF(X771&lt;&gt;"",VLOOKUP(C771,'General price list'!C773:AN1746,MATCH("HM",Tabulka1[[#Headers],[KOD]:[NEQ]],0),FALSE),"")</f>
        <v/>
      </c>
    </row>
    <row r="772" spans="1:27">
      <c r="A772">
        <f>COUNTIF($W$22:W772,1)</f>
        <v>0</v>
      </c>
      <c r="B772">
        <v>772</v>
      </c>
      <c r="C772" s="340" t="str">
        <f>IFERROR(Tabulka1[[#This Row],[KOD]],"")</f>
        <v>C128MS/C14</v>
      </c>
      <c r="W772" s="804" t="str">
        <f t="shared" si="24"/>
        <v/>
      </c>
      <c r="X772" s="154" t="str">
        <f t="shared" si="25"/>
        <v/>
      </c>
      <c r="Y772" s="341">
        <f>IF('General price list'!$AB774="",0,'General price list'!$AB774)</f>
        <v>0</v>
      </c>
      <c r="Z772" s="365" t="str">
        <f>IFERROR(X772*VLOOKUP(C772,'General price list'!C:I,7,FALSE),"")</f>
        <v/>
      </c>
      <c r="AA772" s="805" t="str">
        <f>IF(X772&lt;&gt;"",VLOOKUP(C772,'General price list'!C774:AN1747,MATCH("HM",Tabulka1[[#Headers],[KOD]:[NEQ]],0),FALSE),"")</f>
        <v/>
      </c>
    </row>
    <row r="773" spans="1:27">
      <c r="A773">
        <f>COUNTIF($W$22:W773,1)</f>
        <v>0</v>
      </c>
      <c r="B773">
        <v>773</v>
      </c>
      <c r="C773" s="340" t="str">
        <f>IFERROR(Tabulka1[[#This Row],[KOD]],"")</f>
        <v>C136XMTS/C14</v>
      </c>
      <c r="W773" s="804" t="str">
        <f t="shared" si="24"/>
        <v/>
      </c>
      <c r="X773" s="154" t="str">
        <f t="shared" si="25"/>
        <v/>
      </c>
      <c r="Y773" s="341">
        <f>IF('General price list'!$AB775="",0,'General price list'!$AB775)</f>
        <v>0</v>
      </c>
      <c r="Z773" s="365" t="str">
        <f>IFERROR(X773*VLOOKUP(C773,'General price list'!C:I,7,FALSE),"")</f>
        <v/>
      </c>
      <c r="AA773" s="805" t="str">
        <f>IF(X773&lt;&gt;"",VLOOKUP(C773,'General price list'!C775:AN1748,MATCH("HM",Tabulka1[[#Headers],[KOD]:[NEQ]],0),FALSE),"")</f>
        <v/>
      </c>
    </row>
    <row r="774" spans="1:27">
      <c r="A774">
        <f>COUNTIF($W$22:W774,1)</f>
        <v>0</v>
      </c>
      <c r="B774">
        <v>774</v>
      </c>
      <c r="C774" s="340" t="str">
        <f>IFERROR(Tabulka1[[#This Row],[KOD]],"")</f>
        <v>C136XMK/C14</v>
      </c>
      <c r="W774" s="804" t="str">
        <f t="shared" si="24"/>
        <v/>
      </c>
      <c r="X774" s="154" t="str">
        <f t="shared" si="25"/>
        <v/>
      </c>
      <c r="Y774" s="341">
        <f>IF('General price list'!$AB776="",0,'General price list'!$AB776)</f>
        <v>0</v>
      </c>
      <c r="Z774" s="365" t="str">
        <f>IFERROR(X774*VLOOKUP(C774,'General price list'!C:I,7,FALSE),"")</f>
        <v/>
      </c>
      <c r="AA774" s="805" t="str">
        <f>IF(X774&lt;&gt;"",VLOOKUP(C774,'General price list'!C776:AN1749,MATCH("HM",Tabulka1[[#Headers],[KOD]:[NEQ]],0),FALSE),"")</f>
        <v/>
      </c>
    </row>
    <row r="775" spans="1:27">
      <c r="A775">
        <f>COUNTIF($W$22:W775,1)</f>
        <v>0</v>
      </c>
      <c r="B775">
        <v>775</v>
      </c>
      <c r="C775" s="340" t="str">
        <f>IFERROR(Tabulka1[[#This Row],[KOD]],"")</f>
        <v>C150MXH/C14</v>
      </c>
      <c r="W775" s="804" t="str">
        <f t="shared" si="24"/>
        <v/>
      </c>
      <c r="X775" s="154" t="str">
        <f t="shared" si="25"/>
        <v/>
      </c>
      <c r="Y775" s="341">
        <f>IF('General price list'!$AB777="",0,'General price list'!$AB777)</f>
        <v>0</v>
      </c>
      <c r="Z775" s="365" t="str">
        <f>IFERROR(X775*VLOOKUP(C775,'General price list'!C:I,7,FALSE),"")</f>
        <v/>
      </c>
      <c r="AA775" s="805" t="str">
        <f>IF(X775&lt;&gt;"",VLOOKUP(C775,'General price list'!C777:AN1750,MATCH("HM",Tabulka1[[#Headers],[KOD]:[NEQ]],0),FALSE),"")</f>
        <v/>
      </c>
    </row>
    <row r="776" spans="1:27">
      <c r="A776">
        <f>COUNTIF($W$22:W776,1)</f>
        <v>0</v>
      </c>
      <c r="B776">
        <v>776</v>
      </c>
      <c r="C776" s="340" t="str">
        <f>IFERROR(Tabulka1[[#This Row],[KOD]],"")</f>
        <v>C154MXB/C14</v>
      </c>
      <c r="W776" s="804" t="str">
        <f t="shared" si="24"/>
        <v/>
      </c>
      <c r="X776" s="154" t="str">
        <f t="shared" si="25"/>
        <v/>
      </c>
      <c r="Y776" s="341">
        <f>IF('General price list'!$AB778="",0,'General price list'!$AB778)</f>
        <v>0</v>
      </c>
      <c r="Z776" s="365" t="str">
        <f>IFERROR(X776*VLOOKUP(C776,'General price list'!C:I,7,FALSE),"")</f>
        <v/>
      </c>
      <c r="AA776" s="805" t="str">
        <f>IF(X776&lt;&gt;"",VLOOKUP(C776,'General price list'!C778:AN1751,MATCH("HM",Tabulka1[[#Headers],[KOD]:[NEQ]],0),FALSE),"")</f>
        <v/>
      </c>
    </row>
    <row r="777" spans="1:27">
      <c r="A777">
        <f>COUNTIF($W$22:W777,1)</f>
        <v>0</v>
      </c>
      <c r="B777">
        <v>777</v>
      </c>
      <c r="C777" s="340" t="str">
        <f>IFERROR(Tabulka1[[#This Row],[KOD]],"")</f>
        <v>C270MXM/C14</v>
      </c>
      <c r="W777" s="804" t="str">
        <f t="shared" si="24"/>
        <v/>
      </c>
      <c r="X777" s="154" t="str">
        <f t="shared" si="25"/>
        <v/>
      </c>
      <c r="Y777" s="341">
        <f>IF('General price list'!$AB779="",0,'General price list'!$AB779)</f>
        <v>0</v>
      </c>
      <c r="Z777" s="365" t="str">
        <f>IFERROR(X777*VLOOKUP(C777,'General price list'!C:I,7,FALSE),"")</f>
        <v/>
      </c>
      <c r="AA777" s="805" t="str">
        <f>IF(X777&lt;&gt;"",VLOOKUP(C777,'General price list'!C779:AN1752,MATCH("HM",Tabulka1[[#Headers],[KOD]:[NEQ]],0),FALSE),"")</f>
        <v/>
      </c>
    </row>
    <row r="778" spans="1:27">
      <c r="A778">
        <f>COUNTIF($W$22:W778,1)</f>
        <v>0</v>
      </c>
      <c r="B778">
        <v>778</v>
      </c>
      <c r="C778" s="340" t="str">
        <f>IFERROR(Tabulka1[[#This Row],[KOD]],"")</f>
        <v>C296MXH/C14</v>
      </c>
      <c r="W778" s="804" t="str">
        <f t="shared" si="24"/>
        <v/>
      </c>
      <c r="X778" s="154" t="str">
        <f t="shared" si="25"/>
        <v/>
      </c>
      <c r="Y778" s="341">
        <f>IF('General price list'!$AB780="",0,'General price list'!$AB780)</f>
        <v>0</v>
      </c>
      <c r="Z778" s="365" t="str">
        <f>IFERROR(X778*VLOOKUP(C778,'General price list'!C:I,7,FALSE),"")</f>
        <v/>
      </c>
      <c r="AA778" s="805" t="str">
        <f>IF(X778&lt;&gt;"",VLOOKUP(C778,'General price list'!C780:AN1753,MATCH("HM",Tabulka1[[#Headers],[KOD]:[NEQ]],0),FALSE),"")</f>
        <v/>
      </c>
    </row>
    <row r="779" spans="1:27">
      <c r="A779">
        <f>COUNTIF($W$22:W779,1)</f>
        <v>0</v>
      </c>
      <c r="B779">
        <v>779</v>
      </c>
      <c r="C779" s="340" t="str">
        <f>IFERROR(Tabulka1[[#This Row],[KOD]],"")</f>
        <v>C330MXR/C14</v>
      </c>
      <c r="W779" s="804" t="str">
        <f t="shared" si="24"/>
        <v/>
      </c>
      <c r="X779" s="154" t="str">
        <f t="shared" si="25"/>
        <v/>
      </c>
      <c r="Y779" s="341">
        <f>IF('General price list'!$AB781="",0,'General price list'!$AB781)</f>
        <v>0</v>
      </c>
      <c r="Z779" s="365" t="str">
        <f>IFERROR(X779*VLOOKUP(C779,'General price list'!C:I,7,FALSE),"")</f>
        <v/>
      </c>
      <c r="AA779" s="805" t="str">
        <f>IF(X779&lt;&gt;"",VLOOKUP(C779,'General price list'!C781:AN1754,MATCH("HM",Tabulka1[[#Headers],[KOD]:[NEQ]],0),FALSE),"")</f>
        <v/>
      </c>
    </row>
    <row r="780" spans="1:27">
      <c r="A780">
        <f>COUNTIF($W$22:W780,1)</f>
        <v>0</v>
      </c>
      <c r="B780">
        <v>780</v>
      </c>
      <c r="C780" s="340">
        <f>IFERROR(Tabulka1[[#This Row],[KOD]],"")</f>
        <v>0</v>
      </c>
      <c r="W780" s="804" t="str">
        <f t="shared" si="24"/>
        <v/>
      </c>
      <c r="X780" s="154" t="str">
        <f t="shared" si="25"/>
        <v/>
      </c>
      <c r="Y780" s="341">
        <f>IF('General price list'!$AB782="",0,'General price list'!$AB782)</f>
        <v>0</v>
      </c>
      <c r="Z780" s="365" t="str">
        <f>IFERROR(X780*VLOOKUP(C780,'General price list'!C:I,7,FALSE),"")</f>
        <v/>
      </c>
      <c r="AA780" s="805" t="str">
        <f>IF(X780&lt;&gt;"",VLOOKUP(C780,'General price list'!C782:AN1755,MATCH("HM",Tabulka1[[#Headers],[KOD]:[NEQ]],0),FALSE),"")</f>
        <v/>
      </c>
    </row>
    <row r="781" spans="1:27">
      <c r="A781">
        <f>COUNTIF($W$22:W781,1)</f>
        <v>0</v>
      </c>
      <c r="B781">
        <v>781</v>
      </c>
      <c r="C781" s="340" t="str">
        <f>IFERROR(Tabulka1[[#This Row],[KOD]],"")</f>
        <v>C150MF/C14</v>
      </c>
      <c r="W781" s="804" t="str">
        <f t="shared" si="24"/>
        <v/>
      </c>
      <c r="X781" s="154" t="str">
        <f t="shared" si="25"/>
        <v/>
      </c>
      <c r="Y781" s="341">
        <f>IF('General price list'!$AB783="",0,'General price list'!$AB783)</f>
        <v>0</v>
      </c>
      <c r="Z781" s="365" t="str">
        <f>IFERROR(X781*VLOOKUP(C781,'General price list'!C:I,7,FALSE),"")</f>
        <v/>
      </c>
      <c r="AA781" s="805" t="str">
        <f>IF(X781&lt;&gt;"",VLOOKUP(C781,'General price list'!C783:AN1756,MATCH("HM",Tabulka1[[#Headers],[KOD]:[NEQ]],0),FALSE),"")</f>
        <v/>
      </c>
    </row>
    <row r="782" spans="1:27">
      <c r="A782">
        <f>COUNTIF($W$22:W782,1)</f>
        <v>0</v>
      </c>
      <c r="B782">
        <v>782</v>
      </c>
      <c r="C782" s="340" t="str">
        <f>IFERROR(Tabulka1[[#This Row],[KOD]],"")</f>
        <v>C200MF/C14</v>
      </c>
      <c r="W782" s="804" t="str">
        <f t="shared" si="24"/>
        <v/>
      </c>
      <c r="X782" s="154" t="str">
        <f t="shared" si="25"/>
        <v/>
      </c>
      <c r="Y782" s="341">
        <f>IF('General price list'!$AB784="",0,'General price list'!$AB784)</f>
        <v>0</v>
      </c>
      <c r="Z782" s="365" t="str">
        <f>IFERROR(X782*VLOOKUP(C782,'General price list'!C:I,7,FALSE),"")</f>
        <v/>
      </c>
      <c r="AA782" s="805" t="str">
        <f>IF(X782&lt;&gt;"",VLOOKUP(C782,'General price list'!C784:AN1757,MATCH("HM",Tabulka1[[#Headers],[KOD]:[NEQ]],0),FALSE),"")</f>
        <v/>
      </c>
    </row>
    <row r="783" spans="1:27">
      <c r="A783">
        <f>COUNTIF($W$22:W783,1)</f>
        <v>0</v>
      </c>
      <c r="B783">
        <v>783</v>
      </c>
      <c r="C783" s="340" t="str">
        <f>IFERROR(Tabulka1[[#This Row],[KOD]],"")</f>
        <v>C204XMPT/C14</v>
      </c>
      <c r="W783" s="804" t="str">
        <f t="shared" si="24"/>
        <v/>
      </c>
      <c r="X783" s="154" t="str">
        <f t="shared" si="25"/>
        <v/>
      </c>
      <c r="Y783" s="341">
        <f>IF('General price list'!$AB785="",0,'General price list'!$AB785)</f>
        <v>0</v>
      </c>
      <c r="Z783" s="365" t="str">
        <f>IFERROR(X783*VLOOKUP(C783,'General price list'!C:I,7,FALSE),"")</f>
        <v/>
      </c>
      <c r="AA783" s="805" t="str">
        <f>IF(X783&lt;&gt;"",VLOOKUP(C783,'General price list'!C785:AN1758,MATCH("HM",Tabulka1[[#Headers],[KOD]:[NEQ]],0),FALSE),"")</f>
        <v/>
      </c>
    </row>
    <row r="784" spans="1:27">
      <c r="A784">
        <f>COUNTIF($W$22:W784,1)</f>
        <v>0</v>
      </c>
      <c r="B784">
        <v>784</v>
      </c>
      <c r="C784" s="340" t="str">
        <f>IFERROR(Tabulka1[[#This Row],[KOD]],"")</f>
        <v>C216XMFS/C14</v>
      </c>
      <c r="W784" s="804" t="str">
        <f t="shared" si="24"/>
        <v/>
      </c>
      <c r="X784" s="154" t="str">
        <f t="shared" si="25"/>
        <v/>
      </c>
      <c r="Y784" s="341">
        <f>IF('General price list'!$AB786="",0,'General price list'!$AB786)</f>
        <v>0</v>
      </c>
      <c r="Z784" s="365" t="str">
        <f>IFERROR(X784*VLOOKUP(C784,'General price list'!C:I,7,FALSE),"")</f>
        <v/>
      </c>
      <c r="AA784" s="805" t="str">
        <f>IF(X784&lt;&gt;"",VLOOKUP(C784,'General price list'!C786:AN1759,MATCH("HM",Tabulka1[[#Headers],[KOD]:[NEQ]],0),FALSE),"")</f>
        <v/>
      </c>
    </row>
    <row r="785" spans="1:27">
      <c r="A785">
        <f>COUNTIF($W$22:W785,1)</f>
        <v>0</v>
      </c>
      <c r="B785">
        <v>785</v>
      </c>
      <c r="C785" s="340" t="str">
        <f>IFERROR(Tabulka1[[#This Row],[KOD]],"")</f>
        <v>C223XMK/C14</v>
      </c>
      <c r="W785" s="804" t="str">
        <f t="shared" si="24"/>
        <v/>
      </c>
      <c r="X785" s="154" t="str">
        <f t="shared" si="25"/>
        <v/>
      </c>
      <c r="Y785" s="341">
        <f>IF('General price list'!$AB787="",0,'General price list'!$AB787)</f>
        <v>0</v>
      </c>
      <c r="Z785" s="365" t="str">
        <f>IFERROR(X785*VLOOKUP(C785,'General price list'!C:I,7,FALSE),"")</f>
        <v/>
      </c>
      <c r="AA785" s="805" t="str">
        <f>IF(X785&lt;&gt;"",VLOOKUP(C785,'General price list'!C787:AN1760,MATCH("HM",Tabulka1[[#Headers],[KOD]:[NEQ]],0),FALSE),"")</f>
        <v/>
      </c>
    </row>
    <row r="786" spans="1:27">
      <c r="A786">
        <f>COUNTIF($W$22:W786,1)</f>
        <v>0</v>
      </c>
      <c r="B786">
        <v>786</v>
      </c>
      <c r="C786" s="340" t="str">
        <f>IFERROR(Tabulka1[[#This Row],[KOD]],"")</f>
        <v>C510MXU/C14</v>
      </c>
      <c r="W786" s="804" t="str">
        <f t="shared" si="24"/>
        <v/>
      </c>
      <c r="X786" s="154" t="str">
        <f t="shared" si="25"/>
        <v/>
      </c>
      <c r="Y786" s="341">
        <f>IF('General price list'!$AB788="",0,'General price list'!$AB788)</f>
        <v>0</v>
      </c>
      <c r="Z786" s="365" t="str">
        <f>IFERROR(X786*VLOOKUP(C786,'General price list'!C:I,7,FALSE),"")</f>
        <v/>
      </c>
      <c r="AA786" s="805" t="str">
        <f>IF(X786&lt;&gt;"",VLOOKUP(C786,'General price list'!C788:AN1761,MATCH("HM",Tabulka1[[#Headers],[KOD]:[NEQ]],0),FALSE),"")</f>
        <v/>
      </c>
    </row>
    <row r="787" spans="1:27">
      <c r="A787">
        <f>COUNTIF($W$22:W787,1)</f>
        <v>0</v>
      </c>
      <c r="B787">
        <v>787</v>
      </c>
      <c r="C787" s="340">
        <f>IFERROR(Tabulka1[[#This Row],[KOD]],"")</f>
        <v>0</v>
      </c>
      <c r="W787" s="804" t="str">
        <f t="shared" si="24"/>
        <v/>
      </c>
      <c r="X787" s="154" t="str">
        <f t="shared" si="25"/>
        <v/>
      </c>
      <c r="Y787" s="341">
        <f>IF('General price list'!$AB789="",0,'General price list'!$AB789)</f>
        <v>0</v>
      </c>
      <c r="Z787" s="365" t="str">
        <f>IFERROR(X787*VLOOKUP(C787,'General price list'!C:I,7,FALSE),"")</f>
        <v/>
      </c>
      <c r="AA787" s="805" t="str">
        <f>IF(X787&lt;&gt;"",VLOOKUP(C787,'General price list'!C789:AN1762,MATCH("HM",Tabulka1[[#Headers],[KOD]:[NEQ]],0),FALSE),"")</f>
        <v/>
      </c>
    </row>
    <row r="788" spans="1:27">
      <c r="A788">
        <f>COUNTIF($W$22:W788,1)</f>
        <v>0</v>
      </c>
      <c r="B788">
        <v>788</v>
      </c>
      <c r="C788" s="340" t="str">
        <f>IFERROR(Tabulka1[[#This Row],[KOD]],"")</f>
        <v>C132XMPT/C</v>
      </c>
      <c r="W788" s="804" t="str">
        <f t="shared" si="24"/>
        <v/>
      </c>
      <c r="X788" s="154" t="str">
        <f t="shared" si="25"/>
        <v/>
      </c>
      <c r="Y788" s="341">
        <f>IF('General price list'!$AB790="",0,'General price list'!$AB790)</f>
        <v>0</v>
      </c>
      <c r="Z788" s="365" t="str">
        <f>IFERROR(X788*VLOOKUP(C788,'General price list'!C:I,7,FALSE),"")</f>
        <v/>
      </c>
      <c r="AA788" s="805" t="str">
        <f>IF(X788&lt;&gt;"",VLOOKUP(C788,'General price list'!C790:AN1763,MATCH("HM",Tabulka1[[#Headers],[KOD]:[NEQ]],0),FALSE),"")</f>
        <v/>
      </c>
    </row>
    <row r="789" spans="1:27">
      <c r="A789">
        <f>COUNTIF($W$22:W789,1)</f>
        <v>0</v>
      </c>
      <c r="B789">
        <v>789</v>
      </c>
      <c r="C789" s="340" t="str">
        <f>IFERROR(Tabulka1[[#This Row],[KOD]],"")</f>
        <v>C150MPT/C</v>
      </c>
      <c r="W789" s="804" t="str">
        <f t="shared" si="24"/>
        <v/>
      </c>
      <c r="X789" s="154" t="str">
        <f t="shared" si="25"/>
        <v/>
      </c>
      <c r="Y789" s="341">
        <f>IF('General price list'!$AB791="",0,'General price list'!$AB791)</f>
        <v>0</v>
      </c>
      <c r="Z789" s="365" t="str">
        <f>IFERROR(X789*VLOOKUP(C789,'General price list'!C:I,7,FALSE),"")</f>
        <v/>
      </c>
      <c r="AA789" s="805" t="str">
        <f>IF(X789&lt;&gt;"",VLOOKUP(C789,'General price list'!C791:AN1764,MATCH("HM",Tabulka1[[#Headers],[KOD]:[NEQ]],0),FALSE),"")</f>
        <v/>
      </c>
    </row>
    <row r="790" spans="1:27">
      <c r="A790">
        <f>COUNTIF($W$22:W790,1)</f>
        <v>0</v>
      </c>
      <c r="B790">
        <v>790</v>
      </c>
      <c r="C790" s="340" t="str">
        <f>IFERROR(Tabulka1[[#This Row],[KOD]],"")</f>
        <v>C150MF/C</v>
      </c>
      <c r="W790" s="804" t="str">
        <f t="shared" si="24"/>
        <v/>
      </c>
      <c r="X790" s="154" t="str">
        <f t="shared" si="25"/>
        <v/>
      </c>
      <c r="Y790" s="341">
        <f>IF('General price list'!$AB792="",0,'General price list'!$AB792)</f>
        <v>0</v>
      </c>
      <c r="Z790" s="365" t="str">
        <f>IFERROR(X790*VLOOKUP(C790,'General price list'!C:I,7,FALSE),"")</f>
        <v/>
      </c>
      <c r="AA790" s="805" t="str">
        <f>IF(X790&lt;&gt;"",VLOOKUP(C790,'General price list'!C792:AN1765,MATCH("HM",Tabulka1[[#Headers],[KOD]:[NEQ]],0),FALSE),"")</f>
        <v/>
      </c>
    </row>
    <row r="791" spans="1:27">
      <c r="A791">
        <f>COUNTIF($W$22:W791,1)</f>
        <v>0</v>
      </c>
      <c r="B791">
        <v>791</v>
      </c>
      <c r="C791" s="340" t="str">
        <f>IFERROR(Tabulka1[[#This Row],[KOD]],"")</f>
        <v>C200MF/C</v>
      </c>
      <c r="W791" s="804" t="str">
        <f t="shared" si="24"/>
        <v/>
      </c>
      <c r="X791" s="154" t="str">
        <f t="shared" si="25"/>
        <v/>
      </c>
      <c r="Y791" s="341">
        <f>IF('General price list'!$AB793="",0,'General price list'!$AB793)</f>
        <v>0</v>
      </c>
      <c r="Z791" s="365" t="str">
        <f>IFERROR(X791*VLOOKUP(C791,'General price list'!C:I,7,FALSE),"")</f>
        <v/>
      </c>
      <c r="AA791" s="805" t="str">
        <f>IF(X791&lt;&gt;"",VLOOKUP(C791,'General price list'!C793:AN1766,MATCH("HM",Tabulka1[[#Headers],[KOD]:[NEQ]],0),FALSE),"")</f>
        <v/>
      </c>
    </row>
    <row r="792" spans="1:27">
      <c r="A792">
        <f>COUNTIF($W$22:W792,1)</f>
        <v>0</v>
      </c>
      <c r="B792">
        <v>792</v>
      </c>
      <c r="C792" s="340" t="str">
        <f>IFERROR(Tabulka1[[#This Row],[KOD]],"")</f>
        <v>C204XMPT/C</v>
      </c>
      <c r="W792" s="804" t="str">
        <f t="shared" ref="W792:W855" si="26">IF(Y792+1=1,"",1)</f>
        <v/>
      </c>
      <c r="X792" s="154" t="str">
        <f t="shared" ref="X792:X855" si="27">IF(Y792+1=1,"",Y792)</f>
        <v/>
      </c>
      <c r="Y792" s="341">
        <f>IF('General price list'!$AB794="",0,'General price list'!$AB794)</f>
        <v>0</v>
      </c>
      <c r="Z792" s="365" t="str">
        <f>IFERROR(X792*VLOOKUP(C792,'General price list'!C:I,7,FALSE),"")</f>
        <v/>
      </c>
      <c r="AA792" s="805" t="str">
        <f>IF(X792&lt;&gt;"",VLOOKUP(C792,'General price list'!C794:AN1767,MATCH("HM",Tabulka1[[#Headers],[KOD]:[NEQ]],0),FALSE),"")</f>
        <v/>
      </c>
    </row>
    <row r="793" spans="1:27">
      <c r="A793">
        <f>COUNTIF($W$22:W793,1)</f>
        <v>0</v>
      </c>
      <c r="B793">
        <v>793</v>
      </c>
      <c r="C793" s="340" t="str">
        <f>IFERROR(Tabulka1[[#This Row],[KOD]],"")</f>
        <v>C216XMFS/C</v>
      </c>
      <c r="W793" s="804" t="str">
        <f t="shared" si="26"/>
        <v/>
      </c>
      <c r="X793" s="154" t="str">
        <f t="shared" si="27"/>
        <v/>
      </c>
      <c r="Y793" s="341">
        <f>IF('General price list'!$AB795="",0,'General price list'!$AB795)</f>
        <v>0</v>
      </c>
      <c r="Z793" s="365" t="str">
        <f>IFERROR(X793*VLOOKUP(C793,'General price list'!C:I,7,FALSE),"")</f>
        <v/>
      </c>
      <c r="AA793" s="805" t="str">
        <f>IF(X793&lt;&gt;"",VLOOKUP(C793,'General price list'!C795:AN1768,MATCH("HM",Tabulka1[[#Headers],[KOD]:[NEQ]],0),FALSE),"")</f>
        <v/>
      </c>
    </row>
    <row r="794" spans="1:27">
      <c r="A794">
        <f>COUNTIF($W$22:W794,1)</f>
        <v>0</v>
      </c>
      <c r="B794">
        <v>794</v>
      </c>
      <c r="C794" s="340" t="str">
        <f>IFERROR(Tabulka1[[#This Row],[KOD]],"")</f>
        <v>C223XMK/C</v>
      </c>
      <c r="W794" s="804" t="str">
        <f t="shared" si="26"/>
        <v/>
      </c>
      <c r="X794" s="154" t="str">
        <f t="shared" si="27"/>
        <v/>
      </c>
      <c r="Y794" s="341">
        <f>IF('General price list'!$AB796="",0,'General price list'!$AB796)</f>
        <v>0</v>
      </c>
      <c r="Z794" s="365" t="str">
        <f>IFERROR(X794*VLOOKUP(C794,'General price list'!C:I,7,FALSE),"")</f>
        <v/>
      </c>
      <c r="AA794" s="805" t="str">
        <f>IF(X794&lt;&gt;"",VLOOKUP(C794,'General price list'!C796:AN1769,MATCH("HM",Tabulka1[[#Headers],[KOD]:[NEQ]],0),FALSE),"")</f>
        <v/>
      </c>
    </row>
    <row r="795" spans="1:27">
      <c r="A795">
        <f>COUNTIF($W$22:W795,1)</f>
        <v>0</v>
      </c>
      <c r="B795">
        <v>795</v>
      </c>
      <c r="C795" s="340" t="str">
        <f>IFERROR(Tabulka1[[#This Row],[KOD]],"")</f>
        <v>C248MXY/C</v>
      </c>
      <c r="W795" s="804" t="str">
        <f t="shared" si="26"/>
        <v/>
      </c>
      <c r="X795" s="154" t="str">
        <f t="shared" si="27"/>
        <v/>
      </c>
      <c r="Y795" s="341">
        <f>IF('General price list'!$AB797="",0,'General price list'!$AB797)</f>
        <v>0</v>
      </c>
      <c r="Z795" s="365" t="str">
        <f>IFERROR(X795*VLOOKUP(C795,'General price list'!C:I,7,FALSE),"")</f>
        <v/>
      </c>
      <c r="AA795" s="805" t="str">
        <f>IF(X795&lt;&gt;"",VLOOKUP(C795,'General price list'!C797:AN1770,MATCH("HM",Tabulka1[[#Headers],[KOD]:[NEQ]],0),FALSE),"")</f>
        <v/>
      </c>
    </row>
    <row r="796" spans="1:27">
      <c r="A796">
        <f>COUNTIF($W$22:W796,1)</f>
        <v>0</v>
      </c>
      <c r="B796">
        <v>796</v>
      </c>
      <c r="C796" s="340" t="str">
        <f>IFERROR(Tabulka1[[#This Row],[KOD]],"")</f>
        <v>C252MXB/C</v>
      </c>
      <c r="W796" s="804" t="str">
        <f t="shared" si="26"/>
        <v/>
      </c>
      <c r="X796" s="154" t="str">
        <f t="shared" si="27"/>
        <v/>
      </c>
      <c r="Y796" s="341">
        <f>IF('General price list'!$AB798="",0,'General price list'!$AB798)</f>
        <v>0</v>
      </c>
      <c r="Z796" s="365" t="str">
        <f>IFERROR(X796*VLOOKUP(C796,'General price list'!C:I,7,FALSE),"")</f>
        <v/>
      </c>
      <c r="AA796" s="805" t="str">
        <f>IF(X796&lt;&gt;"",VLOOKUP(C796,'General price list'!C798:AN1771,MATCH("HM",Tabulka1[[#Headers],[KOD]:[NEQ]],0),FALSE),"")</f>
        <v/>
      </c>
    </row>
    <row r="797" spans="1:27">
      <c r="A797">
        <f>COUNTIF($W$22:W797,1)</f>
        <v>0</v>
      </c>
      <c r="B797">
        <v>797</v>
      </c>
      <c r="C797" s="340" t="str">
        <f>IFERROR(Tabulka1[[#This Row],[KOD]],"")</f>
        <v>C316MXF/C</v>
      </c>
      <c r="W797" s="804" t="str">
        <f t="shared" si="26"/>
        <v/>
      </c>
      <c r="X797" s="154" t="str">
        <f t="shared" si="27"/>
        <v/>
      </c>
      <c r="Y797" s="341">
        <f>IF('General price list'!$AB799="",0,'General price list'!$AB799)</f>
        <v>0</v>
      </c>
      <c r="Z797" s="365" t="str">
        <f>IFERROR(X797*VLOOKUP(C797,'General price list'!C:I,7,FALSE),"")</f>
        <v/>
      </c>
      <c r="AA797" s="805" t="str">
        <f>IF(X797&lt;&gt;"",VLOOKUP(C797,'General price list'!C799:AN1772,MATCH("HM",Tabulka1[[#Headers],[KOD]:[NEQ]],0),FALSE),"")</f>
        <v/>
      </c>
    </row>
    <row r="798" spans="1:27">
      <c r="A798">
        <f>COUNTIF($W$22:W798,1)</f>
        <v>0</v>
      </c>
      <c r="B798">
        <v>798</v>
      </c>
      <c r="C798" s="340" t="str">
        <f>IFERROR(Tabulka1[[#This Row],[KOD]],"")</f>
        <v>C342MXG/C</v>
      </c>
      <c r="W798" s="804" t="str">
        <f t="shared" si="26"/>
        <v/>
      </c>
      <c r="X798" s="154" t="str">
        <f t="shared" si="27"/>
        <v/>
      </c>
      <c r="Y798" s="341">
        <f>IF('General price list'!$AB800="",0,'General price list'!$AB800)</f>
        <v>0</v>
      </c>
      <c r="Z798" s="365" t="str">
        <f>IFERROR(X798*VLOOKUP(C798,'General price list'!C:I,7,FALSE),"")</f>
        <v/>
      </c>
      <c r="AA798" s="805" t="str">
        <f>IF(X798&lt;&gt;"",VLOOKUP(C798,'General price list'!C800:AN1773,MATCH("HM",Tabulka1[[#Headers],[KOD]:[NEQ]],0),FALSE),"")</f>
        <v/>
      </c>
    </row>
    <row r="799" spans="1:27">
      <c r="A799">
        <f>COUNTIF($W$22:W799,1)</f>
        <v>0</v>
      </c>
      <c r="B799">
        <v>799</v>
      </c>
      <c r="C799" s="340" t="str">
        <f>IFERROR(Tabulka1[[#This Row],[KOD]],"")</f>
        <v>C500MXB/C</v>
      </c>
      <c r="W799" s="804" t="str">
        <f t="shared" si="26"/>
        <v/>
      </c>
      <c r="X799" s="154" t="str">
        <f t="shared" si="27"/>
        <v/>
      </c>
      <c r="Y799" s="341">
        <f>IF('General price list'!$AB801="",0,'General price list'!$AB801)</f>
        <v>0</v>
      </c>
      <c r="Z799" s="365" t="str">
        <f>IFERROR(X799*VLOOKUP(C799,'General price list'!C:I,7,FALSE),"")</f>
        <v/>
      </c>
      <c r="AA799" s="805" t="str">
        <f>IF(X799&lt;&gt;"",VLOOKUP(C799,'General price list'!C801:AN1774,MATCH("HM",Tabulka1[[#Headers],[KOD]:[NEQ]],0),FALSE),"")</f>
        <v/>
      </c>
    </row>
    <row r="800" spans="1:27">
      <c r="A800">
        <f>COUNTIF($W$22:W800,1)</f>
        <v>0</v>
      </c>
      <c r="B800">
        <v>800</v>
      </c>
      <c r="C800" s="340">
        <f>IFERROR(Tabulka1[[#This Row],[KOD]],"")</f>
        <v>0</v>
      </c>
      <c r="W800" s="804" t="str">
        <f t="shared" si="26"/>
        <v/>
      </c>
      <c r="X800" s="154" t="str">
        <f t="shared" si="27"/>
        <v/>
      </c>
      <c r="Y800" s="341">
        <f>IF('General price list'!$AB802="",0,'General price list'!$AB802)</f>
        <v>0</v>
      </c>
      <c r="Z800" s="365" t="str">
        <f>IFERROR(X800*VLOOKUP(C800,'General price list'!C:I,7,FALSE),"")</f>
        <v/>
      </c>
      <c r="AA800" s="805" t="str">
        <f>IF(X800&lt;&gt;"",VLOOKUP(C800,'General price list'!C802:AN1775,MATCH("HM",Tabulka1[[#Headers],[KOD]:[NEQ]],0),FALSE),"")</f>
        <v/>
      </c>
    </row>
    <row r="801" spans="1:27">
      <c r="A801">
        <f>COUNTIF($W$22:W801,1)</f>
        <v>0</v>
      </c>
      <c r="B801">
        <v>801</v>
      </c>
      <c r="C801" s="340" t="str">
        <f>IFERROR(Tabulka1[[#This Row],[KOD]],"")</f>
        <v>C1-C2 C425MXM/C14</v>
      </c>
      <c r="W801" s="804" t="str">
        <f t="shared" si="26"/>
        <v/>
      </c>
      <c r="X801" s="154" t="str">
        <f t="shared" si="27"/>
        <v/>
      </c>
      <c r="Y801" s="341">
        <f>IF('General price list'!$AB803="",0,'General price list'!$AB803)</f>
        <v>0</v>
      </c>
      <c r="Z801" s="365" t="str">
        <f>IFERROR(X801*VLOOKUP(C801,'General price list'!C:I,7,FALSE),"")</f>
        <v/>
      </c>
      <c r="AA801" s="805" t="str">
        <f>IF(X801&lt;&gt;"",VLOOKUP(C801,'General price list'!C803:AN1776,MATCH("HM",Tabulka1[[#Headers],[KOD]:[NEQ]],0),FALSE),"")</f>
        <v/>
      </c>
    </row>
    <row r="802" spans="1:27">
      <c r="A802">
        <f>COUNTIF($W$22:W802,1)</f>
        <v>0</v>
      </c>
      <c r="B802">
        <v>802</v>
      </c>
      <c r="C802" s="340" t="str">
        <f>IFERROR(Tabulka1[[#This Row],[KOD]],"")</f>
        <v>C3-C4 C234MXD/C14</v>
      </c>
      <c r="W802" s="804" t="str">
        <f t="shared" si="26"/>
        <v/>
      </c>
      <c r="X802" s="154" t="str">
        <f t="shared" si="27"/>
        <v/>
      </c>
      <c r="Y802" s="341">
        <f>IF('General price list'!$AB804="",0,'General price list'!$AB804)</f>
        <v>0</v>
      </c>
      <c r="Z802" s="365" t="str">
        <f>IFERROR(X802*VLOOKUP(C802,'General price list'!C:I,7,FALSE),"")</f>
        <v/>
      </c>
      <c r="AA802" s="805" t="str">
        <f>IF(X802&lt;&gt;"",VLOOKUP(C802,'General price list'!C804:AN1777,MATCH("HM",Tabulka1[[#Headers],[KOD]:[NEQ]],0),FALSE),"")</f>
        <v/>
      </c>
    </row>
    <row r="803" spans="1:27">
      <c r="A803">
        <f>COUNTIF($W$22:W803,1)</f>
        <v>0</v>
      </c>
      <c r="B803">
        <v>803</v>
      </c>
      <c r="C803" s="340" t="str">
        <f>IFERROR(Tabulka1[[#This Row],[KOD]],"")</f>
        <v>C5-C6 C303MXN/C14</v>
      </c>
      <c r="W803" s="804" t="str">
        <f t="shared" si="26"/>
        <v/>
      </c>
      <c r="X803" s="154" t="str">
        <f t="shared" si="27"/>
        <v/>
      </c>
      <c r="Y803" s="341">
        <f>IF('General price list'!$AB805="",0,'General price list'!$AB805)</f>
        <v>0</v>
      </c>
      <c r="Z803" s="365" t="str">
        <f>IFERROR(X803*VLOOKUP(C803,'General price list'!C:I,7,FALSE),"")</f>
        <v/>
      </c>
      <c r="AA803" s="805" t="str">
        <f>IF(X803&lt;&gt;"",VLOOKUP(C803,'General price list'!C805:AN1778,MATCH("HM",Tabulka1[[#Headers],[KOD]:[NEQ]],0),FALSE),"")</f>
        <v/>
      </c>
    </row>
    <row r="804" spans="1:27">
      <c r="A804">
        <f>COUNTIF($W$22:W804,1)</f>
        <v>0</v>
      </c>
      <c r="B804">
        <v>804</v>
      </c>
      <c r="C804" s="340" t="str">
        <f>IFERROR(Tabulka1[[#This Row],[KOD]],"")</f>
        <v>C1-C2 C632MXN/C14</v>
      </c>
      <c r="W804" s="804" t="str">
        <f t="shared" si="26"/>
        <v/>
      </c>
      <c r="X804" s="154" t="str">
        <f t="shared" si="27"/>
        <v/>
      </c>
      <c r="Y804" s="341">
        <f>IF('General price list'!$AB806="",0,'General price list'!$AB806)</f>
        <v>0</v>
      </c>
      <c r="Z804" s="365" t="str">
        <f>IFERROR(X804*VLOOKUP(C804,'General price list'!C:I,7,FALSE),"")</f>
        <v/>
      </c>
      <c r="AA804" s="805" t="str">
        <f>IF(X804&lt;&gt;"",VLOOKUP(C804,'General price list'!C806:AN1779,MATCH("HM",Tabulka1[[#Headers],[KOD]:[NEQ]],0),FALSE),"")</f>
        <v/>
      </c>
    </row>
    <row r="805" spans="1:27">
      <c r="A805">
        <f>COUNTIF($W$22:W805,1)</f>
        <v>0</v>
      </c>
      <c r="B805">
        <v>805</v>
      </c>
      <c r="C805" s="340">
        <f>IFERROR(Tabulka1[[#This Row],[KOD]],"")</f>
        <v>0</v>
      </c>
      <c r="W805" s="804" t="str">
        <f t="shared" si="26"/>
        <v/>
      </c>
      <c r="X805" s="154" t="str">
        <f t="shared" si="27"/>
        <v/>
      </c>
      <c r="Y805" s="341">
        <f>IF('General price list'!$AB807="",0,'General price list'!$AB807)</f>
        <v>0</v>
      </c>
      <c r="Z805" s="365" t="str">
        <f>IFERROR(X805*VLOOKUP(C805,'General price list'!C:I,7,FALSE),"")</f>
        <v/>
      </c>
      <c r="AA805" s="805" t="str">
        <f>IF(X805&lt;&gt;"",VLOOKUP(C805,'General price list'!C807:AN1780,MATCH("HM",Tabulka1[[#Headers],[KOD]:[NEQ]],0),FALSE),"")</f>
        <v/>
      </c>
    </row>
    <row r="806" spans="1:27">
      <c r="A806">
        <f>COUNTIF($W$22:W806,1)</f>
        <v>0</v>
      </c>
      <c r="B806">
        <v>806</v>
      </c>
      <c r="C806" s="340" t="str">
        <f>IFERROR(Tabulka1[[#This Row],[KOD]],"")</f>
        <v>C212MF/C</v>
      </c>
      <c r="W806" s="804" t="str">
        <f t="shared" si="26"/>
        <v/>
      </c>
      <c r="X806" s="154" t="str">
        <f t="shared" si="27"/>
        <v/>
      </c>
      <c r="Y806" s="341">
        <f>IF('General price list'!$AB808="",0,'General price list'!$AB808)</f>
        <v>0</v>
      </c>
      <c r="Z806" s="365" t="str">
        <f>IFERROR(X806*VLOOKUP(C806,'General price list'!C:I,7,FALSE),"")</f>
        <v/>
      </c>
      <c r="AA806" s="805" t="str">
        <f>IF(X806&lt;&gt;"",VLOOKUP(C806,'General price list'!C808:AN1781,MATCH("HM",Tabulka1[[#Headers],[KOD]:[NEQ]],0),FALSE),"")</f>
        <v/>
      </c>
    </row>
    <row r="807" spans="1:27">
      <c r="A807">
        <f>COUNTIF($W$22:W807,1)</f>
        <v>0</v>
      </c>
      <c r="B807">
        <v>807</v>
      </c>
      <c r="C807" s="340" t="str">
        <f>IFERROR(Tabulka1[[#This Row],[KOD]],"")</f>
        <v>C219XMPT/C</v>
      </c>
      <c r="W807" s="804" t="str">
        <f t="shared" si="26"/>
        <v/>
      </c>
      <c r="X807" s="154" t="str">
        <f t="shared" si="27"/>
        <v/>
      </c>
      <c r="Y807" s="341">
        <f>IF('General price list'!$AB809="",0,'General price list'!$AB809)</f>
        <v>0</v>
      </c>
      <c r="Z807" s="365" t="str">
        <f>IFERROR(X807*VLOOKUP(C807,'General price list'!C:I,7,FALSE),"")</f>
        <v/>
      </c>
      <c r="AA807" s="805" t="str">
        <f>IF(X807&lt;&gt;"",VLOOKUP(C807,'General price list'!C809:AN1782,MATCH("HM",Tabulka1[[#Headers],[KOD]:[NEQ]],0),FALSE),"")</f>
        <v/>
      </c>
    </row>
    <row r="808" spans="1:27">
      <c r="A808">
        <f>COUNTIF($W$22:W808,1)</f>
        <v>0</v>
      </c>
      <c r="B808">
        <v>808</v>
      </c>
      <c r="C808" s="340" t="str">
        <f>IFERROR(Tabulka1[[#This Row],[KOD]],"")</f>
        <v>C253XMPT/C</v>
      </c>
      <c r="W808" s="804" t="str">
        <f t="shared" si="26"/>
        <v/>
      </c>
      <c r="X808" s="154" t="str">
        <f t="shared" si="27"/>
        <v/>
      </c>
      <c r="Y808" s="341">
        <f>IF('General price list'!$AB810="",0,'General price list'!$AB810)</f>
        <v>0</v>
      </c>
      <c r="Z808" s="365" t="str">
        <f>IFERROR(X808*VLOOKUP(C808,'General price list'!C:I,7,FALSE),"")</f>
        <v/>
      </c>
      <c r="AA808" s="805" t="str">
        <f>IF(X808&lt;&gt;"",VLOOKUP(C808,'General price list'!C810:AN1783,MATCH("HM",Tabulka1[[#Headers],[KOD]:[NEQ]],0),FALSE),"")</f>
        <v/>
      </c>
    </row>
    <row r="809" spans="1:27">
      <c r="A809">
        <f>COUNTIF($W$22:W809,1)</f>
        <v>0</v>
      </c>
      <c r="B809">
        <v>809</v>
      </c>
      <c r="C809" s="340" t="str">
        <f>IFERROR(Tabulka1[[#This Row],[KOD]],"")</f>
        <v>C379XMK/C</v>
      </c>
      <c r="W809" s="804" t="str">
        <f t="shared" si="26"/>
        <v/>
      </c>
      <c r="X809" s="154" t="str">
        <f t="shared" si="27"/>
        <v/>
      </c>
      <c r="Y809" s="341">
        <f>IF('General price list'!$AB811="",0,'General price list'!$AB811)</f>
        <v>0</v>
      </c>
      <c r="Z809" s="365" t="str">
        <f>IFERROR(X809*VLOOKUP(C809,'General price list'!C:I,7,FALSE),"")</f>
        <v/>
      </c>
      <c r="AA809" s="805" t="str">
        <f>IF(X809&lt;&gt;"",VLOOKUP(C809,'General price list'!C811:AN1784,MATCH("HM",Tabulka1[[#Headers],[KOD]:[NEQ]],0),FALSE),"")</f>
        <v/>
      </c>
    </row>
    <row r="810" spans="1:27">
      <c r="A810">
        <f>COUNTIF($W$22:W810,1)</f>
        <v>0</v>
      </c>
      <c r="B810">
        <v>810</v>
      </c>
      <c r="C810" s="340">
        <f>IFERROR(Tabulka1[[#This Row],[KOD]],"")</f>
        <v>0</v>
      </c>
      <c r="W810" s="804" t="str">
        <f t="shared" si="26"/>
        <v/>
      </c>
      <c r="X810" s="154" t="str">
        <f t="shared" si="27"/>
        <v/>
      </c>
      <c r="Y810" s="341">
        <f>IF('General price list'!$AB812="",0,'General price list'!$AB812)</f>
        <v>0</v>
      </c>
      <c r="Z810" s="365" t="str">
        <f>IFERROR(X810*VLOOKUP(C810,'General price list'!C:I,7,FALSE),"")</f>
        <v/>
      </c>
      <c r="AA810" s="805" t="str">
        <f>IF(X810&lt;&gt;"",VLOOKUP(C810,'General price list'!C812:AN1785,MATCH("HM",Tabulka1[[#Headers],[KOD]:[NEQ]],0),FALSE),"")</f>
        <v/>
      </c>
    </row>
    <row r="811" spans="1:27">
      <c r="A811">
        <f>COUNTIF($W$22:W811,1)</f>
        <v>0</v>
      </c>
      <c r="B811">
        <v>811</v>
      </c>
      <c r="C811" s="340">
        <f>IFERROR(Tabulka1[[#This Row],[KOD]],"")</f>
        <v>0</v>
      </c>
      <c r="W811" s="804" t="str">
        <f t="shared" si="26"/>
        <v/>
      </c>
      <c r="X811" s="154" t="str">
        <f t="shared" si="27"/>
        <v/>
      </c>
      <c r="Y811" s="341">
        <f>IF('General price list'!$AB813="",0,'General price list'!$AB813)</f>
        <v>0</v>
      </c>
      <c r="Z811" s="365" t="str">
        <f>IFERROR(X811*VLOOKUP(C811,'General price list'!C:I,7,FALSE),"")</f>
        <v/>
      </c>
      <c r="AA811" s="805" t="str">
        <f>IF(X811&lt;&gt;"",VLOOKUP(C811,'General price list'!C813:AN1786,MATCH("HM",Tabulka1[[#Headers],[KOD]:[NEQ]],0),FALSE),"")</f>
        <v/>
      </c>
    </row>
    <row r="812" spans="1:27">
      <c r="A812">
        <f>COUNTIF($W$22:W812,1)</f>
        <v>0</v>
      </c>
      <c r="B812">
        <v>812</v>
      </c>
      <c r="C812" s="340" t="str">
        <f>IFERROR(Tabulka1[[#This Row],[KOD]],"")</f>
        <v>C23MO</v>
      </c>
      <c r="W812" s="804" t="str">
        <f t="shared" si="26"/>
        <v/>
      </c>
      <c r="X812" s="154" t="str">
        <f t="shared" si="27"/>
        <v/>
      </c>
      <c r="Y812" s="341">
        <f>IF('General price list'!$AB814="",0,'General price list'!$AB814)</f>
        <v>0</v>
      </c>
      <c r="Z812" s="365" t="str">
        <f>IFERROR(X812*VLOOKUP(C812,'General price list'!C:I,7,FALSE),"")</f>
        <v/>
      </c>
      <c r="AA812" s="805" t="str">
        <f>IF(X812&lt;&gt;"",VLOOKUP(C812,'General price list'!C814:AN1787,MATCH("HM",Tabulka1[[#Headers],[KOD]:[NEQ]],0),FALSE),"")</f>
        <v/>
      </c>
    </row>
    <row r="813" spans="1:27">
      <c r="A813">
        <f>COUNTIF($W$22:W813,1)</f>
        <v>0</v>
      </c>
      <c r="B813">
        <v>813</v>
      </c>
      <c r="C813" s="340">
        <f>IFERROR(Tabulka1[[#This Row],[KOD]],"")</f>
        <v>0</v>
      </c>
      <c r="W813" s="804" t="str">
        <f t="shared" si="26"/>
        <v/>
      </c>
      <c r="X813" s="154" t="str">
        <f t="shared" si="27"/>
        <v/>
      </c>
      <c r="Y813" s="341">
        <f>IF('General price list'!$AB815="",0,'General price list'!$AB815)</f>
        <v>0</v>
      </c>
      <c r="Z813" s="365" t="str">
        <f>IFERROR(X813*VLOOKUP(C813,'General price list'!C:I,7,FALSE),"")</f>
        <v/>
      </c>
      <c r="AA813" s="805" t="str">
        <f>IF(X813&lt;&gt;"",VLOOKUP(C813,'General price list'!C815:AN1788,MATCH("HM",Tabulka1[[#Headers],[KOD]:[NEQ]],0),FALSE),"")</f>
        <v/>
      </c>
    </row>
    <row r="814" spans="1:27">
      <c r="A814">
        <f>COUNTIF($W$22:W814,1)</f>
        <v>0</v>
      </c>
      <c r="B814">
        <v>814</v>
      </c>
      <c r="C814" s="340" t="str">
        <f>IFERROR(Tabulka1[[#This Row],[KOD]],"")</f>
        <v>C24MH</v>
      </c>
      <c r="W814" s="804" t="str">
        <f t="shared" si="26"/>
        <v/>
      </c>
      <c r="X814" s="154" t="str">
        <f t="shared" si="27"/>
        <v/>
      </c>
      <c r="Y814" s="341">
        <f>IF('General price list'!$AB816="",0,'General price list'!$AB816)</f>
        <v>0</v>
      </c>
      <c r="Z814" s="365" t="str">
        <f>IFERROR(X814*VLOOKUP(C814,'General price list'!C:I,7,FALSE),"")</f>
        <v/>
      </c>
      <c r="AA814" s="805" t="str">
        <f>IF(X814&lt;&gt;"",VLOOKUP(C814,'General price list'!C816:AN1789,MATCH("HM",Tabulka1[[#Headers],[KOD]:[NEQ]],0),FALSE),"")</f>
        <v/>
      </c>
    </row>
    <row r="815" spans="1:27">
      <c r="A815">
        <f>COUNTIF($W$22:W815,1)</f>
        <v>0</v>
      </c>
      <c r="B815">
        <v>815</v>
      </c>
      <c r="C815" s="340">
        <f>IFERROR(Tabulka1[[#This Row],[KOD]],"")</f>
        <v>0</v>
      </c>
      <c r="W815" s="804" t="str">
        <f t="shared" si="26"/>
        <v/>
      </c>
      <c r="X815" s="154" t="str">
        <f t="shared" si="27"/>
        <v/>
      </c>
      <c r="Y815" s="341">
        <f>IF('General price list'!$AB817="",0,'General price list'!$AB817)</f>
        <v>0</v>
      </c>
      <c r="Z815" s="365" t="str">
        <f>IFERROR(X815*VLOOKUP(C815,'General price list'!C:I,7,FALSE),"")</f>
        <v/>
      </c>
      <c r="AA815" s="805" t="str">
        <f>IF(X815&lt;&gt;"",VLOOKUP(C815,'General price list'!C817:AN1790,MATCH("HM",Tabulka1[[#Headers],[KOD]:[NEQ]],0),FALSE),"")</f>
        <v/>
      </c>
    </row>
    <row r="816" spans="1:27">
      <c r="A816">
        <f>COUNTIF($W$22:W816,1)</f>
        <v>0</v>
      </c>
      <c r="B816">
        <v>816</v>
      </c>
      <c r="C816" s="340" t="str">
        <f>IFERROR(Tabulka1[[#This Row],[KOD]],"")</f>
        <v>C36MH</v>
      </c>
      <c r="W816" s="804" t="str">
        <f t="shared" si="26"/>
        <v/>
      </c>
      <c r="X816" s="154" t="str">
        <f t="shared" si="27"/>
        <v/>
      </c>
      <c r="Y816" s="341">
        <f>IF('General price list'!$AB818="",0,'General price list'!$AB818)</f>
        <v>0</v>
      </c>
      <c r="Z816" s="365" t="str">
        <f>IFERROR(X816*VLOOKUP(C816,'General price list'!C:I,7,FALSE),"")</f>
        <v/>
      </c>
      <c r="AA816" s="805" t="str">
        <f>IF(X816&lt;&gt;"",VLOOKUP(C816,'General price list'!C818:AN1791,MATCH("HM",Tabulka1[[#Headers],[KOD]:[NEQ]],0),FALSE),"")</f>
        <v/>
      </c>
    </row>
    <row r="817" spans="1:27">
      <c r="A817">
        <f>COUNTIF($W$22:W817,1)</f>
        <v>0</v>
      </c>
      <c r="B817">
        <v>817</v>
      </c>
      <c r="C817" s="340">
        <f>IFERROR(Tabulka1[[#This Row],[KOD]],"")</f>
        <v>0</v>
      </c>
      <c r="W817" s="804" t="str">
        <f t="shared" si="26"/>
        <v/>
      </c>
      <c r="X817" s="154" t="str">
        <f t="shared" si="27"/>
        <v/>
      </c>
      <c r="Y817" s="341">
        <f>IF('General price list'!$AB819="",0,'General price list'!$AB819)</f>
        <v>0</v>
      </c>
      <c r="Z817" s="365" t="str">
        <f>IFERROR(X817*VLOOKUP(C817,'General price list'!C:I,7,FALSE),"")</f>
        <v/>
      </c>
      <c r="AA817" s="805" t="str">
        <f>IF(X817&lt;&gt;"",VLOOKUP(C817,'General price list'!C819:AN1792,MATCH("HM",Tabulka1[[#Headers],[KOD]:[NEQ]],0),FALSE),"")</f>
        <v/>
      </c>
    </row>
    <row r="818" spans="1:27">
      <c r="A818">
        <f>COUNTIF($W$22:W818,1)</f>
        <v>0</v>
      </c>
      <c r="B818">
        <v>818</v>
      </c>
      <c r="C818" s="340" t="str">
        <f>IFERROR(Tabulka1[[#This Row],[KOD]],"")</f>
        <v>C42MM</v>
      </c>
      <c r="W818" s="804" t="str">
        <f t="shared" si="26"/>
        <v/>
      </c>
      <c r="X818" s="154" t="str">
        <f t="shared" si="27"/>
        <v/>
      </c>
      <c r="Y818" s="341">
        <f>IF('General price list'!$AB820="",0,'General price list'!$AB820)</f>
        <v>0</v>
      </c>
      <c r="Z818" s="365" t="str">
        <f>IFERROR(X818*VLOOKUP(C818,'General price list'!C:I,7,FALSE),"")</f>
        <v/>
      </c>
      <c r="AA818" s="805" t="str">
        <f>IF(X818&lt;&gt;"",VLOOKUP(C818,'General price list'!C820:AN1793,MATCH("HM",Tabulka1[[#Headers],[KOD]:[NEQ]],0),FALSE),"")</f>
        <v/>
      </c>
    </row>
    <row r="819" spans="1:27">
      <c r="A819">
        <f>COUNTIF($W$22:W819,1)</f>
        <v>0</v>
      </c>
      <c r="B819">
        <v>819</v>
      </c>
      <c r="C819" s="340">
        <f>IFERROR(Tabulka1[[#This Row],[KOD]],"")</f>
        <v>0</v>
      </c>
      <c r="W819" s="804" t="str">
        <f t="shared" si="26"/>
        <v/>
      </c>
      <c r="X819" s="154" t="str">
        <f t="shared" si="27"/>
        <v/>
      </c>
      <c r="Y819" s="341">
        <f>IF('General price list'!$AB821="",0,'General price list'!$AB821)</f>
        <v>0</v>
      </c>
      <c r="Z819" s="365" t="str">
        <f>IFERROR(X819*VLOOKUP(C819,'General price list'!C:I,7,FALSE),"")</f>
        <v/>
      </c>
      <c r="AA819" s="805" t="str">
        <f>IF(X819&lt;&gt;"",VLOOKUP(C819,'General price list'!C821:AN1794,MATCH("HM",Tabulka1[[#Headers],[KOD]:[NEQ]],0),FALSE),"")</f>
        <v/>
      </c>
    </row>
    <row r="820" spans="1:27">
      <c r="A820">
        <f>COUNTIF($W$22:W820,1)</f>
        <v>0</v>
      </c>
      <c r="B820">
        <v>820</v>
      </c>
      <c r="C820" s="340" t="str">
        <f>IFERROR(Tabulka1[[#This Row],[KOD]],"")</f>
        <v>C47MB</v>
      </c>
      <c r="W820" s="804" t="str">
        <f t="shared" si="26"/>
        <v/>
      </c>
      <c r="X820" s="154" t="str">
        <f t="shared" si="27"/>
        <v/>
      </c>
      <c r="Y820" s="341">
        <f>IF('General price list'!$AB822="",0,'General price list'!$AB822)</f>
        <v>0</v>
      </c>
      <c r="Z820" s="365" t="str">
        <f>IFERROR(X820*VLOOKUP(C820,'General price list'!C:I,7,FALSE),"")</f>
        <v/>
      </c>
      <c r="AA820" s="805" t="str">
        <f>IF(X820&lt;&gt;"",VLOOKUP(C820,'General price list'!C822:AN1795,MATCH("HM",Tabulka1[[#Headers],[KOD]:[NEQ]],0),FALSE),"")</f>
        <v/>
      </c>
    </row>
    <row r="821" spans="1:27">
      <c r="A821">
        <f>COUNTIF($W$22:W821,1)</f>
        <v>0</v>
      </c>
      <c r="B821">
        <v>821</v>
      </c>
      <c r="C821" s="340" t="str">
        <f>IFERROR(Tabulka1[[#This Row],[KOD]],"")</f>
        <v>C47XMT</v>
      </c>
      <c r="W821" s="804" t="str">
        <f t="shared" si="26"/>
        <v/>
      </c>
      <c r="X821" s="154" t="str">
        <f t="shared" si="27"/>
        <v/>
      </c>
      <c r="Y821" s="341">
        <f>IF('General price list'!$AB823="",0,'General price list'!$AB823)</f>
        <v>0</v>
      </c>
      <c r="Z821" s="365" t="str">
        <f>IFERROR(X821*VLOOKUP(C821,'General price list'!C:I,7,FALSE),"")</f>
        <v/>
      </c>
      <c r="AA821" s="805" t="str">
        <f>IF(X821&lt;&gt;"",VLOOKUP(C821,'General price list'!C823:AN1796,MATCH("HM",Tabulka1[[#Headers],[KOD]:[NEQ]],0),FALSE),"")</f>
        <v/>
      </c>
    </row>
    <row r="822" spans="1:27">
      <c r="A822">
        <f>COUNTIF($W$22:W822,1)</f>
        <v>0</v>
      </c>
      <c r="B822">
        <v>822</v>
      </c>
      <c r="C822" s="340">
        <f>IFERROR(Tabulka1[[#This Row],[KOD]],"")</f>
        <v>0</v>
      </c>
      <c r="W822" s="804" t="str">
        <f t="shared" si="26"/>
        <v/>
      </c>
      <c r="X822" s="154" t="str">
        <f t="shared" si="27"/>
        <v/>
      </c>
      <c r="Y822" s="341">
        <f>IF('General price list'!$AB824="",0,'General price list'!$AB824)</f>
        <v>0</v>
      </c>
      <c r="Z822" s="365" t="str">
        <f>IFERROR(X822*VLOOKUP(C822,'General price list'!C:I,7,FALSE),"")</f>
        <v/>
      </c>
      <c r="AA822" s="805" t="str">
        <f>IF(X822&lt;&gt;"",VLOOKUP(C822,'General price list'!C824:AN1797,MATCH("HM",Tabulka1[[#Headers],[KOD]:[NEQ]],0),FALSE),"")</f>
        <v/>
      </c>
    </row>
    <row r="823" spans="1:27">
      <c r="A823">
        <f>COUNTIF($W$22:W823,1)</f>
        <v>0</v>
      </c>
      <c r="B823">
        <v>823</v>
      </c>
      <c r="C823" s="340" t="str">
        <f>IFERROR(Tabulka1[[#This Row],[KOD]],"")</f>
        <v>C63MM</v>
      </c>
      <c r="W823" s="804" t="str">
        <f t="shared" si="26"/>
        <v/>
      </c>
      <c r="X823" s="154" t="str">
        <f t="shared" si="27"/>
        <v/>
      </c>
      <c r="Y823" s="341">
        <f>IF('General price list'!$AB825="",0,'General price list'!$AB825)</f>
        <v>0</v>
      </c>
      <c r="Z823" s="365" t="str">
        <f>IFERROR(X823*VLOOKUP(C823,'General price list'!C:I,7,FALSE),"")</f>
        <v/>
      </c>
      <c r="AA823" s="805" t="str">
        <f>IF(X823&lt;&gt;"",VLOOKUP(C823,'General price list'!C825:AN1798,MATCH("HM",Tabulka1[[#Headers],[KOD]:[NEQ]],0),FALSE),"")</f>
        <v/>
      </c>
    </row>
    <row r="824" spans="1:27">
      <c r="A824">
        <f>COUNTIF($W$22:W824,1)</f>
        <v>0</v>
      </c>
      <c r="B824">
        <v>824</v>
      </c>
      <c r="C824" s="340">
        <f>IFERROR(Tabulka1[[#This Row],[KOD]],"")</f>
        <v>0</v>
      </c>
      <c r="W824" s="804" t="str">
        <f t="shared" si="26"/>
        <v/>
      </c>
      <c r="X824" s="154" t="str">
        <f t="shared" si="27"/>
        <v/>
      </c>
      <c r="Y824" s="341">
        <f>IF('General price list'!$AB826="",0,'General price list'!$AB826)</f>
        <v>0</v>
      </c>
      <c r="Z824" s="365" t="str">
        <f>IFERROR(X824*VLOOKUP(C824,'General price list'!C:I,7,FALSE),"")</f>
        <v/>
      </c>
      <c r="AA824" s="805" t="str">
        <f>IF(X824&lt;&gt;"",VLOOKUP(C824,'General price list'!C826:AN1799,MATCH("HM",Tabulka1[[#Headers],[KOD]:[NEQ]],0),FALSE),"")</f>
        <v/>
      </c>
    </row>
    <row r="825" spans="1:27">
      <c r="A825">
        <f>COUNTIF($W$22:W825,1)</f>
        <v>0</v>
      </c>
      <c r="B825">
        <v>825</v>
      </c>
      <c r="C825" s="340" t="str">
        <f>IFERROR(Tabulka1[[#This Row],[KOD]],"")</f>
        <v>C66SMMO</v>
      </c>
      <c r="W825" s="804" t="str">
        <f t="shared" si="26"/>
        <v/>
      </c>
      <c r="X825" s="154" t="str">
        <f t="shared" si="27"/>
        <v/>
      </c>
      <c r="Y825" s="341">
        <f>IF('General price list'!$AB827="",0,'General price list'!$AB827)</f>
        <v>0</v>
      </c>
      <c r="Z825" s="365" t="str">
        <f>IFERROR(X825*VLOOKUP(C825,'General price list'!C:I,7,FALSE),"")</f>
        <v/>
      </c>
      <c r="AA825" s="805" t="str">
        <f>IF(X825&lt;&gt;"",VLOOKUP(C825,'General price list'!C827:AN1800,MATCH("HM",Tabulka1[[#Headers],[KOD]:[NEQ]],0),FALSE),"")</f>
        <v/>
      </c>
    </row>
    <row r="826" spans="1:27">
      <c r="A826">
        <f>COUNTIF($W$22:W826,1)</f>
        <v>0</v>
      </c>
      <c r="B826">
        <v>826</v>
      </c>
      <c r="C826" s="340">
        <f>IFERROR(Tabulka1[[#This Row],[KOD]],"")</f>
        <v>0</v>
      </c>
      <c r="W826" s="804" t="str">
        <f t="shared" si="26"/>
        <v/>
      </c>
      <c r="X826" s="154" t="str">
        <f t="shared" si="27"/>
        <v/>
      </c>
      <c r="Y826" s="341">
        <f>IF('General price list'!$AB828="",0,'General price list'!$AB828)</f>
        <v>0</v>
      </c>
      <c r="Z826" s="365" t="str">
        <f>IFERROR(X826*VLOOKUP(C826,'General price list'!C:I,7,FALSE),"")</f>
        <v/>
      </c>
      <c r="AA826" s="805" t="str">
        <f>IF(X826&lt;&gt;"",VLOOKUP(C826,'General price list'!C828:AN1801,MATCH("HM",Tabulka1[[#Headers],[KOD]:[NEQ]],0),FALSE),"")</f>
        <v/>
      </c>
    </row>
    <row r="827" spans="1:27">
      <c r="A827">
        <f>COUNTIF($W$22:W827,1)</f>
        <v>0</v>
      </c>
      <c r="B827">
        <v>827</v>
      </c>
      <c r="C827" s="340" t="str">
        <f>IFERROR(Tabulka1[[#This Row],[KOD]],"")</f>
        <v>C84M12F/C</v>
      </c>
      <c r="W827" s="804" t="str">
        <f t="shared" si="26"/>
        <v/>
      </c>
      <c r="X827" s="154" t="str">
        <f t="shared" si="27"/>
        <v/>
      </c>
      <c r="Y827" s="341">
        <f>IF('General price list'!$AB829="",0,'General price list'!$AB829)</f>
        <v>0</v>
      </c>
      <c r="Z827" s="365" t="str">
        <f>IFERROR(X827*VLOOKUP(C827,'General price list'!C:I,7,FALSE),"")</f>
        <v/>
      </c>
      <c r="AA827" s="805" t="str">
        <f>IF(X827&lt;&gt;"",VLOOKUP(C827,'General price list'!C829:AN1802,MATCH("HM",Tabulka1[[#Headers],[KOD]:[NEQ]],0),FALSE),"")</f>
        <v/>
      </c>
    </row>
    <row r="828" spans="1:27">
      <c r="A828">
        <f>COUNTIF($W$22:W828,1)</f>
        <v>0</v>
      </c>
      <c r="B828">
        <v>828</v>
      </c>
      <c r="C828" s="340" t="str">
        <f>IFERROR(Tabulka1[[#This Row],[KOD]],"")</f>
        <v>C84MC/C</v>
      </c>
      <c r="W828" s="804" t="str">
        <f t="shared" si="26"/>
        <v/>
      </c>
      <c r="X828" s="154" t="str">
        <f t="shared" si="27"/>
        <v/>
      </c>
      <c r="Y828" s="341">
        <f>IF('General price list'!$AB830="",0,'General price list'!$AB830)</f>
        <v>0</v>
      </c>
      <c r="Z828" s="365" t="str">
        <f>IFERROR(X828*VLOOKUP(C828,'General price list'!C:I,7,FALSE),"")</f>
        <v/>
      </c>
      <c r="AA828" s="805" t="str">
        <f>IF(X828&lt;&gt;"",VLOOKUP(C828,'General price list'!C830:AN1803,MATCH("HM",Tabulka1[[#Headers],[KOD]:[NEQ]],0),FALSE),"")</f>
        <v/>
      </c>
    </row>
    <row r="829" spans="1:27">
      <c r="A829">
        <f>COUNTIF($W$22:W829,1)</f>
        <v>0</v>
      </c>
      <c r="B829">
        <v>829</v>
      </c>
      <c r="C829" s="340" t="str">
        <f>IFERROR(Tabulka1[[#This Row],[KOD]],"")</f>
        <v>C175MSIG/C</v>
      </c>
      <c r="W829" s="804" t="str">
        <f t="shared" si="26"/>
        <v/>
      </c>
      <c r="X829" s="154" t="str">
        <f t="shared" si="27"/>
        <v/>
      </c>
      <c r="Y829" s="341">
        <f>IF('General price list'!$AB831="",0,'General price list'!$AB831)</f>
        <v>0</v>
      </c>
      <c r="Z829" s="365" t="str">
        <f>IFERROR(X829*VLOOKUP(C829,'General price list'!C:I,7,FALSE),"")</f>
        <v/>
      </c>
      <c r="AA829" s="805" t="str">
        <f>IF(X829&lt;&gt;"",VLOOKUP(C829,'General price list'!C831:AN1804,MATCH("HM",Tabulka1[[#Headers],[KOD]:[NEQ]],0),FALSE),"")</f>
        <v/>
      </c>
    </row>
    <row r="830" spans="1:27">
      <c r="A830">
        <f>COUNTIF($W$22:W830,1)</f>
        <v>0</v>
      </c>
      <c r="B830">
        <v>830</v>
      </c>
      <c r="C830" s="340" t="str">
        <f>IFERROR(Tabulka1[[#This Row],[KOD]],"")</f>
        <v>C222MNPT/C</v>
      </c>
      <c r="W830" s="804" t="str">
        <f t="shared" si="26"/>
        <v/>
      </c>
      <c r="X830" s="154" t="str">
        <f t="shared" si="27"/>
        <v/>
      </c>
      <c r="Y830" s="341">
        <f>IF('General price list'!$AB832="",0,'General price list'!$AB832)</f>
        <v>0</v>
      </c>
      <c r="Z830" s="365" t="str">
        <f>IFERROR(X830*VLOOKUP(C830,'General price list'!C:I,7,FALSE),"")</f>
        <v/>
      </c>
      <c r="AA830" s="805" t="str">
        <f>IF(X830&lt;&gt;"",VLOOKUP(C830,'General price list'!C832:AN1805,MATCH("HM",Tabulka1[[#Headers],[KOD]:[NEQ]],0),FALSE),"")</f>
        <v/>
      </c>
    </row>
    <row r="831" spans="1:27">
      <c r="A831">
        <f>COUNTIF($W$22:W831,1)</f>
        <v>0</v>
      </c>
      <c r="B831">
        <v>831</v>
      </c>
      <c r="C831" s="340" t="str">
        <f>IFERROR(Tabulka1[[#This Row],[KOD]],"")</f>
        <v>C222MF/C</v>
      </c>
      <c r="W831" s="804" t="str">
        <f t="shared" si="26"/>
        <v/>
      </c>
      <c r="X831" s="154" t="str">
        <f t="shared" si="27"/>
        <v/>
      </c>
      <c r="Y831" s="341">
        <f>IF('General price list'!$AB833="",0,'General price list'!$AB833)</f>
        <v>0</v>
      </c>
      <c r="Z831" s="365" t="str">
        <f>IFERROR(X831*VLOOKUP(C831,'General price list'!C:I,7,FALSE),"")</f>
        <v/>
      </c>
      <c r="AA831" s="805" t="str">
        <f>IF(X831&lt;&gt;"",VLOOKUP(C831,'General price list'!C833:AN1806,MATCH("HM",Tabulka1[[#Headers],[KOD]:[NEQ]],0),FALSE),"")</f>
        <v/>
      </c>
    </row>
    <row r="832" spans="1:27">
      <c r="A832">
        <f>COUNTIF($W$22:W832,1)</f>
        <v>0</v>
      </c>
      <c r="B832">
        <v>832</v>
      </c>
      <c r="C832" s="340">
        <f>IFERROR(Tabulka1[[#This Row],[KOD]],"")</f>
        <v>0</v>
      </c>
      <c r="W832" s="804" t="str">
        <f t="shared" si="26"/>
        <v/>
      </c>
      <c r="X832" s="154" t="str">
        <f t="shared" si="27"/>
        <v/>
      </c>
      <c r="Y832" s="341">
        <f>IF('General price list'!$AB834="",0,'General price list'!$AB834)</f>
        <v>0</v>
      </c>
      <c r="Z832" s="365" t="str">
        <f>IFERROR(X832*VLOOKUP(C832,'General price list'!C:I,7,FALSE),"")</f>
        <v/>
      </c>
      <c r="AA832" s="805" t="str">
        <f>IF(X832&lt;&gt;"",VLOOKUP(C832,'General price list'!C834:AN1807,MATCH("HM",Tabulka1[[#Headers],[KOD]:[NEQ]],0),FALSE),"")</f>
        <v/>
      </c>
    </row>
    <row r="833" spans="1:27">
      <c r="A833">
        <f>COUNTIF($W$22:W833,1)</f>
        <v>0</v>
      </c>
      <c r="B833">
        <v>833</v>
      </c>
      <c r="C833" s="340" t="str">
        <f>IFERROR(Tabulka1[[#This Row],[KOD]],"")</f>
        <v>C96MB</v>
      </c>
      <c r="W833" s="804" t="str">
        <f t="shared" si="26"/>
        <v/>
      </c>
      <c r="X833" s="154" t="str">
        <f t="shared" si="27"/>
        <v/>
      </c>
      <c r="Y833" s="341">
        <f>IF('General price list'!$AB835="",0,'General price list'!$AB835)</f>
        <v>0</v>
      </c>
      <c r="Z833" s="365" t="str">
        <f>IFERROR(X833*VLOOKUP(C833,'General price list'!C:I,7,FALSE),"")</f>
        <v/>
      </c>
      <c r="AA833" s="805" t="str">
        <f>IF(X833&lt;&gt;"",VLOOKUP(C833,'General price list'!C835:AN1808,MATCH("HM",Tabulka1[[#Headers],[KOD]:[NEQ]],0),FALSE),"")</f>
        <v/>
      </c>
    </row>
    <row r="834" spans="1:27">
      <c r="A834">
        <f>COUNTIF($W$22:W834,1)</f>
        <v>0</v>
      </c>
      <c r="B834">
        <v>834</v>
      </c>
      <c r="C834" s="340" t="str">
        <f>IFERROR(Tabulka1[[#This Row],[KOD]],"")</f>
        <v>C304MK</v>
      </c>
      <c r="W834" s="804" t="str">
        <f t="shared" si="26"/>
        <v/>
      </c>
      <c r="X834" s="154" t="str">
        <f t="shared" si="27"/>
        <v/>
      </c>
      <c r="Y834" s="341">
        <f>IF('General price list'!$AB836="",0,'General price list'!$AB836)</f>
        <v>0</v>
      </c>
      <c r="Z834" s="365" t="str">
        <f>IFERROR(X834*VLOOKUP(C834,'General price list'!C:I,7,FALSE),"")</f>
        <v/>
      </c>
      <c r="AA834" s="805" t="str">
        <f>IF(X834&lt;&gt;"",VLOOKUP(C834,'General price list'!C836:AN1809,MATCH("HM",Tabulka1[[#Headers],[KOD]:[NEQ]],0),FALSE),"")</f>
        <v/>
      </c>
    </row>
    <row r="835" spans="1:27">
      <c r="A835">
        <f>COUNTIF($W$22:W835,1)</f>
        <v>0</v>
      </c>
      <c r="B835">
        <v>835</v>
      </c>
      <c r="C835" s="340">
        <f>IFERROR(Tabulka1[[#This Row],[KOD]],"")</f>
        <v>0</v>
      </c>
      <c r="W835" s="804" t="str">
        <f t="shared" si="26"/>
        <v/>
      </c>
      <c r="X835" s="154" t="str">
        <f t="shared" si="27"/>
        <v/>
      </c>
      <c r="Y835" s="341">
        <f>IF('General price list'!$AB837="",0,'General price list'!$AB837)</f>
        <v>0</v>
      </c>
      <c r="Z835" s="365" t="str">
        <f>IFERROR(X835*VLOOKUP(C835,'General price list'!C:I,7,FALSE),"")</f>
        <v/>
      </c>
      <c r="AA835" s="805" t="str">
        <f>IF(X835&lt;&gt;"",VLOOKUP(C835,'General price list'!C837:AN1810,MATCH("HM",Tabulka1[[#Headers],[KOD]:[NEQ]],0),FALSE),"")</f>
        <v/>
      </c>
    </row>
    <row r="836" spans="1:27">
      <c r="A836">
        <f>COUNTIF($W$22:W836,1)</f>
        <v>0</v>
      </c>
      <c r="B836">
        <v>836</v>
      </c>
      <c r="C836" s="340" t="str">
        <f>IFERROR(Tabulka1[[#This Row],[KOD]],"")</f>
        <v>HF26001s</v>
      </c>
      <c r="W836" s="804" t="str">
        <f t="shared" si="26"/>
        <v/>
      </c>
      <c r="X836" s="154" t="str">
        <f t="shared" si="27"/>
        <v/>
      </c>
      <c r="Y836" s="341">
        <f>IF('General price list'!$AB838="",0,'General price list'!$AB838)</f>
        <v>0</v>
      </c>
      <c r="Z836" s="365" t="str">
        <f>IFERROR(X836*VLOOKUP(C836,'General price list'!C:I,7,FALSE),"")</f>
        <v/>
      </c>
      <c r="AA836" s="805" t="str">
        <f>IF(X836&lt;&gt;"",VLOOKUP(C836,'General price list'!C838:AN1811,MATCH("HM",Tabulka1[[#Headers],[KOD]:[NEQ]],0),FALSE),"")</f>
        <v/>
      </c>
    </row>
    <row r="837" spans="1:27">
      <c r="A837">
        <f>COUNTIF($W$22:W837,1)</f>
        <v>0</v>
      </c>
      <c r="B837">
        <v>837</v>
      </c>
      <c r="C837" s="340" t="str">
        <f>IFERROR(Tabulka1[[#This Row],[KOD]],"")</f>
        <v>HF26009s</v>
      </c>
      <c r="W837" s="804" t="str">
        <f t="shared" si="26"/>
        <v/>
      </c>
      <c r="X837" s="154" t="str">
        <f t="shared" si="27"/>
        <v/>
      </c>
      <c r="Y837" s="341">
        <f>IF('General price list'!$AB839="",0,'General price list'!$AB839)</f>
        <v>0</v>
      </c>
      <c r="Z837" s="365" t="str">
        <f>IFERROR(X837*VLOOKUP(C837,'General price list'!C:I,7,FALSE),"")</f>
        <v/>
      </c>
      <c r="AA837" s="805" t="str">
        <f>IF(X837&lt;&gt;"",VLOOKUP(C837,'General price list'!C839:AN1812,MATCH("HM",Tabulka1[[#Headers],[KOD]:[NEQ]],0),FALSE),"")</f>
        <v/>
      </c>
    </row>
    <row r="838" spans="1:27">
      <c r="A838">
        <f>COUNTIF($W$22:W838,1)</f>
        <v>0</v>
      </c>
      <c r="B838">
        <v>838</v>
      </c>
      <c r="C838" s="340" t="str">
        <f>IFERROR(Tabulka1[[#This Row],[KOD]],"")</f>
        <v>HF26012</v>
      </c>
      <c r="W838" s="804" t="str">
        <f t="shared" si="26"/>
        <v/>
      </c>
      <c r="X838" s="154" t="str">
        <f t="shared" si="27"/>
        <v/>
      </c>
      <c r="Y838" s="341">
        <f>IF('General price list'!$AB840="",0,'General price list'!$AB840)</f>
        <v>0</v>
      </c>
      <c r="Z838" s="365" t="str">
        <f>IFERROR(X838*VLOOKUP(C838,'General price list'!C:I,7,FALSE),"")</f>
        <v/>
      </c>
      <c r="AA838" s="805" t="str">
        <f>IF(X838&lt;&gt;"",VLOOKUP(C838,'General price list'!C840:AN1813,MATCH("HM",Tabulka1[[#Headers],[KOD]:[NEQ]],0),FALSE),"")</f>
        <v/>
      </c>
    </row>
    <row r="839" spans="1:27">
      <c r="A839">
        <f>COUNTIF($W$22:W839,1)</f>
        <v>0</v>
      </c>
      <c r="B839">
        <v>839</v>
      </c>
      <c r="C839" s="340" t="str">
        <f>IFERROR(Tabulka1[[#This Row],[KOD]],"")</f>
        <v>HF26015</v>
      </c>
      <c r="W839" s="804" t="str">
        <f t="shared" si="26"/>
        <v/>
      </c>
      <c r="X839" s="154" t="str">
        <f t="shared" si="27"/>
        <v/>
      </c>
      <c r="Y839" s="341">
        <f>IF('General price list'!$AB841="",0,'General price list'!$AB841)</f>
        <v>0</v>
      </c>
      <c r="Z839" s="365" t="str">
        <f>IFERROR(X839*VLOOKUP(C839,'General price list'!C:I,7,FALSE),"")</f>
        <v/>
      </c>
      <c r="AA839" s="805" t="str">
        <f>IF(X839&lt;&gt;"",VLOOKUP(C839,'General price list'!C841:AN1814,MATCH("HM",Tabulka1[[#Headers],[KOD]:[NEQ]],0),FALSE),"")</f>
        <v/>
      </c>
    </row>
    <row r="840" spans="1:27">
      <c r="A840">
        <f>COUNTIF($W$22:W840,1)</f>
        <v>0</v>
      </c>
      <c r="B840">
        <v>840</v>
      </c>
      <c r="C840" s="340" t="str">
        <f>IFERROR(Tabulka1[[#This Row],[KOD]],"")</f>
        <v>HF26016s</v>
      </c>
      <c r="W840" s="804" t="str">
        <f t="shared" si="26"/>
        <v/>
      </c>
      <c r="X840" s="154" t="str">
        <f t="shared" si="27"/>
        <v/>
      </c>
      <c r="Y840" s="341">
        <f>IF('General price list'!$AB842="",0,'General price list'!$AB842)</f>
        <v>0</v>
      </c>
      <c r="Z840" s="365" t="str">
        <f>IFERROR(X840*VLOOKUP(C840,'General price list'!C:I,7,FALSE),"")</f>
        <v/>
      </c>
      <c r="AA840" s="805" t="str">
        <f>IF(X840&lt;&gt;"",VLOOKUP(C840,'General price list'!C842:AN1815,MATCH("HM",Tabulka1[[#Headers],[KOD]:[NEQ]],0),FALSE),"")</f>
        <v/>
      </c>
    </row>
    <row r="841" spans="1:27">
      <c r="A841">
        <f>COUNTIF($W$22:W841,1)</f>
        <v>0</v>
      </c>
      <c r="B841">
        <v>841</v>
      </c>
      <c r="C841" s="340" t="str">
        <f>IFERROR(Tabulka1[[#This Row],[KOD]],"")</f>
        <v>HF2387S</v>
      </c>
      <c r="W841" s="804" t="str">
        <f t="shared" si="26"/>
        <v/>
      </c>
      <c r="X841" s="154" t="str">
        <f t="shared" si="27"/>
        <v/>
      </c>
      <c r="Y841" s="341">
        <f>IF('General price list'!$AB843="",0,'General price list'!$AB843)</f>
        <v>0</v>
      </c>
      <c r="Z841" s="365" t="str">
        <f>IFERROR(X841*VLOOKUP(C841,'General price list'!C:I,7,FALSE),"")</f>
        <v/>
      </c>
      <c r="AA841" s="805" t="str">
        <f>IF(X841&lt;&gt;"",VLOOKUP(C841,'General price list'!C843:AN1816,MATCH("HM",Tabulka1[[#Headers],[KOD]:[NEQ]],0),FALSE),"")</f>
        <v/>
      </c>
    </row>
    <row r="842" spans="1:27">
      <c r="A842">
        <f>COUNTIF($W$22:W842,1)</f>
        <v>0</v>
      </c>
      <c r="B842">
        <v>842</v>
      </c>
      <c r="C842" s="340" t="str">
        <f>IFERROR(Tabulka1[[#This Row],[KOD]],"")</f>
        <v>HF24090Qs</v>
      </c>
      <c r="W842" s="804" t="str">
        <f t="shared" si="26"/>
        <v/>
      </c>
      <c r="X842" s="154" t="str">
        <f t="shared" si="27"/>
        <v/>
      </c>
      <c r="Y842" s="341">
        <f>IF('General price list'!$AB844="",0,'General price list'!$AB844)</f>
        <v>0</v>
      </c>
      <c r="Z842" s="365" t="str">
        <f>IFERROR(X842*VLOOKUP(C842,'General price list'!C:I,7,FALSE),"")</f>
        <v/>
      </c>
      <c r="AA842" s="805" t="str">
        <f>IF(X842&lt;&gt;"",VLOOKUP(C842,'General price list'!C844:AN1817,MATCH("HM",Tabulka1[[#Headers],[KOD]:[NEQ]],0),FALSE),"")</f>
        <v/>
      </c>
    </row>
    <row r="843" spans="1:27">
      <c r="A843">
        <f>COUNTIF($W$22:W843,1)</f>
        <v>0</v>
      </c>
      <c r="B843">
        <v>843</v>
      </c>
      <c r="C843" s="340" t="str">
        <f>IFERROR(Tabulka1[[#This Row],[KOD]],"")</f>
        <v>HF2244</v>
      </c>
      <c r="W843" s="804" t="str">
        <f t="shared" si="26"/>
        <v/>
      </c>
      <c r="X843" s="154" t="str">
        <f t="shared" si="27"/>
        <v/>
      </c>
      <c r="Y843" s="341">
        <f>IF('General price list'!$AB845="",0,'General price list'!$AB845)</f>
        <v>0</v>
      </c>
      <c r="Z843" s="365" t="str">
        <f>IFERROR(X843*VLOOKUP(C843,'General price list'!C:I,7,FALSE),"")</f>
        <v/>
      </c>
      <c r="AA843" s="805" t="str">
        <f>IF(X843&lt;&gt;"",VLOOKUP(C843,'General price list'!C845:AN1818,MATCH("HM",Tabulka1[[#Headers],[KOD]:[NEQ]],0),FALSE),"")</f>
        <v/>
      </c>
    </row>
    <row r="844" spans="1:27">
      <c r="A844">
        <f>COUNTIF($W$22:W844,1)</f>
        <v>0</v>
      </c>
      <c r="B844">
        <v>844</v>
      </c>
      <c r="C844" s="340" t="str">
        <f>IFERROR(Tabulka1[[#This Row],[KOD]],"")</f>
        <v>HF2243</v>
      </c>
      <c r="W844" s="804" t="str">
        <f t="shared" si="26"/>
        <v/>
      </c>
      <c r="X844" s="154" t="str">
        <f t="shared" si="27"/>
        <v/>
      </c>
      <c r="Y844" s="341">
        <f>IF('General price list'!$AB846="",0,'General price list'!$AB846)</f>
        <v>0</v>
      </c>
      <c r="Z844" s="365" t="str">
        <f>IFERROR(X844*VLOOKUP(C844,'General price list'!C:I,7,FALSE),"")</f>
        <v/>
      </c>
      <c r="AA844" s="805" t="str">
        <f>IF(X844&lt;&gt;"",VLOOKUP(C844,'General price list'!C846:AN1819,MATCH("HM",Tabulka1[[#Headers],[KOD]:[NEQ]],0),FALSE),"")</f>
        <v/>
      </c>
    </row>
    <row r="845" spans="1:27">
      <c r="A845">
        <f>COUNTIF($W$22:W845,1)</f>
        <v>0</v>
      </c>
      <c r="B845">
        <v>845</v>
      </c>
      <c r="C845" s="340">
        <f>IFERROR(Tabulka1[[#This Row],[KOD]],"")</f>
        <v>0</v>
      </c>
      <c r="W845" s="804" t="str">
        <f t="shared" si="26"/>
        <v/>
      </c>
      <c r="X845" s="154" t="str">
        <f t="shared" si="27"/>
        <v/>
      </c>
      <c r="Y845" s="341">
        <f>IF('General price list'!$AB847="",0,'General price list'!$AB847)</f>
        <v>0</v>
      </c>
      <c r="Z845" s="365" t="str">
        <f>IFERROR(X845*VLOOKUP(C845,'General price list'!C:I,7,FALSE),"")</f>
        <v/>
      </c>
      <c r="AA845" s="805" t="str">
        <f>IF(X845&lt;&gt;"",VLOOKUP(C845,'General price list'!C847:AN1820,MATCH("HM",Tabulka1[[#Headers],[KOD]:[NEQ]],0),FALSE),"")</f>
        <v/>
      </c>
    </row>
    <row r="846" spans="1:27">
      <c r="A846">
        <f>COUNTIF($W$22:W846,1)</f>
        <v>0</v>
      </c>
      <c r="B846">
        <v>846</v>
      </c>
      <c r="C846" s="340" t="str">
        <f>IFERROR(Tabulka1[[#This Row],[KOD]],"")</f>
        <v>HF-45-2309s</v>
      </c>
      <c r="W846" s="804" t="str">
        <f t="shared" si="26"/>
        <v/>
      </c>
      <c r="X846" s="154" t="str">
        <f t="shared" si="27"/>
        <v/>
      </c>
      <c r="Y846" s="341">
        <f>IF('General price list'!$AB848="",0,'General price list'!$AB848)</f>
        <v>0</v>
      </c>
      <c r="Z846" s="365" t="str">
        <f>IFERROR(X846*VLOOKUP(C846,'General price list'!C:I,7,FALSE),"")</f>
        <v/>
      </c>
      <c r="AA846" s="805" t="str">
        <f>IF(X846&lt;&gt;"",VLOOKUP(C846,'General price list'!C848:AN1821,MATCH("HM",Tabulka1[[#Headers],[KOD]:[NEQ]],0),FALSE),"")</f>
        <v/>
      </c>
    </row>
    <row r="847" spans="1:27">
      <c r="A847">
        <f>COUNTIF($W$22:W847,1)</f>
        <v>0</v>
      </c>
      <c r="B847">
        <v>847</v>
      </c>
      <c r="C847" s="340" t="str">
        <f>IFERROR(Tabulka1[[#This Row],[KOD]],"")</f>
        <v>HF-51-2227s</v>
      </c>
      <c r="W847" s="804" t="str">
        <f t="shared" si="26"/>
        <v/>
      </c>
      <c r="X847" s="154" t="str">
        <f t="shared" si="27"/>
        <v/>
      </c>
      <c r="Y847" s="341">
        <f>IF('General price list'!$AB849="",0,'General price list'!$AB849)</f>
        <v>0</v>
      </c>
      <c r="Z847" s="365" t="str">
        <f>IFERROR(X847*VLOOKUP(C847,'General price list'!C:I,7,FALSE),"")</f>
        <v/>
      </c>
      <c r="AA847" s="805" t="str">
        <f>IF(X847&lt;&gt;"",VLOOKUP(C847,'General price list'!C849:AN1822,MATCH("HM",Tabulka1[[#Headers],[KOD]:[NEQ]],0),FALSE),"")</f>
        <v/>
      </c>
    </row>
    <row r="848" spans="1:27">
      <c r="A848">
        <f>COUNTIF($W$22:W848,1)</f>
        <v>0</v>
      </c>
      <c r="B848">
        <v>848</v>
      </c>
      <c r="C848" s="340" t="str">
        <f>IFERROR(Tabulka1[[#This Row],[KOD]],"")</f>
        <v>RK-66-2502</v>
      </c>
      <c r="W848" s="804" t="str">
        <f t="shared" si="26"/>
        <v/>
      </c>
      <c r="X848" s="154" t="str">
        <f t="shared" si="27"/>
        <v/>
      </c>
      <c r="Y848" s="341">
        <f>IF('General price list'!$AB850="",0,'General price list'!$AB850)</f>
        <v>0</v>
      </c>
      <c r="Z848" s="365" t="str">
        <f>IFERROR(X848*VLOOKUP(C848,'General price list'!C:I,7,FALSE),"")</f>
        <v/>
      </c>
      <c r="AA848" s="805" t="str">
        <f>IF(X848&lt;&gt;"",VLOOKUP(C848,'General price list'!C850:AN1823,MATCH("HM",Tabulka1[[#Headers],[KOD]:[NEQ]],0),FALSE),"")</f>
        <v/>
      </c>
    </row>
    <row r="849" spans="1:27">
      <c r="A849">
        <f>COUNTIF($W$22:W849,1)</f>
        <v>0</v>
      </c>
      <c r="B849">
        <v>849</v>
      </c>
      <c r="C849" s="340" t="str">
        <f>IFERROR(Tabulka1[[#This Row],[KOD]],"")</f>
        <v>HF-75-2310s</v>
      </c>
      <c r="W849" s="804" t="str">
        <f t="shared" si="26"/>
        <v/>
      </c>
      <c r="X849" s="154" t="str">
        <f t="shared" si="27"/>
        <v/>
      </c>
      <c r="Y849" s="341">
        <f>IF('General price list'!$AB851="",0,'General price list'!$AB851)</f>
        <v>0</v>
      </c>
      <c r="Z849" s="365" t="str">
        <f>IFERROR(X849*VLOOKUP(C849,'General price list'!C:I,7,FALSE),"")</f>
        <v/>
      </c>
      <c r="AA849" s="805" t="str">
        <f>IF(X849&lt;&gt;"",VLOOKUP(C849,'General price list'!C851:AN1824,MATCH("HM",Tabulka1[[#Headers],[KOD]:[NEQ]],0),FALSE),"")</f>
        <v/>
      </c>
    </row>
    <row r="850" spans="1:27">
      <c r="A850">
        <f>COUNTIF($W$22:W850,1)</f>
        <v>0</v>
      </c>
      <c r="B850">
        <v>850</v>
      </c>
      <c r="C850" s="340" t="str">
        <f>IFERROR(Tabulka1[[#This Row],[KOD]],"")</f>
        <v>HF-108-2603s</v>
      </c>
      <c r="W850" s="804" t="str">
        <f t="shared" si="26"/>
        <v/>
      </c>
      <c r="X850" s="154" t="str">
        <f t="shared" si="27"/>
        <v/>
      </c>
      <c r="Y850" s="341">
        <f>IF('General price list'!$AB852="",0,'General price list'!$AB852)</f>
        <v>0</v>
      </c>
      <c r="Z850" s="365" t="str">
        <f>IFERROR(X850*VLOOKUP(C850,'General price list'!C:I,7,FALSE),"")</f>
        <v/>
      </c>
      <c r="AA850" s="805" t="str">
        <f>IF(X850&lt;&gt;"",VLOOKUP(C850,'General price list'!C852:AN1825,MATCH("HM",Tabulka1[[#Headers],[KOD]:[NEQ]],0),FALSE),"")</f>
        <v/>
      </c>
    </row>
    <row r="851" spans="1:27">
      <c r="A851">
        <f>COUNTIF($W$22:W851,1)</f>
        <v>0</v>
      </c>
      <c r="B851">
        <v>851</v>
      </c>
      <c r="C851" s="340" t="str">
        <f>IFERROR(Tabulka1[[#This Row],[KOD]],"")</f>
        <v>HF-144-2605</v>
      </c>
      <c r="W851" s="804" t="str">
        <f t="shared" si="26"/>
        <v/>
      </c>
      <c r="X851" s="154" t="str">
        <f t="shared" si="27"/>
        <v/>
      </c>
      <c r="Y851" s="341">
        <f>IF('General price list'!$AB853="",0,'General price list'!$AB853)</f>
        <v>0</v>
      </c>
      <c r="Z851" s="365" t="str">
        <f>IFERROR(X851*VLOOKUP(C851,'General price list'!C:I,7,FALSE),"")</f>
        <v/>
      </c>
      <c r="AA851" s="805" t="str">
        <f>IF(X851&lt;&gt;"",VLOOKUP(C851,'General price list'!C853:AN1826,MATCH("HM",Tabulka1[[#Headers],[KOD]:[NEQ]],0),FALSE),"")</f>
        <v/>
      </c>
    </row>
    <row r="852" spans="1:27">
      <c r="A852">
        <f>COUNTIF($W$22:W852,1)</f>
        <v>0</v>
      </c>
      <c r="B852">
        <v>852</v>
      </c>
      <c r="C852" s="340" t="str">
        <f>IFERROR(Tabulka1[[#This Row],[KOD]],"")</f>
        <v>HF-75-2608s</v>
      </c>
      <c r="W852" s="804" t="str">
        <f t="shared" si="26"/>
        <v/>
      </c>
      <c r="X852" s="154" t="str">
        <f t="shared" si="27"/>
        <v/>
      </c>
      <c r="Y852" s="341">
        <f>IF('General price list'!$AB854="",0,'General price list'!$AB854)</f>
        <v>0</v>
      </c>
      <c r="Z852" s="365" t="str">
        <f>IFERROR(X852*VLOOKUP(C852,'General price list'!C:I,7,FALSE),"")</f>
        <v/>
      </c>
      <c r="AA852" s="805" t="str">
        <f>IF(X852&lt;&gt;"",VLOOKUP(C852,'General price list'!C854:AN1827,MATCH("HM",Tabulka1[[#Headers],[KOD]:[NEQ]],0),FALSE),"")</f>
        <v/>
      </c>
    </row>
    <row r="853" spans="1:27">
      <c r="A853">
        <f>COUNTIF($W$22:W853,1)</f>
        <v>0</v>
      </c>
      <c r="B853">
        <v>853</v>
      </c>
      <c r="C853" s="340" t="str">
        <f>IFERROR(Tabulka1[[#This Row],[KOD]],"")</f>
        <v>RK-98-2555</v>
      </c>
      <c r="W853" s="804" t="str">
        <f t="shared" si="26"/>
        <v/>
      </c>
      <c r="X853" s="154" t="str">
        <f t="shared" si="27"/>
        <v/>
      </c>
      <c r="Y853" s="341">
        <f>IF('General price list'!$AB855="",0,'General price list'!$AB855)</f>
        <v>0</v>
      </c>
      <c r="Z853" s="365" t="str">
        <f>IFERROR(X853*VLOOKUP(C853,'General price list'!C:I,7,FALSE),"")</f>
        <v/>
      </c>
      <c r="AA853" s="805" t="str">
        <f>IF(X853&lt;&gt;"",VLOOKUP(C853,'General price list'!C855:AN1828,MATCH("HM",Tabulka1[[#Headers],[KOD]:[NEQ]],0),FALSE),"")</f>
        <v/>
      </c>
    </row>
    <row r="854" spans="1:27">
      <c r="A854">
        <f>COUNTIF($W$22:W854,1)</f>
        <v>0</v>
      </c>
      <c r="B854">
        <v>854</v>
      </c>
      <c r="C854" s="340" t="str">
        <f>IFERROR(Tabulka1[[#This Row],[KOD]],"")</f>
        <v>HF-96-2362s</v>
      </c>
      <c r="W854" s="804" t="str">
        <f t="shared" si="26"/>
        <v/>
      </c>
      <c r="X854" s="154" t="str">
        <f t="shared" si="27"/>
        <v/>
      </c>
      <c r="Y854" s="341">
        <f>IF('General price list'!$AB856="",0,'General price list'!$AB856)</f>
        <v>0</v>
      </c>
      <c r="Z854" s="365" t="str">
        <f>IFERROR(X854*VLOOKUP(C854,'General price list'!C:I,7,FALSE),"")</f>
        <v/>
      </c>
      <c r="AA854" s="805" t="str">
        <f>IF(X854&lt;&gt;"",VLOOKUP(C854,'General price list'!C856:AN1829,MATCH("HM",Tabulka1[[#Headers],[KOD]:[NEQ]],0),FALSE),"")</f>
        <v/>
      </c>
    </row>
    <row r="855" spans="1:27">
      <c r="A855">
        <f>COUNTIF($W$22:W855,1)</f>
        <v>0</v>
      </c>
      <c r="B855">
        <v>855</v>
      </c>
      <c r="C855" s="340" t="str">
        <f>IFERROR(Tabulka1[[#This Row],[KOD]],"")</f>
        <v>HF-102-2214</v>
      </c>
      <c r="W855" s="804" t="str">
        <f t="shared" si="26"/>
        <v/>
      </c>
      <c r="X855" s="154" t="str">
        <f t="shared" si="27"/>
        <v/>
      </c>
      <c r="Y855" s="341">
        <f>IF('General price list'!$AB857="",0,'General price list'!$AB857)</f>
        <v>0</v>
      </c>
      <c r="Z855" s="365" t="str">
        <f>IFERROR(X855*VLOOKUP(C855,'General price list'!C:I,7,FALSE),"")</f>
        <v/>
      </c>
      <c r="AA855" s="805" t="str">
        <f>IF(X855&lt;&gt;"",VLOOKUP(C855,'General price list'!C857:AN1830,MATCH("HM",Tabulka1[[#Headers],[KOD]:[NEQ]],0),FALSE),"")</f>
        <v/>
      </c>
    </row>
    <row r="856" spans="1:27">
      <c r="A856">
        <f>COUNTIF($W$22:W856,1)</f>
        <v>0</v>
      </c>
      <c r="B856">
        <v>856</v>
      </c>
      <c r="C856" s="340" t="str">
        <f>IFERROR(Tabulka1[[#This Row],[KOD]],"")</f>
        <v>HF-101-2216</v>
      </c>
      <c r="W856" s="804" t="str">
        <f t="shared" ref="W856:W919" si="28">IF(Y856+1=1,"",1)</f>
        <v/>
      </c>
      <c r="X856" s="154" t="str">
        <f t="shared" ref="X856:X919" si="29">IF(Y856+1=1,"",Y856)</f>
        <v/>
      </c>
      <c r="Y856" s="341">
        <f>IF('General price list'!$AB858="",0,'General price list'!$AB858)</f>
        <v>0</v>
      </c>
      <c r="Z856" s="365" t="str">
        <f>IFERROR(X856*VLOOKUP(C856,'General price list'!C:I,7,FALSE),"")</f>
        <v/>
      </c>
      <c r="AA856" s="805" t="str">
        <f>IF(X856&lt;&gt;"",VLOOKUP(C856,'General price list'!C858:AN1831,MATCH("HM",Tabulka1[[#Headers],[KOD]:[NEQ]],0),FALSE),"")</f>
        <v/>
      </c>
    </row>
    <row r="857" spans="1:27">
      <c r="A857">
        <f>COUNTIF($W$22:W857,1)</f>
        <v>0</v>
      </c>
      <c r="B857">
        <v>857</v>
      </c>
      <c r="C857" s="340" t="str">
        <f>IFERROR(Tabulka1[[#This Row],[KOD]],"")</f>
        <v>HF-108-2315</v>
      </c>
      <c r="W857" s="804" t="str">
        <f t="shared" si="28"/>
        <v/>
      </c>
      <c r="X857" s="154" t="str">
        <f t="shared" si="29"/>
        <v/>
      </c>
      <c r="Y857" s="341">
        <f>IF('General price list'!$AB859="",0,'General price list'!$AB859)</f>
        <v>0</v>
      </c>
      <c r="Z857" s="365" t="str">
        <f>IFERROR(X857*VLOOKUP(C857,'General price list'!C:I,7,FALSE),"")</f>
        <v/>
      </c>
      <c r="AA857" s="805" t="str">
        <f>IF(X857&lt;&gt;"",VLOOKUP(C857,'General price list'!C859:AN1832,MATCH("HM",Tabulka1[[#Headers],[KOD]:[NEQ]],0),FALSE),"")</f>
        <v/>
      </c>
    </row>
    <row r="858" spans="1:27">
      <c r="A858">
        <f>COUNTIF($W$22:W858,1)</f>
        <v>0</v>
      </c>
      <c r="B858">
        <v>858</v>
      </c>
      <c r="C858" s="340" t="str">
        <f>IFERROR(Tabulka1[[#This Row],[KOD]],"")</f>
        <v>HF-83-2207P</v>
      </c>
      <c r="W858" s="804" t="str">
        <f t="shared" si="28"/>
        <v/>
      </c>
      <c r="X858" s="154" t="str">
        <f t="shared" si="29"/>
        <v/>
      </c>
      <c r="Y858" s="341">
        <f>IF('General price list'!$AB860="",0,'General price list'!$AB860)</f>
        <v>0</v>
      </c>
      <c r="Z858" s="365" t="str">
        <f>IFERROR(X858*VLOOKUP(C858,'General price list'!C:I,7,FALSE),"")</f>
        <v/>
      </c>
      <c r="AA858" s="805" t="str">
        <f>IF(X858&lt;&gt;"",VLOOKUP(C858,'General price list'!C860:AN1833,MATCH("HM",Tabulka1[[#Headers],[KOD]:[NEQ]],0),FALSE),"")</f>
        <v/>
      </c>
    </row>
    <row r="859" spans="1:27">
      <c r="A859">
        <f>COUNTIF($W$22:W859,1)</f>
        <v>0</v>
      </c>
      <c r="B859">
        <v>859</v>
      </c>
      <c r="C859" s="340" t="str">
        <f>IFERROR(Tabulka1[[#This Row],[KOD]],"")</f>
        <v>HF-98-2212</v>
      </c>
      <c r="W859" s="804" t="str">
        <f t="shared" si="28"/>
        <v/>
      </c>
      <c r="X859" s="154" t="str">
        <f t="shared" si="29"/>
        <v/>
      </c>
      <c r="Y859" s="341">
        <f>IF('General price list'!$AB861="",0,'General price list'!$AB861)</f>
        <v>0</v>
      </c>
      <c r="Z859" s="365" t="str">
        <f>IFERROR(X859*VLOOKUP(C859,'General price list'!C:I,7,FALSE),"")</f>
        <v/>
      </c>
      <c r="AA859" s="805" t="str">
        <f>IF(X859&lt;&gt;"",VLOOKUP(C859,'General price list'!C861:AN1834,MATCH("HM",Tabulka1[[#Headers],[KOD]:[NEQ]],0),FALSE),"")</f>
        <v/>
      </c>
    </row>
    <row r="860" spans="1:27">
      <c r="A860">
        <f>COUNTIF($W$22:W860,1)</f>
        <v>0</v>
      </c>
      <c r="B860">
        <v>860</v>
      </c>
      <c r="C860" s="340" t="str">
        <f>IFERROR(Tabulka1[[#This Row],[KOD]],"")</f>
        <v>HF-127-2411s</v>
      </c>
      <c r="W860" s="804" t="str">
        <f t="shared" si="28"/>
        <v/>
      </c>
      <c r="X860" s="154" t="str">
        <f t="shared" si="29"/>
        <v/>
      </c>
      <c r="Y860" s="341">
        <f>IF('General price list'!$AB862="",0,'General price list'!$AB862)</f>
        <v>0</v>
      </c>
      <c r="Z860" s="365" t="str">
        <f>IFERROR(X860*VLOOKUP(C860,'General price list'!C:I,7,FALSE),"")</f>
        <v/>
      </c>
      <c r="AA860" s="805" t="str">
        <f>IF(X860&lt;&gt;"",VLOOKUP(C860,'General price list'!C862:AN1835,MATCH("HM",Tabulka1[[#Headers],[KOD]:[NEQ]],0),FALSE),"")</f>
        <v/>
      </c>
    </row>
    <row r="861" spans="1:27">
      <c r="A861">
        <f>COUNTIF($W$22:W861,1)</f>
        <v>0</v>
      </c>
      <c r="B861">
        <v>861</v>
      </c>
      <c r="C861" s="340" t="str">
        <f>IFERROR(Tabulka1[[#This Row],[KOD]],"")</f>
        <v>HF-142-2211</v>
      </c>
      <c r="W861" s="804" t="str">
        <f t="shared" si="28"/>
        <v/>
      </c>
      <c r="X861" s="154" t="str">
        <f t="shared" si="29"/>
        <v/>
      </c>
      <c r="Y861" s="341">
        <f>IF('General price list'!$AB863="",0,'General price list'!$AB863)</f>
        <v>0</v>
      </c>
      <c r="Z861" s="365" t="str">
        <f>IFERROR(X861*VLOOKUP(C861,'General price list'!C:I,7,FALSE),"")</f>
        <v/>
      </c>
      <c r="AA861" s="805" t="str">
        <f>IF(X861&lt;&gt;"",VLOOKUP(C861,'General price list'!C863:AN1836,MATCH("HM",Tabulka1[[#Headers],[KOD]:[NEQ]],0),FALSE),"")</f>
        <v/>
      </c>
    </row>
    <row r="862" spans="1:27">
      <c r="A862">
        <f>COUNTIF($W$22:W862,1)</f>
        <v>0</v>
      </c>
      <c r="B862">
        <v>862</v>
      </c>
      <c r="C862" s="340" t="str">
        <f>IFERROR(Tabulka1[[#This Row],[KOD]],"")</f>
        <v>HF-148-2217</v>
      </c>
      <c r="W862" s="804" t="str">
        <f t="shared" si="28"/>
        <v/>
      </c>
      <c r="X862" s="154" t="str">
        <f t="shared" si="29"/>
        <v/>
      </c>
      <c r="Y862" s="341">
        <f>IF('General price list'!$AB864="",0,'General price list'!$AB864)</f>
        <v>0</v>
      </c>
      <c r="Z862" s="365" t="str">
        <f>IFERROR(X862*VLOOKUP(C862,'General price list'!C:I,7,FALSE),"")</f>
        <v/>
      </c>
      <c r="AA862" s="805" t="str">
        <f>IF(X862&lt;&gt;"",VLOOKUP(C862,'General price list'!C864:AN1837,MATCH("HM",Tabulka1[[#Headers],[KOD]:[NEQ]],0),FALSE),"")</f>
        <v/>
      </c>
    </row>
    <row r="863" spans="1:27">
      <c r="A863">
        <f>COUNTIF($W$22:W863,1)</f>
        <v>0</v>
      </c>
      <c r="B863">
        <v>863</v>
      </c>
      <c r="C863" s="340" t="str">
        <f>IFERROR(Tabulka1[[#This Row],[KOD]],"")</f>
        <v>RKD-24018</v>
      </c>
      <c r="W863" s="804" t="str">
        <f t="shared" si="28"/>
        <v/>
      </c>
      <c r="X863" s="154" t="str">
        <f t="shared" si="29"/>
        <v/>
      </c>
      <c r="Y863" s="341">
        <f>IF('General price list'!$AB865="",0,'General price list'!$AB865)</f>
        <v>0</v>
      </c>
      <c r="Z863" s="365" t="str">
        <f>IFERROR(X863*VLOOKUP(C863,'General price list'!C:I,7,FALSE),"")</f>
        <v/>
      </c>
      <c r="AA863" s="805" t="str">
        <f>IF(X863&lt;&gt;"",VLOOKUP(C863,'General price list'!C865:AN1838,MATCH("HM",Tabulka1[[#Headers],[KOD]:[NEQ]],0),FALSE),"")</f>
        <v/>
      </c>
    </row>
    <row r="864" spans="1:27">
      <c r="A864">
        <f>COUNTIF($W$22:W864,1)</f>
        <v>0</v>
      </c>
      <c r="B864">
        <v>864</v>
      </c>
      <c r="C864" s="340" t="str">
        <f>IFERROR(Tabulka1[[#This Row],[KOD]],"")</f>
        <v>RKD-24019</v>
      </c>
      <c r="W864" s="804" t="str">
        <f t="shared" si="28"/>
        <v/>
      </c>
      <c r="X864" s="154" t="str">
        <f t="shared" si="29"/>
        <v/>
      </c>
      <c r="Y864" s="341">
        <f>IF('General price list'!$AB866="",0,'General price list'!$AB866)</f>
        <v>0</v>
      </c>
      <c r="Z864" s="365" t="str">
        <f>IFERROR(X864*VLOOKUP(C864,'General price list'!C:I,7,FALSE),"")</f>
        <v/>
      </c>
      <c r="AA864" s="805" t="str">
        <f>IF(X864&lt;&gt;"",VLOOKUP(C864,'General price list'!C866:AN1839,MATCH("HM",Tabulka1[[#Headers],[KOD]:[NEQ]],0),FALSE),"")</f>
        <v/>
      </c>
    </row>
    <row r="865" spans="1:27">
      <c r="A865">
        <f>COUNTIF($W$22:W865,1)</f>
        <v>0</v>
      </c>
      <c r="B865">
        <v>865</v>
      </c>
      <c r="C865" s="340">
        <f>IFERROR(Tabulka1[[#This Row],[KOD]],"")</f>
        <v>0</v>
      </c>
      <c r="W865" s="804" t="str">
        <f t="shared" si="28"/>
        <v/>
      </c>
      <c r="X865" s="154" t="str">
        <f t="shared" si="29"/>
        <v/>
      </c>
      <c r="Y865" s="341">
        <f>IF('General price list'!$AB867="",0,'General price list'!$AB867)</f>
        <v>0</v>
      </c>
      <c r="Z865" s="365" t="str">
        <f>IFERROR(X865*VLOOKUP(C865,'General price list'!C:I,7,FALSE),"")</f>
        <v/>
      </c>
      <c r="AA865" s="805" t="str">
        <f>IF(X865&lt;&gt;"",VLOOKUP(C865,'General price list'!C867:AN1840,MATCH("HM",Tabulka1[[#Headers],[KOD]:[NEQ]],0),FALSE),"")</f>
        <v/>
      </c>
    </row>
    <row r="866" spans="1:27">
      <c r="A866">
        <f>COUNTIF($W$22:W866,1)</f>
        <v>0</v>
      </c>
      <c r="B866">
        <v>866</v>
      </c>
      <c r="C866" s="340" t="str">
        <f>IFERROR(Tabulka1[[#This Row],[KOD]],"")</f>
        <v>HF-90-2402-HF-90-2403</v>
      </c>
      <c r="W866" s="804" t="str">
        <f t="shared" si="28"/>
        <v/>
      </c>
      <c r="X866" s="154" t="str">
        <f t="shared" si="29"/>
        <v/>
      </c>
      <c r="Y866" s="341">
        <f>IF('General price list'!$AB868="",0,'General price list'!$AB868)</f>
        <v>0</v>
      </c>
      <c r="Z866" s="365" t="str">
        <f>IFERROR(X866*VLOOKUP(C866,'General price list'!C:I,7,FALSE),"")</f>
        <v/>
      </c>
      <c r="AA866" s="805" t="str">
        <f>IF(X866&lt;&gt;"",VLOOKUP(C866,'General price list'!C868:AN1841,MATCH("HM",Tabulka1[[#Headers],[KOD]:[NEQ]],0),FALSE),"")</f>
        <v/>
      </c>
    </row>
    <row r="867" spans="1:27">
      <c r="A867">
        <f>COUNTIF($W$22:W867,1)</f>
        <v>0</v>
      </c>
      <c r="B867">
        <v>867</v>
      </c>
      <c r="C867" s="340" t="str">
        <f>IFERROR(Tabulka1[[#This Row],[KOD]],"")</f>
        <v>HF-129-2223A-HF-114-2224</v>
      </c>
      <c r="W867" s="804" t="str">
        <f t="shared" si="28"/>
        <v/>
      </c>
      <c r="X867" s="154" t="str">
        <f t="shared" si="29"/>
        <v/>
      </c>
      <c r="Y867" s="341">
        <f>IF('General price list'!$AB869="",0,'General price list'!$AB869)</f>
        <v>0</v>
      </c>
      <c r="Z867" s="365" t="str">
        <f>IFERROR(X867*VLOOKUP(C867,'General price list'!C:I,7,FALSE),"")</f>
        <v/>
      </c>
      <c r="AA867" s="805" t="str">
        <f>IF(X867&lt;&gt;"",VLOOKUP(C867,'General price list'!C869:AN1842,MATCH("HM",Tabulka1[[#Headers],[KOD]:[NEQ]],0),FALSE),"")</f>
        <v/>
      </c>
    </row>
    <row r="868" spans="1:27">
      <c r="A868">
        <f>COUNTIF($W$22:W868,1)</f>
        <v>0</v>
      </c>
      <c r="B868">
        <v>868</v>
      </c>
      <c r="C868" s="340" t="str">
        <f>IFERROR(Tabulka1[[#This Row],[KOD]],"")</f>
        <v>HF-90-2218-HF-90-2219</v>
      </c>
      <c r="W868" s="804" t="str">
        <f t="shared" si="28"/>
        <v/>
      </c>
      <c r="X868" s="154" t="str">
        <f t="shared" si="29"/>
        <v/>
      </c>
      <c r="Y868" s="341">
        <f>IF('General price list'!$AB870="",0,'General price list'!$AB870)</f>
        <v>0</v>
      </c>
      <c r="Z868" s="365" t="str">
        <f>IFERROR(X868*VLOOKUP(C868,'General price list'!C:I,7,FALSE),"")</f>
        <v/>
      </c>
      <c r="AA868" s="805" t="str">
        <f>IF(X868&lt;&gt;"",VLOOKUP(C868,'General price list'!C870:AN1843,MATCH("HM",Tabulka1[[#Headers],[KOD]:[NEQ]],0),FALSE),"")</f>
        <v/>
      </c>
    </row>
    <row r="869" spans="1:27">
      <c r="A869">
        <f>COUNTIF($W$22:W869,1)</f>
        <v>0</v>
      </c>
      <c r="B869">
        <v>869</v>
      </c>
      <c r="C869" s="340" t="str">
        <f>IFERROR(Tabulka1[[#This Row],[KOD]],"")</f>
        <v>HF-78-2423-HF-78-2424</v>
      </c>
      <c r="W869" s="804" t="str">
        <f t="shared" si="28"/>
        <v/>
      </c>
      <c r="X869" s="154" t="str">
        <f t="shared" si="29"/>
        <v/>
      </c>
      <c r="Y869" s="341">
        <f>IF('General price list'!$AB871="",0,'General price list'!$AB871)</f>
        <v>0</v>
      </c>
      <c r="Z869" s="365" t="str">
        <f>IFERROR(X869*VLOOKUP(C869,'General price list'!C:I,7,FALSE),"")</f>
        <v/>
      </c>
      <c r="AA869" s="805" t="str">
        <f>IF(X869&lt;&gt;"",VLOOKUP(C869,'General price list'!C871:AN1844,MATCH("HM",Tabulka1[[#Headers],[KOD]:[NEQ]],0),FALSE),"")</f>
        <v/>
      </c>
    </row>
    <row r="870" spans="1:27">
      <c r="A870">
        <f>COUNTIF($W$22:W870,1)</f>
        <v>0</v>
      </c>
      <c r="B870">
        <v>870</v>
      </c>
      <c r="C870" s="340" t="str">
        <f>IFERROR(Tabulka1[[#This Row],[KOD]],"")</f>
        <v>HF-80-2366s  HF-80-2367s</v>
      </c>
      <c r="W870" s="804" t="str">
        <f t="shared" si="28"/>
        <v/>
      </c>
      <c r="X870" s="154" t="str">
        <f t="shared" si="29"/>
        <v/>
      </c>
      <c r="Y870" s="341">
        <f>IF('General price list'!$AB872="",0,'General price list'!$AB872)</f>
        <v>0</v>
      </c>
      <c r="Z870" s="365" t="str">
        <f>IFERROR(X870*VLOOKUP(C870,'General price list'!C:I,7,FALSE),"")</f>
        <v/>
      </c>
      <c r="AA870" s="805" t="str">
        <f>IF(X870&lt;&gt;"",VLOOKUP(C870,'General price list'!C872:AN1845,MATCH("HM",Tabulka1[[#Headers],[KOD]:[NEQ]],0),FALSE),"")</f>
        <v/>
      </c>
    </row>
    <row r="871" spans="1:27">
      <c r="A871">
        <f>COUNTIF($W$22:W871,1)</f>
        <v>0</v>
      </c>
      <c r="B871">
        <v>871</v>
      </c>
      <c r="C871" s="340" t="str">
        <f>IFERROR(Tabulka1[[#This Row],[KOD]],"")</f>
        <v>RK-92-2565 RK-96-2566</v>
      </c>
      <c r="W871" s="804" t="str">
        <f t="shared" si="28"/>
        <v/>
      </c>
      <c r="X871" s="154" t="str">
        <f t="shared" si="29"/>
        <v/>
      </c>
      <c r="Y871" s="341">
        <f>IF('General price list'!$AB873="",0,'General price list'!$AB873)</f>
        <v>0</v>
      </c>
      <c r="Z871" s="365" t="str">
        <f>IFERROR(X871*VLOOKUP(C871,'General price list'!C:I,7,FALSE),"")</f>
        <v/>
      </c>
      <c r="AA871" s="805" t="str">
        <f>IF(X871&lt;&gt;"",VLOOKUP(C871,'General price list'!C873:AN1846,MATCH("HM",Tabulka1[[#Headers],[KOD]:[NEQ]],0),FALSE),"")</f>
        <v/>
      </c>
    </row>
    <row r="872" spans="1:27">
      <c r="A872">
        <f>COUNTIF($W$22:W872,1)</f>
        <v>0</v>
      </c>
      <c r="B872">
        <v>872</v>
      </c>
      <c r="C872" s="340" t="str">
        <f>IFERROR(Tabulka1[[#This Row],[KOD]],"")</f>
        <v>HF-96-2418-HF-96-2419</v>
      </c>
      <c r="W872" s="804" t="str">
        <f t="shared" si="28"/>
        <v/>
      </c>
      <c r="X872" s="154" t="str">
        <f t="shared" si="29"/>
        <v/>
      </c>
      <c r="Y872" s="341">
        <f>IF('General price list'!$AB874="",0,'General price list'!$AB874)</f>
        <v>0</v>
      </c>
      <c r="Z872" s="365" t="str">
        <f>IFERROR(X872*VLOOKUP(C872,'General price list'!C:I,7,FALSE),"")</f>
        <v/>
      </c>
      <c r="AA872" s="805" t="str">
        <f>IF(X872&lt;&gt;"",VLOOKUP(C872,'General price list'!C874:AN1847,MATCH("HM",Tabulka1[[#Headers],[KOD]:[NEQ]],0),FALSE),"")</f>
        <v/>
      </c>
    </row>
    <row r="873" spans="1:27">
      <c r="A873">
        <f>COUNTIF($W$22:W873,1)</f>
        <v>0</v>
      </c>
      <c r="B873">
        <v>873</v>
      </c>
      <c r="C873" s="340" t="str">
        <f>IFERROR(Tabulka1[[#This Row],[KOD]],"")</f>
        <v>HF-88-2487-HF-116-2488</v>
      </c>
      <c r="W873" s="804" t="str">
        <f t="shared" si="28"/>
        <v/>
      </c>
      <c r="X873" s="154" t="str">
        <f t="shared" si="29"/>
        <v/>
      </c>
      <c r="Y873" s="341">
        <f>IF('General price list'!$AB875="",0,'General price list'!$AB875)</f>
        <v>0</v>
      </c>
      <c r="Z873" s="365" t="str">
        <f>IFERROR(X873*VLOOKUP(C873,'General price list'!C:I,7,FALSE),"")</f>
        <v/>
      </c>
      <c r="AA873" s="805" t="str">
        <f>IF(X873&lt;&gt;"",VLOOKUP(C873,'General price list'!C875:AN1848,MATCH("HM",Tabulka1[[#Headers],[KOD]:[NEQ]],0),FALSE),"")</f>
        <v/>
      </c>
    </row>
    <row r="874" spans="1:27">
      <c r="A874">
        <f>COUNTIF($W$22:W874,1)</f>
        <v>0</v>
      </c>
      <c r="B874">
        <v>874</v>
      </c>
      <c r="C874" s="340" t="str">
        <f>IFERROR(Tabulka1[[#This Row],[KOD]],"")</f>
        <v>HF-98-24103-HF-96-24104-HF-98-24105-HF-100-24106</v>
      </c>
      <c r="W874" s="804" t="str">
        <f t="shared" si="28"/>
        <v/>
      </c>
      <c r="X874" s="154" t="str">
        <f t="shared" si="29"/>
        <v/>
      </c>
      <c r="Y874" s="341">
        <f>IF('General price list'!$AB876="",0,'General price list'!$AB876)</f>
        <v>0</v>
      </c>
      <c r="Z874" s="365" t="str">
        <f>IFERROR(X874*VLOOKUP(C874,'General price list'!C:I,7,FALSE),"")</f>
        <v/>
      </c>
      <c r="AA874" s="805" t="str">
        <f>IF(X874&lt;&gt;"",VLOOKUP(C874,'General price list'!C876:AN1849,MATCH("HM",Tabulka1[[#Headers],[KOD]:[NEQ]],0),FALSE),"")</f>
        <v/>
      </c>
    </row>
    <row r="875" spans="1:27">
      <c r="A875">
        <f>COUNTIF($W$22:W875,1)</f>
        <v>0</v>
      </c>
      <c r="B875">
        <v>875</v>
      </c>
      <c r="C875" s="340">
        <f>IFERROR(Tabulka1[[#This Row],[KOD]],"")</f>
        <v>0</v>
      </c>
      <c r="W875" s="804" t="str">
        <f t="shared" si="28"/>
        <v/>
      </c>
      <c r="X875" s="154" t="str">
        <f t="shared" si="29"/>
        <v/>
      </c>
      <c r="Y875" s="341">
        <f>IF('General price list'!$AB877="",0,'General price list'!$AB877)</f>
        <v>0</v>
      </c>
      <c r="Z875" s="365" t="str">
        <f>IFERROR(X875*VLOOKUP(C875,'General price list'!C:I,7,FALSE),"")</f>
        <v/>
      </c>
      <c r="AA875" s="805" t="str">
        <f>IF(X875&lt;&gt;"",VLOOKUP(C875,'General price list'!C877:AN1850,MATCH("HM",Tabulka1[[#Headers],[KOD]:[NEQ]],0),FALSE),"")</f>
        <v/>
      </c>
    </row>
    <row r="876" spans="1:27">
      <c r="A876">
        <f>COUNTIF($W$22:W876,1)</f>
        <v>0</v>
      </c>
      <c r="B876">
        <v>876</v>
      </c>
      <c r="C876" s="340" t="str">
        <f>IFERROR(Tabulka1[[#This Row],[KOD]],"")</f>
        <v>CX1352X2</v>
      </c>
      <c r="W876" s="804" t="str">
        <f t="shared" si="28"/>
        <v/>
      </c>
      <c r="X876" s="154" t="str">
        <f t="shared" si="29"/>
        <v/>
      </c>
      <c r="Y876" s="341">
        <f>IF('General price list'!$AB878="",0,'General price list'!$AB878)</f>
        <v>0</v>
      </c>
      <c r="Z876" s="365" t="str">
        <f>IFERROR(X876*VLOOKUP(C876,'General price list'!C:I,7,FALSE),"")</f>
        <v/>
      </c>
      <c r="AA876" s="805" t="str">
        <f>IF(X876&lt;&gt;"",VLOOKUP(C876,'General price list'!C878:AN1851,MATCH("HM",Tabulka1[[#Headers],[KOD]:[NEQ]],0),FALSE),"")</f>
        <v/>
      </c>
    </row>
    <row r="877" spans="1:27">
      <c r="A877">
        <f>COUNTIF($W$22:W877,1)</f>
        <v>0</v>
      </c>
      <c r="B877">
        <v>877</v>
      </c>
      <c r="C877" s="340" t="str">
        <f>IFERROR(Tabulka1[[#This Row],[KOD]],"")</f>
        <v>CF1352X6</v>
      </c>
      <c r="W877" s="804" t="str">
        <f t="shared" si="28"/>
        <v/>
      </c>
      <c r="X877" s="154" t="str">
        <f t="shared" si="29"/>
        <v/>
      </c>
      <c r="Y877" s="341">
        <f>IF('General price list'!$AB879="",0,'General price list'!$AB879)</f>
        <v>0</v>
      </c>
      <c r="Z877" s="365" t="str">
        <f>IFERROR(X877*VLOOKUP(C877,'General price list'!C:I,7,FALSE),"")</f>
        <v/>
      </c>
      <c r="AA877" s="805" t="str">
        <f>IF(X877&lt;&gt;"",VLOOKUP(C877,'General price list'!C879:AN1852,MATCH("HM",Tabulka1[[#Headers],[KOD]:[NEQ]],0),FALSE),"")</f>
        <v/>
      </c>
    </row>
    <row r="878" spans="1:27">
      <c r="A878">
        <f>COUNTIF($W$22:W878,1)</f>
        <v>0</v>
      </c>
      <c r="B878">
        <v>878</v>
      </c>
      <c r="C878" s="340" t="str">
        <f>IFERROR(Tabulka1[[#This Row],[KOD]],"")</f>
        <v>CS1352X9</v>
      </c>
      <c r="W878" s="804" t="str">
        <f t="shared" si="28"/>
        <v/>
      </c>
      <c r="X878" s="154" t="str">
        <f t="shared" si="29"/>
        <v/>
      </c>
      <c r="Y878" s="341">
        <f>IF('General price list'!$AB880="",0,'General price list'!$AB880)</f>
        <v>0</v>
      </c>
      <c r="Z878" s="365" t="str">
        <f>IFERROR(X878*VLOOKUP(C878,'General price list'!C:I,7,FALSE),"")</f>
        <v/>
      </c>
      <c r="AA878" s="805" t="str">
        <f>IF(X878&lt;&gt;"",VLOOKUP(C878,'General price list'!C880:AN1853,MATCH("HM",Tabulka1[[#Headers],[KOD]:[NEQ]],0),FALSE),"")</f>
        <v/>
      </c>
    </row>
    <row r="879" spans="1:27">
      <c r="A879">
        <f>COUNTIF($W$22:W879,1)</f>
        <v>0</v>
      </c>
      <c r="B879">
        <v>879</v>
      </c>
      <c r="C879" s="340" t="str">
        <f>IFERROR(Tabulka1[[#This Row],[KOD]],"")</f>
        <v>CS1352X10</v>
      </c>
      <c r="W879" s="804" t="str">
        <f t="shared" si="28"/>
        <v/>
      </c>
      <c r="X879" s="154" t="str">
        <f t="shared" si="29"/>
        <v/>
      </c>
      <c r="Y879" s="341">
        <f>IF('General price list'!$AB881="",0,'General price list'!$AB881)</f>
        <v>0</v>
      </c>
      <c r="Z879" s="365" t="str">
        <f>IFERROR(X879*VLOOKUP(C879,'General price list'!C:I,7,FALSE),"")</f>
        <v/>
      </c>
      <c r="AA879" s="805" t="str">
        <f>IF(X879&lt;&gt;"",VLOOKUP(C879,'General price list'!C881:AN1854,MATCH("HM",Tabulka1[[#Headers],[KOD]:[NEQ]],0),FALSE),"")</f>
        <v/>
      </c>
    </row>
    <row r="880" spans="1:27">
      <c r="A880">
        <f>COUNTIF($W$22:W880,1)</f>
        <v>0</v>
      </c>
      <c r="B880">
        <v>880</v>
      </c>
      <c r="C880" s="340" t="str">
        <f>IFERROR(Tabulka1[[#This Row],[KOD]],"")</f>
        <v>CX1352X11</v>
      </c>
      <c r="W880" s="804" t="str">
        <f t="shared" si="28"/>
        <v/>
      </c>
      <c r="X880" s="154" t="str">
        <f t="shared" si="29"/>
        <v/>
      </c>
      <c r="Y880" s="341">
        <f>IF('General price list'!$AB882="",0,'General price list'!$AB882)</f>
        <v>0</v>
      </c>
      <c r="Z880" s="365" t="str">
        <f>IFERROR(X880*VLOOKUP(C880,'General price list'!C:I,7,FALSE),"")</f>
        <v/>
      </c>
      <c r="AA880" s="805" t="str">
        <f>IF(X880&lt;&gt;"",VLOOKUP(C880,'General price list'!C882:AN1855,MATCH("HM",Tabulka1[[#Headers],[KOD]:[NEQ]],0),FALSE),"")</f>
        <v/>
      </c>
    </row>
    <row r="881" spans="1:27">
      <c r="A881">
        <f>COUNTIF($W$22:W881,1)</f>
        <v>0</v>
      </c>
      <c r="B881">
        <v>881</v>
      </c>
      <c r="C881" s="340" t="str">
        <f>IFERROR(Tabulka1[[#This Row],[KOD]],"")</f>
        <v>CS1352X14</v>
      </c>
      <c r="W881" s="804" t="str">
        <f t="shared" si="28"/>
        <v/>
      </c>
      <c r="X881" s="154" t="str">
        <f t="shared" si="29"/>
        <v/>
      </c>
      <c r="Y881" s="341">
        <f>IF('General price list'!$AB883="",0,'General price list'!$AB883)</f>
        <v>0</v>
      </c>
      <c r="Z881" s="365" t="str">
        <f>IFERROR(X881*VLOOKUP(C881,'General price list'!C:I,7,FALSE),"")</f>
        <v/>
      </c>
      <c r="AA881" s="805" t="str">
        <f>IF(X881&lt;&gt;"",VLOOKUP(C881,'General price list'!C883:AN1856,MATCH("HM",Tabulka1[[#Headers],[KOD]:[NEQ]],0),FALSE),"")</f>
        <v/>
      </c>
    </row>
    <row r="882" spans="1:27">
      <c r="A882">
        <f>COUNTIF($W$22:W882,1)</f>
        <v>0</v>
      </c>
      <c r="B882">
        <v>882</v>
      </c>
      <c r="C882" s="340">
        <f>IFERROR(Tabulka1[[#This Row],[KOD]],"")</f>
        <v>0</v>
      </c>
      <c r="W882" s="804" t="str">
        <f t="shared" si="28"/>
        <v/>
      </c>
      <c r="X882" s="154" t="str">
        <f t="shared" si="29"/>
        <v/>
      </c>
      <c r="Y882" s="341">
        <f>IF('General price list'!$AB884="",0,'General price list'!$AB884)</f>
        <v>0</v>
      </c>
      <c r="Z882" s="365" t="str">
        <f>IFERROR(X882*VLOOKUP(C882,'General price list'!C:I,7,FALSE),"")</f>
        <v/>
      </c>
      <c r="AA882" s="805" t="str">
        <f>IF(X882&lt;&gt;"",VLOOKUP(C882,'General price list'!C884:AN1857,MATCH("HM",Tabulka1[[#Headers],[KOD]:[NEQ]],0),FALSE),"")</f>
        <v/>
      </c>
    </row>
    <row r="883" spans="1:27">
      <c r="A883">
        <f>COUNTIF($W$22:W883,1)</f>
        <v>0</v>
      </c>
      <c r="B883">
        <v>883</v>
      </c>
      <c r="C883" s="340" t="str">
        <f>IFERROR(Tabulka1[[#This Row],[KOD]],"")</f>
        <v>C253CH</v>
      </c>
      <c r="W883" s="804" t="str">
        <f t="shared" si="28"/>
        <v/>
      </c>
      <c r="X883" s="154" t="str">
        <f t="shared" si="29"/>
        <v/>
      </c>
      <c r="Y883" s="341">
        <f>IF('General price list'!$AB885="",0,'General price list'!$AB885)</f>
        <v>0</v>
      </c>
      <c r="Z883" s="365" t="str">
        <f>IFERROR(X883*VLOOKUP(C883,'General price list'!C:I,7,FALSE),"")</f>
        <v/>
      </c>
      <c r="AA883" s="805" t="str">
        <f>IF(X883&lt;&gt;"",VLOOKUP(C883,'General price list'!C885:AN1858,MATCH("HM",Tabulka1[[#Headers],[KOD]:[NEQ]],0),FALSE),"")</f>
        <v/>
      </c>
    </row>
    <row r="884" spans="1:27">
      <c r="A884">
        <f>COUNTIF($W$22:W884,1)</f>
        <v>0</v>
      </c>
      <c r="B884">
        <v>884</v>
      </c>
      <c r="C884" s="340" t="str">
        <f>IFERROR(Tabulka1[[#This Row],[KOD]],"")</f>
        <v>C253O</v>
      </c>
      <c r="W884" s="804" t="str">
        <f t="shared" si="28"/>
        <v/>
      </c>
      <c r="X884" s="154" t="str">
        <f t="shared" si="29"/>
        <v/>
      </c>
      <c r="Y884" s="341">
        <f>IF('General price list'!$AB886="",0,'General price list'!$AB886)</f>
        <v>0</v>
      </c>
      <c r="Z884" s="365" t="str">
        <f>IFERROR(X884*VLOOKUP(C884,'General price list'!C:I,7,FALSE),"")</f>
        <v/>
      </c>
      <c r="AA884" s="805" t="str">
        <f>IF(X884&lt;&gt;"",VLOOKUP(C884,'General price list'!C886:AN1859,MATCH("HM",Tabulka1[[#Headers],[KOD]:[NEQ]],0),FALSE),"")</f>
        <v/>
      </c>
    </row>
    <row r="885" spans="1:27">
      <c r="A885">
        <f>COUNTIF($W$22:W885,1)</f>
        <v>0</v>
      </c>
      <c r="B885">
        <v>885</v>
      </c>
      <c r="C885" s="340">
        <f>IFERROR(Tabulka1[[#This Row],[KOD]],"")</f>
        <v>0</v>
      </c>
      <c r="W885" s="804" t="str">
        <f t="shared" si="28"/>
        <v/>
      </c>
      <c r="X885" s="154" t="str">
        <f t="shared" si="29"/>
        <v/>
      </c>
      <c r="Y885" s="341">
        <f>IF('General price list'!$AB887="",0,'General price list'!$AB887)</f>
        <v>0</v>
      </c>
      <c r="Z885" s="365" t="str">
        <f>IFERROR(X885*VLOOKUP(C885,'General price list'!C:I,7,FALSE),"")</f>
        <v/>
      </c>
      <c r="AA885" s="805" t="str">
        <f>IF(X885&lt;&gt;"",VLOOKUP(C885,'General price list'!C887:AN1860,MATCH("HM",Tabulka1[[#Headers],[KOD]:[NEQ]],0),FALSE),"")</f>
        <v/>
      </c>
    </row>
    <row r="886" spans="1:27">
      <c r="A886">
        <f>COUNTIF($W$22:W886,1)</f>
        <v>0</v>
      </c>
      <c r="B886">
        <v>886</v>
      </c>
      <c r="C886" s="340" t="str">
        <f>IFERROR(Tabulka1[[#This Row],[KOD]],"")</f>
        <v>CF503X3</v>
      </c>
      <c r="W886" s="804" t="str">
        <f t="shared" si="28"/>
        <v/>
      </c>
      <c r="X886" s="154" t="str">
        <f t="shared" si="29"/>
        <v/>
      </c>
      <c r="Y886" s="341">
        <f>IF('General price list'!$AB888="",0,'General price list'!$AB888)</f>
        <v>0</v>
      </c>
      <c r="Z886" s="365" t="str">
        <f>IFERROR(X886*VLOOKUP(C886,'General price list'!C:I,7,FALSE),"")</f>
        <v/>
      </c>
      <c r="AA886" s="805" t="str">
        <f>IF(X886&lt;&gt;"",VLOOKUP(C886,'General price list'!C888:AN1861,MATCH("HM",Tabulka1[[#Headers],[KOD]:[NEQ]],0),FALSE),"")</f>
        <v/>
      </c>
    </row>
    <row r="887" spans="1:27">
      <c r="A887">
        <f>COUNTIF($W$22:W887,1)</f>
        <v>0</v>
      </c>
      <c r="B887">
        <v>887</v>
      </c>
      <c r="C887" s="340" t="str">
        <f>IFERROR(Tabulka1[[#This Row],[KOD]],"")</f>
        <v>CF503X4</v>
      </c>
      <c r="W887" s="804" t="str">
        <f t="shared" si="28"/>
        <v/>
      </c>
      <c r="X887" s="154" t="str">
        <f t="shared" si="29"/>
        <v/>
      </c>
      <c r="Y887" s="341">
        <f>IF('General price list'!$AB889="",0,'General price list'!$AB889)</f>
        <v>0</v>
      </c>
      <c r="Z887" s="365" t="str">
        <f>IFERROR(X887*VLOOKUP(C887,'General price list'!C:I,7,FALSE),"")</f>
        <v/>
      </c>
      <c r="AA887" s="805" t="str">
        <f>IF(X887&lt;&gt;"",VLOOKUP(C887,'General price list'!C889:AN1862,MATCH("HM",Tabulka1[[#Headers],[KOD]:[NEQ]],0),FALSE),"")</f>
        <v/>
      </c>
    </row>
    <row r="888" spans="1:27">
      <c r="A888">
        <f>COUNTIF($W$22:W888,1)</f>
        <v>0</v>
      </c>
      <c r="B888">
        <v>888</v>
      </c>
      <c r="C888" s="340" t="str">
        <f>IFERROR(Tabulka1[[#This Row],[KOD]],"")</f>
        <v>CF503X5</v>
      </c>
      <c r="W888" s="804" t="str">
        <f t="shared" si="28"/>
        <v/>
      </c>
      <c r="X888" s="154" t="str">
        <f t="shared" si="29"/>
        <v/>
      </c>
      <c r="Y888" s="341">
        <f>IF('General price list'!$AB890="",0,'General price list'!$AB890)</f>
        <v>0</v>
      </c>
      <c r="Z888" s="365" t="str">
        <f>IFERROR(X888*VLOOKUP(C888,'General price list'!C:I,7,FALSE),"")</f>
        <v/>
      </c>
      <c r="AA888" s="805" t="str">
        <f>IF(X888&lt;&gt;"",VLOOKUP(C888,'General price list'!C890:AN1863,MATCH("HM",Tabulka1[[#Headers],[KOD]:[NEQ]],0),FALSE),"")</f>
        <v/>
      </c>
    </row>
    <row r="889" spans="1:27">
      <c r="A889">
        <f>COUNTIF($W$22:W889,1)</f>
        <v>0</v>
      </c>
      <c r="B889">
        <v>889</v>
      </c>
      <c r="C889" s="340" t="str">
        <f>IFERROR(Tabulka1[[#This Row],[KOD]],"")</f>
        <v>CF503X7</v>
      </c>
      <c r="W889" s="804" t="str">
        <f t="shared" si="28"/>
        <v/>
      </c>
      <c r="X889" s="154" t="str">
        <f t="shared" si="29"/>
        <v/>
      </c>
      <c r="Y889" s="341">
        <f>IF('General price list'!$AB891="",0,'General price list'!$AB891)</f>
        <v>0</v>
      </c>
      <c r="Z889" s="365" t="str">
        <f>IFERROR(X889*VLOOKUP(C889,'General price list'!C:I,7,FALSE),"")</f>
        <v/>
      </c>
      <c r="AA889" s="805" t="str">
        <f>IF(X889&lt;&gt;"",VLOOKUP(C889,'General price list'!C891:AN1864,MATCH("HM",Tabulka1[[#Headers],[KOD]:[NEQ]],0),FALSE),"")</f>
        <v/>
      </c>
    </row>
    <row r="890" spans="1:27">
      <c r="A890">
        <f>COUNTIF($W$22:W890,1)</f>
        <v>0</v>
      </c>
      <c r="B890">
        <v>890</v>
      </c>
      <c r="C890" s="340" t="str">
        <f>IFERROR(Tabulka1[[#This Row],[KOD]],"")</f>
        <v>CF503X8</v>
      </c>
      <c r="W890" s="804" t="str">
        <f t="shared" si="28"/>
        <v/>
      </c>
      <c r="X890" s="154" t="str">
        <f t="shared" si="29"/>
        <v/>
      </c>
      <c r="Y890" s="341">
        <f>IF('General price list'!$AB892="",0,'General price list'!$AB892)</f>
        <v>0</v>
      </c>
      <c r="Z890" s="365" t="str">
        <f>IFERROR(X890*VLOOKUP(C890,'General price list'!C:I,7,FALSE),"")</f>
        <v/>
      </c>
      <c r="AA890" s="805" t="str">
        <f>IF(X890&lt;&gt;"",VLOOKUP(C890,'General price list'!C892:AN1865,MATCH("HM",Tabulka1[[#Headers],[KOD]:[NEQ]],0),FALSE),"")</f>
        <v/>
      </c>
    </row>
    <row r="891" spans="1:27">
      <c r="A891">
        <f>COUNTIF($W$22:W891,1)</f>
        <v>0</v>
      </c>
      <c r="B891">
        <v>891</v>
      </c>
      <c r="C891" s="340" t="str">
        <f>IFERROR(Tabulka1[[#This Row],[KOD]],"")</f>
        <v>CF503X12</v>
      </c>
      <c r="W891" s="804" t="str">
        <f t="shared" si="28"/>
        <v/>
      </c>
      <c r="X891" s="154" t="str">
        <f t="shared" si="29"/>
        <v/>
      </c>
      <c r="Y891" s="341">
        <f>IF('General price list'!$AB893="",0,'General price list'!$AB893)</f>
        <v>0</v>
      </c>
      <c r="Z891" s="365" t="str">
        <f>IFERROR(X891*VLOOKUP(C891,'General price list'!C:I,7,FALSE),"")</f>
        <v/>
      </c>
      <c r="AA891" s="805" t="str">
        <f>IF(X891&lt;&gt;"",VLOOKUP(C891,'General price list'!C893:AN1866,MATCH("HM",Tabulka1[[#Headers],[KOD]:[NEQ]],0),FALSE),"")</f>
        <v/>
      </c>
    </row>
    <row r="892" spans="1:27">
      <c r="A892">
        <f>COUNTIF($W$22:W892,1)</f>
        <v>0</v>
      </c>
      <c r="B892">
        <v>892</v>
      </c>
      <c r="C892" s="340" t="str">
        <f>IFERROR(Tabulka1[[#This Row],[KOD]],"")</f>
        <v>CF503X14</v>
      </c>
      <c r="W892" s="804" t="str">
        <f t="shared" si="28"/>
        <v/>
      </c>
      <c r="X892" s="154" t="str">
        <f t="shared" si="29"/>
        <v/>
      </c>
      <c r="Y892" s="341">
        <f>IF('General price list'!$AB894="",0,'General price list'!$AB894)</f>
        <v>0</v>
      </c>
      <c r="Z892" s="365" t="str">
        <f>IFERROR(X892*VLOOKUP(C892,'General price list'!C:I,7,FALSE),"")</f>
        <v/>
      </c>
      <c r="AA892" s="805" t="str">
        <f>IF(X892&lt;&gt;"",VLOOKUP(C892,'General price list'!C894:AN1867,MATCH("HM",Tabulka1[[#Headers],[KOD]:[NEQ]],0),FALSE),"")</f>
        <v/>
      </c>
    </row>
    <row r="893" spans="1:27">
      <c r="A893">
        <f>COUNTIF($W$22:W893,1)</f>
        <v>0</v>
      </c>
      <c r="B893">
        <v>893</v>
      </c>
      <c r="C893" s="340" t="str">
        <f>IFERROR(Tabulka1[[#This Row],[KOD]],"")</f>
        <v>CF503X15</v>
      </c>
      <c r="W893" s="804" t="str">
        <f t="shared" si="28"/>
        <v/>
      </c>
      <c r="X893" s="154" t="str">
        <f t="shared" si="29"/>
        <v/>
      </c>
      <c r="Y893" s="341">
        <f>IF('General price list'!$AB895="",0,'General price list'!$AB895)</f>
        <v>0</v>
      </c>
      <c r="Z893" s="365" t="str">
        <f>IFERROR(X893*VLOOKUP(C893,'General price list'!C:I,7,FALSE),"")</f>
        <v/>
      </c>
      <c r="AA893" s="805" t="str">
        <f>IF(X893&lt;&gt;"",VLOOKUP(C893,'General price list'!C895:AN1868,MATCH("HM",Tabulka1[[#Headers],[KOD]:[NEQ]],0),FALSE),"")</f>
        <v/>
      </c>
    </row>
    <row r="894" spans="1:27">
      <c r="A894">
        <f>COUNTIF($W$22:W894,1)</f>
        <v>0</v>
      </c>
      <c r="B894">
        <v>894</v>
      </c>
      <c r="C894" s="340" t="str">
        <f>IFERROR(Tabulka1[[#This Row],[KOD]],"")</f>
        <v>CF503X17</v>
      </c>
      <c r="W894" s="804" t="str">
        <f t="shared" si="28"/>
        <v/>
      </c>
      <c r="X894" s="154" t="str">
        <f t="shared" si="29"/>
        <v/>
      </c>
      <c r="Y894" s="341">
        <f>IF('General price list'!$AB896="",0,'General price list'!$AB896)</f>
        <v>0</v>
      </c>
      <c r="Z894" s="365" t="str">
        <f>IFERROR(X894*VLOOKUP(C894,'General price list'!C:I,7,FALSE),"")</f>
        <v/>
      </c>
      <c r="AA894" s="805" t="str">
        <f>IF(X894&lt;&gt;"",VLOOKUP(C894,'General price list'!C896:AN1869,MATCH("HM",Tabulka1[[#Headers],[KOD]:[NEQ]],0),FALSE),"")</f>
        <v/>
      </c>
    </row>
    <row r="895" spans="1:27">
      <c r="A895">
        <f>COUNTIF($W$22:W895,1)</f>
        <v>0</v>
      </c>
      <c r="B895">
        <v>895</v>
      </c>
      <c r="C895" s="340" t="str">
        <f>IFERROR(Tabulka1[[#This Row],[KOD]],"")</f>
        <v>CF503X29</v>
      </c>
      <c r="W895" s="804" t="str">
        <f t="shared" si="28"/>
        <v/>
      </c>
      <c r="X895" s="154" t="str">
        <f t="shared" si="29"/>
        <v/>
      </c>
      <c r="Y895" s="341">
        <f>IF('General price list'!$AB897="",0,'General price list'!$AB897)</f>
        <v>0</v>
      </c>
      <c r="Z895" s="365" t="str">
        <f>IFERROR(X895*VLOOKUP(C895,'General price list'!C:I,7,FALSE),"")</f>
        <v/>
      </c>
      <c r="AA895" s="805" t="str">
        <f>IF(X895&lt;&gt;"",VLOOKUP(C895,'General price list'!C897:AN1870,MATCH("HM",Tabulka1[[#Headers],[KOD]:[NEQ]],0),FALSE),"")</f>
        <v/>
      </c>
    </row>
    <row r="896" spans="1:27">
      <c r="A896">
        <f>COUNTIF($W$22:W896,1)</f>
        <v>0</v>
      </c>
      <c r="B896">
        <v>896</v>
      </c>
      <c r="C896" s="340" t="str">
        <f>IFERROR(Tabulka1[[#This Row],[KOD]],"")</f>
        <v>CF503X48</v>
      </c>
      <c r="W896" s="804" t="str">
        <f t="shared" si="28"/>
        <v/>
      </c>
      <c r="X896" s="154" t="str">
        <f t="shared" si="29"/>
        <v/>
      </c>
      <c r="Y896" s="341">
        <f>IF('General price list'!$AB898="",0,'General price list'!$AB898)</f>
        <v>0</v>
      </c>
      <c r="Z896" s="365" t="str">
        <f>IFERROR(X896*VLOOKUP(C896,'General price list'!C:I,7,FALSE),"")</f>
        <v/>
      </c>
      <c r="AA896" s="805" t="str">
        <f>IF(X896&lt;&gt;"",VLOOKUP(C896,'General price list'!C898:AN1871,MATCH("HM",Tabulka1[[#Headers],[KOD]:[NEQ]],0),FALSE),"")</f>
        <v/>
      </c>
    </row>
    <row r="897" spans="1:27">
      <c r="A897">
        <f>COUNTIF($W$22:W897,1)</f>
        <v>0</v>
      </c>
      <c r="B897">
        <v>897</v>
      </c>
      <c r="C897" s="340" t="str">
        <f>IFERROR(Tabulka1[[#This Row],[KOD]],"")</f>
        <v>CF503X54</v>
      </c>
      <c r="W897" s="804" t="str">
        <f t="shared" si="28"/>
        <v/>
      </c>
      <c r="X897" s="154" t="str">
        <f t="shared" si="29"/>
        <v/>
      </c>
      <c r="Y897" s="341">
        <f>IF('General price list'!$AB899="",0,'General price list'!$AB899)</f>
        <v>0</v>
      </c>
      <c r="Z897" s="365" t="str">
        <f>IFERROR(X897*VLOOKUP(C897,'General price list'!C:I,7,FALSE),"")</f>
        <v/>
      </c>
      <c r="AA897" s="805" t="str">
        <f>IF(X897&lt;&gt;"",VLOOKUP(C897,'General price list'!C899:AN1872,MATCH("HM",Tabulka1[[#Headers],[KOD]:[NEQ]],0),FALSE),"")</f>
        <v/>
      </c>
    </row>
    <row r="898" spans="1:27">
      <c r="A898">
        <f>COUNTIF($W$22:W898,1)</f>
        <v>0</v>
      </c>
      <c r="B898">
        <v>898</v>
      </c>
      <c r="C898" s="340">
        <f>IFERROR(Tabulka1[[#This Row],[KOD]],"")</f>
        <v>0</v>
      </c>
      <c r="W898" s="804" t="str">
        <f t="shared" si="28"/>
        <v/>
      </c>
      <c r="X898" s="154" t="str">
        <f t="shared" si="29"/>
        <v/>
      </c>
      <c r="Y898" s="341">
        <f>IF('General price list'!$AB900="",0,'General price list'!$AB900)</f>
        <v>0</v>
      </c>
      <c r="Z898" s="365" t="str">
        <f>IFERROR(X898*VLOOKUP(C898,'General price list'!C:I,7,FALSE),"")</f>
        <v/>
      </c>
      <c r="AA898" s="805" t="str">
        <f>IF(X898&lt;&gt;"",VLOOKUP(C898,'General price list'!C900:AN1873,MATCH("HM",Tabulka1[[#Headers],[KOD]:[NEQ]],0),FALSE),"")</f>
        <v/>
      </c>
    </row>
    <row r="899" spans="1:27">
      <c r="A899">
        <f>COUNTIF($W$22:W899,1)</f>
        <v>0</v>
      </c>
      <c r="B899">
        <v>899</v>
      </c>
      <c r="C899" s="340" t="str">
        <f>IFERROR(Tabulka1[[#This Row],[KOD]],"")</f>
        <v>CS503X8</v>
      </c>
      <c r="W899" s="804" t="str">
        <f t="shared" si="28"/>
        <v/>
      </c>
      <c r="X899" s="154" t="str">
        <f t="shared" si="29"/>
        <v/>
      </c>
      <c r="Y899" s="341">
        <f>IF('General price list'!$AB901="",0,'General price list'!$AB901)</f>
        <v>0</v>
      </c>
      <c r="Z899" s="365" t="str">
        <f>IFERROR(X899*VLOOKUP(C899,'General price list'!C:I,7,FALSE),"")</f>
        <v/>
      </c>
      <c r="AA899" s="805" t="str">
        <f>IF(X899&lt;&gt;"",VLOOKUP(C899,'General price list'!C901:AN1874,MATCH("HM",Tabulka1[[#Headers],[KOD]:[NEQ]],0),FALSE),"")</f>
        <v/>
      </c>
    </row>
    <row r="900" spans="1:27">
      <c r="A900">
        <f>COUNTIF($W$22:W900,1)</f>
        <v>0</v>
      </c>
      <c r="B900">
        <v>900</v>
      </c>
      <c r="C900" s="340" t="str">
        <f>IFERROR(Tabulka1[[#This Row],[KOD]],"")</f>
        <v>CS503X9</v>
      </c>
      <c r="W900" s="804" t="str">
        <f t="shared" si="28"/>
        <v/>
      </c>
      <c r="X900" s="154" t="str">
        <f t="shared" si="29"/>
        <v/>
      </c>
      <c r="Y900" s="341">
        <f>IF('General price list'!$AB902="",0,'General price list'!$AB902)</f>
        <v>0</v>
      </c>
      <c r="Z900" s="365" t="str">
        <f>IFERROR(X900*VLOOKUP(C900,'General price list'!C:I,7,FALSE),"")</f>
        <v/>
      </c>
      <c r="AA900" s="805" t="str">
        <f>IF(X900&lt;&gt;"",VLOOKUP(C900,'General price list'!C902:AN1875,MATCH("HM",Tabulka1[[#Headers],[KOD]:[NEQ]],0),FALSE),"")</f>
        <v/>
      </c>
    </row>
    <row r="901" spans="1:27">
      <c r="A901">
        <f>COUNTIF($W$22:W901,1)</f>
        <v>0</v>
      </c>
      <c r="B901">
        <v>901</v>
      </c>
      <c r="C901" s="340" t="str">
        <f>IFERROR(Tabulka1[[#This Row],[KOD]],"")</f>
        <v>CS503X11</v>
      </c>
      <c r="W901" s="804" t="str">
        <f t="shared" si="28"/>
        <v/>
      </c>
      <c r="X901" s="154" t="str">
        <f t="shared" si="29"/>
        <v/>
      </c>
      <c r="Y901" s="341">
        <f>IF('General price list'!$AB903="",0,'General price list'!$AB903)</f>
        <v>0</v>
      </c>
      <c r="Z901" s="365" t="str">
        <f>IFERROR(X901*VLOOKUP(C901,'General price list'!C:I,7,FALSE),"")</f>
        <v/>
      </c>
      <c r="AA901" s="805" t="str">
        <f>IF(X901&lt;&gt;"",VLOOKUP(C901,'General price list'!C903:AN1876,MATCH("HM",Tabulka1[[#Headers],[KOD]:[NEQ]],0),FALSE),"")</f>
        <v/>
      </c>
    </row>
    <row r="902" spans="1:27">
      <c r="A902">
        <f>COUNTIF($W$22:W902,1)</f>
        <v>0</v>
      </c>
      <c r="B902">
        <v>902</v>
      </c>
      <c r="C902" s="340" t="str">
        <f>IFERROR(Tabulka1[[#This Row],[KOD]],"")</f>
        <v>CS503X14</v>
      </c>
      <c r="W902" s="804" t="str">
        <f t="shared" si="28"/>
        <v/>
      </c>
      <c r="X902" s="154" t="str">
        <f t="shared" si="29"/>
        <v/>
      </c>
      <c r="Y902" s="341">
        <f>IF('General price list'!$AB904="",0,'General price list'!$AB904)</f>
        <v>0</v>
      </c>
      <c r="Z902" s="365" t="str">
        <f>IFERROR(X902*VLOOKUP(C902,'General price list'!C:I,7,FALSE),"")</f>
        <v/>
      </c>
      <c r="AA902" s="805" t="str">
        <f>IF(X902&lt;&gt;"",VLOOKUP(C902,'General price list'!C904:AN1877,MATCH("HM",Tabulka1[[#Headers],[KOD]:[NEQ]],0),FALSE),"")</f>
        <v/>
      </c>
    </row>
    <row r="903" spans="1:27">
      <c r="A903">
        <f>COUNTIF($W$22:W903,1)</f>
        <v>0</v>
      </c>
      <c r="B903">
        <v>903</v>
      </c>
      <c r="C903" s="340" t="str">
        <f>IFERROR(Tabulka1[[#This Row],[KOD]],"")</f>
        <v>CS503X15</v>
      </c>
      <c r="W903" s="804" t="str">
        <f t="shared" si="28"/>
        <v/>
      </c>
      <c r="X903" s="154" t="str">
        <f t="shared" si="29"/>
        <v/>
      </c>
      <c r="Y903" s="341">
        <f>IF('General price list'!$AB905="",0,'General price list'!$AB905)</f>
        <v>0</v>
      </c>
      <c r="Z903" s="365" t="str">
        <f>IFERROR(X903*VLOOKUP(C903,'General price list'!C:I,7,FALSE),"")</f>
        <v/>
      </c>
      <c r="AA903" s="805" t="str">
        <f>IF(X903&lt;&gt;"",VLOOKUP(C903,'General price list'!C905:AN1878,MATCH("HM",Tabulka1[[#Headers],[KOD]:[NEQ]],0),FALSE),"")</f>
        <v/>
      </c>
    </row>
    <row r="904" spans="1:27">
      <c r="A904">
        <f>COUNTIF($W$22:W904,1)</f>
        <v>0</v>
      </c>
      <c r="B904">
        <v>904</v>
      </c>
      <c r="C904" s="340" t="str">
        <f>IFERROR(Tabulka1[[#This Row],[KOD]],"")</f>
        <v>CS503X19</v>
      </c>
      <c r="W904" s="804" t="str">
        <f t="shared" si="28"/>
        <v/>
      </c>
      <c r="X904" s="154" t="str">
        <f t="shared" si="29"/>
        <v/>
      </c>
      <c r="Y904" s="341">
        <f>IF('General price list'!$AB906="",0,'General price list'!$AB906)</f>
        <v>0</v>
      </c>
      <c r="Z904" s="365" t="str">
        <f>IFERROR(X904*VLOOKUP(C904,'General price list'!C:I,7,FALSE),"")</f>
        <v/>
      </c>
      <c r="AA904" s="805" t="str">
        <f>IF(X904&lt;&gt;"",VLOOKUP(C904,'General price list'!C906:AN1879,MATCH("HM",Tabulka1[[#Headers],[KOD]:[NEQ]],0),FALSE),"")</f>
        <v/>
      </c>
    </row>
    <row r="905" spans="1:27">
      <c r="A905">
        <f>COUNTIF($W$22:W905,1)</f>
        <v>0</v>
      </c>
      <c r="B905">
        <v>905</v>
      </c>
      <c r="C905" s="340" t="str">
        <f>IFERROR(Tabulka1[[#This Row],[KOD]],"")</f>
        <v>CS503X26</v>
      </c>
      <c r="W905" s="804" t="str">
        <f t="shared" si="28"/>
        <v/>
      </c>
      <c r="X905" s="154" t="str">
        <f t="shared" si="29"/>
        <v/>
      </c>
      <c r="Y905" s="341">
        <f>IF('General price list'!$AB907="",0,'General price list'!$AB907)</f>
        <v>0</v>
      </c>
      <c r="Z905" s="365" t="str">
        <f>IFERROR(X905*VLOOKUP(C905,'General price list'!C:I,7,FALSE),"")</f>
        <v/>
      </c>
      <c r="AA905" s="805" t="str">
        <f>IF(X905&lt;&gt;"",VLOOKUP(C905,'General price list'!C907:AN1880,MATCH("HM",Tabulka1[[#Headers],[KOD]:[NEQ]],0),FALSE),"")</f>
        <v/>
      </c>
    </row>
    <row r="906" spans="1:27">
      <c r="A906">
        <f>COUNTIF($W$22:W906,1)</f>
        <v>0</v>
      </c>
      <c r="B906">
        <v>906</v>
      </c>
      <c r="C906" s="340" t="str">
        <f>IFERROR(Tabulka1[[#This Row],[KOD]],"")</f>
        <v>CS503X33</v>
      </c>
      <c r="W906" s="804" t="str">
        <f t="shared" si="28"/>
        <v/>
      </c>
      <c r="X906" s="154" t="str">
        <f t="shared" si="29"/>
        <v/>
      </c>
      <c r="Y906" s="341">
        <f>IF('General price list'!$AB908="",0,'General price list'!$AB908)</f>
        <v>0</v>
      </c>
      <c r="Z906" s="365" t="str">
        <f>IFERROR(X906*VLOOKUP(C906,'General price list'!C:I,7,FALSE),"")</f>
        <v/>
      </c>
      <c r="AA906" s="805" t="str">
        <f>IF(X906&lt;&gt;"",VLOOKUP(C906,'General price list'!C908:AN1881,MATCH("HM",Tabulka1[[#Headers],[KOD]:[NEQ]],0),FALSE),"")</f>
        <v/>
      </c>
    </row>
    <row r="907" spans="1:27">
      <c r="A907">
        <f>COUNTIF($W$22:W907,1)</f>
        <v>0</v>
      </c>
      <c r="B907">
        <v>907</v>
      </c>
      <c r="C907" s="340" t="str">
        <f>IFERROR(Tabulka1[[#This Row],[KOD]],"")</f>
        <v>CS503X38</v>
      </c>
      <c r="W907" s="804" t="str">
        <f t="shared" si="28"/>
        <v/>
      </c>
      <c r="X907" s="154" t="str">
        <f t="shared" si="29"/>
        <v/>
      </c>
      <c r="Y907" s="341">
        <f>IF('General price list'!$AB909="",0,'General price list'!$AB909)</f>
        <v>0</v>
      </c>
      <c r="Z907" s="365" t="str">
        <f>IFERROR(X907*VLOOKUP(C907,'General price list'!C:I,7,FALSE),"")</f>
        <v/>
      </c>
      <c r="AA907" s="805" t="str">
        <f>IF(X907&lt;&gt;"",VLOOKUP(C907,'General price list'!C909:AN1882,MATCH("HM",Tabulka1[[#Headers],[KOD]:[NEQ]],0),FALSE),"")</f>
        <v/>
      </c>
    </row>
    <row r="908" spans="1:27">
      <c r="A908">
        <f>COUNTIF($W$22:W908,1)</f>
        <v>0</v>
      </c>
      <c r="B908">
        <v>908</v>
      </c>
      <c r="C908" s="340">
        <f>IFERROR(Tabulka1[[#This Row],[KOD]],"")</f>
        <v>0</v>
      </c>
      <c r="W908" s="804" t="str">
        <f t="shared" si="28"/>
        <v/>
      </c>
      <c r="X908" s="154" t="str">
        <f t="shared" si="29"/>
        <v/>
      </c>
      <c r="Y908" s="341">
        <f>IF('General price list'!$AB910="",0,'General price list'!$AB910)</f>
        <v>0</v>
      </c>
      <c r="Z908" s="365" t="str">
        <f>IFERROR(X908*VLOOKUP(C908,'General price list'!C:I,7,FALSE),"")</f>
        <v/>
      </c>
      <c r="AA908" s="805" t="str">
        <f>IF(X908&lt;&gt;"",VLOOKUP(C908,'General price list'!C910:AN1883,MATCH("HM",Tabulka1[[#Headers],[KOD]:[NEQ]],0),FALSE),"")</f>
        <v/>
      </c>
    </row>
    <row r="909" spans="1:27">
      <c r="A909">
        <f>COUNTIF($W$22:W909,1)</f>
        <v>0</v>
      </c>
      <c r="B909">
        <v>909</v>
      </c>
      <c r="C909" s="340" t="str">
        <f>IFERROR(Tabulka1[[#This Row],[KOD]],"")</f>
        <v>S2M</v>
      </c>
      <c r="W909" s="804" t="str">
        <f t="shared" si="28"/>
        <v/>
      </c>
      <c r="X909" s="154" t="str">
        <f t="shared" si="29"/>
        <v/>
      </c>
      <c r="Y909" s="341">
        <f>IF('General price list'!$AB911="",0,'General price list'!$AB911)</f>
        <v>0</v>
      </c>
      <c r="Z909" s="365" t="str">
        <f>IFERROR(X909*VLOOKUP(C909,'General price list'!C:I,7,FALSE),"")</f>
        <v/>
      </c>
      <c r="AA909" s="805" t="str">
        <f>IF(X909&lt;&gt;"",VLOOKUP(C909,'General price list'!C911:AN1884,MATCH("HM",Tabulka1[[#Headers],[KOD]:[NEQ]],0),FALSE),"")</f>
        <v/>
      </c>
    </row>
    <row r="910" spans="1:27">
      <c r="A910">
        <f>COUNTIF($W$22:W910,1)</f>
        <v>0</v>
      </c>
      <c r="B910">
        <v>910</v>
      </c>
      <c r="C910" s="340">
        <f>IFERROR(Tabulka1[[#This Row],[KOD]],"")</f>
        <v>0</v>
      </c>
      <c r="W910" s="804" t="str">
        <f t="shared" si="28"/>
        <v/>
      </c>
      <c r="X910" s="154" t="str">
        <f t="shared" si="29"/>
        <v/>
      </c>
      <c r="Y910" s="341">
        <f>IF('General price list'!$AB912="",0,'General price list'!$AB912)</f>
        <v>0</v>
      </c>
      <c r="Z910" s="365" t="str">
        <f>IFERROR(X910*VLOOKUP(C910,'General price list'!C:I,7,FALSE),"")</f>
        <v/>
      </c>
      <c r="AA910" s="805" t="str">
        <f>IF(X910&lt;&gt;"",VLOOKUP(C910,'General price list'!C912:AN1885,MATCH("HM",Tabulka1[[#Headers],[KOD]:[NEQ]],0),FALSE),"")</f>
        <v/>
      </c>
    </row>
    <row r="911" spans="1:27">
      <c r="A911">
        <f>COUNTIF($W$22:W911,1)</f>
        <v>0</v>
      </c>
      <c r="B911">
        <v>911</v>
      </c>
      <c r="C911" s="340" t="str">
        <f>IFERROR(Tabulka1[[#This Row],[KOD]],"")</f>
        <v>S3F/P</v>
      </c>
      <c r="W911" s="804" t="str">
        <f t="shared" si="28"/>
        <v/>
      </c>
      <c r="X911" s="154" t="str">
        <f t="shared" si="29"/>
        <v/>
      </c>
      <c r="Y911" s="341">
        <f>IF('General price list'!$AB913="",0,'General price list'!$AB913)</f>
        <v>0</v>
      </c>
      <c r="Z911" s="365" t="str">
        <f>IFERROR(X911*VLOOKUP(C911,'General price list'!C:I,7,FALSE),"")</f>
        <v/>
      </c>
      <c r="AA911" s="805" t="str">
        <f>IF(X911&lt;&gt;"",VLOOKUP(C911,'General price list'!C913:AN1886,MATCH("HM",Tabulka1[[#Headers],[KOD]:[NEQ]],0),FALSE),"")</f>
        <v/>
      </c>
    </row>
    <row r="912" spans="1:27">
      <c r="A912">
        <f>COUNTIF($W$22:W912,1)</f>
        <v>0</v>
      </c>
      <c r="B912">
        <v>912</v>
      </c>
      <c r="C912" s="340" t="str">
        <f>IFERROR(Tabulka1[[#This Row],[KOD]],"")</f>
        <v>S3IA/P</v>
      </c>
      <c r="W912" s="804" t="str">
        <f t="shared" si="28"/>
        <v/>
      </c>
      <c r="X912" s="154" t="str">
        <f t="shared" si="29"/>
        <v/>
      </c>
      <c r="Y912" s="341">
        <f>IF('General price list'!$AB914="",0,'General price list'!$AB914)</f>
        <v>0</v>
      </c>
      <c r="Z912" s="365" t="str">
        <f>IFERROR(X912*VLOOKUP(C912,'General price list'!C:I,7,FALSE),"")</f>
        <v/>
      </c>
      <c r="AA912" s="805" t="str">
        <f>IF(X912&lt;&gt;"",VLOOKUP(C912,'General price list'!C914:AN1887,MATCH("HM",Tabulka1[[#Headers],[KOD]:[NEQ]],0),FALSE),"")</f>
        <v/>
      </c>
    </row>
    <row r="913" spans="1:27">
      <c r="A913">
        <f>COUNTIF($W$22:W913,1)</f>
        <v>0</v>
      </c>
      <c r="B913">
        <v>913</v>
      </c>
      <c r="C913" s="340" t="str">
        <f>IFERROR(Tabulka1[[#This Row],[KOD]],"")</f>
        <v>S3J/P</v>
      </c>
      <c r="W913" s="804" t="str">
        <f t="shared" si="28"/>
        <v/>
      </c>
      <c r="X913" s="154" t="str">
        <f t="shared" si="29"/>
        <v/>
      </c>
      <c r="Y913" s="341">
        <f>IF('General price list'!$AB915="",0,'General price list'!$AB915)</f>
        <v>0</v>
      </c>
      <c r="Z913" s="365" t="str">
        <f>IFERROR(X913*VLOOKUP(C913,'General price list'!C:I,7,FALSE),"")</f>
        <v/>
      </c>
      <c r="AA913" s="805" t="str">
        <f>IF(X913&lt;&gt;"",VLOOKUP(C913,'General price list'!C915:AN1888,MATCH("HM",Tabulka1[[#Headers],[KOD]:[NEQ]],0),FALSE),"")</f>
        <v/>
      </c>
    </row>
    <row r="914" spans="1:27">
      <c r="A914">
        <f>COUNTIF($W$22:W914,1)</f>
        <v>0</v>
      </c>
      <c r="B914">
        <v>914</v>
      </c>
      <c r="C914" s="340" t="str">
        <f>IFERROR(Tabulka1[[#This Row],[KOD]],"")</f>
        <v>S3S/P</v>
      </c>
      <c r="W914" s="804" t="str">
        <f t="shared" si="28"/>
        <v/>
      </c>
      <c r="X914" s="154" t="str">
        <f t="shared" si="29"/>
        <v/>
      </c>
      <c r="Y914" s="341">
        <f>IF('General price list'!$AB916="",0,'General price list'!$AB916)</f>
        <v>0</v>
      </c>
      <c r="Z914" s="365" t="str">
        <f>IFERROR(X914*VLOOKUP(C914,'General price list'!C:I,7,FALSE),"")</f>
        <v/>
      </c>
      <c r="AA914" s="805" t="str">
        <f>IF(X914&lt;&gt;"",VLOOKUP(C914,'General price list'!C916:AN1889,MATCH("HM",Tabulka1[[#Headers],[KOD]:[NEQ]],0),FALSE),"")</f>
        <v/>
      </c>
    </row>
    <row r="915" spans="1:27">
      <c r="A915">
        <f>COUNTIF($W$22:W915,1)</f>
        <v>0</v>
      </c>
      <c r="B915">
        <v>915</v>
      </c>
      <c r="C915" s="340" t="str">
        <f>IFERROR(Tabulka1[[#This Row],[KOD]],"")</f>
        <v>S3T</v>
      </c>
      <c r="W915" s="804" t="str">
        <f t="shared" si="28"/>
        <v/>
      </c>
      <c r="X915" s="154" t="str">
        <f t="shared" si="29"/>
        <v/>
      </c>
      <c r="Y915" s="341">
        <f>IF('General price list'!$AB917="",0,'General price list'!$AB917)</f>
        <v>0</v>
      </c>
      <c r="Z915" s="365" t="str">
        <f>IFERROR(X915*VLOOKUP(C915,'General price list'!C:I,7,FALSE),"")</f>
        <v/>
      </c>
      <c r="AA915" s="805" t="str">
        <f>IF(X915&lt;&gt;"",VLOOKUP(C915,'General price list'!C917:AN1890,MATCH("HM",Tabulka1[[#Headers],[KOD]:[NEQ]],0),FALSE),"")</f>
        <v/>
      </c>
    </row>
    <row r="916" spans="1:27">
      <c r="A916">
        <f>COUNTIF($W$22:W916,1)</f>
        <v>0</v>
      </c>
      <c r="B916">
        <v>916</v>
      </c>
      <c r="C916" s="340" t="str">
        <f>IFERROR(Tabulka1[[#This Row],[KOD]],"")</f>
        <v>S3M/P</v>
      </c>
      <c r="W916" s="804" t="str">
        <f t="shared" si="28"/>
        <v/>
      </c>
      <c r="X916" s="154" t="str">
        <f t="shared" si="29"/>
        <v/>
      </c>
      <c r="Y916" s="341">
        <f>IF('General price list'!$AB918="",0,'General price list'!$AB918)</f>
        <v>0</v>
      </c>
      <c r="Z916" s="365" t="str">
        <f>IFERROR(X916*VLOOKUP(C916,'General price list'!C:I,7,FALSE),"")</f>
        <v/>
      </c>
      <c r="AA916" s="805" t="str">
        <f>IF(X916&lt;&gt;"",VLOOKUP(C916,'General price list'!C918:AN1891,MATCH("HM",Tabulka1[[#Headers],[KOD]:[NEQ]],0),FALSE),"")</f>
        <v/>
      </c>
    </row>
    <row r="917" spans="1:27">
      <c r="A917">
        <f>COUNTIF($W$22:W917,1)</f>
        <v>0</v>
      </c>
      <c r="B917">
        <v>917</v>
      </c>
      <c r="C917" s="340">
        <f>IFERROR(Tabulka1[[#This Row],[KOD]],"")</f>
        <v>0</v>
      </c>
      <c r="W917" s="804" t="str">
        <f t="shared" si="28"/>
        <v/>
      </c>
      <c r="X917" s="154" t="str">
        <f t="shared" si="29"/>
        <v/>
      </c>
      <c r="Y917" s="341">
        <f>IF('General price list'!$AB919="",0,'General price list'!$AB919)</f>
        <v>0</v>
      </c>
      <c r="Z917" s="365" t="str">
        <f>IFERROR(X917*VLOOKUP(C917,'General price list'!C:I,7,FALSE),"")</f>
        <v/>
      </c>
      <c r="AA917" s="805" t="str">
        <f>IF(X917&lt;&gt;"",VLOOKUP(C917,'General price list'!C919:AN1892,MATCH("HM",Tabulka1[[#Headers],[KOD]:[NEQ]],0),FALSE),"")</f>
        <v/>
      </c>
    </row>
    <row r="918" spans="1:27">
      <c r="A918">
        <f>COUNTIF($W$22:W918,1)</f>
        <v>0</v>
      </c>
      <c r="B918">
        <v>918</v>
      </c>
      <c r="C918" s="340" t="str">
        <f>IFERROR(Tabulka1[[#This Row],[KOD]],"")</f>
        <v>S4T</v>
      </c>
      <c r="W918" s="804" t="str">
        <f t="shared" si="28"/>
        <v/>
      </c>
      <c r="X918" s="154" t="str">
        <f t="shared" si="29"/>
        <v/>
      </c>
      <c r="Y918" s="341">
        <f>IF('General price list'!$AB920="",0,'General price list'!$AB920)</f>
        <v>0</v>
      </c>
      <c r="Z918" s="365" t="str">
        <f>IFERROR(X918*VLOOKUP(C918,'General price list'!C:I,7,FALSE),"")</f>
        <v/>
      </c>
      <c r="AA918" s="805" t="str">
        <f>IF(X918&lt;&gt;"",VLOOKUP(C918,'General price list'!C920:AN1893,MATCH("HM",Tabulka1[[#Headers],[KOD]:[NEQ]],0),FALSE),"")</f>
        <v/>
      </c>
    </row>
    <row r="919" spans="1:27">
      <c r="A919">
        <f>COUNTIF($W$22:W919,1)</f>
        <v>0</v>
      </c>
      <c r="B919">
        <v>919</v>
      </c>
      <c r="C919" s="340">
        <f>IFERROR(Tabulka1[[#This Row],[KOD]],"")</f>
        <v>0</v>
      </c>
      <c r="W919" s="804" t="str">
        <f t="shared" si="28"/>
        <v/>
      </c>
      <c r="X919" s="154" t="str">
        <f t="shared" si="29"/>
        <v/>
      </c>
      <c r="Y919" s="341">
        <f>IF('General price list'!$AB921="",0,'General price list'!$AB921)</f>
        <v>0</v>
      </c>
      <c r="Z919" s="365" t="str">
        <f>IFERROR(X919*VLOOKUP(C919,'General price list'!C:I,7,FALSE),"")</f>
        <v/>
      </c>
      <c r="AA919" s="805" t="str">
        <f>IF(X919&lt;&gt;"",VLOOKUP(C919,'General price list'!C921:AN1894,MATCH("HM",Tabulka1[[#Headers],[KOD]:[NEQ]],0),FALSE),"")</f>
        <v/>
      </c>
    </row>
    <row r="920" spans="1:27">
      <c r="A920">
        <f>COUNTIF($W$22:W920,1)</f>
        <v>0</v>
      </c>
      <c r="B920">
        <v>920</v>
      </c>
      <c r="C920" s="340" t="str">
        <f>IFERROR(Tabulka1[[#This Row],[KOD]],"")</f>
        <v>S4C/P</v>
      </c>
      <c r="W920" s="804" t="str">
        <f t="shared" ref="W920:W981" si="30">IF(Y920+1=1,"",1)</f>
        <v/>
      </c>
      <c r="X920" s="154" t="str">
        <f t="shared" ref="X920:X981" si="31">IF(Y920+1=1,"",Y920)</f>
        <v/>
      </c>
      <c r="Y920" s="341">
        <f>IF('General price list'!$AB922="",0,'General price list'!$AB922)</f>
        <v>0</v>
      </c>
      <c r="Z920" s="365" t="str">
        <f>IFERROR(X920*VLOOKUP(C920,'General price list'!C:I,7,FALSE),"")</f>
        <v/>
      </c>
      <c r="AA920" s="805" t="str">
        <f>IF(X920&lt;&gt;"",VLOOKUP(C920,'General price list'!C922:AN1895,MATCH("HM",Tabulka1[[#Headers],[KOD]:[NEQ]],0),FALSE),"")</f>
        <v/>
      </c>
    </row>
    <row r="921" spans="1:27">
      <c r="A921">
        <f>COUNTIF($W$22:W921,1)</f>
        <v>0</v>
      </c>
      <c r="B921">
        <v>921</v>
      </c>
      <c r="C921" s="340" t="str">
        <f>IFERROR(Tabulka1[[#This Row],[KOD]],"")</f>
        <v>S4J/P</v>
      </c>
      <c r="W921" s="804" t="str">
        <f t="shared" si="30"/>
        <v/>
      </c>
      <c r="X921" s="154" t="str">
        <f t="shared" si="31"/>
        <v/>
      </c>
      <c r="Y921" s="341">
        <f>IF('General price list'!$AB923="",0,'General price list'!$AB923)</f>
        <v>0</v>
      </c>
      <c r="Z921" s="365" t="str">
        <f>IFERROR(X921*VLOOKUP(C921,'General price list'!C:I,7,FALSE),"")</f>
        <v/>
      </c>
      <c r="AA921" s="805" t="str">
        <f>IF(X921&lt;&gt;"",VLOOKUP(C921,'General price list'!C923:AN1896,MATCH("HM",Tabulka1[[#Headers],[KOD]:[NEQ]],0),FALSE),"")</f>
        <v/>
      </c>
    </row>
    <row r="922" spans="1:27">
      <c r="A922">
        <f>COUNTIF($W$22:W922,1)</f>
        <v>0</v>
      </c>
      <c r="B922">
        <v>922</v>
      </c>
      <c r="C922" s="340" t="str">
        <f>IFERROR(Tabulka1[[#This Row],[KOD]],"")</f>
        <v>S4K/P</v>
      </c>
      <c r="W922" s="804" t="str">
        <f t="shared" si="30"/>
        <v/>
      </c>
      <c r="X922" s="154" t="str">
        <f t="shared" si="31"/>
        <v/>
      </c>
      <c r="Y922" s="341">
        <f>IF('General price list'!$AB924="",0,'General price list'!$AB924)</f>
        <v>0</v>
      </c>
      <c r="Z922" s="365" t="str">
        <f>IFERROR(X922*VLOOKUP(C922,'General price list'!C:I,7,FALSE),"")</f>
        <v/>
      </c>
      <c r="AA922" s="805" t="str">
        <f>IF(X922&lt;&gt;"",VLOOKUP(C922,'General price list'!C924:AN1897,MATCH("HM",Tabulka1[[#Headers],[KOD]:[NEQ]],0),FALSE),"")</f>
        <v/>
      </c>
    </row>
    <row r="923" spans="1:27">
      <c r="A923">
        <f>COUNTIF($W$22:W923,1)</f>
        <v>0</v>
      </c>
      <c r="B923">
        <v>923</v>
      </c>
      <c r="C923" s="340" t="str">
        <f>IFERROR(Tabulka1[[#This Row],[KOD]],"")</f>
        <v>S4L/P</v>
      </c>
      <c r="W923" s="804" t="str">
        <f t="shared" si="30"/>
        <v/>
      </c>
      <c r="X923" s="154" t="str">
        <f t="shared" si="31"/>
        <v/>
      </c>
      <c r="Y923" s="341">
        <f>IF('General price list'!$AB925="",0,'General price list'!$AB925)</f>
        <v>0</v>
      </c>
      <c r="Z923" s="365" t="str">
        <f>IFERROR(X923*VLOOKUP(C923,'General price list'!C:I,7,FALSE),"")</f>
        <v/>
      </c>
      <c r="AA923" s="805" t="str">
        <f>IF(X923&lt;&gt;"",VLOOKUP(C923,'General price list'!C925:AN1898,MATCH("HM",Tabulka1[[#Headers],[KOD]:[NEQ]],0),FALSE),"")</f>
        <v/>
      </c>
    </row>
    <row r="924" spans="1:27">
      <c r="A924">
        <f>COUNTIF($W$22:W924,1)</f>
        <v>0</v>
      </c>
      <c r="B924">
        <v>924</v>
      </c>
      <c r="C924" s="340" t="str">
        <f>IFERROR(Tabulka1[[#This Row],[KOD]],"")</f>
        <v>S4NA/P</v>
      </c>
      <c r="W924" s="804" t="str">
        <f t="shared" si="30"/>
        <v/>
      </c>
      <c r="X924" s="154" t="str">
        <f t="shared" si="31"/>
        <v/>
      </c>
      <c r="Y924" s="341">
        <f>IF('General price list'!$AB926="",0,'General price list'!$AB926)</f>
        <v>0</v>
      </c>
      <c r="Z924" s="365" t="str">
        <f>IFERROR(X924*VLOOKUP(C924,'General price list'!C:I,7,FALSE),"")</f>
        <v/>
      </c>
      <c r="AA924" s="805" t="str">
        <f>IF(X924&lt;&gt;"",VLOOKUP(C924,'General price list'!C926:AN1899,MATCH("HM",Tabulka1[[#Headers],[KOD]:[NEQ]],0),FALSE),"")</f>
        <v/>
      </c>
    </row>
    <row r="925" spans="1:27">
      <c r="A925">
        <f>COUNTIF($W$22:W925,1)</f>
        <v>0</v>
      </c>
      <c r="B925">
        <v>925</v>
      </c>
      <c r="C925" s="340" t="str">
        <f>IFERROR(Tabulka1[[#This Row],[KOD]],"")</f>
        <v>S4O/P</v>
      </c>
      <c r="W925" s="804" t="str">
        <f t="shared" si="30"/>
        <v/>
      </c>
      <c r="X925" s="154" t="str">
        <f t="shared" si="31"/>
        <v/>
      </c>
      <c r="Y925" s="341">
        <f>IF('General price list'!$AB927="",0,'General price list'!$AB927)</f>
        <v>0</v>
      </c>
      <c r="Z925" s="365" t="str">
        <f>IFERROR(X925*VLOOKUP(C925,'General price list'!C:I,7,FALSE),"")</f>
        <v/>
      </c>
      <c r="AA925" s="805" t="str">
        <f>IF(X925&lt;&gt;"",VLOOKUP(C925,'General price list'!C927:AN1900,MATCH("HM",Tabulka1[[#Headers],[KOD]:[NEQ]],0),FALSE),"")</f>
        <v/>
      </c>
    </row>
    <row r="926" spans="1:27">
      <c r="A926">
        <f>COUNTIF($W$22:W926,1)</f>
        <v>0</v>
      </c>
      <c r="B926">
        <v>926</v>
      </c>
      <c r="C926" s="340" t="str">
        <f>IFERROR(Tabulka1[[#This Row],[KOD]],"")</f>
        <v>S4P/P</v>
      </c>
      <c r="W926" s="804" t="str">
        <f t="shared" si="30"/>
        <v/>
      </c>
      <c r="X926" s="154" t="str">
        <f t="shared" si="31"/>
        <v/>
      </c>
      <c r="Y926" s="341">
        <f>IF('General price list'!$AB928="",0,'General price list'!$AB928)</f>
        <v>0</v>
      </c>
      <c r="Z926" s="365" t="str">
        <f>IFERROR(X926*VLOOKUP(C926,'General price list'!C:I,7,FALSE),"")</f>
        <v/>
      </c>
      <c r="AA926" s="805" t="str">
        <f>IF(X926&lt;&gt;"",VLOOKUP(C926,'General price list'!C928:AN1901,MATCH("HM",Tabulka1[[#Headers],[KOD]:[NEQ]],0),FALSE),"")</f>
        <v/>
      </c>
    </row>
    <row r="927" spans="1:27">
      <c r="A927">
        <f>COUNTIF($W$22:W927,1)</f>
        <v>0</v>
      </c>
      <c r="B927">
        <v>927</v>
      </c>
      <c r="C927" s="340" t="str">
        <f>IFERROR(Tabulka1[[#This Row],[KOD]],"")</f>
        <v>S4Q/P</v>
      </c>
      <c r="W927" s="804" t="str">
        <f t="shared" si="30"/>
        <v/>
      </c>
      <c r="X927" s="154" t="str">
        <f t="shared" si="31"/>
        <v/>
      </c>
      <c r="Y927" s="341">
        <f>IF('General price list'!$AB929="",0,'General price list'!$AB929)</f>
        <v>0</v>
      </c>
      <c r="Z927" s="365" t="str">
        <f>IFERROR(X927*VLOOKUP(C927,'General price list'!C:I,7,FALSE),"")</f>
        <v/>
      </c>
      <c r="AA927" s="805" t="str">
        <f>IF(X927&lt;&gt;"",VLOOKUP(C927,'General price list'!C929:AN1902,MATCH("HM",Tabulka1[[#Headers],[KOD]:[NEQ]],0),FALSE),"")</f>
        <v/>
      </c>
    </row>
    <row r="928" spans="1:27">
      <c r="A928">
        <f>COUNTIF($W$22:W928,1)</f>
        <v>0</v>
      </c>
      <c r="B928">
        <v>928</v>
      </c>
      <c r="C928" s="340" t="str">
        <f>IFERROR(Tabulka1[[#This Row],[KOD]],"")</f>
        <v>S4S/P</v>
      </c>
      <c r="W928" s="804" t="str">
        <f t="shared" si="30"/>
        <v/>
      </c>
      <c r="X928" s="154" t="str">
        <f t="shared" si="31"/>
        <v/>
      </c>
      <c r="Y928" s="341">
        <f>IF('General price list'!$AB930="",0,'General price list'!$AB930)</f>
        <v>0</v>
      </c>
      <c r="Z928" s="365" t="str">
        <f>IFERROR(X928*VLOOKUP(C928,'General price list'!C:I,7,FALSE),"")</f>
        <v/>
      </c>
      <c r="AA928" s="805" t="str">
        <f>IF(X928&lt;&gt;"",VLOOKUP(C928,'General price list'!C930:AN1903,MATCH("HM",Tabulka1[[#Headers],[KOD]:[NEQ]],0),FALSE),"")</f>
        <v/>
      </c>
    </row>
    <row r="929" spans="1:27">
      <c r="A929">
        <f>COUNTIF($W$22:W929,1)</f>
        <v>0</v>
      </c>
      <c r="B929">
        <v>929</v>
      </c>
      <c r="C929" s="340" t="str">
        <f>IFERROR(Tabulka1[[#This Row],[KOD]],"")</f>
        <v>S4W/P</v>
      </c>
      <c r="W929" s="804" t="str">
        <f t="shared" si="30"/>
        <v/>
      </c>
      <c r="X929" s="154" t="str">
        <f t="shared" si="31"/>
        <v/>
      </c>
      <c r="Y929" s="341">
        <f>IF('General price list'!$AB931="",0,'General price list'!$AB931)</f>
        <v>0</v>
      </c>
      <c r="Z929" s="365" t="str">
        <f>IFERROR(X929*VLOOKUP(C929,'General price list'!C:I,7,FALSE),"")</f>
        <v/>
      </c>
      <c r="AA929" s="805" t="str">
        <f>IF(X929&lt;&gt;"",VLOOKUP(C929,'General price list'!C931:AN1904,MATCH("HM",Tabulka1[[#Headers],[KOD]:[NEQ]],0),FALSE),"")</f>
        <v/>
      </c>
    </row>
    <row r="930" spans="1:27">
      <c r="A930">
        <f>COUNTIF($W$22:W930,1)</f>
        <v>0</v>
      </c>
      <c r="B930">
        <v>930</v>
      </c>
      <c r="C930" s="340" t="str">
        <f>IFERROR(Tabulka1[[#This Row],[KOD]],"")</f>
        <v>S4Z5/P</v>
      </c>
      <c r="W930" s="804" t="str">
        <f t="shared" si="30"/>
        <v/>
      </c>
      <c r="X930" s="154" t="str">
        <f t="shared" si="31"/>
        <v/>
      </c>
      <c r="Y930" s="341">
        <f>IF('General price list'!$AB932="",0,'General price list'!$AB932)</f>
        <v>0</v>
      </c>
      <c r="Z930" s="365" t="str">
        <f>IFERROR(X930*VLOOKUP(C930,'General price list'!C:I,7,FALSE),"")</f>
        <v/>
      </c>
      <c r="AA930" s="805" t="str">
        <f>IF(X930&lt;&gt;"",VLOOKUP(C930,'General price list'!C932:AN1905,MATCH("HM",Tabulka1[[#Headers],[KOD]:[NEQ]],0),FALSE),"")</f>
        <v/>
      </c>
    </row>
    <row r="931" spans="1:27">
      <c r="A931">
        <f>COUNTIF($W$22:W931,1)</f>
        <v>0</v>
      </c>
      <c r="B931">
        <v>931</v>
      </c>
      <c r="C931" s="340" t="str">
        <f>IFERROR(Tabulka1[[#This Row],[KOD]],"")</f>
        <v>S4Z6/P</v>
      </c>
      <c r="W931" s="804" t="str">
        <f t="shared" si="30"/>
        <v/>
      </c>
      <c r="X931" s="154" t="str">
        <f t="shared" si="31"/>
        <v/>
      </c>
      <c r="Y931" s="341">
        <f>IF('General price list'!$AB933="",0,'General price list'!$AB933)</f>
        <v>0</v>
      </c>
      <c r="Z931" s="365" t="str">
        <f>IFERROR(X931*VLOOKUP(C931,'General price list'!C:I,7,FALSE),"")</f>
        <v/>
      </c>
      <c r="AA931" s="805" t="str">
        <f>IF(X931&lt;&gt;"",VLOOKUP(C931,'General price list'!C933:AN1906,MATCH("HM",Tabulka1[[#Headers],[KOD]:[NEQ]],0),FALSE),"")</f>
        <v/>
      </c>
    </row>
    <row r="932" spans="1:27">
      <c r="A932">
        <f>COUNTIF($W$22:W932,1)</f>
        <v>0</v>
      </c>
      <c r="B932">
        <v>932</v>
      </c>
      <c r="C932" s="340" t="str">
        <f>IFERROR(Tabulka1[[#This Row],[KOD]],"")</f>
        <v>S4Z8/P</v>
      </c>
      <c r="W932" s="804" t="str">
        <f t="shared" si="30"/>
        <v/>
      </c>
      <c r="X932" s="154" t="str">
        <f t="shared" si="31"/>
        <v/>
      </c>
      <c r="Y932" s="341">
        <f>IF('General price list'!$AB934="",0,'General price list'!$AB934)</f>
        <v>0</v>
      </c>
      <c r="Z932" s="365" t="str">
        <f>IFERROR(X932*VLOOKUP(C932,'General price list'!C:I,7,FALSE),"")</f>
        <v/>
      </c>
      <c r="AA932" s="805" t="str">
        <f>IF(X932&lt;&gt;"",VLOOKUP(C932,'General price list'!C934:AN1907,MATCH("HM",Tabulka1[[#Headers],[KOD]:[NEQ]],0),FALSE),"")</f>
        <v/>
      </c>
    </row>
    <row r="933" spans="1:27">
      <c r="A933">
        <f>COUNTIF($W$22:W933,1)</f>
        <v>0</v>
      </c>
      <c r="B933">
        <v>933</v>
      </c>
      <c r="C933" s="340" t="str">
        <f>IFERROR(Tabulka1[[#This Row],[KOD]],"")</f>
        <v>S4Z11/P</v>
      </c>
      <c r="W933" s="804" t="str">
        <f t="shared" si="30"/>
        <v/>
      </c>
      <c r="X933" s="154" t="str">
        <f t="shared" si="31"/>
        <v/>
      </c>
      <c r="Y933" s="341">
        <f>IF('General price list'!$AB935="",0,'General price list'!$AB935)</f>
        <v>0</v>
      </c>
      <c r="Z933" s="365" t="str">
        <f>IFERROR(X933*VLOOKUP(C933,'General price list'!C:I,7,FALSE),"")</f>
        <v/>
      </c>
      <c r="AA933" s="805" t="str">
        <f>IF(X933&lt;&gt;"",VLOOKUP(C933,'General price list'!C935:AN1908,MATCH("HM",Tabulka1[[#Headers],[KOD]:[NEQ]],0),FALSE),"")</f>
        <v/>
      </c>
    </row>
    <row r="934" spans="1:27">
      <c r="A934">
        <f>COUNTIF($W$22:W934,1)</f>
        <v>0</v>
      </c>
      <c r="B934">
        <v>934</v>
      </c>
      <c r="C934" s="340" t="str">
        <f>IFERROR(Tabulka1[[#This Row],[KOD]],"")</f>
        <v>S4M/P</v>
      </c>
      <c r="W934" s="804" t="str">
        <f t="shared" si="30"/>
        <v/>
      </c>
      <c r="X934" s="154" t="str">
        <f t="shared" si="31"/>
        <v/>
      </c>
      <c r="Y934" s="341">
        <f>IF('General price list'!$AB936="",0,'General price list'!$AB936)</f>
        <v>0</v>
      </c>
      <c r="Z934" s="365" t="str">
        <f>IFERROR(X934*VLOOKUP(C934,'General price list'!C:I,7,FALSE),"")</f>
        <v/>
      </c>
      <c r="AA934" s="805" t="str">
        <f>IF(X934&lt;&gt;"",VLOOKUP(C934,'General price list'!C936:AN1909,MATCH("HM",Tabulka1[[#Headers],[KOD]:[NEQ]],0),FALSE),"")</f>
        <v/>
      </c>
    </row>
    <row r="935" spans="1:27">
      <c r="A935">
        <f>COUNTIF($W$22:W935,1)</f>
        <v>0</v>
      </c>
      <c r="B935">
        <v>935</v>
      </c>
      <c r="C935" s="340">
        <f>IFERROR(Tabulka1[[#This Row],[KOD]],"")</f>
        <v>0</v>
      </c>
      <c r="W935" s="804" t="str">
        <f t="shared" si="30"/>
        <v/>
      </c>
      <c r="X935" s="154" t="str">
        <f t="shared" si="31"/>
        <v/>
      </c>
      <c r="Y935" s="341">
        <f>IF('General price list'!$AB937="",0,'General price list'!$AB937)</f>
        <v>0</v>
      </c>
      <c r="Z935" s="365" t="str">
        <f>IFERROR(X935*VLOOKUP(C935,'General price list'!C:I,7,FALSE),"")</f>
        <v/>
      </c>
      <c r="AA935" s="805" t="str">
        <f>IF(X935&lt;&gt;"",VLOOKUP(C935,'General price list'!C937:AN1910,MATCH("HM",Tabulka1[[#Headers],[KOD]:[NEQ]],0),FALSE),"")</f>
        <v/>
      </c>
    </row>
    <row r="936" spans="1:27">
      <c r="A936">
        <f>COUNTIF($W$22:W936,1)</f>
        <v>0</v>
      </c>
      <c r="B936">
        <v>936</v>
      </c>
      <c r="C936" s="340" t="str">
        <f>IFERROR(Tabulka1[[#This Row],[KOD]],"")</f>
        <v>S5E/P</v>
      </c>
      <c r="W936" s="804" t="str">
        <f t="shared" si="30"/>
        <v/>
      </c>
      <c r="X936" s="154" t="str">
        <f t="shared" si="31"/>
        <v/>
      </c>
      <c r="Y936" s="341">
        <f>IF('General price list'!$AB938="",0,'General price list'!$AB938)</f>
        <v>0</v>
      </c>
      <c r="Z936" s="365" t="str">
        <f>IFERROR(X936*VLOOKUP(C936,'General price list'!C:I,7,FALSE),"")</f>
        <v/>
      </c>
      <c r="AA936" s="805" t="str">
        <f>IF(X936&lt;&gt;"",VLOOKUP(C936,'General price list'!C938:AN1911,MATCH("HM",Tabulka1[[#Headers],[KOD]:[NEQ]],0),FALSE),"")</f>
        <v/>
      </c>
    </row>
    <row r="937" spans="1:27">
      <c r="A937">
        <f>COUNTIF($W$22:W937,1)</f>
        <v>0</v>
      </c>
      <c r="B937">
        <v>937</v>
      </c>
      <c r="C937" s="340" t="str">
        <f>IFERROR(Tabulka1[[#This Row],[KOD]],"")</f>
        <v>S5F/P</v>
      </c>
      <c r="W937" s="804" t="str">
        <f t="shared" si="30"/>
        <v/>
      </c>
      <c r="X937" s="154" t="str">
        <f t="shared" si="31"/>
        <v/>
      </c>
      <c r="Y937" s="341">
        <f>IF('General price list'!$AB939="",0,'General price list'!$AB939)</f>
        <v>0</v>
      </c>
      <c r="Z937" s="365" t="str">
        <f>IFERROR(X937*VLOOKUP(C937,'General price list'!C:I,7,FALSE),"")</f>
        <v/>
      </c>
      <c r="AA937" s="805" t="str">
        <f>IF(X937&lt;&gt;"",VLOOKUP(C937,'General price list'!C939:AN1912,MATCH("HM",Tabulka1[[#Headers],[KOD]:[NEQ]],0),FALSE),"")</f>
        <v/>
      </c>
    </row>
    <row r="938" spans="1:27">
      <c r="A938">
        <f>COUNTIF($W$22:W938,1)</f>
        <v>0</v>
      </c>
      <c r="B938">
        <v>938</v>
      </c>
      <c r="C938" s="340" t="str">
        <f>IFERROR(Tabulka1[[#This Row],[KOD]],"")</f>
        <v>S5K/P</v>
      </c>
      <c r="W938" s="804" t="str">
        <f t="shared" si="30"/>
        <v/>
      </c>
      <c r="X938" s="154" t="str">
        <f t="shared" si="31"/>
        <v/>
      </c>
      <c r="Y938" s="341">
        <f>IF('General price list'!$AB940="",0,'General price list'!$AB940)</f>
        <v>0</v>
      </c>
      <c r="Z938" s="365" t="str">
        <f>IFERROR(X938*VLOOKUP(C938,'General price list'!C:I,7,FALSE),"")</f>
        <v/>
      </c>
      <c r="AA938" s="805" t="str">
        <f>IF(X938&lt;&gt;"",VLOOKUP(C938,'General price list'!C940:AN1913,MATCH("HM",Tabulka1[[#Headers],[KOD]:[NEQ]],0),FALSE),"")</f>
        <v/>
      </c>
    </row>
    <row r="939" spans="1:27">
      <c r="A939">
        <f>COUNTIF($W$22:W939,1)</f>
        <v>0</v>
      </c>
      <c r="B939">
        <v>939</v>
      </c>
      <c r="C939" s="340" t="str">
        <f>IFERROR(Tabulka1[[#This Row],[KOD]],"")</f>
        <v>S5M/P</v>
      </c>
      <c r="W939" s="804" t="str">
        <f t="shared" si="30"/>
        <v/>
      </c>
      <c r="X939" s="154" t="str">
        <f t="shared" si="31"/>
        <v/>
      </c>
      <c r="Y939" s="341">
        <f>IF('General price list'!$AB941="",0,'General price list'!$AB941)</f>
        <v>0</v>
      </c>
      <c r="Z939" s="365" t="str">
        <f>IFERROR(X939*VLOOKUP(C939,'General price list'!C:I,7,FALSE),"")</f>
        <v/>
      </c>
      <c r="AA939" s="805" t="str">
        <f>IF(X939&lt;&gt;"",VLOOKUP(C939,'General price list'!C941:AN1914,MATCH("HM",Tabulka1[[#Headers],[KOD]:[NEQ]],0),FALSE),"")</f>
        <v/>
      </c>
    </row>
    <row r="940" spans="1:27">
      <c r="A940">
        <f>COUNTIF($W$22:W940,1)</f>
        <v>0</v>
      </c>
      <c r="B940">
        <v>940</v>
      </c>
      <c r="C940" s="340">
        <f>IFERROR(Tabulka1[[#This Row],[KOD]],"")</f>
        <v>0</v>
      </c>
      <c r="W940" s="804" t="str">
        <f t="shared" si="30"/>
        <v/>
      </c>
      <c r="X940" s="154" t="str">
        <f t="shared" si="31"/>
        <v/>
      </c>
      <c r="Y940" s="341">
        <f>IF('General price list'!$AB942="",0,'General price list'!$AB942)</f>
        <v>0</v>
      </c>
      <c r="Z940" s="365" t="str">
        <f>IFERROR(X940*VLOOKUP(C940,'General price list'!C:I,7,FALSE),"")</f>
        <v/>
      </c>
      <c r="AA940" s="805" t="str">
        <f>IF(X940&lt;&gt;"",VLOOKUP(C940,'General price list'!C942:AN1915,MATCH("HM",Tabulka1[[#Headers],[KOD]:[NEQ]],0),FALSE),"")</f>
        <v/>
      </c>
    </row>
    <row r="941" spans="1:27">
      <c r="A941">
        <f>COUNTIF($W$22:W941,1)</f>
        <v>0</v>
      </c>
      <c r="B941">
        <v>941</v>
      </c>
      <c r="C941" s="340" t="str">
        <f>IFERROR(Tabulka1[[#This Row],[KOD]],"")</f>
        <v>S6M</v>
      </c>
      <c r="W941" s="804" t="str">
        <f t="shared" si="30"/>
        <v/>
      </c>
      <c r="X941" s="154" t="str">
        <f t="shared" si="31"/>
        <v/>
      </c>
      <c r="Y941" s="341">
        <f>IF('General price list'!$AB943="",0,'General price list'!$AB943)</f>
        <v>0</v>
      </c>
      <c r="Z941" s="365" t="str">
        <f>IFERROR(X941*VLOOKUP(C941,'General price list'!C:I,7,FALSE),"")</f>
        <v/>
      </c>
      <c r="AA941" s="805" t="str">
        <f>IF(X941&lt;&gt;"",VLOOKUP(C941,'General price list'!C943:AN1916,MATCH("HM",Tabulka1[[#Headers],[KOD]:[NEQ]],0),FALSE),"")</f>
        <v/>
      </c>
    </row>
    <row r="942" spans="1:27">
      <c r="A942">
        <f>COUNTIF($W$22:W942,1)</f>
        <v>0</v>
      </c>
      <c r="B942">
        <v>942</v>
      </c>
      <c r="C942" s="340">
        <f>IFERROR(Tabulka1[[#This Row],[KOD]],"")</f>
        <v>0</v>
      </c>
      <c r="W942" s="804" t="str">
        <f t="shared" si="30"/>
        <v/>
      </c>
      <c r="X942" s="154" t="str">
        <f t="shared" si="31"/>
        <v/>
      </c>
      <c r="Y942" s="341">
        <f>IF('General price list'!$AB944="",0,'General price list'!$AB944)</f>
        <v>0</v>
      </c>
      <c r="Z942" s="365" t="str">
        <f>IFERROR(X942*VLOOKUP(C942,'General price list'!C:I,7,FALSE),"")</f>
        <v/>
      </c>
      <c r="AA942" s="805" t="str">
        <f>IF(X942&lt;&gt;"",VLOOKUP(C942,'General price list'!C944:AN1917,MATCH("HM",Tabulka1[[#Headers],[KOD]:[NEQ]],0),FALSE),"")</f>
        <v/>
      </c>
    </row>
    <row r="943" spans="1:27">
      <c r="A943">
        <f>COUNTIF($W$22:W943,1)</f>
        <v>0</v>
      </c>
      <c r="B943">
        <v>943</v>
      </c>
      <c r="C943" s="340" t="str">
        <f>IFERROR(Tabulka1[[#This Row],[KOD]],"")</f>
        <v>S6F/P(9)</v>
      </c>
      <c r="W943" s="804" t="str">
        <f t="shared" si="30"/>
        <v/>
      </c>
      <c r="X943" s="154" t="str">
        <f t="shared" si="31"/>
        <v/>
      </c>
      <c r="Y943" s="341">
        <f>IF('General price list'!$AB945="",0,'General price list'!$AB945)</f>
        <v>0</v>
      </c>
      <c r="Z943" s="365" t="str">
        <f>IFERROR(X943*VLOOKUP(C943,'General price list'!C:I,7,FALSE),"")</f>
        <v/>
      </c>
      <c r="AA943" s="805" t="str">
        <f>IF(X943&lt;&gt;"",VLOOKUP(C943,'General price list'!C945:AN1918,MATCH("HM",Tabulka1[[#Headers],[KOD]:[NEQ]],0),FALSE),"")</f>
        <v/>
      </c>
    </row>
    <row r="944" spans="1:27">
      <c r="A944">
        <f>COUNTIF($W$22:W944,1)</f>
        <v>0</v>
      </c>
      <c r="B944">
        <v>944</v>
      </c>
      <c r="C944" s="340" t="str">
        <f>IFERROR(Tabulka1[[#This Row],[KOD]],"")</f>
        <v>S6I/P(9)</v>
      </c>
      <c r="W944" s="804" t="str">
        <f t="shared" si="30"/>
        <v/>
      </c>
      <c r="X944" s="154" t="str">
        <f t="shared" si="31"/>
        <v/>
      </c>
      <c r="Y944" s="341">
        <f>IF('General price list'!$AB946="",0,'General price list'!$AB946)</f>
        <v>0</v>
      </c>
      <c r="Z944" s="365" t="str">
        <f>IFERROR(X944*VLOOKUP(C944,'General price list'!C:I,7,FALSE),"")</f>
        <v/>
      </c>
      <c r="AA944" s="805" t="str">
        <f>IF(X944&lt;&gt;"",VLOOKUP(C944,'General price list'!C946:AN1919,MATCH("HM",Tabulka1[[#Headers],[KOD]:[NEQ]],0),FALSE),"")</f>
        <v/>
      </c>
    </row>
    <row r="945" spans="1:27">
      <c r="A945">
        <f>COUNTIF($W$22:W945,1)</f>
        <v>0</v>
      </c>
      <c r="B945">
        <v>945</v>
      </c>
      <c r="C945" s="340" t="str">
        <f>IFERROR(Tabulka1[[#This Row],[KOD]],"")</f>
        <v>S6R/P(9)</v>
      </c>
      <c r="W945" s="804" t="str">
        <f t="shared" si="30"/>
        <v/>
      </c>
      <c r="X945" s="154" t="str">
        <f t="shared" si="31"/>
        <v/>
      </c>
      <c r="Y945" s="341">
        <f>IF('General price list'!$AB947="",0,'General price list'!$AB947)</f>
        <v>0</v>
      </c>
      <c r="Z945" s="365" t="str">
        <f>IFERROR(X945*VLOOKUP(C945,'General price list'!C:I,7,FALSE),"")</f>
        <v/>
      </c>
      <c r="AA945" s="805" t="str">
        <f>IF(X945&lt;&gt;"",VLOOKUP(C945,'General price list'!C947:AN1920,MATCH("HM",Tabulka1[[#Headers],[KOD]:[NEQ]],0),FALSE),"")</f>
        <v/>
      </c>
    </row>
    <row r="946" spans="1:27">
      <c r="A946">
        <f>COUNTIF($W$22:W946,1)</f>
        <v>0</v>
      </c>
      <c r="B946">
        <v>946</v>
      </c>
      <c r="C946" s="340" t="str">
        <f>IFERROR(Tabulka1[[#This Row],[KOD]],"")</f>
        <v>S6Z3/P(9)</v>
      </c>
      <c r="W946" s="804" t="str">
        <f t="shared" si="30"/>
        <v/>
      </c>
      <c r="X946" s="154" t="str">
        <f t="shared" si="31"/>
        <v/>
      </c>
      <c r="Y946" s="341">
        <f>IF('General price list'!$AB948="",0,'General price list'!$AB948)</f>
        <v>0</v>
      </c>
      <c r="Z946" s="365" t="str">
        <f>IFERROR(X946*VLOOKUP(C946,'General price list'!C:I,7,FALSE),"")</f>
        <v/>
      </c>
      <c r="AA946" s="805" t="str">
        <f>IF(X946&lt;&gt;"",VLOOKUP(C946,'General price list'!C948:AN1921,MATCH("HM",Tabulka1[[#Headers],[KOD]:[NEQ]],0),FALSE),"")</f>
        <v/>
      </c>
    </row>
    <row r="947" spans="1:27">
      <c r="A947">
        <f>COUNTIF($W$22:W947,1)</f>
        <v>0</v>
      </c>
      <c r="B947">
        <v>947</v>
      </c>
      <c r="C947" s="340">
        <f>IFERROR(Tabulka1[[#This Row],[KOD]],"")</f>
        <v>0</v>
      </c>
      <c r="W947" s="804" t="str">
        <f t="shared" si="30"/>
        <v/>
      </c>
      <c r="X947" s="154" t="str">
        <f t="shared" si="31"/>
        <v/>
      </c>
      <c r="Y947" s="341">
        <f>IF('General price list'!$AB949="",0,'General price list'!$AB949)</f>
        <v>0</v>
      </c>
      <c r="Z947" s="365" t="str">
        <f>IFERROR(X947*VLOOKUP(C947,'General price list'!C:I,7,FALSE),"")</f>
        <v/>
      </c>
      <c r="AA947" s="805" t="str">
        <f>IF(X947&lt;&gt;"",VLOOKUP(C947,'General price list'!C949:AN1922,MATCH("HM",Tabulka1[[#Headers],[KOD]:[NEQ]],0),FALSE),"")</f>
        <v/>
      </c>
    </row>
    <row r="948" spans="1:27">
      <c r="A948">
        <f>COUNTIF($W$22:W948,1)</f>
        <v>0</v>
      </c>
      <c r="B948">
        <v>948</v>
      </c>
      <c r="C948" s="340" t="str">
        <f>IFERROR(Tabulka1[[#This Row],[KOD]],"")</f>
        <v>RKD-S03-01</v>
      </c>
      <c r="W948" s="804" t="str">
        <f t="shared" si="30"/>
        <v/>
      </c>
      <c r="X948" s="154" t="str">
        <f t="shared" si="31"/>
        <v/>
      </c>
      <c r="Y948" s="341">
        <f>IF('General price list'!$AB950="",0,'General price list'!$AB950)</f>
        <v>0</v>
      </c>
      <c r="Z948" s="365" t="str">
        <f>IFERROR(X948*VLOOKUP(C948,'General price list'!C:I,7,FALSE),"")</f>
        <v/>
      </c>
      <c r="AA948" s="805" t="str">
        <f>IF(X948&lt;&gt;"",VLOOKUP(C948,'General price list'!C950:AN1923,MATCH("HM",Tabulka1[[#Headers],[KOD]:[NEQ]],0),FALSE),"")</f>
        <v/>
      </c>
    </row>
    <row r="949" spans="1:27">
      <c r="A949">
        <f>COUNTIF($W$22:W949,1)</f>
        <v>0</v>
      </c>
      <c r="B949">
        <v>949</v>
      </c>
      <c r="C949" s="340" t="str">
        <f>IFERROR(Tabulka1[[#This Row],[KOD]],"")</f>
        <v>RKD-S03-02</v>
      </c>
      <c r="W949" s="804" t="str">
        <f t="shared" si="30"/>
        <v/>
      </c>
      <c r="X949" s="154" t="str">
        <f t="shared" si="31"/>
        <v/>
      </c>
      <c r="Y949" s="341">
        <f>IF('General price list'!$AB951="",0,'General price list'!$AB951)</f>
        <v>0</v>
      </c>
      <c r="Z949" s="365" t="str">
        <f>IFERROR(X949*VLOOKUP(C949,'General price list'!C:I,7,FALSE),"")</f>
        <v/>
      </c>
      <c r="AA949" s="805" t="str">
        <f>IF(X949&lt;&gt;"",VLOOKUP(C949,'General price list'!C951:AN1924,MATCH("HM",Tabulka1[[#Headers],[KOD]:[NEQ]],0),FALSE),"")</f>
        <v/>
      </c>
    </row>
    <row r="950" spans="1:27">
      <c r="A950">
        <f>COUNTIF($W$22:W950,1)</f>
        <v>0</v>
      </c>
      <c r="B950">
        <v>950</v>
      </c>
      <c r="C950" s="340" t="str">
        <f>IFERROR(Tabulka1[[#This Row],[KOD]],"")</f>
        <v>RKD-S03-03</v>
      </c>
      <c r="W950" s="804" t="str">
        <f t="shared" si="30"/>
        <v/>
      </c>
      <c r="X950" s="154" t="str">
        <f t="shared" si="31"/>
        <v/>
      </c>
      <c r="Y950" s="341">
        <f>IF('General price list'!$AB952="",0,'General price list'!$AB952)</f>
        <v>0</v>
      </c>
      <c r="Z950" s="365" t="str">
        <f>IFERROR(X950*VLOOKUP(C950,'General price list'!C:I,7,FALSE),"")</f>
        <v/>
      </c>
      <c r="AA950" s="805" t="str">
        <f>IF(X950&lt;&gt;"",VLOOKUP(C950,'General price list'!C952:AN1925,MATCH("HM",Tabulka1[[#Headers],[KOD]:[NEQ]],0),FALSE),"")</f>
        <v/>
      </c>
    </row>
    <row r="951" spans="1:27">
      <c r="A951">
        <f>COUNTIF($W$22:W951,1)</f>
        <v>0</v>
      </c>
      <c r="B951">
        <v>951</v>
      </c>
      <c r="C951" s="340" t="str">
        <f>IFERROR(Tabulka1[[#This Row],[KOD]],"")</f>
        <v>RKD-S04-01</v>
      </c>
      <c r="W951" s="804" t="str">
        <f t="shared" si="30"/>
        <v/>
      </c>
      <c r="X951" s="154" t="str">
        <f t="shared" si="31"/>
        <v/>
      </c>
      <c r="Y951" s="341">
        <f>IF('General price list'!$AB953="",0,'General price list'!$AB953)</f>
        <v>0</v>
      </c>
      <c r="Z951" s="365" t="str">
        <f>IFERROR(X951*VLOOKUP(C951,'General price list'!C:I,7,FALSE),"")</f>
        <v/>
      </c>
      <c r="AA951" s="805" t="str">
        <f>IF(X951&lt;&gt;"",VLOOKUP(C951,'General price list'!C953:AN1926,MATCH("HM",Tabulka1[[#Headers],[KOD]:[NEQ]],0),FALSE),"")</f>
        <v/>
      </c>
    </row>
    <row r="952" spans="1:27">
      <c r="A952">
        <f>COUNTIF($W$22:W952,1)</f>
        <v>0</v>
      </c>
      <c r="B952">
        <v>952</v>
      </c>
      <c r="C952" s="340" t="str">
        <f>IFERROR(Tabulka1[[#This Row],[KOD]],"")</f>
        <v>RKD-S04-04</v>
      </c>
      <c r="W952" s="804" t="str">
        <f t="shared" si="30"/>
        <v/>
      </c>
      <c r="X952" s="154" t="str">
        <f t="shared" si="31"/>
        <v/>
      </c>
      <c r="Y952" s="341">
        <f>IF('General price list'!$AB954="",0,'General price list'!$AB954)</f>
        <v>0</v>
      </c>
      <c r="Z952" s="365" t="str">
        <f>IFERROR(X952*VLOOKUP(C952,'General price list'!C:I,7,FALSE),"")</f>
        <v/>
      </c>
      <c r="AA952" s="805" t="str">
        <f>IF(X952&lt;&gt;"",VLOOKUP(C952,'General price list'!C954:AN1927,MATCH("HM",Tabulka1[[#Headers],[KOD]:[NEQ]],0),FALSE),"")</f>
        <v/>
      </c>
    </row>
    <row r="953" spans="1:27">
      <c r="A953">
        <f>COUNTIF($W$22:W953,1)</f>
        <v>0</v>
      </c>
      <c r="B953">
        <v>953</v>
      </c>
      <c r="C953" s="340" t="str">
        <f>IFERROR(Tabulka1[[#This Row],[KOD]],"")</f>
        <v>RKD-S05-01</v>
      </c>
      <c r="W953" s="804" t="str">
        <f t="shared" si="30"/>
        <v/>
      </c>
      <c r="X953" s="154" t="str">
        <f t="shared" si="31"/>
        <v/>
      </c>
      <c r="Y953" s="341">
        <f>IF('General price list'!$AB955="",0,'General price list'!$AB955)</f>
        <v>0</v>
      </c>
      <c r="Z953" s="365" t="str">
        <f>IFERROR(X953*VLOOKUP(C953,'General price list'!C:I,7,FALSE),"")</f>
        <v/>
      </c>
      <c r="AA953" s="805" t="str">
        <f>IF(X953&lt;&gt;"",VLOOKUP(C953,'General price list'!C955:AN1928,MATCH("HM",Tabulka1[[#Headers],[KOD]:[NEQ]],0),FALSE),"")</f>
        <v/>
      </c>
    </row>
    <row r="954" spans="1:27">
      <c r="A954">
        <f>COUNTIF($W$22:W954,1)</f>
        <v>0</v>
      </c>
      <c r="B954">
        <v>954</v>
      </c>
      <c r="C954" s="340" t="str">
        <f>IFERROR(Tabulka1[[#This Row],[KOD]],"")</f>
        <v>RKD-S05-02</v>
      </c>
      <c r="W954" s="804" t="str">
        <f t="shared" si="30"/>
        <v/>
      </c>
      <c r="X954" s="154" t="str">
        <f t="shared" si="31"/>
        <v/>
      </c>
      <c r="Y954" s="341">
        <f>IF('General price list'!$AB956="",0,'General price list'!$AB956)</f>
        <v>0</v>
      </c>
      <c r="Z954" s="365" t="str">
        <f>IFERROR(X954*VLOOKUP(C954,'General price list'!C:I,7,FALSE),"")</f>
        <v/>
      </c>
      <c r="AA954" s="805" t="str">
        <f>IF(X954&lt;&gt;"",VLOOKUP(C954,'General price list'!C956:AN1929,MATCH("HM",Tabulka1[[#Headers],[KOD]:[NEQ]],0),FALSE),"")</f>
        <v/>
      </c>
    </row>
    <row r="955" spans="1:27">
      <c r="A955">
        <f>COUNTIF($W$22:W955,1)</f>
        <v>0</v>
      </c>
      <c r="B955">
        <v>955</v>
      </c>
      <c r="C955" s="340" t="str">
        <f>IFERROR(Tabulka1[[#This Row],[KOD]],"")</f>
        <v>RKD-S05-03</v>
      </c>
      <c r="W955" s="804" t="str">
        <f t="shared" si="30"/>
        <v/>
      </c>
      <c r="X955" s="154" t="str">
        <f t="shared" si="31"/>
        <v/>
      </c>
      <c r="Y955" s="341">
        <f>IF('General price list'!$AB957="",0,'General price list'!$AB957)</f>
        <v>0</v>
      </c>
      <c r="Z955" s="365" t="str">
        <f>IFERROR(X955*VLOOKUP(C955,'General price list'!C:I,7,FALSE),"")</f>
        <v/>
      </c>
      <c r="AA955" s="805" t="str">
        <f>IF(X955&lt;&gt;"",VLOOKUP(C955,'General price list'!C957:AN1930,MATCH("HM",Tabulka1[[#Headers],[KOD]:[NEQ]],0),FALSE),"")</f>
        <v/>
      </c>
    </row>
    <row r="956" spans="1:27">
      <c r="A956">
        <f>COUNTIF($W$22:W956,1)</f>
        <v>0</v>
      </c>
      <c r="B956">
        <v>956</v>
      </c>
      <c r="C956" s="340" t="str">
        <f>IFERROR(Tabulka1[[#This Row],[KOD]],"")</f>
        <v>RKD-S05-04</v>
      </c>
      <c r="W956" s="804" t="str">
        <f t="shared" si="30"/>
        <v/>
      </c>
      <c r="X956" s="154" t="str">
        <f t="shared" si="31"/>
        <v/>
      </c>
      <c r="Y956" s="341">
        <f>IF('General price list'!$AB958="",0,'General price list'!$AB958)</f>
        <v>0</v>
      </c>
      <c r="Z956" s="365" t="str">
        <f>IFERROR(X956*VLOOKUP(C956,'General price list'!C:I,7,FALSE),"")</f>
        <v/>
      </c>
      <c r="AA956" s="805" t="str">
        <f>IF(X956&lt;&gt;"",VLOOKUP(C956,'General price list'!C958:AN1931,MATCH("HM",Tabulka1[[#Headers],[KOD]:[NEQ]],0),FALSE),"")</f>
        <v/>
      </c>
    </row>
    <row r="957" spans="1:27">
      <c r="A957">
        <f>COUNTIF($W$22:W957,1)</f>
        <v>0</v>
      </c>
      <c r="B957">
        <v>957</v>
      </c>
      <c r="C957" s="340" t="str">
        <f>IFERROR(Tabulka1[[#This Row],[KOD]],"")</f>
        <v>RKD-S05-05</v>
      </c>
      <c r="W957" s="804" t="str">
        <f t="shared" si="30"/>
        <v/>
      </c>
      <c r="X957" s="154" t="str">
        <f t="shared" si="31"/>
        <v/>
      </c>
      <c r="Y957" s="341">
        <f>IF('General price list'!$AB959="",0,'General price list'!$AB959)</f>
        <v>0</v>
      </c>
      <c r="Z957" s="365" t="str">
        <f>IFERROR(X957*VLOOKUP(C957,'General price list'!C:I,7,FALSE),"")</f>
        <v/>
      </c>
      <c r="AA957" s="805" t="str">
        <f>IF(X957&lt;&gt;"",VLOOKUP(C957,'General price list'!C959:AN1932,MATCH("HM",Tabulka1[[#Headers],[KOD]:[NEQ]],0),FALSE),"")</f>
        <v/>
      </c>
    </row>
    <row r="958" spans="1:27">
      <c r="A958">
        <f>COUNTIF($W$22:W958,1)</f>
        <v>0</v>
      </c>
      <c r="B958">
        <v>958</v>
      </c>
      <c r="C958" s="340" t="str">
        <f>IFERROR(Tabulka1[[#This Row],[KOD]],"")</f>
        <v>RKD-S05-09</v>
      </c>
      <c r="W958" s="804" t="str">
        <f t="shared" si="30"/>
        <v/>
      </c>
      <c r="X958" s="154" t="str">
        <f t="shared" si="31"/>
        <v/>
      </c>
      <c r="Y958" s="341">
        <f>IF('General price list'!$AB960="",0,'General price list'!$AB960)</f>
        <v>0</v>
      </c>
      <c r="Z958" s="365" t="str">
        <f>IFERROR(X958*VLOOKUP(C958,'General price list'!C:I,7,FALSE),"")</f>
        <v/>
      </c>
      <c r="AA958" s="805" t="str">
        <f>IF(X958&lt;&gt;"",VLOOKUP(C958,'General price list'!C960:AN1933,MATCH("HM",Tabulka1[[#Headers],[KOD]:[NEQ]],0),FALSE),"")</f>
        <v/>
      </c>
    </row>
    <row r="959" spans="1:27">
      <c r="A959">
        <f>COUNTIF($W$22:W959,1)</f>
        <v>0</v>
      </c>
      <c r="B959">
        <v>959</v>
      </c>
      <c r="C959" s="340" t="str">
        <f>IFERROR(Tabulka1[[#This Row],[KOD]],"")</f>
        <v>RKD-S05-11</v>
      </c>
      <c r="W959" s="804" t="str">
        <f t="shared" si="30"/>
        <v/>
      </c>
      <c r="X959" s="154" t="str">
        <f t="shared" si="31"/>
        <v/>
      </c>
      <c r="Y959" s="341">
        <f>IF('General price list'!$AB961="",0,'General price list'!$AB961)</f>
        <v>0</v>
      </c>
      <c r="Z959" s="365" t="str">
        <f>IFERROR(X959*VLOOKUP(C959,'General price list'!C:I,7,FALSE),"")</f>
        <v/>
      </c>
      <c r="AA959" s="805" t="str">
        <f>IF(X959&lt;&gt;"",VLOOKUP(C959,'General price list'!C961:AN1934,MATCH("HM",Tabulka1[[#Headers],[KOD]:[NEQ]],0),FALSE),"")</f>
        <v/>
      </c>
    </row>
    <row r="960" spans="1:27">
      <c r="A960">
        <f>COUNTIF($W$22:W960,1)</f>
        <v>0</v>
      </c>
      <c r="B960">
        <v>960</v>
      </c>
      <c r="C960" s="340" t="str">
        <f>IFERROR(Tabulka1[[#This Row],[KOD]],"")</f>
        <v>RKD-S05-12</v>
      </c>
      <c r="W960" s="804" t="str">
        <f t="shared" si="30"/>
        <v/>
      </c>
      <c r="X960" s="154" t="str">
        <f t="shared" si="31"/>
        <v/>
      </c>
      <c r="Y960" s="341">
        <f>IF('General price list'!$AB962="",0,'General price list'!$AB962)</f>
        <v>0</v>
      </c>
      <c r="Z960" s="365" t="str">
        <f>IFERROR(X960*VLOOKUP(C960,'General price list'!C:I,7,FALSE),"")</f>
        <v/>
      </c>
      <c r="AA960" s="805" t="str">
        <f>IF(X960&lt;&gt;"",VLOOKUP(C960,'General price list'!C962:AN1935,MATCH("HM",Tabulka1[[#Headers],[KOD]:[NEQ]],0),FALSE),"")</f>
        <v/>
      </c>
    </row>
    <row r="961" spans="1:27">
      <c r="A961">
        <f>COUNTIF($W$22:W961,1)</f>
        <v>0</v>
      </c>
      <c r="B961">
        <v>961</v>
      </c>
      <c r="C961" s="340" t="str">
        <f>IFERROR(Tabulka1[[#This Row],[KOD]],"")</f>
        <v>RKD-S06-01</v>
      </c>
      <c r="W961" s="804" t="str">
        <f t="shared" si="30"/>
        <v/>
      </c>
      <c r="X961" s="154" t="str">
        <f t="shared" si="31"/>
        <v/>
      </c>
      <c r="Y961" s="341">
        <f>IF('General price list'!$AB963="",0,'General price list'!$AB963)</f>
        <v>0</v>
      </c>
      <c r="Z961" s="365" t="str">
        <f>IFERROR(X961*VLOOKUP(C961,'General price list'!C:I,7,FALSE),"")</f>
        <v/>
      </c>
      <c r="AA961" s="805" t="str">
        <f>IF(X961&lt;&gt;"",VLOOKUP(C961,'General price list'!C963:AN1936,MATCH("HM",Tabulka1[[#Headers],[KOD]:[NEQ]],0),FALSE),"")</f>
        <v/>
      </c>
    </row>
    <row r="962" spans="1:27">
      <c r="A962">
        <f>COUNTIF($W$22:W962,1)</f>
        <v>0</v>
      </c>
      <c r="B962">
        <v>962</v>
      </c>
      <c r="C962" s="340" t="str">
        <f>IFERROR(Tabulka1[[#This Row],[KOD]],"")</f>
        <v>RKD-S06-02</v>
      </c>
      <c r="W962" s="804" t="str">
        <f t="shared" si="30"/>
        <v/>
      </c>
      <c r="X962" s="154" t="str">
        <f t="shared" si="31"/>
        <v/>
      </c>
      <c r="Y962" s="341">
        <f>IF('General price list'!$AB964="",0,'General price list'!$AB964)</f>
        <v>0</v>
      </c>
      <c r="Z962" s="365" t="str">
        <f>IFERROR(X962*VLOOKUP(C962,'General price list'!C:I,7,FALSE),"")</f>
        <v/>
      </c>
      <c r="AA962" s="805" t="str">
        <f>IF(X962&lt;&gt;"",VLOOKUP(C962,'General price list'!C964:AN1937,MATCH("HM",Tabulka1[[#Headers],[KOD]:[NEQ]],0),FALSE),"")</f>
        <v/>
      </c>
    </row>
    <row r="963" spans="1:27">
      <c r="A963">
        <f>COUNTIF($W$22:W963,1)</f>
        <v>0</v>
      </c>
      <c r="B963">
        <v>963</v>
      </c>
      <c r="C963" s="340" t="str">
        <f>IFERROR(Tabulka1[[#This Row],[KOD]],"")</f>
        <v>RKD-S06-03</v>
      </c>
      <c r="W963" s="804" t="str">
        <f t="shared" si="30"/>
        <v/>
      </c>
      <c r="X963" s="154" t="str">
        <f t="shared" si="31"/>
        <v/>
      </c>
      <c r="Y963" s="341">
        <f>IF('General price list'!$AB965="",0,'General price list'!$AB965)</f>
        <v>0</v>
      </c>
      <c r="Z963" s="365" t="str">
        <f>IFERROR(X963*VLOOKUP(C963,'General price list'!C:I,7,FALSE),"")</f>
        <v/>
      </c>
      <c r="AA963" s="805" t="str">
        <f>IF(X963&lt;&gt;"",VLOOKUP(C963,'General price list'!C965:AN1938,MATCH("HM",Tabulka1[[#Headers],[KOD]:[NEQ]],0),FALSE),"")</f>
        <v/>
      </c>
    </row>
    <row r="964" spans="1:27">
      <c r="A964">
        <f>COUNTIF($W$22:W964,1)</f>
        <v>0</v>
      </c>
      <c r="B964">
        <v>964</v>
      </c>
      <c r="C964" s="340" t="str">
        <f>IFERROR(Tabulka1[[#This Row],[KOD]],"")</f>
        <v>RKD-S06-04</v>
      </c>
      <c r="W964" s="804" t="str">
        <f t="shared" si="30"/>
        <v/>
      </c>
      <c r="X964" s="154" t="str">
        <f t="shared" si="31"/>
        <v/>
      </c>
      <c r="Y964" s="341">
        <f>IF('General price list'!$AB966="",0,'General price list'!$AB966)</f>
        <v>0</v>
      </c>
      <c r="Z964" s="365" t="str">
        <f>IFERROR(X964*VLOOKUP(C964,'General price list'!C:I,7,FALSE),"")</f>
        <v/>
      </c>
      <c r="AA964" s="805" t="str">
        <f>IF(X964&lt;&gt;"",VLOOKUP(C964,'General price list'!C966:AN1939,MATCH("HM",Tabulka1[[#Headers],[KOD]:[NEQ]],0),FALSE),"")</f>
        <v/>
      </c>
    </row>
    <row r="965" spans="1:27">
      <c r="A965">
        <f>COUNTIF($W$22:W965,1)</f>
        <v>0</v>
      </c>
      <c r="B965">
        <v>965</v>
      </c>
      <c r="C965" s="340" t="str">
        <f>IFERROR(Tabulka1[[#This Row],[KOD]],"")</f>
        <v>RKD-S06-05</v>
      </c>
      <c r="W965" s="804" t="str">
        <f t="shared" si="30"/>
        <v/>
      </c>
      <c r="X965" s="154" t="str">
        <f t="shared" si="31"/>
        <v/>
      </c>
      <c r="Y965" s="341">
        <f>IF('General price list'!$AB967="",0,'General price list'!$AB967)</f>
        <v>0</v>
      </c>
      <c r="Z965" s="365" t="str">
        <f>IFERROR(X965*VLOOKUP(C965,'General price list'!C:I,7,FALSE),"")</f>
        <v/>
      </c>
      <c r="AA965" s="805" t="str">
        <f>IF(X965&lt;&gt;"",VLOOKUP(C965,'General price list'!C967:AN1940,MATCH("HM",Tabulka1[[#Headers],[KOD]:[NEQ]],0),FALSE),"")</f>
        <v/>
      </c>
    </row>
    <row r="966" spans="1:27">
      <c r="A966">
        <f>COUNTIF($W$22:W966,1)</f>
        <v>0</v>
      </c>
      <c r="B966">
        <v>966</v>
      </c>
      <c r="C966" s="340" t="str">
        <f>IFERROR(Tabulka1[[#This Row],[KOD]],"")</f>
        <v>RKD-S06-07</v>
      </c>
      <c r="W966" s="804" t="str">
        <f t="shared" si="30"/>
        <v/>
      </c>
      <c r="X966" s="154" t="str">
        <f t="shared" si="31"/>
        <v/>
      </c>
      <c r="Y966" s="341">
        <f>IF('General price list'!$AB968="",0,'General price list'!$AB968)</f>
        <v>0</v>
      </c>
      <c r="Z966" s="365" t="str">
        <f>IFERROR(X966*VLOOKUP(C966,'General price list'!C:I,7,FALSE),"")</f>
        <v/>
      </c>
      <c r="AA966" s="805" t="str">
        <f>IF(X966&lt;&gt;"",VLOOKUP(C966,'General price list'!C968:AN1941,MATCH("HM",Tabulka1[[#Headers],[KOD]:[NEQ]],0),FALSE),"")</f>
        <v/>
      </c>
    </row>
    <row r="967" spans="1:27">
      <c r="A967">
        <f>COUNTIF($W$22:W967,1)</f>
        <v>0</v>
      </c>
      <c r="B967">
        <v>967</v>
      </c>
      <c r="C967" s="340">
        <f>IFERROR(Tabulka1[[#This Row],[KOD]],"")</f>
        <v>0</v>
      </c>
      <c r="W967" s="804" t="str">
        <f t="shared" si="30"/>
        <v/>
      </c>
      <c r="X967" s="154" t="str">
        <f t="shared" si="31"/>
        <v/>
      </c>
      <c r="Y967" s="341">
        <f>IF('General price list'!$AB969="",0,'General price list'!$AB969)</f>
        <v>0</v>
      </c>
      <c r="Z967" s="365" t="str">
        <f>IFERROR(X967*VLOOKUP(C967,'General price list'!C:I,7,FALSE),"")</f>
        <v/>
      </c>
      <c r="AA967" s="805" t="str">
        <f>IF(X967&lt;&gt;"",VLOOKUP(C967,'General price list'!C969:AN1942,MATCH("HM",Tabulka1[[#Headers],[KOD]:[NEQ]],0),FALSE),"")</f>
        <v/>
      </c>
    </row>
    <row r="968" spans="1:27">
      <c r="A968">
        <f>COUNTIF($W$22:W968,1)</f>
        <v>0</v>
      </c>
      <c r="B968">
        <v>968</v>
      </c>
      <c r="C968" s="340" t="str">
        <f>IFERROR(Tabulka1[[#This Row],[KOD]],"")</f>
        <v>M2</v>
      </c>
      <c r="W968" s="804" t="str">
        <f t="shared" si="30"/>
        <v/>
      </c>
      <c r="X968" s="154" t="str">
        <f t="shared" si="31"/>
        <v/>
      </c>
      <c r="Y968" s="341">
        <f>IF('General price list'!$AB970="",0,'General price list'!$AB970)</f>
        <v>0</v>
      </c>
      <c r="Z968" s="365" t="str">
        <f>IFERROR(X968*VLOOKUP(C968,'General price list'!C:I,7,FALSE),"")</f>
        <v/>
      </c>
      <c r="AA968" s="805" t="str">
        <f>IF(X968&lt;&gt;"",VLOOKUP(C968,'General price list'!C970:AN1943,MATCH("HM",Tabulka1[[#Headers],[KOD]:[NEQ]],0),FALSE),"")</f>
        <v/>
      </c>
    </row>
    <row r="969" spans="1:27">
      <c r="A969">
        <f>COUNTIF($W$22:W969,1)</f>
        <v>0</v>
      </c>
      <c r="B969">
        <v>969</v>
      </c>
      <c r="C969" s="340" t="str">
        <f>IFERROR(Tabulka1[[#This Row],[KOD]],"")</f>
        <v>M3</v>
      </c>
      <c r="W969" s="804" t="str">
        <f t="shared" si="30"/>
        <v/>
      </c>
      <c r="X969" s="154" t="str">
        <f t="shared" si="31"/>
        <v/>
      </c>
      <c r="Y969" s="341">
        <f>IF('General price list'!$AB971="",0,'General price list'!$AB971)</f>
        <v>0</v>
      </c>
      <c r="Z969" s="365" t="str">
        <f>IFERROR(X969*VLOOKUP(C969,'General price list'!C:I,7,FALSE),"")</f>
        <v/>
      </c>
      <c r="AA969" s="805" t="str">
        <f>IF(X969&lt;&gt;"",VLOOKUP(C969,'General price list'!C971:AN1944,MATCH("HM",Tabulka1[[#Headers],[KOD]:[NEQ]],0),FALSE),"")</f>
        <v/>
      </c>
    </row>
    <row r="970" spans="1:27">
      <c r="A970">
        <f>COUNTIF($W$22:W970,1)</f>
        <v>0</v>
      </c>
      <c r="B970">
        <v>970</v>
      </c>
      <c r="C970" s="340" t="str">
        <f>IFERROR(Tabulka1[[#This Row],[KOD]],"")</f>
        <v>M4</v>
      </c>
      <c r="W970" s="804" t="str">
        <f t="shared" si="30"/>
        <v/>
      </c>
      <c r="X970" s="154" t="str">
        <f t="shared" si="31"/>
        <v/>
      </c>
      <c r="Y970" s="341">
        <f>IF('General price list'!$AB972="",0,'General price list'!$AB972)</f>
        <v>0</v>
      </c>
      <c r="Z970" s="365" t="str">
        <f>IFERROR(X970*VLOOKUP(C970,'General price list'!C:I,7,FALSE),"")</f>
        <v/>
      </c>
      <c r="AA970" s="805" t="str">
        <f>IF(X970&lt;&gt;"",VLOOKUP(C970,'General price list'!C972:AN1945,MATCH("HM",Tabulka1[[#Headers],[KOD]:[NEQ]],0),FALSE),"")</f>
        <v/>
      </c>
    </row>
    <row r="971" spans="1:27">
      <c r="A971">
        <f>COUNTIF($W$22:W971,1)</f>
        <v>0</v>
      </c>
      <c r="B971">
        <v>971</v>
      </c>
      <c r="C971" s="340" t="str">
        <f>IFERROR(Tabulka1[[#This Row],[KOD]],"")</f>
        <v>M5</v>
      </c>
      <c r="W971" s="804" t="str">
        <f t="shared" si="30"/>
        <v/>
      </c>
      <c r="X971" s="154" t="str">
        <f t="shared" si="31"/>
        <v/>
      </c>
      <c r="Y971" s="341">
        <f>IF('General price list'!$AB973="",0,'General price list'!$AB973)</f>
        <v>0</v>
      </c>
      <c r="Z971" s="365" t="str">
        <f>IFERROR(X971*VLOOKUP(C971,'General price list'!C:I,7,FALSE),"")</f>
        <v/>
      </c>
      <c r="AA971" s="805" t="str">
        <f>IF(X971&lt;&gt;"",VLOOKUP(C971,'General price list'!C973:AN1946,MATCH("HM",Tabulka1[[#Headers],[KOD]:[NEQ]],0),FALSE),"")</f>
        <v/>
      </c>
    </row>
    <row r="972" spans="1:27">
      <c r="A972">
        <f>COUNTIF($W$22:W972,1)</f>
        <v>0</v>
      </c>
      <c r="B972">
        <v>972</v>
      </c>
      <c r="C972" s="340" t="str">
        <f>IFERROR(Tabulka1[[#This Row],[KOD]],"")</f>
        <v>M6</v>
      </c>
      <c r="W972" s="804" t="str">
        <f t="shared" si="30"/>
        <v/>
      </c>
      <c r="X972" s="154" t="str">
        <f t="shared" si="31"/>
        <v/>
      </c>
      <c r="Y972" s="341">
        <f>IF('General price list'!$AB974="",0,'General price list'!$AB974)</f>
        <v>0</v>
      </c>
      <c r="Z972" s="365" t="str">
        <f>IFERROR(X972*VLOOKUP(C972,'General price list'!C:I,7,FALSE),"")</f>
        <v/>
      </c>
      <c r="AA972" s="805" t="str">
        <f>IF(X972&lt;&gt;"",VLOOKUP(C972,'General price list'!C974:AN1947,MATCH("HM",Tabulka1[[#Headers],[KOD]:[NEQ]],0),FALSE),"")</f>
        <v/>
      </c>
    </row>
    <row r="973" spans="1:27">
      <c r="A973">
        <f>COUNTIF($W$22:W973,1)</f>
        <v>0</v>
      </c>
      <c r="B973">
        <v>973</v>
      </c>
      <c r="C973" s="340">
        <f>IFERROR(Tabulka1[[#This Row],[KOD]],"")</f>
        <v>0</v>
      </c>
      <c r="W973" s="804" t="str">
        <f t="shared" si="30"/>
        <v/>
      </c>
      <c r="X973" s="154" t="str">
        <f t="shared" si="31"/>
        <v/>
      </c>
      <c r="Y973" s="341">
        <f>IF('General price list'!$AB975="",0,'General price list'!$AB975)</f>
        <v>0</v>
      </c>
      <c r="Z973" s="365" t="str">
        <f>IFERROR(X973*VLOOKUP(C973,'General price list'!C:I,7,FALSE),"")</f>
        <v/>
      </c>
      <c r="AA973" s="805" t="str">
        <f>IF(X973&lt;&gt;"",VLOOKUP(C973,'General price list'!C975:AN1948,MATCH("HM",Tabulka1[[#Headers],[KOD]:[NEQ]],0),FALSE),"")</f>
        <v/>
      </c>
    </row>
    <row r="974" spans="1:27">
      <c r="A974">
        <f>COUNTIF($W$22:W974,1)</f>
        <v>0</v>
      </c>
      <c r="B974">
        <v>974</v>
      </c>
      <c r="C974" s="340" t="str">
        <f>IFERROR(Tabulka1[[#This Row],[KOD]],"")</f>
        <v>IF220A</v>
      </c>
      <c r="W974" s="804" t="str">
        <f t="shared" si="30"/>
        <v/>
      </c>
      <c r="X974" s="154" t="str">
        <f t="shared" si="31"/>
        <v/>
      </c>
      <c r="Y974" s="341">
        <f>IF('General price list'!$AB976="",0,'General price list'!$AB976)</f>
        <v>0</v>
      </c>
      <c r="Z974" s="365" t="str">
        <f>IFERROR(X974*VLOOKUP(C974,'General price list'!C:I,7,FALSE),"")</f>
        <v/>
      </c>
      <c r="AA974" s="805" t="str">
        <f>IF(X974&lt;&gt;"",VLOOKUP(C974,'General price list'!C976:AN1949,MATCH("HM",Tabulka1[[#Headers],[KOD]:[NEQ]],0),FALSE),"")</f>
        <v/>
      </c>
    </row>
    <row r="975" spans="1:27">
      <c r="A975">
        <f>COUNTIF($W$22:W975,1)</f>
        <v>0</v>
      </c>
      <c r="B975">
        <v>975</v>
      </c>
      <c r="C975" s="340" t="str">
        <f>IFERROR(Tabulka1[[#This Row],[KOD]],"")</f>
        <v>IF3MA</v>
      </c>
      <c r="W975" s="804" t="str">
        <f t="shared" si="30"/>
        <v/>
      </c>
      <c r="X975" s="154" t="str">
        <f t="shared" si="31"/>
        <v/>
      </c>
      <c r="Y975" s="341">
        <f>IF('General price list'!$AB977="",0,'General price list'!$AB977)</f>
        <v>0</v>
      </c>
      <c r="Z975" s="365" t="str">
        <f>IFERROR(X975*VLOOKUP(C975,'General price list'!C:I,7,FALSE),"")</f>
        <v/>
      </c>
      <c r="AA975" s="805" t="str">
        <f>IF(X975&lt;&gt;"",VLOOKUP(C975,'General price list'!C977:AN1950,MATCH("HM",Tabulka1[[#Headers],[KOD]:[NEQ]],0),FALSE),"")</f>
        <v/>
      </c>
    </row>
    <row r="976" spans="1:27">
      <c r="A976">
        <f>COUNTIF($W$22:W976,1)</f>
        <v>0</v>
      </c>
      <c r="B976">
        <v>976</v>
      </c>
      <c r="C976" s="340" t="str">
        <f>IFERROR(Tabulka1[[#This Row],[KOD]],"")</f>
        <v>IF560B</v>
      </c>
      <c r="W976" s="804" t="str">
        <f t="shared" si="30"/>
        <v/>
      </c>
      <c r="X976" s="154" t="str">
        <f t="shared" si="31"/>
        <v/>
      </c>
      <c r="Y976" s="341">
        <f>IF('General price list'!$AB978="",0,'General price list'!$AB978)</f>
        <v>0</v>
      </c>
      <c r="Z976" s="365" t="str">
        <f>IFERROR(X976*VLOOKUP(C976,'General price list'!C:I,7,FALSE),"")</f>
        <v/>
      </c>
      <c r="AA976" s="805" t="str">
        <f>IF(X976&lt;&gt;"",VLOOKUP(C976,'General price list'!C978:AN1951,MATCH("HM",Tabulka1[[#Headers],[KOD]:[NEQ]],0),FALSE),"")</f>
        <v/>
      </c>
    </row>
    <row r="977" spans="1:27">
      <c r="A977">
        <f>COUNTIF($W$22:W977,1)</f>
        <v>0</v>
      </c>
      <c r="B977">
        <v>977</v>
      </c>
      <c r="C977" s="340">
        <f>IFERROR(Tabulka1[[#This Row],[KOD]],"")</f>
        <v>0</v>
      </c>
      <c r="W977" s="804" t="str">
        <f t="shared" si="30"/>
        <v/>
      </c>
      <c r="X977" s="154" t="str">
        <f t="shared" si="31"/>
        <v/>
      </c>
      <c r="Y977" s="341">
        <f>IF('General price list'!$AB979="",0,'General price list'!$AB979)</f>
        <v>0</v>
      </c>
      <c r="Z977" s="365" t="str">
        <f>IFERROR(X977*VLOOKUP(C977,'General price list'!C:I,7,FALSE),"")</f>
        <v/>
      </c>
      <c r="AA977" s="805" t="str">
        <f>IF(X977&lt;&gt;"",VLOOKUP(C977,'General price list'!C979:AN1952,MATCH("HM",Tabulka1[[#Headers],[KOD]:[NEQ]],0),FALSE),"")</f>
        <v/>
      </c>
    </row>
    <row r="978" spans="1:27">
      <c r="A978">
        <f>COUNTIF($W$22:W978,1)</f>
        <v>0</v>
      </c>
      <c r="B978">
        <v>978</v>
      </c>
      <c r="C978" s="340" t="str">
        <f>IFERROR(Tabulka1[[#This Row],[KOD]],"")</f>
        <v>EP03M</v>
      </c>
      <c r="W978" s="804" t="str">
        <f t="shared" si="30"/>
        <v/>
      </c>
      <c r="X978" s="154" t="str">
        <f t="shared" si="31"/>
        <v/>
      </c>
      <c r="Y978" s="341">
        <f>IF('General price list'!$AB980="",0,'General price list'!$AB980)</f>
        <v>0</v>
      </c>
      <c r="Z978" s="365" t="str">
        <f>IFERROR(X978*VLOOKUP(C978,'General price list'!C:I,7,FALSE),"")</f>
        <v/>
      </c>
      <c r="AA978" s="805" t="str">
        <f>IF(X978&lt;&gt;"",VLOOKUP(C978,'General price list'!C980:AN1953,MATCH("HM",Tabulka1[[#Headers],[KOD]:[NEQ]],0),FALSE),"")</f>
        <v/>
      </c>
    </row>
    <row r="979" spans="1:27">
      <c r="A979">
        <f>COUNTIF($W$22:W979,1)</f>
        <v>0</v>
      </c>
      <c r="B979">
        <v>979</v>
      </c>
      <c r="C979" s="340" t="str">
        <f>IFERROR(Tabulka1[[#This Row],[KOD]],"")</f>
        <v>EP1M</v>
      </c>
      <c r="W979" s="804" t="str">
        <f t="shared" si="30"/>
        <v/>
      </c>
      <c r="X979" s="154" t="str">
        <f t="shared" si="31"/>
        <v/>
      </c>
      <c r="Y979" s="341">
        <f>IF('General price list'!$AB981="",0,'General price list'!$AB981)</f>
        <v>0</v>
      </c>
      <c r="Z979" s="365" t="str">
        <f>IFERROR(X979*VLOOKUP(C979,'General price list'!C:I,7,FALSE),"")</f>
        <v/>
      </c>
      <c r="AA979" s="805" t="str">
        <f>IF(X979&lt;&gt;"",VLOOKUP(C979,'General price list'!C981:AN1954,MATCH("HM",Tabulka1[[#Headers],[KOD]:[NEQ]],0),FALSE),"")</f>
        <v/>
      </c>
    </row>
    <row r="980" spans="1:27">
      <c r="A980">
        <f>COUNTIF($W$22:W980,1)</f>
        <v>0</v>
      </c>
      <c r="B980">
        <v>980</v>
      </c>
      <c r="C980" s="340" t="str">
        <f>IFERROR(Tabulka1[[#This Row],[KOD]],"")</f>
        <v>EP2M</v>
      </c>
      <c r="W980" s="804" t="str">
        <f t="shared" si="30"/>
        <v/>
      </c>
      <c r="X980" s="154" t="str">
        <f t="shared" si="31"/>
        <v/>
      </c>
      <c r="Y980" s="341">
        <f>IF('General price list'!$AB982="",0,'General price list'!$AB982)</f>
        <v>0</v>
      </c>
      <c r="Z980" s="365" t="str">
        <f>IFERROR(X980*VLOOKUP(C980,'General price list'!C:I,7,FALSE),"")</f>
        <v/>
      </c>
      <c r="AA980" s="805" t="str">
        <f>IF(X980&lt;&gt;"",VLOOKUP(C980,'General price list'!C982:AN1955,MATCH("HM",Tabulka1[[#Headers],[KOD]:[NEQ]],0),FALSE),"")</f>
        <v/>
      </c>
    </row>
    <row r="981" spans="1:27">
      <c r="A981">
        <f>COUNTIF($W$22:W981,1)</f>
        <v>0</v>
      </c>
      <c r="B981">
        <v>981</v>
      </c>
      <c r="C981" s="340" t="str">
        <f>IFERROR(Tabulka1[[#This Row],[KOD]],"")</f>
        <v>EP3M</v>
      </c>
      <c r="W981" s="804" t="str">
        <f t="shared" si="30"/>
        <v/>
      </c>
      <c r="X981" s="154" t="str">
        <f t="shared" si="31"/>
        <v/>
      </c>
      <c r="Y981" s="341">
        <f>IF('General price list'!$AB983="",0,'General price list'!$AB983)</f>
        <v>0</v>
      </c>
      <c r="Z981" s="365" t="str">
        <f>IFERROR(X981*VLOOKUP(C981,'General price list'!C:I,7,FALSE),"")</f>
        <v/>
      </c>
      <c r="AA981" s="805" t="str">
        <f>IF(X981&lt;&gt;"",VLOOKUP(C981,'General price list'!C983:AN1956,MATCH("HM",Tabulka1[[#Headers],[KOD]:[NEQ]],0),FALSE),"")</f>
        <v/>
      </c>
    </row>
  </sheetData>
  <autoFilter ref="X18:X981" xr:uid="{E721335C-6D6C-4396-89FD-E909BC3F9BF3}"/>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CE51-54A1-45F8-AC2A-216500796502}">
  <dimension ref="A15:AA981"/>
  <sheetViews>
    <sheetView topLeftCell="A932" workbookViewId="0">
      <selection activeCell="A982" sqref="A982:XFD982"/>
    </sheetView>
  </sheetViews>
  <sheetFormatPr defaultRowHeight="15"/>
  <cols>
    <col min="3" max="3" width="9.140625" style="340"/>
    <col min="25" max="25" width="9.140625" style="341"/>
  </cols>
  <sheetData>
    <row r="15" spans="22:23">
      <c r="V15" s="356" t="s">
        <v>11097</v>
      </c>
      <c r="W15" s="365">
        <f>SUM(Z:Z)</f>
        <v>0</v>
      </c>
    </row>
    <row r="16" spans="22:23">
      <c r="V16" s="356" t="s">
        <v>11098</v>
      </c>
      <c r="W16" s="365">
        <f>SUM(AA:AA)</f>
        <v>0</v>
      </c>
    </row>
    <row r="17" spans="1:27">
      <c r="C17" s="351"/>
      <c r="D17" s="352" t="s">
        <v>11099</v>
      </c>
      <c r="E17" s="353" t="str">
        <f>VLOOKUP($D$20,A:C,3,FALSE)&amp;", ř."&amp;VLOOKUP($D$20,A:C,2,FALSE)&amp;" - "&amp;_xlfn.IFNA(VLOOKUP($D$21,A:C,3,FALSE)&amp;", ř."&amp;VLOOKUP($D$21,A:C,2,FALSE),VLOOKUP($W$20,A:C,3,FALSE)&amp;", ř."&amp;VLOOKUP($W$20,A:C,2,FALSE))</f>
        <v>BK1P(1), ř.23 - BK1P(1), ř.23</v>
      </c>
      <c r="F17" s="347"/>
      <c r="G17" s="347"/>
    </row>
    <row r="18" spans="1:27">
      <c r="C18" s="354">
        <v>1</v>
      </c>
      <c r="D18" s="344">
        <v>2</v>
      </c>
      <c r="E18" s="343">
        <v>3</v>
      </c>
      <c r="F18" s="343">
        <v>4</v>
      </c>
      <c r="G18" s="343">
        <v>5</v>
      </c>
    </row>
    <row r="19" spans="1:27">
      <c r="C19" s="355" t="str">
        <f>'Část (1)'!C19</f>
        <v>0 - -1</v>
      </c>
      <c r="D19" s="345" t="str">
        <f>'Část (1)'!D19</f>
        <v>0 - -1</v>
      </c>
      <c r="E19" s="1" t="str">
        <f>'Část (1)'!E19</f>
        <v>0 - -1</v>
      </c>
      <c r="F19" s="1" t="str">
        <f>'Část (1)'!F19</f>
        <v>0 - -1</v>
      </c>
      <c r="G19" s="1" t="str">
        <f>'Část (1)'!G19</f>
        <v>0 - 0</v>
      </c>
      <c r="X19" s="1" t="s">
        <v>11068</v>
      </c>
    </row>
    <row r="20" spans="1:27">
      <c r="C20" s="340">
        <f>'Část (1)'!C20</f>
        <v>0</v>
      </c>
      <c r="D20" s="345">
        <f>'Část (1)'!D20</f>
        <v>0</v>
      </c>
      <c r="E20">
        <f>'Část (1)'!E20</f>
        <v>0</v>
      </c>
      <c r="F20" s="1">
        <f>'Část (1)'!F20</f>
        <v>0</v>
      </c>
      <c r="G20" s="1">
        <f>'Část (1)'!G20</f>
        <v>0</v>
      </c>
      <c r="V20" t="s">
        <v>11062</v>
      </c>
      <c r="W20">
        <f>SUM(W22:W981)</f>
        <v>0</v>
      </c>
      <c r="X20" s="1" t="s">
        <v>9303</v>
      </c>
    </row>
    <row r="21" spans="1:27" s="20" customFormat="1">
      <c r="C21" s="339">
        <f>'Část (1)'!C21</f>
        <v>-1</v>
      </c>
      <c r="D21" s="346">
        <f>'Část (1)'!D21</f>
        <v>-1</v>
      </c>
      <c r="E21" s="20">
        <f>'Část (1)'!E21</f>
        <v>-1</v>
      </c>
      <c r="F21" s="342">
        <f>'Část (1)'!F21</f>
        <v>-1</v>
      </c>
      <c r="G21" s="342">
        <f>'Část (1)'!G21</f>
        <v>0</v>
      </c>
      <c r="V21" s="20" t="s">
        <v>11063</v>
      </c>
      <c r="W21" s="20">
        <f>ROUND(W20/5,0)</f>
        <v>0</v>
      </c>
      <c r="X21" s="342" t="s">
        <v>11069</v>
      </c>
      <c r="Y21" s="89"/>
      <c r="Z21" s="20" t="s">
        <v>11095</v>
      </c>
      <c r="AA21" s="20" t="s">
        <v>11096</v>
      </c>
    </row>
    <row r="22" spans="1:27">
      <c r="A22" t="str">
        <f>W22</f>
        <v/>
      </c>
      <c r="B22">
        <v>22</v>
      </c>
      <c r="C22" s="340" t="str">
        <f>Tabulka1[[#This Row],[KOD]]</f>
        <v>BK1P</v>
      </c>
      <c r="W22" t="str">
        <f>IF(Y22+1=1,"",1)</f>
        <v/>
      </c>
      <c r="Y22" s="341">
        <f>IF('General price list'!$AB22="",0,'General price list'!$AB22)</f>
        <v>0</v>
      </c>
      <c r="Z22" s="365">
        <f>IFERROR(X22*VLOOKUP(C22,'General price list'!C:I,7,FALSE),"")</f>
        <v>0</v>
      </c>
      <c r="AA22" s="365" t="str">
        <f>IF(X22&lt;&gt;"",VLOOKUP(C22,'General price list'!C22:AN997,MATCH("HM",Tabulka1[[#Headers],[KOD]:[NEQ]],0),FALSE),"")</f>
        <v/>
      </c>
    </row>
    <row r="23" spans="1:27">
      <c r="A23">
        <f>COUNTIF($W$22:W23,1)</f>
        <v>0</v>
      </c>
      <c r="B23">
        <v>23</v>
      </c>
      <c r="C23" s="340" t="str">
        <f>Tabulka1[[#This Row],[KOD]]</f>
        <v>BK1P(1)</v>
      </c>
      <c r="W23" s="804" t="str">
        <f t="shared" ref="W23" si="0">IF(Y23+1=1,"",1)</f>
        <v/>
      </c>
      <c r="Y23" s="341">
        <f>IF('General price list'!$AB23="",0,'General price list'!$AB23)</f>
        <v>0</v>
      </c>
      <c r="Z23" s="365">
        <f>IFERROR(X23*VLOOKUP(C23,'General price list'!C:I,7,FALSE),"")</f>
        <v>0</v>
      </c>
      <c r="AA23" s="805" t="str">
        <f>IF(X23&lt;&gt;"",VLOOKUP(C23,'General price list'!C23:AN998,MATCH("HM",Tabulka1[[#Headers],[KOD]:[NEQ]],0),FALSE),"")</f>
        <v/>
      </c>
    </row>
    <row r="24" spans="1:27">
      <c r="A24">
        <f>COUNTIF($W$22:W24,1)</f>
        <v>0</v>
      </c>
      <c r="B24">
        <v>24</v>
      </c>
      <c r="C24" s="340" t="str">
        <f>Tabulka1[[#This Row],[KOD]]</f>
        <v>BK2V</v>
      </c>
      <c r="W24" t="str">
        <f t="shared" ref="W24:W87" si="1">IF(Y24+1=1,"",1)</f>
        <v/>
      </c>
      <c r="Y24" s="341">
        <f>IF('General price list'!$AB24="",0,'General price list'!$AB24)</f>
        <v>0</v>
      </c>
      <c r="Z24" s="365">
        <f>IFERROR(X24*VLOOKUP(C24,'General price list'!C:I,7,FALSE),"")</f>
        <v>0</v>
      </c>
      <c r="AA24" s="365" t="str">
        <f>IF(X24&lt;&gt;"",VLOOKUP(C24,'General price list'!C24:AN999,MATCH("HM",Tabulka1[[#Headers],[KOD]:[NEQ]],0),FALSE),"")</f>
        <v/>
      </c>
    </row>
    <row r="25" spans="1:27">
      <c r="A25">
        <f>COUNTIF($W$22:W25,1)</f>
        <v>0</v>
      </c>
      <c r="B25">
        <v>25</v>
      </c>
      <c r="C25" s="340" t="str">
        <f>Tabulka1[[#This Row],[KOD]]</f>
        <v>S5DU14</v>
      </c>
      <c r="W25" t="str">
        <f t="shared" si="1"/>
        <v/>
      </c>
      <c r="Y25" s="341">
        <f>IF('General price list'!$AB25="",0,'General price list'!$AB25)</f>
        <v>0</v>
      </c>
      <c r="Z25" s="365">
        <f>IFERROR(X25*VLOOKUP(C25,'General price list'!C:I,7,FALSE),"")</f>
        <v>0</v>
      </c>
      <c r="AA25" s="365" t="str">
        <f>IF(X25&lt;&gt;"",VLOOKUP(C25,'General price list'!C25:AN1000,MATCH("HM",Tabulka1[[#Headers],[KOD]:[NEQ]],0),FALSE),"")</f>
        <v/>
      </c>
    </row>
    <row r="26" spans="1:27">
      <c r="A26">
        <f>COUNTIF($W$22:W26,1)</f>
        <v>0</v>
      </c>
      <c r="B26">
        <v>26</v>
      </c>
      <c r="C26" s="340" t="str">
        <f>Tabulka1[[#This Row],[KOD]]</f>
        <v>R5DU14</v>
      </c>
      <c r="W26" t="str">
        <f t="shared" si="1"/>
        <v/>
      </c>
      <c r="Y26" s="341">
        <f>IF('General price list'!$AB26="",0,'General price list'!$AB26)</f>
        <v>0</v>
      </c>
      <c r="Z26" s="365">
        <f>IFERROR(X26*VLOOKUP(C26,'General price list'!C:I,7,FALSE),"")</f>
        <v>0</v>
      </c>
      <c r="AA26" s="365" t="str">
        <f>IF(X26&lt;&gt;"",VLOOKUP(C26,'General price list'!C26:AN1001,MATCH("HM",Tabulka1[[#Headers],[KOD]:[NEQ]],0),FALSE),"")</f>
        <v/>
      </c>
    </row>
    <row r="27" spans="1:27">
      <c r="A27">
        <f>COUNTIF($W$22:W27,1)</f>
        <v>0</v>
      </c>
      <c r="B27">
        <v>27</v>
      </c>
      <c r="C27" s="340" t="str">
        <f>Tabulka1[[#This Row],[KOD]]</f>
        <v>C5DU14</v>
      </c>
      <c r="W27" t="str">
        <f t="shared" si="1"/>
        <v/>
      </c>
      <c r="Y27" s="341">
        <f>IF('General price list'!$AB27="",0,'General price list'!$AB27)</f>
        <v>0</v>
      </c>
      <c r="Z27" s="365">
        <f>IFERROR(X27*VLOOKUP(C27,'General price list'!C:I,7,FALSE),"")</f>
        <v>0</v>
      </c>
      <c r="AA27" s="365" t="str">
        <f>IF(X27&lt;&gt;"",VLOOKUP(C27,'General price list'!C27:AN1002,MATCH("HM",Tabulka1[[#Headers],[KOD]:[NEQ]],0),FALSE),"")</f>
        <v/>
      </c>
    </row>
    <row r="28" spans="1:27">
      <c r="A28">
        <f>COUNTIF($W$22:W28,1)</f>
        <v>0</v>
      </c>
      <c r="B28">
        <v>28</v>
      </c>
      <c r="C28" s="340" t="str">
        <f>Tabulka1[[#This Row],[KOD]]</f>
        <v>DP1CB</v>
      </c>
      <c r="W28" t="str">
        <f t="shared" si="1"/>
        <v/>
      </c>
      <c r="Y28" s="341">
        <f>IF('General price list'!$AB28="",0,'General price list'!$AB28)</f>
        <v>0</v>
      </c>
      <c r="Z28" s="365">
        <f>IFERROR(X28*VLOOKUP(C28,'General price list'!C:I,7,FALSE),"")</f>
        <v>0</v>
      </c>
      <c r="AA28" s="365" t="str">
        <f>IF(X28&lt;&gt;"",VLOOKUP(C28,'General price list'!C28:AN1003,MATCH("HM",Tabulka1[[#Headers],[KOD]:[NEQ]],0),FALSE),"")</f>
        <v/>
      </c>
    </row>
    <row r="29" spans="1:27">
      <c r="A29">
        <f>COUNTIF($W$22:W29,1)</f>
        <v>0</v>
      </c>
      <c r="B29">
        <v>29</v>
      </c>
      <c r="C29" s="340" t="str">
        <f>Tabulka1[[#This Row],[KOD]]</f>
        <v>DP1CB(1)</v>
      </c>
      <c r="W29" t="str">
        <f t="shared" si="1"/>
        <v/>
      </c>
      <c r="Y29" s="341">
        <f>IF('General price list'!$AB29="",0,'General price list'!$AB29)</f>
        <v>0</v>
      </c>
      <c r="Z29" s="365">
        <f>IFERROR(X29*VLOOKUP(C29,'General price list'!C:I,7,FALSE),"")</f>
        <v>0</v>
      </c>
      <c r="AA29" s="365" t="str">
        <f>IF(X29&lt;&gt;"",VLOOKUP(C29,'General price list'!C29:AN1004,MATCH("HM",Tabulka1[[#Headers],[KOD]:[NEQ]],0),FALSE),"")</f>
        <v/>
      </c>
    </row>
    <row r="30" spans="1:27">
      <c r="A30">
        <f>COUNTIF($W$22:W30,1)</f>
        <v>0</v>
      </c>
      <c r="B30">
        <v>30</v>
      </c>
      <c r="C30" s="340" t="str">
        <f>Tabulka1[[#This Row],[KOD]]</f>
        <v>DP2CB</v>
      </c>
      <c r="W30" t="str">
        <f t="shared" si="1"/>
        <v/>
      </c>
      <c r="Y30" s="341">
        <f>IF('General price list'!$AB30="",0,'General price list'!$AB30)</f>
        <v>0</v>
      </c>
      <c r="Z30" s="365">
        <f>IFERROR(X30*VLOOKUP(C30,'General price list'!C:I,7,FALSE),"")</f>
        <v>0</v>
      </c>
      <c r="AA30" s="365" t="str">
        <f>IF(X30&lt;&gt;"",VLOOKUP(C30,'General price list'!C30:AN1005,MATCH("HM",Tabulka1[[#Headers],[KOD]:[NEQ]],0),FALSE),"")</f>
        <v/>
      </c>
    </row>
    <row r="31" spans="1:27">
      <c r="A31">
        <f>COUNTIF($W$22:W31,1)</f>
        <v>0</v>
      </c>
      <c r="B31">
        <v>31</v>
      </c>
      <c r="C31" s="340" t="str">
        <f>Tabulka1[[#This Row],[KOD]]</f>
        <v>DP2CB(1)</v>
      </c>
      <c r="W31" t="str">
        <f t="shared" si="1"/>
        <v/>
      </c>
      <c r="Y31" s="341">
        <f>IF('General price list'!$AB31="",0,'General price list'!$AB31)</f>
        <v>0</v>
      </c>
      <c r="Z31" s="365">
        <f>IFERROR(X31*VLOOKUP(C31,'General price list'!C:I,7,FALSE),"")</f>
        <v>0</v>
      </c>
      <c r="AA31" s="365" t="str">
        <f>IF(X31&lt;&gt;"",VLOOKUP(C31,'General price list'!C31:AN1006,MATCH("HM",Tabulka1[[#Headers],[KOD]:[NEQ]],0),FALSE),"")</f>
        <v/>
      </c>
    </row>
    <row r="32" spans="1:27">
      <c r="A32">
        <f>COUNTIF($W$22:W32,1)</f>
        <v>0</v>
      </c>
      <c r="B32">
        <v>32</v>
      </c>
      <c r="C32" s="340" t="str">
        <f>Tabulka1[[#This Row],[KOD]]</f>
        <v>DP1M</v>
      </c>
      <c r="W32" t="str">
        <f t="shared" si="1"/>
        <v/>
      </c>
      <c r="Y32" s="341">
        <f>IF('General price list'!$AB32="",0,'General price list'!$AB32)</f>
        <v>0</v>
      </c>
      <c r="Z32" s="365">
        <f>IFERROR(X32*VLOOKUP(C32,'General price list'!C:I,7,FALSE),"")</f>
        <v>0</v>
      </c>
      <c r="AA32" s="365" t="str">
        <f>IF(X32&lt;&gt;"",VLOOKUP(C32,'General price list'!C32:AN1007,MATCH("HM",Tabulka1[[#Headers],[KOD]:[NEQ]],0),FALSE),"")</f>
        <v/>
      </c>
    </row>
    <row r="33" spans="1:27">
      <c r="A33">
        <f>COUNTIF($W$22:W33,1)</f>
        <v>0</v>
      </c>
      <c r="B33">
        <v>33</v>
      </c>
      <c r="C33" s="340" t="str">
        <f>Tabulka1[[#This Row],[KOD]]</f>
        <v>DP1M(1)</v>
      </c>
      <c r="W33" t="str">
        <f t="shared" si="1"/>
        <v/>
      </c>
      <c r="Y33" s="341">
        <f>IF('General price list'!$AB33="",0,'General price list'!$AB33)</f>
        <v>0</v>
      </c>
      <c r="Z33" s="365">
        <f>IFERROR(X33*VLOOKUP(C33,'General price list'!C:I,7,FALSE),"")</f>
        <v>0</v>
      </c>
      <c r="AA33" s="365" t="str">
        <f>IF(X33&lt;&gt;"",VLOOKUP(C33,'General price list'!C33:AN1008,MATCH("HM",Tabulka1[[#Headers],[KOD]:[NEQ]],0),FALSE),"")</f>
        <v/>
      </c>
    </row>
    <row r="34" spans="1:27">
      <c r="A34">
        <f>COUNTIF($W$22:W34,1)</f>
        <v>0</v>
      </c>
      <c r="B34">
        <v>34</v>
      </c>
      <c r="C34" s="340" t="str">
        <f>Tabulka1[[#This Row],[KOD]]</f>
        <v>DP1Z20</v>
      </c>
      <c r="W34" t="str">
        <f t="shared" si="1"/>
        <v/>
      </c>
      <c r="Y34" s="341">
        <f>IF('General price list'!$AB34="",0,'General price list'!$AB34)</f>
        <v>0</v>
      </c>
      <c r="Z34" s="365">
        <f>IFERROR(X34*VLOOKUP(C34,'General price list'!C:I,7,FALSE),"")</f>
        <v>0</v>
      </c>
      <c r="AA34" s="365" t="str">
        <f>IF(X34&lt;&gt;"",VLOOKUP(C34,'General price list'!C34:AN1009,MATCH("HM",Tabulka1[[#Headers],[KOD]:[NEQ]],0),FALSE),"")</f>
        <v/>
      </c>
    </row>
    <row r="35" spans="1:27">
      <c r="A35">
        <f>COUNTIF($W$22:W35,1)</f>
        <v>0</v>
      </c>
      <c r="B35">
        <v>35</v>
      </c>
      <c r="C35" s="340" t="str">
        <f>Tabulka1[[#This Row],[KOD]]</f>
        <v>DP1Z20(1)</v>
      </c>
      <c r="W35" t="str">
        <f t="shared" si="1"/>
        <v/>
      </c>
      <c r="Y35" s="341">
        <f>IF('General price list'!$AB35="",0,'General price list'!$AB35)</f>
        <v>0</v>
      </c>
      <c r="Z35" s="365">
        <f>IFERROR(X35*VLOOKUP(C35,'General price list'!C:I,7,FALSE),"")</f>
        <v>0</v>
      </c>
      <c r="AA35" s="365" t="str">
        <f>IF(X35&lt;&gt;"",VLOOKUP(C35,'General price list'!C35:AN1010,MATCH("HM",Tabulka1[[#Headers],[KOD]:[NEQ]],0),FALSE),"")</f>
        <v/>
      </c>
    </row>
    <row r="36" spans="1:27">
      <c r="A36">
        <f>COUNTIF($W$22:W36,1)</f>
        <v>0</v>
      </c>
      <c r="B36">
        <v>36</v>
      </c>
      <c r="C36" s="340" t="str">
        <f>Tabulka1[[#This Row],[KOD]]</f>
        <v>CDK1</v>
      </c>
      <c r="W36" t="str">
        <f t="shared" si="1"/>
        <v/>
      </c>
      <c r="Y36" s="341">
        <f>IF('General price list'!$AB36="",0,'General price list'!$AB36)</f>
        <v>0</v>
      </c>
      <c r="Z36" s="365">
        <f>IFERROR(X36*VLOOKUP(C36,'General price list'!C:I,7,FALSE),"")</f>
        <v>0</v>
      </c>
      <c r="AA36" s="365" t="str">
        <f>IF(X36&lt;&gt;"",VLOOKUP(C36,'General price list'!C36:AN1011,MATCH("HM",Tabulka1[[#Headers],[KOD]:[NEQ]],0),FALSE),"")</f>
        <v/>
      </c>
    </row>
    <row r="37" spans="1:27">
      <c r="A37">
        <f>COUNTIF($W$22:W37,1)</f>
        <v>0</v>
      </c>
      <c r="B37">
        <v>37</v>
      </c>
      <c r="C37" s="340" t="str">
        <f>Tabulka1[[#This Row],[KOD]]</f>
        <v>CDK1(1)</v>
      </c>
      <c r="W37" t="str">
        <f t="shared" si="1"/>
        <v/>
      </c>
      <c r="Y37" s="341">
        <f>IF('General price list'!$AB37="",0,'General price list'!$AB37)</f>
        <v>0</v>
      </c>
      <c r="Z37" s="365">
        <f>IFERROR(X37*VLOOKUP(C37,'General price list'!C:I,7,FALSE),"")</f>
        <v>0</v>
      </c>
      <c r="AA37" s="365" t="str">
        <f>IF(X37&lt;&gt;"",VLOOKUP(C37,'General price list'!C37:AN1012,MATCH("HM",Tabulka1[[#Headers],[KOD]:[NEQ]],0),FALSE),"")</f>
        <v/>
      </c>
    </row>
    <row r="38" spans="1:27">
      <c r="A38">
        <f>COUNTIF($W$22:W38,1)</f>
        <v>0</v>
      </c>
      <c r="B38">
        <v>38</v>
      </c>
      <c r="C38" s="340" t="str">
        <f>Tabulka1[[#This Row],[KOD]]</f>
        <v>DP1BP</v>
      </c>
      <c r="W38" t="str">
        <f t="shared" si="1"/>
        <v/>
      </c>
      <c r="Y38" s="341">
        <f>IF('General price list'!$AB38="",0,'General price list'!$AB38)</f>
        <v>0</v>
      </c>
      <c r="Z38" s="365">
        <f>IFERROR(X38*VLOOKUP(C38,'General price list'!C:I,7,FALSE),"")</f>
        <v>0</v>
      </c>
      <c r="AA38" s="365" t="str">
        <f>IF(X38&lt;&gt;"",VLOOKUP(C38,'General price list'!C38:AN1013,MATCH("HM",Tabulka1[[#Headers],[KOD]:[NEQ]],0),FALSE),"")</f>
        <v/>
      </c>
    </row>
    <row r="39" spans="1:27">
      <c r="A39">
        <f>COUNTIF($W$22:W39,1)</f>
        <v>0</v>
      </c>
      <c r="B39">
        <v>39</v>
      </c>
      <c r="C39" s="340">
        <f>Tabulka1[[#This Row],[KOD]]</f>
        <v>0</v>
      </c>
      <c r="W39" t="str">
        <f t="shared" si="1"/>
        <v/>
      </c>
      <c r="Y39" s="341">
        <f>IF('General price list'!$AB39="",0,'General price list'!$AB39)</f>
        <v>0</v>
      </c>
      <c r="Z39" s="365" t="str">
        <f>IFERROR(X39*VLOOKUP(C39,'General price list'!C:I,7,FALSE),"")</f>
        <v/>
      </c>
      <c r="AA39" s="365" t="str">
        <f>IF(X39&lt;&gt;"",VLOOKUP(C39,'General price list'!C39:AN1014,MATCH("HM",Tabulka1[[#Headers],[KOD]:[NEQ]],0),FALSE),"")</f>
        <v/>
      </c>
    </row>
    <row r="40" spans="1:27">
      <c r="A40">
        <f>COUNTIF($W$22:W40,1)</f>
        <v>0</v>
      </c>
      <c r="B40">
        <v>40</v>
      </c>
      <c r="C40" s="340" t="str">
        <f>Tabulka1[[#This Row],[KOD]]</f>
        <v>DP1T</v>
      </c>
      <c r="W40" t="str">
        <f t="shared" si="1"/>
        <v/>
      </c>
      <c r="Y40" s="341">
        <f>IF('General price list'!$AB40="",0,'General price list'!$AB40)</f>
        <v>0</v>
      </c>
      <c r="Z40" s="365">
        <f>IFERROR(X40*VLOOKUP(C40,'General price list'!C:I,7,FALSE),"")</f>
        <v>0</v>
      </c>
      <c r="AA40" s="365" t="str">
        <f>IF(X40&lt;&gt;"",VLOOKUP(C40,'General price list'!C40:AN1015,MATCH("HM",Tabulka1[[#Headers],[KOD]:[NEQ]],0),FALSE),"")</f>
        <v/>
      </c>
    </row>
    <row r="41" spans="1:27">
      <c r="A41">
        <f>COUNTIF($W$22:W41,1)</f>
        <v>0</v>
      </c>
      <c r="B41">
        <v>41</v>
      </c>
      <c r="C41" s="340" t="str">
        <f>Tabulka1[[#This Row],[KOD]]</f>
        <v>DP1R</v>
      </c>
      <c r="W41" t="str">
        <f t="shared" si="1"/>
        <v/>
      </c>
      <c r="Y41" s="341">
        <f>IF('General price list'!$AB41="",0,'General price list'!$AB41)</f>
        <v>0</v>
      </c>
      <c r="Z41" s="365">
        <f>IFERROR(X41*VLOOKUP(C41,'General price list'!C:I,7,FALSE),"")</f>
        <v>0</v>
      </c>
      <c r="AA41" s="365" t="str">
        <f>IF(X41&lt;&gt;"",VLOOKUP(C41,'General price list'!C41:AN1016,MATCH("HM",Tabulka1[[#Headers],[KOD]:[NEQ]],0),FALSE),"")</f>
        <v/>
      </c>
    </row>
    <row r="42" spans="1:27">
      <c r="A42">
        <f>COUNTIF($W$22:W42,1)</f>
        <v>0</v>
      </c>
      <c r="B42">
        <v>42</v>
      </c>
      <c r="C42" s="340" t="str">
        <f>Tabulka1[[#This Row],[KOD]]</f>
        <v>DP1VR</v>
      </c>
      <c r="W42" t="str">
        <f t="shared" si="1"/>
        <v/>
      </c>
      <c r="Y42" s="341">
        <f>IF('General price list'!$AB42="",0,'General price list'!$AB42)</f>
        <v>0</v>
      </c>
      <c r="Z42" s="365">
        <f>IFERROR(X42*VLOOKUP(C42,'General price list'!C:I,7,FALSE),"")</f>
        <v>0</v>
      </c>
      <c r="AA42" s="365" t="str">
        <f>IF(X42&lt;&gt;"",VLOOKUP(C42,'General price list'!C42:AN1017,MATCH("HM",Tabulka1[[#Headers],[KOD]:[NEQ]],0),FALSE),"")</f>
        <v/>
      </c>
    </row>
    <row r="43" spans="1:27">
      <c r="A43">
        <f>COUNTIF($W$22:W43,1)</f>
        <v>0</v>
      </c>
      <c r="B43">
        <v>43</v>
      </c>
      <c r="C43" s="340" t="str">
        <f>Tabulka1[[#This Row],[KOD]]</f>
        <v>DP1EM</v>
      </c>
      <c r="W43" t="str">
        <f t="shared" si="1"/>
        <v/>
      </c>
      <c r="Y43" s="341">
        <f>IF('General price list'!$AB43="",0,'General price list'!$AB43)</f>
        <v>0</v>
      </c>
      <c r="Z43" s="365">
        <f>IFERROR(X43*VLOOKUP(C43,'General price list'!C:I,7,FALSE),"")</f>
        <v>0</v>
      </c>
      <c r="AA43" s="365" t="str">
        <f>IF(X43&lt;&gt;"",VLOOKUP(C43,'General price list'!C43:AN1018,MATCH("HM",Tabulka1[[#Headers],[KOD]:[NEQ]],0),FALSE),"")</f>
        <v/>
      </c>
    </row>
    <row r="44" spans="1:27">
      <c r="A44">
        <f>COUNTIF($W$22:W44,1)</f>
        <v>0</v>
      </c>
      <c r="B44">
        <v>44</v>
      </c>
      <c r="C44" s="340" t="str">
        <f>Tabulka1[[#This Row],[KOD]]</f>
        <v>DP1SW</v>
      </c>
      <c r="W44" t="str">
        <f t="shared" si="1"/>
        <v/>
      </c>
      <c r="Y44" s="341">
        <f>IF('General price list'!$AB44="",0,'General price list'!$AB44)</f>
        <v>0</v>
      </c>
      <c r="Z44" s="365">
        <f>IFERROR(X44*VLOOKUP(C44,'General price list'!C:I,7,FALSE),"")</f>
        <v>0</v>
      </c>
      <c r="AA44" s="365" t="str">
        <f>IF(X44&lt;&gt;"",VLOOKUP(C44,'General price list'!C44:AN1019,MATCH("HM",Tabulka1[[#Headers],[KOD]:[NEQ]],0),FALSE),"")</f>
        <v/>
      </c>
    </row>
    <row r="45" spans="1:27">
      <c r="A45">
        <f>COUNTIF($W$22:W45,1)</f>
        <v>0</v>
      </c>
      <c r="B45">
        <v>45</v>
      </c>
      <c r="C45" s="340">
        <f>Tabulka1[[#This Row],[KOD]]</f>
        <v>0</v>
      </c>
      <c r="W45" t="str">
        <f t="shared" si="1"/>
        <v/>
      </c>
      <c r="Y45" s="341">
        <f>IF('General price list'!$AB45="",0,'General price list'!$AB45)</f>
        <v>0</v>
      </c>
      <c r="Z45" s="365" t="str">
        <f>IFERROR(X45*VLOOKUP(C45,'General price list'!C:I,7,FALSE),"")</f>
        <v/>
      </c>
      <c r="AA45" s="365" t="str">
        <f>IF(X45&lt;&gt;"",VLOOKUP(C45,'General price list'!C45:AN1020,MATCH("HM",Tabulka1[[#Headers],[KOD]:[NEQ]],0),FALSE),"")</f>
        <v/>
      </c>
    </row>
    <row r="46" spans="1:27">
      <c r="A46">
        <f>COUNTIF($W$22:W46,1)</f>
        <v>0</v>
      </c>
      <c r="B46">
        <v>46</v>
      </c>
      <c r="C46" s="340" t="str">
        <f>Tabulka1[[#This Row],[KOD]]</f>
        <v>DP1FR</v>
      </c>
      <c r="W46" t="str">
        <f t="shared" si="1"/>
        <v/>
      </c>
      <c r="Y46" s="341">
        <f>IF('General price list'!$AB46="",0,'General price list'!$AB46)</f>
        <v>0</v>
      </c>
      <c r="Z46" s="365">
        <f>IFERROR(X46*VLOOKUP(C46,'General price list'!C:I,7,FALSE),"")</f>
        <v>0</v>
      </c>
      <c r="AA46" s="365" t="str">
        <f>IF(X46&lt;&gt;"",VLOOKUP(C46,'General price list'!C46:AN1021,MATCH("HM",Tabulka1[[#Headers],[KOD]:[NEQ]],0),FALSE),"")</f>
        <v/>
      </c>
    </row>
    <row r="47" spans="1:27">
      <c r="A47">
        <f>COUNTIF($W$22:W47,1)</f>
        <v>0</v>
      </c>
      <c r="B47">
        <v>47</v>
      </c>
      <c r="C47" s="340" t="str">
        <f>Tabulka1[[#This Row],[KOD]]</f>
        <v>DP1FM</v>
      </c>
      <c r="W47" t="str">
        <f t="shared" si="1"/>
        <v/>
      </c>
      <c r="Y47" s="341">
        <f>IF('General price list'!$AB47="",0,'General price list'!$AB47)</f>
        <v>0</v>
      </c>
      <c r="Z47" s="365">
        <f>IFERROR(X47*VLOOKUP(C47,'General price list'!C:I,7,FALSE),"")</f>
        <v>0</v>
      </c>
      <c r="AA47" s="365" t="str">
        <f>IF(X47&lt;&gt;"",VLOOKUP(C47,'General price list'!C47:AN1022,MATCH("HM",Tabulka1[[#Headers],[KOD]:[NEQ]],0),FALSE),"")</f>
        <v/>
      </c>
    </row>
    <row r="48" spans="1:27">
      <c r="A48">
        <f>COUNTIF($W$22:W48,1)</f>
        <v>0</v>
      </c>
      <c r="B48">
        <v>48</v>
      </c>
      <c r="C48" s="340" t="str">
        <f>Tabulka1[[#This Row],[KOD]]</f>
        <v>DP1FV</v>
      </c>
      <c r="W48" t="str">
        <f t="shared" si="1"/>
        <v/>
      </c>
      <c r="Y48" s="341">
        <f>IF('General price list'!$AB48="",0,'General price list'!$AB48)</f>
        <v>0</v>
      </c>
      <c r="Z48" s="365">
        <f>IFERROR(X48*VLOOKUP(C48,'General price list'!C:I,7,FALSE),"")</f>
        <v>0</v>
      </c>
      <c r="AA48" s="365" t="str">
        <f>IF(X48&lt;&gt;"",VLOOKUP(C48,'General price list'!C48:AN1023,MATCH("HM",Tabulka1[[#Headers],[KOD]:[NEQ]],0),FALSE),"")</f>
        <v/>
      </c>
    </row>
    <row r="49" spans="1:27">
      <c r="A49">
        <f>COUNTIF($W$22:W49,1)</f>
        <v>0</v>
      </c>
      <c r="B49">
        <v>49</v>
      </c>
      <c r="C49" s="340" t="str">
        <f>Tabulka1[[#This Row],[KOD]]</f>
        <v>DP1FD</v>
      </c>
      <c r="W49" t="str">
        <f t="shared" si="1"/>
        <v/>
      </c>
      <c r="Y49" s="341">
        <f>IF('General price list'!$AB49="",0,'General price list'!$AB49)</f>
        <v>0</v>
      </c>
      <c r="Z49" s="365">
        <f>IFERROR(X49*VLOOKUP(C49,'General price list'!C:I,7,FALSE),"")</f>
        <v>0</v>
      </c>
      <c r="AA49" s="365" t="str">
        <f>IF(X49&lt;&gt;"",VLOOKUP(C49,'General price list'!C49:AN1024,MATCH("HM",Tabulka1[[#Headers],[KOD]:[NEQ]],0),FALSE),"")</f>
        <v/>
      </c>
    </row>
    <row r="50" spans="1:27">
      <c r="A50">
        <f>COUNTIF($W$22:W50,1)</f>
        <v>0</v>
      </c>
      <c r="B50">
        <v>50</v>
      </c>
      <c r="C50" s="340" t="str">
        <f>Tabulka1[[#This Row],[KOD]]</f>
        <v>F1DB</v>
      </c>
      <c r="W50" t="str">
        <f t="shared" si="1"/>
        <v/>
      </c>
      <c r="Y50" s="341">
        <f>IF('General price list'!$AB51="",0,'General price list'!$AB51)</f>
        <v>0</v>
      </c>
      <c r="Z50" s="365">
        <f>IFERROR(X50*VLOOKUP(C50,'General price list'!C:I,7,FALSE),"")</f>
        <v>0</v>
      </c>
      <c r="AA50" s="365" t="str">
        <f>IF(X50&lt;&gt;"",VLOOKUP(C50,'General price list'!C51:AN1025,MATCH("HM",Tabulka1[[#Headers],[KOD]:[NEQ]],0),FALSE),"")</f>
        <v/>
      </c>
    </row>
    <row r="51" spans="1:27">
      <c r="A51">
        <f>COUNTIF($W$22:W51,1)</f>
        <v>0</v>
      </c>
      <c r="B51">
        <v>51</v>
      </c>
      <c r="C51" s="340" t="str">
        <f>Tabulka1[[#This Row],[KOD]]</f>
        <v>F19MF1</v>
      </c>
      <c r="W51" t="str">
        <f t="shared" si="1"/>
        <v/>
      </c>
      <c r="Y51" s="341">
        <f>IF('General price list'!$AB52="",0,'General price list'!$AB52)</f>
        <v>0</v>
      </c>
      <c r="Z51" s="365">
        <f>IFERROR(X51*VLOOKUP(C51,'General price list'!C:I,7,FALSE),"")</f>
        <v>0</v>
      </c>
      <c r="AA51" s="365" t="str">
        <f>IF(X51&lt;&gt;"",VLOOKUP(C51,'General price list'!C52:AN1026,MATCH("HM",Tabulka1[[#Headers],[KOD]:[NEQ]],0),FALSE),"")</f>
        <v/>
      </c>
    </row>
    <row r="52" spans="1:27">
      <c r="A52">
        <f>COUNTIF($W$22:W52,1)</f>
        <v>0</v>
      </c>
      <c r="B52">
        <v>52</v>
      </c>
      <c r="C52" s="340" t="str">
        <f>Tabulka1[[#This Row],[KOD]]</f>
        <v>BP30S</v>
      </c>
      <c r="W52" t="str">
        <f t="shared" si="1"/>
        <v/>
      </c>
      <c r="Y52" s="341">
        <f>IF('General price list'!$AB53="",0,'General price list'!$AB53)</f>
        <v>0</v>
      </c>
      <c r="Z52" s="365">
        <f>IFERROR(X52*VLOOKUP(C52,'General price list'!C:I,7,FALSE),"")</f>
        <v>0</v>
      </c>
      <c r="AA52" s="365" t="str">
        <f>IF(X52&lt;&gt;"",VLOOKUP(C52,'General price list'!C53:AN1027,MATCH("HM",Tabulka1[[#Headers],[KOD]:[NEQ]],0),FALSE),"")</f>
        <v/>
      </c>
    </row>
    <row r="53" spans="1:27">
      <c r="A53">
        <f>COUNTIF($W$22:W53,1)</f>
        <v>0</v>
      </c>
      <c r="B53">
        <v>53</v>
      </c>
      <c r="C53" s="340" t="str">
        <f>Tabulka1[[#This Row],[KOD]]</f>
        <v>CST12S</v>
      </c>
      <c r="W53" t="str">
        <f t="shared" si="1"/>
        <v/>
      </c>
      <c r="Y53" s="341">
        <f>IF('General price list'!$AB54="",0,'General price list'!$AB54)</f>
        <v>0</v>
      </c>
      <c r="Z53" s="365">
        <f>IFERROR(X53*VLOOKUP(C53,'General price list'!C:I,7,FALSE),"")</f>
        <v>0</v>
      </c>
      <c r="AA53" s="365" t="str">
        <f>IF(X53&lt;&gt;"",VLOOKUP(C53,'General price list'!C54:AN1028,MATCH("HM",Tabulka1[[#Headers],[KOD]:[NEQ]],0),FALSE),"")</f>
        <v/>
      </c>
    </row>
    <row r="54" spans="1:27">
      <c r="A54">
        <f>COUNTIF($W$22:W54,1)</f>
        <v>0</v>
      </c>
      <c r="B54">
        <v>54</v>
      </c>
      <c r="C54" s="340" t="str">
        <f>Tabulka1[[#This Row],[KOD]]</f>
        <v>CST40S</v>
      </c>
      <c r="W54" t="str">
        <f t="shared" si="1"/>
        <v/>
      </c>
      <c r="Y54" s="341">
        <f>IF('General price list'!$AB55="",0,'General price list'!$AB55)</f>
        <v>0</v>
      </c>
      <c r="Z54" s="365">
        <f>IFERROR(X54*VLOOKUP(C54,'General price list'!C:I,7,FALSE),"")</f>
        <v>0</v>
      </c>
      <c r="AA54" s="365" t="str">
        <f>IF(X54&lt;&gt;"",VLOOKUP(C54,'General price list'!C55:AN1029,MATCH("HM",Tabulka1[[#Headers],[KOD]:[NEQ]],0),FALSE),"")</f>
        <v/>
      </c>
    </row>
    <row r="55" spans="1:27">
      <c r="A55">
        <f>COUNTIF($W$22:W55,1)</f>
        <v>0</v>
      </c>
      <c r="B55">
        <v>55</v>
      </c>
      <c r="C55" s="340">
        <f>Tabulka1[[#This Row],[KOD]]</f>
        <v>0</v>
      </c>
      <c r="W55" t="str">
        <f t="shared" si="1"/>
        <v/>
      </c>
      <c r="Y55" s="341">
        <f>IF('General price list'!$AB56="",0,'General price list'!$AB56)</f>
        <v>0</v>
      </c>
      <c r="Z55" s="365" t="str">
        <f>IFERROR(X55*VLOOKUP(C55,'General price list'!C:I,7,FALSE),"")</f>
        <v/>
      </c>
      <c r="AA55" s="365" t="str">
        <f>IF(X55&lt;&gt;"",VLOOKUP(C55,'General price list'!C56:AN1030,MATCH("HM",Tabulka1[[#Headers],[KOD]:[NEQ]],0),FALSE),"")</f>
        <v/>
      </c>
    </row>
    <row r="56" spans="1:27">
      <c r="A56">
        <f>COUNTIF($W$22:W56,1)</f>
        <v>0</v>
      </c>
      <c r="B56">
        <v>56</v>
      </c>
      <c r="C56" s="340" t="str">
        <f>Tabulka1[[#This Row],[KOD]]</f>
        <v>DP1TA</v>
      </c>
      <c r="W56" t="str">
        <f t="shared" si="1"/>
        <v/>
      </c>
      <c r="Y56" s="341">
        <f>IF('General price list'!$AB57="",0,'General price list'!$AB57)</f>
        <v>0</v>
      </c>
      <c r="Z56" s="365">
        <f>IFERROR(X56*VLOOKUP(C56,'General price list'!C:I,7,FALSE),"")</f>
        <v>0</v>
      </c>
      <c r="AA56" s="365" t="str">
        <f>IF(X56&lt;&gt;"",VLOOKUP(C56,'General price list'!C57:AN1031,MATCH("HM",Tabulka1[[#Headers],[KOD]:[NEQ]],0),FALSE),"")</f>
        <v/>
      </c>
    </row>
    <row r="57" spans="1:27">
      <c r="A57">
        <f>COUNTIF($W$22:W57,1)</f>
        <v>0</v>
      </c>
      <c r="B57">
        <v>57</v>
      </c>
      <c r="C57" s="340" t="str">
        <f>Tabulka1[[#This Row],[KOD]]</f>
        <v>DP1TA(1)</v>
      </c>
      <c r="W57" t="str">
        <f t="shared" si="1"/>
        <v/>
      </c>
      <c r="Y57" s="341">
        <f>IF('General price list'!$AB58="",0,'General price list'!$AB58)</f>
        <v>0</v>
      </c>
      <c r="Z57" s="365">
        <f>IFERROR(X57*VLOOKUP(C57,'General price list'!C:I,7,FALSE),"")</f>
        <v>0</v>
      </c>
      <c r="AA57" s="365" t="str">
        <f>IF(X57&lt;&gt;"",VLOOKUP(C57,'General price list'!C58:AN1032,MATCH("HM",Tabulka1[[#Headers],[KOD]:[NEQ]],0),FALSE),"")</f>
        <v/>
      </c>
    </row>
    <row r="58" spans="1:27">
      <c r="A58">
        <f>COUNTIF($W$22:W58,1)</f>
        <v>0</v>
      </c>
      <c r="B58">
        <v>58</v>
      </c>
      <c r="C58" s="340" t="str">
        <f>Tabulka1[[#This Row],[KOD]]</f>
        <v>DP1BS(1)</v>
      </c>
      <c r="W58" t="str">
        <f t="shared" si="1"/>
        <v/>
      </c>
      <c r="Y58" s="341">
        <f>IF('General price list'!$AB59="",0,'General price list'!$AB59)</f>
        <v>0</v>
      </c>
      <c r="Z58" s="365">
        <f>IFERROR(X58*VLOOKUP(C58,'General price list'!C:I,7,FALSE),"")</f>
        <v>0</v>
      </c>
      <c r="AA58" s="365" t="str">
        <f>IF(X58&lt;&gt;"",VLOOKUP(C58,'General price list'!C59:AN1033,MATCH("HM",Tabulka1[[#Headers],[KOD]:[NEQ]],0),FALSE),"")</f>
        <v/>
      </c>
    </row>
    <row r="59" spans="1:27">
      <c r="A59">
        <f>COUNTIF($W$22:W59,1)</f>
        <v>0</v>
      </c>
      <c r="B59">
        <v>59</v>
      </c>
      <c r="C59" s="340" t="str">
        <f>Tabulka1[[#This Row],[KOD]]</f>
        <v>DP1P</v>
      </c>
      <c r="W59" t="str">
        <f t="shared" si="1"/>
        <v/>
      </c>
      <c r="Y59" s="341">
        <f>IF('General price list'!$AB60="",0,'General price list'!$AB60)</f>
        <v>0</v>
      </c>
      <c r="Z59" s="365">
        <f>IFERROR(X59*VLOOKUP(C59,'General price list'!C:I,7,FALSE),"")</f>
        <v>0</v>
      </c>
      <c r="AA59" s="365" t="str">
        <f>IF(X59&lt;&gt;"",VLOOKUP(C59,'General price list'!C60:AN1034,MATCH("HM",Tabulka1[[#Headers],[KOD]:[NEQ]],0),FALSE),"")</f>
        <v/>
      </c>
    </row>
    <row r="60" spans="1:27">
      <c r="A60">
        <f>COUNTIF($W$22:W60,1)</f>
        <v>0</v>
      </c>
      <c r="B60">
        <v>60</v>
      </c>
      <c r="C60" s="340" t="str">
        <f>Tabulka1[[#This Row],[KOD]]</f>
        <v>DP2W</v>
      </c>
      <c r="W60" t="str">
        <f t="shared" si="1"/>
        <v/>
      </c>
      <c r="Y60" s="341">
        <f>IF('General price list'!$AB61="",0,'General price list'!$AB61)</f>
        <v>0</v>
      </c>
      <c r="Z60" s="365">
        <f>IFERROR(X60*VLOOKUP(C60,'General price list'!C:I,7,FALSE),"")</f>
        <v>0</v>
      </c>
      <c r="AA60" s="365" t="str">
        <f>IF(X60&lt;&gt;"",VLOOKUP(C60,'General price list'!C61:AN1035,MATCH("HM",Tabulka1[[#Headers],[KOD]:[NEQ]],0),FALSE),"")</f>
        <v/>
      </c>
    </row>
    <row r="61" spans="1:27">
      <c r="A61">
        <f>COUNTIF($W$22:W61,1)</f>
        <v>0</v>
      </c>
      <c r="B61">
        <v>61</v>
      </c>
      <c r="C61" s="340" t="str">
        <f>Tabulka1[[#This Row],[KOD]]</f>
        <v>S12S</v>
      </c>
      <c r="W61" t="str">
        <f t="shared" si="1"/>
        <v/>
      </c>
      <c r="Y61" s="341">
        <f>IF('General price list'!$AB62="",0,'General price list'!$AB62)</f>
        <v>0</v>
      </c>
      <c r="Z61" s="365">
        <f>IFERROR(X61*VLOOKUP(C61,'General price list'!C:I,7,FALSE),"")</f>
        <v>0</v>
      </c>
      <c r="AA61" s="365" t="str">
        <f>IF(X61&lt;&gt;"",VLOOKUP(C61,'General price list'!C62:AN1036,MATCH("HM",Tabulka1[[#Headers],[KOD]:[NEQ]],0),FALSE),"")</f>
        <v/>
      </c>
    </row>
    <row r="62" spans="1:27">
      <c r="A62">
        <f>COUNTIF($W$22:W62,1)</f>
        <v>0</v>
      </c>
      <c r="B62">
        <v>62</v>
      </c>
      <c r="C62" s="340" t="str">
        <f>Tabulka1[[#This Row],[KOD]]</f>
        <v>S12S(1)</v>
      </c>
      <c r="W62" t="str">
        <f t="shared" si="1"/>
        <v/>
      </c>
      <c r="Y62" s="341">
        <f>IF('General price list'!$AB63="",0,'General price list'!$AB63)</f>
        <v>0</v>
      </c>
      <c r="Z62" s="365">
        <f>IFERROR(X62*VLOOKUP(C62,'General price list'!C:I,7,FALSE),"")</f>
        <v>0</v>
      </c>
      <c r="AA62" s="365" t="str">
        <f>IF(X62&lt;&gt;"",VLOOKUP(C62,'General price list'!C63:AN1037,MATCH("HM",Tabulka1[[#Headers],[KOD]:[NEQ]],0),FALSE),"")</f>
        <v/>
      </c>
    </row>
    <row r="63" spans="1:27">
      <c r="A63">
        <f>COUNTIF($W$22:W63,1)</f>
        <v>0</v>
      </c>
      <c r="B63">
        <v>63</v>
      </c>
      <c r="C63" s="340">
        <f>Tabulka1[[#This Row],[KOD]]</f>
        <v>0</v>
      </c>
      <c r="W63" t="str">
        <f t="shared" si="1"/>
        <v/>
      </c>
      <c r="Y63" s="341">
        <f>IF('General price list'!$AB65="",0,'General price list'!$AB65)</f>
        <v>0</v>
      </c>
      <c r="Z63" s="365" t="str">
        <f>IFERROR(X63*VLOOKUP(C63,'General price list'!C:I,7,FALSE),"")</f>
        <v/>
      </c>
      <c r="AA63" s="365" t="str">
        <f>IF(X63&lt;&gt;"",VLOOKUP(C63,'General price list'!C65:AN1038,MATCH("HM",Tabulka1[[#Headers],[KOD]:[NEQ]],0),FALSE),"")</f>
        <v/>
      </c>
    </row>
    <row r="64" spans="1:27">
      <c r="A64">
        <f>COUNTIF($W$22:W64,1)</f>
        <v>0</v>
      </c>
      <c r="B64">
        <v>64</v>
      </c>
      <c r="C64" s="340" t="str">
        <f>Tabulka1[[#This Row],[KOD]]</f>
        <v>CB1DB</v>
      </c>
      <c r="W64" t="str">
        <f t="shared" si="1"/>
        <v/>
      </c>
      <c r="Y64" s="341">
        <f>IF('General price list'!$AB66="",0,'General price list'!$AB66)</f>
        <v>0</v>
      </c>
      <c r="Z64" s="365">
        <f>IFERROR(X64*VLOOKUP(C64,'General price list'!C:I,7,FALSE),"")</f>
        <v>0</v>
      </c>
      <c r="AA64" s="365" t="str">
        <f>IF(X64&lt;&gt;"",VLOOKUP(C64,'General price list'!C66:AN1039,MATCH("HM",Tabulka1[[#Headers],[KOD]:[NEQ]],0),FALSE),"")</f>
        <v/>
      </c>
    </row>
    <row r="65" spans="1:27">
      <c r="A65">
        <f>COUNTIF($W$22:W65,1)</f>
        <v>0</v>
      </c>
      <c r="B65">
        <v>65</v>
      </c>
      <c r="C65" s="340" t="str">
        <f>Tabulka1[[#This Row],[KOD]]</f>
        <v>DP1VC</v>
      </c>
      <c r="W65" t="str">
        <f t="shared" si="1"/>
        <v/>
      </c>
      <c r="Y65" s="341">
        <f>IF('General price list'!$AB67="",0,'General price list'!$AB67)</f>
        <v>0</v>
      </c>
      <c r="Z65" s="365">
        <f>IFERROR(X65*VLOOKUP(C65,'General price list'!C:I,7,FALSE),"")</f>
        <v>0</v>
      </c>
      <c r="AA65" s="365" t="str">
        <f>IF(X65&lt;&gt;"",VLOOKUP(C65,'General price list'!C67:AN1040,MATCH("HM",Tabulka1[[#Headers],[KOD]:[NEQ]],0),FALSE),"")</f>
        <v/>
      </c>
    </row>
    <row r="66" spans="1:27">
      <c r="A66">
        <f>COUNTIF($W$22:W66,1)</f>
        <v>0</v>
      </c>
      <c r="B66">
        <v>66</v>
      </c>
      <c r="C66" s="340" t="str">
        <f>Tabulka1[[#This Row],[KOD]]</f>
        <v>LM0SW</v>
      </c>
      <c r="W66" t="str">
        <f t="shared" si="1"/>
        <v/>
      </c>
      <c r="Y66" s="341">
        <f>IF('General price list'!$AB68="",0,'General price list'!$AB68)</f>
        <v>0</v>
      </c>
      <c r="Z66" s="365">
        <f>IFERROR(X66*VLOOKUP(C66,'General price list'!C:I,7,FALSE),"")</f>
        <v>0</v>
      </c>
      <c r="AA66" s="365" t="str">
        <f>IF(X66&lt;&gt;"",VLOOKUP(C66,'General price list'!C68:AN1041,MATCH("HM",Tabulka1[[#Headers],[KOD]:[NEQ]],0),FALSE),"")</f>
        <v/>
      </c>
    </row>
    <row r="67" spans="1:27">
      <c r="A67">
        <f>COUNTIF($W$22:W67,1)</f>
        <v>0</v>
      </c>
      <c r="B67">
        <v>67</v>
      </c>
      <c r="C67" s="340" t="str">
        <f>Tabulka1[[#This Row],[KOD]]</f>
        <v>LM1O</v>
      </c>
      <c r="W67" t="str">
        <f t="shared" si="1"/>
        <v/>
      </c>
      <c r="Y67" s="341">
        <f>IF('General price list'!$AB69="",0,'General price list'!$AB69)</f>
        <v>0</v>
      </c>
      <c r="Z67" s="365">
        <f>IFERROR(X67*VLOOKUP(C67,'General price list'!C:I,7,FALSE),"")</f>
        <v>0</v>
      </c>
      <c r="AA67" s="365" t="str">
        <f>IF(X67&lt;&gt;"",VLOOKUP(C67,'General price list'!C69:AN1042,MATCH("HM",Tabulka1[[#Headers],[KOD]:[NEQ]],0),FALSE),"")</f>
        <v/>
      </c>
    </row>
    <row r="68" spans="1:27">
      <c r="A68">
        <f>COUNTIF($W$22:W68,1)</f>
        <v>0</v>
      </c>
      <c r="B68">
        <v>68</v>
      </c>
      <c r="C68" s="340" t="str">
        <f>Tabulka1[[#This Row],[KOD]]</f>
        <v>LM2C</v>
      </c>
      <c r="W68" t="str">
        <f t="shared" si="1"/>
        <v/>
      </c>
      <c r="Y68" s="341">
        <f>IF('General price list'!$AB70="",0,'General price list'!$AB70)</f>
        <v>0</v>
      </c>
      <c r="Z68" s="365">
        <f>IFERROR(X68*VLOOKUP(C68,'General price list'!C:I,7,FALSE),"")</f>
        <v>0</v>
      </c>
      <c r="AA68" s="365" t="str">
        <f>IF(X68&lt;&gt;"",VLOOKUP(C68,'General price list'!C70:AN1043,MATCH("HM",Tabulka1[[#Headers],[KOD]:[NEQ]],0),FALSE),"")</f>
        <v/>
      </c>
    </row>
    <row r="69" spans="1:27">
      <c r="A69">
        <f>COUNTIF($W$22:W69,1)</f>
        <v>0</v>
      </c>
      <c r="B69">
        <v>69</v>
      </c>
      <c r="C69" s="340" t="str">
        <f>Tabulka1[[#This Row],[KOD]]</f>
        <v>LM2V</v>
      </c>
      <c r="W69" t="str">
        <f t="shared" si="1"/>
        <v/>
      </c>
      <c r="Y69" s="341">
        <f>IF('General price list'!$AB71="",0,'General price list'!$AB71)</f>
        <v>0</v>
      </c>
      <c r="Z69" s="365">
        <f>IFERROR(X69*VLOOKUP(C69,'General price list'!C:I,7,FALSE),"")</f>
        <v>0</v>
      </c>
      <c r="AA69" s="365" t="str">
        <f>IF(X69&lt;&gt;"",VLOOKUP(C69,'General price list'!C71:AN1044,MATCH("HM",Tabulka1[[#Headers],[KOD]:[NEQ]],0),FALSE),"")</f>
        <v/>
      </c>
    </row>
    <row r="70" spans="1:27">
      <c r="A70">
        <f>COUNTIF($W$22:W70,1)</f>
        <v>0</v>
      </c>
      <c r="B70">
        <v>70</v>
      </c>
      <c r="C70" s="340" t="str">
        <f>Tabulka1[[#This Row],[KOD]]</f>
        <v>LM3T</v>
      </c>
      <c r="W70" t="str">
        <f t="shared" si="1"/>
        <v/>
      </c>
      <c r="Y70" s="341">
        <f>IF('General price list'!$AB72="",0,'General price list'!$AB72)</f>
        <v>0</v>
      </c>
      <c r="Z70" s="365">
        <f>IFERROR(X70*VLOOKUP(C70,'General price list'!C:I,7,FALSE),"")</f>
        <v>0</v>
      </c>
      <c r="AA70" s="365" t="str">
        <f>IF(X70&lt;&gt;"",VLOOKUP(C70,'General price list'!C72:AN1045,MATCH("HM",Tabulka1[[#Headers],[KOD]:[NEQ]],0),FALSE),"")</f>
        <v/>
      </c>
    </row>
    <row r="71" spans="1:27">
      <c r="A71">
        <f>COUNTIF($W$22:W71,1)</f>
        <v>0</v>
      </c>
      <c r="B71">
        <v>71</v>
      </c>
      <c r="C71" s="340" t="str">
        <f>Tabulka1[[#This Row],[KOD]]</f>
        <v>LM4O</v>
      </c>
      <c r="W71" t="str">
        <f t="shared" si="1"/>
        <v/>
      </c>
      <c r="Y71" s="341">
        <f>IF('General price list'!$AB73="",0,'General price list'!$AB73)</f>
        <v>0</v>
      </c>
      <c r="Z71" s="365">
        <f>IFERROR(X71*VLOOKUP(C71,'General price list'!C:I,7,FALSE),"")</f>
        <v>0</v>
      </c>
      <c r="AA71" s="365" t="str">
        <f>IF(X71&lt;&gt;"",VLOOKUP(C71,'General price list'!C73:AN1046,MATCH("HM",Tabulka1[[#Headers],[KOD]:[NEQ]],0),FALSE),"")</f>
        <v/>
      </c>
    </row>
    <row r="72" spans="1:27">
      <c r="A72">
        <f>COUNTIF($W$22:W72,1)</f>
        <v>0</v>
      </c>
      <c r="B72">
        <v>72</v>
      </c>
      <c r="C72" s="340" t="str">
        <f>Tabulka1[[#This Row],[KOD]]</f>
        <v>LM5W</v>
      </c>
      <c r="W72" t="str">
        <f t="shared" si="1"/>
        <v/>
      </c>
      <c r="Y72" s="341">
        <f>IF('General price list'!$AB74="",0,'General price list'!$AB74)</f>
        <v>0</v>
      </c>
      <c r="Z72" s="365">
        <f>IFERROR(X72*VLOOKUP(C72,'General price list'!C:I,7,FALSE),"")</f>
        <v>0</v>
      </c>
      <c r="AA72" s="365" t="str">
        <f>IF(X72&lt;&gt;"",VLOOKUP(C72,'General price list'!C74:AN1047,MATCH("HM",Tabulka1[[#Headers],[KOD]:[NEQ]],0),FALSE),"")</f>
        <v/>
      </c>
    </row>
    <row r="73" spans="1:27">
      <c r="A73">
        <f>COUNTIF($W$22:W73,1)</f>
        <v>0</v>
      </c>
      <c r="B73">
        <v>73</v>
      </c>
      <c r="C73" s="340" t="str">
        <f>Tabulka1[[#This Row],[KOD]]</f>
        <v>LM6M</v>
      </c>
      <c r="W73" t="str">
        <f t="shared" si="1"/>
        <v/>
      </c>
      <c r="Y73" s="341">
        <f>IF('General price list'!$AB75="",0,'General price list'!$AB75)</f>
        <v>0</v>
      </c>
      <c r="Z73" s="365">
        <f>IFERROR(X73*VLOOKUP(C73,'General price list'!C:I,7,FALSE),"")</f>
        <v>0</v>
      </c>
      <c r="AA73" s="365" t="str">
        <f>IF(X73&lt;&gt;"",VLOOKUP(C73,'General price list'!C75:AN1048,MATCH("HM",Tabulka1[[#Headers],[KOD]:[NEQ]],0),FALSE),"")</f>
        <v/>
      </c>
    </row>
    <row r="74" spans="1:27">
      <c r="A74">
        <f>COUNTIF($W$22:W74,1)</f>
        <v>0</v>
      </c>
      <c r="B74">
        <v>74</v>
      </c>
      <c r="C74" s="340" t="str">
        <f>Tabulka1[[#This Row],[KOD]]</f>
        <v>LM7S</v>
      </c>
      <c r="W74" t="str">
        <f t="shared" si="1"/>
        <v/>
      </c>
      <c r="Y74" s="341">
        <f>IF('General price list'!$AB76="",0,'General price list'!$AB76)</f>
        <v>0</v>
      </c>
      <c r="Z74" s="365">
        <f>IFERROR(X74*VLOOKUP(C74,'General price list'!C:I,7,FALSE),"")</f>
        <v>0</v>
      </c>
      <c r="AA74" s="365" t="str">
        <f>IF(X74&lt;&gt;"",VLOOKUP(C74,'General price list'!C76:AN1049,MATCH("HM",Tabulka1[[#Headers],[KOD]:[NEQ]],0),FALSE),"")</f>
        <v/>
      </c>
    </row>
    <row r="75" spans="1:27">
      <c r="A75">
        <f>COUNTIF($W$22:W75,1)</f>
        <v>0</v>
      </c>
      <c r="B75">
        <v>75</v>
      </c>
      <c r="C75" s="340" t="str">
        <f>Tabulka1[[#This Row],[KOD]]</f>
        <v>LM8SA</v>
      </c>
      <c r="W75" t="str">
        <f t="shared" si="1"/>
        <v/>
      </c>
      <c r="Y75" s="341">
        <f>IF('General price list'!$AB77="",0,'General price list'!$AB77)</f>
        <v>0</v>
      </c>
      <c r="Z75" s="365">
        <f>IFERROR(X75*VLOOKUP(C75,'General price list'!C:I,7,FALSE),"")</f>
        <v>0</v>
      </c>
      <c r="AA75" s="365" t="str">
        <f>IF(X75&lt;&gt;"",VLOOKUP(C75,'General price list'!C77:AN1050,MATCH("HM",Tabulka1[[#Headers],[KOD]:[NEQ]],0),FALSE),"")</f>
        <v/>
      </c>
    </row>
    <row r="76" spans="1:27">
      <c r="A76">
        <f>COUNTIF($W$22:W76,1)</f>
        <v>0</v>
      </c>
      <c r="B76">
        <v>76</v>
      </c>
      <c r="C76" s="340" t="str">
        <f>Tabulka1[[#This Row],[KOD]]</f>
        <v>SU45B</v>
      </c>
      <c r="W76" t="str">
        <f t="shared" si="1"/>
        <v/>
      </c>
      <c r="Y76" s="341">
        <f>IF('General price list'!$AB78="",0,'General price list'!$AB78)</f>
        <v>0</v>
      </c>
      <c r="Z76" s="365">
        <f>IFERROR(X76*VLOOKUP(C76,'General price list'!C:I,7,FALSE),"")</f>
        <v>0</v>
      </c>
      <c r="AA76" s="365" t="str">
        <f>IF(X76&lt;&gt;"",VLOOKUP(C76,'General price list'!C78:AN1051,MATCH("HM",Tabulka1[[#Headers],[KOD]:[NEQ]],0),FALSE),"")</f>
        <v/>
      </c>
    </row>
    <row r="77" spans="1:27">
      <c r="A77">
        <f>COUNTIF($W$22:W77,1)</f>
        <v>0</v>
      </c>
      <c r="B77">
        <v>77</v>
      </c>
      <c r="C77" s="340" t="str">
        <f>Tabulka1[[#This Row],[KOD]]</f>
        <v>RD8</v>
      </c>
      <c r="W77" t="str">
        <f t="shared" si="1"/>
        <v/>
      </c>
      <c r="Y77" s="341">
        <f>IF('General price list'!$AB79="",0,'General price list'!$AB79)</f>
        <v>0</v>
      </c>
      <c r="Z77" s="365">
        <f>IFERROR(X77*VLOOKUP(C77,'General price list'!C:I,7,FALSE),"")</f>
        <v>0</v>
      </c>
      <c r="AA77" s="365" t="str">
        <f>IF(X77&lt;&gt;"",VLOOKUP(C77,'General price list'!C79:AN1052,MATCH("HM",Tabulka1[[#Headers],[KOD]:[NEQ]],0),FALSE),"")</f>
        <v/>
      </c>
    </row>
    <row r="78" spans="1:27">
      <c r="A78">
        <f>COUNTIF($W$22:W78,1)</f>
        <v>0</v>
      </c>
      <c r="B78">
        <v>78</v>
      </c>
      <c r="C78" s="340">
        <f>Tabulka1[[#This Row],[KOD]]</f>
        <v>0</v>
      </c>
      <c r="W78" t="str">
        <f t="shared" si="1"/>
        <v/>
      </c>
      <c r="Y78" s="341">
        <f>IF('General price list'!$AB80="",0,'General price list'!$AB80)</f>
        <v>0</v>
      </c>
      <c r="Z78" s="365" t="str">
        <f>IFERROR(X78*VLOOKUP(C78,'General price list'!C:I,7,FALSE),"")</f>
        <v/>
      </c>
      <c r="AA78" s="365" t="str">
        <f>IF(X78&lt;&gt;"",VLOOKUP(C78,'General price list'!C80:AN1053,MATCH("HM",Tabulka1[[#Headers],[KOD]:[NEQ]],0),FALSE),"")</f>
        <v/>
      </c>
    </row>
    <row r="79" spans="1:27">
      <c r="A79">
        <f>COUNTIF($W$22:W79,1)</f>
        <v>0</v>
      </c>
      <c r="B79">
        <v>79</v>
      </c>
      <c r="C79" s="340" t="str">
        <f>Tabulka1[[#This Row],[KOD]]</f>
        <v>DS1</v>
      </c>
      <c r="W79" t="str">
        <f t="shared" si="1"/>
        <v/>
      </c>
      <c r="Y79" s="341">
        <f>IF('General price list'!$AB81="",0,'General price list'!$AB81)</f>
        <v>0</v>
      </c>
      <c r="Z79" s="365">
        <f>IFERROR(X79*VLOOKUP(C79,'General price list'!C:I,7,FALSE),"")</f>
        <v>0</v>
      </c>
      <c r="AA79" s="365" t="str">
        <f>IF(X79&lt;&gt;"",VLOOKUP(C79,'General price list'!C81:AN1054,MATCH("HM",Tabulka1[[#Headers],[KOD]:[NEQ]],0),FALSE),"")</f>
        <v/>
      </c>
    </row>
    <row r="80" spans="1:27">
      <c r="A80">
        <f>COUNTIF($W$22:W80,1)</f>
        <v>0</v>
      </c>
      <c r="B80">
        <v>80</v>
      </c>
      <c r="C80" s="340" t="str">
        <f>Tabulka1[[#This Row],[KOD]]</f>
        <v>RB1</v>
      </c>
      <c r="W80" t="str">
        <f t="shared" si="1"/>
        <v/>
      </c>
      <c r="Y80" s="341">
        <f>IF('General price list'!$AB82="",0,'General price list'!$AB82)</f>
        <v>0</v>
      </c>
      <c r="Z80" s="365">
        <f>IFERROR(X80*VLOOKUP(C80,'General price list'!C:I,7,FALSE),"")</f>
        <v>0</v>
      </c>
      <c r="AA80" s="365" t="str">
        <f>IF(X80&lt;&gt;"",VLOOKUP(C80,'General price list'!C82:AN1055,MATCH("HM",Tabulka1[[#Headers],[KOD]:[NEQ]],0),FALSE),"")</f>
        <v/>
      </c>
    </row>
    <row r="81" spans="1:27">
      <c r="A81">
        <f>COUNTIF($W$22:W81,1)</f>
        <v>0</v>
      </c>
      <c r="B81">
        <v>81</v>
      </c>
      <c r="C81" s="340" t="str">
        <f>Tabulka1[[#This Row],[KOD]]</f>
        <v>FPS1</v>
      </c>
      <c r="W81" t="str">
        <f t="shared" si="1"/>
        <v/>
      </c>
      <c r="Y81" s="341">
        <f>IF('General price list'!$AB83="",0,'General price list'!$AB83)</f>
        <v>0</v>
      </c>
      <c r="Z81" s="365">
        <f>IFERROR(X81*VLOOKUP(C81,'General price list'!C:I,7,FALSE),"")</f>
        <v>0</v>
      </c>
      <c r="AA81" s="365" t="str">
        <f>IF(X81&lt;&gt;"",VLOOKUP(C81,'General price list'!C83:AN1056,MATCH("HM",Tabulka1[[#Headers],[KOD]:[NEQ]],0),FALSE),"")</f>
        <v/>
      </c>
    </row>
    <row r="82" spans="1:27">
      <c r="A82">
        <f>COUNTIF($W$22:W82,1)</f>
        <v>0</v>
      </c>
      <c r="B82">
        <v>82</v>
      </c>
      <c r="C82" s="340">
        <f>Tabulka1[[#This Row],[KOD]]</f>
        <v>0</v>
      </c>
      <c r="W82" t="str">
        <f t="shared" si="1"/>
        <v/>
      </c>
      <c r="Y82" s="341">
        <f>IF('General price list'!$AB84="",0,'General price list'!$AB84)</f>
        <v>0</v>
      </c>
      <c r="Z82" s="365" t="str">
        <f>IFERROR(X82*VLOOKUP(C82,'General price list'!C:I,7,FALSE),"")</f>
        <v/>
      </c>
      <c r="AA82" s="365" t="str">
        <f>IF(X82&lt;&gt;"",VLOOKUP(C82,'General price list'!C84:AN1057,MATCH("HM",Tabulka1[[#Headers],[KOD]:[NEQ]],0),FALSE),"")</f>
        <v/>
      </c>
    </row>
    <row r="83" spans="1:27">
      <c r="A83">
        <f>COUNTIF($W$22:W83,1)</f>
        <v>0</v>
      </c>
      <c r="B83">
        <v>83</v>
      </c>
      <c r="C83" s="340" t="str">
        <f>Tabulka1[[#This Row],[KOD]]</f>
        <v>VP90</v>
      </c>
      <c r="W83" t="str">
        <f t="shared" si="1"/>
        <v/>
      </c>
      <c r="Y83" s="341">
        <f>IF('General price list'!$AB85="",0,'General price list'!$AB85)</f>
        <v>0</v>
      </c>
      <c r="Z83" s="365">
        <f>IFERROR(X83*VLOOKUP(C83,'General price list'!C:I,7,FALSE),"")</f>
        <v>0</v>
      </c>
      <c r="AA83" s="365" t="str">
        <f>IF(X83&lt;&gt;"",VLOOKUP(C83,'General price list'!C85:AN1058,MATCH("HM",Tabulka1[[#Headers],[KOD]:[NEQ]],0),FALSE),"")</f>
        <v/>
      </c>
    </row>
    <row r="84" spans="1:27">
      <c r="A84">
        <f>COUNTIF($W$22:W84,1)</f>
        <v>0</v>
      </c>
      <c r="B84">
        <v>84</v>
      </c>
      <c r="C84" s="340" t="str">
        <f>Tabulka1[[#This Row],[KOD]]</f>
        <v>VP70</v>
      </c>
      <c r="W84" t="str">
        <f t="shared" si="1"/>
        <v/>
      </c>
      <c r="Y84" s="341">
        <f>IF('General price list'!$AB86="",0,'General price list'!$AB86)</f>
        <v>0</v>
      </c>
      <c r="Z84" s="365">
        <f>IFERROR(X84*VLOOKUP(C84,'General price list'!C:I,7,FALSE),"")</f>
        <v>0</v>
      </c>
      <c r="AA84" s="365" t="str">
        <f>IF(X84&lt;&gt;"",VLOOKUP(C84,'General price list'!C86:AN1059,MATCH("HM",Tabulka1[[#Headers],[KOD]:[NEQ]],0),FALSE),"")</f>
        <v/>
      </c>
    </row>
    <row r="85" spans="1:27">
      <c r="A85">
        <f>COUNTIF($W$22:W85,1)</f>
        <v>0</v>
      </c>
      <c r="B85">
        <v>85</v>
      </c>
      <c r="C85" s="340" t="str">
        <f>Tabulka1[[#This Row],[KOD]]</f>
        <v>VP70W</v>
      </c>
      <c r="W85" t="str">
        <f t="shared" si="1"/>
        <v/>
      </c>
      <c r="Y85" s="341">
        <f>IF('General price list'!$AB87="",0,'General price list'!$AB87)</f>
        <v>0</v>
      </c>
      <c r="Z85" s="365">
        <f>IFERROR(X85*VLOOKUP(C85,'General price list'!C:I,7,FALSE),"")</f>
        <v>0</v>
      </c>
      <c r="AA85" s="365" t="str">
        <f>IF(X85&lt;&gt;"",VLOOKUP(C85,'General price list'!C87:AN1060,MATCH("HM",Tabulka1[[#Headers],[KOD]:[NEQ]],0),FALSE),"")</f>
        <v/>
      </c>
    </row>
    <row r="86" spans="1:27">
      <c r="A86">
        <f>COUNTIF($W$22:W86,1)</f>
        <v>0</v>
      </c>
      <c r="B86">
        <v>86</v>
      </c>
      <c r="C86" s="340" t="str">
        <f>Tabulka1[[#This Row],[KOD]]</f>
        <v>VP40</v>
      </c>
      <c r="W86" t="str">
        <f t="shared" si="1"/>
        <v/>
      </c>
      <c r="Y86" s="341">
        <f>IF('General price list'!$AB88="",0,'General price list'!$AB88)</f>
        <v>0</v>
      </c>
      <c r="Z86" s="365">
        <f>IFERROR(X86*VLOOKUP(C86,'General price list'!C:I,7,FALSE),"")</f>
        <v>0</v>
      </c>
      <c r="AA86" s="365" t="str">
        <f>IF(X86&lt;&gt;"",VLOOKUP(C86,'General price list'!C88:AN1061,MATCH("HM",Tabulka1[[#Headers],[KOD]:[NEQ]],0),FALSE),"")</f>
        <v/>
      </c>
    </row>
    <row r="87" spans="1:27">
      <c r="A87">
        <f>COUNTIF($W$22:W87,1)</f>
        <v>0</v>
      </c>
      <c r="B87">
        <v>87</v>
      </c>
      <c r="C87" s="340" t="str">
        <f>Tabulka1[[#This Row],[KOD]]</f>
        <v>VP40/20</v>
      </c>
      <c r="W87" t="str">
        <f t="shared" si="1"/>
        <v/>
      </c>
      <c r="Y87" s="341">
        <f>IF('General price list'!$AB89="",0,'General price list'!$AB89)</f>
        <v>0</v>
      </c>
      <c r="Z87" s="365">
        <f>IFERROR(X87*VLOOKUP(C87,'General price list'!C:I,7,FALSE),"")</f>
        <v>0</v>
      </c>
      <c r="AA87" s="365" t="str">
        <f>IF(X87&lt;&gt;"",VLOOKUP(C87,'General price list'!C89:AN1062,MATCH("HM",Tabulka1[[#Headers],[KOD]:[NEQ]],0),FALSE),"")</f>
        <v/>
      </c>
    </row>
    <row r="88" spans="1:27">
      <c r="A88">
        <f>COUNTIF($W$22:W88,1)</f>
        <v>0</v>
      </c>
      <c r="B88">
        <v>88</v>
      </c>
      <c r="C88" s="340" t="str">
        <f>Tabulka1[[#This Row],[KOD]]</f>
        <v>VP40W</v>
      </c>
      <c r="W88" t="str">
        <f t="shared" ref="W88:W151" si="2">IF(Y88+1=1,"",1)</f>
        <v/>
      </c>
      <c r="Y88" s="341">
        <f>IF('General price list'!$AB90="",0,'General price list'!$AB90)</f>
        <v>0</v>
      </c>
      <c r="Z88" s="365">
        <f>IFERROR(X88*VLOOKUP(C88,'General price list'!C:I,7,FALSE),"")</f>
        <v>0</v>
      </c>
      <c r="AA88" s="365" t="str">
        <f>IF(X88&lt;&gt;"",VLOOKUP(C88,'General price list'!C90:AN1063,MATCH("HM",Tabulka1[[#Headers],[KOD]:[NEQ]],0),FALSE),"")</f>
        <v/>
      </c>
    </row>
    <row r="89" spans="1:27">
      <c r="A89">
        <f>COUNTIF($W$22:W89,1)</f>
        <v>0</v>
      </c>
      <c r="B89">
        <v>89</v>
      </c>
      <c r="C89" s="340" t="str">
        <f>Tabulka1[[#This Row],[KOD]]</f>
        <v>VP28</v>
      </c>
      <c r="W89" t="str">
        <f t="shared" si="2"/>
        <v/>
      </c>
      <c r="Y89" s="341">
        <f>IF('General price list'!$AB91="",0,'General price list'!$AB91)</f>
        <v>0</v>
      </c>
      <c r="Z89" s="365">
        <f>IFERROR(X89*VLOOKUP(C89,'General price list'!C:I,7,FALSE),"")</f>
        <v>0</v>
      </c>
      <c r="AA89" s="365" t="str">
        <f>IF(X89&lt;&gt;"",VLOOKUP(C89,'General price list'!C91:AN1064,MATCH("HM",Tabulka1[[#Headers],[KOD]:[NEQ]],0),FALSE),"")</f>
        <v/>
      </c>
    </row>
    <row r="90" spans="1:27">
      <c r="A90">
        <f>COUNTIF($W$22:W90,1)</f>
        <v>0</v>
      </c>
      <c r="B90">
        <v>90</v>
      </c>
      <c r="C90" s="340" t="str">
        <f>Tabulka1[[#This Row],[KOD]]</f>
        <v>VP16A</v>
      </c>
      <c r="W90" t="str">
        <f t="shared" si="2"/>
        <v/>
      </c>
      <c r="Y90" s="341">
        <f>IF('General price list'!$AB92="",0,'General price list'!$AB92)</f>
        <v>0</v>
      </c>
      <c r="Z90" s="365">
        <f>IFERROR(X90*VLOOKUP(C90,'General price list'!C:I,7,FALSE),"")</f>
        <v>0</v>
      </c>
      <c r="AA90" s="365" t="str">
        <f>IF(X90&lt;&gt;"",VLOOKUP(C90,'General price list'!C92:AN1065,MATCH("HM",Tabulka1[[#Headers],[KOD]:[NEQ]],0),FALSE),"")</f>
        <v/>
      </c>
    </row>
    <row r="91" spans="1:27">
      <c r="A91">
        <f>COUNTIF($W$22:W91,1)</f>
        <v>0</v>
      </c>
      <c r="B91">
        <v>91</v>
      </c>
      <c r="C91" s="340" t="str">
        <f>Tabulka1[[#This Row],[KOD]]</f>
        <v>VP16A(1)</v>
      </c>
      <c r="W91" t="str">
        <f t="shared" si="2"/>
        <v/>
      </c>
      <c r="Y91" s="341">
        <f>IF('General price list'!$AB93="",0,'General price list'!$AB93)</f>
        <v>0</v>
      </c>
      <c r="Z91" s="365">
        <f>IFERROR(X91*VLOOKUP(C91,'General price list'!C:I,7,FALSE),"")</f>
        <v>0</v>
      </c>
      <c r="AA91" s="365" t="str">
        <f>IF(X91&lt;&gt;"",VLOOKUP(C91,'General price list'!C93:AN1066,MATCH("HM",Tabulka1[[#Headers],[KOD]:[NEQ]],0),FALSE),"")</f>
        <v/>
      </c>
    </row>
    <row r="92" spans="1:27">
      <c r="A92">
        <f>COUNTIF($W$22:W92,1)</f>
        <v>0</v>
      </c>
      <c r="B92">
        <v>92</v>
      </c>
      <c r="C92" s="340">
        <f>Tabulka1[[#This Row],[KOD]]</f>
        <v>0</v>
      </c>
      <c r="W92" t="str">
        <f t="shared" si="2"/>
        <v/>
      </c>
      <c r="Y92" s="341">
        <f>IF('General price list'!$AB94="",0,'General price list'!$AB94)</f>
        <v>0</v>
      </c>
      <c r="Z92" s="365" t="str">
        <f>IFERROR(X92*VLOOKUP(C92,'General price list'!C:I,7,FALSE),"")</f>
        <v/>
      </c>
      <c r="AA92" s="365" t="str">
        <f>IF(X92&lt;&gt;"",VLOOKUP(C92,'General price list'!C94:AN1067,MATCH("HM",Tabulka1[[#Headers],[KOD]:[NEQ]],0),FALSE),"")</f>
        <v/>
      </c>
    </row>
    <row r="93" spans="1:27">
      <c r="A93">
        <f>COUNTIF($W$22:W93,1)</f>
        <v>0</v>
      </c>
      <c r="B93">
        <v>93</v>
      </c>
      <c r="C93" s="340" t="str">
        <f>Tabulka1[[#This Row],[KOD]]</f>
        <v>VP28N</v>
      </c>
      <c r="W93" t="str">
        <f t="shared" si="2"/>
        <v/>
      </c>
      <c r="Y93" s="341">
        <f>IF('General price list'!$AB95="",0,'General price list'!$AB95)</f>
        <v>0</v>
      </c>
      <c r="Z93" s="365">
        <f>IFERROR(X93*VLOOKUP(C93,'General price list'!C:I,7,FALSE),"")</f>
        <v>0</v>
      </c>
      <c r="AA93" s="365" t="str">
        <f>IF(X93&lt;&gt;"",VLOOKUP(C93,'General price list'!C95:AN1068,MATCH("HM",Tabulka1[[#Headers],[KOD]:[NEQ]],0),FALSE),"")</f>
        <v/>
      </c>
    </row>
    <row r="94" spans="1:27">
      <c r="A94">
        <f>COUNTIF($W$22:W94,1)</f>
        <v>0</v>
      </c>
      <c r="B94">
        <v>94</v>
      </c>
      <c r="C94" s="340" t="str">
        <f>Tabulka1[[#This Row],[KOD]]</f>
        <v>VP40N</v>
      </c>
      <c r="W94" t="str">
        <f t="shared" si="2"/>
        <v/>
      </c>
      <c r="Y94" s="341">
        <f>IF('General price list'!$AB96="",0,'General price list'!$AB96)</f>
        <v>0</v>
      </c>
      <c r="Z94" s="365">
        <f>IFERROR(X94*VLOOKUP(C94,'General price list'!C:I,7,FALSE),"")</f>
        <v>0</v>
      </c>
      <c r="AA94" s="365" t="str">
        <f>IF(X94&lt;&gt;"",VLOOKUP(C94,'General price list'!C96:AN1069,MATCH("HM",Tabulka1[[#Headers],[KOD]:[NEQ]],0),FALSE),"")</f>
        <v/>
      </c>
    </row>
    <row r="95" spans="1:27">
      <c r="A95">
        <f>COUNTIF($W$22:W95,1)</f>
        <v>0</v>
      </c>
      <c r="B95">
        <v>95</v>
      </c>
      <c r="C95" s="340" t="str">
        <f>Tabulka1[[#This Row],[KOD]]</f>
        <v>VP12MIX</v>
      </c>
      <c r="W95" t="str">
        <f t="shared" si="2"/>
        <v/>
      </c>
      <c r="Y95" s="341">
        <f>IF('General price list'!$AB97="",0,'General price list'!$AB97)</f>
        <v>0</v>
      </c>
      <c r="Z95" s="365">
        <f>IFERROR(X95*VLOOKUP(C95,'General price list'!C:I,7,FALSE),"")</f>
        <v>0</v>
      </c>
      <c r="AA95" s="365" t="str">
        <f>IF(X95&lt;&gt;"",VLOOKUP(C95,'General price list'!C97:AN1070,MATCH("HM",Tabulka1[[#Headers],[KOD]:[NEQ]],0),FALSE),"")</f>
        <v/>
      </c>
    </row>
    <row r="96" spans="1:27">
      <c r="A96">
        <f>COUNTIF($W$22:W96,1)</f>
        <v>0</v>
      </c>
      <c r="B96">
        <v>96</v>
      </c>
      <c r="C96" s="340" t="str">
        <f>Tabulka1[[#This Row],[KOD]]</f>
        <v>SPRS1E</v>
      </c>
      <c r="W96" t="str">
        <f t="shared" si="2"/>
        <v/>
      </c>
      <c r="Y96" s="341">
        <f>IF('General price list'!$AB98="",0,'General price list'!$AB98)</f>
        <v>0</v>
      </c>
      <c r="Z96" s="365">
        <f>IFERROR(X96*VLOOKUP(C96,'General price list'!C:I,7,FALSE),"")</f>
        <v>0</v>
      </c>
      <c r="AA96" s="365" t="str">
        <f>IF(X96&lt;&gt;"",VLOOKUP(C96,'General price list'!C98:AN1071,MATCH("HM",Tabulka1[[#Headers],[KOD]:[NEQ]],0),FALSE),"")</f>
        <v/>
      </c>
    </row>
    <row r="97" spans="1:27">
      <c r="A97">
        <f>COUNTIF($W$22:W97,1)</f>
        <v>0</v>
      </c>
      <c r="B97">
        <v>97</v>
      </c>
      <c r="C97" s="340">
        <f>Tabulka1[[#This Row],[KOD]]</f>
        <v>0</v>
      </c>
      <c r="W97" t="str">
        <f t="shared" si="2"/>
        <v/>
      </c>
      <c r="Y97" s="341">
        <f>IF('General price list'!$AB99="",0,'General price list'!$AB99)</f>
        <v>0</v>
      </c>
      <c r="Z97" s="365" t="str">
        <f>IFERROR(X97*VLOOKUP(C97,'General price list'!C:I,7,FALSE),"")</f>
        <v/>
      </c>
      <c r="AA97" s="365" t="str">
        <f>IF(X97&lt;&gt;"",VLOOKUP(C97,'General price list'!C99:AN1072,MATCH("HM",Tabulka1[[#Headers],[KOD]:[NEQ]],0),FALSE),"")</f>
        <v/>
      </c>
    </row>
    <row r="98" spans="1:27">
      <c r="A98">
        <f>COUNTIF($W$22:W98,1)</f>
        <v>0</v>
      </c>
      <c r="B98">
        <v>98</v>
      </c>
      <c r="C98" s="340" t="str">
        <f>Tabulka1[[#This Row],[KOD]]</f>
        <v>D1D</v>
      </c>
      <c r="W98" t="str">
        <f t="shared" si="2"/>
        <v/>
      </c>
      <c r="Y98" s="341">
        <f>IF('General price list'!$AB100="",0,'General price list'!$AB100)</f>
        <v>0</v>
      </c>
      <c r="Z98" s="365">
        <f>IFERROR(X98*VLOOKUP(C98,'General price list'!C:I,7,FALSE),"")</f>
        <v>0</v>
      </c>
      <c r="AA98" s="365" t="str">
        <f>IF(X98&lt;&gt;"",VLOOKUP(C98,'General price list'!C100:AN1073,MATCH("HM",Tabulka1[[#Headers],[KOD]:[NEQ]],0),FALSE),"")</f>
        <v/>
      </c>
    </row>
    <row r="99" spans="1:27">
      <c r="A99">
        <f>COUNTIF($W$22:W99,1)</f>
        <v>0</v>
      </c>
      <c r="B99">
        <v>99</v>
      </c>
      <c r="C99" s="340" t="str">
        <f>Tabulka1[[#This Row],[KOD]]</f>
        <v>D1M</v>
      </c>
      <c r="W99" t="str">
        <f t="shared" si="2"/>
        <v/>
      </c>
      <c r="Y99" s="341">
        <f>IF('General price list'!$AB101="",0,'General price list'!$AB101)</f>
        <v>0</v>
      </c>
      <c r="Z99" s="365">
        <f>IFERROR(X99*VLOOKUP(C99,'General price list'!C:I,7,FALSE),"")</f>
        <v>0</v>
      </c>
      <c r="AA99" s="365" t="str">
        <f>IF(X99&lt;&gt;"",VLOOKUP(C99,'General price list'!C101:AN1074,MATCH("HM",Tabulka1[[#Headers],[KOD]:[NEQ]],0),FALSE),"")</f>
        <v/>
      </c>
    </row>
    <row r="100" spans="1:27">
      <c r="A100">
        <f>COUNTIF($W$22:W100,1)</f>
        <v>0</v>
      </c>
      <c r="B100">
        <v>100</v>
      </c>
      <c r="C100" s="340" t="str">
        <f>Tabulka1[[#This Row],[KOD]]</f>
        <v>D2C</v>
      </c>
      <c r="W100" t="str">
        <f t="shared" si="2"/>
        <v/>
      </c>
      <c r="Y100" s="341">
        <f>IF('General price list'!$AB102="",0,'General price list'!$AB102)</f>
        <v>0</v>
      </c>
      <c r="Z100" s="365">
        <f>IFERROR(X100*VLOOKUP(C100,'General price list'!C:I,7,FALSE),"")</f>
        <v>0</v>
      </c>
      <c r="AA100" s="365" t="str">
        <f>IF(X100&lt;&gt;"",VLOOKUP(C100,'General price list'!C102:AN1075,MATCH("HM",Tabulka1[[#Headers],[KOD]:[NEQ]],0),FALSE),"")</f>
        <v/>
      </c>
    </row>
    <row r="101" spans="1:27">
      <c r="A101">
        <f>COUNTIF($W$22:W101,1)</f>
        <v>0</v>
      </c>
      <c r="B101">
        <v>101</v>
      </c>
      <c r="C101" s="340" t="str">
        <f>Tabulka1[[#This Row],[KOD]]</f>
        <v>D2CN(1)</v>
      </c>
      <c r="W101" t="str">
        <f t="shared" si="2"/>
        <v/>
      </c>
      <c r="Y101" s="341">
        <f>IF('General price list'!$AB103="",0,'General price list'!$AB103)</f>
        <v>0</v>
      </c>
      <c r="Z101" s="365">
        <f>IFERROR(X101*VLOOKUP(C101,'General price list'!C:I,7,FALSE),"")</f>
        <v>0</v>
      </c>
      <c r="AA101" s="365" t="str">
        <f>IF(X101&lt;&gt;"",VLOOKUP(C101,'General price list'!C103:AN1076,MATCH("HM",Tabulka1[[#Headers],[KOD]:[NEQ]],0),FALSE),"")</f>
        <v/>
      </c>
    </row>
    <row r="102" spans="1:27">
      <c r="A102">
        <f>COUNTIF($W$22:W102,1)</f>
        <v>0</v>
      </c>
      <c r="B102">
        <v>102</v>
      </c>
      <c r="C102" s="340" t="str">
        <f>Tabulka1[[#This Row],[KOD]]</f>
        <v>D3SK</v>
      </c>
      <c r="W102" t="str">
        <f t="shared" si="2"/>
        <v/>
      </c>
      <c r="Y102" s="341">
        <f>IF('General price list'!$AB104="",0,'General price list'!$AB104)</f>
        <v>0</v>
      </c>
      <c r="Z102" s="365">
        <f>IFERROR(X102*VLOOKUP(C102,'General price list'!C:I,7,FALSE),"")</f>
        <v>0</v>
      </c>
      <c r="AA102" s="365" t="str">
        <f>IF(X102&lt;&gt;"",VLOOKUP(C102,'General price list'!C104:AN1077,MATCH("HM",Tabulka1[[#Headers],[KOD]:[NEQ]],0),FALSE),"")</f>
        <v/>
      </c>
    </row>
    <row r="103" spans="1:27">
      <c r="A103">
        <f>COUNTIF($W$22:W103,1)</f>
        <v>0</v>
      </c>
      <c r="B103">
        <v>103</v>
      </c>
      <c r="C103" s="340" t="str">
        <f>Tabulka1[[#This Row],[KOD]]</f>
        <v>RDG1B</v>
      </c>
      <c r="W103" t="str">
        <f t="shared" si="2"/>
        <v/>
      </c>
      <c r="Y103" s="341">
        <f>IF('General price list'!$AB105="",0,'General price list'!$AB105)</f>
        <v>0</v>
      </c>
      <c r="Z103" s="365">
        <f>IFERROR(X103*VLOOKUP(C103,'General price list'!C:I,7,FALSE),"")</f>
        <v>0</v>
      </c>
      <c r="AA103" s="365" t="str">
        <f>IF(X103&lt;&gt;"",VLOOKUP(C103,'General price list'!C105:AN1078,MATCH("HM",Tabulka1[[#Headers],[KOD]:[NEQ]],0),FALSE),"")</f>
        <v/>
      </c>
    </row>
    <row r="104" spans="1:27">
      <c r="A104">
        <f>COUNTIF($W$22:W104,1)</f>
        <v>0</v>
      </c>
      <c r="B104">
        <v>104</v>
      </c>
      <c r="C104" s="340" t="str">
        <f>Tabulka1[[#This Row],[KOD]]</f>
        <v>RDG1C</v>
      </c>
      <c r="W104" t="str">
        <f t="shared" si="2"/>
        <v/>
      </c>
      <c r="Y104" s="341">
        <f>IF('General price list'!$AB106="",0,'General price list'!$AB106)</f>
        <v>0</v>
      </c>
      <c r="Z104" s="365">
        <f>IFERROR(X104*VLOOKUP(C104,'General price list'!C:I,7,FALSE),"")</f>
        <v>0</v>
      </c>
      <c r="AA104" s="365" t="str">
        <f>IF(X104&lt;&gt;"",VLOOKUP(C104,'General price list'!C106:AN1079,MATCH("HM",Tabulka1[[#Headers],[KOD]:[NEQ]],0),FALSE),"")</f>
        <v/>
      </c>
    </row>
    <row r="105" spans="1:27">
      <c r="A105">
        <f>COUNTIF($W$22:W105,1)</f>
        <v>0</v>
      </c>
      <c r="B105">
        <v>105</v>
      </c>
      <c r="C105" s="340" t="str">
        <f>Tabulka1[[#This Row],[KOD]]</f>
        <v>RDG1M</v>
      </c>
      <c r="W105" t="str">
        <f t="shared" si="2"/>
        <v/>
      </c>
      <c r="Y105" s="341">
        <f>IF('General price list'!$AB107="",0,'General price list'!$AB107)</f>
        <v>0</v>
      </c>
      <c r="Z105" s="365">
        <f>IFERROR(X105*VLOOKUP(C105,'General price list'!C:I,7,FALSE),"")</f>
        <v>0</v>
      </c>
      <c r="AA105" s="365" t="str">
        <f>IF(X105&lt;&gt;"",VLOOKUP(C105,'General price list'!C107:AN1080,MATCH("HM",Tabulka1[[#Headers],[KOD]:[NEQ]],0),FALSE),"")</f>
        <v/>
      </c>
    </row>
    <row r="106" spans="1:27">
      <c r="A106">
        <f>COUNTIF($W$22:W106,1)</f>
        <v>0</v>
      </c>
      <c r="B106">
        <v>106</v>
      </c>
      <c r="C106" s="340" t="str">
        <f>Tabulka1[[#This Row],[KOD]]</f>
        <v>RDG1ZL</v>
      </c>
      <c r="W106" t="str">
        <f t="shared" si="2"/>
        <v/>
      </c>
      <c r="Y106" s="341">
        <f>IF('General price list'!$AB108="",0,'General price list'!$AB108)</f>
        <v>0</v>
      </c>
      <c r="Z106" s="365">
        <f>IFERROR(X106*VLOOKUP(C106,'General price list'!C:I,7,FALSE),"")</f>
        <v>0</v>
      </c>
      <c r="AA106" s="365" t="str">
        <f>IF(X106&lt;&gt;"",VLOOKUP(C106,'General price list'!C108:AN1081,MATCH("HM",Tabulka1[[#Headers],[KOD]:[NEQ]],0),FALSE),"")</f>
        <v/>
      </c>
    </row>
    <row r="107" spans="1:27">
      <c r="A107">
        <f>COUNTIF($W$22:W107,1)</f>
        <v>0</v>
      </c>
      <c r="B107">
        <v>107</v>
      </c>
      <c r="C107" s="340" t="str">
        <f>Tabulka1[[#This Row],[KOD]]</f>
        <v>RDG1ZL(1)</v>
      </c>
      <c r="W107" t="str">
        <f t="shared" si="2"/>
        <v/>
      </c>
      <c r="Y107" s="341">
        <f>IF('General price list'!$AB109="",0,'General price list'!$AB109)</f>
        <v>0</v>
      </c>
      <c r="Z107" s="365">
        <f>IFERROR(X107*VLOOKUP(C107,'General price list'!C:I,7,FALSE),"")</f>
        <v>0</v>
      </c>
      <c r="AA107" s="365" t="str">
        <f>IF(X107&lt;&gt;"",VLOOKUP(C107,'General price list'!C109:AN1082,MATCH("HM",Tabulka1[[#Headers],[KOD]:[NEQ]],0),FALSE),"")</f>
        <v/>
      </c>
    </row>
    <row r="108" spans="1:27">
      <c r="A108">
        <f>COUNTIF($W$22:W108,1)</f>
        <v>0</v>
      </c>
      <c r="B108">
        <v>108</v>
      </c>
      <c r="C108" s="340" t="str">
        <f>Tabulka1[[#This Row],[KOD]]</f>
        <v>RDG1ZE</v>
      </c>
      <c r="W108" t="str">
        <f t="shared" si="2"/>
        <v/>
      </c>
      <c r="Y108" s="341">
        <f>IF('General price list'!$AB110="",0,'General price list'!$AB110)</f>
        <v>0</v>
      </c>
      <c r="Z108" s="365">
        <f>IFERROR(X108*VLOOKUP(C108,'General price list'!C:I,7,FALSE),"")</f>
        <v>0</v>
      </c>
      <c r="AA108" s="365" t="str">
        <f>IF(X108&lt;&gt;"",VLOOKUP(C108,'General price list'!C110:AN1083,MATCH("HM",Tabulka1[[#Headers],[KOD]:[NEQ]],0),FALSE),"")</f>
        <v/>
      </c>
    </row>
    <row r="109" spans="1:27">
      <c r="A109">
        <f>COUNTIF($W$22:W109,1)</f>
        <v>0</v>
      </c>
      <c r="B109">
        <v>109</v>
      </c>
      <c r="C109" s="340" t="str">
        <f>Tabulka1[[#This Row],[KOD]]</f>
        <v>RDG2B</v>
      </c>
      <c r="W109" t="str">
        <f t="shared" si="2"/>
        <v/>
      </c>
      <c r="Y109" s="341">
        <f>IF('General price list'!$AB111="",0,'General price list'!$AB111)</f>
        <v>0</v>
      </c>
      <c r="Z109" s="365">
        <f>IFERROR(X109*VLOOKUP(C109,'General price list'!C:I,7,FALSE),"")</f>
        <v>0</v>
      </c>
      <c r="AA109" s="365" t="str">
        <f>IF(X109&lt;&gt;"",VLOOKUP(C109,'General price list'!C111:AN1084,MATCH("HM",Tabulka1[[#Headers],[KOD]:[NEQ]],0),FALSE),"")</f>
        <v/>
      </c>
    </row>
    <row r="110" spans="1:27">
      <c r="A110">
        <f>COUNTIF($W$22:W110,1)</f>
        <v>0</v>
      </c>
      <c r="B110">
        <v>110</v>
      </c>
      <c r="C110" s="340" t="str">
        <f>Tabulka1[[#This Row],[KOD]]</f>
        <v>RDG2C</v>
      </c>
      <c r="W110" t="str">
        <f t="shared" si="2"/>
        <v/>
      </c>
      <c r="Y110" s="341">
        <f>IF('General price list'!$AB112="",0,'General price list'!$AB112)</f>
        <v>0</v>
      </c>
      <c r="Z110" s="365">
        <f>IFERROR(X110*VLOOKUP(C110,'General price list'!C:I,7,FALSE),"")</f>
        <v>0</v>
      </c>
      <c r="AA110" s="365" t="str">
        <f>IF(X110&lt;&gt;"",VLOOKUP(C110,'General price list'!C112:AN1085,MATCH("HM",Tabulka1[[#Headers],[KOD]:[NEQ]],0),FALSE),"")</f>
        <v/>
      </c>
    </row>
    <row r="111" spans="1:27">
      <c r="A111">
        <f>COUNTIF($W$22:W111,1)</f>
        <v>0</v>
      </c>
      <c r="B111">
        <v>111</v>
      </c>
      <c r="C111" s="340" t="str">
        <f>Tabulka1[[#This Row],[KOD]]</f>
        <v>RDG2M</v>
      </c>
      <c r="W111" t="str">
        <f t="shared" si="2"/>
        <v/>
      </c>
      <c r="Y111" s="341">
        <f>IF('General price list'!$AB113="",0,'General price list'!$AB113)</f>
        <v>0</v>
      </c>
      <c r="Z111" s="365">
        <f>IFERROR(X111*VLOOKUP(C111,'General price list'!C:I,7,FALSE),"")</f>
        <v>0</v>
      </c>
      <c r="AA111" s="365" t="str">
        <f>IF(X111&lt;&gt;"",VLOOKUP(C111,'General price list'!C113:AN1086,MATCH("HM",Tabulka1[[#Headers],[KOD]:[NEQ]],0),FALSE),"")</f>
        <v/>
      </c>
    </row>
    <row r="112" spans="1:27">
      <c r="A112">
        <f>COUNTIF($W$22:W112,1)</f>
        <v>0</v>
      </c>
      <c r="B112">
        <v>112</v>
      </c>
      <c r="C112" s="340">
        <f>Tabulka1[[#This Row],[KOD]]</f>
        <v>0</v>
      </c>
      <c r="W112" t="str">
        <f t="shared" si="2"/>
        <v/>
      </c>
      <c r="Y112" s="341">
        <f>IF('General price list'!$AB114="",0,'General price list'!$AB114)</f>
        <v>0</v>
      </c>
      <c r="Z112" s="365" t="str">
        <f>IFERROR(X112*VLOOKUP(C112,'General price list'!C:I,7,FALSE),"")</f>
        <v/>
      </c>
      <c r="AA112" s="365" t="str">
        <f>IF(X112&lt;&gt;"",VLOOKUP(C112,'General price list'!C114:AN1087,MATCH("HM",Tabulka1[[#Headers],[KOD]:[NEQ]],0),FALSE),"")</f>
        <v/>
      </c>
    </row>
    <row r="113" spans="1:27">
      <c r="A113">
        <f>COUNTIF($W$22:W113,1)</f>
        <v>0</v>
      </c>
      <c r="B113">
        <v>113</v>
      </c>
      <c r="C113" s="340" t="str">
        <f>Tabulka1[[#This Row],[KOD]]</f>
        <v>RDG60B(SH)</v>
      </c>
      <c r="W113" t="str">
        <f t="shared" si="2"/>
        <v/>
      </c>
      <c r="Y113" s="341">
        <f>IF('General price list'!$AB115="",0,'General price list'!$AB115)</f>
        <v>0</v>
      </c>
      <c r="Z113" s="365">
        <f>IFERROR(X113*VLOOKUP(C113,'General price list'!C:I,7,FALSE),"")</f>
        <v>0</v>
      </c>
      <c r="AA113" s="365" t="str">
        <f>IF(X113&lt;&gt;"",VLOOKUP(C113,'General price list'!C115:AN1088,MATCH("HM",Tabulka1[[#Headers],[KOD]:[NEQ]],0),FALSE),"")</f>
        <v/>
      </c>
    </row>
    <row r="114" spans="1:27">
      <c r="A114">
        <f>COUNTIF($W$22:W114,1)</f>
        <v>0</v>
      </c>
      <c r="B114">
        <v>114</v>
      </c>
      <c r="C114" s="340" t="str">
        <f>Tabulka1[[#This Row],[KOD]]</f>
        <v>RDG60ZL(SH)</v>
      </c>
      <c r="W114" t="str">
        <f t="shared" si="2"/>
        <v/>
      </c>
      <c r="Y114" s="341">
        <f>IF('General price list'!$AB116="",0,'General price list'!$AB116)</f>
        <v>0</v>
      </c>
      <c r="Z114" s="365">
        <f>IFERROR(X114*VLOOKUP(C114,'General price list'!C:I,7,FALSE),"")</f>
        <v>0</v>
      </c>
      <c r="AA114" s="365" t="str">
        <f>IF(X114&lt;&gt;"",VLOOKUP(C114,'General price list'!C116:AN1089,MATCH("HM",Tabulka1[[#Headers],[KOD]:[NEQ]],0),FALSE),"")</f>
        <v/>
      </c>
    </row>
    <row r="115" spans="1:27">
      <c r="A115">
        <f>COUNTIF($W$22:W115,1)</f>
        <v>0</v>
      </c>
      <c r="B115">
        <v>115</v>
      </c>
      <c r="C115" s="340" t="str">
        <f>Tabulka1[[#This Row],[KOD]]</f>
        <v>RDG60R(SH)</v>
      </c>
      <c r="W115" t="str">
        <f t="shared" si="2"/>
        <v/>
      </c>
      <c r="Y115" s="341">
        <f>IF('General price list'!$AB117="",0,'General price list'!$AB117)</f>
        <v>0</v>
      </c>
      <c r="Z115" s="365">
        <f>IFERROR(X115*VLOOKUP(C115,'General price list'!C:I,7,FALSE),"")</f>
        <v>0</v>
      </c>
      <c r="AA115" s="365" t="str">
        <f>IF(X115&lt;&gt;"",VLOOKUP(C115,'General price list'!C117:AN1090,MATCH("HM",Tabulka1[[#Headers],[KOD]:[NEQ]],0),FALSE),"")</f>
        <v/>
      </c>
    </row>
    <row r="116" spans="1:27">
      <c r="A116">
        <f>COUNTIF($W$22:W116,1)</f>
        <v>0</v>
      </c>
      <c r="B116">
        <v>116</v>
      </c>
      <c r="C116" s="340" t="str">
        <f>Tabulka1[[#This Row],[KOD]]</f>
        <v>RDG60ZEOCER(SH)</v>
      </c>
      <c r="W116" t="str">
        <f t="shared" si="2"/>
        <v/>
      </c>
      <c r="Y116" s="341">
        <f>IF('General price list'!$AB118="",0,'General price list'!$AB118)</f>
        <v>0</v>
      </c>
      <c r="Z116" s="365">
        <f>IFERROR(X116*VLOOKUP(C116,'General price list'!C:I,7,FALSE),"")</f>
        <v>0</v>
      </c>
      <c r="AA116" s="365" t="str">
        <f>IF(X116&lt;&gt;"",VLOOKUP(C116,'General price list'!C118:AN1091,MATCH("HM",Tabulka1[[#Headers],[KOD]:[NEQ]],0),FALSE),"")</f>
        <v/>
      </c>
    </row>
    <row r="117" spans="1:27">
      <c r="A117">
        <f>COUNTIF($W$22:W117,1)</f>
        <v>0</v>
      </c>
      <c r="B117">
        <v>117</v>
      </c>
      <c r="C117" s="340">
        <f>Tabulka1[[#This Row],[KOD]]</f>
        <v>0</v>
      </c>
      <c r="W117" t="str">
        <f t="shared" si="2"/>
        <v/>
      </c>
      <c r="Y117" s="341">
        <f>IF('General price list'!$AB119="",0,'General price list'!$AB119)</f>
        <v>0</v>
      </c>
      <c r="Z117" s="365" t="str">
        <f>IFERROR(X117*VLOOKUP(C117,'General price list'!C:I,7,FALSE),"")</f>
        <v/>
      </c>
      <c r="AA117" s="365" t="str">
        <f>IF(X117&lt;&gt;"",VLOOKUP(C117,'General price list'!C119:AN1092,MATCH("HM",Tabulka1[[#Headers],[KOD]:[NEQ]],0),FALSE),"")</f>
        <v/>
      </c>
    </row>
    <row r="118" spans="1:27">
      <c r="A118">
        <f>COUNTIF($W$22:W118,1)</f>
        <v>0</v>
      </c>
      <c r="B118">
        <v>118</v>
      </c>
      <c r="C118" s="340" t="str">
        <f>Tabulka1[[#This Row],[KOD]]</f>
        <v>RDG1ZL-P</v>
      </c>
      <c r="W118" t="str">
        <f t="shared" si="2"/>
        <v/>
      </c>
      <c r="Y118" s="341">
        <f>IF('General price list'!$AB120="",0,'General price list'!$AB120)</f>
        <v>0</v>
      </c>
      <c r="Z118" s="365">
        <f>IFERROR(X118*VLOOKUP(C118,'General price list'!C:I,7,FALSE),"")</f>
        <v>0</v>
      </c>
      <c r="AA118" s="365" t="str">
        <f>IF(X118&lt;&gt;"",VLOOKUP(C118,'General price list'!C120:AN1093,MATCH("HM",Tabulka1[[#Headers],[KOD]:[NEQ]],0),FALSE),"")</f>
        <v/>
      </c>
    </row>
    <row r="119" spans="1:27">
      <c r="A119">
        <f>COUNTIF($W$22:W119,1)</f>
        <v>0</v>
      </c>
      <c r="B119">
        <v>119</v>
      </c>
      <c r="C119" s="340" t="str">
        <f>Tabulka1[[#This Row],[KOD]]</f>
        <v>RDG1ZL-P(1)</v>
      </c>
      <c r="W119" t="str">
        <f t="shared" si="2"/>
        <v/>
      </c>
      <c r="Y119" s="341">
        <f>IF('General price list'!$AB121="",0,'General price list'!$AB121)</f>
        <v>0</v>
      </c>
      <c r="Z119" s="365">
        <f>IFERROR(X119*VLOOKUP(C119,'General price list'!C:I,7,FALSE),"")</f>
        <v>0</v>
      </c>
      <c r="AA119" s="365" t="str">
        <f>IF(X119&lt;&gt;"",VLOOKUP(C119,'General price list'!C121:AN1094,MATCH("HM",Tabulka1[[#Headers],[KOD]:[NEQ]],0),FALSE),"")</f>
        <v/>
      </c>
    </row>
    <row r="120" spans="1:27">
      <c r="A120">
        <f>COUNTIF($W$22:W120,1)</f>
        <v>0</v>
      </c>
      <c r="B120">
        <v>120</v>
      </c>
      <c r="C120" s="340" t="str">
        <f>Tabulka1[[#This Row],[KOD]]</f>
        <v>RDG1O-P</v>
      </c>
      <c r="W120" t="str">
        <f t="shared" si="2"/>
        <v/>
      </c>
      <c r="Y120" s="341">
        <f>IF('General price list'!$AB122="",0,'General price list'!$AB122)</f>
        <v>0</v>
      </c>
      <c r="Z120" s="365">
        <f>IFERROR(X120*VLOOKUP(C120,'General price list'!C:I,7,FALSE),"")</f>
        <v>0</v>
      </c>
      <c r="AA120" s="365" t="str">
        <f>IF(X120&lt;&gt;"",VLOOKUP(C120,'General price list'!C122:AN1095,MATCH("HM",Tabulka1[[#Headers],[KOD]:[NEQ]],0),FALSE),"")</f>
        <v/>
      </c>
    </row>
    <row r="121" spans="1:27">
      <c r="A121">
        <f>COUNTIF($W$22:W121,1)</f>
        <v>0</v>
      </c>
      <c r="B121">
        <v>121</v>
      </c>
      <c r="C121" s="340" t="str">
        <f>Tabulka1[[#This Row],[KOD]]</f>
        <v>RDG1O-P(1)</v>
      </c>
      <c r="W121" t="str">
        <f t="shared" si="2"/>
        <v/>
      </c>
      <c r="Y121" s="341">
        <f>IF('General price list'!$AB123="",0,'General price list'!$AB123)</f>
        <v>0</v>
      </c>
      <c r="Z121" s="365">
        <f>IFERROR(X121*VLOOKUP(C121,'General price list'!C:I,7,FALSE),"")</f>
        <v>0</v>
      </c>
      <c r="AA121" s="365" t="str">
        <f>IF(X121&lt;&gt;"",VLOOKUP(C121,'General price list'!C123:AN1096,MATCH("HM",Tabulka1[[#Headers],[KOD]:[NEQ]],0),FALSE),"")</f>
        <v/>
      </c>
    </row>
    <row r="122" spans="1:27">
      <c r="A122">
        <f>COUNTIF($W$22:W122,1)</f>
        <v>0</v>
      </c>
      <c r="B122">
        <v>122</v>
      </c>
      <c r="C122" s="340">
        <f>Tabulka1[[#This Row],[KOD]]</f>
        <v>0</v>
      </c>
      <c r="W122" t="str">
        <f t="shared" si="2"/>
        <v/>
      </c>
      <c r="Y122" s="341">
        <f>IF('General price list'!$AB124="",0,'General price list'!$AB124)</f>
        <v>0</v>
      </c>
      <c r="Z122" s="365" t="str">
        <f>IFERROR(X122*VLOOKUP(C122,'General price list'!C:I,7,FALSE),"")</f>
        <v/>
      </c>
      <c r="AA122" s="365" t="str">
        <f>IF(X122&lt;&gt;"",VLOOKUP(C122,'General price list'!C124:AN1097,MATCH("HM",Tabulka1[[#Headers],[KOD]:[NEQ]],0),FALSE),"")</f>
        <v/>
      </c>
    </row>
    <row r="123" spans="1:27">
      <c r="A123">
        <f>COUNTIF($W$22:W123,1)</f>
        <v>0</v>
      </c>
      <c r="B123">
        <v>123</v>
      </c>
      <c r="C123" s="340" t="str">
        <f>Tabulka1[[#This Row],[KOD]]</f>
        <v>RDP60M</v>
      </c>
      <c r="W123" t="str">
        <f t="shared" si="2"/>
        <v/>
      </c>
      <c r="Y123" s="341">
        <f>IF('General price list'!$AB125="",0,'General price list'!$AB125)</f>
        <v>0</v>
      </c>
      <c r="Z123" s="365">
        <f>IFERROR(X123*VLOOKUP(C123,'General price list'!C:I,7,FALSE),"")</f>
        <v>0</v>
      </c>
      <c r="AA123" s="365" t="str">
        <f>IF(X123&lt;&gt;"",VLOOKUP(C123,'General price list'!C125:AN1098,MATCH("HM",Tabulka1[[#Headers],[KOD]:[NEQ]],0),FALSE),"")</f>
        <v/>
      </c>
    </row>
    <row r="124" spans="1:27">
      <c r="A124">
        <f>COUNTIF($W$22:W124,1)</f>
        <v>0</v>
      </c>
      <c r="B124">
        <v>124</v>
      </c>
      <c r="C124" s="340" t="str">
        <f>Tabulka1[[#This Row],[KOD]]</f>
        <v>HDP60B</v>
      </c>
      <c r="W124" t="str">
        <f t="shared" si="2"/>
        <v/>
      </c>
      <c r="Y124" s="341">
        <f>IF('General price list'!$AB126="",0,'General price list'!$AB126)</f>
        <v>0</v>
      </c>
      <c r="Z124" s="365">
        <f>IFERROR(X124*VLOOKUP(C124,'General price list'!C:I,7,FALSE),"")</f>
        <v>0</v>
      </c>
      <c r="AA124" s="365" t="str">
        <f>IF(X124&lt;&gt;"",VLOOKUP(C124,'General price list'!C126:AN1099,MATCH("HM",Tabulka1[[#Headers],[KOD]:[NEQ]],0),FALSE),"")</f>
        <v/>
      </c>
    </row>
    <row r="125" spans="1:27">
      <c r="A125">
        <f>COUNTIF($W$22:W125,1)</f>
        <v>0</v>
      </c>
      <c r="B125">
        <v>125</v>
      </c>
      <c r="C125" s="340" t="str">
        <f>Tabulka1[[#This Row],[KOD]]</f>
        <v>HDP60C</v>
      </c>
      <c r="W125" t="str">
        <f t="shared" si="2"/>
        <v/>
      </c>
      <c r="Y125" s="341">
        <f>IF('General price list'!$AB127="",0,'General price list'!$AB127)</f>
        <v>0</v>
      </c>
      <c r="Z125" s="365">
        <f>IFERROR(X125*VLOOKUP(C125,'General price list'!C:I,7,FALSE),"")</f>
        <v>0</v>
      </c>
      <c r="AA125" s="365" t="str">
        <f>IF(X125&lt;&gt;"",VLOOKUP(C125,'General price list'!C127:AN1100,MATCH("HM",Tabulka1[[#Headers],[KOD]:[NEQ]],0),FALSE),"")</f>
        <v/>
      </c>
    </row>
    <row r="126" spans="1:27">
      <c r="A126">
        <f>COUNTIF($W$22:W126,1)</f>
        <v>0</v>
      </c>
      <c r="B126">
        <v>126</v>
      </c>
      <c r="C126" s="340" t="str">
        <f>Tabulka1[[#This Row],[KOD]]</f>
        <v>HDP60M</v>
      </c>
      <c r="W126" t="str">
        <f t="shared" si="2"/>
        <v/>
      </c>
      <c r="Y126" s="341">
        <f>IF('General price list'!$AB128="",0,'General price list'!$AB128)</f>
        <v>0</v>
      </c>
      <c r="Z126" s="365">
        <f>IFERROR(X126*VLOOKUP(C126,'General price list'!C:I,7,FALSE),"")</f>
        <v>0</v>
      </c>
      <c r="AA126" s="365" t="str">
        <f>IF(X126&lt;&gt;"",VLOOKUP(C126,'General price list'!C128:AN1101,MATCH("HM",Tabulka1[[#Headers],[KOD]:[NEQ]],0),FALSE),"")</f>
        <v/>
      </c>
    </row>
    <row r="127" spans="1:27">
      <c r="A127">
        <f>COUNTIF($W$22:W127,1)</f>
        <v>0</v>
      </c>
      <c r="B127">
        <v>127</v>
      </c>
      <c r="C127" s="340" t="str">
        <f>Tabulka1[[#This Row],[KOD]]</f>
        <v>HDP60ZE</v>
      </c>
      <c r="W127" t="str">
        <f t="shared" si="2"/>
        <v/>
      </c>
      <c r="Y127" s="341">
        <f>IF('General price list'!$AB129="",0,'General price list'!$AB129)</f>
        <v>0</v>
      </c>
      <c r="Z127" s="365">
        <f>IFERROR(X127*VLOOKUP(C127,'General price list'!C:I,7,FALSE),"")</f>
        <v>0</v>
      </c>
      <c r="AA127" s="365" t="str">
        <f>IF(X127&lt;&gt;"",VLOOKUP(C127,'General price list'!C129:AN1102,MATCH("HM",Tabulka1[[#Headers],[KOD]:[NEQ]],0),FALSE),"")</f>
        <v/>
      </c>
    </row>
    <row r="128" spans="1:27">
      <c r="A128">
        <f>COUNTIF($W$22:W128,1)</f>
        <v>0</v>
      </c>
      <c r="B128">
        <v>128</v>
      </c>
      <c r="C128" s="340">
        <f>Tabulka1[[#This Row],[KOD]]</f>
        <v>0</v>
      </c>
      <c r="W128" t="str">
        <f t="shared" si="2"/>
        <v/>
      </c>
      <c r="Y128" s="341">
        <f>IF('General price list'!$AB130="",0,'General price list'!$AB130)</f>
        <v>0</v>
      </c>
      <c r="Z128" s="365" t="str">
        <f>IFERROR(X128*VLOOKUP(C128,'General price list'!C:I,7,FALSE),"")</f>
        <v/>
      </c>
      <c r="AA128" s="365" t="str">
        <f>IF(X128&lt;&gt;"",VLOOKUP(C128,'General price list'!C130:AN1103,MATCH("HM",Tabulka1[[#Headers],[KOD]:[NEQ]],0),FALSE),"")</f>
        <v/>
      </c>
    </row>
    <row r="129" spans="1:27">
      <c r="A129">
        <f>COUNTIF($W$22:W129,1)</f>
        <v>0</v>
      </c>
      <c r="B129">
        <v>129</v>
      </c>
      <c r="C129" s="340" t="str">
        <f>Tabulka1[[#This Row],[KOD]]</f>
        <v>P40C25</v>
      </c>
      <c r="W129" t="str">
        <f t="shared" si="2"/>
        <v/>
      </c>
      <c r="Y129" s="341">
        <f>IF('General price list'!$AB131="",0,'General price list'!$AB131)</f>
        <v>0</v>
      </c>
      <c r="Z129" s="365">
        <f>IFERROR(X129*VLOOKUP(C129,'General price list'!C:I,7,FALSE),"")</f>
        <v>0</v>
      </c>
      <c r="AA129" s="365" t="str">
        <f>IF(X129&lt;&gt;"",VLOOKUP(C129,'General price list'!C131:AN1104,MATCH("HM",Tabulka1[[#Headers],[KOD]:[NEQ]],0),FALSE),"")</f>
        <v/>
      </c>
    </row>
    <row r="130" spans="1:27">
      <c r="A130">
        <f>COUNTIF($W$22:W130,1)</f>
        <v>0</v>
      </c>
      <c r="B130">
        <v>130</v>
      </c>
      <c r="C130" s="340" t="str">
        <f>Tabulka1[[#This Row],[KOD]]</f>
        <v>P40Z25</v>
      </c>
      <c r="W130" t="str">
        <f t="shared" si="2"/>
        <v/>
      </c>
      <c r="Y130" s="341">
        <f>IF('General price list'!$AB132="",0,'General price list'!$AB132)</f>
        <v>0</v>
      </c>
      <c r="Z130" s="365">
        <f>IFERROR(X130*VLOOKUP(C130,'General price list'!C:I,7,FALSE),"")</f>
        <v>0</v>
      </c>
      <c r="AA130" s="365" t="str">
        <f>IF(X130&lt;&gt;"",VLOOKUP(C130,'General price list'!C132:AN1105,MATCH("HM",Tabulka1[[#Headers],[KOD]:[NEQ]],0),FALSE),"")</f>
        <v/>
      </c>
    </row>
    <row r="131" spans="1:27">
      <c r="A131">
        <f>COUNTIF($W$22:W131,1)</f>
        <v>0</v>
      </c>
      <c r="B131">
        <v>131</v>
      </c>
      <c r="C131" s="340" t="str">
        <f>Tabulka1[[#This Row],[KOD]]</f>
        <v>P40B25</v>
      </c>
      <c r="W131" t="str">
        <f t="shared" si="2"/>
        <v/>
      </c>
      <c r="Y131" s="341">
        <f>IF('General price list'!$AB133="",0,'General price list'!$AB133)</f>
        <v>0</v>
      </c>
      <c r="Z131" s="365">
        <f>IFERROR(X131*VLOOKUP(C131,'General price list'!C:I,7,FALSE),"")</f>
        <v>0</v>
      </c>
      <c r="AA131" s="365" t="str">
        <f>IF(X131&lt;&gt;"",VLOOKUP(C131,'General price list'!C133:AN1106,MATCH("HM",Tabulka1[[#Headers],[KOD]:[NEQ]],0),FALSE),"")</f>
        <v/>
      </c>
    </row>
    <row r="132" spans="1:27">
      <c r="A132">
        <f>COUNTIF($W$22:W132,1)</f>
        <v>0</v>
      </c>
      <c r="B132">
        <v>132</v>
      </c>
      <c r="C132" s="340" t="str">
        <f>Tabulka1[[#This Row],[KOD]]</f>
        <v>P40MO25</v>
      </c>
      <c r="W132" t="str">
        <f t="shared" si="2"/>
        <v/>
      </c>
      <c r="Y132" s="341">
        <f>IF('General price list'!$AB134="",0,'General price list'!$AB134)</f>
        <v>0</v>
      </c>
      <c r="Z132" s="365">
        <f>IFERROR(X132*VLOOKUP(C132,'General price list'!C:I,7,FALSE),"")</f>
        <v>0</v>
      </c>
      <c r="AA132" s="365" t="str">
        <f>IF(X132&lt;&gt;"",VLOOKUP(C132,'General price list'!C134:AN1107,MATCH("HM",Tabulka1[[#Headers],[KOD]:[NEQ]],0),FALSE),"")</f>
        <v/>
      </c>
    </row>
    <row r="133" spans="1:27">
      <c r="A133">
        <f>COUNTIF($W$22:W133,1)</f>
        <v>0</v>
      </c>
      <c r="B133">
        <v>133</v>
      </c>
      <c r="C133" s="340" t="str">
        <f>Tabulka1[[#This Row],[KOD]]</f>
        <v>SP60S</v>
      </c>
      <c r="W133" t="str">
        <f t="shared" si="2"/>
        <v/>
      </c>
      <c r="Y133" s="341">
        <f>IF('General price list'!$AB135="",0,'General price list'!$AB135)</f>
        <v>0</v>
      </c>
      <c r="Z133" s="365">
        <f>IFERROR(X133*VLOOKUP(C133,'General price list'!C:I,7,FALSE),"")</f>
        <v>0</v>
      </c>
      <c r="AA133" s="365" t="str">
        <f>IF(X133&lt;&gt;"",VLOOKUP(C133,'General price list'!C135:AN1108,MATCH("HM",Tabulka1[[#Headers],[KOD]:[NEQ]],0),FALSE),"")</f>
        <v/>
      </c>
    </row>
    <row r="134" spans="1:27">
      <c r="A134">
        <f>COUNTIF($W$22:W134,1)</f>
        <v>0</v>
      </c>
      <c r="B134">
        <v>134</v>
      </c>
      <c r="C134" s="340" t="str">
        <f>Tabulka1[[#This Row],[KOD]]</f>
        <v>BP60S</v>
      </c>
      <c r="W134" t="str">
        <f t="shared" si="2"/>
        <v/>
      </c>
      <c r="Y134" s="341">
        <f>IF('General price list'!$AB136="",0,'General price list'!$AB136)</f>
        <v>0</v>
      </c>
      <c r="Z134" s="365">
        <f>IFERROR(X134*VLOOKUP(C134,'General price list'!C:I,7,FALSE),"")</f>
        <v>0</v>
      </c>
      <c r="AA134" s="365" t="str">
        <f>IF(X134&lt;&gt;"",VLOOKUP(C134,'General price list'!C136:AN1109,MATCH("HM",Tabulka1[[#Headers],[KOD]:[NEQ]],0),FALSE),"")</f>
        <v/>
      </c>
    </row>
    <row r="135" spans="1:27">
      <c r="A135">
        <f>COUNTIF($W$22:W135,1)</f>
        <v>0</v>
      </c>
      <c r="B135">
        <v>135</v>
      </c>
      <c r="C135" s="340">
        <f>Tabulka1[[#This Row],[KOD]]</f>
        <v>0</v>
      </c>
      <c r="W135" t="str">
        <f t="shared" si="2"/>
        <v/>
      </c>
      <c r="Y135" s="341">
        <f>IF('General price list'!$AB137="",0,'General price list'!$AB137)</f>
        <v>0</v>
      </c>
      <c r="Z135" s="365" t="str">
        <f>IFERROR(X135*VLOOKUP(C135,'General price list'!C:I,7,FALSE),"")</f>
        <v/>
      </c>
      <c r="AA135" s="365" t="str">
        <f>IF(X135&lt;&gt;"",VLOOKUP(C135,'General price list'!C137:AN1110,MATCH("HM",Tabulka1[[#Headers],[KOD]:[NEQ]],0),FALSE),"")</f>
        <v/>
      </c>
    </row>
    <row r="136" spans="1:27">
      <c r="A136">
        <f>COUNTIF($W$22:W136,1)</f>
        <v>0</v>
      </c>
      <c r="B136">
        <v>136</v>
      </c>
      <c r="C136" s="340" t="str">
        <f>Tabulka1[[#This Row],[KOD]]</f>
        <v>S90S</v>
      </c>
      <c r="W136" t="str">
        <f t="shared" si="2"/>
        <v/>
      </c>
      <c r="Y136" s="341">
        <f>IF('General price list'!$AB138="",0,'General price list'!$AB138)</f>
        <v>0</v>
      </c>
      <c r="Z136" s="365">
        <f>IFERROR(X136*VLOOKUP(C136,'General price list'!C:I,7,FALSE),"")</f>
        <v>0</v>
      </c>
      <c r="AA136" s="365" t="str">
        <f>IF(X136&lt;&gt;"",VLOOKUP(C136,'General price list'!C138:AN1111,MATCH("HM",Tabulka1[[#Headers],[KOD]:[NEQ]],0),FALSE),"")</f>
        <v/>
      </c>
    </row>
    <row r="137" spans="1:27">
      <c r="A137">
        <f>COUNTIF($W$22:W137,1)</f>
        <v>0</v>
      </c>
      <c r="B137">
        <v>137</v>
      </c>
      <c r="C137" s="340" t="str">
        <f>Tabulka1[[#This Row],[KOD]]</f>
        <v>S60S</v>
      </c>
      <c r="W137" t="str">
        <f t="shared" si="2"/>
        <v/>
      </c>
      <c r="Y137" s="341">
        <f>IF('General price list'!$AB139="",0,'General price list'!$AB139)</f>
        <v>0</v>
      </c>
      <c r="Z137" s="365">
        <f>IFERROR(X137*VLOOKUP(C137,'General price list'!C:I,7,FALSE),"")</f>
        <v>0</v>
      </c>
      <c r="AA137" s="365" t="str">
        <f>IF(X137&lt;&gt;"",VLOOKUP(C137,'General price list'!C139:AN1112,MATCH("HM",Tabulka1[[#Headers],[KOD]:[NEQ]],0),FALSE),"")</f>
        <v/>
      </c>
    </row>
    <row r="138" spans="1:27">
      <c r="A138">
        <f>COUNTIF($W$22:W138,1)</f>
        <v>0</v>
      </c>
      <c r="B138">
        <v>138</v>
      </c>
      <c r="C138" s="340">
        <f>Tabulka1[[#This Row],[KOD]]</f>
        <v>0</v>
      </c>
      <c r="W138" t="str">
        <f t="shared" si="2"/>
        <v/>
      </c>
      <c r="Y138" s="341">
        <f>IF('General price list'!$AB140="",0,'General price list'!$AB140)</f>
        <v>0</v>
      </c>
      <c r="Z138" s="365" t="str">
        <f>IFERROR(X138*VLOOKUP(C138,'General price list'!C:I,7,FALSE),"")</f>
        <v/>
      </c>
      <c r="AA138" s="365" t="str">
        <f>IF(X138&lt;&gt;"",VLOOKUP(C138,'General price list'!C140:AN1113,MATCH("HM",Tabulka1[[#Headers],[KOD]:[NEQ]],0),FALSE),"")</f>
        <v/>
      </c>
    </row>
    <row r="139" spans="1:27">
      <c r="A139">
        <f>COUNTIF($W$22:W139,1)</f>
        <v>0</v>
      </c>
      <c r="B139">
        <v>139</v>
      </c>
      <c r="C139" s="340" t="str">
        <f>Tabulka1[[#This Row],[KOD]]</f>
        <v>F1M</v>
      </c>
      <c r="W139" t="str">
        <f t="shared" si="2"/>
        <v/>
      </c>
      <c r="Y139" s="341">
        <f>IF('General price list'!$AB141="",0,'General price list'!$AB141)</f>
        <v>0</v>
      </c>
      <c r="Z139" s="365">
        <f>IFERROR(X139*VLOOKUP(C139,'General price list'!C:I,7,FALSE),"")</f>
        <v>0</v>
      </c>
      <c r="AA139" s="365" t="str">
        <f>IF(X139&lt;&gt;"",VLOOKUP(C139,'General price list'!C141:AN1114,MATCH("HM",Tabulka1[[#Headers],[KOD]:[NEQ]],0),FALSE),"")</f>
        <v/>
      </c>
    </row>
    <row r="140" spans="1:27">
      <c r="A140">
        <f>COUNTIF($W$22:W140,1)</f>
        <v>0</v>
      </c>
      <c r="B140">
        <v>140</v>
      </c>
      <c r="C140" s="340" t="str">
        <f>Tabulka1[[#This Row],[KOD]]</f>
        <v>F2M</v>
      </c>
      <c r="W140" t="str">
        <f t="shared" si="2"/>
        <v/>
      </c>
      <c r="Y140" s="341">
        <f>IF('General price list'!$AB142="",0,'General price list'!$AB142)</f>
        <v>0</v>
      </c>
      <c r="Z140" s="365">
        <f>IFERROR(X140*VLOOKUP(C140,'General price list'!C:I,7,FALSE),"")</f>
        <v>0</v>
      </c>
      <c r="AA140" s="365" t="str">
        <f>IF(X140&lt;&gt;"",VLOOKUP(C140,'General price list'!C142:AN1115,MATCH("HM",Tabulka1[[#Headers],[KOD]:[NEQ]],0),FALSE),"")</f>
        <v/>
      </c>
    </row>
    <row r="141" spans="1:27">
      <c r="A141">
        <f>COUNTIF($W$22:W141,1)</f>
        <v>0</v>
      </c>
      <c r="B141">
        <v>141</v>
      </c>
      <c r="C141" s="340" t="str">
        <f>Tabulka1[[#This Row],[KOD]]</f>
        <v>F3CC</v>
      </c>
      <c r="W141" t="str">
        <f t="shared" si="2"/>
        <v/>
      </c>
      <c r="Y141" s="341">
        <f>IF('General price list'!$AB143="",0,'General price list'!$AB143)</f>
        <v>0</v>
      </c>
      <c r="Z141" s="365">
        <f>IFERROR(X141*VLOOKUP(C141,'General price list'!C:I,7,FALSE),"")</f>
        <v>0</v>
      </c>
      <c r="AA141" s="365" t="str">
        <f>IF(X141&lt;&gt;"",VLOOKUP(C141,'General price list'!C143:AN1116,MATCH("HM",Tabulka1[[#Headers],[KOD]:[NEQ]],0),FALSE),"")</f>
        <v/>
      </c>
    </row>
    <row r="142" spans="1:27">
      <c r="A142">
        <f>COUNTIF($W$22:W142,1)</f>
        <v>0</v>
      </c>
      <c r="B142">
        <v>142</v>
      </c>
      <c r="C142" s="340" t="str">
        <f>Tabulka1[[#This Row],[KOD]]</f>
        <v>F6K</v>
      </c>
      <c r="W142" t="str">
        <f t="shared" si="2"/>
        <v/>
      </c>
      <c r="Y142" s="341">
        <f>IF('General price list'!$AB144="",0,'General price list'!$AB144)</f>
        <v>0</v>
      </c>
      <c r="Z142" s="365">
        <f>IFERROR(X142*VLOOKUP(C142,'General price list'!C:I,7,FALSE),"")</f>
        <v>0</v>
      </c>
      <c r="AA142" s="365" t="str">
        <f>IF(X142&lt;&gt;"",VLOOKUP(C142,'General price list'!C144:AN1117,MATCH("HM",Tabulka1[[#Headers],[KOD]:[NEQ]],0),FALSE),"")</f>
        <v/>
      </c>
    </row>
    <row r="143" spans="1:27">
      <c r="A143">
        <f>COUNTIF($W$22:W143,1)</f>
        <v>0</v>
      </c>
      <c r="B143">
        <v>143</v>
      </c>
      <c r="C143" s="340" t="str">
        <f>Tabulka1[[#This Row],[KOD]]</f>
        <v>F16CS</v>
      </c>
      <c r="W143" t="str">
        <f t="shared" si="2"/>
        <v/>
      </c>
      <c r="Y143" s="341">
        <f>IF('General price list'!$AB145="",0,'General price list'!$AB145)</f>
        <v>0</v>
      </c>
      <c r="Z143" s="365">
        <f>IFERROR(X143*VLOOKUP(C143,'General price list'!C:I,7,FALSE),"")</f>
        <v>0</v>
      </c>
      <c r="AA143" s="365" t="str">
        <f>IF(X143&lt;&gt;"",VLOOKUP(C143,'General price list'!C145:AN1118,MATCH("HM",Tabulka1[[#Headers],[KOD]:[NEQ]],0),FALSE),"")</f>
        <v/>
      </c>
    </row>
    <row r="144" spans="1:27">
      <c r="A144">
        <f>COUNTIF($W$22:W144,1)</f>
        <v>0</v>
      </c>
      <c r="B144">
        <v>144</v>
      </c>
      <c r="C144" s="340" t="str">
        <f>Tabulka1[[#This Row],[KOD]]</f>
        <v>F8B</v>
      </c>
      <c r="W144" t="str">
        <f t="shared" si="2"/>
        <v/>
      </c>
      <c r="Y144" s="341">
        <f>IF('General price list'!$AB146="",0,'General price list'!$AB146)</f>
        <v>0</v>
      </c>
      <c r="Z144" s="365">
        <f>IFERROR(X144*VLOOKUP(C144,'General price list'!C:I,7,FALSE),"")</f>
        <v>0</v>
      </c>
      <c r="AA144" s="365" t="str">
        <f>IF(X144&lt;&gt;"",VLOOKUP(C144,'General price list'!C146:AN1119,MATCH("HM",Tabulka1[[#Headers],[KOD]:[NEQ]],0),FALSE),"")</f>
        <v/>
      </c>
    </row>
    <row r="145" spans="1:27">
      <c r="A145">
        <f>COUNTIF($W$22:W145,1)</f>
        <v>0</v>
      </c>
      <c r="B145">
        <v>145</v>
      </c>
      <c r="C145" s="340" t="str">
        <f>Tabulka1[[#This Row],[KOD]]</f>
        <v>F10E</v>
      </c>
      <c r="W145" t="str">
        <f t="shared" si="2"/>
        <v/>
      </c>
      <c r="Y145" s="341">
        <f>IF('General price list'!$AB147="",0,'General price list'!$AB147)</f>
        <v>0</v>
      </c>
      <c r="Z145" s="365">
        <f>IFERROR(X145*VLOOKUP(C145,'General price list'!C:I,7,FALSE),"")</f>
        <v>0</v>
      </c>
      <c r="AA145" s="365" t="str">
        <f>IF(X145&lt;&gt;"",VLOOKUP(C145,'General price list'!C147:AN1120,MATCH("HM",Tabulka1[[#Headers],[KOD]:[NEQ]],0),FALSE),"")</f>
        <v/>
      </c>
    </row>
    <row r="146" spans="1:27">
      <c r="A146">
        <f>COUNTIF($W$22:W146,1)</f>
        <v>0</v>
      </c>
      <c r="B146">
        <v>146</v>
      </c>
      <c r="C146" s="340" t="str">
        <f>Tabulka1[[#This Row],[KOD]]</f>
        <v>F11M</v>
      </c>
      <c r="W146" t="str">
        <f t="shared" si="2"/>
        <v/>
      </c>
      <c r="Y146" s="341">
        <f>IF('General price list'!$AB148="",0,'General price list'!$AB148)</f>
        <v>0</v>
      </c>
      <c r="Z146" s="365">
        <f>IFERROR(X146*VLOOKUP(C146,'General price list'!C:I,7,FALSE),"")</f>
        <v>0</v>
      </c>
      <c r="AA146" s="365" t="str">
        <f>IF(X146&lt;&gt;"",VLOOKUP(C146,'General price list'!C148:AN1121,MATCH("HM",Tabulka1[[#Headers],[KOD]:[NEQ]],0),FALSE),"")</f>
        <v/>
      </c>
    </row>
    <row r="147" spans="1:27">
      <c r="A147">
        <f>COUNTIF($W$22:W147,1)</f>
        <v>0</v>
      </c>
      <c r="B147">
        <v>147</v>
      </c>
      <c r="C147" s="340" t="str">
        <f>Tabulka1[[#This Row],[KOD]]</f>
        <v>F14R</v>
      </c>
      <c r="W147" t="str">
        <f t="shared" si="2"/>
        <v/>
      </c>
      <c r="Y147" s="341">
        <f>IF('General price list'!$AB149="",0,'General price list'!$AB149)</f>
        <v>0</v>
      </c>
      <c r="Z147" s="365">
        <f>IFERROR(X147*VLOOKUP(C147,'General price list'!C:I,7,FALSE),"")</f>
        <v>0</v>
      </c>
      <c r="AA147" s="365" t="str">
        <f>IF(X147&lt;&gt;"",VLOOKUP(C147,'General price list'!C149:AN1122,MATCH("HM",Tabulka1[[#Headers],[KOD]:[NEQ]],0),FALSE),"")</f>
        <v/>
      </c>
    </row>
    <row r="148" spans="1:27">
      <c r="A148">
        <f>COUNTIF($W$22:W148,1)</f>
        <v>0</v>
      </c>
      <c r="B148">
        <v>148</v>
      </c>
      <c r="C148" s="340" t="str">
        <f>Tabulka1[[#This Row],[KOD]]</f>
        <v>F14R F</v>
      </c>
      <c r="W148" t="str">
        <f t="shared" si="2"/>
        <v/>
      </c>
      <c r="Y148" s="341">
        <f>IF('General price list'!$AB150="",0,'General price list'!$AB150)</f>
        <v>0</v>
      </c>
      <c r="Z148" s="365">
        <f>IFERROR(X148*VLOOKUP(C148,'General price list'!C:I,7,FALSE),"")</f>
        <v>0</v>
      </c>
      <c r="AA148" s="365" t="str">
        <f>IF(X148&lt;&gt;"",VLOOKUP(C148,'General price list'!C150:AN1123,MATCH("HM",Tabulka1[[#Headers],[KOD]:[NEQ]],0),FALSE),"")</f>
        <v/>
      </c>
    </row>
    <row r="149" spans="1:27">
      <c r="A149">
        <f>COUNTIF($W$22:W149,1)</f>
        <v>0</v>
      </c>
      <c r="B149">
        <v>149</v>
      </c>
      <c r="C149" s="340" t="str">
        <f>Tabulka1[[#This Row],[KOD]]</f>
        <v>F17S</v>
      </c>
      <c r="W149" t="str">
        <f t="shared" si="2"/>
        <v/>
      </c>
      <c r="Y149" s="341">
        <f>IF('General price list'!$AB151="",0,'General price list'!$AB151)</f>
        <v>0</v>
      </c>
      <c r="Z149" s="365">
        <f>IFERROR(X149*VLOOKUP(C149,'General price list'!C:I,7,FALSE),"")</f>
        <v>0</v>
      </c>
      <c r="AA149" s="365" t="str">
        <f>IF(X149&lt;&gt;"",VLOOKUP(C149,'General price list'!C151:AN1124,MATCH("HM",Tabulka1[[#Headers],[KOD]:[NEQ]],0),FALSE),"")</f>
        <v/>
      </c>
    </row>
    <row r="150" spans="1:27">
      <c r="A150">
        <f>COUNTIF($W$22:W150,1)</f>
        <v>0</v>
      </c>
      <c r="B150">
        <v>150</v>
      </c>
      <c r="C150" s="340" t="str">
        <f>Tabulka1[[#This Row],[KOD]]</f>
        <v>F18NB</v>
      </c>
      <c r="W150" t="str">
        <f t="shared" si="2"/>
        <v/>
      </c>
      <c r="Y150" s="341">
        <f>IF('General price list'!$AB152="",0,'General price list'!$AB152)</f>
        <v>0</v>
      </c>
      <c r="Z150" s="365">
        <f>IFERROR(X150*VLOOKUP(C150,'General price list'!C:I,7,FALSE),"")</f>
        <v>0</v>
      </c>
      <c r="AA150" s="365" t="str">
        <f>IF(X150&lt;&gt;"",VLOOKUP(C150,'General price list'!C152:AN1125,MATCH("HM",Tabulka1[[#Headers],[KOD]:[NEQ]],0),FALSE),"")</f>
        <v/>
      </c>
    </row>
    <row r="151" spans="1:27">
      <c r="A151">
        <f>COUNTIF($W$22:W151,1)</f>
        <v>0</v>
      </c>
      <c r="B151">
        <v>151</v>
      </c>
      <c r="C151" s="340" t="str">
        <f>Tabulka1[[#This Row],[KOD]]</f>
        <v>F216M</v>
      </c>
      <c r="W151" t="str">
        <f t="shared" si="2"/>
        <v/>
      </c>
      <c r="Y151" s="341">
        <f>IF('General price list'!$AB153="",0,'General price list'!$AB153)</f>
        <v>0</v>
      </c>
      <c r="Z151" s="365">
        <f>IFERROR(X151*VLOOKUP(C151,'General price list'!C:I,7,FALSE),"")</f>
        <v>0</v>
      </c>
      <c r="AA151" s="365" t="str">
        <f>IF(X151&lt;&gt;"",VLOOKUP(C151,'General price list'!C153:AN1126,MATCH("HM",Tabulka1[[#Headers],[KOD]:[NEQ]],0),FALSE),"")</f>
        <v/>
      </c>
    </row>
    <row r="152" spans="1:27">
      <c r="A152">
        <f>COUNTIF($W$22:W152,1)</f>
        <v>0</v>
      </c>
      <c r="B152">
        <v>152</v>
      </c>
      <c r="C152" s="340" t="str">
        <f>Tabulka1[[#This Row],[KOD]]</f>
        <v>RK25002F</v>
      </c>
      <c r="W152" t="str">
        <f t="shared" ref="W152:W215" si="3">IF(Y152+1=1,"",1)</f>
        <v/>
      </c>
      <c r="Y152" s="341">
        <f>IF('General price list'!$AB154="",0,'General price list'!$AB154)</f>
        <v>0</v>
      </c>
      <c r="Z152" s="365">
        <f>IFERROR(X152*VLOOKUP(C152,'General price list'!C:I,7,FALSE),"")</f>
        <v>0</v>
      </c>
      <c r="AA152" s="365" t="str">
        <f>IF(X152&lt;&gt;"",VLOOKUP(C152,'General price list'!C154:AN1127,MATCH("HM",Tabulka1[[#Headers],[KOD]:[NEQ]],0),FALSE),"")</f>
        <v/>
      </c>
    </row>
    <row r="153" spans="1:27">
      <c r="A153">
        <f>COUNTIF($W$22:W153,1)</f>
        <v>0</v>
      </c>
      <c r="B153">
        <v>153</v>
      </c>
      <c r="C153" s="340">
        <f>Tabulka1[[#This Row],[KOD]]</f>
        <v>0</v>
      </c>
      <c r="W153" t="str">
        <f t="shared" si="3"/>
        <v/>
      </c>
      <c r="Y153" s="341">
        <f>IF('General price list'!$AB155="",0,'General price list'!$AB155)</f>
        <v>0</v>
      </c>
      <c r="Z153" s="365" t="str">
        <f>IFERROR(X153*VLOOKUP(C153,'General price list'!C:I,7,FALSE),"")</f>
        <v/>
      </c>
      <c r="AA153" s="365" t="str">
        <f>IF(X153&lt;&gt;"",VLOOKUP(C153,'General price list'!C155:AN1128,MATCH("HM",Tabulka1[[#Headers],[KOD]:[NEQ]],0),FALSE),"")</f>
        <v/>
      </c>
    </row>
    <row r="154" spans="1:27">
      <c r="A154">
        <f>COUNTIF($W$22:W154,1)</f>
        <v>0</v>
      </c>
      <c r="B154">
        <v>154</v>
      </c>
      <c r="C154" s="340" t="str">
        <f>Tabulka1[[#This Row],[KOD]]</f>
        <v>F100C</v>
      </c>
      <c r="W154" t="str">
        <f t="shared" si="3"/>
        <v/>
      </c>
      <c r="Y154" s="341">
        <f>IF('General price list'!$AB156="",0,'General price list'!$AB156)</f>
        <v>0</v>
      </c>
      <c r="Z154" s="365">
        <f>IFERROR(X154*VLOOKUP(C154,'General price list'!C:I,7,FALSE),"")</f>
        <v>0</v>
      </c>
      <c r="AA154" s="365" t="str">
        <f>IF(X154&lt;&gt;"",VLOOKUP(C154,'General price list'!C156:AN1129,MATCH("HM",Tabulka1[[#Headers],[KOD]:[NEQ]],0),FALSE),"")</f>
        <v/>
      </c>
    </row>
    <row r="155" spans="1:27">
      <c r="A155">
        <f>COUNTIF($W$22:W155,1)</f>
        <v>0</v>
      </c>
      <c r="B155">
        <v>155</v>
      </c>
      <c r="C155" s="340" t="str">
        <f>Tabulka1[[#This Row],[KOD]]</f>
        <v>F100DC</v>
      </c>
      <c r="W155" t="str">
        <f t="shared" si="3"/>
        <v/>
      </c>
      <c r="Y155" s="341">
        <f>IF('General price list'!$AB157="",0,'General price list'!$AB157)</f>
        <v>0</v>
      </c>
      <c r="Z155" s="365">
        <f>IFERROR(X155*VLOOKUP(C155,'General price list'!C:I,7,FALSE),"")</f>
        <v>0</v>
      </c>
      <c r="AA155" s="365" t="str">
        <f>IF(X155&lt;&gt;"",VLOOKUP(C155,'General price list'!C157:AN1130,MATCH("HM",Tabulka1[[#Headers],[KOD]:[NEQ]],0),FALSE),"")</f>
        <v/>
      </c>
    </row>
    <row r="156" spans="1:27">
      <c r="A156">
        <f>COUNTIF($W$22:W156,1)</f>
        <v>0</v>
      </c>
      <c r="B156">
        <v>156</v>
      </c>
      <c r="C156" s="340" t="str">
        <f>Tabulka1[[#This Row],[KOD]]</f>
        <v>F250SC</v>
      </c>
      <c r="W156" t="str">
        <f t="shared" si="3"/>
        <v/>
      </c>
      <c r="Y156" s="341">
        <f>IF('General price list'!$AB158="",0,'General price list'!$AB158)</f>
        <v>0</v>
      </c>
      <c r="Z156" s="365">
        <f>IFERROR(X156*VLOOKUP(C156,'General price list'!C:I,7,FALSE),"")</f>
        <v>0</v>
      </c>
      <c r="AA156" s="365" t="str">
        <f>IF(X156&lt;&gt;"",VLOOKUP(C156,'General price list'!C158:AN1131,MATCH("HM",Tabulka1[[#Headers],[KOD]:[NEQ]],0),FALSE),"")</f>
        <v/>
      </c>
    </row>
    <row r="157" spans="1:27">
      <c r="A157">
        <f>COUNTIF($W$22:W157,1)</f>
        <v>0</v>
      </c>
      <c r="B157">
        <v>157</v>
      </c>
      <c r="C157" s="340" t="str">
        <f>Tabulka1[[#This Row],[KOD]]</f>
        <v>F250C</v>
      </c>
      <c r="W157" t="str">
        <f t="shared" si="3"/>
        <v/>
      </c>
      <c r="Y157" s="341">
        <f>IF('General price list'!$AB159="",0,'General price list'!$AB159)</f>
        <v>0</v>
      </c>
      <c r="Z157" s="365">
        <f>IFERROR(X157*VLOOKUP(C157,'General price list'!C:I,7,FALSE),"")</f>
        <v>0</v>
      </c>
      <c r="AA157" s="365" t="str">
        <f>IF(X157&lt;&gt;"",VLOOKUP(C157,'General price list'!C159:AN1132,MATCH("HM",Tabulka1[[#Headers],[KOD]:[NEQ]],0),FALSE),"")</f>
        <v/>
      </c>
    </row>
    <row r="158" spans="1:27">
      <c r="A158">
        <f>COUNTIF($W$22:W158,1)</f>
        <v>0</v>
      </c>
      <c r="B158">
        <v>158</v>
      </c>
      <c r="C158" s="340" t="str">
        <f>Tabulka1[[#This Row],[KOD]]</f>
        <v>F500SIG</v>
      </c>
      <c r="W158" t="str">
        <f t="shared" si="3"/>
        <v/>
      </c>
      <c r="Y158" s="341">
        <f>IF('General price list'!$AB160="",0,'General price list'!$AB160)</f>
        <v>0</v>
      </c>
      <c r="Z158" s="365">
        <f>IFERROR(X158*VLOOKUP(C158,'General price list'!C:I,7,FALSE),"")</f>
        <v>0</v>
      </c>
      <c r="AA158" s="365" t="str">
        <f>IF(X158&lt;&gt;"",VLOOKUP(C158,'General price list'!C160:AN1133,MATCH("HM",Tabulka1[[#Headers],[KOD]:[NEQ]],0),FALSE),"")</f>
        <v/>
      </c>
    </row>
    <row r="159" spans="1:27">
      <c r="A159">
        <f>COUNTIF($W$22:W159,1)</f>
        <v>0</v>
      </c>
      <c r="B159">
        <v>159</v>
      </c>
      <c r="C159" s="340" t="str">
        <f>Tabulka1[[#This Row],[KOD]]</f>
        <v>F500SS</v>
      </c>
      <c r="W159" t="str">
        <f t="shared" si="3"/>
        <v/>
      </c>
      <c r="Y159" s="341">
        <f>IF('General price list'!$AB161="",0,'General price list'!$AB161)</f>
        <v>0</v>
      </c>
      <c r="Z159" s="365">
        <f>IFERROR(X159*VLOOKUP(C159,'General price list'!C:I,7,FALSE),"")</f>
        <v>0</v>
      </c>
      <c r="AA159" s="365" t="str">
        <f>IF(X159&lt;&gt;"",VLOOKUP(C159,'General price list'!C161:AN1134,MATCH("HM",Tabulka1[[#Headers],[KOD]:[NEQ]],0),FALSE),"")</f>
        <v/>
      </c>
    </row>
    <row r="160" spans="1:27">
      <c r="A160">
        <f>COUNTIF($W$22:W160,1)</f>
        <v>0</v>
      </c>
      <c r="B160">
        <v>160</v>
      </c>
      <c r="C160" s="340" t="str">
        <f>Tabulka1[[#This Row],[KOD]]</f>
        <v>F500C</v>
      </c>
      <c r="W160" t="str">
        <f t="shared" si="3"/>
        <v/>
      </c>
      <c r="Y160" s="341">
        <f>IF('General price list'!$AB162="",0,'General price list'!$AB162)</f>
        <v>0</v>
      </c>
      <c r="Z160" s="365">
        <f>IFERROR(X160*VLOOKUP(C160,'General price list'!C:I,7,FALSE),"")</f>
        <v>0</v>
      </c>
      <c r="AA160" s="365" t="str">
        <f>IF(X160&lt;&gt;"",VLOOKUP(C160,'General price list'!C162:AN1135,MATCH("HM",Tabulka1[[#Headers],[KOD]:[NEQ]],0),FALSE),"")</f>
        <v/>
      </c>
    </row>
    <row r="161" spans="1:27">
      <c r="A161">
        <f>COUNTIF($W$22:W161,1)</f>
        <v>0</v>
      </c>
      <c r="B161">
        <v>161</v>
      </c>
      <c r="C161" s="340" t="str">
        <f>Tabulka1[[#This Row],[KOD]]</f>
        <v>F1000SS</v>
      </c>
      <c r="W161" t="str">
        <f t="shared" si="3"/>
        <v/>
      </c>
      <c r="Y161" s="341">
        <f>IF('General price list'!$AB163="",0,'General price list'!$AB163)</f>
        <v>0</v>
      </c>
      <c r="Z161" s="365">
        <f>IFERROR(X161*VLOOKUP(C161,'General price list'!C:I,7,FALSE),"")</f>
        <v>0</v>
      </c>
      <c r="AA161" s="365" t="str">
        <f>IF(X161&lt;&gt;"",VLOOKUP(C161,'General price list'!C163:AN1136,MATCH("HM",Tabulka1[[#Headers],[KOD]:[NEQ]],0),FALSE),"")</f>
        <v/>
      </c>
    </row>
    <row r="162" spans="1:27">
      <c r="A162">
        <f>COUNTIF($W$22:W162,1)</f>
        <v>0</v>
      </c>
      <c r="B162">
        <v>162</v>
      </c>
      <c r="C162" s="340" t="str">
        <f>Tabulka1[[#This Row],[KOD]]</f>
        <v>F1500C</v>
      </c>
      <c r="W162" t="str">
        <f t="shared" si="3"/>
        <v/>
      </c>
      <c r="Y162" s="341">
        <f>IF('General price list'!$AB164="",0,'General price list'!$AB164)</f>
        <v>0</v>
      </c>
      <c r="Z162" s="365">
        <f>IFERROR(X162*VLOOKUP(C162,'General price list'!C:I,7,FALSE),"")</f>
        <v>0</v>
      </c>
      <c r="AA162" s="365" t="str">
        <f>IF(X162&lt;&gt;"",VLOOKUP(C162,'General price list'!C164:AN1137,MATCH("HM",Tabulka1[[#Headers],[KOD]:[NEQ]],0),FALSE),"")</f>
        <v/>
      </c>
    </row>
    <row r="163" spans="1:27">
      <c r="A163">
        <f>COUNTIF($W$22:W163,1)</f>
        <v>0</v>
      </c>
      <c r="B163">
        <v>163</v>
      </c>
      <c r="C163" s="340">
        <f>Tabulka1[[#This Row],[KOD]]</f>
        <v>0</v>
      </c>
      <c r="W163" t="str">
        <f t="shared" si="3"/>
        <v/>
      </c>
      <c r="Y163" s="341">
        <f>IF('General price list'!$AB165="",0,'General price list'!$AB165)</f>
        <v>0</v>
      </c>
      <c r="Z163" s="365" t="str">
        <f>IFERROR(X163*VLOOKUP(C163,'General price list'!C:I,7,FALSE),"")</f>
        <v/>
      </c>
      <c r="AA163" s="365" t="str">
        <f>IF(X163&lt;&gt;"",VLOOKUP(C163,'General price list'!C165:AN1138,MATCH("HM",Tabulka1[[#Headers],[KOD]:[NEQ]],0),FALSE),"")</f>
        <v/>
      </c>
    </row>
    <row r="164" spans="1:27">
      <c r="A164">
        <f>COUNTIF($W$22:W164,1)</f>
        <v>0</v>
      </c>
      <c r="B164">
        <v>164</v>
      </c>
      <c r="C164" s="340" t="str">
        <f>Tabulka1[[#This Row],[KOD]]</f>
        <v>F3N</v>
      </c>
      <c r="W164" t="str">
        <f t="shared" si="3"/>
        <v/>
      </c>
      <c r="Y164" s="341">
        <f>IF('General price list'!$AB166="",0,'General price list'!$AB166)</f>
        <v>0</v>
      </c>
      <c r="Z164" s="365">
        <f>IFERROR(X164*VLOOKUP(C164,'General price list'!C:I,7,FALSE),"")</f>
        <v>0</v>
      </c>
      <c r="AA164" s="365" t="str">
        <f>IF(X164&lt;&gt;"",VLOOKUP(C164,'General price list'!C166:AN1139,MATCH("HM",Tabulka1[[#Headers],[KOD]:[NEQ]],0),FALSE),"")</f>
        <v/>
      </c>
    </row>
    <row r="165" spans="1:27">
      <c r="A165">
        <f>COUNTIF($W$22:W165,1)</f>
        <v>0</v>
      </c>
      <c r="B165">
        <v>165</v>
      </c>
      <c r="C165" s="340" t="str">
        <f>Tabulka1[[#This Row],[KOD]]</f>
        <v>DF10CM</v>
      </c>
      <c r="W165" t="str">
        <f t="shared" si="3"/>
        <v/>
      </c>
      <c r="Y165" s="341">
        <f>IF('General price list'!$AB167="",0,'General price list'!$AB167)</f>
        <v>0</v>
      </c>
      <c r="Z165" s="365">
        <f>IFERROR(X165*VLOOKUP(C165,'General price list'!C:I,7,FALSE),"")</f>
        <v>0</v>
      </c>
      <c r="AA165" s="365" t="str">
        <f>IF(X165&lt;&gt;"",VLOOKUP(C165,'General price list'!C167:AN1140,MATCH("HM",Tabulka1[[#Headers],[KOD]:[NEQ]],0),FALSE),"")</f>
        <v/>
      </c>
    </row>
    <row r="166" spans="1:27">
      <c r="A166">
        <f>COUNTIF($W$22:W166,1)</f>
        <v>0</v>
      </c>
      <c r="B166">
        <v>166</v>
      </c>
      <c r="C166" s="340" t="str">
        <f>Tabulka1[[#This Row],[KOD]]</f>
        <v>DF20CM</v>
      </c>
      <c r="W166" t="str">
        <f t="shared" si="3"/>
        <v/>
      </c>
      <c r="Y166" s="341">
        <f>IF('General price list'!$AB168="",0,'General price list'!$AB168)</f>
        <v>0</v>
      </c>
      <c r="Z166" s="365">
        <f>IFERROR(X166*VLOOKUP(C166,'General price list'!C:I,7,FALSE),"")</f>
        <v>0</v>
      </c>
      <c r="AA166" s="365" t="str">
        <f>IF(X166&lt;&gt;"",VLOOKUP(C166,'General price list'!C168:AN1141,MATCH("HM",Tabulka1[[#Headers],[KOD]:[NEQ]],0),FALSE),"")</f>
        <v/>
      </c>
    </row>
    <row r="167" spans="1:27">
      <c r="A167">
        <f>COUNTIF($W$22:W167,1)</f>
        <v>0</v>
      </c>
      <c r="B167">
        <v>167</v>
      </c>
      <c r="C167" s="340" t="str">
        <f>Tabulka1[[#This Row],[KOD]]</f>
        <v>DF30CM</v>
      </c>
      <c r="W167" t="str">
        <f t="shared" si="3"/>
        <v/>
      </c>
      <c r="Y167" s="341">
        <f>IF('General price list'!$AB169="",0,'General price list'!$AB169)</f>
        <v>0</v>
      </c>
      <c r="Z167" s="365">
        <f>IFERROR(X167*VLOOKUP(C167,'General price list'!C:I,7,FALSE),"")</f>
        <v>0</v>
      </c>
      <c r="AA167" s="365" t="str">
        <f>IF(X167&lt;&gt;"",VLOOKUP(C167,'General price list'!C169:AN1142,MATCH("HM",Tabulka1[[#Headers],[KOD]:[NEQ]],0),FALSE),"")</f>
        <v/>
      </c>
    </row>
    <row r="168" spans="1:27">
      <c r="A168">
        <f>COUNTIF($W$22:W168,1)</f>
        <v>0</v>
      </c>
      <c r="B168">
        <v>168</v>
      </c>
      <c r="C168" s="340">
        <f>Tabulka1[[#This Row],[KOD]]</f>
        <v>0</v>
      </c>
      <c r="W168" t="str">
        <f t="shared" si="3"/>
        <v/>
      </c>
      <c r="Y168" s="341">
        <f>IF('General price list'!$AB170="",0,'General price list'!$AB170)</f>
        <v>0</v>
      </c>
      <c r="Z168" s="365" t="str">
        <f>IFERROR(X168*VLOOKUP(C168,'General price list'!C:I,7,FALSE),"")</f>
        <v/>
      </c>
      <c r="AA168" s="365" t="str">
        <f>IF(X168&lt;&gt;"",VLOOKUP(C168,'General price list'!C170:AN1143,MATCH("HM",Tabulka1[[#Headers],[KOD]:[NEQ]],0),FALSE),"")</f>
        <v/>
      </c>
    </row>
    <row r="169" spans="1:27">
      <c r="A169">
        <f>COUNTIF($W$22:W169,1)</f>
        <v>0</v>
      </c>
      <c r="B169">
        <v>169</v>
      </c>
      <c r="C169" s="340" t="str">
        <f>Tabulka1[[#This Row],[KOD]]</f>
        <v>CON80P</v>
      </c>
      <c r="W169" t="str">
        <f t="shared" si="3"/>
        <v/>
      </c>
      <c r="Y169" s="341">
        <f>IF('General price list'!$AB171="",0,'General price list'!$AB171)</f>
        <v>0</v>
      </c>
      <c r="Z169" s="365">
        <f>IFERROR(X169*VLOOKUP(C169,'General price list'!C:I,7,FALSE),"")</f>
        <v>0</v>
      </c>
      <c r="AA169" s="365" t="str">
        <f>IF(X169&lt;&gt;"",VLOOKUP(C169,'General price list'!C171:AN1144,MATCH("HM",Tabulka1[[#Headers],[KOD]:[NEQ]],0),FALSE),"")</f>
        <v/>
      </c>
    </row>
    <row r="170" spans="1:27">
      <c r="A170">
        <f>COUNTIF($W$22:W170,1)</f>
        <v>0</v>
      </c>
      <c r="B170">
        <v>170</v>
      </c>
      <c r="C170" s="340">
        <f>Tabulka1[[#This Row],[KOD]]</f>
        <v>0</v>
      </c>
      <c r="W170" t="str">
        <f t="shared" si="3"/>
        <v/>
      </c>
      <c r="Y170" s="341">
        <f>IF('General price list'!$AB172="",0,'General price list'!$AB172)</f>
        <v>0</v>
      </c>
      <c r="Z170" s="365" t="str">
        <f>IFERROR(X170*VLOOKUP(C170,'General price list'!C:I,7,FALSE),"")</f>
        <v/>
      </c>
      <c r="AA170" s="365" t="str">
        <f>IF(X170&lt;&gt;"",VLOOKUP(C170,'General price list'!C172:AN1145,MATCH("HM",Tabulka1[[#Headers],[KOD]:[NEQ]],0),FALSE),"")</f>
        <v/>
      </c>
    </row>
    <row r="171" spans="1:27">
      <c r="A171">
        <f>COUNTIF($W$22:W171,1)</f>
        <v>0</v>
      </c>
      <c r="B171">
        <v>171</v>
      </c>
      <c r="C171" s="340" t="str">
        <f>Tabulka1[[#This Row],[KOD]]</f>
        <v>R4420B</v>
      </c>
      <c r="W171" t="str">
        <f t="shared" si="3"/>
        <v/>
      </c>
      <c r="Y171" s="341">
        <f>IF('General price list'!$AB173="",0,'General price list'!$AB173)</f>
        <v>0</v>
      </c>
      <c r="Z171" s="365">
        <f>IFERROR(X171*VLOOKUP(C171,'General price list'!C:I,7,FALSE),"")</f>
        <v>0</v>
      </c>
      <c r="AA171" s="365" t="str">
        <f>IF(X171&lt;&gt;"",VLOOKUP(C171,'General price list'!C173:AN1146,MATCH("HM",Tabulka1[[#Headers],[KOD]:[NEQ]],0),FALSE),"")</f>
        <v/>
      </c>
    </row>
    <row r="172" spans="1:27">
      <c r="A172">
        <f>COUNTIF($W$22:W172,1)</f>
        <v>0</v>
      </c>
      <c r="B172">
        <v>172</v>
      </c>
      <c r="C172" s="340" t="str">
        <f>Tabulka1[[#This Row],[KOD]]</f>
        <v>R7040C</v>
      </c>
      <c r="W172" t="str">
        <f t="shared" si="3"/>
        <v/>
      </c>
      <c r="Y172" s="341">
        <f>IF('General price list'!$AB174="",0,'General price list'!$AB174)</f>
        <v>0</v>
      </c>
      <c r="Z172" s="365">
        <f>IFERROR(X172*VLOOKUP(C172,'General price list'!C:I,7,FALSE),"")</f>
        <v>0</v>
      </c>
      <c r="AA172" s="365" t="str">
        <f>IF(X172&lt;&gt;"",VLOOKUP(C172,'General price list'!C174:AN1147,MATCH("HM",Tabulka1[[#Headers],[KOD]:[NEQ]],0),FALSE),"")</f>
        <v/>
      </c>
    </row>
    <row r="173" spans="1:27">
      <c r="A173">
        <f>COUNTIF($W$22:W173,1)</f>
        <v>0</v>
      </c>
      <c r="B173">
        <v>173</v>
      </c>
      <c r="C173" s="340">
        <f>Tabulka1[[#This Row],[KOD]]</f>
        <v>0</v>
      </c>
      <c r="W173" t="str">
        <f t="shared" si="3"/>
        <v/>
      </c>
      <c r="Y173" s="341">
        <f>IF('General price list'!$AB175="",0,'General price list'!$AB175)</f>
        <v>0</v>
      </c>
      <c r="Z173" s="365" t="str">
        <f>IFERROR(X173*VLOOKUP(C173,'General price list'!C:I,7,FALSE),"")</f>
        <v/>
      </c>
      <c r="AA173" s="365" t="str">
        <f>IF(X173&lt;&gt;"",VLOOKUP(C173,'General price list'!C175:AN1148,MATCH("HM",Tabulka1[[#Headers],[KOD]:[NEQ]],0),FALSE),"")</f>
        <v/>
      </c>
    </row>
    <row r="174" spans="1:27">
      <c r="A174">
        <f>COUNTIF($W$22:W174,1)</f>
        <v>0</v>
      </c>
      <c r="B174">
        <v>174</v>
      </c>
      <c r="C174" s="340" t="str">
        <f>Tabulka1[[#This Row],[KOD]]</f>
        <v>R5410B</v>
      </c>
      <c r="W174" t="str">
        <f t="shared" si="3"/>
        <v/>
      </c>
      <c r="Y174" s="341">
        <f>IF('General price list'!$AB176="",0,'General price list'!$AB176)</f>
        <v>0</v>
      </c>
      <c r="Z174" s="365">
        <f>IFERROR(X174*VLOOKUP(C174,'General price list'!C:I,7,FALSE),"")</f>
        <v>0</v>
      </c>
      <c r="AA174" s="365" t="str">
        <f>IF(X174&lt;&gt;"",VLOOKUP(C174,'General price list'!C176:AN1149,MATCH("HM",Tabulka1[[#Headers],[KOD]:[NEQ]],0),FALSE),"")</f>
        <v/>
      </c>
    </row>
    <row r="175" spans="1:27">
      <c r="A175">
        <f>COUNTIF($W$22:W175,1)</f>
        <v>0</v>
      </c>
      <c r="B175">
        <v>175</v>
      </c>
      <c r="C175" s="340" t="str">
        <f>Tabulka1[[#This Row],[KOD]]</f>
        <v>R5420K</v>
      </c>
      <c r="W175" t="str">
        <f t="shared" si="3"/>
        <v/>
      </c>
      <c r="Y175" s="341">
        <f>IF('General price list'!$AB177="",0,'General price list'!$AB177)</f>
        <v>0</v>
      </c>
      <c r="Z175" s="365">
        <f>IFERROR(X175*VLOOKUP(C175,'General price list'!C:I,7,FALSE),"")</f>
        <v>0</v>
      </c>
      <c r="AA175" s="365" t="str">
        <f>IF(X175&lt;&gt;"",VLOOKUP(C175,'General price list'!C177:AN1150,MATCH("HM",Tabulka1[[#Headers],[KOD]:[NEQ]],0),FALSE),"")</f>
        <v/>
      </c>
    </row>
    <row r="176" spans="1:27">
      <c r="A176">
        <f>COUNTIF($W$22:W176,1)</f>
        <v>0</v>
      </c>
      <c r="B176">
        <v>176</v>
      </c>
      <c r="C176" s="340" t="str">
        <f>Tabulka1[[#This Row],[KOD]]</f>
        <v>R7020K</v>
      </c>
      <c r="W176" t="str">
        <f t="shared" si="3"/>
        <v/>
      </c>
      <c r="Y176" s="341">
        <f>IF('General price list'!$AB178="",0,'General price list'!$AB178)</f>
        <v>0</v>
      </c>
      <c r="Z176" s="365">
        <f>IFERROR(X176*VLOOKUP(C176,'General price list'!C:I,7,FALSE),"")</f>
        <v>0</v>
      </c>
      <c r="AA176" s="365" t="str">
        <f>IF(X176&lt;&gt;"",VLOOKUP(C176,'General price list'!C178:AN1151,MATCH("HM",Tabulka1[[#Headers],[KOD]:[NEQ]],0),FALSE),"")</f>
        <v/>
      </c>
    </row>
    <row r="177" spans="1:27">
      <c r="A177">
        <f>COUNTIF($W$22:W177,1)</f>
        <v>0</v>
      </c>
      <c r="B177">
        <v>177</v>
      </c>
      <c r="C177" s="340" t="str">
        <f>Tabulka1[[#This Row],[KOD]]</f>
        <v>R6020B</v>
      </c>
      <c r="W177" t="str">
        <f t="shared" si="3"/>
        <v/>
      </c>
      <c r="Y177" s="341">
        <f>IF('General price list'!$AB179="",0,'General price list'!$AB179)</f>
        <v>0</v>
      </c>
      <c r="Z177" s="365">
        <f>IFERROR(X177*VLOOKUP(C177,'General price list'!C:I,7,FALSE),"")</f>
        <v>0</v>
      </c>
      <c r="AA177" s="365" t="str">
        <f>IF(X177&lt;&gt;"",VLOOKUP(C177,'General price list'!C179:AN1152,MATCH("HM",Tabulka1[[#Headers],[KOD]:[NEQ]],0),FALSE),"")</f>
        <v/>
      </c>
    </row>
    <row r="178" spans="1:27">
      <c r="A178">
        <f>COUNTIF($W$22:W178,1)</f>
        <v>0</v>
      </c>
      <c r="B178">
        <v>178</v>
      </c>
      <c r="C178" s="340" t="str">
        <f>Tabulka1[[#This Row],[KOD]]</f>
        <v>R6520BK/2</v>
      </c>
      <c r="W178" t="str">
        <f t="shared" si="3"/>
        <v/>
      </c>
      <c r="Y178" s="341">
        <f>IF('General price list'!$AB180="",0,'General price list'!$AB180)</f>
        <v>0</v>
      </c>
      <c r="Z178" s="365">
        <f>IFERROR(X178*VLOOKUP(C178,'General price list'!C:I,7,FALSE),"")</f>
        <v>0</v>
      </c>
      <c r="AA178" s="365" t="str">
        <f>IF(X178&lt;&gt;"",VLOOKUP(C178,'General price list'!C180:AN1153,MATCH("HM",Tabulka1[[#Headers],[KOD]:[NEQ]],0),FALSE),"")</f>
        <v/>
      </c>
    </row>
    <row r="179" spans="1:27">
      <c r="A179">
        <f>COUNTIF($W$22:W179,1)</f>
        <v>0</v>
      </c>
      <c r="B179">
        <v>179</v>
      </c>
      <c r="C179" s="340" t="str">
        <f>Tabulka1[[#This Row],[KOD]]</f>
        <v>R6020M</v>
      </c>
      <c r="W179" t="str">
        <f t="shared" si="3"/>
        <v/>
      </c>
      <c r="Y179" s="341">
        <f>IF('General price list'!$AB181="",0,'General price list'!$AB181)</f>
        <v>0</v>
      </c>
      <c r="Z179" s="365">
        <f>IFERROR(X179*VLOOKUP(C179,'General price list'!C:I,7,FALSE),"")</f>
        <v>0</v>
      </c>
      <c r="AA179" s="365" t="str">
        <f>IF(X179&lt;&gt;"",VLOOKUP(C179,'General price list'!C181:AN1154,MATCH("HM",Tabulka1[[#Headers],[KOD]:[NEQ]],0),FALSE),"")</f>
        <v/>
      </c>
    </row>
    <row r="180" spans="1:27">
      <c r="A180">
        <f>COUNTIF($W$22:W180,1)</f>
        <v>0</v>
      </c>
      <c r="B180">
        <v>180</v>
      </c>
      <c r="C180" s="340" t="str">
        <f>Tabulka1[[#This Row],[KOD]]</f>
        <v>R7020M</v>
      </c>
      <c r="W180" t="str">
        <f t="shared" si="3"/>
        <v/>
      </c>
      <c r="Y180" s="341">
        <f>IF('General price list'!$AB182="",0,'General price list'!$AB182)</f>
        <v>0</v>
      </c>
      <c r="Z180" s="365">
        <f>IFERROR(X180*VLOOKUP(C180,'General price list'!C:I,7,FALSE),"")</f>
        <v>0</v>
      </c>
      <c r="AA180" s="365" t="str">
        <f>IF(X180&lt;&gt;"",VLOOKUP(C180,'General price list'!C182:AN1155,MATCH("HM",Tabulka1[[#Headers],[KOD]:[NEQ]],0),FALSE),"")</f>
        <v/>
      </c>
    </row>
    <row r="181" spans="1:27">
      <c r="A181">
        <f>COUNTIF($W$22:W181,1)</f>
        <v>0</v>
      </c>
      <c r="B181">
        <v>181</v>
      </c>
      <c r="C181" s="340">
        <f>Tabulka1[[#This Row],[KOD]]</f>
        <v>0</v>
      </c>
      <c r="W181" t="str">
        <f t="shared" si="3"/>
        <v/>
      </c>
      <c r="Y181" s="341">
        <f>IF('General price list'!$AB183="",0,'General price list'!$AB183)</f>
        <v>0</v>
      </c>
      <c r="Z181" s="365" t="str">
        <f>IFERROR(X181*VLOOKUP(C181,'General price list'!C:I,7,FALSE),"")</f>
        <v/>
      </c>
      <c r="AA181" s="365" t="str">
        <f>IF(X181&lt;&gt;"",VLOOKUP(C181,'General price list'!C183:AN1156,MATCH("HM",Tabulka1[[#Headers],[KOD]:[NEQ]],0),FALSE),"")</f>
        <v/>
      </c>
    </row>
    <row r="182" spans="1:27">
      <c r="A182">
        <f>COUNTIF($W$22:W182,1)</f>
        <v>0</v>
      </c>
      <c r="B182">
        <v>182</v>
      </c>
      <c r="C182" s="340" t="str">
        <f>Tabulka1[[#This Row],[KOD]]</f>
        <v>R60508E</v>
      </c>
      <c r="W182" t="str">
        <f t="shared" si="3"/>
        <v/>
      </c>
      <c r="Y182" s="341">
        <f>IF('General price list'!$AB184="",0,'General price list'!$AB184)</f>
        <v>0</v>
      </c>
      <c r="Z182" s="365">
        <f>IFERROR(X182*VLOOKUP(C182,'General price list'!C:I,7,FALSE),"")</f>
        <v>0</v>
      </c>
      <c r="AA182" s="365" t="str">
        <f>IF(X182&lt;&gt;"",VLOOKUP(C182,'General price list'!C184:AN1157,MATCH("HM",Tabulka1[[#Headers],[KOD]:[NEQ]],0),FALSE),"")</f>
        <v/>
      </c>
    </row>
    <row r="183" spans="1:27">
      <c r="A183">
        <f>COUNTIF($W$22:W183,1)</f>
        <v>0</v>
      </c>
      <c r="B183">
        <v>183</v>
      </c>
      <c r="C183" s="340" t="str">
        <f>Tabulka1[[#This Row],[KOD]]</f>
        <v>R6508S</v>
      </c>
      <c r="W183" t="str">
        <f t="shared" si="3"/>
        <v/>
      </c>
      <c r="Y183" s="341">
        <f>IF('General price list'!$AB185="",0,'General price list'!$AB185)</f>
        <v>0</v>
      </c>
      <c r="Z183" s="365">
        <f>IFERROR(X183*VLOOKUP(C183,'General price list'!C:I,7,FALSE),"")</f>
        <v>0</v>
      </c>
      <c r="AA183" s="365" t="str">
        <f>IF(X183&lt;&gt;"",VLOOKUP(C183,'General price list'!C185:AN1158,MATCH("HM",Tabulka1[[#Headers],[KOD]:[NEQ]],0),FALSE),"")</f>
        <v/>
      </c>
    </row>
    <row r="184" spans="1:27">
      <c r="A184">
        <f>COUNTIF($W$22:W184,1)</f>
        <v>0</v>
      </c>
      <c r="B184">
        <v>184</v>
      </c>
      <c r="C184" s="340" t="str">
        <f>Tabulka1[[#This Row],[KOD]]</f>
        <v>R75508SIG</v>
      </c>
      <c r="W184" t="str">
        <f t="shared" si="3"/>
        <v/>
      </c>
      <c r="Y184" s="341">
        <f>IF('General price list'!$AB186="",0,'General price list'!$AB186)</f>
        <v>0</v>
      </c>
      <c r="Z184" s="365">
        <f>IFERROR(X184*VLOOKUP(C184,'General price list'!C:I,7,FALSE),"")</f>
        <v>0</v>
      </c>
      <c r="AA184" s="365" t="str">
        <f>IF(X184&lt;&gt;"",VLOOKUP(C184,'General price list'!C186:AN1159,MATCH("HM",Tabulka1[[#Headers],[KOD]:[NEQ]],0),FALSE),"")</f>
        <v/>
      </c>
    </row>
    <row r="185" spans="1:27">
      <c r="A185">
        <f>COUNTIF($W$22:W185,1)</f>
        <v>0</v>
      </c>
      <c r="B185">
        <v>185</v>
      </c>
      <c r="C185" s="340">
        <f>Tabulka1[[#This Row],[KOD]]</f>
        <v>0</v>
      </c>
      <c r="W185" t="str">
        <f t="shared" si="3"/>
        <v/>
      </c>
      <c r="Y185" s="341">
        <f>IF('General price list'!$AB187="",0,'General price list'!$AB187)</f>
        <v>0</v>
      </c>
      <c r="Z185" s="365" t="str">
        <f>IFERROR(X185*VLOOKUP(C185,'General price list'!C:I,7,FALSE),"")</f>
        <v/>
      </c>
      <c r="AA185" s="365" t="str">
        <f>IF(X185&lt;&gt;"",VLOOKUP(C185,'General price list'!C187:AN1160,MATCH("HM",Tabulka1[[#Headers],[KOD]:[NEQ]],0),FALSE),"")</f>
        <v/>
      </c>
    </row>
    <row r="186" spans="1:27">
      <c r="A186">
        <f>COUNTIF($W$22:W186,1)</f>
        <v>0</v>
      </c>
      <c r="B186">
        <v>186</v>
      </c>
      <c r="C186" s="340" t="str">
        <f>Tabulka1[[#This Row],[KOD]]</f>
        <v>R5808D</v>
      </c>
      <c r="W186" t="str">
        <f t="shared" si="3"/>
        <v/>
      </c>
      <c r="Y186" s="341">
        <f>IF('General price list'!$AB188="",0,'General price list'!$AB188)</f>
        <v>0</v>
      </c>
      <c r="Z186" s="365">
        <f>IFERROR(X186*VLOOKUP(C186,'General price list'!C:I,7,FALSE),"")</f>
        <v>0</v>
      </c>
      <c r="AA186" s="365" t="str">
        <f>IF(X186&lt;&gt;"",VLOOKUP(C186,'General price list'!C188:AN1161,MATCH("HM",Tabulka1[[#Headers],[KOD]:[NEQ]],0),FALSE),"")</f>
        <v/>
      </c>
    </row>
    <row r="187" spans="1:27">
      <c r="A187">
        <f>COUNTIF($W$22:W187,1)</f>
        <v>0</v>
      </c>
      <c r="B187">
        <v>187</v>
      </c>
      <c r="C187" s="340" t="str">
        <f>Tabulka1[[#This Row],[KOD]]</f>
        <v>R6008E</v>
      </c>
      <c r="W187" t="str">
        <f t="shared" si="3"/>
        <v/>
      </c>
      <c r="Y187" s="341">
        <f>IF('General price list'!$AB189="",0,'General price list'!$AB189)</f>
        <v>0</v>
      </c>
      <c r="Z187" s="365">
        <f>IFERROR(X187*VLOOKUP(C187,'General price list'!C:I,7,FALSE),"")</f>
        <v>0</v>
      </c>
      <c r="AA187" s="365" t="str">
        <f>IF(X187&lt;&gt;"",VLOOKUP(C187,'General price list'!C189:AN1162,MATCH("HM",Tabulka1[[#Headers],[KOD]:[NEQ]],0),FALSE),"")</f>
        <v/>
      </c>
    </row>
    <row r="188" spans="1:27">
      <c r="A188">
        <f>COUNTIF($W$22:W188,1)</f>
        <v>0</v>
      </c>
      <c r="B188">
        <v>188</v>
      </c>
      <c r="C188" s="340" t="str">
        <f>Tabulka1[[#This Row],[KOD]]</f>
        <v>R6008M</v>
      </c>
      <c r="W188" t="str">
        <f t="shared" si="3"/>
        <v/>
      </c>
      <c r="Y188" s="341">
        <f>IF('General price list'!$AB190="",0,'General price list'!$AB190)</f>
        <v>0</v>
      </c>
      <c r="Z188" s="365">
        <f>IFERROR(X188*VLOOKUP(C188,'General price list'!C:I,7,FALSE),"")</f>
        <v>0</v>
      </c>
      <c r="AA188" s="365" t="str">
        <f>IF(X188&lt;&gt;"",VLOOKUP(C188,'General price list'!C190:AN1163,MATCH("HM",Tabulka1[[#Headers],[KOD]:[NEQ]],0),FALSE),"")</f>
        <v/>
      </c>
    </row>
    <row r="189" spans="1:27">
      <c r="A189">
        <f>COUNTIF($W$22:W189,1)</f>
        <v>0</v>
      </c>
      <c r="B189">
        <v>189</v>
      </c>
      <c r="C189" s="340" t="str">
        <f>Tabulka1[[#This Row],[KOD]]</f>
        <v>R7508E</v>
      </c>
      <c r="W189" t="str">
        <f t="shared" si="3"/>
        <v/>
      </c>
      <c r="Y189" s="341">
        <f>IF('General price list'!$AB191="",0,'General price list'!$AB191)</f>
        <v>0</v>
      </c>
      <c r="Z189" s="365">
        <f>IFERROR(X189*VLOOKUP(C189,'General price list'!C:I,7,FALSE),"")</f>
        <v>0</v>
      </c>
      <c r="AA189" s="365" t="str">
        <f>IF(X189&lt;&gt;"",VLOOKUP(C189,'General price list'!C191:AN1164,MATCH("HM",Tabulka1[[#Headers],[KOD]:[NEQ]],0),FALSE),"")</f>
        <v/>
      </c>
    </row>
    <row r="190" spans="1:27">
      <c r="A190">
        <f>COUNTIF($W$22:W190,1)</f>
        <v>0</v>
      </c>
      <c r="B190">
        <v>190</v>
      </c>
      <c r="C190" s="340" t="str">
        <f>Tabulka1[[#This Row],[KOD]]</f>
        <v>R7508SIG</v>
      </c>
      <c r="W190" t="str">
        <f t="shared" si="3"/>
        <v/>
      </c>
      <c r="Y190" s="341">
        <f>IF('General price list'!$AB192="",0,'General price list'!$AB192)</f>
        <v>0</v>
      </c>
      <c r="Z190" s="365">
        <f>IFERROR(X190*VLOOKUP(C190,'General price list'!C:I,7,FALSE),"")</f>
        <v>0</v>
      </c>
      <c r="AA190" s="365" t="str">
        <f>IF(X190&lt;&gt;"",VLOOKUP(C190,'General price list'!C192:AN1165,MATCH("HM",Tabulka1[[#Headers],[KOD]:[NEQ]],0),FALSE),"")</f>
        <v/>
      </c>
    </row>
    <row r="191" spans="1:27">
      <c r="A191">
        <f>COUNTIF($W$22:W191,1)</f>
        <v>0</v>
      </c>
      <c r="B191">
        <v>191</v>
      </c>
      <c r="C191" s="340">
        <f>Tabulka1[[#This Row],[KOD]]</f>
        <v>0</v>
      </c>
      <c r="W191" t="str">
        <f t="shared" si="3"/>
        <v/>
      </c>
      <c r="Y191" s="341">
        <f>IF('General price list'!$AB193="",0,'General price list'!$AB193)</f>
        <v>0</v>
      </c>
      <c r="Z191" s="365" t="str">
        <f>IFERROR(X191*VLOOKUP(C191,'General price list'!C:I,7,FALSE),"")</f>
        <v/>
      </c>
      <c r="AA191" s="365" t="str">
        <f>IF(X191&lt;&gt;"",VLOOKUP(C191,'General price list'!C193:AN1166,MATCH("HM",Tabulka1[[#Headers],[KOD]:[NEQ]],0),FALSE),"")</f>
        <v/>
      </c>
    </row>
    <row r="192" spans="1:27">
      <c r="A192">
        <f>COUNTIF($W$22:W192,1)</f>
        <v>0</v>
      </c>
      <c r="B192">
        <v>192</v>
      </c>
      <c r="C192" s="340" t="str">
        <f>Tabulka1[[#This Row],[KOD]]</f>
        <v>R7538S</v>
      </c>
      <c r="W192" t="str">
        <f t="shared" si="3"/>
        <v/>
      </c>
      <c r="Y192" s="341">
        <f>IF('General price list'!$AB194="",0,'General price list'!$AB194)</f>
        <v>0</v>
      </c>
      <c r="Z192" s="365">
        <f>IFERROR(X192*VLOOKUP(C192,'General price list'!C:I,7,FALSE),"")</f>
        <v>0</v>
      </c>
      <c r="AA192" s="365" t="str">
        <f>IF(X192&lt;&gt;"",VLOOKUP(C192,'General price list'!C194:AN1167,MATCH("HM",Tabulka1[[#Headers],[KOD]:[NEQ]],0),FALSE),"")</f>
        <v/>
      </c>
    </row>
    <row r="193" spans="1:27">
      <c r="A193">
        <f>COUNTIF($W$22:W193,1)</f>
        <v>0</v>
      </c>
      <c r="B193">
        <v>193</v>
      </c>
      <c r="C193" s="340" t="str">
        <f>Tabulka1[[#This Row],[KOD]]</f>
        <v>R7538I</v>
      </c>
      <c r="W193" t="str">
        <f t="shared" si="3"/>
        <v/>
      </c>
      <c r="Y193" s="341">
        <f>IF('General price list'!$AB195="",0,'General price list'!$AB195)</f>
        <v>0</v>
      </c>
      <c r="Z193" s="365">
        <f>IFERROR(X193*VLOOKUP(C193,'General price list'!C:I,7,FALSE),"")</f>
        <v>0</v>
      </c>
      <c r="AA193" s="365" t="str">
        <f>IF(X193&lt;&gt;"",VLOOKUP(C193,'General price list'!C195:AN1168,MATCH("HM",Tabulka1[[#Headers],[KOD]:[NEQ]],0),FALSE),"")</f>
        <v/>
      </c>
    </row>
    <row r="194" spans="1:27">
      <c r="A194">
        <f>COUNTIF($W$22:W194,1)</f>
        <v>0</v>
      </c>
      <c r="B194">
        <v>194</v>
      </c>
      <c r="C194" s="340">
        <f>Tabulka1[[#This Row],[KOD]]</f>
        <v>0</v>
      </c>
      <c r="W194" t="str">
        <f t="shared" si="3"/>
        <v/>
      </c>
      <c r="Y194" s="341">
        <f>IF('General price list'!$AB196="",0,'General price list'!$AB196)</f>
        <v>0</v>
      </c>
      <c r="Z194" s="365" t="str">
        <f>IFERROR(X194*VLOOKUP(C194,'General price list'!C:I,7,FALSE),"")</f>
        <v/>
      </c>
      <c r="AA194" s="365" t="str">
        <f>IF(X194&lt;&gt;"",VLOOKUP(C194,'General price list'!C196:AN1169,MATCH("HM",Tabulka1[[#Headers],[KOD]:[NEQ]],0),FALSE),"")</f>
        <v/>
      </c>
    </row>
    <row r="195" spans="1:27">
      <c r="A195">
        <f>COUNTIF($W$22:W195,1)</f>
        <v>0</v>
      </c>
      <c r="B195">
        <v>195</v>
      </c>
      <c r="C195" s="340" t="str">
        <f>Tabulka1[[#This Row],[KOD]]</f>
        <v>GAT300</v>
      </c>
      <c r="W195" t="str">
        <f t="shared" si="3"/>
        <v/>
      </c>
      <c r="Y195" s="341">
        <f>IF('General price list'!$AB197="",0,'General price list'!$AB197)</f>
        <v>0</v>
      </c>
      <c r="Z195" s="365">
        <f>IFERROR(X195*VLOOKUP(C195,'General price list'!C:I,7,FALSE),"")</f>
        <v>0</v>
      </c>
      <c r="AA195" s="365" t="str">
        <f>IF(X195&lt;&gt;"",VLOOKUP(C195,'General price list'!C197:AN1170,MATCH("HM",Tabulka1[[#Headers],[KOD]:[NEQ]],0),FALSE),"")</f>
        <v/>
      </c>
    </row>
    <row r="196" spans="1:27">
      <c r="A196">
        <f>COUNTIF($W$22:W196,1)</f>
        <v>0</v>
      </c>
      <c r="B196">
        <v>196</v>
      </c>
      <c r="C196" s="340" t="str">
        <f>Tabulka1[[#This Row],[KOD]]</f>
        <v>R100M</v>
      </c>
      <c r="W196" t="str">
        <f t="shared" si="3"/>
        <v/>
      </c>
      <c r="Y196" s="341">
        <f>IF('General price list'!$AB198="",0,'General price list'!$AB198)</f>
        <v>0</v>
      </c>
      <c r="Z196" s="365">
        <f>IFERROR(X196*VLOOKUP(C196,'General price list'!C:I,7,FALSE),"")</f>
        <v>0</v>
      </c>
      <c r="AA196" s="365" t="str">
        <f>IF(X196&lt;&gt;"",VLOOKUP(C196,'General price list'!C198:AN1171,MATCH("HM",Tabulka1[[#Headers],[KOD]:[NEQ]],0),FALSE),"")</f>
        <v/>
      </c>
    </row>
    <row r="197" spans="1:27">
      <c r="A197">
        <f>COUNTIF($W$22:W197,1)</f>
        <v>0</v>
      </c>
      <c r="B197">
        <v>197</v>
      </c>
      <c r="C197" s="340">
        <f>Tabulka1[[#This Row],[KOD]]</f>
        <v>0</v>
      </c>
      <c r="W197" t="str">
        <f t="shared" si="3"/>
        <v/>
      </c>
      <c r="Y197" s="341">
        <f>IF('General price list'!$AB199="",0,'General price list'!$AB199)</f>
        <v>0</v>
      </c>
      <c r="Z197" s="365" t="str">
        <f>IFERROR(X197*VLOOKUP(C197,'General price list'!C:I,7,FALSE),"")</f>
        <v/>
      </c>
      <c r="AA197" s="365" t="str">
        <f>IF(X197&lt;&gt;"",VLOOKUP(C197,'General price list'!C199:AN1172,MATCH("HM",Tabulka1[[#Headers],[KOD]:[NEQ]],0),FALSE),"")</f>
        <v/>
      </c>
    </row>
    <row r="198" spans="1:27">
      <c r="A198">
        <f>COUNTIF($W$22:W198,1)</f>
        <v>0</v>
      </c>
      <c r="B198">
        <v>198</v>
      </c>
      <c r="C198" s="340" t="str">
        <f>Tabulka1[[#This Row],[KOD]]</f>
        <v>SS14D</v>
      </c>
      <c r="W198" t="str">
        <f t="shared" si="3"/>
        <v/>
      </c>
      <c r="Y198" s="341">
        <f>IF('General price list'!$AB200="",0,'General price list'!$AB200)</f>
        <v>0</v>
      </c>
      <c r="Z198" s="365">
        <f>IFERROR(X198*VLOOKUP(C198,'General price list'!C:I,7,FALSE),"")</f>
        <v>0</v>
      </c>
      <c r="AA198" s="365" t="str">
        <f>IF(X198&lt;&gt;"",VLOOKUP(C198,'General price list'!C200:AN1173,MATCH("HM",Tabulka1[[#Headers],[KOD]:[NEQ]],0),FALSE),"")</f>
        <v/>
      </c>
    </row>
    <row r="199" spans="1:27">
      <c r="A199">
        <f>COUNTIF($W$22:W199,1)</f>
        <v>0</v>
      </c>
      <c r="B199">
        <v>199</v>
      </c>
      <c r="C199" s="340" t="str">
        <f>Tabulka1[[#This Row],[KOD]]</f>
        <v>SS20D</v>
      </c>
      <c r="W199" t="str">
        <f t="shared" si="3"/>
        <v/>
      </c>
      <c r="Y199" s="341">
        <f>IF('General price list'!$AB201="",0,'General price list'!$AB201)</f>
        <v>0</v>
      </c>
      <c r="Z199" s="365">
        <f>IFERROR(X199*VLOOKUP(C199,'General price list'!C:I,7,FALSE),"")</f>
        <v>0</v>
      </c>
      <c r="AA199" s="365" t="str">
        <f>IF(X199&lt;&gt;"",VLOOKUP(C199,'General price list'!C201:AN1174,MATCH("HM",Tabulka1[[#Headers],[KOD]:[NEQ]],0),FALSE),"")</f>
        <v/>
      </c>
    </row>
    <row r="200" spans="1:27">
      <c r="A200">
        <f>COUNTIF($W$22:W200,1)</f>
        <v>0</v>
      </c>
      <c r="B200">
        <v>200</v>
      </c>
      <c r="C200" s="340" t="str">
        <f>Tabulka1[[#This Row],[KOD]]</f>
        <v>SS20SIG14</v>
      </c>
      <c r="W200" t="str">
        <f t="shared" si="3"/>
        <v/>
      </c>
      <c r="Y200" s="341">
        <f>IF('General price list'!$AB202="",0,'General price list'!$AB202)</f>
        <v>0</v>
      </c>
      <c r="Z200" s="365">
        <f>IFERROR(X200*VLOOKUP(C200,'General price list'!C:I,7,FALSE),"")</f>
        <v>0</v>
      </c>
      <c r="AA200" s="365" t="str">
        <f>IF(X200&lt;&gt;"",VLOOKUP(C200,'General price list'!C202:AN1175,MATCH("HM",Tabulka1[[#Headers],[KOD]:[NEQ]],0),FALSE),"")</f>
        <v/>
      </c>
    </row>
    <row r="201" spans="1:27">
      <c r="A201">
        <f>COUNTIF($W$22:W201,1)</f>
        <v>0</v>
      </c>
      <c r="B201">
        <v>201</v>
      </c>
      <c r="C201" s="340" t="str">
        <f>Tabulka1[[#This Row],[KOD]]</f>
        <v>SS25SC</v>
      </c>
      <c r="W201" t="str">
        <f t="shared" si="3"/>
        <v/>
      </c>
      <c r="Y201" s="341">
        <f>IF('General price list'!$AB203="",0,'General price list'!$AB203)</f>
        <v>0</v>
      </c>
      <c r="Z201" s="365">
        <f>IFERROR(X201*VLOOKUP(C201,'General price list'!C:I,7,FALSE),"")</f>
        <v>0</v>
      </c>
      <c r="AA201" s="365" t="str">
        <f>IF(X201&lt;&gt;"",VLOOKUP(C201,'General price list'!C203:AN1176,MATCH("HM",Tabulka1[[#Headers],[KOD]:[NEQ]],0),FALSE),"")</f>
        <v/>
      </c>
    </row>
    <row r="202" spans="1:27">
      <c r="A202">
        <f>COUNTIF($W$22:W202,1)</f>
        <v>0</v>
      </c>
      <c r="B202">
        <v>202</v>
      </c>
      <c r="C202" s="340" t="str">
        <f>Tabulka1[[#This Row],[KOD]]</f>
        <v>SS25SIG14</v>
      </c>
      <c r="W202" t="str">
        <f t="shared" si="3"/>
        <v/>
      </c>
      <c r="Y202" s="341">
        <f>IF('General price list'!$AB204="",0,'General price list'!$AB204)</f>
        <v>0</v>
      </c>
      <c r="Z202" s="365">
        <f>IFERROR(X202*VLOOKUP(C202,'General price list'!C:I,7,FALSE),"")</f>
        <v>0</v>
      </c>
      <c r="AA202" s="365" t="str">
        <f>IF(X202&lt;&gt;"",VLOOKUP(C202,'General price list'!C204:AN1177,MATCH("HM",Tabulka1[[#Headers],[KOD]:[NEQ]],0),FALSE),"")</f>
        <v/>
      </c>
    </row>
    <row r="203" spans="1:27">
      <c r="A203">
        <f>COUNTIF($W$22:W203,1)</f>
        <v>0</v>
      </c>
      <c r="B203">
        <v>203</v>
      </c>
      <c r="C203" s="340" t="str">
        <f>Tabulka1[[#This Row],[KOD]]</f>
        <v>SS25DU14</v>
      </c>
      <c r="W203" t="str">
        <f t="shared" si="3"/>
        <v/>
      </c>
      <c r="Y203" s="341">
        <f>IF('General price list'!$AB205="",0,'General price list'!$AB205)</f>
        <v>0</v>
      </c>
      <c r="Z203" s="365">
        <f>IFERROR(X203*VLOOKUP(C203,'General price list'!C:I,7,FALSE),"")</f>
        <v>0</v>
      </c>
      <c r="AA203" s="365" t="str">
        <f>IF(X203&lt;&gt;"",VLOOKUP(C203,'General price list'!C205:AN1178,MATCH("HM",Tabulka1[[#Headers],[KOD]:[NEQ]],0),FALSE),"")</f>
        <v/>
      </c>
    </row>
    <row r="204" spans="1:27">
      <c r="A204">
        <f>COUNTIF($W$22:W204,1)</f>
        <v>0</v>
      </c>
      <c r="B204">
        <v>204</v>
      </c>
      <c r="C204" s="340" t="str">
        <f>Tabulka1[[#This Row],[KOD]]</f>
        <v>SS30A14</v>
      </c>
      <c r="W204" t="str">
        <f t="shared" si="3"/>
        <v/>
      </c>
      <c r="Y204" s="341">
        <f>IF('General price list'!$AB206="",0,'General price list'!$AB206)</f>
        <v>0</v>
      </c>
      <c r="Z204" s="365">
        <f>IFERROR(X204*VLOOKUP(C204,'General price list'!C:I,7,FALSE),"")</f>
        <v>0</v>
      </c>
      <c r="AA204" s="365" t="str">
        <f>IF(X204&lt;&gt;"",VLOOKUP(C204,'General price list'!C206:AN1179,MATCH("HM",Tabulka1[[#Headers],[KOD]:[NEQ]],0),FALSE),"")</f>
        <v/>
      </c>
    </row>
    <row r="205" spans="1:27">
      <c r="A205">
        <f>COUNTIF($W$22:W205,1)</f>
        <v>0</v>
      </c>
      <c r="B205">
        <v>205</v>
      </c>
      <c r="C205" s="340" t="str">
        <f>Tabulka1[[#This Row],[KOD]]</f>
        <v>SS30SIGF2</v>
      </c>
      <c r="W205" t="str">
        <f t="shared" si="3"/>
        <v/>
      </c>
      <c r="Y205" s="341">
        <f>IF('General price list'!$AB207="",0,'General price list'!$AB207)</f>
        <v>0</v>
      </c>
      <c r="Z205" s="365">
        <f>IFERROR(X205*VLOOKUP(C205,'General price list'!C:I,7,FALSE),"")</f>
        <v>0</v>
      </c>
      <c r="AA205" s="365" t="str">
        <f>IF(X205&lt;&gt;"",VLOOKUP(C205,'General price list'!C207:AN1180,MATCH("HM",Tabulka1[[#Headers],[KOD]:[NEQ]],0),FALSE),"")</f>
        <v/>
      </c>
    </row>
    <row r="206" spans="1:27">
      <c r="A206">
        <f>COUNTIF($W$22:W206,1)</f>
        <v>0</v>
      </c>
      <c r="B206">
        <v>206</v>
      </c>
      <c r="C206" s="340">
        <f>Tabulka1[[#This Row],[KOD]]</f>
        <v>0</v>
      </c>
      <c r="W206" t="str">
        <f t="shared" si="3"/>
        <v/>
      </c>
      <c r="Y206" s="341">
        <f>IF('General price list'!$AB208="",0,'General price list'!$AB208)</f>
        <v>0</v>
      </c>
      <c r="Z206" s="365" t="str">
        <f>IFERROR(X206*VLOOKUP(C206,'General price list'!C:I,7,FALSE),"")</f>
        <v/>
      </c>
      <c r="AA206" s="365" t="str">
        <f>IF(X206&lt;&gt;"",VLOOKUP(C206,'General price list'!C208:AN1181,MATCH("HM",Tabulka1[[#Headers],[KOD]:[NEQ]],0),FALSE),"")</f>
        <v/>
      </c>
    </row>
    <row r="207" spans="1:27">
      <c r="A207">
        <f>COUNTIF($W$22:W207,1)</f>
        <v>0</v>
      </c>
      <c r="B207">
        <v>207</v>
      </c>
      <c r="C207" s="340" t="str">
        <f>Tabulka1[[#This Row],[KOD]]</f>
        <v>SS30D</v>
      </c>
      <c r="W207" t="str">
        <f t="shared" si="3"/>
        <v/>
      </c>
      <c r="Y207" s="341">
        <f>IF('General price list'!$AB209="",0,'General price list'!$AB209)</f>
        <v>0</v>
      </c>
      <c r="Z207" s="365">
        <f>IFERROR(X207*VLOOKUP(C207,'General price list'!C:I,7,FALSE),"")</f>
        <v>0</v>
      </c>
      <c r="AA207" s="365" t="str">
        <f>IF(X207&lt;&gt;"",VLOOKUP(C207,'General price list'!C209:AN1182,MATCH("HM",Tabulka1[[#Headers],[KOD]:[NEQ]],0),FALSE),"")</f>
        <v/>
      </c>
    </row>
    <row r="208" spans="1:27">
      <c r="A208">
        <f>COUNTIF($W$22:W208,1)</f>
        <v>0</v>
      </c>
      <c r="B208">
        <v>208</v>
      </c>
      <c r="C208" s="340" t="str">
        <f>Tabulka1[[#This Row],[KOD]]</f>
        <v>SS30A</v>
      </c>
      <c r="W208" t="str">
        <f t="shared" si="3"/>
        <v/>
      </c>
      <c r="Y208" s="341">
        <f>IF('General price list'!$AB210="",0,'General price list'!$AB210)</f>
        <v>0</v>
      </c>
      <c r="Z208" s="365">
        <f>IFERROR(X208*VLOOKUP(C208,'General price list'!C:I,7,FALSE),"")</f>
        <v>0</v>
      </c>
      <c r="AA208" s="365" t="str">
        <f>IF(X208&lt;&gt;"",VLOOKUP(C208,'General price list'!C210:AN1183,MATCH("HM",Tabulka1[[#Headers],[KOD]:[NEQ]],0),FALSE),"")</f>
        <v/>
      </c>
    </row>
    <row r="209" spans="1:27">
      <c r="A209">
        <f>COUNTIF($W$22:W209,1)</f>
        <v>0</v>
      </c>
      <c r="B209">
        <v>209</v>
      </c>
      <c r="C209" s="340" t="str">
        <f>Tabulka1[[#This Row],[KOD]]</f>
        <v>SS37K</v>
      </c>
      <c r="W209" t="str">
        <f t="shared" si="3"/>
        <v/>
      </c>
      <c r="Y209" s="341">
        <f>IF('General price list'!$AB211="",0,'General price list'!$AB211)</f>
        <v>0</v>
      </c>
      <c r="Z209" s="365">
        <f>IFERROR(X209*VLOOKUP(C209,'General price list'!C:I,7,FALSE),"")</f>
        <v>0</v>
      </c>
      <c r="AA209" s="365" t="str">
        <f>IF(X209&lt;&gt;"",VLOOKUP(C209,'General price list'!C211:AN1184,MATCH("HM",Tabulka1[[#Headers],[KOD]:[NEQ]],0),FALSE),"")</f>
        <v/>
      </c>
    </row>
    <row r="210" spans="1:27">
      <c r="A210">
        <f>COUNTIF($W$22:W210,1)</f>
        <v>0</v>
      </c>
      <c r="B210">
        <v>210</v>
      </c>
      <c r="C210" s="340" t="str">
        <f>Tabulka1[[#This Row],[KOD]]</f>
        <v>SS50K</v>
      </c>
      <c r="W210" t="str">
        <f t="shared" si="3"/>
        <v/>
      </c>
      <c r="Y210" s="341">
        <f>IF('General price list'!$AB212="",0,'General price list'!$AB212)</f>
        <v>0</v>
      </c>
      <c r="Z210" s="365">
        <f>IFERROR(X210*VLOOKUP(C210,'General price list'!C:I,7,FALSE),"")</f>
        <v>0</v>
      </c>
      <c r="AA210" s="365" t="str">
        <f>IF(X210&lt;&gt;"",VLOOKUP(C210,'General price list'!C212:AN1185,MATCH("HM",Tabulka1[[#Headers],[KOD]:[NEQ]],0),FALSE),"")</f>
        <v/>
      </c>
    </row>
    <row r="211" spans="1:27">
      <c r="A211">
        <f>COUNTIF($W$22:W211,1)</f>
        <v>0</v>
      </c>
      <c r="B211">
        <v>211</v>
      </c>
      <c r="C211" s="340">
        <f>Tabulka1[[#This Row],[KOD]]</f>
        <v>0</v>
      </c>
      <c r="W211" t="str">
        <f t="shared" si="3"/>
        <v/>
      </c>
      <c r="Y211" s="341">
        <f>IF('General price list'!$AB213="",0,'General price list'!$AB213)</f>
        <v>0</v>
      </c>
      <c r="Z211" s="365" t="str">
        <f>IFERROR(X211*VLOOKUP(C211,'General price list'!C:I,7,FALSE),"")</f>
        <v/>
      </c>
      <c r="AA211" s="365" t="str">
        <f>IF(X211&lt;&gt;"",VLOOKUP(C211,'General price list'!C213:AN1186,MATCH("HM",Tabulka1[[#Headers],[KOD]:[NEQ]],0),FALSE),"")</f>
        <v/>
      </c>
    </row>
    <row r="212" spans="1:27">
      <c r="A212">
        <f>COUNTIF($W$22:W212,1)</f>
        <v>0</v>
      </c>
      <c r="B212">
        <v>212</v>
      </c>
      <c r="C212" s="340" t="str">
        <f>Tabulka1[[#This Row],[KOD]]</f>
        <v>SS50NO14</v>
      </c>
      <c r="W212" t="str">
        <f t="shared" si="3"/>
        <v/>
      </c>
      <c r="Y212" s="341">
        <f>IF('General price list'!$AB214="",0,'General price list'!$AB214)</f>
        <v>0</v>
      </c>
      <c r="Z212" s="365">
        <f>IFERROR(X212*VLOOKUP(C212,'General price list'!C:I,7,FALSE),"")</f>
        <v>0</v>
      </c>
      <c r="AA212" s="365" t="str">
        <f>IF(X212&lt;&gt;"",VLOOKUP(C212,'General price list'!C214:AN1187,MATCH("HM",Tabulka1[[#Headers],[KOD]:[NEQ]],0),FALSE),"")</f>
        <v/>
      </c>
    </row>
    <row r="213" spans="1:27">
      <c r="A213">
        <f>COUNTIF($W$22:W213,1)</f>
        <v>0</v>
      </c>
      <c r="B213">
        <v>213</v>
      </c>
      <c r="C213" s="340" t="str">
        <f>Tabulka1[[#This Row],[KOD]]</f>
        <v>SS50DU14</v>
      </c>
      <c r="W213" t="str">
        <f t="shared" si="3"/>
        <v/>
      </c>
      <c r="Y213" s="341">
        <f>IF('General price list'!$AB215="",0,'General price list'!$AB215)</f>
        <v>0</v>
      </c>
      <c r="Z213" s="365">
        <f>IFERROR(X213*VLOOKUP(C213,'General price list'!C:I,7,FALSE),"")</f>
        <v>0</v>
      </c>
      <c r="AA213" s="365" t="str">
        <f>IF(X213&lt;&gt;"",VLOOKUP(C213,'General price list'!C215:AN1188,MATCH("HM",Tabulka1[[#Headers],[KOD]:[NEQ]],0),FALSE),"")</f>
        <v/>
      </c>
    </row>
    <row r="214" spans="1:27">
      <c r="A214">
        <f>COUNTIF($W$22:W214,1)</f>
        <v>0</v>
      </c>
      <c r="B214">
        <v>214</v>
      </c>
      <c r="C214" s="340">
        <f>Tabulka1[[#This Row],[KOD]]</f>
        <v>0</v>
      </c>
      <c r="W214" t="str">
        <f t="shared" si="3"/>
        <v/>
      </c>
      <c r="Y214" s="341">
        <f>IF('General price list'!$AB216="",0,'General price list'!$AB216)</f>
        <v>0</v>
      </c>
      <c r="Z214" s="365" t="str">
        <f>IFERROR(X214*VLOOKUP(C214,'General price list'!C:I,7,FALSE),"")</f>
        <v/>
      </c>
      <c r="AA214" s="365" t="str">
        <f>IF(X214&lt;&gt;"",VLOOKUP(C214,'General price list'!C216:AN1189,MATCH("HM",Tabulka1[[#Headers],[KOD]:[NEQ]],0),FALSE),"")</f>
        <v/>
      </c>
    </row>
    <row r="215" spans="1:27">
      <c r="A215">
        <f>COUNTIF($W$22:W215,1)</f>
        <v>0</v>
      </c>
      <c r="B215">
        <v>215</v>
      </c>
      <c r="C215" s="340" t="str">
        <f>Tabulka1[[#This Row],[KOD]]</f>
        <v>C320D</v>
      </c>
      <c r="W215" t="str">
        <f t="shared" si="3"/>
        <v/>
      </c>
      <c r="Y215" s="341">
        <f>IF('General price list'!$AB217="",0,'General price list'!$AB217)</f>
        <v>0</v>
      </c>
      <c r="Z215" s="365">
        <f>IFERROR(X215*VLOOKUP(C215,'General price list'!C:I,7,FALSE),"")</f>
        <v>0</v>
      </c>
      <c r="AA215" s="365" t="str">
        <f>IF(X215&lt;&gt;"",VLOOKUP(C215,'General price list'!C217:AN1190,MATCH("HM",Tabulka1[[#Headers],[KOD]:[NEQ]],0),FALSE),"")</f>
        <v/>
      </c>
    </row>
    <row r="216" spans="1:27">
      <c r="A216">
        <f>COUNTIF($W$22:W216,1)</f>
        <v>0</v>
      </c>
      <c r="B216">
        <v>216</v>
      </c>
      <c r="C216" s="340" t="str">
        <f>Tabulka1[[#This Row],[KOD]]</f>
        <v>C320B</v>
      </c>
      <c r="W216" t="str">
        <f t="shared" ref="W216:W279" si="4">IF(Y216+1=1,"",1)</f>
        <v/>
      </c>
      <c r="Y216" s="341">
        <f>IF('General price list'!$AB218="",0,'General price list'!$AB218)</f>
        <v>0</v>
      </c>
      <c r="Z216" s="365">
        <f>IFERROR(X216*VLOOKUP(C216,'General price list'!C:I,7,FALSE),"")</f>
        <v>0</v>
      </c>
      <c r="AA216" s="365" t="str">
        <f>IF(X216&lt;&gt;"",VLOOKUP(C216,'General price list'!C218:AN1191,MATCH("HM",Tabulka1[[#Headers],[KOD]:[NEQ]],0),FALSE),"")</f>
        <v/>
      </c>
    </row>
    <row r="217" spans="1:27">
      <c r="A217">
        <f>COUNTIF($W$22:W217,1)</f>
        <v>0</v>
      </c>
      <c r="B217">
        <v>217</v>
      </c>
      <c r="C217" s="340" t="str">
        <f>Tabulka1[[#This Row],[KOD]]</f>
        <v>C320X14</v>
      </c>
      <c r="W217" t="str">
        <f t="shared" si="4"/>
        <v/>
      </c>
      <c r="Y217" s="341">
        <f>IF('General price list'!$AB219="",0,'General price list'!$AB219)</f>
        <v>0</v>
      </c>
      <c r="Z217" s="365">
        <f>IFERROR(X217*VLOOKUP(C217,'General price list'!C:I,7,FALSE),"")</f>
        <v>0</v>
      </c>
      <c r="AA217" s="365" t="str">
        <f>IF(X217&lt;&gt;"",VLOOKUP(C217,'General price list'!C219:AN1192,MATCH("HM",Tabulka1[[#Headers],[KOD]:[NEQ]],0),FALSE),"")</f>
        <v/>
      </c>
    </row>
    <row r="218" spans="1:27">
      <c r="A218">
        <f>COUNTIF($W$22:W218,1)</f>
        <v>0</v>
      </c>
      <c r="B218">
        <v>218</v>
      </c>
      <c r="C218" s="340">
        <f>Tabulka1[[#This Row],[KOD]]</f>
        <v>0</v>
      </c>
      <c r="W218" t="str">
        <f t="shared" si="4"/>
        <v/>
      </c>
      <c r="Y218" s="341">
        <f>IF('General price list'!$AB220="",0,'General price list'!$AB220)</f>
        <v>0</v>
      </c>
      <c r="Z218" s="365" t="str">
        <f>IFERROR(X218*VLOOKUP(C218,'General price list'!C:I,7,FALSE),"")</f>
        <v/>
      </c>
      <c r="AA218" s="365" t="str">
        <f>IF(X218&lt;&gt;"",VLOOKUP(C218,'General price list'!C220:AN1193,MATCH("HM",Tabulka1[[#Headers],[KOD]:[NEQ]],0),FALSE),"")</f>
        <v/>
      </c>
    </row>
    <row r="219" spans="1:27">
      <c r="A219">
        <f>COUNTIF($W$22:W219,1)</f>
        <v>0</v>
      </c>
      <c r="B219">
        <v>219</v>
      </c>
      <c r="C219" s="340" t="str">
        <f>Tabulka1[[#This Row],[KOD]]</f>
        <v>C330D</v>
      </c>
      <c r="W219" t="str">
        <f t="shared" si="4"/>
        <v/>
      </c>
      <c r="Y219" s="341">
        <f>IF('General price list'!$AB221="",0,'General price list'!$AB221)</f>
        <v>0</v>
      </c>
      <c r="Z219" s="365">
        <f>IFERROR(X219*VLOOKUP(C219,'General price list'!C:I,7,FALSE),"")</f>
        <v>0</v>
      </c>
      <c r="AA219" s="365" t="str">
        <f>IF(X219&lt;&gt;"",VLOOKUP(C219,'General price list'!C221:AN1194,MATCH("HM",Tabulka1[[#Headers],[KOD]:[NEQ]],0),FALSE),"")</f>
        <v/>
      </c>
    </row>
    <row r="220" spans="1:27">
      <c r="A220">
        <f>COUNTIF($W$22:W220,1)</f>
        <v>0</v>
      </c>
      <c r="B220">
        <v>220</v>
      </c>
      <c r="C220" s="340" t="str">
        <f>Tabulka1[[#This Row],[KOD]]</f>
        <v>C330B</v>
      </c>
      <c r="W220" t="str">
        <f t="shared" si="4"/>
        <v/>
      </c>
      <c r="Y220" s="341">
        <f>IF('General price list'!$AB222="",0,'General price list'!$AB222)</f>
        <v>0</v>
      </c>
      <c r="Z220" s="365">
        <f>IFERROR(X220*VLOOKUP(C220,'General price list'!C:I,7,FALSE),"")</f>
        <v>0</v>
      </c>
      <c r="AA220" s="365" t="str">
        <f>IF(X220&lt;&gt;"",VLOOKUP(C220,'General price list'!C222:AN1195,MATCH("HM",Tabulka1[[#Headers],[KOD]:[NEQ]],0),FALSE),"")</f>
        <v/>
      </c>
    </row>
    <row r="221" spans="1:27">
      <c r="A221">
        <f>COUNTIF($W$22:W221,1)</f>
        <v>0</v>
      </c>
      <c r="B221">
        <v>221</v>
      </c>
      <c r="C221" s="340">
        <f>Tabulka1[[#This Row],[KOD]]</f>
        <v>0</v>
      </c>
      <c r="W221" t="str">
        <f t="shared" si="4"/>
        <v/>
      </c>
      <c r="Y221" s="341">
        <f>IF('General price list'!$AB223="",0,'General price list'!$AB223)</f>
        <v>0</v>
      </c>
      <c r="Z221" s="365" t="str">
        <f>IFERROR(X221*VLOOKUP(C221,'General price list'!C:I,7,FALSE),"")</f>
        <v/>
      </c>
      <c r="AA221" s="365" t="str">
        <f>IF(X221&lt;&gt;"",VLOOKUP(C221,'General price list'!C223:AN1196,MATCH("HM",Tabulka1[[#Headers],[KOD]:[NEQ]],0),FALSE),"")</f>
        <v/>
      </c>
    </row>
    <row r="222" spans="1:27">
      <c r="A222">
        <f>COUNTIF($W$22:W222,1)</f>
        <v>0</v>
      </c>
      <c r="B222">
        <v>222</v>
      </c>
      <c r="C222" s="340" t="str">
        <f>Tabulka1[[#This Row],[KOD]]</f>
        <v>CS2BB</v>
      </c>
      <c r="W222" t="str">
        <f t="shared" si="4"/>
        <v/>
      </c>
      <c r="Y222" s="341">
        <f>IF('General price list'!$AB224="",0,'General price list'!$AB224)</f>
        <v>0</v>
      </c>
      <c r="Z222" s="365">
        <f>IFERROR(X222*VLOOKUP(C222,'General price list'!C:I,7,FALSE),"")</f>
        <v>0</v>
      </c>
      <c r="AA222" s="365" t="str">
        <f>IF(X222&lt;&gt;"",VLOOKUP(C222,'General price list'!C224:AN1197,MATCH("HM",Tabulka1[[#Headers],[KOD]:[NEQ]],0),FALSE),"")</f>
        <v/>
      </c>
    </row>
    <row r="223" spans="1:27">
      <c r="A223">
        <f>COUNTIF($W$22:W223,1)</f>
        <v>0</v>
      </c>
      <c r="B223">
        <v>223</v>
      </c>
      <c r="C223" s="340">
        <f>Tabulka1[[#This Row],[KOD]]</f>
        <v>0</v>
      </c>
      <c r="W223" t="str">
        <f t="shared" si="4"/>
        <v/>
      </c>
      <c r="Y223" s="341">
        <f>IF('General price list'!$AB225="",0,'General price list'!$AB225)</f>
        <v>0</v>
      </c>
      <c r="Z223" s="365" t="str">
        <f>IFERROR(X223*VLOOKUP(C223,'General price list'!C:I,7,FALSE),"")</f>
        <v/>
      </c>
      <c r="AA223" s="365" t="str">
        <f>IF(X223&lt;&gt;"",VLOOKUP(C223,'General price list'!C225:AN1198,MATCH("HM",Tabulka1[[#Headers],[KOD]:[NEQ]],0),FALSE),"")</f>
        <v/>
      </c>
    </row>
    <row r="224" spans="1:27">
      <c r="A224">
        <f>COUNTIF($W$22:W224,1)</f>
        <v>0</v>
      </c>
      <c r="B224">
        <v>224</v>
      </c>
      <c r="C224" s="340" t="str">
        <f>Tabulka1[[#This Row],[KOD]]</f>
        <v>K0203BP</v>
      </c>
      <c r="W224" t="str">
        <f t="shared" si="4"/>
        <v/>
      </c>
      <c r="Y224" s="341">
        <f>IF('General price list'!$AB226="",0,'General price list'!$AB226)</f>
        <v>0</v>
      </c>
      <c r="Z224" s="365">
        <f>IFERROR(X224*VLOOKUP(C224,'General price list'!C:I,7,FALSE),"")</f>
        <v>0</v>
      </c>
      <c r="AA224" s="365" t="str">
        <f>IF(X224&lt;&gt;"",VLOOKUP(C224,'General price list'!C226:AN1199,MATCH("HM",Tabulka1[[#Headers],[KOD]:[NEQ]],0),FALSE),"")</f>
        <v/>
      </c>
    </row>
    <row r="225" spans="1:27">
      <c r="A225">
        <f>COUNTIF($W$22:W225,1)</f>
        <v>0</v>
      </c>
      <c r="B225">
        <v>225</v>
      </c>
      <c r="C225" s="340" t="str">
        <f>Tabulka1[[#This Row],[KOD]]</f>
        <v>P05DSP1</v>
      </c>
      <c r="W225" t="str">
        <f t="shared" si="4"/>
        <v/>
      </c>
      <c r="Y225" s="341">
        <f>IF('General price list'!$AB227="",0,'General price list'!$AB227)</f>
        <v>0</v>
      </c>
      <c r="Z225" s="365">
        <f>IFERROR(X225*VLOOKUP(C225,'General price list'!C:I,7,FALSE),"")</f>
        <v>0</v>
      </c>
      <c r="AA225" s="365" t="str">
        <f>IF(X225&lt;&gt;"",VLOOKUP(C225,'General price list'!C227:AN1200,MATCH("HM",Tabulka1[[#Headers],[KOD]:[NEQ]],0),FALSE),"")</f>
        <v/>
      </c>
    </row>
    <row r="226" spans="1:27">
      <c r="A226">
        <f>COUNTIF($W$22:W226,1)</f>
        <v>0</v>
      </c>
      <c r="B226">
        <v>226</v>
      </c>
      <c r="C226" s="340" t="str">
        <f>Tabulka1[[#This Row],[KOD]]</f>
        <v>P10D20SP1</v>
      </c>
      <c r="W226" t="str">
        <f t="shared" si="4"/>
        <v/>
      </c>
      <c r="Y226" s="341">
        <f>IF('General price list'!$AB228="",0,'General price list'!$AB228)</f>
        <v>0</v>
      </c>
      <c r="Z226" s="365">
        <f>IFERROR(X226*VLOOKUP(C226,'General price list'!C:I,7,FALSE),"")</f>
        <v>0</v>
      </c>
      <c r="AA226" s="365" t="str">
        <f>IF(X226&lt;&gt;"",VLOOKUP(C226,'General price list'!C228:AN1201,MATCH("HM",Tabulka1[[#Headers],[KOD]:[NEQ]],0),FALSE),"")</f>
        <v/>
      </c>
    </row>
    <row r="227" spans="1:27">
      <c r="A227">
        <f>COUNTIF($W$22:W227,1)</f>
        <v>0</v>
      </c>
      <c r="B227">
        <v>227</v>
      </c>
      <c r="C227" s="340">
        <f>Tabulka1[[#This Row],[KOD]]</f>
        <v>0</v>
      </c>
      <c r="W227" t="str">
        <f t="shared" si="4"/>
        <v/>
      </c>
      <c r="Y227" s="341">
        <f>IF('General price list'!$AB229="",0,'General price list'!$AB229)</f>
        <v>0</v>
      </c>
      <c r="Z227" s="365" t="str">
        <f>IFERROR(X227*VLOOKUP(C227,'General price list'!C:I,7,FALSE),"")</f>
        <v/>
      </c>
      <c r="AA227" s="365" t="str">
        <f>IF(X227&lt;&gt;"",VLOOKUP(C227,'General price list'!C229:AN1202,MATCH("HM",Tabulka1[[#Headers],[KOD]:[NEQ]],0),FALSE),"")</f>
        <v/>
      </c>
    </row>
    <row r="228" spans="1:27">
      <c r="A228">
        <f>COUNTIF($W$22:W228,1)</f>
        <v>0</v>
      </c>
      <c r="B228">
        <v>228</v>
      </c>
      <c r="C228" s="340" t="str">
        <f>Tabulka1[[#This Row],[KOD]]</f>
        <v>P1D</v>
      </c>
      <c r="W228" t="str">
        <f t="shared" si="4"/>
        <v/>
      </c>
      <c r="Y228" s="341">
        <f>IF('General price list'!$AB230="",0,'General price list'!$AB230)</f>
        <v>0</v>
      </c>
      <c r="Z228" s="365">
        <f>IFERROR(X228*VLOOKUP(C228,'General price list'!C:I,7,FALSE),"")</f>
        <v>0</v>
      </c>
      <c r="AA228" s="365" t="str">
        <f>IF(X228&lt;&gt;"",VLOOKUP(C228,'General price list'!C230:AN1203,MATCH("HM",Tabulka1[[#Headers],[KOD]:[NEQ]],0),FALSE),"")</f>
        <v/>
      </c>
    </row>
    <row r="229" spans="1:27">
      <c r="A229">
        <f>COUNTIF($W$22:W229,1)</f>
        <v>0</v>
      </c>
      <c r="B229">
        <v>229</v>
      </c>
      <c r="C229" s="340" t="str">
        <f>Tabulka1[[#This Row],[KOD]]</f>
        <v>P2D</v>
      </c>
      <c r="W229" t="str">
        <f t="shared" si="4"/>
        <v/>
      </c>
      <c r="Y229" s="341">
        <f>IF('General price list'!$AB231="",0,'General price list'!$AB231)</f>
        <v>0</v>
      </c>
      <c r="Z229" s="365">
        <f>IFERROR(X229*VLOOKUP(C229,'General price list'!C:I,7,FALSE),"")</f>
        <v>0</v>
      </c>
      <c r="AA229" s="365" t="str">
        <f>IF(X229&lt;&gt;"",VLOOKUP(C229,'General price list'!C231:AN1204,MATCH("HM",Tabulka1[[#Headers],[KOD]:[NEQ]],0),FALSE),"")</f>
        <v/>
      </c>
    </row>
    <row r="230" spans="1:27">
      <c r="A230">
        <f>COUNTIF($W$22:W230,1)</f>
        <v>0</v>
      </c>
      <c r="B230">
        <v>230</v>
      </c>
      <c r="C230" s="340" t="str">
        <f>Tabulka1[[#This Row],[KOD]]</f>
        <v>K0203K</v>
      </c>
      <c r="W230" t="str">
        <f t="shared" si="4"/>
        <v/>
      </c>
      <c r="Y230" s="341">
        <f>IF('General price list'!$AB232="",0,'General price list'!$AB232)</f>
        <v>0</v>
      </c>
      <c r="Z230" s="365">
        <f>IFERROR(X230*VLOOKUP(C230,'General price list'!C:I,7,FALSE),"")</f>
        <v>0</v>
      </c>
      <c r="AA230" s="365" t="str">
        <f>IF(X230&lt;&gt;"",VLOOKUP(C230,'General price list'!C232:AN1205,MATCH("HM",Tabulka1[[#Headers],[KOD]:[NEQ]],0),FALSE),"")</f>
        <v/>
      </c>
    </row>
    <row r="231" spans="1:27">
      <c r="A231">
        <f>COUNTIF($W$22:W231,1)</f>
        <v>0</v>
      </c>
      <c r="B231">
        <v>231</v>
      </c>
      <c r="C231" s="340" t="str">
        <f>Tabulka1[[#This Row],[KOD]]</f>
        <v>K0203KB</v>
      </c>
      <c r="W231" t="str">
        <f t="shared" si="4"/>
        <v/>
      </c>
      <c r="Y231" s="341">
        <f>IF('General price list'!$AB233="",0,'General price list'!$AB233)</f>
        <v>0</v>
      </c>
      <c r="Z231" s="365">
        <f>IFERROR(X231*VLOOKUP(C231,'General price list'!C:I,7,FALSE),"")</f>
        <v>0</v>
      </c>
      <c r="AA231" s="365" t="str">
        <f>IF(X231&lt;&gt;"",VLOOKUP(C231,'General price list'!C233:AN1206,MATCH("HM",Tabulka1[[#Headers],[KOD]:[NEQ]],0),FALSE),"")</f>
        <v/>
      </c>
    </row>
    <row r="232" spans="1:27">
      <c r="A232">
        <f>COUNTIF($W$22:W232,1)</f>
        <v>0</v>
      </c>
      <c r="B232">
        <v>232</v>
      </c>
      <c r="C232" s="340" t="str">
        <f>Tabulka1[[#This Row],[KOD]]</f>
        <v>P05D</v>
      </c>
      <c r="W232" t="str">
        <f t="shared" si="4"/>
        <v/>
      </c>
      <c r="Y232" s="341">
        <f>IF('General price list'!$AB234="",0,'General price list'!$AB234)</f>
        <v>0</v>
      </c>
      <c r="Z232" s="365">
        <f>IFERROR(X232*VLOOKUP(C232,'General price list'!C:I,7,FALSE),"")</f>
        <v>0</v>
      </c>
      <c r="AA232" s="365" t="str">
        <f>IF(X232&lt;&gt;"",VLOOKUP(C232,'General price list'!C234:AN1207,MATCH("HM",Tabulka1[[#Headers],[KOD]:[NEQ]],0),FALSE),"")</f>
        <v/>
      </c>
    </row>
    <row r="233" spans="1:27">
      <c r="A233">
        <f>COUNTIF($W$22:W233,1)</f>
        <v>0</v>
      </c>
      <c r="B233">
        <v>233</v>
      </c>
      <c r="C233" s="340" t="str">
        <f>Tabulka1[[#This Row],[KOD]]</f>
        <v>PSF2D</v>
      </c>
      <c r="W233" t="str">
        <f t="shared" si="4"/>
        <v/>
      </c>
      <c r="Y233" s="341">
        <f>IF('General price list'!$AB235="",0,'General price list'!$AB235)</f>
        <v>0</v>
      </c>
      <c r="Z233" s="365">
        <f>IFERROR(X233*VLOOKUP(C233,'General price list'!C:I,7,FALSE),"")</f>
        <v>0</v>
      </c>
      <c r="AA233" s="365" t="str">
        <f>IF(X233&lt;&gt;"",VLOOKUP(C233,'General price list'!C235:AN1208,MATCH("HM",Tabulka1[[#Headers],[KOD]:[NEQ]],0),FALSE),"")</f>
        <v/>
      </c>
    </row>
    <row r="234" spans="1:27">
      <c r="A234">
        <f>COUNTIF($W$22:W234,1)</f>
        <v>0</v>
      </c>
      <c r="B234">
        <v>234</v>
      </c>
      <c r="C234" s="340">
        <f>Tabulka1[[#This Row],[KOD]]</f>
        <v>0</v>
      </c>
      <c r="W234" t="str">
        <f t="shared" si="4"/>
        <v/>
      </c>
      <c r="Y234" s="341">
        <f>IF('General price list'!$AB236="",0,'General price list'!$AB236)</f>
        <v>0</v>
      </c>
      <c r="Z234" s="365" t="str">
        <f>IFERROR(X234*VLOOKUP(C234,'General price list'!C:I,7,FALSE),"")</f>
        <v/>
      </c>
      <c r="AA234" s="365" t="str">
        <f>IF(X234&lt;&gt;"",VLOOKUP(C234,'General price list'!C236:AN1209,MATCH("HM",Tabulka1[[#Headers],[KOD]:[NEQ]],0),FALSE),"")</f>
        <v/>
      </c>
    </row>
    <row r="235" spans="1:27">
      <c r="A235">
        <f>COUNTIF($W$22:W235,1)</f>
        <v>0</v>
      </c>
      <c r="B235">
        <v>235</v>
      </c>
      <c r="C235" s="340" t="str">
        <f>Tabulka1[[#This Row],[KOD]]</f>
        <v>PBDF2</v>
      </c>
      <c r="W235" t="str">
        <f t="shared" si="4"/>
        <v/>
      </c>
      <c r="Y235" s="341">
        <f>IF('General price list'!$AB237="",0,'General price list'!$AB237)</f>
        <v>0</v>
      </c>
      <c r="Z235" s="365">
        <f>IFERROR(X235*VLOOKUP(C235,'General price list'!C:I,7,FALSE),"")</f>
        <v>0</v>
      </c>
      <c r="AA235" s="365" t="str">
        <f>IF(X235&lt;&gt;"",VLOOKUP(C235,'General price list'!C237:AN1210,MATCH("HM",Tabulka1[[#Headers],[KOD]:[NEQ]],0),FALSE),"")</f>
        <v/>
      </c>
    </row>
    <row r="236" spans="1:27">
      <c r="A236">
        <f>COUNTIF($W$22:W236,1)</f>
        <v>0</v>
      </c>
      <c r="B236">
        <v>236</v>
      </c>
      <c r="C236" s="340" t="str">
        <f>Tabulka1[[#This Row],[KOD]]</f>
        <v>PBF2D</v>
      </c>
      <c r="W236" t="str">
        <f t="shared" si="4"/>
        <v/>
      </c>
      <c r="Y236" s="341">
        <f>IF('General price list'!$AB238="",0,'General price list'!$AB238)</f>
        <v>0</v>
      </c>
      <c r="Z236" s="365">
        <f>IFERROR(X236*VLOOKUP(C236,'General price list'!C:I,7,FALSE),"")</f>
        <v>0</v>
      </c>
      <c r="AA236" s="365" t="str">
        <f>IF(X236&lt;&gt;"",VLOOKUP(C236,'General price list'!C238:AN1211,MATCH("HM",Tabulka1[[#Headers],[KOD]:[NEQ]],0),FALSE),"")</f>
        <v/>
      </c>
    </row>
    <row r="237" spans="1:27">
      <c r="A237">
        <f>COUNTIF($W$22:W237,1)</f>
        <v>0</v>
      </c>
      <c r="B237">
        <v>237</v>
      </c>
      <c r="C237" s="340" t="str">
        <f>Tabulka1[[#This Row],[KOD]]</f>
        <v>PB120D</v>
      </c>
      <c r="W237" t="str">
        <f t="shared" si="4"/>
        <v/>
      </c>
      <c r="Y237" s="341">
        <f>IF('General price list'!$AB239="",0,'General price list'!$AB239)</f>
        <v>0</v>
      </c>
      <c r="Z237" s="365">
        <f>IFERROR(X237*VLOOKUP(C237,'General price list'!C:I,7,FALSE),"")</f>
        <v>0</v>
      </c>
      <c r="AA237" s="365" t="str">
        <f>IF(X237&lt;&gt;"",VLOOKUP(C237,'General price list'!C239:AN1212,MATCH("HM",Tabulka1[[#Headers],[KOD]:[NEQ]],0),FALSE),"")</f>
        <v/>
      </c>
    </row>
    <row r="238" spans="1:27">
      <c r="A238">
        <f>COUNTIF($W$22:W238,1)</f>
        <v>0</v>
      </c>
      <c r="B238">
        <v>238</v>
      </c>
      <c r="C238" s="340">
        <f>Tabulka1[[#This Row],[KOD]]</f>
        <v>0</v>
      </c>
      <c r="W238" t="str">
        <f t="shared" si="4"/>
        <v/>
      </c>
      <c r="Y238" s="341">
        <f>IF('General price list'!$AB240="",0,'General price list'!$AB240)</f>
        <v>0</v>
      </c>
      <c r="Z238" s="365" t="str">
        <f>IFERROR(X238*VLOOKUP(C238,'General price list'!C:I,7,FALSE),"")</f>
        <v/>
      </c>
      <c r="AA238" s="365" t="str">
        <f>IF(X238&lt;&gt;"",VLOOKUP(C238,'General price list'!C240:AN1213,MATCH("HM",Tabulka1[[#Headers],[KOD]:[NEQ]],0),FALSE),"")</f>
        <v/>
      </c>
    </row>
    <row r="239" spans="1:27">
      <c r="A239">
        <f>COUNTIF($W$22:W239,1)</f>
        <v>0</v>
      </c>
      <c r="B239">
        <v>239</v>
      </c>
      <c r="C239" s="340" t="str">
        <f>Tabulka1[[#This Row],[KOD]]</f>
        <v>P6A14F3</v>
      </c>
      <c r="W239" t="str">
        <f t="shared" si="4"/>
        <v/>
      </c>
      <c r="Y239" s="341">
        <f>IF('General price list'!$AB241="",0,'General price list'!$AB241)</f>
        <v>0</v>
      </c>
      <c r="Z239" s="365">
        <f>IFERROR(X239*VLOOKUP(C239,'General price list'!C:I,7,FALSE),"")</f>
        <v>0</v>
      </c>
      <c r="AA239" s="365" t="str">
        <f>IF(X239&lt;&gt;"",VLOOKUP(C239,'General price list'!C241:AN1214,MATCH("HM",Tabulka1[[#Headers],[KOD]:[NEQ]],0),FALSE),"")</f>
        <v/>
      </c>
    </row>
    <row r="240" spans="1:27">
      <c r="A240">
        <f>COUNTIF($W$22:W240,1)</f>
        <v>0</v>
      </c>
      <c r="B240">
        <v>240</v>
      </c>
      <c r="C240" s="340" t="str">
        <f>Tabulka1[[#This Row],[KOD]]</f>
        <v>P7A14</v>
      </c>
      <c r="W240" t="str">
        <f t="shared" si="4"/>
        <v/>
      </c>
      <c r="Y240" s="341">
        <f>IF('General price list'!$AB242="",0,'General price list'!$AB242)</f>
        <v>0</v>
      </c>
      <c r="Z240" s="365">
        <f>IFERROR(X240*VLOOKUP(C240,'General price list'!C:I,7,FALSE),"")</f>
        <v>0</v>
      </c>
      <c r="AA240" s="365" t="str">
        <f>IF(X240&lt;&gt;"",VLOOKUP(C240,'General price list'!C242:AN1215,MATCH("HM",Tabulka1[[#Headers],[KOD]:[NEQ]],0),FALSE),"")</f>
        <v/>
      </c>
    </row>
    <row r="241" spans="1:27">
      <c r="A241">
        <f>COUNTIF($W$22:W241,1)</f>
        <v>0</v>
      </c>
      <c r="B241">
        <v>241</v>
      </c>
      <c r="C241" s="340" t="str">
        <f>Tabulka1[[#This Row],[KOD]]</f>
        <v>P4B</v>
      </c>
      <c r="W241" t="str">
        <f t="shared" si="4"/>
        <v/>
      </c>
      <c r="Y241" s="341">
        <f>IF('General price list'!$AB243="",0,'General price list'!$AB243)</f>
        <v>0</v>
      </c>
      <c r="Z241" s="365">
        <f>IFERROR(X241*VLOOKUP(C241,'General price list'!C:I,7,FALSE),"")</f>
        <v>0</v>
      </c>
      <c r="AA241" s="365" t="str">
        <f>IF(X241&lt;&gt;"",VLOOKUP(C241,'General price list'!C243:AN1216,MATCH("HM",Tabulka1[[#Headers],[KOD]:[NEQ]],0),FALSE),"")</f>
        <v/>
      </c>
    </row>
    <row r="242" spans="1:27">
      <c r="A242">
        <f>COUNTIF($W$22:W242,1)</f>
        <v>0</v>
      </c>
      <c r="B242">
        <v>242</v>
      </c>
      <c r="C242" s="340" t="str">
        <f>Tabulka1[[#This Row],[KOD]]</f>
        <v>P5DU13</v>
      </c>
      <c r="W242" t="str">
        <f t="shared" si="4"/>
        <v/>
      </c>
      <c r="Y242" s="341">
        <f>IF('General price list'!$AB244="",0,'General price list'!$AB244)</f>
        <v>0</v>
      </c>
      <c r="Z242" s="365">
        <f>IFERROR(X242*VLOOKUP(C242,'General price list'!C:I,7,FALSE),"")</f>
        <v>0</v>
      </c>
      <c r="AA242" s="365" t="str">
        <f>IF(X242&lt;&gt;"",VLOOKUP(C242,'General price list'!C244:AN1217,MATCH("HM",Tabulka1[[#Headers],[KOD]:[NEQ]],0),FALSE),"")</f>
        <v/>
      </c>
    </row>
    <row r="243" spans="1:27">
      <c r="A243">
        <f>COUNTIF($W$22:W243,1)</f>
        <v>0</v>
      </c>
      <c r="B243">
        <v>243</v>
      </c>
      <c r="C243" s="340" t="str">
        <f>Tabulka1[[#This Row],[KOD]]</f>
        <v>P5DU13(M)</v>
      </c>
      <c r="W243" t="str">
        <f t="shared" si="4"/>
        <v/>
      </c>
      <c r="Y243" s="341">
        <f>IF('General price list'!$AB245="",0,'General price list'!$AB245)</f>
        <v>0</v>
      </c>
      <c r="Z243" s="365">
        <f>IFERROR(X243*VLOOKUP(C243,'General price list'!C:I,7,FALSE),"")</f>
        <v>0</v>
      </c>
      <c r="AA243" s="365" t="str">
        <f>IF(X243&lt;&gt;"",VLOOKUP(C243,'General price list'!C245:AN1218,MATCH("HM",Tabulka1[[#Headers],[KOD]:[NEQ]],0),FALSE),"")</f>
        <v/>
      </c>
    </row>
    <row r="244" spans="1:27">
      <c r="A244">
        <f>COUNTIF($W$22:W244,1)</f>
        <v>0</v>
      </c>
      <c r="B244">
        <v>244</v>
      </c>
      <c r="C244" s="340" t="str">
        <f>Tabulka1[[#This Row],[KOD]]</f>
        <v>P5DU</v>
      </c>
      <c r="W244" t="str">
        <f t="shared" si="4"/>
        <v/>
      </c>
      <c r="Y244" s="341">
        <f>IF('General price list'!$AB246="",0,'General price list'!$AB246)</f>
        <v>0</v>
      </c>
      <c r="Z244" s="365">
        <f>IFERROR(X244*VLOOKUP(C244,'General price list'!C:I,7,FALSE),"")</f>
        <v>0</v>
      </c>
      <c r="AA244" s="365" t="str">
        <f>IF(X244&lt;&gt;"",VLOOKUP(C244,'General price list'!C246:AN1219,MATCH("HM",Tabulka1[[#Headers],[KOD]:[NEQ]],0),FALSE),"")</f>
        <v/>
      </c>
    </row>
    <row r="245" spans="1:27">
      <c r="A245">
        <f>COUNTIF($W$22:W245,1)</f>
        <v>0</v>
      </c>
      <c r="B245">
        <v>245</v>
      </c>
      <c r="C245" s="340" t="str">
        <f>Tabulka1[[#This Row],[KOD]]</f>
        <v>P5A13</v>
      </c>
      <c r="W245" t="str">
        <f t="shared" si="4"/>
        <v/>
      </c>
      <c r="Y245" s="341">
        <f>IF('General price list'!$AB247="",0,'General price list'!$AB247)</f>
        <v>0</v>
      </c>
      <c r="Z245" s="365">
        <f>IFERROR(X245*VLOOKUP(C245,'General price list'!C:I,7,FALSE),"")</f>
        <v>0</v>
      </c>
      <c r="AA245" s="365" t="str">
        <f>IF(X245&lt;&gt;"",VLOOKUP(C245,'General price list'!C247:AN1220,MATCH("HM",Tabulka1[[#Headers],[KOD]:[NEQ]],0),FALSE),"")</f>
        <v/>
      </c>
    </row>
    <row r="246" spans="1:27">
      <c r="A246">
        <f>COUNTIF($W$22:W246,1)</f>
        <v>0</v>
      </c>
      <c r="B246">
        <v>246</v>
      </c>
      <c r="C246" s="340" t="str">
        <f>Tabulka1[[#This Row],[KOD]]</f>
        <v>P5D13</v>
      </c>
      <c r="W246" t="str">
        <f t="shared" si="4"/>
        <v/>
      </c>
      <c r="Y246" s="341">
        <f>IF('General price list'!$AB248="",0,'General price list'!$AB248)</f>
        <v>0</v>
      </c>
      <c r="Z246" s="365">
        <f>IFERROR(X246*VLOOKUP(C246,'General price list'!C:I,7,FALSE),"")</f>
        <v>0</v>
      </c>
      <c r="AA246" s="365" t="str">
        <f>IF(X246&lt;&gt;"",VLOOKUP(C246,'General price list'!C248:AN1221,MATCH("HM",Tabulka1[[#Headers],[KOD]:[NEQ]],0),FALSE),"")</f>
        <v/>
      </c>
    </row>
    <row r="247" spans="1:27">
      <c r="A247">
        <f>COUNTIF($W$22:W247,1)</f>
        <v>0</v>
      </c>
      <c r="B247">
        <v>247</v>
      </c>
      <c r="C247" s="340" t="str">
        <f>Tabulka1[[#This Row],[KOD]]</f>
        <v>P5D13(W)</v>
      </c>
      <c r="W247" t="str">
        <f t="shared" si="4"/>
        <v/>
      </c>
      <c r="Y247" s="341">
        <f>IF('General price list'!$AB249="",0,'General price list'!$AB249)</f>
        <v>0</v>
      </c>
      <c r="Z247" s="365">
        <f>IFERROR(X247*VLOOKUP(C247,'General price list'!C:I,7,FALSE),"")</f>
        <v>0</v>
      </c>
      <c r="AA247" s="365" t="str">
        <f>IF(X247&lt;&gt;"",VLOOKUP(C247,'General price list'!C249:AN1222,MATCH("HM",Tabulka1[[#Headers],[KOD]:[NEQ]],0),FALSE),"")</f>
        <v/>
      </c>
    </row>
    <row r="248" spans="1:27">
      <c r="A248">
        <f>COUNTIF($W$22:W248,1)</f>
        <v>0</v>
      </c>
      <c r="B248">
        <v>248</v>
      </c>
      <c r="C248" s="340" t="str">
        <f>Tabulka1[[#This Row],[KOD]]</f>
        <v>P6A13(G)F3</v>
      </c>
      <c r="W248" t="str">
        <f t="shared" si="4"/>
        <v/>
      </c>
      <c r="Y248" s="341">
        <f>IF('General price list'!$AB250="",0,'General price list'!$AB250)</f>
        <v>0</v>
      </c>
      <c r="Z248" s="365">
        <f>IFERROR(X248*VLOOKUP(C248,'General price list'!C:I,7,FALSE),"")</f>
        <v>0</v>
      </c>
      <c r="AA248" s="365" t="str">
        <f>IF(X248&lt;&gt;"",VLOOKUP(C248,'General price list'!C250:AN1223,MATCH("HM",Tabulka1[[#Headers],[KOD]:[NEQ]],0),FALSE),"")</f>
        <v/>
      </c>
    </row>
    <row r="249" spans="1:27">
      <c r="A249">
        <f>COUNTIF($W$22:W249,1)</f>
        <v>0</v>
      </c>
      <c r="B249">
        <v>249</v>
      </c>
      <c r="C249" s="340" t="str">
        <f>Tabulka1[[#This Row],[KOD]]</f>
        <v>P6A13(R)F3</v>
      </c>
      <c r="W249" t="str">
        <f t="shared" si="4"/>
        <v/>
      </c>
      <c r="Y249" s="341">
        <f>IF('General price list'!$AB251="",0,'General price list'!$AB251)</f>
        <v>0</v>
      </c>
      <c r="Z249" s="365">
        <f>IFERROR(X249*VLOOKUP(C249,'General price list'!C:I,7,FALSE),"")</f>
        <v>0</v>
      </c>
      <c r="AA249" s="365" t="str">
        <f>IF(X249&lt;&gt;"",VLOOKUP(C249,'General price list'!C251:AN1224,MATCH("HM",Tabulka1[[#Headers],[KOD]:[NEQ]],0),FALSE),"")</f>
        <v/>
      </c>
    </row>
    <row r="250" spans="1:27">
      <c r="A250">
        <f>COUNTIF($W$22:W250,1)</f>
        <v>0</v>
      </c>
      <c r="B250">
        <v>250</v>
      </c>
      <c r="C250" s="340">
        <f>Tabulka1[[#This Row],[KOD]]</f>
        <v>0</v>
      </c>
      <c r="W250" t="str">
        <f t="shared" si="4"/>
        <v/>
      </c>
      <c r="Y250" s="341">
        <f>IF('General price list'!$AB252="",0,'General price list'!$AB252)</f>
        <v>0</v>
      </c>
      <c r="Z250" s="365" t="str">
        <f>IFERROR(X250*VLOOKUP(C250,'General price list'!C:I,7,FALSE),"")</f>
        <v/>
      </c>
      <c r="AA250" s="365" t="str">
        <f>IF(X250&lt;&gt;"",VLOOKUP(C250,'General price list'!C252:AN1225,MATCH("HM",Tabulka1[[#Headers],[KOD]:[NEQ]],0),FALSE),"")</f>
        <v/>
      </c>
    </row>
    <row r="251" spans="1:27">
      <c r="A251">
        <f>COUNTIF($W$22:W251,1)</f>
        <v>0</v>
      </c>
      <c r="B251">
        <v>251</v>
      </c>
      <c r="C251" s="340" t="str">
        <f>Tabulka1[[#This Row],[KOD]]</f>
        <v>P066D20P1</v>
      </c>
      <c r="W251" t="str">
        <f t="shared" si="4"/>
        <v/>
      </c>
      <c r="Y251" s="341">
        <f>IF('General price list'!$AB253="",0,'General price list'!$AB253)</f>
        <v>0</v>
      </c>
      <c r="Z251" s="365">
        <f>IFERROR(X251*VLOOKUP(C251,'General price list'!C:I,7,FALSE),"")</f>
        <v>0</v>
      </c>
      <c r="AA251" s="365" t="str">
        <f>IF(X251&lt;&gt;"",VLOOKUP(C251,'General price list'!C253:AN1226,MATCH("HM",Tabulka1[[#Headers],[KOD]:[NEQ]],0),FALSE),"")</f>
        <v/>
      </c>
    </row>
    <row r="252" spans="1:27">
      <c r="A252">
        <f>COUNTIF($W$22:W252,1)</f>
        <v>0</v>
      </c>
      <c r="B252">
        <v>252</v>
      </c>
      <c r="C252" s="340" t="str">
        <f>Tabulka1[[#This Row],[KOD]]</f>
        <v>P5DU13(1)</v>
      </c>
      <c r="W252" t="str">
        <f t="shared" si="4"/>
        <v/>
      </c>
      <c r="Y252" s="341">
        <f>IF('General price list'!$AB254="",0,'General price list'!$AB254)</f>
        <v>0</v>
      </c>
      <c r="Z252" s="365">
        <f>IFERROR(X252*VLOOKUP(C252,'General price list'!C:I,7,FALSE),"")</f>
        <v>0</v>
      </c>
      <c r="AA252" s="365" t="str">
        <f>IF(X252&lt;&gt;"",VLOOKUP(C252,'General price list'!C254:AN1227,MATCH("HM",Tabulka1[[#Headers],[KOD]:[NEQ]],0),FALSE),"")</f>
        <v/>
      </c>
    </row>
    <row r="253" spans="1:27">
      <c r="A253">
        <f>COUNTIF($W$22:W253,1)</f>
        <v>0</v>
      </c>
      <c r="B253">
        <v>253</v>
      </c>
      <c r="C253" s="340" t="str">
        <f>Tabulka1[[#This Row],[KOD]]</f>
        <v>P2GP1</v>
      </c>
      <c r="W253" t="str">
        <f t="shared" si="4"/>
        <v/>
      </c>
      <c r="Y253" s="341">
        <f>IF('General price list'!$AB255="",0,'General price list'!$AB255)</f>
        <v>0</v>
      </c>
      <c r="Z253" s="365">
        <f>IFERROR(X253*VLOOKUP(C253,'General price list'!C:I,7,FALSE),"")</f>
        <v>0</v>
      </c>
      <c r="AA253" s="365" t="str">
        <f>IF(X253&lt;&gt;"",VLOOKUP(C253,'General price list'!C255:AN1228,MATCH("HM",Tabulka1[[#Headers],[KOD]:[NEQ]],0),FALSE),"")</f>
        <v/>
      </c>
    </row>
    <row r="254" spans="1:27">
      <c r="A254">
        <f>COUNTIF($W$22:W254,1)</f>
        <v>0</v>
      </c>
      <c r="B254">
        <v>254</v>
      </c>
      <c r="C254" s="340">
        <f>Tabulka1[[#This Row],[KOD]]</f>
        <v>0</v>
      </c>
      <c r="W254" t="str">
        <f t="shared" si="4"/>
        <v/>
      </c>
      <c r="Y254" s="341">
        <f>IF('General price list'!$AB256="",0,'General price list'!$AB256)</f>
        <v>0</v>
      </c>
      <c r="Z254" s="365" t="str">
        <f>IFERROR(X254*VLOOKUP(C254,'General price list'!C:I,7,FALSE),"")</f>
        <v/>
      </c>
      <c r="AA254" s="365" t="str">
        <f>IF(X254&lt;&gt;"",VLOOKUP(C254,'General price list'!C256:AN1229,MATCH("HM",Tabulka1[[#Headers],[KOD]:[NEQ]],0),FALSE),"")</f>
        <v/>
      </c>
    </row>
    <row r="255" spans="1:27">
      <c r="A255">
        <f>COUNTIF($W$22:W255,1)</f>
        <v>0</v>
      </c>
      <c r="B255">
        <v>255</v>
      </c>
      <c r="C255" s="340" t="str">
        <f>Tabulka1[[#This Row],[KOD]]</f>
        <v>P6AE</v>
      </c>
      <c r="W255" t="str">
        <f t="shared" si="4"/>
        <v/>
      </c>
      <c r="Y255" s="341">
        <f>IF('General price list'!$AB257="",0,'General price list'!$AB257)</f>
        <v>0</v>
      </c>
      <c r="Z255" s="365">
        <f>IFERROR(X255*VLOOKUP(C255,'General price list'!C:I,7,FALSE),"")</f>
        <v>0</v>
      </c>
      <c r="AA255" s="365" t="str">
        <f>IF(X255&lt;&gt;"",VLOOKUP(C255,'General price list'!C257:AN1230,MATCH("HM",Tabulka1[[#Headers],[KOD]:[NEQ]],0),FALSE),"")</f>
        <v/>
      </c>
    </row>
    <row r="256" spans="1:27">
      <c r="A256">
        <f>COUNTIF($W$22:W256,1)</f>
        <v>0</v>
      </c>
      <c r="B256">
        <v>256</v>
      </c>
      <c r="C256" s="340" t="str">
        <f>Tabulka1[[#This Row],[KOD]]</f>
        <v>P30D</v>
      </c>
      <c r="W256" t="str">
        <f t="shared" si="4"/>
        <v/>
      </c>
      <c r="Y256" s="341">
        <f>IF('General price list'!$AB258="",0,'General price list'!$AB258)</f>
        <v>0</v>
      </c>
      <c r="Z256" s="365">
        <f>IFERROR(X256*VLOOKUP(C256,'General price list'!C:I,7,FALSE),"")</f>
        <v>0</v>
      </c>
      <c r="AA256" s="365" t="str">
        <f>IF(X256&lt;&gt;"",VLOOKUP(C256,'General price list'!C258:AN1231,MATCH("HM",Tabulka1[[#Headers],[KOD]:[NEQ]],0),FALSE),"")</f>
        <v/>
      </c>
    </row>
    <row r="257" spans="1:27">
      <c r="A257">
        <f>COUNTIF($W$22:W257,1)</f>
        <v>0</v>
      </c>
      <c r="B257">
        <v>257</v>
      </c>
      <c r="C257" s="340" t="str">
        <f>Tabulka1[[#This Row],[KOD]]</f>
        <v>P50D</v>
      </c>
      <c r="W257" t="str">
        <f t="shared" si="4"/>
        <v/>
      </c>
      <c r="Y257" s="341">
        <f>IF('General price list'!$AB259="",0,'General price list'!$AB259)</f>
        <v>0</v>
      </c>
      <c r="Z257" s="365">
        <f>IFERROR(X257*VLOOKUP(C257,'General price list'!C:I,7,FALSE),"")</f>
        <v>0</v>
      </c>
      <c r="AA257" s="365" t="str">
        <f>IF(X257&lt;&gt;"",VLOOKUP(C257,'General price list'!C259:AN1232,MATCH("HM",Tabulka1[[#Headers],[KOD]:[NEQ]],0),FALSE),"")</f>
        <v/>
      </c>
    </row>
    <row r="258" spans="1:27">
      <c r="A258">
        <f>COUNTIF($W$22:W258,1)</f>
        <v>0</v>
      </c>
      <c r="B258">
        <v>258</v>
      </c>
      <c r="C258" s="340" t="str">
        <f>Tabulka1[[#This Row],[KOD]]</f>
        <v>P170</v>
      </c>
      <c r="W258" t="str">
        <f t="shared" si="4"/>
        <v/>
      </c>
      <c r="Y258" s="341">
        <f>IF('General price list'!$AB260="",0,'General price list'!$AB260)</f>
        <v>0</v>
      </c>
      <c r="Z258" s="365">
        <f>IFERROR(X258*VLOOKUP(C258,'General price list'!C:I,7,FALSE),"")</f>
        <v>0</v>
      </c>
      <c r="AA258" s="365" t="str">
        <f>IF(X258&lt;&gt;"",VLOOKUP(C258,'General price list'!C260:AN1233,MATCH("HM",Tabulka1[[#Headers],[KOD]:[NEQ]],0),FALSE),"")</f>
        <v/>
      </c>
    </row>
    <row r="259" spans="1:27">
      <c r="A259">
        <f>COUNTIF($W$22:W259,1)</f>
        <v>0</v>
      </c>
      <c r="B259">
        <v>259</v>
      </c>
      <c r="C259" s="340">
        <f>Tabulka1[[#This Row],[KOD]]</f>
        <v>0</v>
      </c>
      <c r="W259" t="str">
        <f t="shared" si="4"/>
        <v/>
      </c>
      <c r="Y259" s="341">
        <f>IF('General price list'!$AB261="",0,'General price list'!$AB261)</f>
        <v>0</v>
      </c>
      <c r="Z259" s="365" t="str">
        <f>IFERROR(X259*VLOOKUP(C259,'General price list'!C:I,7,FALSE),"")</f>
        <v/>
      </c>
      <c r="AA259" s="365" t="str">
        <f>IF(X259&lt;&gt;"",VLOOKUP(C259,'General price list'!C261:AN1234,MATCH("HM",Tabulka1[[#Headers],[KOD]:[NEQ]],0),FALSE),"")</f>
        <v/>
      </c>
    </row>
    <row r="260" spans="1:27">
      <c r="A260">
        <f>COUNTIF($W$22:W260,1)</f>
        <v>0</v>
      </c>
      <c r="B260">
        <v>260</v>
      </c>
      <c r="C260" s="340" t="str">
        <f>Tabulka1[[#This Row],[KOD]]</f>
        <v>EB15</v>
      </c>
      <c r="W260" t="str">
        <f t="shared" si="4"/>
        <v/>
      </c>
      <c r="Y260" s="341">
        <f>IF('General price list'!$AB262="",0,'General price list'!$AB262)</f>
        <v>0</v>
      </c>
      <c r="Z260" s="365">
        <f>IFERROR(X260*VLOOKUP(C260,'General price list'!C:I,7,FALSE),"")</f>
        <v>0</v>
      </c>
      <c r="AA260" s="365" t="str">
        <f>IF(X260&lt;&gt;"",VLOOKUP(C260,'General price list'!C262:AN1235,MATCH("HM",Tabulka1[[#Headers],[KOD]:[NEQ]],0),FALSE),"")</f>
        <v/>
      </c>
    </row>
    <row r="261" spans="1:27">
      <c r="A261">
        <f>COUNTIF($W$22:W261,1)</f>
        <v>0</v>
      </c>
      <c r="B261">
        <v>261</v>
      </c>
      <c r="C261" s="340" t="str">
        <f>Tabulka1[[#This Row],[KOD]]</f>
        <v>EB9</v>
      </c>
      <c r="W261" t="str">
        <f t="shared" si="4"/>
        <v/>
      </c>
      <c r="Y261" s="341">
        <f>IF('General price list'!$AB263="",0,'General price list'!$AB263)</f>
        <v>0</v>
      </c>
      <c r="Z261" s="365">
        <f>IFERROR(X261*VLOOKUP(C261,'General price list'!C:I,7,FALSE),"")</f>
        <v>0</v>
      </c>
      <c r="AA261" s="365" t="str">
        <f>IF(X261&lt;&gt;"",VLOOKUP(C261,'General price list'!C263:AN1236,MATCH("HM",Tabulka1[[#Headers],[KOD]:[NEQ]],0),FALSE),"")</f>
        <v/>
      </c>
    </row>
    <row r="262" spans="1:27">
      <c r="A262">
        <f>COUNTIF($W$22:W262,1)</f>
        <v>0</v>
      </c>
      <c r="B262">
        <v>262</v>
      </c>
      <c r="C262" s="340" t="str">
        <f>Tabulka1[[#This Row],[KOD]]</f>
        <v>K20K</v>
      </c>
      <c r="W262" t="str">
        <f t="shared" si="4"/>
        <v/>
      </c>
      <c r="Y262" s="341">
        <f>IF('General price list'!$AB264="",0,'General price list'!$AB264)</f>
        <v>0</v>
      </c>
      <c r="Z262" s="365">
        <f>IFERROR(X262*VLOOKUP(C262,'General price list'!C:I,7,FALSE),"")</f>
        <v>0</v>
      </c>
      <c r="AA262" s="365" t="str">
        <f>IF(X262&lt;&gt;"",VLOOKUP(C262,'General price list'!C264:AN1237,MATCH("HM",Tabulka1[[#Headers],[KOD]:[NEQ]],0),FALSE),"")</f>
        <v/>
      </c>
    </row>
    <row r="263" spans="1:27">
      <c r="A263">
        <f>COUNTIF($W$22:W263,1)</f>
        <v>0</v>
      </c>
      <c r="B263">
        <v>263</v>
      </c>
      <c r="C263" s="340" t="str">
        <f>Tabulka1[[#This Row],[KOD]]</f>
        <v>K60K</v>
      </c>
      <c r="W263" t="str">
        <f t="shared" si="4"/>
        <v/>
      </c>
      <c r="Y263" s="341">
        <f>IF('General price list'!$AB265="",0,'General price list'!$AB265)</f>
        <v>0</v>
      </c>
      <c r="Z263" s="365">
        <f>IFERROR(X263*VLOOKUP(C263,'General price list'!C:I,7,FALSE),"")</f>
        <v>0</v>
      </c>
      <c r="AA263" s="365" t="str">
        <f>IF(X263&lt;&gt;"",VLOOKUP(C263,'General price list'!C265:AN1238,MATCH("HM",Tabulka1[[#Headers],[KOD]:[NEQ]],0),FALSE),"")</f>
        <v/>
      </c>
    </row>
    <row r="264" spans="1:27">
      <c r="A264">
        <f>COUNTIF($W$22:W264,1)</f>
        <v>0</v>
      </c>
      <c r="B264">
        <v>264</v>
      </c>
      <c r="C264" s="340" t="str">
        <f>Tabulka1[[#This Row],[KOD]]</f>
        <v>K01M</v>
      </c>
      <c r="W264" t="str">
        <f t="shared" si="4"/>
        <v/>
      </c>
      <c r="Y264" s="341">
        <f>IF('General price list'!$AB266="",0,'General price list'!$AB266)</f>
        <v>0</v>
      </c>
      <c r="Z264" s="365">
        <f>IFERROR(X264*VLOOKUP(C264,'General price list'!C:I,7,FALSE),"")</f>
        <v>0</v>
      </c>
      <c r="AA264" s="365" t="str">
        <f>IF(X264&lt;&gt;"",VLOOKUP(C264,'General price list'!C266:AN1239,MATCH("HM",Tabulka1[[#Headers],[KOD]:[NEQ]],0),FALSE),"")</f>
        <v/>
      </c>
    </row>
    <row r="265" spans="1:27">
      <c r="A265">
        <f>COUNTIF($W$22:W265,1)</f>
        <v>0</v>
      </c>
      <c r="B265">
        <v>265</v>
      </c>
      <c r="C265" s="340" t="str">
        <f>Tabulka1[[#This Row],[KOD]]</f>
        <v>K100R</v>
      </c>
      <c r="W265" t="str">
        <f t="shared" si="4"/>
        <v/>
      </c>
      <c r="Y265" s="341">
        <f>IF('General price list'!$AB267="",0,'General price list'!$AB267)</f>
        <v>0</v>
      </c>
      <c r="Z265" s="365">
        <f>IFERROR(X265*VLOOKUP(C265,'General price list'!C:I,7,FALSE),"")</f>
        <v>0</v>
      </c>
      <c r="AA265" s="365" t="str">
        <f>IF(X265&lt;&gt;"",VLOOKUP(C265,'General price list'!C267:AN1240,MATCH("HM",Tabulka1[[#Headers],[KOD]:[NEQ]],0),FALSE),"")</f>
        <v/>
      </c>
    </row>
    <row r="266" spans="1:27">
      <c r="A266">
        <f>COUNTIF($W$22:W266,1)</f>
        <v>0</v>
      </c>
      <c r="B266">
        <v>266</v>
      </c>
      <c r="C266" s="340" t="str">
        <f>Tabulka1[[#This Row],[KOD]]</f>
        <v>K200R</v>
      </c>
      <c r="W266" t="str">
        <f t="shared" si="4"/>
        <v/>
      </c>
      <c r="Y266" s="341">
        <f>IF('General price list'!$AB268="",0,'General price list'!$AB268)</f>
        <v>0</v>
      </c>
      <c r="Z266" s="365">
        <f>IFERROR(X266*VLOOKUP(C266,'General price list'!C:I,7,FALSE),"")</f>
        <v>0</v>
      </c>
      <c r="AA266" s="365" t="str">
        <f>IF(X266&lt;&gt;"",VLOOKUP(C266,'General price list'!C268:AN1241,MATCH("HM",Tabulka1[[#Headers],[KOD]:[NEQ]],0),FALSE),"")</f>
        <v/>
      </c>
    </row>
    <row r="267" spans="1:27">
      <c r="A267">
        <f>COUNTIF($W$22:W267,1)</f>
        <v>0</v>
      </c>
      <c r="B267">
        <v>267</v>
      </c>
      <c r="C267" s="340" t="str">
        <f>Tabulka1[[#This Row],[KOD]]</f>
        <v>K500R</v>
      </c>
      <c r="W267" t="str">
        <f t="shared" si="4"/>
        <v/>
      </c>
      <c r="Y267" s="341">
        <f>IF('General price list'!$AB269="",0,'General price list'!$AB269)</f>
        <v>0</v>
      </c>
      <c r="Z267" s="365">
        <f>IFERROR(X267*VLOOKUP(C267,'General price list'!C:I,7,FALSE),"")</f>
        <v>0</v>
      </c>
      <c r="AA267" s="365" t="str">
        <f>IF(X267&lt;&gt;"",VLOOKUP(C267,'General price list'!C269:AN1242,MATCH("HM",Tabulka1[[#Headers],[KOD]:[NEQ]],0),FALSE),"")</f>
        <v/>
      </c>
    </row>
    <row r="268" spans="1:27">
      <c r="A268">
        <f>COUNTIF($W$22:W268,1)</f>
        <v>0</v>
      </c>
      <c r="B268">
        <v>268</v>
      </c>
      <c r="C268" s="340" t="str">
        <f>Tabulka1[[#This Row],[KOD]]</f>
        <v>K1000R</v>
      </c>
      <c r="W268" t="str">
        <f t="shared" si="4"/>
        <v/>
      </c>
      <c r="Y268" s="341">
        <f>IF('General price list'!$AB270="",0,'General price list'!$AB270)</f>
        <v>0</v>
      </c>
      <c r="Z268" s="365">
        <f>IFERROR(X268*VLOOKUP(C268,'General price list'!C:I,7,FALSE),"")</f>
        <v>0</v>
      </c>
      <c r="AA268" s="365" t="str">
        <f>IF(X268&lt;&gt;"",VLOOKUP(C268,'General price list'!C270:AN1243,MATCH("HM",Tabulka1[[#Headers],[KOD]:[NEQ]],0),FALSE),"")</f>
        <v/>
      </c>
    </row>
    <row r="269" spans="1:27">
      <c r="A269">
        <f>COUNTIF($W$22:W269,1)</f>
        <v>0</v>
      </c>
      <c r="B269">
        <v>269</v>
      </c>
      <c r="C269" s="340" t="str">
        <f>Tabulka1[[#This Row],[KOD]]</f>
        <v>K1969R</v>
      </c>
      <c r="W269" t="str">
        <f t="shared" si="4"/>
        <v/>
      </c>
      <c r="Y269" s="341">
        <f>IF('General price list'!$AB271="",0,'General price list'!$AB271)</f>
        <v>0</v>
      </c>
      <c r="Z269" s="365">
        <f>IFERROR(X269*VLOOKUP(C269,'General price list'!C:I,7,FALSE),"")</f>
        <v>0</v>
      </c>
      <c r="AA269" s="365" t="str">
        <f>IF(X269&lt;&gt;"",VLOOKUP(C269,'General price list'!C271:AN1244,MATCH("HM",Tabulka1[[#Headers],[KOD]:[NEQ]],0),FALSE),"")</f>
        <v/>
      </c>
    </row>
    <row r="270" spans="1:27">
      <c r="A270">
        <f>COUNTIF($W$22:W270,1)</f>
        <v>0</v>
      </c>
      <c r="B270">
        <v>270</v>
      </c>
      <c r="C270" s="340" t="str">
        <f>Tabulka1[[#This Row],[KOD]]</f>
        <v>K10M</v>
      </c>
      <c r="W270" t="str">
        <f t="shared" si="4"/>
        <v/>
      </c>
      <c r="Y270" s="341">
        <f>IF('General price list'!$AB272="",0,'General price list'!$AB272)</f>
        <v>0</v>
      </c>
      <c r="Z270" s="365">
        <f>IFERROR(X270*VLOOKUP(C270,'General price list'!C:I,7,FALSE),"")</f>
        <v>0</v>
      </c>
      <c r="AA270" s="365" t="str">
        <f>IF(X270&lt;&gt;"",VLOOKUP(C270,'General price list'!C272:AN1245,MATCH("HM",Tabulka1[[#Headers],[KOD]:[NEQ]],0),FALSE),"")</f>
        <v/>
      </c>
    </row>
    <row r="271" spans="1:27">
      <c r="A271">
        <f>COUNTIF($W$22:W271,1)</f>
        <v>0</v>
      </c>
      <c r="B271">
        <v>271</v>
      </c>
      <c r="C271" s="340" t="str">
        <f>Tabulka1[[#This Row],[KOD]]</f>
        <v>DBB1E</v>
      </c>
      <c r="W271" t="str">
        <f t="shared" si="4"/>
        <v/>
      </c>
      <c r="Y271" s="341">
        <f>IF('General price list'!$AB273="",0,'General price list'!$AB273)</f>
        <v>0</v>
      </c>
      <c r="Z271" s="365">
        <f>IFERROR(X271*VLOOKUP(C271,'General price list'!C:I,7,FALSE),"")</f>
        <v>0</v>
      </c>
      <c r="AA271" s="365" t="str">
        <f>IF(X271&lt;&gt;"",VLOOKUP(C271,'General price list'!C273:AN1246,MATCH("HM",Tabulka1[[#Headers],[KOD]:[NEQ]],0),FALSE),"")</f>
        <v/>
      </c>
    </row>
    <row r="272" spans="1:27">
      <c r="A272">
        <f>COUNTIF($W$22:W272,1)</f>
        <v>0</v>
      </c>
      <c r="B272">
        <v>272</v>
      </c>
      <c r="C272" s="340">
        <f>Tabulka1[[#This Row],[KOD]]</f>
        <v>0</v>
      </c>
      <c r="W272" t="str">
        <f t="shared" si="4"/>
        <v/>
      </c>
      <c r="Y272" s="341">
        <f>IF('General price list'!$AB274="",0,'General price list'!$AB274)</f>
        <v>0</v>
      </c>
      <c r="Z272" s="365" t="str">
        <f>IFERROR(X272*VLOOKUP(C272,'General price list'!C:I,7,FALSE),"")</f>
        <v/>
      </c>
      <c r="AA272" s="365" t="str">
        <f>IF(X272&lt;&gt;"",VLOOKUP(C272,'General price list'!C274:AN1247,MATCH("HM",Tabulka1[[#Headers],[KOD]:[NEQ]],0),FALSE),"")</f>
        <v/>
      </c>
    </row>
    <row r="273" spans="1:27">
      <c r="A273">
        <f>COUNTIF($W$22:W273,1)</f>
        <v>0</v>
      </c>
      <c r="B273">
        <v>273</v>
      </c>
      <c r="C273" s="340" t="str">
        <f>Tabulka1[[#This Row],[KOD]]</f>
        <v>RS1</v>
      </c>
      <c r="W273" t="str">
        <f t="shared" si="4"/>
        <v/>
      </c>
      <c r="Y273" s="341">
        <f>IF('General price list'!$AB275="",0,'General price list'!$AB275)</f>
        <v>0</v>
      </c>
      <c r="Z273" s="365">
        <f>IFERROR(X273*VLOOKUP(C273,'General price list'!C:I,7,FALSE),"")</f>
        <v>0</v>
      </c>
      <c r="AA273" s="365" t="str">
        <f>IF(X273&lt;&gt;"",VLOOKUP(C273,'General price list'!C275:AN1248,MATCH("HM",Tabulka1[[#Headers],[KOD]:[NEQ]],0),FALSE),"")</f>
        <v/>
      </c>
    </row>
    <row r="274" spans="1:27">
      <c r="A274">
        <f>COUNTIF($W$22:W274,1)</f>
        <v>0</v>
      </c>
      <c r="B274">
        <v>274</v>
      </c>
      <c r="C274" s="340" t="str">
        <f>Tabulka1[[#This Row],[KOD]]</f>
        <v>RS6P</v>
      </c>
      <c r="W274" t="str">
        <f t="shared" si="4"/>
        <v/>
      </c>
      <c r="Y274" s="341">
        <f>IF('General price list'!$AB276="",0,'General price list'!$AB276)</f>
        <v>0</v>
      </c>
      <c r="Z274" s="365">
        <f>IFERROR(X274*VLOOKUP(C274,'General price list'!C:I,7,FALSE),"")</f>
        <v>0</v>
      </c>
      <c r="AA274" s="365" t="str">
        <f>IF(X274&lt;&gt;"",VLOOKUP(C274,'General price list'!C276:AN1249,MATCH("HM",Tabulka1[[#Headers],[KOD]:[NEQ]],0),FALSE),"")</f>
        <v/>
      </c>
    </row>
    <row r="275" spans="1:27">
      <c r="A275">
        <f>COUNTIF($W$22:W275,1)</f>
        <v>0</v>
      </c>
      <c r="B275">
        <v>275</v>
      </c>
      <c r="C275" s="340" t="str">
        <f>Tabulka1[[#This Row],[KOD]]</f>
        <v>RS6O</v>
      </c>
      <c r="W275" t="str">
        <f t="shared" si="4"/>
        <v/>
      </c>
      <c r="Y275" s="341">
        <f>IF('General price list'!$AB277="",0,'General price list'!$AB277)</f>
        <v>0</v>
      </c>
      <c r="Z275" s="365">
        <f>IFERROR(X275*VLOOKUP(C275,'General price list'!C:I,7,FALSE),"")</f>
        <v>0</v>
      </c>
      <c r="AA275" s="365" t="str">
        <f>IF(X275&lt;&gt;"",VLOOKUP(C275,'General price list'!C277:AN1250,MATCH("HM",Tabulka1[[#Headers],[KOD]:[NEQ]],0),FALSE),"")</f>
        <v/>
      </c>
    </row>
    <row r="276" spans="1:27">
      <c r="A276">
        <f>COUNTIF($W$22:W276,1)</f>
        <v>0</v>
      </c>
      <c r="B276">
        <v>276</v>
      </c>
      <c r="C276" s="340" t="str">
        <f>Tabulka1[[#This Row],[KOD]]</f>
        <v>RS6S</v>
      </c>
      <c r="W276" t="str">
        <f t="shared" si="4"/>
        <v/>
      </c>
      <c r="Y276" s="341">
        <f>IF('General price list'!$AB278="",0,'General price list'!$AB278)</f>
        <v>0</v>
      </c>
      <c r="Z276" s="365">
        <f>IFERROR(X276*VLOOKUP(C276,'General price list'!C:I,7,FALSE),"")</f>
        <v>0</v>
      </c>
      <c r="AA276" s="365" t="str">
        <f>IF(X276&lt;&gt;"",VLOOKUP(C276,'General price list'!C278:AN1251,MATCH("HM",Tabulka1[[#Headers],[KOD]:[NEQ]],0),FALSE),"")</f>
        <v/>
      </c>
    </row>
    <row r="277" spans="1:27">
      <c r="A277">
        <f>COUNTIF($W$22:W277,1)</f>
        <v>0</v>
      </c>
      <c r="B277">
        <v>277</v>
      </c>
      <c r="C277" s="340" t="str">
        <f>Tabulka1[[#This Row],[KOD]]</f>
        <v>RS6SM</v>
      </c>
      <c r="W277" t="str">
        <f t="shared" si="4"/>
        <v/>
      </c>
      <c r="Y277" s="341">
        <f>IF('General price list'!$AB279="",0,'General price list'!$AB279)</f>
        <v>0</v>
      </c>
      <c r="Z277" s="365">
        <f>IFERROR(X277*VLOOKUP(C277,'General price list'!C:I,7,FALSE),"")</f>
        <v>0</v>
      </c>
      <c r="AA277" s="365" t="str">
        <f>IF(X277&lt;&gt;"",VLOOKUP(C277,'General price list'!C279:AN1252,MATCH("HM",Tabulka1[[#Headers],[KOD]:[NEQ]],0),FALSE),"")</f>
        <v/>
      </c>
    </row>
    <row r="278" spans="1:27">
      <c r="A278">
        <f>COUNTIF($W$22:W278,1)</f>
        <v>0</v>
      </c>
      <c r="B278">
        <v>278</v>
      </c>
      <c r="C278" s="340" t="str">
        <f>Tabulka1[[#This Row],[KOD]]</f>
        <v>R12T1</v>
      </c>
      <c r="W278" t="str">
        <f t="shared" si="4"/>
        <v/>
      </c>
      <c r="Y278" s="341">
        <f>IF('General price list'!$AB280="",0,'General price list'!$AB280)</f>
        <v>0</v>
      </c>
      <c r="Z278" s="365">
        <f>IFERROR(X278*VLOOKUP(C278,'General price list'!C:I,7,FALSE),"")</f>
        <v>0</v>
      </c>
      <c r="AA278" s="365" t="str">
        <f>IF(X278&lt;&gt;"",VLOOKUP(C278,'General price list'!C280:AN1253,MATCH("HM",Tabulka1[[#Headers],[KOD]:[NEQ]],0),FALSE),"")</f>
        <v/>
      </c>
    </row>
    <row r="279" spans="1:27">
      <c r="A279">
        <f>COUNTIF($W$22:W279,1)</f>
        <v>0</v>
      </c>
      <c r="B279">
        <v>279</v>
      </c>
      <c r="C279" s="340" t="str">
        <f>Tabulka1[[#This Row],[KOD]]</f>
        <v>R12T3</v>
      </c>
      <c r="W279" t="str">
        <f t="shared" si="4"/>
        <v/>
      </c>
      <c r="Y279" s="341">
        <f>IF('General price list'!$AB281="",0,'General price list'!$AB281)</f>
        <v>0</v>
      </c>
      <c r="Z279" s="365">
        <f>IFERROR(X279*VLOOKUP(C279,'General price list'!C:I,7,FALSE),"")</f>
        <v>0</v>
      </c>
      <c r="AA279" s="365" t="str">
        <f>IF(X279&lt;&gt;"",VLOOKUP(C279,'General price list'!C281:AN1254,MATCH("HM",Tabulka1[[#Headers],[KOD]:[NEQ]],0),FALSE),"")</f>
        <v/>
      </c>
    </row>
    <row r="280" spans="1:27">
      <c r="A280">
        <f>COUNTIF($W$22:W280,1)</f>
        <v>0</v>
      </c>
      <c r="B280">
        <v>280</v>
      </c>
      <c r="C280" s="340" t="str">
        <f>Tabulka1[[#This Row],[KOD]]</f>
        <v>RSD6</v>
      </c>
      <c r="W280" t="str">
        <f t="shared" ref="W280:W343" si="5">IF(Y280+1=1,"",1)</f>
        <v/>
      </c>
      <c r="Y280" s="341">
        <f>IF('General price list'!$AB282="",0,'General price list'!$AB282)</f>
        <v>0</v>
      </c>
      <c r="Z280" s="365">
        <f>IFERROR(X280*VLOOKUP(C280,'General price list'!C:I,7,FALSE),"")</f>
        <v>0</v>
      </c>
      <c r="AA280" s="365" t="str">
        <f>IF(X280&lt;&gt;"",VLOOKUP(C280,'General price list'!C282:AN1255,MATCH("HM",Tabulka1[[#Headers],[KOD]:[NEQ]],0),FALSE),"")</f>
        <v/>
      </c>
    </row>
    <row r="281" spans="1:27">
      <c r="A281">
        <f>COUNTIF($W$22:W281,1)</f>
        <v>0</v>
      </c>
      <c r="B281">
        <v>281</v>
      </c>
      <c r="C281" s="340" t="str">
        <f>Tabulka1[[#This Row],[KOD]]</f>
        <v>RS6XS</v>
      </c>
      <c r="W281" t="str">
        <f t="shared" si="5"/>
        <v/>
      </c>
      <c r="Y281" s="341">
        <f>IF('General price list'!$AB283="",0,'General price list'!$AB283)</f>
        <v>0</v>
      </c>
      <c r="Z281" s="365">
        <f>IFERROR(X281*VLOOKUP(C281,'General price list'!C:I,7,FALSE),"")</f>
        <v>0</v>
      </c>
      <c r="AA281" s="365" t="str">
        <f>IF(X281&lt;&gt;"",VLOOKUP(C281,'General price list'!C283:AN1256,MATCH("HM",Tabulka1[[#Headers],[KOD]:[NEQ]],0),FALSE),"")</f>
        <v/>
      </c>
    </row>
    <row r="282" spans="1:27">
      <c r="A282">
        <f>COUNTIF($W$22:W282,1)</f>
        <v>0</v>
      </c>
      <c r="B282">
        <v>282</v>
      </c>
      <c r="C282" s="340" t="str">
        <f>Tabulka1[[#This Row],[KOD]]</f>
        <v>RS5DU</v>
      </c>
      <c r="W282" t="str">
        <f t="shared" si="5"/>
        <v/>
      </c>
      <c r="Y282" s="341">
        <f>IF('General price list'!$AB284="",0,'General price list'!$AB284)</f>
        <v>0</v>
      </c>
      <c r="Z282" s="365">
        <f>IFERROR(X282*VLOOKUP(C282,'General price list'!C:I,7,FALSE),"")</f>
        <v>0</v>
      </c>
      <c r="AA282" s="365" t="str">
        <f>IF(X282&lt;&gt;"",VLOOKUP(C282,'General price list'!C284:AN1257,MATCH("HM",Tabulka1[[#Headers],[KOD]:[NEQ]],0),FALSE),"")</f>
        <v/>
      </c>
    </row>
    <row r="283" spans="1:27">
      <c r="A283">
        <f>COUNTIF($W$22:W283,1)</f>
        <v>0</v>
      </c>
      <c r="B283">
        <v>283</v>
      </c>
      <c r="C283" s="340" t="str">
        <f>Tabulka1[[#This Row],[KOD]]</f>
        <v>HF24733RK</v>
      </c>
      <c r="W283" t="str">
        <f t="shared" si="5"/>
        <v/>
      </c>
      <c r="Y283" s="341">
        <f>IF('General price list'!$AB285="",0,'General price list'!$AB285)</f>
        <v>0</v>
      </c>
      <c r="Z283" s="365">
        <f>IFERROR(X283*VLOOKUP(C283,'General price list'!C:I,7,FALSE),"")</f>
        <v>0</v>
      </c>
      <c r="AA283" s="365" t="str">
        <f>IF(X283&lt;&gt;"",VLOOKUP(C283,'General price list'!C285:AN1258,MATCH("HM",Tabulka1[[#Headers],[KOD]:[NEQ]],0),FALSE),"")</f>
        <v/>
      </c>
    </row>
    <row r="284" spans="1:27">
      <c r="A284">
        <f>COUNTIF($W$22:W284,1)</f>
        <v>0</v>
      </c>
      <c r="B284">
        <v>284</v>
      </c>
      <c r="C284" s="340" t="str">
        <f>Tabulka1[[#This Row],[KOD]]</f>
        <v>RS4H14</v>
      </c>
      <c r="W284" t="str">
        <f t="shared" si="5"/>
        <v/>
      </c>
      <c r="Y284" s="341">
        <f>IF('General price list'!$AB286="",0,'General price list'!$AB286)</f>
        <v>0</v>
      </c>
      <c r="Z284" s="365">
        <f>IFERROR(X284*VLOOKUP(C284,'General price list'!C:I,7,FALSE),"")</f>
        <v>0</v>
      </c>
      <c r="AA284" s="365" t="str">
        <f>IF(X284&lt;&gt;"",VLOOKUP(C284,'General price list'!C286:AN1259,MATCH("HM",Tabulka1[[#Headers],[KOD]:[NEQ]],0),FALSE),"")</f>
        <v/>
      </c>
    </row>
    <row r="285" spans="1:27">
      <c r="A285">
        <f>COUNTIF($W$22:W285,1)</f>
        <v>0</v>
      </c>
      <c r="B285">
        <v>285</v>
      </c>
      <c r="C285" s="340" t="str">
        <f>Tabulka1[[#This Row],[KOD]]</f>
        <v>RS7MD14</v>
      </c>
      <c r="W285" t="str">
        <f t="shared" si="5"/>
        <v/>
      </c>
      <c r="Y285" s="341">
        <f>IF('General price list'!$AB287="",0,'General price list'!$AB287)</f>
        <v>0</v>
      </c>
      <c r="Z285" s="365">
        <f>IFERROR(X285*VLOOKUP(C285,'General price list'!C:I,7,FALSE),"")</f>
        <v>0</v>
      </c>
      <c r="AA285" s="365" t="str">
        <f>IF(X285&lt;&gt;"",VLOOKUP(C285,'General price list'!C287:AN1260,MATCH("HM",Tabulka1[[#Headers],[KOD]:[NEQ]],0),FALSE),"")</f>
        <v/>
      </c>
    </row>
    <row r="286" spans="1:27">
      <c r="A286">
        <f>COUNTIF($W$22:W286,1)</f>
        <v>0</v>
      </c>
      <c r="B286">
        <v>286</v>
      </c>
      <c r="C286" s="340" t="str">
        <f>Tabulka1[[#This Row],[KOD]]</f>
        <v>RS7T14</v>
      </c>
      <c r="W286" t="str">
        <f t="shared" si="5"/>
        <v/>
      </c>
      <c r="Y286" s="341">
        <f>IF('General price list'!$AB288="",0,'General price list'!$AB288)</f>
        <v>0</v>
      </c>
      <c r="Z286" s="365">
        <f>IFERROR(X286*VLOOKUP(C286,'General price list'!C:I,7,FALSE),"")</f>
        <v>0</v>
      </c>
      <c r="AA286" s="365" t="str">
        <f>IF(X286&lt;&gt;"",VLOOKUP(C286,'General price list'!C288:AN1261,MATCH("HM",Tabulka1[[#Headers],[KOD]:[NEQ]],0),FALSE),"")</f>
        <v/>
      </c>
    </row>
    <row r="287" spans="1:27">
      <c r="A287">
        <f>COUNTIF($W$22:W287,1)</f>
        <v>0</v>
      </c>
      <c r="B287">
        <v>287</v>
      </c>
      <c r="C287" s="340" t="str">
        <f>Tabulka1[[#This Row],[KOD]]</f>
        <v>RS9T14</v>
      </c>
      <c r="W287" t="str">
        <f t="shared" si="5"/>
        <v/>
      </c>
      <c r="Y287" s="341">
        <f>IF('General price list'!$AB289="",0,'General price list'!$AB289)</f>
        <v>0</v>
      </c>
      <c r="Z287" s="365">
        <f>IFERROR(X287*VLOOKUP(C287,'General price list'!C:I,7,FALSE),"")</f>
        <v>0</v>
      </c>
      <c r="AA287" s="365" t="str">
        <f>IF(X287&lt;&gt;"",VLOOKUP(C287,'General price list'!C289:AN1262,MATCH("HM",Tabulka1[[#Headers],[KOD]:[NEQ]],0),FALSE),"")</f>
        <v/>
      </c>
    </row>
    <row r="288" spans="1:27">
      <c r="A288">
        <f>COUNTIF($W$22:W288,1)</f>
        <v>0</v>
      </c>
      <c r="B288">
        <v>288</v>
      </c>
      <c r="C288" s="340" t="str">
        <f>Tabulka1[[#This Row],[KOD]]</f>
        <v>RS9P14</v>
      </c>
      <c r="W288" t="str">
        <f t="shared" si="5"/>
        <v/>
      </c>
      <c r="Y288" s="341">
        <f>IF('General price list'!$AB290="",0,'General price list'!$AB290)</f>
        <v>0</v>
      </c>
      <c r="Z288" s="365">
        <f>IFERROR(X288*VLOOKUP(C288,'General price list'!C:I,7,FALSE),"")</f>
        <v>0</v>
      </c>
      <c r="AA288" s="365" t="str">
        <f>IF(X288&lt;&gt;"",VLOOKUP(C288,'General price list'!C290:AN1263,MATCH("HM",Tabulka1[[#Headers],[KOD]:[NEQ]],0),FALSE),"")</f>
        <v/>
      </c>
    </row>
    <row r="289" spans="1:27">
      <c r="A289">
        <f>COUNTIF($W$22:W289,1)</f>
        <v>0</v>
      </c>
      <c r="B289">
        <v>289</v>
      </c>
      <c r="C289" s="340" t="str">
        <f>Tabulka1[[#This Row],[KOD]]</f>
        <v>RS11HF2</v>
      </c>
      <c r="W289" t="str">
        <f t="shared" si="5"/>
        <v/>
      </c>
      <c r="Y289" s="341">
        <f>IF('General price list'!$AB291="",0,'General price list'!$AB291)</f>
        <v>0</v>
      </c>
      <c r="Z289" s="365">
        <f>IFERROR(X289*VLOOKUP(C289,'General price list'!C:I,7,FALSE),"")</f>
        <v>0</v>
      </c>
      <c r="AA289" s="365" t="str">
        <f>IF(X289&lt;&gt;"",VLOOKUP(C289,'General price list'!C291:AN1264,MATCH("HM",Tabulka1[[#Headers],[KOD]:[NEQ]],0),FALSE),"")</f>
        <v/>
      </c>
    </row>
    <row r="290" spans="1:27">
      <c r="A290">
        <f>COUNTIF($W$22:W290,1)</f>
        <v>0</v>
      </c>
      <c r="B290">
        <v>290</v>
      </c>
      <c r="C290" s="340" t="str">
        <f>Tabulka1[[#This Row],[KOD]]</f>
        <v>SP3CF2</v>
      </c>
      <c r="W290" t="str">
        <f t="shared" si="5"/>
        <v/>
      </c>
      <c r="Y290" s="341">
        <f>IF('General price list'!$AB292="",0,'General price list'!$AB292)</f>
        <v>0</v>
      </c>
      <c r="Z290" s="365">
        <f>IFERROR(X290*VLOOKUP(C290,'General price list'!C:I,7,FALSE),"")</f>
        <v>0</v>
      </c>
      <c r="AA290" s="365" t="str">
        <f>IF(X290&lt;&gt;"",VLOOKUP(C290,'General price list'!C292:AN1265,MATCH("HM",Tabulka1[[#Headers],[KOD]:[NEQ]],0),FALSE),"")</f>
        <v/>
      </c>
    </row>
    <row r="291" spans="1:27">
      <c r="A291">
        <f>COUNTIF($W$22:W291,1)</f>
        <v>0</v>
      </c>
      <c r="B291">
        <v>291</v>
      </c>
      <c r="C291" s="340" t="str">
        <f>Tabulka1[[#This Row],[KOD]]</f>
        <v>RS18TF2</v>
      </c>
      <c r="W291" t="str">
        <f t="shared" si="5"/>
        <v/>
      </c>
      <c r="Y291" s="341">
        <f>IF('General price list'!$AB293="",0,'General price list'!$AB293)</f>
        <v>0</v>
      </c>
      <c r="Z291" s="365">
        <f>IFERROR(X291*VLOOKUP(C291,'General price list'!C:I,7,FALSE),"")</f>
        <v>0</v>
      </c>
      <c r="AA291" s="365" t="str">
        <f>IF(X291&lt;&gt;"",VLOOKUP(C291,'General price list'!C293:AN1266,MATCH("HM",Tabulka1[[#Headers],[KOD]:[NEQ]],0),FALSE),"")</f>
        <v/>
      </c>
    </row>
    <row r="292" spans="1:27">
      <c r="A292">
        <f>COUNTIF($W$22:W292,1)</f>
        <v>0</v>
      </c>
      <c r="B292">
        <v>292</v>
      </c>
      <c r="C292" s="340" t="str">
        <f>Tabulka1[[#This Row],[KOD]]</f>
        <v>RS18SF2</v>
      </c>
      <c r="W292" t="str">
        <f t="shared" si="5"/>
        <v/>
      </c>
      <c r="Y292" s="341">
        <f>IF('General price list'!$AB294="",0,'General price list'!$AB294)</f>
        <v>0</v>
      </c>
      <c r="Z292" s="365">
        <f>IFERROR(X292*VLOOKUP(C292,'General price list'!C:I,7,FALSE),"")</f>
        <v>0</v>
      </c>
      <c r="AA292" s="365" t="str">
        <f>IF(X292&lt;&gt;"",VLOOKUP(C292,'General price list'!C294:AN1267,MATCH("HM",Tabulka1[[#Headers],[KOD]:[NEQ]],0),FALSE),"")</f>
        <v/>
      </c>
    </row>
    <row r="293" spans="1:27">
      <c r="A293">
        <f>COUNTIF($W$22:W293,1)</f>
        <v>0</v>
      </c>
      <c r="B293">
        <v>293</v>
      </c>
      <c r="C293" s="340" t="str">
        <f>Tabulka1[[#This Row],[KOD]]</f>
        <v>RS21Z14</v>
      </c>
      <c r="W293" t="str">
        <f t="shared" si="5"/>
        <v/>
      </c>
      <c r="Y293" s="341">
        <f>IF('General price list'!$AB295="",0,'General price list'!$AB295)</f>
        <v>0</v>
      </c>
      <c r="Z293" s="365">
        <f>IFERROR(X293*VLOOKUP(C293,'General price list'!C:I,7,FALSE),"")</f>
        <v>0</v>
      </c>
      <c r="AA293" s="365" t="str">
        <f>IF(X293&lt;&gt;"",VLOOKUP(C293,'General price list'!C295:AN1268,MATCH("HM",Tabulka1[[#Headers],[KOD]:[NEQ]],0),FALSE),"")</f>
        <v/>
      </c>
    </row>
    <row r="294" spans="1:27">
      <c r="A294">
        <f>COUNTIF($W$22:W294,1)</f>
        <v>0</v>
      </c>
      <c r="B294">
        <v>294</v>
      </c>
      <c r="C294" s="340" t="str">
        <f>Tabulka1[[#This Row],[KOD]]</f>
        <v>RS33R14</v>
      </c>
      <c r="W294" t="str">
        <f t="shared" si="5"/>
        <v/>
      </c>
      <c r="Y294" s="341">
        <f>IF('General price list'!$AB296="",0,'General price list'!$AB296)</f>
        <v>0</v>
      </c>
      <c r="Z294" s="365">
        <f>IFERROR(X294*VLOOKUP(C294,'General price list'!C:I,7,FALSE),"")</f>
        <v>0</v>
      </c>
      <c r="AA294" s="365" t="str">
        <f>IF(X294&lt;&gt;"",VLOOKUP(C294,'General price list'!C296:AN1269,MATCH("HM",Tabulka1[[#Headers],[KOD]:[NEQ]],0),FALSE),"")</f>
        <v/>
      </c>
    </row>
    <row r="295" spans="1:27">
      <c r="A295">
        <f>COUNTIF($W$22:W295,1)</f>
        <v>0</v>
      </c>
      <c r="B295">
        <v>295</v>
      </c>
      <c r="C295" s="340" t="str">
        <f>Tabulka1[[#This Row],[KOD]]</f>
        <v>RSSF2</v>
      </c>
      <c r="W295" t="str">
        <f t="shared" si="5"/>
        <v/>
      </c>
      <c r="Y295" s="341">
        <f>IF('General price list'!$AB297="",0,'General price list'!$AB297)</f>
        <v>0</v>
      </c>
      <c r="Z295" s="365">
        <f>IFERROR(X295*VLOOKUP(C295,'General price list'!C:I,7,FALSE),"")</f>
        <v>0</v>
      </c>
      <c r="AA295" s="365" t="str">
        <f>IF(X295&lt;&gt;"",VLOOKUP(C295,'General price list'!C297:AN1270,MATCH("HM",Tabulka1[[#Headers],[KOD]:[NEQ]],0),FALSE),"")</f>
        <v/>
      </c>
    </row>
    <row r="296" spans="1:27">
      <c r="A296">
        <f>COUNTIF($W$22:W296,1)</f>
        <v>0</v>
      </c>
      <c r="B296">
        <v>296</v>
      </c>
      <c r="C296" s="340" t="str">
        <f>Tabulka1[[#This Row],[KOD]]</f>
        <v>RSS75</v>
      </c>
      <c r="W296" t="str">
        <f t="shared" si="5"/>
        <v/>
      </c>
      <c r="Y296" s="341">
        <f>IF('General price list'!$AB298="",0,'General price list'!$AB298)</f>
        <v>0</v>
      </c>
      <c r="Z296" s="365">
        <f>IFERROR(X296*VLOOKUP(C296,'General price list'!C:I,7,FALSE),"")</f>
        <v>0</v>
      </c>
      <c r="AA296" s="365" t="str">
        <f>IF(X296&lt;&gt;"",VLOOKUP(C296,'General price list'!C298:AN1271,MATCH("HM",Tabulka1[[#Headers],[KOD]:[NEQ]],0),FALSE),"")</f>
        <v/>
      </c>
    </row>
    <row r="297" spans="1:27">
      <c r="A297">
        <f>COUNTIF($W$22:W297,1)</f>
        <v>0</v>
      </c>
      <c r="B297">
        <v>297</v>
      </c>
      <c r="C297" s="340">
        <f>Tabulka1[[#This Row],[KOD]]</f>
        <v>0</v>
      </c>
      <c r="W297" t="str">
        <f t="shared" si="5"/>
        <v/>
      </c>
      <c r="Y297" s="341">
        <f>IF('General price list'!$AB299="",0,'General price list'!$AB299)</f>
        <v>0</v>
      </c>
      <c r="Z297" s="365" t="str">
        <f>IFERROR(X297*VLOOKUP(C297,'General price list'!C:I,7,FALSE),"")</f>
        <v/>
      </c>
      <c r="AA297" s="365" t="str">
        <f>IF(X297&lt;&gt;"",VLOOKUP(C297,'General price list'!C299:AN1272,MATCH("HM",Tabulka1[[#Headers],[KOD]:[NEQ]],0),FALSE),"")</f>
        <v/>
      </c>
    </row>
    <row r="298" spans="1:27">
      <c r="A298">
        <f>COUNTIF($W$22:W298,1)</f>
        <v>0</v>
      </c>
      <c r="B298">
        <v>298</v>
      </c>
      <c r="C298" s="340" t="str">
        <f>Tabulka1[[#This Row],[KOD]]</f>
        <v>RS4D</v>
      </c>
      <c r="W298" t="str">
        <f t="shared" si="5"/>
        <v/>
      </c>
      <c r="Y298" s="341">
        <f>IF('General price list'!$AB300="",0,'General price list'!$AB300)</f>
        <v>0</v>
      </c>
      <c r="Z298" s="365">
        <f>IFERROR(X298*VLOOKUP(C298,'General price list'!C:I,7,FALSE),"")</f>
        <v>0</v>
      </c>
      <c r="AA298" s="365" t="str">
        <f>IF(X298&lt;&gt;"",VLOOKUP(C298,'General price list'!C300:AN1273,MATCH("HM",Tabulka1[[#Headers],[KOD]:[NEQ]],0),FALSE),"")</f>
        <v/>
      </c>
    </row>
    <row r="299" spans="1:27">
      <c r="A299">
        <f>COUNTIF($W$22:W299,1)</f>
        <v>0</v>
      </c>
      <c r="B299">
        <v>299</v>
      </c>
      <c r="C299" s="340" t="str">
        <f>Tabulka1[[#This Row],[KOD]]</f>
        <v>SP3C</v>
      </c>
      <c r="W299" t="str">
        <f t="shared" si="5"/>
        <v/>
      </c>
      <c r="Y299" s="341">
        <f>IF('General price list'!$AB301="",0,'General price list'!$AB301)</f>
        <v>0</v>
      </c>
      <c r="Z299" s="365">
        <f>IFERROR(X299*VLOOKUP(C299,'General price list'!C:I,7,FALSE),"")</f>
        <v>0</v>
      </c>
      <c r="AA299" s="365" t="str">
        <f>IF(X299&lt;&gt;"",VLOOKUP(C299,'General price list'!C301:AN1274,MATCH("HM",Tabulka1[[#Headers],[KOD]:[NEQ]],0),FALSE),"")</f>
        <v/>
      </c>
    </row>
    <row r="300" spans="1:27">
      <c r="A300">
        <f>COUNTIF($W$22:W300,1)</f>
        <v>0</v>
      </c>
      <c r="B300">
        <v>300</v>
      </c>
      <c r="C300" s="340" t="str">
        <f>Tabulka1[[#This Row],[KOD]]</f>
        <v>RS18T</v>
      </c>
      <c r="W300" t="str">
        <f t="shared" si="5"/>
        <v/>
      </c>
      <c r="Y300" s="341">
        <f>IF('General price list'!$AB302="",0,'General price list'!$AB302)</f>
        <v>0</v>
      </c>
      <c r="Z300" s="365">
        <f>IFERROR(X300*VLOOKUP(C300,'General price list'!C:I,7,FALSE),"")</f>
        <v>0</v>
      </c>
      <c r="AA300" s="365" t="str">
        <f>IF(X300&lt;&gt;"",VLOOKUP(C300,'General price list'!C302:AN1275,MATCH("HM",Tabulka1[[#Headers],[KOD]:[NEQ]],0),FALSE),"")</f>
        <v/>
      </c>
    </row>
    <row r="301" spans="1:27">
      <c r="A301">
        <f>COUNTIF($W$22:W301,1)</f>
        <v>0</v>
      </c>
      <c r="B301">
        <v>301</v>
      </c>
      <c r="C301" s="340" t="str">
        <f>Tabulka1[[#This Row],[KOD]]</f>
        <v>RS18S</v>
      </c>
      <c r="W301" t="str">
        <f t="shared" si="5"/>
        <v/>
      </c>
      <c r="Y301" s="341">
        <f>IF('General price list'!$AB303="",0,'General price list'!$AB303)</f>
        <v>0</v>
      </c>
      <c r="Z301" s="365">
        <f>IFERROR(X301*VLOOKUP(C301,'General price list'!C:I,7,FALSE),"")</f>
        <v>0</v>
      </c>
      <c r="AA301" s="365" t="str">
        <f>IF(X301&lt;&gt;"",VLOOKUP(C301,'General price list'!C303:AN1276,MATCH("HM",Tabulka1[[#Headers],[KOD]:[NEQ]],0),FALSE),"")</f>
        <v/>
      </c>
    </row>
    <row r="302" spans="1:27">
      <c r="A302">
        <f>COUNTIF($W$22:W302,1)</f>
        <v>0</v>
      </c>
      <c r="B302">
        <v>302</v>
      </c>
      <c r="C302" s="340" t="str">
        <f>Tabulka1[[#This Row],[KOD]]</f>
        <v>RS33R</v>
      </c>
      <c r="W302" t="str">
        <f t="shared" si="5"/>
        <v/>
      </c>
      <c r="Y302" s="341">
        <f>IF('General price list'!$AB304="",0,'General price list'!$AB304)</f>
        <v>0</v>
      </c>
      <c r="Z302" s="365">
        <f>IFERROR(X302*VLOOKUP(C302,'General price list'!C:I,7,FALSE),"")</f>
        <v>0</v>
      </c>
      <c r="AA302" s="365" t="str">
        <f>IF(X302&lt;&gt;"",VLOOKUP(C302,'General price list'!C304:AN1277,MATCH("HM",Tabulka1[[#Headers],[KOD]:[NEQ]],0),FALSE),"")</f>
        <v/>
      </c>
    </row>
    <row r="303" spans="1:27">
      <c r="A303">
        <f>COUNTIF($W$22:W303,1)</f>
        <v>0</v>
      </c>
      <c r="B303">
        <v>303</v>
      </c>
      <c r="C303" s="340" t="str">
        <f>Tabulka1[[#This Row],[KOD]]</f>
        <v>RSS100</v>
      </c>
      <c r="W303" t="str">
        <f t="shared" si="5"/>
        <v/>
      </c>
      <c r="Y303" s="341">
        <f>IF('General price list'!$AB305="",0,'General price list'!$AB305)</f>
        <v>0</v>
      </c>
      <c r="Z303" s="365">
        <f>IFERROR(X303*VLOOKUP(C303,'General price list'!C:I,7,FALSE),"")</f>
        <v>0</v>
      </c>
      <c r="AA303" s="365" t="str">
        <f>IF(X303&lt;&gt;"",VLOOKUP(C303,'General price list'!C305:AN1278,MATCH("HM",Tabulka1[[#Headers],[KOD]:[NEQ]],0),FALSE),"")</f>
        <v/>
      </c>
    </row>
    <row r="304" spans="1:27">
      <c r="A304">
        <f>COUNTIF($W$22:W304,1)</f>
        <v>0</v>
      </c>
      <c r="B304">
        <v>304</v>
      </c>
      <c r="C304" s="340" t="str">
        <f>Tabulka1[[#This Row],[KOD]]</f>
        <v>R170B</v>
      </c>
      <c r="W304" t="str">
        <f t="shared" si="5"/>
        <v/>
      </c>
      <c r="Y304" s="341">
        <f>IF('General price list'!$AB306="",0,'General price list'!$AB306)</f>
        <v>0</v>
      </c>
      <c r="Z304" s="365">
        <f>IFERROR(X304*VLOOKUP(C304,'General price list'!C:I,7,FALSE),"")</f>
        <v>0</v>
      </c>
      <c r="AA304" s="365" t="str">
        <f>IF(X304&lt;&gt;"",VLOOKUP(C304,'General price list'!C306:AN1279,MATCH("HM",Tabulka1[[#Headers],[KOD]:[NEQ]],0),FALSE),"")</f>
        <v/>
      </c>
    </row>
    <row r="305" spans="1:27">
      <c r="A305">
        <f>COUNTIF($W$22:W305,1)</f>
        <v>0</v>
      </c>
      <c r="B305">
        <v>305</v>
      </c>
      <c r="C305" s="340" t="str">
        <f>Tabulka1[[#This Row],[KOD]]</f>
        <v>R170X</v>
      </c>
      <c r="W305" t="str">
        <f t="shared" si="5"/>
        <v/>
      </c>
      <c r="Y305" s="341">
        <f>IF('General price list'!$AB307="",0,'General price list'!$AB307)</f>
        <v>0</v>
      </c>
      <c r="Z305" s="365">
        <f>IFERROR(X305*VLOOKUP(C305,'General price list'!C:I,7,FALSE),"")</f>
        <v>0</v>
      </c>
      <c r="AA305" s="365" t="str">
        <f>IF(X305&lt;&gt;"",VLOOKUP(C305,'General price list'!C307:AN1280,MATCH("HM",Tabulka1[[#Headers],[KOD]:[NEQ]],0),FALSE),"")</f>
        <v/>
      </c>
    </row>
    <row r="306" spans="1:27">
      <c r="A306">
        <f>COUNTIF($W$22:W306,1)</f>
        <v>0</v>
      </c>
      <c r="B306">
        <v>306</v>
      </c>
      <c r="C306" s="340" t="str">
        <f>Tabulka1[[#This Row],[KOD]]</f>
        <v>R170M</v>
      </c>
      <c r="W306" t="str">
        <f t="shared" si="5"/>
        <v/>
      </c>
      <c r="Y306" s="341">
        <f>IF('General price list'!$AB308="",0,'General price list'!$AB308)</f>
        <v>0</v>
      </c>
      <c r="Z306" s="365">
        <f>IFERROR(X306*VLOOKUP(C306,'General price list'!C:I,7,FALSE),"")</f>
        <v>0</v>
      </c>
      <c r="AA306" s="365" t="str">
        <f>IF(X306&lt;&gt;"",VLOOKUP(C306,'General price list'!C308:AN1281,MATCH("HM",Tabulka1[[#Headers],[KOD]:[NEQ]],0),FALSE),"")</f>
        <v/>
      </c>
    </row>
    <row r="307" spans="1:27">
      <c r="A307">
        <f>COUNTIF($W$22:W307,1)</f>
        <v>0</v>
      </c>
      <c r="B307">
        <v>307</v>
      </c>
      <c r="C307" s="340" t="str">
        <f>Tabulka1[[#This Row],[KOD]]</f>
        <v>RSSF3</v>
      </c>
      <c r="W307" t="str">
        <f t="shared" si="5"/>
        <v/>
      </c>
      <c r="Y307" s="341">
        <f>IF('General price list'!$AB309="",0,'General price list'!$AB309)</f>
        <v>0</v>
      </c>
      <c r="Z307" s="365">
        <f>IFERROR(X307*VLOOKUP(C307,'General price list'!C:I,7,FALSE),"")</f>
        <v>0</v>
      </c>
      <c r="AA307" s="365" t="str">
        <f>IF(X307&lt;&gt;"",VLOOKUP(C307,'General price list'!C309:AN1282,MATCH("HM",Tabulka1[[#Headers],[KOD]:[NEQ]],0),FALSE),"")</f>
        <v/>
      </c>
    </row>
    <row r="308" spans="1:27">
      <c r="A308">
        <f>COUNTIF($W$22:W308,1)</f>
        <v>0</v>
      </c>
      <c r="B308">
        <v>308</v>
      </c>
      <c r="C308" s="340">
        <f>Tabulka1[[#This Row],[KOD]]</f>
        <v>0</v>
      </c>
      <c r="W308" t="str">
        <f t="shared" si="5"/>
        <v/>
      </c>
      <c r="Y308" s="341">
        <f>IF('General price list'!$AB310="",0,'General price list'!$AB310)</f>
        <v>0</v>
      </c>
      <c r="Z308" s="365" t="str">
        <f>IFERROR(X308*VLOOKUP(C308,'General price list'!C:I,7,FALSE),"")</f>
        <v/>
      </c>
      <c r="AA308" s="365" t="str">
        <f>IF(X308&lt;&gt;"",VLOOKUP(C308,'General price list'!C310:AN1283,MATCH("HM",Tabulka1[[#Headers],[KOD]:[NEQ]],0),FALSE),"")</f>
        <v/>
      </c>
    </row>
    <row r="309" spans="1:27">
      <c r="A309">
        <f>COUNTIF($W$22:W309,1)</f>
        <v>0</v>
      </c>
      <c r="B309">
        <v>309</v>
      </c>
      <c r="C309" s="340" t="str">
        <f>Tabulka1[[#This Row],[KOD]]</f>
        <v>TIDB1L</v>
      </c>
      <c r="W309" t="str">
        <f t="shared" si="5"/>
        <v/>
      </c>
      <c r="Y309" s="341">
        <f>IF('General price list'!$AB311="",0,'General price list'!$AB311)</f>
        <v>0</v>
      </c>
      <c r="Z309" s="365">
        <f>IFERROR(X309*VLOOKUP(C309,'General price list'!C:I,7,FALSE),"")</f>
        <v>0</v>
      </c>
      <c r="AA309" s="365" t="str">
        <f>IF(X309&lt;&gt;"",VLOOKUP(C309,'General price list'!C311:AN1284,MATCH("HM",Tabulka1[[#Headers],[KOD]:[NEQ]],0),FALSE),"")</f>
        <v/>
      </c>
    </row>
    <row r="310" spans="1:27">
      <c r="A310">
        <f>COUNTIF($W$22:W310,1)</f>
        <v>0</v>
      </c>
      <c r="B310">
        <v>310</v>
      </c>
      <c r="C310" s="340" t="str">
        <f>Tabulka1[[#This Row],[KOD]]</f>
        <v>TPD1L</v>
      </c>
      <c r="W310" t="str">
        <f t="shared" si="5"/>
        <v/>
      </c>
      <c r="Y310" s="341">
        <f>IF('General price list'!$AB312="",0,'General price list'!$AB312)</f>
        <v>0</v>
      </c>
      <c r="Z310" s="365">
        <f>IFERROR(X310*VLOOKUP(C310,'General price list'!C:I,7,FALSE),"")</f>
        <v>0</v>
      </c>
      <c r="AA310" s="365" t="str">
        <f>IF(X310&lt;&gt;"",VLOOKUP(C310,'General price list'!C312:AN1285,MATCH("HM",Tabulka1[[#Headers],[KOD]:[NEQ]],0),FALSE),"")</f>
        <v/>
      </c>
    </row>
    <row r="311" spans="1:27">
      <c r="A311">
        <f>COUNTIF($W$22:W311,1)</f>
        <v>0</v>
      </c>
      <c r="B311">
        <v>311</v>
      </c>
      <c r="C311" s="340" t="str">
        <f>Tabulka1[[#This Row],[KOD]]</f>
        <v>TPD1XL</v>
      </c>
      <c r="W311" t="str">
        <f t="shared" si="5"/>
        <v/>
      </c>
      <c r="Y311" s="341">
        <f>IF('General price list'!$AB313="",0,'General price list'!$AB313)</f>
        <v>0</v>
      </c>
      <c r="Z311" s="365">
        <f>IFERROR(X311*VLOOKUP(C311,'General price list'!C:I,7,FALSE),"")</f>
        <v>0</v>
      </c>
      <c r="AA311" s="365" t="str">
        <f>IF(X311&lt;&gt;"",VLOOKUP(C311,'General price list'!C313:AN1286,MATCH("HM",Tabulka1[[#Headers],[KOD]:[NEQ]],0),FALSE),"")</f>
        <v/>
      </c>
    </row>
    <row r="312" spans="1:27">
      <c r="A312">
        <f>COUNTIF($W$22:W312,1)</f>
        <v>0</v>
      </c>
      <c r="B312">
        <v>312</v>
      </c>
      <c r="C312" s="340" t="str">
        <f>Tabulka1[[#This Row],[KOD]]</f>
        <v>BD1XXL</v>
      </c>
      <c r="W312" t="str">
        <f t="shared" si="5"/>
        <v/>
      </c>
      <c r="Y312" s="341">
        <f>IF('General price list'!$AB314="",0,'General price list'!$AB314)</f>
        <v>0</v>
      </c>
      <c r="Z312" s="365">
        <f>IFERROR(X312*VLOOKUP(C312,'General price list'!C:I,7,FALSE),"")</f>
        <v>0</v>
      </c>
      <c r="AA312" s="365" t="str">
        <f>IF(X312&lt;&gt;"",VLOOKUP(C312,'General price list'!C314:AN1287,MATCH("HM",Tabulka1[[#Headers],[KOD]:[NEQ]],0),FALSE),"")</f>
        <v/>
      </c>
    </row>
    <row r="313" spans="1:27">
      <c r="A313">
        <f>COUNTIF($W$22:W313,1)</f>
        <v>0</v>
      </c>
      <c r="B313">
        <v>313</v>
      </c>
      <c r="C313" s="340">
        <f>Tabulka1[[#This Row],[KOD]]</f>
        <v>0</v>
      </c>
      <c r="W313" t="str">
        <f t="shared" si="5"/>
        <v/>
      </c>
      <c r="Y313" s="341">
        <f>IF('General price list'!$AB315="",0,'General price list'!$AB315)</f>
        <v>0</v>
      </c>
      <c r="Z313" s="365" t="str">
        <f>IFERROR(X313*VLOOKUP(C313,'General price list'!C:I,7,FALSE),"")</f>
        <v/>
      </c>
      <c r="AA313" s="365" t="str">
        <f>IF(X313&lt;&gt;"",VLOOKUP(C313,'General price list'!C315:AN1288,MATCH("HM",Tabulka1[[#Headers],[KOD]:[NEQ]],0),FALSE),"")</f>
        <v/>
      </c>
    </row>
    <row r="314" spans="1:27">
      <c r="A314">
        <f>COUNTIF($W$22:W314,1)</f>
        <v>0</v>
      </c>
      <c r="B314">
        <v>314</v>
      </c>
      <c r="C314" s="340" t="str">
        <f>Tabulka1[[#This Row],[KOD]]</f>
        <v>TDLE1M</v>
      </c>
      <c r="W314" t="str">
        <f t="shared" si="5"/>
        <v/>
      </c>
      <c r="Y314" s="341">
        <f>IF('General price list'!$AB316="",0,'General price list'!$AB316)</f>
        <v>0</v>
      </c>
      <c r="Z314" s="365">
        <f>IFERROR(X314*VLOOKUP(C314,'General price list'!C:I,7,FALSE),"")</f>
        <v>0</v>
      </c>
      <c r="AA314" s="365" t="str">
        <f>IF(X314&lt;&gt;"",VLOOKUP(C314,'General price list'!C316:AN1289,MATCH("HM",Tabulka1[[#Headers],[KOD]:[NEQ]],0),FALSE),"")</f>
        <v/>
      </c>
    </row>
    <row r="315" spans="1:27">
      <c r="A315">
        <f>COUNTIF($W$22:W315,1)</f>
        <v>0</v>
      </c>
      <c r="B315">
        <v>315</v>
      </c>
      <c r="C315" s="340" t="str">
        <f>Tabulka1[[#This Row],[KOD]]</f>
        <v>TDLE1L</v>
      </c>
      <c r="W315" t="str">
        <f t="shared" si="5"/>
        <v/>
      </c>
      <c r="Y315" s="341">
        <f>IF('General price list'!$AB317="",0,'General price list'!$AB317)</f>
        <v>0</v>
      </c>
      <c r="Z315" s="365">
        <f>IFERROR(X315*VLOOKUP(C315,'General price list'!C:I,7,FALSE),"")</f>
        <v>0</v>
      </c>
      <c r="AA315" s="365" t="str">
        <f>IF(X315&lt;&gt;"",VLOOKUP(C315,'General price list'!C317:AN1290,MATCH("HM",Tabulka1[[#Headers],[KOD]:[NEQ]],0),FALSE),"")</f>
        <v/>
      </c>
    </row>
    <row r="316" spans="1:27">
      <c r="A316">
        <f>COUNTIF($W$22:W316,1)</f>
        <v>0</v>
      </c>
      <c r="B316">
        <v>316</v>
      </c>
      <c r="C316" s="340" t="str">
        <f>Tabulka1[[#This Row],[KOD]]</f>
        <v>TDLE1XL</v>
      </c>
      <c r="W316" t="str">
        <f t="shared" si="5"/>
        <v/>
      </c>
      <c r="Y316" s="341">
        <f>IF('General price list'!$AB318="",0,'General price list'!$AB318)</f>
        <v>0</v>
      </c>
      <c r="Z316" s="365">
        <f>IFERROR(X316*VLOOKUP(C316,'General price list'!C:I,7,FALSE),"")</f>
        <v>0</v>
      </c>
      <c r="AA316" s="365" t="str">
        <f>IF(X316&lt;&gt;"",VLOOKUP(C316,'General price list'!C318:AN1291,MATCH("HM",Tabulka1[[#Headers],[KOD]:[NEQ]],0),FALSE),"")</f>
        <v/>
      </c>
    </row>
    <row r="317" spans="1:27">
      <c r="A317">
        <f>COUNTIF($W$22:W317,1)</f>
        <v>0</v>
      </c>
      <c r="B317">
        <v>317</v>
      </c>
      <c r="C317" s="340" t="str">
        <f>Tabulka1[[#This Row],[KOD]]</f>
        <v>TDLE1XXL</v>
      </c>
      <c r="W317" t="str">
        <f t="shared" si="5"/>
        <v/>
      </c>
      <c r="Y317" s="341">
        <f>IF('General price list'!$AB319="",0,'General price list'!$AB319)</f>
        <v>0</v>
      </c>
      <c r="Z317" s="365">
        <f>IFERROR(X317*VLOOKUP(C317,'General price list'!C:I,7,FALSE),"")</f>
        <v>0</v>
      </c>
      <c r="AA317" s="365" t="str">
        <f>IF(X317&lt;&gt;"",VLOOKUP(C317,'General price list'!C319:AN1292,MATCH("HM",Tabulka1[[#Headers],[KOD]:[NEQ]],0),FALSE),"")</f>
        <v/>
      </c>
    </row>
    <row r="318" spans="1:27">
      <c r="A318">
        <f>COUNTIF($W$22:W318,1)</f>
        <v>0</v>
      </c>
      <c r="B318">
        <v>318</v>
      </c>
      <c r="C318" s="340">
        <f>Tabulka1[[#This Row],[KOD]]</f>
        <v>0</v>
      </c>
      <c r="W318" t="str">
        <f t="shared" si="5"/>
        <v/>
      </c>
      <c r="Y318" s="341">
        <f>IF('General price list'!$AB320="",0,'General price list'!$AB320)</f>
        <v>0</v>
      </c>
      <c r="Z318" s="365" t="str">
        <f>IFERROR(X318*VLOOKUP(C318,'General price list'!C:I,7,FALSE),"")</f>
        <v/>
      </c>
      <c r="AA318" s="365" t="str">
        <f>IF(X318&lt;&gt;"",VLOOKUP(C318,'General price list'!C320:AN1293,MATCH("HM",Tabulka1[[#Headers],[KOD]:[NEQ]],0),FALSE),"")</f>
        <v/>
      </c>
    </row>
    <row r="319" spans="1:27">
      <c r="A319">
        <f>COUNTIF($W$22:W319,1)</f>
        <v>0</v>
      </c>
      <c r="B319">
        <v>319</v>
      </c>
      <c r="C319" s="340" t="str">
        <f>Tabulka1[[#This Row],[KOD]]</f>
        <v>TPDLE1M</v>
      </c>
      <c r="W319" t="str">
        <f t="shared" si="5"/>
        <v/>
      </c>
      <c r="Y319" s="341">
        <f>IF('General price list'!$AB321="",0,'General price list'!$AB321)</f>
        <v>0</v>
      </c>
      <c r="Z319" s="365">
        <f>IFERROR(X319*VLOOKUP(C319,'General price list'!C:I,7,FALSE),"")</f>
        <v>0</v>
      </c>
      <c r="AA319" s="365" t="str">
        <f>IF(X319&lt;&gt;"",VLOOKUP(C319,'General price list'!C321:AN1294,MATCH("HM",Tabulka1[[#Headers],[KOD]:[NEQ]],0),FALSE),"")</f>
        <v/>
      </c>
    </row>
    <row r="320" spans="1:27">
      <c r="A320">
        <f>COUNTIF($W$22:W320,1)</f>
        <v>0</v>
      </c>
      <c r="B320">
        <v>320</v>
      </c>
      <c r="C320" s="340" t="str">
        <f>Tabulka1[[#This Row],[KOD]]</f>
        <v>TPDLE1L</v>
      </c>
      <c r="W320" t="str">
        <f t="shared" si="5"/>
        <v/>
      </c>
      <c r="Y320" s="341">
        <f>IF('General price list'!$AB322="",0,'General price list'!$AB322)</f>
        <v>0</v>
      </c>
      <c r="Z320" s="365">
        <f>IFERROR(X320*VLOOKUP(C320,'General price list'!C:I,7,FALSE),"")</f>
        <v>0</v>
      </c>
      <c r="AA320" s="365" t="str">
        <f>IF(X320&lt;&gt;"",VLOOKUP(C320,'General price list'!C322:AN1295,MATCH("HM",Tabulka1[[#Headers],[KOD]:[NEQ]],0),FALSE),"")</f>
        <v/>
      </c>
    </row>
    <row r="321" spans="1:27">
      <c r="A321">
        <f>COUNTIF($W$22:W321,1)</f>
        <v>0</v>
      </c>
      <c r="B321">
        <v>321</v>
      </c>
      <c r="C321" s="340" t="str">
        <f>Tabulka1[[#This Row],[KOD]]</f>
        <v>TPDLE1XL</v>
      </c>
      <c r="W321" t="str">
        <f t="shared" si="5"/>
        <v/>
      </c>
      <c r="Y321" s="341">
        <f>IF('General price list'!$AB323="",0,'General price list'!$AB323)</f>
        <v>0</v>
      </c>
      <c r="Z321" s="365">
        <f>IFERROR(X321*VLOOKUP(C321,'General price list'!C:I,7,FALSE),"")</f>
        <v>0</v>
      </c>
      <c r="AA321" s="365" t="str">
        <f>IF(X321&lt;&gt;"",VLOOKUP(C321,'General price list'!C323:AN1296,MATCH("HM",Tabulka1[[#Headers],[KOD]:[NEQ]],0),FALSE),"")</f>
        <v/>
      </c>
    </row>
    <row r="322" spans="1:27">
      <c r="A322">
        <f>COUNTIF($W$22:W322,1)</f>
        <v>0</v>
      </c>
      <c r="B322">
        <v>322</v>
      </c>
      <c r="C322" s="340" t="str">
        <f>Tabulka1[[#This Row],[KOD]]</f>
        <v>TPDLE1XXL</v>
      </c>
      <c r="W322" t="str">
        <f t="shared" si="5"/>
        <v/>
      </c>
      <c r="Y322" s="341">
        <f>IF('General price list'!$AB324="",0,'General price list'!$AB324)</f>
        <v>0</v>
      </c>
      <c r="Z322" s="365">
        <f>IFERROR(X322*VLOOKUP(C322,'General price list'!C:I,7,FALSE),"")</f>
        <v>0</v>
      </c>
      <c r="AA322" s="365" t="str">
        <f>IF(X322&lt;&gt;"",VLOOKUP(C322,'General price list'!C324:AN1297,MATCH("HM",Tabulka1[[#Headers],[KOD]:[NEQ]],0),FALSE),"")</f>
        <v/>
      </c>
    </row>
    <row r="323" spans="1:27">
      <c r="A323">
        <f>COUNTIF($W$22:W323,1)</f>
        <v>0</v>
      </c>
      <c r="B323">
        <v>323</v>
      </c>
      <c r="C323" s="340">
        <f>Tabulka1[[#This Row],[KOD]]</f>
        <v>0</v>
      </c>
      <c r="W323" t="str">
        <f t="shared" si="5"/>
        <v/>
      </c>
      <c r="Y323" s="341">
        <f>IF('General price list'!$AB325="",0,'General price list'!$AB325)</f>
        <v>0</v>
      </c>
      <c r="Z323" s="365" t="str">
        <f>IFERROR(X323*VLOOKUP(C323,'General price list'!C:I,7,FALSE),"")</f>
        <v/>
      </c>
      <c r="AA323" s="365" t="str">
        <f>IF(X323&lt;&gt;"",VLOOKUP(C323,'General price list'!C325:AN1298,MATCH("HM",Tabulka1[[#Headers],[KOD]:[NEQ]],0),FALSE),"")</f>
        <v/>
      </c>
    </row>
    <row r="324" spans="1:27">
      <c r="A324">
        <f>COUNTIF($W$22:W324,1)</f>
        <v>0</v>
      </c>
      <c r="B324">
        <v>324</v>
      </c>
      <c r="C324" s="340" t="str">
        <f>Tabulka1[[#This Row],[KOD]]</f>
        <v>VDLE1M</v>
      </c>
      <c r="W324" t="str">
        <f t="shared" si="5"/>
        <v/>
      </c>
      <c r="Y324" s="341">
        <f>IF('General price list'!$AB326="",0,'General price list'!$AB326)</f>
        <v>0</v>
      </c>
      <c r="Z324" s="365">
        <f>IFERROR(X324*VLOOKUP(C324,'General price list'!C:I,7,FALSE),"")</f>
        <v>0</v>
      </c>
      <c r="AA324" s="365" t="str">
        <f>IF(X324&lt;&gt;"",VLOOKUP(C324,'General price list'!C326:AN1299,MATCH("HM",Tabulka1[[#Headers],[KOD]:[NEQ]],0),FALSE),"")</f>
        <v/>
      </c>
    </row>
    <row r="325" spans="1:27">
      <c r="A325">
        <f>COUNTIF($W$22:W325,1)</f>
        <v>0</v>
      </c>
      <c r="B325">
        <v>325</v>
      </c>
      <c r="C325" s="340" t="str">
        <f>Tabulka1[[#This Row],[KOD]]</f>
        <v>VDLE1L</v>
      </c>
      <c r="W325" t="str">
        <f t="shared" si="5"/>
        <v/>
      </c>
      <c r="Y325" s="341">
        <f>IF('General price list'!$AB327="",0,'General price list'!$AB327)</f>
        <v>0</v>
      </c>
      <c r="Z325" s="365">
        <f>IFERROR(X325*VLOOKUP(C325,'General price list'!C:I,7,FALSE),"")</f>
        <v>0</v>
      </c>
      <c r="AA325" s="365" t="str">
        <f>IF(X325&lt;&gt;"",VLOOKUP(C325,'General price list'!C327:AN1300,MATCH("HM",Tabulka1[[#Headers],[KOD]:[NEQ]],0),FALSE),"")</f>
        <v/>
      </c>
    </row>
    <row r="326" spans="1:27">
      <c r="A326">
        <f>COUNTIF($W$22:W326,1)</f>
        <v>0</v>
      </c>
      <c r="B326">
        <v>326</v>
      </c>
      <c r="C326" s="340" t="str">
        <f>Tabulka1[[#This Row],[KOD]]</f>
        <v>VDLE1XL</v>
      </c>
      <c r="W326" t="str">
        <f t="shared" si="5"/>
        <v/>
      </c>
      <c r="Y326" s="341">
        <f>IF('General price list'!$AB328="",0,'General price list'!$AB328)</f>
        <v>0</v>
      </c>
      <c r="Z326" s="365">
        <f>IFERROR(X326*VLOOKUP(C326,'General price list'!C:I,7,FALSE),"")</f>
        <v>0</v>
      </c>
      <c r="AA326" s="365" t="str">
        <f>IF(X326&lt;&gt;"",VLOOKUP(C326,'General price list'!C328:AN1301,MATCH("HM",Tabulka1[[#Headers],[KOD]:[NEQ]],0),FALSE),"")</f>
        <v/>
      </c>
    </row>
    <row r="327" spans="1:27">
      <c r="A327">
        <f>COUNTIF($W$22:W327,1)</f>
        <v>0</v>
      </c>
      <c r="B327">
        <v>327</v>
      </c>
      <c r="C327" s="340" t="str">
        <f>Tabulka1[[#This Row],[KOD]]</f>
        <v>VDLE1XXL</v>
      </c>
      <c r="W327" t="str">
        <f t="shared" si="5"/>
        <v/>
      </c>
      <c r="Y327" s="341">
        <f>IF('General price list'!$AB329="",0,'General price list'!$AB329)</f>
        <v>0</v>
      </c>
      <c r="Z327" s="365">
        <f>IFERROR(X327*VLOOKUP(C327,'General price list'!C:I,7,FALSE),"")</f>
        <v>0</v>
      </c>
      <c r="AA327" s="365" t="str">
        <f>IF(X327&lt;&gt;"",VLOOKUP(C327,'General price list'!C329:AN1302,MATCH("HM",Tabulka1[[#Headers],[KOD]:[NEQ]],0),FALSE),"")</f>
        <v/>
      </c>
    </row>
    <row r="328" spans="1:27">
      <c r="A328">
        <f>COUNTIF($W$22:W328,1)</f>
        <v>0</v>
      </c>
      <c r="B328">
        <v>328</v>
      </c>
      <c r="C328" s="340">
        <f>Tabulka1[[#This Row],[KOD]]</f>
        <v>0</v>
      </c>
      <c r="W328" t="str">
        <f t="shared" si="5"/>
        <v/>
      </c>
      <c r="Y328" s="341">
        <f>IF('General price list'!$AB330="",0,'General price list'!$AB330)</f>
        <v>0</v>
      </c>
      <c r="Z328" s="365" t="str">
        <f>IFERROR(X328*VLOOKUP(C328,'General price list'!C:I,7,FALSE),"")</f>
        <v/>
      </c>
      <c r="AA328" s="365" t="str">
        <f>IF(X328&lt;&gt;"",VLOOKUP(C328,'General price list'!C330:AN1303,MATCH("HM",Tabulka1[[#Headers],[KOD]:[NEQ]],0),FALSE),"")</f>
        <v/>
      </c>
    </row>
    <row r="329" spans="1:27">
      <c r="A329">
        <f>COUNTIF($W$22:W329,1)</f>
        <v>0</v>
      </c>
      <c r="B329">
        <v>329</v>
      </c>
      <c r="C329" s="340" t="str">
        <f>Tabulka1[[#This Row],[KOD]]</f>
        <v>BDLE1M</v>
      </c>
      <c r="W329" t="str">
        <f t="shared" si="5"/>
        <v/>
      </c>
      <c r="Y329" s="341">
        <f>IF('General price list'!$AB331="",0,'General price list'!$AB331)</f>
        <v>0</v>
      </c>
      <c r="Z329" s="365">
        <f>IFERROR(X329*VLOOKUP(C329,'General price list'!C:I,7,FALSE),"")</f>
        <v>0</v>
      </c>
      <c r="AA329" s="365" t="str">
        <f>IF(X329&lt;&gt;"",VLOOKUP(C329,'General price list'!C331:AN1304,MATCH("HM",Tabulka1[[#Headers],[KOD]:[NEQ]],0),FALSE),"")</f>
        <v/>
      </c>
    </row>
    <row r="330" spans="1:27">
      <c r="A330">
        <f>COUNTIF($W$22:W330,1)</f>
        <v>0</v>
      </c>
      <c r="B330">
        <v>330</v>
      </c>
      <c r="C330" s="340" t="str">
        <f>Tabulka1[[#This Row],[KOD]]</f>
        <v>BDLE1L</v>
      </c>
      <c r="W330" t="str">
        <f t="shared" si="5"/>
        <v/>
      </c>
      <c r="Y330" s="341">
        <f>IF('General price list'!$AB332="",0,'General price list'!$AB332)</f>
        <v>0</v>
      </c>
      <c r="Z330" s="365">
        <f>IFERROR(X330*VLOOKUP(C330,'General price list'!C:I,7,FALSE),"")</f>
        <v>0</v>
      </c>
      <c r="AA330" s="365" t="str">
        <f>IF(X330&lt;&gt;"",VLOOKUP(C330,'General price list'!C332:AN1305,MATCH("HM",Tabulka1[[#Headers],[KOD]:[NEQ]],0),FALSE),"")</f>
        <v/>
      </c>
    </row>
    <row r="331" spans="1:27">
      <c r="A331">
        <f>COUNTIF($W$22:W331,1)</f>
        <v>0</v>
      </c>
      <c r="B331">
        <v>331</v>
      </c>
      <c r="C331" s="340" t="str">
        <f>Tabulka1[[#This Row],[KOD]]</f>
        <v>BDLE1XL</v>
      </c>
      <c r="W331" t="str">
        <f t="shared" si="5"/>
        <v/>
      </c>
      <c r="Y331" s="341">
        <f>IF('General price list'!$AB333="",0,'General price list'!$AB333)</f>
        <v>0</v>
      </c>
      <c r="Z331" s="365">
        <f>IFERROR(X331*VLOOKUP(C331,'General price list'!C:I,7,FALSE),"")</f>
        <v>0</v>
      </c>
      <c r="AA331" s="365" t="str">
        <f>IF(X331&lt;&gt;"",VLOOKUP(C331,'General price list'!C333:AN1306,MATCH("HM",Tabulka1[[#Headers],[KOD]:[NEQ]],0),FALSE),"")</f>
        <v/>
      </c>
    </row>
    <row r="332" spans="1:27">
      <c r="A332">
        <f>COUNTIF($W$22:W332,1)</f>
        <v>0</v>
      </c>
      <c r="B332">
        <v>332</v>
      </c>
      <c r="C332" s="340" t="str">
        <f>Tabulka1[[#This Row],[KOD]]</f>
        <v>BDLE1XXL</v>
      </c>
      <c r="W332" t="str">
        <f t="shared" si="5"/>
        <v/>
      </c>
      <c r="Y332" s="341">
        <f>IF('General price list'!$AB334="",0,'General price list'!$AB334)</f>
        <v>0</v>
      </c>
      <c r="Z332" s="365">
        <f>IFERROR(X332*VLOOKUP(C332,'General price list'!C:I,7,FALSE),"")</f>
        <v>0</v>
      </c>
      <c r="AA332" s="365" t="str">
        <f>IF(X332&lt;&gt;"",VLOOKUP(C332,'General price list'!C334:AN1307,MATCH("HM",Tabulka1[[#Headers],[KOD]:[NEQ]],0),FALSE),"")</f>
        <v/>
      </c>
    </row>
    <row r="333" spans="1:27">
      <c r="A333">
        <f>COUNTIF($W$22:W333,1)</f>
        <v>0</v>
      </c>
      <c r="B333">
        <v>333</v>
      </c>
      <c r="C333" s="340">
        <f>Tabulka1[[#This Row],[KOD]]</f>
        <v>0</v>
      </c>
      <c r="W333" t="str">
        <f t="shared" si="5"/>
        <v/>
      </c>
      <c r="Y333" s="341">
        <f>IF('General price list'!$AB335="",0,'General price list'!$AB335)</f>
        <v>0</v>
      </c>
      <c r="Z333" s="365" t="str">
        <f>IFERROR(X333*VLOOKUP(C333,'General price list'!C:I,7,FALSE),"")</f>
        <v/>
      </c>
      <c r="AA333" s="365" t="str">
        <f>IF(X333&lt;&gt;"",VLOOKUP(C333,'General price list'!C335:AN1308,MATCH("HM",Tabulka1[[#Headers],[KOD]:[NEQ]],0),FALSE),"")</f>
        <v/>
      </c>
    </row>
    <row r="334" spans="1:27">
      <c r="A334">
        <f>COUNTIF($W$22:W334,1)</f>
        <v>0</v>
      </c>
      <c r="B334">
        <v>334</v>
      </c>
      <c r="C334" s="340" t="str">
        <f>Tabulka1[[#This Row],[KOD]]</f>
        <v>MDLE1M</v>
      </c>
      <c r="W334" t="str">
        <f t="shared" si="5"/>
        <v/>
      </c>
      <c r="Y334" s="341">
        <f>IF('General price list'!$AB336="",0,'General price list'!$AB336)</f>
        <v>0</v>
      </c>
      <c r="Z334" s="365">
        <f>IFERROR(X334*VLOOKUP(C334,'General price list'!C:I,7,FALSE),"")</f>
        <v>0</v>
      </c>
      <c r="AA334" s="365" t="str">
        <f>IF(X334&lt;&gt;"",VLOOKUP(C334,'General price list'!C336:AN1309,MATCH("HM",Tabulka1[[#Headers],[KOD]:[NEQ]],0),FALSE),"")</f>
        <v/>
      </c>
    </row>
    <row r="335" spans="1:27">
      <c r="A335">
        <f>COUNTIF($W$22:W335,1)</f>
        <v>0</v>
      </c>
      <c r="B335">
        <v>335</v>
      </c>
      <c r="C335" s="340" t="str">
        <f>Tabulka1[[#This Row],[KOD]]</f>
        <v>MDLE1L</v>
      </c>
      <c r="W335" t="str">
        <f t="shared" si="5"/>
        <v/>
      </c>
      <c r="Y335" s="341">
        <f>IF('General price list'!$AB337="",0,'General price list'!$AB337)</f>
        <v>0</v>
      </c>
      <c r="Z335" s="365">
        <f>IFERROR(X335*VLOOKUP(C335,'General price list'!C:I,7,FALSE),"")</f>
        <v>0</v>
      </c>
      <c r="AA335" s="365" t="str">
        <f>IF(X335&lt;&gt;"",VLOOKUP(C335,'General price list'!C337:AN1310,MATCH("HM",Tabulka1[[#Headers],[KOD]:[NEQ]],0),FALSE),"")</f>
        <v/>
      </c>
    </row>
    <row r="336" spans="1:27">
      <c r="A336">
        <f>COUNTIF($W$22:W336,1)</f>
        <v>0</v>
      </c>
      <c r="B336">
        <v>336</v>
      </c>
      <c r="C336" s="340" t="str">
        <f>Tabulka1[[#This Row],[KOD]]</f>
        <v>MDLE1XL</v>
      </c>
      <c r="W336" t="str">
        <f t="shared" si="5"/>
        <v/>
      </c>
      <c r="Y336" s="341">
        <f>IF('General price list'!$AB338="",0,'General price list'!$AB338)</f>
        <v>0</v>
      </c>
      <c r="Z336" s="365">
        <f>IFERROR(X336*VLOOKUP(C336,'General price list'!C:I,7,FALSE),"")</f>
        <v>0</v>
      </c>
      <c r="AA336" s="365" t="str">
        <f>IF(X336&lt;&gt;"",VLOOKUP(C336,'General price list'!C338:AN1311,MATCH("HM",Tabulka1[[#Headers],[KOD]:[NEQ]],0),FALSE),"")</f>
        <v/>
      </c>
    </row>
    <row r="337" spans="1:27">
      <c r="A337">
        <f>COUNTIF($W$22:W337,1)</f>
        <v>0</v>
      </c>
      <c r="B337">
        <v>337</v>
      </c>
      <c r="C337" s="340" t="str">
        <f>Tabulka1[[#This Row],[KOD]]</f>
        <v>MDLE1XXL</v>
      </c>
      <c r="W337" t="str">
        <f t="shared" si="5"/>
        <v/>
      </c>
      <c r="Y337" s="341">
        <f>IF('General price list'!$AB339="",0,'General price list'!$AB339)</f>
        <v>0</v>
      </c>
      <c r="Z337" s="365">
        <f>IFERROR(X337*VLOOKUP(C337,'General price list'!C:I,7,FALSE),"")</f>
        <v>0</v>
      </c>
      <c r="AA337" s="365" t="str">
        <f>IF(X337&lt;&gt;"",VLOOKUP(C337,'General price list'!C339:AN1312,MATCH("HM",Tabulka1[[#Headers],[KOD]:[NEQ]],0),FALSE),"")</f>
        <v/>
      </c>
    </row>
    <row r="338" spans="1:27">
      <c r="A338">
        <f>COUNTIF($W$22:W338,1)</f>
        <v>0</v>
      </c>
      <c r="B338">
        <v>338</v>
      </c>
      <c r="C338" s="340">
        <f>Tabulka1[[#This Row],[KOD]]</f>
        <v>0</v>
      </c>
      <c r="W338" t="str">
        <f t="shared" si="5"/>
        <v/>
      </c>
      <c r="Y338" s="341">
        <f>IF('General price list'!$AB340="",0,'General price list'!$AB340)</f>
        <v>0</v>
      </c>
      <c r="Z338" s="365" t="str">
        <f>IFERROR(X338*VLOOKUP(C338,'General price list'!C:I,7,FALSE),"")</f>
        <v/>
      </c>
      <c r="AA338" s="365" t="str">
        <f>IF(X338&lt;&gt;"",VLOOKUP(C338,'General price list'!C340:AN1313,MATCH("HM",Tabulka1[[#Headers],[KOD]:[NEQ]],0),FALSE),"")</f>
        <v/>
      </c>
    </row>
    <row r="339" spans="1:27">
      <c r="A339">
        <f>COUNTIF($W$22:W339,1)</f>
        <v>0</v>
      </c>
      <c r="B339">
        <v>339</v>
      </c>
      <c r="C339" s="340" t="str">
        <f>Tabulka1[[#This Row],[KOD]]</f>
        <v>MDLEZ1M</v>
      </c>
      <c r="W339" t="str">
        <f t="shared" si="5"/>
        <v/>
      </c>
      <c r="Y339" s="341">
        <f>IF('General price list'!$AB341="",0,'General price list'!$AB341)</f>
        <v>0</v>
      </c>
      <c r="Z339" s="365">
        <f>IFERROR(X339*VLOOKUP(C339,'General price list'!C:I,7,FALSE),"")</f>
        <v>0</v>
      </c>
      <c r="AA339" s="365" t="str">
        <f>IF(X339&lt;&gt;"",VLOOKUP(C339,'General price list'!C341:AN1314,MATCH("HM",Tabulka1[[#Headers],[KOD]:[NEQ]],0),FALSE),"")</f>
        <v/>
      </c>
    </row>
    <row r="340" spans="1:27">
      <c r="A340">
        <f>COUNTIF($W$22:W340,1)</f>
        <v>0</v>
      </c>
      <c r="B340">
        <v>340</v>
      </c>
      <c r="C340" s="340" t="str">
        <f>Tabulka1[[#This Row],[KOD]]</f>
        <v>MDLEZ1L</v>
      </c>
      <c r="W340" t="str">
        <f t="shared" si="5"/>
        <v/>
      </c>
      <c r="Y340" s="341">
        <f>IF('General price list'!$AB342="",0,'General price list'!$AB342)</f>
        <v>0</v>
      </c>
      <c r="Z340" s="365">
        <f>IFERROR(X340*VLOOKUP(C340,'General price list'!C:I,7,FALSE),"")</f>
        <v>0</v>
      </c>
      <c r="AA340" s="365" t="str">
        <f>IF(X340&lt;&gt;"",VLOOKUP(C340,'General price list'!C342:AN1315,MATCH("HM",Tabulka1[[#Headers],[KOD]:[NEQ]],0),FALSE),"")</f>
        <v/>
      </c>
    </row>
    <row r="341" spans="1:27">
      <c r="A341">
        <f>COUNTIF($W$22:W341,1)</f>
        <v>0</v>
      </c>
      <c r="B341">
        <v>341</v>
      </c>
      <c r="C341" s="340" t="str">
        <f>Tabulka1[[#This Row],[KOD]]</f>
        <v>MDLEZ1XL</v>
      </c>
      <c r="W341" t="str">
        <f t="shared" si="5"/>
        <v/>
      </c>
      <c r="Y341" s="341">
        <f>IF('General price list'!$AB343="",0,'General price list'!$AB343)</f>
        <v>0</v>
      </c>
      <c r="Z341" s="365">
        <f>IFERROR(X341*VLOOKUP(C341,'General price list'!C:I,7,FALSE),"")</f>
        <v>0</v>
      </c>
      <c r="AA341" s="365" t="str">
        <f>IF(X341&lt;&gt;"",VLOOKUP(C341,'General price list'!C343:AN1316,MATCH("HM",Tabulka1[[#Headers],[KOD]:[NEQ]],0),FALSE),"")</f>
        <v/>
      </c>
    </row>
    <row r="342" spans="1:27">
      <c r="A342">
        <f>COUNTIF($W$22:W342,1)</f>
        <v>0</v>
      </c>
      <c r="B342">
        <v>342</v>
      </c>
      <c r="C342" s="340" t="str">
        <f>Tabulka1[[#This Row],[KOD]]</f>
        <v>MDLEZ1XXL</v>
      </c>
      <c r="W342" t="str">
        <f t="shared" si="5"/>
        <v/>
      </c>
      <c r="Y342" s="341">
        <f>IF('General price list'!$AB344="",0,'General price list'!$AB344)</f>
        <v>0</v>
      </c>
      <c r="Z342" s="365">
        <f>IFERROR(X342*VLOOKUP(C342,'General price list'!C:I,7,FALSE),"")</f>
        <v>0</v>
      </c>
      <c r="AA342" s="365" t="str">
        <f>IF(X342&lt;&gt;"",VLOOKUP(C342,'General price list'!C344:AN1317,MATCH("HM",Tabulka1[[#Headers],[KOD]:[NEQ]],0),FALSE),"")</f>
        <v/>
      </c>
    </row>
    <row r="343" spans="1:27">
      <c r="A343">
        <f>COUNTIF($W$22:W343,1)</f>
        <v>0</v>
      </c>
      <c r="B343">
        <v>343</v>
      </c>
      <c r="C343" s="340">
        <f>Tabulka1[[#This Row],[KOD]]</f>
        <v>0</v>
      </c>
      <c r="W343" t="str">
        <f t="shared" si="5"/>
        <v/>
      </c>
      <c r="Y343" s="341">
        <f>IF('General price list'!$AB345="",0,'General price list'!$AB345)</f>
        <v>0</v>
      </c>
      <c r="Z343" s="365" t="str">
        <f>IFERROR(X343*VLOOKUP(C343,'General price list'!C:I,7,FALSE),"")</f>
        <v/>
      </c>
      <c r="AA343" s="365" t="str">
        <f>IF(X343&lt;&gt;"",VLOOKUP(C343,'General price list'!C345:AN1318,MATCH("HM",Tabulka1[[#Headers],[KOD]:[NEQ]],0),FALSE),"")</f>
        <v/>
      </c>
    </row>
    <row r="344" spans="1:27">
      <c r="A344">
        <f>COUNTIF($W$22:W344,1)</f>
        <v>0</v>
      </c>
      <c r="B344">
        <v>344</v>
      </c>
      <c r="C344" s="340" t="str">
        <f>Tabulka1[[#This Row],[KOD]]</f>
        <v>KDLE1</v>
      </c>
      <c r="W344" t="str">
        <f t="shared" ref="W344:W407" si="6">IF(Y344+1=1,"",1)</f>
        <v/>
      </c>
      <c r="Y344" s="341">
        <f>IF('General price list'!$AB346="",0,'General price list'!$AB346)</f>
        <v>0</v>
      </c>
      <c r="Z344" s="365">
        <f>IFERROR(X344*VLOOKUP(C344,'General price list'!C:I,7,FALSE),"")</f>
        <v>0</v>
      </c>
      <c r="AA344" s="365" t="str">
        <f>IF(X344&lt;&gt;"",VLOOKUP(C344,'General price list'!C346:AN1319,MATCH("HM",Tabulka1[[#Headers],[KOD]:[NEQ]],0),FALSE),"")</f>
        <v/>
      </c>
    </row>
    <row r="345" spans="1:27">
      <c r="A345">
        <f>COUNTIF($W$22:W345,1)</f>
        <v>0</v>
      </c>
      <c r="B345">
        <v>345</v>
      </c>
      <c r="C345" s="340" t="str">
        <f>Tabulka1[[#This Row],[KOD]]</f>
        <v>CDLE1</v>
      </c>
      <c r="W345" t="str">
        <f t="shared" si="6"/>
        <v/>
      </c>
      <c r="Y345" s="341">
        <f>IF('General price list'!$AB347="",0,'General price list'!$AB347)</f>
        <v>0</v>
      </c>
      <c r="Z345" s="365">
        <f>IFERROR(X345*VLOOKUP(C345,'General price list'!C:I,7,FALSE),"")</f>
        <v>0</v>
      </c>
      <c r="AA345" s="365" t="str">
        <f>IF(X345&lt;&gt;"",VLOOKUP(C345,'General price list'!C347:AN1320,MATCH("HM",Tabulka1[[#Headers],[KOD]:[NEQ]],0),FALSE),"")</f>
        <v/>
      </c>
    </row>
    <row r="346" spans="1:27">
      <c r="A346">
        <f>COUNTIF($W$22:W346,1)</f>
        <v>0</v>
      </c>
      <c r="B346">
        <v>346</v>
      </c>
      <c r="C346" s="340">
        <f>Tabulka1[[#This Row],[KOD]]</f>
        <v>0</v>
      </c>
      <c r="W346" t="str">
        <f t="shared" si="6"/>
        <v/>
      </c>
      <c r="Y346" s="341">
        <f>IF('General price list'!$AB348="",0,'General price list'!$AB348)</f>
        <v>0</v>
      </c>
      <c r="Z346" s="365" t="str">
        <f>IFERROR(X346*VLOOKUP(C346,'General price list'!C:I,7,FALSE),"")</f>
        <v/>
      </c>
      <c r="AA346" s="365" t="str">
        <f>IF(X346&lt;&gt;"",VLOOKUP(C346,'General price list'!C348:AN1321,MATCH("HM",Tabulka1[[#Headers],[KOD]:[NEQ]],0),FALSE),"")</f>
        <v/>
      </c>
    </row>
    <row r="347" spans="1:27">
      <c r="A347">
        <f>COUNTIF($W$22:W347,1)</f>
        <v>0</v>
      </c>
      <c r="B347">
        <v>347</v>
      </c>
      <c r="C347" s="340" t="str">
        <f>Tabulka1[[#This Row],[KOD]]</f>
        <v>N1</v>
      </c>
      <c r="W347" t="str">
        <f t="shared" si="6"/>
        <v/>
      </c>
      <c r="Y347" s="341">
        <f>IF('General price list'!$AB349="",0,'General price list'!$AB349)</f>
        <v>0</v>
      </c>
      <c r="Z347" s="365">
        <f>IFERROR(X347*VLOOKUP(C347,'General price list'!C:I,7,FALSE),"")</f>
        <v>0</v>
      </c>
      <c r="AA347" s="365" t="str">
        <f>IF(X347&lt;&gt;"",VLOOKUP(C347,'General price list'!C349:AN1322,MATCH("HM",Tabulka1[[#Headers],[KOD]:[NEQ]],0),FALSE),"")</f>
        <v/>
      </c>
    </row>
    <row r="348" spans="1:27">
      <c r="A348">
        <f>COUNTIF($W$22:W348,1)</f>
        <v>0</v>
      </c>
      <c r="B348">
        <v>348</v>
      </c>
      <c r="C348" s="340" t="str">
        <f>Tabulka1[[#This Row],[KOD]]</f>
        <v>RUN1</v>
      </c>
      <c r="W348" t="str">
        <f t="shared" si="6"/>
        <v/>
      </c>
      <c r="Y348" s="341">
        <f>IF('General price list'!$AB350="",0,'General price list'!$AB350)</f>
        <v>0</v>
      </c>
      <c r="Z348" s="365">
        <f>IFERROR(X348*VLOOKUP(C348,'General price list'!C:I,7,FALSE),"")</f>
        <v>0</v>
      </c>
      <c r="AA348" s="365" t="str">
        <f>IF(X348&lt;&gt;"",VLOOKUP(C348,'General price list'!C350:AN1323,MATCH("HM",Tabulka1[[#Headers],[KOD]:[NEQ]],0),FALSE),"")</f>
        <v/>
      </c>
    </row>
    <row r="349" spans="1:27">
      <c r="A349">
        <f>COUNTIF($W$22:W349,1)</f>
        <v>0</v>
      </c>
      <c r="B349">
        <v>349</v>
      </c>
      <c r="C349" s="340" t="str">
        <f>Tabulka1[[#This Row],[KOD]]</f>
        <v>RT1DU</v>
      </c>
      <c r="W349" t="str">
        <f t="shared" si="6"/>
        <v/>
      </c>
      <c r="Y349" s="341">
        <f>IF('General price list'!$AB351="",0,'General price list'!$AB351)</f>
        <v>0</v>
      </c>
      <c r="Z349" s="365">
        <f>IFERROR(X349*VLOOKUP(C349,'General price list'!C:I,7,FALSE),"")</f>
        <v>0</v>
      </c>
      <c r="AA349" s="365" t="str">
        <f>IF(X349&lt;&gt;"",VLOOKUP(C349,'General price list'!C351:AN1324,MATCH("HM",Tabulka1[[#Headers],[KOD]:[NEQ]],0),FALSE),"")</f>
        <v/>
      </c>
    </row>
    <row r="350" spans="1:27">
      <c r="A350">
        <f>COUNTIF($W$22:W350,1)</f>
        <v>0</v>
      </c>
      <c r="B350">
        <v>350</v>
      </c>
      <c r="C350" s="340" t="str">
        <f>Tabulka1[[#This Row],[KOD]]</f>
        <v>PL1DU</v>
      </c>
      <c r="W350" t="str">
        <f t="shared" si="6"/>
        <v/>
      </c>
      <c r="Y350" s="341">
        <f>IF('General price list'!$AB352="",0,'General price list'!$AB352)</f>
        <v>0</v>
      </c>
      <c r="Z350" s="365">
        <f>IFERROR(X350*VLOOKUP(C350,'General price list'!C:I,7,FALSE),"")</f>
        <v>0</v>
      </c>
      <c r="AA350" s="365" t="str">
        <f>IF(X350&lt;&gt;"",VLOOKUP(C350,'General price list'!C352:AN1325,MATCH("HM",Tabulka1[[#Headers],[KOD]:[NEQ]],0),FALSE),"")</f>
        <v/>
      </c>
    </row>
    <row r="351" spans="1:27">
      <c r="A351">
        <f>COUNTIF($W$22:W351,1)</f>
        <v>0</v>
      </c>
      <c r="B351">
        <v>351</v>
      </c>
      <c r="C351" s="340" t="str">
        <f>Tabulka1[[#This Row],[KOD]]</f>
        <v>ZD1</v>
      </c>
      <c r="W351" t="str">
        <f t="shared" si="6"/>
        <v/>
      </c>
      <c r="Y351" s="341">
        <f>IF('General price list'!$AB353="",0,'General price list'!$AB353)</f>
        <v>0</v>
      </c>
      <c r="Z351" s="365">
        <f>IFERROR(X351*VLOOKUP(C351,'General price list'!C:I,7,FALSE),"")</f>
        <v>0</v>
      </c>
      <c r="AA351" s="365" t="str">
        <f>IF(X351&lt;&gt;"",VLOOKUP(C351,'General price list'!C353:AN1326,MATCH("HM",Tabulka1[[#Headers],[KOD]:[NEQ]],0),FALSE),"")</f>
        <v/>
      </c>
    </row>
    <row r="352" spans="1:27">
      <c r="A352">
        <f>COUNTIF($W$22:W352,1)</f>
        <v>0</v>
      </c>
      <c r="B352">
        <v>352</v>
      </c>
      <c r="C352" s="340" t="str">
        <f>Tabulka1[[#This Row],[KOD]]</f>
        <v>UZD2</v>
      </c>
      <c r="W352" t="str">
        <f t="shared" si="6"/>
        <v/>
      </c>
      <c r="Y352" s="341">
        <f>IF('General price list'!$AB354="",0,'General price list'!$AB354)</f>
        <v>0</v>
      </c>
      <c r="Z352" s="365">
        <f>IFERROR(X352*VLOOKUP(C352,'General price list'!C:I,7,FALSE),"")</f>
        <v>0</v>
      </c>
      <c r="AA352" s="365" t="str">
        <f>IF(X352&lt;&gt;"",VLOOKUP(C352,'General price list'!C354:AN1327,MATCH("HM",Tabulka1[[#Headers],[KOD]:[NEQ]],0),FALSE),"")</f>
        <v/>
      </c>
    </row>
    <row r="353" spans="1:27">
      <c r="A353">
        <f>COUNTIF($W$22:W353,1)</f>
        <v>0</v>
      </c>
      <c r="B353">
        <v>353</v>
      </c>
      <c r="C353" s="340" t="str">
        <f>Tabulka1[[#This Row],[KOD]]</f>
        <v>ND1</v>
      </c>
      <c r="W353" t="str">
        <f t="shared" si="6"/>
        <v/>
      </c>
      <c r="Y353" s="341">
        <f>IF('General price list'!$AB355="",0,'General price list'!$AB355)</f>
        <v>0</v>
      </c>
      <c r="Z353" s="365">
        <f>IFERROR(X353*VLOOKUP(C353,'General price list'!C:I,7,FALSE),"")</f>
        <v>0</v>
      </c>
      <c r="AA353" s="365" t="str">
        <f>IF(X353&lt;&gt;"",VLOOKUP(C353,'General price list'!C355:AN1328,MATCH("HM",Tabulka1[[#Headers],[KOD]:[NEQ]],0),FALSE),"")</f>
        <v/>
      </c>
    </row>
    <row r="354" spans="1:27">
      <c r="A354">
        <f>COUNTIF($W$22:W354,1)</f>
        <v>0</v>
      </c>
      <c r="B354">
        <v>354</v>
      </c>
      <c r="C354" s="340" t="str">
        <f>Tabulka1[[#This Row],[KOD]]</f>
        <v>T2</v>
      </c>
      <c r="W354" t="str">
        <f t="shared" si="6"/>
        <v/>
      </c>
      <c r="Y354" s="341">
        <f>IF('General price list'!$AB356="",0,'General price list'!$AB356)</f>
        <v>0</v>
      </c>
      <c r="Z354" s="365">
        <f>IFERROR(X354*VLOOKUP(C354,'General price list'!C:I,7,FALSE),"")</f>
        <v>0</v>
      </c>
      <c r="AA354" s="365" t="str">
        <f>IF(X354&lt;&gt;"",VLOOKUP(C354,'General price list'!C356:AN1329,MATCH("HM",Tabulka1[[#Headers],[KOD]:[NEQ]],0),FALSE),"")</f>
        <v/>
      </c>
    </row>
    <row r="355" spans="1:27">
      <c r="A355">
        <f>COUNTIF($W$22:W355,1)</f>
        <v>0</v>
      </c>
      <c r="B355">
        <v>355</v>
      </c>
      <c r="C355" s="340" t="str">
        <f>Tabulka1[[#This Row],[KOD]]</f>
        <v>KK2025</v>
      </c>
      <c r="W355" t="str">
        <f t="shared" si="6"/>
        <v/>
      </c>
      <c r="Y355" s="341">
        <f>IF('General price list'!$AB357="",0,'General price list'!$AB357)</f>
        <v>0</v>
      </c>
      <c r="Z355" s="365">
        <f>IFERROR(X355*VLOOKUP(C355,'General price list'!C:I,7,FALSE),"")</f>
        <v>0</v>
      </c>
      <c r="AA355" s="365" t="str">
        <f>IF(X355&lt;&gt;"",VLOOKUP(C355,'General price list'!C357:AN1330,MATCH("HM",Tabulka1[[#Headers],[KOD]:[NEQ]],0),FALSE),"")</f>
        <v/>
      </c>
    </row>
    <row r="356" spans="1:27">
      <c r="A356">
        <f>COUNTIF($W$22:W356,1)</f>
        <v>0</v>
      </c>
      <c r="B356">
        <v>356</v>
      </c>
      <c r="C356" s="340" t="str">
        <f>Tabulka1[[#This Row],[KOD]]</f>
        <v>HD1</v>
      </c>
      <c r="W356" t="str">
        <f t="shared" si="6"/>
        <v/>
      </c>
      <c r="Y356" s="341">
        <f>IF('General price list'!$AB358="",0,'General price list'!$AB358)</f>
        <v>0</v>
      </c>
      <c r="Z356" s="365">
        <f>IFERROR(X356*VLOOKUP(C356,'General price list'!C:I,7,FALSE),"")</f>
        <v>0</v>
      </c>
      <c r="AA356" s="365" t="str">
        <f>IF(X356&lt;&gt;"",VLOOKUP(C356,'General price list'!C358:AN1331,MATCH("HM",Tabulka1[[#Headers],[KOD]:[NEQ]],0),FALSE),"")</f>
        <v/>
      </c>
    </row>
    <row r="357" spans="1:27">
      <c r="A357">
        <f>COUNTIF($W$22:W357,1)</f>
        <v>0</v>
      </c>
      <c r="B357">
        <v>357</v>
      </c>
      <c r="C357" s="340" t="str">
        <f>Tabulka1[[#This Row],[KOD]]</f>
        <v>PPMD1</v>
      </c>
      <c r="W357" t="str">
        <f t="shared" si="6"/>
        <v/>
      </c>
      <c r="Y357" s="341">
        <f>IF('General price list'!$AB359="",0,'General price list'!$AB359)</f>
        <v>0</v>
      </c>
      <c r="Z357" s="365">
        <f>IFERROR(X357*VLOOKUP(C357,'General price list'!C:I,7,FALSE),"")</f>
        <v>0</v>
      </c>
      <c r="AA357" s="365" t="str">
        <f>IF(X357&lt;&gt;"",VLOOKUP(C357,'General price list'!C359:AN1332,MATCH("HM",Tabulka1[[#Headers],[KOD]:[NEQ]],0),FALSE),"")</f>
        <v/>
      </c>
    </row>
    <row r="358" spans="1:27">
      <c r="A358">
        <f>COUNTIF($W$22:W358,1)</f>
        <v>0</v>
      </c>
      <c r="B358">
        <v>358</v>
      </c>
      <c r="C358" s="340" t="str">
        <f>Tabulka1[[#This Row],[KOD]]</f>
        <v>DD1</v>
      </c>
      <c r="W358" t="str">
        <f t="shared" si="6"/>
        <v/>
      </c>
      <c r="Y358" s="341">
        <f>IF('General price list'!$AB360="",0,'General price list'!$AB360)</f>
        <v>0</v>
      </c>
      <c r="Z358" s="365">
        <f>IFERROR(X358*VLOOKUP(C358,'General price list'!C:I,7,FALSE),"")</f>
        <v>0</v>
      </c>
      <c r="AA358" s="365" t="str">
        <f>IF(X358&lt;&gt;"",VLOOKUP(C358,'General price list'!C360:AN1333,MATCH("HM",Tabulka1[[#Headers],[KOD]:[NEQ]],0),FALSE),"")</f>
        <v/>
      </c>
    </row>
    <row r="359" spans="1:27">
      <c r="A359">
        <f>COUNTIF($W$22:W359,1)</f>
        <v>0</v>
      </c>
      <c r="B359">
        <v>359</v>
      </c>
      <c r="C359" s="340" t="str">
        <f>Tabulka1[[#This Row],[KOD]]</f>
        <v>KKD1</v>
      </c>
      <c r="W359" t="str">
        <f t="shared" si="6"/>
        <v/>
      </c>
      <c r="Y359" s="341">
        <f>IF('General price list'!$AB361="",0,'General price list'!$AB361)</f>
        <v>0</v>
      </c>
      <c r="Z359" s="365">
        <f>IFERROR(X359*VLOOKUP(C359,'General price list'!C:I,7,FALSE),"")</f>
        <v>0</v>
      </c>
      <c r="AA359" s="365" t="str">
        <f>IF(X359&lt;&gt;"",VLOOKUP(C359,'General price list'!C361:AN1334,MATCH("HM",Tabulka1[[#Headers],[KOD]:[NEQ]],0),FALSE),"")</f>
        <v/>
      </c>
    </row>
    <row r="360" spans="1:27">
      <c r="A360">
        <f>COUNTIF($W$22:W360,1)</f>
        <v>0</v>
      </c>
      <c r="B360">
        <v>360</v>
      </c>
      <c r="C360" s="340" t="str">
        <f>Tabulka1[[#This Row],[KOD]]</f>
        <v>LO1DU</v>
      </c>
      <c r="W360" t="str">
        <f t="shared" si="6"/>
        <v/>
      </c>
      <c r="Y360" s="341">
        <f>IF('General price list'!$AB362="",0,'General price list'!$AB362)</f>
        <v>0</v>
      </c>
      <c r="Z360" s="365">
        <f>IFERROR(X360*VLOOKUP(C360,'General price list'!C:I,7,FALSE),"")</f>
        <v>0</v>
      </c>
      <c r="AA360" s="365" t="str">
        <f>IF(X360&lt;&gt;"",VLOOKUP(C360,'General price list'!C362:AN1335,MATCH("HM",Tabulka1[[#Headers],[KOD]:[NEQ]],0),FALSE),"")</f>
        <v/>
      </c>
    </row>
    <row r="361" spans="1:27">
      <c r="A361">
        <f>COUNTIF($W$22:W361,1)</f>
        <v>0</v>
      </c>
      <c r="B361">
        <v>361</v>
      </c>
      <c r="C361" s="340">
        <f>Tabulka1[[#This Row],[KOD]]</f>
        <v>0</v>
      </c>
      <c r="W361" t="str">
        <f t="shared" si="6"/>
        <v/>
      </c>
      <c r="Y361" s="341">
        <f>IF('General price list'!$AB363="",0,'General price list'!$AB363)</f>
        <v>0</v>
      </c>
      <c r="Z361" s="365" t="str">
        <f>IFERROR(X361*VLOOKUP(C361,'General price list'!C:I,7,FALSE),"")</f>
        <v/>
      </c>
      <c r="AA361" s="365" t="str">
        <f>IF(X361&lt;&gt;"",VLOOKUP(C361,'General price list'!C363:AN1336,MATCH("HM",Tabulka1[[#Headers],[KOD]:[NEQ]],0),FALSE),"")</f>
        <v/>
      </c>
    </row>
    <row r="362" spans="1:27">
      <c r="A362">
        <f>COUNTIF($W$22:W362,1)</f>
        <v>0</v>
      </c>
      <c r="B362">
        <v>362</v>
      </c>
      <c r="C362" s="340" t="str">
        <f>Tabulka1[[#This Row],[KOD]]</f>
        <v>OZ4</v>
      </c>
      <c r="W362" t="str">
        <f t="shared" si="6"/>
        <v/>
      </c>
      <c r="Y362" s="341">
        <f>IF('General price list'!$AB364="",0,'General price list'!$AB364)</f>
        <v>0</v>
      </c>
      <c r="Z362" s="365">
        <f>IFERROR(X362*VLOOKUP(C362,'General price list'!C:I,7,FALSE),"")</f>
        <v>0</v>
      </c>
      <c r="AA362" s="365" t="str">
        <f>IF(X362&lt;&gt;"",VLOOKUP(C362,'General price list'!C364:AN1337,MATCH("HM",Tabulka1[[#Headers],[KOD]:[NEQ]],0),FALSE),"")</f>
        <v/>
      </c>
    </row>
    <row r="363" spans="1:27">
      <c r="A363">
        <f>COUNTIF($W$22:W363,1)</f>
        <v>0</v>
      </c>
      <c r="B363">
        <v>363</v>
      </c>
      <c r="C363" s="340" t="str">
        <f>Tabulka1[[#This Row],[KOD]]</f>
        <v>ZS5M</v>
      </c>
      <c r="W363" t="str">
        <f t="shared" si="6"/>
        <v/>
      </c>
      <c r="Y363" s="341">
        <f>IF('General price list'!$AB365="",0,'General price list'!$AB365)</f>
        <v>0</v>
      </c>
      <c r="Z363" s="365">
        <f>IFERROR(X363*VLOOKUP(C363,'General price list'!C:I,7,FALSE),"")</f>
        <v>0</v>
      </c>
      <c r="AA363" s="365" t="str">
        <f>IF(X363&lt;&gt;"",VLOOKUP(C363,'General price list'!C365:AN1338,MATCH("HM",Tabulka1[[#Headers],[KOD]:[NEQ]],0),FALSE),"")</f>
        <v/>
      </c>
    </row>
    <row r="364" spans="1:27">
      <c r="A364">
        <f>COUNTIF($W$22:W364,1)</f>
        <v>0</v>
      </c>
      <c r="B364">
        <v>364</v>
      </c>
      <c r="C364" s="340">
        <f>Tabulka1[[#This Row],[KOD]]</f>
        <v>0</v>
      </c>
      <c r="W364" t="str">
        <f t="shared" si="6"/>
        <v/>
      </c>
      <c r="Y364" s="341">
        <f>IF('General price list'!$AB366="",0,'General price list'!$AB366)</f>
        <v>0</v>
      </c>
      <c r="Z364" s="365" t="str">
        <f>IFERROR(X364*VLOOKUP(C364,'General price list'!C:I,7,FALSE),"")</f>
        <v/>
      </c>
      <c r="AA364" s="365" t="str">
        <f>IF(X364&lt;&gt;"",VLOOKUP(C364,'General price list'!C366:AN1339,MATCH("HM",Tabulka1[[#Headers],[KOD]:[NEQ]],0),FALSE),"")</f>
        <v/>
      </c>
    </row>
    <row r="365" spans="1:27">
      <c r="A365">
        <f>COUNTIF($W$22:W365,1)</f>
        <v>0</v>
      </c>
      <c r="B365">
        <v>365</v>
      </c>
      <c r="C365" s="340" t="str">
        <f>Tabulka1[[#This Row],[KOD]]</f>
        <v>C2508R</v>
      </c>
      <c r="W365" t="str">
        <f t="shared" si="6"/>
        <v/>
      </c>
      <c r="Y365" s="341">
        <f>IF('General price list'!$AB367="",0,'General price list'!$AB367)</f>
        <v>0</v>
      </c>
      <c r="Z365" s="365">
        <f>IFERROR(X365*VLOOKUP(C365,'General price list'!C:I,7,FALSE),"")</f>
        <v>0</v>
      </c>
      <c r="AA365" s="365" t="str">
        <f>IF(X365&lt;&gt;"",VLOOKUP(C365,'General price list'!C367:AN1340,MATCH("HM",Tabulka1[[#Headers],[KOD]:[NEQ]],0),FALSE),"")</f>
        <v/>
      </c>
    </row>
    <row r="366" spans="1:27">
      <c r="A366">
        <f>COUNTIF($W$22:W366,1)</f>
        <v>0</v>
      </c>
      <c r="B366">
        <v>366</v>
      </c>
      <c r="C366" s="340" t="str">
        <f>Tabulka1[[#This Row],[KOD]]</f>
        <v>C10008R</v>
      </c>
      <c r="W366" t="str">
        <f t="shared" si="6"/>
        <v/>
      </c>
      <c r="Y366" s="341">
        <f>IF('General price list'!$AB368="",0,'General price list'!$AB368)</f>
        <v>0</v>
      </c>
      <c r="Z366" s="365">
        <f>IFERROR(X366*VLOOKUP(C366,'General price list'!C:I,7,FALSE),"")</f>
        <v>0</v>
      </c>
      <c r="AA366" s="365" t="str">
        <f>IF(X366&lt;&gt;"",VLOOKUP(C366,'General price list'!C368:AN1341,MATCH("HM",Tabulka1[[#Headers],[KOD]:[NEQ]],0),FALSE),"")</f>
        <v/>
      </c>
    </row>
    <row r="367" spans="1:27">
      <c r="A367">
        <f>COUNTIF($W$22:W367,1)</f>
        <v>0</v>
      </c>
      <c r="B367">
        <v>367</v>
      </c>
      <c r="C367" s="340">
        <f>Tabulka1[[#This Row],[KOD]]</f>
        <v>0</v>
      </c>
      <c r="W367" t="str">
        <f t="shared" si="6"/>
        <v/>
      </c>
      <c r="Y367" s="341">
        <f>IF('General price list'!$AB369="",0,'General price list'!$AB369)</f>
        <v>0</v>
      </c>
      <c r="Z367" s="365" t="str">
        <f>IFERROR(X367*VLOOKUP(C367,'General price list'!C:I,7,FALSE),"")</f>
        <v/>
      </c>
      <c r="AA367" s="365" t="str">
        <f>IF(X367&lt;&gt;"",VLOOKUP(C367,'General price list'!C369:AN1342,MATCH("HM",Tabulka1[[#Headers],[KOD]:[NEQ]],0),FALSE),"")</f>
        <v/>
      </c>
    </row>
    <row r="368" spans="1:27">
      <c r="A368">
        <f>COUNTIF($W$22:W368,1)</f>
        <v>0</v>
      </c>
      <c r="B368">
        <v>368</v>
      </c>
      <c r="C368" s="340" t="str">
        <f>Tabulka1[[#This Row],[KOD]]</f>
        <v>C1008CC</v>
      </c>
      <c r="W368" t="str">
        <f t="shared" si="6"/>
        <v/>
      </c>
      <c r="Y368" s="341">
        <f>IF('General price list'!$AB370="",0,'General price list'!$AB370)</f>
        <v>0</v>
      </c>
      <c r="Z368" s="365">
        <f>IFERROR(X368*VLOOKUP(C368,'General price list'!C:I,7,FALSE),"")</f>
        <v>0</v>
      </c>
      <c r="AA368" s="365" t="str">
        <f>IF(X368&lt;&gt;"",VLOOKUP(C368,'General price list'!C370:AN1343,MATCH("HM",Tabulka1[[#Headers],[KOD]:[NEQ]],0),FALSE),"")</f>
        <v/>
      </c>
    </row>
    <row r="369" spans="1:27">
      <c r="A369">
        <f>COUNTIF($W$22:W369,1)</f>
        <v>0</v>
      </c>
      <c r="B369">
        <v>369</v>
      </c>
      <c r="C369" s="340">
        <f>Tabulka1[[#This Row],[KOD]]</f>
        <v>0</v>
      </c>
      <c r="W369" t="str">
        <f t="shared" si="6"/>
        <v/>
      </c>
      <c r="Y369" s="341">
        <f>IF('General price list'!$AB371="",0,'General price list'!$AB371)</f>
        <v>0</v>
      </c>
      <c r="Z369" s="365" t="str">
        <f>IFERROR(X369*VLOOKUP(C369,'General price list'!C:I,7,FALSE),"")</f>
        <v/>
      </c>
      <c r="AA369" s="365" t="str">
        <f>IF(X369&lt;&gt;"",VLOOKUP(C369,'General price list'!C371:AN1344,MATCH("HM",Tabulka1[[#Headers],[KOD]:[NEQ]],0),FALSE),"")</f>
        <v/>
      </c>
    </row>
    <row r="370" spans="1:27">
      <c r="A370">
        <f>COUNTIF($W$22:W370,1)</f>
        <v>0</v>
      </c>
      <c r="B370">
        <v>370</v>
      </c>
      <c r="C370" s="340" t="str">
        <f>Tabulka1[[#This Row],[KOD]]</f>
        <v>C1614E14</v>
      </c>
      <c r="W370" t="str">
        <f t="shared" si="6"/>
        <v/>
      </c>
      <c r="Y370" s="341">
        <f>IF('General price list'!$AB372="",0,'General price list'!$AB372)</f>
        <v>0</v>
      </c>
      <c r="Z370" s="365">
        <f>IFERROR(X370*VLOOKUP(C370,'General price list'!C:I,7,FALSE),"")</f>
        <v>0</v>
      </c>
      <c r="AA370" s="365" t="str">
        <f>IF(X370&lt;&gt;"",VLOOKUP(C370,'General price list'!C372:AN1345,MATCH("HM",Tabulka1[[#Headers],[KOD]:[NEQ]],0),FALSE),"")</f>
        <v/>
      </c>
    </row>
    <row r="371" spans="1:27">
      <c r="A371">
        <f>COUNTIF($W$22:W371,1)</f>
        <v>0</v>
      </c>
      <c r="B371">
        <v>371</v>
      </c>
      <c r="C371" s="340">
        <f>Tabulka1[[#This Row],[KOD]]</f>
        <v>0</v>
      </c>
      <c r="W371" t="str">
        <f t="shared" si="6"/>
        <v/>
      </c>
      <c r="Y371" s="341">
        <f>IF('General price list'!$AB373="",0,'General price list'!$AB373)</f>
        <v>0</v>
      </c>
      <c r="Z371" s="365" t="str">
        <f>IFERROR(X371*VLOOKUP(C371,'General price list'!C:I,7,FALSE),"")</f>
        <v/>
      </c>
      <c r="AA371" s="365" t="str">
        <f>IF(X371&lt;&gt;"",VLOOKUP(C371,'General price list'!C373:AN1346,MATCH("HM",Tabulka1[[#Headers],[KOD]:[NEQ]],0),FALSE),"")</f>
        <v/>
      </c>
    </row>
    <row r="372" spans="1:27">
      <c r="A372">
        <f>COUNTIF($W$22:W372,1)</f>
        <v>0</v>
      </c>
      <c r="B372">
        <v>372</v>
      </c>
      <c r="C372" s="340" t="str">
        <f>Tabulka1[[#This Row],[KOD]]</f>
        <v>C3614B14</v>
      </c>
      <c r="W372" t="str">
        <f t="shared" si="6"/>
        <v/>
      </c>
      <c r="Y372" s="341">
        <f>IF('General price list'!$AB374="",0,'General price list'!$AB374)</f>
        <v>0</v>
      </c>
      <c r="Z372" s="365">
        <f>IFERROR(X372*VLOOKUP(C372,'General price list'!C:I,7,FALSE),"")</f>
        <v>0</v>
      </c>
      <c r="AA372" s="365" t="str">
        <f>IF(X372&lt;&gt;"",VLOOKUP(C372,'General price list'!C374:AN1347,MATCH("HM",Tabulka1[[#Headers],[KOD]:[NEQ]],0),FALSE),"")</f>
        <v/>
      </c>
    </row>
    <row r="373" spans="1:27">
      <c r="A373">
        <f>COUNTIF($W$22:W373,1)</f>
        <v>0</v>
      </c>
      <c r="B373">
        <v>373</v>
      </c>
      <c r="C373" s="340">
        <f>Tabulka1[[#This Row],[KOD]]</f>
        <v>0</v>
      </c>
      <c r="W373" t="str">
        <f t="shared" si="6"/>
        <v/>
      </c>
      <c r="Y373" s="341">
        <f>IF('General price list'!$AB375="",0,'General price list'!$AB375)</f>
        <v>0</v>
      </c>
      <c r="Z373" s="365" t="str">
        <f>IFERROR(X373*VLOOKUP(C373,'General price list'!C:I,7,FALSE),"")</f>
        <v/>
      </c>
      <c r="AA373" s="365" t="str">
        <f>IF(X373&lt;&gt;"",VLOOKUP(C373,'General price list'!C375:AN1348,MATCH("HM",Tabulka1[[#Headers],[KOD]:[NEQ]],0),FALSE),"")</f>
        <v/>
      </c>
    </row>
    <row r="374" spans="1:27">
      <c r="A374">
        <f>COUNTIF($W$22:W374,1)</f>
        <v>0</v>
      </c>
      <c r="B374">
        <v>374</v>
      </c>
      <c r="C374" s="340" t="str">
        <f>Tabulka1[[#This Row],[KOD]]</f>
        <v>C6414C14</v>
      </c>
      <c r="W374" t="str">
        <f t="shared" si="6"/>
        <v/>
      </c>
      <c r="Y374" s="341">
        <f>IF('General price list'!$AB376="",0,'General price list'!$AB376)</f>
        <v>0</v>
      </c>
      <c r="Z374" s="365">
        <f>IFERROR(X374*VLOOKUP(C374,'General price list'!C:I,7,FALSE),"")</f>
        <v>0</v>
      </c>
      <c r="AA374" s="365" t="str">
        <f>IF(X374&lt;&gt;"",VLOOKUP(C374,'General price list'!C376:AN1349,MATCH("HM",Tabulka1[[#Headers],[KOD]:[NEQ]],0),FALSE),"")</f>
        <v/>
      </c>
    </row>
    <row r="375" spans="1:27">
      <c r="A375">
        <f>COUNTIF($W$22:W375,1)</f>
        <v>0</v>
      </c>
      <c r="B375">
        <v>375</v>
      </c>
      <c r="C375" s="340">
        <f>Tabulka1[[#This Row],[KOD]]</f>
        <v>0</v>
      </c>
      <c r="W375" t="str">
        <f t="shared" si="6"/>
        <v/>
      </c>
      <c r="Y375" s="341">
        <f>IF('General price list'!$AB377="",0,'General price list'!$AB377)</f>
        <v>0</v>
      </c>
      <c r="Z375" s="365" t="str">
        <f>IFERROR(X375*VLOOKUP(C375,'General price list'!C:I,7,FALSE),"")</f>
        <v/>
      </c>
      <c r="AA375" s="365" t="str">
        <f>IF(X375&lt;&gt;"",VLOOKUP(C375,'General price list'!C377:AN1350,MATCH("HM",Tabulka1[[#Headers],[KOD]:[NEQ]],0),FALSE),"")</f>
        <v/>
      </c>
    </row>
    <row r="376" spans="1:27">
      <c r="A376">
        <f>COUNTIF($W$22:W376,1)</f>
        <v>0</v>
      </c>
      <c r="B376">
        <v>376</v>
      </c>
      <c r="C376" s="340" t="str">
        <f>Tabulka1[[#This Row],[KOD]]</f>
        <v>C10014A</v>
      </c>
      <c r="W376" t="str">
        <f t="shared" si="6"/>
        <v/>
      </c>
      <c r="Y376" s="341">
        <f>IF('General price list'!$AB378="",0,'General price list'!$AB378)</f>
        <v>0</v>
      </c>
      <c r="Z376" s="365">
        <f>IFERROR(X376*VLOOKUP(C376,'General price list'!C:I,7,FALSE),"")</f>
        <v>0</v>
      </c>
      <c r="AA376" s="365" t="str">
        <f>IF(X376&lt;&gt;"",VLOOKUP(C376,'General price list'!C378:AN1351,MATCH("HM",Tabulka1[[#Headers],[KOD]:[NEQ]],0),FALSE),"")</f>
        <v/>
      </c>
    </row>
    <row r="377" spans="1:27">
      <c r="A377">
        <f>COUNTIF($W$22:W377,1)</f>
        <v>0</v>
      </c>
      <c r="B377">
        <v>377</v>
      </c>
      <c r="C377" s="340">
        <f>Tabulka1[[#This Row],[KOD]]</f>
        <v>0</v>
      </c>
      <c r="W377" t="str">
        <f t="shared" si="6"/>
        <v/>
      </c>
      <c r="Y377" s="341">
        <f>IF('General price list'!$AB379="",0,'General price list'!$AB379)</f>
        <v>0</v>
      </c>
      <c r="Z377" s="365" t="str">
        <f>IFERROR(X377*VLOOKUP(C377,'General price list'!C:I,7,FALSE),"")</f>
        <v/>
      </c>
      <c r="AA377" s="365" t="str">
        <f>IF(X377&lt;&gt;"",VLOOKUP(C377,'General price list'!C379:AN1352,MATCH("HM",Tabulka1[[#Headers],[KOD]:[NEQ]],0),FALSE),"")</f>
        <v/>
      </c>
    </row>
    <row r="378" spans="1:27">
      <c r="A378">
        <f>COUNTIF($W$22:W378,1)</f>
        <v>0</v>
      </c>
      <c r="B378">
        <v>378</v>
      </c>
      <c r="C378" s="340" t="str">
        <f>Tabulka1[[#This Row],[KOD]]</f>
        <v>C20014F14</v>
      </c>
      <c r="W378" t="str">
        <f t="shared" si="6"/>
        <v/>
      </c>
      <c r="Y378" s="341">
        <f>IF('General price list'!$AB380="",0,'General price list'!$AB380)</f>
        <v>0</v>
      </c>
      <c r="Z378" s="365">
        <f>IFERROR(X378*VLOOKUP(C378,'General price list'!C:I,7,FALSE),"")</f>
        <v>0</v>
      </c>
      <c r="AA378" s="365" t="str">
        <f>IF(X378&lt;&gt;"",VLOOKUP(C378,'General price list'!C380:AN1353,MATCH("HM",Tabulka1[[#Headers],[KOD]:[NEQ]],0),FALSE),"")</f>
        <v/>
      </c>
    </row>
    <row r="379" spans="1:27">
      <c r="A379">
        <f>COUNTIF($W$22:W379,1)</f>
        <v>0</v>
      </c>
      <c r="B379">
        <v>379</v>
      </c>
      <c r="C379" s="340">
        <f>Tabulka1[[#This Row],[KOD]]</f>
        <v>0</v>
      </c>
      <c r="W379" t="str">
        <f t="shared" si="6"/>
        <v/>
      </c>
      <c r="Y379" s="341">
        <f>IF('General price list'!$AB381="",0,'General price list'!$AB381)</f>
        <v>0</v>
      </c>
      <c r="Z379" s="365" t="str">
        <f>IFERROR(X379*VLOOKUP(C379,'General price list'!C:I,7,FALSE),"")</f>
        <v/>
      </c>
      <c r="AA379" s="365" t="str">
        <f>IF(X379&lt;&gt;"",VLOOKUP(C379,'General price list'!C381:AN1354,MATCH("HM",Tabulka1[[#Headers],[KOD]:[NEQ]],0),FALSE),"")</f>
        <v/>
      </c>
    </row>
    <row r="380" spans="1:27">
      <c r="A380">
        <f>COUNTIF($W$22:W380,1)</f>
        <v>0</v>
      </c>
      <c r="B380">
        <v>380</v>
      </c>
      <c r="C380" s="340" t="str">
        <f>Tabulka1[[#This Row],[KOD]]</f>
        <v>C40014W/C14</v>
      </c>
      <c r="W380" t="str">
        <f t="shared" si="6"/>
        <v/>
      </c>
      <c r="Y380" s="341">
        <f>IF('General price list'!$AB382="",0,'General price list'!$AB382)</f>
        <v>0</v>
      </c>
      <c r="Z380" s="365">
        <f>IFERROR(X380*VLOOKUP(C380,'General price list'!C:I,7,FALSE),"")</f>
        <v>0</v>
      </c>
      <c r="AA380" s="365" t="str">
        <f>IF(X380&lt;&gt;"",VLOOKUP(C380,'General price list'!C382:AN1355,MATCH("HM",Tabulka1[[#Headers],[KOD]:[NEQ]],0),FALSE),"")</f>
        <v/>
      </c>
    </row>
    <row r="381" spans="1:27">
      <c r="A381">
        <f>COUNTIF($W$22:W381,1)</f>
        <v>0</v>
      </c>
      <c r="B381">
        <v>381</v>
      </c>
      <c r="C381" s="340">
        <f>Tabulka1[[#This Row],[KOD]]</f>
        <v>0</v>
      </c>
      <c r="W381" t="str">
        <f t="shared" si="6"/>
        <v/>
      </c>
      <c r="Y381" s="341">
        <f>IF('General price list'!$AB383="",0,'General price list'!$AB383)</f>
        <v>0</v>
      </c>
      <c r="Z381" s="365" t="str">
        <f>IFERROR(X381*VLOOKUP(C381,'General price list'!C:I,7,FALSE),"")</f>
        <v/>
      </c>
      <c r="AA381" s="365" t="str">
        <f>IF(X381&lt;&gt;"",VLOOKUP(C381,'General price list'!C383:AN1356,MATCH("HM",Tabulka1[[#Headers],[KOD]:[NEQ]],0),FALSE),"")</f>
        <v/>
      </c>
    </row>
    <row r="382" spans="1:27">
      <c r="A382">
        <f>COUNTIF($W$22:W382,1)</f>
        <v>0</v>
      </c>
      <c r="B382">
        <v>382</v>
      </c>
      <c r="C382" s="340" t="str">
        <f>Tabulka1[[#This Row],[KOD]]</f>
        <v>C20814XPR14</v>
      </c>
      <c r="W382" t="str">
        <f t="shared" si="6"/>
        <v/>
      </c>
      <c r="Y382" s="341">
        <f>IF('General price list'!$AB384="",0,'General price list'!$AB384)</f>
        <v>0</v>
      </c>
      <c r="Z382" s="365">
        <f>IFERROR(X382*VLOOKUP(C382,'General price list'!C:I,7,FALSE),"")</f>
        <v>0</v>
      </c>
      <c r="AA382" s="365" t="str">
        <f>IF(X382&lt;&gt;"",VLOOKUP(C382,'General price list'!C384:AN1357,MATCH("HM",Tabulka1[[#Headers],[KOD]:[NEQ]],0),FALSE),"")</f>
        <v/>
      </c>
    </row>
    <row r="383" spans="1:27">
      <c r="A383">
        <f>COUNTIF($W$22:W383,1)</f>
        <v>0</v>
      </c>
      <c r="B383">
        <v>383</v>
      </c>
      <c r="C383" s="340">
        <f>Tabulka1[[#This Row],[KOD]]</f>
        <v>0</v>
      </c>
      <c r="W383" t="str">
        <f t="shared" si="6"/>
        <v/>
      </c>
      <c r="Y383" s="341">
        <f>IF('General price list'!$AB385="",0,'General price list'!$AB385)</f>
        <v>0</v>
      </c>
      <c r="Z383" s="365" t="str">
        <f>IFERROR(X383*VLOOKUP(C383,'General price list'!C:I,7,FALSE),"")</f>
        <v/>
      </c>
      <c r="AA383" s="365" t="str">
        <f>IF(X383&lt;&gt;"",VLOOKUP(C383,'General price list'!C385:AN1358,MATCH("HM",Tabulka1[[#Headers],[KOD]:[NEQ]],0),FALSE),"")</f>
        <v/>
      </c>
    </row>
    <row r="384" spans="1:27">
      <c r="A384">
        <f>COUNTIF($W$22:W384,1)</f>
        <v>0</v>
      </c>
      <c r="B384">
        <v>384</v>
      </c>
      <c r="C384" s="340" t="str">
        <f>Tabulka1[[#This Row],[KOD]]</f>
        <v>C9016XC14</v>
      </c>
      <c r="W384" t="str">
        <f t="shared" si="6"/>
        <v/>
      </c>
      <c r="Y384" s="341">
        <f>IF('General price list'!$AB386="",0,'General price list'!$AB386)</f>
        <v>0</v>
      </c>
      <c r="Z384" s="365">
        <f>IFERROR(X384*VLOOKUP(C384,'General price list'!C:I,7,FALSE),"")</f>
        <v>0</v>
      </c>
      <c r="AA384" s="365" t="str">
        <f>IF(X384&lt;&gt;"",VLOOKUP(C384,'General price list'!C386:AN1359,MATCH("HM",Tabulka1[[#Headers],[KOD]:[NEQ]],0),FALSE),"")</f>
        <v/>
      </c>
    </row>
    <row r="385" spans="1:27">
      <c r="A385">
        <f>COUNTIF($W$22:W385,1)</f>
        <v>0</v>
      </c>
      <c r="B385">
        <v>385</v>
      </c>
      <c r="C385" s="340">
        <f>Tabulka1[[#This Row],[KOD]]</f>
        <v>0</v>
      </c>
      <c r="W385" t="str">
        <f t="shared" si="6"/>
        <v/>
      </c>
      <c r="Y385" s="341">
        <f>IF('General price list'!$AB387="",0,'General price list'!$AB387)</f>
        <v>0</v>
      </c>
      <c r="Z385" s="365" t="str">
        <f>IFERROR(X385*VLOOKUP(C385,'General price list'!C:I,7,FALSE),"")</f>
        <v/>
      </c>
      <c r="AA385" s="365" t="str">
        <f>IF(X385&lt;&gt;"",VLOOKUP(C385,'General price list'!C387:AN1360,MATCH("HM",Tabulka1[[#Headers],[KOD]:[NEQ]],0),FALSE),"")</f>
        <v/>
      </c>
    </row>
    <row r="386" spans="1:27">
      <c r="A386">
        <f>COUNTIF($W$22:W386,1)</f>
        <v>0</v>
      </c>
      <c r="B386">
        <v>386</v>
      </c>
      <c r="C386" s="340" t="str">
        <f>Tabulka1[[#This Row],[KOD]]</f>
        <v>C16016XP14</v>
      </c>
      <c r="W386" t="str">
        <f t="shared" si="6"/>
        <v/>
      </c>
      <c r="Y386" s="341">
        <f>IF('General price list'!$AB388="",0,'General price list'!$AB388)</f>
        <v>0</v>
      </c>
      <c r="Z386" s="365">
        <f>IFERROR(X386*VLOOKUP(C386,'General price list'!C:I,7,FALSE),"")</f>
        <v>0</v>
      </c>
      <c r="AA386" s="365" t="str">
        <f>IF(X386&lt;&gt;"",VLOOKUP(C386,'General price list'!C388:AN1361,MATCH("HM",Tabulka1[[#Headers],[KOD]:[NEQ]],0),FALSE),"")</f>
        <v/>
      </c>
    </row>
    <row r="387" spans="1:27">
      <c r="A387">
        <f>COUNTIF($W$22:W387,1)</f>
        <v>0</v>
      </c>
      <c r="B387">
        <v>387</v>
      </c>
      <c r="C387" s="340">
        <f>Tabulka1[[#This Row],[KOD]]</f>
        <v>0</v>
      </c>
      <c r="W387" t="str">
        <f t="shared" si="6"/>
        <v/>
      </c>
      <c r="Y387" s="341">
        <f>IF('General price list'!$AB389="",0,'General price list'!$AB389)</f>
        <v>0</v>
      </c>
      <c r="Z387" s="365" t="str">
        <f>IFERROR(X387*VLOOKUP(C387,'General price list'!C:I,7,FALSE),"")</f>
        <v/>
      </c>
      <c r="AA387" s="365" t="str">
        <f>IF(X387&lt;&gt;"",VLOOKUP(C387,'General price list'!C389:AN1362,MATCH("HM",Tabulka1[[#Headers],[KOD]:[NEQ]],0),FALSE),"")</f>
        <v/>
      </c>
    </row>
    <row r="388" spans="1:27">
      <c r="A388">
        <f>COUNTIF($W$22:W388,1)</f>
        <v>0</v>
      </c>
      <c r="B388">
        <v>388</v>
      </c>
      <c r="C388" s="340" t="str">
        <f>Tabulka1[[#This Row],[KOD]]</f>
        <v>C27016XG/C14</v>
      </c>
      <c r="W388" t="str">
        <f t="shared" si="6"/>
        <v/>
      </c>
      <c r="Y388" s="341">
        <f>IF('General price list'!$AB390="",0,'General price list'!$AB390)</f>
        <v>0</v>
      </c>
      <c r="Z388" s="365">
        <f>IFERROR(X388*VLOOKUP(C388,'General price list'!C:I,7,FALSE),"")</f>
        <v>0</v>
      </c>
      <c r="AA388" s="365" t="str">
        <f>IF(X388&lt;&gt;"",VLOOKUP(C388,'General price list'!C390:AN1363,MATCH("HM",Tabulka1[[#Headers],[KOD]:[NEQ]],0),FALSE),"")</f>
        <v/>
      </c>
    </row>
    <row r="389" spans="1:27">
      <c r="A389">
        <f>COUNTIF($W$22:W389,1)</f>
        <v>0</v>
      </c>
      <c r="B389">
        <v>389</v>
      </c>
      <c r="C389" s="340" t="str">
        <f>Tabulka1[[#This Row],[KOD]]</f>
        <v>C32016XB/C14</v>
      </c>
      <c r="W389" t="str">
        <f t="shared" si="6"/>
        <v/>
      </c>
      <c r="Y389" s="341">
        <f>IF('General price list'!$AB391="",0,'General price list'!$AB391)</f>
        <v>0</v>
      </c>
      <c r="Z389" s="365">
        <f>IFERROR(X389*VLOOKUP(C389,'General price list'!C:I,7,FALSE),"")</f>
        <v>0</v>
      </c>
      <c r="AA389" s="365" t="str">
        <f>IF(X389&lt;&gt;"",VLOOKUP(C389,'General price list'!C391:AN1364,MATCH("HM",Tabulka1[[#Headers],[KOD]:[NEQ]],0),FALSE),"")</f>
        <v/>
      </c>
    </row>
    <row r="390" spans="1:27">
      <c r="A390">
        <f>COUNTIF($W$22:W390,1)</f>
        <v>0</v>
      </c>
      <c r="B390">
        <v>390</v>
      </c>
      <c r="C390" s="340">
        <f>Tabulka1[[#This Row],[KOD]]</f>
        <v>0</v>
      </c>
      <c r="W390" t="str">
        <f t="shared" si="6"/>
        <v/>
      </c>
      <c r="Y390" s="341">
        <f>IF('General price list'!$AB392="",0,'General price list'!$AB392)</f>
        <v>0</v>
      </c>
      <c r="Z390" s="365" t="str">
        <f>IFERROR(X390*VLOOKUP(C390,'General price list'!C:I,7,FALSE),"")</f>
        <v/>
      </c>
      <c r="AA390" s="365" t="str">
        <f>IF(X390&lt;&gt;"",VLOOKUP(C390,'General price list'!C392:AN1365,MATCH("HM",Tabulka1[[#Headers],[KOD]:[NEQ]],0),FALSE),"")</f>
        <v/>
      </c>
    </row>
    <row r="391" spans="1:27">
      <c r="A391">
        <f>COUNTIF($W$22:W391,1)</f>
        <v>0</v>
      </c>
      <c r="B391">
        <v>391</v>
      </c>
      <c r="C391" s="340" t="str">
        <f>Tabulka1[[#This Row],[KOD]]</f>
        <v>C63MXS14</v>
      </c>
      <c r="W391" t="str">
        <f t="shared" si="6"/>
        <v/>
      </c>
      <c r="Y391" s="341">
        <f>IF('General price list'!$AB393="",0,'General price list'!$AB393)</f>
        <v>0</v>
      </c>
      <c r="Z391" s="365">
        <f>IFERROR(X391*VLOOKUP(C391,'General price list'!C:I,7,FALSE),"")</f>
        <v>0</v>
      </c>
      <c r="AA391" s="365" t="str">
        <f>IF(X391&lt;&gt;"",VLOOKUP(C391,'General price list'!C393:AN1366,MATCH("HM",Tabulka1[[#Headers],[KOD]:[NEQ]],0),FALSE),"")</f>
        <v/>
      </c>
    </row>
    <row r="392" spans="1:27">
      <c r="A392">
        <f>COUNTIF($W$22:W392,1)</f>
        <v>0</v>
      </c>
      <c r="B392">
        <v>392</v>
      </c>
      <c r="C392" s="340">
        <f>Tabulka1[[#This Row],[KOD]]</f>
        <v>0</v>
      </c>
      <c r="W392" t="str">
        <f t="shared" si="6"/>
        <v/>
      </c>
      <c r="Y392" s="341">
        <f>IF('General price list'!$AB394="",0,'General price list'!$AB394)</f>
        <v>0</v>
      </c>
      <c r="Z392" s="365" t="str">
        <f>IFERROR(X392*VLOOKUP(C392,'General price list'!C:I,7,FALSE),"")</f>
        <v/>
      </c>
      <c r="AA392" s="365" t="str">
        <f>IF(X392&lt;&gt;"",VLOOKUP(C392,'General price list'!C394:AN1367,MATCH("HM",Tabulka1[[#Headers],[KOD]:[NEQ]],0),FALSE),"")</f>
        <v/>
      </c>
    </row>
    <row r="393" spans="1:27">
      <c r="A393">
        <f>COUNTIF($W$22:W393,1)</f>
        <v>0</v>
      </c>
      <c r="B393">
        <v>393</v>
      </c>
      <c r="C393" s="340" t="str">
        <f>Tabulka1[[#This Row],[KOD]]</f>
        <v>C920L</v>
      </c>
      <c r="W393" t="str">
        <f t="shared" si="6"/>
        <v/>
      </c>
      <c r="Y393" s="341">
        <f>IF('General price list'!$AB395="",0,'General price list'!$AB395)</f>
        <v>0</v>
      </c>
      <c r="Z393" s="365">
        <f>IFERROR(X393*VLOOKUP(C393,'General price list'!C:I,7,FALSE),"")</f>
        <v>0</v>
      </c>
      <c r="AA393" s="365" t="str">
        <f>IF(X393&lt;&gt;"",VLOOKUP(C393,'General price list'!C395:AN1368,MATCH("HM",Tabulka1[[#Headers],[KOD]:[NEQ]],0),FALSE),"")</f>
        <v/>
      </c>
    </row>
    <row r="394" spans="1:27">
      <c r="A394">
        <f>COUNTIF($W$22:W394,1)</f>
        <v>0</v>
      </c>
      <c r="B394">
        <v>394</v>
      </c>
      <c r="C394" s="340" t="str">
        <f>Tabulka1[[#This Row],[KOD]]</f>
        <v>C920M</v>
      </c>
      <c r="W394" t="str">
        <f t="shared" si="6"/>
        <v/>
      </c>
      <c r="Y394" s="341">
        <f>IF('General price list'!$AB396="",0,'General price list'!$AB396)</f>
        <v>0</v>
      </c>
      <c r="Z394" s="365">
        <f>IFERROR(X394*VLOOKUP(C394,'General price list'!C:I,7,FALSE),"")</f>
        <v>0</v>
      </c>
      <c r="AA394" s="365" t="str">
        <f>IF(X394&lt;&gt;"",VLOOKUP(C394,'General price list'!C396:AN1369,MATCH("HM",Tabulka1[[#Headers],[KOD]:[NEQ]],0),FALSE),"")</f>
        <v/>
      </c>
    </row>
    <row r="395" spans="1:27">
      <c r="A395">
        <f>COUNTIF($W$22:W395,1)</f>
        <v>0</v>
      </c>
      <c r="B395">
        <v>395</v>
      </c>
      <c r="C395" s="340">
        <f>Tabulka1[[#This Row],[KOD]]</f>
        <v>0</v>
      </c>
      <c r="W395" t="str">
        <f t="shared" si="6"/>
        <v/>
      </c>
      <c r="Y395" s="341">
        <f>IF('General price list'!$AB397="",0,'General price list'!$AB397)</f>
        <v>0</v>
      </c>
      <c r="Z395" s="365" t="str">
        <f>IFERROR(X395*VLOOKUP(C395,'General price list'!C:I,7,FALSE),"")</f>
        <v/>
      </c>
      <c r="AA395" s="365" t="str">
        <f>IF(X395&lt;&gt;"",VLOOKUP(C395,'General price list'!C397:AN1370,MATCH("HM",Tabulka1[[#Headers],[KOD]:[NEQ]],0),FALSE),"")</f>
        <v/>
      </c>
    </row>
    <row r="396" spans="1:27">
      <c r="A396">
        <f>COUNTIF($W$22:W396,1)</f>
        <v>0</v>
      </c>
      <c r="B396">
        <v>396</v>
      </c>
      <c r="C396" s="340" t="str">
        <f>Tabulka1[[#This Row],[KOD]]</f>
        <v>C1620DU</v>
      </c>
      <c r="W396" t="str">
        <f t="shared" si="6"/>
        <v/>
      </c>
      <c r="Y396" s="341">
        <f>IF('General price list'!$AB398="",0,'General price list'!$AB398)</f>
        <v>0</v>
      </c>
      <c r="Z396" s="365">
        <f>IFERROR(X396*VLOOKUP(C396,'General price list'!C:I,7,FALSE),"")</f>
        <v>0</v>
      </c>
      <c r="AA396" s="365" t="str">
        <f>IF(X396&lt;&gt;"",VLOOKUP(C396,'General price list'!C398:AN1371,MATCH("HM",Tabulka1[[#Headers],[KOD]:[NEQ]],0),FALSE),"")</f>
        <v/>
      </c>
    </row>
    <row r="397" spans="1:27">
      <c r="A397">
        <f>COUNTIF($W$22:W397,1)</f>
        <v>0</v>
      </c>
      <c r="B397">
        <v>397</v>
      </c>
      <c r="C397" s="340" t="str">
        <f>Tabulka1[[#This Row],[KOD]]</f>
        <v>C1620DU(5)</v>
      </c>
      <c r="W397" t="str">
        <f t="shared" si="6"/>
        <v/>
      </c>
      <c r="Y397" s="341">
        <f>IF('General price list'!$AB399="",0,'General price list'!$AB399)</f>
        <v>0</v>
      </c>
      <c r="Z397" s="365">
        <f>IFERROR(X397*VLOOKUP(C397,'General price list'!C:I,7,FALSE),"")</f>
        <v>0</v>
      </c>
      <c r="AA397" s="365" t="str">
        <f>IF(X397&lt;&gt;"",VLOOKUP(C397,'General price list'!C399:AN1372,MATCH("HM",Tabulka1[[#Headers],[KOD]:[NEQ]],0),FALSE),"")</f>
        <v/>
      </c>
    </row>
    <row r="398" spans="1:27">
      <c r="A398">
        <f>COUNTIF($W$22:W398,1)</f>
        <v>0</v>
      </c>
      <c r="B398">
        <v>398</v>
      </c>
      <c r="C398" s="340" t="str">
        <f>Tabulka1[[#This Row],[KOD]]</f>
        <v>C1620BPF</v>
      </c>
      <c r="W398" t="str">
        <f t="shared" si="6"/>
        <v/>
      </c>
      <c r="Y398" s="341">
        <f>IF('General price list'!$AB400="",0,'General price list'!$AB400)</f>
        <v>0</v>
      </c>
      <c r="Z398" s="365">
        <f>IFERROR(X398*VLOOKUP(C398,'General price list'!C:I,7,FALSE),"")</f>
        <v>0</v>
      </c>
      <c r="AA398" s="365" t="str">
        <f>IF(X398&lt;&gt;"",VLOOKUP(C398,'General price list'!C400:AN1373,MATCH("HM",Tabulka1[[#Headers],[KOD]:[NEQ]],0),FALSE),"")</f>
        <v/>
      </c>
    </row>
    <row r="399" spans="1:27">
      <c r="A399">
        <f>COUNTIF($W$22:W399,1)</f>
        <v>0</v>
      </c>
      <c r="B399">
        <v>399</v>
      </c>
      <c r="C399" s="340" t="str">
        <f>Tabulka1[[#This Row],[KOD]]</f>
        <v>C1620H</v>
      </c>
      <c r="W399" t="str">
        <f t="shared" si="6"/>
        <v/>
      </c>
      <c r="Y399" s="341">
        <f>IF('General price list'!$AB401="",0,'General price list'!$AB401)</f>
        <v>0</v>
      </c>
      <c r="Z399" s="365">
        <f>IFERROR(X399*VLOOKUP(C399,'General price list'!C:I,7,FALSE),"")</f>
        <v>0</v>
      </c>
      <c r="AA399" s="365" t="str">
        <f>IF(X399&lt;&gt;"",VLOOKUP(C399,'General price list'!C401:AN1374,MATCH("HM",Tabulka1[[#Headers],[KOD]:[NEQ]],0),FALSE),"")</f>
        <v/>
      </c>
    </row>
    <row r="400" spans="1:27">
      <c r="A400">
        <f>COUNTIF($W$22:W400,1)</f>
        <v>0</v>
      </c>
      <c r="B400">
        <v>400</v>
      </c>
      <c r="C400" s="340" t="str">
        <f>Tabulka1[[#This Row],[KOD]]</f>
        <v>C1620N</v>
      </c>
      <c r="W400" t="str">
        <f t="shared" si="6"/>
        <v/>
      </c>
      <c r="Y400" s="341">
        <f>IF('General price list'!$AB402="",0,'General price list'!$AB402)</f>
        <v>0</v>
      </c>
      <c r="Z400" s="365">
        <f>IFERROR(X400*VLOOKUP(C400,'General price list'!C:I,7,FALSE),"")</f>
        <v>0</v>
      </c>
      <c r="AA400" s="365" t="str">
        <f>IF(X400&lt;&gt;"",VLOOKUP(C400,'General price list'!C402:AN1375,MATCH("HM",Tabulka1[[#Headers],[KOD]:[NEQ]],0),FALSE),"")</f>
        <v/>
      </c>
    </row>
    <row r="401" spans="1:27">
      <c r="A401">
        <f>COUNTIF($W$22:W401,1)</f>
        <v>0</v>
      </c>
      <c r="B401">
        <v>401</v>
      </c>
      <c r="C401" s="340" t="str">
        <f>Tabulka1[[#This Row],[KOD]]</f>
        <v>C1620F</v>
      </c>
      <c r="W401" t="str">
        <f t="shared" si="6"/>
        <v/>
      </c>
      <c r="Y401" s="341">
        <f>IF('General price list'!$AB403="",0,'General price list'!$AB403)</f>
        <v>0</v>
      </c>
      <c r="Z401" s="365">
        <f>IFERROR(X401*VLOOKUP(C401,'General price list'!C:I,7,FALSE),"")</f>
        <v>0</v>
      </c>
      <c r="AA401" s="365" t="str">
        <f>IF(X401&lt;&gt;"",VLOOKUP(C401,'General price list'!C403:AN1376,MATCH("HM",Tabulka1[[#Headers],[KOD]:[NEQ]],0),FALSE),"")</f>
        <v/>
      </c>
    </row>
    <row r="402" spans="1:27">
      <c r="A402">
        <f>COUNTIF($W$22:W402,1)</f>
        <v>0</v>
      </c>
      <c r="B402">
        <v>402</v>
      </c>
      <c r="C402" s="340">
        <f>Tabulka1[[#This Row],[KOD]]</f>
        <v>0</v>
      </c>
      <c r="W402" t="str">
        <f t="shared" si="6"/>
        <v/>
      </c>
      <c r="Y402" s="341">
        <f>IF('General price list'!$AB404="",0,'General price list'!$AB404)</f>
        <v>0</v>
      </c>
      <c r="Z402" s="365" t="str">
        <f>IFERROR(X402*VLOOKUP(C402,'General price list'!C:I,7,FALSE),"")</f>
        <v/>
      </c>
      <c r="AA402" s="365" t="str">
        <f>IF(X402&lt;&gt;"",VLOOKUP(C402,'General price list'!C404:AN1377,MATCH("HM",Tabulka1[[#Headers],[KOD]:[NEQ]],0),FALSE),"")</f>
        <v/>
      </c>
    </row>
    <row r="403" spans="1:27">
      <c r="A403">
        <f>COUNTIF($W$22:W403,1)</f>
        <v>0</v>
      </c>
      <c r="B403">
        <v>403</v>
      </c>
      <c r="C403" s="340" t="str">
        <f>Tabulka1[[#This Row],[KOD]]</f>
        <v>C1620H14</v>
      </c>
      <c r="W403" t="str">
        <f t="shared" si="6"/>
        <v/>
      </c>
      <c r="Y403" s="341">
        <f>IF('General price list'!$AB405="",0,'General price list'!$AB405)</f>
        <v>0</v>
      </c>
      <c r="Z403" s="365">
        <f>IFERROR(X403*VLOOKUP(C403,'General price list'!C:I,7,FALSE),"")</f>
        <v>0</v>
      </c>
      <c r="AA403" s="365" t="str">
        <f>IF(X403&lt;&gt;"",VLOOKUP(C403,'General price list'!C405:AN1378,MATCH("HM",Tabulka1[[#Headers],[KOD]:[NEQ]],0),FALSE),"")</f>
        <v/>
      </c>
    </row>
    <row r="404" spans="1:27">
      <c r="A404">
        <f>COUNTIF($W$22:W404,1)</f>
        <v>0</v>
      </c>
      <c r="B404">
        <v>404</v>
      </c>
      <c r="C404" s="340" t="str">
        <f>Tabulka1[[#This Row],[KOD]]</f>
        <v>C1620F14</v>
      </c>
      <c r="W404" t="str">
        <f t="shared" si="6"/>
        <v/>
      </c>
      <c r="Y404" s="341">
        <f>IF('General price list'!$AB406="",0,'General price list'!$AB406)</f>
        <v>0</v>
      </c>
      <c r="Z404" s="365">
        <f>IFERROR(X404*VLOOKUP(C404,'General price list'!C:I,7,FALSE),"")</f>
        <v>0</v>
      </c>
      <c r="AA404" s="365" t="str">
        <f>IF(X404&lt;&gt;"",VLOOKUP(C404,'General price list'!C406:AN1379,MATCH("HM",Tabulka1[[#Headers],[KOD]:[NEQ]],0),FALSE),"")</f>
        <v/>
      </c>
    </row>
    <row r="405" spans="1:27">
      <c r="A405">
        <f>COUNTIF($W$22:W405,1)</f>
        <v>0</v>
      </c>
      <c r="B405">
        <v>405</v>
      </c>
      <c r="C405" s="340">
        <f>Tabulka1[[#This Row],[KOD]]</f>
        <v>0</v>
      </c>
      <c r="W405" t="str">
        <f t="shared" si="6"/>
        <v/>
      </c>
      <c r="Y405" s="341">
        <f>IF('General price list'!$AB407="",0,'General price list'!$AB407)</f>
        <v>0</v>
      </c>
      <c r="Z405" s="365" t="str">
        <f>IFERROR(X405*VLOOKUP(C405,'General price list'!C:I,7,FALSE),"")</f>
        <v/>
      </c>
      <c r="AA405" s="365" t="str">
        <f>IF(X405&lt;&gt;"",VLOOKUP(C405,'General price list'!C407:AN1380,MATCH("HM",Tabulka1[[#Headers],[KOD]:[NEQ]],0),FALSE),"")</f>
        <v/>
      </c>
    </row>
    <row r="406" spans="1:27">
      <c r="A406">
        <f>COUNTIF($W$22:W406,1)</f>
        <v>0</v>
      </c>
      <c r="B406">
        <v>406</v>
      </c>
      <c r="C406" s="340" t="str">
        <f>Tabulka1[[#This Row],[KOD]]</f>
        <v>CX1620D</v>
      </c>
      <c r="W406" t="str">
        <f t="shared" si="6"/>
        <v/>
      </c>
      <c r="Y406" s="341">
        <f>IF('General price list'!$AB408="",0,'General price list'!$AB408)</f>
        <v>0</v>
      </c>
      <c r="Z406" s="365">
        <f>IFERROR(X406*VLOOKUP(C406,'General price list'!C:I,7,FALSE),"")</f>
        <v>0</v>
      </c>
      <c r="AA406" s="365" t="str">
        <f>IF(X406&lt;&gt;"",VLOOKUP(C406,'General price list'!C408:AN1381,MATCH("HM",Tabulka1[[#Headers],[KOD]:[NEQ]],0),FALSE),"")</f>
        <v/>
      </c>
    </row>
    <row r="407" spans="1:27">
      <c r="A407">
        <f>COUNTIF($W$22:W407,1)</f>
        <v>0</v>
      </c>
      <c r="B407">
        <v>407</v>
      </c>
      <c r="C407" s="340" t="str">
        <f>Tabulka1[[#This Row],[KOD]]</f>
        <v>CX1620X</v>
      </c>
      <c r="W407" t="str">
        <f t="shared" si="6"/>
        <v/>
      </c>
      <c r="Y407" s="341">
        <f>IF('General price list'!$AB409="",0,'General price list'!$AB409)</f>
        <v>0</v>
      </c>
      <c r="Z407" s="365">
        <f>IFERROR(X407*VLOOKUP(C407,'General price list'!C:I,7,FALSE),"")</f>
        <v>0</v>
      </c>
      <c r="AA407" s="365" t="str">
        <f>IF(X407&lt;&gt;"",VLOOKUP(C407,'General price list'!C409:AN1382,MATCH("HM",Tabulka1[[#Headers],[KOD]:[NEQ]],0),FALSE),"")</f>
        <v/>
      </c>
    </row>
    <row r="408" spans="1:27">
      <c r="A408">
        <f>COUNTIF($W$22:W408,1)</f>
        <v>0</v>
      </c>
      <c r="B408">
        <v>408</v>
      </c>
      <c r="C408" s="340">
        <f>Tabulka1[[#This Row],[KOD]]</f>
        <v>0</v>
      </c>
      <c r="W408" t="str">
        <f t="shared" ref="W408:W471" si="7">IF(Y408+1=1,"",1)</f>
        <v/>
      </c>
      <c r="Y408" s="341">
        <f>IF('General price list'!$AB410="",0,'General price list'!$AB410)</f>
        <v>0</v>
      </c>
      <c r="Z408" s="365" t="str">
        <f>IFERROR(X408*VLOOKUP(C408,'General price list'!C:I,7,FALSE),"")</f>
        <v/>
      </c>
      <c r="AA408" s="365" t="str">
        <f>IF(X408&lt;&gt;"",VLOOKUP(C408,'General price list'!C410:AN1383,MATCH("HM",Tabulka1[[#Headers],[KOD]:[NEQ]],0),FALSE),"")</f>
        <v/>
      </c>
    </row>
    <row r="409" spans="1:27">
      <c r="A409">
        <f>COUNTIF($W$22:W409,1)</f>
        <v>0</v>
      </c>
      <c r="B409">
        <v>409</v>
      </c>
      <c r="C409" s="340" t="str">
        <f>Tabulka1[[#This Row],[KOD]]</f>
        <v>C2520BP</v>
      </c>
      <c r="W409" t="str">
        <f t="shared" si="7"/>
        <v/>
      </c>
      <c r="Y409" s="341">
        <f>IF('General price list'!$AB411="",0,'General price list'!$AB411)</f>
        <v>0</v>
      </c>
      <c r="Z409" s="365">
        <f>IFERROR(X409*VLOOKUP(C409,'General price list'!C:I,7,FALSE),"")</f>
        <v>0</v>
      </c>
      <c r="AA409" s="365" t="str">
        <f>IF(X409&lt;&gt;"",VLOOKUP(C409,'General price list'!C411:AN1384,MATCH("HM",Tabulka1[[#Headers],[KOD]:[NEQ]],0),FALSE),"")</f>
        <v/>
      </c>
    </row>
    <row r="410" spans="1:27">
      <c r="A410">
        <f>COUNTIF($W$22:W410,1)</f>
        <v>0</v>
      </c>
      <c r="B410">
        <v>410</v>
      </c>
      <c r="C410" s="340" t="str">
        <f>Tabulka1[[#This Row],[KOD]]</f>
        <v>C2520SIG</v>
      </c>
      <c r="W410" t="str">
        <f t="shared" si="7"/>
        <v/>
      </c>
      <c r="Y410" s="341">
        <f>IF('General price list'!$AB412="",0,'General price list'!$AB412)</f>
        <v>0</v>
      </c>
      <c r="Z410" s="365">
        <f>IFERROR(X410*VLOOKUP(C410,'General price list'!C:I,7,FALSE),"")</f>
        <v>0</v>
      </c>
      <c r="AA410" s="365" t="str">
        <f>IF(X410&lt;&gt;"",VLOOKUP(C410,'General price list'!C412:AN1385,MATCH("HM",Tabulka1[[#Headers],[KOD]:[NEQ]],0),FALSE),"")</f>
        <v/>
      </c>
    </row>
    <row r="411" spans="1:27">
      <c r="A411">
        <f>COUNTIF($W$22:W411,1)</f>
        <v>0</v>
      </c>
      <c r="B411">
        <v>411</v>
      </c>
      <c r="C411" s="340" t="str">
        <f>Tabulka1[[#This Row],[KOD]]</f>
        <v>C2520Z</v>
      </c>
      <c r="W411" t="str">
        <f t="shared" si="7"/>
        <v/>
      </c>
      <c r="Y411" s="341">
        <f>IF('General price list'!$AB413="",0,'General price list'!$AB413)</f>
        <v>0</v>
      </c>
      <c r="Z411" s="365">
        <f>IFERROR(X411*VLOOKUP(C411,'General price list'!C:I,7,FALSE),"")</f>
        <v>0</v>
      </c>
      <c r="AA411" s="365" t="str">
        <f>IF(X411&lt;&gt;"",VLOOKUP(C411,'General price list'!C413:AN1386,MATCH("HM",Tabulka1[[#Headers],[KOD]:[NEQ]],0),FALSE),"")</f>
        <v/>
      </c>
    </row>
    <row r="412" spans="1:27">
      <c r="A412">
        <f>COUNTIF($W$22:W412,1)</f>
        <v>0</v>
      </c>
      <c r="B412">
        <v>412</v>
      </c>
      <c r="C412" s="340" t="str">
        <f>Tabulka1[[#This Row],[KOD]]</f>
        <v>C2520DI</v>
      </c>
      <c r="W412" t="str">
        <f t="shared" si="7"/>
        <v/>
      </c>
      <c r="Y412" s="341">
        <f>IF('General price list'!$AB414="",0,'General price list'!$AB414)</f>
        <v>0</v>
      </c>
      <c r="Z412" s="365">
        <f>IFERROR(X412*VLOOKUP(C412,'General price list'!C:I,7,FALSE),"")</f>
        <v>0</v>
      </c>
      <c r="AA412" s="365" t="str">
        <f>IF(X412&lt;&gt;"",VLOOKUP(C412,'General price list'!C414:AN1387,MATCH("HM",Tabulka1[[#Headers],[KOD]:[NEQ]],0),FALSE),"")</f>
        <v/>
      </c>
    </row>
    <row r="413" spans="1:27">
      <c r="A413">
        <f>COUNTIF($W$22:W413,1)</f>
        <v>0</v>
      </c>
      <c r="B413">
        <v>413</v>
      </c>
      <c r="C413" s="340" t="str">
        <f>Tabulka1[[#This Row],[KOD]]</f>
        <v>C2520T</v>
      </c>
      <c r="W413" t="str">
        <f t="shared" si="7"/>
        <v/>
      </c>
      <c r="Y413" s="341">
        <f>IF('General price list'!$AB415="",0,'General price list'!$AB415)</f>
        <v>0</v>
      </c>
      <c r="Z413" s="365">
        <f>IFERROR(X413*VLOOKUP(C413,'General price list'!C:I,7,FALSE),"")</f>
        <v>0</v>
      </c>
      <c r="AA413" s="365" t="str">
        <f>IF(X413&lt;&gt;"",VLOOKUP(C413,'General price list'!C415:AN1388,MATCH("HM",Tabulka1[[#Headers],[KOD]:[NEQ]],0),FALSE),"")</f>
        <v/>
      </c>
    </row>
    <row r="414" spans="1:27">
      <c r="A414">
        <f>COUNTIF($W$22:W414,1)</f>
        <v>0</v>
      </c>
      <c r="B414">
        <v>414</v>
      </c>
      <c r="C414" s="340" t="str">
        <f>Tabulka1[[#This Row],[KOD]]</f>
        <v>C2520SE</v>
      </c>
      <c r="W414" t="str">
        <f t="shared" si="7"/>
        <v/>
      </c>
      <c r="Y414" s="341">
        <f>IF('General price list'!$AB416="",0,'General price list'!$AB416)</f>
        <v>0</v>
      </c>
      <c r="Z414" s="365">
        <f>IFERROR(X414*VLOOKUP(C414,'General price list'!C:I,7,FALSE),"")</f>
        <v>0</v>
      </c>
      <c r="AA414" s="365" t="str">
        <f>IF(X414&lt;&gt;"",VLOOKUP(C414,'General price list'!C416:AN1389,MATCH("HM",Tabulka1[[#Headers],[KOD]:[NEQ]],0),FALSE),"")</f>
        <v/>
      </c>
    </row>
    <row r="415" spans="1:27">
      <c r="A415">
        <f>COUNTIF($W$22:W415,1)</f>
        <v>0</v>
      </c>
      <c r="B415">
        <v>415</v>
      </c>
      <c r="C415" s="340" t="str">
        <f>Tabulka1[[#This Row],[KOD]]</f>
        <v>C2520ST</v>
      </c>
      <c r="W415" t="str">
        <f t="shared" si="7"/>
        <v/>
      </c>
      <c r="Y415" s="341">
        <f>IF('General price list'!$AB417="",0,'General price list'!$AB417)</f>
        <v>0</v>
      </c>
      <c r="Z415" s="365">
        <f>IFERROR(X415*VLOOKUP(C415,'General price list'!C:I,7,FALSE),"")</f>
        <v>0</v>
      </c>
      <c r="AA415" s="365" t="str">
        <f>IF(X415&lt;&gt;"",VLOOKUP(C415,'General price list'!C417:AN1390,MATCH("HM",Tabulka1[[#Headers],[KOD]:[NEQ]],0),FALSE),"")</f>
        <v/>
      </c>
    </row>
    <row r="416" spans="1:27">
      <c r="A416">
        <f>COUNTIF($W$22:W416,1)</f>
        <v>0</v>
      </c>
      <c r="B416">
        <v>416</v>
      </c>
      <c r="C416" s="340" t="str">
        <f>Tabulka1[[#This Row],[KOD]]</f>
        <v>C2520SL</v>
      </c>
      <c r="W416" t="str">
        <f t="shared" si="7"/>
        <v/>
      </c>
      <c r="Y416" s="341">
        <f>IF('General price list'!$AB418="",0,'General price list'!$AB418)</f>
        <v>0</v>
      </c>
      <c r="Z416" s="365">
        <f>IFERROR(X416*VLOOKUP(C416,'General price list'!C:I,7,FALSE),"")</f>
        <v>0</v>
      </c>
      <c r="AA416" s="365" t="str">
        <f>IF(X416&lt;&gt;"",VLOOKUP(C416,'General price list'!C418:AN1391,MATCH("HM",Tabulka1[[#Headers],[KOD]:[NEQ]],0),FALSE),"")</f>
        <v/>
      </c>
    </row>
    <row r="417" spans="1:27">
      <c r="A417">
        <f>COUNTIF($W$22:W417,1)</f>
        <v>0</v>
      </c>
      <c r="B417">
        <v>417</v>
      </c>
      <c r="C417" s="340" t="str">
        <f>Tabulka1[[#This Row],[KOD]]</f>
        <v>C2520R</v>
      </c>
      <c r="W417" t="str">
        <f t="shared" si="7"/>
        <v/>
      </c>
      <c r="Y417" s="341">
        <f>IF('General price list'!$AB419="",0,'General price list'!$AB419)</f>
        <v>0</v>
      </c>
      <c r="Z417" s="365">
        <f>IFERROR(X417*VLOOKUP(C417,'General price list'!C:I,7,FALSE),"")</f>
        <v>0</v>
      </c>
      <c r="AA417" s="365" t="str">
        <f>IF(X417&lt;&gt;"",VLOOKUP(C417,'General price list'!C419:AN1392,MATCH("HM",Tabulka1[[#Headers],[KOD]:[NEQ]],0),FALSE),"")</f>
        <v/>
      </c>
    </row>
    <row r="418" spans="1:27">
      <c r="A418">
        <f>COUNTIF($W$22:W418,1)</f>
        <v>0</v>
      </c>
      <c r="B418">
        <v>418</v>
      </c>
      <c r="C418" s="340" t="str">
        <f>Tabulka1[[#This Row],[KOD]]</f>
        <v>C2520VI</v>
      </c>
      <c r="W418" t="str">
        <f t="shared" si="7"/>
        <v/>
      </c>
      <c r="Y418" s="341">
        <f>IF('General price list'!$AB420="",0,'General price list'!$AB420)</f>
        <v>0</v>
      </c>
      <c r="Z418" s="365">
        <f>IFERROR(X418*VLOOKUP(C418,'General price list'!C:I,7,FALSE),"")</f>
        <v>0</v>
      </c>
      <c r="AA418" s="365" t="str">
        <f>IF(X418&lt;&gt;"",VLOOKUP(C418,'General price list'!C420:AN1393,MATCH("HM",Tabulka1[[#Headers],[KOD]:[NEQ]],0),FALSE),"")</f>
        <v/>
      </c>
    </row>
    <row r="419" spans="1:27">
      <c r="A419">
        <f>COUNTIF($W$22:W419,1)</f>
        <v>0</v>
      </c>
      <c r="B419">
        <v>419</v>
      </c>
      <c r="C419" s="340">
        <f>Tabulka1[[#This Row],[KOD]]</f>
        <v>0</v>
      </c>
      <c r="W419" t="str">
        <f t="shared" si="7"/>
        <v/>
      </c>
      <c r="Y419" s="341">
        <f>IF('General price list'!$AB421="",0,'General price list'!$AB421)</f>
        <v>0</v>
      </c>
      <c r="Z419" s="365" t="str">
        <f>IFERROR(X419*VLOOKUP(C419,'General price list'!C:I,7,FALSE),"")</f>
        <v/>
      </c>
      <c r="AA419" s="365" t="str">
        <f>IF(X419&lt;&gt;"",VLOOKUP(C419,'General price list'!C421:AN1394,MATCH("HM",Tabulka1[[#Headers],[KOD]:[NEQ]],0),FALSE),"")</f>
        <v/>
      </c>
    </row>
    <row r="420" spans="1:27">
      <c r="A420">
        <f>COUNTIF($W$22:W420,1)</f>
        <v>0</v>
      </c>
      <c r="B420">
        <v>420</v>
      </c>
      <c r="C420" s="340" t="str">
        <f>Tabulka1[[#This Row],[KOD]]</f>
        <v>C2520DI14</v>
      </c>
      <c r="W420" t="str">
        <f t="shared" si="7"/>
        <v/>
      </c>
      <c r="Y420" s="341">
        <f>IF('General price list'!$AB422="",0,'General price list'!$AB422)</f>
        <v>0</v>
      </c>
      <c r="Z420" s="365">
        <f>IFERROR(X420*VLOOKUP(C420,'General price list'!C:I,7,FALSE),"")</f>
        <v>0</v>
      </c>
      <c r="AA420" s="365" t="str">
        <f>IF(X420&lt;&gt;"",VLOOKUP(C420,'General price list'!C422:AN1395,MATCH("HM",Tabulka1[[#Headers],[KOD]:[NEQ]],0),FALSE),"")</f>
        <v/>
      </c>
    </row>
    <row r="421" spans="1:27">
      <c r="A421">
        <f>COUNTIF($W$22:W421,1)</f>
        <v>0</v>
      </c>
      <c r="B421">
        <v>421</v>
      </c>
      <c r="C421" s="340" t="str">
        <f>Tabulka1[[#This Row],[KOD]]</f>
        <v>C2520T14</v>
      </c>
      <c r="W421" t="str">
        <f t="shared" si="7"/>
        <v/>
      </c>
      <c r="Y421" s="341">
        <f>IF('General price list'!$AB423="",0,'General price list'!$AB423)</f>
        <v>0</v>
      </c>
      <c r="Z421" s="365">
        <f>IFERROR(X421*VLOOKUP(C421,'General price list'!C:I,7,FALSE),"")</f>
        <v>0</v>
      </c>
      <c r="AA421" s="365" t="str">
        <f>IF(X421&lt;&gt;"",VLOOKUP(C421,'General price list'!C423:AN1396,MATCH("HM",Tabulka1[[#Headers],[KOD]:[NEQ]],0),FALSE),"")</f>
        <v/>
      </c>
    </row>
    <row r="422" spans="1:27">
      <c r="A422">
        <f>COUNTIF($W$22:W422,1)</f>
        <v>0</v>
      </c>
      <c r="B422">
        <v>422</v>
      </c>
      <c r="C422" s="340" t="str">
        <f>Tabulka1[[#This Row],[KOD]]</f>
        <v>C2520SE14</v>
      </c>
      <c r="W422" t="str">
        <f t="shared" si="7"/>
        <v/>
      </c>
      <c r="Y422" s="341">
        <f>IF('General price list'!$AB424="",0,'General price list'!$AB424)</f>
        <v>0</v>
      </c>
      <c r="Z422" s="365">
        <f>IFERROR(X422*VLOOKUP(C422,'General price list'!C:I,7,FALSE),"")</f>
        <v>0</v>
      </c>
      <c r="AA422" s="365" t="str">
        <f>IF(X422&lt;&gt;"",VLOOKUP(C422,'General price list'!C424:AN1397,MATCH("HM",Tabulka1[[#Headers],[KOD]:[NEQ]],0),FALSE),"")</f>
        <v/>
      </c>
    </row>
    <row r="423" spans="1:27">
      <c r="A423">
        <f>COUNTIF($W$22:W423,1)</f>
        <v>0</v>
      </c>
      <c r="B423">
        <v>423</v>
      </c>
      <c r="C423" s="340">
        <f>Tabulka1[[#This Row],[KOD]]</f>
        <v>0</v>
      </c>
      <c r="W423" t="str">
        <f t="shared" si="7"/>
        <v/>
      </c>
      <c r="Y423" s="341">
        <f>IF('General price list'!$AB425="",0,'General price list'!$AB425)</f>
        <v>0</v>
      </c>
      <c r="Z423" s="365" t="str">
        <f>IFERROR(X423*VLOOKUP(C423,'General price list'!C:I,7,FALSE),"")</f>
        <v/>
      </c>
      <c r="AA423" s="365" t="str">
        <f>IF(X423&lt;&gt;"",VLOOKUP(C423,'General price list'!C425:AN1398,MATCH("HM",Tabulka1[[#Headers],[KOD]:[NEQ]],0),FALSE),"")</f>
        <v/>
      </c>
    </row>
    <row r="424" spans="1:27">
      <c r="A424">
        <f>COUNTIF($W$22:W424,1)</f>
        <v>0</v>
      </c>
      <c r="B424">
        <v>424</v>
      </c>
      <c r="C424" s="340" t="str">
        <f>Tabulka1[[#This Row],[KOD]]</f>
        <v>C3620V</v>
      </c>
      <c r="W424" t="str">
        <f t="shared" si="7"/>
        <v/>
      </c>
      <c r="Y424" s="341">
        <f>IF('General price list'!$AB426="",0,'General price list'!$AB426)</f>
        <v>0</v>
      </c>
      <c r="Z424" s="365">
        <f>IFERROR(X424*VLOOKUP(C424,'General price list'!C:I,7,FALSE),"")</f>
        <v>0</v>
      </c>
      <c r="AA424" s="365" t="str">
        <f>IF(X424&lt;&gt;"",VLOOKUP(C424,'General price list'!C426:AN1399,MATCH("HM",Tabulka1[[#Headers],[KOD]:[NEQ]],0),FALSE),"")</f>
        <v/>
      </c>
    </row>
    <row r="425" spans="1:27">
      <c r="A425">
        <f>COUNTIF($W$22:W425,1)</f>
        <v>0</v>
      </c>
      <c r="B425">
        <v>425</v>
      </c>
      <c r="C425" s="340">
        <f>Tabulka1[[#This Row],[KOD]]</f>
        <v>0</v>
      </c>
      <c r="W425" t="str">
        <f t="shared" si="7"/>
        <v/>
      </c>
      <c r="Y425" s="341">
        <f>IF('General price list'!$AB427="",0,'General price list'!$AB427)</f>
        <v>0</v>
      </c>
      <c r="Z425" s="365" t="str">
        <f>IFERROR(X425*VLOOKUP(C425,'General price list'!C:I,7,FALSE),"")</f>
        <v/>
      </c>
      <c r="AA425" s="365" t="str">
        <f>IF(X425&lt;&gt;"",VLOOKUP(C425,'General price list'!C427:AN1400,MATCH("HM",Tabulka1[[#Headers],[KOD]:[NEQ]],0),FALSE),"")</f>
        <v/>
      </c>
    </row>
    <row r="426" spans="1:27">
      <c r="A426">
        <f>COUNTIF($W$22:W426,1)</f>
        <v>0</v>
      </c>
      <c r="B426">
        <v>426</v>
      </c>
      <c r="C426" s="340" t="str">
        <f>Tabulka1[[#This Row],[KOD]]</f>
        <v>C3620N14</v>
      </c>
      <c r="W426" t="str">
        <f t="shared" si="7"/>
        <v/>
      </c>
      <c r="Y426" s="341">
        <f>IF('General price list'!$AB428="",0,'General price list'!$AB428)</f>
        <v>0</v>
      </c>
      <c r="Z426" s="365">
        <f>IFERROR(X426*VLOOKUP(C426,'General price list'!C:I,7,FALSE),"")</f>
        <v>0</v>
      </c>
      <c r="AA426" s="365" t="str">
        <f>IF(X426&lt;&gt;"",VLOOKUP(C426,'General price list'!C428:AN1401,MATCH("HM",Tabulka1[[#Headers],[KOD]:[NEQ]],0),FALSE),"")</f>
        <v/>
      </c>
    </row>
    <row r="427" spans="1:27">
      <c r="A427">
        <f>COUNTIF($W$22:W427,1)</f>
        <v>0</v>
      </c>
      <c r="B427">
        <v>427</v>
      </c>
      <c r="C427" s="340" t="str">
        <f>Tabulka1[[#This Row],[KOD]]</f>
        <v>C3620NO14</v>
      </c>
      <c r="W427" t="str">
        <f t="shared" si="7"/>
        <v/>
      </c>
      <c r="Y427" s="341">
        <f>IF('General price list'!$AB429="",0,'General price list'!$AB429)</f>
        <v>0</v>
      </c>
      <c r="Z427" s="365">
        <f>IFERROR(X427*VLOOKUP(C427,'General price list'!C:I,7,FALSE),"")</f>
        <v>0</v>
      </c>
      <c r="AA427" s="365" t="str">
        <f>IF(X427&lt;&gt;"",VLOOKUP(C427,'General price list'!C429:AN1402,MATCH("HM",Tabulka1[[#Headers],[KOD]:[NEQ]],0),FALSE),"")</f>
        <v/>
      </c>
    </row>
    <row r="428" spans="1:27">
      <c r="A428">
        <f>COUNTIF($W$22:W428,1)</f>
        <v>0</v>
      </c>
      <c r="B428">
        <v>428</v>
      </c>
      <c r="C428" s="340">
        <f>Tabulka1[[#This Row],[KOD]]</f>
        <v>0</v>
      </c>
      <c r="W428" t="str">
        <f t="shared" si="7"/>
        <v/>
      </c>
      <c r="Y428" s="341">
        <f>IF('General price list'!$AB430="",0,'General price list'!$AB430)</f>
        <v>0</v>
      </c>
      <c r="Z428" s="365" t="str">
        <f>IFERROR(X428*VLOOKUP(C428,'General price list'!C:I,7,FALSE),"")</f>
        <v/>
      </c>
      <c r="AA428" s="365" t="str">
        <f>IF(X428&lt;&gt;"",VLOOKUP(C428,'General price list'!C430:AN1403,MATCH("HM",Tabulka1[[#Headers],[KOD]:[NEQ]],0),FALSE),"")</f>
        <v/>
      </c>
    </row>
    <row r="429" spans="1:27">
      <c r="A429">
        <f>COUNTIF($W$22:W429,1)</f>
        <v>0</v>
      </c>
      <c r="B429">
        <v>429</v>
      </c>
      <c r="C429" s="340" t="str">
        <f>Tabulka1[[#This Row],[KOD]]</f>
        <v>C4920BPF</v>
      </c>
      <c r="W429" t="str">
        <f t="shared" si="7"/>
        <v/>
      </c>
      <c r="Y429" s="341">
        <f>IF('General price list'!$AB431="",0,'General price list'!$AB431)</f>
        <v>0</v>
      </c>
      <c r="Z429" s="365">
        <f>IFERROR(X429*VLOOKUP(C429,'General price list'!C:I,7,FALSE),"")</f>
        <v>0</v>
      </c>
      <c r="AA429" s="365" t="str">
        <f>IF(X429&lt;&gt;"",VLOOKUP(C429,'General price list'!C431:AN1404,MATCH("HM",Tabulka1[[#Headers],[KOD]:[NEQ]],0),FALSE),"")</f>
        <v/>
      </c>
    </row>
    <row r="430" spans="1:27">
      <c r="A430">
        <f>COUNTIF($W$22:W430,1)</f>
        <v>0</v>
      </c>
      <c r="B430">
        <v>430</v>
      </c>
      <c r="C430" s="340" t="str">
        <f>Tabulka1[[#This Row],[KOD]]</f>
        <v>C4920SIG</v>
      </c>
      <c r="W430" t="str">
        <f t="shared" si="7"/>
        <v/>
      </c>
      <c r="Y430" s="341">
        <f>IF('General price list'!$AB432="",0,'General price list'!$AB432)</f>
        <v>0</v>
      </c>
      <c r="Z430" s="365">
        <f>IFERROR(X430*VLOOKUP(C430,'General price list'!C:I,7,FALSE),"")</f>
        <v>0</v>
      </c>
      <c r="AA430" s="365" t="str">
        <f>IF(X430&lt;&gt;"",VLOOKUP(C430,'General price list'!C432:AN1405,MATCH("HM",Tabulka1[[#Headers],[KOD]:[NEQ]],0),FALSE),"")</f>
        <v/>
      </c>
    </row>
    <row r="431" spans="1:27">
      <c r="A431">
        <f>COUNTIF($W$22:W431,1)</f>
        <v>0</v>
      </c>
      <c r="B431">
        <v>431</v>
      </c>
      <c r="C431" s="340" t="str">
        <f>Tabulka1[[#This Row],[KOD]]</f>
        <v>C4920DR</v>
      </c>
      <c r="W431" t="str">
        <f t="shared" si="7"/>
        <v/>
      </c>
      <c r="Y431" s="341">
        <f>IF('General price list'!$AB433="",0,'General price list'!$AB433)</f>
        <v>0</v>
      </c>
      <c r="Z431" s="365">
        <f>IFERROR(X431*VLOOKUP(C431,'General price list'!C:I,7,FALSE),"")</f>
        <v>0</v>
      </c>
      <c r="AA431" s="365" t="str">
        <f>IF(X431&lt;&gt;"",VLOOKUP(C431,'General price list'!C433:AN1406,MATCH("HM",Tabulka1[[#Headers],[KOD]:[NEQ]],0),FALSE),"")</f>
        <v/>
      </c>
    </row>
    <row r="432" spans="1:27">
      <c r="A432">
        <f>COUNTIF($W$22:W432,1)</f>
        <v>0</v>
      </c>
      <c r="B432">
        <v>432</v>
      </c>
      <c r="C432" s="340" t="str">
        <f>Tabulka1[[#This Row],[KOD]]</f>
        <v>C4920K</v>
      </c>
      <c r="W432" t="str">
        <f t="shared" si="7"/>
        <v/>
      </c>
      <c r="Y432" s="341">
        <f>IF('General price list'!$AB434="",0,'General price list'!$AB434)</f>
        <v>0</v>
      </c>
      <c r="Z432" s="365">
        <f>IFERROR(X432*VLOOKUP(C432,'General price list'!C:I,7,FALSE),"")</f>
        <v>0</v>
      </c>
      <c r="AA432" s="365" t="str">
        <f>IF(X432&lt;&gt;"",VLOOKUP(C432,'General price list'!C434:AN1407,MATCH("HM",Tabulka1[[#Headers],[KOD]:[NEQ]],0),FALSE),"")</f>
        <v/>
      </c>
    </row>
    <row r="433" spans="1:27">
      <c r="A433">
        <f>COUNTIF($W$22:W433,1)</f>
        <v>0</v>
      </c>
      <c r="B433">
        <v>433</v>
      </c>
      <c r="C433" s="340" t="str">
        <f>Tabulka1[[#This Row],[KOD]]</f>
        <v>C4920S</v>
      </c>
      <c r="W433" t="str">
        <f t="shared" si="7"/>
        <v/>
      </c>
      <c r="Y433" s="341">
        <f>IF('General price list'!$AB435="",0,'General price list'!$AB435)</f>
        <v>0</v>
      </c>
      <c r="Z433" s="365">
        <f>IFERROR(X433*VLOOKUP(C433,'General price list'!C:I,7,FALSE),"")</f>
        <v>0</v>
      </c>
      <c r="AA433" s="365" t="str">
        <f>IF(X433&lt;&gt;"",VLOOKUP(C433,'General price list'!C435:AN1408,MATCH("HM",Tabulka1[[#Headers],[KOD]:[NEQ]],0),FALSE),"")</f>
        <v/>
      </c>
    </row>
    <row r="434" spans="1:27">
      <c r="A434">
        <f>COUNTIF($W$22:W434,1)</f>
        <v>0</v>
      </c>
      <c r="B434">
        <v>434</v>
      </c>
      <c r="C434" s="340">
        <f>Tabulka1[[#This Row],[KOD]]</f>
        <v>0</v>
      </c>
      <c r="W434" t="str">
        <f t="shared" si="7"/>
        <v/>
      </c>
      <c r="Y434" s="341">
        <f>IF('General price list'!$AB436="",0,'General price list'!$AB436)</f>
        <v>0</v>
      </c>
      <c r="Z434" s="365" t="str">
        <f>IFERROR(X434*VLOOKUP(C434,'General price list'!C:I,7,FALSE),"")</f>
        <v/>
      </c>
      <c r="AA434" s="365" t="str">
        <f>IF(X434&lt;&gt;"",VLOOKUP(C434,'General price list'!C436:AN1409,MATCH("HM",Tabulka1[[#Headers],[KOD]:[NEQ]],0),FALSE),"")</f>
        <v/>
      </c>
    </row>
    <row r="435" spans="1:27">
      <c r="A435">
        <f>COUNTIF($W$22:W435,1)</f>
        <v>0</v>
      </c>
      <c r="B435">
        <v>435</v>
      </c>
      <c r="C435" s="340" t="str">
        <f>Tabulka1[[#This Row],[KOD]]</f>
        <v>C4920DR14</v>
      </c>
      <c r="W435" t="str">
        <f t="shared" si="7"/>
        <v/>
      </c>
      <c r="Y435" s="341">
        <f>IF('General price list'!$AB437="",0,'General price list'!$AB437)</f>
        <v>0</v>
      </c>
      <c r="Z435" s="365">
        <f>IFERROR(X435*VLOOKUP(C435,'General price list'!C:I,7,FALSE),"")</f>
        <v>0</v>
      </c>
      <c r="AA435" s="365" t="str">
        <f>IF(X435&lt;&gt;"",VLOOKUP(C435,'General price list'!C437:AN1410,MATCH("HM",Tabulka1[[#Headers],[KOD]:[NEQ]],0),FALSE),"")</f>
        <v/>
      </c>
    </row>
    <row r="436" spans="1:27">
      <c r="A436">
        <f>COUNTIF($W$22:W436,1)</f>
        <v>0</v>
      </c>
      <c r="B436">
        <v>436</v>
      </c>
      <c r="C436" s="340" t="str">
        <f>Tabulka1[[#This Row],[KOD]]</f>
        <v>C4920S14</v>
      </c>
      <c r="W436" t="str">
        <f t="shared" si="7"/>
        <v/>
      </c>
      <c r="Y436" s="341">
        <f>IF('General price list'!$AB438="",0,'General price list'!$AB438)</f>
        <v>0</v>
      </c>
      <c r="Z436" s="365">
        <f>IFERROR(X436*VLOOKUP(C436,'General price list'!C:I,7,FALSE),"")</f>
        <v>0</v>
      </c>
      <c r="AA436" s="365" t="str">
        <f>IF(X436&lt;&gt;"",VLOOKUP(C436,'General price list'!C438:AN1411,MATCH("HM",Tabulka1[[#Headers],[KOD]:[NEQ]],0),FALSE),"")</f>
        <v/>
      </c>
    </row>
    <row r="437" spans="1:27">
      <c r="A437">
        <f>COUNTIF($W$22:W437,1)</f>
        <v>0</v>
      </c>
      <c r="B437">
        <v>437</v>
      </c>
      <c r="C437" s="340">
        <f>Tabulka1[[#This Row],[KOD]]</f>
        <v>0</v>
      </c>
      <c r="W437" t="str">
        <f t="shared" si="7"/>
        <v/>
      </c>
      <c r="Y437" s="341">
        <f>IF('General price list'!$AB439="",0,'General price list'!$AB439)</f>
        <v>0</v>
      </c>
      <c r="Z437" s="365" t="str">
        <f>IFERROR(X437*VLOOKUP(C437,'General price list'!C:I,7,FALSE),"")</f>
        <v/>
      </c>
      <c r="AA437" s="365" t="str">
        <f>IF(X437&lt;&gt;"",VLOOKUP(C437,'General price list'!C439:AN1412,MATCH("HM",Tabulka1[[#Headers],[KOD]:[NEQ]],0),FALSE),"")</f>
        <v/>
      </c>
    </row>
    <row r="438" spans="1:27">
      <c r="A438">
        <f>COUNTIF($W$22:W438,1)</f>
        <v>0</v>
      </c>
      <c r="B438">
        <v>438</v>
      </c>
      <c r="C438" s="340" t="str">
        <f>Tabulka1[[#This Row],[KOD]]</f>
        <v>CF4920G</v>
      </c>
      <c r="W438" t="str">
        <f t="shared" si="7"/>
        <v/>
      </c>
      <c r="Y438" s="341">
        <f>IF('General price list'!$AB440="",0,'General price list'!$AB440)</f>
        <v>0</v>
      </c>
      <c r="Z438" s="365">
        <f>IFERROR(X438*VLOOKUP(C438,'General price list'!C:I,7,FALSE),"")</f>
        <v>0</v>
      </c>
      <c r="AA438" s="365" t="str">
        <f>IF(X438&lt;&gt;"",VLOOKUP(C438,'General price list'!C440:AN1413,MATCH("HM",Tabulka1[[#Headers],[KOD]:[NEQ]],0),FALSE),"")</f>
        <v/>
      </c>
    </row>
    <row r="439" spans="1:27">
      <c r="A439">
        <f>COUNTIF($W$22:W439,1)</f>
        <v>0</v>
      </c>
      <c r="B439">
        <v>439</v>
      </c>
      <c r="C439" s="340" t="str">
        <f>Tabulka1[[#This Row],[KOD]]</f>
        <v>CF4920J</v>
      </c>
      <c r="W439" t="str">
        <f t="shared" si="7"/>
        <v/>
      </c>
      <c r="Y439" s="341">
        <f>IF('General price list'!$AB441="",0,'General price list'!$AB441)</f>
        <v>0</v>
      </c>
      <c r="Z439" s="365">
        <f>IFERROR(X439*VLOOKUP(C439,'General price list'!C:I,7,FALSE),"")</f>
        <v>0</v>
      </c>
      <c r="AA439" s="365" t="str">
        <f>IF(X439&lt;&gt;"",VLOOKUP(C439,'General price list'!C441:AN1414,MATCH("HM",Tabulka1[[#Headers],[KOD]:[NEQ]],0),FALSE),"")</f>
        <v/>
      </c>
    </row>
    <row r="440" spans="1:27">
      <c r="A440">
        <f>COUNTIF($W$22:W440,1)</f>
        <v>0</v>
      </c>
      <c r="B440">
        <v>440</v>
      </c>
      <c r="C440" s="340" t="str">
        <f>Tabulka1[[#This Row],[KOD]]</f>
        <v>CF4920A</v>
      </c>
      <c r="W440" t="str">
        <f t="shared" si="7"/>
        <v/>
      </c>
      <c r="Y440" s="341">
        <f>IF('General price list'!$AB442="",0,'General price list'!$AB442)</f>
        <v>0</v>
      </c>
      <c r="Z440" s="365">
        <f>IFERROR(X440*VLOOKUP(C440,'General price list'!C:I,7,FALSE),"")</f>
        <v>0</v>
      </c>
      <c r="AA440" s="365" t="str">
        <f>IF(X440&lt;&gt;"",VLOOKUP(C440,'General price list'!C442:AN1415,MATCH("HM",Tabulka1[[#Headers],[KOD]:[NEQ]],0),FALSE),"")</f>
        <v/>
      </c>
    </row>
    <row r="441" spans="1:27">
      <c r="A441">
        <f>COUNTIF($W$22:W441,1)</f>
        <v>0</v>
      </c>
      <c r="B441">
        <v>441</v>
      </c>
      <c r="C441" s="340">
        <f>Tabulka1[[#This Row],[KOD]]</f>
        <v>0</v>
      </c>
      <c r="W441" t="str">
        <f t="shared" si="7"/>
        <v/>
      </c>
      <c r="Y441" s="341">
        <f>IF('General price list'!$AB443="",0,'General price list'!$AB443)</f>
        <v>0</v>
      </c>
      <c r="Z441" s="365" t="str">
        <f>IFERROR(X441*VLOOKUP(C441,'General price list'!C:I,7,FALSE),"")</f>
        <v/>
      </c>
      <c r="AA441" s="365" t="str">
        <f>IF(X441&lt;&gt;"",VLOOKUP(C441,'General price list'!C443:AN1416,MATCH("HM",Tabulka1[[#Headers],[KOD]:[NEQ]],0),FALSE),"")</f>
        <v/>
      </c>
    </row>
    <row r="442" spans="1:27">
      <c r="A442">
        <f>COUNTIF($W$22:W442,1)</f>
        <v>0</v>
      </c>
      <c r="B442">
        <v>442</v>
      </c>
      <c r="C442" s="340" t="str">
        <f>Tabulka1[[#This Row],[KOD]]</f>
        <v>CF4920G14</v>
      </c>
      <c r="W442" t="str">
        <f t="shared" si="7"/>
        <v/>
      </c>
      <c r="Y442" s="341">
        <f>IF('General price list'!$AB444="",0,'General price list'!$AB444)</f>
        <v>0</v>
      </c>
      <c r="Z442" s="365">
        <f>IFERROR(X442*VLOOKUP(C442,'General price list'!C:I,7,FALSE),"")</f>
        <v>0</v>
      </c>
      <c r="AA442" s="365" t="str">
        <f>IF(X442&lt;&gt;"",VLOOKUP(C442,'General price list'!C444:AN1417,MATCH("HM",Tabulka1[[#Headers],[KOD]:[NEQ]],0),FALSE),"")</f>
        <v/>
      </c>
    </row>
    <row r="443" spans="1:27">
      <c r="A443">
        <f>COUNTIF($W$22:W443,1)</f>
        <v>0</v>
      </c>
      <c r="B443">
        <v>443</v>
      </c>
      <c r="C443" s="340">
        <f>Tabulka1[[#This Row],[KOD]]</f>
        <v>0</v>
      </c>
      <c r="W443" t="str">
        <f t="shared" si="7"/>
        <v/>
      </c>
      <c r="Y443" s="341">
        <f>IF('General price list'!$AB445="",0,'General price list'!$AB445)</f>
        <v>0</v>
      </c>
      <c r="Z443" s="365" t="str">
        <f>IFERROR(X443*VLOOKUP(C443,'General price list'!C:I,7,FALSE),"")</f>
        <v/>
      </c>
      <c r="AA443" s="365" t="str">
        <f>IF(X443&lt;&gt;"",VLOOKUP(C443,'General price list'!C445:AN1418,MATCH("HM",Tabulka1[[#Headers],[KOD]:[NEQ]],0),FALSE),"")</f>
        <v/>
      </c>
    </row>
    <row r="444" spans="1:27">
      <c r="A444">
        <f>COUNTIF($W$22:W444,1)</f>
        <v>0</v>
      </c>
      <c r="B444">
        <v>444</v>
      </c>
      <c r="C444" s="340" t="str">
        <f>Tabulka1[[#This Row],[KOD]]</f>
        <v>C6420BPW</v>
      </c>
      <c r="W444" t="str">
        <f t="shared" si="7"/>
        <v/>
      </c>
      <c r="Y444" s="341">
        <f>IF('General price list'!$AB446="",0,'General price list'!$AB446)</f>
        <v>0</v>
      </c>
      <c r="Z444" s="365">
        <f>IFERROR(X444*VLOOKUP(C444,'General price list'!C:I,7,FALSE),"")</f>
        <v>0</v>
      </c>
      <c r="AA444" s="365" t="str">
        <f>IF(X444&lt;&gt;"",VLOOKUP(C444,'General price list'!C446:AN1419,MATCH("HM",Tabulka1[[#Headers],[KOD]:[NEQ]],0),FALSE),"")</f>
        <v/>
      </c>
    </row>
    <row r="445" spans="1:27">
      <c r="A445">
        <f>COUNTIF($W$22:W445,1)</f>
        <v>0</v>
      </c>
      <c r="B445">
        <v>445</v>
      </c>
      <c r="C445" s="340" t="str">
        <f>Tabulka1[[#This Row],[KOD]]</f>
        <v>C6420B</v>
      </c>
      <c r="W445" t="str">
        <f t="shared" si="7"/>
        <v/>
      </c>
      <c r="Y445" s="341">
        <f>IF('General price list'!$AB447="",0,'General price list'!$AB447)</f>
        <v>0</v>
      </c>
      <c r="Z445" s="365">
        <f>IFERROR(X445*VLOOKUP(C445,'General price list'!C:I,7,FALSE),"")</f>
        <v>0</v>
      </c>
      <c r="AA445" s="365" t="str">
        <f>IF(X445&lt;&gt;"",VLOOKUP(C445,'General price list'!C447:AN1420,MATCH("HM",Tabulka1[[#Headers],[KOD]:[NEQ]],0),FALSE),"")</f>
        <v/>
      </c>
    </row>
    <row r="446" spans="1:27">
      <c r="A446">
        <f>COUNTIF($W$22:W446,1)</f>
        <v>0</v>
      </c>
      <c r="B446">
        <v>446</v>
      </c>
      <c r="C446" s="340" t="str">
        <f>Tabulka1[[#This Row],[KOD]]</f>
        <v>C6420G</v>
      </c>
      <c r="W446" t="str">
        <f t="shared" si="7"/>
        <v/>
      </c>
      <c r="Y446" s="341">
        <f>IF('General price list'!$AB448="",0,'General price list'!$AB448)</f>
        <v>0</v>
      </c>
      <c r="Z446" s="365">
        <f>IFERROR(X446*VLOOKUP(C446,'General price list'!C:I,7,FALSE),"")</f>
        <v>0</v>
      </c>
      <c r="AA446" s="365" t="str">
        <f>IF(X446&lt;&gt;"",VLOOKUP(C446,'General price list'!C448:AN1421,MATCH("HM",Tabulka1[[#Headers],[KOD]:[NEQ]],0),FALSE),"")</f>
        <v/>
      </c>
    </row>
    <row r="447" spans="1:27">
      <c r="A447">
        <f>COUNTIF($W$22:W447,1)</f>
        <v>0</v>
      </c>
      <c r="B447">
        <v>447</v>
      </c>
      <c r="C447" s="340" t="str">
        <f>Tabulka1[[#This Row],[KOD]]</f>
        <v>C6420D</v>
      </c>
      <c r="W447" t="str">
        <f t="shared" si="7"/>
        <v/>
      </c>
      <c r="Y447" s="341">
        <f>IF('General price list'!$AB449="",0,'General price list'!$AB449)</f>
        <v>0</v>
      </c>
      <c r="Z447" s="365">
        <f>IFERROR(X447*VLOOKUP(C447,'General price list'!C:I,7,FALSE),"")</f>
        <v>0</v>
      </c>
      <c r="AA447" s="365" t="str">
        <f>IF(X447&lt;&gt;"",VLOOKUP(C447,'General price list'!C449:AN1422,MATCH("HM",Tabulka1[[#Headers],[KOD]:[NEQ]],0),FALSE),"")</f>
        <v/>
      </c>
    </row>
    <row r="448" spans="1:27">
      <c r="A448">
        <f>COUNTIF($W$22:W448,1)</f>
        <v>0</v>
      </c>
      <c r="B448">
        <v>448</v>
      </c>
      <c r="C448" s="340">
        <f>Tabulka1[[#This Row],[KOD]]</f>
        <v>0</v>
      </c>
      <c r="W448" t="str">
        <f t="shared" si="7"/>
        <v/>
      </c>
      <c r="Y448" s="341">
        <f>IF('General price list'!$AB450="",0,'General price list'!$AB450)</f>
        <v>0</v>
      </c>
      <c r="Z448" s="365" t="str">
        <f>IFERROR(X448*VLOOKUP(C448,'General price list'!C:I,7,FALSE),"")</f>
        <v/>
      </c>
      <c r="AA448" s="365" t="str">
        <f>IF(X448&lt;&gt;"",VLOOKUP(C448,'General price list'!C450:AN1423,MATCH("HM",Tabulka1[[#Headers],[KOD]:[NEQ]],0),FALSE),"")</f>
        <v/>
      </c>
    </row>
    <row r="449" spans="1:27">
      <c r="A449">
        <f>COUNTIF($W$22:W449,1)</f>
        <v>0</v>
      </c>
      <c r="B449">
        <v>449</v>
      </c>
      <c r="C449" s="340" t="str">
        <f>Tabulka1[[#This Row],[KOD]]</f>
        <v>C6420D14</v>
      </c>
      <c r="W449" t="str">
        <f t="shared" si="7"/>
        <v/>
      </c>
      <c r="Y449" s="341">
        <f>IF('General price list'!$AB451="",0,'General price list'!$AB451)</f>
        <v>0</v>
      </c>
      <c r="Z449" s="365">
        <f>IFERROR(X449*VLOOKUP(C449,'General price list'!C:I,7,FALSE),"")</f>
        <v>0</v>
      </c>
      <c r="AA449" s="365" t="str">
        <f>IF(X449&lt;&gt;"",VLOOKUP(C449,'General price list'!C451:AN1424,MATCH("HM",Tabulka1[[#Headers],[KOD]:[NEQ]],0),FALSE),"")</f>
        <v/>
      </c>
    </row>
    <row r="450" spans="1:27">
      <c r="A450">
        <f>COUNTIF($W$22:W450,1)</f>
        <v>0</v>
      </c>
      <c r="B450">
        <v>450</v>
      </c>
      <c r="C450" s="340">
        <f>Tabulka1[[#This Row],[KOD]]</f>
        <v>0</v>
      </c>
      <c r="W450" t="str">
        <f t="shared" si="7"/>
        <v/>
      </c>
      <c r="Y450" s="341">
        <f>IF('General price list'!$AB452="",0,'General price list'!$AB452)</f>
        <v>0</v>
      </c>
      <c r="Z450" s="365" t="str">
        <f>IFERROR(X450*VLOOKUP(C450,'General price list'!C:I,7,FALSE),"")</f>
        <v/>
      </c>
      <c r="AA450" s="365" t="str">
        <f>IF(X450&lt;&gt;"",VLOOKUP(C450,'General price list'!C452:AN1425,MATCH("HM",Tabulka1[[#Headers],[KOD]:[NEQ]],0),FALSE),"")</f>
        <v/>
      </c>
    </row>
    <row r="451" spans="1:27">
      <c r="A451">
        <f>COUNTIF($W$22:W451,1)</f>
        <v>0</v>
      </c>
      <c r="B451">
        <v>451</v>
      </c>
      <c r="C451" s="340" t="str">
        <f>Tabulka1[[#This Row],[KOD]]</f>
        <v>C6620P</v>
      </c>
      <c r="W451" t="str">
        <f t="shared" si="7"/>
        <v/>
      </c>
      <c r="Y451" s="341">
        <f>IF('General price list'!$AB453="",0,'General price list'!$AB453)</f>
        <v>0</v>
      </c>
      <c r="Z451" s="365">
        <f>IFERROR(X451*VLOOKUP(C451,'General price list'!C:I,7,FALSE),"")</f>
        <v>0</v>
      </c>
      <c r="AA451" s="365" t="str">
        <f>IF(X451&lt;&gt;"",VLOOKUP(C451,'General price list'!C453:AN1426,MATCH("HM",Tabulka1[[#Headers],[KOD]:[NEQ]],0),FALSE),"")</f>
        <v/>
      </c>
    </row>
    <row r="452" spans="1:27">
      <c r="A452">
        <f>COUNTIF($W$22:W452,1)</f>
        <v>0</v>
      </c>
      <c r="B452">
        <v>452</v>
      </c>
      <c r="C452" s="340" t="str">
        <f>Tabulka1[[#This Row],[KOD]]</f>
        <v>C6620L</v>
      </c>
      <c r="W452" t="str">
        <f t="shared" si="7"/>
        <v/>
      </c>
      <c r="Y452" s="341">
        <f>IF('General price list'!$AB454="",0,'General price list'!$AB454)</f>
        <v>0</v>
      </c>
      <c r="Z452" s="365">
        <f>IFERROR(X452*VLOOKUP(C452,'General price list'!C:I,7,FALSE),"")</f>
        <v>0</v>
      </c>
      <c r="AA452" s="365" t="str">
        <f>IF(X452&lt;&gt;"",VLOOKUP(C452,'General price list'!C454:AN1427,MATCH("HM",Tabulka1[[#Headers],[KOD]:[NEQ]],0),FALSE),"")</f>
        <v/>
      </c>
    </row>
    <row r="453" spans="1:27">
      <c r="A453">
        <f>COUNTIF($W$22:W453,1)</f>
        <v>0</v>
      </c>
      <c r="B453">
        <v>453</v>
      </c>
      <c r="C453" s="340">
        <f>Tabulka1[[#This Row],[KOD]]</f>
        <v>0</v>
      </c>
      <c r="W453" t="str">
        <f t="shared" si="7"/>
        <v/>
      </c>
      <c r="Y453" s="341">
        <f>IF('General price list'!$AB455="",0,'General price list'!$AB455)</f>
        <v>0</v>
      </c>
      <c r="Z453" s="365" t="str">
        <f>IFERROR(X453*VLOOKUP(C453,'General price list'!C:I,7,FALSE),"")</f>
        <v/>
      </c>
      <c r="AA453" s="365" t="str">
        <f>IF(X453&lt;&gt;"",VLOOKUP(C453,'General price list'!C455:AN1428,MATCH("HM",Tabulka1[[#Headers],[KOD]:[NEQ]],0),FALSE),"")</f>
        <v/>
      </c>
    </row>
    <row r="454" spans="1:27">
      <c r="A454">
        <f>COUNTIF($W$22:W454,1)</f>
        <v>0</v>
      </c>
      <c r="B454">
        <v>454</v>
      </c>
      <c r="C454" s="340" t="str">
        <f>Tabulka1[[#This Row],[KOD]]</f>
        <v>C6620P14</v>
      </c>
      <c r="W454" t="str">
        <f t="shared" si="7"/>
        <v/>
      </c>
      <c r="Y454" s="341">
        <f>IF('General price list'!$AB456="",0,'General price list'!$AB456)</f>
        <v>0</v>
      </c>
      <c r="Z454" s="365">
        <f>IFERROR(X454*VLOOKUP(C454,'General price list'!C:I,7,FALSE),"")</f>
        <v>0</v>
      </c>
      <c r="AA454" s="365" t="str">
        <f>IF(X454&lt;&gt;"",VLOOKUP(C454,'General price list'!C456:AN1429,MATCH("HM",Tabulka1[[#Headers],[KOD]:[NEQ]],0),FALSE),"")</f>
        <v/>
      </c>
    </row>
    <row r="455" spans="1:27">
      <c r="A455">
        <f>COUNTIF($W$22:W455,1)</f>
        <v>0</v>
      </c>
      <c r="B455">
        <v>455</v>
      </c>
      <c r="C455" s="340">
        <f>Tabulka1[[#This Row],[KOD]]</f>
        <v>0</v>
      </c>
      <c r="W455" t="str">
        <f t="shared" si="7"/>
        <v/>
      </c>
      <c r="Y455" s="341">
        <f>IF('General price list'!$AB457="",0,'General price list'!$AB457)</f>
        <v>0</v>
      </c>
      <c r="Z455" s="365" t="str">
        <f>IFERROR(X455*VLOOKUP(C455,'General price list'!C:I,7,FALSE),"")</f>
        <v/>
      </c>
      <c r="AA455" s="365" t="str">
        <f>IF(X455&lt;&gt;"",VLOOKUP(C455,'General price list'!C457:AN1430,MATCH("HM",Tabulka1[[#Headers],[KOD]:[NEQ]],0),FALSE),"")</f>
        <v/>
      </c>
    </row>
    <row r="456" spans="1:27">
      <c r="A456">
        <f>COUNTIF($W$22:W456,1)</f>
        <v>0</v>
      </c>
      <c r="B456">
        <v>456</v>
      </c>
      <c r="C456" s="340" t="str">
        <f>Tabulka1[[#This Row],[KOD]]</f>
        <v>C9020SIG</v>
      </c>
      <c r="W456" t="str">
        <f t="shared" si="7"/>
        <v/>
      </c>
      <c r="Y456" s="341">
        <f>IF('General price list'!$AB458="",0,'General price list'!$AB458)</f>
        <v>0</v>
      </c>
      <c r="Z456" s="365">
        <f>IFERROR(X456*VLOOKUP(C456,'General price list'!C:I,7,FALSE),"")</f>
        <v>0</v>
      </c>
      <c r="AA456" s="365" t="str">
        <f>IF(X456&lt;&gt;"",VLOOKUP(C456,'General price list'!C458:AN1431,MATCH("HM",Tabulka1[[#Headers],[KOD]:[NEQ]],0),FALSE),"")</f>
        <v/>
      </c>
    </row>
    <row r="457" spans="1:27">
      <c r="A457">
        <f>COUNTIF($W$22:W457,1)</f>
        <v>0</v>
      </c>
      <c r="B457">
        <v>457</v>
      </c>
      <c r="C457" s="340" t="str">
        <f>Tabulka1[[#This Row],[KOD]]</f>
        <v>C9020V</v>
      </c>
      <c r="W457" t="str">
        <f t="shared" si="7"/>
        <v/>
      </c>
      <c r="Y457" s="341">
        <f>IF('General price list'!$AB459="",0,'General price list'!$AB459)</f>
        <v>0</v>
      </c>
      <c r="Z457" s="365">
        <f>IFERROR(X457*VLOOKUP(C457,'General price list'!C:I,7,FALSE),"")</f>
        <v>0</v>
      </c>
      <c r="AA457" s="365" t="str">
        <f>IF(X457&lt;&gt;"",VLOOKUP(C457,'General price list'!C459:AN1432,MATCH("HM",Tabulka1[[#Headers],[KOD]:[NEQ]],0),FALSE),"")</f>
        <v/>
      </c>
    </row>
    <row r="458" spans="1:27">
      <c r="A458">
        <f>COUNTIF($W$22:W458,1)</f>
        <v>0</v>
      </c>
      <c r="B458">
        <v>458</v>
      </c>
      <c r="C458" s="340" t="str">
        <f>Tabulka1[[#This Row],[KOD]]</f>
        <v>C9020X</v>
      </c>
      <c r="W458" t="str">
        <f t="shared" si="7"/>
        <v/>
      </c>
      <c r="Y458" s="341">
        <f>IF('General price list'!$AB460="",0,'General price list'!$AB460)</f>
        <v>0</v>
      </c>
      <c r="Z458" s="365">
        <f>IFERROR(X458*VLOOKUP(C458,'General price list'!C:I,7,FALSE),"")</f>
        <v>0</v>
      </c>
      <c r="AA458" s="365" t="str">
        <f>IF(X458&lt;&gt;"",VLOOKUP(C458,'General price list'!C460:AN1433,MATCH("HM",Tabulka1[[#Headers],[KOD]:[NEQ]],0),FALSE),"")</f>
        <v/>
      </c>
    </row>
    <row r="459" spans="1:27">
      <c r="A459">
        <f>COUNTIF($W$22:W459,1)</f>
        <v>0</v>
      </c>
      <c r="B459">
        <v>459</v>
      </c>
      <c r="C459" s="340">
        <f>Tabulka1[[#This Row],[KOD]]</f>
        <v>0</v>
      </c>
      <c r="W459" t="str">
        <f t="shared" si="7"/>
        <v/>
      </c>
      <c r="Y459" s="341">
        <f>IF('General price list'!$AB461="",0,'General price list'!$AB461)</f>
        <v>0</v>
      </c>
      <c r="Z459" s="365" t="str">
        <f>IFERROR(X459*VLOOKUP(C459,'General price list'!C:I,7,FALSE),"")</f>
        <v/>
      </c>
      <c r="AA459" s="365" t="str">
        <f>IF(X459&lt;&gt;"",VLOOKUP(C459,'General price list'!C461:AN1434,MATCH("HM",Tabulka1[[#Headers],[KOD]:[NEQ]],0),FALSE),"")</f>
        <v/>
      </c>
    </row>
    <row r="460" spans="1:27">
      <c r="A460">
        <f>COUNTIF($W$22:W460,1)</f>
        <v>0</v>
      </c>
      <c r="B460">
        <v>460</v>
      </c>
      <c r="C460" s="340" t="str">
        <f>Tabulka1[[#This Row],[KOD]]</f>
        <v>C10020BP14</v>
      </c>
      <c r="W460" t="str">
        <f t="shared" si="7"/>
        <v/>
      </c>
      <c r="Y460" s="341">
        <f>IF('General price list'!$AB462="",0,'General price list'!$AB462)</f>
        <v>0</v>
      </c>
      <c r="Z460" s="365">
        <f>IFERROR(X460*VLOOKUP(C460,'General price list'!C:I,7,FALSE),"")</f>
        <v>0</v>
      </c>
      <c r="AA460" s="365" t="str">
        <f>IF(X460&lt;&gt;"",VLOOKUP(C460,'General price list'!C462:AN1435,MATCH("HM",Tabulka1[[#Headers],[KOD]:[NEQ]],0),FALSE),"")</f>
        <v/>
      </c>
    </row>
    <row r="461" spans="1:27">
      <c r="A461">
        <f>COUNTIF($W$22:W461,1)</f>
        <v>0</v>
      </c>
      <c r="B461">
        <v>461</v>
      </c>
      <c r="C461" s="340" t="str">
        <f>Tabulka1[[#This Row],[KOD]]</f>
        <v>C10020BPS14</v>
      </c>
      <c r="W461" t="str">
        <f t="shared" si="7"/>
        <v/>
      </c>
      <c r="Y461" s="341">
        <f>IF('General price list'!$AB463="",0,'General price list'!$AB463)</f>
        <v>0</v>
      </c>
      <c r="Z461" s="365">
        <f>IFERROR(X461*VLOOKUP(C461,'General price list'!C:I,7,FALSE),"")</f>
        <v>0</v>
      </c>
      <c r="AA461" s="365" t="str">
        <f>IF(X461&lt;&gt;"",VLOOKUP(C461,'General price list'!C463:AN1436,MATCH("HM",Tabulka1[[#Headers],[KOD]:[NEQ]],0),FALSE),"")</f>
        <v/>
      </c>
    </row>
    <row r="462" spans="1:27">
      <c r="A462">
        <f>COUNTIF($W$22:W462,1)</f>
        <v>0</v>
      </c>
      <c r="B462">
        <v>462</v>
      </c>
      <c r="C462" s="340" t="str">
        <f>Tabulka1[[#This Row],[KOD]]</f>
        <v>C10020NID14</v>
      </c>
      <c r="W462" t="str">
        <f t="shared" si="7"/>
        <v/>
      </c>
      <c r="Y462" s="341">
        <f>IF('General price list'!$AB464="",0,'General price list'!$AB464)</f>
        <v>0</v>
      </c>
      <c r="Z462" s="365">
        <f>IFERROR(X462*VLOOKUP(C462,'General price list'!C:I,7,FALSE),"")</f>
        <v>0</v>
      </c>
      <c r="AA462" s="365" t="str">
        <f>IF(X462&lt;&gt;"",VLOOKUP(C462,'General price list'!C464:AN1437,MATCH("HM",Tabulka1[[#Headers],[KOD]:[NEQ]],0),FALSE),"")</f>
        <v/>
      </c>
    </row>
    <row r="463" spans="1:27">
      <c r="A463">
        <f>COUNTIF($W$22:W463,1)</f>
        <v>0</v>
      </c>
      <c r="B463">
        <v>463</v>
      </c>
      <c r="C463" s="340">
        <f>Tabulka1[[#This Row],[KOD]]</f>
        <v>0</v>
      </c>
      <c r="W463" t="str">
        <f t="shared" si="7"/>
        <v/>
      </c>
      <c r="Y463" s="341">
        <f>IF('General price list'!$AB465="",0,'General price list'!$AB465)</f>
        <v>0</v>
      </c>
      <c r="Z463" s="365" t="str">
        <f>IFERROR(X463*VLOOKUP(C463,'General price list'!C:I,7,FALSE),"")</f>
        <v/>
      </c>
      <c r="AA463" s="365" t="str">
        <f>IF(X463&lt;&gt;"",VLOOKUP(C463,'General price list'!C465:AN1438,MATCH("HM",Tabulka1[[#Headers],[KOD]:[NEQ]],0),FALSE),"")</f>
        <v/>
      </c>
    </row>
    <row r="464" spans="1:27">
      <c r="A464">
        <f>COUNTIF($W$22:W464,1)</f>
        <v>0</v>
      </c>
      <c r="B464">
        <v>464</v>
      </c>
      <c r="C464" s="340" t="str">
        <f>Tabulka1[[#This Row],[KOD]]</f>
        <v>C10020XBPW14</v>
      </c>
      <c r="W464" t="str">
        <f t="shared" si="7"/>
        <v/>
      </c>
      <c r="Y464" s="341">
        <f>IF('General price list'!$AB466="",0,'General price list'!$AB466)</f>
        <v>0</v>
      </c>
      <c r="Z464" s="365">
        <f>IFERROR(X464*VLOOKUP(C464,'General price list'!C:I,7,FALSE),"")</f>
        <v>0</v>
      </c>
      <c r="AA464" s="365" t="str">
        <f>IF(X464&lt;&gt;"",VLOOKUP(C464,'General price list'!C466:AN1439,MATCH("HM",Tabulka1[[#Headers],[KOD]:[NEQ]],0),FALSE),"")</f>
        <v/>
      </c>
    </row>
    <row r="465" spans="1:27">
      <c r="A465">
        <f>COUNTIF($W$22:W465,1)</f>
        <v>0</v>
      </c>
      <c r="B465">
        <v>465</v>
      </c>
      <c r="C465" s="340" t="str">
        <f>Tabulka1[[#This Row],[KOD]]</f>
        <v>C10020XBP14</v>
      </c>
      <c r="W465" t="str">
        <f t="shared" si="7"/>
        <v/>
      </c>
      <c r="Y465" s="341">
        <f>IF('General price list'!$AB467="",0,'General price list'!$AB467)</f>
        <v>0</v>
      </c>
      <c r="Z465" s="365">
        <f>IFERROR(X465*VLOOKUP(C465,'General price list'!C:I,7,FALSE),"")</f>
        <v>0</v>
      </c>
      <c r="AA465" s="365" t="str">
        <f>IF(X465&lt;&gt;"",VLOOKUP(C465,'General price list'!C467:AN1440,MATCH("HM",Tabulka1[[#Headers],[KOD]:[NEQ]],0),FALSE),"")</f>
        <v/>
      </c>
    </row>
    <row r="466" spans="1:27">
      <c r="A466">
        <f>COUNTIF($W$22:W466,1)</f>
        <v>0</v>
      </c>
      <c r="B466">
        <v>466</v>
      </c>
      <c r="C466" s="340" t="str">
        <f>Tabulka1[[#This Row],[KOD]]</f>
        <v>C10020XTS14</v>
      </c>
      <c r="W466" t="str">
        <f t="shared" si="7"/>
        <v/>
      </c>
      <c r="Y466" s="341">
        <f>IF('General price list'!$AB468="",0,'General price list'!$AB468)</f>
        <v>0</v>
      </c>
      <c r="Z466" s="365">
        <f>IFERROR(X466*VLOOKUP(C466,'General price list'!C:I,7,FALSE),"")</f>
        <v>0</v>
      </c>
      <c r="AA466" s="365" t="str">
        <f>IF(X466&lt;&gt;"",VLOOKUP(C466,'General price list'!C468:AN1441,MATCH("HM",Tabulka1[[#Headers],[KOD]:[NEQ]],0),FALSE),"")</f>
        <v/>
      </c>
    </row>
    <row r="467" spans="1:27">
      <c r="A467">
        <f>COUNTIF($W$22:W467,1)</f>
        <v>0</v>
      </c>
      <c r="B467">
        <v>467</v>
      </c>
      <c r="C467" s="340" t="str">
        <f>Tabulka1[[#This Row],[KOD]]</f>
        <v>C10020XPR14</v>
      </c>
      <c r="W467" t="str">
        <f t="shared" si="7"/>
        <v/>
      </c>
      <c r="Y467" s="341">
        <f>IF('General price list'!$AB469="",0,'General price list'!$AB469)</f>
        <v>0</v>
      </c>
      <c r="Z467" s="365">
        <f>IFERROR(X467*VLOOKUP(C467,'General price list'!C:I,7,FALSE),"")</f>
        <v>0</v>
      </c>
      <c r="AA467" s="365" t="str">
        <f>IF(X467&lt;&gt;"",VLOOKUP(C467,'General price list'!C469:AN1442,MATCH("HM",Tabulka1[[#Headers],[KOD]:[NEQ]],0),FALSE),"")</f>
        <v/>
      </c>
    </row>
    <row r="468" spans="1:27">
      <c r="A468">
        <f>COUNTIF($W$22:W468,1)</f>
        <v>0</v>
      </c>
      <c r="B468">
        <v>468</v>
      </c>
      <c r="C468" s="340">
        <f>Tabulka1[[#This Row],[KOD]]</f>
        <v>0</v>
      </c>
      <c r="W468" t="str">
        <f t="shared" si="7"/>
        <v/>
      </c>
      <c r="Y468" s="341">
        <f>IF('General price list'!$AB470="",0,'General price list'!$AB470)</f>
        <v>0</v>
      </c>
      <c r="Z468" s="365" t="str">
        <f>IFERROR(X468*VLOOKUP(C468,'General price list'!C:I,7,FALSE),"")</f>
        <v/>
      </c>
      <c r="AA468" s="365" t="str">
        <f>IF(X468&lt;&gt;"",VLOOKUP(C468,'General price list'!C470:AN1443,MATCH("HM",Tabulka1[[#Headers],[KOD]:[NEQ]],0),FALSE),"")</f>
        <v/>
      </c>
    </row>
    <row r="469" spans="1:27">
      <c r="A469">
        <f>COUNTIF($W$22:W469,1)</f>
        <v>0</v>
      </c>
      <c r="B469">
        <v>469</v>
      </c>
      <c r="C469" s="340" t="str">
        <f>Tabulka1[[#This Row],[KOD]]</f>
        <v>CF10020P</v>
      </c>
      <c r="W469" t="str">
        <f t="shared" si="7"/>
        <v/>
      </c>
      <c r="Y469" s="341">
        <f>IF('General price list'!$AB471="",0,'General price list'!$AB471)</f>
        <v>0</v>
      </c>
      <c r="Z469" s="365">
        <f>IFERROR(X469*VLOOKUP(C469,'General price list'!C:I,7,FALSE),"")</f>
        <v>0</v>
      </c>
      <c r="AA469" s="365" t="str">
        <f>IF(X469&lt;&gt;"",VLOOKUP(C469,'General price list'!C471:AN1444,MATCH("HM",Tabulka1[[#Headers],[KOD]:[NEQ]],0),FALSE),"")</f>
        <v/>
      </c>
    </row>
    <row r="470" spans="1:27">
      <c r="A470">
        <f>COUNTIF($W$22:W470,1)</f>
        <v>0</v>
      </c>
      <c r="B470">
        <v>470</v>
      </c>
      <c r="C470" s="340">
        <f>Tabulka1[[#This Row],[KOD]]</f>
        <v>0</v>
      </c>
      <c r="W470" t="str">
        <f t="shared" si="7"/>
        <v/>
      </c>
      <c r="Y470" s="341">
        <f>IF('General price list'!$AB472="",0,'General price list'!$AB472)</f>
        <v>0</v>
      </c>
      <c r="Z470" s="365" t="str">
        <f>IFERROR(X470*VLOOKUP(C470,'General price list'!C:I,7,FALSE),"")</f>
        <v/>
      </c>
      <c r="AA470" s="365" t="str">
        <f>IF(X470&lt;&gt;"",VLOOKUP(C470,'General price list'!C472:AN1445,MATCH("HM",Tabulka1[[#Headers],[KOD]:[NEQ]],0),FALSE),"")</f>
        <v/>
      </c>
    </row>
    <row r="471" spans="1:27">
      <c r="A471">
        <f>COUNTIF($W$22:W471,1)</f>
        <v>0</v>
      </c>
      <c r="B471">
        <v>471</v>
      </c>
      <c r="C471" s="340" t="str">
        <f>Tabulka1[[#This Row],[KOD]]</f>
        <v>C13020BP</v>
      </c>
      <c r="W471" t="str">
        <f t="shared" si="7"/>
        <v/>
      </c>
      <c r="Y471" s="341">
        <f>IF('General price list'!$AB473="",0,'General price list'!$AB473)</f>
        <v>0</v>
      </c>
      <c r="Z471" s="365">
        <f>IFERROR(X471*VLOOKUP(C471,'General price list'!C:I,7,FALSE),"")</f>
        <v>0</v>
      </c>
      <c r="AA471" s="365" t="str">
        <f>IF(X471&lt;&gt;"",VLOOKUP(C471,'General price list'!C473:AN1446,MATCH("HM",Tabulka1[[#Headers],[KOD]:[NEQ]],0),FALSE),"")</f>
        <v/>
      </c>
    </row>
    <row r="472" spans="1:27">
      <c r="A472">
        <f>COUNTIF($W$22:W472,1)</f>
        <v>0</v>
      </c>
      <c r="B472">
        <v>472</v>
      </c>
      <c r="C472" s="340" t="str">
        <f>Tabulka1[[#This Row],[KOD]]</f>
        <v>C13020M</v>
      </c>
      <c r="W472" t="str">
        <f t="shared" ref="W472:W535" si="8">IF(Y472+1=1,"",1)</f>
        <v/>
      </c>
      <c r="Y472" s="341">
        <f>IF('General price list'!$AB474="",0,'General price list'!$AB474)</f>
        <v>0</v>
      </c>
      <c r="Z472" s="365">
        <f>IFERROR(X472*VLOOKUP(C472,'General price list'!C:I,7,FALSE),"")</f>
        <v>0</v>
      </c>
      <c r="AA472" s="365" t="str">
        <f>IF(X472&lt;&gt;"",VLOOKUP(C472,'General price list'!C474:AN1447,MATCH("HM",Tabulka1[[#Headers],[KOD]:[NEQ]],0),FALSE),"")</f>
        <v/>
      </c>
    </row>
    <row r="473" spans="1:27">
      <c r="A473">
        <f>COUNTIF($W$22:W473,1)</f>
        <v>0</v>
      </c>
      <c r="B473">
        <v>473</v>
      </c>
      <c r="C473" s="340" t="str">
        <f>Tabulka1[[#This Row],[KOD]]</f>
        <v>C13020B</v>
      </c>
      <c r="W473" t="str">
        <f t="shared" si="8"/>
        <v/>
      </c>
      <c r="Y473" s="341">
        <f>IF('General price list'!$AB475="",0,'General price list'!$AB475)</f>
        <v>0</v>
      </c>
      <c r="Z473" s="365">
        <f>IFERROR(X473*VLOOKUP(C473,'General price list'!C:I,7,FALSE),"")</f>
        <v>0</v>
      </c>
      <c r="AA473" s="365" t="str">
        <f>IF(X473&lt;&gt;"",VLOOKUP(C473,'General price list'!C475:AN1448,MATCH("HM",Tabulka1[[#Headers],[KOD]:[NEQ]],0),FALSE),"")</f>
        <v/>
      </c>
    </row>
    <row r="474" spans="1:27">
      <c r="A474">
        <f>COUNTIF($W$22:W474,1)</f>
        <v>0</v>
      </c>
      <c r="B474">
        <v>474</v>
      </c>
      <c r="C474" s="340">
        <f>Tabulka1[[#This Row],[KOD]]</f>
        <v>0</v>
      </c>
      <c r="W474" t="str">
        <f t="shared" si="8"/>
        <v/>
      </c>
      <c r="Y474" s="341">
        <f>IF('General price list'!$AB476="",0,'General price list'!$AB476)</f>
        <v>0</v>
      </c>
      <c r="Z474" s="365" t="str">
        <f>IFERROR(X474*VLOOKUP(C474,'General price list'!C:I,7,FALSE),"")</f>
        <v/>
      </c>
      <c r="AA474" s="365" t="str">
        <f>IF(X474&lt;&gt;"",VLOOKUP(C474,'General price list'!C476:AN1449,MATCH("HM",Tabulka1[[#Headers],[KOD]:[NEQ]],0),FALSE),"")</f>
        <v/>
      </c>
    </row>
    <row r="475" spans="1:27">
      <c r="A475">
        <f>COUNTIF($W$22:W475,1)</f>
        <v>0</v>
      </c>
      <c r="B475">
        <v>475</v>
      </c>
      <c r="C475" s="340" t="str">
        <f>Tabulka1[[#This Row],[KOD]]</f>
        <v>C13420H</v>
      </c>
      <c r="W475" t="str">
        <f t="shared" si="8"/>
        <v/>
      </c>
      <c r="Y475" s="341">
        <f>IF('General price list'!$AB477="",0,'General price list'!$AB477)</f>
        <v>0</v>
      </c>
      <c r="Z475" s="365">
        <f>IFERROR(X475*VLOOKUP(C475,'General price list'!C:I,7,FALSE),"")</f>
        <v>0</v>
      </c>
      <c r="AA475" s="365" t="str">
        <f>IF(X475&lt;&gt;"",VLOOKUP(C475,'General price list'!C477:AN1450,MATCH("HM",Tabulka1[[#Headers],[KOD]:[NEQ]],0),FALSE),"")</f>
        <v/>
      </c>
    </row>
    <row r="476" spans="1:27">
      <c r="A476">
        <f>COUNTIF($W$22:W476,1)</f>
        <v>0</v>
      </c>
      <c r="B476">
        <v>476</v>
      </c>
      <c r="C476" s="340">
        <f>Tabulka1[[#This Row],[KOD]]</f>
        <v>0</v>
      </c>
      <c r="W476" t="str">
        <f t="shared" si="8"/>
        <v/>
      </c>
      <c r="Y476" s="341">
        <f>IF('General price list'!$AB478="",0,'General price list'!$AB478)</f>
        <v>0</v>
      </c>
      <c r="Z476" s="365" t="str">
        <f>IFERROR(X476*VLOOKUP(C476,'General price list'!C:I,7,FALSE),"")</f>
        <v/>
      </c>
      <c r="AA476" s="365" t="str">
        <f>IF(X476&lt;&gt;"",VLOOKUP(C476,'General price list'!C478:AN1451,MATCH("HM",Tabulka1[[#Headers],[KOD]:[NEQ]],0),FALSE),"")</f>
        <v/>
      </c>
    </row>
    <row r="477" spans="1:27">
      <c r="A477">
        <f>COUNTIF($W$22:W477,1)</f>
        <v>0</v>
      </c>
      <c r="B477">
        <v>477</v>
      </c>
      <c r="C477" s="340" t="str">
        <f>Tabulka1[[#This Row],[KOD]]</f>
        <v>C20020BPS</v>
      </c>
      <c r="W477" t="str">
        <f t="shared" si="8"/>
        <v/>
      </c>
      <c r="Y477" s="341">
        <f>IF('General price list'!$AB479="",0,'General price list'!$AB479)</f>
        <v>0</v>
      </c>
      <c r="Z477" s="365">
        <f>IFERROR(X477*VLOOKUP(C477,'General price list'!C:I,7,FALSE),"")</f>
        <v>0</v>
      </c>
      <c r="AA477" s="365" t="str">
        <f>IF(X477&lt;&gt;"",VLOOKUP(C477,'General price list'!C479:AN1452,MATCH("HM",Tabulka1[[#Headers],[KOD]:[NEQ]],0),FALSE),"")</f>
        <v/>
      </c>
    </row>
    <row r="478" spans="1:27">
      <c r="A478">
        <f>COUNTIF($W$22:W478,1)</f>
        <v>0</v>
      </c>
      <c r="B478">
        <v>478</v>
      </c>
      <c r="C478" s="340" t="str">
        <f>Tabulka1[[#This Row],[KOD]]</f>
        <v>C20020PR</v>
      </c>
      <c r="W478" t="str">
        <f t="shared" si="8"/>
        <v/>
      </c>
      <c r="Y478" s="341">
        <f>IF('General price list'!$AB480="",0,'General price list'!$AB480)</f>
        <v>0</v>
      </c>
      <c r="Z478" s="365">
        <f>IFERROR(X478*VLOOKUP(C478,'General price list'!C:I,7,FALSE),"")</f>
        <v>0</v>
      </c>
      <c r="AA478" s="365" t="str">
        <f>IF(X478&lt;&gt;"",VLOOKUP(C478,'General price list'!C480:AN1453,MATCH("HM",Tabulka1[[#Headers],[KOD]:[NEQ]],0),FALSE),"")</f>
        <v/>
      </c>
    </row>
    <row r="479" spans="1:27">
      <c r="A479">
        <f>COUNTIF($W$22:W479,1)</f>
        <v>0</v>
      </c>
      <c r="B479">
        <v>479</v>
      </c>
      <c r="C479" s="340">
        <f>Tabulka1[[#This Row],[KOD]]</f>
        <v>0</v>
      </c>
      <c r="W479" t="str">
        <f t="shared" si="8"/>
        <v/>
      </c>
      <c r="Y479" s="341">
        <f>IF('General price list'!$AB481="",0,'General price list'!$AB481)</f>
        <v>0</v>
      </c>
      <c r="Z479" s="365" t="str">
        <f>IFERROR(X479*VLOOKUP(C479,'General price list'!C:I,7,FALSE),"")</f>
        <v/>
      </c>
      <c r="AA479" s="365" t="str">
        <f>IF(X479&lt;&gt;"",VLOOKUP(C479,'General price list'!C481:AN1454,MATCH("HM",Tabulka1[[#Headers],[KOD]:[NEQ]],0),FALSE),"")</f>
        <v/>
      </c>
    </row>
    <row r="480" spans="1:27">
      <c r="A480">
        <f>COUNTIF($W$22:W480,1)</f>
        <v>0</v>
      </c>
      <c r="B480">
        <v>480</v>
      </c>
      <c r="C480" s="340" t="str">
        <f>Tabulka1[[#This Row],[KOD]]</f>
        <v>C20020XBP</v>
      </c>
      <c r="W480" t="str">
        <f t="shared" si="8"/>
        <v/>
      </c>
      <c r="Y480" s="341">
        <f>IF('General price list'!$AB482="",0,'General price list'!$AB482)</f>
        <v>0</v>
      </c>
      <c r="Z480" s="365">
        <f>IFERROR(X480*VLOOKUP(C480,'General price list'!C:I,7,FALSE),"")</f>
        <v>0</v>
      </c>
      <c r="AA480" s="365" t="str">
        <f>IF(X480&lt;&gt;"",VLOOKUP(C480,'General price list'!C482:AN1455,MATCH("HM",Tabulka1[[#Headers],[KOD]:[NEQ]],0),FALSE),"")</f>
        <v/>
      </c>
    </row>
    <row r="481" spans="1:27">
      <c r="A481">
        <f>COUNTIF($W$22:W481,1)</f>
        <v>0</v>
      </c>
      <c r="B481">
        <v>481</v>
      </c>
      <c r="C481" s="340" t="str">
        <f>Tabulka1[[#This Row],[KOD]]</f>
        <v>C20020XPR</v>
      </c>
      <c r="W481" t="str">
        <f t="shared" si="8"/>
        <v/>
      </c>
      <c r="Y481" s="341">
        <f>IF('General price list'!$AB483="",0,'General price list'!$AB483)</f>
        <v>0</v>
      </c>
      <c r="Z481" s="365">
        <f>IFERROR(X481*VLOOKUP(C481,'General price list'!C:I,7,FALSE),"")</f>
        <v>0</v>
      </c>
      <c r="AA481" s="365" t="str">
        <f>IF(X481&lt;&gt;"",VLOOKUP(C481,'General price list'!C483:AN1456,MATCH("HM",Tabulka1[[#Headers],[KOD]:[NEQ]],0),FALSE),"")</f>
        <v/>
      </c>
    </row>
    <row r="482" spans="1:27">
      <c r="A482">
        <f>COUNTIF($W$22:W482,1)</f>
        <v>0</v>
      </c>
      <c r="B482">
        <v>482</v>
      </c>
      <c r="C482" s="340">
        <f>Tabulka1[[#This Row],[KOD]]</f>
        <v>0</v>
      </c>
      <c r="W482" t="str">
        <f t="shared" si="8"/>
        <v/>
      </c>
      <c r="Y482" s="341">
        <f>IF('General price list'!$AB484="",0,'General price list'!$AB484)</f>
        <v>0</v>
      </c>
      <c r="Z482" s="365" t="str">
        <f>IFERROR(X482*VLOOKUP(C482,'General price list'!C:I,7,FALSE),"")</f>
        <v/>
      </c>
      <c r="AA482" s="365" t="str">
        <f>IF(X482&lt;&gt;"",VLOOKUP(C482,'General price list'!C484:AN1457,MATCH("HM",Tabulka1[[#Headers],[KOD]:[NEQ]],0),FALSE),"")</f>
        <v/>
      </c>
    </row>
    <row r="483" spans="1:27">
      <c r="A483">
        <f>COUNTIF($W$22:W483,1)</f>
        <v>0</v>
      </c>
      <c r="B483">
        <v>483</v>
      </c>
      <c r="C483" s="340" t="str">
        <f>Tabulka1[[#This Row],[KOD]]</f>
        <v>C12820F/C14</v>
      </c>
      <c r="W483" t="str">
        <f t="shared" si="8"/>
        <v/>
      </c>
      <c r="Y483" s="341">
        <f>IF('General price list'!$AB485="",0,'General price list'!$AB485)</f>
        <v>0</v>
      </c>
      <c r="Z483" s="365">
        <f>IFERROR(X483*VLOOKUP(C483,'General price list'!C:I,7,FALSE),"")</f>
        <v>0</v>
      </c>
      <c r="AA483" s="365" t="str">
        <f>IF(X483&lt;&gt;"",VLOOKUP(C483,'General price list'!C485:AN1458,MATCH("HM",Tabulka1[[#Headers],[KOD]:[NEQ]],0),FALSE),"")</f>
        <v/>
      </c>
    </row>
    <row r="484" spans="1:27">
      <c r="A484">
        <f>COUNTIF($W$22:W484,1)</f>
        <v>0</v>
      </c>
      <c r="B484">
        <v>484</v>
      </c>
      <c r="C484" s="340" t="str">
        <f>Tabulka1[[#This Row],[KOD]]</f>
        <v>C13220B/C14</v>
      </c>
      <c r="W484" t="str">
        <f t="shared" si="8"/>
        <v/>
      </c>
      <c r="Y484" s="341">
        <f>IF('General price list'!$AB486="",0,'General price list'!$AB486)</f>
        <v>0</v>
      </c>
      <c r="Z484" s="365">
        <f>IFERROR(X484*VLOOKUP(C484,'General price list'!C:I,7,FALSE),"")</f>
        <v>0</v>
      </c>
      <c r="AA484" s="365" t="str">
        <f>IF(X484&lt;&gt;"",VLOOKUP(C484,'General price list'!C486:AN1459,MATCH("HM",Tabulka1[[#Headers],[KOD]:[NEQ]],0),FALSE),"")</f>
        <v/>
      </c>
    </row>
    <row r="485" spans="1:27">
      <c r="A485">
        <f>COUNTIF($W$22:W485,1)</f>
        <v>0</v>
      </c>
      <c r="B485">
        <v>485</v>
      </c>
      <c r="C485" s="340" t="str">
        <f>Tabulka1[[#This Row],[KOD]]</f>
        <v>C13220TS/C14</v>
      </c>
      <c r="W485" t="str">
        <f t="shared" si="8"/>
        <v/>
      </c>
      <c r="Y485" s="341">
        <f>IF('General price list'!$AB487="",0,'General price list'!$AB487)</f>
        <v>0</v>
      </c>
      <c r="Z485" s="365">
        <f>IFERROR(X485*VLOOKUP(C485,'General price list'!C:I,7,FALSE),"")</f>
        <v>0</v>
      </c>
      <c r="AA485" s="365" t="str">
        <f>IF(X485&lt;&gt;"",VLOOKUP(C485,'General price list'!C487:AN1460,MATCH("HM",Tabulka1[[#Headers],[KOD]:[NEQ]],0),FALSE),"")</f>
        <v/>
      </c>
    </row>
    <row r="486" spans="1:27">
      <c r="A486">
        <f>COUNTIF($W$22:W486,1)</f>
        <v>0</v>
      </c>
      <c r="B486">
        <v>486</v>
      </c>
      <c r="C486" s="340" t="str">
        <f>Tabulka1[[#This Row],[KOD]]</f>
        <v>C18820XR/C14</v>
      </c>
      <c r="W486" t="str">
        <f t="shared" si="8"/>
        <v/>
      </c>
      <c r="Y486" s="341">
        <f>IF('General price list'!$AB488="",0,'General price list'!$AB488)</f>
        <v>0</v>
      </c>
      <c r="Z486" s="365">
        <f>IFERROR(X486*VLOOKUP(C486,'General price list'!C:I,7,FALSE),"")</f>
        <v>0</v>
      </c>
      <c r="AA486" s="365" t="str">
        <f>IF(X486&lt;&gt;"",VLOOKUP(C486,'General price list'!C488:AN1461,MATCH("HM",Tabulka1[[#Headers],[KOD]:[NEQ]],0),FALSE),"")</f>
        <v/>
      </c>
    </row>
    <row r="487" spans="1:27">
      <c r="A487">
        <f>COUNTIF($W$22:W487,1)</f>
        <v>0</v>
      </c>
      <c r="B487">
        <v>487</v>
      </c>
      <c r="C487" s="340" t="str">
        <f>Tabulka1[[#This Row],[KOD]]</f>
        <v>C20020N/C14</v>
      </c>
      <c r="W487" t="str">
        <f t="shared" si="8"/>
        <v/>
      </c>
      <c r="Y487" s="341">
        <f>IF('General price list'!$AB489="",0,'General price list'!$AB489)</f>
        <v>0</v>
      </c>
      <c r="Z487" s="365">
        <f>IFERROR(X487*VLOOKUP(C487,'General price list'!C:I,7,FALSE),"")</f>
        <v>0</v>
      </c>
      <c r="AA487" s="365" t="str">
        <f>IF(X487&lt;&gt;"",VLOOKUP(C487,'General price list'!C489:AN1462,MATCH("HM",Tabulka1[[#Headers],[KOD]:[NEQ]],0),FALSE),"")</f>
        <v/>
      </c>
    </row>
    <row r="488" spans="1:27">
      <c r="A488">
        <f>COUNTIF($W$22:W488,1)</f>
        <v>0</v>
      </c>
      <c r="B488">
        <v>488</v>
      </c>
      <c r="C488" s="340" t="str">
        <f>Tabulka1[[#This Row],[KOD]]</f>
        <v>C20020XPR/C14</v>
      </c>
      <c r="W488" t="str">
        <f t="shared" si="8"/>
        <v/>
      </c>
      <c r="Y488" s="341">
        <f>IF('General price list'!$AB490="",0,'General price list'!$AB490)</f>
        <v>0</v>
      </c>
      <c r="Z488" s="365">
        <f>IFERROR(X488*VLOOKUP(C488,'General price list'!C:I,7,FALSE),"")</f>
        <v>0</v>
      </c>
      <c r="AA488" s="365" t="str">
        <f>IF(X488&lt;&gt;"",VLOOKUP(C488,'General price list'!C490:AN1463,MATCH("HM",Tabulka1[[#Headers],[KOD]:[NEQ]],0),FALSE),"")</f>
        <v/>
      </c>
    </row>
    <row r="489" spans="1:27">
      <c r="A489">
        <f>COUNTIF($W$22:W489,1)</f>
        <v>0</v>
      </c>
      <c r="B489">
        <v>489</v>
      </c>
      <c r="C489" s="340" t="str">
        <f>Tabulka1[[#This Row],[KOD]]</f>
        <v>C20020XTS/C14</v>
      </c>
      <c r="W489" t="str">
        <f t="shared" si="8"/>
        <v/>
      </c>
      <c r="Y489" s="341">
        <f>IF('General price list'!$AB491="",0,'General price list'!$AB491)</f>
        <v>0</v>
      </c>
      <c r="Z489" s="365">
        <f>IFERROR(X489*VLOOKUP(C489,'General price list'!C:I,7,FALSE),"")</f>
        <v>0</v>
      </c>
      <c r="AA489" s="365" t="str">
        <f>IF(X489&lt;&gt;"",VLOOKUP(C489,'General price list'!C491:AN1464,MATCH("HM",Tabulka1[[#Headers],[KOD]:[NEQ]],0),FALSE),"")</f>
        <v/>
      </c>
    </row>
    <row r="490" spans="1:27">
      <c r="A490">
        <f>COUNTIF($W$22:W490,1)</f>
        <v>0</v>
      </c>
      <c r="B490">
        <v>490</v>
      </c>
      <c r="C490" s="340" t="str">
        <f>Tabulka1[[#This Row],[KOD]]</f>
        <v>C19320XR/C14</v>
      </c>
      <c r="W490" t="str">
        <f t="shared" si="8"/>
        <v/>
      </c>
      <c r="Y490" s="341">
        <f>IF('General price list'!$AB492="",0,'General price list'!$AB492)</f>
        <v>0</v>
      </c>
      <c r="Z490" s="365">
        <f>IFERROR(X490*VLOOKUP(C490,'General price list'!C:I,7,FALSE),"")</f>
        <v>0</v>
      </c>
      <c r="AA490" s="365" t="str">
        <f>IF(X490&lt;&gt;"",VLOOKUP(C490,'General price list'!C492:AN1465,MATCH("HM",Tabulka1[[#Headers],[KOD]:[NEQ]],0),FALSE),"")</f>
        <v/>
      </c>
    </row>
    <row r="491" spans="1:27">
      <c r="A491">
        <f>COUNTIF($W$22:W491,1)</f>
        <v>0</v>
      </c>
      <c r="B491">
        <v>491</v>
      </c>
      <c r="C491" s="340">
        <f>Tabulka1[[#This Row],[KOD]]</f>
        <v>0</v>
      </c>
      <c r="W491" t="str">
        <f t="shared" si="8"/>
        <v/>
      </c>
      <c r="Y491" s="341">
        <f>IF('General price list'!$AB493="",0,'General price list'!$AB493)</f>
        <v>0</v>
      </c>
      <c r="Z491" s="365" t="str">
        <f>IFERROR(X491*VLOOKUP(C491,'General price list'!C:I,7,FALSE),"")</f>
        <v/>
      </c>
      <c r="AA491" s="365" t="str">
        <f>IF(X491&lt;&gt;"",VLOOKUP(C491,'General price list'!C493:AN1466,MATCH("HM",Tabulka1[[#Headers],[KOD]:[NEQ]],0),FALSE),"")</f>
        <v/>
      </c>
    </row>
    <row r="492" spans="1:27">
      <c r="A492">
        <f>COUNTIF($W$22:W492,1)</f>
        <v>0</v>
      </c>
      <c r="B492">
        <v>492</v>
      </c>
      <c r="C492" s="340" t="str">
        <f>Tabulka1[[#This Row],[KOD]]</f>
        <v>C19220F/C14</v>
      </c>
      <c r="W492" t="str">
        <f t="shared" si="8"/>
        <v/>
      </c>
      <c r="Y492" s="341">
        <f>IF('General price list'!$AB494="",0,'General price list'!$AB494)</f>
        <v>0</v>
      </c>
      <c r="Z492" s="365">
        <f>IFERROR(X492*VLOOKUP(C492,'General price list'!C:I,7,FALSE),"")</f>
        <v>0</v>
      </c>
      <c r="AA492" s="365" t="str">
        <f>IF(X492&lt;&gt;"",VLOOKUP(C492,'General price list'!C494:AN1467,MATCH("HM",Tabulka1[[#Headers],[KOD]:[NEQ]],0),FALSE),"")</f>
        <v/>
      </c>
    </row>
    <row r="493" spans="1:27">
      <c r="A493">
        <f>COUNTIF($W$22:W493,1)</f>
        <v>0</v>
      </c>
      <c r="B493">
        <v>493</v>
      </c>
      <c r="C493" s="340" t="str">
        <f>Tabulka1[[#This Row],[KOD]]</f>
        <v>C25220XFS/C14</v>
      </c>
      <c r="W493" t="str">
        <f t="shared" si="8"/>
        <v/>
      </c>
      <c r="Y493" s="341">
        <f>IF('General price list'!$AB495="",0,'General price list'!$AB495)</f>
        <v>0</v>
      </c>
      <c r="Z493" s="365">
        <f>IFERROR(X493*VLOOKUP(C493,'General price list'!C:I,7,FALSE),"")</f>
        <v>0</v>
      </c>
      <c r="AA493" s="365" t="str">
        <f>IF(X493&lt;&gt;"",VLOOKUP(C493,'General price list'!C495:AN1468,MATCH("HM",Tabulka1[[#Headers],[KOD]:[NEQ]],0),FALSE),"")</f>
        <v/>
      </c>
    </row>
    <row r="494" spans="1:27">
      <c r="A494">
        <f>COUNTIF($W$22:W494,1)</f>
        <v>0</v>
      </c>
      <c r="B494">
        <v>494</v>
      </c>
      <c r="C494" s="340" t="str">
        <f>Tabulka1[[#This Row],[KOD]]</f>
        <v>C25620F/C14</v>
      </c>
      <c r="W494" t="str">
        <f t="shared" si="8"/>
        <v/>
      </c>
      <c r="Y494" s="341">
        <f>IF('General price list'!$AB496="",0,'General price list'!$AB496)</f>
        <v>0</v>
      </c>
      <c r="Z494" s="365">
        <f>IFERROR(X494*VLOOKUP(C494,'General price list'!C:I,7,FALSE),"")</f>
        <v>0</v>
      </c>
      <c r="AA494" s="365" t="str">
        <f>IF(X494&lt;&gt;"",VLOOKUP(C494,'General price list'!C496:AN1469,MATCH("HM",Tabulka1[[#Headers],[KOD]:[NEQ]],0),FALSE),"")</f>
        <v/>
      </c>
    </row>
    <row r="495" spans="1:27">
      <c r="A495">
        <f>COUNTIF($W$22:W495,1)</f>
        <v>0</v>
      </c>
      <c r="B495">
        <v>495</v>
      </c>
      <c r="C495" s="340" t="str">
        <f>Tabulka1[[#This Row],[KOD]]</f>
        <v>C26420N/C14</v>
      </c>
      <c r="W495" t="str">
        <f t="shared" si="8"/>
        <v/>
      </c>
      <c r="Y495" s="341">
        <f>IF('General price list'!$AB497="",0,'General price list'!$AB497)</f>
        <v>0</v>
      </c>
      <c r="Z495" s="365">
        <f>IFERROR(X495*VLOOKUP(C495,'General price list'!C:I,7,FALSE),"")</f>
        <v>0</v>
      </c>
      <c r="AA495" s="365" t="str">
        <f>IF(X495&lt;&gt;"",VLOOKUP(C495,'General price list'!C497:AN1470,MATCH("HM",Tabulka1[[#Headers],[KOD]:[NEQ]],0),FALSE),"")</f>
        <v/>
      </c>
    </row>
    <row r="496" spans="1:27">
      <c r="A496">
        <f>COUNTIF($W$22:W496,1)</f>
        <v>0</v>
      </c>
      <c r="B496">
        <v>496</v>
      </c>
      <c r="C496" s="340" t="str">
        <f>Tabulka1[[#This Row],[KOD]]</f>
        <v>C30020R/C14</v>
      </c>
      <c r="W496" t="str">
        <f t="shared" si="8"/>
        <v/>
      </c>
      <c r="Y496" s="341">
        <f>IF('General price list'!$AB498="",0,'General price list'!$AB498)</f>
        <v>0</v>
      </c>
      <c r="Z496" s="365">
        <f>IFERROR(X496*VLOOKUP(C496,'General price list'!C:I,7,FALSE),"")</f>
        <v>0</v>
      </c>
      <c r="AA496" s="365" t="str">
        <f>IF(X496&lt;&gt;"",VLOOKUP(C496,'General price list'!C498:AN1471,MATCH("HM",Tabulka1[[#Headers],[KOD]:[NEQ]],0),FALSE),"")</f>
        <v/>
      </c>
    </row>
    <row r="497" spans="1:27">
      <c r="A497">
        <f>COUNTIF($W$22:W497,1)</f>
        <v>0</v>
      </c>
      <c r="B497">
        <v>497</v>
      </c>
      <c r="C497" s="340" t="str">
        <f>Tabulka1[[#This Row],[KOD]]</f>
        <v>C40020B/C14</v>
      </c>
      <c r="W497" t="str">
        <f t="shared" si="8"/>
        <v/>
      </c>
      <c r="Y497" s="341">
        <f>IF('General price list'!$AB499="",0,'General price list'!$AB499)</f>
        <v>0</v>
      </c>
      <c r="Z497" s="365">
        <f>IFERROR(X497*VLOOKUP(C497,'General price list'!C:I,7,FALSE),"")</f>
        <v>0</v>
      </c>
      <c r="AA497" s="365" t="str">
        <f>IF(X497&lt;&gt;"",VLOOKUP(C497,'General price list'!C499:AN1472,MATCH("HM",Tabulka1[[#Headers],[KOD]:[NEQ]],0),FALSE),"")</f>
        <v/>
      </c>
    </row>
    <row r="498" spans="1:27">
      <c r="A498">
        <f>COUNTIF($W$22:W498,1)</f>
        <v>0</v>
      </c>
      <c r="B498">
        <v>498</v>
      </c>
      <c r="C498" s="340" t="str">
        <f>Tabulka1[[#This Row],[KOD]]</f>
        <v>C40020XPR/C14</v>
      </c>
      <c r="W498" t="str">
        <f t="shared" si="8"/>
        <v/>
      </c>
      <c r="Y498" s="341">
        <f>IF('General price list'!$AB500="",0,'General price list'!$AB500)</f>
        <v>0</v>
      </c>
      <c r="Z498" s="365">
        <f>IFERROR(X498*VLOOKUP(C498,'General price list'!C:I,7,FALSE),"")</f>
        <v>0</v>
      </c>
      <c r="AA498" s="365" t="str">
        <f>IF(X498&lt;&gt;"",VLOOKUP(C498,'General price list'!C500:AN1473,MATCH("HM",Tabulka1[[#Headers],[KOD]:[NEQ]],0),FALSE),"")</f>
        <v/>
      </c>
    </row>
    <row r="499" spans="1:27">
      <c r="A499">
        <f>COUNTIF($W$22:W499,1)</f>
        <v>0</v>
      </c>
      <c r="B499">
        <v>499</v>
      </c>
      <c r="C499" s="340" t="str">
        <f>Tabulka1[[#This Row],[KOD]]</f>
        <v>C1-C2 C51220I/C14</v>
      </c>
      <c r="W499" t="str">
        <f t="shared" si="8"/>
        <v/>
      </c>
      <c r="Y499" s="341">
        <f>IF('General price list'!$AB501="",0,'General price list'!$AB501)</f>
        <v>0</v>
      </c>
      <c r="Z499" s="365">
        <f>IFERROR(X499*VLOOKUP(C499,'General price list'!C:I,7,FALSE),"")</f>
        <v>0</v>
      </c>
      <c r="AA499" s="365" t="str">
        <f>IF(X499&lt;&gt;"",VLOOKUP(C499,'General price list'!C501:AN1474,MATCH("HM",Tabulka1[[#Headers],[KOD]:[NEQ]],0),FALSE),"")</f>
        <v/>
      </c>
    </row>
    <row r="500" spans="1:27">
      <c r="A500">
        <f>COUNTIF($W$22:W500,1)</f>
        <v>0</v>
      </c>
      <c r="B500">
        <v>500</v>
      </c>
      <c r="C500" s="340" t="str">
        <f>Tabulka1[[#This Row],[KOD]]</f>
        <v>C1-C2 C65620XH/C14</v>
      </c>
      <c r="W500" t="str">
        <f t="shared" si="8"/>
        <v/>
      </c>
      <c r="Y500" s="341">
        <f>IF('General price list'!$AB502="",0,'General price list'!$AB502)</f>
        <v>0</v>
      </c>
      <c r="Z500" s="365">
        <f>IFERROR(X500*VLOOKUP(C500,'General price list'!C:I,7,FALSE),"")</f>
        <v>0</v>
      </c>
      <c r="AA500" s="365" t="str">
        <f>IF(X500&lt;&gt;"",VLOOKUP(C500,'General price list'!C502:AN1475,MATCH("HM",Tabulka1[[#Headers],[KOD]:[NEQ]],0),FALSE),"")</f>
        <v/>
      </c>
    </row>
    <row r="501" spans="1:27">
      <c r="A501">
        <f>COUNTIF($W$22:W501,1)</f>
        <v>0</v>
      </c>
      <c r="B501">
        <v>501</v>
      </c>
      <c r="C501" s="340" t="str">
        <f>Tabulka1[[#This Row],[KOD]]</f>
        <v>C1-C2 C80020S/C14</v>
      </c>
      <c r="W501" t="str">
        <f t="shared" si="8"/>
        <v/>
      </c>
      <c r="Y501" s="341">
        <f>IF('General price list'!$AB503="",0,'General price list'!$AB503)</f>
        <v>0</v>
      </c>
      <c r="Z501" s="365">
        <f>IFERROR(X501*VLOOKUP(C501,'General price list'!C:I,7,FALSE),"")</f>
        <v>0</v>
      </c>
      <c r="AA501" s="365" t="str">
        <f>IF(X501&lt;&gt;"",VLOOKUP(C501,'General price list'!C503:AN1476,MATCH("HM",Tabulka1[[#Headers],[KOD]:[NEQ]],0),FALSE),"")</f>
        <v/>
      </c>
    </row>
    <row r="502" spans="1:27">
      <c r="A502">
        <f>COUNTIF($W$22:W502,1)</f>
        <v>0</v>
      </c>
      <c r="B502">
        <v>502</v>
      </c>
      <c r="C502" s="340">
        <f>Tabulka1[[#This Row],[KOD]]</f>
        <v>0</v>
      </c>
      <c r="W502" t="str">
        <f t="shared" si="8"/>
        <v/>
      </c>
      <c r="Y502" s="341">
        <f>IF('General price list'!$AB504="",0,'General price list'!$AB504)</f>
        <v>0</v>
      </c>
      <c r="Z502" s="365" t="str">
        <f>IFERROR(X502*VLOOKUP(C502,'General price list'!C:I,7,FALSE),"")</f>
        <v/>
      </c>
      <c r="AA502" s="365" t="str">
        <f>IF(X502&lt;&gt;"",VLOOKUP(C502,'General price list'!C504:AN1477,MATCH("HM",Tabulka1[[#Headers],[KOD]:[NEQ]],0),FALSE),"")</f>
        <v/>
      </c>
    </row>
    <row r="503" spans="1:27">
      <c r="A503">
        <f>COUNTIF($W$22:W503,1)</f>
        <v>0</v>
      </c>
      <c r="B503">
        <v>503</v>
      </c>
      <c r="C503" s="340" t="str">
        <f>Tabulka1[[#This Row],[KOD]]</f>
        <v>C6420DU/C</v>
      </c>
      <c r="W503" t="str">
        <f t="shared" si="8"/>
        <v/>
      </c>
      <c r="Y503" s="341">
        <f>IF('General price list'!$AB505="",0,'General price list'!$AB505)</f>
        <v>0</v>
      </c>
      <c r="Z503" s="365">
        <f>IFERROR(X503*VLOOKUP(C503,'General price list'!C:I,7,FALSE),"")</f>
        <v>0</v>
      </c>
      <c r="AA503" s="365" t="str">
        <f>IF(X503&lt;&gt;"",VLOOKUP(C503,'General price list'!C505:AN1478,MATCH("HM",Tabulka1[[#Headers],[KOD]:[NEQ]],0),FALSE),"")</f>
        <v/>
      </c>
    </row>
    <row r="504" spans="1:27">
      <c r="A504">
        <f>COUNTIF($W$22:W504,1)</f>
        <v>0</v>
      </c>
      <c r="B504">
        <v>504</v>
      </c>
      <c r="C504" s="340" t="str">
        <f>Tabulka1[[#This Row],[KOD]]</f>
        <v>C12820F/C</v>
      </c>
      <c r="W504" t="str">
        <f t="shared" si="8"/>
        <v/>
      </c>
      <c r="Y504" s="341">
        <f>IF('General price list'!$AB506="",0,'General price list'!$AB506)</f>
        <v>0</v>
      </c>
      <c r="Z504" s="365">
        <f>IFERROR(X504*VLOOKUP(C504,'General price list'!C:I,7,FALSE),"")</f>
        <v>0</v>
      </c>
      <c r="AA504" s="365" t="str">
        <f>IF(X504&lt;&gt;"",VLOOKUP(C504,'General price list'!C506:AN1479,MATCH("HM",Tabulka1[[#Headers],[KOD]:[NEQ]],0),FALSE),"")</f>
        <v/>
      </c>
    </row>
    <row r="505" spans="1:27">
      <c r="A505">
        <f>COUNTIF($W$22:W505,1)</f>
        <v>0</v>
      </c>
      <c r="B505">
        <v>505</v>
      </c>
      <c r="C505" s="340" t="str">
        <f>Tabulka1[[#This Row],[KOD]]</f>
        <v>C13220B/C</v>
      </c>
      <c r="W505" t="str">
        <f t="shared" si="8"/>
        <v/>
      </c>
      <c r="Y505" s="341">
        <f>IF('General price list'!$AB507="",0,'General price list'!$AB507)</f>
        <v>0</v>
      </c>
      <c r="Z505" s="365">
        <f>IFERROR(X505*VLOOKUP(C505,'General price list'!C:I,7,FALSE),"")</f>
        <v>0</v>
      </c>
      <c r="AA505" s="365" t="str">
        <f>IF(X505&lt;&gt;"",VLOOKUP(C505,'General price list'!C507:AN1480,MATCH("HM",Tabulka1[[#Headers],[KOD]:[NEQ]],0),FALSE),"")</f>
        <v/>
      </c>
    </row>
    <row r="506" spans="1:27">
      <c r="A506">
        <f>COUNTIF($W$22:W506,1)</f>
        <v>0</v>
      </c>
      <c r="B506">
        <v>506</v>
      </c>
      <c r="C506" s="340" t="str">
        <f>Tabulka1[[#This Row],[KOD]]</f>
        <v>C19220F/C</v>
      </c>
      <c r="W506" t="str">
        <f t="shared" si="8"/>
        <v/>
      </c>
      <c r="Y506" s="341">
        <f>IF('General price list'!$AB508="",0,'General price list'!$AB508)</f>
        <v>0</v>
      </c>
      <c r="Z506" s="365">
        <f>IFERROR(X506*VLOOKUP(C506,'General price list'!C:I,7,FALSE),"")</f>
        <v>0</v>
      </c>
      <c r="AA506" s="365" t="str">
        <f>IF(X506&lt;&gt;"",VLOOKUP(C506,'General price list'!C508:AN1481,MATCH("HM",Tabulka1[[#Headers],[KOD]:[NEQ]],0),FALSE),"")</f>
        <v/>
      </c>
    </row>
    <row r="507" spans="1:27">
      <c r="A507">
        <f>COUNTIF($W$22:W507,1)</f>
        <v>0</v>
      </c>
      <c r="B507">
        <v>507</v>
      </c>
      <c r="C507" s="340" t="str">
        <f>Tabulka1[[#This Row],[KOD]]</f>
        <v>C25220XFS/C</v>
      </c>
      <c r="W507" t="str">
        <f t="shared" si="8"/>
        <v/>
      </c>
      <c r="Y507" s="341">
        <f>IF('General price list'!$AB509="",0,'General price list'!$AB509)</f>
        <v>0</v>
      </c>
      <c r="Z507" s="365">
        <f>IFERROR(X507*VLOOKUP(C507,'General price list'!C:I,7,FALSE),"")</f>
        <v>0</v>
      </c>
      <c r="AA507" s="365" t="str">
        <f>IF(X507&lt;&gt;"",VLOOKUP(C507,'General price list'!C509:AN1482,MATCH("HM",Tabulka1[[#Headers],[KOD]:[NEQ]],0),FALSE),"")</f>
        <v/>
      </c>
    </row>
    <row r="508" spans="1:27">
      <c r="A508">
        <f>COUNTIF($W$22:W508,1)</f>
        <v>0</v>
      </c>
      <c r="B508">
        <v>508</v>
      </c>
      <c r="C508" s="340" t="str">
        <f>Tabulka1[[#This Row],[KOD]]</f>
        <v>C25620NID/C</v>
      </c>
      <c r="W508" t="str">
        <f t="shared" si="8"/>
        <v/>
      </c>
      <c r="Y508" s="341">
        <f>IF('General price list'!$AB510="",0,'General price list'!$AB510)</f>
        <v>0</v>
      </c>
      <c r="Z508" s="365">
        <f>IFERROR(X508*VLOOKUP(C508,'General price list'!C:I,7,FALSE),"")</f>
        <v>0</v>
      </c>
      <c r="AA508" s="365" t="str">
        <f>IF(X508&lt;&gt;"",VLOOKUP(C508,'General price list'!C510:AN1483,MATCH("HM",Tabulka1[[#Headers],[KOD]:[NEQ]],0),FALSE),"")</f>
        <v/>
      </c>
    </row>
    <row r="509" spans="1:27">
      <c r="A509">
        <f>COUNTIF($W$22:W509,1)</f>
        <v>0</v>
      </c>
      <c r="B509">
        <v>509</v>
      </c>
      <c r="C509" s="340" t="str">
        <f>Tabulka1[[#This Row],[KOD]]</f>
        <v>C25620F/C</v>
      </c>
      <c r="W509" t="str">
        <f t="shared" si="8"/>
        <v/>
      </c>
      <c r="Y509" s="341">
        <f>IF('General price list'!$AB511="",0,'General price list'!$AB511)</f>
        <v>0</v>
      </c>
      <c r="Z509" s="365">
        <f>IFERROR(X509*VLOOKUP(C509,'General price list'!C:I,7,FALSE),"")</f>
        <v>0</v>
      </c>
      <c r="AA509" s="365" t="str">
        <f>IF(X509&lt;&gt;"",VLOOKUP(C509,'General price list'!C511:AN1484,MATCH("HM",Tabulka1[[#Headers],[KOD]:[NEQ]],0),FALSE),"")</f>
        <v/>
      </c>
    </row>
    <row r="510" spans="1:27">
      <c r="A510">
        <f>COUNTIF($W$22:W510,1)</f>
        <v>0</v>
      </c>
      <c r="B510">
        <v>510</v>
      </c>
      <c r="C510" s="340" t="str">
        <f>Tabulka1[[#This Row],[KOD]]</f>
        <v>C26420N/C</v>
      </c>
      <c r="W510" t="str">
        <f t="shared" si="8"/>
        <v/>
      </c>
      <c r="Y510" s="341">
        <f>IF('General price list'!$AB512="",0,'General price list'!$AB512)</f>
        <v>0</v>
      </c>
      <c r="Z510" s="365">
        <f>IFERROR(X510*VLOOKUP(C510,'General price list'!C:I,7,FALSE),"")</f>
        <v>0</v>
      </c>
      <c r="AA510" s="365" t="str">
        <f>IF(X510&lt;&gt;"",VLOOKUP(C510,'General price list'!C512:AN1485,MATCH("HM",Tabulka1[[#Headers],[KOD]:[NEQ]],0),FALSE),"")</f>
        <v/>
      </c>
    </row>
    <row r="511" spans="1:27">
      <c r="A511">
        <f>COUNTIF($W$22:W511,1)</f>
        <v>0</v>
      </c>
      <c r="B511">
        <v>511</v>
      </c>
      <c r="C511" s="340" t="str">
        <f>Tabulka1[[#This Row],[KOD]]</f>
        <v>C32820XM/C</v>
      </c>
      <c r="W511" t="str">
        <f t="shared" si="8"/>
        <v/>
      </c>
      <c r="Y511" s="341">
        <f>IF('General price list'!$AB513="",0,'General price list'!$AB513)</f>
        <v>0</v>
      </c>
      <c r="Z511" s="365">
        <f>IFERROR(X511*VLOOKUP(C511,'General price list'!C:I,7,FALSE),"")</f>
        <v>0</v>
      </c>
      <c r="AA511" s="365" t="str">
        <f>IF(X511&lt;&gt;"",VLOOKUP(C511,'General price list'!C513:AN1486,MATCH("HM",Tabulka1[[#Headers],[KOD]:[NEQ]],0),FALSE),"")</f>
        <v/>
      </c>
    </row>
    <row r="512" spans="1:27">
      <c r="A512">
        <f>COUNTIF($W$22:W512,1)</f>
        <v>0</v>
      </c>
      <c r="B512">
        <v>512</v>
      </c>
      <c r="C512" s="340">
        <f>Tabulka1[[#This Row],[KOD]]</f>
        <v>0</v>
      </c>
      <c r="W512" t="str">
        <f t="shared" si="8"/>
        <v/>
      </c>
      <c r="Y512" s="341">
        <f>IF('General price list'!$AB514="",0,'General price list'!$AB514)</f>
        <v>0</v>
      </c>
      <c r="Z512" s="365" t="str">
        <f>IFERROR(X512*VLOOKUP(C512,'General price list'!C:I,7,FALSE),"")</f>
        <v/>
      </c>
      <c r="AA512" s="365" t="str">
        <f>IF(X512&lt;&gt;"",VLOOKUP(C512,'General price list'!C514:AN1487,MATCH("HM",Tabulka1[[#Headers],[KOD]:[NEQ]],0),FALSE),"")</f>
        <v/>
      </c>
    </row>
    <row r="513" spans="1:27">
      <c r="A513">
        <f>COUNTIF($W$22:W513,1)</f>
        <v>0</v>
      </c>
      <c r="B513">
        <v>513</v>
      </c>
      <c r="C513" s="340" t="str">
        <f>Tabulka1[[#This Row],[KOD]]</f>
        <v>C18020SIG/C</v>
      </c>
      <c r="W513" t="str">
        <f t="shared" si="8"/>
        <v/>
      </c>
      <c r="Y513" s="341">
        <f>IF('General price list'!$AB515="",0,'General price list'!$AB515)</f>
        <v>0</v>
      </c>
      <c r="Z513" s="365">
        <f>IFERROR(X513*VLOOKUP(C513,'General price list'!C:I,7,FALSE),"")</f>
        <v>0</v>
      </c>
      <c r="AA513" s="365" t="str">
        <f>IF(X513&lt;&gt;"",VLOOKUP(C513,'General price list'!C515:AN1488,MATCH("HM",Tabulka1[[#Headers],[KOD]:[NEQ]],0),FALSE),"")</f>
        <v/>
      </c>
    </row>
    <row r="514" spans="1:27">
      <c r="A514">
        <f>COUNTIF($W$22:W514,1)</f>
        <v>0</v>
      </c>
      <c r="B514">
        <v>514</v>
      </c>
      <c r="C514" s="340" t="str">
        <f>Tabulka1[[#This Row],[KOD]]</f>
        <v>C26020F/C</v>
      </c>
      <c r="W514" t="str">
        <f t="shared" si="8"/>
        <v/>
      </c>
      <c r="Y514" s="341">
        <f>IF('General price list'!$AB516="",0,'General price list'!$AB516)</f>
        <v>0</v>
      </c>
      <c r="Z514" s="365">
        <f>IFERROR(X514*VLOOKUP(C514,'General price list'!C:I,7,FALSE),"")</f>
        <v>0</v>
      </c>
      <c r="AA514" s="365" t="str">
        <f>IF(X514&lt;&gt;"",VLOOKUP(C514,'General price list'!C516:AN1489,MATCH("HM",Tabulka1[[#Headers],[KOD]:[NEQ]],0),FALSE),"")</f>
        <v/>
      </c>
    </row>
    <row r="515" spans="1:27">
      <c r="A515">
        <f>COUNTIF($W$22:W515,1)</f>
        <v>0</v>
      </c>
      <c r="B515">
        <v>515</v>
      </c>
      <c r="C515" s="340" t="str">
        <f>Tabulka1[[#This Row],[KOD]]</f>
        <v>C26820F/C</v>
      </c>
      <c r="W515" t="str">
        <f t="shared" si="8"/>
        <v/>
      </c>
      <c r="Y515" s="341">
        <f>IF('General price list'!$AB517="",0,'General price list'!$AB517)</f>
        <v>0</v>
      </c>
      <c r="Z515" s="365">
        <f>IFERROR(X515*VLOOKUP(C515,'General price list'!C:I,7,FALSE),"")</f>
        <v>0</v>
      </c>
      <c r="AA515" s="365" t="str">
        <f>IF(X515&lt;&gt;"",VLOOKUP(C515,'General price list'!C517:AN1490,MATCH("HM",Tabulka1[[#Headers],[KOD]:[NEQ]],0),FALSE),"")</f>
        <v/>
      </c>
    </row>
    <row r="516" spans="1:27">
      <c r="A516">
        <f>COUNTIF($W$22:W516,1)</f>
        <v>0</v>
      </c>
      <c r="B516">
        <v>516</v>
      </c>
      <c r="C516" s="340" t="str">
        <f>Tabulka1[[#This Row],[KOD]]</f>
        <v>C39020F/C</v>
      </c>
      <c r="W516" t="str">
        <f t="shared" si="8"/>
        <v/>
      </c>
      <c r="Y516" s="341">
        <f>IF('General price list'!$AB518="",0,'General price list'!$AB518)</f>
        <v>0</v>
      </c>
      <c r="Z516" s="365">
        <f>IFERROR(X516*VLOOKUP(C516,'General price list'!C:I,7,FALSE),"")</f>
        <v>0</v>
      </c>
      <c r="AA516" s="365" t="str">
        <f>IF(X516&lt;&gt;"",VLOOKUP(C516,'General price list'!C518:AN1491,MATCH("HM",Tabulka1[[#Headers],[KOD]:[NEQ]],0),FALSE),"")</f>
        <v/>
      </c>
    </row>
    <row r="517" spans="1:27">
      <c r="A517">
        <f>COUNTIF($W$22:W517,1)</f>
        <v>0</v>
      </c>
      <c r="B517">
        <v>517</v>
      </c>
      <c r="C517" s="340" t="str">
        <f>Tabulka1[[#This Row],[KOD]]</f>
        <v>C52020F/C</v>
      </c>
      <c r="W517" t="str">
        <f t="shared" si="8"/>
        <v/>
      </c>
      <c r="Y517" s="341">
        <f>IF('General price list'!$AB519="",0,'General price list'!$AB519)</f>
        <v>0</v>
      </c>
      <c r="Z517" s="365">
        <f>IFERROR(X517*VLOOKUP(C517,'General price list'!C:I,7,FALSE),"")</f>
        <v>0</v>
      </c>
      <c r="AA517" s="365" t="str">
        <f>IF(X517&lt;&gt;"",VLOOKUP(C517,'General price list'!C519:AN1492,MATCH("HM",Tabulka1[[#Headers],[KOD]:[NEQ]],0),FALSE),"")</f>
        <v/>
      </c>
    </row>
    <row r="518" spans="1:27">
      <c r="A518">
        <f>COUNTIF($W$22:W518,1)</f>
        <v>0</v>
      </c>
      <c r="B518">
        <v>518</v>
      </c>
      <c r="C518" s="340" t="str">
        <f>Tabulka1[[#This Row],[KOD]]</f>
        <v>C53620F/C</v>
      </c>
      <c r="W518" t="str">
        <f t="shared" si="8"/>
        <v/>
      </c>
      <c r="Y518" s="341">
        <f>IF('General price list'!$AB520="",0,'General price list'!$AB520)</f>
        <v>0</v>
      </c>
      <c r="Z518" s="365">
        <f>IFERROR(X518*VLOOKUP(C518,'General price list'!C:I,7,FALSE),"")</f>
        <v>0</v>
      </c>
      <c r="AA518" s="365" t="str">
        <f>IF(X518&lt;&gt;"",VLOOKUP(C518,'General price list'!C520:AN1493,MATCH("HM",Tabulka1[[#Headers],[KOD]:[NEQ]],0),FALSE),"")</f>
        <v/>
      </c>
    </row>
    <row r="519" spans="1:27">
      <c r="A519">
        <f>COUNTIF($W$22:W519,1)</f>
        <v>0</v>
      </c>
      <c r="B519">
        <v>519</v>
      </c>
      <c r="C519" s="340" t="str">
        <f>Tabulka1[[#This Row],[KOD]]</f>
        <v>C60020XPR/C</v>
      </c>
      <c r="W519" t="str">
        <f t="shared" si="8"/>
        <v/>
      </c>
      <c r="Y519" s="341">
        <f>IF('General price list'!$AB521="",0,'General price list'!$AB521)</f>
        <v>0</v>
      </c>
      <c r="Z519" s="365">
        <f>IFERROR(X519*VLOOKUP(C519,'General price list'!C:I,7,FALSE),"")</f>
        <v>0</v>
      </c>
      <c r="AA519" s="365" t="str">
        <f>IF(X519&lt;&gt;"",VLOOKUP(C519,'General price list'!C521:AN1494,MATCH("HM",Tabulka1[[#Headers],[KOD]:[NEQ]],0),FALSE),"")</f>
        <v/>
      </c>
    </row>
    <row r="520" spans="1:27">
      <c r="A520">
        <f>COUNTIF($W$22:W520,1)</f>
        <v>0</v>
      </c>
      <c r="B520">
        <v>520</v>
      </c>
      <c r="C520" s="340">
        <f>Tabulka1[[#This Row],[KOD]]</f>
        <v>0</v>
      </c>
      <c r="W520" t="str">
        <f t="shared" si="8"/>
        <v/>
      </c>
      <c r="Y520" s="341">
        <f>IF('General price list'!$AB522="",0,'General price list'!$AB522)</f>
        <v>0</v>
      </c>
      <c r="Z520" s="365" t="str">
        <f>IFERROR(X520*VLOOKUP(C520,'General price list'!C:I,7,FALSE),"")</f>
        <v/>
      </c>
      <c r="AA520" s="365" t="str">
        <f>IF(X520&lt;&gt;"",VLOOKUP(C520,'General price list'!C522:AN1495,MATCH("HM",Tabulka1[[#Headers],[KOD]:[NEQ]],0),FALSE),"")</f>
        <v/>
      </c>
    </row>
    <row r="521" spans="1:27">
      <c r="A521">
        <f>COUNTIF($W$22:W521,1)</f>
        <v>0</v>
      </c>
      <c r="B521">
        <v>521</v>
      </c>
      <c r="C521" s="340" t="str">
        <f>Tabulka1[[#This Row],[KOD]]</f>
        <v>C1625B</v>
      </c>
      <c r="W521" t="str">
        <f t="shared" si="8"/>
        <v/>
      </c>
      <c r="Y521" s="341">
        <f>IF('General price list'!$AB523="",0,'General price list'!$AB523)</f>
        <v>0</v>
      </c>
      <c r="Z521" s="365">
        <f>IFERROR(X521*VLOOKUP(C521,'General price list'!C:I,7,FALSE),"")</f>
        <v>0</v>
      </c>
      <c r="AA521" s="365" t="str">
        <f>IF(X521&lt;&gt;"",VLOOKUP(C521,'General price list'!C523:AN1496,MATCH("HM",Tabulka1[[#Headers],[KOD]:[NEQ]],0),FALSE),"")</f>
        <v/>
      </c>
    </row>
    <row r="522" spans="1:27">
      <c r="A522">
        <f>COUNTIF($W$22:W522,1)</f>
        <v>0</v>
      </c>
      <c r="B522">
        <v>522</v>
      </c>
      <c r="C522" s="340" t="str">
        <f>Tabulka1[[#This Row],[KOD]]</f>
        <v>C1625D</v>
      </c>
      <c r="W522" t="str">
        <f t="shared" si="8"/>
        <v/>
      </c>
      <c r="Y522" s="341">
        <f>IF('General price list'!$AB524="",0,'General price list'!$AB524)</f>
        <v>0</v>
      </c>
      <c r="Z522" s="365">
        <f>IFERROR(X522*VLOOKUP(C522,'General price list'!C:I,7,FALSE),"")</f>
        <v>0</v>
      </c>
      <c r="AA522" s="365" t="str">
        <f>IF(X522&lt;&gt;"",VLOOKUP(C522,'General price list'!C524:AN1497,MATCH("HM",Tabulka1[[#Headers],[KOD]:[NEQ]],0),FALSE),"")</f>
        <v/>
      </c>
    </row>
    <row r="523" spans="1:27">
      <c r="A523">
        <f>COUNTIF($W$22:W523,1)</f>
        <v>0</v>
      </c>
      <c r="B523">
        <v>523</v>
      </c>
      <c r="C523" s="340" t="str">
        <f>Tabulka1[[#This Row],[KOD]]</f>
        <v>C1625F</v>
      </c>
      <c r="W523" t="str">
        <f t="shared" si="8"/>
        <v/>
      </c>
      <c r="Y523" s="341">
        <f>IF('General price list'!$AB525="",0,'General price list'!$AB525)</f>
        <v>0</v>
      </c>
      <c r="Z523" s="365">
        <f>IFERROR(X523*VLOOKUP(C523,'General price list'!C:I,7,FALSE),"")</f>
        <v>0</v>
      </c>
      <c r="AA523" s="365" t="str">
        <f>IF(X523&lt;&gt;"",VLOOKUP(C523,'General price list'!C525:AN1498,MATCH("HM",Tabulka1[[#Headers],[KOD]:[NEQ]],0),FALSE),"")</f>
        <v/>
      </c>
    </row>
    <row r="524" spans="1:27">
      <c r="A524">
        <f>COUNTIF($W$22:W524,1)</f>
        <v>0</v>
      </c>
      <c r="B524">
        <v>524</v>
      </c>
      <c r="C524" s="340" t="str">
        <f>Tabulka1[[#This Row],[KOD]]</f>
        <v>C1625G</v>
      </c>
      <c r="W524" t="str">
        <f t="shared" si="8"/>
        <v/>
      </c>
      <c r="Y524" s="341">
        <f>IF('General price list'!$AB526="",0,'General price list'!$AB526)</f>
        <v>0</v>
      </c>
      <c r="Z524" s="365">
        <f>IFERROR(X524*VLOOKUP(C524,'General price list'!C:I,7,FALSE),"")</f>
        <v>0</v>
      </c>
      <c r="AA524" s="365" t="str">
        <f>IF(X524&lt;&gt;"",VLOOKUP(C524,'General price list'!C526:AN1499,MATCH("HM",Tabulka1[[#Headers],[KOD]:[NEQ]],0),FALSE),"")</f>
        <v/>
      </c>
    </row>
    <row r="525" spans="1:27">
      <c r="A525">
        <f>COUNTIF($W$22:W525,1)</f>
        <v>0</v>
      </c>
      <c r="B525">
        <v>525</v>
      </c>
      <c r="C525" s="340">
        <f>Tabulka1[[#This Row],[KOD]]</f>
        <v>0</v>
      </c>
      <c r="W525" t="str">
        <f t="shared" si="8"/>
        <v/>
      </c>
      <c r="Y525" s="341">
        <f>IF('General price list'!$AB527="",0,'General price list'!$AB527)</f>
        <v>0</v>
      </c>
      <c r="Z525" s="365" t="str">
        <f>IFERROR(X525*VLOOKUP(C525,'General price list'!C:I,7,FALSE),"")</f>
        <v/>
      </c>
      <c r="AA525" s="365" t="str">
        <f>IF(X525&lt;&gt;"",VLOOKUP(C525,'General price list'!C527:AN1500,MATCH("HM",Tabulka1[[#Headers],[KOD]:[NEQ]],0),FALSE),"")</f>
        <v/>
      </c>
    </row>
    <row r="526" spans="1:27">
      <c r="A526">
        <f>COUNTIF($W$22:W526,1)</f>
        <v>0</v>
      </c>
      <c r="B526">
        <v>526</v>
      </c>
      <c r="C526" s="340" t="str">
        <f>Tabulka1[[#This Row],[KOD]]</f>
        <v>C1625DU</v>
      </c>
      <c r="W526" t="str">
        <f t="shared" si="8"/>
        <v/>
      </c>
      <c r="Y526" s="341">
        <f>IF('General price list'!$AB528="",0,'General price list'!$AB528)</f>
        <v>0</v>
      </c>
      <c r="Z526" s="365">
        <f>IFERROR(X526*VLOOKUP(C526,'General price list'!C:I,7,FALSE),"")</f>
        <v>0</v>
      </c>
      <c r="AA526" s="365" t="str">
        <f>IF(X526&lt;&gt;"",VLOOKUP(C526,'General price list'!C528:AN1501,MATCH("HM",Tabulka1[[#Headers],[KOD]:[NEQ]],0),FALSE),"")</f>
        <v/>
      </c>
    </row>
    <row r="527" spans="1:27">
      <c r="A527">
        <f>COUNTIF($W$22:W527,1)</f>
        <v>0</v>
      </c>
      <c r="B527">
        <v>527</v>
      </c>
      <c r="C527" s="340" t="str">
        <f>Tabulka1[[#This Row],[KOD]]</f>
        <v>C1625D14</v>
      </c>
      <c r="W527" t="str">
        <f t="shared" si="8"/>
        <v/>
      </c>
      <c r="Y527" s="341">
        <f>IF('General price list'!$AB529="",0,'General price list'!$AB529)</f>
        <v>0</v>
      </c>
      <c r="Z527" s="365">
        <f>IFERROR(X527*VLOOKUP(C527,'General price list'!C:I,7,FALSE),"")</f>
        <v>0</v>
      </c>
      <c r="AA527" s="365" t="str">
        <f>IF(X527&lt;&gt;"",VLOOKUP(C527,'General price list'!C529:AN1502,MATCH("HM",Tabulka1[[#Headers],[KOD]:[NEQ]],0),FALSE),"")</f>
        <v/>
      </c>
    </row>
    <row r="528" spans="1:27">
      <c r="A528">
        <f>COUNTIF($W$22:W528,1)</f>
        <v>0</v>
      </c>
      <c r="B528">
        <v>528</v>
      </c>
      <c r="C528" s="340" t="str">
        <f>Tabulka1[[#This Row],[KOD]]</f>
        <v>C1625F14</v>
      </c>
      <c r="W528" t="str">
        <f t="shared" si="8"/>
        <v/>
      </c>
      <c r="Y528" s="341">
        <f>IF('General price list'!$AB530="",0,'General price list'!$AB530)</f>
        <v>0</v>
      </c>
      <c r="Z528" s="365">
        <f>IFERROR(X528*VLOOKUP(C528,'General price list'!C:I,7,FALSE),"")</f>
        <v>0</v>
      </c>
      <c r="AA528" s="365" t="str">
        <f>IF(X528&lt;&gt;"",VLOOKUP(C528,'General price list'!C530:AN1503,MATCH("HM",Tabulka1[[#Headers],[KOD]:[NEQ]],0),FALSE),"")</f>
        <v/>
      </c>
    </row>
    <row r="529" spans="1:27">
      <c r="A529">
        <f>COUNTIF($W$22:W529,1)</f>
        <v>0</v>
      </c>
      <c r="B529">
        <v>529</v>
      </c>
      <c r="C529" s="340">
        <f>Tabulka1[[#This Row],[KOD]]</f>
        <v>0</v>
      </c>
      <c r="W529" t="str">
        <f t="shared" si="8"/>
        <v/>
      </c>
      <c r="Y529" s="341">
        <f>IF('General price list'!$AB531="",0,'General price list'!$AB531)</f>
        <v>0</v>
      </c>
      <c r="Z529" s="365" t="str">
        <f>IFERROR(X529*VLOOKUP(C529,'General price list'!C:I,7,FALSE),"")</f>
        <v/>
      </c>
      <c r="AA529" s="365" t="str">
        <f>IF(X529&lt;&gt;"",VLOOKUP(C529,'General price list'!C531:AN1504,MATCH("HM",Tabulka1[[#Headers],[KOD]:[NEQ]],0),FALSE),"")</f>
        <v/>
      </c>
    </row>
    <row r="530" spans="1:27">
      <c r="A530">
        <f>COUNTIF($W$22:W530,1)</f>
        <v>0</v>
      </c>
      <c r="B530">
        <v>530</v>
      </c>
      <c r="C530" s="340" t="str">
        <f>Tabulka1[[#This Row],[KOD]]</f>
        <v>C2525BPW</v>
      </c>
      <c r="W530" t="str">
        <f t="shared" si="8"/>
        <v/>
      </c>
      <c r="Y530" s="341">
        <f>IF('General price list'!$AB532="",0,'General price list'!$AB532)</f>
        <v>0</v>
      </c>
      <c r="Z530" s="365">
        <f>IFERROR(X530*VLOOKUP(C530,'General price list'!C:I,7,FALSE),"")</f>
        <v>0</v>
      </c>
      <c r="AA530" s="365" t="str">
        <f>IF(X530&lt;&gt;"",VLOOKUP(C530,'General price list'!C532:AN1505,MATCH("HM",Tabulka1[[#Headers],[KOD]:[NEQ]],0),FALSE),"")</f>
        <v/>
      </c>
    </row>
    <row r="531" spans="1:27">
      <c r="A531">
        <f>COUNTIF($W$22:W531,1)</f>
        <v>0</v>
      </c>
      <c r="B531">
        <v>531</v>
      </c>
      <c r="C531" s="340" t="str">
        <f>Tabulka1[[#This Row],[KOD]]</f>
        <v>C2525SIG</v>
      </c>
      <c r="W531" t="str">
        <f t="shared" si="8"/>
        <v/>
      </c>
      <c r="Y531" s="341">
        <f>IF('General price list'!$AB533="",0,'General price list'!$AB533)</f>
        <v>0</v>
      </c>
      <c r="Z531" s="365">
        <f>IFERROR(X531*VLOOKUP(C531,'General price list'!C:I,7,FALSE),"")</f>
        <v>0</v>
      </c>
      <c r="AA531" s="365" t="str">
        <f>IF(X531&lt;&gt;"",VLOOKUP(C531,'General price list'!C533:AN1506,MATCH("HM",Tabulka1[[#Headers],[KOD]:[NEQ]],0),FALSE),"")</f>
        <v/>
      </c>
    </row>
    <row r="532" spans="1:27">
      <c r="A532">
        <f>COUNTIF($W$22:W532,1)</f>
        <v>0</v>
      </c>
      <c r="B532">
        <v>532</v>
      </c>
      <c r="C532" s="340" t="str">
        <f>Tabulka1[[#This Row],[KOD]]</f>
        <v>C2525DU</v>
      </c>
      <c r="W532" t="str">
        <f t="shared" si="8"/>
        <v/>
      </c>
      <c r="Y532" s="341">
        <f>IF('General price list'!$AB534="",0,'General price list'!$AB534)</f>
        <v>0</v>
      </c>
      <c r="Z532" s="365">
        <f>IFERROR(X532*VLOOKUP(C532,'General price list'!C:I,7,FALSE),"")</f>
        <v>0</v>
      </c>
      <c r="AA532" s="365" t="str">
        <f>IF(X532&lt;&gt;"",VLOOKUP(C532,'General price list'!C534:AN1507,MATCH("HM",Tabulka1[[#Headers],[KOD]:[NEQ]],0),FALSE),"")</f>
        <v/>
      </c>
    </row>
    <row r="533" spans="1:27">
      <c r="A533">
        <f>COUNTIF($W$22:W533,1)</f>
        <v>0</v>
      </c>
      <c r="B533">
        <v>533</v>
      </c>
      <c r="C533" s="340" t="str">
        <f>Tabulka1[[#This Row],[KOD]]</f>
        <v>C2525C</v>
      </c>
      <c r="W533" t="str">
        <f t="shared" si="8"/>
        <v/>
      </c>
      <c r="Y533" s="341">
        <f>IF('General price list'!$AB535="",0,'General price list'!$AB535)</f>
        <v>0</v>
      </c>
      <c r="Z533" s="365">
        <f>IFERROR(X533*VLOOKUP(C533,'General price list'!C:I,7,FALSE),"")</f>
        <v>0</v>
      </c>
      <c r="AA533" s="365" t="str">
        <f>IF(X533&lt;&gt;"",VLOOKUP(C533,'General price list'!C535:AN1508,MATCH("HM",Tabulka1[[#Headers],[KOD]:[NEQ]],0),FALSE),"")</f>
        <v/>
      </c>
    </row>
    <row r="534" spans="1:27">
      <c r="A534">
        <f>COUNTIF($W$22:W534,1)</f>
        <v>0</v>
      </c>
      <c r="B534">
        <v>534</v>
      </c>
      <c r="C534" s="340" t="str">
        <f>Tabulka1[[#This Row],[KOD]]</f>
        <v>C2525L</v>
      </c>
      <c r="W534" t="str">
        <f t="shared" si="8"/>
        <v/>
      </c>
      <c r="Y534" s="341">
        <f>IF('General price list'!$AB536="",0,'General price list'!$AB536)</f>
        <v>0</v>
      </c>
      <c r="Z534" s="365">
        <f>IFERROR(X534*VLOOKUP(C534,'General price list'!C:I,7,FALSE),"")</f>
        <v>0</v>
      </c>
      <c r="AA534" s="365" t="str">
        <f>IF(X534&lt;&gt;"",VLOOKUP(C534,'General price list'!C536:AN1509,MATCH("HM",Tabulka1[[#Headers],[KOD]:[NEQ]],0),FALSE),"")</f>
        <v/>
      </c>
    </row>
    <row r="535" spans="1:27">
      <c r="A535">
        <f>COUNTIF($W$22:W535,1)</f>
        <v>0</v>
      </c>
      <c r="B535">
        <v>535</v>
      </c>
      <c r="C535" s="340">
        <f>Tabulka1[[#This Row],[KOD]]</f>
        <v>0</v>
      </c>
      <c r="W535" t="str">
        <f t="shared" si="8"/>
        <v/>
      </c>
      <c r="Y535" s="341">
        <f>IF('General price list'!$AB537="",0,'General price list'!$AB537)</f>
        <v>0</v>
      </c>
      <c r="Z535" s="365" t="str">
        <f>IFERROR(X535*VLOOKUP(C535,'General price list'!C:I,7,FALSE),"")</f>
        <v/>
      </c>
      <c r="AA535" s="365" t="str">
        <f>IF(X535&lt;&gt;"",VLOOKUP(C535,'General price list'!C537:AN1510,MATCH("HM",Tabulka1[[#Headers],[KOD]:[NEQ]],0),FALSE),"")</f>
        <v/>
      </c>
    </row>
    <row r="536" spans="1:27">
      <c r="A536">
        <f>COUNTIF($W$22:W536,1)</f>
        <v>0</v>
      </c>
      <c r="B536">
        <v>536</v>
      </c>
      <c r="C536" s="340" t="str">
        <f>Tabulka1[[#This Row],[KOD]]</f>
        <v>C2525SC14</v>
      </c>
      <c r="W536" t="str">
        <f t="shared" ref="W536:W599" si="9">IF(Y536+1=1,"",1)</f>
        <v/>
      </c>
      <c r="Y536" s="341">
        <f>IF('General price list'!$AB538="",0,'General price list'!$AB538)</f>
        <v>0</v>
      </c>
      <c r="Z536" s="365">
        <f>IFERROR(X536*VLOOKUP(C536,'General price list'!C:I,7,FALSE),"")</f>
        <v>0</v>
      </c>
      <c r="AA536" s="365" t="str">
        <f>IF(X536&lt;&gt;"",VLOOKUP(C536,'General price list'!C538:AN1511,MATCH("HM",Tabulka1[[#Headers],[KOD]:[NEQ]],0),FALSE),"")</f>
        <v/>
      </c>
    </row>
    <row r="537" spans="1:27">
      <c r="A537">
        <f>COUNTIF($W$22:W537,1)</f>
        <v>0</v>
      </c>
      <c r="B537">
        <v>537</v>
      </c>
      <c r="C537" s="340">
        <f>Tabulka1[[#This Row],[KOD]]</f>
        <v>0</v>
      </c>
      <c r="W537" t="str">
        <f t="shared" si="9"/>
        <v/>
      </c>
      <c r="Y537" s="341">
        <f>IF('General price list'!$AB539="",0,'General price list'!$AB539)</f>
        <v>0</v>
      </c>
      <c r="Z537" s="365" t="str">
        <f>IFERROR(X537*VLOOKUP(C537,'General price list'!C:I,7,FALSE),"")</f>
        <v/>
      </c>
      <c r="AA537" s="365" t="str">
        <f>IF(X537&lt;&gt;"",VLOOKUP(C537,'General price list'!C539:AN1512,MATCH("HM",Tabulka1[[#Headers],[KOD]:[NEQ]],0),FALSE),"")</f>
        <v/>
      </c>
    </row>
    <row r="538" spans="1:27">
      <c r="A538">
        <f>COUNTIF($W$22:W538,1)</f>
        <v>0</v>
      </c>
      <c r="B538">
        <v>538</v>
      </c>
      <c r="C538" s="340" t="str">
        <f>Tabulka1[[#This Row],[KOD]]</f>
        <v>CF2525D</v>
      </c>
      <c r="W538" t="str">
        <f t="shared" si="9"/>
        <v/>
      </c>
      <c r="Y538" s="341">
        <f>IF('General price list'!$AB540="",0,'General price list'!$AB540)</f>
        <v>0</v>
      </c>
      <c r="Z538" s="365">
        <f>IFERROR(X538*VLOOKUP(C538,'General price list'!C:I,7,FALSE),"")</f>
        <v>0</v>
      </c>
      <c r="AA538" s="365" t="str">
        <f>IF(X538&lt;&gt;"",VLOOKUP(C538,'General price list'!C540:AN1513,MATCH("HM",Tabulka1[[#Headers],[KOD]:[NEQ]],0),FALSE),"")</f>
        <v/>
      </c>
    </row>
    <row r="539" spans="1:27">
      <c r="A539">
        <f>COUNTIF($W$22:W539,1)</f>
        <v>0</v>
      </c>
      <c r="B539">
        <v>539</v>
      </c>
      <c r="C539" s="340" t="str">
        <f>Tabulka1[[#This Row],[KOD]]</f>
        <v>CF2525O</v>
      </c>
      <c r="W539" t="str">
        <f t="shared" si="9"/>
        <v/>
      </c>
      <c r="Y539" s="341">
        <f>IF('General price list'!$AB541="",0,'General price list'!$AB541)</f>
        <v>0</v>
      </c>
      <c r="Z539" s="365">
        <f>IFERROR(X539*VLOOKUP(C539,'General price list'!C:I,7,FALSE),"")</f>
        <v>0</v>
      </c>
      <c r="AA539" s="365" t="str">
        <f>IF(X539&lt;&gt;"",VLOOKUP(C539,'General price list'!C541:AN1514,MATCH("HM",Tabulka1[[#Headers],[KOD]:[NEQ]],0),FALSE),"")</f>
        <v/>
      </c>
    </row>
    <row r="540" spans="1:27">
      <c r="A540">
        <f>COUNTIF($W$22:W540,1)</f>
        <v>0</v>
      </c>
      <c r="B540">
        <v>540</v>
      </c>
      <c r="C540" s="340" t="str">
        <f>Tabulka1[[#This Row],[KOD]]</f>
        <v>CF2525S</v>
      </c>
      <c r="W540" t="str">
        <f t="shared" si="9"/>
        <v/>
      </c>
      <c r="Y540" s="341">
        <f>IF('General price list'!$AB542="",0,'General price list'!$AB542)</f>
        <v>0</v>
      </c>
      <c r="Z540" s="365">
        <f>IFERROR(X540*VLOOKUP(C540,'General price list'!C:I,7,FALSE),"")</f>
        <v>0</v>
      </c>
      <c r="AA540" s="365" t="str">
        <f>IF(X540&lt;&gt;"",VLOOKUP(C540,'General price list'!C542:AN1515,MATCH("HM",Tabulka1[[#Headers],[KOD]:[NEQ]],0),FALSE),"")</f>
        <v/>
      </c>
    </row>
    <row r="541" spans="1:27">
      <c r="A541">
        <f>COUNTIF($W$22:W541,1)</f>
        <v>0</v>
      </c>
      <c r="B541">
        <v>541</v>
      </c>
      <c r="C541" s="340">
        <f>Tabulka1[[#This Row],[KOD]]</f>
        <v>0</v>
      </c>
      <c r="W541" t="str">
        <f t="shared" si="9"/>
        <v/>
      </c>
      <c r="Y541" s="341">
        <f>IF('General price list'!$AB543="",0,'General price list'!$AB543)</f>
        <v>0</v>
      </c>
      <c r="Z541" s="365" t="str">
        <f>IFERROR(X541*VLOOKUP(C541,'General price list'!C:I,7,FALSE),"")</f>
        <v/>
      </c>
      <c r="AA541" s="365" t="str">
        <f>IF(X541&lt;&gt;"",VLOOKUP(C541,'General price list'!C543:AN1516,MATCH("HM",Tabulka1[[#Headers],[KOD]:[NEQ]],0),FALSE),"")</f>
        <v/>
      </c>
    </row>
    <row r="542" spans="1:27">
      <c r="A542">
        <f>COUNTIF($W$22:W542,1)</f>
        <v>0</v>
      </c>
      <c r="B542">
        <v>542</v>
      </c>
      <c r="C542" s="340" t="str">
        <f>Tabulka1[[#This Row],[KOD]]</f>
        <v>C3625P</v>
      </c>
      <c r="W542" t="str">
        <f t="shared" si="9"/>
        <v/>
      </c>
      <c r="Y542" s="341">
        <f>IF('General price list'!$AB544="",0,'General price list'!$AB544)</f>
        <v>0</v>
      </c>
      <c r="Z542" s="365">
        <f>IFERROR(X542*VLOOKUP(C542,'General price list'!C:I,7,FALSE),"")</f>
        <v>0</v>
      </c>
      <c r="AA542" s="365" t="str">
        <f>IF(X542&lt;&gt;"",VLOOKUP(C542,'General price list'!C544:AN1517,MATCH("HM",Tabulka1[[#Headers],[KOD]:[NEQ]],0),FALSE),"")</f>
        <v/>
      </c>
    </row>
    <row r="543" spans="1:27">
      <c r="A543">
        <f>COUNTIF($W$22:W543,1)</f>
        <v>0</v>
      </c>
      <c r="B543">
        <v>543</v>
      </c>
      <c r="C543" s="340">
        <f>Tabulka1[[#This Row],[KOD]]</f>
        <v>0</v>
      </c>
      <c r="W543" t="str">
        <f t="shared" si="9"/>
        <v/>
      </c>
      <c r="Y543" s="341">
        <f>IF('General price list'!$AB545="",0,'General price list'!$AB545)</f>
        <v>0</v>
      </c>
      <c r="Z543" s="365" t="str">
        <f>IFERROR(X543*VLOOKUP(C543,'General price list'!C:I,7,FALSE),"")</f>
        <v/>
      </c>
      <c r="AA543" s="365" t="str">
        <f>IF(X543&lt;&gt;"",VLOOKUP(C543,'General price list'!C545:AN1518,MATCH("HM",Tabulka1[[#Headers],[KOD]:[NEQ]],0),FALSE),"")</f>
        <v/>
      </c>
    </row>
    <row r="544" spans="1:27">
      <c r="A544">
        <f>COUNTIF($W$22:W544,1)</f>
        <v>0</v>
      </c>
      <c r="B544">
        <v>544</v>
      </c>
      <c r="C544" s="340" t="str">
        <f>Tabulka1[[#This Row],[KOD]]</f>
        <v>C3625P14</v>
      </c>
      <c r="W544" t="str">
        <f t="shared" si="9"/>
        <v/>
      </c>
      <c r="Y544" s="341">
        <f>IF('General price list'!$AB546="",0,'General price list'!$AB546)</f>
        <v>0</v>
      </c>
      <c r="Z544" s="365">
        <f>IFERROR(X544*VLOOKUP(C544,'General price list'!C:I,7,FALSE),"")</f>
        <v>0</v>
      </c>
      <c r="AA544" s="365" t="str">
        <f>IF(X544&lt;&gt;"",VLOOKUP(C544,'General price list'!C546:AN1519,MATCH("HM",Tabulka1[[#Headers],[KOD]:[NEQ]],0),FALSE),"")</f>
        <v/>
      </c>
    </row>
    <row r="545" spans="1:27">
      <c r="A545">
        <f>COUNTIF($W$22:W545,1)</f>
        <v>0</v>
      </c>
      <c r="B545">
        <v>545</v>
      </c>
      <c r="C545" s="340">
        <f>Tabulka1[[#This Row],[KOD]]</f>
        <v>0</v>
      </c>
      <c r="W545" t="str">
        <f t="shared" si="9"/>
        <v/>
      </c>
      <c r="Y545" s="341">
        <f>IF('General price list'!$AB547="",0,'General price list'!$AB547)</f>
        <v>0</v>
      </c>
      <c r="Z545" s="365" t="str">
        <f>IFERROR(X545*VLOOKUP(C545,'General price list'!C:I,7,FALSE),"")</f>
        <v/>
      </c>
      <c r="AA545" s="365" t="str">
        <f>IF(X545&lt;&gt;"",VLOOKUP(C545,'General price list'!C547:AN1520,MATCH("HM",Tabulka1[[#Headers],[KOD]:[NEQ]],0),FALSE),"")</f>
        <v/>
      </c>
    </row>
    <row r="546" spans="1:27">
      <c r="A546">
        <f>COUNTIF($W$22:W546,1)</f>
        <v>0</v>
      </c>
      <c r="B546">
        <v>546</v>
      </c>
      <c r="C546" s="340" t="str">
        <f>Tabulka1[[#This Row],[KOD]]</f>
        <v>C4825MP</v>
      </c>
      <c r="W546" t="str">
        <f t="shared" si="9"/>
        <v/>
      </c>
      <c r="Y546" s="341">
        <f>IF('General price list'!$AB548="",0,'General price list'!$AB548)</f>
        <v>0</v>
      </c>
      <c r="Z546" s="365">
        <f>IFERROR(X546*VLOOKUP(C546,'General price list'!C:I,7,FALSE),"")</f>
        <v>0</v>
      </c>
      <c r="AA546" s="365" t="str">
        <f>IF(X546&lt;&gt;"",VLOOKUP(C546,'General price list'!C548:AN1521,MATCH("HM",Tabulka1[[#Headers],[KOD]:[NEQ]],0),FALSE),"")</f>
        <v/>
      </c>
    </row>
    <row r="547" spans="1:27">
      <c r="A547">
        <f>COUNTIF($W$22:W547,1)</f>
        <v>0</v>
      </c>
      <c r="B547">
        <v>547</v>
      </c>
      <c r="C547" s="340">
        <f>Tabulka1[[#This Row],[KOD]]</f>
        <v>0</v>
      </c>
      <c r="W547" t="str">
        <f t="shared" si="9"/>
        <v/>
      </c>
      <c r="Y547" s="341">
        <f>IF('General price list'!$AB549="",0,'General price list'!$AB549)</f>
        <v>0</v>
      </c>
      <c r="Z547" s="365" t="str">
        <f>IFERROR(X547*VLOOKUP(C547,'General price list'!C:I,7,FALSE),"")</f>
        <v/>
      </c>
      <c r="AA547" s="365" t="str">
        <f>IF(X547&lt;&gt;"",VLOOKUP(C547,'General price list'!C549:AN1522,MATCH("HM",Tabulka1[[#Headers],[KOD]:[NEQ]],0),FALSE),"")</f>
        <v/>
      </c>
    </row>
    <row r="548" spans="1:27">
      <c r="A548">
        <f>COUNTIF($W$22:W548,1)</f>
        <v>0</v>
      </c>
      <c r="B548">
        <v>548</v>
      </c>
      <c r="C548" s="340" t="str">
        <f>Tabulka1[[#This Row],[KOD]]</f>
        <v>C4925G</v>
      </c>
      <c r="W548" t="str">
        <f t="shared" si="9"/>
        <v/>
      </c>
      <c r="Y548" s="341">
        <f>IF('General price list'!$AB550="",0,'General price list'!$AB550)</f>
        <v>0</v>
      </c>
      <c r="Z548" s="365">
        <f>IFERROR(X548*VLOOKUP(C548,'General price list'!C:I,7,FALSE),"")</f>
        <v>0</v>
      </c>
      <c r="AA548" s="365" t="str">
        <f>IF(X548&lt;&gt;"",VLOOKUP(C548,'General price list'!C550:AN1523,MATCH("HM",Tabulka1[[#Headers],[KOD]:[NEQ]],0),FALSE),"")</f>
        <v/>
      </c>
    </row>
    <row r="549" spans="1:27">
      <c r="A549">
        <f>COUNTIF($W$22:W549,1)</f>
        <v>0</v>
      </c>
      <c r="B549">
        <v>549</v>
      </c>
      <c r="C549" s="340" t="str">
        <f>Tabulka1[[#This Row],[KOD]]</f>
        <v>C4925P</v>
      </c>
      <c r="W549" t="str">
        <f t="shared" si="9"/>
        <v/>
      </c>
      <c r="Y549" s="341">
        <f>IF('General price list'!$AB551="",0,'General price list'!$AB551)</f>
        <v>0</v>
      </c>
      <c r="Z549" s="365">
        <f>IFERROR(X549*VLOOKUP(C549,'General price list'!C:I,7,FALSE),"")</f>
        <v>0</v>
      </c>
      <c r="AA549" s="365" t="str">
        <f>IF(X549&lt;&gt;"",VLOOKUP(C549,'General price list'!C551:AN1524,MATCH("HM",Tabulka1[[#Headers],[KOD]:[NEQ]],0),FALSE),"")</f>
        <v/>
      </c>
    </row>
    <row r="550" spans="1:27">
      <c r="A550">
        <f>COUNTIF($W$22:W550,1)</f>
        <v>0</v>
      </c>
      <c r="B550">
        <v>550</v>
      </c>
      <c r="C550" s="340" t="str">
        <f>Tabulka1[[#This Row],[KOD]]</f>
        <v>C4925V</v>
      </c>
      <c r="W550" t="str">
        <f t="shared" si="9"/>
        <v/>
      </c>
      <c r="Y550" s="341">
        <f>IF('General price list'!$AB552="",0,'General price list'!$AB552)</f>
        <v>0</v>
      </c>
      <c r="Z550" s="365">
        <f>IFERROR(X550*VLOOKUP(C550,'General price list'!C:I,7,FALSE),"")</f>
        <v>0</v>
      </c>
      <c r="AA550" s="365" t="str">
        <f>IF(X550&lt;&gt;"",VLOOKUP(C550,'General price list'!C552:AN1525,MATCH("HM",Tabulka1[[#Headers],[KOD]:[NEQ]],0),FALSE),"")</f>
        <v/>
      </c>
    </row>
    <row r="551" spans="1:27">
      <c r="A551">
        <f>COUNTIF($W$22:W551,1)</f>
        <v>0</v>
      </c>
      <c r="B551">
        <v>551</v>
      </c>
      <c r="C551" s="340">
        <f>Tabulka1[[#This Row],[KOD]]</f>
        <v>0</v>
      </c>
      <c r="W551" t="str">
        <f t="shared" si="9"/>
        <v/>
      </c>
      <c r="Y551" s="341">
        <f>IF('General price list'!$AB553="",0,'General price list'!$AB553)</f>
        <v>0</v>
      </c>
      <c r="Z551" s="365" t="str">
        <f>IFERROR(X551*VLOOKUP(C551,'General price list'!C:I,7,FALSE),"")</f>
        <v/>
      </c>
      <c r="AA551" s="365" t="str">
        <f>IF(X551&lt;&gt;"",VLOOKUP(C551,'General price list'!C553:AN1526,MATCH("HM",Tabulka1[[#Headers],[KOD]:[NEQ]],0),FALSE),"")</f>
        <v/>
      </c>
    </row>
    <row r="552" spans="1:27">
      <c r="A552">
        <f>COUNTIF($W$22:W552,1)</f>
        <v>0</v>
      </c>
      <c r="B552">
        <v>552</v>
      </c>
      <c r="C552" s="340" t="str">
        <f>Tabulka1[[#This Row],[KOD]]</f>
        <v>C4925BP14</v>
      </c>
      <c r="W552" t="str">
        <f t="shared" si="9"/>
        <v/>
      </c>
      <c r="Y552" s="341">
        <f>IF('General price list'!$AB554="",0,'General price list'!$AB554)</f>
        <v>0</v>
      </c>
      <c r="Z552" s="365">
        <f>IFERROR(X552*VLOOKUP(C552,'General price list'!C:I,7,FALSE),"")</f>
        <v>0</v>
      </c>
      <c r="AA552" s="365" t="str">
        <f>IF(X552&lt;&gt;"",VLOOKUP(C552,'General price list'!C554:AN1527,MATCH("HM",Tabulka1[[#Headers],[KOD]:[NEQ]],0),FALSE),"")</f>
        <v/>
      </c>
    </row>
    <row r="553" spans="1:27">
      <c r="A553">
        <f>COUNTIF($W$22:W553,1)</f>
        <v>0</v>
      </c>
      <c r="B553">
        <v>553</v>
      </c>
      <c r="C553" s="340" t="str">
        <f>Tabulka1[[#This Row],[KOD]]</f>
        <v>C4925NO14</v>
      </c>
      <c r="W553" t="str">
        <f t="shared" si="9"/>
        <v/>
      </c>
      <c r="Y553" s="341">
        <f>IF('General price list'!$AB555="",0,'General price list'!$AB555)</f>
        <v>0</v>
      </c>
      <c r="Z553" s="365">
        <f>IFERROR(X553*VLOOKUP(C553,'General price list'!C:I,7,FALSE),"")</f>
        <v>0</v>
      </c>
      <c r="AA553" s="365" t="str">
        <f>IF(X553&lt;&gt;"",VLOOKUP(C553,'General price list'!C555:AN1528,MATCH("HM",Tabulka1[[#Headers],[KOD]:[NEQ]],0),FALSE),"")</f>
        <v/>
      </c>
    </row>
    <row r="554" spans="1:27">
      <c r="A554">
        <f>COUNTIF($W$22:W554,1)</f>
        <v>0</v>
      </c>
      <c r="B554">
        <v>554</v>
      </c>
      <c r="C554" s="340" t="str">
        <f>Tabulka1[[#This Row],[KOD]]</f>
        <v>C4925V14</v>
      </c>
      <c r="W554" t="str">
        <f t="shared" si="9"/>
        <v/>
      </c>
      <c r="Y554" s="341">
        <f>IF('General price list'!$AB556="",0,'General price list'!$AB556)</f>
        <v>0</v>
      </c>
      <c r="Z554" s="365">
        <f>IFERROR(X554*VLOOKUP(C554,'General price list'!C:I,7,FALSE),"")</f>
        <v>0</v>
      </c>
      <c r="AA554" s="365" t="str">
        <f>IF(X554&lt;&gt;"",VLOOKUP(C554,'General price list'!C556:AN1529,MATCH("HM",Tabulka1[[#Headers],[KOD]:[NEQ]],0),FALSE),"")</f>
        <v/>
      </c>
    </row>
    <row r="555" spans="1:27">
      <c r="A555">
        <f>COUNTIF($W$22:W555,1)</f>
        <v>0</v>
      </c>
      <c r="B555">
        <v>555</v>
      </c>
      <c r="C555" s="340" t="str">
        <f>Tabulka1[[#This Row],[KOD]]</f>
        <v>C4925VS14</v>
      </c>
      <c r="W555" t="str">
        <f t="shared" si="9"/>
        <v/>
      </c>
      <c r="Y555" s="341">
        <f>IF('General price list'!$AB557="",0,'General price list'!$AB557)</f>
        <v>0</v>
      </c>
      <c r="Z555" s="365">
        <f>IFERROR(X555*VLOOKUP(C555,'General price list'!C:I,7,FALSE),"")</f>
        <v>0</v>
      </c>
      <c r="AA555" s="365" t="str">
        <f>IF(X555&lt;&gt;"",VLOOKUP(C555,'General price list'!C557:AN1530,MATCH("HM",Tabulka1[[#Headers],[KOD]:[NEQ]],0),FALSE),"")</f>
        <v/>
      </c>
    </row>
    <row r="556" spans="1:27">
      <c r="A556">
        <f>COUNTIF($W$22:W556,1)</f>
        <v>0</v>
      </c>
      <c r="B556">
        <v>556</v>
      </c>
      <c r="C556" s="340">
        <f>Tabulka1[[#This Row],[KOD]]</f>
        <v>0</v>
      </c>
      <c r="W556" t="str">
        <f t="shared" si="9"/>
        <v/>
      </c>
      <c r="Y556" s="341">
        <f>IF('General price list'!$AB558="",0,'General price list'!$AB558)</f>
        <v>0</v>
      </c>
      <c r="Z556" s="365" t="str">
        <f>IFERROR(X556*VLOOKUP(C556,'General price list'!C:I,7,FALSE),"")</f>
        <v/>
      </c>
      <c r="AA556" s="365" t="str">
        <f>IF(X556&lt;&gt;"",VLOOKUP(C556,'General price list'!C558:AN1531,MATCH("HM",Tabulka1[[#Headers],[KOD]:[NEQ]],0),FALSE),"")</f>
        <v/>
      </c>
    </row>
    <row r="557" spans="1:27">
      <c r="A557">
        <f>COUNTIF($W$22:W557,1)</f>
        <v>0</v>
      </c>
      <c r="B557">
        <v>557</v>
      </c>
      <c r="C557" s="340" t="str">
        <f>Tabulka1[[#This Row],[KOD]]</f>
        <v>C4925SIG</v>
      </c>
      <c r="W557" t="str">
        <f t="shared" si="9"/>
        <v/>
      </c>
      <c r="Y557" s="341">
        <f>IF('General price list'!$AB559="",0,'General price list'!$AB559)</f>
        <v>0</v>
      </c>
      <c r="Z557" s="365">
        <f>IFERROR(X557*VLOOKUP(C557,'General price list'!C:I,7,FALSE),"")</f>
        <v>0</v>
      </c>
      <c r="AA557" s="365" t="str">
        <f>IF(X557&lt;&gt;"",VLOOKUP(C557,'General price list'!C559:AN1532,MATCH("HM",Tabulka1[[#Headers],[KOD]:[NEQ]],0),FALSE),"")</f>
        <v/>
      </c>
    </row>
    <row r="558" spans="1:27">
      <c r="A558">
        <f>COUNTIF($W$22:W558,1)</f>
        <v>0</v>
      </c>
      <c r="B558">
        <v>558</v>
      </c>
      <c r="C558" s="340" t="str">
        <f>Tabulka1[[#This Row],[KOD]]</f>
        <v>C4925D</v>
      </c>
      <c r="W558" t="str">
        <f t="shared" si="9"/>
        <v/>
      </c>
      <c r="Y558" s="341">
        <f>IF('General price list'!$AB560="",0,'General price list'!$AB560)</f>
        <v>0</v>
      </c>
      <c r="Z558" s="365">
        <f>IFERROR(X558*VLOOKUP(C558,'General price list'!C:I,7,FALSE),"")</f>
        <v>0</v>
      </c>
      <c r="AA558" s="365" t="str">
        <f>IF(X558&lt;&gt;"",VLOOKUP(C558,'General price list'!C560:AN1533,MATCH("HM",Tabulka1[[#Headers],[KOD]:[NEQ]],0),FALSE),"")</f>
        <v/>
      </c>
    </row>
    <row r="559" spans="1:27">
      <c r="A559">
        <f>COUNTIF($W$22:W559,1)</f>
        <v>0</v>
      </c>
      <c r="B559">
        <v>559</v>
      </c>
      <c r="C559" s="340">
        <f>Tabulka1[[#This Row],[KOD]]</f>
        <v>0</v>
      </c>
      <c r="W559" t="str">
        <f t="shared" si="9"/>
        <v/>
      </c>
      <c r="Y559" s="341">
        <f>IF('General price list'!$AB561="",0,'General price list'!$AB561)</f>
        <v>0</v>
      </c>
      <c r="Z559" s="365" t="str">
        <f>IFERROR(X559*VLOOKUP(C559,'General price list'!C:I,7,FALSE),"")</f>
        <v/>
      </c>
      <c r="AA559" s="365" t="str">
        <f>IF(X559&lt;&gt;"",VLOOKUP(C559,'General price list'!C561:AN1534,MATCH("HM",Tabulka1[[#Headers],[KOD]:[NEQ]],0),FALSE),"")</f>
        <v/>
      </c>
    </row>
    <row r="560" spans="1:27">
      <c r="A560">
        <f>COUNTIF($W$22:W560,1)</f>
        <v>0</v>
      </c>
      <c r="B560">
        <v>560</v>
      </c>
      <c r="C560" s="340" t="str">
        <f>Tabulka1[[#This Row],[KOD]]</f>
        <v>CF4925S14</v>
      </c>
      <c r="W560" t="str">
        <f t="shared" si="9"/>
        <v/>
      </c>
      <c r="Y560" s="341">
        <f>IF('General price list'!$AB562="",0,'General price list'!$AB562)</f>
        <v>0</v>
      </c>
      <c r="Z560" s="365">
        <f>IFERROR(X560*VLOOKUP(C560,'General price list'!C:I,7,FALSE),"")</f>
        <v>0</v>
      </c>
      <c r="AA560" s="365" t="str">
        <f>IF(X560&lt;&gt;"",VLOOKUP(C560,'General price list'!C562:AN1535,MATCH("HM",Tabulka1[[#Headers],[KOD]:[NEQ]],0),FALSE),"")</f>
        <v/>
      </c>
    </row>
    <row r="561" spans="1:27">
      <c r="A561">
        <f>COUNTIF($W$22:W561,1)</f>
        <v>0</v>
      </c>
      <c r="B561">
        <v>561</v>
      </c>
      <c r="C561" s="340" t="str">
        <f>Tabulka1[[#This Row],[KOD]]</f>
        <v>CF4925B14</v>
      </c>
      <c r="W561" t="str">
        <f t="shared" si="9"/>
        <v/>
      </c>
      <c r="Y561" s="341">
        <f>IF('General price list'!$AB563="",0,'General price list'!$AB563)</f>
        <v>0</v>
      </c>
      <c r="Z561" s="365">
        <f>IFERROR(X561*VLOOKUP(C561,'General price list'!C:I,7,FALSE),"")</f>
        <v>0</v>
      </c>
      <c r="AA561" s="365" t="str">
        <f>IF(X561&lt;&gt;"",VLOOKUP(C561,'General price list'!C563:AN1536,MATCH("HM",Tabulka1[[#Headers],[KOD]:[NEQ]],0),FALSE),"")</f>
        <v/>
      </c>
    </row>
    <row r="562" spans="1:27">
      <c r="A562">
        <f>COUNTIF($W$22:W562,1)</f>
        <v>0</v>
      </c>
      <c r="B562">
        <v>562</v>
      </c>
      <c r="C562" s="340">
        <f>Tabulka1[[#This Row],[KOD]]</f>
        <v>0</v>
      </c>
      <c r="W562" t="str">
        <f t="shared" si="9"/>
        <v/>
      </c>
      <c r="Y562" s="341">
        <f>IF('General price list'!$AB564="",0,'General price list'!$AB564)</f>
        <v>0</v>
      </c>
      <c r="Z562" s="365" t="str">
        <f>IFERROR(X562*VLOOKUP(C562,'General price list'!C:I,7,FALSE),"")</f>
        <v/>
      </c>
      <c r="AA562" s="365" t="str">
        <f>IF(X562&lt;&gt;"",VLOOKUP(C562,'General price list'!C564:AN1537,MATCH("HM",Tabulka1[[#Headers],[KOD]:[NEQ]],0),FALSE),"")</f>
        <v/>
      </c>
    </row>
    <row r="563" spans="1:27">
      <c r="A563">
        <f>COUNTIF($W$22:W563,1)</f>
        <v>0</v>
      </c>
      <c r="B563">
        <v>563</v>
      </c>
      <c r="C563" s="340" t="str">
        <f>Tabulka1[[#This Row],[KOD]]</f>
        <v>CF4925S</v>
      </c>
      <c r="W563" t="str">
        <f t="shared" si="9"/>
        <v/>
      </c>
      <c r="Y563" s="341">
        <f>IF('General price list'!$AB565="",0,'General price list'!$AB565)</f>
        <v>0</v>
      </c>
      <c r="Z563" s="365">
        <f>IFERROR(X563*VLOOKUP(C563,'General price list'!C:I,7,FALSE),"")</f>
        <v>0</v>
      </c>
      <c r="AA563" s="365" t="str">
        <f>IF(X563&lt;&gt;"",VLOOKUP(C563,'General price list'!C565:AN1538,MATCH("HM",Tabulka1[[#Headers],[KOD]:[NEQ]],0),FALSE),"")</f>
        <v/>
      </c>
    </row>
    <row r="564" spans="1:27">
      <c r="A564">
        <f>COUNTIF($W$22:W564,1)</f>
        <v>0</v>
      </c>
      <c r="B564">
        <v>564</v>
      </c>
      <c r="C564" s="340" t="str">
        <f>Tabulka1[[#This Row],[KOD]]</f>
        <v>CF4925D</v>
      </c>
      <c r="W564" t="str">
        <f t="shared" si="9"/>
        <v/>
      </c>
      <c r="Y564" s="341">
        <f>IF('General price list'!$AB566="",0,'General price list'!$AB566)</f>
        <v>0</v>
      </c>
      <c r="Z564" s="365">
        <f>IFERROR(X564*VLOOKUP(C564,'General price list'!C:I,7,FALSE),"")</f>
        <v>0</v>
      </c>
      <c r="AA564" s="365" t="str">
        <f>IF(X564&lt;&gt;"",VLOOKUP(C564,'General price list'!C566:AN1539,MATCH("HM",Tabulka1[[#Headers],[KOD]:[NEQ]],0),FALSE),"")</f>
        <v/>
      </c>
    </row>
    <row r="565" spans="1:27">
      <c r="A565">
        <f>COUNTIF($W$22:W565,1)</f>
        <v>0</v>
      </c>
      <c r="B565">
        <v>565</v>
      </c>
      <c r="C565" s="340" t="str">
        <f>Tabulka1[[#This Row],[KOD]]</f>
        <v>CF4925B</v>
      </c>
      <c r="W565" t="str">
        <f t="shared" si="9"/>
        <v/>
      </c>
      <c r="Y565" s="341">
        <f>IF('General price list'!$AB567="",0,'General price list'!$AB567)</f>
        <v>0</v>
      </c>
      <c r="Z565" s="365">
        <f>IFERROR(X565*VLOOKUP(C565,'General price list'!C:I,7,FALSE),"")</f>
        <v>0</v>
      </c>
      <c r="AA565" s="365" t="str">
        <f>IF(X565&lt;&gt;"",VLOOKUP(C565,'General price list'!C567:AN1540,MATCH("HM",Tabulka1[[#Headers],[KOD]:[NEQ]],0),FALSE),"")</f>
        <v/>
      </c>
    </row>
    <row r="566" spans="1:27">
      <c r="A566">
        <f>COUNTIF($W$22:W566,1)</f>
        <v>0</v>
      </c>
      <c r="B566">
        <v>566</v>
      </c>
      <c r="C566" s="340">
        <f>Tabulka1[[#This Row],[KOD]]</f>
        <v>0</v>
      </c>
      <c r="W566" t="str">
        <f t="shared" si="9"/>
        <v/>
      </c>
      <c r="Y566" s="341">
        <f>IF('General price list'!$AB568="",0,'General price list'!$AB568)</f>
        <v>0</v>
      </c>
      <c r="Z566" s="365" t="str">
        <f>IFERROR(X566*VLOOKUP(C566,'General price list'!C:I,7,FALSE),"")</f>
        <v/>
      </c>
      <c r="AA566" s="365" t="str">
        <f>IF(X566&lt;&gt;"",VLOOKUP(C566,'General price list'!C568:AN1541,MATCH("HM",Tabulka1[[#Headers],[KOD]:[NEQ]],0),FALSE),"")</f>
        <v/>
      </c>
    </row>
    <row r="567" spans="1:27">
      <c r="A567">
        <f>COUNTIF($W$22:W567,1)</f>
        <v>0</v>
      </c>
      <c r="B567">
        <v>567</v>
      </c>
      <c r="C567" s="340" t="str">
        <f>Tabulka1[[#This Row],[KOD]]</f>
        <v>C6425XPT</v>
      </c>
      <c r="W567" t="str">
        <f t="shared" si="9"/>
        <v/>
      </c>
      <c r="Y567" s="341">
        <f>IF('General price list'!$AB569="",0,'General price list'!$AB569)</f>
        <v>0</v>
      </c>
      <c r="Z567" s="365">
        <f>IFERROR(X567*VLOOKUP(C567,'General price list'!C:I,7,FALSE),"")</f>
        <v>0</v>
      </c>
      <c r="AA567" s="365" t="str">
        <f>IF(X567&lt;&gt;"",VLOOKUP(C567,'General price list'!C569:AN1542,MATCH("HM",Tabulka1[[#Headers],[KOD]:[NEQ]],0),FALSE),"")</f>
        <v/>
      </c>
    </row>
    <row r="568" spans="1:27">
      <c r="A568">
        <f>COUNTIF($W$22:W568,1)</f>
        <v>0</v>
      </c>
      <c r="B568">
        <v>568</v>
      </c>
      <c r="C568" s="340">
        <f>Tabulka1[[#This Row],[KOD]]</f>
        <v>0</v>
      </c>
      <c r="W568" t="str">
        <f t="shared" si="9"/>
        <v/>
      </c>
      <c r="Y568" s="341">
        <f>IF('General price list'!$AB570="",0,'General price list'!$AB570)</f>
        <v>0</v>
      </c>
      <c r="Z568" s="365" t="str">
        <f>IFERROR(X568*VLOOKUP(C568,'General price list'!C:I,7,FALSE),"")</f>
        <v/>
      </c>
      <c r="AA568" s="365" t="str">
        <f>IF(X568&lt;&gt;"",VLOOKUP(C568,'General price list'!C570:AN1543,MATCH("HM",Tabulka1[[#Headers],[KOD]:[NEQ]],0),FALSE),"")</f>
        <v/>
      </c>
    </row>
    <row r="569" spans="1:27">
      <c r="A569">
        <f>COUNTIF($W$22:W569,1)</f>
        <v>0</v>
      </c>
      <c r="B569">
        <v>569</v>
      </c>
      <c r="C569" s="340" t="str">
        <f>Tabulka1[[#This Row],[KOD]]</f>
        <v>C8825G</v>
      </c>
      <c r="W569" t="str">
        <f t="shared" si="9"/>
        <v/>
      </c>
      <c r="Y569" s="341">
        <f>IF('General price list'!$AB571="",0,'General price list'!$AB571)</f>
        <v>0</v>
      </c>
      <c r="Z569" s="365">
        <f>IFERROR(X569*VLOOKUP(C569,'General price list'!C:I,7,FALSE),"")</f>
        <v>0</v>
      </c>
      <c r="AA569" s="365" t="str">
        <f>IF(X569&lt;&gt;"",VLOOKUP(C569,'General price list'!C571:AN1544,MATCH("HM",Tabulka1[[#Headers],[KOD]:[NEQ]],0),FALSE),"")</f>
        <v/>
      </c>
    </row>
    <row r="570" spans="1:27">
      <c r="A570">
        <f>COUNTIF($W$22:W570,1)</f>
        <v>0</v>
      </c>
      <c r="B570">
        <v>570</v>
      </c>
      <c r="C570" s="340" t="str">
        <f>Tabulka1[[#This Row],[KOD]]</f>
        <v>C8825PA</v>
      </c>
      <c r="W570" t="str">
        <f t="shared" si="9"/>
        <v/>
      </c>
      <c r="Y570" s="341">
        <f>IF('General price list'!$AB572="",0,'General price list'!$AB572)</f>
        <v>0</v>
      </c>
      <c r="Z570" s="365">
        <f>IFERROR(X570*VLOOKUP(C570,'General price list'!C:I,7,FALSE),"")</f>
        <v>0</v>
      </c>
      <c r="AA570" s="365" t="str">
        <f>IF(X570&lt;&gt;"",VLOOKUP(C570,'General price list'!C572:AN1545,MATCH("HM",Tabulka1[[#Headers],[KOD]:[NEQ]],0),FALSE),"")</f>
        <v/>
      </c>
    </row>
    <row r="571" spans="1:27">
      <c r="A571">
        <f>COUNTIF($W$22:W571,1)</f>
        <v>0</v>
      </c>
      <c r="B571">
        <v>571</v>
      </c>
      <c r="C571" s="340" t="str">
        <f>Tabulka1[[#This Row],[KOD]]</f>
        <v>C8825BR</v>
      </c>
      <c r="W571" t="str">
        <f t="shared" si="9"/>
        <v/>
      </c>
      <c r="Y571" s="341">
        <f>IF('General price list'!$AB573="",0,'General price list'!$AB573)</f>
        <v>0</v>
      </c>
      <c r="Z571" s="365">
        <f>IFERROR(X571*VLOOKUP(C571,'General price list'!C:I,7,FALSE),"")</f>
        <v>0</v>
      </c>
      <c r="AA571" s="365" t="str">
        <f>IF(X571&lt;&gt;"",VLOOKUP(C571,'General price list'!C573:AN1546,MATCH("HM",Tabulka1[[#Headers],[KOD]:[NEQ]],0),FALSE),"")</f>
        <v/>
      </c>
    </row>
    <row r="572" spans="1:27">
      <c r="A572">
        <f>COUNTIF($W$22:W572,1)</f>
        <v>0</v>
      </c>
      <c r="B572">
        <v>572</v>
      </c>
      <c r="C572" s="340">
        <f>Tabulka1[[#This Row],[KOD]]</f>
        <v>0</v>
      </c>
      <c r="W572" t="str">
        <f t="shared" si="9"/>
        <v/>
      </c>
      <c r="Y572" s="341">
        <f>IF('General price list'!$AB574="",0,'General price list'!$AB574)</f>
        <v>0</v>
      </c>
      <c r="Z572" s="365" t="str">
        <f>IFERROR(X572*VLOOKUP(C572,'General price list'!C:I,7,FALSE),"")</f>
        <v/>
      </c>
      <c r="AA572" s="365" t="str">
        <f>IF(X572&lt;&gt;"",VLOOKUP(C572,'General price list'!C574:AN1547,MATCH("HM",Tabulka1[[#Headers],[KOD]:[NEQ]],0),FALSE),"")</f>
        <v/>
      </c>
    </row>
    <row r="573" spans="1:27">
      <c r="A573">
        <f>COUNTIF($W$22:W573,1)</f>
        <v>0</v>
      </c>
      <c r="B573">
        <v>573</v>
      </c>
      <c r="C573" s="340" t="str">
        <f>Tabulka1[[#This Row],[KOD]]</f>
        <v>C10025BPS</v>
      </c>
      <c r="W573" t="str">
        <f t="shared" si="9"/>
        <v/>
      </c>
      <c r="Y573" s="341">
        <f>IF('General price list'!$AB575="",0,'General price list'!$AB575)</f>
        <v>0</v>
      </c>
      <c r="Z573" s="365">
        <f>IFERROR(X573*VLOOKUP(C573,'General price list'!C:I,7,FALSE),"")</f>
        <v>0</v>
      </c>
      <c r="AA573" s="365" t="str">
        <f>IF(X573&lt;&gt;"",VLOOKUP(C573,'General price list'!C575:AN1548,MATCH("HM",Tabulka1[[#Headers],[KOD]:[NEQ]],0),FALSE),"")</f>
        <v/>
      </c>
    </row>
    <row r="574" spans="1:27">
      <c r="A574">
        <f>COUNTIF($W$22:W574,1)</f>
        <v>0</v>
      </c>
      <c r="B574">
        <v>574</v>
      </c>
      <c r="C574" s="340" t="str">
        <f>Tabulka1[[#This Row],[KOD]]</f>
        <v>C10025PR1</v>
      </c>
      <c r="W574" t="str">
        <f t="shared" si="9"/>
        <v/>
      </c>
      <c r="Y574" s="341">
        <f>IF('General price list'!$AB576="",0,'General price list'!$AB576)</f>
        <v>0</v>
      </c>
      <c r="Z574" s="365">
        <f>IFERROR(X574*VLOOKUP(C574,'General price list'!C:I,7,FALSE),"")</f>
        <v>0</v>
      </c>
      <c r="AA574" s="365" t="str">
        <f>IF(X574&lt;&gt;"",VLOOKUP(C574,'General price list'!C576:AN1549,MATCH("HM",Tabulka1[[#Headers],[KOD]:[NEQ]],0),FALSE),"")</f>
        <v/>
      </c>
    </row>
    <row r="575" spans="1:27">
      <c r="A575">
        <f>COUNTIF($W$22:W575,1)</f>
        <v>0</v>
      </c>
      <c r="B575">
        <v>575</v>
      </c>
      <c r="C575" s="340" t="str">
        <f>Tabulka1[[#This Row],[KOD]]</f>
        <v>C10025I</v>
      </c>
      <c r="W575" t="str">
        <f t="shared" si="9"/>
        <v/>
      </c>
      <c r="Y575" s="341">
        <f>IF('General price list'!$AB577="",0,'General price list'!$AB577)</f>
        <v>0</v>
      </c>
      <c r="Z575" s="365">
        <f>IFERROR(X575*VLOOKUP(C575,'General price list'!C:I,7,FALSE),"")</f>
        <v>0</v>
      </c>
      <c r="AA575" s="365" t="str">
        <f>IF(X575&lt;&gt;"",VLOOKUP(C575,'General price list'!C577:AN1550,MATCH("HM",Tabulka1[[#Headers],[KOD]:[NEQ]],0),FALSE),"")</f>
        <v/>
      </c>
    </row>
    <row r="576" spans="1:27">
      <c r="A576">
        <f>COUNTIF($W$22:W576,1)</f>
        <v>0</v>
      </c>
      <c r="B576">
        <v>576</v>
      </c>
      <c r="C576" s="340">
        <f>Tabulka1[[#This Row],[KOD]]</f>
        <v>0</v>
      </c>
      <c r="W576" t="str">
        <f t="shared" si="9"/>
        <v/>
      </c>
      <c r="Y576" s="341">
        <f>IF('General price list'!$AB578="",0,'General price list'!$AB578)</f>
        <v>0</v>
      </c>
      <c r="Z576" s="365" t="str">
        <f>IFERROR(X576*VLOOKUP(C576,'General price list'!C:I,7,FALSE),"")</f>
        <v/>
      </c>
      <c r="AA576" s="365" t="str">
        <f>IF(X576&lt;&gt;"",VLOOKUP(C576,'General price list'!C578:AN1551,MATCH("HM",Tabulka1[[#Headers],[KOD]:[NEQ]],0),FALSE),"")</f>
        <v/>
      </c>
    </row>
    <row r="577" spans="1:27">
      <c r="A577">
        <f>COUNTIF($W$22:W577,1)</f>
        <v>0</v>
      </c>
      <c r="B577">
        <v>577</v>
      </c>
      <c r="C577" s="340" t="str">
        <f>Tabulka1[[#This Row],[KOD]]</f>
        <v>C6425DU/C14</v>
      </c>
      <c r="W577" t="str">
        <f t="shared" si="9"/>
        <v/>
      </c>
      <c r="Y577" s="341">
        <f>IF('General price list'!$AB579="",0,'General price list'!$AB579)</f>
        <v>0</v>
      </c>
      <c r="Z577" s="365">
        <f>IFERROR(X577*VLOOKUP(C577,'General price list'!C:I,7,FALSE),"")</f>
        <v>0</v>
      </c>
      <c r="AA577" s="365" t="str">
        <f>IF(X577&lt;&gt;"",VLOOKUP(C577,'General price list'!C579:AN1552,MATCH("HM",Tabulka1[[#Headers],[KOD]:[NEQ]],0),FALSE),"")</f>
        <v/>
      </c>
    </row>
    <row r="578" spans="1:27">
      <c r="A578">
        <f>COUNTIF($W$22:W578,1)</f>
        <v>0</v>
      </c>
      <c r="B578">
        <v>578</v>
      </c>
      <c r="C578" s="340" t="str">
        <f>Tabulka1[[#This Row],[KOD]]</f>
        <v>C9625MF/C14</v>
      </c>
      <c r="W578" t="str">
        <f t="shared" si="9"/>
        <v/>
      </c>
      <c r="Y578" s="341">
        <f>IF('General price list'!$AB580="",0,'General price list'!$AB580)</f>
        <v>0</v>
      </c>
      <c r="Z578" s="365">
        <f>IFERROR(X578*VLOOKUP(C578,'General price list'!C:I,7,FALSE),"")</f>
        <v>0</v>
      </c>
      <c r="AA578" s="365" t="str">
        <f>IF(X578&lt;&gt;"",VLOOKUP(C578,'General price list'!C580:AN1553,MATCH("HM",Tabulka1[[#Headers],[KOD]:[NEQ]],0),FALSE),"")</f>
        <v/>
      </c>
    </row>
    <row r="579" spans="1:27">
      <c r="A579">
        <f>COUNTIF($W$22:W579,1)</f>
        <v>0</v>
      </c>
      <c r="B579">
        <v>579</v>
      </c>
      <c r="C579" s="340" t="str">
        <f>Tabulka1[[#This Row],[KOD]]</f>
        <v>C9825C/C14</v>
      </c>
      <c r="W579" t="str">
        <f t="shared" si="9"/>
        <v/>
      </c>
      <c r="Y579" s="341">
        <f>IF('General price list'!$AB581="",0,'General price list'!$AB581)</f>
        <v>0</v>
      </c>
      <c r="Z579" s="365">
        <f>IFERROR(X579*VLOOKUP(C579,'General price list'!C:I,7,FALSE),"")</f>
        <v>0</v>
      </c>
      <c r="AA579" s="365" t="str">
        <f>IF(X579&lt;&gt;"",VLOOKUP(C579,'General price list'!C581:AN1554,MATCH("HM",Tabulka1[[#Headers],[KOD]:[NEQ]],0),FALSE),"")</f>
        <v/>
      </c>
    </row>
    <row r="580" spans="1:27">
      <c r="A580">
        <f>COUNTIF($W$22:W580,1)</f>
        <v>0</v>
      </c>
      <c r="B580">
        <v>580</v>
      </c>
      <c r="C580" s="340" t="str">
        <f>Tabulka1[[#This Row],[KOD]]</f>
        <v>C9825SIG/C14</v>
      </c>
      <c r="W580" t="str">
        <f t="shared" si="9"/>
        <v/>
      </c>
      <c r="Y580" s="341">
        <f>IF('General price list'!$AB582="",0,'General price list'!$AB582)</f>
        <v>0</v>
      </c>
      <c r="Z580" s="365">
        <f>IFERROR(X580*VLOOKUP(C580,'General price list'!C:I,7,FALSE),"")</f>
        <v>0</v>
      </c>
      <c r="AA580" s="365" t="str">
        <f>IF(X580&lt;&gt;"",VLOOKUP(C580,'General price list'!C582:AN1555,MATCH("HM",Tabulka1[[#Headers],[KOD]:[NEQ]],0),FALSE),"")</f>
        <v/>
      </c>
    </row>
    <row r="581" spans="1:27">
      <c r="A581">
        <f>COUNTIF($W$22:W581,1)</f>
        <v>0</v>
      </c>
      <c r="B581">
        <v>581</v>
      </c>
      <c r="C581" s="340" t="str">
        <f>Tabulka1[[#This Row],[KOD]]</f>
        <v>C10025BPW/C14</v>
      </c>
      <c r="W581" t="str">
        <f t="shared" si="9"/>
        <v/>
      </c>
      <c r="Y581" s="341">
        <f>IF('General price list'!$AB583="",0,'General price list'!$AB583)</f>
        <v>0</v>
      </c>
      <c r="Z581" s="365">
        <f>IFERROR(X581*VLOOKUP(C581,'General price list'!C:I,7,FALSE),"")</f>
        <v>0</v>
      </c>
      <c r="AA581" s="365" t="str">
        <f>IF(X581&lt;&gt;"",VLOOKUP(C581,'General price list'!C583:AN1556,MATCH("HM",Tabulka1[[#Headers],[KOD]:[NEQ]],0),FALSE),"")</f>
        <v/>
      </c>
    </row>
    <row r="582" spans="1:27">
      <c r="A582">
        <f>COUNTIF($W$22:W582,1)</f>
        <v>0</v>
      </c>
      <c r="B582">
        <v>582</v>
      </c>
      <c r="C582" s="340" t="str">
        <f>Tabulka1[[#This Row],[KOD]]</f>
        <v>C14025XFS/C14</v>
      </c>
      <c r="W582" t="str">
        <f t="shared" si="9"/>
        <v/>
      </c>
      <c r="Y582" s="341">
        <f>IF('General price list'!$AB584="",0,'General price list'!$AB584)</f>
        <v>0</v>
      </c>
      <c r="Z582" s="365">
        <f>IFERROR(X582*VLOOKUP(C582,'General price list'!C:I,7,FALSE),"")</f>
        <v>0</v>
      </c>
      <c r="AA582" s="365" t="str">
        <f>IF(X582&lt;&gt;"",VLOOKUP(C582,'General price list'!C584:AN1557,MATCH("HM",Tabulka1[[#Headers],[KOD]:[NEQ]],0),FALSE),"")</f>
        <v/>
      </c>
    </row>
    <row r="583" spans="1:27">
      <c r="A583">
        <f>COUNTIF($W$22:W583,1)</f>
        <v>0</v>
      </c>
      <c r="B583">
        <v>583</v>
      </c>
      <c r="C583" s="340" t="str">
        <f>Tabulka1[[#This Row],[KOD]]</f>
        <v>C19225MF/C14</v>
      </c>
      <c r="W583" t="str">
        <f t="shared" si="9"/>
        <v/>
      </c>
      <c r="Y583" s="341">
        <f>IF('General price list'!$AB585="",0,'General price list'!$AB585)</f>
        <v>0</v>
      </c>
      <c r="Z583" s="365">
        <f>IFERROR(X583*VLOOKUP(C583,'General price list'!C:I,7,FALSE),"")</f>
        <v>0</v>
      </c>
      <c r="AA583" s="365" t="str">
        <f>IF(X583&lt;&gt;"",VLOOKUP(C583,'General price list'!C585:AN1558,MATCH("HM",Tabulka1[[#Headers],[KOD]:[NEQ]],0),FALSE),"")</f>
        <v/>
      </c>
    </row>
    <row r="584" spans="1:27">
      <c r="A584">
        <f>COUNTIF($W$22:W584,1)</f>
        <v>0</v>
      </c>
      <c r="B584">
        <v>584</v>
      </c>
      <c r="C584" s="340" t="str">
        <f>Tabulka1[[#This Row],[KOD]]</f>
        <v>C19625/C14</v>
      </c>
      <c r="W584" t="str">
        <f t="shared" si="9"/>
        <v/>
      </c>
      <c r="Y584" s="341">
        <f>IF('General price list'!$AB586="",0,'General price list'!$AB586)</f>
        <v>0</v>
      </c>
      <c r="Z584" s="365">
        <f>IFERROR(X584*VLOOKUP(C584,'General price list'!C:I,7,FALSE),"")</f>
        <v>0</v>
      </c>
      <c r="AA584" s="365" t="str">
        <f>IF(X584&lt;&gt;"",VLOOKUP(C584,'General price list'!C586:AN1559,MATCH("HM",Tabulka1[[#Headers],[KOD]:[NEQ]],0),FALSE),"")</f>
        <v/>
      </c>
    </row>
    <row r="585" spans="1:27">
      <c r="A585">
        <f>COUNTIF($W$22:W585,1)</f>
        <v>0</v>
      </c>
      <c r="B585">
        <v>585</v>
      </c>
      <c r="C585" s="340" t="str">
        <f>Tabulka1[[#This Row],[KOD]]</f>
        <v>C1-C2 C40025F/C14</v>
      </c>
      <c r="W585" t="str">
        <f t="shared" si="9"/>
        <v/>
      </c>
      <c r="Y585" s="341">
        <f>IF('General price list'!$AB587="",0,'General price list'!$AB587)</f>
        <v>0</v>
      </c>
      <c r="Z585" s="365">
        <f>IFERROR(X585*VLOOKUP(C585,'General price list'!C:I,7,FALSE),"")</f>
        <v>0</v>
      </c>
      <c r="AA585" s="365" t="str">
        <f>IF(X585&lt;&gt;"",VLOOKUP(C585,'General price list'!C587:AN1560,MATCH("HM",Tabulka1[[#Headers],[KOD]:[NEQ]],0),FALSE),"")</f>
        <v/>
      </c>
    </row>
    <row r="586" spans="1:27">
      <c r="A586">
        <f>COUNTIF($W$22:W586,1)</f>
        <v>0</v>
      </c>
      <c r="B586">
        <v>586</v>
      </c>
      <c r="C586" s="340">
        <f>Tabulka1[[#This Row],[KOD]]</f>
        <v>0</v>
      </c>
      <c r="W586" t="str">
        <f t="shared" si="9"/>
        <v/>
      </c>
      <c r="Y586" s="341">
        <f>IF('General price list'!$AB588="",0,'General price list'!$AB588)</f>
        <v>0</v>
      </c>
      <c r="Z586" s="365" t="str">
        <f>IFERROR(X586*VLOOKUP(C586,'General price list'!C:I,7,FALSE),"")</f>
        <v/>
      </c>
      <c r="AA586" s="365" t="str">
        <f>IF(X586&lt;&gt;"",VLOOKUP(C586,'General price list'!C588:AN1561,MATCH("HM",Tabulka1[[#Headers],[KOD]:[NEQ]],0),FALSE),"")</f>
        <v/>
      </c>
    </row>
    <row r="587" spans="1:27">
      <c r="A587">
        <f>COUNTIF($W$22:W587,1)</f>
        <v>0</v>
      </c>
      <c r="B587">
        <v>587</v>
      </c>
      <c r="C587" s="340" t="str">
        <f>Tabulka1[[#This Row],[KOD]]</f>
        <v>C9825C/C</v>
      </c>
      <c r="W587" t="str">
        <f t="shared" si="9"/>
        <v/>
      </c>
      <c r="Y587" s="341">
        <f>IF('General price list'!$AB589="",0,'General price list'!$AB589)</f>
        <v>0</v>
      </c>
      <c r="Z587" s="365">
        <f>IFERROR(X587*VLOOKUP(C587,'General price list'!C:I,7,FALSE),"")</f>
        <v>0</v>
      </c>
      <c r="AA587" s="365" t="str">
        <f>IF(X587&lt;&gt;"",VLOOKUP(C587,'General price list'!C589:AN1562,MATCH("HM",Tabulka1[[#Headers],[KOD]:[NEQ]],0),FALSE),"")</f>
        <v/>
      </c>
    </row>
    <row r="588" spans="1:27">
      <c r="A588">
        <f>COUNTIF($W$22:W588,1)</f>
        <v>0</v>
      </c>
      <c r="B588">
        <v>588</v>
      </c>
      <c r="C588" s="340" t="str">
        <f>Tabulka1[[#This Row],[KOD]]</f>
        <v>C10025SIG/C</v>
      </c>
      <c r="W588" t="str">
        <f t="shared" si="9"/>
        <v/>
      </c>
      <c r="Y588" s="341">
        <f>IF('General price list'!$AB590="",0,'General price list'!$AB590)</f>
        <v>0</v>
      </c>
      <c r="Z588" s="365">
        <f>IFERROR(X588*VLOOKUP(C588,'General price list'!C:I,7,FALSE),"")</f>
        <v>0</v>
      </c>
      <c r="AA588" s="365" t="str">
        <f>IF(X588&lt;&gt;"",VLOOKUP(C588,'General price list'!C590:AN1563,MATCH("HM",Tabulka1[[#Headers],[KOD]:[NEQ]],0),FALSE),"")</f>
        <v/>
      </c>
    </row>
    <row r="589" spans="1:27">
      <c r="A589">
        <f>COUNTIF($W$22:W589,1)</f>
        <v>0</v>
      </c>
      <c r="B589">
        <v>589</v>
      </c>
      <c r="C589" s="340" t="str">
        <f>Tabulka1[[#This Row],[KOD]]</f>
        <v>C14025XFS/C</v>
      </c>
      <c r="W589" t="str">
        <f t="shared" si="9"/>
        <v/>
      </c>
      <c r="Y589" s="341">
        <f>IF('General price list'!$AB591="",0,'General price list'!$AB591)</f>
        <v>0</v>
      </c>
      <c r="Z589" s="365">
        <f>IFERROR(X589*VLOOKUP(C589,'General price list'!C:I,7,FALSE),"")</f>
        <v>0</v>
      </c>
      <c r="AA589" s="365" t="str">
        <f>IF(X589&lt;&gt;"",VLOOKUP(C589,'General price list'!C591:AN1564,MATCH("HM",Tabulka1[[#Headers],[KOD]:[NEQ]],0),FALSE),"")</f>
        <v/>
      </c>
    </row>
    <row r="590" spans="1:27">
      <c r="A590">
        <f>COUNTIF($W$22:W590,1)</f>
        <v>0</v>
      </c>
      <c r="B590">
        <v>590</v>
      </c>
      <c r="C590" s="340" t="str">
        <f>Tabulka1[[#This Row],[KOD]]</f>
        <v>C19625F/C</v>
      </c>
      <c r="W590" t="str">
        <f t="shared" si="9"/>
        <v/>
      </c>
      <c r="Y590" s="341">
        <f>IF('General price list'!$AB592="",0,'General price list'!$AB592)</f>
        <v>0</v>
      </c>
      <c r="Z590" s="365">
        <f>IFERROR(X590*VLOOKUP(C590,'General price list'!C:I,7,FALSE),"")</f>
        <v>0</v>
      </c>
      <c r="AA590" s="365" t="str">
        <f>IF(X590&lt;&gt;"",VLOOKUP(C590,'General price list'!C592:AN1565,MATCH("HM",Tabulka1[[#Headers],[KOD]:[NEQ]],0),FALSE),"")</f>
        <v/>
      </c>
    </row>
    <row r="591" spans="1:27">
      <c r="A591">
        <f>COUNTIF($W$22:W591,1)</f>
        <v>0</v>
      </c>
      <c r="B591">
        <v>591</v>
      </c>
      <c r="C591" s="340" t="str">
        <f>Tabulka1[[#This Row],[KOD]]</f>
        <v>C20025I/C</v>
      </c>
      <c r="W591" t="str">
        <f t="shared" si="9"/>
        <v/>
      </c>
      <c r="Y591" s="341">
        <f>IF('General price list'!$AB593="",0,'General price list'!$AB593)</f>
        <v>0</v>
      </c>
      <c r="Z591" s="365">
        <f>IFERROR(X591*VLOOKUP(C591,'General price list'!C:I,7,FALSE),"")</f>
        <v>0</v>
      </c>
      <c r="AA591" s="365" t="str">
        <f>IF(X591&lt;&gt;"",VLOOKUP(C591,'General price list'!C593:AN1566,MATCH("HM",Tabulka1[[#Headers],[KOD]:[NEQ]],0),FALSE),"")</f>
        <v/>
      </c>
    </row>
    <row r="592" spans="1:27">
      <c r="A592">
        <f>COUNTIF($W$22:W592,1)</f>
        <v>0</v>
      </c>
      <c r="B592">
        <v>592</v>
      </c>
      <c r="C592" s="340">
        <f>Tabulka1[[#This Row],[KOD]]</f>
        <v>0</v>
      </c>
      <c r="W592" t="str">
        <f t="shared" si="9"/>
        <v/>
      </c>
      <c r="Y592" s="341">
        <f>IF('General price list'!$AB594="",0,'General price list'!$AB594)</f>
        <v>0</v>
      </c>
      <c r="Z592" s="365" t="str">
        <f>IFERROR(X592*VLOOKUP(C592,'General price list'!C:I,7,FALSE),"")</f>
        <v/>
      </c>
      <c r="AA592" s="365" t="str">
        <f>IF(X592&lt;&gt;"",VLOOKUP(C592,'General price list'!C594:AN1567,MATCH("HM",Tabulka1[[#Headers],[KOD]:[NEQ]],0),FALSE),"")</f>
        <v/>
      </c>
    </row>
    <row r="593" spans="1:27">
      <c r="A593">
        <f>COUNTIF($W$22:W593,1)</f>
        <v>0</v>
      </c>
      <c r="B593">
        <v>593</v>
      </c>
      <c r="C593" s="340" t="str">
        <f>Tabulka1[[#This Row],[KOD]]</f>
        <v>C17825W/C</v>
      </c>
      <c r="W593" t="str">
        <f t="shared" si="9"/>
        <v/>
      </c>
      <c r="Y593" s="341">
        <f>IF('General price list'!$AB595="",0,'General price list'!$AB595)</f>
        <v>0</v>
      </c>
      <c r="Z593" s="365">
        <f>IFERROR(X593*VLOOKUP(C593,'General price list'!C:I,7,FALSE),"")</f>
        <v>0</v>
      </c>
      <c r="AA593" s="365" t="str">
        <f>IF(X593&lt;&gt;"",VLOOKUP(C593,'General price list'!C595:AN1568,MATCH("HM",Tabulka1[[#Headers],[KOD]:[NEQ]],0),FALSE),"")</f>
        <v/>
      </c>
    </row>
    <row r="594" spans="1:27">
      <c r="A594">
        <f>COUNTIF($W$22:W594,1)</f>
        <v>0</v>
      </c>
      <c r="B594">
        <v>594</v>
      </c>
      <c r="C594" s="340" t="str">
        <f>Tabulka1[[#This Row],[KOD]]</f>
        <v>C20025F/C</v>
      </c>
      <c r="W594" t="str">
        <f t="shared" si="9"/>
        <v/>
      </c>
      <c r="Y594" s="341">
        <f>IF('General price list'!$AB596="",0,'General price list'!$AB596)</f>
        <v>0</v>
      </c>
      <c r="Z594" s="365">
        <f>IFERROR(X594*VLOOKUP(C594,'General price list'!C:I,7,FALSE),"")</f>
        <v>0</v>
      </c>
      <c r="AA594" s="365" t="str">
        <f>IF(X594&lt;&gt;"",VLOOKUP(C594,'General price list'!C596:AN1569,MATCH("HM",Tabulka1[[#Headers],[KOD]:[NEQ]],0),FALSE),"")</f>
        <v/>
      </c>
    </row>
    <row r="595" spans="1:27">
      <c r="A595">
        <f>COUNTIF($W$22:W595,1)</f>
        <v>0</v>
      </c>
      <c r="B595">
        <v>595</v>
      </c>
      <c r="C595" s="340" t="str">
        <f>Tabulka1[[#This Row],[KOD]]</f>
        <v>C30025F/C</v>
      </c>
      <c r="W595" t="str">
        <f t="shared" si="9"/>
        <v/>
      </c>
      <c r="Y595" s="341">
        <f>IF('General price list'!$AB597="",0,'General price list'!$AB597)</f>
        <v>0</v>
      </c>
      <c r="Z595" s="365">
        <f>IFERROR(X595*VLOOKUP(C595,'General price list'!C:I,7,FALSE),"")</f>
        <v>0</v>
      </c>
      <c r="AA595" s="365" t="str">
        <f>IF(X595&lt;&gt;"",VLOOKUP(C595,'General price list'!C597:AN1570,MATCH("HM",Tabulka1[[#Headers],[KOD]:[NEQ]],0),FALSE),"")</f>
        <v/>
      </c>
    </row>
    <row r="596" spans="1:27">
      <c r="A596">
        <f>COUNTIF($W$22:W596,1)</f>
        <v>0</v>
      </c>
      <c r="B596">
        <v>596</v>
      </c>
      <c r="C596" s="340" t="str">
        <f>Tabulka1[[#This Row],[KOD]]</f>
        <v>C40025F/C</v>
      </c>
      <c r="W596" t="str">
        <f t="shared" si="9"/>
        <v/>
      </c>
      <c r="Y596" s="341">
        <f>IF('General price list'!$AB598="",0,'General price list'!$AB598)</f>
        <v>0</v>
      </c>
      <c r="Z596" s="365">
        <f>IFERROR(X596*VLOOKUP(C596,'General price list'!C:I,7,FALSE),"")</f>
        <v>0</v>
      </c>
      <c r="AA596" s="365" t="str">
        <f>IF(X596&lt;&gt;"",VLOOKUP(C596,'General price list'!C598:AN1571,MATCH("HM",Tabulka1[[#Headers],[KOD]:[NEQ]],0),FALSE),"")</f>
        <v/>
      </c>
    </row>
    <row r="597" spans="1:27">
      <c r="A597">
        <f>COUNTIF($W$22:W597,1)</f>
        <v>0</v>
      </c>
      <c r="B597">
        <v>597</v>
      </c>
      <c r="C597" s="340">
        <f>Tabulka1[[#This Row],[KOD]]</f>
        <v>0</v>
      </c>
      <c r="W597" t="str">
        <f t="shared" si="9"/>
        <v/>
      </c>
      <c r="Y597" s="341">
        <f>IF('General price list'!$AB599="",0,'General price list'!$AB599)</f>
        <v>0</v>
      </c>
      <c r="Z597" s="365" t="str">
        <f>IFERROR(X597*VLOOKUP(C597,'General price list'!C:I,7,FALSE),"")</f>
        <v/>
      </c>
      <c r="AA597" s="365" t="str">
        <f>IF(X597&lt;&gt;"",VLOOKUP(C597,'General price list'!C599:AN1572,MATCH("HM",Tabulka1[[#Headers],[KOD]:[NEQ]],0),FALSE),"")</f>
        <v/>
      </c>
    </row>
    <row r="598" spans="1:27">
      <c r="A598">
        <f>COUNTIF($W$22:W598,1)</f>
        <v>0</v>
      </c>
      <c r="B598">
        <v>598</v>
      </c>
      <c r="C598" s="340" t="str">
        <f>Tabulka1[[#This Row],[KOD]]</f>
        <v>C163BP</v>
      </c>
      <c r="W598" t="str">
        <f t="shared" si="9"/>
        <v/>
      </c>
      <c r="Y598" s="341">
        <f>IF('General price list'!$AB600="",0,'General price list'!$AB600)</f>
        <v>0</v>
      </c>
      <c r="Z598" s="365">
        <f>IFERROR(X598*VLOOKUP(C598,'General price list'!C:I,7,FALSE),"")</f>
        <v>0</v>
      </c>
      <c r="AA598" s="365" t="str">
        <f>IF(X598&lt;&gt;"",VLOOKUP(C598,'General price list'!C600:AN1573,MATCH("HM",Tabulka1[[#Headers],[KOD]:[NEQ]],0),FALSE),"")</f>
        <v/>
      </c>
    </row>
    <row r="599" spans="1:27">
      <c r="A599">
        <f>COUNTIF($W$22:W599,1)</f>
        <v>0</v>
      </c>
      <c r="B599">
        <v>599</v>
      </c>
      <c r="C599" s="340" t="str">
        <f>Tabulka1[[#This Row],[KOD]]</f>
        <v>C163SIG</v>
      </c>
      <c r="W599" t="str">
        <f t="shared" si="9"/>
        <v/>
      </c>
      <c r="Y599" s="341">
        <f>IF('General price list'!$AB601="",0,'General price list'!$AB601)</f>
        <v>0</v>
      </c>
      <c r="Z599" s="365">
        <f>IFERROR(X599*VLOOKUP(C599,'General price list'!C:I,7,FALSE),"")</f>
        <v>0</v>
      </c>
      <c r="AA599" s="365" t="str">
        <f>IF(X599&lt;&gt;"",VLOOKUP(C599,'General price list'!C601:AN1574,MATCH("HM",Tabulka1[[#Headers],[KOD]:[NEQ]],0),FALSE),"")</f>
        <v/>
      </c>
    </row>
    <row r="600" spans="1:27">
      <c r="A600">
        <f>COUNTIF($W$22:W600,1)</f>
        <v>0</v>
      </c>
      <c r="B600">
        <v>600</v>
      </c>
      <c r="C600" s="340" t="str">
        <f>Tabulka1[[#This Row],[KOD]]</f>
        <v>C163A</v>
      </c>
      <c r="W600" t="str">
        <f t="shared" ref="W600:W663" si="10">IF(Y600+1=1,"",1)</f>
        <v/>
      </c>
      <c r="Y600" s="341">
        <f>IF('General price list'!$AB602="",0,'General price list'!$AB602)</f>
        <v>0</v>
      </c>
      <c r="Z600" s="365">
        <f>IFERROR(X600*VLOOKUP(C600,'General price list'!C:I,7,FALSE),"")</f>
        <v>0</v>
      </c>
      <c r="AA600" s="365" t="str">
        <f>IF(X600&lt;&gt;"",VLOOKUP(C600,'General price list'!C602:AN1575,MATCH("HM",Tabulka1[[#Headers],[KOD]:[NEQ]],0),FALSE),"")</f>
        <v/>
      </c>
    </row>
    <row r="601" spans="1:27">
      <c r="A601">
        <f>COUNTIF($W$22:W601,1)</f>
        <v>0</v>
      </c>
      <c r="B601">
        <v>601</v>
      </c>
      <c r="C601" s="340" t="str">
        <f>Tabulka1[[#This Row],[KOD]]</f>
        <v>C163B</v>
      </c>
      <c r="W601" t="str">
        <f t="shared" si="10"/>
        <v/>
      </c>
      <c r="Y601" s="341">
        <f>IF('General price list'!$AB603="",0,'General price list'!$AB603)</f>
        <v>0</v>
      </c>
      <c r="Z601" s="365">
        <f>IFERROR(X601*VLOOKUP(C601,'General price list'!C:I,7,FALSE),"")</f>
        <v>0</v>
      </c>
      <c r="AA601" s="365" t="str">
        <f>IF(X601&lt;&gt;"",VLOOKUP(C601,'General price list'!C603:AN1576,MATCH("HM",Tabulka1[[#Headers],[KOD]:[NEQ]],0),FALSE),"")</f>
        <v/>
      </c>
    </row>
    <row r="602" spans="1:27">
      <c r="A602">
        <f>COUNTIF($W$22:W602,1)</f>
        <v>0</v>
      </c>
      <c r="B602">
        <v>602</v>
      </c>
      <c r="C602" s="340" t="str">
        <f>Tabulka1[[#This Row],[KOD]]</f>
        <v>C163L</v>
      </c>
      <c r="W602" t="str">
        <f t="shared" si="10"/>
        <v/>
      </c>
      <c r="Y602" s="341">
        <f>IF('General price list'!$AB604="",0,'General price list'!$AB604)</f>
        <v>0</v>
      </c>
      <c r="Z602" s="365">
        <f>IFERROR(X602*VLOOKUP(C602,'General price list'!C:I,7,FALSE),"")</f>
        <v>0</v>
      </c>
      <c r="AA602" s="365" t="str">
        <f>IF(X602&lt;&gt;"",VLOOKUP(C602,'General price list'!C604:AN1577,MATCH("HM",Tabulka1[[#Headers],[KOD]:[NEQ]],0),FALSE),"")</f>
        <v/>
      </c>
    </row>
    <row r="603" spans="1:27">
      <c r="A603">
        <f>COUNTIF($W$22:W603,1)</f>
        <v>0</v>
      </c>
      <c r="B603">
        <v>603</v>
      </c>
      <c r="C603" s="340" t="str">
        <f>Tabulka1[[#This Row],[KOD]]</f>
        <v>C163E</v>
      </c>
      <c r="W603" t="str">
        <f t="shared" si="10"/>
        <v/>
      </c>
      <c r="Y603" s="341">
        <f>IF('General price list'!$AB605="",0,'General price list'!$AB605)</f>
        <v>0</v>
      </c>
      <c r="Z603" s="365">
        <f>IFERROR(X603*VLOOKUP(C603,'General price list'!C:I,7,FALSE),"")</f>
        <v>0</v>
      </c>
      <c r="AA603" s="365" t="str">
        <f>IF(X603&lt;&gt;"",VLOOKUP(C603,'General price list'!C605:AN1578,MATCH("HM",Tabulka1[[#Headers],[KOD]:[NEQ]],0),FALSE),"")</f>
        <v/>
      </c>
    </row>
    <row r="604" spans="1:27">
      <c r="A604">
        <f>COUNTIF($W$22:W604,1)</f>
        <v>0</v>
      </c>
      <c r="B604">
        <v>604</v>
      </c>
      <c r="C604" s="340" t="str">
        <f>Tabulka1[[#This Row],[KOD]]</f>
        <v>C163K</v>
      </c>
      <c r="W604" t="str">
        <f t="shared" si="10"/>
        <v/>
      </c>
      <c r="Y604" s="341">
        <f>IF('General price list'!$AB606="",0,'General price list'!$AB606)</f>
        <v>0</v>
      </c>
      <c r="Z604" s="365">
        <f>IFERROR(X604*VLOOKUP(C604,'General price list'!C:I,7,FALSE),"")</f>
        <v>0</v>
      </c>
      <c r="AA604" s="365" t="str">
        <f>IF(X604&lt;&gt;"",VLOOKUP(C604,'General price list'!C606:AN1579,MATCH("HM",Tabulka1[[#Headers],[KOD]:[NEQ]],0),FALSE),"")</f>
        <v/>
      </c>
    </row>
    <row r="605" spans="1:27">
      <c r="A605">
        <f>COUNTIF($W$22:W605,1)</f>
        <v>0</v>
      </c>
      <c r="B605">
        <v>605</v>
      </c>
      <c r="C605" s="340">
        <f>Tabulka1[[#This Row],[KOD]]</f>
        <v>0</v>
      </c>
      <c r="W605" t="str">
        <f t="shared" si="10"/>
        <v/>
      </c>
      <c r="Y605" s="341">
        <f>IF('General price list'!$AB607="",0,'General price list'!$AB607)</f>
        <v>0</v>
      </c>
      <c r="Z605" s="365" t="str">
        <f>IFERROR(X605*VLOOKUP(C605,'General price list'!C:I,7,FALSE),"")</f>
        <v/>
      </c>
      <c r="AA605" s="365" t="str">
        <f>IF(X605&lt;&gt;"",VLOOKUP(C605,'General price list'!C607:AN1580,MATCH("HM",Tabulka1[[#Headers],[KOD]:[NEQ]],0),FALSE),"")</f>
        <v/>
      </c>
    </row>
    <row r="606" spans="1:27">
      <c r="A606">
        <f>COUNTIF($W$22:W606,1)</f>
        <v>0</v>
      </c>
      <c r="B606">
        <v>606</v>
      </c>
      <c r="C606" s="340" t="str">
        <f>Tabulka1[[#This Row],[KOD]]</f>
        <v>C163A14</v>
      </c>
      <c r="W606" t="str">
        <f t="shared" si="10"/>
        <v/>
      </c>
      <c r="Y606" s="341">
        <f>IF('General price list'!$AB608="",0,'General price list'!$AB608)</f>
        <v>0</v>
      </c>
      <c r="Z606" s="365">
        <f>IFERROR(X606*VLOOKUP(C606,'General price list'!C:I,7,FALSE),"")</f>
        <v>0</v>
      </c>
      <c r="AA606" s="365" t="str">
        <f>IF(X606&lt;&gt;"",VLOOKUP(C606,'General price list'!C608:AN1581,MATCH("HM",Tabulka1[[#Headers],[KOD]:[NEQ]],0),FALSE),"")</f>
        <v/>
      </c>
    </row>
    <row r="607" spans="1:27">
      <c r="A607">
        <f>COUNTIF($W$22:W607,1)</f>
        <v>0</v>
      </c>
      <c r="B607">
        <v>607</v>
      </c>
      <c r="C607" s="340">
        <f>Tabulka1[[#This Row],[KOD]]</f>
        <v>0</v>
      </c>
      <c r="W607" t="str">
        <f t="shared" si="10"/>
        <v/>
      </c>
      <c r="Y607" s="341">
        <f>IF('General price list'!$AB609="",0,'General price list'!$AB609)</f>
        <v>0</v>
      </c>
      <c r="Z607" s="365" t="str">
        <f>IFERROR(X607*VLOOKUP(C607,'General price list'!C:I,7,FALSE),"")</f>
        <v/>
      </c>
      <c r="AA607" s="365" t="str">
        <f>IF(X607&lt;&gt;"",VLOOKUP(C607,'General price list'!C609:AN1582,MATCH("HM",Tabulka1[[#Headers],[KOD]:[NEQ]],0),FALSE),"")</f>
        <v/>
      </c>
    </row>
    <row r="608" spans="1:27">
      <c r="A608">
        <f>COUNTIF($W$22:W608,1)</f>
        <v>0</v>
      </c>
      <c r="B608">
        <v>608</v>
      </c>
      <c r="C608" s="340" t="str">
        <f>Tabulka1[[#This Row],[KOD]]</f>
        <v>C193BP</v>
      </c>
      <c r="W608" t="str">
        <f t="shared" si="10"/>
        <v/>
      </c>
      <c r="Y608" s="341">
        <f>IF('General price list'!$AB610="",0,'General price list'!$AB610)</f>
        <v>0</v>
      </c>
      <c r="Z608" s="365">
        <f>IFERROR(X608*VLOOKUP(C608,'General price list'!C:I,7,FALSE),"")</f>
        <v>0</v>
      </c>
      <c r="AA608" s="365" t="str">
        <f>IF(X608&lt;&gt;"",VLOOKUP(C608,'General price list'!C610:AN1583,MATCH("HM",Tabulka1[[#Headers],[KOD]:[NEQ]],0),FALSE),"")</f>
        <v/>
      </c>
    </row>
    <row r="609" spans="1:27">
      <c r="A609">
        <f>COUNTIF($W$22:W609,1)</f>
        <v>0</v>
      </c>
      <c r="B609">
        <v>609</v>
      </c>
      <c r="C609" s="340" t="str">
        <f>Tabulka1[[#This Row],[KOD]]</f>
        <v>C193C</v>
      </c>
      <c r="W609" t="str">
        <f t="shared" si="10"/>
        <v/>
      </c>
      <c r="Y609" s="341">
        <f>IF('General price list'!$AB611="",0,'General price list'!$AB611)</f>
        <v>0</v>
      </c>
      <c r="Z609" s="365">
        <f>IFERROR(X609*VLOOKUP(C609,'General price list'!C:I,7,FALSE),"")</f>
        <v>0</v>
      </c>
      <c r="AA609" s="365" t="str">
        <f>IF(X609&lt;&gt;"",VLOOKUP(C609,'General price list'!C611:AN1584,MATCH("HM",Tabulka1[[#Headers],[KOD]:[NEQ]],0),FALSE),"")</f>
        <v/>
      </c>
    </row>
    <row r="610" spans="1:27">
      <c r="A610">
        <f>COUNTIF($W$22:W610,1)</f>
        <v>0</v>
      </c>
      <c r="B610">
        <v>610</v>
      </c>
      <c r="C610" s="340" t="str">
        <f>Tabulka1[[#This Row],[KOD]]</f>
        <v>C193D</v>
      </c>
      <c r="W610" t="str">
        <f t="shared" si="10"/>
        <v/>
      </c>
      <c r="Y610" s="341">
        <f>IF('General price list'!$AB612="",0,'General price list'!$AB612)</f>
        <v>0</v>
      </c>
      <c r="Z610" s="365">
        <f>IFERROR(X610*VLOOKUP(C610,'General price list'!C:I,7,FALSE),"")</f>
        <v>0</v>
      </c>
      <c r="AA610" s="365" t="str">
        <f>IF(X610&lt;&gt;"",VLOOKUP(C610,'General price list'!C612:AN1585,MATCH("HM",Tabulka1[[#Headers],[KOD]:[NEQ]],0),FALSE),"")</f>
        <v/>
      </c>
    </row>
    <row r="611" spans="1:27">
      <c r="A611">
        <f>COUNTIF($W$22:W611,1)</f>
        <v>0</v>
      </c>
      <c r="B611">
        <v>611</v>
      </c>
      <c r="C611" s="340" t="str">
        <f>Tabulka1[[#This Row],[KOD]]</f>
        <v>C193J</v>
      </c>
      <c r="W611" t="str">
        <f t="shared" si="10"/>
        <v/>
      </c>
      <c r="Y611" s="341">
        <f>IF('General price list'!$AB613="",0,'General price list'!$AB613)</f>
        <v>0</v>
      </c>
      <c r="Z611" s="365">
        <f>IFERROR(X611*VLOOKUP(C611,'General price list'!C:I,7,FALSE),"")</f>
        <v>0</v>
      </c>
      <c r="AA611" s="365" t="str">
        <f>IF(X611&lt;&gt;"",VLOOKUP(C611,'General price list'!C613:AN1586,MATCH("HM",Tabulka1[[#Headers],[KOD]:[NEQ]],0),FALSE),"")</f>
        <v/>
      </c>
    </row>
    <row r="612" spans="1:27">
      <c r="A612">
        <f>COUNTIF($W$22:W612,1)</f>
        <v>0</v>
      </c>
      <c r="B612">
        <v>612</v>
      </c>
      <c r="C612" s="340" t="str">
        <f>Tabulka1[[#This Row],[KOD]]</f>
        <v>C193I</v>
      </c>
      <c r="W612" t="str">
        <f t="shared" si="10"/>
        <v/>
      </c>
      <c r="Y612" s="341">
        <f>IF('General price list'!$AB614="",0,'General price list'!$AB614)</f>
        <v>0</v>
      </c>
      <c r="Z612" s="365">
        <f>IFERROR(X612*VLOOKUP(C612,'General price list'!C:I,7,FALSE),"")</f>
        <v>0</v>
      </c>
      <c r="AA612" s="365" t="str">
        <f>IF(X612&lt;&gt;"",VLOOKUP(C612,'General price list'!C614:AN1587,MATCH("HM",Tabulka1[[#Headers],[KOD]:[NEQ]],0),FALSE),"")</f>
        <v/>
      </c>
    </row>
    <row r="613" spans="1:27">
      <c r="A613">
        <f>COUNTIF($W$22:W613,1)</f>
        <v>0</v>
      </c>
      <c r="B613">
        <v>613</v>
      </c>
      <c r="C613" s="340">
        <f>Tabulka1[[#This Row],[KOD]]</f>
        <v>0</v>
      </c>
      <c r="W613" t="str">
        <f t="shared" si="10"/>
        <v/>
      </c>
      <c r="Y613" s="341">
        <f>IF('General price list'!$AB615="",0,'General price list'!$AB615)</f>
        <v>0</v>
      </c>
      <c r="Z613" s="365" t="str">
        <f>IFERROR(X613*VLOOKUP(C613,'General price list'!C:I,7,FALSE),"")</f>
        <v/>
      </c>
      <c r="AA613" s="365" t="str">
        <f>IF(X613&lt;&gt;"",VLOOKUP(C613,'General price list'!C615:AN1588,MATCH("HM",Tabulka1[[#Headers],[KOD]:[NEQ]],0),FALSE),"")</f>
        <v/>
      </c>
    </row>
    <row r="614" spans="1:27">
      <c r="A614">
        <f>COUNTIF($W$22:W614,1)</f>
        <v>0</v>
      </c>
      <c r="B614">
        <v>614</v>
      </c>
      <c r="C614" s="340" t="str">
        <f>Tabulka1[[#This Row],[KOD]]</f>
        <v>C253SIG</v>
      </c>
      <c r="W614" t="str">
        <f t="shared" si="10"/>
        <v/>
      </c>
      <c r="Y614" s="341">
        <f>IF('General price list'!$AB616="",0,'General price list'!$AB616)</f>
        <v>0</v>
      </c>
      <c r="Z614" s="365">
        <f>IFERROR(X614*VLOOKUP(C614,'General price list'!C:I,7,FALSE),"")</f>
        <v>0</v>
      </c>
      <c r="AA614" s="365" t="str">
        <f>IF(X614&lt;&gt;"",VLOOKUP(C614,'General price list'!C616:AN1589,MATCH("HM",Tabulka1[[#Headers],[KOD]:[NEQ]],0),FALSE),"")</f>
        <v/>
      </c>
    </row>
    <row r="615" spans="1:27">
      <c r="A615">
        <f>COUNTIF($W$22:W615,1)</f>
        <v>0</v>
      </c>
      <c r="B615">
        <v>615</v>
      </c>
      <c r="C615" s="340" t="str">
        <f>Tabulka1[[#This Row],[KOD]]</f>
        <v>C253SIG B</v>
      </c>
      <c r="W615" t="str">
        <f t="shared" si="10"/>
        <v/>
      </c>
      <c r="Y615" s="341">
        <f>IF('General price list'!$AB617="",0,'General price list'!$AB617)</f>
        <v>0</v>
      </c>
      <c r="Z615" s="365">
        <f>IFERROR(X615*VLOOKUP(C615,'General price list'!C:I,7,FALSE),"")</f>
        <v>0</v>
      </c>
      <c r="AA615" s="365" t="str">
        <f>IF(X615&lt;&gt;"",VLOOKUP(C615,'General price list'!C617:AN1590,MATCH("HM",Tabulka1[[#Headers],[KOD]:[NEQ]],0),FALSE),"")</f>
        <v/>
      </c>
    </row>
    <row r="616" spans="1:27">
      <c r="A616">
        <f>COUNTIF($W$22:W616,1)</f>
        <v>0</v>
      </c>
      <c r="B616">
        <v>616</v>
      </c>
      <c r="C616" s="340" t="str">
        <f>Tabulka1[[#This Row],[KOD]]</f>
        <v>C253FR</v>
      </c>
      <c r="W616" t="str">
        <f t="shared" si="10"/>
        <v/>
      </c>
      <c r="Y616" s="341">
        <f>IF('General price list'!$AB618="",0,'General price list'!$AB618)</f>
        <v>0</v>
      </c>
      <c r="Z616" s="365">
        <f>IFERROR(X616*VLOOKUP(C616,'General price list'!C:I,7,FALSE),"")</f>
        <v>0</v>
      </c>
      <c r="AA616" s="365" t="str">
        <f>IF(X616&lt;&gt;"",VLOOKUP(C616,'General price list'!C618:AN1591,MATCH("HM",Tabulka1[[#Headers],[KOD]:[NEQ]],0),FALSE),"")</f>
        <v/>
      </c>
    </row>
    <row r="617" spans="1:27">
      <c r="A617">
        <f>COUNTIF($W$22:W617,1)</f>
        <v>0</v>
      </c>
      <c r="B617">
        <v>617</v>
      </c>
      <c r="C617" s="340" t="str">
        <f>Tabulka1[[#This Row],[KOD]]</f>
        <v>C253MY</v>
      </c>
      <c r="W617" t="str">
        <f t="shared" si="10"/>
        <v/>
      </c>
      <c r="Y617" s="341">
        <f>IF('General price list'!$AB619="",0,'General price list'!$AB619)</f>
        <v>0</v>
      </c>
      <c r="Z617" s="365">
        <f>IFERROR(X617*VLOOKUP(C617,'General price list'!C:I,7,FALSE),"")</f>
        <v>0</v>
      </c>
      <c r="AA617" s="365" t="str">
        <f>IF(X617&lt;&gt;"",VLOOKUP(C617,'General price list'!C619:AN1592,MATCH("HM",Tabulka1[[#Headers],[KOD]:[NEQ]],0),FALSE),"")</f>
        <v/>
      </c>
    </row>
    <row r="618" spans="1:27">
      <c r="A618">
        <f>COUNTIF($W$22:W618,1)</f>
        <v>0</v>
      </c>
      <c r="B618">
        <v>618</v>
      </c>
      <c r="C618" s="340" t="str">
        <f>Tabulka1[[#This Row],[KOD]]</f>
        <v>C253DU</v>
      </c>
      <c r="W618" t="str">
        <f t="shared" si="10"/>
        <v/>
      </c>
      <c r="Y618" s="341">
        <f>IF('General price list'!$AB620="",0,'General price list'!$AB620)</f>
        <v>0</v>
      </c>
      <c r="Z618" s="365">
        <f>IFERROR(X618*VLOOKUP(C618,'General price list'!C:I,7,FALSE),"")</f>
        <v>0</v>
      </c>
      <c r="AA618" s="365" t="str">
        <f>IF(X618&lt;&gt;"",VLOOKUP(C618,'General price list'!C620:AN1593,MATCH("HM",Tabulka1[[#Headers],[KOD]:[NEQ]],0),FALSE),"")</f>
        <v/>
      </c>
    </row>
    <row r="619" spans="1:27">
      <c r="A619">
        <f>COUNTIF($W$22:W619,1)</f>
        <v>0</v>
      </c>
      <c r="B619">
        <v>619</v>
      </c>
      <c r="C619" s="340">
        <f>Tabulka1[[#This Row],[KOD]]</f>
        <v>0</v>
      </c>
      <c r="W619" t="str">
        <f t="shared" si="10"/>
        <v/>
      </c>
      <c r="Y619" s="341">
        <f>IF('General price list'!$AB621="",0,'General price list'!$AB621)</f>
        <v>0</v>
      </c>
      <c r="Z619" s="365" t="str">
        <f>IFERROR(X619*VLOOKUP(C619,'General price list'!C:I,7,FALSE),"")</f>
        <v/>
      </c>
      <c r="AA619" s="365" t="str">
        <f>IF(X619&lt;&gt;"",VLOOKUP(C619,'General price list'!C621:AN1594,MATCH("HM",Tabulka1[[#Headers],[KOD]:[NEQ]],0),FALSE),"")</f>
        <v/>
      </c>
    </row>
    <row r="620" spans="1:27">
      <c r="A620">
        <f>COUNTIF($W$22:W620,1)</f>
        <v>0</v>
      </c>
      <c r="B620">
        <v>620</v>
      </c>
      <c r="C620" s="340" t="str">
        <f>Tabulka1[[#This Row],[KOD]]</f>
        <v>C253BP14</v>
      </c>
      <c r="W620" t="str">
        <f t="shared" si="10"/>
        <v/>
      </c>
      <c r="Y620" s="341">
        <f>IF('General price list'!$AB622="",0,'General price list'!$AB622)</f>
        <v>0</v>
      </c>
      <c r="Z620" s="365">
        <f>IFERROR(X620*VLOOKUP(C620,'General price list'!C:I,7,FALSE),"")</f>
        <v>0</v>
      </c>
      <c r="AA620" s="365" t="str">
        <f>IF(X620&lt;&gt;"",VLOOKUP(C620,'General price list'!C622:AN1595,MATCH("HM",Tabulka1[[#Headers],[KOD]:[NEQ]],0),FALSE),"")</f>
        <v/>
      </c>
    </row>
    <row r="621" spans="1:27">
      <c r="A621">
        <f>COUNTIF($W$22:W621,1)</f>
        <v>0</v>
      </c>
      <c r="B621">
        <v>621</v>
      </c>
      <c r="C621" s="340" t="str">
        <f>Tabulka1[[#This Row],[KOD]]</f>
        <v>C253NO14</v>
      </c>
      <c r="W621" t="str">
        <f t="shared" si="10"/>
        <v/>
      </c>
      <c r="Y621" s="341">
        <f>IF('General price list'!$AB623="",0,'General price list'!$AB623)</f>
        <v>0</v>
      </c>
      <c r="Z621" s="365">
        <f>IFERROR(X621*VLOOKUP(C621,'General price list'!C:I,7,FALSE),"")</f>
        <v>0</v>
      </c>
      <c r="AA621" s="365" t="str">
        <f>IF(X621&lt;&gt;"",VLOOKUP(C621,'General price list'!C623:AN1596,MATCH("HM",Tabulka1[[#Headers],[KOD]:[NEQ]],0),FALSE),"")</f>
        <v/>
      </c>
    </row>
    <row r="622" spans="1:27">
      <c r="A622">
        <f>COUNTIF($W$22:W622,1)</f>
        <v>0</v>
      </c>
      <c r="B622">
        <v>622</v>
      </c>
      <c r="C622" s="340" t="str">
        <f>Tabulka1[[#This Row],[KOD]]</f>
        <v>C253B14</v>
      </c>
      <c r="W622" t="str">
        <f t="shared" si="10"/>
        <v/>
      </c>
      <c r="Y622" s="341">
        <f>IF('General price list'!$AB624="",0,'General price list'!$AB624)</f>
        <v>0</v>
      </c>
      <c r="Z622" s="365">
        <f>IFERROR(X622*VLOOKUP(C622,'General price list'!C:I,7,FALSE),"")</f>
        <v>0</v>
      </c>
      <c r="AA622" s="365" t="str">
        <f>IF(X622&lt;&gt;"",VLOOKUP(C622,'General price list'!C624:AN1597,MATCH("HM",Tabulka1[[#Headers],[KOD]:[NEQ]],0),FALSE),"")</f>
        <v/>
      </c>
    </row>
    <row r="623" spans="1:27">
      <c r="A623">
        <f>COUNTIF($W$22:W623,1)</f>
        <v>0</v>
      </c>
      <c r="B623">
        <v>623</v>
      </c>
      <c r="C623" s="340" t="str">
        <f>Tabulka1[[#This Row],[KOD]]</f>
        <v>C253TH14</v>
      </c>
      <c r="W623" t="str">
        <f t="shared" si="10"/>
        <v/>
      </c>
      <c r="Y623" s="341">
        <f>IF('General price list'!$AB625="",0,'General price list'!$AB625)</f>
        <v>0</v>
      </c>
      <c r="Z623" s="365">
        <f>IFERROR(X623*VLOOKUP(C623,'General price list'!C:I,7,FALSE),"")</f>
        <v>0</v>
      </c>
      <c r="AA623" s="365" t="str">
        <f>IF(X623&lt;&gt;"",VLOOKUP(C623,'General price list'!C625:AN1598,MATCH("HM",Tabulka1[[#Headers],[KOD]:[NEQ]],0),FALSE),"")</f>
        <v/>
      </c>
    </row>
    <row r="624" spans="1:27">
      <c r="A624">
        <f>COUNTIF($W$22:W624,1)</f>
        <v>0</v>
      </c>
      <c r="B624">
        <v>624</v>
      </c>
      <c r="C624" s="340" t="str">
        <f>Tabulka1[[#This Row],[KOD]]</f>
        <v>C253E14</v>
      </c>
      <c r="W624" t="str">
        <f t="shared" si="10"/>
        <v/>
      </c>
      <c r="Y624" s="341">
        <f>IF('General price list'!$AB626="",0,'General price list'!$AB626)</f>
        <v>0</v>
      </c>
      <c r="Z624" s="365">
        <f>IFERROR(X624*VLOOKUP(C624,'General price list'!C:I,7,FALSE),"")</f>
        <v>0</v>
      </c>
      <c r="AA624" s="365" t="str">
        <f>IF(X624&lt;&gt;"",VLOOKUP(C624,'General price list'!C626:AN1599,MATCH("HM",Tabulka1[[#Headers],[KOD]:[NEQ]],0),FALSE),"")</f>
        <v/>
      </c>
    </row>
    <row r="625" spans="1:27">
      <c r="A625">
        <f>COUNTIF($W$22:W625,1)</f>
        <v>0</v>
      </c>
      <c r="B625">
        <v>625</v>
      </c>
      <c r="C625" s="340">
        <f>Tabulka1[[#This Row],[KOD]]</f>
        <v>0</v>
      </c>
      <c r="W625" t="str">
        <f t="shared" si="10"/>
        <v/>
      </c>
      <c r="Y625" s="341">
        <f>IF('General price list'!$AB627="",0,'General price list'!$AB627)</f>
        <v>0</v>
      </c>
      <c r="Z625" s="365" t="str">
        <f>IFERROR(X625*VLOOKUP(C625,'General price list'!C:I,7,FALSE),"")</f>
        <v/>
      </c>
      <c r="AA625" s="365" t="str">
        <f>IF(X625&lt;&gt;"",VLOOKUP(C625,'General price list'!C627:AN1600,MATCH("HM",Tabulka1[[#Headers],[KOD]:[NEQ]],0),FALSE),"")</f>
        <v/>
      </c>
    </row>
    <row r="626" spans="1:27">
      <c r="A626">
        <f>COUNTIF($W$22:W626,1)</f>
        <v>0</v>
      </c>
      <c r="B626">
        <v>626</v>
      </c>
      <c r="C626" s="340" t="str">
        <f>Tabulka1[[#This Row],[KOD]]</f>
        <v>C253F14</v>
      </c>
      <c r="W626" t="str">
        <f t="shared" si="10"/>
        <v/>
      </c>
      <c r="Y626" s="341">
        <f>IF('General price list'!$AB628="",0,'General price list'!$AB628)</f>
        <v>0</v>
      </c>
      <c r="Z626" s="365">
        <f>IFERROR(X626*VLOOKUP(C626,'General price list'!C:I,7,FALSE),"")</f>
        <v>0</v>
      </c>
      <c r="AA626" s="365" t="str">
        <f>IF(X626&lt;&gt;"",VLOOKUP(C626,'General price list'!C628:AN1601,MATCH("HM",Tabulka1[[#Headers],[KOD]:[NEQ]],0),FALSE),"")</f>
        <v/>
      </c>
    </row>
    <row r="627" spans="1:27">
      <c r="A627">
        <f>COUNTIF($W$22:W627,1)</f>
        <v>0</v>
      </c>
      <c r="B627">
        <v>627</v>
      </c>
      <c r="C627" s="340">
        <f>Tabulka1[[#This Row],[KOD]]</f>
        <v>0</v>
      </c>
      <c r="W627" t="str">
        <f t="shared" si="10"/>
        <v/>
      </c>
      <c r="Y627" s="341">
        <f>IF('General price list'!$AB629="",0,'General price list'!$AB629)</f>
        <v>0</v>
      </c>
      <c r="Z627" s="365" t="str">
        <f>IFERROR(X627*VLOOKUP(C627,'General price list'!C:I,7,FALSE),"")</f>
        <v/>
      </c>
      <c r="AA627" s="365" t="str">
        <f>IF(X627&lt;&gt;"",VLOOKUP(C627,'General price list'!C629:AN1602,MATCH("HM",Tabulka1[[#Headers],[KOD]:[NEQ]],0),FALSE),"")</f>
        <v/>
      </c>
    </row>
    <row r="628" spans="1:27">
      <c r="A628">
        <f>COUNTIF($W$22:W628,1)</f>
        <v>0</v>
      </c>
      <c r="B628">
        <v>628</v>
      </c>
      <c r="C628" s="340" t="str">
        <f>Tabulka1[[#This Row],[KOD]]</f>
        <v>CF253R14</v>
      </c>
      <c r="W628" t="str">
        <f t="shared" si="10"/>
        <v/>
      </c>
      <c r="Y628" s="341">
        <f>IF('General price list'!$AB630="",0,'General price list'!$AB630)</f>
        <v>0</v>
      </c>
      <c r="Z628" s="365">
        <f>IFERROR(X628*VLOOKUP(C628,'General price list'!C:I,7,FALSE),"")</f>
        <v>0</v>
      </c>
      <c r="AA628" s="365" t="str">
        <f>IF(X628&lt;&gt;"",VLOOKUP(C628,'General price list'!C630:AN1603,MATCH("HM",Tabulka1[[#Headers],[KOD]:[NEQ]],0),FALSE),"")</f>
        <v/>
      </c>
    </row>
    <row r="629" spans="1:27">
      <c r="A629">
        <f>COUNTIF($W$22:W629,1)</f>
        <v>0</v>
      </c>
      <c r="B629">
        <v>629</v>
      </c>
      <c r="C629" s="340" t="str">
        <f>Tabulka1[[#This Row],[KOD]]</f>
        <v>CF253D14</v>
      </c>
      <c r="W629" t="str">
        <f t="shared" si="10"/>
        <v/>
      </c>
      <c r="Y629" s="341">
        <f>IF('General price list'!$AB631="",0,'General price list'!$AB631)</f>
        <v>0</v>
      </c>
      <c r="Z629" s="365">
        <f>IFERROR(X629*VLOOKUP(C629,'General price list'!C:I,7,FALSE),"")</f>
        <v>0</v>
      </c>
      <c r="AA629" s="365" t="str">
        <f>IF(X629&lt;&gt;"",VLOOKUP(C629,'General price list'!C631:AN1604,MATCH("HM",Tabulka1[[#Headers],[KOD]:[NEQ]],0),FALSE),"")</f>
        <v/>
      </c>
    </row>
    <row r="630" spans="1:27">
      <c r="A630">
        <f>COUNTIF($W$22:W630,1)</f>
        <v>0</v>
      </c>
      <c r="B630">
        <v>630</v>
      </c>
      <c r="C630" s="340" t="str">
        <f>Tabulka1[[#This Row],[KOD]]</f>
        <v>CF253K14</v>
      </c>
      <c r="W630" t="str">
        <f t="shared" si="10"/>
        <v/>
      </c>
      <c r="Y630" s="341">
        <f>IF('General price list'!$AB632="",0,'General price list'!$AB632)</f>
        <v>0</v>
      </c>
      <c r="Z630" s="365">
        <f>IFERROR(X630*VLOOKUP(C630,'General price list'!C:I,7,FALSE),"")</f>
        <v>0</v>
      </c>
      <c r="AA630" s="365" t="str">
        <f>IF(X630&lt;&gt;"",VLOOKUP(C630,'General price list'!C632:AN1605,MATCH("HM",Tabulka1[[#Headers],[KOD]:[NEQ]],0),FALSE),"")</f>
        <v/>
      </c>
    </row>
    <row r="631" spans="1:27">
      <c r="A631">
        <f>COUNTIF($W$22:W631,1)</f>
        <v>0</v>
      </c>
      <c r="B631">
        <v>631</v>
      </c>
      <c r="C631" s="340">
        <f>Tabulka1[[#This Row],[KOD]]</f>
        <v>0</v>
      </c>
      <c r="W631" t="str">
        <f t="shared" si="10"/>
        <v/>
      </c>
      <c r="Y631" s="341">
        <f>IF('General price list'!$AB633="",0,'General price list'!$AB633)</f>
        <v>0</v>
      </c>
      <c r="Z631" s="365" t="str">
        <f>IFERROR(X631*VLOOKUP(C631,'General price list'!C:I,7,FALSE),"")</f>
        <v/>
      </c>
      <c r="AA631" s="365" t="str">
        <f>IF(X631&lt;&gt;"",VLOOKUP(C631,'General price list'!C633:AN1606,MATCH("HM",Tabulka1[[#Headers],[KOD]:[NEQ]],0),FALSE),"")</f>
        <v/>
      </c>
    </row>
    <row r="632" spans="1:27">
      <c r="A632">
        <f>COUNTIF($W$22:W632,1)</f>
        <v>0</v>
      </c>
      <c r="B632">
        <v>632</v>
      </c>
      <c r="C632" s="340" t="str">
        <f>Tabulka1[[#This Row],[KOD]]</f>
        <v>C363PL</v>
      </c>
      <c r="W632" t="str">
        <f t="shared" si="10"/>
        <v/>
      </c>
      <c r="Y632" s="341">
        <f>IF('General price list'!$AB634="",0,'General price list'!$AB634)</f>
        <v>0</v>
      </c>
      <c r="Z632" s="365">
        <f>IFERROR(X632*VLOOKUP(C632,'General price list'!C:I,7,FALSE),"")</f>
        <v>0</v>
      </c>
      <c r="AA632" s="365" t="str">
        <f>IF(X632&lt;&gt;"",VLOOKUP(C632,'General price list'!C634:AN1607,MATCH("HM",Tabulka1[[#Headers],[KOD]:[NEQ]],0),FALSE),"")</f>
        <v/>
      </c>
    </row>
    <row r="633" spans="1:27">
      <c r="A633">
        <f>COUNTIF($W$22:W633,1)</f>
        <v>0</v>
      </c>
      <c r="B633">
        <v>633</v>
      </c>
      <c r="C633" s="340" t="str">
        <f>Tabulka1[[#This Row],[KOD]]</f>
        <v>C363PA</v>
      </c>
      <c r="W633" t="str">
        <f t="shared" si="10"/>
        <v/>
      </c>
      <c r="Y633" s="341">
        <f>IF('General price list'!$AB635="",0,'General price list'!$AB635)</f>
        <v>0</v>
      </c>
      <c r="Z633" s="365">
        <f>IFERROR(X633*VLOOKUP(C633,'General price list'!C:I,7,FALSE),"")</f>
        <v>0</v>
      </c>
      <c r="AA633" s="365" t="str">
        <f>IF(X633&lt;&gt;"",VLOOKUP(C633,'General price list'!C635:AN1608,MATCH("HM",Tabulka1[[#Headers],[KOD]:[NEQ]],0),FALSE),"")</f>
        <v/>
      </c>
    </row>
    <row r="634" spans="1:27">
      <c r="A634">
        <f>COUNTIF($W$22:W634,1)</f>
        <v>0</v>
      </c>
      <c r="B634">
        <v>634</v>
      </c>
      <c r="C634" s="340" t="str">
        <f>Tabulka1[[#This Row],[KOD]]</f>
        <v>C363DR</v>
      </c>
      <c r="W634" t="str">
        <f t="shared" si="10"/>
        <v/>
      </c>
      <c r="Y634" s="341">
        <f>IF('General price list'!$AB636="",0,'General price list'!$AB636)</f>
        <v>0</v>
      </c>
      <c r="Z634" s="365">
        <f>IFERROR(X634*VLOOKUP(C634,'General price list'!C:I,7,FALSE),"")</f>
        <v>0</v>
      </c>
      <c r="AA634" s="365" t="str">
        <f>IF(X634&lt;&gt;"",VLOOKUP(C634,'General price list'!C636:AN1609,MATCH("HM",Tabulka1[[#Headers],[KOD]:[NEQ]],0),FALSE),"")</f>
        <v/>
      </c>
    </row>
    <row r="635" spans="1:27">
      <c r="A635">
        <f>COUNTIF($W$22:W635,1)</f>
        <v>0</v>
      </c>
      <c r="B635">
        <v>635</v>
      </c>
      <c r="C635" s="340">
        <f>Tabulka1[[#This Row],[KOD]]</f>
        <v>0</v>
      </c>
      <c r="W635" t="str">
        <f t="shared" si="10"/>
        <v/>
      </c>
      <c r="Y635" s="341">
        <f>IF('General price list'!$AB637="",0,'General price list'!$AB637)</f>
        <v>0</v>
      </c>
      <c r="Z635" s="365" t="str">
        <f>IFERROR(X635*VLOOKUP(C635,'General price list'!C:I,7,FALSE),"")</f>
        <v/>
      </c>
      <c r="AA635" s="365" t="str">
        <f>IF(X635&lt;&gt;"",VLOOKUP(C635,'General price list'!C637:AN1610,MATCH("HM",Tabulka1[[#Headers],[KOD]:[NEQ]],0),FALSE),"")</f>
        <v/>
      </c>
    </row>
    <row r="636" spans="1:27">
      <c r="A636">
        <f>COUNTIF($W$22:W636,1)</f>
        <v>0</v>
      </c>
      <c r="B636">
        <v>636</v>
      </c>
      <c r="C636" s="340" t="str">
        <f>Tabulka1[[#This Row],[KOD]]</f>
        <v>CF363S</v>
      </c>
      <c r="W636" t="str">
        <f t="shared" si="10"/>
        <v/>
      </c>
      <c r="Y636" s="341">
        <f>IF('General price list'!$AB638="",0,'General price list'!$AB638)</f>
        <v>0</v>
      </c>
      <c r="Z636" s="365">
        <f>IFERROR(X636*VLOOKUP(C636,'General price list'!C:I,7,FALSE),"")</f>
        <v>0</v>
      </c>
      <c r="AA636" s="365" t="str">
        <f>IF(X636&lt;&gt;"",VLOOKUP(C636,'General price list'!C638:AN1611,MATCH("HM",Tabulka1[[#Headers],[KOD]:[NEQ]],0),FALSE),"")</f>
        <v/>
      </c>
    </row>
    <row r="637" spans="1:27">
      <c r="A637">
        <f>COUNTIF($W$22:W637,1)</f>
        <v>0</v>
      </c>
      <c r="B637">
        <v>637</v>
      </c>
      <c r="C637" s="340">
        <f>Tabulka1[[#This Row],[KOD]]</f>
        <v>0</v>
      </c>
      <c r="W637" t="str">
        <f t="shared" si="10"/>
        <v/>
      </c>
      <c r="Y637" s="341">
        <f>IF('General price list'!$AB639="",0,'General price list'!$AB639)</f>
        <v>0</v>
      </c>
      <c r="Z637" s="365" t="str">
        <f>IFERROR(X637*VLOOKUP(C637,'General price list'!C:I,7,FALSE),"")</f>
        <v/>
      </c>
      <c r="AA637" s="365" t="str">
        <f>IF(X637&lt;&gt;"",VLOOKUP(C637,'General price list'!C639:AN1612,MATCH("HM",Tabulka1[[#Headers],[KOD]:[NEQ]],0),FALSE),"")</f>
        <v/>
      </c>
    </row>
    <row r="638" spans="1:27">
      <c r="A638">
        <f>COUNTIF($W$22:W638,1)</f>
        <v>0</v>
      </c>
      <c r="B638">
        <v>638</v>
      </c>
      <c r="C638" s="340" t="str">
        <f>Tabulka1[[#This Row],[KOD]]</f>
        <v>C493BPS</v>
      </c>
      <c r="W638" t="str">
        <f t="shared" si="10"/>
        <v/>
      </c>
      <c r="Y638" s="341">
        <f>IF('General price list'!$AB640="",0,'General price list'!$AB640)</f>
        <v>0</v>
      </c>
      <c r="Z638" s="365">
        <f>IFERROR(X638*VLOOKUP(C638,'General price list'!C:I,7,FALSE),"")</f>
        <v>0</v>
      </c>
      <c r="AA638" s="365" t="str">
        <f>IF(X638&lt;&gt;"",VLOOKUP(C638,'General price list'!C640:AN1613,MATCH("HM",Tabulka1[[#Headers],[KOD]:[NEQ]],0),FALSE),"")</f>
        <v/>
      </c>
    </row>
    <row r="639" spans="1:27">
      <c r="A639">
        <f>COUNTIF($W$22:W639,1)</f>
        <v>0</v>
      </c>
      <c r="B639">
        <v>639</v>
      </c>
      <c r="C639" s="340" t="str">
        <f>Tabulka1[[#This Row],[KOD]]</f>
        <v>C493PR</v>
      </c>
      <c r="W639" t="str">
        <f t="shared" si="10"/>
        <v/>
      </c>
      <c r="Y639" s="341">
        <f>IF('General price list'!$AB641="",0,'General price list'!$AB641)</f>
        <v>0</v>
      </c>
      <c r="Z639" s="365">
        <f>IFERROR(X639*VLOOKUP(C639,'General price list'!C:I,7,FALSE),"")</f>
        <v>0</v>
      </c>
      <c r="AA639" s="365" t="str">
        <f>IF(X639&lt;&gt;"",VLOOKUP(C639,'General price list'!C641:AN1614,MATCH("HM",Tabulka1[[#Headers],[KOD]:[NEQ]],0),FALSE),"")</f>
        <v/>
      </c>
    </row>
    <row r="640" spans="1:27">
      <c r="A640">
        <f>COUNTIF($W$22:W640,1)</f>
        <v>0</v>
      </c>
      <c r="B640">
        <v>640</v>
      </c>
      <c r="C640" s="340" t="str">
        <f>Tabulka1[[#This Row],[KOD]]</f>
        <v>C493RU</v>
      </c>
      <c r="W640" t="str">
        <f t="shared" si="10"/>
        <v/>
      </c>
      <c r="Y640" s="341">
        <f>IF('General price list'!$AB642="",0,'General price list'!$AB642)</f>
        <v>0</v>
      </c>
      <c r="Z640" s="365">
        <f>IFERROR(X640*VLOOKUP(C640,'General price list'!C:I,7,FALSE),"")</f>
        <v>0</v>
      </c>
      <c r="AA640" s="365" t="str">
        <f>IF(X640&lt;&gt;"",VLOOKUP(C640,'General price list'!C642:AN1615,MATCH("HM",Tabulka1[[#Headers],[KOD]:[NEQ]],0),FALSE),"")</f>
        <v/>
      </c>
    </row>
    <row r="641" spans="1:27">
      <c r="A641">
        <f>COUNTIF($W$22:W641,1)</f>
        <v>0</v>
      </c>
      <c r="B641">
        <v>641</v>
      </c>
      <c r="C641" s="340" t="str">
        <f>Tabulka1[[#This Row],[KOD]]</f>
        <v>C493MA</v>
      </c>
      <c r="W641" t="str">
        <f t="shared" si="10"/>
        <v/>
      </c>
      <c r="Y641" s="341">
        <f>IF('General price list'!$AB643="",0,'General price list'!$AB643)</f>
        <v>0</v>
      </c>
      <c r="Z641" s="365">
        <f>IFERROR(X641*VLOOKUP(C641,'General price list'!C:I,7,FALSE),"")</f>
        <v>0</v>
      </c>
      <c r="AA641" s="365" t="str">
        <f>IF(X641&lt;&gt;"",VLOOKUP(C641,'General price list'!C643:AN1616,MATCH("HM",Tabulka1[[#Headers],[KOD]:[NEQ]],0),FALSE),"")</f>
        <v/>
      </c>
    </row>
    <row r="642" spans="1:27">
      <c r="A642">
        <f>COUNTIF($W$22:W642,1)</f>
        <v>0</v>
      </c>
      <c r="B642">
        <v>642</v>
      </c>
      <c r="C642" s="340" t="str">
        <f>Tabulka1[[#This Row],[KOD]]</f>
        <v>C493LI</v>
      </c>
      <c r="W642" t="str">
        <f t="shared" si="10"/>
        <v/>
      </c>
      <c r="Y642" s="341">
        <f>IF('General price list'!$AB644="",0,'General price list'!$AB644)</f>
        <v>0</v>
      </c>
      <c r="Z642" s="365">
        <f>IFERROR(X642*VLOOKUP(C642,'General price list'!C:I,7,FALSE),"")</f>
        <v>0</v>
      </c>
      <c r="AA642" s="365" t="str">
        <f>IF(X642&lt;&gt;"",VLOOKUP(C642,'General price list'!C644:AN1617,MATCH("HM",Tabulka1[[#Headers],[KOD]:[NEQ]],0),FALSE),"")</f>
        <v/>
      </c>
    </row>
    <row r="643" spans="1:27">
      <c r="A643">
        <f>COUNTIF($W$22:W643,1)</f>
        <v>0</v>
      </c>
      <c r="B643">
        <v>643</v>
      </c>
      <c r="C643" s="340" t="str">
        <f>Tabulka1[[#This Row],[KOD]]</f>
        <v>C493DU</v>
      </c>
      <c r="W643" t="str">
        <f t="shared" si="10"/>
        <v/>
      </c>
      <c r="Y643" s="341">
        <f>IF('General price list'!$AB645="",0,'General price list'!$AB645)</f>
        <v>0</v>
      </c>
      <c r="Z643" s="365">
        <f>IFERROR(X643*VLOOKUP(C643,'General price list'!C:I,7,FALSE),"")</f>
        <v>0</v>
      </c>
      <c r="AA643" s="365" t="str">
        <f>IF(X643&lt;&gt;"",VLOOKUP(C643,'General price list'!C645:AN1618,MATCH("HM",Tabulka1[[#Headers],[KOD]:[NEQ]],0),FALSE),"")</f>
        <v/>
      </c>
    </row>
    <row r="644" spans="1:27">
      <c r="A644">
        <f>COUNTIF($W$22:W644,1)</f>
        <v>0</v>
      </c>
      <c r="B644">
        <v>644</v>
      </c>
      <c r="C644" s="340" t="str">
        <f>Tabulka1[[#This Row],[KOD]]</f>
        <v>C493SW</v>
      </c>
      <c r="W644" t="str">
        <f t="shared" si="10"/>
        <v/>
      </c>
      <c r="Y644" s="341">
        <f>IF('General price list'!$AB646="",0,'General price list'!$AB646)</f>
        <v>0</v>
      </c>
      <c r="Z644" s="365">
        <f>IFERROR(X644*VLOOKUP(C644,'General price list'!C:I,7,FALSE),"")</f>
        <v>0</v>
      </c>
      <c r="AA644" s="365" t="str">
        <f>IF(X644&lt;&gt;"",VLOOKUP(C644,'General price list'!C646:AN1619,MATCH("HM",Tabulka1[[#Headers],[KOD]:[NEQ]],0),FALSE),"")</f>
        <v/>
      </c>
    </row>
    <row r="645" spans="1:27">
      <c r="A645">
        <f>COUNTIF($W$22:W645,1)</f>
        <v>0</v>
      </c>
      <c r="B645">
        <v>645</v>
      </c>
      <c r="C645" s="340" t="str">
        <f>Tabulka1[[#This Row],[KOD]]</f>
        <v>C493GH</v>
      </c>
      <c r="W645" t="str">
        <f t="shared" si="10"/>
        <v/>
      </c>
      <c r="Y645" s="341">
        <f>IF('General price list'!$AB647="",0,'General price list'!$AB647)</f>
        <v>0</v>
      </c>
      <c r="Z645" s="365">
        <f>IFERROR(X645*VLOOKUP(C645,'General price list'!C:I,7,FALSE),"")</f>
        <v>0</v>
      </c>
      <c r="AA645" s="365" t="str">
        <f>IF(X645&lt;&gt;"",VLOOKUP(C645,'General price list'!C647:AN1620,MATCH("HM",Tabulka1[[#Headers],[KOD]:[NEQ]],0),FALSE),"")</f>
        <v/>
      </c>
    </row>
    <row r="646" spans="1:27">
      <c r="A646">
        <f>COUNTIF($W$22:W646,1)</f>
        <v>0</v>
      </c>
      <c r="B646">
        <v>646</v>
      </c>
      <c r="C646" s="340" t="str">
        <f>Tabulka1[[#This Row],[KOD]]</f>
        <v>C493RG</v>
      </c>
      <c r="W646" t="str">
        <f t="shared" si="10"/>
        <v/>
      </c>
      <c r="Y646" s="341">
        <f>IF('General price list'!$AB648="",0,'General price list'!$AB648)</f>
        <v>0</v>
      </c>
      <c r="Z646" s="365">
        <f>IFERROR(X646*VLOOKUP(C646,'General price list'!C:I,7,FALSE),"")</f>
        <v>0</v>
      </c>
      <c r="AA646" s="365" t="str">
        <f>IF(X646&lt;&gt;"",VLOOKUP(C646,'General price list'!C648:AN1621,MATCH("HM",Tabulka1[[#Headers],[KOD]:[NEQ]],0),FALSE),"")</f>
        <v/>
      </c>
    </row>
    <row r="647" spans="1:27">
      <c r="A647">
        <f>COUNTIF($W$22:W647,1)</f>
        <v>0</v>
      </c>
      <c r="B647">
        <v>647</v>
      </c>
      <c r="C647" s="340" t="str">
        <f>Tabulka1[[#This Row],[KOD]]</f>
        <v>C493BW</v>
      </c>
      <c r="W647" t="str">
        <f t="shared" si="10"/>
        <v/>
      </c>
      <c r="Y647" s="341">
        <f>IF('General price list'!$AB649="",0,'General price list'!$AB649)</f>
        <v>0</v>
      </c>
      <c r="Z647" s="365">
        <f>IFERROR(X647*VLOOKUP(C647,'General price list'!C:I,7,FALSE),"")</f>
        <v>0</v>
      </c>
      <c r="AA647" s="365" t="str">
        <f>IF(X647&lt;&gt;"",VLOOKUP(C647,'General price list'!C649:AN1622,MATCH("HM",Tabulka1[[#Headers],[KOD]:[NEQ]],0),FALSE),"")</f>
        <v/>
      </c>
    </row>
    <row r="648" spans="1:27">
      <c r="A648">
        <f>COUNTIF($W$22:W648,1)</f>
        <v>0</v>
      </c>
      <c r="B648">
        <v>648</v>
      </c>
      <c r="C648" s="340">
        <f>Tabulka1[[#This Row],[KOD]]</f>
        <v>0</v>
      </c>
      <c r="W648" t="str">
        <f t="shared" si="10"/>
        <v/>
      </c>
      <c r="Y648" s="341">
        <f>IF('General price list'!$AB650="",0,'General price list'!$AB650)</f>
        <v>0</v>
      </c>
      <c r="Z648" s="365" t="str">
        <f>IFERROR(X648*VLOOKUP(C648,'General price list'!C:I,7,FALSE),"")</f>
        <v/>
      </c>
      <c r="AA648" s="365" t="str">
        <f>IF(X648&lt;&gt;"",VLOOKUP(C648,'General price list'!C650:AN1623,MATCH("HM",Tabulka1[[#Headers],[KOD]:[NEQ]],0),FALSE),"")</f>
        <v/>
      </c>
    </row>
    <row r="649" spans="1:27">
      <c r="A649">
        <f>COUNTIF($W$22:W649,1)</f>
        <v>0</v>
      </c>
      <c r="B649">
        <v>649</v>
      </c>
      <c r="C649" s="340" t="str">
        <f>Tabulka1[[#This Row],[KOD]]</f>
        <v>CF493ST</v>
      </c>
      <c r="W649" t="str">
        <f t="shared" si="10"/>
        <v/>
      </c>
      <c r="Y649" s="341">
        <f>IF('General price list'!$AB651="",0,'General price list'!$AB651)</f>
        <v>0</v>
      </c>
      <c r="Z649" s="365">
        <f>IFERROR(X649*VLOOKUP(C649,'General price list'!C:I,7,FALSE),"")</f>
        <v>0</v>
      </c>
      <c r="AA649" s="365" t="str">
        <f>IF(X649&lt;&gt;"",VLOOKUP(C649,'General price list'!C651:AN1624,MATCH("HM",Tabulka1[[#Headers],[KOD]:[NEQ]],0),FALSE),"")</f>
        <v/>
      </c>
    </row>
    <row r="650" spans="1:27">
      <c r="A650">
        <f>COUNTIF($W$22:W650,1)</f>
        <v>0</v>
      </c>
      <c r="B650">
        <v>650</v>
      </c>
      <c r="C650" s="340" t="str">
        <f>Tabulka1[[#This Row],[KOD]]</f>
        <v>CF493SA</v>
      </c>
      <c r="W650" t="str">
        <f t="shared" si="10"/>
        <v/>
      </c>
      <c r="Y650" s="341">
        <f>IF('General price list'!$AB652="",0,'General price list'!$AB652)</f>
        <v>0</v>
      </c>
      <c r="Z650" s="365">
        <f>IFERROR(X650*VLOOKUP(C650,'General price list'!C:I,7,FALSE),"")</f>
        <v>0</v>
      </c>
      <c r="AA650" s="365" t="str">
        <f>IF(X650&lt;&gt;"",VLOOKUP(C650,'General price list'!C652:AN1625,MATCH("HM",Tabulka1[[#Headers],[KOD]:[NEQ]],0),FALSE),"")</f>
        <v/>
      </c>
    </row>
    <row r="651" spans="1:27">
      <c r="A651">
        <f>COUNTIF($W$22:W651,1)</f>
        <v>0</v>
      </c>
      <c r="B651">
        <v>651</v>
      </c>
      <c r="C651" s="340" t="str">
        <f>Tabulka1[[#This Row],[KOD]]</f>
        <v>CF493W</v>
      </c>
      <c r="W651" t="str">
        <f t="shared" si="10"/>
        <v/>
      </c>
      <c r="Y651" s="341">
        <f>IF('General price list'!$AB653="",0,'General price list'!$AB653)</f>
        <v>0</v>
      </c>
      <c r="Z651" s="365">
        <f>IFERROR(X651*VLOOKUP(C651,'General price list'!C:I,7,FALSE),"")</f>
        <v>0</v>
      </c>
      <c r="AA651" s="365" t="str">
        <f>IF(X651&lt;&gt;"",VLOOKUP(C651,'General price list'!C653:AN1626,MATCH("HM",Tabulka1[[#Headers],[KOD]:[NEQ]],0),FALSE),"")</f>
        <v/>
      </c>
    </row>
    <row r="652" spans="1:27">
      <c r="A652">
        <f>COUNTIF($W$22:W652,1)</f>
        <v>0</v>
      </c>
      <c r="B652">
        <v>652</v>
      </c>
      <c r="C652" s="340" t="str">
        <f>Tabulka1[[#This Row],[KOD]]</f>
        <v>CF493ME</v>
      </c>
      <c r="W652" t="str">
        <f t="shared" si="10"/>
        <v/>
      </c>
      <c r="Y652" s="341">
        <f>IF('General price list'!$AB654="",0,'General price list'!$AB654)</f>
        <v>0</v>
      </c>
      <c r="Z652" s="365">
        <f>IFERROR(X652*VLOOKUP(C652,'General price list'!C:I,7,FALSE),"")</f>
        <v>0</v>
      </c>
      <c r="AA652" s="365" t="str">
        <f>IF(X652&lt;&gt;"",VLOOKUP(C652,'General price list'!C654:AN1627,MATCH("HM",Tabulka1[[#Headers],[KOD]:[NEQ]],0),FALSE),"")</f>
        <v/>
      </c>
    </row>
    <row r="653" spans="1:27">
      <c r="A653">
        <f>COUNTIF($W$22:W653,1)</f>
        <v>0</v>
      </c>
      <c r="B653">
        <v>653</v>
      </c>
      <c r="C653" s="340">
        <f>Tabulka1[[#This Row],[KOD]]</f>
        <v>0</v>
      </c>
      <c r="W653" t="str">
        <f t="shared" si="10"/>
        <v/>
      </c>
      <c r="Y653" s="341">
        <f>IF('General price list'!$AB655="",0,'General price list'!$AB655)</f>
        <v>0</v>
      </c>
      <c r="Z653" s="365" t="str">
        <f>IFERROR(X653*VLOOKUP(C653,'General price list'!C:I,7,FALSE),"")</f>
        <v/>
      </c>
      <c r="AA653" s="365" t="str">
        <f>IF(X653&lt;&gt;"",VLOOKUP(C653,'General price list'!C655:AN1628,MATCH("HM",Tabulka1[[#Headers],[KOD]:[NEQ]],0),FALSE),"")</f>
        <v/>
      </c>
    </row>
    <row r="654" spans="1:27">
      <c r="A654">
        <f>COUNTIF($W$22:W654,1)</f>
        <v>0</v>
      </c>
      <c r="B654">
        <v>654</v>
      </c>
      <c r="C654" s="340" t="str">
        <f>Tabulka1[[#This Row],[KOD]]</f>
        <v>C503SIGA</v>
      </c>
      <c r="W654" t="str">
        <f t="shared" si="10"/>
        <v/>
      </c>
      <c r="Y654" s="341">
        <f>IF('General price list'!$AB656="",0,'General price list'!$AB656)</f>
        <v>0</v>
      </c>
      <c r="Z654" s="365">
        <f>IFERROR(X654*VLOOKUP(C654,'General price list'!C:I,7,FALSE),"")</f>
        <v>0</v>
      </c>
      <c r="AA654" s="365" t="str">
        <f>IF(X654&lt;&gt;"",VLOOKUP(C654,'General price list'!C656:AN1629,MATCH("HM",Tabulka1[[#Headers],[KOD]:[NEQ]],0),FALSE),"")</f>
        <v/>
      </c>
    </row>
    <row r="655" spans="1:27">
      <c r="A655">
        <f>COUNTIF($W$22:W655,1)</f>
        <v>0</v>
      </c>
      <c r="B655">
        <v>655</v>
      </c>
      <c r="C655" s="340" t="str">
        <f>Tabulka1[[#This Row],[KOD]]</f>
        <v>C503RA</v>
      </c>
      <c r="W655" t="str">
        <f t="shared" si="10"/>
        <v/>
      </c>
      <c r="Y655" s="341">
        <f>IF('General price list'!$AB657="",0,'General price list'!$AB657)</f>
        <v>0</v>
      </c>
      <c r="Z655" s="365">
        <f>IFERROR(X655*VLOOKUP(C655,'General price list'!C:I,7,FALSE),"")</f>
        <v>0</v>
      </c>
      <c r="AA655" s="365" t="str">
        <f>IF(X655&lt;&gt;"",VLOOKUP(C655,'General price list'!C657:AN1630,MATCH("HM",Tabulka1[[#Headers],[KOD]:[NEQ]],0),FALSE),"")</f>
        <v/>
      </c>
    </row>
    <row r="656" spans="1:27">
      <c r="A656">
        <f>COUNTIF($W$22:W656,1)</f>
        <v>0</v>
      </c>
      <c r="B656">
        <v>656</v>
      </c>
      <c r="C656" s="340" t="str">
        <f>Tabulka1[[#This Row],[KOD]]</f>
        <v>C503RO</v>
      </c>
      <c r="W656" t="str">
        <f t="shared" si="10"/>
        <v/>
      </c>
      <c r="Y656" s="341">
        <f>IF('General price list'!$AB658="",0,'General price list'!$AB658)</f>
        <v>0</v>
      </c>
      <c r="Z656" s="365">
        <f>IFERROR(X656*VLOOKUP(C656,'General price list'!C:I,7,FALSE),"")</f>
        <v>0</v>
      </c>
      <c r="AA656" s="365" t="str">
        <f>IF(X656&lt;&gt;"",VLOOKUP(C656,'General price list'!C658:AN1631,MATCH("HM",Tabulka1[[#Headers],[KOD]:[NEQ]],0),FALSE),"")</f>
        <v/>
      </c>
    </row>
    <row r="657" spans="1:27">
      <c r="A657">
        <f>COUNTIF($W$22:W657,1)</f>
        <v>0</v>
      </c>
      <c r="B657">
        <v>657</v>
      </c>
      <c r="C657" s="340" t="str">
        <f>Tabulka1[[#This Row],[KOD]]</f>
        <v>C503BI</v>
      </c>
      <c r="W657" t="str">
        <f t="shared" si="10"/>
        <v/>
      </c>
      <c r="Y657" s="341">
        <f>IF('General price list'!$AB659="",0,'General price list'!$AB659)</f>
        <v>0</v>
      </c>
      <c r="Z657" s="365">
        <f>IFERROR(X657*VLOOKUP(C657,'General price list'!C:I,7,FALSE),"")</f>
        <v>0</v>
      </c>
      <c r="AA657" s="365" t="str">
        <f>IF(X657&lt;&gt;"",VLOOKUP(C657,'General price list'!C659:AN1632,MATCH("HM",Tabulka1[[#Headers],[KOD]:[NEQ]],0),FALSE),"")</f>
        <v/>
      </c>
    </row>
    <row r="658" spans="1:27">
      <c r="A658">
        <f>COUNTIF($W$22:W658,1)</f>
        <v>0</v>
      </c>
      <c r="B658">
        <v>658</v>
      </c>
      <c r="C658" s="340">
        <f>Tabulka1[[#This Row],[KOD]]</f>
        <v>0</v>
      </c>
      <c r="W658" t="str">
        <f t="shared" si="10"/>
        <v/>
      </c>
      <c r="Y658" s="341">
        <f>IF('General price list'!$AB660="",0,'General price list'!$AB660)</f>
        <v>0</v>
      </c>
      <c r="Z658" s="365" t="str">
        <f>IFERROR(X658*VLOOKUP(C658,'General price list'!C:I,7,FALSE),"")</f>
        <v/>
      </c>
      <c r="AA658" s="365" t="str">
        <f>IF(X658&lt;&gt;"",VLOOKUP(C658,'General price list'!C660:AN1633,MATCH("HM",Tabulka1[[#Headers],[KOD]:[NEQ]],0),FALSE),"")</f>
        <v/>
      </c>
    </row>
    <row r="659" spans="1:27">
      <c r="A659">
        <f>COUNTIF($W$22:W659,1)</f>
        <v>0</v>
      </c>
      <c r="B659">
        <v>659</v>
      </c>
      <c r="C659" s="340" t="str">
        <f>Tabulka1[[#This Row],[KOD]]</f>
        <v>C643BI</v>
      </c>
      <c r="W659" t="str">
        <f t="shared" si="10"/>
        <v/>
      </c>
      <c r="Y659" s="341">
        <f>IF('General price list'!$AB661="",0,'General price list'!$AB661)</f>
        <v>0</v>
      </c>
      <c r="Z659" s="365">
        <f>IFERROR(X659*VLOOKUP(C659,'General price list'!C:I,7,FALSE),"")</f>
        <v>0</v>
      </c>
      <c r="AA659" s="365" t="str">
        <f>IF(X659&lt;&gt;"",VLOOKUP(C659,'General price list'!C661:AN1634,MATCH("HM",Tabulka1[[#Headers],[KOD]:[NEQ]],0),FALSE),"")</f>
        <v/>
      </c>
    </row>
    <row r="660" spans="1:27">
      <c r="A660">
        <f>COUNTIF($W$22:W660,1)</f>
        <v>0</v>
      </c>
      <c r="B660">
        <v>660</v>
      </c>
      <c r="C660" s="340" t="str">
        <f>Tabulka1[[#This Row],[KOD]]</f>
        <v>C643H</v>
      </c>
      <c r="W660" t="str">
        <f t="shared" si="10"/>
        <v/>
      </c>
      <c r="Y660" s="341">
        <f>IF('General price list'!$AB662="",0,'General price list'!$AB662)</f>
        <v>0</v>
      </c>
      <c r="Z660" s="365">
        <f>IFERROR(X660*VLOOKUP(C660,'General price list'!C:I,7,FALSE),"")</f>
        <v>0</v>
      </c>
      <c r="AA660" s="365" t="str">
        <f>IF(X660&lt;&gt;"",VLOOKUP(C660,'General price list'!C662:AN1635,MATCH("HM",Tabulka1[[#Headers],[KOD]:[NEQ]],0),FALSE),"")</f>
        <v/>
      </c>
    </row>
    <row r="661" spans="1:27">
      <c r="A661">
        <f>COUNTIF($W$22:W661,1)</f>
        <v>0</v>
      </c>
      <c r="B661">
        <v>661</v>
      </c>
      <c r="C661" s="340">
        <f>Tabulka1[[#This Row],[KOD]]</f>
        <v>0</v>
      </c>
      <c r="W661" t="str">
        <f t="shared" si="10"/>
        <v/>
      </c>
      <c r="Y661" s="341">
        <f>IF('General price list'!$AB663="",0,'General price list'!$AB663)</f>
        <v>0</v>
      </c>
      <c r="Z661" s="365" t="str">
        <f>IFERROR(X661*VLOOKUP(C661,'General price list'!C:I,7,FALSE),"")</f>
        <v/>
      </c>
      <c r="AA661" s="365" t="str">
        <f>IF(X661&lt;&gt;"",VLOOKUP(C661,'General price list'!C663:AN1636,MATCH("HM",Tabulka1[[#Headers],[KOD]:[NEQ]],0),FALSE),"")</f>
        <v/>
      </c>
    </row>
    <row r="662" spans="1:27">
      <c r="A662">
        <f>COUNTIF($W$22:W662,1)</f>
        <v>0</v>
      </c>
      <c r="B662">
        <v>662</v>
      </c>
      <c r="C662" s="340" t="str">
        <f>Tabulka1[[#This Row],[KOD]]</f>
        <v>CF643M</v>
      </c>
      <c r="W662" t="str">
        <f t="shared" si="10"/>
        <v/>
      </c>
      <c r="Y662" s="341">
        <f>IF('General price list'!$AB664="",0,'General price list'!$AB664)</f>
        <v>0</v>
      </c>
      <c r="Z662" s="365">
        <f>IFERROR(X662*VLOOKUP(C662,'General price list'!C:I,7,FALSE),"")</f>
        <v>0</v>
      </c>
      <c r="AA662" s="365" t="str">
        <f>IF(X662&lt;&gt;"",VLOOKUP(C662,'General price list'!C664:AN1637,MATCH("HM",Tabulka1[[#Headers],[KOD]:[NEQ]],0),FALSE),"")</f>
        <v/>
      </c>
    </row>
    <row r="663" spans="1:27">
      <c r="A663">
        <f>COUNTIF($W$22:W663,1)</f>
        <v>0</v>
      </c>
      <c r="B663">
        <v>663</v>
      </c>
      <c r="C663" s="340" t="str">
        <f>Tabulka1[[#This Row],[KOD]]</f>
        <v>CF643T</v>
      </c>
      <c r="W663" t="str">
        <f t="shared" si="10"/>
        <v/>
      </c>
      <c r="Y663" s="341">
        <f>IF('General price list'!$AB665="",0,'General price list'!$AB665)</f>
        <v>0</v>
      </c>
      <c r="Z663" s="365">
        <f>IFERROR(X663*VLOOKUP(C663,'General price list'!C:I,7,FALSE),"")</f>
        <v>0</v>
      </c>
      <c r="AA663" s="365" t="str">
        <f>IF(X663&lt;&gt;"",VLOOKUP(C663,'General price list'!C665:AN1638,MATCH("HM",Tabulka1[[#Headers],[KOD]:[NEQ]],0),FALSE),"")</f>
        <v/>
      </c>
    </row>
    <row r="664" spans="1:27">
      <c r="A664">
        <f>COUNTIF($W$22:W664,1)</f>
        <v>0</v>
      </c>
      <c r="B664">
        <v>664</v>
      </c>
      <c r="C664" s="340">
        <f>Tabulka1[[#This Row],[KOD]]</f>
        <v>0</v>
      </c>
      <c r="W664" t="str">
        <f t="shared" ref="W664:W727" si="11">IF(Y664+1=1,"",1)</f>
        <v/>
      </c>
      <c r="Y664" s="341">
        <f>IF('General price list'!$AB666="",0,'General price list'!$AB666)</f>
        <v>0</v>
      </c>
      <c r="Z664" s="365" t="str">
        <f>IFERROR(X664*VLOOKUP(C664,'General price list'!C:I,7,FALSE),"")</f>
        <v/>
      </c>
      <c r="AA664" s="365" t="str">
        <f>IF(X664&lt;&gt;"",VLOOKUP(C664,'General price list'!C666:AN1639,MATCH("HM",Tabulka1[[#Headers],[KOD]:[NEQ]],0),FALSE),"")</f>
        <v/>
      </c>
    </row>
    <row r="665" spans="1:27">
      <c r="A665">
        <f>COUNTIF($W$22:W665,1)</f>
        <v>0</v>
      </c>
      <c r="B665">
        <v>665</v>
      </c>
      <c r="C665" s="340" t="str">
        <f>Tabulka1[[#This Row],[KOD]]</f>
        <v>C643XMO</v>
      </c>
      <c r="W665" t="str">
        <f t="shared" si="11"/>
        <v/>
      </c>
      <c r="Y665" s="341">
        <f>IF('General price list'!$AB667="",0,'General price list'!$AB667)</f>
        <v>0</v>
      </c>
      <c r="Z665" s="365">
        <f>IFERROR(X665*VLOOKUP(C665,'General price list'!C:I,7,FALSE),"")</f>
        <v>0</v>
      </c>
      <c r="AA665" s="365" t="str">
        <f>IF(X665&lt;&gt;"",VLOOKUP(C665,'General price list'!C667:AN1640,MATCH("HM",Tabulka1[[#Headers],[KOD]:[NEQ]],0),FALSE),"")</f>
        <v/>
      </c>
    </row>
    <row r="666" spans="1:27">
      <c r="A666">
        <f>COUNTIF($W$22:W666,1)</f>
        <v>0</v>
      </c>
      <c r="B666">
        <v>666</v>
      </c>
      <c r="C666" s="340" t="str">
        <f>Tabulka1[[#This Row],[KOD]]</f>
        <v>C643XMS</v>
      </c>
      <c r="W666" t="str">
        <f t="shared" si="11"/>
        <v/>
      </c>
      <c r="Y666" s="341">
        <f>IF('General price list'!$AB668="",0,'General price list'!$AB668)</f>
        <v>0</v>
      </c>
      <c r="Z666" s="365">
        <f>IFERROR(X666*VLOOKUP(C666,'General price list'!C:I,7,FALSE),"")</f>
        <v>0</v>
      </c>
      <c r="AA666" s="365" t="str">
        <f>IF(X666&lt;&gt;"",VLOOKUP(C666,'General price list'!C668:AN1641,MATCH("HM",Tabulka1[[#Headers],[KOD]:[NEQ]],0),FALSE),"")</f>
        <v/>
      </c>
    </row>
    <row r="667" spans="1:27">
      <c r="A667">
        <f>COUNTIF($W$22:W667,1)</f>
        <v>0</v>
      </c>
      <c r="B667">
        <v>667</v>
      </c>
      <c r="C667" s="340">
        <f>Tabulka1[[#This Row],[KOD]]</f>
        <v>0</v>
      </c>
      <c r="W667" t="str">
        <f t="shared" si="11"/>
        <v/>
      </c>
      <c r="Y667" s="341">
        <f>IF('General price list'!$AB669="",0,'General price list'!$AB669)</f>
        <v>0</v>
      </c>
      <c r="Z667" s="365" t="str">
        <f>IFERROR(X667*VLOOKUP(C667,'General price list'!C:I,7,FALSE),"")</f>
        <v/>
      </c>
      <c r="AA667" s="365" t="str">
        <f>IF(X667&lt;&gt;"",VLOOKUP(C667,'General price list'!C669:AN1642,MATCH("HM",Tabulka1[[#Headers],[KOD]:[NEQ]],0),FALSE),"")</f>
        <v/>
      </c>
    </row>
    <row r="668" spans="1:27">
      <c r="A668">
        <f>COUNTIF($W$22:W668,1)</f>
        <v>0</v>
      </c>
      <c r="B668">
        <v>668</v>
      </c>
      <c r="C668" s="340" t="str">
        <f>Tabulka1[[#This Row],[KOD]]</f>
        <v>C503BW/C14</v>
      </c>
      <c r="W668" t="str">
        <f t="shared" si="11"/>
        <v/>
      </c>
      <c r="Y668" s="341">
        <f>IF('General price list'!$AB670="",0,'General price list'!$AB670)</f>
        <v>0</v>
      </c>
      <c r="Z668" s="365">
        <f>IFERROR(X668*VLOOKUP(C668,'General price list'!C:I,7,FALSE),"")</f>
        <v>0</v>
      </c>
      <c r="AA668" s="365" t="str">
        <f>IF(X668&lt;&gt;"",VLOOKUP(C668,'General price list'!C670:AN1643,MATCH("HM",Tabulka1[[#Headers],[KOD]:[NEQ]],0),FALSE),"")</f>
        <v/>
      </c>
    </row>
    <row r="669" spans="1:27">
      <c r="A669">
        <f>COUNTIF($W$22:W669,1)</f>
        <v>0</v>
      </c>
      <c r="B669">
        <v>669</v>
      </c>
      <c r="C669" s="340" t="str">
        <f>Tabulka1[[#This Row],[KOD]]</f>
        <v>C503TS/C14</v>
      </c>
      <c r="W669" t="str">
        <f t="shared" si="11"/>
        <v/>
      </c>
      <c r="Y669" s="341">
        <f>IF('General price list'!$AB671="",0,'General price list'!$AB671)</f>
        <v>0</v>
      </c>
      <c r="Z669" s="365">
        <f>IFERROR(X669*VLOOKUP(C669,'General price list'!C:I,7,FALSE),"")</f>
        <v>0</v>
      </c>
      <c r="AA669" s="365" t="str">
        <f>IF(X669&lt;&gt;"",VLOOKUP(C669,'General price list'!C671:AN1644,MATCH("HM",Tabulka1[[#Headers],[KOD]:[NEQ]],0),FALSE),"")</f>
        <v/>
      </c>
    </row>
    <row r="670" spans="1:27">
      <c r="A670">
        <f>COUNTIF($W$22:W670,1)</f>
        <v>0</v>
      </c>
      <c r="B670">
        <v>670</v>
      </c>
      <c r="C670" s="340" t="str">
        <f>Tabulka1[[#This Row],[KOD]]</f>
        <v>C503RO/C14</v>
      </c>
      <c r="W670" t="str">
        <f t="shared" si="11"/>
        <v/>
      </c>
      <c r="Y670" s="341">
        <f>IF('General price list'!$AB672="",0,'General price list'!$AB672)</f>
        <v>0</v>
      </c>
      <c r="Z670" s="365">
        <f>IFERROR(X670*VLOOKUP(C670,'General price list'!C:I,7,FALSE),"")</f>
        <v>0</v>
      </c>
      <c r="AA670" s="365" t="str">
        <f>IF(X670&lt;&gt;"",VLOOKUP(C670,'General price list'!C672:AN1645,MATCH("HM",Tabulka1[[#Headers],[KOD]:[NEQ]],0),FALSE),"")</f>
        <v/>
      </c>
    </row>
    <row r="671" spans="1:27">
      <c r="A671">
        <f>COUNTIF($W$22:W671,1)</f>
        <v>0</v>
      </c>
      <c r="B671">
        <v>671</v>
      </c>
      <c r="C671" s="340" t="str">
        <f>Tabulka1[[#This Row],[KOD]]</f>
        <v>C503F/C14</v>
      </c>
      <c r="W671" t="str">
        <f t="shared" si="11"/>
        <v/>
      </c>
      <c r="Y671" s="341">
        <f>IF('General price list'!$AB673="",0,'General price list'!$AB673)</f>
        <v>0</v>
      </c>
      <c r="Z671" s="365">
        <f>IFERROR(X671*VLOOKUP(C671,'General price list'!C:I,7,FALSE),"")</f>
        <v>0</v>
      </c>
      <c r="AA671" s="365" t="str">
        <f>IF(X671&lt;&gt;"",VLOOKUP(C671,'General price list'!C673:AN1646,MATCH("HM",Tabulka1[[#Headers],[KOD]:[NEQ]],0),FALSE),"")</f>
        <v/>
      </c>
    </row>
    <row r="672" spans="1:27">
      <c r="A672">
        <f>COUNTIF($W$22:W672,1)</f>
        <v>0</v>
      </c>
      <c r="B672">
        <v>672</v>
      </c>
      <c r="C672" s="340" t="str">
        <f>Tabulka1[[#This Row],[KOD]]</f>
        <v>C503SIG/C14</v>
      </c>
      <c r="W672" t="str">
        <f t="shared" si="11"/>
        <v/>
      </c>
      <c r="Y672" s="341">
        <f>IF('General price list'!$AB674="",0,'General price list'!$AB674)</f>
        <v>0</v>
      </c>
      <c r="Z672" s="365">
        <f>IFERROR(X672*VLOOKUP(C672,'General price list'!C:I,7,FALSE),"")</f>
        <v>0</v>
      </c>
      <c r="AA672" s="365" t="str">
        <f>IF(X672&lt;&gt;"",VLOOKUP(C672,'General price list'!C674:AN1647,MATCH("HM",Tabulka1[[#Headers],[KOD]:[NEQ]],0),FALSE),"")</f>
        <v/>
      </c>
    </row>
    <row r="673" spans="1:27">
      <c r="A673">
        <f>COUNTIF($W$22:W673,1)</f>
        <v>0</v>
      </c>
      <c r="B673">
        <v>673</v>
      </c>
      <c r="C673" s="340" t="str">
        <f>Tabulka1[[#This Row],[KOD]]</f>
        <v>C1003F/C14</v>
      </c>
      <c r="W673" t="str">
        <f t="shared" si="11"/>
        <v/>
      </c>
      <c r="Y673" s="341">
        <f>IF('General price list'!$AB675="",0,'General price list'!$AB675)</f>
        <v>0</v>
      </c>
      <c r="Z673" s="365">
        <f>IFERROR(X673*VLOOKUP(C673,'General price list'!C:I,7,FALSE),"")</f>
        <v>0</v>
      </c>
      <c r="AA673" s="365" t="str">
        <f>IF(X673&lt;&gt;"",VLOOKUP(C673,'General price list'!C675:AN1648,MATCH("HM",Tabulka1[[#Headers],[KOD]:[NEQ]],0),FALSE),"")</f>
        <v/>
      </c>
    </row>
    <row r="674" spans="1:27">
      <c r="A674">
        <f>COUNTIF($W$22:W674,1)</f>
        <v>0</v>
      </c>
      <c r="B674">
        <v>674</v>
      </c>
      <c r="C674" s="340" t="str">
        <f>Tabulka1[[#This Row],[KOD]]</f>
        <v>C1003VS/C14</v>
      </c>
      <c r="W674" t="str">
        <f t="shared" si="11"/>
        <v/>
      </c>
      <c r="Y674" s="341">
        <f>IF('General price list'!$AB676="",0,'General price list'!$AB676)</f>
        <v>0</v>
      </c>
      <c r="Z674" s="365">
        <f>IFERROR(X674*VLOOKUP(C674,'General price list'!C:I,7,FALSE),"")</f>
        <v>0</v>
      </c>
      <c r="AA674" s="365" t="str">
        <f>IF(X674&lt;&gt;"",VLOOKUP(C674,'General price list'!C676:AN1649,MATCH("HM",Tabulka1[[#Headers],[KOD]:[NEQ]],0),FALSE),"")</f>
        <v/>
      </c>
    </row>
    <row r="675" spans="1:27">
      <c r="A675">
        <f>COUNTIF($W$22:W675,1)</f>
        <v>0</v>
      </c>
      <c r="B675">
        <v>675</v>
      </c>
      <c r="C675" s="340" t="str">
        <f>Tabulka1[[#This Row],[KOD]]</f>
        <v>C1003CY/C</v>
      </c>
      <c r="W675" t="str">
        <f t="shared" si="11"/>
        <v/>
      </c>
      <c r="Y675" s="341">
        <f>IF('General price list'!$AB677="",0,'General price list'!$AB677)</f>
        <v>0</v>
      </c>
      <c r="Z675" s="365">
        <f>IFERROR(X675*VLOOKUP(C675,'General price list'!C:I,7,FALSE),"")</f>
        <v>0</v>
      </c>
      <c r="AA675" s="365" t="str">
        <f>IF(X675&lt;&gt;"",VLOOKUP(C675,'General price list'!C677:AN1650,MATCH("HM",Tabulka1[[#Headers],[KOD]:[NEQ]],0),FALSE),"")</f>
        <v/>
      </c>
    </row>
    <row r="676" spans="1:27">
      <c r="A676">
        <f>COUNTIF($W$22:W676,1)</f>
        <v>0</v>
      </c>
      <c r="B676">
        <v>676</v>
      </c>
      <c r="C676" s="340" t="str">
        <f>Tabulka1[[#This Row],[KOD]]</f>
        <v>C10030XF/C14</v>
      </c>
      <c r="W676" t="str">
        <f t="shared" si="11"/>
        <v/>
      </c>
      <c r="Y676" s="341">
        <f>IF('General price list'!$AB678="",0,'General price list'!$AB678)</f>
        <v>0</v>
      </c>
      <c r="Z676" s="365">
        <f>IFERROR(X676*VLOOKUP(C676,'General price list'!C:I,7,FALSE),"")</f>
        <v>0</v>
      </c>
      <c r="AA676" s="365" t="str">
        <f>IF(X676&lt;&gt;"",VLOOKUP(C676,'General price list'!C678:AN1651,MATCH("HM",Tabulka1[[#Headers],[KOD]:[NEQ]],0),FALSE),"")</f>
        <v/>
      </c>
    </row>
    <row r="677" spans="1:27">
      <c r="A677">
        <f>COUNTIF($W$22:W677,1)</f>
        <v>0</v>
      </c>
      <c r="B677">
        <v>677</v>
      </c>
      <c r="C677" s="340" t="str">
        <f>Tabulka1[[#This Row],[KOD]]</f>
        <v>C1163MB/C14</v>
      </c>
      <c r="W677" t="str">
        <f t="shared" si="11"/>
        <v/>
      </c>
      <c r="Y677" s="341">
        <f>IF('General price list'!$AB679="",0,'General price list'!$AB679)</f>
        <v>0</v>
      </c>
      <c r="Z677" s="365">
        <f>IFERROR(X677*VLOOKUP(C677,'General price list'!C:I,7,FALSE),"")</f>
        <v>0</v>
      </c>
      <c r="AA677" s="365" t="str">
        <f>IF(X677&lt;&gt;"",VLOOKUP(C677,'General price list'!C679:AN1652,MATCH("HM",Tabulka1[[#Headers],[KOD]:[NEQ]],0),FALSE),"")</f>
        <v/>
      </c>
    </row>
    <row r="678" spans="1:27">
      <c r="A678">
        <f>COUNTIF($W$22:W678,1)</f>
        <v>0</v>
      </c>
      <c r="B678">
        <v>678</v>
      </c>
      <c r="C678" s="340" t="str">
        <f>Tabulka1[[#This Row],[KOD]]</f>
        <v>C12230XPT/C14</v>
      </c>
      <c r="W678" t="str">
        <f t="shared" si="11"/>
        <v/>
      </c>
      <c r="Y678" s="341">
        <f>IF('General price list'!$AB680="",0,'General price list'!$AB680)</f>
        <v>0</v>
      </c>
      <c r="Z678" s="365">
        <f>IFERROR(X678*VLOOKUP(C678,'General price list'!C:I,7,FALSE),"")</f>
        <v>0</v>
      </c>
      <c r="AA678" s="365" t="str">
        <f>IF(X678&lt;&gt;"",VLOOKUP(C678,'General price list'!C680:AN1653,MATCH("HM",Tabulka1[[#Headers],[KOD]:[NEQ]],0),FALSE),"")</f>
        <v/>
      </c>
    </row>
    <row r="679" spans="1:27">
      <c r="A679">
        <f>COUNTIF($W$22:W679,1)</f>
        <v>0</v>
      </c>
      <c r="B679">
        <v>679</v>
      </c>
      <c r="C679" s="340">
        <f>Tabulka1[[#This Row],[KOD]]</f>
        <v>0</v>
      </c>
      <c r="W679" t="str">
        <f t="shared" si="11"/>
        <v/>
      </c>
      <c r="Y679" s="341">
        <f>IF('General price list'!$AB681="",0,'General price list'!$AB681)</f>
        <v>0</v>
      </c>
      <c r="Z679" s="365" t="str">
        <f>IFERROR(X679*VLOOKUP(C679,'General price list'!C:I,7,FALSE),"")</f>
        <v/>
      </c>
      <c r="AA679" s="365" t="str">
        <f>IF(X679&lt;&gt;"",VLOOKUP(C679,'General price list'!C681:AN1654,MATCH("HM",Tabulka1[[#Headers],[KOD]:[NEQ]],0),FALSE),"")</f>
        <v/>
      </c>
    </row>
    <row r="680" spans="1:27">
      <c r="A680">
        <f>COUNTIF($W$22:W680,1)</f>
        <v>0</v>
      </c>
      <c r="B680">
        <v>680</v>
      </c>
      <c r="C680" s="340" t="str">
        <f>Tabulka1[[#This Row],[KOD]]</f>
        <v>C1-C2 C1503X/C14</v>
      </c>
      <c r="W680" t="str">
        <f t="shared" si="11"/>
        <v/>
      </c>
      <c r="Y680" s="341">
        <f>IF('General price list'!$AB682="",0,'General price list'!$AB682)</f>
        <v>0</v>
      </c>
      <c r="Z680" s="365">
        <f>IFERROR(X680*VLOOKUP(C680,'General price list'!C:I,7,FALSE),"")</f>
        <v>0</v>
      </c>
      <c r="AA680" s="365" t="str">
        <f>IF(X680&lt;&gt;"",VLOOKUP(C680,'General price list'!C682:AN1655,MATCH("HM",Tabulka1[[#Headers],[KOD]:[NEQ]],0),FALSE),"")</f>
        <v/>
      </c>
    </row>
    <row r="681" spans="1:27">
      <c r="A681">
        <f>COUNTIF($W$22:W681,1)</f>
        <v>0</v>
      </c>
      <c r="B681">
        <v>681</v>
      </c>
      <c r="C681" s="340" t="str">
        <f>Tabulka1[[#This Row],[KOD]]</f>
        <v>C1-C2 C2003U/C14</v>
      </c>
      <c r="W681" t="str">
        <f t="shared" si="11"/>
        <v/>
      </c>
      <c r="Y681" s="341">
        <f>IF('General price list'!$AB683="",0,'General price list'!$AB683)</f>
        <v>0</v>
      </c>
      <c r="Z681" s="365">
        <f>IFERROR(X681*VLOOKUP(C681,'General price list'!C:I,7,FALSE),"")</f>
        <v>0</v>
      </c>
      <c r="AA681" s="365" t="str">
        <f>IF(X681&lt;&gt;"",VLOOKUP(C681,'General price list'!C683:AN1656,MATCH("HM",Tabulka1[[#Headers],[KOD]:[NEQ]],0),FALSE),"")</f>
        <v/>
      </c>
    </row>
    <row r="682" spans="1:27">
      <c r="A682">
        <f>COUNTIF($W$22:W682,1)</f>
        <v>0</v>
      </c>
      <c r="B682">
        <v>682</v>
      </c>
      <c r="C682" s="340">
        <f>Tabulka1[[#This Row],[KOD]]</f>
        <v>0</v>
      </c>
      <c r="W682" t="str">
        <f t="shared" si="11"/>
        <v/>
      </c>
      <c r="Y682" s="341">
        <f>IF('General price list'!$AB684="",0,'General price list'!$AB684)</f>
        <v>0</v>
      </c>
      <c r="Z682" s="365" t="str">
        <f>IFERROR(X682*VLOOKUP(C682,'General price list'!C:I,7,FALSE),"")</f>
        <v/>
      </c>
      <c r="AA682" s="365" t="str">
        <f>IF(X682&lt;&gt;"",VLOOKUP(C682,'General price list'!C684:AN1657,MATCH("HM",Tabulka1[[#Headers],[KOD]:[NEQ]],0),FALSE),"")</f>
        <v/>
      </c>
    </row>
    <row r="683" spans="1:27">
      <c r="A683">
        <f>COUNTIF($W$22:W683,1)</f>
        <v>0</v>
      </c>
      <c r="B683">
        <v>683</v>
      </c>
      <c r="C683" s="340" t="str">
        <f>Tabulka1[[#This Row],[KOD]]</f>
        <v>C1003BP/C</v>
      </c>
      <c r="W683" t="str">
        <f t="shared" si="11"/>
        <v/>
      </c>
      <c r="Y683" s="341">
        <f>IF('General price list'!$AB685="",0,'General price list'!$AB685)</f>
        <v>0</v>
      </c>
      <c r="Z683" s="365">
        <f>IFERROR(X683*VLOOKUP(C683,'General price list'!C:I,7,FALSE),"")</f>
        <v>0</v>
      </c>
      <c r="AA683" s="365" t="str">
        <f>IF(X683&lt;&gt;"",VLOOKUP(C683,'General price list'!C685:AN1658,MATCH("HM",Tabulka1[[#Headers],[KOD]:[NEQ]],0),FALSE),"")</f>
        <v/>
      </c>
    </row>
    <row r="684" spans="1:27">
      <c r="A684">
        <f>COUNTIF($W$22:W684,1)</f>
        <v>0</v>
      </c>
      <c r="B684">
        <v>684</v>
      </c>
      <c r="C684" s="340" t="str">
        <f>Tabulka1[[#This Row],[KOD]]</f>
        <v>C1003BPS/C</v>
      </c>
      <c r="W684" t="str">
        <f t="shared" si="11"/>
        <v/>
      </c>
      <c r="Y684" s="341">
        <f>IF('General price list'!$AB686="",0,'General price list'!$AB686)</f>
        <v>0</v>
      </c>
      <c r="Z684" s="365">
        <f>IFERROR(X684*VLOOKUP(C684,'General price list'!C:I,7,FALSE),"")</f>
        <v>0</v>
      </c>
      <c r="AA684" s="365" t="str">
        <f>IF(X684&lt;&gt;"",VLOOKUP(C684,'General price list'!C686:AN1659,MATCH("HM",Tabulka1[[#Headers],[KOD]:[NEQ]],0),FALSE),"")</f>
        <v/>
      </c>
    </row>
    <row r="685" spans="1:27">
      <c r="A685">
        <f>COUNTIF($W$22:W685,1)</f>
        <v>0</v>
      </c>
      <c r="B685">
        <v>685</v>
      </c>
      <c r="C685" s="340" t="str">
        <f>Tabulka1[[#This Row],[KOD]]</f>
        <v>C1003BB/C</v>
      </c>
      <c r="W685" t="str">
        <f t="shared" si="11"/>
        <v/>
      </c>
      <c r="Y685" s="341">
        <f>IF('General price list'!$AB687="",0,'General price list'!$AB687)</f>
        <v>0</v>
      </c>
      <c r="Z685" s="365">
        <f>IFERROR(X685*VLOOKUP(C685,'General price list'!C:I,7,FALSE),"")</f>
        <v>0</v>
      </c>
      <c r="AA685" s="365" t="str">
        <f>IF(X685&lt;&gt;"",VLOOKUP(C685,'General price list'!C687:AN1660,MATCH("HM",Tabulka1[[#Headers],[KOD]:[NEQ]],0),FALSE),"")</f>
        <v/>
      </c>
    </row>
    <row r="686" spans="1:27">
      <c r="A686">
        <f>COUNTIF($W$22:W686,1)</f>
        <v>0</v>
      </c>
      <c r="B686">
        <v>686</v>
      </c>
      <c r="C686" s="340" t="str">
        <f>Tabulka1[[#This Row],[KOD]]</f>
        <v>C1003F/C</v>
      </c>
      <c r="W686" t="str">
        <f t="shared" si="11"/>
        <v/>
      </c>
      <c r="Y686" s="341">
        <f>IF('General price list'!$AB688="",0,'General price list'!$AB688)</f>
        <v>0</v>
      </c>
      <c r="Z686" s="365">
        <f>IFERROR(X686*VLOOKUP(C686,'General price list'!C:I,7,FALSE),"")</f>
        <v>0</v>
      </c>
      <c r="AA686" s="365" t="str">
        <f>IF(X686&lt;&gt;"",VLOOKUP(C686,'General price list'!C688:AN1661,MATCH("HM",Tabulka1[[#Headers],[KOD]:[NEQ]],0),FALSE),"")</f>
        <v/>
      </c>
    </row>
    <row r="687" spans="1:27">
      <c r="A687">
        <f>COUNTIF($W$22:W687,1)</f>
        <v>0</v>
      </c>
      <c r="B687">
        <v>687</v>
      </c>
      <c r="C687" s="340" t="str">
        <f>Tabulka1[[#This Row],[KOD]]</f>
        <v>C1003SIG/C</v>
      </c>
      <c r="W687" t="str">
        <f t="shared" si="11"/>
        <v/>
      </c>
      <c r="Y687" s="341">
        <f>IF('General price list'!$AB689="",0,'General price list'!$AB689)</f>
        <v>0</v>
      </c>
      <c r="Z687" s="365">
        <f>IFERROR(X687*VLOOKUP(C687,'General price list'!C:I,7,FALSE),"")</f>
        <v>0</v>
      </c>
      <c r="AA687" s="365" t="str">
        <f>IF(X687&lt;&gt;"",VLOOKUP(C687,'General price list'!C689:AN1662,MATCH("HM",Tabulka1[[#Headers],[KOD]:[NEQ]],0),FALSE),"")</f>
        <v/>
      </c>
    </row>
    <row r="688" spans="1:27">
      <c r="A688">
        <f>COUNTIF($W$22:W688,1)</f>
        <v>0</v>
      </c>
      <c r="B688">
        <v>688</v>
      </c>
      <c r="C688" s="340" t="str">
        <f>Tabulka1[[#This Row],[KOD]]</f>
        <v>C1003VS/C</v>
      </c>
      <c r="W688" t="str">
        <f t="shared" si="11"/>
        <v/>
      </c>
      <c r="Y688" s="341">
        <f>IF('General price list'!$AB690="",0,'General price list'!$AB690)</f>
        <v>0</v>
      </c>
      <c r="Z688" s="365">
        <f>IFERROR(X688*VLOOKUP(C688,'General price list'!C:I,7,FALSE),"")</f>
        <v>0</v>
      </c>
      <c r="AA688" s="365" t="str">
        <f>IF(X688&lt;&gt;"",VLOOKUP(C688,'General price list'!C690:AN1663,MATCH("HM",Tabulka1[[#Headers],[KOD]:[NEQ]],0),FALSE),"")</f>
        <v/>
      </c>
    </row>
    <row r="689" spans="1:27">
      <c r="A689">
        <f>COUNTIF($W$22:W689,1)</f>
        <v>0</v>
      </c>
      <c r="B689">
        <v>689</v>
      </c>
      <c r="C689" s="340" t="str">
        <f>Tabulka1[[#This Row],[KOD]]</f>
        <v>C128XMPT/C</v>
      </c>
      <c r="W689" t="str">
        <f t="shared" si="11"/>
        <v/>
      </c>
      <c r="Y689" s="341">
        <f>IF('General price list'!$AB691="",0,'General price list'!$AB691)</f>
        <v>0</v>
      </c>
      <c r="Z689" s="365">
        <f>IFERROR(X689*VLOOKUP(C689,'General price list'!C:I,7,FALSE),"")</f>
        <v>0</v>
      </c>
      <c r="AA689" s="365" t="str">
        <f>IF(X689&lt;&gt;"",VLOOKUP(C689,'General price list'!C691:AN1664,MATCH("HM",Tabulka1[[#Headers],[KOD]:[NEQ]],0),FALSE),"")</f>
        <v/>
      </c>
    </row>
    <row r="690" spans="1:27">
      <c r="A690">
        <f>COUNTIF($W$22:W690,1)</f>
        <v>0</v>
      </c>
      <c r="B690">
        <v>690</v>
      </c>
      <c r="C690" s="340" t="str">
        <f>Tabulka1[[#This Row],[KOD]]</f>
        <v>C128XMB/C</v>
      </c>
      <c r="W690" t="str">
        <f t="shared" si="11"/>
        <v/>
      </c>
      <c r="Y690" s="341">
        <f>IF('General price list'!$AB692="",0,'General price list'!$AB692)</f>
        <v>0</v>
      </c>
      <c r="Z690" s="365">
        <f>IFERROR(X690*VLOOKUP(C690,'General price list'!C:I,7,FALSE),"")</f>
        <v>0</v>
      </c>
      <c r="AA690" s="365" t="str">
        <f>IF(X690&lt;&gt;"",VLOOKUP(C690,'General price list'!C692:AN1665,MATCH("HM",Tabulka1[[#Headers],[KOD]:[NEQ]],0),FALSE),"")</f>
        <v/>
      </c>
    </row>
    <row r="691" spans="1:27">
      <c r="A691">
        <f>COUNTIF($W$22:W691,1)</f>
        <v>0</v>
      </c>
      <c r="B691">
        <v>691</v>
      </c>
      <c r="C691" s="340" t="str">
        <f>Tabulka1[[#This Row],[KOD]]</f>
        <v>C1503X/C</v>
      </c>
      <c r="W691" t="str">
        <f t="shared" si="11"/>
        <v/>
      </c>
      <c r="Y691" s="341">
        <f>IF('General price list'!$AB693="",0,'General price list'!$AB693)</f>
        <v>0</v>
      </c>
      <c r="Z691" s="365">
        <f>IFERROR(X691*VLOOKUP(C691,'General price list'!C:I,7,FALSE),"")</f>
        <v>0</v>
      </c>
      <c r="AA691" s="365" t="str">
        <f>IF(X691&lt;&gt;"",VLOOKUP(C691,'General price list'!C693:AN1666,MATCH("HM",Tabulka1[[#Headers],[KOD]:[NEQ]],0),FALSE),"")</f>
        <v/>
      </c>
    </row>
    <row r="692" spans="1:27">
      <c r="A692">
        <f>COUNTIF($W$22:W692,1)</f>
        <v>0</v>
      </c>
      <c r="B692">
        <v>692</v>
      </c>
      <c r="C692" s="340" t="str">
        <f>Tabulka1[[#This Row],[KOD]]</f>
        <v>C1503BPF/C</v>
      </c>
      <c r="W692" t="str">
        <f t="shared" si="11"/>
        <v/>
      </c>
      <c r="Y692" s="341">
        <f>IF('General price list'!$AB694="",0,'General price list'!$AB694)</f>
        <v>0</v>
      </c>
      <c r="Z692" s="365">
        <f>IFERROR(X692*VLOOKUP(C692,'General price list'!C:I,7,FALSE),"")</f>
        <v>0</v>
      </c>
      <c r="AA692" s="365" t="str">
        <f>IF(X692&lt;&gt;"",VLOOKUP(C692,'General price list'!C694:AN1667,MATCH("HM",Tabulka1[[#Headers],[KOD]:[NEQ]],0),FALSE),"")</f>
        <v/>
      </c>
    </row>
    <row r="693" spans="1:27">
      <c r="A693">
        <f>COUNTIF($W$22:W693,1)</f>
        <v>0</v>
      </c>
      <c r="B693">
        <v>693</v>
      </c>
      <c r="C693" s="340" t="str">
        <f>Tabulka1[[#This Row],[KOD]]</f>
        <v>C1923XMF/C</v>
      </c>
      <c r="W693" t="str">
        <f t="shared" si="11"/>
        <v/>
      </c>
      <c r="Y693" s="341">
        <f>IF('General price list'!$AB695="",0,'General price list'!$AB695)</f>
        <v>0</v>
      </c>
      <c r="Z693" s="365">
        <f>IFERROR(X693*VLOOKUP(C693,'General price list'!C:I,7,FALSE),"")</f>
        <v>0</v>
      </c>
      <c r="AA693" s="365" t="str">
        <f>IF(X693&lt;&gt;"",VLOOKUP(C693,'General price list'!C695:AN1668,MATCH("HM",Tabulka1[[#Headers],[KOD]:[NEQ]],0),FALSE),"")</f>
        <v/>
      </c>
    </row>
    <row r="694" spans="1:27">
      <c r="A694">
        <f>COUNTIF($W$22:W694,1)</f>
        <v>0</v>
      </c>
      <c r="B694">
        <v>694</v>
      </c>
      <c r="C694" s="340" t="str">
        <f>Tabulka1[[#This Row],[KOD]]</f>
        <v>C2003BP/C</v>
      </c>
      <c r="W694" t="str">
        <f t="shared" si="11"/>
        <v/>
      </c>
      <c r="Y694" s="341">
        <f>IF('General price list'!$AB696="",0,'General price list'!$AB696)</f>
        <v>0</v>
      </c>
      <c r="Z694" s="365">
        <f>IFERROR(X694*VLOOKUP(C694,'General price list'!C:I,7,FALSE),"")</f>
        <v>0</v>
      </c>
      <c r="AA694" s="365" t="str">
        <f>IF(X694&lt;&gt;"",VLOOKUP(C694,'General price list'!C696:AN1669,MATCH("HM",Tabulka1[[#Headers],[KOD]:[NEQ]],0),FALSE),"")</f>
        <v/>
      </c>
    </row>
    <row r="695" spans="1:27">
      <c r="A695">
        <f>COUNTIF($W$22:W695,1)</f>
        <v>0</v>
      </c>
      <c r="B695">
        <v>695</v>
      </c>
      <c r="C695" s="340" t="str">
        <f>Tabulka1[[#This Row],[KOD]]</f>
        <v>C2003U/C</v>
      </c>
      <c r="W695" t="str">
        <f t="shared" si="11"/>
        <v/>
      </c>
      <c r="Y695" s="341">
        <f>IF('General price list'!$AB697="",0,'General price list'!$AB697)</f>
        <v>0</v>
      </c>
      <c r="Z695" s="365">
        <f>IFERROR(X695*VLOOKUP(C695,'General price list'!C:I,7,FALSE),"")</f>
        <v>0</v>
      </c>
      <c r="AA695" s="365" t="str">
        <f>IF(X695&lt;&gt;"",VLOOKUP(C695,'General price list'!C697:AN1670,MATCH("HM",Tabulka1[[#Headers],[KOD]:[NEQ]],0),FALSE),"")</f>
        <v/>
      </c>
    </row>
    <row r="696" spans="1:27">
      <c r="A696">
        <f>COUNTIF($W$22:W696,1)</f>
        <v>0</v>
      </c>
      <c r="B696">
        <v>696</v>
      </c>
      <c r="C696" s="340" t="str">
        <f>Tabulka1[[#This Row],[KOD]]</f>
        <v>C2003F/C</v>
      </c>
      <c r="W696" t="str">
        <f t="shared" si="11"/>
        <v/>
      </c>
      <c r="Y696" s="341">
        <f>IF('General price list'!$AB698="",0,'General price list'!$AB698)</f>
        <v>0</v>
      </c>
      <c r="Z696" s="365">
        <f>IFERROR(X696*VLOOKUP(C696,'General price list'!C:I,7,FALSE),"")</f>
        <v>0</v>
      </c>
      <c r="AA696" s="365" t="str">
        <f>IF(X696&lt;&gt;"",VLOOKUP(C696,'General price list'!C698:AN1671,MATCH("HM",Tabulka1[[#Headers],[KOD]:[NEQ]],0),FALSE),"")</f>
        <v/>
      </c>
    </row>
    <row r="697" spans="1:27">
      <c r="A697">
        <f>COUNTIF($W$22:W697,1)</f>
        <v>0</v>
      </c>
      <c r="B697">
        <v>697</v>
      </c>
      <c r="C697" s="340" t="str">
        <f>Tabulka1[[#This Row],[KOD]]</f>
        <v>C2003SIG/C</v>
      </c>
      <c r="W697" t="str">
        <f t="shared" si="11"/>
        <v/>
      </c>
      <c r="Y697" s="341">
        <f>IF('General price list'!$AB699="",0,'General price list'!$AB699)</f>
        <v>0</v>
      </c>
      <c r="Z697" s="365">
        <f>IFERROR(X697*VLOOKUP(C697,'General price list'!C:I,7,FALSE),"")</f>
        <v>0</v>
      </c>
      <c r="AA697" s="365" t="str">
        <f>IF(X697&lt;&gt;"",VLOOKUP(C697,'General price list'!C699:AN1672,MATCH("HM",Tabulka1[[#Headers],[KOD]:[NEQ]],0),FALSE),"")</f>
        <v/>
      </c>
    </row>
    <row r="698" spans="1:27">
      <c r="A698">
        <f>COUNTIF($W$22:W698,1)</f>
        <v>0</v>
      </c>
      <c r="B698">
        <v>698</v>
      </c>
      <c r="C698" s="340" t="str">
        <f>Tabulka1[[#This Row],[KOD]]</f>
        <v>C2563XMF/C</v>
      </c>
      <c r="W698" t="str">
        <f t="shared" si="11"/>
        <v/>
      </c>
      <c r="Y698" s="341">
        <f>IF('General price list'!$AB700="",0,'General price list'!$AB700)</f>
        <v>0</v>
      </c>
      <c r="Z698" s="365">
        <f>IFERROR(X698*VLOOKUP(C698,'General price list'!C:I,7,FALSE),"")</f>
        <v>0</v>
      </c>
      <c r="AA698" s="365" t="str">
        <f>IF(X698&lt;&gt;"",VLOOKUP(C698,'General price list'!C700:AN1673,MATCH("HM",Tabulka1[[#Headers],[KOD]:[NEQ]],0),FALSE),"")</f>
        <v/>
      </c>
    </row>
    <row r="699" spans="1:27">
      <c r="A699">
        <f>COUNTIF($W$22:W699,1)</f>
        <v>0</v>
      </c>
      <c r="B699">
        <v>699</v>
      </c>
      <c r="C699" s="340">
        <f>Tabulka1[[#This Row],[KOD]]</f>
        <v>0</v>
      </c>
      <c r="W699" t="str">
        <f t="shared" si="11"/>
        <v/>
      </c>
      <c r="Y699" s="341">
        <f>IF('General price list'!$AB701="",0,'General price list'!$AB701)</f>
        <v>0</v>
      </c>
      <c r="Z699" s="365" t="str">
        <f>IFERROR(X699*VLOOKUP(C699,'General price list'!C:I,7,FALSE),"")</f>
        <v/>
      </c>
      <c r="AA699" s="365" t="str">
        <f>IF(X699&lt;&gt;"",VLOOKUP(C699,'General price list'!C701:AN1674,MATCH("HM",Tabulka1[[#Headers],[KOD]:[NEQ]],0),FALSE),"")</f>
        <v/>
      </c>
    </row>
    <row r="700" spans="1:27">
      <c r="A700">
        <f>COUNTIF($W$22:W700,1)</f>
        <v>0</v>
      </c>
      <c r="B700">
        <v>700</v>
      </c>
      <c r="C700" s="340" t="str">
        <f>Tabulka1[[#This Row],[KOD]]</f>
        <v>C165DU14</v>
      </c>
      <c r="W700" t="str">
        <f t="shared" si="11"/>
        <v/>
      </c>
      <c r="Y700" s="341">
        <f>IF('General price list'!$AB702="",0,'General price list'!$AB702)</f>
        <v>0</v>
      </c>
      <c r="Z700" s="365">
        <f>IFERROR(X700*VLOOKUP(C700,'General price list'!C:I,7,FALSE),"")</f>
        <v>0</v>
      </c>
      <c r="AA700" s="365" t="str">
        <f>IF(X700&lt;&gt;"",VLOOKUP(C700,'General price list'!C702:AN1675,MATCH("HM",Tabulka1[[#Headers],[KOD]:[NEQ]],0),FALSE),"")</f>
        <v/>
      </c>
    </row>
    <row r="701" spans="1:27">
      <c r="A701">
        <f>COUNTIF($W$22:W701,1)</f>
        <v>0</v>
      </c>
      <c r="B701">
        <v>701</v>
      </c>
      <c r="C701" s="340" t="str">
        <f>Tabulka1[[#This Row],[KOD]]</f>
        <v>C165NO14</v>
      </c>
      <c r="W701" t="str">
        <f t="shared" si="11"/>
        <v/>
      </c>
      <c r="Y701" s="341">
        <f>IF('General price list'!$AB703="",0,'General price list'!$AB703)</f>
        <v>0</v>
      </c>
      <c r="Z701" s="365">
        <f>IFERROR(X701*VLOOKUP(C701,'General price list'!C:I,7,FALSE),"")</f>
        <v>0</v>
      </c>
      <c r="AA701" s="365" t="str">
        <f>IF(X701&lt;&gt;"",VLOOKUP(C701,'General price list'!C703:AN1676,MATCH("HM",Tabulka1[[#Headers],[KOD]:[NEQ]],0),FALSE),"")</f>
        <v/>
      </c>
    </row>
    <row r="702" spans="1:27">
      <c r="A702">
        <f>COUNTIF($W$22:W702,1)</f>
        <v>0</v>
      </c>
      <c r="B702">
        <v>702</v>
      </c>
      <c r="C702" s="340">
        <f>Tabulka1[[#This Row],[KOD]]</f>
        <v>0</v>
      </c>
      <c r="W702" t="str">
        <f t="shared" si="11"/>
        <v/>
      </c>
      <c r="Y702" s="341">
        <f>IF('General price list'!$AB704="",0,'General price list'!$AB704)</f>
        <v>0</v>
      </c>
      <c r="Z702" s="365" t="str">
        <f>IFERROR(X702*VLOOKUP(C702,'General price list'!C:I,7,FALSE),"")</f>
        <v/>
      </c>
      <c r="AA702" s="365" t="str">
        <f>IF(X702&lt;&gt;"",VLOOKUP(C702,'General price list'!C704:AN1677,MATCH("HM",Tabulka1[[#Headers],[KOD]:[NEQ]],0),FALSE),"")</f>
        <v/>
      </c>
    </row>
    <row r="703" spans="1:27">
      <c r="A703">
        <f>COUNTIF($W$22:W703,1)</f>
        <v>0</v>
      </c>
      <c r="B703">
        <v>703</v>
      </c>
      <c r="C703" s="340" t="str">
        <f>Tabulka1[[#This Row],[KOD]]</f>
        <v>C165JA</v>
      </c>
      <c r="W703" t="str">
        <f t="shared" si="11"/>
        <v/>
      </c>
      <c r="Y703" s="341">
        <f>IF('General price list'!$AB705="",0,'General price list'!$AB705)</f>
        <v>0</v>
      </c>
      <c r="Z703" s="365">
        <f>IFERROR(X703*VLOOKUP(C703,'General price list'!C:I,7,FALSE),"")</f>
        <v>0</v>
      </c>
      <c r="AA703" s="365" t="str">
        <f>IF(X703&lt;&gt;"",VLOOKUP(C703,'General price list'!C705:AN1678,MATCH("HM",Tabulka1[[#Headers],[KOD]:[NEQ]],0),FALSE),"")</f>
        <v/>
      </c>
    </row>
    <row r="704" spans="1:27">
      <c r="A704">
        <f>COUNTIF($W$22:W704,1)</f>
        <v>0</v>
      </c>
      <c r="B704">
        <v>704</v>
      </c>
      <c r="C704" s="340" t="str">
        <f>Tabulka1[[#This Row],[KOD]]</f>
        <v>C165P</v>
      </c>
      <c r="W704" t="str">
        <f t="shared" si="11"/>
        <v/>
      </c>
      <c r="Y704" s="341">
        <f>IF('General price list'!$AB706="",0,'General price list'!$AB706)</f>
        <v>0</v>
      </c>
      <c r="Z704" s="365">
        <f>IFERROR(X704*VLOOKUP(C704,'General price list'!C:I,7,FALSE),"")</f>
        <v>0</v>
      </c>
      <c r="AA704" s="365" t="str">
        <f>IF(X704&lt;&gt;"",VLOOKUP(C704,'General price list'!C706:AN1679,MATCH("HM",Tabulka1[[#Headers],[KOD]:[NEQ]],0),FALSE),"")</f>
        <v/>
      </c>
    </row>
    <row r="705" spans="1:27">
      <c r="A705">
        <f>COUNTIF($W$22:W705,1)</f>
        <v>0</v>
      </c>
      <c r="B705">
        <v>705</v>
      </c>
      <c r="C705" s="340">
        <f>Tabulka1[[#This Row],[KOD]]</f>
        <v>0</v>
      </c>
      <c r="W705" t="str">
        <f t="shared" si="11"/>
        <v/>
      </c>
      <c r="Y705" s="341">
        <f>IF('General price list'!$AB707="",0,'General price list'!$AB707)</f>
        <v>0</v>
      </c>
      <c r="Z705" s="365" t="str">
        <f>IFERROR(X705*VLOOKUP(C705,'General price list'!C:I,7,FALSE),"")</f>
        <v/>
      </c>
      <c r="AA705" s="365" t="str">
        <f>IF(X705&lt;&gt;"",VLOOKUP(C705,'General price list'!C707:AN1680,MATCH("HM",Tabulka1[[#Headers],[KOD]:[NEQ]],0),FALSE),"")</f>
        <v/>
      </c>
    </row>
    <row r="706" spans="1:27">
      <c r="A706">
        <f>COUNTIF($W$22:W706,1)</f>
        <v>0</v>
      </c>
      <c r="B706">
        <v>706</v>
      </c>
      <c r="C706" s="340" t="str">
        <f>Tabulka1[[#This Row],[KOD]]</f>
        <v>C2545NO</v>
      </c>
      <c r="W706" t="str">
        <f t="shared" si="11"/>
        <v/>
      </c>
      <c r="Y706" s="341">
        <f>IF('General price list'!$AB708="",0,'General price list'!$AB708)</f>
        <v>0</v>
      </c>
      <c r="Z706" s="365">
        <f>IFERROR(X706*VLOOKUP(C706,'General price list'!C:I,7,FALSE),"")</f>
        <v>0</v>
      </c>
      <c r="AA706" s="365" t="str">
        <f>IF(X706&lt;&gt;"",VLOOKUP(C706,'General price list'!C708:AN1681,MATCH("HM",Tabulka1[[#Headers],[KOD]:[NEQ]],0),FALSE),"")</f>
        <v/>
      </c>
    </row>
    <row r="707" spans="1:27">
      <c r="A707">
        <f>COUNTIF($W$22:W707,1)</f>
        <v>0</v>
      </c>
      <c r="B707">
        <v>707</v>
      </c>
      <c r="C707" s="340" t="str">
        <f>Tabulka1[[#This Row],[KOD]]</f>
        <v>C2545DI</v>
      </c>
      <c r="W707" t="str">
        <f t="shared" si="11"/>
        <v/>
      </c>
      <c r="Y707" s="341">
        <f>IF('General price list'!$AB709="",0,'General price list'!$AB709)</f>
        <v>0</v>
      </c>
      <c r="Z707" s="365">
        <f>IFERROR(X707*VLOOKUP(C707,'General price list'!C:I,7,FALSE),"")</f>
        <v>0</v>
      </c>
      <c r="AA707" s="365" t="str">
        <f>IF(X707&lt;&gt;"",VLOOKUP(C707,'General price list'!C709:AN1682,MATCH("HM",Tabulka1[[#Headers],[KOD]:[NEQ]],0),FALSE),"")</f>
        <v/>
      </c>
    </row>
    <row r="708" spans="1:27">
      <c r="A708">
        <f>COUNTIF($W$22:W708,1)</f>
        <v>0</v>
      </c>
      <c r="B708">
        <v>708</v>
      </c>
      <c r="C708" s="340">
        <f>Tabulka1[[#This Row],[KOD]]</f>
        <v>0</v>
      </c>
      <c r="W708" t="str">
        <f t="shared" si="11"/>
        <v/>
      </c>
      <c r="Y708" s="341">
        <f>IF('General price list'!$AB710="",0,'General price list'!$AB710)</f>
        <v>0</v>
      </c>
      <c r="Z708" s="365" t="str">
        <f>IFERROR(X708*VLOOKUP(C708,'General price list'!C:I,7,FALSE),"")</f>
        <v/>
      </c>
      <c r="AA708" s="365" t="str">
        <f>IF(X708&lt;&gt;"",VLOOKUP(C708,'General price list'!C710:AN1683,MATCH("HM",Tabulka1[[#Headers],[KOD]:[NEQ]],0),FALSE),"")</f>
        <v/>
      </c>
    </row>
    <row r="709" spans="1:27">
      <c r="A709">
        <f>COUNTIF($W$22:W709,1)</f>
        <v>0</v>
      </c>
      <c r="B709">
        <v>709</v>
      </c>
      <c r="C709" s="340" t="str">
        <f>Tabulka1[[#This Row],[KOD]]</f>
        <v>C255BP</v>
      </c>
      <c r="W709" t="str">
        <f t="shared" si="11"/>
        <v/>
      </c>
      <c r="Y709" s="341">
        <f>IF('General price list'!$AB711="",0,'General price list'!$AB711)</f>
        <v>0</v>
      </c>
      <c r="Z709" s="365">
        <f>IFERROR(X709*VLOOKUP(C709,'General price list'!C:I,7,FALSE),"")</f>
        <v>0</v>
      </c>
      <c r="AA709" s="365" t="str">
        <f>IF(X709&lt;&gt;"",VLOOKUP(C709,'General price list'!C711:AN1684,MATCH("HM",Tabulka1[[#Headers],[KOD]:[NEQ]],0),FALSE),"")</f>
        <v/>
      </c>
    </row>
    <row r="710" spans="1:27">
      <c r="A710">
        <f>COUNTIF($W$22:W710,1)</f>
        <v>0</v>
      </c>
      <c r="B710">
        <v>710</v>
      </c>
      <c r="C710" s="340">
        <f>Tabulka1[[#This Row],[KOD]]</f>
        <v>0</v>
      </c>
      <c r="W710" t="str">
        <f t="shared" si="11"/>
        <v/>
      </c>
      <c r="Y710" s="341">
        <f>IF('General price list'!$AB712="",0,'General price list'!$AB712)</f>
        <v>0</v>
      </c>
      <c r="Z710" s="365" t="str">
        <f>IFERROR(X710*VLOOKUP(C710,'General price list'!C:I,7,FALSE),"")</f>
        <v/>
      </c>
      <c r="AA710" s="365" t="str">
        <f>IF(X710&lt;&gt;"",VLOOKUP(C710,'General price list'!C712:AN1685,MATCH("HM",Tabulka1[[#Headers],[KOD]:[NEQ]],0),FALSE),"")</f>
        <v/>
      </c>
    </row>
    <row r="711" spans="1:27">
      <c r="A711">
        <f>COUNTIF($W$22:W711,1)</f>
        <v>0</v>
      </c>
      <c r="B711">
        <v>711</v>
      </c>
      <c r="C711" s="340" t="str">
        <f>Tabulka1[[#This Row],[KOD]]</f>
        <v>C3545MF</v>
      </c>
      <c r="W711" t="str">
        <f t="shared" si="11"/>
        <v/>
      </c>
      <c r="Y711" s="341">
        <f>IF('General price list'!$AB713="",0,'General price list'!$AB713)</f>
        <v>0</v>
      </c>
      <c r="Z711" s="365">
        <f>IFERROR(X711*VLOOKUP(C711,'General price list'!C:I,7,FALSE),"")</f>
        <v>0</v>
      </c>
      <c r="AA711" s="365" t="str">
        <f>IF(X711&lt;&gt;"",VLOOKUP(C711,'General price list'!C713:AN1686,MATCH("HM",Tabulka1[[#Headers],[KOD]:[NEQ]],0),FALSE),"")</f>
        <v/>
      </c>
    </row>
    <row r="712" spans="1:27">
      <c r="A712">
        <f>COUNTIF($W$22:W712,1)</f>
        <v>0</v>
      </c>
      <c r="B712">
        <v>712</v>
      </c>
      <c r="C712" s="340" t="str">
        <f>Tabulka1[[#This Row],[KOD]]</f>
        <v>C3545NO</v>
      </c>
      <c r="W712" t="str">
        <f t="shared" si="11"/>
        <v/>
      </c>
      <c r="Y712" s="341">
        <f>IF('General price list'!$AB714="",0,'General price list'!$AB714)</f>
        <v>0</v>
      </c>
      <c r="Z712" s="365">
        <f>IFERROR(X712*VLOOKUP(C712,'General price list'!C:I,7,FALSE),"")</f>
        <v>0</v>
      </c>
      <c r="AA712" s="365" t="str">
        <f>IF(X712&lt;&gt;"",VLOOKUP(C712,'General price list'!C714:AN1687,MATCH("HM",Tabulka1[[#Headers],[KOD]:[NEQ]],0),FALSE),"")</f>
        <v/>
      </c>
    </row>
    <row r="713" spans="1:27">
      <c r="A713">
        <f>COUNTIF($W$22:W713,1)</f>
        <v>0</v>
      </c>
      <c r="B713">
        <v>713</v>
      </c>
      <c r="C713" s="340">
        <f>Tabulka1[[#This Row],[KOD]]</f>
        <v>0</v>
      </c>
      <c r="W713" t="str">
        <f t="shared" si="11"/>
        <v/>
      </c>
      <c r="Y713" s="341">
        <f>IF('General price list'!$AB715="",0,'General price list'!$AB715)</f>
        <v>0</v>
      </c>
      <c r="Z713" s="365" t="str">
        <f>IFERROR(X713*VLOOKUP(C713,'General price list'!C:I,7,FALSE),"")</f>
        <v/>
      </c>
      <c r="AA713" s="365" t="str">
        <f>IF(X713&lt;&gt;"",VLOOKUP(C713,'General price list'!C715:AN1688,MATCH("HM",Tabulka1[[#Headers],[KOD]:[NEQ]],0),FALSE),"")</f>
        <v/>
      </c>
    </row>
    <row r="714" spans="1:27">
      <c r="A714">
        <f>COUNTIF($W$22:W714,1)</f>
        <v>0</v>
      </c>
      <c r="B714">
        <v>714</v>
      </c>
      <c r="C714" s="340" t="str">
        <f>Tabulka1[[#This Row],[KOD]]</f>
        <v>C3645BA</v>
      </c>
      <c r="W714" t="str">
        <f t="shared" si="11"/>
        <v/>
      </c>
      <c r="Y714" s="341">
        <f>IF('General price list'!$AB716="",0,'General price list'!$AB716)</f>
        <v>0</v>
      </c>
      <c r="Z714" s="365">
        <f>IFERROR(X714*VLOOKUP(C714,'General price list'!C:I,7,FALSE),"")</f>
        <v>0</v>
      </c>
      <c r="AA714" s="365" t="str">
        <f>IF(X714&lt;&gt;"",VLOOKUP(C714,'General price list'!C716:AN1689,MATCH("HM",Tabulka1[[#Headers],[KOD]:[NEQ]],0),FALSE),"")</f>
        <v/>
      </c>
    </row>
    <row r="715" spans="1:27">
      <c r="A715">
        <f>COUNTIF($W$22:W715,1)</f>
        <v>0</v>
      </c>
      <c r="B715">
        <v>715</v>
      </c>
      <c r="C715" s="340" t="str">
        <f>Tabulka1[[#This Row],[KOD]]</f>
        <v>C3645SE</v>
      </c>
      <c r="W715" t="str">
        <f t="shared" si="11"/>
        <v/>
      </c>
      <c r="Y715" s="341">
        <f>IF('General price list'!$AB717="",0,'General price list'!$AB717)</f>
        <v>0</v>
      </c>
      <c r="Z715" s="365">
        <f>IFERROR(X715*VLOOKUP(C715,'General price list'!C:I,7,FALSE),"")</f>
        <v>0</v>
      </c>
      <c r="AA715" s="365" t="str">
        <f>IF(X715&lt;&gt;"",VLOOKUP(C715,'General price list'!C717:AN1690,MATCH("HM",Tabulka1[[#Headers],[KOD]:[NEQ]],0),FALSE),"")</f>
        <v/>
      </c>
    </row>
    <row r="716" spans="1:27">
      <c r="A716">
        <f>COUNTIF($W$22:W716,1)</f>
        <v>0</v>
      </c>
      <c r="B716">
        <v>716</v>
      </c>
      <c r="C716" s="340">
        <f>Tabulka1[[#This Row],[KOD]]</f>
        <v>0</v>
      </c>
      <c r="W716" t="str">
        <f t="shared" si="11"/>
        <v/>
      </c>
      <c r="Y716" s="341">
        <f>IF('General price list'!$AB718="",0,'General price list'!$AB718)</f>
        <v>0</v>
      </c>
      <c r="Z716" s="365" t="str">
        <f>IFERROR(X716*VLOOKUP(C716,'General price list'!C:I,7,FALSE),"")</f>
        <v/>
      </c>
      <c r="AA716" s="365" t="str">
        <f>IF(X716&lt;&gt;"",VLOOKUP(C716,'General price list'!C718:AN1691,MATCH("HM",Tabulka1[[#Headers],[KOD]:[NEQ]],0),FALSE),"")</f>
        <v/>
      </c>
    </row>
    <row r="717" spans="1:27">
      <c r="A717">
        <f>COUNTIF($W$22:W717,1)</f>
        <v>0</v>
      </c>
      <c r="B717">
        <v>717</v>
      </c>
      <c r="C717" s="340" t="str">
        <f>Tabulka1[[#This Row],[KOD]]</f>
        <v>C365DU</v>
      </c>
      <c r="W717" t="str">
        <f t="shared" si="11"/>
        <v/>
      </c>
      <c r="Y717" s="341">
        <f>IF('General price list'!$AB719="",0,'General price list'!$AB719)</f>
        <v>0</v>
      </c>
      <c r="Z717" s="365">
        <f>IFERROR(X717*VLOOKUP(C717,'General price list'!C:I,7,FALSE),"")</f>
        <v>0</v>
      </c>
      <c r="AA717" s="365" t="str">
        <f>IF(X717&lt;&gt;"",VLOOKUP(C717,'General price list'!C719:AN1692,MATCH("HM",Tabulka1[[#Headers],[KOD]:[NEQ]],0),FALSE),"")</f>
        <v/>
      </c>
    </row>
    <row r="718" spans="1:27">
      <c r="A718">
        <f>COUNTIF($W$22:W718,1)</f>
        <v>0</v>
      </c>
      <c r="B718">
        <v>718</v>
      </c>
      <c r="C718" s="340">
        <f>Tabulka1[[#This Row],[KOD]]</f>
        <v>0</v>
      </c>
      <c r="W718" t="str">
        <f t="shared" si="11"/>
        <v/>
      </c>
      <c r="Y718" s="341">
        <f>IF('General price list'!$AB720="",0,'General price list'!$AB720)</f>
        <v>0</v>
      </c>
      <c r="Z718" s="365" t="str">
        <f>IFERROR(X718*VLOOKUP(C718,'General price list'!C:I,7,FALSE),"")</f>
        <v/>
      </c>
      <c r="AA718" s="365" t="str">
        <f>IF(X718&lt;&gt;"",VLOOKUP(C718,'General price list'!C720:AN1693,MATCH("HM",Tabulka1[[#Headers],[KOD]:[NEQ]],0),FALSE),"")</f>
        <v/>
      </c>
    </row>
    <row r="719" spans="1:27">
      <c r="A719">
        <f>COUNTIF($W$22:W719,1)</f>
        <v>0</v>
      </c>
      <c r="B719">
        <v>719</v>
      </c>
      <c r="C719" s="340" t="str">
        <f>Tabulka1[[#This Row],[KOD]]</f>
        <v>C505X/C</v>
      </c>
      <c r="W719" t="str">
        <f t="shared" si="11"/>
        <v/>
      </c>
      <c r="Y719" s="341">
        <f>IF('General price list'!$AB721="",0,'General price list'!$AB721)</f>
        <v>0</v>
      </c>
      <c r="Z719" s="365">
        <f>IFERROR(X719*VLOOKUP(C719,'General price list'!C:I,7,FALSE),"")</f>
        <v>0</v>
      </c>
      <c r="AA719" s="365" t="str">
        <f>IF(X719&lt;&gt;"",VLOOKUP(C719,'General price list'!C721:AN1694,MATCH("HM",Tabulka1[[#Headers],[KOD]:[NEQ]],0),FALSE),"")</f>
        <v/>
      </c>
    </row>
    <row r="720" spans="1:27">
      <c r="A720">
        <f>COUNTIF($W$22:W720,1)</f>
        <v>0</v>
      </c>
      <c r="B720">
        <v>720</v>
      </c>
      <c r="C720" s="340" t="str">
        <f>Tabulka1[[#This Row],[KOD]]</f>
        <v>C505V/C</v>
      </c>
      <c r="W720" t="str">
        <f t="shared" si="11"/>
        <v/>
      </c>
      <c r="Y720" s="341">
        <f>IF('General price list'!$AB722="",0,'General price list'!$AB722)</f>
        <v>0</v>
      </c>
      <c r="Z720" s="365">
        <f>IFERROR(X720*VLOOKUP(C720,'General price list'!C:I,7,FALSE),"")</f>
        <v>0</v>
      </c>
      <c r="AA720" s="365" t="str">
        <f>IF(X720&lt;&gt;"",VLOOKUP(C720,'General price list'!C722:AN1695,MATCH("HM",Tabulka1[[#Headers],[KOD]:[NEQ]],0),FALSE),"")</f>
        <v/>
      </c>
    </row>
    <row r="721" spans="1:27">
      <c r="A721">
        <f>COUNTIF($W$22:W721,1)</f>
        <v>0</v>
      </c>
      <c r="B721">
        <v>721</v>
      </c>
      <c r="C721" s="340" t="str">
        <f>Tabulka1[[#This Row],[KOD]]</f>
        <v>C755R/C</v>
      </c>
      <c r="W721" t="str">
        <f t="shared" si="11"/>
        <v/>
      </c>
      <c r="Y721" s="341">
        <f>IF('General price list'!$AB723="",0,'General price list'!$AB723)</f>
        <v>0</v>
      </c>
      <c r="Z721" s="365">
        <f>IFERROR(X721*VLOOKUP(C721,'General price list'!C:I,7,FALSE),"")</f>
        <v>0</v>
      </c>
      <c r="AA721" s="365" t="str">
        <f>IF(X721&lt;&gt;"",VLOOKUP(C721,'General price list'!C723:AN1696,MATCH("HM",Tabulka1[[#Headers],[KOD]:[NEQ]],0),FALSE),"")</f>
        <v/>
      </c>
    </row>
    <row r="722" spans="1:27">
      <c r="A722">
        <f>COUNTIF($W$22:W722,1)</f>
        <v>0</v>
      </c>
      <c r="B722">
        <v>722</v>
      </c>
      <c r="C722" s="340" t="str">
        <f>Tabulka1[[#This Row],[KOD]]</f>
        <v>C10545GI/C</v>
      </c>
      <c r="W722" t="str">
        <f t="shared" si="11"/>
        <v/>
      </c>
      <c r="Y722" s="341">
        <f>IF('General price list'!$AB724="",0,'General price list'!$AB724)</f>
        <v>0</v>
      </c>
      <c r="Z722" s="365">
        <f>IFERROR(X722*VLOOKUP(C722,'General price list'!C:I,7,FALSE),"")</f>
        <v>0</v>
      </c>
      <c r="AA722" s="365" t="str">
        <f>IF(X722&lt;&gt;"",VLOOKUP(C722,'General price list'!C724:AN1697,MATCH("HM",Tabulka1[[#Headers],[KOD]:[NEQ]],0),FALSE),"")</f>
        <v/>
      </c>
    </row>
    <row r="723" spans="1:27">
      <c r="A723">
        <f>COUNTIF($W$22:W723,1)</f>
        <v>0</v>
      </c>
      <c r="B723">
        <v>723</v>
      </c>
      <c r="C723" s="340">
        <f>Tabulka1[[#This Row],[KOD]]</f>
        <v>0</v>
      </c>
      <c r="W723" t="str">
        <f t="shared" si="11"/>
        <v/>
      </c>
      <c r="Y723" s="341">
        <f>IF('General price list'!$AB725="",0,'General price list'!$AB725)</f>
        <v>0</v>
      </c>
      <c r="Z723" s="365" t="str">
        <f>IFERROR(X723*VLOOKUP(C723,'General price list'!C:I,7,FALSE),"")</f>
        <v/>
      </c>
      <c r="AA723" s="365" t="str">
        <f>IF(X723&lt;&gt;"",VLOOKUP(C723,'General price list'!C725:AN1698,MATCH("HM",Tabulka1[[#Headers],[KOD]:[NEQ]],0),FALSE),"")</f>
        <v/>
      </c>
    </row>
    <row r="724" spans="1:27">
      <c r="A724">
        <f>COUNTIF($W$22:W724,1)</f>
        <v>0</v>
      </c>
      <c r="B724">
        <v>724</v>
      </c>
      <c r="C724" s="340" t="str">
        <f>Tabulka1[[#This Row],[KOD]]</f>
        <v>C2505D</v>
      </c>
      <c r="W724" t="str">
        <f t="shared" si="11"/>
        <v/>
      </c>
      <c r="Y724" s="341">
        <f>IF('General price list'!$AB726="",0,'General price list'!$AB726)</f>
        <v>0</v>
      </c>
      <c r="Z724" s="365">
        <f>IFERROR(X724*VLOOKUP(C724,'General price list'!C:I,7,FALSE),"")</f>
        <v>0</v>
      </c>
      <c r="AA724" s="365" t="str">
        <f>IF(X724&lt;&gt;"",VLOOKUP(C724,'General price list'!C726:AN1699,MATCH("HM",Tabulka1[[#Headers],[KOD]:[NEQ]],0),FALSE),"")</f>
        <v/>
      </c>
    </row>
    <row r="725" spans="1:27">
      <c r="A725">
        <f>COUNTIF($W$22:W725,1)</f>
        <v>0</v>
      </c>
      <c r="B725">
        <v>725</v>
      </c>
      <c r="C725" s="340">
        <f>Tabulka1[[#This Row],[KOD]]</f>
        <v>0</v>
      </c>
      <c r="W725" t="str">
        <f t="shared" si="11"/>
        <v/>
      </c>
      <c r="Y725" s="341">
        <f>IF('General price list'!$AB727="",0,'General price list'!$AB727)</f>
        <v>0</v>
      </c>
      <c r="Z725" s="365" t="str">
        <f>IFERROR(X725*VLOOKUP(C725,'General price list'!C:I,7,FALSE),"")</f>
        <v/>
      </c>
      <c r="AA725" s="365" t="str">
        <f>IF(X725&lt;&gt;"",VLOOKUP(C725,'General price list'!C727:AN1700,MATCH("HM",Tabulka1[[#Headers],[KOD]:[NEQ]],0),FALSE),"")</f>
        <v/>
      </c>
    </row>
    <row r="726" spans="1:27">
      <c r="A726">
        <f>COUNTIF($W$22:W726,1)</f>
        <v>0</v>
      </c>
      <c r="B726">
        <v>726</v>
      </c>
      <c r="C726" s="340" t="str">
        <f>Tabulka1[[#This Row],[KOD]]</f>
        <v>C2463B</v>
      </c>
      <c r="W726" t="str">
        <f t="shared" si="11"/>
        <v/>
      </c>
      <c r="Y726" s="341">
        <f>IF('General price list'!$AB728="",0,'General price list'!$AB728)</f>
        <v>0</v>
      </c>
      <c r="Z726" s="365">
        <f>IFERROR(X726*VLOOKUP(C726,'General price list'!C:I,7,FALSE),"")</f>
        <v>0</v>
      </c>
      <c r="AA726" s="365" t="str">
        <f>IF(X726&lt;&gt;"",VLOOKUP(C726,'General price list'!C728:AN1701,MATCH("HM",Tabulka1[[#Headers],[KOD]:[NEQ]],0),FALSE),"")</f>
        <v/>
      </c>
    </row>
    <row r="727" spans="1:27">
      <c r="A727">
        <f>COUNTIF($W$22:W727,1)</f>
        <v>0</v>
      </c>
      <c r="B727">
        <v>727</v>
      </c>
      <c r="C727" s="340">
        <f>Tabulka1[[#This Row],[KOD]]</f>
        <v>0</v>
      </c>
      <c r="W727" t="str">
        <f t="shared" si="11"/>
        <v/>
      </c>
      <c r="Y727" s="341">
        <f>IF('General price list'!$AB729="",0,'General price list'!$AB729)</f>
        <v>0</v>
      </c>
      <c r="Z727" s="365" t="str">
        <f>IFERROR(X727*VLOOKUP(C727,'General price list'!C:I,7,FALSE),"")</f>
        <v/>
      </c>
      <c r="AA727" s="365" t="str">
        <f>IF(X727&lt;&gt;"",VLOOKUP(C727,'General price list'!C729:AN1702,MATCH("HM",Tabulka1[[#Headers],[KOD]:[NEQ]],0),FALSE),"")</f>
        <v/>
      </c>
    </row>
    <row r="728" spans="1:27">
      <c r="A728">
        <f>COUNTIF($W$22:W728,1)</f>
        <v>0</v>
      </c>
      <c r="B728">
        <v>728</v>
      </c>
      <c r="C728" s="340" t="str">
        <f>Tabulka1[[#This Row],[KOD]]</f>
        <v>C2575C</v>
      </c>
      <c r="W728" t="str">
        <f t="shared" ref="W728:W791" si="12">IF(Y728+1=1,"",1)</f>
        <v/>
      </c>
      <c r="Y728" s="341">
        <f>IF('General price list'!$AB730="",0,'General price list'!$AB730)</f>
        <v>0</v>
      </c>
      <c r="Z728" s="365">
        <f>IFERROR(X728*VLOOKUP(C728,'General price list'!C:I,7,FALSE),"")</f>
        <v>0</v>
      </c>
      <c r="AA728" s="365" t="str">
        <f>IF(X728&lt;&gt;"",VLOOKUP(C728,'General price list'!C730:AN1703,MATCH("HM",Tabulka1[[#Headers],[KOD]:[NEQ]],0),FALSE),"")</f>
        <v/>
      </c>
    </row>
    <row r="729" spans="1:27">
      <c r="A729">
        <f>COUNTIF($W$22:W729,1)</f>
        <v>0</v>
      </c>
      <c r="B729">
        <v>729</v>
      </c>
      <c r="C729" s="340">
        <f>Tabulka1[[#This Row],[KOD]]</f>
        <v>0</v>
      </c>
      <c r="W729" t="str">
        <f t="shared" si="12"/>
        <v/>
      </c>
      <c r="Y729" s="341">
        <f>IF('General price list'!$AB731="",0,'General price list'!$AB731)</f>
        <v>0</v>
      </c>
      <c r="Z729" s="365" t="str">
        <f>IFERROR(X729*VLOOKUP(C729,'General price list'!C:I,7,FALSE),"")</f>
        <v/>
      </c>
      <c r="AA729" s="365" t="str">
        <f>IF(X729&lt;&gt;"",VLOOKUP(C729,'General price list'!C731:AN1704,MATCH("HM",Tabulka1[[#Headers],[KOD]:[NEQ]],0),FALSE),"")</f>
        <v/>
      </c>
    </row>
    <row r="730" spans="1:27">
      <c r="A730">
        <f>COUNTIF($W$22:W730,1)</f>
        <v>0</v>
      </c>
      <c r="B730">
        <v>730</v>
      </c>
      <c r="C730" s="340">
        <f>Tabulka1[[#This Row],[KOD]]</f>
        <v>0</v>
      </c>
      <c r="W730" t="str">
        <f t="shared" si="12"/>
        <v/>
      </c>
      <c r="Y730" s="341">
        <f>IF('General price list'!$AB732="",0,'General price list'!$AB732)</f>
        <v>0</v>
      </c>
      <c r="Z730" s="365" t="str">
        <f>IFERROR(X730*VLOOKUP(C730,'General price list'!C:I,7,FALSE),"")</f>
        <v/>
      </c>
      <c r="AA730" s="365" t="str">
        <f>IF(X730&lt;&gt;"",VLOOKUP(C730,'General price list'!C732:AN1705,MATCH("HM",Tabulka1[[#Headers],[KOD]:[NEQ]],0),FALSE),"")</f>
        <v/>
      </c>
    </row>
    <row r="731" spans="1:27">
      <c r="A731">
        <f>COUNTIF($W$22:W731,1)</f>
        <v>0</v>
      </c>
      <c r="B731">
        <v>731</v>
      </c>
      <c r="C731" s="340" t="str">
        <f>Tabulka1[[#This Row],[KOD]]</f>
        <v>C39MPT</v>
      </c>
      <c r="W731" t="str">
        <f t="shared" si="12"/>
        <v/>
      </c>
      <c r="Y731" s="341">
        <f>IF('General price list'!$AB733="",0,'General price list'!$AB733)</f>
        <v>0</v>
      </c>
      <c r="Z731" s="365">
        <f>IFERROR(X731*VLOOKUP(C731,'General price list'!C:I,7,FALSE),"")</f>
        <v>0</v>
      </c>
      <c r="AA731" s="365" t="str">
        <f>IF(X731&lt;&gt;"",VLOOKUP(C731,'General price list'!C733:AN1706,MATCH("HM",Tabulka1[[#Headers],[KOD]:[NEQ]],0),FALSE),"")</f>
        <v/>
      </c>
    </row>
    <row r="732" spans="1:27">
      <c r="A732">
        <f>COUNTIF($W$22:W732,1)</f>
        <v>0</v>
      </c>
      <c r="B732">
        <v>732</v>
      </c>
      <c r="C732" s="340">
        <f>Tabulka1[[#This Row],[KOD]]</f>
        <v>0</v>
      </c>
      <c r="W732" t="str">
        <f t="shared" si="12"/>
        <v/>
      </c>
      <c r="Y732" s="341">
        <f>IF('General price list'!$AB734="",0,'General price list'!$AB734)</f>
        <v>0</v>
      </c>
      <c r="Z732" s="365" t="str">
        <f>IFERROR(X732*VLOOKUP(C732,'General price list'!C:I,7,FALSE),"")</f>
        <v/>
      </c>
      <c r="AA732" s="365" t="str">
        <f>IF(X732&lt;&gt;"",VLOOKUP(C732,'General price list'!C734:AN1707,MATCH("HM",Tabulka1[[#Headers],[KOD]:[NEQ]],0),FALSE),"")</f>
        <v/>
      </c>
    </row>
    <row r="733" spans="1:27">
      <c r="A733">
        <f>COUNTIF($W$22:W733,1)</f>
        <v>0</v>
      </c>
      <c r="B733">
        <v>733</v>
      </c>
      <c r="C733" s="340" t="str">
        <f>Tabulka1[[#This Row],[KOD]]</f>
        <v>C46MXP</v>
      </c>
      <c r="W733" t="str">
        <f t="shared" si="12"/>
        <v/>
      </c>
      <c r="Y733" s="341">
        <f>IF('General price list'!$AB735="",0,'General price list'!$AB735)</f>
        <v>0</v>
      </c>
      <c r="Z733" s="365">
        <f>IFERROR(X733*VLOOKUP(C733,'General price list'!C:I,7,FALSE),"")</f>
        <v>0</v>
      </c>
      <c r="AA733" s="365" t="str">
        <f>IF(X733&lt;&gt;"",VLOOKUP(C733,'General price list'!C735:AN1708,MATCH("HM",Tabulka1[[#Headers],[KOD]:[NEQ]],0),FALSE),"")</f>
        <v/>
      </c>
    </row>
    <row r="734" spans="1:27">
      <c r="A734">
        <f>COUNTIF($W$22:W734,1)</f>
        <v>0</v>
      </c>
      <c r="B734">
        <v>734</v>
      </c>
      <c r="C734" s="340">
        <f>Tabulka1[[#This Row],[KOD]]</f>
        <v>0</v>
      </c>
      <c r="W734" t="str">
        <f t="shared" si="12"/>
        <v/>
      </c>
      <c r="Y734" s="341">
        <f>IF('General price list'!$AB736="",0,'General price list'!$AB736)</f>
        <v>0</v>
      </c>
      <c r="Z734" s="365" t="str">
        <f>IFERROR(X734*VLOOKUP(C734,'General price list'!C:I,7,FALSE),"")</f>
        <v/>
      </c>
      <c r="AA734" s="365" t="str">
        <f>IF(X734&lt;&gt;"",VLOOKUP(C734,'General price list'!C736:AN1709,MATCH("HM",Tabulka1[[#Headers],[KOD]:[NEQ]],0),FALSE),"")</f>
        <v/>
      </c>
    </row>
    <row r="735" spans="1:27">
      <c r="A735">
        <f>COUNTIF($W$22:W735,1)</f>
        <v>0</v>
      </c>
      <c r="B735">
        <v>735</v>
      </c>
      <c r="C735" s="340" t="str">
        <f>Tabulka1[[#This Row],[KOD]]</f>
        <v>C48XMF14</v>
      </c>
      <c r="W735" t="str">
        <f t="shared" si="12"/>
        <v/>
      </c>
      <c r="Y735" s="341">
        <f>IF('General price list'!$AB737="",0,'General price list'!$AB737)</f>
        <v>0</v>
      </c>
      <c r="Z735" s="365">
        <f>IFERROR(X735*VLOOKUP(C735,'General price list'!C:I,7,FALSE),"")</f>
        <v>0</v>
      </c>
      <c r="AA735" s="365" t="str">
        <f>IF(X735&lt;&gt;"",VLOOKUP(C735,'General price list'!C737:AN1710,MATCH("HM",Tabulka1[[#Headers],[KOD]:[NEQ]],0),FALSE),"")</f>
        <v/>
      </c>
    </row>
    <row r="736" spans="1:27">
      <c r="A736">
        <f>COUNTIF($W$22:W736,1)</f>
        <v>0</v>
      </c>
      <c r="B736">
        <v>736</v>
      </c>
      <c r="C736" s="340">
        <f>Tabulka1[[#This Row],[KOD]]</f>
        <v>0</v>
      </c>
      <c r="W736" t="str">
        <f t="shared" si="12"/>
        <v/>
      </c>
      <c r="Y736" s="341">
        <f>IF('General price list'!$AB738="",0,'General price list'!$AB738)</f>
        <v>0</v>
      </c>
      <c r="Z736" s="365" t="str">
        <f>IFERROR(X736*VLOOKUP(C736,'General price list'!C:I,7,FALSE),"")</f>
        <v/>
      </c>
      <c r="AA736" s="365" t="str">
        <f>IF(X736&lt;&gt;"",VLOOKUP(C736,'General price list'!C738:AN1711,MATCH("HM",Tabulka1[[#Headers],[KOD]:[NEQ]],0),FALSE),"")</f>
        <v/>
      </c>
    </row>
    <row r="737" spans="1:27">
      <c r="A737">
        <f>COUNTIF($W$22:W737,1)</f>
        <v>0</v>
      </c>
      <c r="B737">
        <v>737</v>
      </c>
      <c r="C737" s="340" t="str">
        <f>Tabulka1[[#This Row],[KOD]]</f>
        <v>C50MO</v>
      </c>
      <c r="W737" t="str">
        <f t="shared" si="12"/>
        <v/>
      </c>
      <c r="Y737" s="341">
        <f>IF('General price list'!$AB739="",0,'General price list'!$AB739)</f>
        <v>0</v>
      </c>
      <c r="Z737" s="365">
        <f>IFERROR(X737*VLOOKUP(C737,'General price list'!C:I,7,FALSE),"")</f>
        <v>0</v>
      </c>
      <c r="AA737" s="365" t="str">
        <f>IF(X737&lt;&gt;"",VLOOKUP(C737,'General price list'!C739:AN1712,MATCH("HM",Tabulka1[[#Headers],[KOD]:[NEQ]],0),FALSE),"")</f>
        <v/>
      </c>
    </row>
    <row r="738" spans="1:27">
      <c r="A738">
        <f>COUNTIF($W$22:W738,1)</f>
        <v>0</v>
      </c>
      <c r="B738">
        <v>738</v>
      </c>
      <c r="C738" s="340" t="str">
        <f>Tabulka1[[#This Row],[KOD]]</f>
        <v>C50MCH</v>
      </c>
      <c r="W738" t="str">
        <f t="shared" si="12"/>
        <v/>
      </c>
      <c r="Y738" s="341">
        <f>IF('General price list'!$AB740="",0,'General price list'!$AB740)</f>
        <v>0</v>
      </c>
      <c r="Z738" s="365">
        <f>IFERROR(X738*VLOOKUP(C738,'General price list'!C:I,7,FALSE),"")</f>
        <v>0</v>
      </c>
      <c r="AA738" s="365" t="str">
        <f>IF(X738&lt;&gt;"",VLOOKUP(C738,'General price list'!C740:AN1713,MATCH("HM",Tabulka1[[#Headers],[KOD]:[NEQ]],0),FALSE),"")</f>
        <v/>
      </c>
    </row>
    <row r="739" spans="1:27">
      <c r="A739">
        <f>COUNTIF($W$22:W739,1)</f>
        <v>0</v>
      </c>
      <c r="B739">
        <v>739</v>
      </c>
      <c r="C739" s="340">
        <f>Tabulka1[[#This Row],[KOD]]</f>
        <v>0</v>
      </c>
      <c r="W739" t="str">
        <f t="shared" si="12"/>
        <v/>
      </c>
      <c r="Y739" s="341">
        <f>IF('General price list'!$AB741="",0,'General price list'!$AB741)</f>
        <v>0</v>
      </c>
      <c r="Z739" s="365" t="str">
        <f>IFERROR(X739*VLOOKUP(C739,'General price list'!C:I,7,FALSE),"")</f>
        <v/>
      </c>
      <c r="AA739" s="365" t="str">
        <f>IF(X739&lt;&gt;"",VLOOKUP(C739,'General price list'!C741:AN1714,MATCH("HM",Tabulka1[[#Headers],[KOD]:[NEQ]],0),FALSE),"")</f>
        <v/>
      </c>
    </row>
    <row r="740" spans="1:27">
      <c r="A740">
        <f>COUNTIF($W$22:W740,1)</f>
        <v>0</v>
      </c>
      <c r="B740">
        <v>740</v>
      </c>
      <c r="C740" s="340" t="str">
        <f>Tabulka1[[#This Row],[KOD]]</f>
        <v>C64MT</v>
      </c>
      <c r="W740" t="str">
        <f t="shared" si="12"/>
        <v/>
      </c>
      <c r="Y740" s="341">
        <f>IF('General price list'!$AB742="",0,'General price list'!$AB742)</f>
        <v>0</v>
      </c>
      <c r="Z740" s="365">
        <f>IFERROR(X740*VLOOKUP(C740,'General price list'!C:I,7,FALSE),"")</f>
        <v>0</v>
      </c>
      <c r="AA740" s="365" t="str">
        <f>IF(X740&lt;&gt;"",VLOOKUP(C740,'General price list'!C742:AN1715,MATCH("HM",Tabulka1[[#Headers],[KOD]:[NEQ]],0),FALSE),"")</f>
        <v/>
      </c>
    </row>
    <row r="741" spans="1:27">
      <c r="A741">
        <f>COUNTIF($W$22:W741,1)</f>
        <v>0</v>
      </c>
      <c r="B741">
        <v>741</v>
      </c>
      <c r="C741" s="340" t="str">
        <f>Tabulka1[[#This Row],[KOD]]</f>
        <v>C64MP</v>
      </c>
      <c r="W741" t="str">
        <f t="shared" si="12"/>
        <v/>
      </c>
      <c r="Y741" s="341">
        <f>IF('General price list'!$AB743="",0,'General price list'!$AB743)</f>
        <v>0</v>
      </c>
      <c r="Z741" s="365">
        <f>IFERROR(X741*VLOOKUP(C741,'General price list'!C:I,7,FALSE),"")</f>
        <v>0</v>
      </c>
      <c r="AA741" s="365" t="str">
        <f>IF(X741&lt;&gt;"",VLOOKUP(C741,'General price list'!C743:AN1716,MATCH("HM",Tabulka1[[#Headers],[KOD]:[NEQ]],0),FALSE),"")</f>
        <v/>
      </c>
    </row>
    <row r="742" spans="1:27">
      <c r="A742">
        <f>COUNTIF($W$22:W742,1)</f>
        <v>0</v>
      </c>
      <c r="B742">
        <v>742</v>
      </c>
      <c r="C742" s="340">
        <f>Tabulka1[[#This Row],[KOD]]</f>
        <v>0</v>
      </c>
      <c r="W742" t="str">
        <f t="shared" si="12"/>
        <v/>
      </c>
      <c r="Y742" s="341">
        <f>IF('General price list'!$AB744="",0,'General price list'!$AB744)</f>
        <v>0</v>
      </c>
      <c r="Z742" s="365" t="str">
        <f>IFERROR(X742*VLOOKUP(C742,'General price list'!C:I,7,FALSE),"")</f>
        <v/>
      </c>
      <c r="AA742" s="365" t="str">
        <f>IF(X742&lt;&gt;"",VLOOKUP(C742,'General price list'!C744:AN1717,MATCH("HM",Tabulka1[[#Headers],[KOD]:[NEQ]],0),FALSE),"")</f>
        <v/>
      </c>
    </row>
    <row r="743" spans="1:27">
      <c r="A743">
        <f>COUNTIF($W$22:W743,1)</f>
        <v>0</v>
      </c>
      <c r="B743">
        <v>743</v>
      </c>
      <c r="C743" s="340" t="str">
        <f>Tabulka1[[#This Row],[KOD]]</f>
        <v>C68XMPT</v>
      </c>
      <c r="W743" t="str">
        <f t="shared" si="12"/>
        <v/>
      </c>
      <c r="Y743" s="341">
        <f>IF('General price list'!$AB745="",0,'General price list'!$AB745)</f>
        <v>0</v>
      </c>
      <c r="Z743" s="365">
        <f>IFERROR(X743*VLOOKUP(C743,'General price list'!C:I,7,FALSE),"")</f>
        <v>0</v>
      </c>
      <c r="AA743" s="365" t="str">
        <f>IF(X743&lt;&gt;"",VLOOKUP(C743,'General price list'!C745:AN1718,MATCH("HM",Tabulka1[[#Headers],[KOD]:[NEQ]],0),FALSE),"")</f>
        <v/>
      </c>
    </row>
    <row r="744" spans="1:27">
      <c r="A744">
        <f>COUNTIF($W$22:W744,1)</f>
        <v>0</v>
      </c>
      <c r="B744">
        <v>744</v>
      </c>
      <c r="C744" s="340">
        <f>Tabulka1[[#This Row],[KOD]]</f>
        <v>0</v>
      </c>
      <c r="W744" t="str">
        <f t="shared" si="12"/>
        <v/>
      </c>
      <c r="Y744" s="341">
        <f>IF('General price list'!$AB746="",0,'General price list'!$AB746)</f>
        <v>0</v>
      </c>
      <c r="Z744" s="365" t="str">
        <f>IFERROR(X744*VLOOKUP(C744,'General price list'!C:I,7,FALSE),"")</f>
        <v/>
      </c>
      <c r="AA744" s="365" t="str">
        <f>IF(X744&lt;&gt;"",VLOOKUP(C744,'General price list'!C746:AN1719,MATCH("HM",Tabulka1[[#Headers],[KOD]:[NEQ]],0),FALSE),"")</f>
        <v/>
      </c>
    </row>
    <row r="745" spans="1:27">
      <c r="A745">
        <f>COUNTIF($W$22:W745,1)</f>
        <v>0</v>
      </c>
      <c r="B745">
        <v>745</v>
      </c>
      <c r="C745" s="340" t="str">
        <f>Tabulka1[[#This Row],[KOD]]</f>
        <v>C68XMPT14</v>
      </c>
      <c r="W745" t="str">
        <f t="shared" si="12"/>
        <v/>
      </c>
      <c r="Y745" s="341">
        <f>IF('General price list'!$AB747="",0,'General price list'!$AB747)</f>
        <v>0</v>
      </c>
      <c r="Z745" s="365">
        <f>IFERROR(X745*VLOOKUP(C745,'General price list'!C:I,7,FALSE),"")</f>
        <v>0</v>
      </c>
      <c r="AA745" s="365" t="str">
        <f>IF(X745&lt;&gt;"",VLOOKUP(C745,'General price list'!C747:AN1720,MATCH("HM",Tabulka1[[#Headers],[KOD]:[NEQ]],0),FALSE),"")</f>
        <v/>
      </c>
    </row>
    <row r="746" spans="1:27">
      <c r="A746">
        <f>COUNTIF($W$22:W746,1)</f>
        <v>0</v>
      </c>
      <c r="B746">
        <v>746</v>
      </c>
      <c r="C746" s="340">
        <f>Tabulka1[[#This Row],[KOD]]</f>
        <v>0</v>
      </c>
      <c r="W746" t="str">
        <f t="shared" si="12"/>
        <v/>
      </c>
      <c r="Y746" s="341">
        <f>IF('General price list'!$AB748="",0,'General price list'!$AB748)</f>
        <v>0</v>
      </c>
      <c r="Z746" s="365" t="str">
        <f>IFERROR(X746*VLOOKUP(C746,'General price list'!C:I,7,FALSE),"")</f>
        <v/>
      </c>
      <c r="AA746" s="365" t="str">
        <f>IF(X746&lt;&gt;"",VLOOKUP(C746,'General price list'!C748:AN1721,MATCH("HM",Tabulka1[[#Headers],[KOD]:[NEQ]],0),FALSE),"")</f>
        <v/>
      </c>
    </row>
    <row r="747" spans="1:27">
      <c r="A747">
        <f>COUNTIF($W$22:W747,1)</f>
        <v>0</v>
      </c>
      <c r="B747">
        <v>747</v>
      </c>
      <c r="C747" s="340" t="str">
        <f>Tabulka1[[#This Row],[KOD]]</f>
        <v>C77MXR14</v>
      </c>
      <c r="W747" t="str">
        <f t="shared" si="12"/>
        <v/>
      </c>
      <c r="Y747" s="341">
        <f>IF('General price list'!$AB749="",0,'General price list'!$AB749)</f>
        <v>0</v>
      </c>
      <c r="Z747" s="365">
        <f>IFERROR(X747*VLOOKUP(C747,'General price list'!C:I,7,FALSE),"")</f>
        <v>0</v>
      </c>
      <c r="AA747" s="365" t="str">
        <f>IF(X747&lt;&gt;"",VLOOKUP(C747,'General price list'!C749:AN1722,MATCH("HM",Tabulka1[[#Headers],[KOD]:[NEQ]],0),FALSE),"")</f>
        <v/>
      </c>
    </row>
    <row r="748" spans="1:27">
      <c r="A748">
        <f>COUNTIF($W$22:W748,1)</f>
        <v>0</v>
      </c>
      <c r="B748">
        <v>748</v>
      </c>
      <c r="C748" s="340">
        <f>Tabulka1[[#This Row],[KOD]]</f>
        <v>0</v>
      </c>
      <c r="W748" t="str">
        <f t="shared" si="12"/>
        <v/>
      </c>
      <c r="Y748" s="341">
        <f>IF('General price list'!$AB750="",0,'General price list'!$AB750)</f>
        <v>0</v>
      </c>
      <c r="Z748" s="365" t="str">
        <f>IFERROR(X748*VLOOKUP(C748,'General price list'!C:I,7,FALSE),"")</f>
        <v/>
      </c>
      <c r="AA748" s="365" t="str">
        <f>IF(X748&lt;&gt;"",VLOOKUP(C748,'General price list'!C750:AN1723,MATCH("HM",Tabulka1[[#Headers],[KOD]:[NEQ]],0),FALSE),"")</f>
        <v/>
      </c>
    </row>
    <row r="749" spans="1:27">
      <c r="A749">
        <f>COUNTIF($W$22:W749,1)</f>
        <v>0</v>
      </c>
      <c r="B749">
        <v>749</v>
      </c>
      <c r="C749" s="340" t="str">
        <f>Tabulka1[[#This Row],[KOD]]</f>
        <v>C100MXS14</v>
      </c>
      <c r="W749" t="str">
        <f t="shared" si="12"/>
        <v/>
      </c>
      <c r="Y749" s="341">
        <f>IF('General price list'!$AB751="",0,'General price list'!$AB751)</f>
        <v>0</v>
      </c>
      <c r="Z749" s="365">
        <f>IFERROR(X749*VLOOKUP(C749,'General price list'!C:I,7,FALSE),"")</f>
        <v>0</v>
      </c>
      <c r="AA749" s="365" t="str">
        <f>IF(X749&lt;&gt;"",VLOOKUP(C749,'General price list'!C751:AN1724,MATCH("HM",Tabulka1[[#Headers],[KOD]:[NEQ]],0),FALSE),"")</f>
        <v/>
      </c>
    </row>
    <row r="750" spans="1:27">
      <c r="A750">
        <f>COUNTIF($W$22:W750,1)</f>
        <v>0</v>
      </c>
      <c r="B750">
        <v>750</v>
      </c>
      <c r="C750" s="340">
        <f>Tabulka1[[#This Row],[KOD]]</f>
        <v>0</v>
      </c>
      <c r="W750" t="str">
        <f t="shared" si="12"/>
        <v/>
      </c>
      <c r="Y750" s="341">
        <f>IF('General price list'!$AB752="",0,'General price list'!$AB752)</f>
        <v>0</v>
      </c>
      <c r="Z750" s="365" t="str">
        <f>IFERROR(X750*VLOOKUP(C750,'General price list'!C:I,7,FALSE),"")</f>
        <v/>
      </c>
      <c r="AA750" s="365" t="str">
        <f>IF(X750&lt;&gt;"",VLOOKUP(C750,'General price list'!C752:AN1725,MATCH("HM",Tabulka1[[#Headers],[KOD]:[NEQ]],0),FALSE),"")</f>
        <v/>
      </c>
    </row>
    <row r="751" spans="1:27">
      <c r="A751">
        <f>COUNTIF($W$22:W751,1)</f>
        <v>0</v>
      </c>
      <c r="B751">
        <v>751</v>
      </c>
      <c r="C751" s="340" t="str">
        <f>Tabulka1[[#This Row],[KOD]]</f>
        <v>C148MXP14</v>
      </c>
      <c r="W751" t="str">
        <f t="shared" si="12"/>
        <v/>
      </c>
      <c r="Y751" s="341">
        <f>IF('General price list'!$AB753="",0,'General price list'!$AB753)</f>
        <v>0</v>
      </c>
      <c r="Z751" s="365">
        <f>IFERROR(X751*VLOOKUP(C751,'General price list'!C:I,7,FALSE),"")</f>
        <v>0</v>
      </c>
      <c r="AA751" s="365" t="str">
        <f>IF(X751&lt;&gt;"",VLOOKUP(C751,'General price list'!C753:AN1726,MATCH("HM",Tabulka1[[#Headers],[KOD]:[NEQ]],0),FALSE),"")</f>
        <v/>
      </c>
    </row>
    <row r="752" spans="1:27">
      <c r="A752">
        <f>COUNTIF($W$22:W752,1)</f>
        <v>0</v>
      </c>
      <c r="B752">
        <v>752</v>
      </c>
      <c r="C752" s="340">
        <f>Tabulka1[[#This Row],[KOD]]</f>
        <v>0</v>
      </c>
      <c r="W752" t="str">
        <f t="shared" si="12"/>
        <v/>
      </c>
      <c r="Y752" s="341">
        <f>IF('General price list'!$AB754="",0,'General price list'!$AB754)</f>
        <v>0</v>
      </c>
      <c r="Z752" s="365" t="str">
        <f>IFERROR(X752*VLOOKUP(C752,'General price list'!C:I,7,FALSE),"")</f>
        <v/>
      </c>
      <c r="AA752" s="365" t="str">
        <f>IF(X752&lt;&gt;"",VLOOKUP(C752,'General price list'!C754:AN1727,MATCH("HM",Tabulka1[[#Headers],[KOD]:[NEQ]],0),FALSE),"")</f>
        <v/>
      </c>
    </row>
    <row r="753" spans="1:27">
      <c r="A753">
        <f>COUNTIF($W$22:W753,1)</f>
        <v>0</v>
      </c>
      <c r="B753">
        <v>753</v>
      </c>
      <c r="C753" s="340" t="str">
        <f>Tabulka1[[#This Row],[KOD]]</f>
        <v>C165MXV14</v>
      </c>
      <c r="W753" t="str">
        <f t="shared" si="12"/>
        <v/>
      </c>
      <c r="Y753" s="341">
        <f>IF('General price list'!$AB755="",0,'General price list'!$AB755)</f>
        <v>0</v>
      </c>
      <c r="Z753" s="365">
        <f>IFERROR(X753*VLOOKUP(C753,'General price list'!C:I,7,FALSE),"")</f>
        <v>0</v>
      </c>
      <c r="AA753" s="365" t="str">
        <f>IF(X753&lt;&gt;"",VLOOKUP(C753,'General price list'!C755:AN1728,MATCH("HM",Tabulka1[[#Headers],[KOD]:[NEQ]],0),FALSE),"")</f>
        <v/>
      </c>
    </row>
    <row r="754" spans="1:27">
      <c r="A754">
        <f>COUNTIF($W$22:W754,1)</f>
        <v>0</v>
      </c>
      <c r="B754">
        <v>754</v>
      </c>
      <c r="C754" s="340">
        <f>Tabulka1[[#This Row],[KOD]]</f>
        <v>0</v>
      </c>
      <c r="W754" t="str">
        <f t="shared" si="12"/>
        <v/>
      </c>
      <c r="Y754" s="341">
        <f>IF('General price list'!$AB756="",0,'General price list'!$AB756)</f>
        <v>0</v>
      </c>
      <c r="Z754" s="365" t="str">
        <f>IFERROR(X754*VLOOKUP(C754,'General price list'!C:I,7,FALSE),"")</f>
        <v/>
      </c>
      <c r="AA754" s="365" t="str">
        <f>IF(X754&lt;&gt;"",VLOOKUP(C754,'General price list'!C756:AN1729,MATCH("HM",Tabulka1[[#Headers],[KOD]:[NEQ]],0),FALSE),"")</f>
        <v/>
      </c>
    </row>
    <row r="755" spans="1:27">
      <c r="A755">
        <f>COUNTIF($W$22:W755,1)</f>
        <v>0</v>
      </c>
      <c r="B755">
        <v>755</v>
      </c>
      <c r="C755" s="340" t="str">
        <f>Tabulka1[[#This Row],[KOD]]</f>
        <v>C170MXR14</v>
      </c>
      <c r="W755" t="str">
        <f t="shared" si="12"/>
        <v/>
      </c>
      <c r="Y755" s="341">
        <f>IF('General price list'!$AB757="",0,'General price list'!$AB757)</f>
        <v>0</v>
      </c>
      <c r="Z755" s="365">
        <f>IFERROR(X755*VLOOKUP(C755,'General price list'!C:I,7,FALSE),"")</f>
        <v>0</v>
      </c>
      <c r="AA755" s="365" t="str">
        <f>IF(X755&lt;&gt;"",VLOOKUP(C755,'General price list'!C757:AN1730,MATCH("HM",Tabulka1[[#Headers],[KOD]:[NEQ]],0),FALSE),"")</f>
        <v/>
      </c>
    </row>
    <row r="756" spans="1:27">
      <c r="A756">
        <f>COUNTIF($W$22:W756,1)</f>
        <v>0</v>
      </c>
      <c r="B756">
        <v>756</v>
      </c>
      <c r="C756" s="340">
        <f>Tabulka1[[#This Row],[KOD]]</f>
        <v>0</v>
      </c>
      <c r="W756" t="str">
        <f t="shared" si="12"/>
        <v/>
      </c>
      <c r="Y756" s="341">
        <f>IF('General price list'!$AB758="",0,'General price list'!$AB758)</f>
        <v>0</v>
      </c>
      <c r="Z756" s="365" t="str">
        <f>IFERROR(X756*VLOOKUP(C756,'General price list'!C:I,7,FALSE),"")</f>
        <v/>
      </c>
      <c r="AA756" s="365" t="str">
        <f>IF(X756&lt;&gt;"",VLOOKUP(C756,'General price list'!C758:AN1731,MATCH("HM",Tabulka1[[#Headers],[KOD]:[NEQ]],0),FALSE),"")</f>
        <v/>
      </c>
    </row>
    <row r="757" spans="1:27">
      <c r="A757">
        <f>COUNTIF($W$22:W757,1)</f>
        <v>0</v>
      </c>
      <c r="B757">
        <v>757</v>
      </c>
      <c r="C757" s="340">
        <f>Tabulka1[[#This Row],[KOD]]</f>
        <v>0</v>
      </c>
      <c r="W757" t="str">
        <f t="shared" si="12"/>
        <v/>
      </c>
      <c r="Y757" s="341">
        <f>IF('General price list'!$AB759="",0,'General price list'!$AB759)</f>
        <v>0</v>
      </c>
      <c r="Z757" s="365" t="str">
        <f>IFERROR(X757*VLOOKUP(C757,'General price list'!C:I,7,FALSE),"")</f>
        <v/>
      </c>
      <c r="AA757" s="365" t="str">
        <f>IF(X757&lt;&gt;"",VLOOKUP(C757,'General price list'!C759:AN1732,MATCH("HM",Tabulka1[[#Headers],[KOD]:[NEQ]],0),FALSE),"")</f>
        <v/>
      </c>
    </row>
    <row r="758" spans="1:27">
      <c r="A758">
        <f>COUNTIF($W$22:W758,1)</f>
        <v>0</v>
      </c>
      <c r="B758">
        <v>758</v>
      </c>
      <c r="C758" s="340" t="str">
        <f>Tabulka1[[#This Row],[KOD]]</f>
        <v>C40FMH</v>
      </c>
      <c r="W758" t="str">
        <f t="shared" si="12"/>
        <v/>
      </c>
      <c r="Y758" s="341">
        <f>IF('General price list'!$AB760="",0,'General price list'!$AB760)</f>
        <v>0</v>
      </c>
      <c r="Z758" s="365">
        <f>IFERROR(X758*VLOOKUP(C758,'General price list'!C:I,7,FALSE),"")</f>
        <v>0</v>
      </c>
      <c r="AA758" s="365" t="str">
        <f>IF(X758&lt;&gt;"",VLOOKUP(C758,'General price list'!C760:AN1733,MATCH("HM",Tabulka1[[#Headers],[KOD]:[NEQ]],0),FALSE),"")</f>
        <v/>
      </c>
    </row>
    <row r="759" spans="1:27">
      <c r="A759">
        <f>COUNTIF($W$22:W759,1)</f>
        <v>0</v>
      </c>
      <c r="B759">
        <v>759</v>
      </c>
      <c r="C759" s="340">
        <f>Tabulka1[[#This Row],[KOD]]</f>
        <v>0</v>
      </c>
      <c r="W759" t="str">
        <f t="shared" si="12"/>
        <v/>
      </c>
      <c r="Y759" s="341">
        <f>IF('General price list'!$AB761="",0,'General price list'!$AB761)</f>
        <v>0</v>
      </c>
      <c r="Z759" s="365" t="str">
        <f>IFERROR(X759*VLOOKUP(C759,'General price list'!C:I,7,FALSE),"")</f>
        <v/>
      </c>
      <c r="AA759" s="365" t="str">
        <f>IF(X759&lt;&gt;"",VLOOKUP(C759,'General price list'!C761:AN1734,MATCH("HM",Tabulka1[[#Headers],[KOD]:[NEQ]],0),FALSE),"")</f>
        <v/>
      </c>
    </row>
    <row r="760" spans="1:27">
      <c r="A760">
        <f>COUNTIF($W$22:W760,1)</f>
        <v>0</v>
      </c>
      <c r="B760">
        <v>760</v>
      </c>
      <c r="C760" s="340" t="str">
        <f>Tabulka1[[#This Row],[KOD]]</f>
        <v>C100MPT</v>
      </c>
      <c r="W760" t="str">
        <f t="shared" si="12"/>
        <v/>
      </c>
      <c r="Y760" s="341">
        <f>IF('General price list'!$AB762="",0,'General price list'!$AB762)</f>
        <v>0</v>
      </c>
      <c r="Z760" s="365">
        <f>IFERROR(X760*VLOOKUP(C760,'General price list'!C:I,7,FALSE),"")</f>
        <v>0</v>
      </c>
      <c r="AA760" s="365" t="str">
        <f>IF(X760&lt;&gt;"",VLOOKUP(C760,'General price list'!C762:AN1735,MATCH("HM",Tabulka1[[#Headers],[KOD]:[NEQ]],0),FALSE),"")</f>
        <v/>
      </c>
    </row>
    <row r="761" spans="1:27">
      <c r="A761">
        <f>COUNTIF($W$22:W761,1)</f>
        <v>0</v>
      </c>
      <c r="B761">
        <v>761</v>
      </c>
      <c r="C761" s="340" t="str">
        <f>Tabulka1[[#This Row],[KOD]]</f>
        <v>C100MN</v>
      </c>
      <c r="W761" t="str">
        <f t="shared" si="12"/>
        <v/>
      </c>
      <c r="Y761" s="341">
        <f>IF('General price list'!$AB763="",0,'General price list'!$AB763)</f>
        <v>0</v>
      </c>
      <c r="Z761" s="365">
        <f>IFERROR(X761*VLOOKUP(C761,'General price list'!C:I,7,FALSE),"")</f>
        <v>0</v>
      </c>
      <c r="AA761" s="365" t="str">
        <f>IF(X761&lt;&gt;"",VLOOKUP(C761,'General price list'!C763:AN1736,MATCH("HM",Tabulka1[[#Headers],[KOD]:[NEQ]],0),FALSE),"")</f>
        <v/>
      </c>
    </row>
    <row r="762" spans="1:27">
      <c r="A762">
        <f>COUNTIF($W$22:W762,1)</f>
        <v>0</v>
      </c>
      <c r="B762">
        <v>762</v>
      </c>
      <c r="C762" s="340">
        <f>Tabulka1[[#This Row],[KOD]]</f>
        <v>0</v>
      </c>
      <c r="W762" t="str">
        <f t="shared" si="12"/>
        <v/>
      </c>
      <c r="Y762" s="341">
        <f>IF('General price list'!$AB764="",0,'General price list'!$AB764)</f>
        <v>0</v>
      </c>
      <c r="Z762" s="365" t="str">
        <f>IFERROR(X762*VLOOKUP(C762,'General price list'!C:I,7,FALSE),"")</f>
        <v/>
      </c>
      <c r="AA762" s="365" t="str">
        <f>IF(X762&lt;&gt;"",VLOOKUP(C762,'General price list'!C764:AN1737,MATCH("HM",Tabulka1[[#Headers],[KOD]:[NEQ]],0),FALSE),"")</f>
        <v/>
      </c>
    </row>
    <row r="763" spans="1:27">
      <c r="A763">
        <f>COUNTIF($W$22:W763,1)</f>
        <v>0</v>
      </c>
      <c r="B763">
        <v>763</v>
      </c>
      <c r="C763" s="340" t="str">
        <f>Tabulka1[[#This Row],[KOD]]</f>
        <v>C106MH</v>
      </c>
      <c r="W763" t="str">
        <f t="shared" si="12"/>
        <v/>
      </c>
      <c r="Y763" s="341">
        <f>IF('General price list'!$AB765="",0,'General price list'!$AB765)</f>
        <v>0</v>
      </c>
      <c r="Z763" s="365">
        <f>IFERROR(X763*VLOOKUP(C763,'General price list'!C:I,7,FALSE),"")</f>
        <v>0</v>
      </c>
      <c r="AA763" s="365" t="str">
        <f>IF(X763&lt;&gt;"",VLOOKUP(C763,'General price list'!C765:AN1738,MATCH("HM",Tabulka1[[#Headers],[KOD]:[NEQ]],0),FALSE),"")</f>
        <v/>
      </c>
    </row>
    <row r="764" spans="1:27">
      <c r="A764">
        <f>COUNTIF($W$22:W764,1)</f>
        <v>0</v>
      </c>
      <c r="B764">
        <v>764</v>
      </c>
      <c r="C764" s="340" t="str">
        <f>Tabulka1[[#This Row],[KOD]]</f>
        <v>C106MB</v>
      </c>
      <c r="W764" t="str">
        <f t="shared" si="12"/>
        <v/>
      </c>
      <c r="Y764" s="341">
        <f>IF('General price list'!$AB766="",0,'General price list'!$AB766)</f>
        <v>0</v>
      </c>
      <c r="Z764" s="365">
        <f>IFERROR(X764*VLOOKUP(C764,'General price list'!C:I,7,FALSE),"")</f>
        <v>0</v>
      </c>
      <c r="AA764" s="365" t="str">
        <f>IF(X764&lt;&gt;"",VLOOKUP(C764,'General price list'!C766:AN1739,MATCH("HM",Tabulka1[[#Headers],[KOD]:[NEQ]],0),FALSE),"")</f>
        <v/>
      </c>
    </row>
    <row r="765" spans="1:27">
      <c r="A765">
        <f>COUNTIF($W$22:W765,1)</f>
        <v>0</v>
      </c>
      <c r="B765">
        <v>765</v>
      </c>
      <c r="C765" s="340">
        <f>Tabulka1[[#This Row],[KOD]]</f>
        <v>0</v>
      </c>
      <c r="W765" t="str">
        <f t="shared" si="12"/>
        <v/>
      </c>
      <c r="Y765" s="341">
        <f>IF('General price list'!$AB767="",0,'General price list'!$AB767)</f>
        <v>0</v>
      </c>
      <c r="Z765" s="365" t="str">
        <f>IFERROR(X765*VLOOKUP(C765,'General price list'!C:I,7,FALSE),"")</f>
        <v/>
      </c>
      <c r="AA765" s="365" t="str">
        <f>IF(X765&lt;&gt;"",VLOOKUP(C765,'General price list'!C767:AN1740,MATCH("HM",Tabulka1[[#Headers],[KOD]:[NEQ]],0),FALSE),"")</f>
        <v/>
      </c>
    </row>
    <row r="766" spans="1:27">
      <c r="A766">
        <f>COUNTIF($W$22:W766,1)</f>
        <v>0</v>
      </c>
      <c r="B766">
        <v>766</v>
      </c>
      <c r="C766" s="340" t="str">
        <f>Tabulka1[[#This Row],[KOD]]</f>
        <v>C109MG</v>
      </c>
      <c r="W766" t="str">
        <f t="shared" si="12"/>
        <v/>
      </c>
      <c r="Y766" s="341">
        <f>IF('General price list'!$AB768="",0,'General price list'!$AB768)</f>
        <v>0</v>
      </c>
      <c r="Z766" s="365">
        <f>IFERROR(X766*VLOOKUP(C766,'General price list'!C:I,7,FALSE),"")</f>
        <v>0</v>
      </c>
      <c r="AA766" s="365" t="str">
        <f>IF(X766&lt;&gt;"",VLOOKUP(C766,'General price list'!C768:AN1741,MATCH("HM",Tabulka1[[#Headers],[KOD]:[NEQ]],0),FALSE),"")</f>
        <v/>
      </c>
    </row>
    <row r="767" spans="1:27">
      <c r="A767">
        <f>COUNTIF($W$22:W767,1)</f>
        <v>0</v>
      </c>
      <c r="B767">
        <v>767</v>
      </c>
      <c r="C767" s="340" t="str">
        <f>Tabulka1[[#This Row],[KOD]]</f>
        <v>C109MM</v>
      </c>
      <c r="W767" t="str">
        <f t="shared" si="12"/>
        <v/>
      </c>
      <c r="Y767" s="341">
        <f>IF('General price list'!$AB769="",0,'General price list'!$AB769)</f>
        <v>0</v>
      </c>
      <c r="Z767" s="365">
        <f>IFERROR(X767*VLOOKUP(C767,'General price list'!C:I,7,FALSE),"")</f>
        <v>0</v>
      </c>
      <c r="AA767" s="365" t="str">
        <f>IF(X767&lt;&gt;"",VLOOKUP(C767,'General price list'!C769:AN1742,MATCH("HM",Tabulka1[[#Headers],[KOD]:[NEQ]],0),FALSE),"")</f>
        <v/>
      </c>
    </row>
    <row r="768" spans="1:27">
      <c r="A768">
        <f>COUNTIF($W$22:W768,1)</f>
        <v>0</v>
      </c>
      <c r="B768">
        <v>768</v>
      </c>
      <c r="C768" s="340">
        <f>Tabulka1[[#This Row],[KOD]]</f>
        <v>0</v>
      </c>
      <c r="W768" t="str">
        <f t="shared" si="12"/>
        <v/>
      </c>
      <c r="Y768" s="341">
        <f>IF('General price list'!$AB770="",0,'General price list'!$AB770)</f>
        <v>0</v>
      </c>
      <c r="Z768" s="365" t="str">
        <f>IFERROR(X768*VLOOKUP(C768,'General price list'!C:I,7,FALSE),"")</f>
        <v/>
      </c>
      <c r="AA768" s="365" t="str">
        <f>IF(X768&lt;&gt;"",VLOOKUP(C768,'General price list'!C770:AN1743,MATCH("HM",Tabulka1[[#Headers],[KOD]:[NEQ]],0),FALSE),"")</f>
        <v/>
      </c>
    </row>
    <row r="769" spans="1:27">
      <c r="A769">
        <f>COUNTIF($W$22:W769,1)</f>
        <v>0</v>
      </c>
      <c r="B769">
        <v>769</v>
      </c>
      <c r="C769" s="340" t="str">
        <f>Tabulka1[[#This Row],[KOD]]</f>
        <v>C100MTS/C14</v>
      </c>
      <c r="W769" t="str">
        <f t="shared" si="12"/>
        <v/>
      </c>
      <c r="Y769" s="341">
        <f>IF('General price list'!$AB771="",0,'General price list'!$AB771)</f>
        <v>0</v>
      </c>
      <c r="Z769" s="365">
        <f>IFERROR(X769*VLOOKUP(C769,'General price list'!C:I,7,FALSE),"")</f>
        <v>0</v>
      </c>
      <c r="AA769" s="365" t="str">
        <f>IF(X769&lt;&gt;"",VLOOKUP(C769,'General price list'!C771:AN1744,MATCH("HM",Tabulka1[[#Headers],[KOD]:[NEQ]],0),FALSE),"")</f>
        <v/>
      </c>
    </row>
    <row r="770" spans="1:27">
      <c r="A770">
        <f>COUNTIF($W$22:W770,1)</f>
        <v>0</v>
      </c>
      <c r="B770">
        <v>770</v>
      </c>
      <c r="C770" s="340" t="str">
        <f>Tabulka1[[#This Row],[KOD]]</f>
        <v>C100MPT/C14</v>
      </c>
      <c r="W770" t="str">
        <f t="shared" si="12"/>
        <v/>
      </c>
      <c r="Y770" s="341">
        <f>IF('General price list'!$AB772="",0,'General price list'!$AB772)</f>
        <v>0</v>
      </c>
      <c r="Z770" s="365">
        <f>IFERROR(X770*VLOOKUP(C770,'General price list'!C:I,7,FALSE),"")</f>
        <v>0</v>
      </c>
      <c r="AA770" s="365" t="str">
        <f>IF(X770&lt;&gt;"",VLOOKUP(C770,'General price list'!C772:AN1745,MATCH("HM",Tabulka1[[#Headers],[KOD]:[NEQ]],0),FALSE),"")</f>
        <v/>
      </c>
    </row>
    <row r="771" spans="1:27">
      <c r="A771">
        <f>COUNTIF($W$22:W771,1)</f>
        <v>0</v>
      </c>
      <c r="B771">
        <v>771</v>
      </c>
      <c r="C771" s="340" t="str">
        <f>Tabulka1[[#This Row],[KOD]]</f>
        <v>C124MXM/C14</v>
      </c>
      <c r="W771" t="str">
        <f t="shared" si="12"/>
        <v/>
      </c>
      <c r="Y771" s="341">
        <f>IF('General price list'!$AB773="",0,'General price list'!$AB773)</f>
        <v>0</v>
      </c>
      <c r="Z771" s="365">
        <f>IFERROR(X771*VLOOKUP(C771,'General price list'!C:I,7,FALSE),"")</f>
        <v>0</v>
      </c>
      <c r="AA771" s="365" t="str">
        <f>IF(X771&lt;&gt;"",VLOOKUP(C771,'General price list'!C773:AN1746,MATCH("HM",Tabulka1[[#Headers],[KOD]:[NEQ]],0),FALSE),"")</f>
        <v/>
      </c>
    </row>
    <row r="772" spans="1:27">
      <c r="A772">
        <f>COUNTIF($W$22:W772,1)</f>
        <v>0</v>
      </c>
      <c r="B772">
        <v>772</v>
      </c>
      <c r="C772" s="340" t="str">
        <f>Tabulka1[[#This Row],[KOD]]</f>
        <v>C128MS/C14</v>
      </c>
      <c r="W772" t="str">
        <f t="shared" si="12"/>
        <v/>
      </c>
      <c r="Y772" s="341">
        <f>IF('General price list'!$AB774="",0,'General price list'!$AB774)</f>
        <v>0</v>
      </c>
      <c r="Z772" s="365">
        <f>IFERROR(X772*VLOOKUP(C772,'General price list'!C:I,7,FALSE),"")</f>
        <v>0</v>
      </c>
      <c r="AA772" s="365" t="str">
        <f>IF(X772&lt;&gt;"",VLOOKUP(C772,'General price list'!C774:AN1747,MATCH("HM",Tabulka1[[#Headers],[KOD]:[NEQ]],0),FALSE),"")</f>
        <v/>
      </c>
    </row>
    <row r="773" spans="1:27">
      <c r="A773">
        <f>COUNTIF($W$22:W773,1)</f>
        <v>0</v>
      </c>
      <c r="B773">
        <v>773</v>
      </c>
      <c r="C773" s="340" t="str">
        <f>Tabulka1[[#This Row],[KOD]]</f>
        <v>C136XMTS/C14</v>
      </c>
      <c r="W773" t="str">
        <f t="shared" si="12"/>
        <v/>
      </c>
      <c r="Y773" s="341">
        <f>IF('General price list'!$AB775="",0,'General price list'!$AB775)</f>
        <v>0</v>
      </c>
      <c r="Z773" s="365">
        <f>IFERROR(X773*VLOOKUP(C773,'General price list'!C:I,7,FALSE),"")</f>
        <v>0</v>
      </c>
      <c r="AA773" s="365" t="str">
        <f>IF(X773&lt;&gt;"",VLOOKUP(C773,'General price list'!C775:AN1748,MATCH("HM",Tabulka1[[#Headers],[KOD]:[NEQ]],0),FALSE),"")</f>
        <v/>
      </c>
    </row>
    <row r="774" spans="1:27">
      <c r="A774">
        <f>COUNTIF($W$22:W774,1)</f>
        <v>0</v>
      </c>
      <c r="B774">
        <v>774</v>
      </c>
      <c r="C774" s="340" t="str">
        <f>Tabulka1[[#This Row],[KOD]]</f>
        <v>C136XMK/C14</v>
      </c>
      <c r="W774" t="str">
        <f t="shared" si="12"/>
        <v/>
      </c>
      <c r="Y774" s="341">
        <f>IF('General price list'!$AB776="",0,'General price list'!$AB776)</f>
        <v>0</v>
      </c>
      <c r="Z774" s="365">
        <f>IFERROR(X774*VLOOKUP(C774,'General price list'!C:I,7,FALSE),"")</f>
        <v>0</v>
      </c>
      <c r="AA774" s="365" t="str">
        <f>IF(X774&lt;&gt;"",VLOOKUP(C774,'General price list'!C776:AN1749,MATCH("HM",Tabulka1[[#Headers],[KOD]:[NEQ]],0),FALSE),"")</f>
        <v/>
      </c>
    </row>
    <row r="775" spans="1:27">
      <c r="A775">
        <f>COUNTIF($W$22:W775,1)</f>
        <v>0</v>
      </c>
      <c r="B775">
        <v>775</v>
      </c>
      <c r="C775" s="340" t="str">
        <f>Tabulka1[[#This Row],[KOD]]</f>
        <v>C150MXH/C14</v>
      </c>
      <c r="W775" t="str">
        <f t="shared" si="12"/>
        <v/>
      </c>
      <c r="Y775" s="341">
        <f>IF('General price list'!$AB777="",0,'General price list'!$AB777)</f>
        <v>0</v>
      </c>
      <c r="Z775" s="365">
        <f>IFERROR(X775*VLOOKUP(C775,'General price list'!C:I,7,FALSE),"")</f>
        <v>0</v>
      </c>
      <c r="AA775" s="365" t="str">
        <f>IF(X775&lt;&gt;"",VLOOKUP(C775,'General price list'!C777:AN1750,MATCH("HM",Tabulka1[[#Headers],[KOD]:[NEQ]],0),FALSE),"")</f>
        <v/>
      </c>
    </row>
    <row r="776" spans="1:27">
      <c r="A776">
        <f>COUNTIF($W$22:W776,1)</f>
        <v>0</v>
      </c>
      <c r="B776">
        <v>776</v>
      </c>
      <c r="C776" s="340" t="str">
        <f>Tabulka1[[#This Row],[KOD]]</f>
        <v>C154MXB/C14</v>
      </c>
      <c r="W776" t="str">
        <f t="shared" si="12"/>
        <v/>
      </c>
      <c r="Y776" s="341">
        <f>IF('General price list'!$AB778="",0,'General price list'!$AB778)</f>
        <v>0</v>
      </c>
      <c r="Z776" s="365">
        <f>IFERROR(X776*VLOOKUP(C776,'General price list'!C:I,7,FALSE),"")</f>
        <v>0</v>
      </c>
      <c r="AA776" s="365" t="str">
        <f>IF(X776&lt;&gt;"",VLOOKUP(C776,'General price list'!C778:AN1751,MATCH("HM",Tabulka1[[#Headers],[KOD]:[NEQ]],0),FALSE),"")</f>
        <v/>
      </c>
    </row>
    <row r="777" spans="1:27">
      <c r="A777">
        <f>COUNTIF($W$22:W777,1)</f>
        <v>0</v>
      </c>
      <c r="B777">
        <v>777</v>
      </c>
      <c r="C777" s="340" t="str">
        <f>Tabulka1[[#This Row],[KOD]]</f>
        <v>C270MXM/C14</v>
      </c>
      <c r="W777" t="str">
        <f t="shared" si="12"/>
        <v/>
      </c>
      <c r="Y777" s="341">
        <f>IF('General price list'!$AB779="",0,'General price list'!$AB779)</f>
        <v>0</v>
      </c>
      <c r="Z777" s="365">
        <f>IFERROR(X777*VLOOKUP(C777,'General price list'!C:I,7,FALSE),"")</f>
        <v>0</v>
      </c>
      <c r="AA777" s="365" t="str">
        <f>IF(X777&lt;&gt;"",VLOOKUP(C777,'General price list'!C779:AN1752,MATCH("HM",Tabulka1[[#Headers],[KOD]:[NEQ]],0),FALSE),"")</f>
        <v/>
      </c>
    </row>
    <row r="778" spans="1:27">
      <c r="A778">
        <f>COUNTIF($W$22:W778,1)</f>
        <v>0</v>
      </c>
      <c r="B778">
        <v>778</v>
      </c>
      <c r="C778" s="340" t="str">
        <f>Tabulka1[[#This Row],[KOD]]</f>
        <v>C296MXH/C14</v>
      </c>
      <c r="W778" t="str">
        <f t="shared" si="12"/>
        <v/>
      </c>
      <c r="Y778" s="341">
        <f>IF('General price list'!$AB780="",0,'General price list'!$AB780)</f>
        <v>0</v>
      </c>
      <c r="Z778" s="365">
        <f>IFERROR(X778*VLOOKUP(C778,'General price list'!C:I,7,FALSE),"")</f>
        <v>0</v>
      </c>
      <c r="AA778" s="365" t="str">
        <f>IF(X778&lt;&gt;"",VLOOKUP(C778,'General price list'!C780:AN1753,MATCH("HM",Tabulka1[[#Headers],[KOD]:[NEQ]],0),FALSE),"")</f>
        <v/>
      </c>
    </row>
    <row r="779" spans="1:27">
      <c r="A779">
        <f>COUNTIF($W$22:W779,1)</f>
        <v>0</v>
      </c>
      <c r="B779">
        <v>779</v>
      </c>
      <c r="C779" s="340" t="str">
        <f>Tabulka1[[#This Row],[KOD]]</f>
        <v>C330MXR/C14</v>
      </c>
      <c r="W779" t="str">
        <f t="shared" si="12"/>
        <v/>
      </c>
      <c r="Y779" s="341">
        <f>IF('General price list'!$AB781="",0,'General price list'!$AB781)</f>
        <v>0</v>
      </c>
      <c r="Z779" s="365">
        <f>IFERROR(X779*VLOOKUP(C779,'General price list'!C:I,7,FALSE),"")</f>
        <v>0</v>
      </c>
      <c r="AA779" s="365" t="str">
        <f>IF(X779&lt;&gt;"",VLOOKUP(C779,'General price list'!C781:AN1754,MATCH("HM",Tabulka1[[#Headers],[KOD]:[NEQ]],0),FALSE),"")</f>
        <v/>
      </c>
    </row>
    <row r="780" spans="1:27">
      <c r="A780">
        <f>COUNTIF($W$22:W780,1)</f>
        <v>0</v>
      </c>
      <c r="B780">
        <v>780</v>
      </c>
      <c r="C780" s="340">
        <f>Tabulka1[[#This Row],[KOD]]</f>
        <v>0</v>
      </c>
      <c r="W780" t="str">
        <f t="shared" si="12"/>
        <v/>
      </c>
      <c r="Y780" s="341">
        <f>IF('General price list'!$AB782="",0,'General price list'!$AB782)</f>
        <v>0</v>
      </c>
      <c r="Z780" s="365" t="str">
        <f>IFERROR(X780*VLOOKUP(C780,'General price list'!C:I,7,FALSE),"")</f>
        <v/>
      </c>
      <c r="AA780" s="365" t="str">
        <f>IF(X780&lt;&gt;"",VLOOKUP(C780,'General price list'!C782:AN1755,MATCH("HM",Tabulka1[[#Headers],[KOD]:[NEQ]],0),FALSE),"")</f>
        <v/>
      </c>
    </row>
    <row r="781" spans="1:27">
      <c r="A781">
        <f>COUNTIF($W$22:W781,1)</f>
        <v>0</v>
      </c>
      <c r="B781">
        <v>781</v>
      </c>
      <c r="C781" s="340" t="str">
        <f>Tabulka1[[#This Row],[KOD]]</f>
        <v>C150MF/C14</v>
      </c>
      <c r="W781" t="str">
        <f t="shared" si="12"/>
        <v/>
      </c>
      <c r="Y781" s="341">
        <f>IF('General price list'!$AB783="",0,'General price list'!$AB783)</f>
        <v>0</v>
      </c>
      <c r="Z781" s="365">
        <f>IFERROR(X781*VLOOKUP(C781,'General price list'!C:I,7,FALSE),"")</f>
        <v>0</v>
      </c>
      <c r="AA781" s="365" t="str">
        <f>IF(X781&lt;&gt;"",VLOOKUP(C781,'General price list'!C783:AN1756,MATCH("HM",Tabulka1[[#Headers],[KOD]:[NEQ]],0),FALSE),"")</f>
        <v/>
      </c>
    </row>
    <row r="782" spans="1:27">
      <c r="A782">
        <f>COUNTIF($W$22:W782,1)</f>
        <v>0</v>
      </c>
      <c r="B782">
        <v>782</v>
      </c>
      <c r="C782" s="340" t="str">
        <f>Tabulka1[[#This Row],[KOD]]</f>
        <v>C200MF/C14</v>
      </c>
      <c r="W782" t="str">
        <f t="shared" si="12"/>
        <v/>
      </c>
      <c r="Y782" s="341">
        <f>IF('General price list'!$AB784="",0,'General price list'!$AB784)</f>
        <v>0</v>
      </c>
      <c r="Z782" s="365">
        <f>IFERROR(X782*VLOOKUP(C782,'General price list'!C:I,7,FALSE),"")</f>
        <v>0</v>
      </c>
      <c r="AA782" s="365" t="str">
        <f>IF(X782&lt;&gt;"",VLOOKUP(C782,'General price list'!C784:AN1757,MATCH("HM",Tabulka1[[#Headers],[KOD]:[NEQ]],0),FALSE),"")</f>
        <v/>
      </c>
    </row>
    <row r="783" spans="1:27">
      <c r="A783">
        <f>COUNTIF($W$22:W783,1)</f>
        <v>0</v>
      </c>
      <c r="B783">
        <v>783</v>
      </c>
      <c r="C783" s="340" t="str">
        <f>Tabulka1[[#This Row],[KOD]]</f>
        <v>C204XMPT/C14</v>
      </c>
      <c r="W783" t="str">
        <f t="shared" si="12"/>
        <v/>
      </c>
      <c r="Y783" s="341">
        <f>IF('General price list'!$AB785="",0,'General price list'!$AB785)</f>
        <v>0</v>
      </c>
      <c r="Z783" s="365">
        <f>IFERROR(X783*VLOOKUP(C783,'General price list'!C:I,7,FALSE),"")</f>
        <v>0</v>
      </c>
      <c r="AA783" s="365" t="str">
        <f>IF(X783&lt;&gt;"",VLOOKUP(C783,'General price list'!C785:AN1758,MATCH("HM",Tabulka1[[#Headers],[KOD]:[NEQ]],0),FALSE),"")</f>
        <v/>
      </c>
    </row>
    <row r="784" spans="1:27">
      <c r="A784">
        <f>COUNTIF($W$22:W784,1)</f>
        <v>0</v>
      </c>
      <c r="B784">
        <v>784</v>
      </c>
      <c r="C784" s="340" t="str">
        <f>Tabulka1[[#This Row],[KOD]]</f>
        <v>C216XMFS/C14</v>
      </c>
      <c r="W784" t="str">
        <f t="shared" si="12"/>
        <v/>
      </c>
      <c r="Y784" s="341">
        <f>IF('General price list'!$AB786="",0,'General price list'!$AB786)</f>
        <v>0</v>
      </c>
      <c r="Z784" s="365">
        <f>IFERROR(X784*VLOOKUP(C784,'General price list'!C:I,7,FALSE),"")</f>
        <v>0</v>
      </c>
      <c r="AA784" s="365" t="str">
        <f>IF(X784&lt;&gt;"",VLOOKUP(C784,'General price list'!C786:AN1759,MATCH("HM",Tabulka1[[#Headers],[KOD]:[NEQ]],0),FALSE),"")</f>
        <v/>
      </c>
    </row>
    <row r="785" spans="1:27">
      <c r="A785">
        <f>COUNTIF($W$22:W785,1)</f>
        <v>0</v>
      </c>
      <c r="B785">
        <v>785</v>
      </c>
      <c r="C785" s="340" t="str">
        <f>Tabulka1[[#This Row],[KOD]]</f>
        <v>C223XMK/C14</v>
      </c>
      <c r="W785" t="str">
        <f t="shared" si="12"/>
        <v/>
      </c>
      <c r="Y785" s="341">
        <f>IF('General price list'!$AB787="",0,'General price list'!$AB787)</f>
        <v>0</v>
      </c>
      <c r="Z785" s="365">
        <f>IFERROR(X785*VLOOKUP(C785,'General price list'!C:I,7,FALSE),"")</f>
        <v>0</v>
      </c>
      <c r="AA785" s="365" t="str">
        <f>IF(X785&lt;&gt;"",VLOOKUP(C785,'General price list'!C787:AN1760,MATCH("HM",Tabulka1[[#Headers],[KOD]:[NEQ]],0),FALSE),"")</f>
        <v/>
      </c>
    </row>
    <row r="786" spans="1:27">
      <c r="A786">
        <f>COUNTIF($W$22:W786,1)</f>
        <v>0</v>
      </c>
      <c r="B786">
        <v>786</v>
      </c>
      <c r="C786" s="340" t="str">
        <f>Tabulka1[[#This Row],[KOD]]</f>
        <v>C510MXU/C14</v>
      </c>
      <c r="W786" t="str">
        <f t="shared" si="12"/>
        <v/>
      </c>
      <c r="Y786" s="341">
        <f>IF('General price list'!$AB788="",0,'General price list'!$AB788)</f>
        <v>0</v>
      </c>
      <c r="Z786" s="365">
        <f>IFERROR(X786*VLOOKUP(C786,'General price list'!C:I,7,FALSE),"")</f>
        <v>0</v>
      </c>
      <c r="AA786" s="365" t="str">
        <f>IF(X786&lt;&gt;"",VLOOKUP(C786,'General price list'!C788:AN1761,MATCH("HM",Tabulka1[[#Headers],[KOD]:[NEQ]],0),FALSE),"")</f>
        <v/>
      </c>
    </row>
    <row r="787" spans="1:27">
      <c r="A787">
        <f>COUNTIF($W$22:W787,1)</f>
        <v>0</v>
      </c>
      <c r="B787">
        <v>787</v>
      </c>
      <c r="C787" s="340">
        <f>Tabulka1[[#This Row],[KOD]]</f>
        <v>0</v>
      </c>
      <c r="W787" t="str">
        <f t="shared" si="12"/>
        <v/>
      </c>
      <c r="Y787" s="341">
        <f>IF('General price list'!$AB789="",0,'General price list'!$AB789)</f>
        <v>0</v>
      </c>
      <c r="Z787" s="365" t="str">
        <f>IFERROR(X787*VLOOKUP(C787,'General price list'!C:I,7,FALSE),"")</f>
        <v/>
      </c>
      <c r="AA787" s="365" t="str">
        <f>IF(X787&lt;&gt;"",VLOOKUP(C787,'General price list'!C789:AN1762,MATCH("HM",Tabulka1[[#Headers],[KOD]:[NEQ]],0),FALSE),"")</f>
        <v/>
      </c>
    </row>
    <row r="788" spans="1:27">
      <c r="A788">
        <f>COUNTIF($W$22:W788,1)</f>
        <v>0</v>
      </c>
      <c r="B788">
        <v>788</v>
      </c>
      <c r="C788" s="340" t="str">
        <f>Tabulka1[[#This Row],[KOD]]</f>
        <v>C132XMPT/C</v>
      </c>
      <c r="W788" t="str">
        <f t="shared" si="12"/>
        <v/>
      </c>
      <c r="Y788" s="341">
        <f>IF('General price list'!$AB790="",0,'General price list'!$AB790)</f>
        <v>0</v>
      </c>
      <c r="Z788" s="365">
        <f>IFERROR(X788*VLOOKUP(C788,'General price list'!C:I,7,FALSE),"")</f>
        <v>0</v>
      </c>
      <c r="AA788" s="365" t="str">
        <f>IF(X788&lt;&gt;"",VLOOKUP(C788,'General price list'!C790:AN1763,MATCH("HM",Tabulka1[[#Headers],[KOD]:[NEQ]],0),FALSE),"")</f>
        <v/>
      </c>
    </row>
    <row r="789" spans="1:27">
      <c r="A789">
        <f>COUNTIF($W$22:W789,1)</f>
        <v>0</v>
      </c>
      <c r="B789">
        <v>789</v>
      </c>
      <c r="C789" s="340" t="str">
        <f>Tabulka1[[#This Row],[KOD]]</f>
        <v>C150MPT/C</v>
      </c>
      <c r="W789" t="str">
        <f t="shared" si="12"/>
        <v/>
      </c>
      <c r="Y789" s="341">
        <f>IF('General price list'!$AB791="",0,'General price list'!$AB791)</f>
        <v>0</v>
      </c>
      <c r="Z789" s="365">
        <f>IFERROR(X789*VLOOKUP(C789,'General price list'!C:I,7,FALSE),"")</f>
        <v>0</v>
      </c>
      <c r="AA789" s="365" t="str">
        <f>IF(X789&lt;&gt;"",VLOOKUP(C789,'General price list'!C791:AN1764,MATCH("HM",Tabulka1[[#Headers],[KOD]:[NEQ]],0),FALSE),"")</f>
        <v/>
      </c>
    </row>
    <row r="790" spans="1:27">
      <c r="A790">
        <f>COUNTIF($W$22:W790,1)</f>
        <v>0</v>
      </c>
      <c r="B790">
        <v>790</v>
      </c>
      <c r="C790" s="340" t="str">
        <f>Tabulka1[[#This Row],[KOD]]</f>
        <v>C150MF/C</v>
      </c>
      <c r="W790" t="str">
        <f t="shared" si="12"/>
        <v/>
      </c>
      <c r="Y790" s="341">
        <f>IF('General price list'!$AB792="",0,'General price list'!$AB792)</f>
        <v>0</v>
      </c>
      <c r="Z790" s="365">
        <f>IFERROR(X790*VLOOKUP(C790,'General price list'!C:I,7,FALSE),"")</f>
        <v>0</v>
      </c>
      <c r="AA790" s="365" t="str">
        <f>IF(X790&lt;&gt;"",VLOOKUP(C790,'General price list'!C792:AN1765,MATCH("HM",Tabulka1[[#Headers],[KOD]:[NEQ]],0),FALSE),"")</f>
        <v/>
      </c>
    </row>
    <row r="791" spans="1:27">
      <c r="A791">
        <f>COUNTIF($W$22:W791,1)</f>
        <v>0</v>
      </c>
      <c r="B791">
        <v>791</v>
      </c>
      <c r="C791" s="340" t="str">
        <f>Tabulka1[[#This Row],[KOD]]</f>
        <v>C200MF/C</v>
      </c>
      <c r="W791" t="str">
        <f t="shared" si="12"/>
        <v/>
      </c>
      <c r="Y791" s="341">
        <f>IF('General price list'!$AB793="",0,'General price list'!$AB793)</f>
        <v>0</v>
      </c>
      <c r="Z791" s="365">
        <f>IFERROR(X791*VLOOKUP(C791,'General price list'!C:I,7,FALSE),"")</f>
        <v>0</v>
      </c>
      <c r="AA791" s="365" t="str">
        <f>IF(X791&lt;&gt;"",VLOOKUP(C791,'General price list'!C793:AN1766,MATCH("HM",Tabulka1[[#Headers],[KOD]:[NEQ]],0),FALSE),"")</f>
        <v/>
      </c>
    </row>
    <row r="792" spans="1:27">
      <c r="A792">
        <f>COUNTIF($W$22:W792,1)</f>
        <v>0</v>
      </c>
      <c r="B792">
        <v>792</v>
      </c>
      <c r="C792" s="340" t="str">
        <f>Tabulka1[[#This Row],[KOD]]</f>
        <v>C204XMPT/C</v>
      </c>
      <c r="W792" t="str">
        <f t="shared" ref="W792:W855" si="13">IF(Y792+1=1,"",1)</f>
        <v/>
      </c>
      <c r="Y792" s="341">
        <f>IF('General price list'!$AB794="",0,'General price list'!$AB794)</f>
        <v>0</v>
      </c>
      <c r="Z792" s="365">
        <f>IFERROR(X792*VLOOKUP(C792,'General price list'!C:I,7,FALSE),"")</f>
        <v>0</v>
      </c>
      <c r="AA792" s="365" t="str">
        <f>IF(X792&lt;&gt;"",VLOOKUP(C792,'General price list'!C794:AN1767,MATCH("HM",Tabulka1[[#Headers],[KOD]:[NEQ]],0),FALSE),"")</f>
        <v/>
      </c>
    </row>
    <row r="793" spans="1:27">
      <c r="A793">
        <f>COUNTIF($W$22:W793,1)</f>
        <v>0</v>
      </c>
      <c r="B793">
        <v>793</v>
      </c>
      <c r="C793" s="340" t="str">
        <f>Tabulka1[[#This Row],[KOD]]</f>
        <v>C216XMFS/C</v>
      </c>
      <c r="W793" t="str">
        <f t="shared" si="13"/>
        <v/>
      </c>
      <c r="Y793" s="341">
        <f>IF('General price list'!$AB795="",0,'General price list'!$AB795)</f>
        <v>0</v>
      </c>
      <c r="Z793" s="365">
        <f>IFERROR(X793*VLOOKUP(C793,'General price list'!C:I,7,FALSE),"")</f>
        <v>0</v>
      </c>
      <c r="AA793" s="365" t="str">
        <f>IF(X793&lt;&gt;"",VLOOKUP(C793,'General price list'!C795:AN1768,MATCH("HM",Tabulka1[[#Headers],[KOD]:[NEQ]],0),FALSE),"")</f>
        <v/>
      </c>
    </row>
    <row r="794" spans="1:27">
      <c r="A794">
        <f>COUNTIF($W$22:W794,1)</f>
        <v>0</v>
      </c>
      <c r="B794">
        <v>794</v>
      </c>
      <c r="C794" s="340" t="str">
        <f>Tabulka1[[#This Row],[KOD]]</f>
        <v>C223XMK/C</v>
      </c>
      <c r="W794" t="str">
        <f t="shared" si="13"/>
        <v/>
      </c>
      <c r="Y794" s="341">
        <f>IF('General price list'!$AB796="",0,'General price list'!$AB796)</f>
        <v>0</v>
      </c>
      <c r="Z794" s="365">
        <f>IFERROR(X794*VLOOKUP(C794,'General price list'!C:I,7,FALSE),"")</f>
        <v>0</v>
      </c>
      <c r="AA794" s="365" t="str">
        <f>IF(X794&lt;&gt;"",VLOOKUP(C794,'General price list'!C796:AN1769,MATCH("HM",Tabulka1[[#Headers],[KOD]:[NEQ]],0),FALSE),"")</f>
        <v/>
      </c>
    </row>
    <row r="795" spans="1:27">
      <c r="A795">
        <f>COUNTIF($W$22:W795,1)</f>
        <v>0</v>
      </c>
      <c r="B795">
        <v>795</v>
      </c>
      <c r="C795" s="340" t="str">
        <f>Tabulka1[[#This Row],[KOD]]</f>
        <v>C248MXY/C</v>
      </c>
      <c r="W795" t="str">
        <f t="shared" si="13"/>
        <v/>
      </c>
      <c r="Y795" s="341">
        <f>IF('General price list'!$AB797="",0,'General price list'!$AB797)</f>
        <v>0</v>
      </c>
      <c r="Z795" s="365">
        <f>IFERROR(X795*VLOOKUP(C795,'General price list'!C:I,7,FALSE),"")</f>
        <v>0</v>
      </c>
      <c r="AA795" s="365" t="str">
        <f>IF(X795&lt;&gt;"",VLOOKUP(C795,'General price list'!C797:AN1770,MATCH("HM",Tabulka1[[#Headers],[KOD]:[NEQ]],0),FALSE),"")</f>
        <v/>
      </c>
    </row>
    <row r="796" spans="1:27">
      <c r="A796">
        <f>COUNTIF($W$22:W796,1)</f>
        <v>0</v>
      </c>
      <c r="B796">
        <v>796</v>
      </c>
      <c r="C796" s="340" t="str">
        <f>Tabulka1[[#This Row],[KOD]]</f>
        <v>C252MXB/C</v>
      </c>
      <c r="W796" t="str">
        <f t="shared" si="13"/>
        <v/>
      </c>
      <c r="Y796" s="341">
        <f>IF('General price list'!$AB798="",0,'General price list'!$AB798)</f>
        <v>0</v>
      </c>
      <c r="Z796" s="365">
        <f>IFERROR(X796*VLOOKUP(C796,'General price list'!C:I,7,FALSE),"")</f>
        <v>0</v>
      </c>
      <c r="AA796" s="365" t="str">
        <f>IF(X796&lt;&gt;"",VLOOKUP(C796,'General price list'!C798:AN1771,MATCH("HM",Tabulka1[[#Headers],[KOD]:[NEQ]],0),FALSE),"")</f>
        <v/>
      </c>
    </row>
    <row r="797" spans="1:27">
      <c r="A797">
        <f>COUNTIF($W$22:W797,1)</f>
        <v>0</v>
      </c>
      <c r="B797">
        <v>797</v>
      </c>
      <c r="C797" s="340" t="str">
        <f>Tabulka1[[#This Row],[KOD]]</f>
        <v>C316MXF/C</v>
      </c>
      <c r="W797" t="str">
        <f t="shared" si="13"/>
        <v/>
      </c>
      <c r="Y797" s="341">
        <f>IF('General price list'!$AB799="",0,'General price list'!$AB799)</f>
        <v>0</v>
      </c>
      <c r="Z797" s="365">
        <f>IFERROR(X797*VLOOKUP(C797,'General price list'!C:I,7,FALSE),"")</f>
        <v>0</v>
      </c>
      <c r="AA797" s="365" t="str">
        <f>IF(X797&lt;&gt;"",VLOOKUP(C797,'General price list'!C799:AN1772,MATCH("HM",Tabulka1[[#Headers],[KOD]:[NEQ]],0),FALSE),"")</f>
        <v/>
      </c>
    </row>
    <row r="798" spans="1:27">
      <c r="A798">
        <f>COUNTIF($W$22:W798,1)</f>
        <v>0</v>
      </c>
      <c r="B798">
        <v>798</v>
      </c>
      <c r="C798" s="340" t="str">
        <f>Tabulka1[[#This Row],[KOD]]</f>
        <v>C342MXG/C</v>
      </c>
      <c r="W798" t="str">
        <f t="shared" si="13"/>
        <v/>
      </c>
      <c r="Y798" s="341">
        <f>IF('General price list'!$AB800="",0,'General price list'!$AB800)</f>
        <v>0</v>
      </c>
      <c r="Z798" s="365">
        <f>IFERROR(X798*VLOOKUP(C798,'General price list'!C:I,7,FALSE),"")</f>
        <v>0</v>
      </c>
      <c r="AA798" s="365" t="str">
        <f>IF(X798&lt;&gt;"",VLOOKUP(C798,'General price list'!C800:AN1773,MATCH("HM",Tabulka1[[#Headers],[KOD]:[NEQ]],0),FALSE),"")</f>
        <v/>
      </c>
    </row>
    <row r="799" spans="1:27">
      <c r="A799">
        <f>COUNTIF($W$22:W799,1)</f>
        <v>0</v>
      </c>
      <c r="B799">
        <v>799</v>
      </c>
      <c r="C799" s="340" t="str">
        <f>Tabulka1[[#This Row],[KOD]]</f>
        <v>C500MXB/C</v>
      </c>
      <c r="W799" t="str">
        <f t="shared" si="13"/>
        <v/>
      </c>
      <c r="Y799" s="341">
        <f>IF('General price list'!$AB801="",0,'General price list'!$AB801)</f>
        <v>0</v>
      </c>
      <c r="Z799" s="365">
        <f>IFERROR(X799*VLOOKUP(C799,'General price list'!C:I,7,FALSE),"")</f>
        <v>0</v>
      </c>
      <c r="AA799" s="365" t="str">
        <f>IF(X799&lt;&gt;"",VLOOKUP(C799,'General price list'!C801:AN1774,MATCH("HM",Tabulka1[[#Headers],[KOD]:[NEQ]],0),FALSE),"")</f>
        <v/>
      </c>
    </row>
    <row r="800" spans="1:27">
      <c r="A800">
        <f>COUNTIF($W$22:W800,1)</f>
        <v>0</v>
      </c>
      <c r="B800">
        <v>800</v>
      </c>
      <c r="C800" s="340">
        <f>Tabulka1[[#This Row],[KOD]]</f>
        <v>0</v>
      </c>
      <c r="W800" t="str">
        <f t="shared" si="13"/>
        <v/>
      </c>
      <c r="Y800" s="341">
        <f>IF('General price list'!$AB802="",0,'General price list'!$AB802)</f>
        <v>0</v>
      </c>
      <c r="Z800" s="365" t="str">
        <f>IFERROR(X800*VLOOKUP(C800,'General price list'!C:I,7,FALSE),"")</f>
        <v/>
      </c>
      <c r="AA800" s="365" t="str">
        <f>IF(X800&lt;&gt;"",VLOOKUP(C800,'General price list'!C802:AN1775,MATCH("HM",Tabulka1[[#Headers],[KOD]:[NEQ]],0),FALSE),"")</f>
        <v/>
      </c>
    </row>
    <row r="801" spans="1:27">
      <c r="A801">
        <f>COUNTIF($W$22:W801,1)</f>
        <v>0</v>
      </c>
      <c r="B801">
        <v>801</v>
      </c>
      <c r="C801" s="340" t="str">
        <f>Tabulka1[[#This Row],[KOD]]</f>
        <v>C1-C2 C425MXM/C14</v>
      </c>
      <c r="W801" t="str">
        <f t="shared" si="13"/>
        <v/>
      </c>
      <c r="Y801" s="341">
        <f>IF('General price list'!$AB803="",0,'General price list'!$AB803)</f>
        <v>0</v>
      </c>
      <c r="Z801" s="365">
        <f>IFERROR(X801*VLOOKUP(C801,'General price list'!C:I,7,FALSE),"")</f>
        <v>0</v>
      </c>
      <c r="AA801" s="365" t="str">
        <f>IF(X801&lt;&gt;"",VLOOKUP(C801,'General price list'!C803:AN1776,MATCH("HM",Tabulka1[[#Headers],[KOD]:[NEQ]],0),FALSE),"")</f>
        <v/>
      </c>
    </row>
    <row r="802" spans="1:27">
      <c r="A802">
        <f>COUNTIF($W$22:W802,1)</f>
        <v>0</v>
      </c>
      <c r="B802">
        <v>802</v>
      </c>
      <c r="C802" s="340" t="str">
        <f>Tabulka1[[#This Row],[KOD]]</f>
        <v>C3-C4 C234MXD/C14</v>
      </c>
      <c r="W802" t="str">
        <f t="shared" si="13"/>
        <v/>
      </c>
      <c r="Y802" s="341">
        <f>IF('General price list'!$AB804="",0,'General price list'!$AB804)</f>
        <v>0</v>
      </c>
      <c r="Z802" s="365">
        <f>IFERROR(X802*VLOOKUP(C802,'General price list'!C:I,7,FALSE),"")</f>
        <v>0</v>
      </c>
      <c r="AA802" s="365" t="str">
        <f>IF(X802&lt;&gt;"",VLOOKUP(C802,'General price list'!C804:AN1777,MATCH("HM",Tabulka1[[#Headers],[KOD]:[NEQ]],0),FALSE),"")</f>
        <v/>
      </c>
    </row>
    <row r="803" spans="1:27">
      <c r="A803">
        <f>COUNTIF($W$22:W803,1)</f>
        <v>0</v>
      </c>
      <c r="B803">
        <v>803</v>
      </c>
      <c r="C803" s="340" t="str">
        <f>Tabulka1[[#This Row],[KOD]]</f>
        <v>C5-C6 C303MXN/C14</v>
      </c>
      <c r="W803" t="str">
        <f t="shared" si="13"/>
        <v/>
      </c>
      <c r="Y803" s="341">
        <f>IF('General price list'!$AB805="",0,'General price list'!$AB805)</f>
        <v>0</v>
      </c>
      <c r="Z803" s="365">
        <f>IFERROR(X803*VLOOKUP(C803,'General price list'!C:I,7,FALSE),"")</f>
        <v>0</v>
      </c>
      <c r="AA803" s="365" t="str">
        <f>IF(X803&lt;&gt;"",VLOOKUP(C803,'General price list'!C805:AN1778,MATCH("HM",Tabulka1[[#Headers],[KOD]:[NEQ]],0),FALSE),"")</f>
        <v/>
      </c>
    </row>
    <row r="804" spans="1:27">
      <c r="A804">
        <f>COUNTIF($W$22:W804,1)</f>
        <v>0</v>
      </c>
      <c r="B804">
        <v>804</v>
      </c>
      <c r="C804" s="340" t="str">
        <f>Tabulka1[[#This Row],[KOD]]</f>
        <v>C1-C2 C632MXN/C14</v>
      </c>
      <c r="W804" t="str">
        <f t="shared" si="13"/>
        <v/>
      </c>
      <c r="Y804" s="341">
        <f>IF('General price list'!$AB806="",0,'General price list'!$AB806)</f>
        <v>0</v>
      </c>
      <c r="Z804" s="365">
        <f>IFERROR(X804*VLOOKUP(C804,'General price list'!C:I,7,FALSE),"")</f>
        <v>0</v>
      </c>
      <c r="AA804" s="365" t="str">
        <f>IF(X804&lt;&gt;"",VLOOKUP(C804,'General price list'!C806:AN1779,MATCH("HM",Tabulka1[[#Headers],[KOD]:[NEQ]],0),FALSE),"")</f>
        <v/>
      </c>
    </row>
    <row r="805" spans="1:27">
      <c r="A805">
        <f>COUNTIF($W$22:W805,1)</f>
        <v>0</v>
      </c>
      <c r="B805">
        <v>805</v>
      </c>
      <c r="C805" s="340">
        <f>Tabulka1[[#This Row],[KOD]]</f>
        <v>0</v>
      </c>
      <c r="W805" t="str">
        <f t="shared" si="13"/>
        <v/>
      </c>
      <c r="Y805" s="341">
        <f>IF('General price list'!$AB807="",0,'General price list'!$AB807)</f>
        <v>0</v>
      </c>
      <c r="Z805" s="365" t="str">
        <f>IFERROR(X805*VLOOKUP(C805,'General price list'!C:I,7,FALSE),"")</f>
        <v/>
      </c>
      <c r="AA805" s="365" t="str">
        <f>IF(X805&lt;&gt;"",VLOOKUP(C805,'General price list'!C807:AN1780,MATCH("HM",Tabulka1[[#Headers],[KOD]:[NEQ]],0),FALSE),"")</f>
        <v/>
      </c>
    </row>
    <row r="806" spans="1:27">
      <c r="A806">
        <f>COUNTIF($W$22:W806,1)</f>
        <v>0</v>
      </c>
      <c r="B806">
        <v>806</v>
      </c>
      <c r="C806" s="340" t="str">
        <f>Tabulka1[[#This Row],[KOD]]</f>
        <v>C212MF/C</v>
      </c>
      <c r="W806" t="str">
        <f t="shared" si="13"/>
        <v/>
      </c>
      <c r="Y806" s="341">
        <f>IF('General price list'!$AB808="",0,'General price list'!$AB808)</f>
        <v>0</v>
      </c>
      <c r="Z806" s="365">
        <f>IFERROR(X806*VLOOKUP(C806,'General price list'!C:I,7,FALSE),"")</f>
        <v>0</v>
      </c>
      <c r="AA806" s="365" t="str">
        <f>IF(X806&lt;&gt;"",VLOOKUP(C806,'General price list'!C808:AN1781,MATCH("HM",Tabulka1[[#Headers],[KOD]:[NEQ]],0),FALSE),"")</f>
        <v/>
      </c>
    </row>
    <row r="807" spans="1:27">
      <c r="A807">
        <f>COUNTIF($W$22:W807,1)</f>
        <v>0</v>
      </c>
      <c r="B807">
        <v>807</v>
      </c>
      <c r="C807" s="340" t="str">
        <f>Tabulka1[[#This Row],[KOD]]</f>
        <v>C219XMPT/C</v>
      </c>
      <c r="W807" t="str">
        <f t="shared" si="13"/>
        <v/>
      </c>
      <c r="Y807" s="341">
        <f>IF('General price list'!$AB809="",0,'General price list'!$AB809)</f>
        <v>0</v>
      </c>
      <c r="Z807" s="365">
        <f>IFERROR(X807*VLOOKUP(C807,'General price list'!C:I,7,FALSE),"")</f>
        <v>0</v>
      </c>
      <c r="AA807" s="365" t="str">
        <f>IF(X807&lt;&gt;"",VLOOKUP(C807,'General price list'!C809:AN1782,MATCH("HM",Tabulka1[[#Headers],[KOD]:[NEQ]],0),FALSE),"")</f>
        <v/>
      </c>
    </row>
    <row r="808" spans="1:27">
      <c r="A808">
        <f>COUNTIF($W$22:W808,1)</f>
        <v>0</v>
      </c>
      <c r="B808">
        <v>808</v>
      </c>
      <c r="C808" s="340" t="str">
        <f>Tabulka1[[#This Row],[KOD]]</f>
        <v>C253XMPT/C</v>
      </c>
      <c r="W808" t="str">
        <f t="shared" si="13"/>
        <v/>
      </c>
      <c r="Y808" s="341">
        <f>IF('General price list'!$AB810="",0,'General price list'!$AB810)</f>
        <v>0</v>
      </c>
      <c r="Z808" s="365">
        <f>IFERROR(X808*VLOOKUP(C808,'General price list'!C:I,7,FALSE),"")</f>
        <v>0</v>
      </c>
      <c r="AA808" s="365" t="str">
        <f>IF(X808&lt;&gt;"",VLOOKUP(C808,'General price list'!C810:AN1783,MATCH("HM",Tabulka1[[#Headers],[KOD]:[NEQ]],0),FALSE),"")</f>
        <v/>
      </c>
    </row>
    <row r="809" spans="1:27">
      <c r="A809">
        <f>COUNTIF($W$22:W809,1)</f>
        <v>0</v>
      </c>
      <c r="B809">
        <v>809</v>
      </c>
      <c r="C809" s="340" t="str">
        <f>Tabulka1[[#This Row],[KOD]]</f>
        <v>C379XMK/C</v>
      </c>
      <c r="W809" t="str">
        <f t="shared" si="13"/>
        <v/>
      </c>
      <c r="Y809" s="341">
        <f>IF('General price list'!$AB811="",0,'General price list'!$AB811)</f>
        <v>0</v>
      </c>
      <c r="Z809" s="365">
        <f>IFERROR(X809*VLOOKUP(C809,'General price list'!C:I,7,FALSE),"")</f>
        <v>0</v>
      </c>
      <c r="AA809" s="365" t="str">
        <f>IF(X809&lt;&gt;"",VLOOKUP(C809,'General price list'!C811:AN1784,MATCH("HM",Tabulka1[[#Headers],[KOD]:[NEQ]],0),FALSE),"")</f>
        <v/>
      </c>
    </row>
    <row r="810" spans="1:27">
      <c r="A810">
        <f>COUNTIF($W$22:W810,1)</f>
        <v>0</v>
      </c>
      <c r="B810">
        <v>810</v>
      </c>
      <c r="C810" s="340">
        <f>Tabulka1[[#This Row],[KOD]]</f>
        <v>0</v>
      </c>
      <c r="W810" t="str">
        <f t="shared" si="13"/>
        <v/>
      </c>
      <c r="Y810" s="341">
        <f>IF('General price list'!$AB812="",0,'General price list'!$AB812)</f>
        <v>0</v>
      </c>
      <c r="Z810" s="365" t="str">
        <f>IFERROR(X810*VLOOKUP(C810,'General price list'!C:I,7,FALSE),"")</f>
        <v/>
      </c>
      <c r="AA810" s="365" t="str">
        <f>IF(X810&lt;&gt;"",VLOOKUP(C810,'General price list'!C812:AN1785,MATCH("HM",Tabulka1[[#Headers],[KOD]:[NEQ]],0),FALSE),"")</f>
        <v/>
      </c>
    </row>
    <row r="811" spans="1:27">
      <c r="A811">
        <f>COUNTIF($W$22:W811,1)</f>
        <v>0</v>
      </c>
      <c r="B811">
        <v>811</v>
      </c>
      <c r="C811" s="340">
        <f>Tabulka1[[#This Row],[KOD]]</f>
        <v>0</v>
      </c>
      <c r="W811" t="str">
        <f t="shared" si="13"/>
        <v/>
      </c>
      <c r="Y811" s="341">
        <f>IF('General price list'!$AB813="",0,'General price list'!$AB813)</f>
        <v>0</v>
      </c>
      <c r="Z811" s="365" t="str">
        <f>IFERROR(X811*VLOOKUP(C811,'General price list'!C:I,7,FALSE),"")</f>
        <v/>
      </c>
      <c r="AA811" s="365" t="str">
        <f>IF(X811&lt;&gt;"",VLOOKUP(C811,'General price list'!C813:AN1786,MATCH("HM",Tabulka1[[#Headers],[KOD]:[NEQ]],0),FALSE),"")</f>
        <v/>
      </c>
    </row>
    <row r="812" spans="1:27">
      <c r="A812">
        <f>COUNTIF($W$22:W812,1)</f>
        <v>0</v>
      </c>
      <c r="B812">
        <v>812</v>
      </c>
      <c r="C812" s="340" t="str">
        <f>Tabulka1[[#This Row],[KOD]]</f>
        <v>C23MO</v>
      </c>
      <c r="W812" t="str">
        <f t="shared" si="13"/>
        <v/>
      </c>
      <c r="Y812" s="341">
        <f>IF('General price list'!$AB814="",0,'General price list'!$AB814)</f>
        <v>0</v>
      </c>
      <c r="Z812" s="365">
        <f>IFERROR(X812*VLOOKUP(C812,'General price list'!C:I,7,FALSE),"")</f>
        <v>0</v>
      </c>
      <c r="AA812" s="365" t="str">
        <f>IF(X812&lt;&gt;"",VLOOKUP(C812,'General price list'!C814:AN1787,MATCH("HM",Tabulka1[[#Headers],[KOD]:[NEQ]],0),FALSE),"")</f>
        <v/>
      </c>
    </row>
    <row r="813" spans="1:27">
      <c r="A813">
        <f>COUNTIF($W$22:W813,1)</f>
        <v>0</v>
      </c>
      <c r="B813">
        <v>813</v>
      </c>
      <c r="C813" s="340">
        <f>Tabulka1[[#This Row],[KOD]]</f>
        <v>0</v>
      </c>
      <c r="W813" t="str">
        <f t="shared" si="13"/>
        <v/>
      </c>
      <c r="Y813" s="341">
        <f>IF('General price list'!$AB815="",0,'General price list'!$AB815)</f>
        <v>0</v>
      </c>
      <c r="Z813" s="365" t="str">
        <f>IFERROR(X813*VLOOKUP(C813,'General price list'!C:I,7,FALSE),"")</f>
        <v/>
      </c>
      <c r="AA813" s="365" t="str">
        <f>IF(X813&lt;&gt;"",VLOOKUP(C813,'General price list'!C815:AN1788,MATCH("HM",Tabulka1[[#Headers],[KOD]:[NEQ]],0),FALSE),"")</f>
        <v/>
      </c>
    </row>
    <row r="814" spans="1:27">
      <c r="A814">
        <f>COUNTIF($W$22:W814,1)</f>
        <v>0</v>
      </c>
      <c r="B814">
        <v>814</v>
      </c>
      <c r="C814" s="340" t="str">
        <f>Tabulka1[[#This Row],[KOD]]</f>
        <v>C24MH</v>
      </c>
      <c r="W814" t="str">
        <f t="shared" si="13"/>
        <v/>
      </c>
      <c r="Y814" s="341">
        <f>IF('General price list'!$AB816="",0,'General price list'!$AB816)</f>
        <v>0</v>
      </c>
      <c r="Z814" s="365">
        <f>IFERROR(X814*VLOOKUP(C814,'General price list'!C:I,7,FALSE),"")</f>
        <v>0</v>
      </c>
      <c r="AA814" s="365" t="str">
        <f>IF(X814&lt;&gt;"",VLOOKUP(C814,'General price list'!C816:AN1789,MATCH("HM",Tabulka1[[#Headers],[KOD]:[NEQ]],0),FALSE),"")</f>
        <v/>
      </c>
    </row>
    <row r="815" spans="1:27">
      <c r="A815">
        <f>COUNTIF($W$22:W815,1)</f>
        <v>0</v>
      </c>
      <c r="B815">
        <v>815</v>
      </c>
      <c r="C815" s="340">
        <f>Tabulka1[[#This Row],[KOD]]</f>
        <v>0</v>
      </c>
      <c r="W815" t="str">
        <f t="shared" si="13"/>
        <v/>
      </c>
      <c r="Y815" s="341">
        <f>IF('General price list'!$AB817="",0,'General price list'!$AB817)</f>
        <v>0</v>
      </c>
      <c r="Z815" s="365" t="str">
        <f>IFERROR(X815*VLOOKUP(C815,'General price list'!C:I,7,FALSE),"")</f>
        <v/>
      </c>
      <c r="AA815" s="365" t="str">
        <f>IF(X815&lt;&gt;"",VLOOKUP(C815,'General price list'!C817:AN1790,MATCH("HM",Tabulka1[[#Headers],[KOD]:[NEQ]],0),FALSE),"")</f>
        <v/>
      </c>
    </row>
    <row r="816" spans="1:27">
      <c r="A816">
        <f>COUNTIF($W$22:W816,1)</f>
        <v>0</v>
      </c>
      <c r="B816">
        <v>816</v>
      </c>
      <c r="C816" s="340" t="str">
        <f>Tabulka1[[#This Row],[KOD]]</f>
        <v>C36MH</v>
      </c>
      <c r="W816" t="str">
        <f t="shared" si="13"/>
        <v/>
      </c>
      <c r="Y816" s="341">
        <f>IF('General price list'!$AB818="",0,'General price list'!$AB818)</f>
        <v>0</v>
      </c>
      <c r="Z816" s="365">
        <f>IFERROR(X816*VLOOKUP(C816,'General price list'!C:I,7,FALSE),"")</f>
        <v>0</v>
      </c>
      <c r="AA816" s="365" t="str">
        <f>IF(X816&lt;&gt;"",VLOOKUP(C816,'General price list'!C818:AN1791,MATCH("HM",Tabulka1[[#Headers],[KOD]:[NEQ]],0),FALSE),"")</f>
        <v/>
      </c>
    </row>
    <row r="817" spans="1:27">
      <c r="A817">
        <f>COUNTIF($W$22:W817,1)</f>
        <v>0</v>
      </c>
      <c r="B817">
        <v>817</v>
      </c>
      <c r="C817" s="340">
        <f>Tabulka1[[#This Row],[KOD]]</f>
        <v>0</v>
      </c>
      <c r="W817" t="str">
        <f t="shared" si="13"/>
        <v/>
      </c>
      <c r="Y817" s="341">
        <f>IF('General price list'!$AB819="",0,'General price list'!$AB819)</f>
        <v>0</v>
      </c>
      <c r="Z817" s="365" t="str">
        <f>IFERROR(X817*VLOOKUP(C817,'General price list'!C:I,7,FALSE),"")</f>
        <v/>
      </c>
      <c r="AA817" s="365" t="str">
        <f>IF(X817&lt;&gt;"",VLOOKUP(C817,'General price list'!C819:AN1792,MATCH("HM",Tabulka1[[#Headers],[KOD]:[NEQ]],0),FALSE),"")</f>
        <v/>
      </c>
    </row>
    <row r="818" spans="1:27">
      <c r="A818">
        <f>COUNTIF($W$22:W818,1)</f>
        <v>0</v>
      </c>
      <c r="B818">
        <v>818</v>
      </c>
      <c r="C818" s="340" t="str">
        <f>Tabulka1[[#This Row],[KOD]]</f>
        <v>C42MM</v>
      </c>
      <c r="W818" t="str">
        <f t="shared" si="13"/>
        <v/>
      </c>
      <c r="Y818" s="341">
        <f>IF('General price list'!$AB820="",0,'General price list'!$AB820)</f>
        <v>0</v>
      </c>
      <c r="Z818" s="365">
        <f>IFERROR(X818*VLOOKUP(C818,'General price list'!C:I,7,FALSE),"")</f>
        <v>0</v>
      </c>
      <c r="AA818" s="365" t="str">
        <f>IF(X818&lt;&gt;"",VLOOKUP(C818,'General price list'!C820:AN1793,MATCH("HM",Tabulka1[[#Headers],[KOD]:[NEQ]],0),FALSE),"")</f>
        <v/>
      </c>
    </row>
    <row r="819" spans="1:27">
      <c r="A819">
        <f>COUNTIF($W$22:W819,1)</f>
        <v>0</v>
      </c>
      <c r="B819">
        <v>819</v>
      </c>
      <c r="C819" s="340">
        <f>Tabulka1[[#This Row],[KOD]]</f>
        <v>0</v>
      </c>
      <c r="W819" t="str">
        <f t="shared" si="13"/>
        <v/>
      </c>
      <c r="Y819" s="341">
        <f>IF('General price list'!$AB821="",0,'General price list'!$AB821)</f>
        <v>0</v>
      </c>
      <c r="Z819" s="365" t="str">
        <f>IFERROR(X819*VLOOKUP(C819,'General price list'!C:I,7,FALSE),"")</f>
        <v/>
      </c>
      <c r="AA819" s="365" t="str">
        <f>IF(X819&lt;&gt;"",VLOOKUP(C819,'General price list'!C821:AN1794,MATCH("HM",Tabulka1[[#Headers],[KOD]:[NEQ]],0),FALSE),"")</f>
        <v/>
      </c>
    </row>
    <row r="820" spans="1:27">
      <c r="A820">
        <f>COUNTIF($W$22:W820,1)</f>
        <v>0</v>
      </c>
      <c r="B820">
        <v>820</v>
      </c>
      <c r="C820" s="340" t="str">
        <f>Tabulka1[[#This Row],[KOD]]</f>
        <v>C47MB</v>
      </c>
      <c r="W820" t="str">
        <f t="shared" si="13"/>
        <v/>
      </c>
      <c r="Y820" s="341">
        <f>IF('General price list'!$AB822="",0,'General price list'!$AB822)</f>
        <v>0</v>
      </c>
      <c r="Z820" s="365">
        <f>IFERROR(X820*VLOOKUP(C820,'General price list'!C:I,7,FALSE),"")</f>
        <v>0</v>
      </c>
      <c r="AA820" s="365" t="str">
        <f>IF(X820&lt;&gt;"",VLOOKUP(C820,'General price list'!C822:AN1795,MATCH("HM",Tabulka1[[#Headers],[KOD]:[NEQ]],0),FALSE),"")</f>
        <v/>
      </c>
    </row>
    <row r="821" spans="1:27">
      <c r="A821">
        <f>COUNTIF($W$22:W821,1)</f>
        <v>0</v>
      </c>
      <c r="B821">
        <v>821</v>
      </c>
      <c r="C821" s="340" t="str">
        <f>Tabulka1[[#This Row],[KOD]]</f>
        <v>C47XMT</v>
      </c>
      <c r="W821" t="str">
        <f t="shared" si="13"/>
        <v/>
      </c>
      <c r="Y821" s="341">
        <f>IF('General price list'!$AB823="",0,'General price list'!$AB823)</f>
        <v>0</v>
      </c>
      <c r="Z821" s="365">
        <f>IFERROR(X821*VLOOKUP(C821,'General price list'!C:I,7,FALSE),"")</f>
        <v>0</v>
      </c>
      <c r="AA821" s="365" t="str">
        <f>IF(X821&lt;&gt;"",VLOOKUP(C821,'General price list'!C823:AN1796,MATCH("HM",Tabulka1[[#Headers],[KOD]:[NEQ]],0),FALSE),"")</f>
        <v/>
      </c>
    </row>
    <row r="822" spans="1:27">
      <c r="A822">
        <f>COUNTIF($W$22:W822,1)</f>
        <v>0</v>
      </c>
      <c r="B822">
        <v>822</v>
      </c>
      <c r="C822" s="340">
        <f>Tabulka1[[#This Row],[KOD]]</f>
        <v>0</v>
      </c>
      <c r="W822" t="str">
        <f t="shared" si="13"/>
        <v/>
      </c>
      <c r="Y822" s="341">
        <f>IF('General price list'!$AB824="",0,'General price list'!$AB824)</f>
        <v>0</v>
      </c>
      <c r="Z822" s="365" t="str">
        <f>IFERROR(X822*VLOOKUP(C822,'General price list'!C:I,7,FALSE),"")</f>
        <v/>
      </c>
      <c r="AA822" s="365" t="str">
        <f>IF(X822&lt;&gt;"",VLOOKUP(C822,'General price list'!C824:AN1797,MATCH("HM",Tabulka1[[#Headers],[KOD]:[NEQ]],0),FALSE),"")</f>
        <v/>
      </c>
    </row>
    <row r="823" spans="1:27">
      <c r="A823">
        <f>COUNTIF($W$22:W823,1)</f>
        <v>0</v>
      </c>
      <c r="B823">
        <v>823</v>
      </c>
      <c r="C823" s="340" t="str">
        <f>Tabulka1[[#This Row],[KOD]]</f>
        <v>C63MM</v>
      </c>
      <c r="W823" t="str">
        <f t="shared" si="13"/>
        <v/>
      </c>
      <c r="Y823" s="341">
        <f>IF('General price list'!$AB825="",0,'General price list'!$AB825)</f>
        <v>0</v>
      </c>
      <c r="Z823" s="365">
        <f>IFERROR(X823*VLOOKUP(C823,'General price list'!C:I,7,FALSE),"")</f>
        <v>0</v>
      </c>
      <c r="AA823" s="365" t="str">
        <f>IF(X823&lt;&gt;"",VLOOKUP(C823,'General price list'!C825:AN1798,MATCH("HM",Tabulka1[[#Headers],[KOD]:[NEQ]],0),FALSE),"")</f>
        <v/>
      </c>
    </row>
    <row r="824" spans="1:27">
      <c r="A824">
        <f>COUNTIF($W$22:W824,1)</f>
        <v>0</v>
      </c>
      <c r="B824">
        <v>824</v>
      </c>
      <c r="C824" s="340">
        <f>Tabulka1[[#This Row],[KOD]]</f>
        <v>0</v>
      </c>
      <c r="W824" t="str">
        <f t="shared" si="13"/>
        <v/>
      </c>
      <c r="Y824" s="341">
        <f>IF('General price list'!$AB826="",0,'General price list'!$AB826)</f>
        <v>0</v>
      </c>
      <c r="Z824" s="365" t="str">
        <f>IFERROR(X824*VLOOKUP(C824,'General price list'!C:I,7,FALSE),"")</f>
        <v/>
      </c>
      <c r="AA824" s="365" t="str">
        <f>IF(X824&lt;&gt;"",VLOOKUP(C824,'General price list'!C826:AN1799,MATCH("HM",Tabulka1[[#Headers],[KOD]:[NEQ]],0),FALSE),"")</f>
        <v/>
      </c>
    </row>
    <row r="825" spans="1:27">
      <c r="A825">
        <f>COUNTIF($W$22:W825,1)</f>
        <v>0</v>
      </c>
      <c r="B825">
        <v>825</v>
      </c>
      <c r="C825" s="340" t="str">
        <f>Tabulka1[[#This Row],[KOD]]</f>
        <v>C66SMMO</v>
      </c>
      <c r="W825" t="str">
        <f t="shared" si="13"/>
        <v/>
      </c>
      <c r="Y825" s="341">
        <f>IF('General price list'!$AB827="",0,'General price list'!$AB827)</f>
        <v>0</v>
      </c>
      <c r="Z825" s="365">
        <f>IFERROR(X825*VLOOKUP(C825,'General price list'!C:I,7,FALSE),"")</f>
        <v>0</v>
      </c>
      <c r="AA825" s="365" t="str">
        <f>IF(X825&lt;&gt;"",VLOOKUP(C825,'General price list'!C827:AN1800,MATCH("HM",Tabulka1[[#Headers],[KOD]:[NEQ]],0),FALSE),"")</f>
        <v/>
      </c>
    </row>
    <row r="826" spans="1:27">
      <c r="A826">
        <f>COUNTIF($W$22:W826,1)</f>
        <v>0</v>
      </c>
      <c r="B826">
        <v>826</v>
      </c>
      <c r="C826" s="340">
        <f>Tabulka1[[#This Row],[KOD]]</f>
        <v>0</v>
      </c>
      <c r="W826" t="str">
        <f t="shared" si="13"/>
        <v/>
      </c>
      <c r="Y826" s="341">
        <f>IF('General price list'!$AB828="",0,'General price list'!$AB828)</f>
        <v>0</v>
      </c>
      <c r="Z826" s="365" t="str">
        <f>IFERROR(X826*VLOOKUP(C826,'General price list'!C:I,7,FALSE),"")</f>
        <v/>
      </c>
      <c r="AA826" s="365" t="str">
        <f>IF(X826&lt;&gt;"",VLOOKUP(C826,'General price list'!C828:AN1801,MATCH("HM",Tabulka1[[#Headers],[KOD]:[NEQ]],0),FALSE),"")</f>
        <v/>
      </c>
    </row>
    <row r="827" spans="1:27">
      <c r="A827">
        <f>COUNTIF($W$22:W827,1)</f>
        <v>0</v>
      </c>
      <c r="B827">
        <v>827</v>
      </c>
      <c r="C827" s="340" t="str">
        <f>Tabulka1[[#This Row],[KOD]]</f>
        <v>C84M12F/C</v>
      </c>
      <c r="W827" t="str">
        <f t="shared" si="13"/>
        <v/>
      </c>
      <c r="Y827" s="341">
        <f>IF('General price list'!$AB829="",0,'General price list'!$AB829)</f>
        <v>0</v>
      </c>
      <c r="Z827" s="365">
        <f>IFERROR(X827*VLOOKUP(C827,'General price list'!C:I,7,FALSE),"")</f>
        <v>0</v>
      </c>
      <c r="AA827" s="365" t="str">
        <f>IF(X827&lt;&gt;"",VLOOKUP(C827,'General price list'!C829:AN1802,MATCH("HM",Tabulka1[[#Headers],[KOD]:[NEQ]],0),FALSE),"")</f>
        <v/>
      </c>
    </row>
    <row r="828" spans="1:27">
      <c r="A828">
        <f>COUNTIF($W$22:W828,1)</f>
        <v>0</v>
      </c>
      <c r="B828">
        <v>828</v>
      </c>
      <c r="C828" s="340" t="str">
        <f>Tabulka1[[#This Row],[KOD]]</f>
        <v>C84MC/C</v>
      </c>
      <c r="W828" t="str">
        <f t="shared" si="13"/>
        <v/>
      </c>
      <c r="Y828" s="341">
        <f>IF('General price list'!$AB830="",0,'General price list'!$AB830)</f>
        <v>0</v>
      </c>
      <c r="Z828" s="365">
        <f>IFERROR(X828*VLOOKUP(C828,'General price list'!C:I,7,FALSE),"")</f>
        <v>0</v>
      </c>
      <c r="AA828" s="365" t="str">
        <f>IF(X828&lt;&gt;"",VLOOKUP(C828,'General price list'!C830:AN1803,MATCH("HM",Tabulka1[[#Headers],[KOD]:[NEQ]],0),FALSE),"")</f>
        <v/>
      </c>
    </row>
    <row r="829" spans="1:27">
      <c r="A829">
        <f>COUNTIF($W$22:W829,1)</f>
        <v>0</v>
      </c>
      <c r="B829">
        <v>829</v>
      </c>
      <c r="C829" s="340" t="str">
        <f>Tabulka1[[#This Row],[KOD]]</f>
        <v>C175MSIG/C</v>
      </c>
      <c r="W829" t="str">
        <f t="shared" si="13"/>
        <v/>
      </c>
      <c r="Y829" s="341">
        <f>IF('General price list'!$AB831="",0,'General price list'!$AB831)</f>
        <v>0</v>
      </c>
      <c r="Z829" s="365">
        <f>IFERROR(X829*VLOOKUP(C829,'General price list'!C:I,7,FALSE),"")</f>
        <v>0</v>
      </c>
      <c r="AA829" s="365" t="str">
        <f>IF(X829&lt;&gt;"",VLOOKUP(C829,'General price list'!C831:AN1804,MATCH("HM",Tabulka1[[#Headers],[KOD]:[NEQ]],0),FALSE),"")</f>
        <v/>
      </c>
    </row>
    <row r="830" spans="1:27">
      <c r="A830">
        <f>COUNTIF($W$22:W830,1)</f>
        <v>0</v>
      </c>
      <c r="B830">
        <v>830</v>
      </c>
      <c r="C830" s="340" t="str">
        <f>Tabulka1[[#This Row],[KOD]]</f>
        <v>C222MNPT/C</v>
      </c>
      <c r="W830" t="str">
        <f t="shared" si="13"/>
        <v/>
      </c>
      <c r="Y830" s="341">
        <f>IF('General price list'!$AB832="",0,'General price list'!$AB832)</f>
        <v>0</v>
      </c>
      <c r="Z830" s="365">
        <f>IFERROR(X830*VLOOKUP(C830,'General price list'!C:I,7,FALSE),"")</f>
        <v>0</v>
      </c>
      <c r="AA830" s="365" t="str">
        <f>IF(X830&lt;&gt;"",VLOOKUP(C830,'General price list'!C832:AN1805,MATCH("HM",Tabulka1[[#Headers],[KOD]:[NEQ]],0),FALSE),"")</f>
        <v/>
      </c>
    </row>
    <row r="831" spans="1:27">
      <c r="A831">
        <f>COUNTIF($W$22:W831,1)</f>
        <v>0</v>
      </c>
      <c r="B831">
        <v>831</v>
      </c>
      <c r="C831" s="340" t="str">
        <f>Tabulka1[[#This Row],[KOD]]</f>
        <v>C222MF/C</v>
      </c>
      <c r="W831" t="str">
        <f t="shared" si="13"/>
        <v/>
      </c>
      <c r="Y831" s="341">
        <f>IF('General price list'!$AB833="",0,'General price list'!$AB833)</f>
        <v>0</v>
      </c>
      <c r="Z831" s="365">
        <f>IFERROR(X831*VLOOKUP(C831,'General price list'!C:I,7,FALSE),"")</f>
        <v>0</v>
      </c>
      <c r="AA831" s="365" t="str">
        <f>IF(X831&lt;&gt;"",VLOOKUP(C831,'General price list'!C833:AN1806,MATCH("HM",Tabulka1[[#Headers],[KOD]:[NEQ]],0),FALSE),"")</f>
        <v/>
      </c>
    </row>
    <row r="832" spans="1:27">
      <c r="A832">
        <f>COUNTIF($W$22:W832,1)</f>
        <v>0</v>
      </c>
      <c r="B832">
        <v>832</v>
      </c>
      <c r="C832" s="340">
        <f>Tabulka1[[#This Row],[KOD]]</f>
        <v>0</v>
      </c>
      <c r="W832" t="str">
        <f t="shared" si="13"/>
        <v/>
      </c>
      <c r="Y832" s="341">
        <f>IF('General price list'!$AB834="",0,'General price list'!$AB834)</f>
        <v>0</v>
      </c>
      <c r="Z832" s="365" t="str">
        <f>IFERROR(X832*VLOOKUP(C832,'General price list'!C:I,7,FALSE),"")</f>
        <v/>
      </c>
      <c r="AA832" s="365" t="str">
        <f>IF(X832&lt;&gt;"",VLOOKUP(C832,'General price list'!C834:AN1807,MATCH("HM",Tabulka1[[#Headers],[KOD]:[NEQ]],0),FALSE),"")</f>
        <v/>
      </c>
    </row>
    <row r="833" spans="1:27">
      <c r="A833">
        <f>COUNTIF($W$22:W833,1)</f>
        <v>0</v>
      </c>
      <c r="B833">
        <v>833</v>
      </c>
      <c r="C833" s="340" t="str">
        <f>Tabulka1[[#This Row],[KOD]]</f>
        <v>C96MB</v>
      </c>
      <c r="W833" t="str">
        <f t="shared" si="13"/>
        <v/>
      </c>
      <c r="Y833" s="341">
        <f>IF('General price list'!$AB835="",0,'General price list'!$AB835)</f>
        <v>0</v>
      </c>
      <c r="Z833" s="365">
        <f>IFERROR(X833*VLOOKUP(C833,'General price list'!C:I,7,FALSE),"")</f>
        <v>0</v>
      </c>
      <c r="AA833" s="365" t="str">
        <f>IF(X833&lt;&gt;"",VLOOKUP(C833,'General price list'!C835:AN1808,MATCH("HM",Tabulka1[[#Headers],[KOD]:[NEQ]],0),FALSE),"")</f>
        <v/>
      </c>
    </row>
    <row r="834" spans="1:27">
      <c r="A834">
        <f>COUNTIF($W$22:W834,1)</f>
        <v>0</v>
      </c>
      <c r="B834">
        <v>834</v>
      </c>
      <c r="C834" s="340" t="str">
        <f>Tabulka1[[#This Row],[KOD]]</f>
        <v>C304MK</v>
      </c>
      <c r="W834" t="str">
        <f t="shared" si="13"/>
        <v/>
      </c>
      <c r="Y834" s="341">
        <f>IF('General price list'!$AB836="",0,'General price list'!$AB836)</f>
        <v>0</v>
      </c>
      <c r="Z834" s="365">
        <f>IFERROR(X834*VLOOKUP(C834,'General price list'!C:I,7,FALSE),"")</f>
        <v>0</v>
      </c>
      <c r="AA834" s="365" t="str">
        <f>IF(X834&lt;&gt;"",VLOOKUP(C834,'General price list'!C836:AN1809,MATCH("HM",Tabulka1[[#Headers],[KOD]:[NEQ]],0),FALSE),"")</f>
        <v/>
      </c>
    </row>
    <row r="835" spans="1:27">
      <c r="A835">
        <f>COUNTIF($W$22:W835,1)</f>
        <v>0</v>
      </c>
      <c r="B835">
        <v>835</v>
      </c>
      <c r="C835" s="340">
        <f>Tabulka1[[#This Row],[KOD]]</f>
        <v>0</v>
      </c>
      <c r="W835" t="str">
        <f t="shared" si="13"/>
        <v/>
      </c>
      <c r="Y835" s="341">
        <f>IF('General price list'!$AB837="",0,'General price list'!$AB837)</f>
        <v>0</v>
      </c>
      <c r="Z835" s="365" t="str">
        <f>IFERROR(X835*VLOOKUP(C835,'General price list'!C:I,7,FALSE),"")</f>
        <v/>
      </c>
      <c r="AA835" s="365" t="str">
        <f>IF(X835&lt;&gt;"",VLOOKUP(C835,'General price list'!C837:AN1810,MATCH("HM",Tabulka1[[#Headers],[KOD]:[NEQ]],0),FALSE),"")</f>
        <v/>
      </c>
    </row>
    <row r="836" spans="1:27">
      <c r="A836">
        <f>COUNTIF($W$22:W836,1)</f>
        <v>0</v>
      </c>
      <c r="B836">
        <v>836</v>
      </c>
      <c r="C836" s="340" t="str">
        <f>Tabulka1[[#This Row],[KOD]]</f>
        <v>HF26001s</v>
      </c>
      <c r="W836" t="str">
        <f t="shared" si="13"/>
        <v/>
      </c>
      <c r="Y836" s="341">
        <f>IF('General price list'!$AB838="",0,'General price list'!$AB838)</f>
        <v>0</v>
      </c>
      <c r="Z836" s="365">
        <f>IFERROR(X836*VLOOKUP(C836,'General price list'!C:I,7,FALSE),"")</f>
        <v>0</v>
      </c>
      <c r="AA836" s="365" t="str">
        <f>IF(X836&lt;&gt;"",VLOOKUP(C836,'General price list'!C838:AN1811,MATCH("HM",Tabulka1[[#Headers],[KOD]:[NEQ]],0),FALSE),"")</f>
        <v/>
      </c>
    </row>
    <row r="837" spans="1:27">
      <c r="A837">
        <f>COUNTIF($W$22:W837,1)</f>
        <v>0</v>
      </c>
      <c r="B837">
        <v>837</v>
      </c>
      <c r="C837" s="340" t="str">
        <f>Tabulka1[[#This Row],[KOD]]</f>
        <v>HF26009s</v>
      </c>
      <c r="W837" t="str">
        <f t="shared" si="13"/>
        <v/>
      </c>
      <c r="Y837" s="341">
        <f>IF('General price list'!$AB839="",0,'General price list'!$AB839)</f>
        <v>0</v>
      </c>
      <c r="Z837" s="365">
        <f>IFERROR(X837*VLOOKUP(C837,'General price list'!C:I,7,FALSE),"")</f>
        <v>0</v>
      </c>
      <c r="AA837" s="365" t="str">
        <f>IF(X837&lt;&gt;"",VLOOKUP(C837,'General price list'!C839:AN1812,MATCH("HM",Tabulka1[[#Headers],[KOD]:[NEQ]],0),FALSE),"")</f>
        <v/>
      </c>
    </row>
    <row r="838" spans="1:27">
      <c r="A838">
        <f>COUNTIF($W$22:W838,1)</f>
        <v>0</v>
      </c>
      <c r="B838">
        <v>838</v>
      </c>
      <c r="C838" s="340" t="str">
        <f>Tabulka1[[#This Row],[KOD]]</f>
        <v>HF26012</v>
      </c>
      <c r="W838" t="str">
        <f t="shared" si="13"/>
        <v/>
      </c>
      <c r="Y838" s="341">
        <f>IF('General price list'!$AB840="",0,'General price list'!$AB840)</f>
        <v>0</v>
      </c>
      <c r="Z838" s="365">
        <f>IFERROR(X838*VLOOKUP(C838,'General price list'!C:I,7,FALSE),"")</f>
        <v>0</v>
      </c>
      <c r="AA838" s="365" t="str">
        <f>IF(X838&lt;&gt;"",VLOOKUP(C838,'General price list'!C840:AN1813,MATCH("HM",Tabulka1[[#Headers],[KOD]:[NEQ]],0),FALSE),"")</f>
        <v/>
      </c>
    </row>
    <row r="839" spans="1:27">
      <c r="A839">
        <f>COUNTIF($W$22:W839,1)</f>
        <v>0</v>
      </c>
      <c r="B839">
        <v>839</v>
      </c>
      <c r="C839" s="340" t="str">
        <f>Tabulka1[[#This Row],[KOD]]</f>
        <v>HF26015</v>
      </c>
      <c r="W839" t="str">
        <f t="shared" si="13"/>
        <v/>
      </c>
      <c r="Y839" s="341">
        <f>IF('General price list'!$AB841="",0,'General price list'!$AB841)</f>
        <v>0</v>
      </c>
      <c r="Z839" s="365">
        <f>IFERROR(X839*VLOOKUP(C839,'General price list'!C:I,7,FALSE),"")</f>
        <v>0</v>
      </c>
      <c r="AA839" s="365" t="str">
        <f>IF(X839&lt;&gt;"",VLOOKUP(C839,'General price list'!C841:AN1814,MATCH("HM",Tabulka1[[#Headers],[KOD]:[NEQ]],0),FALSE),"")</f>
        <v/>
      </c>
    </row>
    <row r="840" spans="1:27">
      <c r="A840">
        <f>COUNTIF($W$22:W840,1)</f>
        <v>0</v>
      </c>
      <c r="B840">
        <v>840</v>
      </c>
      <c r="C840" s="340" t="str">
        <f>Tabulka1[[#This Row],[KOD]]</f>
        <v>HF26016s</v>
      </c>
      <c r="W840" t="str">
        <f t="shared" si="13"/>
        <v/>
      </c>
      <c r="Y840" s="341">
        <f>IF('General price list'!$AB842="",0,'General price list'!$AB842)</f>
        <v>0</v>
      </c>
      <c r="Z840" s="365">
        <f>IFERROR(X840*VLOOKUP(C840,'General price list'!C:I,7,FALSE),"")</f>
        <v>0</v>
      </c>
      <c r="AA840" s="365" t="str">
        <f>IF(X840&lt;&gt;"",VLOOKUP(C840,'General price list'!C842:AN1815,MATCH("HM",Tabulka1[[#Headers],[KOD]:[NEQ]],0),FALSE),"")</f>
        <v/>
      </c>
    </row>
    <row r="841" spans="1:27">
      <c r="A841">
        <f>COUNTIF($W$22:W841,1)</f>
        <v>0</v>
      </c>
      <c r="B841">
        <v>841</v>
      </c>
      <c r="C841" s="340" t="str">
        <f>Tabulka1[[#This Row],[KOD]]</f>
        <v>HF2387S</v>
      </c>
      <c r="W841" t="str">
        <f t="shared" si="13"/>
        <v/>
      </c>
      <c r="Y841" s="341">
        <f>IF('General price list'!$AB843="",0,'General price list'!$AB843)</f>
        <v>0</v>
      </c>
      <c r="Z841" s="365">
        <f>IFERROR(X841*VLOOKUP(C841,'General price list'!C:I,7,FALSE),"")</f>
        <v>0</v>
      </c>
      <c r="AA841" s="365" t="str">
        <f>IF(X841&lt;&gt;"",VLOOKUP(C841,'General price list'!C843:AN1816,MATCH("HM",Tabulka1[[#Headers],[KOD]:[NEQ]],0),FALSE),"")</f>
        <v/>
      </c>
    </row>
    <row r="842" spans="1:27">
      <c r="A842">
        <f>COUNTIF($W$22:W842,1)</f>
        <v>0</v>
      </c>
      <c r="B842">
        <v>842</v>
      </c>
      <c r="C842" s="340" t="str">
        <f>Tabulka1[[#This Row],[KOD]]</f>
        <v>HF24090Qs</v>
      </c>
      <c r="W842" t="str">
        <f t="shared" si="13"/>
        <v/>
      </c>
      <c r="Y842" s="341">
        <f>IF('General price list'!$AB844="",0,'General price list'!$AB844)</f>
        <v>0</v>
      </c>
      <c r="Z842" s="365">
        <f>IFERROR(X842*VLOOKUP(C842,'General price list'!C:I,7,FALSE),"")</f>
        <v>0</v>
      </c>
      <c r="AA842" s="365" t="str">
        <f>IF(X842&lt;&gt;"",VLOOKUP(C842,'General price list'!C844:AN1817,MATCH("HM",Tabulka1[[#Headers],[KOD]:[NEQ]],0),FALSE),"")</f>
        <v/>
      </c>
    </row>
    <row r="843" spans="1:27">
      <c r="A843">
        <f>COUNTIF($W$22:W843,1)</f>
        <v>0</v>
      </c>
      <c r="B843">
        <v>843</v>
      </c>
      <c r="C843" s="340" t="str">
        <f>Tabulka1[[#This Row],[KOD]]</f>
        <v>HF2244</v>
      </c>
      <c r="W843" t="str">
        <f t="shared" si="13"/>
        <v/>
      </c>
      <c r="Y843" s="341">
        <f>IF('General price list'!$AB845="",0,'General price list'!$AB845)</f>
        <v>0</v>
      </c>
      <c r="Z843" s="365">
        <f>IFERROR(X843*VLOOKUP(C843,'General price list'!C:I,7,FALSE),"")</f>
        <v>0</v>
      </c>
      <c r="AA843" s="365" t="str">
        <f>IF(X843&lt;&gt;"",VLOOKUP(C843,'General price list'!C845:AN1818,MATCH("HM",Tabulka1[[#Headers],[KOD]:[NEQ]],0),FALSE),"")</f>
        <v/>
      </c>
    </row>
    <row r="844" spans="1:27">
      <c r="A844">
        <f>COUNTIF($W$22:W844,1)</f>
        <v>0</v>
      </c>
      <c r="B844">
        <v>844</v>
      </c>
      <c r="C844" s="340" t="str">
        <f>Tabulka1[[#This Row],[KOD]]</f>
        <v>HF2243</v>
      </c>
      <c r="W844" t="str">
        <f t="shared" si="13"/>
        <v/>
      </c>
      <c r="Y844" s="341">
        <f>IF('General price list'!$AB846="",0,'General price list'!$AB846)</f>
        <v>0</v>
      </c>
      <c r="Z844" s="365">
        <f>IFERROR(X844*VLOOKUP(C844,'General price list'!C:I,7,FALSE),"")</f>
        <v>0</v>
      </c>
      <c r="AA844" s="365" t="str">
        <f>IF(X844&lt;&gt;"",VLOOKUP(C844,'General price list'!C846:AN1819,MATCH("HM",Tabulka1[[#Headers],[KOD]:[NEQ]],0),FALSE),"")</f>
        <v/>
      </c>
    </row>
    <row r="845" spans="1:27">
      <c r="A845">
        <f>COUNTIF($W$22:W845,1)</f>
        <v>0</v>
      </c>
      <c r="B845">
        <v>845</v>
      </c>
      <c r="C845" s="340">
        <f>Tabulka1[[#This Row],[KOD]]</f>
        <v>0</v>
      </c>
      <c r="W845" t="str">
        <f t="shared" si="13"/>
        <v/>
      </c>
      <c r="Y845" s="341">
        <f>IF('General price list'!$AB847="",0,'General price list'!$AB847)</f>
        <v>0</v>
      </c>
      <c r="Z845" s="365" t="str">
        <f>IFERROR(X845*VLOOKUP(C845,'General price list'!C:I,7,FALSE),"")</f>
        <v/>
      </c>
      <c r="AA845" s="365" t="str">
        <f>IF(X845&lt;&gt;"",VLOOKUP(C845,'General price list'!C847:AN1820,MATCH("HM",Tabulka1[[#Headers],[KOD]:[NEQ]],0),FALSE),"")</f>
        <v/>
      </c>
    </row>
    <row r="846" spans="1:27">
      <c r="A846">
        <f>COUNTIF($W$22:W846,1)</f>
        <v>0</v>
      </c>
      <c r="B846">
        <v>846</v>
      </c>
      <c r="C846" s="340" t="str">
        <f>Tabulka1[[#This Row],[KOD]]</f>
        <v>HF-45-2309s</v>
      </c>
      <c r="W846" t="str">
        <f t="shared" si="13"/>
        <v/>
      </c>
      <c r="Y846" s="341">
        <f>IF('General price list'!$AB848="",0,'General price list'!$AB848)</f>
        <v>0</v>
      </c>
      <c r="Z846" s="365">
        <f>IFERROR(X846*VLOOKUP(C846,'General price list'!C:I,7,FALSE),"")</f>
        <v>0</v>
      </c>
      <c r="AA846" s="365" t="str">
        <f>IF(X846&lt;&gt;"",VLOOKUP(C846,'General price list'!C848:AN1821,MATCH("HM",Tabulka1[[#Headers],[KOD]:[NEQ]],0),FALSE),"")</f>
        <v/>
      </c>
    </row>
    <row r="847" spans="1:27">
      <c r="A847">
        <f>COUNTIF($W$22:W847,1)</f>
        <v>0</v>
      </c>
      <c r="B847">
        <v>847</v>
      </c>
      <c r="C847" s="340" t="str">
        <f>Tabulka1[[#This Row],[KOD]]</f>
        <v>HF-51-2227s</v>
      </c>
      <c r="W847" t="str">
        <f t="shared" si="13"/>
        <v/>
      </c>
      <c r="Y847" s="341">
        <f>IF('General price list'!$AB849="",0,'General price list'!$AB849)</f>
        <v>0</v>
      </c>
      <c r="Z847" s="365">
        <f>IFERROR(X847*VLOOKUP(C847,'General price list'!C:I,7,FALSE),"")</f>
        <v>0</v>
      </c>
      <c r="AA847" s="365" t="str">
        <f>IF(X847&lt;&gt;"",VLOOKUP(C847,'General price list'!C849:AN1822,MATCH("HM",Tabulka1[[#Headers],[KOD]:[NEQ]],0),FALSE),"")</f>
        <v/>
      </c>
    </row>
    <row r="848" spans="1:27">
      <c r="A848">
        <f>COUNTIF($W$22:W848,1)</f>
        <v>0</v>
      </c>
      <c r="B848">
        <v>848</v>
      </c>
      <c r="C848" s="340" t="str">
        <f>Tabulka1[[#This Row],[KOD]]</f>
        <v>RK-66-2502</v>
      </c>
      <c r="W848" t="str">
        <f t="shared" si="13"/>
        <v/>
      </c>
      <c r="Y848" s="341">
        <f>IF('General price list'!$AB850="",0,'General price list'!$AB850)</f>
        <v>0</v>
      </c>
      <c r="Z848" s="365">
        <f>IFERROR(X848*VLOOKUP(C848,'General price list'!C:I,7,FALSE),"")</f>
        <v>0</v>
      </c>
      <c r="AA848" s="365" t="str">
        <f>IF(X848&lt;&gt;"",VLOOKUP(C848,'General price list'!C850:AN1823,MATCH("HM",Tabulka1[[#Headers],[KOD]:[NEQ]],0),FALSE),"")</f>
        <v/>
      </c>
    </row>
    <row r="849" spans="1:27">
      <c r="A849">
        <f>COUNTIF($W$22:W849,1)</f>
        <v>0</v>
      </c>
      <c r="B849">
        <v>849</v>
      </c>
      <c r="C849" s="340" t="str">
        <f>Tabulka1[[#This Row],[KOD]]</f>
        <v>HF-75-2310s</v>
      </c>
      <c r="W849" t="str">
        <f t="shared" si="13"/>
        <v/>
      </c>
      <c r="Y849" s="341">
        <f>IF('General price list'!$AB851="",0,'General price list'!$AB851)</f>
        <v>0</v>
      </c>
      <c r="Z849" s="365">
        <f>IFERROR(X849*VLOOKUP(C849,'General price list'!C:I,7,FALSE),"")</f>
        <v>0</v>
      </c>
      <c r="AA849" s="365" t="str">
        <f>IF(X849&lt;&gt;"",VLOOKUP(C849,'General price list'!C851:AN1824,MATCH("HM",Tabulka1[[#Headers],[KOD]:[NEQ]],0),FALSE),"")</f>
        <v/>
      </c>
    </row>
    <row r="850" spans="1:27">
      <c r="A850">
        <f>COUNTIF($W$22:W850,1)</f>
        <v>0</v>
      </c>
      <c r="B850">
        <v>850</v>
      </c>
      <c r="C850" s="340" t="str">
        <f>Tabulka1[[#This Row],[KOD]]</f>
        <v>HF-108-2603s</v>
      </c>
      <c r="W850" t="str">
        <f t="shared" si="13"/>
        <v/>
      </c>
      <c r="Y850" s="341">
        <f>IF('General price list'!$AB852="",0,'General price list'!$AB852)</f>
        <v>0</v>
      </c>
      <c r="Z850" s="365">
        <f>IFERROR(X850*VLOOKUP(C850,'General price list'!C:I,7,FALSE),"")</f>
        <v>0</v>
      </c>
      <c r="AA850" s="365" t="str">
        <f>IF(X850&lt;&gt;"",VLOOKUP(C850,'General price list'!C852:AN1825,MATCH("HM",Tabulka1[[#Headers],[KOD]:[NEQ]],0),FALSE),"")</f>
        <v/>
      </c>
    </row>
    <row r="851" spans="1:27">
      <c r="A851">
        <f>COUNTIF($W$22:W851,1)</f>
        <v>0</v>
      </c>
      <c r="B851">
        <v>851</v>
      </c>
      <c r="C851" s="340" t="str">
        <f>Tabulka1[[#This Row],[KOD]]</f>
        <v>HF-144-2605</v>
      </c>
      <c r="W851" t="str">
        <f t="shared" si="13"/>
        <v/>
      </c>
      <c r="Y851" s="341">
        <f>IF('General price list'!$AB853="",0,'General price list'!$AB853)</f>
        <v>0</v>
      </c>
      <c r="Z851" s="365">
        <f>IFERROR(X851*VLOOKUP(C851,'General price list'!C:I,7,FALSE),"")</f>
        <v>0</v>
      </c>
      <c r="AA851" s="365" t="str">
        <f>IF(X851&lt;&gt;"",VLOOKUP(C851,'General price list'!C853:AN1826,MATCH("HM",Tabulka1[[#Headers],[KOD]:[NEQ]],0),FALSE),"")</f>
        <v/>
      </c>
    </row>
    <row r="852" spans="1:27">
      <c r="A852">
        <f>COUNTIF($W$22:W852,1)</f>
        <v>0</v>
      </c>
      <c r="B852">
        <v>852</v>
      </c>
      <c r="C852" s="340" t="str">
        <f>Tabulka1[[#This Row],[KOD]]</f>
        <v>HF-75-2608s</v>
      </c>
      <c r="W852" t="str">
        <f t="shared" si="13"/>
        <v/>
      </c>
      <c r="Y852" s="341">
        <f>IF('General price list'!$AB854="",0,'General price list'!$AB854)</f>
        <v>0</v>
      </c>
      <c r="Z852" s="365">
        <f>IFERROR(X852*VLOOKUP(C852,'General price list'!C:I,7,FALSE),"")</f>
        <v>0</v>
      </c>
      <c r="AA852" s="365" t="str">
        <f>IF(X852&lt;&gt;"",VLOOKUP(C852,'General price list'!C854:AN1827,MATCH("HM",Tabulka1[[#Headers],[KOD]:[NEQ]],0),FALSE),"")</f>
        <v/>
      </c>
    </row>
    <row r="853" spans="1:27">
      <c r="A853">
        <f>COUNTIF($W$22:W853,1)</f>
        <v>0</v>
      </c>
      <c r="B853">
        <v>853</v>
      </c>
      <c r="C853" s="340" t="str">
        <f>Tabulka1[[#This Row],[KOD]]</f>
        <v>RK-98-2555</v>
      </c>
      <c r="W853" t="str">
        <f t="shared" si="13"/>
        <v/>
      </c>
      <c r="Y853" s="341">
        <f>IF('General price list'!$AB855="",0,'General price list'!$AB855)</f>
        <v>0</v>
      </c>
      <c r="Z853" s="365">
        <f>IFERROR(X853*VLOOKUP(C853,'General price list'!C:I,7,FALSE),"")</f>
        <v>0</v>
      </c>
      <c r="AA853" s="365" t="str">
        <f>IF(X853&lt;&gt;"",VLOOKUP(C853,'General price list'!C855:AN1828,MATCH("HM",Tabulka1[[#Headers],[KOD]:[NEQ]],0),FALSE),"")</f>
        <v/>
      </c>
    </row>
    <row r="854" spans="1:27">
      <c r="A854">
        <f>COUNTIF($W$22:W854,1)</f>
        <v>0</v>
      </c>
      <c r="B854">
        <v>854</v>
      </c>
      <c r="C854" s="340" t="str">
        <f>Tabulka1[[#This Row],[KOD]]</f>
        <v>HF-96-2362s</v>
      </c>
      <c r="W854" t="str">
        <f t="shared" si="13"/>
        <v/>
      </c>
      <c r="Y854" s="341">
        <f>IF('General price list'!$AB856="",0,'General price list'!$AB856)</f>
        <v>0</v>
      </c>
      <c r="Z854" s="365">
        <f>IFERROR(X854*VLOOKUP(C854,'General price list'!C:I,7,FALSE),"")</f>
        <v>0</v>
      </c>
      <c r="AA854" s="365" t="str">
        <f>IF(X854&lt;&gt;"",VLOOKUP(C854,'General price list'!C856:AN1829,MATCH("HM",Tabulka1[[#Headers],[KOD]:[NEQ]],0),FALSE),"")</f>
        <v/>
      </c>
    </row>
    <row r="855" spans="1:27">
      <c r="A855">
        <f>COUNTIF($W$22:W855,1)</f>
        <v>0</v>
      </c>
      <c r="B855">
        <v>855</v>
      </c>
      <c r="C855" s="340" t="str">
        <f>Tabulka1[[#This Row],[KOD]]</f>
        <v>HF-102-2214</v>
      </c>
      <c r="W855" t="str">
        <f t="shared" si="13"/>
        <v/>
      </c>
      <c r="Y855" s="341">
        <f>IF('General price list'!$AB857="",0,'General price list'!$AB857)</f>
        <v>0</v>
      </c>
      <c r="Z855" s="365">
        <f>IFERROR(X855*VLOOKUP(C855,'General price list'!C:I,7,FALSE),"")</f>
        <v>0</v>
      </c>
      <c r="AA855" s="365" t="str">
        <f>IF(X855&lt;&gt;"",VLOOKUP(C855,'General price list'!C857:AN1830,MATCH("HM",Tabulka1[[#Headers],[KOD]:[NEQ]],0),FALSE),"")</f>
        <v/>
      </c>
    </row>
    <row r="856" spans="1:27">
      <c r="A856">
        <f>COUNTIF($W$22:W856,1)</f>
        <v>0</v>
      </c>
      <c r="B856">
        <v>856</v>
      </c>
      <c r="C856" s="340" t="str">
        <f>Tabulka1[[#This Row],[KOD]]</f>
        <v>HF-101-2216</v>
      </c>
      <c r="W856" t="str">
        <f t="shared" ref="W856:W919" si="14">IF(Y856+1=1,"",1)</f>
        <v/>
      </c>
      <c r="Y856" s="341">
        <f>IF('General price list'!$AB858="",0,'General price list'!$AB858)</f>
        <v>0</v>
      </c>
      <c r="Z856" s="365">
        <f>IFERROR(X856*VLOOKUP(C856,'General price list'!C:I,7,FALSE),"")</f>
        <v>0</v>
      </c>
      <c r="AA856" s="365" t="str">
        <f>IF(X856&lt;&gt;"",VLOOKUP(C856,'General price list'!C858:AN1831,MATCH("HM",Tabulka1[[#Headers],[KOD]:[NEQ]],0),FALSE),"")</f>
        <v/>
      </c>
    </row>
    <row r="857" spans="1:27">
      <c r="A857">
        <f>COUNTIF($W$22:W857,1)</f>
        <v>0</v>
      </c>
      <c r="B857">
        <v>857</v>
      </c>
      <c r="C857" s="340" t="str">
        <f>Tabulka1[[#This Row],[KOD]]</f>
        <v>HF-108-2315</v>
      </c>
      <c r="W857" t="str">
        <f t="shared" si="14"/>
        <v/>
      </c>
      <c r="Y857" s="341">
        <f>IF('General price list'!$AB859="",0,'General price list'!$AB859)</f>
        <v>0</v>
      </c>
      <c r="Z857" s="365">
        <f>IFERROR(X857*VLOOKUP(C857,'General price list'!C:I,7,FALSE),"")</f>
        <v>0</v>
      </c>
      <c r="AA857" s="365" t="str">
        <f>IF(X857&lt;&gt;"",VLOOKUP(C857,'General price list'!C859:AN1832,MATCH("HM",Tabulka1[[#Headers],[KOD]:[NEQ]],0),FALSE),"")</f>
        <v/>
      </c>
    </row>
    <row r="858" spans="1:27">
      <c r="A858">
        <f>COUNTIF($W$22:W858,1)</f>
        <v>0</v>
      </c>
      <c r="B858">
        <v>858</v>
      </c>
      <c r="C858" s="340" t="str">
        <f>Tabulka1[[#This Row],[KOD]]</f>
        <v>HF-83-2207P</v>
      </c>
      <c r="W858" t="str">
        <f t="shared" si="14"/>
        <v/>
      </c>
      <c r="Y858" s="341">
        <f>IF('General price list'!$AB860="",0,'General price list'!$AB860)</f>
        <v>0</v>
      </c>
      <c r="Z858" s="365">
        <f>IFERROR(X858*VLOOKUP(C858,'General price list'!C:I,7,FALSE),"")</f>
        <v>0</v>
      </c>
      <c r="AA858" s="365" t="str">
        <f>IF(X858&lt;&gt;"",VLOOKUP(C858,'General price list'!C860:AN1833,MATCH("HM",Tabulka1[[#Headers],[KOD]:[NEQ]],0),FALSE),"")</f>
        <v/>
      </c>
    </row>
    <row r="859" spans="1:27">
      <c r="A859">
        <f>COUNTIF($W$22:W859,1)</f>
        <v>0</v>
      </c>
      <c r="B859">
        <v>859</v>
      </c>
      <c r="C859" s="340" t="str">
        <f>Tabulka1[[#This Row],[KOD]]</f>
        <v>HF-98-2212</v>
      </c>
      <c r="W859" t="str">
        <f t="shared" si="14"/>
        <v/>
      </c>
      <c r="Y859" s="341">
        <f>IF('General price list'!$AB861="",0,'General price list'!$AB861)</f>
        <v>0</v>
      </c>
      <c r="Z859" s="365">
        <f>IFERROR(X859*VLOOKUP(C859,'General price list'!C:I,7,FALSE),"")</f>
        <v>0</v>
      </c>
      <c r="AA859" s="365" t="str">
        <f>IF(X859&lt;&gt;"",VLOOKUP(C859,'General price list'!C861:AN1834,MATCH("HM",Tabulka1[[#Headers],[KOD]:[NEQ]],0),FALSE),"")</f>
        <v/>
      </c>
    </row>
    <row r="860" spans="1:27">
      <c r="A860">
        <f>COUNTIF($W$22:W860,1)</f>
        <v>0</v>
      </c>
      <c r="B860">
        <v>860</v>
      </c>
      <c r="C860" s="340" t="str">
        <f>Tabulka1[[#This Row],[KOD]]</f>
        <v>HF-127-2411s</v>
      </c>
      <c r="W860" t="str">
        <f t="shared" si="14"/>
        <v/>
      </c>
      <c r="Y860" s="341">
        <f>IF('General price list'!$AB862="",0,'General price list'!$AB862)</f>
        <v>0</v>
      </c>
      <c r="Z860" s="365">
        <f>IFERROR(X860*VLOOKUP(C860,'General price list'!C:I,7,FALSE),"")</f>
        <v>0</v>
      </c>
      <c r="AA860" s="365" t="str">
        <f>IF(X860&lt;&gt;"",VLOOKUP(C860,'General price list'!C862:AN1835,MATCH("HM",Tabulka1[[#Headers],[KOD]:[NEQ]],0),FALSE),"")</f>
        <v/>
      </c>
    </row>
    <row r="861" spans="1:27">
      <c r="A861">
        <f>COUNTIF($W$22:W861,1)</f>
        <v>0</v>
      </c>
      <c r="B861">
        <v>861</v>
      </c>
      <c r="C861" s="340" t="str">
        <f>Tabulka1[[#This Row],[KOD]]</f>
        <v>HF-142-2211</v>
      </c>
      <c r="W861" t="str">
        <f t="shared" si="14"/>
        <v/>
      </c>
      <c r="Y861" s="341">
        <f>IF('General price list'!$AB863="",0,'General price list'!$AB863)</f>
        <v>0</v>
      </c>
      <c r="Z861" s="365">
        <f>IFERROR(X861*VLOOKUP(C861,'General price list'!C:I,7,FALSE),"")</f>
        <v>0</v>
      </c>
      <c r="AA861" s="365" t="str">
        <f>IF(X861&lt;&gt;"",VLOOKUP(C861,'General price list'!C863:AN1836,MATCH("HM",Tabulka1[[#Headers],[KOD]:[NEQ]],0),FALSE),"")</f>
        <v/>
      </c>
    </row>
    <row r="862" spans="1:27">
      <c r="A862">
        <f>COUNTIF($W$22:W862,1)</f>
        <v>0</v>
      </c>
      <c r="B862">
        <v>862</v>
      </c>
      <c r="C862" s="340" t="str">
        <f>Tabulka1[[#This Row],[KOD]]</f>
        <v>HF-148-2217</v>
      </c>
      <c r="W862" t="str">
        <f t="shared" si="14"/>
        <v/>
      </c>
      <c r="Y862" s="341">
        <f>IF('General price list'!$AB864="",0,'General price list'!$AB864)</f>
        <v>0</v>
      </c>
      <c r="Z862" s="365">
        <f>IFERROR(X862*VLOOKUP(C862,'General price list'!C:I,7,FALSE),"")</f>
        <v>0</v>
      </c>
      <c r="AA862" s="365" t="str">
        <f>IF(X862&lt;&gt;"",VLOOKUP(C862,'General price list'!C864:AN1837,MATCH("HM",Tabulka1[[#Headers],[KOD]:[NEQ]],0),FALSE),"")</f>
        <v/>
      </c>
    </row>
    <row r="863" spans="1:27">
      <c r="A863">
        <f>COUNTIF($W$22:W863,1)</f>
        <v>0</v>
      </c>
      <c r="B863">
        <v>863</v>
      </c>
      <c r="C863" s="340" t="str">
        <f>Tabulka1[[#This Row],[KOD]]</f>
        <v>RKD-24018</v>
      </c>
      <c r="W863" t="str">
        <f t="shared" si="14"/>
        <v/>
      </c>
      <c r="Y863" s="341">
        <f>IF('General price list'!$AB865="",0,'General price list'!$AB865)</f>
        <v>0</v>
      </c>
      <c r="Z863" s="365">
        <f>IFERROR(X863*VLOOKUP(C863,'General price list'!C:I,7,FALSE),"")</f>
        <v>0</v>
      </c>
      <c r="AA863" s="365" t="str">
        <f>IF(X863&lt;&gt;"",VLOOKUP(C863,'General price list'!C865:AN1838,MATCH("HM",Tabulka1[[#Headers],[KOD]:[NEQ]],0),FALSE),"")</f>
        <v/>
      </c>
    </row>
    <row r="864" spans="1:27">
      <c r="A864">
        <f>COUNTIF($W$22:W864,1)</f>
        <v>0</v>
      </c>
      <c r="B864">
        <v>864</v>
      </c>
      <c r="C864" s="340" t="str">
        <f>Tabulka1[[#This Row],[KOD]]</f>
        <v>RKD-24019</v>
      </c>
      <c r="W864" t="str">
        <f t="shared" si="14"/>
        <v/>
      </c>
      <c r="Y864" s="341">
        <f>IF('General price list'!$AB866="",0,'General price list'!$AB866)</f>
        <v>0</v>
      </c>
      <c r="Z864" s="365">
        <f>IFERROR(X864*VLOOKUP(C864,'General price list'!C:I,7,FALSE),"")</f>
        <v>0</v>
      </c>
      <c r="AA864" s="365" t="str">
        <f>IF(X864&lt;&gt;"",VLOOKUP(C864,'General price list'!C866:AN1839,MATCH("HM",Tabulka1[[#Headers],[KOD]:[NEQ]],0),FALSE),"")</f>
        <v/>
      </c>
    </row>
    <row r="865" spans="1:27">
      <c r="A865">
        <f>COUNTIF($W$22:W865,1)</f>
        <v>0</v>
      </c>
      <c r="B865">
        <v>865</v>
      </c>
      <c r="C865" s="340">
        <f>Tabulka1[[#This Row],[KOD]]</f>
        <v>0</v>
      </c>
      <c r="W865" t="str">
        <f t="shared" si="14"/>
        <v/>
      </c>
      <c r="Y865" s="341">
        <f>IF('General price list'!$AB867="",0,'General price list'!$AB867)</f>
        <v>0</v>
      </c>
      <c r="Z865" s="365" t="str">
        <f>IFERROR(X865*VLOOKUP(C865,'General price list'!C:I,7,FALSE),"")</f>
        <v/>
      </c>
      <c r="AA865" s="365" t="str">
        <f>IF(X865&lt;&gt;"",VLOOKUP(C865,'General price list'!C867:AN1840,MATCH("HM",Tabulka1[[#Headers],[KOD]:[NEQ]],0),FALSE),"")</f>
        <v/>
      </c>
    </row>
    <row r="866" spans="1:27">
      <c r="A866">
        <f>COUNTIF($W$22:W866,1)</f>
        <v>0</v>
      </c>
      <c r="B866">
        <v>866</v>
      </c>
      <c r="C866" s="340" t="str">
        <f>Tabulka1[[#This Row],[KOD]]</f>
        <v>HF-90-2402-HF-90-2403</v>
      </c>
      <c r="W866" t="str">
        <f t="shared" si="14"/>
        <v/>
      </c>
      <c r="Y866" s="341">
        <f>IF('General price list'!$AB868="",0,'General price list'!$AB868)</f>
        <v>0</v>
      </c>
      <c r="Z866" s="365">
        <f>IFERROR(X866*VLOOKUP(C866,'General price list'!C:I,7,FALSE),"")</f>
        <v>0</v>
      </c>
      <c r="AA866" s="365" t="str">
        <f>IF(X866&lt;&gt;"",VLOOKUP(C866,'General price list'!C868:AN1841,MATCH("HM",Tabulka1[[#Headers],[KOD]:[NEQ]],0),FALSE),"")</f>
        <v/>
      </c>
    </row>
    <row r="867" spans="1:27">
      <c r="A867">
        <f>COUNTIF($W$22:W867,1)</f>
        <v>0</v>
      </c>
      <c r="B867">
        <v>867</v>
      </c>
      <c r="C867" s="340" t="str">
        <f>Tabulka1[[#This Row],[KOD]]</f>
        <v>HF-129-2223A-HF-114-2224</v>
      </c>
      <c r="W867" t="str">
        <f t="shared" si="14"/>
        <v/>
      </c>
      <c r="Y867" s="341">
        <f>IF('General price list'!$AB869="",0,'General price list'!$AB869)</f>
        <v>0</v>
      </c>
      <c r="Z867" s="365">
        <f>IFERROR(X867*VLOOKUP(C867,'General price list'!C:I,7,FALSE),"")</f>
        <v>0</v>
      </c>
      <c r="AA867" s="365" t="str">
        <f>IF(X867&lt;&gt;"",VLOOKUP(C867,'General price list'!C869:AN1842,MATCH("HM",Tabulka1[[#Headers],[KOD]:[NEQ]],0),FALSE),"")</f>
        <v/>
      </c>
    </row>
    <row r="868" spans="1:27">
      <c r="A868">
        <f>COUNTIF($W$22:W868,1)</f>
        <v>0</v>
      </c>
      <c r="B868">
        <v>868</v>
      </c>
      <c r="C868" s="340" t="str">
        <f>Tabulka1[[#This Row],[KOD]]</f>
        <v>HF-90-2218-HF-90-2219</v>
      </c>
      <c r="W868" t="str">
        <f t="shared" si="14"/>
        <v/>
      </c>
      <c r="Y868" s="341">
        <f>IF('General price list'!$AB870="",0,'General price list'!$AB870)</f>
        <v>0</v>
      </c>
      <c r="Z868" s="365">
        <f>IFERROR(X868*VLOOKUP(C868,'General price list'!C:I,7,FALSE),"")</f>
        <v>0</v>
      </c>
      <c r="AA868" s="365" t="str">
        <f>IF(X868&lt;&gt;"",VLOOKUP(C868,'General price list'!C870:AN1843,MATCH("HM",Tabulka1[[#Headers],[KOD]:[NEQ]],0),FALSE),"")</f>
        <v/>
      </c>
    </row>
    <row r="869" spans="1:27">
      <c r="A869">
        <f>COUNTIF($W$22:W869,1)</f>
        <v>0</v>
      </c>
      <c r="B869">
        <v>869</v>
      </c>
      <c r="C869" s="340" t="str">
        <f>Tabulka1[[#This Row],[KOD]]</f>
        <v>HF-78-2423-HF-78-2424</v>
      </c>
      <c r="W869" t="str">
        <f t="shared" si="14"/>
        <v/>
      </c>
      <c r="Y869" s="341">
        <f>IF('General price list'!$AB871="",0,'General price list'!$AB871)</f>
        <v>0</v>
      </c>
      <c r="Z869" s="365">
        <f>IFERROR(X869*VLOOKUP(C869,'General price list'!C:I,7,FALSE),"")</f>
        <v>0</v>
      </c>
      <c r="AA869" s="365" t="str">
        <f>IF(X869&lt;&gt;"",VLOOKUP(C869,'General price list'!C871:AN1844,MATCH("HM",Tabulka1[[#Headers],[KOD]:[NEQ]],0),FALSE),"")</f>
        <v/>
      </c>
    </row>
    <row r="870" spans="1:27">
      <c r="A870">
        <f>COUNTIF($W$22:W870,1)</f>
        <v>0</v>
      </c>
      <c r="B870">
        <v>870</v>
      </c>
      <c r="C870" s="340" t="str">
        <f>Tabulka1[[#This Row],[KOD]]</f>
        <v>HF-80-2366s  HF-80-2367s</v>
      </c>
      <c r="W870" t="str">
        <f t="shared" si="14"/>
        <v/>
      </c>
      <c r="Y870" s="341">
        <f>IF('General price list'!$AB872="",0,'General price list'!$AB872)</f>
        <v>0</v>
      </c>
      <c r="Z870" s="365">
        <f>IFERROR(X870*VLOOKUP(C870,'General price list'!C:I,7,FALSE),"")</f>
        <v>0</v>
      </c>
      <c r="AA870" s="365" t="str">
        <f>IF(X870&lt;&gt;"",VLOOKUP(C870,'General price list'!C872:AN1845,MATCH("HM",Tabulka1[[#Headers],[KOD]:[NEQ]],0),FALSE),"")</f>
        <v/>
      </c>
    </row>
    <row r="871" spans="1:27">
      <c r="A871">
        <f>COUNTIF($W$22:W871,1)</f>
        <v>0</v>
      </c>
      <c r="B871">
        <v>871</v>
      </c>
      <c r="C871" s="340" t="str">
        <f>Tabulka1[[#This Row],[KOD]]</f>
        <v>RK-92-2565 RK-96-2566</v>
      </c>
      <c r="W871" t="str">
        <f t="shared" si="14"/>
        <v/>
      </c>
      <c r="Y871" s="341">
        <f>IF('General price list'!$AB873="",0,'General price list'!$AB873)</f>
        <v>0</v>
      </c>
      <c r="Z871" s="365">
        <f>IFERROR(X871*VLOOKUP(C871,'General price list'!C:I,7,FALSE),"")</f>
        <v>0</v>
      </c>
      <c r="AA871" s="365" t="str">
        <f>IF(X871&lt;&gt;"",VLOOKUP(C871,'General price list'!C873:AN1846,MATCH("HM",Tabulka1[[#Headers],[KOD]:[NEQ]],0),FALSE),"")</f>
        <v/>
      </c>
    </row>
    <row r="872" spans="1:27">
      <c r="A872">
        <f>COUNTIF($W$22:W872,1)</f>
        <v>0</v>
      </c>
      <c r="B872">
        <v>872</v>
      </c>
      <c r="C872" s="340" t="str">
        <f>Tabulka1[[#This Row],[KOD]]</f>
        <v>HF-96-2418-HF-96-2419</v>
      </c>
      <c r="W872" t="str">
        <f t="shared" si="14"/>
        <v/>
      </c>
      <c r="Y872" s="341">
        <f>IF('General price list'!$AB874="",0,'General price list'!$AB874)</f>
        <v>0</v>
      </c>
      <c r="Z872" s="365">
        <f>IFERROR(X872*VLOOKUP(C872,'General price list'!C:I,7,FALSE),"")</f>
        <v>0</v>
      </c>
      <c r="AA872" s="365" t="str">
        <f>IF(X872&lt;&gt;"",VLOOKUP(C872,'General price list'!C874:AN1847,MATCH("HM",Tabulka1[[#Headers],[KOD]:[NEQ]],0),FALSE),"")</f>
        <v/>
      </c>
    </row>
    <row r="873" spans="1:27">
      <c r="A873">
        <f>COUNTIF($W$22:W873,1)</f>
        <v>0</v>
      </c>
      <c r="B873">
        <v>873</v>
      </c>
      <c r="C873" s="340" t="str">
        <f>Tabulka1[[#This Row],[KOD]]</f>
        <v>HF-88-2487-HF-116-2488</v>
      </c>
      <c r="W873" t="str">
        <f t="shared" si="14"/>
        <v/>
      </c>
      <c r="Y873" s="341">
        <f>IF('General price list'!$AB875="",0,'General price list'!$AB875)</f>
        <v>0</v>
      </c>
      <c r="Z873" s="365">
        <f>IFERROR(X873*VLOOKUP(C873,'General price list'!C:I,7,FALSE),"")</f>
        <v>0</v>
      </c>
      <c r="AA873" s="365" t="str">
        <f>IF(X873&lt;&gt;"",VLOOKUP(C873,'General price list'!C875:AN1848,MATCH("HM",Tabulka1[[#Headers],[KOD]:[NEQ]],0),FALSE),"")</f>
        <v/>
      </c>
    </row>
    <row r="874" spans="1:27">
      <c r="A874">
        <f>COUNTIF($W$22:W874,1)</f>
        <v>0</v>
      </c>
      <c r="B874">
        <v>874</v>
      </c>
      <c r="C874" s="340" t="str">
        <f>Tabulka1[[#This Row],[KOD]]</f>
        <v>HF-98-24103-HF-96-24104-HF-98-24105-HF-100-24106</v>
      </c>
      <c r="W874" t="str">
        <f t="shared" si="14"/>
        <v/>
      </c>
      <c r="Y874" s="341">
        <f>IF('General price list'!$AB876="",0,'General price list'!$AB876)</f>
        <v>0</v>
      </c>
      <c r="Z874" s="365">
        <f>IFERROR(X874*VLOOKUP(C874,'General price list'!C:I,7,FALSE),"")</f>
        <v>0</v>
      </c>
      <c r="AA874" s="365" t="str">
        <f>IF(X874&lt;&gt;"",VLOOKUP(C874,'General price list'!C876:AN1849,MATCH("HM",Tabulka1[[#Headers],[KOD]:[NEQ]],0),FALSE),"")</f>
        <v/>
      </c>
    </row>
    <row r="875" spans="1:27">
      <c r="A875">
        <f>COUNTIF($W$22:W875,1)</f>
        <v>0</v>
      </c>
      <c r="B875">
        <v>875</v>
      </c>
      <c r="C875" s="340">
        <f>Tabulka1[[#This Row],[KOD]]</f>
        <v>0</v>
      </c>
      <c r="W875" t="str">
        <f t="shared" si="14"/>
        <v/>
      </c>
      <c r="Y875" s="341">
        <f>IF('General price list'!$AB877="",0,'General price list'!$AB877)</f>
        <v>0</v>
      </c>
      <c r="Z875" s="365" t="str">
        <f>IFERROR(X875*VLOOKUP(C875,'General price list'!C:I,7,FALSE),"")</f>
        <v/>
      </c>
      <c r="AA875" s="365" t="str">
        <f>IF(X875&lt;&gt;"",VLOOKUP(C875,'General price list'!C877:AN1850,MATCH("HM",Tabulka1[[#Headers],[KOD]:[NEQ]],0),FALSE),"")</f>
        <v/>
      </c>
    </row>
    <row r="876" spans="1:27">
      <c r="A876">
        <f>COUNTIF($W$22:W876,1)</f>
        <v>0</v>
      </c>
      <c r="B876">
        <v>876</v>
      </c>
      <c r="C876" s="340" t="str">
        <f>Tabulka1[[#This Row],[KOD]]</f>
        <v>CX1352X2</v>
      </c>
      <c r="W876" t="str">
        <f t="shared" si="14"/>
        <v/>
      </c>
      <c r="Y876" s="341">
        <f>IF('General price list'!$AB878="",0,'General price list'!$AB878)</f>
        <v>0</v>
      </c>
      <c r="Z876" s="365">
        <f>IFERROR(X876*VLOOKUP(C876,'General price list'!C:I,7,FALSE),"")</f>
        <v>0</v>
      </c>
      <c r="AA876" s="365" t="str">
        <f>IF(X876&lt;&gt;"",VLOOKUP(C876,'General price list'!C878:AN1851,MATCH("HM",Tabulka1[[#Headers],[KOD]:[NEQ]],0),FALSE),"")</f>
        <v/>
      </c>
    </row>
    <row r="877" spans="1:27">
      <c r="A877">
        <f>COUNTIF($W$22:W877,1)</f>
        <v>0</v>
      </c>
      <c r="B877">
        <v>877</v>
      </c>
      <c r="C877" s="340" t="str">
        <f>Tabulka1[[#This Row],[KOD]]</f>
        <v>CF1352X6</v>
      </c>
      <c r="W877" t="str">
        <f t="shared" si="14"/>
        <v/>
      </c>
      <c r="Y877" s="341">
        <f>IF('General price list'!$AB879="",0,'General price list'!$AB879)</f>
        <v>0</v>
      </c>
      <c r="Z877" s="365">
        <f>IFERROR(X877*VLOOKUP(C877,'General price list'!C:I,7,FALSE),"")</f>
        <v>0</v>
      </c>
      <c r="AA877" s="365" t="str">
        <f>IF(X877&lt;&gt;"",VLOOKUP(C877,'General price list'!C879:AN1852,MATCH("HM",Tabulka1[[#Headers],[KOD]:[NEQ]],0),FALSE),"")</f>
        <v/>
      </c>
    </row>
    <row r="878" spans="1:27">
      <c r="A878">
        <f>COUNTIF($W$22:W878,1)</f>
        <v>0</v>
      </c>
      <c r="B878">
        <v>878</v>
      </c>
      <c r="C878" s="340" t="str">
        <f>Tabulka1[[#This Row],[KOD]]</f>
        <v>CS1352X9</v>
      </c>
      <c r="W878" t="str">
        <f t="shared" si="14"/>
        <v/>
      </c>
      <c r="Y878" s="341">
        <f>IF('General price list'!$AB880="",0,'General price list'!$AB880)</f>
        <v>0</v>
      </c>
      <c r="Z878" s="365">
        <f>IFERROR(X878*VLOOKUP(C878,'General price list'!C:I,7,FALSE),"")</f>
        <v>0</v>
      </c>
      <c r="AA878" s="365" t="str">
        <f>IF(X878&lt;&gt;"",VLOOKUP(C878,'General price list'!C880:AN1853,MATCH("HM",Tabulka1[[#Headers],[KOD]:[NEQ]],0),FALSE),"")</f>
        <v/>
      </c>
    </row>
    <row r="879" spans="1:27">
      <c r="A879">
        <f>COUNTIF($W$22:W879,1)</f>
        <v>0</v>
      </c>
      <c r="B879">
        <v>879</v>
      </c>
      <c r="C879" s="340" t="str">
        <f>Tabulka1[[#This Row],[KOD]]</f>
        <v>CS1352X10</v>
      </c>
      <c r="W879" t="str">
        <f t="shared" si="14"/>
        <v/>
      </c>
      <c r="Y879" s="341">
        <f>IF('General price list'!$AB881="",0,'General price list'!$AB881)</f>
        <v>0</v>
      </c>
      <c r="Z879" s="365">
        <f>IFERROR(X879*VLOOKUP(C879,'General price list'!C:I,7,FALSE),"")</f>
        <v>0</v>
      </c>
      <c r="AA879" s="365" t="str">
        <f>IF(X879&lt;&gt;"",VLOOKUP(C879,'General price list'!C881:AN1854,MATCH("HM",Tabulka1[[#Headers],[KOD]:[NEQ]],0),FALSE),"")</f>
        <v/>
      </c>
    </row>
    <row r="880" spans="1:27">
      <c r="A880">
        <f>COUNTIF($W$22:W880,1)</f>
        <v>0</v>
      </c>
      <c r="B880">
        <v>880</v>
      </c>
      <c r="C880" s="340" t="str">
        <f>Tabulka1[[#This Row],[KOD]]</f>
        <v>CX1352X11</v>
      </c>
      <c r="W880" t="str">
        <f t="shared" si="14"/>
        <v/>
      </c>
      <c r="Y880" s="341">
        <f>IF('General price list'!$AB882="",0,'General price list'!$AB882)</f>
        <v>0</v>
      </c>
      <c r="Z880" s="365">
        <f>IFERROR(X880*VLOOKUP(C880,'General price list'!C:I,7,FALSE),"")</f>
        <v>0</v>
      </c>
      <c r="AA880" s="365" t="str">
        <f>IF(X880&lt;&gt;"",VLOOKUP(C880,'General price list'!C882:AN1855,MATCH("HM",Tabulka1[[#Headers],[KOD]:[NEQ]],0),FALSE),"")</f>
        <v/>
      </c>
    </row>
    <row r="881" spans="1:27">
      <c r="A881">
        <f>COUNTIF($W$22:W881,1)</f>
        <v>0</v>
      </c>
      <c r="B881">
        <v>881</v>
      </c>
      <c r="C881" s="340" t="str">
        <f>Tabulka1[[#This Row],[KOD]]</f>
        <v>CS1352X14</v>
      </c>
      <c r="W881" t="str">
        <f t="shared" si="14"/>
        <v/>
      </c>
      <c r="Y881" s="341">
        <f>IF('General price list'!$AB883="",0,'General price list'!$AB883)</f>
        <v>0</v>
      </c>
      <c r="Z881" s="365">
        <f>IFERROR(X881*VLOOKUP(C881,'General price list'!C:I,7,FALSE),"")</f>
        <v>0</v>
      </c>
      <c r="AA881" s="365" t="str">
        <f>IF(X881&lt;&gt;"",VLOOKUP(C881,'General price list'!C883:AN1856,MATCH("HM",Tabulka1[[#Headers],[KOD]:[NEQ]],0),FALSE),"")</f>
        <v/>
      </c>
    </row>
    <row r="882" spans="1:27">
      <c r="A882">
        <f>COUNTIF($W$22:W882,1)</f>
        <v>0</v>
      </c>
      <c r="B882">
        <v>882</v>
      </c>
      <c r="C882" s="340">
        <f>Tabulka1[[#This Row],[KOD]]</f>
        <v>0</v>
      </c>
      <c r="W882" t="str">
        <f t="shared" si="14"/>
        <v/>
      </c>
      <c r="Y882" s="341">
        <f>IF('General price list'!$AB884="",0,'General price list'!$AB884)</f>
        <v>0</v>
      </c>
      <c r="Z882" s="365" t="str">
        <f>IFERROR(X882*VLOOKUP(C882,'General price list'!C:I,7,FALSE),"")</f>
        <v/>
      </c>
      <c r="AA882" s="365" t="str">
        <f>IF(X882&lt;&gt;"",VLOOKUP(C882,'General price list'!C884:AN1857,MATCH("HM",Tabulka1[[#Headers],[KOD]:[NEQ]],0),FALSE),"")</f>
        <v/>
      </c>
    </row>
    <row r="883" spans="1:27">
      <c r="A883">
        <f>COUNTIF($W$22:W883,1)</f>
        <v>0</v>
      </c>
      <c r="B883">
        <v>883</v>
      </c>
      <c r="C883" s="340" t="str">
        <f>Tabulka1[[#This Row],[KOD]]</f>
        <v>C253CH</v>
      </c>
      <c r="W883" t="str">
        <f t="shared" si="14"/>
        <v/>
      </c>
      <c r="Y883" s="341">
        <f>IF('General price list'!$AB885="",0,'General price list'!$AB885)</f>
        <v>0</v>
      </c>
      <c r="Z883" s="365">
        <f>IFERROR(X883*VLOOKUP(C883,'General price list'!C:I,7,FALSE),"")</f>
        <v>0</v>
      </c>
      <c r="AA883" s="365" t="str">
        <f>IF(X883&lt;&gt;"",VLOOKUP(C883,'General price list'!C885:AN1858,MATCH("HM",Tabulka1[[#Headers],[KOD]:[NEQ]],0),FALSE),"")</f>
        <v/>
      </c>
    </row>
    <row r="884" spans="1:27">
      <c r="A884">
        <f>COUNTIF($W$22:W884,1)</f>
        <v>0</v>
      </c>
      <c r="B884">
        <v>884</v>
      </c>
      <c r="C884" s="340" t="str">
        <f>Tabulka1[[#This Row],[KOD]]</f>
        <v>C253O</v>
      </c>
      <c r="W884" t="str">
        <f t="shared" si="14"/>
        <v/>
      </c>
      <c r="Y884" s="341">
        <f>IF('General price list'!$AB886="",0,'General price list'!$AB886)</f>
        <v>0</v>
      </c>
      <c r="Z884" s="365">
        <f>IFERROR(X884*VLOOKUP(C884,'General price list'!C:I,7,FALSE),"")</f>
        <v>0</v>
      </c>
      <c r="AA884" s="365" t="str">
        <f>IF(X884&lt;&gt;"",VLOOKUP(C884,'General price list'!C886:AN1859,MATCH("HM",Tabulka1[[#Headers],[KOD]:[NEQ]],0),FALSE),"")</f>
        <v/>
      </c>
    </row>
    <row r="885" spans="1:27">
      <c r="A885">
        <f>COUNTIF($W$22:W885,1)</f>
        <v>0</v>
      </c>
      <c r="B885">
        <v>885</v>
      </c>
      <c r="C885" s="340">
        <f>Tabulka1[[#This Row],[KOD]]</f>
        <v>0</v>
      </c>
      <c r="W885" t="str">
        <f t="shared" si="14"/>
        <v/>
      </c>
      <c r="Y885" s="341">
        <f>IF('General price list'!$AB887="",0,'General price list'!$AB887)</f>
        <v>0</v>
      </c>
      <c r="Z885" s="365" t="str">
        <f>IFERROR(X885*VLOOKUP(C885,'General price list'!C:I,7,FALSE),"")</f>
        <v/>
      </c>
      <c r="AA885" s="365" t="str">
        <f>IF(X885&lt;&gt;"",VLOOKUP(C885,'General price list'!C887:AN1860,MATCH("HM",Tabulka1[[#Headers],[KOD]:[NEQ]],0),FALSE),"")</f>
        <v/>
      </c>
    </row>
    <row r="886" spans="1:27">
      <c r="A886">
        <f>COUNTIF($W$22:W886,1)</f>
        <v>0</v>
      </c>
      <c r="B886">
        <v>886</v>
      </c>
      <c r="C886" s="340" t="str">
        <f>Tabulka1[[#This Row],[KOD]]</f>
        <v>CF503X3</v>
      </c>
      <c r="W886" t="str">
        <f t="shared" si="14"/>
        <v/>
      </c>
      <c r="Y886" s="341">
        <f>IF('General price list'!$AB888="",0,'General price list'!$AB888)</f>
        <v>0</v>
      </c>
      <c r="Z886" s="365">
        <f>IFERROR(X886*VLOOKUP(C886,'General price list'!C:I,7,FALSE),"")</f>
        <v>0</v>
      </c>
      <c r="AA886" s="365" t="str">
        <f>IF(X886&lt;&gt;"",VLOOKUP(C886,'General price list'!C888:AN1861,MATCH("HM",Tabulka1[[#Headers],[KOD]:[NEQ]],0),FALSE),"")</f>
        <v/>
      </c>
    </row>
    <row r="887" spans="1:27">
      <c r="A887">
        <f>COUNTIF($W$22:W887,1)</f>
        <v>0</v>
      </c>
      <c r="B887">
        <v>887</v>
      </c>
      <c r="C887" s="340" t="str">
        <f>Tabulka1[[#This Row],[KOD]]</f>
        <v>CF503X4</v>
      </c>
      <c r="W887" t="str">
        <f t="shared" si="14"/>
        <v/>
      </c>
      <c r="Y887" s="341">
        <f>IF('General price list'!$AB889="",0,'General price list'!$AB889)</f>
        <v>0</v>
      </c>
      <c r="Z887" s="365">
        <f>IFERROR(X887*VLOOKUP(C887,'General price list'!C:I,7,FALSE),"")</f>
        <v>0</v>
      </c>
      <c r="AA887" s="365" t="str">
        <f>IF(X887&lt;&gt;"",VLOOKUP(C887,'General price list'!C889:AN1862,MATCH("HM",Tabulka1[[#Headers],[KOD]:[NEQ]],0),FALSE),"")</f>
        <v/>
      </c>
    </row>
    <row r="888" spans="1:27">
      <c r="A888">
        <f>COUNTIF($W$22:W888,1)</f>
        <v>0</v>
      </c>
      <c r="B888">
        <v>888</v>
      </c>
      <c r="C888" s="340" t="str">
        <f>Tabulka1[[#This Row],[KOD]]</f>
        <v>CF503X5</v>
      </c>
      <c r="W888" t="str">
        <f t="shared" si="14"/>
        <v/>
      </c>
      <c r="Y888" s="341">
        <f>IF('General price list'!$AB890="",0,'General price list'!$AB890)</f>
        <v>0</v>
      </c>
      <c r="Z888" s="365">
        <f>IFERROR(X888*VLOOKUP(C888,'General price list'!C:I,7,FALSE),"")</f>
        <v>0</v>
      </c>
      <c r="AA888" s="365" t="str">
        <f>IF(X888&lt;&gt;"",VLOOKUP(C888,'General price list'!C890:AN1863,MATCH("HM",Tabulka1[[#Headers],[KOD]:[NEQ]],0),FALSE),"")</f>
        <v/>
      </c>
    </row>
    <row r="889" spans="1:27">
      <c r="A889">
        <f>COUNTIF($W$22:W889,1)</f>
        <v>0</v>
      </c>
      <c r="B889">
        <v>889</v>
      </c>
      <c r="C889" s="340" t="str">
        <f>Tabulka1[[#This Row],[KOD]]</f>
        <v>CF503X7</v>
      </c>
      <c r="W889" t="str">
        <f t="shared" si="14"/>
        <v/>
      </c>
      <c r="Y889" s="341">
        <f>IF('General price list'!$AB891="",0,'General price list'!$AB891)</f>
        <v>0</v>
      </c>
      <c r="Z889" s="365">
        <f>IFERROR(X889*VLOOKUP(C889,'General price list'!C:I,7,FALSE),"")</f>
        <v>0</v>
      </c>
      <c r="AA889" s="365" t="str">
        <f>IF(X889&lt;&gt;"",VLOOKUP(C889,'General price list'!C891:AN1864,MATCH("HM",Tabulka1[[#Headers],[KOD]:[NEQ]],0),FALSE),"")</f>
        <v/>
      </c>
    </row>
    <row r="890" spans="1:27">
      <c r="A890">
        <f>COUNTIF($W$22:W890,1)</f>
        <v>0</v>
      </c>
      <c r="B890">
        <v>890</v>
      </c>
      <c r="C890" s="340" t="str">
        <f>Tabulka1[[#This Row],[KOD]]</f>
        <v>CF503X8</v>
      </c>
      <c r="W890" t="str">
        <f t="shared" si="14"/>
        <v/>
      </c>
      <c r="Y890" s="341">
        <f>IF('General price list'!$AB892="",0,'General price list'!$AB892)</f>
        <v>0</v>
      </c>
      <c r="Z890" s="365">
        <f>IFERROR(X890*VLOOKUP(C890,'General price list'!C:I,7,FALSE),"")</f>
        <v>0</v>
      </c>
      <c r="AA890" s="365" t="str">
        <f>IF(X890&lt;&gt;"",VLOOKUP(C890,'General price list'!C892:AN1865,MATCH("HM",Tabulka1[[#Headers],[KOD]:[NEQ]],0),FALSE),"")</f>
        <v/>
      </c>
    </row>
    <row r="891" spans="1:27">
      <c r="A891">
        <f>COUNTIF($W$22:W891,1)</f>
        <v>0</v>
      </c>
      <c r="B891">
        <v>891</v>
      </c>
      <c r="C891" s="340" t="str">
        <f>Tabulka1[[#This Row],[KOD]]</f>
        <v>CF503X12</v>
      </c>
      <c r="W891" t="str">
        <f t="shared" si="14"/>
        <v/>
      </c>
      <c r="Y891" s="341">
        <f>IF('General price list'!$AB893="",0,'General price list'!$AB893)</f>
        <v>0</v>
      </c>
      <c r="Z891" s="365">
        <f>IFERROR(X891*VLOOKUP(C891,'General price list'!C:I,7,FALSE),"")</f>
        <v>0</v>
      </c>
      <c r="AA891" s="365" t="str">
        <f>IF(X891&lt;&gt;"",VLOOKUP(C891,'General price list'!C893:AN1866,MATCH("HM",Tabulka1[[#Headers],[KOD]:[NEQ]],0),FALSE),"")</f>
        <v/>
      </c>
    </row>
    <row r="892" spans="1:27">
      <c r="A892">
        <f>COUNTIF($W$22:W892,1)</f>
        <v>0</v>
      </c>
      <c r="B892">
        <v>892</v>
      </c>
      <c r="C892" s="340" t="str">
        <f>Tabulka1[[#This Row],[KOD]]</f>
        <v>CF503X14</v>
      </c>
      <c r="W892" t="str">
        <f t="shared" si="14"/>
        <v/>
      </c>
      <c r="Y892" s="341">
        <f>IF('General price list'!$AB894="",0,'General price list'!$AB894)</f>
        <v>0</v>
      </c>
      <c r="Z892" s="365">
        <f>IFERROR(X892*VLOOKUP(C892,'General price list'!C:I,7,FALSE),"")</f>
        <v>0</v>
      </c>
      <c r="AA892" s="365" t="str">
        <f>IF(X892&lt;&gt;"",VLOOKUP(C892,'General price list'!C894:AN1867,MATCH("HM",Tabulka1[[#Headers],[KOD]:[NEQ]],0),FALSE),"")</f>
        <v/>
      </c>
    </row>
    <row r="893" spans="1:27" s="20" customFormat="1">
      <c r="A893">
        <f>COUNTIF($W$22:W893,1)</f>
        <v>0</v>
      </c>
      <c r="B893" s="20">
        <v>893</v>
      </c>
      <c r="C893" s="339" t="str">
        <f>Tabulka1[[#This Row],[KOD]]</f>
        <v>CF503X15</v>
      </c>
      <c r="W893" t="str">
        <f t="shared" si="14"/>
        <v/>
      </c>
      <c r="X893"/>
      <c r="Y893" s="341">
        <f>IF('General price list'!$AB895="",0,'General price list'!$AB895)</f>
        <v>0</v>
      </c>
      <c r="Z893" s="365">
        <f>IFERROR(X893*VLOOKUP(C893,'General price list'!C:I,7,FALSE),"")</f>
        <v>0</v>
      </c>
      <c r="AA893" s="365" t="str">
        <f>IF(X893&lt;&gt;"",VLOOKUP(C893,'General price list'!C895:AN1868,MATCH("HM",Tabulka1[[#Headers],[KOD]:[NEQ]],0),FALSE),"")</f>
        <v/>
      </c>
    </row>
    <row r="894" spans="1:27">
      <c r="A894">
        <f>COUNTIF($W$22:W894,1)</f>
        <v>0</v>
      </c>
      <c r="B894">
        <v>894</v>
      </c>
      <c r="C894" s="340" t="str">
        <f>Tabulka1[[#This Row],[KOD]]</f>
        <v>CF503X17</v>
      </c>
      <c r="W894" t="str">
        <f t="shared" si="14"/>
        <v/>
      </c>
      <c r="Y894" s="341">
        <f>IF('General price list'!$AB896="",0,'General price list'!$AB896)</f>
        <v>0</v>
      </c>
      <c r="Z894" s="365">
        <f>IFERROR(X894*VLOOKUP(C894,'General price list'!C:I,7,FALSE),"")</f>
        <v>0</v>
      </c>
      <c r="AA894" s="365" t="str">
        <f>IF(X894&lt;&gt;"",VLOOKUP(C894,'General price list'!C896:AN1869,MATCH("HM",Tabulka1[[#Headers],[KOD]:[NEQ]],0),FALSE),"")</f>
        <v/>
      </c>
    </row>
    <row r="895" spans="1:27">
      <c r="A895">
        <f>COUNTIF($W$22:W895,1)</f>
        <v>0</v>
      </c>
      <c r="B895">
        <v>895</v>
      </c>
      <c r="C895" s="340" t="str">
        <f>Tabulka1[[#This Row],[KOD]]</f>
        <v>CF503X29</v>
      </c>
      <c r="W895" t="str">
        <f t="shared" si="14"/>
        <v/>
      </c>
      <c r="Y895" s="341">
        <f>IF('General price list'!$AB897="",0,'General price list'!$AB897)</f>
        <v>0</v>
      </c>
      <c r="Z895" s="365">
        <f>IFERROR(X895*VLOOKUP(C895,'General price list'!C:I,7,FALSE),"")</f>
        <v>0</v>
      </c>
      <c r="AA895" s="365" t="str">
        <f>IF(X895&lt;&gt;"",VLOOKUP(C895,'General price list'!C897:AN1870,MATCH("HM",Tabulka1[[#Headers],[KOD]:[NEQ]],0),FALSE),"")</f>
        <v/>
      </c>
    </row>
    <row r="896" spans="1:27">
      <c r="A896">
        <f>COUNTIF($W$22:W896,1)</f>
        <v>0</v>
      </c>
      <c r="B896">
        <v>896</v>
      </c>
      <c r="C896" s="340" t="str">
        <f>Tabulka1[[#This Row],[KOD]]</f>
        <v>CF503X48</v>
      </c>
      <c r="W896" t="str">
        <f t="shared" si="14"/>
        <v/>
      </c>
      <c r="Y896" s="341">
        <f>IF('General price list'!$AB898="",0,'General price list'!$AB898)</f>
        <v>0</v>
      </c>
      <c r="Z896" s="365">
        <f>IFERROR(X896*VLOOKUP(C896,'General price list'!C:I,7,FALSE),"")</f>
        <v>0</v>
      </c>
      <c r="AA896" s="365" t="str">
        <f>IF(X896&lt;&gt;"",VLOOKUP(C896,'General price list'!C898:AN1871,MATCH("HM",Tabulka1[[#Headers],[KOD]:[NEQ]],0),FALSE),"")</f>
        <v/>
      </c>
    </row>
    <row r="897" spans="1:27">
      <c r="A897">
        <f>COUNTIF($W$22:W897,1)</f>
        <v>0</v>
      </c>
      <c r="B897">
        <v>897</v>
      </c>
      <c r="C897" s="340" t="str">
        <f>Tabulka1[[#This Row],[KOD]]</f>
        <v>CF503X54</v>
      </c>
      <c r="W897" t="str">
        <f t="shared" si="14"/>
        <v/>
      </c>
      <c r="Y897" s="341">
        <f>IF('General price list'!$AB899="",0,'General price list'!$AB899)</f>
        <v>0</v>
      </c>
      <c r="Z897" s="365">
        <f>IFERROR(X897*VLOOKUP(C897,'General price list'!C:I,7,FALSE),"")</f>
        <v>0</v>
      </c>
      <c r="AA897" s="365" t="str">
        <f>IF(X897&lt;&gt;"",VLOOKUP(C897,'General price list'!C899:AN1872,MATCH("HM",Tabulka1[[#Headers],[KOD]:[NEQ]],0),FALSE),"")</f>
        <v/>
      </c>
    </row>
    <row r="898" spans="1:27">
      <c r="A898">
        <f>COUNTIF($W$22:W898,1)</f>
        <v>0</v>
      </c>
      <c r="B898">
        <v>898</v>
      </c>
      <c r="C898" s="340">
        <f>Tabulka1[[#This Row],[KOD]]</f>
        <v>0</v>
      </c>
      <c r="W898" t="str">
        <f t="shared" si="14"/>
        <v/>
      </c>
      <c r="Y898" s="341">
        <f>IF('General price list'!$AB900="",0,'General price list'!$AB900)</f>
        <v>0</v>
      </c>
      <c r="Z898" s="365" t="str">
        <f>IFERROR(X898*VLOOKUP(C898,'General price list'!C:I,7,FALSE),"")</f>
        <v/>
      </c>
      <c r="AA898" s="365" t="str">
        <f>IF(X898&lt;&gt;"",VLOOKUP(C898,'General price list'!C900:AN1873,MATCH("HM",Tabulka1[[#Headers],[KOD]:[NEQ]],0),FALSE),"")</f>
        <v/>
      </c>
    </row>
    <row r="899" spans="1:27">
      <c r="A899">
        <f>COUNTIF($W$22:W899,1)</f>
        <v>0</v>
      </c>
      <c r="B899">
        <v>899</v>
      </c>
      <c r="C899" s="340" t="str">
        <f>Tabulka1[[#This Row],[KOD]]</f>
        <v>CS503X8</v>
      </c>
      <c r="W899" t="str">
        <f t="shared" si="14"/>
        <v/>
      </c>
      <c r="Y899" s="341">
        <f>IF('General price list'!$AB901="",0,'General price list'!$AB901)</f>
        <v>0</v>
      </c>
      <c r="Z899" s="365">
        <f>IFERROR(X899*VLOOKUP(C899,'General price list'!C:I,7,FALSE),"")</f>
        <v>0</v>
      </c>
      <c r="AA899" s="365" t="str">
        <f>IF(X899&lt;&gt;"",VLOOKUP(C899,'General price list'!C901:AN1874,MATCH("HM",Tabulka1[[#Headers],[KOD]:[NEQ]],0),FALSE),"")</f>
        <v/>
      </c>
    </row>
    <row r="900" spans="1:27">
      <c r="A900">
        <f>COUNTIF($W$22:W900,1)</f>
        <v>0</v>
      </c>
      <c r="B900">
        <v>900</v>
      </c>
      <c r="C900" s="340" t="str">
        <f>Tabulka1[[#This Row],[KOD]]</f>
        <v>CS503X9</v>
      </c>
      <c r="W900" t="str">
        <f t="shared" si="14"/>
        <v/>
      </c>
      <c r="Y900" s="341">
        <f>IF('General price list'!$AB902="",0,'General price list'!$AB902)</f>
        <v>0</v>
      </c>
      <c r="Z900" s="365">
        <f>IFERROR(X900*VLOOKUP(C900,'General price list'!C:I,7,FALSE),"")</f>
        <v>0</v>
      </c>
      <c r="AA900" s="365" t="str">
        <f>IF(X900&lt;&gt;"",VLOOKUP(C900,'General price list'!C902:AN1875,MATCH("HM",Tabulka1[[#Headers],[KOD]:[NEQ]],0),FALSE),"")</f>
        <v/>
      </c>
    </row>
    <row r="901" spans="1:27">
      <c r="A901">
        <f>COUNTIF($W$22:W901,1)</f>
        <v>0</v>
      </c>
      <c r="B901">
        <v>901</v>
      </c>
      <c r="C901" s="340" t="str">
        <f>Tabulka1[[#This Row],[KOD]]</f>
        <v>CS503X11</v>
      </c>
      <c r="W901" t="str">
        <f t="shared" si="14"/>
        <v/>
      </c>
      <c r="Y901" s="341">
        <f>IF('General price list'!$AB903="",0,'General price list'!$AB903)</f>
        <v>0</v>
      </c>
      <c r="Z901" s="365">
        <f>IFERROR(X901*VLOOKUP(C901,'General price list'!C:I,7,FALSE),"")</f>
        <v>0</v>
      </c>
      <c r="AA901" s="365" t="str">
        <f>IF(X901&lt;&gt;"",VLOOKUP(C901,'General price list'!C903:AN1876,MATCH("HM",Tabulka1[[#Headers],[KOD]:[NEQ]],0),FALSE),"")</f>
        <v/>
      </c>
    </row>
    <row r="902" spans="1:27">
      <c r="A902">
        <f>COUNTIF($W$22:W902,1)</f>
        <v>0</v>
      </c>
      <c r="B902">
        <v>902</v>
      </c>
      <c r="C902" s="340" t="str">
        <f>Tabulka1[[#This Row],[KOD]]</f>
        <v>CS503X14</v>
      </c>
      <c r="W902" t="str">
        <f t="shared" si="14"/>
        <v/>
      </c>
      <c r="Y902" s="341">
        <f>IF('General price list'!$AB904="",0,'General price list'!$AB904)</f>
        <v>0</v>
      </c>
      <c r="Z902" s="365">
        <f>IFERROR(X902*VLOOKUP(C902,'General price list'!C:I,7,FALSE),"")</f>
        <v>0</v>
      </c>
      <c r="AA902" s="365" t="str">
        <f>IF(X902&lt;&gt;"",VLOOKUP(C902,'General price list'!C904:AN1877,MATCH("HM",Tabulka1[[#Headers],[KOD]:[NEQ]],0),FALSE),"")</f>
        <v/>
      </c>
    </row>
    <row r="903" spans="1:27">
      <c r="A903">
        <f>COUNTIF($W$22:W903,1)</f>
        <v>0</v>
      </c>
      <c r="B903">
        <v>903</v>
      </c>
      <c r="C903" s="340" t="str">
        <f>Tabulka1[[#This Row],[KOD]]</f>
        <v>CS503X15</v>
      </c>
      <c r="W903" t="str">
        <f t="shared" si="14"/>
        <v/>
      </c>
      <c r="Y903" s="341">
        <f>IF('General price list'!$AB905="",0,'General price list'!$AB905)</f>
        <v>0</v>
      </c>
      <c r="Z903" s="365">
        <f>IFERROR(X903*VLOOKUP(C903,'General price list'!C:I,7,FALSE),"")</f>
        <v>0</v>
      </c>
      <c r="AA903" s="365" t="str">
        <f>IF(X903&lt;&gt;"",VLOOKUP(C903,'General price list'!C905:AN1878,MATCH("HM",Tabulka1[[#Headers],[KOD]:[NEQ]],0),FALSE),"")</f>
        <v/>
      </c>
    </row>
    <row r="904" spans="1:27">
      <c r="A904">
        <f>COUNTIF($W$22:W904,1)</f>
        <v>0</v>
      </c>
      <c r="B904">
        <v>904</v>
      </c>
      <c r="C904" s="340" t="str">
        <f>Tabulka1[[#This Row],[KOD]]</f>
        <v>CS503X19</v>
      </c>
      <c r="W904" t="str">
        <f t="shared" si="14"/>
        <v/>
      </c>
      <c r="Y904" s="341">
        <f>IF('General price list'!$AB906="",0,'General price list'!$AB906)</f>
        <v>0</v>
      </c>
      <c r="Z904" s="365">
        <f>IFERROR(X904*VLOOKUP(C904,'General price list'!C:I,7,FALSE),"")</f>
        <v>0</v>
      </c>
      <c r="AA904" s="365" t="str">
        <f>IF(X904&lt;&gt;"",VLOOKUP(C904,'General price list'!C906:AN1879,MATCH("HM",Tabulka1[[#Headers],[KOD]:[NEQ]],0),FALSE),"")</f>
        <v/>
      </c>
    </row>
    <row r="905" spans="1:27">
      <c r="A905">
        <f>COUNTIF($W$22:W905,1)</f>
        <v>0</v>
      </c>
      <c r="B905">
        <v>905</v>
      </c>
      <c r="C905" s="340" t="str">
        <f>Tabulka1[[#This Row],[KOD]]</f>
        <v>CS503X26</v>
      </c>
      <c r="W905" t="str">
        <f t="shared" si="14"/>
        <v/>
      </c>
      <c r="Y905" s="341">
        <f>IF('General price list'!$AB907="",0,'General price list'!$AB907)</f>
        <v>0</v>
      </c>
      <c r="Z905" s="365">
        <f>IFERROR(X905*VLOOKUP(C905,'General price list'!C:I,7,FALSE),"")</f>
        <v>0</v>
      </c>
      <c r="AA905" s="365" t="str">
        <f>IF(X905&lt;&gt;"",VLOOKUP(C905,'General price list'!C907:AN1880,MATCH("HM",Tabulka1[[#Headers],[KOD]:[NEQ]],0),FALSE),"")</f>
        <v/>
      </c>
    </row>
    <row r="906" spans="1:27">
      <c r="A906">
        <f>COUNTIF($W$22:W906,1)</f>
        <v>0</v>
      </c>
      <c r="B906">
        <v>906</v>
      </c>
      <c r="C906" s="340" t="str">
        <f>Tabulka1[[#This Row],[KOD]]</f>
        <v>CS503X33</v>
      </c>
      <c r="W906" t="str">
        <f t="shared" si="14"/>
        <v/>
      </c>
      <c r="Y906" s="341">
        <f>IF('General price list'!$AB908="",0,'General price list'!$AB908)</f>
        <v>0</v>
      </c>
      <c r="Z906" s="365">
        <f>IFERROR(X906*VLOOKUP(C906,'General price list'!C:I,7,FALSE),"")</f>
        <v>0</v>
      </c>
      <c r="AA906" s="365" t="str">
        <f>IF(X906&lt;&gt;"",VLOOKUP(C906,'General price list'!C908:AN1881,MATCH("HM",Tabulka1[[#Headers],[KOD]:[NEQ]],0),FALSE),"")</f>
        <v/>
      </c>
    </row>
    <row r="907" spans="1:27">
      <c r="A907">
        <f>COUNTIF($W$22:W907,1)</f>
        <v>0</v>
      </c>
      <c r="B907">
        <v>907</v>
      </c>
      <c r="C907" s="340" t="str">
        <f>Tabulka1[[#This Row],[KOD]]</f>
        <v>CS503X38</v>
      </c>
      <c r="W907" t="str">
        <f t="shared" si="14"/>
        <v/>
      </c>
      <c r="Y907" s="341">
        <f>IF('General price list'!$AB909="",0,'General price list'!$AB909)</f>
        <v>0</v>
      </c>
      <c r="Z907" s="365">
        <f>IFERROR(X907*VLOOKUP(C907,'General price list'!C:I,7,FALSE),"")</f>
        <v>0</v>
      </c>
      <c r="AA907" s="365" t="str">
        <f>IF(X907&lt;&gt;"",VLOOKUP(C907,'General price list'!C909:AN1882,MATCH("HM",Tabulka1[[#Headers],[KOD]:[NEQ]],0),FALSE),"")</f>
        <v/>
      </c>
    </row>
    <row r="908" spans="1:27">
      <c r="A908">
        <f>COUNTIF($W$22:W908,1)</f>
        <v>0</v>
      </c>
      <c r="B908">
        <v>908</v>
      </c>
      <c r="C908" s="340">
        <f>Tabulka1[[#This Row],[KOD]]</f>
        <v>0</v>
      </c>
      <c r="W908" t="str">
        <f t="shared" si="14"/>
        <v/>
      </c>
      <c r="Y908" s="341">
        <f>IF('General price list'!$AB910="",0,'General price list'!$AB910)</f>
        <v>0</v>
      </c>
      <c r="Z908" s="365" t="str">
        <f>IFERROR(X908*VLOOKUP(C908,'General price list'!C:I,7,FALSE),"")</f>
        <v/>
      </c>
      <c r="AA908" s="365" t="str">
        <f>IF(X908&lt;&gt;"",VLOOKUP(C908,'General price list'!C910:AN1883,MATCH("HM",Tabulka1[[#Headers],[KOD]:[NEQ]],0),FALSE),"")</f>
        <v/>
      </c>
    </row>
    <row r="909" spans="1:27">
      <c r="A909">
        <f>COUNTIF($W$22:W909,1)</f>
        <v>0</v>
      </c>
      <c r="B909">
        <v>909</v>
      </c>
      <c r="C909" s="340" t="str">
        <f>Tabulka1[[#This Row],[KOD]]</f>
        <v>S2M</v>
      </c>
      <c r="W909" t="str">
        <f t="shared" si="14"/>
        <v/>
      </c>
      <c r="Y909" s="341">
        <f>IF('General price list'!$AB911="",0,'General price list'!$AB911)</f>
        <v>0</v>
      </c>
      <c r="Z909" s="365">
        <f>IFERROR(X909*VLOOKUP(C909,'General price list'!C:I,7,FALSE),"")</f>
        <v>0</v>
      </c>
      <c r="AA909" s="365" t="str">
        <f>IF(X909&lt;&gt;"",VLOOKUP(C909,'General price list'!C911:AN1884,MATCH("HM",Tabulka1[[#Headers],[KOD]:[NEQ]],0),FALSE),"")</f>
        <v/>
      </c>
    </row>
    <row r="910" spans="1:27">
      <c r="A910">
        <f>COUNTIF($W$22:W910,1)</f>
        <v>0</v>
      </c>
      <c r="B910">
        <v>910</v>
      </c>
      <c r="C910" s="340">
        <f>Tabulka1[[#This Row],[KOD]]</f>
        <v>0</v>
      </c>
      <c r="W910" t="str">
        <f t="shared" si="14"/>
        <v/>
      </c>
      <c r="Y910" s="341">
        <f>IF('General price list'!$AB912="",0,'General price list'!$AB912)</f>
        <v>0</v>
      </c>
      <c r="Z910" s="365" t="str">
        <f>IFERROR(X910*VLOOKUP(C910,'General price list'!C:I,7,FALSE),"")</f>
        <v/>
      </c>
      <c r="AA910" s="365" t="str">
        <f>IF(X910&lt;&gt;"",VLOOKUP(C910,'General price list'!C912:AN1885,MATCH("HM",Tabulka1[[#Headers],[KOD]:[NEQ]],0),FALSE),"")</f>
        <v/>
      </c>
    </row>
    <row r="911" spans="1:27">
      <c r="A911">
        <f>COUNTIF($W$22:W911,1)</f>
        <v>0</v>
      </c>
      <c r="B911">
        <v>911</v>
      </c>
      <c r="C911" s="340" t="str">
        <f>Tabulka1[[#This Row],[KOD]]</f>
        <v>S3F/P</v>
      </c>
      <c r="W911" t="str">
        <f t="shared" si="14"/>
        <v/>
      </c>
      <c r="Y911" s="341">
        <f>IF('General price list'!$AB913="",0,'General price list'!$AB913)</f>
        <v>0</v>
      </c>
      <c r="Z911" s="365">
        <f>IFERROR(X911*VLOOKUP(C911,'General price list'!C:I,7,FALSE),"")</f>
        <v>0</v>
      </c>
      <c r="AA911" s="365" t="str">
        <f>IF(X911&lt;&gt;"",VLOOKUP(C911,'General price list'!C913:AN1886,MATCH("HM",Tabulka1[[#Headers],[KOD]:[NEQ]],0),FALSE),"")</f>
        <v/>
      </c>
    </row>
    <row r="912" spans="1:27">
      <c r="A912">
        <f>COUNTIF($W$22:W912,1)</f>
        <v>0</v>
      </c>
      <c r="B912">
        <v>912</v>
      </c>
      <c r="C912" s="340" t="str">
        <f>Tabulka1[[#This Row],[KOD]]</f>
        <v>S3IA/P</v>
      </c>
      <c r="W912" t="str">
        <f t="shared" si="14"/>
        <v/>
      </c>
      <c r="Y912" s="341">
        <f>IF('General price list'!$AB914="",0,'General price list'!$AB914)</f>
        <v>0</v>
      </c>
      <c r="Z912" s="365">
        <f>IFERROR(X912*VLOOKUP(C912,'General price list'!C:I,7,FALSE),"")</f>
        <v>0</v>
      </c>
      <c r="AA912" s="365" t="str">
        <f>IF(X912&lt;&gt;"",VLOOKUP(C912,'General price list'!C914:AN1887,MATCH("HM",Tabulka1[[#Headers],[KOD]:[NEQ]],0),FALSE),"")</f>
        <v/>
      </c>
    </row>
    <row r="913" spans="1:27">
      <c r="A913">
        <f>COUNTIF($W$22:W913,1)</f>
        <v>0</v>
      </c>
      <c r="B913">
        <v>913</v>
      </c>
      <c r="C913" s="340" t="str">
        <f>Tabulka1[[#This Row],[KOD]]</f>
        <v>S3J/P</v>
      </c>
      <c r="W913" t="str">
        <f t="shared" si="14"/>
        <v/>
      </c>
      <c r="Y913" s="341">
        <f>IF('General price list'!$AB915="",0,'General price list'!$AB915)</f>
        <v>0</v>
      </c>
      <c r="Z913" s="365">
        <f>IFERROR(X913*VLOOKUP(C913,'General price list'!C:I,7,FALSE),"")</f>
        <v>0</v>
      </c>
      <c r="AA913" s="365" t="str">
        <f>IF(X913&lt;&gt;"",VLOOKUP(C913,'General price list'!C915:AN1888,MATCH("HM",Tabulka1[[#Headers],[KOD]:[NEQ]],0),FALSE),"")</f>
        <v/>
      </c>
    </row>
    <row r="914" spans="1:27">
      <c r="A914">
        <f>COUNTIF($W$22:W914,1)</f>
        <v>0</v>
      </c>
      <c r="B914">
        <v>914</v>
      </c>
      <c r="C914" s="340" t="str">
        <f>Tabulka1[[#This Row],[KOD]]</f>
        <v>S3S/P</v>
      </c>
      <c r="W914" t="str">
        <f t="shared" si="14"/>
        <v/>
      </c>
      <c r="Y914" s="341">
        <f>IF('General price list'!$AB916="",0,'General price list'!$AB916)</f>
        <v>0</v>
      </c>
      <c r="Z914" s="365">
        <f>IFERROR(X914*VLOOKUP(C914,'General price list'!C:I,7,FALSE),"")</f>
        <v>0</v>
      </c>
      <c r="AA914" s="365" t="str">
        <f>IF(X914&lt;&gt;"",VLOOKUP(C914,'General price list'!C916:AN1889,MATCH("HM",Tabulka1[[#Headers],[KOD]:[NEQ]],0),FALSE),"")</f>
        <v/>
      </c>
    </row>
    <row r="915" spans="1:27">
      <c r="A915">
        <f>COUNTIF($W$22:W915,1)</f>
        <v>0</v>
      </c>
      <c r="B915">
        <v>915</v>
      </c>
      <c r="C915" s="340" t="str">
        <f>Tabulka1[[#This Row],[KOD]]</f>
        <v>S3T</v>
      </c>
      <c r="W915" t="str">
        <f t="shared" si="14"/>
        <v/>
      </c>
      <c r="Y915" s="341">
        <f>IF('General price list'!$AB917="",0,'General price list'!$AB917)</f>
        <v>0</v>
      </c>
      <c r="Z915" s="365">
        <f>IFERROR(X915*VLOOKUP(C915,'General price list'!C:I,7,FALSE),"")</f>
        <v>0</v>
      </c>
      <c r="AA915" s="365" t="str">
        <f>IF(X915&lt;&gt;"",VLOOKUP(C915,'General price list'!C917:AN1890,MATCH("HM",Tabulka1[[#Headers],[KOD]:[NEQ]],0),FALSE),"")</f>
        <v/>
      </c>
    </row>
    <row r="916" spans="1:27">
      <c r="A916">
        <f>COUNTIF($W$22:W916,1)</f>
        <v>0</v>
      </c>
      <c r="B916">
        <v>916</v>
      </c>
      <c r="C916" s="340" t="str">
        <f>Tabulka1[[#This Row],[KOD]]</f>
        <v>S3M/P</v>
      </c>
      <c r="W916" t="str">
        <f t="shared" si="14"/>
        <v/>
      </c>
      <c r="Y916" s="341">
        <f>IF('General price list'!$AB918="",0,'General price list'!$AB918)</f>
        <v>0</v>
      </c>
      <c r="Z916" s="365">
        <f>IFERROR(X916*VLOOKUP(C916,'General price list'!C:I,7,FALSE),"")</f>
        <v>0</v>
      </c>
      <c r="AA916" s="365" t="str">
        <f>IF(X916&lt;&gt;"",VLOOKUP(C916,'General price list'!C918:AN1891,MATCH("HM",Tabulka1[[#Headers],[KOD]:[NEQ]],0),FALSE),"")</f>
        <v/>
      </c>
    </row>
    <row r="917" spans="1:27">
      <c r="A917">
        <f>COUNTIF($W$22:W917,1)</f>
        <v>0</v>
      </c>
      <c r="B917">
        <v>917</v>
      </c>
      <c r="C917" s="340">
        <f>Tabulka1[[#This Row],[KOD]]</f>
        <v>0</v>
      </c>
      <c r="W917" t="str">
        <f t="shared" si="14"/>
        <v/>
      </c>
      <c r="Y917" s="341">
        <f>IF('General price list'!$AB919="",0,'General price list'!$AB919)</f>
        <v>0</v>
      </c>
      <c r="Z917" s="365" t="str">
        <f>IFERROR(X917*VLOOKUP(C917,'General price list'!C:I,7,FALSE),"")</f>
        <v/>
      </c>
      <c r="AA917" s="365" t="str">
        <f>IF(X917&lt;&gt;"",VLOOKUP(C917,'General price list'!C919:AN1892,MATCH("HM",Tabulka1[[#Headers],[KOD]:[NEQ]],0),FALSE),"")</f>
        <v/>
      </c>
    </row>
    <row r="918" spans="1:27">
      <c r="A918">
        <f>COUNTIF($W$22:W918,1)</f>
        <v>0</v>
      </c>
      <c r="B918">
        <v>918</v>
      </c>
      <c r="C918" s="340" t="str">
        <f>Tabulka1[[#This Row],[KOD]]</f>
        <v>S4T</v>
      </c>
      <c r="W918" t="str">
        <f t="shared" si="14"/>
        <v/>
      </c>
      <c r="Y918" s="341">
        <f>IF('General price list'!$AB920="",0,'General price list'!$AB920)</f>
        <v>0</v>
      </c>
      <c r="Z918" s="365">
        <f>IFERROR(X918*VLOOKUP(C918,'General price list'!C:I,7,FALSE),"")</f>
        <v>0</v>
      </c>
      <c r="AA918" s="365" t="str">
        <f>IF(X918&lt;&gt;"",VLOOKUP(C918,'General price list'!C920:AN1893,MATCH("HM",Tabulka1[[#Headers],[KOD]:[NEQ]],0),FALSE),"")</f>
        <v/>
      </c>
    </row>
    <row r="919" spans="1:27">
      <c r="A919">
        <f>COUNTIF($W$22:W919,1)</f>
        <v>0</v>
      </c>
      <c r="B919">
        <v>919</v>
      </c>
      <c r="C919" s="340">
        <f>Tabulka1[[#This Row],[KOD]]</f>
        <v>0</v>
      </c>
      <c r="W919" t="str">
        <f t="shared" si="14"/>
        <v/>
      </c>
      <c r="Y919" s="341">
        <f>IF('General price list'!$AB921="",0,'General price list'!$AB921)</f>
        <v>0</v>
      </c>
      <c r="Z919" s="365" t="str">
        <f>IFERROR(X919*VLOOKUP(C919,'General price list'!C:I,7,FALSE),"")</f>
        <v/>
      </c>
      <c r="AA919" s="365" t="str">
        <f>IF(X919&lt;&gt;"",VLOOKUP(C919,'General price list'!C921:AN1894,MATCH("HM",Tabulka1[[#Headers],[KOD]:[NEQ]],0),FALSE),"")</f>
        <v/>
      </c>
    </row>
    <row r="920" spans="1:27">
      <c r="A920">
        <f>COUNTIF($W$22:W920,1)</f>
        <v>0</v>
      </c>
      <c r="B920">
        <v>920</v>
      </c>
      <c r="C920" s="340" t="str">
        <f>Tabulka1[[#This Row],[KOD]]</f>
        <v>S4C/P</v>
      </c>
      <c r="W920" t="str">
        <f t="shared" ref="W920:W981" si="15">IF(Y920+1=1,"",1)</f>
        <v/>
      </c>
      <c r="Y920" s="341">
        <f>IF('General price list'!$AB922="",0,'General price list'!$AB922)</f>
        <v>0</v>
      </c>
      <c r="Z920" s="365">
        <f>IFERROR(X920*VLOOKUP(C920,'General price list'!C:I,7,FALSE),"")</f>
        <v>0</v>
      </c>
      <c r="AA920" s="365" t="str">
        <f>IF(X920&lt;&gt;"",VLOOKUP(C920,'General price list'!C922:AN1895,MATCH("HM",Tabulka1[[#Headers],[KOD]:[NEQ]],0),FALSE),"")</f>
        <v/>
      </c>
    </row>
    <row r="921" spans="1:27">
      <c r="A921">
        <f>COUNTIF($W$22:W921,1)</f>
        <v>0</v>
      </c>
      <c r="B921">
        <v>921</v>
      </c>
      <c r="C921" s="340" t="str">
        <f>Tabulka1[[#This Row],[KOD]]</f>
        <v>S4J/P</v>
      </c>
      <c r="W921" t="str">
        <f t="shared" si="15"/>
        <v/>
      </c>
      <c r="Y921" s="341">
        <f>IF('General price list'!$AB923="",0,'General price list'!$AB923)</f>
        <v>0</v>
      </c>
      <c r="Z921" s="365">
        <f>IFERROR(X921*VLOOKUP(C921,'General price list'!C:I,7,FALSE),"")</f>
        <v>0</v>
      </c>
      <c r="AA921" s="365" t="str">
        <f>IF(X921&lt;&gt;"",VLOOKUP(C921,'General price list'!C923:AN1896,MATCH("HM",Tabulka1[[#Headers],[KOD]:[NEQ]],0),FALSE),"")</f>
        <v/>
      </c>
    </row>
    <row r="922" spans="1:27">
      <c r="A922">
        <f>COUNTIF($W$22:W922,1)</f>
        <v>0</v>
      </c>
      <c r="B922">
        <v>922</v>
      </c>
      <c r="C922" s="340" t="str">
        <f>Tabulka1[[#This Row],[KOD]]</f>
        <v>S4K/P</v>
      </c>
      <c r="W922" t="str">
        <f t="shared" si="15"/>
        <v/>
      </c>
      <c r="Y922" s="341">
        <f>IF('General price list'!$AB924="",0,'General price list'!$AB924)</f>
        <v>0</v>
      </c>
      <c r="Z922" s="365">
        <f>IFERROR(X922*VLOOKUP(C922,'General price list'!C:I,7,FALSE),"")</f>
        <v>0</v>
      </c>
      <c r="AA922" s="365" t="str">
        <f>IF(X922&lt;&gt;"",VLOOKUP(C922,'General price list'!C924:AN1897,MATCH("HM",Tabulka1[[#Headers],[KOD]:[NEQ]],0),FALSE),"")</f>
        <v/>
      </c>
    </row>
    <row r="923" spans="1:27">
      <c r="A923">
        <f>COUNTIF($W$22:W923,1)</f>
        <v>0</v>
      </c>
      <c r="B923">
        <v>923</v>
      </c>
      <c r="C923" s="340" t="str">
        <f>Tabulka1[[#This Row],[KOD]]</f>
        <v>S4L/P</v>
      </c>
      <c r="W923" t="str">
        <f t="shared" si="15"/>
        <v/>
      </c>
      <c r="Y923" s="341">
        <f>IF('General price list'!$AB925="",0,'General price list'!$AB925)</f>
        <v>0</v>
      </c>
      <c r="Z923" s="365">
        <f>IFERROR(X923*VLOOKUP(C923,'General price list'!C:I,7,FALSE),"")</f>
        <v>0</v>
      </c>
      <c r="AA923" s="365" t="str">
        <f>IF(X923&lt;&gt;"",VLOOKUP(C923,'General price list'!C925:AN1898,MATCH("HM",Tabulka1[[#Headers],[KOD]:[NEQ]],0),FALSE),"")</f>
        <v/>
      </c>
    </row>
    <row r="924" spans="1:27">
      <c r="A924">
        <f>COUNTIF($W$22:W924,1)</f>
        <v>0</v>
      </c>
      <c r="B924">
        <v>924</v>
      </c>
      <c r="C924" s="340" t="str">
        <f>Tabulka1[[#This Row],[KOD]]</f>
        <v>S4NA/P</v>
      </c>
      <c r="W924" t="str">
        <f t="shared" si="15"/>
        <v/>
      </c>
      <c r="Y924" s="341">
        <f>IF('General price list'!$AB926="",0,'General price list'!$AB926)</f>
        <v>0</v>
      </c>
      <c r="Z924" s="365">
        <f>IFERROR(X924*VLOOKUP(C924,'General price list'!C:I,7,FALSE),"")</f>
        <v>0</v>
      </c>
      <c r="AA924" s="365" t="str">
        <f>IF(X924&lt;&gt;"",VLOOKUP(C924,'General price list'!C926:AN1899,MATCH("HM",Tabulka1[[#Headers],[KOD]:[NEQ]],0),FALSE),"")</f>
        <v/>
      </c>
    </row>
    <row r="925" spans="1:27">
      <c r="A925">
        <f>COUNTIF($W$22:W925,1)</f>
        <v>0</v>
      </c>
      <c r="B925">
        <v>925</v>
      </c>
      <c r="C925" s="340" t="str">
        <f>Tabulka1[[#This Row],[KOD]]</f>
        <v>S4O/P</v>
      </c>
      <c r="W925" t="str">
        <f t="shared" si="15"/>
        <v/>
      </c>
      <c r="Y925" s="341">
        <f>IF('General price list'!$AB927="",0,'General price list'!$AB927)</f>
        <v>0</v>
      </c>
      <c r="Z925" s="365">
        <f>IFERROR(X925*VLOOKUP(C925,'General price list'!C:I,7,FALSE),"")</f>
        <v>0</v>
      </c>
      <c r="AA925" s="365" t="str">
        <f>IF(X925&lt;&gt;"",VLOOKUP(C925,'General price list'!C927:AN1900,MATCH("HM",Tabulka1[[#Headers],[KOD]:[NEQ]],0),FALSE),"")</f>
        <v/>
      </c>
    </row>
    <row r="926" spans="1:27">
      <c r="A926">
        <f>COUNTIF($W$22:W926,1)</f>
        <v>0</v>
      </c>
      <c r="B926">
        <v>926</v>
      </c>
      <c r="C926" s="340" t="str">
        <f>Tabulka1[[#This Row],[KOD]]</f>
        <v>S4P/P</v>
      </c>
      <c r="W926" t="str">
        <f t="shared" si="15"/>
        <v/>
      </c>
      <c r="Y926" s="341">
        <f>IF('General price list'!$AB928="",0,'General price list'!$AB928)</f>
        <v>0</v>
      </c>
      <c r="Z926" s="365">
        <f>IFERROR(X926*VLOOKUP(C926,'General price list'!C:I,7,FALSE),"")</f>
        <v>0</v>
      </c>
      <c r="AA926" s="365" t="str">
        <f>IF(X926&lt;&gt;"",VLOOKUP(C926,'General price list'!C928:AN1901,MATCH("HM",Tabulka1[[#Headers],[KOD]:[NEQ]],0),FALSE),"")</f>
        <v/>
      </c>
    </row>
    <row r="927" spans="1:27">
      <c r="A927">
        <f>COUNTIF($W$22:W927,1)</f>
        <v>0</v>
      </c>
      <c r="B927">
        <v>927</v>
      </c>
      <c r="C927" s="340" t="str">
        <f>Tabulka1[[#This Row],[KOD]]</f>
        <v>S4Q/P</v>
      </c>
      <c r="W927" t="str">
        <f t="shared" si="15"/>
        <v/>
      </c>
      <c r="Y927" s="341">
        <f>IF('General price list'!$AB929="",0,'General price list'!$AB929)</f>
        <v>0</v>
      </c>
      <c r="Z927" s="365">
        <f>IFERROR(X927*VLOOKUP(C927,'General price list'!C:I,7,FALSE),"")</f>
        <v>0</v>
      </c>
      <c r="AA927" s="365" t="str">
        <f>IF(X927&lt;&gt;"",VLOOKUP(C927,'General price list'!C929:AN1902,MATCH("HM",Tabulka1[[#Headers],[KOD]:[NEQ]],0),FALSE),"")</f>
        <v/>
      </c>
    </row>
    <row r="928" spans="1:27">
      <c r="A928">
        <f>COUNTIF($W$22:W928,1)</f>
        <v>0</v>
      </c>
      <c r="B928">
        <v>928</v>
      </c>
      <c r="C928" s="340" t="str">
        <f>Tabulka1[[#This Row],[KOD]]</f>
        <v>S4S/P</v>
      </c>
      <c r="W928" t="str">
        <f t="shared" si="15"/>
        <v/>
      </c>
      <c r="Y928" s="341">
        <f>IF('General price list'!$AB930="",0,'General price list'!$AB930)</f>
        <v>0</v>
      </c>
      <c r="Z928" s="365">
        <f>IFERROR(X928*VLOOKUP(C928,'General price list'!C:I,7,FALSE),"")</f>
        <v>0</v>
      </c>
      <c r="AA928" s="365" t="str">
        <f>IF(X928&lt;&gt;"",VLOOKUP(C928,'General price list'!C930:AN1903,MATCH("HM",Tabulka1[[#Headers],[KOD]:[NEQ]],0),FALSE),"")</f>
        <v/>
      </c>
    </row>
    <row r="929" spans="1:27">
      <c r="A929">
        <f>COUNTIF($W$22:W929,1)</f>
        <v>0</v>
      </c>
      <c r="B929">
        <v>929</v>
      </c>
      <c r="C929" s="340" t="str">
        <f>Tabulka1[[#This Row],[KOD]]</f>
        <v>S4W/P</v>
      </c>
      <c r="W929" t="str">
        <f t="shared" si="15"/>
        <v/>
      </c>
      <c r="Y929" s="341">
        <f>IF('General price list'!$AB931="",0,'General price list'!$AB931)</f>
        <v>0</v>
      </c>
      <c r="Z929" s="365">
        <f>IFERROR(X929*VLOOKUP(C929,'General price list'!C:I,7,FALSE),"")</f>
        <v>0</v>
      </c>
      <c r="AA929" s="365" t="str">
        <f>IF(X929&lt;&gt;"",VLOOKUP(C929,'General price list'!C931:AN1904,MATCH("HM",Tabulka1[[#Headers],[KOD]:[NEQ]],0),FALSE),"")</f>
        <v/>
      </c>
    </row>
    <row r="930" spans="1:27">
      <c r="A930">
        <f>COUNTIF($W$22:W930,1)</f>
        <v>0</v>
      </c>
      <c r="B930">
        <v>930</v>
      </c>
      <c r="C930" s="340" t="str">
        <f>Tabulka1[[#This Row],[KOD]]</f>
        <v>S4Z5/P</v>
      </c>
      <c r="W930" t="str">
        <f t="shared" si="15"/>
        <v/>
      </c>
      <c r="Y930" s="341">
        <f>IF('General price list'!$AB932="",0,'General price list'!$AB932)</f>
        <v>0</v>
      </c>
      <c r="Z930" s="365">
        <f>IFERROR(X930*VLOOKUP(C930,'General price list'!C:I,7,FALSE),"")</f>
        <v>0</v>
      </c>
      <c r="AA930" s="365" t="str">
        <f>IF(X930&lt;&gt;"",VLOOKUP(C930,'General price list'!C932:AN1905,MATCH("HM",Tabulka1[[#Headers],[KOD]:[NEQ]],0),FALSE),"")</f>
        <v/>
      </c>
    </row>
    <row r="931" spans="1:27">
      <c r="A931">
        <f>COUNTIF($W$22:W931,1)</f>
        <v>0</v>
      </c>
      <c r="B931">
        <v>931</v>
      </c>
      <c r="C931" s="340" t="str">
        <f>Tabulka1[[#This Row],[KOD]]</f>
        <v>S4Z6/P</v>
      </c>
      <c r="W931" t="str">
        <f t="shared" si="15"/>
        <v/>
      </c>
      <c r="Y931" s="341">
        <f>IF('General price list'!$AB933="",0,'General price list'!$AB933)</f>
        <v>0</v>
      </c>
      <c r="Z931" s="365">
        <f>IFERROR(X931*VLOOKUP(C931,'General price list'!C:I,7,FALSE),"")</f>
        <v>0</v>
      </c>
      <c r="AA931" s="365" t="str">
        <f>IF(X931&lt;&gt;"",VLOOKUP(C931,'General price list'!C933:AN1906,MATCH("HM",Tabulka1[[#Headers],[KOD]:[NEQ]],0),FALSE),"")</f>
        <v/>
      </c>
    </row>
    <row r="932" spans="1:27">
      <c r="A932">
        <f>COUNTIF($W$22:W932,1)</f>
        <v>0</v>
      </c>
      <c r="B932">
        <v>932</v>
      </c>
      <c r="C932" s="340" t="str">
        <f>Tabulka1[[#This Row],[KOD]]</f>
        <v>S4Z8/P</v>
      </c>
      <c r="W932" t="str">
        <f t="shared" si="15"/>
        <v/>
      </c>
      <c r="Y932" s="341">
        <f>IF('General price list'!$AB934="",0,'General price list'!$AB934)</f>
        <v>0</v>
      </c>
      <c r="Z932" s="365">
        <f>IFERROR(X932*VLOOKUP(C932,'General price list'!C:I,7,FALSE),"")</f>
        <v>0</v>
      </c>
      <c r="AA932" s="365" t="str">
        <f>IF(X932&lt;&gt;"",VLOOKUP(C932,'General price list'!C934:AN1907,MATCH("HM",Tabulka1[[#Headers],[KOD]:[NEQ]],0),FALSE),"")</f>
        <v/>
      </c>
    </row>
    <row r="933" spans="1:27">
      <c r="A933">
        <f>COUNTIF($W$22:W933,1)</f>
        <v>0</v>
      </c>
      <c r="B933">
        <v>933</v>
      </c>
      <c r="C933" s="340" t="str">
        <f>Tabulka1[[#This Row],[KOD]]</f>
        <v>S4Z11/P</v>
      </c>
      <c r="W933" t="str">
        <f t="shared" si="15"/>
        <v/>
      </c>
      <c r="Y933" s="341">
        <f>IF('General price list'!$AB935="",0,'General price list'!$AB935)</f>
        <v>0</v>
      </c>
      <c r="Z933" s="365">
        <f>IFERROR(X933*VLOOKUP(C933,'General price list'!C:I,7,FALSE),"")</f>
        <v>0</v>
      </c>
      <c r="AA933" s="365" t="str">
        <f>IF(X933&lt;&gt;"",VLOOKUP(C933,'General price list'!C935:AN1908,MATCH("HM",Tabulka1[[#Headers],[KOD]:[NEQ]],0),FALSE),"")</f>
        <v/>
      </c>
    </row>
    <row r="934" spans="1:27">
      <c r="A934">
        <f>COUNTIF($W$22:W934,1)</f>
        <v>0</v>
      </c>
      <c r="B934">
        <v>934</v>
      </c>
      <c r="C934" s="340" t="str">
        <f>Tabulka1[[#This Row],[KOD]]</f>
        <v>S4M/P</v>
      </c>
      <c r="W934" t="str">
        <f t="shared" si="15"/>
        <v/>
      </c>
      <c r="Y934" s="341">
        <f>IF('General price list'!$AB936="",0,'General price list'!$AB936)</f>
        <v>0</v>
      </c>
      <c r="Z934" s="365">
        <f>IFERROR(X934*VLOOKUP(C934,'General price list'!C:I,7,FALSE),"")</f>
        <v>0</v>
      </c>
      <c r="AA934" s="365" t="str">
        <f>IF(X934&lt;&gt;"",VLOOKUP(C934,'General price list'!C936:AN1909,MATCH("HM",Tabulka1[[#Headers],[KOD]:[NEQ]],0),FALSE),"")</f>
        <v/>
      </c>
    </row>
    <row r="935" spans="1:27">
      <c r="A935">
        <f>COUNTIF($W$22:W935,1)</f>
        <v>0</v>
      </c>
      <c r="B935">
        <v>935</v>
      </c>
      <c r="C935" s="340">
        <f>Tabulka1[[#This Row],[KOD]]</f>
        <v>0</v>
      </c>
      <c r="W935" t="str">
        <f t="shared" si="15"/>
        <v/>
      </c>
      <c r="Y935" s="341">
        <f>IF('General price list'!$AB937="",0,'General price list'!$AB937)</f>
        <v>0</v>
      </c>
      <c r="Z935" s="365" t="str">
        <f>IFERROR(X935*VLOOKUP(C935,'General price list'!C:I,7,FALSE),"")</f>
        <v/>
      </c>
      <c r="AA935" s="365" t="str">
        <f>IF(X935&lt;&gt;"",VLOOKUP(C935,'General price list'!C937:AN1910,MATCH("HM",Tabulka1[[#Headers],[KOD]:[NEQ]],0),FALSE),"")</f>
        <v/>
      </c>
    </row>
    <row r="936" spans="1:27">
      <c r="A936">
        <f>COUNTIF($W$22:W936,1)</f>
        <v>0</v>
      </c>
      <c r="B936">
        <v>936</v>
      </c>
      <c r="C936" s="340" t="str">
        <f>Tabulka1[[#This Row],[KOD]]</f>
        <v>S5E/P</v>
      </c>
      <c r="W936" t="str">
        <f t="shared" si="15"/>
        <v/>
      </c>
      <c r="Y936" s="341">
        <f>IF('General price list'!$AB938="",0,'General price list'!$AB938)</f>
        <v>0</v>
      </c>
      <c r="Z936" s="365">
        <f>IFERROR(X936*VLOOKUP(C936,'General price list'!C:I,7,FALSE),"")</f>
        <v>0</v>
      </c>
      <c r="AA936" s="365" t="str">
        <f>IF(X936&lt;&gt;"",VLOOKUP(C936,'General price list'!C938:AN1911,MATCH("HM",Tabulka1[[#Headers],[KOD]:[NEQ]],0),FALSE),"")</f>
        <v/>
      </c>
    </row>
    <row r="937" spans="1:27">
      <c r="A937">
        <f>COUNTIF($W$22:W937,1)</f>
        <v>0</v>
      </c>
      <c r="B937">
        <v>937</v>
      </c>
      <c r="C937" s="340" t="str">
        <f>Tabulka1[[#This Row],[KOD]]</f>
        <v>S5F/P</v>
      </c>
      <c r="W937" t="str">
        <f t="shared" si="15"/>
        <v/>
      </c>
      <c r="Y937" s="341">
        <f>IF('General price list'!$AB939="",0,'General price list'!$AB939)</f>
        <v>0</v>
      </c>
      <c r="Z937" s="365">
        <f>IFERROR(X937*VLOOKUP(C937,'General price list'!C:I,7,FALSE),"")</f>
        <v>0</v>
      </c>
      <c r="AA937" s="365" t="str">
        <f>IF(X937&lt;&gt;"",VLOOKUP(C937,'General price list'!C939:AN1912,MATCH("HM",Tabulka1[[#Headers],[KOD]:[NEQ]],0),FALSE),"")</f>
        <v/>
      </c>
    </row>
    <row r="938" spans="1:27">
      <c r="A938">
        <f>COUNTIF($W$22:W938,1)</f>
        <v>0</v>
      </c>
      <c r="B938">
        <v>938</v>
      </c>
      <c r="C938" s="340" t="str">
        <f>Tabulka1[[#This Row],[KOD]]</f>
        <v>S5K/P</v>
      </c>
      <c r="W938" t="str">
        <f t="shared" si="15"/>
        <v/>
      </c>
      <c r="Y938" s="341">
        <f>IF('General price list'!$AB940="",0,'General price list'!$AB940)</f>
        <v>0</v>
      </c>
      <c r="Z938" s="365">
        <f>IFERROR(X938*VLOOKUP(C938,'General price list'!C:I,7,FALSE),"")</f>
        <v>0</v>
      </c>
      <c r="AA938" s="365" t="str">
        <f>IF(X938&lt;&gt;"",VLOOKUP(C938,'General price list'!C940:AN1913,MATCH("HM",Tabulka1[[#Headers],[KOD]:[NEQ]],0),FALSE),"")</f>
        <v/>
      </c>
    </row>
    <row r="939" spans="1:27">
      <c r="A939">
        <f>COUNTIF($W$22:W939,1)</f>
        <v>0</v>
      </c>
      <c r="B939">
        <v>939</v>
      </c>
      <c r="C939" s="340" t="str">
        <f>Tabulka1[[#This Row],[KOD]]</f>
        <v>S5M/P</v>
      </c>
      <c r="W939" t="str">
        <f t="shared" si="15"/>
        <v/>
      </c>
      <c r="Y939" s="341">
        <f>IF('General price list'!$AB941="",0,'General price list'!$AB941)</f>
        <v>0</v>
      </c>
      <c r="Z939" s="365">
        <f>IFERROR(X939*VLOOKUP(C939,'General price list'!C:I,7,FALSE),"")</f>
        <v>0</v>
      </c>
      <c r="AA939" s="365" t="str">
        <f>IF(X939&lt;&gt;"",VLOOKUP(C939,'General price list'!C941:AN1914,MATCH("HM",Tabulka1[[#Headers],[KOD]:[NEQ]],0),FALSE),"")</f>
        <v/>
      </c>
    </row>
    <row r="940" spans="1:27">
      <c r="A940">
        <f>COUNTIF($W$22:W940,1)</f>
        <v>0</v>
      </c>
      <c r="B940">
        <v>940</v>
      </c>
      <c r="C940" s="340">
        <f>Tabulka1[[#This Row],[KOD]]</f>
        <v>0</v>
      </c>
      <c r="W940" t="str">
        <f t="shared" si="15"/>
        <v/>
      </c>
      <c r="Y940" s="341">
        <f>IF('General price list'!$AB942="",0,'General price list'!$AB942)</f>
        <v>0</v>
      </c>
      <c r="Z940" s="365" t="str">
        <f>IFERROR(X940*VLOOKUP(C940,'General price list'!C:I,7,FALSE),"")</f>
        <v/>
      </c>
      <c r="AA940" s="365" t="str">
        <f>IF(X940&lt;&gt;"",VLOOKUP(C940,'General price list'!C942:AN1915,MATCH("HM",Tabulka1[[#Headers],[KOD]:[NEQ]],0),FALSE),"")</f>
        <v/>
      </c>
    </row>
    <row r="941" spans="1:27">
      <c r="A941">
        <f>COUNTIF($W$22:W941,1)</f>
        <v>0</v>
      </c>
      <c r="B941">
        <v>941</v>
      </c>
      <c r="C941" s="340" t="str">
        <f>Tabulka1[[#This Row],[KOD]]</f>
        <v>S6M</v>
      </c>
      <c r="W941" t="str">
        <f t="shared" si="15"/>
        <v/>
      </c>
      <c r="Y941" s="341">
        <f>IF('General price list'!$AB943="",0,'General price list'!$AB943)</f>
        <v>0</v>
      </c>
      <c r="Z941" s="365">
        <f>IFERROR(X941*VLOOKUP(C941,'General price list'!C:I,7,FALSE),"")</f>
        <v>0</v>
      </c>
      <c r="AA941" s="365" t="str">
        <f>IF(X941&lt;&gt;"",VLOOKUP(C941,'General price list'!C943:AN1916,MATCH("HM",Tabulka1[[#Headers],[KOD]:[NEQ]],0),FALSE),"")</f>
        <v/>
      </c>
    </row>
    <row r="942" spans="1:27">
      <c r="A942">
        <f>COUNTIF($W$22:W942,1)</f>
        <v>0</v>
      </c>
      <c r="B942">
        <v>942</v>
      </c>
      <c r="C942" s="340">
        <f>Tabulka1[[#This Row],[KOD]]</f>
        <v>0</v>
      </c>
      <c r="W942" t="str">
        <f t="shared" si="15"/>
        <v/>
      </c>
      <c r="Y942" s="341">
        <f>IF('General price list'!$AB944="",0,'General price list'!$AB944)</f>
        <v>0</v>
      </c>
      <c r="Z942" s="365" t="str">
        <f>IFERROR(X942*VLOOKUP(C942,'General price list'!C:I,7,FALSE),"")</f>
        <v/>
      </c>
      <c r="AA942" s="365" t="str">
        <f>IF(X942&lt;&gt;"",VLOOKUP(C942,'General price list'!C944:AN1917,MATCH("HM",Tabulka1[[#Headers],[KOD]:[NEQ]],0),FALSE),"")</f>
        <v/>
      </c>
    </row>
    <row r="943" spans="1:27">
      <c r="A943">
        <f>COUNTIF($W$22:W943,1)</f>
        <v>0</v>
      </c>
      <c r="B943">
        <v>943</v>
      </c>
      <c r="C943" s="340" t="str">
        <f>Tabulka1[[#This Row],[KOD]]</f>
        <v>S6F/P(9)</v>
      </c>
      <c r="W943" t="str">
        <f t="shared" si="15"/>
        <v/>
      </c>
      <c r="Y943" s="341">
        <f>IF('General price list'!$AB945="",0,'General price list'!$AB945)</f>
        <v>0</v>
      </c>
      <c r="Z943" s="365">
        <f>IFERROR(X943*VLOOKUP(C943,'General price list'!C:I,7,FALSE),"")</f>
        <v>0</v>
      </c>
      <c r="AA943" s="365" t="str">
        <f>IF(X943&lt;&gt;"",VLOOKUP(C943,'General price list'!C945:AN1918,MATCH("HM",Tabulka1[[#Headers],[KOD]:[NEQ]],0),FALSE),"")</f>
        <v/>
      </c>
    </row>
    <row r="944" spans="1:27">
      <c r="A944">
        <f>COUNTIF($W$22:W944,1)</f>
        <v>0</v>
      </c>
      <c r="B944">
        <v>944</v>
      </c>
      <c r="C944" s="340" t="str">
        <f>Tabulka1[[#This Row],[KOD]]</f>
        <v>S6I/P(9)</v>
      </c>
      <c r="W944" t="str">
        <f t="shared" si="15"/>
        <v/>
      </c>
      <c r="Y944" s="341">
        <f>IF('General price list'!$AB946="",0,'General price list'!$AB946)</f>
        <v>0</v>
      </c>
      <c r="Z944" s="365">
        <f>IFERROR(X944*VLOOKUP(C944,'General price list'!C:I,7,FALSE),"")</f>
        <v>0</v>
      </c>
      <c r="AA944" s="365" t="str">
        <f>IF(X944&lt;&gt;"",VLOOKUP(C944,'General price list'!C946:AN1919,MATCH("HM",Tabulka1[[#Headers],[KOD]:[NEQ]],0),FALSE),"")</f>
        <v/>
      </c>
    </row>
    <row r="945" spans="1:27">
      <c r="A945">
        <f>COUNTIF($W$22:W945,1)</f>
        <v>0</v>
      </c>
      <c r="B945">
        <v>945</v>
      </c>
      <c r="C945" s="340" t="str">
        <f>Tabulka1[[#This Row],[KOD]]</f>
        <v>S6R/P(9)</v>
      </c>
      <c r="W945" t="str">
        <f t="shared" si="15"/>
        <v/>
      </c>
      <c r="Y945" s="341">
        <f>IF('General price list'!$AB947="",0,'General price list'!$AB947)</f>
        <v>0</v>
      </c>
      <c r="Z945" s="365">
        <f>IFERROR(X945*VLOOKUP(C945,'General price list'!C:I,7,FALSE),"")</f>
        <v>0</v>
      </c>
      <c r="AA945" s="365" t="str">
        <f>IF(X945&lt;&gt;"",VLOOKUP(C945,'General price list'!C947:AN1920,MATCH("HM",Tabulka1[[#Headers],[KOD]:[NEQ]],0),FALSE),"")</f>
        <v/>
      </c>
    </row>
    <row r="946" spans="1:27">
      <c r="A946">
        <f>COUNTIF($W$22:W946,1)</f>
        <v>0</v>
      </c>
      <c r="B946">
        <v>946</v>
      </c>
      <c r="C946" s="340" t="str">
        <f>Tabulka1[[#This Row],[KOD]]</f>
        <v>S6Z3/P(9)</v>
      </c>
      <c r="W946" t="str">
        <f t="shared" si="15"/>
        <v/>
      </c>
      <c r="Y946" s="341">
        <f>IF('General price list'!$AB948="",0,'General price list'!$AB948)</f>
        <v>0</v>
      </c>
      <c r="Z946" s="365">
        <f>IFERROR(X946*VLOOKUP(C946,'General price list'!C:I,7,FALSE),"")</f>
        <v>0</v>
      </c>
      <c r="AA946" s="365" t="str">
        <f>IF(X946&lt;&gt;"",VLOOKUP(C946,'General price list'!C948:AN1921,MATCH("HM",Tabulka1[[#Headers],[KOD]:[NEQ]],0),FALSE),"")</f>
        <v/>
      </c>
    </row>
    <row r="947" spans="1:27">
      <c r="A947">
        <f>COUNTIF($W$22:W947,1)</f>
        <v>0</v>
      </c>
      <c r="B947">
        <v>947</v>
      </c>
      <c r="C947" s="340">
        <f>Tabulka1[[#This Row],[KOD]]</f>
        <v>0</v>
      </c>
      <c r="W947" t="str">
        <f t="shared" si="15"/>
        <v/>
      </c>
      <c r="Y947" s="341">
        <f>IF('General price list'!$AB949="",0,'General price list'!$AB949)</f>
        <v>0</v>
      </c>
      <c r="Z947" s="365" t="str">
        <f>IFERROR(X947*VLOOKUP(C947,'General price list'!C:I,7,FALSE),"")</f>
        <v/>
      </c>
      <c r="AA947" s="365" t="str">
        <f>IF(X947&lt;&gt;"",VLOOKUP(C947,'General price list'!C949:AN1922,MATCH("HM",Tabulka1[[#Headers],[KOD]:[NEQ]],0),FALSE),"")</f>
        <v/>
      </c>
    </row>
    <row r="948" spans="1:27">
      <c r="A948">
        <f>COUNTIF($W$22:W948,1)</f>
        <v>0</v>
      </c>
      <c r="B948">
        <v>948</v>
      </c>
      <c r="C948" s="340" t="str">
        <f>Tabulka1[[#This Row],[KOD]]</f>
        <v>RKD-S03-01</v>
      </c>
      <c r="W948" t="str">
        <f t="shared" si="15"/>
        <v/>
      </c>
      <c r="Y948" s="341">
        <f>IF('General price list'!$AB950="",0,'General price list'!$AB950)</f>
        <v>0</v>
      </c>
      <c r="Z948" s="365">
        <f>IFERROR(X948*VLOOKUP(C948,'General price list'!C:I,7,FALSE),"")</f>
        <v>0</v>
      </c>
      <c r="AA948" s="365" t="str">
        <f>IF(X948&lt;&gt;"",VLOOKUP(C948,'General price list'!C950:AN1923,MATCH("HM",Tabulka1[[#Headers],[KOD]:[NEQ]],0),FALSE),"")</f>
        <v/>
      </c>
    </row>
    <row r="949" spans="1:27">
      <c r="A949">
        <f>COUNTIF($W$22:W949,1)</f>
        <v>0</v>
      </c>
      <c r="B949">
        <v>949</v>
      </c>
      <c r="C949" s="340" t="str">
        <f>Tabulka1[[#This Row],[KOD]]</f>
        <v>RKD-S03-02</v>
      </c>
      <c r="W949" t="str">
        <f t="shared" si="15"/>
        <v/>
      </c>
      <c r="Y949" s="341">
        <f>IF('General price list'!$AB951="",0,'General price list'!$AB951)</f>
        <v>0</v>
      </c>
      <c r="Z949" s="365">
        <f>IFERROR(X949*VLOOKUP(C949,'General price list'!C:I,7,FALSE),"")</f>
        <v>0</v>
      </c>
      <c r="AA949" s="365" t="str">
        <f>IF(X949&lt;&gt;"",VLOOKUP(C949,'General price list'!C951:AN1924,MATCH("HM",Tabulka1[[#Headers],[KOD]:[NEQ]],0),FALSE),"")</f>
        <v/>
      </c>
    </row>
    <row r="950" spans="1:27">
      <c r="A950">
        <f>COUNTIF($W$22:W950,1)</f>
        <v>0</v>
      </c>
      <c r="B950">
        <v>950</v>
      </c>
      <c r="C950" s="340" t="str">
        <f>Tabulka1[[#This Row],[KOD]]</f>
        <v>RKD-S03-03</v>
      </c>
      <c r="W950" t="str">
        <f t="shared" si="15"/>
        <v/>
      </c>
      <c r="Y950" s="341">
        <f>IF('General price list'!$AB952="",0,'General price list'!$AB952)</f>
        <v>0</v>
      </c>
      <c r="Z950" s="365">
        <f>IFERROR(X950*VLOOKUP(C950,'General price list'!C:I,7,FALSE),"")</f>
        <v>0</v>
      </c>
      <c r="AA950" s="365" t="str">
        <f>IF(X950&lt;&gt;"",VLOOKUP(C950,'General price list'!C952:AN1925,MATCH("HM",Tabulka1[[#Headers],[KOD]:[NEQ]],0),FALSE),"")</f>
        <v/>
      </c>
    </row>
    <row r="951" spans="1:27">
      <c r="A951">
        <f>COUNTIF($W$22:W951,1)</f>
        <v>0</v>
      </c>
      <c r="B951">
        <v>951</v>
      </c>
      <c r="C951" s="340" t="str">
        <f>Tabulka1[[#This Row],[KOD]]</f>
        <v>RKD-S04-01</v>
      </c>
      <c r="W951" t="str">
        <f t="shared" si="15"/>
        <v/>
      </c>
      <c r="Y951" s="341">
        <f>IF('General price list'!$AB953="",0,'General price list'!$AB953)</f>
        <v>0</v>
      </c>
      <c r="Z951" s="365">
        <f>IFERROR(X951*VLOOKUP(C951,'General price list'!C:I,7,FALSE),"")</f>
        <v>0</v>
      </c>
      <c r="AA951" s="365" t="str">
        <f>IF(X951&lt;&gt;"",VLOOKUP(C951,'General price list'!C953:AN1926,MATCH("HM",Tabulka1[[#Headers],[KOD]:[NEQ]],0),FALSE),"")</f>
        <v/>
      </c>
    </row>
    <row r="952" spans="1:27">
      <c r="A952">
        <f>COUNTIF($W$22:W952,1)</f>
        <v>0</v>
      </c>
      <c r="B952">
        <v>952</v>
      </c>
      <c r="C952" s="340" t="str">
        <f>Tabulka1[[#This Row],[KOD]]</f>
        <v>RKD-S04-04</v>
      </c>
      <c r="W952" t="str">
        <f t="shared" si="15"/>
        <v/>
      </c>
      <c r="Y952" s="341">
        <f>IF('General price list'!$AB954="",0,'General price list'!$AB954)</f>
        <v>0</v>
      </c>
      <c r="Z952" s="365">
        <f>IFERROR(X952*VLOOKUP(C952,'General price list'!C:I,7,FALSE),"")</f>
        <v>0</v>
      </c>
      <c r="AA952" s="365" t="str">
        <f>IF(X952&lt;&gt;"",VLOOKUP(C952,'General price list'!C954:AN1927,MATCH("HM",Tabulka1[[#Headers],[KOD]:[NEQ]],0),FALSE),"")</f>
        <v/>
      </c>
    </row>
    <row r="953" spans="1:27">
      <c r="A953">
        <f>COUNTIF($W$22:W953,1)</f>
        <v>0</v>
      </c>
      <c r="B953">
        <v>953</v>
      </c>
      <c r="C953" s="340" t="str">
        <f>Tabulka1[[#This Row],[KOD]]</f>
        <v>RKD-S05-01</v>
      </c>
      <c r="W953" t="str">
        <f t="shared" si="15"/>
        <v/>
      </c>
      <c r="Y953" s="341">
        <f>IF('General price list'!$AB955="",0,'General price list'!$AB955)</f>
        <v>0</v>
      </c>
      <c r="Z953" s="365">
        <f>IFERROR(X953*VLOOKUP(C953,'General price list'!C:I,7,FALSE),"")</f>
        <v>0</v>
      </c>
      <c r="AA953" s="365" t="str">
        <f>IF(X953&lt;&gt;"",VLOOKUP(C953,'General price list'!C955:AN1928,MATCH("HM",Tabulka1[[#Headers],[KOD]:[NEQ]],0),FALSE),"")</f>
        <v/>
      </c>
    </row>
    <row r="954" spans="1:27">
      <c r="A954">
        <f>COUNTIF($W$22:W954,1)</f>
        <v>0</v>
      </c>
      <c r="B954">
        <v>954</v>
      </c>
      <c r="C954" s="340" t="str">
        <f>Tabulka1[[#This Row],[KOD]]</f>
        <v>RKD-S05-02</v>
      </c>
      <c r="W954" t="str">
        <f t="shared" si="15"/>
        <v/>
      </c>
      <c r="Y954" s="341">
        <f>IF('General price list'!$AB956="",0,'General price list'!$AB956)</f>
        <v>0</v>
      </c>
      <c r="Z954" s="365">
        <f>IFERROR(X954*VLOOKUP(C954,'General price list'!C:I,7,FALSE),"")</f>
        <v>0</v>
      </c>
      <c r="AA954" s="365" t="str">
        <f>IF(X954&lt;&gt;"",VLOOKUP(C954,'General price list'!C956:AN1929,MATCH("HM",Tabulka1[[#Headers],[KOD]:[NEQ]],0),FALSE),"")</f>
        <v/>
      </c>
    </row>
    <row r="955" spans="1:27">
      <c r="A955">
        <f>COUNTIF($W$22:W955,1)</f>
        <v>0</v>
      </c>
      <c r="B955">
        <v>955</v>
      </c>
      <c r="C955" s="340" t="str">
        <f>Tabulka1[[#This Row],[KOD]]</f>
        <v>RKD-S05-03</v>
      </c>
      <c r="W955" t="str">
        <f t="shared" si="15"/>
        <v/>
      </c>
      <c r="Y955" s="341">
        <f>IF('General price list'!$AB957="",0,'General price list'!$AB957)</f>
        <v>0</v>
      </c>
      <c r="Z955" s="365">
        <f>IFERROR(X955*VLOOKUP(C955,'General price list'!C:I,7,FALSE),"")</f>
        <v>0</v>
      </c>
      <c r="AA955" s="365" t="str">
        <f>IF(X955&lt;&gt;"",VLOOKUP(C955,'General price list'!C957:AN1930,MATCH("HM",Tabulka1[[#Headers],[KOD]:[NEQ]],0),FALSE),"")</f>
        <v/>
      </c>
    </row>
    <row r="956" spans="1:27">
      <c r="A956">
        <f>COUNTIF($W$22:W956,1)</f>
        <v>0</v>
      </c>
      <c r="B956">
        <v>956</v>
      </c>
      <c r="C956" s="340" t="str">
        <f>Tabulka1[[#This Row],[KOD]]</f>
        <v>RKD-S05-04</v>
      </c>
      <c r="W956" t="str">
        <f t="shared" si="15"/>
        <v/>
      </c>
      <c r="Y956" s="341">
        <f>IF('General price list'!$AB958="",0,'General price list'!$AB958)</f>
        <v>0</v>
      </c>
      <c r="Z956" s="365">
        <f>IFERROR(X956*VLOOKUP(C956,'General price list'!C:I,7,FALSE),"")</f>
        <v>0</v>
      </c>
      <c r="AA956" s="365" t="str">
        <f>IF(X956&lt;&gt;"",VLOOKUP(C956,'General price list'!C958:AN1931,MATCH("HM",Tabulka1[[#Headers],[KOD]:[NEQ]],0),FALSE),"")</f>
        <v/>
      </c>
    </row>
    <row r="957" spans="1:27">
      <c r="A957">
        <f>COUNTIF($W$22:W957,1)</f>
        <v>0</v>
      </c>
      <c r="B957">
        <v>957</v>
      </c>
      <c r="C957" s="340" t="str">
        <f>Tabulka1[[#This Row],[KOD]]</f>
        <v>RKD-S05-05</v>
      </c>
      <c r="W957" t="str">
        <f t="shared" si="15"/>
        <v/>
      </c>
      <c r="Y957" s="341">
        <f>IF('General price list'!$AB959="",0,'General price list'!$AB959)</f>
        <v>0</v>
      </c>
      <c r="Z957" s="365">
        <f>IFERROR(X957*VLOOKUP(C957,'General price list'!C:I,7,FALSE),"")</f>
        <v>0</v>
      </c>
      <c r="AA957" s="365" t="str">
        <f>IF(X957&lt;&gt;"",VLOOKUP(C957,'General price list'!C959:AN1932,MATCH("HM",Tabulka1[[#Headers],[KOD]:[NEQ]],0),FALSE),"")</f>
        <v/>
      </c>
    </row>
    <row r="958" spans="1:27">
      <c r="A958">
        <f>COUNTIF($W$22:W958,1)</f>
        <v>0</v>
      </c>
      <c r="B958">
        <v>958</v>
      </c>
      <c r="C958" s="340" t="str">
        <f>Tabulka1[[#This Row],[KOD]]</f>
        <v>RKD-S05-09</v>
      </c>
      <c r="W958" t="str">
        <f t="shared" si="15"/>
        <v/>
      </c>
      <c r="Y958" s="341">
        <f>IF('General price list'!$AB960="",0,'General price list'!$AB960)</f>
        <v>0</v>
      </c>
      <c r="Z958" s="365">
        <f>IFERROR(X958*VLOOKUP(C958,'General price list'!C:I,7,FALSE),"")</f>
        <v>0</v>
      </c>
      <c r="AA958" s="365" t="str">
        <f>IF(X958&lt;&gt;"",VLOOKUP(C958,'General price list'!C960:AN1933,MATCH("HM",Tabulka1[[#Headers],[KOD]:[NEQ]],0),FALSE),"")</f>
        <v/>
      </c>
    </row>
    <row r="959" spans="1:27">
      <c r="A959">
        <f>COUNTIF($W$22:W959,1)</f>
        <v>0</v>
      </c>
      <c r="B959">
        <v>959</v>
      </c>
      <c r="C959" s="340" t="str">
        <f>Tabulka1[[#This Row],[KOD]]</f>
        <v>RKD-S05-11</v>
      </c>
      <c r="W959" t="str">
        <f t="shared" si="15"/>
        <v/>
      </c>
      <c r="Y959" s="341">
        <f>IF('General price list'!$AB961="",0,'General price list'!$AB961)</f>
        <v>0</v>
      </c>
      <c r="Z959" s="365">
        <f>IFERROR(X959*VLOOKUP(C959,'General price list'!C:I,7,FALSE),"")</f>
        <v>0</v>
      </c>
      <c r="AA959" s="365" t="str">
        <f>IF(X959&lt;&gt;"",VLOOKUP(C959,'General price list'!C961:AN1934,MATCH("HM",Tabulka1[[#Headers],[KOD]:[NEQ]],0),FALSE),"")</f>
        <v/>
      </c>
    </row>
    <row r="960" spans="1:27">
      <c r="A960">
        <f>COUNTIF($W$22:W960,1)</f>
        <v>0</v>
      </c>
      <c r="B960">
        <v>960</v>
      </c>
      <c r="C960" s="340" t="str">
        <f>Tabulka1[[#This Row],[KOD]]</f>
        <v>RKD-S05-12</v>
      </c>
      <c r="W960" t="str">
        <f t="shared" si="15"/>
        <v/>
      </c>
      <c r="Y960" s="341">
        <f>IF('General price list'!$AB962="",0,'General price list'!$AB962)</f>
        <v>0</v>
      </c>
      <c r="Z960" s="365">
        <f>IFERROR(X960*VLOOKUP(C960,'General price list'!C:I,7,FALSE),"")</f>
        <v>0</v>
      </c>
      <c r="AA960" s="365" t="str">
        <f>IF(X960&lt;&gt;"",VLOOKUP(C960,'General price list'!C962:AN1935,MATCH("HM",Tabulka1[[#Headers],[KOD]:[NEQ]],0),FALSE),"")</f>
        <v/>
      </c>
    </row>
    <row r="961" spans="1:27">
      <c r="A961">
        <f>COUNTIF($W$22:W961,1)</f>
        <v>0</v>
      </c>
      <c r="B961">
        <v>961</v>
      </c>
      <c r="C961" s="340" t="str">
        <f>Tabulka1[[#This Row],[KOD]]</f>
        <v>RKD-S06-01</v>
      </c>
      <c r="W961" t="str">
        <f t="shared" si="15"/>
        <v/>
      </c>
      <c r="Y961" s="341">
        <f>IF('General price list'!$AB963="",0,'General price list'!$AB963)</f>
        <v>0</v>
      </c>
      <c r="Z961" s="365">
        <f>IFERROR(X961*VLOOKUP(C961,'General price list'!C:I,7,FALSE),"")</f>
        <v>0</v>
      </c>
      <c r="AA961" s="365" t="str">
        <f>IF(X961&lt;&gt;"",VLOOKUP(C961,'General price list'!C963:AN1936,MATCH("HM",Tabulka1[[#Headers],[KOD]:[NEQ]],0),FALSE),"")</f>
        <v/>
      </c>
    </row>
    <row r="962" spans="1:27">
      <c r="A962">
        <f>COUNTIF($W$22:W962,1)</f>
        <v>0</v>
      </c>
      <c r="B962">
        <v>962</v>
      </c>
      <c r="C962" s="340" t="str">
        <f>Tabulka1[[#This Row],[KOD]]</f>
        <v>RKD-S06-02</v>
      </c>
      <c r="W962" t="str">
        <f t="shared" si="15"/>
        <v/>
      </c>
      <c r="Y962" s="341">
        <f>IF('General price list'!$AB964="",0,'General price list'!$AB964)</f>
        <v>0</v>
      </c>
      <c r="Z962" s="365">
        <f>IFERROR(X962*VLOOKUP(C962,'General price list'!C:I,7,FALSE),"")</f>
        <v>0</v>
      </c>
      <c r="AA962" s="365" t="str">
        <f>IF(X962&lt;&gt;"",VLOOKUP(C962,'General price list'!C964:AN1937,MATCH("HM",Tabulka1[[#Headers],[KOD]:[NEQ]],0),FALSE),"")</f>
        <v/>
      </c>
    </row>
    <row r="963" spans="1:27">
      <c r="A963">
        <f>COUNTIF($W$22:W963,1)</f>
        <v>0</v>
      </c>
      <c r="B963">
        <v>963</v>
      </c>
      <c r="C963" s="340" t="str">
        <f>Tabulka1[[#This Row],[KOD]]</f>
        <v>RKD-S06-03</v>
      </c>
      <c r="W963" t="str">
        <f t="shared" si="15"/>
        <v/>
      </c>
      <c r="Y963" s="341">
        <f>IF('General price list'!$AB965="",0,'General price list'!$AB965)</f>
        <v>0</v>
      </c>
      <c r="Z963" s="365">
        <f>IFERROR(X963*VLOOKUP(C963,'General price list'!C:I,7,FALSE),"")</f>
        <v>0</v>
      </c>
      <c r="AA963" s="365" t="str">
        <f>IF(X963&lt;&gt;"",VLOOKUP(C963,'General price list'!C965:AN1938,MATCH("HM",Tabulka1[[#Headers],[KOD]:[NEQ]],0),FALSE),"")</f>
        <v/>
      </c>
    </row>
    <row r="964" spans="1:27">
      <c r="A964">
        <f>COUNTIF($W$22:W964,1)</f>
        <v>0</v>
      </c>
      <c r="B964">
        <v>964</v>
      </c>
      <c r="C964" s="340" t="str">
        <f>Tabulka1[[#This Row],[KOD]]</f>
        <v>RKD-S06-04</v>
      </c>
      <c r="W964" t="str">
        <f t="shared" si="15"/>
        <v/>
      </c>
      <c r="Y964" s="341">
        <f>IF('General price list'!$AB966="",0,'General price list'!$AB966)</f>
        <v>0</v>
      </c>
      <c r="Z964" s="365">
        <f>IFERROR(X964*VLOOKUP(C964,'General price list'!C:I,7,FALSE),"")</f>
        <v>0</v>
      </c>
      <c r="AA964" s="365" t="str">
        <f>IF(X964&lt;&gt;"",VLOOKUP(C964,'General price list'!C966:AN1939,MATCH("HM",Tabulka1[[#Headers],[KOD]:[NEQ]],0),FALSE),"")</f>
        <v/>
      </c>
    </row>
    <row r="965" spans="1:27">
      <c r="A965">
        <f>COUNTIF($W$22:W965,1)</f>
        <v>0</v>
      </c>
      <c r="B965">
        <v>965</v>
      </c>
      <c r="C965" s="340" t="str">
        <f>Tabulka1[[#This Row],[KOD]]</f>
        <v>RKD-S06-05</v>
      </c>
      <c r="W965" t="str">
        <f t="shared" si="15"/>
        <v/>
      </c>
      <c r="Y965" s="341">
        <f>IF('General price list'!$AB967="",0,'General price list'!$AB967)</f>
        <v>0</v>
      </c>
      <c r="Z965" s="365">
        <f>IFERROR(X965*VLOOKUP(C965,'General price list'!C:I,7,FALSE),"")</f>
        <v>0</v>
      </c>
      <c r="AA965" s="365" t="str">
        <f>IF(X965&lt;&gt;"",VLOOKUP(C965,'General price list'!C967:AN1940,MATCH("HM",Tabulka1[[#Headers],[KOD]:[NEQ]],0),FALSE),"")</f>
        <v/>
      </c>
    </row>
    <row r="966" spans="1:27">
      <c r="A966">
        <f>COUNTIF($W$22:W966,1)</f>
        <v>0</v>
      </c>
      <c r="B966">
        <v>966</v>
      </c>
      <c r="C966" s="340" t="str">
        <f>Tabulka1[[#This Row],[KOD]]</f>
        <v>RKD-S06-07</v>
      </c>
      <c r="W966" t="str">
        <f t="shared" si="15"/>
        <v/>
      </c>
      <c r="Y966" s="341">
        <f>IF('General price list'!$AB968="",0,'General price list'!$AB968)</f>
        <v>0</v>
      </c>
      <c r="Z966" s="365">
        <f>IFERROR(X966*VLOOKUP(C966,'General price list'!C:I,7,FALSE),"")</f>
        <v>0</v>
      </c>
      <c r="AA966" s="365" t="str">
        <f>IF(X966&lt;&gt;"",VLOOKUP(C966,'General price list'!C968:AN1941,MATCH("HM",Tabulka1[[#Headers],[KOD]:[NEQ]],0),FALSE),"")</f>
        <v/>
      </c>
    </row>
    <row r="967" spans="1:27">
      <c r="A967">
        <f>COUNTIF($W$22:W967,1)</f>
        <v>0</v>
      </c>
      <c r="B967">
        <v>967</v>
      </c>
      <c r="C967" s="340">
        <f>Tabulka1[[#This Row],[KOD]]</f>
        <v>0</v>
      </c>
      <c r="W967" t="str">
        <f t="shared" si="15"/>
        <v/>
      </c>
      <c r="Y967" s="341">
        <f>IF('General price list'!$AB969="",0,'General price list'!$AB969)</f>
        <v>0</v>
      </c>
      <c r="Z967" s="365" t="str">
        <f>IFERROR(X967*VLOOKUP(C967,'General price list'!C:I,7,FALSE),"")</f>
        <v/>
      </c>
      <c r="AA967" s="365" t="str">
        <f>IF(X967&lt;&gt;"",VLOOKUP(C967,'General price list'!C969:AN1942,MATCH("HM",Tabulka1[[#Headers],[KOD]:[NEQ]],0),FALSE),"")</f>
        <v/>
      </c>
    </row>
    <row r="968" spans="1:27">
      <c r="A968">
        <f>COUNTIF($W$22:W968,1)</f>
        <v>0</v>
      </c>
      <c r="B968">
        <v>968</v>
      </c>
      <c r="C968" s="340" t="str">
        <f>Tabulka1[[#This Row],[KOD]]</f>
        <v>M2</v>
      </c>
      <c r="W968" t="str">
        <f t="shared" si="15"/>
        <v/>
      </c>
      <c r="Y968" s="341">
        <f>IF('General price list'!$AB970="",0,'General price list'!$AB970)</f>
        <v>0</v>
      </c>
      <c r="Z968" s="365">
        <f>IFERROR(X968*VLOOKUP(C968,'General price list'!C:I,7,FALSE),"")</f>
        <v>0</v>
      </c>
      <c r="AA968" s="365" t="str">
        <f>IF(X968&lt;&gt;"",VLOOKUP(C968,'General price list'!C970:AN1943,MATCH("HM",Tabulka1[[#Headers],[KOD]:[NEQ]],0),FALSE),"")</f>
        <v/>
      </c>
    </row>
    <row r="969" spans="1:27">
      <c r="A969">
        <f>COUNTIF($W$22:W969,1)</f>
        <v>0</v>
      </c>
      <c r="B969">
        <v>969</v>
      </c>
      <c r="C969" s="340" t="str">
        <f>Tabulka1[[#This Row],[KOD]]</f>
        <v>M3</v>
      </c>
      <c r="W969" t="str">
        <f t="shared" si="15"/>
        <v/>
      </c>
      <c r="Y969" s="341">
        <f>IF('General price list'!$AB971="",0,'General price list'!$AB971)</f>
        <v>0</v>
      </c>
      <c r="Z969" s="365">
        <f>IFERROR(X969*VLOOKUP(C969,'General price list'!C:I,7,FALSE),"")</f>
        <v>0</v>
      </c>
      <c r="AA969" s="365" t="str">
        <f>IF(X969&lt;&gt;"",VLOOKUP(C969,'General price list'!C971:AN1944,MATCH("HM",Tabulka1[[#Headers],[KOD]:[NEQ]],0),FALSE),"")</f>
        <v/>
      </c>
    </row>
    <row r="970" spans="1:27">
      <c r="A970">
        <f>COUNTIF($W$22:W970,1)</f>
        <v>0</v>
      </c>
      <c r="B970">
        <v>970</v>
      </c>
      <c r="C970" s="340" t="str">
        <f>Tabulka1[[#This Row],[KOD]]</f>
        <v>M4</v>
      </c>
      <c r="W970" t="str">
        <f t="shared" si="15"/>
        <v/>
      </c>
      <c r="Y970" s="341">
        <f>IF('General price list'!$AB972="",0,'General price list'!$AB972)</f>
        <v>0</v>
      </c>
      <c r="Z970" s="365">
        <f>IFERROR(X970*VLOOKUP(C970,'General price list'!C:I,7,FALSE),"")</f>
        <v>0</v>
      </c>
      <c r="AA970" s="365" t="str">
        <f>IF(X970&lt;&gt;"",VLOOKUP(C970,'General price list'!C972:AN1945,MATCH("HM",Tabulka1[[#Headers],[KOD]:[NEQ]],0),FALSE),"")</f>
        <v/>
      </c>
    </row>
    <row r="971" spans="1:27">
      <c r="A971">
        <f>COUNTIF($W$22:W971,1)</f>
        <v>0</v>
      </c>
      <c r="B971">
        <v>971</v>
      </c>
      <c r="C971" s="340" t="str">
        <f>Tabulka1[[#This Row],[KOD]]</f>
        <v>M5</v>
      </c>
      <c r="W971" t="str">
        <f t="shared" si="15"/>
        <v/>
      </c>
      <c r="Y971" s="341">
        <f>IF('General price list'!$AB973="",0,'General price list'!$AB973)</f>
        <v>0</v>
      </c>
      <c r="Z971" s="365">
        <f>IFERROR(X971*VLOOKUP(C971,'General price list'!C:I,7,FALSE),"")</f>
        <v>0</v>
      </c>
      <c r="AA971" s="365" t="str">
        <f>IF(X971&lt;&gt;"",VLOOKUP(C971,'General price list'!C973:AN1946,MATCH("HM",Tabulka1[[#Headers],[KOD]:[NEQ]],0),FALSE),"")</f>
        <v/>
      </c>
    </row>
    <row r="972" spans="1:27">
      <c r="A972">
        <f>COUNTIF($W$22:W972,1)</f>
        <v>0</v>
      </c>
      <c r="B972">
        <v>972</v>
      </c>
      <c r="C972" s="340" t="str">
        <f>Tabulka1[[#This Row],[KOD]]</f>
        <v>M6</v>
      </c>
      <c r="W972" t="str">
        <f t="shared" si="15"/>
        <v/>
      </c>
      <c r="Y972" s="341">
        <f>IF('General price list'!$AB974="",0,'General price list'!$AB974)</f>
        <v>0</v>
      </c>
      <c r="Z972" s="365">
        <f>IFERROR(X972*VLOOKUP(C972,'General price list'!C:I,7,FALSE),"")</f>
        <v>0</v>
      </c>
      <c r="AA972" s="365" t="str">
        <f>IF(X972&lt;&gt;"",VLOOKUP(C972,'General price list'!C974:AN1947,MATCH("HM",Tabulka1[[#Headers],[KOD]:[NEQ]],0),FALSE),"")</f>
        <v/>
      </c>
    </row>
    <row r="973" spans="1:27">
      <c r="A973">
        <f>COUNTIF($W$22:W973,1)</f>
        <v>0</v>
      </c>
      <c r="B973">
        <v>973</v>
      </c>
      <c r="C973" s="340">
        <f>Tabulka1[[#This Row],[KOD]]</f>
        <v>0</v>
      </c>
      <c r="W973" t="str">
        <f t="shared" si="15"/>
        <v/>
      </c>
      <c r="Y973" s="341">
        <f>IF('General price list'!$AB975="",0,'General price list'!$AB975)</f>
        <v>0</v>
      </c>
      <c r="Z973" s="365" t="str">
        <f>IFERROR(X973*VLOOKUP(C973,'General price list'!C:I,7,FALSE),"")</f>
        <v/>
      </c>
      <c r="AA973" s="365" t="str">
        <f>IF(X973&lt;&gt;"",VLOOKUP(C973,'General price list'!C975:AN1948,MATCH("HM",Tabulka1[[#Headers],[KOD]:[NEQ]],0),FALSE),"")</f>
        <v/>
      </c>
    </row>
    <row r="974" spans="1:27">
      <c r="A974">
        <f>COUNTIF($W$22:W974,1)</f>
        <v>0</v>
      </c>
      <c r="B974">
        <v>974</v>
      </c>
      <c r="C974" s="340" t="str">
        <f>Tabulka1[[#This Row],[KOD]]</f>
        <v>IF220A</v>
      </c>
      <c r="W974" t="str">
        <f t="shared" si="15"/>
        <v/>
      </c>
      <c r="Y974" s="341">
        <f>IF('General price list'!$AB976="",0,'General price list'!$AB976)</f>
        <v>0</v>
      </c>
      <c r="Z974" s="365">
        <f>IFERROR(X974*VLOOKUP(C974,'General price list'!C:I,7,FALSE),"")</f>
        <v>0</v>
      </c>
      <c r="AA974" s="365" t="str">
        <f>IF(X974&lt;&gt;"",VLOOKUP(C974,'General price list'!C976:AN1949,MATCH("HM",Tabulka1[[#Headers],[KOD]:[NEQ]],0),FALSE),"")</f>
        <v/>
      </c>
    </row>
    <row r="975" spans="1:27">
      <c r="A975">
        <f>COUNTIF($W$22:W975,1)</f>
        <v>0</v>
      </c>
      <c r="B975">
        <v>975</v>
      </c>
      <c r="C975" s="340" t="str">
        <f>Tabulka1[[#This Row],[KOD]]</f>
        <v>IF3MA</v>
      </c>
      <c r="W975" t="str">
        <f t="shared" si="15"/>
        <v/>
      </c>
      <c r="Y975" s="341">
        <f>IF('General price list'!$AB977="",0,'General price list'!$AB977)</f>
        <v>0</v>
      </c>
      <c r="Z975" s="365">
        <f>IFERROR(X975*VLOOKUP(C975,'General price list'!C:I,7,FALSE),"")</f>
        <v>0</v>
      </c>
      <c r="AA975" s="365" t="str">
        <f>IF(X975&lt;&gt;"",VLOOKUP(C975,'General price list'!C977:AN1950,MATCH("HM",Tabulka1[[#Headers],[KOD]:[NEQ]],0),FALSE),"")</f>
        <v/>
      </c>
    </row>
    <row r="976" spans="1:27">
      <c r="A976">
        <f>COUNTIF($W$22:W976,1)</f>
        <v>0</v>
      </c>
      <c r="B976">
        <v>976</v>
      </c>
      <c r="C976" s="340" t="str">
        <f>Tabulka1[[#This Row],[KOD]]</f>
        <v>IF560B</v>
      </c>
      <c r="W976" t="str">
        <f t="shared" si="15"/>
        <v/>
      </c>
      <c r="Y976" s="341">
        <f>IF('General price list'!$AB978="",0,'General price list'!$AB978)</f>
        <v>0</v>
      </c>
      <c r="Z976" s="365">
        <f>IFERROR(X976*VLOOKUP(C976,'General price list'!C:I,7,FALSE),"")</f>
        <v>0</v>
      </c>
      <c r="AA976" s="365" t="str">
        <f>IF(X976&lt;&gt;"",VLOOKUP(C976,'General price list'!C978:AN1951,MATCH("HM",Tabulka1[[#Headers],[KOD]:[NEQ]],0),FALSE),"")</f>
        <v/>
      </c>
    </row>
    <row r="977" spans="1:27">
      <c r="A977">
        <f>COUNTIF($W$22:W977,1)</f>
        <v>0</v>
      </c>
      <c r="B977">
        <v>977</v>
      </c>
      <c r="C977" s="340">
        <f>Tabulka1[[#This Row],[KOD]]</f>
        <v>0</v>
      </c>
      <c r="W977" t="str">
        <f t="shared" si="15"/>
        <v/>
      </c>
      <c r="Y977" s="341">
        <f>IF('General price list'!$AB979="",0,'General price list'!$AB979)</f>
        <v>0</v>
      </c>
      <c r="Z977" s="365" t="str">
        <f>IFERROR(X977*VLOOKUP(C977,'General price list'!C:I,7,FALSE),"")</f>
        <v/>
      </c>
      <c r="AA977" s="365" t="str">
        <f>IF(X977&lt;&gt;"",VLOOKUP(C977,'General price list'!C979:AN1952,MATCH("HM",Tabulka1[[#Headers],[KOD]:[NEQ]],0),FALSE),"")</f>
        <v/>
      </c>
    </row>
    <row r="978" spans="1:27">
      <c r="A978">
        <f>COUNTIF($W$22:W978,1)</f>
        <v>0</v>
      </c>
      <c r="B978">
        <v>978</v>
      </c>
      <c r="C978" s="340" t="str">
        <f>Tabulka1[[#This Row],[KOD]]</f>
        <v>EP03M</v>
      </c>
      <c r="W978" t="str">
        <f t="shared" si="15"/>
        <v/>
      </c>
      <c r="Y978" s="341">
        <f>IF('General price list'!$AB980="",0,'General price list'!$AB980)</f>
        <v>0</v>
      </c>
      <c r="Z978" s="365">
        <f>IFERROR(X978*VLOOKUP(C978,'General price list'!C:I,7,FALSE),"")</f>
        <v>0</v>
      </c>
      <c r="AA978" s="365" t="str">
        <f>IF(X978&lt;&gt;"",VLOOKUP(C978,'General price list'!C980:AN1953,MATCH("HM",Tabulka1[[#Headers],[KOD]:[NEQ]],0),FALSE),"")</f>
        <v/>
      </c>
    </row>
    <row r="979" spans="1:27">
      <c r="A979">
        <f>COUNTIF($W$22:W979,1)</f>
        <v>0</v>
      </c>
      <c r="B979">
        <v>979</v>
      </c>
      <c r="C979" s="340" t="str">
        <f>Tabulka1[[#This Row],[KOD]]</f>
        <v>EP1M</v>
      </c>
      <c r="W979" t="str">
        <f t="shared" si="15"/>
        <v/>
      </c>
      <c r="Y979" s="341">
        <f>IF('General price list'!$AB981="",0,'General price list'!$AB981)</f>
        <v>0</v>
      </c>
      <c r="Z979" s="365">
        <f>IFERROR(X979*VLOOKUP(C979,'General price list'!C:I,7,FALSE),"")</f>
        <v>0</v>
      </c>
      <c r="AA979" s="365" t="str">
        <f>IF(X979&lt;&gt;"",VLOOKUP(C979,'General price list'!C981:AN1954,MATCH("HM",Tabulka1[[#Headers],[KOD]:[NEQ]],0),FALSE),"")</f>
        <v/>
      </c>
    </row>
    <row r="980" spans="1:27">
      <c r="A980">
        <f>COUNTIF($W$22:W980,1)</f>
        <v>0</v>
      </c>
      <c r="B980">
        <v>980</v>
      </c>
      <c r="C980" s="340" t="str">
        <f>Tabulka1[[#This Row],[KOD]]</f>
        <v>EP2M</v>
      </c>
      <c r="W980" t="str">
        <f t="shared" si="15"/>
        <v/>
      </c>
      <c r="Y980" s="341">
        <f>IF('General price list'!$AB982="",0,'General price list'!$AB982)</f>
        <v>0</v>
      </c>
      <c r="Z980" s="365">
        <f>IFERROR(X980*VLOOKUP(C980,'General price list'!C:I,7,FALSE),"")</f>
        <v>0</v>
      </c>
      <c r="AA980" s="365" t="str">
        <f>IF(X980&lt;&gt;"",VLOOKUP(C980,'General price list'!C982:AN1955,MATCH("HM",Tabulka1[[#Headers],[KOD]:[NEQ]],0),FALSE),"")</f>
        <v/>
      </c>
    </row>
    <row r="981" spans="1:27">
      <c r="A981">
        <f>COUNTIF($W$22:W981,1)</f>
        <v>0</v>
      </c>
      <c r="B981">
        <v>981</v>
      </c>
      <c r="C981" s="340" t="str">
        <f>Tabulka1[[#This Row],[KOD]]</f>
        <v>EP3M</v>
      </c>
      <c r="W981" t="str">
        <f t="shared" si="15"/>
        <v/>
      </c>
      <c r="Y981" s="341">
        <f>IF('General price list'!$AB983="",0,'General price list'!$AB983)</f>
        <v>0</v>
      </c>
      <c r="Z981" s="365">
        <f>IFERROR(X981*VLOOKUP(C981,'General price list'!C:I,7,FALSE),"")</f>
        <v>0</v>
      </c>
      <c r="AA981" s="365" t="str">
        <f>IF(X981&lt;&gt;"",VLOOKUP(C981,'General price list'!C983:AN1956,MATCH("HM",Tabulka1[[#Headers],[KOD]:[NEQ]],0),FALSE),"")</f>
        <v/>
      </c>
    </row>
  </sheetData>
  <autoFilter ref="X18:X981" xr:uid="{CFDCCE51-54A1-45F8-AC2A-216500796502}"/>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04D2-46D0-42DA-90C3-E7D5532C7EBB}">
  <dimension ref="A15:AA981"/>
  <sheetViews>
    <sheetView topLeftCell="A932" workbookViewId="0">
      <selection activeCell="Q965" sqref="Q965"/>
    </sheetView>
  </sheetViews>
  <sheetFormatPr defaultRowHeight="15"/>
  <cols>
    <col min="3" max="3" width="9.140625" style="340"/>
    <col min="25" max="25" width="9.140625" style="341"/>
  </cols>
  <sheetData>
    <row r="15" spans="22:23">
      <c r="V15" s="356" t="s">
        <v>11097</v>
      </c>
      <c r="W15" s="365">
        <f>SUM(Z:Z)</f>
        <v>0</v>
      </c>
    </row>
    <row r="16" spans="22:23">
      <c r="V16" s="356" t="s">
        <v>11098</v>
      </c>
      <c r="W16" s="365">
        <f>SUM(AA:AA)</f>
        <v>0</v>
      </c>
    </row>
    <row r="17" spans="1:27">
      <c r="C17" s="351"/>
      <c r="D17" s="352" t="s">
        <v>11065</v>
      </c>
      <c r="E17" s="347" t="str">
        <f>VLOOKUP($E$20,A:C,3,FALSE)&amp;", ř."&amp;VLOOKUP($E$20,A:C,2,FALSE)&amp;" - "&amp;_xlfn.IFNA(VLOOKUP($E$21,A:C,3,FALSE)&amp;", ř."&amp;VLOOKUP($E$21,A:C,2,FALSE),VLOOKUP($W$20,A:C,3,FALSE)&amp;", ř."&amp;VLOOKUP($W$20,A:C,2,FALSE))</f>
        <v>BK1P(1), ř.23 - BK1P(1), ř.23</v>
      </c>
      <c r="F17" s="347"/>
      <c r="G17" s="347"/>
    </row>
    <row r="18" spans="1:27">
      <c r="C18" s="354">
        <v>1</v>
      </c>
      <c r="D18" s="343">
        <v>2</v>
      </c>
      <c r="E18" s="344">
        <v>3</v>
      </c>
      <c r="F18" s="343">
        <v>4</v>
      </c>
      <c r="G18" s="343">
        <v>5</v>
      </c>
    </row>
    <row r="19" spans="1:27">
      <c r="C19" s="355" t="str">
        <f>'Část (1)'!C19</f>
        <v>0 - -1</v>
      </c>
      <c r="D19" s="1" t="str">
        <f>'Část (1)'!D19</f>
        <v>0 - -1</v>
      </c>
      <c r="E19" s="345" t="str">
        <f>'Část (1)'!E19</f>
        <v>0 - -1</v>
      </c>
      <c r="F19" s="1" t="str">
        <f>'Část (1)'!F19</f>
        <v>0 - -1</v>
      </c>
      <c r="G19" s="1" t="str">
        <f>'Část (1)'!G19</f>
        <v>0 - 0</v>
      </c>
      <c r="X19" s="1" t="s">
        <v>11068</v>
      </c>
    </row>
    <row r="20" spans="1:27">
      <c r="C20" s="340">
        <f>'Část (1)'!C20</f>
        <v>0</v>
      </c>
      <c r="D20">
        <f>'Část (1)'!D20</f>
        <v>0</v>
      </c>
      <c r="E20" s="345">
        <f>'Část (1)'!E20</f>
        <v>0</v>
      </c>
      <c r="F20">
        <f>'Část (1)'!F20</f>
        <v>0</v>
      </c>
      <c r="G20">
        <f>'Část (1)'!G20</f>
        <v>0</v>
      </c>
      <c r="V20" t="s">
        <v>11062</v>
      </c>
      <c r="W20">
        <f>SUM(W22:W981)</f>
        <v>0</v>
      </c>
      <c r="X20" s="1" t="s">
        <v>9303</v>
      </c>
    </row>
    <row r="21" spans="1:27" s="20" customFormat="1">
      <c r="C21" s="339">
        <f>'Část (1)'!C21</f>
        <v>-1</v>
      </c>
      <c r="D21" s="20">
        <f>'Část (1)'!D21</f>
        <v>-1</v>
      </c>
      <c r="E21" s="346">
        <f>'Část (1)'!E21</f>
        <v>-1</v>
      </c>
      <c r="F21" s="20">
        <f>'Část (1)'!F21</f>
        <v>-1</v>
      </c>
      <c r="G21" s="20">
        <f>'Část (1)'!G21</f>
        <v>0</v>
      </c>
      <c r="V21" s="20" t="s">
        <v>11063</v>
      </c>
      <c r="W21" s="20">
        <f>ROUND(W20/5,0)</f>
        <v>0</v>
      </c>
      <c r="X21" s="342" t="s">
        <v>11069</v>
      </c>
      <c r="Y21" s="89"/>
      <c r="Z21" s="20" t="s">
        <v>11095</v>
      </c>
      <c r="AA21" s="20" t="s">
        <v>11096</v>
      </c>
    </row>
    <row r="22" spans="1:27">
      <c r="A22" t="str">
        <f>W22</f>
        <v/>
      </c>
      <c r="B22">
        <v>22</v>
      </c>
      <c r="C22" s="340" t="str">
        <f>Tabulka1[[#This Row],[KOD]]</f>
        <v>BK1P</v>
      </c>
      <c r="W22" t="str">
        <f>IF(Y22+1=1,"",1)</f>
        <v/>
      </c>
      <c r="Y22" s="341">
        <f>IF('General price list'!$AB22="",0,'General price list'!$AB22)</f>
        <v>0</v>
      </c>
      <c r="Z22" s="365">
        <f>IFERROR(X22*VLOOKUP(C22,'General price list'!C:I,7,FALSE),"")</f>
        <v>0</v>
      </c>
      <c r="AA22" s="365" t="str">
        <f>IF(X22&lt;&gt;"",VLOOKUP(C22,'General price list'!C22:AN997,MATCH("HM",Tabulka1[[#Headers],[KOD]:[NEQ]],0),FALSE),"")</f>
        <v/>
      </c>
    </row>
    <row r="23" spans="1:27">
      <c r="A23">
        <f>COUNTIF($W$22:W23,1)</f>
        <v>0</v>
      </c>
      <c r="B23">
        <v>23</v>
      </c>
      <c r="C23" s="340" t="str">
        <f>Tabulka1[[#This Row],[KOD]]</f>
        <v>BK1P(1)</v>
      </c>
      <c r="W23" t="str">
        <f t="shared" ref="W23" si="0">IF(Y23+1=1,"",1)</f>
        <v/>
      </c>
      <c r="X23" t="str">
        <f>IF(OR(A23&lt;$E$20,A23&gt;$E$21),"",IF(Y23=0,"",Y23))</f>
        <v/>
      </c>
      <c r="Y23" s="341">
        <f>IF('General price list'!$AB23="",0,'General price list'!$AB23)</f>
        <v>0</v>
      </c>
      <c r="Z23" s="365" t="str">
        <f>IFERROR(X23*VLOOKUP(C23,'General price list'!C:I,7,FALSE),"")</f>
        <v/>
      </c>
      <c r="AA23" s="365" t="str">
        <f>IF(X23&lt;&gt;"",VLOOKUP(C23,'General price list'!C23:AN998,MATCH("HM",Tabulka1[[#Headers],[KOD]:[NEQ]],0),FALSE),"")</f>
        <v/>
      </c>
    </row>
    <row r="24" spans="1:27">
      <c r="A24">
        <f>COUNTIF($W$22:W24,1)</f>
        <v>0</v>
      </c>
      <c r="B24">
        <v>24</v>
      </c>
      <c r="C24" s="340" t="str">
        <f>Tabulka1[[#This Row],[KOD]]</f>
        <v>BK2V</v>
      </c>
      <c r="W24" s="804" t="str">
        <f t="shared" ref="W24" si="1">IF(Y24+1=1,"",1)</f>
        <v/>
      </c>
      <c r="X24" t="str">
        <f t="shared" ref="X24" si="2">IF(OR(A24&lt;$E$20,A24&gt;$E$21),"",IF(Y24=0,"",Y24))</f>
        <v/>
      </c>
      <c r="Y24" s="341">
        <f>IF('General price list'!$AB24="",0,'General price list'!$AB24)</f>
        <v>0</v>
      </c>
      <c r="Z24" s="365" t="str">
        <f>IFERROR(X24*VLOOKUP(C24,'General price list'!C:I,7,FALSE),"")</f>
        <v/>
      </c>
      <c r="AA24" s="805" t="str">
        <f>IF(X24&lt;&gt;"",VLOOKUP(C24,'General price list'!C24:AN999,MATCH("HM",Tabulka1[[#Headers],[KOD]:[NEQ]],0),FALSE),"")</f>
        <v/>
      </c>
    </row>
    <row r="25" spans="1:27">
      <c r="A25">
        <f>COUNTIF($W$22:W25,1)</f>
        <v>0</v>
      </c>
      <c r="B25">
        <v>25</v>
      </c>
      <c r="C25" s="340" t="str">
        <f>Tabulka1[[#This Row],[KOD]]</f>
        <v>S5DU14</v>
      </c>
      <c r="W25" s="804" t="str">
        <f t="shared" ref="W25:W88" si="3">IF(Y25+1=1,"",1)</f>
        <v/>
      </c>
      <c r="X25" t="str">
        <f t="shared" ref="X25:X88" si="4">IF(OR(A25&lt;$E$20,A25&gt;$E$21),"",IF(Y25=0,"",Y25))</f>
        <v/>
      </c>
      <c r="Y25" s="341">
        <f>IF('General price list'!$AB25="",0,'General price list'!$AB25)</f>
        <v>0</v>
      </c>
      <c r="Z25" s="365" t="str">
        <f>IFERROR(X25*VLOOKUP(C25,'General price list'!C:I,7,FALSE),"")</f>
        <v/>
      </c>
      <c r="AA25" s="805" t="str">
        <f>IF(X25&lt;&gt;"",VLOOKUP(C25,'General price list'!C25:AN1000,MATCH("HM",Tabulka1[[#Headers],[KOD]:[NEQ]],0),FALSE),"")</f>
        <v/>
      </c>
    </row>
    <row r="26" spans="1:27">
      <c r="A26">
        <f>COUNTIF($W$22:W26,1)</f>
        <v>0</v>
      </c>
      <c r="B26">
        <v>26</v>
      </c>
      <c r="C26" s="340" t="str">
        <f>Tabulka1[[#This Row],[KOD]]</f>
        <v>R5DU14</v>
      </c>
      <c r="W26" s="804" t="str">
        <f t="shared" si="3"/>
        <v/>
      </c>
      <c r="X26" t="str">
        <f t="shared" si="4"/>
        <v/>
      </c>
      <c r="Y26" s="341">
        <f>IF('General price list'!$AB26="",0,'General price list'!$AB26)</f>
        <v>0</v>
      </c>
      <c r="Z26" s="365" t="str">
        <f>IFERROR(X26*VLOOKUP(C26,'General price list'!C:I,7,FALSE),"")</f>
        <v/>
      </c>
      <c r="AA26" s="805" t="str">
        <f>IF(X26&lt;&gt;"",VLOOKUP(C26,'General price list'!C26:AN1001,MATCH("HM",Tabulka1[[#Headers],[KOD]:[NEQ]],0),FALSE),"")</f>
        <v/>
      </c>
    </row>
    <row r="27" spans="1:27">
      <c r="A27">
        <f>COUNTIF($W$22:W27,1)</f>
        <v>0</v>
      </c>
      <c r="B27">
        <v>27</v>
      </c>
      <c r="C27" s="340" t="str">
        <f>Tabulka1[[#This Row],[KOD]]</f>
        <v>C5DU14</v>
      </c>
      <c r="W27" s="804" t="str">
        <f t="shared" si="3"/>
        <v/>
      </c>
      <c r="X27" t="str">
        <f t="shared" si="4"/>
        <v/>
      </c>
      <c r="Y27" s="341">
        <f>IF('General price list'!$AB27="",0,'General price list'!$AB27)</f>
        <v>0</v>
      </c>
      <c r="Z27" s="365" t="str">
        <f>IFERROR(X27*VLOOKUP(C27,'General price list'!C:I,7,FALSE),"")</f>
        <v/>
      </c>
      <c r="AA27" s="805" t="str">
        <f>IF(X27&lt;&gt;"",VLOOKUP(C27,'General price list'!C27:AN1002,MATCH("HM",Tabulka1[[#Headers],[KOD]:[NEQ]],0),FALSE),"")</f>
        <v/>
      </c>
    </row>
    <row r="28" spans="1:27">
      <c r="A28">
        <f>COUNTIF($W$22:W28,1)</f>
        <v>0</v>
      </c>
      <c r="B28">
        <v>28</v>
      </c>
      <c r="C28" s="340" t="str">
        <f>Tabulka1[[#This Row],[KOD]]</f>
        <v>DP1CB</v>
      </c>
      <c r="W28" s="804" t="str">
        <f t="shared" si="3"/>
        <v/>
      </c>
      <c r="X28" t="str">
        <f t="shared" si="4"/>
        <v/>
      </c>
      <c r="Y28" s="341">
        <f>IF('General price list'!$AB28="",0,'General price list'!$AB28)</f>
        <v>0</v>
      </c>
      <c r="Z28" s="365" t="str">
        <f>IFERROR(X28*VLOOKUP(C28,'General price list'!C:I,7,FALSE),"")</f>
        <v/>
      </c>
      <c r="AA28" s="805" t="str">
        <f>IF(X28&lt;&gt;"",VLOOKUP(C28,'General price list'!C28:AN1003,MATCH("HM",Tabulka1[[#Headers],[KOD]:[NEQ]],0),FALSE),"")</f>
        <v/>
      </c>
    </row>
    <row r="29" spans="1:27">
      <c r="A29">
        <f>COUNTIF($W$22:W29,1)</f>
        <v>0</v>
      </c>
      <c r="B29">
        <v>29</v>
      </c>
      <c r="C29" s="340" t="str">
        <f>Tabulka1[[#This Row],[KOD]]</f>
        <v>DP1CB(1)</v>
      </c>
      <c r="W29" s="804" t="str">
        <f t="shared" si="3"/>
        <v/>
      </c>
      <c r="X29" t="str">
        <f t="shared" si="4"/>
        <v/>
      </c>
      <c r="Y29" s="341">
        <f>IF('General price list'!$AB29="",0,'General price list'!$AB29)</f>
        <v>0</v>
      </c>
      <c r="Z29" s="365" t="str">
        <f>IFERROR(X29*VLOOKUP(C29,'General price list'!C:I,7,FALSE),"")</f>
        <v/>
      </c>
      <c r="AA29" s="805" t="str">
        <f>IF(X29&lt;&gt;"",VLOOKUP(C29,'General price list'!C29:AN1004,MATCH("HM",Tabulka1[[#Headers],[KOD]:[NEQ]],0),FALSE),"")</f>
        <v/>
      </c>
    </row>
    <row r="30" spans="1:27">
      <c r="A30">
        <f>COUNTIF($W$22:W30,1)</f>
        <v>0</v>
      </c>
      <c r="B30">
        <v>30</v>
      </c>
      <c r="C30" s="340" t="str">
        <f>Tabulka1[[#This Row],[KOD]]</f>
        <v>DP2CB</v>
      </c>
      <c r="W30" s="804" t="str">
        <f t="shared" si="3"/>
        <v/>
      </c>
      <c r="X30" t="str">
        <f t="shared" si="4"/>
        <v/>
      </c>
      <c r="Y30" s="341">
        <f>IF('General price list'!$AB30="",0,'General price list'!$AB30)</f>
        <v>0</v>
      </c>
      <c r="Z30" s="365" t="str">
        <f>IFERROR(X30*VLOOKUP(C30,'General price list'!C:I,7,FALSE),"")</f>
        <v/>
      </c>
      <c r="AA30" s="805" t="str">
        <f>IF(X30&lt;&gt;"",VLOOKUP(C30,'General price list'!C30:AN1005,MATCH("HM",Tabulka1[[#Headers],[KOD]:[NEQ]],0),FALSE),"")</f>
        <v/>
      </c>
    </row>
    <row r="31" spans="1:27">
      <c r="A31">
        <f>COUNTIF($W$22:W31,1)</f>
        <v>0</v>
      </c>
      <c r="B31">
        <v>31</v>
      </c>
      <c r="C31" s="340" t="str">
        <f>Tabulka1[[#This Row],[KOD]]</f>
        <v>DP2CB(1)</v>
      </c>
      <c r="W31" s="804" t="str">
        <f t="shared" si="3"/>
        <v/>
      </c>
      <c r="X31" t="str">
        <f t="shared" si="4"/>
        <v/>
      </c>
      <c r="Y31" s="341">
        <f>IF('General price list'!$AB31="",0,'General price list'!$AB31)</f>
        <v>0</v>
      </c>
      <c r="Z31" s="365" t="str">
        <f>IFERROR(X31*VLOOKUP(C31,'General price list'!C:I,7,FALSE),"")</f>
        <v/>
      </c>
      <c r="AA31" s="805" t="str">
        <f>IF(X31&lt;&gt;"",VLOOKUP(C31,'General price list'!C31:AN1006,MATCH("HM",Tabulka1[[#Headers],[KOD]:[NEQ]],0),FALSE),"")</f>
        <v/>
      </c>
    </row>
    <row r="32" spans="1:27">
      <c r="A32">
        <f>COUNTIF($W$22:W32,1)</f>
        <v>0</v>
      </c>
      <c r="B32">
        <v>32</v>
      </c>
      <c r="C32" s="340" t="str">
        <f>Tabulka1[[#This Row],[KOD]]</f>
        <v>DP1M</v>
      </c>
      <c r="W32" s="804" t="str">
        <f t="shared" si="3"/>
        <v/>
      </c>
      <c r="X32" t="str">
        <f t="shared" si="4"/>
        <v/>
      </c>
      <c r="Y32" s="341">
        <f>IF('General price list'!$AB32="",0,'General price list'!$AB32)</f>
        <v>0</v>
      </c>
      <c r="Z32" s="365" t="str">
        <f>IFERROR(X32*VLOOKUP(C32,'General price list'!C:I,7,FALSE),"")</f>
        <v/>
      </c>
      <c r="AA32" s="805" t="str">
        <f>IF(X32&lt;&gt;"",VLOOKUP(C32,'General price list'!C32:AN1007,MATCH("HM",Tabulka1[[#Headers],[KOD]:[NEQ]],0),FALSE),"")</f>
        <v/>
      </c>
    </row>
    <row r="33" spans="1:27">
      <c r="A33">
        <f>COUNTIF($W$22:W33,1)</f>
        <v>0</v>
      </c>
      <c r="B33">
        <v>33</v>
      </c>
      <c r="C33" s="340" t="str">
        <f>Tabulka1[[#This Row],[KOD]]</f>
        <v>DP1M(1)</v>
      </c>
      <c r="W33" s="804" t="str">
        <f t="shared" si="3"/>
        <v/>
      </c>
      <c r="X33" t="str">
        <f t="shared" si="4"/>
        <v/>
      </c>
      <c r="Y33" s="341">
        <f>IF('General price list'!$AB33="",0,'General price list'!$AB33)</f>
        <v>0</v>
      </c>
      <c r="Z33" s="365" t="str">
        <f>IFERROR(X33*VLOOKUP(C33,'General price list'!C:I,7,FALSE),"")</f>
        <v/>
      </c>
      <c r="AA33" s="805" t="str">
        <f>IF(X33&lt;&gt;"",VLOOKUP(C33,'General price list'!C33:AN1008,MATCH("HM",Tabulka1[[#Headers],[KOD]:[NEQ]],0),FALSE),"")</f>
        <v/>
      </c>
    </row>
    <row r="34" spans="1:27">
      <c r="A34">
        <f>COUNTIF($W$22:W34,1)</f>
        <v>0</v>
      </c>
      <c r="B34">
        <v>34</v>
      </c>
      <c r="C34" s="340" t="str">
        <f>Tabulka1[[#This Row],[KOD]]</f>
        <v>DP1Z20</v>
      </c>
      <c r="W34" s="804" t="str">
        <f t="shared" si="3"/>
        <v/>
      </c>
      <c r="X34" t="str">
        <f t="shared" si="4"/>
        <v/>
      </c>
      <c r="Y34" s="341">
        <f>IF('General price list'!$AB34="",0,'General price list'!$AB34)</f>
        <v>0</v>
      </c>
      <c r="Z34" s="365" t="str">
        <f>IFERROR(X34*VLOOKUP(C34,'General price list'!C:I,7,FALSE),"")</f>
        <v/>
      </c>
      <c r="AA34" s="805" t="str">
        <f>IF(X34&lt;&gt;"",VLOOKUP(C34,'General price list'!C34:AN1009,MATCH("HM",Tabulka1[[#Headers],[KOD]:[NEQ]],0),FALSE),"")</f>
        <v/>
      </c>
    </row>
    <row r="35" spans="1:27">
      <c r="A35">
        <f>COUNTIF($W$22:W35,1)</f>
        <v>0</v>
      </c>
      <c r="B35">
        <v>35</v>
      </c>
      <c r="C35" s="340" t="str">
        <f>Tabulka1[[#This Row],[KOD]]</f>
        <v>DP1Z20(1)</v>
      </c>
      <c r="W35" s="804" t="str">
        <f t="shared" si="3"/>
        <v/>
      </c>
      <c r="X35" t="str">
        <f t="shared" si="4"/>
        <v/>
      </c>
      <c r="Y35" s="341">
        <f>IF('General price list'!$AB35="",0,'General price list'!$AB35)</f>
        <v>0</v>
      </c>
      <c r="Z35" s="365" t="str">
        <f>IFERROR(X35*VLOOKUP(C35,'General price list'!C:I,7,FALSE),"")</f>
        <v/>
      </c>
      <c r="AA35" s="805" t="str">
        <f>IF(X35&lt;&gt;"",VLOOKUP(C35,'General price list'!C35:AN1010,MATCH("HM",Tabulka1[[#Headers],[KOD]:[NEQ]],0),FALSE),"")</f>
        <v/>
      </c>
    </row>
    <row r="36" spans="1:27">
      <c r="A36">
        <f>COUNTIF($W$22:W36,1)</f>
        <v>0</v>
      </c>
      <c r="B36">
        <v>36</v>
      </c>
      <c r="C36" s="340" t="str">
        <f>Tabulka1[[#This Row],[KOD]]</f>
        <v>CDK1</v>
      </c>
      <c r="W36" s="804" t="str">
        <f t="shared" si="3"/>
        <v/>
      </c>
      <c r="X36" t="str">
        <f t="shared" si="4"/>
        <v/>
      </c>
      <c r="Y36" s="341">
        <f>IF('General price list'!$AB36="",0,'General price list'!$AB36)</f>
        <v>0</v>
      </c>
      <c r="Z36" s="365" t="str">
        <f>IFERROR(X36*VLOOKUP(C36,'General price list'!C:I,7,FALSE),"")</f>
        <v/>
      </c>
      <c r="AA36" s="805" t="str">
        <f>IF(X36&lt;&gt;"",VLOOKUP(C36,'General price list'!C36:AN1011,MATCH("HM",Tabulka1[[#Headers],[KOD]:[NEQ]],0),FALSE),"")</f>
        <v/>
      </c>
    </row>
    <row r="37" spans="1:27">
      <c r="A37">
        <f>COUNTIF($W$22:W37,1)</f>
        <v>0</v>
      </c>
      <c r="B37">
        <v>37</v>
      </c>
      <c r="C37" s="340" t="str">
        <f>Tabulka1[[#This Row],[KOD]]</f>
        <v>CDK1(1)</v>
      </c>
      <c r="W37" s="804" t="str">
        <f t="shared" si="3"/>
        <v/>
      </c>
      <c r="X37" t="str">
        <f t="shared" si="4"/>
        <v/>
      </c>
      <c r="Y37" s="341">
        <f>IF('General price list'!$AB37="",0,'General price list'!$AB37)</f>
        <v>0</v>
      </c>
      <c r="Z37" s="365" t="str">
        <f>IFERROR(X37*VLOOKUP(C37,'General price list'!C:I,7,FALSE),"")</f>
        <v/>
      </c>
      <c r="AA37" s="805" t="str">
        <f>IF(X37&lt;&gt;"",VLOOKUP(C37,'General price list'!C37:AN1012,MATCH("HM",Tabulka1[[#Headers],[KOD]:[NEQ]],0),FALSE),"")</f>
        <v/>
      </c>
    </row>
    <row r="38" spans="1:27">
      <c r="A38">
        <f>COUNTIF($W$22:W38,1)</f>
        <v>0</v>
      </c>
      <c r="B38">
        <v>38</v>
      </c>
      <c r="C38" s="340" t="str">
        <f>Tabulka1[[#This Row],[KOD]]</f>
        <v>DP1BP</v>
      </c>
      <c r="W38" s="804" t="str">
        <f t="shared" si="3"/>
        <v/>
      </c>
      <c r="X38" t="str">
        <f t="shared" si="4"/>
        <v/>
      </c>
      <c r="Y38" s="341">
        <f>IF('General price list'!$AB38="",0,'General price list'!$AB38)</f>
        <v>0</v>
      </c>
      <c r="Z38" s="365" t="str">
        <f>IFERROR(X38*VLOOKUP(C38,'General price list'!C:I,7,FALSE),"")</f>
        <v/>
      </c>
      <c r="AA38" s="805" t="str">
        <f>IF(X38&lt;&gt;"",VLOOKUP(C38,'General price list'!C38:AN1013,MATCH("HM",Tabulka1[[#Headers],[KOD]:[NEQ]],0),FALSE),"")</f>
        <v/>
      </c>
    </row>
    <row r="39" spans="1:27">
      <c r="A39">
        <f>COUNTIF($W$22:W39,1)</f>
        <v>0</v>
      </c>
      <c r="B39">
        <v>39</v>
      </c>
      <c r="C39" s="340">
        <f>Tabulka1[[#This Row],[KOD]]</f>
        <v>0</v>
      </c>
      <c r="W39" s="804" t="str">
        <f t="shared" si="3"/>
        <v/>
      </c>
      <c r="X39" t="str">
        <f t="shared" si="4"/>
        <v/>
      </c>
      <c r="Y39" s="341">
        <f>IF('General price list'!$AB39="",0,'General price list'!$AB39)</f>
        <v>0</v>
      </c>
      <c r="Z39" s="365" t="str">
        <f>IFERROR(X39*VLOOKUP(C39,'General price list'!C:I,7,FALSE),"")</f>
        <v/>
      </c>
      <c r="AA39" s="805" t="str">
        <f>IF(X39&lt;&gt;"",VLOOKUP(C39,'General price list'!C39:AN1014,MATCH("HM",Tabulka1[[#Headers],[KOD]:[NEQ]],0),FALSE),"")</f>
        <v/>
      </c>
    </row>
    <row r="40" spans="1:27">
      <c r="A40">
        <f>COUNTIF($W$22:W40,1)</f>
        <v>0</v>
      </c>
      <c r="B40">
        <v>40</v>
      </c>
      <c r="C40" s="340" t="str">
        <f>Tabulka1[[#This Row],[KOD]]</f>
        <v>DP1T</v>
      </c>
      <c r="W40" s="804" t="str">
        <f t="shared" si="3"/>
        <v/>
      </c>
      <c r="X40" t="str">
        <f t="shared" si="4"/>
        <v/>
      </c>
      <c r="Y40" s="341">
        <f>IF('General price list'!$AB40="",0,'General price list'!$AB40)</f>
        <v>0</v>
      </c>
      <c r="Z40" s="365" t="str">
        <f>IFERROR(X40*VLOOKUP(C40,'General price list'!C:I,7,FALSE),"")</f>
        <v/>
      </c>
      <c r="AA40" s="805" t="str">
        <f>IF(X40&lt;&gt;"",VLOOKUP(C40,'General price list'!C40:AN1015,MATCH("HM",Tabulka1[[#Headers],[KOD]:[NEQ]],0),FALSE),"")</f>
        <v/>
      </c>
    </row>
    <row r="41" spans="1:27">
      <c r="A41">
        <f>COUNTIF($W$22:W41,1)</f>
        <v>0</v>
      </c>
      <c r="B41">
        <v>41</v>
      </c>
      <c r="C41" s="340" t="str">
        <f>Tabulka1[[#This Row],[KOD]]</f>
        <v>DP1R</v>
      </c>
      <c r="W41" s="804" t="str">
        <f t="shared" si="3"/>
        <v/>
      </c>
      <c r="X41" t="str">
        <f t="shared" si="4"/>
        <v/>
      </c>
      <c r="Y41" s="341">
        <f>IF('General price list'!$AB41="",0,'General price list'!$AB41)</f>
        <v>0</v>
      </c>
      <c r="Z41" s="365" t="str">
        <f>IFERROR(X41*VLOOKUP(C41,'General price list'!C:I,7,FALSE),"")</f>
        <v/>
      </c>
      <c r="AA41" s="805" t="str">
        <f>IF(X41&lt;&gt;"",VLOOKUP(C41,'General price list'!C41:AN1016,MATCH("HM",Tabulka1[[#Headers],[KOD]:[NEQ]],0),FALSE),"")</f>
        <v/>
      </c>
    </row>
    <row r="42" spans="1:27">
      <c r="A42">
        <f>COUNTIF($W$22:W42,1)</f>
        <v>0</v>
      </c>
      <c r="B42">
        <v>42</v>
      </c>
      <c r="C42" s="340" t="str">
        <f>Tabulka1[[#This Row],[KOD]]</f>
        <v>DP1VR</v>
      </c>
      <c r="W42" s="804" t="str">
        <f t="shared" si="3"/>
        <v/>
      </c>
      <c r="X42" t="str">
        <f t="shared" si="4"/>
        <v/>
      </c>
      <c r="Y42" s="341">
        <f>IF('General price list'!$AB42="",0,'General price list'!$AB42)</f>
        <v>0</v>
      </c>
      <c r="Z42" s="365" t="str">
        <f>IFERROR(X42*VLOOKUP(C42,'General price list'!C:I,7,FALSE),"")</f>
        <v/>
      </c>
      <c r="AA42" s="805" t="str">
        <f>IF(X42&lt;&gt;"",VLOOKUP(C42,'General price list'!C42:AN1017,MATCH("HM",Tabulka1[[#Headers],[KOD]:[NEQ]],0),FALSE),"")</f>
        <v/>
      </c>
    </row>
    <row r="43" spans="1:27">
      <c r="A43">
        <f>COUNTIF($W$22:W43,1)</f>
        <v>0</v>
      </c>
      <c r="B43">
        <v>43</v>
      </c>
      <c r="C43" s="340" t="str">
        <f>Tabulka1[[#This Row],[KOD]]</f>
        <v>DP1EM</v>
      </c>
      <c r="W43" s="804" t="str">
        <f t="shared" si="3"/>
        <v/>
      </c>
      <c r="X43" t="str">
        <f t="shared" si="4"/>
        <v/>
      </c>
      <c r="Y43" s="341">
        <f>IF('General price list'!$AB43="",0,'General price list'!$AB43)</f>
        <v>0</v>
      </c>
      <c r="Z43" s="365" t="str">
        <f>IFERROR(X43*VLOOKUP(C43,'General price list'!C:I,7,FALSE),"")</f>
        <v/>
      </c>
      <c r="AA43" s="805" t="str">
        <f>IF(X43&lt;&gt;"",VLOOKUP(C43,'General price list'!C43:AN1018,MATCH("HM",Tabulka1[[#Headers],[KOD]:[NEQ]],0),FALSE),"")</f>
        <v/>
      </c>
    </row>
    <row r="44" spans="1:27">
      <c r="A44">
        <f>COUNTIF($W$22:W44,1)</f>
        <v>0</v>
      </c>
      <c r="B44">
        <v>44</v>
      </c>
      <c r="C44" s="340" t="str">
        <f>Tabulka1[[#This Row],[KOD]]</f>
        <v>DP1SW</v>
      </c>
      <c r="W44" s="804" t="str">
        <f t="shared" si="3"/>
        <v/>
      </c>
      <c r="X44" t="str">
        <f t="shared" si="4"/>
        <v/>
      </c>
      <c r="Y44" s="341">
        <f>IF('General price list'!$AB44="",0,'General price list'!$AB44)</f>
        <v>0</v>
      </c>
      <c r="Z44" s="365" t="str">
        <f>IFERROR(X44*VLOOKUP(C44,'General price list'!C:I,7,FALSE),"")</f>
        <v/>
      </c>
      <c r="AA44" s="805" t="str">
        <f>IF(X44&lt;&gt;"",VLOOKUP(C44,'General price list'!C44:AN1019,MATCH("HM",Tabulka1[[#Headers],[KOD]:[NEQ]],0),FALSE),"")</f>
        <v/>
      </c>
    </row>
    <row r="45" spans="1:27">
      <c r="A45">
        <f>COUNTIF($W$22:W45,1)</f>
        <v>0</v>
      </c>
      <c r="B45">
        <v>45</v>
      </c>
      <c r="C45" s="340">
        <f>Tabulka1[[#This Row],[KOD]]</f>
        <v>0</v>
      </c>
      <c r="W45" s="804" t="str">
        <f t="shared" si="3"/>
        <v/>
      </c>
      <c r="X45" t="str">
        <f t="shared" si="4"/>
        <v/>
      </c>
      <c r="Y45" s="341">
        <f>IF('General price list'!$AB45="",0,'General price list'!$AB45)</f>
        <v>0</v>
      </c>
      <c r="Z45" s="365" t="str">
        <f>IFERROR(X45*VLOOKUP(C45,'General price list'!C:I,7,FALSE),"")</f>
        <v/>
      </c>
      <c r="AA45" s="805" t="str">
        <f>IF(X45&lt;&gt;"",VLOOKUP(C45,'General price list'!C45:AN1020,MATCH("HM",Tabulka1[[#Headers],[KOD]:[NEQ]],0),FALSE),"")</f>
        <v/>
      </c>
    </row>
    <row r="46" spans="1:27">
      <c r="A46">
        <f>COUNTIF($W$22:W46,1)</f>
        <v>0</v>
      </c>
      <c r="B46">
        <v>46</v>
      </c>
      <c r="C46" s="340" t="str">
        <f>Tabulka1[[#This Row],[KOD]]</f>
        <v>DP1FR</v>
      </c>
      <c r="W46" s="804" t="str">
        <f t="shared" si="3"/>
        <v/>
      </c>
      <c r="X46" t="str">
        <f t="shared" si="4"/>
        <v/>
      </c>
      <c r="Y46" s="341">
        <f>IF('General price list'!$AB46="",0,'General price list'!$AB46)</f>
        <v>0</v>
      </c>
      <c r="Z46" s="365" t="str">
        <f>IFERROR(X46*VLOOKUP(C46,'General price list'!C:I,7,FALSE),"")</f>
        <v/>
      </c>
      <c r="AA46" s="805" t="str">
        <f>IF(X46&lt;&gt;"",VLOOKUP(C46,'General price list'!C46:AN1021,MATCH("HM",Tabulka1[[#Headers],[KOD]:[NEQ]],0),FALSE),"")</f>
        <v/>
      </c>
    </row>
    <row r="47" spans="1:27">
      <c r="A47">
        <f>COUNTIF($W$22:W47,1)</f>
        <v>0</v>
      </c>
      <c r="B47">
        <v>47</v>
      </c>
      <c r="C47" s="340" t="str">
        <f>Tabulka1[[#This Row],[KOD]]</f>
        <v>DP1FM</v>
      </c>
      <c r="W47" s="804" t="str">
        <f t="shared" si="3"/>
        <v/>
      </c>
      <c r="X47" t="str">
        <f t="shared" si="4"/>
        <v/>
      </c>
      <c r="Y47" s="341">
        <f>IF('General price list'!$AB47="",0,'General price list'!$AB47)</f>
        <v>0</v>
      </c>
      <c r="Z47" s="365" t="str">
        <f>IFERROR(X47*VLOOKUP(C47,'General price list'!C:I,7,FALSE),"")</f>
        <v/>
      </c>
      <c r="AA47" s="805" t="str">
        <f>IF(X47&lt;&gt;"",VLOOKUP(C47,'General price list'!C47:AN1022,MATCH("HM",Tabulka1[[#Headers],[KOD]:[NEQ]],0),FALSE),"")</f>
        <v/>
      </c>
    </row>
    <row r="48" spans="1:27">
      <c r="A48">
        <f>COUNTIF($W$22:W48,1)</f>
        <v>0</v>
      </c>
      <c r="B48">
        <v>48</v>
      </c>
      <c r="C48" s="340" t="str">
        <f>Tabulka1[[#This Row],[KOD]]</f>
        <v>DP1FV</v>
      </c>
      <c r="W48" s="804" t="str">
        <f t="shared" si="3"/>
        <v/>
      </c>
      <c r="X48" t="str">
        <f t="shared" si="4"/>
        <v/>
      </c>
      <c r="Y48" s="341">
        <f>IF('General price list'!$AB48="",0,'General price list'!$AB48)</f>
        <v>0</v>
      </c>
      <c r="Z48" s="365" t="str">
        <f>IFERROR(X48*VLOOKUP(C48,'General price list'!C:I,7,FALSE),"")</f>
        <v/>
      </c>
      <c r="AA48" s="805" t="str">
        <f>IF(X48&lt;&gt;"",VLOOKUP(C48,'General price list'!C48:AN1023,MATCH("HM",Tabulka1[[#Headers],[KOD]:[NEQ]],0),FALSE),"")</f>
        <v/>
      </c>
    </row>
    <row r="49" spans="1:27">
      <c r="A49">
        <f>COUNTIF($W$22:W49,1)</f>
        <v>0</v>
      </c>
      <c r="B49">
        <v>49</v>
      </c>
      <c r="C49" s="340" t="str">
        <f>Tabulka1[[#This Row],[KOD]]</f>
        <v>DP1FD</v>
      </c>
      <c r="W49" s="804" t="str">
        <f t="shared" si="3"/>
        <v/>
      </c>
      <c r="X49" t="str">
        <f t="shared" si="4"/>
        <v/>
      </c>
      <c r="Y49" s="341">
        <f>IF('General price list'!$AB49="",0,'General price list'!$AB49)</f>
        <v>0</v>
      </c>
      <c r="Z49" s="365" t="str">
        <f>IFERROR(X49*VLOOKUP(C49,'General price list'!C:I,7,FALSE),"")</f>
        <v/>
      </c>
      <c r="AA49" s="805" t="str">
        <f>IF(X49&lt;&gt;"",VLOOKUP(C49,'General price list'!C49:AN1024,MATCH("HM",Tabulka1[[#Headers],[KOD]:[NEQ]],0),FALSE),"")</f>
        <v/>
      </c>
    </row>
    <row r="50" spans="1:27">
      <c r="A50">
        <f>COUNTIF($W$22:W50,1)</f>
        <v>0</v>
      </c>
      <c r="B50">
        <v>50</v>
      </c>
      <c r="C50" s="340" t="str">
        <f>Tabulka1[[#This Row],[KOD]]</f>
        <v>F1DB</v>
      </c>
      <c r="W50" s="804" t="str">
        <f t="shared" si="3"/>
        <v/>
      </c>
      <c r="X50" t="str">
        <f t="shared" si="4"/>
        <v/>
      </c>
      <c r="Y50" s="341">
        <f>IF('General price list'!$AB51="",0,'General price list'!$AB51)</f>
        <v>0</v>
      </c>
      <c r="Z50" s="365" t="str">
        <f>IFERROR(X50*VLOOKUP(C50,'General price list'!C:I,7,FALSE),"")</f>
        <v/>
      </c>
      <c r="AA50" s="805" t="str">
        <f>IF(X50&lt;&gt;"",VLOOKUP(C50,'General price list'!C51:AN1025,MATCH("HM",Tabulka1[[#Headers],[KOD]:[NEQ]],0),FALSE),"")</f>
        <v/>
      </c>
    </row>
    <row r="51" spans="1:27">
      <c r="A51">
        <f>COUNTIF($W$22:W51,1)</f>
        <v>0</v>
      </c>
      <c r="B51">
        <v>51</v>
      </c>
      <c r="C51" s="340" t="str">
        <f>Tabulka1[[#This Row],[KOD]]</f>
        <v>F19MF1</v>
      </c>
      <c r="W51" s="804" t="str">
        <f t="shared" si="3"/>
        <v/>
      </c>
      <c r="X51" t="str">
        <f t="shared" si="4"/>
        <v/>
      </c>
      <c r="Y51" s="341">
        <f>IF('General price list'!$AB52="",0,'General price list'!$AB52)</f>
        <v>0</v>
      </c>
      <c r="Z51" s="365" t="str">
        <f>IFERROR(X51*VLOOKUP(C51,'General price list'!C:I,7,FALSE),"")</f>
        <v/>
      </c>
      <c r="AA51" s="805" t="str">
        <f>IF(X51&lt;&gt;"",VLOOKUP(C51,'General price list'!C52:AN1026,MATCH("HM",Tabulka1[[#Headers],[KOD]:[NEQ]],0),FALSE),"")</f>
        <v/>
      </c>
    </row>
    <row r="52" spans="1:27">
      <c r="A52">
        <f>COUNTIF($W$22:W52,1)</f>
        <v>0</v>
      </c>
      <c r="B52">
        <v>52</v>
      </c>
      <c r="C52" s="340" t="str">
        <f>Tabulka1[[#This Row],[KOD]]</f>
        <v>BP30S</v>
      </c>
      <c r="W52" s="804" t="str">
        <f t="shared" si="3"/>
        <v/>
      </c>
      <c r="X52" t="str">
        <f t="shared" si="4"/>
        <v/>
      </c>
      <c r="Y52" s="341">
        <f>IF('General price list'!$AB53="",0,'General price list'!$AB53)</f>
        <v>0</v>
      </c>
      <c r="Z52" s="365" t="str">
        <f>IFERROR(X52*VLOOKUP(C52,'General price list'!C:I,7,FALSE),"")</f>
        <v/>
      </c>
      <c r="AA52" s="805" t="str">
        <f>IF(X52&lt;&gt;"",VLOOKUP(C52,'General price list'!C53:AN1027,MATCH("HM",Tabulka1[[#Headers],[KOD]:[NEQ]],0),FALSE),"")</f>
        <v/>
      </c>
    </row>
    <row r="53" spans="1:27">
      <c r="A53">
        <f>COUNTIF($W$22:W53,1)</f>
        <v>0</v>
      </c>
      <c r="B53">
        <v>53</v>
      </c>
      <c r="C53" s="340" t="str">
        <f>Tabulka1[[#This Row],[KOD]]</f>
        <v>CST12S</v>
      </c>
      <c r="W53" s="804" t="str">
        <f t="shared" si="3"/>
        <v/>
      </c>
      <c r="X53" t="str">
        <f t="shared" si="4"/>
        <v/>
      </c>
      <c r="Y53" s="341">
        <f>IF('General price list'!$AB54="",0,'General price list'!$AB54)</f>
        <v>0</v>
      </c>
      <c r="Z53" s="365" t="str">
        <f>IFERROR(X53*VLOOKUP(C53,'General price list'!C:I,7,FALSE),"")</f>
        <v/>
      </c>
      <c r="AA53" s="805" t="str">
        <f>IF(X53&lt;&gt;"",VLOOKUP(C53,'General price list'!C54:AN1028,MATCH("HM",Tabulka1[[#Headers],[KOD]:[NEQ]],0),FALSE),"")</f>
        <v/>
      </c>
    </row>
    <row r="54" spans="1:27">
      <c r="A54">
        <f>COUNTIF($W$22:W54,1)</f>
        <v>0</v>
      </c>
      <c r="B54">
        <v>54</v>
      </c>
      <c r="C54" s="340" t="str">
        <f>Tabulka1[[#This Row],[KOD]]</f>
        <v>CST40S</v>
      </c>
      <c r="W54" s="804" t="str">
        <f t="shared" si="3"/>
        <v/>
      </c>
      <c r="X54" t="str">
        <f t="shared" si="4"/>
        <v/>
      </c>
      <c r="Y54" s="341">
        <f>IF('General price list'!$AB55="",0,'General price list'!$AB55)</f>
        <v>0</v>
      </c>
      <c r="Z54" s="365" t="str">
        <f>IFERROR(X54*VLOOKUP(C54,'General price list'!C:I,7,FALSE),"")</f>
        <v/>
      </c>
      <c r="AA54" s="805" t="str">
        <f>IF(X54&lt;&gt;"",VLOOKUP(C54,'General price list'!C55:AN1029,MATCH("HM",Tabulka1[[#Headers],[KOD]:[NEQ]],0),FALSE),"")</f>
        <v/>
      </c>
    </row>
    <row r="55" spans="1:27">
      <c r="A55">
        <f>COUNTIF($W$22:W55,1)</f>
        <v>0</v>
      </c>
      <c r="B55">
        <v>55</v>
      </c>
      <c r="C55" s="340">
        <f>Tabulka1[[#This Row],[KOD]]</f>
        <v>0</v>
      </c>
      <c r="W55" s="804" t="str">
        <f t="shared" si="3"/>
        <v/>
      </c>
      <c r="X55" t="str">
        <f t="shared" si="4"/>
        <v/>
      </c>
      <c r="Y55" s="341">
        <f>IF('General price list'!$AB56="",0,'General price list'!$AB56)</f>
        <v>0</v>
      </c>
      <c r="Z55" s="365" t="str">
        <f>IFERROR(X55*VLOOKUP(C55,'General price list'!C:I,7,FALSE),"")</f>
        <v/>
      </c>
      <c r="AA55" s="805" t="str">
        <f>IF(X55&lt;&gt;"",VLOOKUP(C55,'General price list'!C56:AN1030,MATCH("HM",Tabulka1[[#Headers],[KOD]:[NEQ]],0),FALSE),"")</f>
        <v/>
      </c>
    </row>
    <row r="56" spans="1:27">
      <c r="A56">
        <f>COUNTIF($W$22:W56,1)</f>
        <v>0</v>
      </c>
      <c r="B56">
        <v>56</v>
      </c>
      <c r="C56" s="340" t="str">
        <f>Tabulka1[[#This Row],[KOD]]</f>
        <v>DP1TA</v>
      </c>
      <c r="W56" s="804" t="str">
        <f t="shared" si="3"/>
        <v/>
      </c>
      <c r="X56" t="str">
        <f t="shared" si="4"/>
        <v/>
      </c>
      <c r="Y56" s="341">
        <f>IF('General price list'!$AB57="",0,'General price list'!$AB57)</f>
        <v>0</v>
      </c>
      <c r="Z56" s="365" t="str">
        <f>IFERROR(X56*VLOOKUP(C56,'General price list'!C:I,7,FALSE),"")</f>
        <v/>
      </c>
      <c r="AA56" s="805" t="str">
        <f>IF(X56&lt;&gt;"",VLOOKUP(C56,'General price list'!C57:AN1031,MATCH("HM",Tabulka1[[#Headers],[KOD]:[NEQ]],0),FALSE),"")</f>
        <v/>
      </c>
    </row>
    <row r="57" spans="1:27">
      <c r="A57">
        <f>COUNTIF($W$22:W57,1)</f>
        <v>0</v>
      </c>
      <c r="B57">
        <v>57</v>
      </c>
      <c r="C57" s="340" t="str">
        <f>Tabulka1[[#This Row],[KOD]]</f>
        <v>DP1TA(1)</v>
      </c>
      <c r="W57" s="804" t="str">
        <f t="shared" si="3"/>
        <v/>
      </c>
      <c r="X57" t="str">
        <f t="shared" si="4"/>
        <v/>
      </c>
      <c r="Y57" s="341">
        <f>IF('General price list'!$AB58="",0,'General price list'!$AB58)</f>
        <v>0</v>
      </c>
      <c r="Z57" s="365" t="str">
        <f>IFERROR(X57*VLOOKUP(C57,'General price list'!C:I,7,FALSE),"")</f>
        <v/>
      </c>
      <c r="AA57" s="805" t="str">
        <f>IF(X57&lt;&gt;"",VLOOKUP(C57,'General price list'!C58:AN1032,MATCH("HM",Tabulka1[[#Headers],[KOD]:[NEQ]],0),FALSE),"")</f>
        <v/>
      </c>
    </row>
    <row r="58" spans="1:27">
      <c r="A58">
        <f>COUNTIF($W$22:W58,1)</f>
        <v>0</v>
      </c>
      <c r="B58">
        <v>58</v>
      </c>
      <c r="C58" s="340" t="str">
        <f>Tabulka1[[#This Row],[KOD]]</f>
        <v>DP1BS(1)</v>
      </c>
      <c r="W58" s="804" t="str">
        <f t="shared" si="3"/>
        <v/>
      </c>
      <c r="X58" t="str">
        <f t="shared" si="4"/>
        <v/>
      </c>
      <c r="Y58" s="341">
        <f>IF('General price list'!$AB59="",0,'General price list'!$AB59)</f>
        <v>0</v>
      </c>
      <c r="Z58" s="365" t="str">
        <f>IFERROR(X58*VLOOKUP(C58,'General price list'!C:I,7,FALSE),"")</f>
        <v/>
      </c>
      <c r="AA58" s="805" t="str">
        <f>IF(X58&lt;&gt;"",VLOOKUP(C58,'General price list'!C59:AN1033,MATCH("HM",Tabulka1[[#Headers],[KOD]:[NEQ]],0),FALSE),"")</f>
        <v/>
      </c>
    </row>
    <row r="59" spans="1:27">
      <c r="A59">
        <f>COUNTIF($W$22:W59,1)</f>
        <v>0</v>
      </c>
      <c r="B59">
        <v>59</v>
      </c>
      <c r="C59" s="340" t="str">
        <f>Tabulka1[[#This Row],[KOD]]</f>
        <v>DP1P</v>
      </c>
      <c r="W59" s="804" t="str">
        <f t="shared" si="3"/>
        <v/>
      </c>
      <c r="X59" t="str">
        <f t="shared" si="4"/>
        <v/>
      </c>
      <c r="Y59" s="341">
        <f>IF('General price list'!$AB60="",0,'General price list'!$AB60)</f>
        <v>0</v>
      </c>
      <c r="Z59" s="365" t="str">
        <f>IFERROR(X59*VLOOKUP(C59,'General price list'!C:I,7,FALSE),"")</f>
        <v/>
      </c>
      <c r="AA59" s="805" t="str">
        <f>IF(X59&lt;&gt;"",VLOOKUP(C59,'General price list'!C60:AN1034,MATCH("HM",Tabulka1[[#Headers],[KOD]:[NEQ]],0),FALSE),"")</f>
        <v/>
      </c>
    </row>
    <row r="60" spans="1:27">
      <c r="A60">
        <f>COUNTIF($W$22:W60,1)</f>
        <v>0</v>
      </c>
      <c r="B60">
        <v>60</v>
      </c>
      <c r="C60" s="340" t="str">
        <f>Tabulka1[[#This Row],[KOD]]</f>
        <v>DP2W</v>
      </c>
      <c r="W60" s="804" t="str">
        <f t="shared" si="3"/>
        <v/>
      </c>
      <c r="X60" t="str">
        <f t="shared" si="4"/>
        <v/>
      </c>
      <c r="Y60" s="341">
        <f>IF('General price list'!$AB61="",0,'General price list'!$AB61)</f>
        <v>0</v>
      </c>
      <c r="Z60" s="365" t="str">
        <f>IFERROR(X60*VLOOKUP(C60,'General price list'!C:I,7,FALSE),"")</f>
        <v/>
      </c>
      <c r="AA60" s="805" t="str">
        <f>IF(X60&lt;&gt;"",VLOOKUP(C60,'General price list'!C61:AN1035,MATCH("HM",Tabulka1[[#Headers],[KOD]:[NEQ]],0),FALSE),"")</f>
        <v/>
      </c>
    </row>
    <row r="61" spans="1:27">
      <c r="A61">
        <f>COUNTIF($W$22:W61,1)</f>
        <v>0</v>
      </c>
      <c r="B61">
        <v>61</v>
      </c>
      <c r="C61" s="340" t="str">
        <f>Tabulka1[[#This Row],[KOD]]</f>
        <v>S12S</v>
      </c>
      <c r="W61" s="804" t="str">
        <f t="shared" si="3"/>
        <v/>
      </c>
      <c r="X61" t="str">
        <f t="shared" si="4"/>
        <v/>
      </c>
      <c r="Y61" s="341">
        <f>IF('General price list'!$AB62="",0,'General price list'!$AB62)</f>
        <v>0</v>
      </c>
      <c r="Z61" s="365" t="str">
        <f>IFERROR(X61*VLOOKUP(C61,'General price list'!C:I,7,FALSE),"")</f>
        <v/>
      </c>
      <c r="AA61" s="805" t="str">
        <f>IF(X61&lt;&gt;"",VLOOKUP(C61,'General price list'!C62:AN1036,MATCH("HM",Tabulka1[[#Headers],[KOD]:[NEQ]],0),FALSE),"")</f>
        <v/>
      </c>
    </row>
    <row r="62" spans="1:27">
      <c r="A62">
        <f>COUNTIF($W$22:W62,1)</f>
        <v>0</v>
      </c>
      <c r="B62">
        <v>62</v>
      </c>
      <c r="C62" s="340" t="str">
        <f>Tabulka1[[#This Row],[KOD]]</f>
        <v>S12S(1)</v>
      </c>
      <c r="W62" s="804" t="str">
        <f t="shared" si="3"/>
        <v/>
      </c>
      <c r="X62" t="str">
        <f t="shared" si="4"/>
        <v/>
      </c>
      <c r="Y62" s="341">
        <f>IF('General price list'!$AB63="",0,'General price list'!$AB63)</f>
        <v>0</v>
      </c>
      <c r="Z62" s="365" t="str">
        <f>IFERROR(X62*VLOOKUP(C62,'General price list'!C:I,7,FALSE),"")</f>
        <v/>
      </c>
      <c r="AA62" s="805" t="str">
        <f>IF(X62&lt;&gt;"",VLOOKUP(C62,'General price list'!C63:AN1037,MATCH("HM",Tabulka1[[#Headers],[KOD]:[NEQ]],0),FALSE),"")</f>
        <v/>
      </c>
    </row>
    <row r="63" spans="1:27">
      <c r="A63">
        <f>COUNTIF($W$22:W63,1)</f>
        <v>0</v>
      </c>
      <c r="B63">
        <v>63</v>
      </c>
      <c r="C63" s="340">
        <f>Tabulka1[[#This Row],[KOD]]</f>
        <v>0</v>
      </c>
      <c r="W63" s="804" t="str">
        <f t="shared" si="3"/>
        <v/>
      </c>
      <c r="X63" t="str">
        <f t="shared" si="4"/>
        <v/>
      </c>
      <c r="Y63" s="341">
        <f>IF('General price list'!$AB65="",0,'General price list'!$AB65)</f>
        <v>0</v>
      </c>
      <c r="Z63" s="365" t="str">
        <f>IFERROR(X63*VLOOKUP(C63,'General price list'!C:I,7,FALSE),"")</f>
        <v/>
      </c>
      <c r="AA63" s="805" t="str">
        <f>IF(X63&lt;&gt;"",VLOOKUP(C63,'General price list'!C65:AN1038,MATCH("HM",Tabulka1[[#Headers],[KOD]:[NEQ]],0),FALSE),"")</f>
        <v/>
      </c>
    </row>
    <row r="64" spans="1:27">
      <c r="A64">
        <f>COUNTIF($W$22:W64,1)</f>
        <v>0</v>
      </c>
      <c r="B64">
        <v>64</v>
      </c>
      <c r="C64" s="340" t="str">
        <f>Tabulka1[[#This Row],[KOD]]</f>
        <v>CB1DB</v>
      </c>
      <c r="W64" s="804" t="str">
        <f t="shared" si="3"/>
        <v/>
      </c>
      <c r="X64" t="str">
        <f t="shared" si="4"/>
        <v/>
      </c>
      <c r="Y64" s="341">
        <f>IF('General price list'!$AB66="",0,'General price list'!$AB66)</f>
        <v>0</v>
      </c>
      <c r="Z64" s="365" t="str">
        <f>IFERROR(X64*VLOOKUP(C64,'General price list'!C:I,7,FALSE),"")</f>
        <v/>
      </c>
      <c r="AA64" s="805" t="str">
        <f>IF(X64&lt;&gt;"",VLOOKUP(C64,'General price list'!C66:AN1039,MATCH("HM",Tabulka1[[#Headers],[KOD]:[NEQ]],0),FALSE),"")</f>
        <v/>
      </c>
    </row>
    <row r="65" spans="1:27">
      <c r="A65">
        <f>COUNTIF($W$22:W65,1)</f>
        <v>0</v>
      </c>
      <c r="B65">
        <v>65</v>
      </c>
      <c r="C65" s="340" t="str">
        <f>Tabulka1[[#This Row],[KOD]]</f>
        <v>DP1VC</v>
      </c>
      <c r="W65" s="804" t="str">
        <f t="shared" si="3"/>
        <v/>
      </c>
      <c r="X65" t="str">
        <f t="shared" si="4"/>
        <v/>
      </c>
      <c r="Y65" s="341">
        <f>IF('General price list'!$AB67="",0,'General price list'!$AB67)</f>
        <v>0</v>
      </c>
      <c r="Z65" s="365" t="str">
        <f>IFERROR(X65*VLOOKUP(C65,'General price list'!C:I,7,FALSE),"")</f>
        <v/>
      </c>
      <c r="AA65" s="805" t="str">
        <f>IF(X65&lt;&gt;"",VLOOKUP(C65,'General price list'!C67:AN1040,MATCH("HM",Tabulka1[[#Headers],[KOD]:[NEQ]],0),FALSE),"")</f>
        <v/>
      </c>
    </row>
    <row r="66" spans="1:27">
      <c r="A66">
        <f>COUNTIF($W$22:W66,1)</f>
        <v>0</v>
      </c>
      <c r="B66">
        <v>66</v>
      </c>
      <c r="C66" s="340" t="str">
        <f>Tabulka1[[#This Row],[KOD]]</f>
        <v>LM0SW</v>
      </c>
      <c r="W66" s="804" t="str">
        <f t="shared" si="3"/>
        <v/>
      </c>
      <c r="X66" t="str">
        <f t="shared" si="4"/>
        <v/>
      </c>
      <c r="Y66" s="341">
        <f>IF('General price list'!$AB68="",0,'General price list'!$AB68)</f>
        <v>0</v>
      </c>
      <c r="Z66" s="365" t="str">
        <f>IFERROR(X66*VLOOKUP(C66,'General price list'!C:I,7,FALSE),"")</f>
        <v/>
      </c>
      <c r="AA66" s="805" t="str">
        <f>IF(X66&lt;&gt;"",VLOOKUP(C66,'General price list'!C68:AN1041,MATCH("HM",Tabulka1[[#Headers],[KOD]:[NEQ]],0),FALSE),"")</f>
        <v/>
      </c>
    </row>
    <row r="67" spans="1:27">
      <c r="A67">
        <f>COUNTIF($W$22:W67,1)</f>
        <v>0</v>
      </c>
      <c r="B67">
        <v>67</v>
      </c>
      <c r="C67" s="340" t="str">
        <f>Tabulka1[[#This Row],[KOD]]</f>
        <v>LM1O</v>
      </c>
      <c r="W67" s="804" t="str">
        <f t="shared" si="3"/>
        <v/>
      </c>
      <c r="X67" t="str">
        <f t="shared" si="4"/>
        <v/>
      </c>
      <c r="Y67" s="341">
        <f>IF('General price list'!$AB69="",0,'General price list'!$AB69)</f>
        <v>0</v>
      </c>
      <c r="Z67" s="365" t="str">
        <f>IFERROR(X67*VLOOKUP(C67,'General price list'!C:I,7,FALSE),"")</f>
        <v/>
      </c>
      <c r="AA67" s="805" t="str">
        <f>IF(X67&lt;&gt;"",VLOOKUP(C67,'General price list'!C69:AN1042,MATCH("HM",Tabulka1[[#Headers],[KOD]:[NEQ]],0),FALSE),"")</f>
        <v/>
      </c>
    </row>
    <row r="68" spans="1:27">
      <c r="A68">
        <f>COUNTIF($W$22:W68,1)</f>
        <v>0</v>
      </c>
      <c r="B68">
        <v>68</v>
      </c>
      <c r="C68" s="340" t="str">
        <f>Tabulka1[[#This Row],[KOD]]</f>
        <v>LM2C</v>
      </c>
      <c r="W68" s="804" t="str">
        <f t="shared" si="3"/>
        <v/>
      </c>
      <c r="X68" t="str">
        <f t="shared" si="4"/>
        <v/>
      </c>
      <c r="Y68" s="341">
        <f>IF('General price list'!$AB70="",0,'General price list'!$AB70)</f>
        <v>0</v>
      </c>
      <c r="Z68" s="365" t="str">
        <f>IFERROR(X68*VLOOKUP(C68,'General price list'!C:I,7,FALSE),"")</f>
        <v/>
      </c>
      <c r="AA68" s="805" t="str">
        <f>IF(X68&lt;&gt;"",VLOOKUP(C68,'General price list'!C70:AN1043,MATCH("HM",Tabulka1[[#Headers],[KOD]:[NEQ]],0),FALSE),"")</f>
        <v/>
      </c>
    </row>
    <row r="69" spans="1:27">
      <c r="A69">
        <f>COUNTIF($W$22:W69,1)</f>
        <v>0</v>
      </c>
      <c r="B69">
        <v>69</v>
      </c>
      <c r="C69" s="340" t="str">
        <f>Tabulka1[[#This Row],[KOD]]</f>
        <v>LM2V</v>
      </c>
      <c r="W69" s="804" t="str">
        <f t="shared" si="3"/>
        <v/>
      </c>
      <c r="X69" t="str">
        <f t="shared" si="4"/>
        <v/>
      </c>
      <c r="Y69" s="341">
        <f>IF('General price list'!$AB71="",0,'General price list'!$AB71)</f>
        <v>0</v>
      </c>
      <c r="Z69" s="365" t="str">
        <f>IFERROR(X69*VLOOKUP(C69,'General price list'!C:I,7,FALSE),"")</f>
        <v/>
      </c>
      <c r="AA69" s="805" t="str">
        <f>IF(X69&lt;&gt;"",VLOOKUP(C69,'General price list'!C71:AN1044,MATCH("HM",Tabulka1[[#Headers],[KOD]:[NEQ]],0),FALSE),"")</f>
        <v/>
      </c>
    </row>
    <row r="70" spans="1:27">
      <c r="A70">
        <f>COUNTIF($W$22:W70,1)</f>
        <v>0</v>
      </c>
      <c r="B70">
        <v>70</v>
      </c>
      <c r="C70" s="340" t="str">
        <f>Tabulka1[[#This Row],[KOD]]</f>
        <v>LM3T</v>
      </c>
      <c r="W70" s="804" t="str">
        <f t="shared" si="3"/>
        <v/>
      </c>
      <c r="X70" t="str">
        <f t="shared" si="4"/>
        <v/>
      </c>
      <c r="Y70" s="341">
        <f>IF('General price list'!$AB72="",0,'General price list'!$AB72)</f>
        <v>0</v>
      </c>
      <c r="Z70" s="365" t="str">
        <f>IFERROR(X70*VLOOKUP(C70,'General price list'!C:I,7,FALSE),"")</f>
        <v/>
      </c>
      <c r="AA70" s="805" t="str">
        <f>IF(X70&lt;&gt;"",VLOOKUP(C70,'General price list'!C72:AN1045,MATCH("HM",Tabulka1[[#Headers],[KOD]:[NEQ]],0),FALSE),"")</f>
        <v/>
      </c>
    </row>
    <row r="71" spans="1:27">
      <c r="A71">
        <f>COUNTIF($W$22:W71,1)</f>
        <v>0</v>
      </c>
      <c r="B71">
        <v>71</v>
      </c>
      <c r="C71" s="340" t="str">
        <f>Tabulka1[[#This Row],[KOD]]</f>
        <v>LM4O</v>
      </c>
      <c r="W71" s="804" t="str">
        <f t="shared" si="3"/>
        <v/>
      </c>
      <c r="X71" t="str">
        <f t="shared" si="4"/>
        <v/>
      </c>
      <c r="Y71" s="341">
        <f>IF('General price list'!$AB73="",0,'General price list'!$AB73)</f>
        <v>0</v>
      </c>
      <c r="Z71" s="365" t="str">
        <f>IFERROR(X71*VLOOKUP(C71,'General price list'!C:I,7,FALSE),"")</f>
        <v/>
      </c>
      <c r="AA71" s="805" t="str">
        <f>IF(X71&lt;&gt;"",VLOOKUP(C71,'General price list'!C73:AN1046,MATCH("HM",Tabulka1[[#Headers],[KOD]:[NEQ]],0),FALSE),"")</f>
        <v/>
      </c>
    </row>
    <row r="72" spans="1:27">
      <c r="A72">
        <f>COUNTIF($W$22:W72,1)</f>
        <v>0</v>
      </c>
      <c r="B72">
        <v>72</v>
      </c>
      <c r="C72" s="340" t="str">
        <f>Tabulka1[[#This Row],[KOD]]</f>
        <v>LM5W</v>
      </c>
      <c r="W72" s="804" t="str">
        <f t="shared" si="3"/>
        <v/>
      </c>
      <c r="X72" t="str">
        <f t="shared" si="4"/>
        <v/>
      </c>
      <c r="Y72" s="341">
        <f>IF('General price list'!$AB74="",0,'General price list'!$AB74)</f>
        <v>0</v>
      </c>
      <c r="Z72" s="365" t="str">
        <f>IFERROR(X72*VLOOKUP(C72,'General price list'!C:I,7,FALSE),"")</f>
        <v/>
      </c>
      <c r="AA72" s="805" t="str">
        <f>IF(X72&lt;&gt;"",VLOOKUP(C72,'General price list'!C74:AN1047,MATCH("HM",Tabulka1[[#Headers],[KOD]:[NEQ]],0),FALSE),"")</f>
        <v/>
      </c>
    </row>
    <row r="73" spans="1:27">
      <c r="A73">
        <f>COUNTIF($W$22:W73,1)</f>
        <v>0</v>
      </c>
      <c r="B73">
        <v>73</v>
      </c>
      <c r="C73" s="340" t="str">
        <f>Tabulka1[[#This Row],[KOD]]</f>
        <v>LM6M</v>
      </c>
      <c r="W73" s="804" t="str">
        <f t="shared" si="3"/>
        <v/>
      </c>
      <c r="X73" t="str">
        <f t="shared" si="4"/>
        <v/>
      </c>
      <c r="Y73" s="341">
        <f>IF('General price list'!$AB75="",0,'General price list'!$AB75)</f>
        <v>0</v>
      </c>
      <c r="Z73" s="365" t="str">
        <f>IFERROR(X73*VLOOKUP(C73,'General price list'!C:I,7,FALSE),"")</f>
        <v/>
      </c>
      <c r="AA73" s="805" t="str">
        <f>IF(X73&lt;&gt;"",VLOOKUP(C73,'General price list'!C75:AN1048,MATCH("HM",Tabulka1[[#Headers],[KOD]:[NEQ]],0),FALSE),"")</f>
        <v/>
      </c>
    </row>
    <row r="74" spans="1:27">
      <c r="A74">
        <f>COUNTIF($W$22:W74,1)</f>
        <v>0</v>
      </c>
      <c r="B74">
        <v>74</v>
      </c>
      <c r="C74" s="340" t="str">
        <f>Tabulka1[[#This Row],[KOD]]</f>
        <v>LM7S</v>
      </c>
      <c r="W74" s="804" t="str">
        <f t="shared" si="3"/>
        <v/>
      </c>
      <c r="X74" t="str">
        <f t="shared" si="4"/>
        <v/>
      </c>
      <c r="Y74" s="341">
        <f>IF('General price list'!$AB76="",0,'General price list'!$AB76)</f>
        <v>0</v>
      </c>
      <c r="Z74" s="365" t="str">
        <f>IFERROR(X74*VLOOKUP(C74,'General price list'!C:I,7,FALSE),"")</f>
        <v/>
      </c>
      <c r="AA74" s="805" t="str">
        <f>IF(X74&lt;&gt;"",VLOOKUP(C74,'General price list'!C76:AN1049,MATCH("HM",Tabulka1[[#Headers],[KOD]:[NEQ]],0),FALSE),"")</f>
        <v/>
      </c>
    </row>
    <row r="75" spans="1:27">
      <c r="A75">
        <f>COUNTIF($W$22:W75,1)</f>
        <v>0</v>
      </c>
      <c r="B75">
        <v>75</v>
      </c>
      <c r="C75" s="340" t="str">
        <f>Tabulka1[[#This Row],[KOD]]</f>
        <v>LM8SA</v>
      </c>
      <c r="W75" s="804" t="str">
        <f t="shared" si="3"/>
        <v/>
      </c>
      <c r="X75" t="str">
        <f t="shared" si="4"/>
        <v/>
      </c>
      <c r="Y75" s="341">
        <f>IF('General price list'!$AB77="",0,'General price list'!$AB77)</f>
        <v>0</v>
      </c>
      <c r="Z75" s="365" t="str">
        <f>IFERROR(X75*VLOOKUP(C75,'General price list'!C:I,7,FALSE),"")</f>
        <v/>
      </c>
      <c r="AA75" s="805" t="str">
        <f>IF(X75&lt;&gt;"",VLOOKUP(C75,'General price list'!C77:AN1050,MATCH("HM",Tabulka1[[#Headers],[KOD]:[NEQ]],0),FALSE),"")</f>
        <v/>
      </c>
    </row>
    <row r="76" spans="1:27">
      <c r="A76">
        <f>COUNTIF($W$22:W76,1)</f>
        <v>0</v>
      </c>
      <c r="B76">
        <v>76</v>
      </c>
      <c r="C76" s="340" t="str">
        <f>Tabulka1[[#This Row],[KOD]]</f>
        <v>SU45B</v>
      </c>
      <c r="W76" s="804" t="str">
        <f t="shared" si="3"/>
        <v/>
      </c>
      <c r="X76" t="str">
        <f t="shared" si="4"/>
        <v/>
      </c>
      <c r="Y76" s="341">
        <f>IF('General price list'!$AB78="",0,'General price list'!$AB78)</f>
        <v>0</v>
      </c>
      <c r="Z76" s="365" t="str">
        <f>IFERROR(X76*VLOOKUP(C76,'General price list'!C:I,7,FALSE),"")</f>
        <v/>
      </c>
      <c r="AA76" s="805" t="str">
        <f>IF(X76&lt;&gt;"",VLOOKUP(C76,'General price list'!C78:AN1051,MATCH("HM",Tabulka1[[#Headers],[KOD]:[NEQ]],0),FALSE),"")</f>
        <v/>
      </c>
    </row>
    <row r="77" spans="1:27">
      <c r="A77">
        <f>COUNTIF($W$22:W77,1)</f>
        <v>0</v>
      </c>
      <c r="B77">
        <v>77</v>
      </c>
      <c r="C77" s="340" t="str">
        <f>Tabulka1[[#This Row],[KOD]]</f>
        <v>RD8</v>
      </c>
      <c r="W77" s="804" t="str">
        <f t="shared" si="3"/>
        <v/>
      </c>
      <c r="X77" t="str">
        <f t="shared" si="4"/>
        <v/>
      </c>
      <c r="Y77" s="341">
        <f>IF('General price list'!$AB79="",0,'General price list'!$AB79)</f>
        <v>0</v>
      </c>
      <c r="Z77" s="365" t="str">
        <f>IFERROR(X77*VLOOKUP(C77,'General price list'!C:I,7,FALSE),"")</f>
        <v/>
      </c>
      <c r="AA77" s="805" t="str">
        <f>IF(X77&lt;&gt;"",VLOOKUP(C77,'General price list'!C79:AN1052,MATCH("HM",Tabulka1[[#Headers],[KOD]:[NEQ]],0),FALSE),"")</f>
        <v/>
      </c>
    </row>
    <row r="78" spans="1:27">
      <c r="A78">
        <f>COUNTIF($W$22:W78,1)</f>
        <v>0</v>
      </c>
      <c r="B78">
        <v>78</v>
      </c>
      <c r="C78" s="340">
        <f>Tabulka1[[#This Row],[KOD]]</f>
        <v>0</v>
      </c>
      <c r="W78" s="804" t="str">
        <f t="shared" si="3"/>
        <v/>
      </c>
      <c r="X78" t="str">
        <f t="shared" si="4"/>
        <v/>
      </c>
      <c r="Y78" s="341">
        <f>IF('General price list'!$AB80="",0,'General price list'!$AB80)</f>
        <v>0</v>
      </c>
      <c r="Z78" s="365" t="str">
        <f>IFERROR(X78*VLOOKUP(C78,'General price list'!C:I,7,FALSE),"")</f>
        <v/>
      </c>
      <c r="AA78" s="805" t="str">
        <f>IF(X78&lt;&gt;"",VLOOKUP(C78,'General price list'!C80:AN1053,MATCH("HM",Tabulka1[[#Headers],[KOD]:[NEQ]],0),FALSE),"")</f>
        <v/>
      </c>
    </row>
    <row r="79" spans="1:27">
      <c r="A79">
        <f>COUNTIF($W$22:W79,1)</f>
        <v>0</v>
      </c>
      <c r="B79">
        <v>79</v>
      </c>
      <c r="C79" s="340" t="str">
        <f>Tabulka1[[#This Row],[KOD]]</f>
        <v>DS1</v>
      </c>
      <c r="W79" s="804" t="str">
        <f t="shared" si="3"/>
        <v/>
      </c>
      <c r="X79" t="str">
        <f t="shared" si="4"/>
        <v/>
      </c>
      <c r="Y79" s="341">
        <f>IF('General price list'!$AB81="",0,'General price list'!$AB81)</f>
        <v>0</v>
      </c>
      <c r="Z79" s="365" t="str">
        <f>IFERROR(X79*VLOOKUP(C79,'General price list'!C:I,7,FALSE),"")</f>
        <v/>
      </c>
      <c r="AA79" s="805" t="str">
        <f>IF(X79&lt;&gt;"",VLOOKUP(C79,'General price list'!C81:AN1054,MATCH("HM",Tabulka1[[#Headers],[KOD]:[NEQ]],0),FALSE),"")</f>
        <v/>
      </c>
    </row>
    <row r="80" spans="1:27">
      <c r="A80">
        <f>COUNTIF($W$22:W80,1)</f>
        <v>0</v>
      </c>
      <c r="B80">
        <v>80</v>
      </c>
      <c r="C80" s="340" t="str">
        <f>Tabulka1[[#This Row],[KOD]]</f>
        <v>RB1</v>
      </c>
      <c r="W80" s="804" t="str">
        <f t="shared" si="3"/>
        <v/>
      </c>
      <c r="X80" t="str">
        <f t="shared" si="4"/>
        <v/>
      </c>
      <c r="Y80" s="341">
        <f>IF('General price list'!$AB82="",0,'General price list'!$AB82)</f>
        <v>0</v>
      </c>
      <c r="Z80" s="365" t="str">
        <f>IFERROR(X80*VLOOKUP(C80,'General price list'!C:I,7,FALSE),"")</f>
        <v/>
      </c>
      <c r="AA80" s="805" t="str">
        <f>IF(X80&lt;&gt;"",VLOOKUP(C80,'General price list'!C82:AN1055,MATCH("HM",Tabulka1[[#Headers],[KOD]:[NEQ]],0),FALSE),"")</f>
        <v/>
      </c>
    </row>
    <row r="81" spans="1:27">
      <c r="A81">
        <f>COUNTIF($W$22:W81,1)</f>
        <v>0</v>
      </c>
      <c r="B81">
        <v>81</v>
      </c>
      <c r="C81" s="340" t="str">
        <f>Tabulka1[[#This Row],[KOD]]</f>
        <v>FPS1</v>
      </c>
      <c r="W81" s="804" t="str">
        <f t="shared" si="3"/>
        <v/>
      </c>
      <c r="X81" t="str">
        <f t="shared" si="4"/>
        <v/>
      </c>
      <c r="Y81" s="341">
        <f>IF('General price list'!$AB83="",0,'General price list'!$AB83)</f>
        <v>0</v>
      </c>
      <c r="Z81" s="365" t="str">
        <f>IFERROR(X81*VLOOKUP(C81,'General price list'!C:I,7,FALSE),"")</f>
        <v/>
      </c>
      <c r="AA81" s="805" t="str">
        <f>IF(X81&lt;&gt;"",VLOOKUP(C81,'General price list'!C83:AN1056,MATCH("HM",Tabulka1[[#Headers],[KOD]:[NEQ]],0),FALSE),"")</f>
        <v/>
      </c>
    </row>
    <row r="82" spans="1:27">
      <c r="A82">
        <f>COUNTIF($W$22:W82,1)</f>
        <v>0</v>
      </c>
      <c r="B82">
        <v>82</v>
      </c>
      <c r="C82" s="340">
        <f>Tabulka1[[#This Row],[KOD]]</f>
        <v>0</v>
      </c>
      <c r="W82" s="804" t="str">
        <f t="shared" si="3"/>
        <v/>
      </c>
      <c r="X82" t="str">
        <f t="shared" si="4"/>
        <v/>
      </c>
      <c r="Y82" s="341">
        <f>IF('General price list'!$AB84="",0,'General price list'!$AB84)</f>
        <v>0</v>
      </c>
      <c r="Z82" s="365" t="str">
        <f>IFERROR(X82*VLOOKUP(C82,'General price list'!C:I,7,FALSE),"")</f>
        <v/>
      </c>
      <c r="AA82" s="805" t="str">
        <f>IF(X82&lt;&gt;"",VLOOKUP(C82,'General price list'!C84:AN1057,MATCH("HM",Tabulka1[[#Headers],[KOD]:[NEQ]],0),FALSE),"")</f>
        <v/>
      </c>
    </row>
    <row r="83" spans="1:27">
      <c r="A83">
        <f>COUNTIF($W$22:W83,1)</f>
        <v>0</v>
      </c>
      <c r="B83">
        <v>83</v>
      </c>
      <c r="C83" s="340" t="str">
        <f>Tabulka1[[#This Row],[KOD]]</f>
        <v>VP90</v>
      </c>
      <c r="W83" s="804" t="str">
        <f t="shared" si="3"/>
        <v/>
      </c>
      <c r="X83" t="str">
        <f t="shared" si="4"/>
        <v/>
      </c>
      <c r="Y83" s="341">
        <f>IF('General price list'!$AB85="",0,'General price list'!$AB85)</f>
        <v>0</v>
      </c>
      <c r="Z83" s="365" t="str">
        <f>IFERROR(X83*VLOOKUP(C83,'General price list'!C:I,7,FALSE),"")</f>
        <v/>
      </c>
      <c r="AA83" s="805" t="str">
        <f>IF(X83&lt;&gt;"",VLOOKUP(C83,'General price list'!C85:AN1058,MATCH("HM",Tabulka1[[#Headers],[KOD]:[NEQ]],0),FALSE),"")</f>
        <v/>
      </c>
    </row>
    <row r="84" spans="1:27">
      <c r="A84">
        <f>COUNTIF($W$22:W84,1)</f>
        <v>0</v>
      </c>
      <c r="B84">
        <v>84</v>
      </c>
      <c r="C84" s="340" t="str">
        <f>Tabulka1[[#This Row],[KOD]]</f>
        <v>VP70</v>
      </c>
      <c r="W84" s="804" t="str">
        <f t="shared" si="3"/>
        <v/>
      </c>
      <c r="X84" t="str">
        <f t="shared" si="4"/>
        <v/>
      </c>
      <c r="Y84" s="341">
        <f>IF('General price list'!$AB86="",0,'General price list'!$AB86)</f>
        <v>0</v>
      </c>
      <c r="Z84" s="365" t="str">
        <f>IFERROR(X84*VLOOKUP(C84,'General price list'!C:I,7,FALSE),"")</f>
        <v/>
      </c>
      <c r="AA84" s="805" t="str">
        <f>IF(X84&lt;&gt;"",VLOOKUP(C84,'General price list'!C86:AN1059,MATCH("HM",Tabulka1[[#Headers],[KOD]:[NEQ]],0),FALSE),"")</f>
        <v/>
      </c>
    </row>
    <row r="85" spans="1:27">
      <c r="A85">
        <f>COUNTIF($W$22:W85,1)</f>
        <v>0</v>
      </c>
      <c r="B85">
        <v>85</v>
      </c>
      <c r="C85" s="340" t="str">
        <f>Tabulka1[[#This Row],[KOD]]</f>
        <v>VP70W</v>
      </c>
      <c r="W85" s="804" t="str">
        <f t="shared" si="3"/>
        <v/>
      </c>
      <c r="X85" t="str">
        <f t="shared" si="4"/>
        <v/>
      </c>
      <c r="Y85" s="341">
        <f>IF('General price list'!$AB87="",0,'General price list'!$AB87)</f>
        <v>0</v>
      </c>
      <c r="Z85" s="365" t="str">
        <f>IFERROR(X85*VLOOKUP(C85,'General price list'!C:I,7,FALSE),"")</f>
        <v/>
      </c>
      <c r="AA85" s="805" t="str">
        <f>IF(X85&lt;&gt;"",VLOOKUP(C85,'General price list'!C87:AN1060,MATCH("HM",Tabulka1[[#Headers],[KOD]:[NEQ]],0),FALSE),"")</f>
        <v/>
      </c>
    </row>
    <row r="86" spans="1:27">
      <c r="A86">
        <f>COUNTIF($W$22:W86,1)</f>
        <v>0</v>
      </c>
      <c r="B86">
        <v>86</v>
      </c>
      <c r="C86" s="340" t="str">
        <f>Tabulka1[[#This Row],[KOD]]</f>
        <v>VP40</v>
      </c>
      <c r="W86" s="804" t="str">
        <f t="shared" si="3"/>
        <v/>
      </c>
      <c r="X86" t="str">
        <f t="shared" si="4"/>
        <v/>
      </c>
      <c r="Y86" s="341">
        <f>IF('General price list'!$AB88="",0,'General price list'!$AB88)</f>
        <v>0</v>
      </c>
      <c r="Z86" s="365" t="str">
        <f>IFERROR(X86*VLOOKUP(C86,'General price list'!C:I,7,FALSE),"")</f>
        <v/>
      </c>
      <c r="AA86" s="805" t="str">
        <f>IF(X86&lt;&gt;"",VLOOKUP(C86,'General price list'!C88:AN1061,MATCH("HM",Tabulka1[[#Headers],[KOD]:[NEQ]],0),FALSE),"")</f>
        <v/>
      </c>
    </row>
    <row r="87" spans="1:27">
      <c r="A87">
        <f>COUNTIF($W$22:W87,1)</f>
        <v>0</v>
      </c>
      <c r="B87">
        <v>87</v>
      </c>
      <c r="C87" s="340" t="str">
        <f>Tabulka1[[#This Row],[KOD]]</f>
        <v>VP40/20</v>
      </c>
      <c r="W87" s="804" t="str">
        <f t="shared" si="3"/>
        <v/>
      </c>
      <c r="X87" t="str">
        <f t="shared" si="4"/>
        <v/>
      </c>
      <c r="Y87" s="341">
        <f>IF('General price list'!$AB89="",0,'General price list'!$AB89)</f>
        <v>0</v>
      </c>
      <c r="Z87" s="365" t="str">
        <f>IFERROR(X87*VLOOKUP(C87,'General price list'!C:I,7,FALSE),"")</f>
        <v/>
      </c>
      <c r="AA87" s="805" t="str">
        <f>IF(X87&lt;&gt;"",VLOOKUP(C87,'General price list'!C89:AN1062,MATCH("HM",Tabulka1[[#Headers],[KOD]:[NEQ]],0),FALSE),"")</f>
        <v/>
      </c>
    </row>
    <row r="88" spans="1:27">
      <c r="A88">
        <f>COUNTIF($W$22:W88,1)</f>
        <v>0</v>
      </c>
      <c r="B88">
        <v>88</v>
      </c>
      <c r="C88" s="340" t="str">
        <f>Tabulka1[[#This Row],[KOD]]</f>
        <v>VP40W</v>
      </c>
      <c r="W88" s="804" t="str">
        <f t="shared" si="3"/>
        <v/>
      </c>
      <c r="X88" t="str">
        <f t="shared" si="4"/>
        <v/>
      </c>
      <c r="Y88" s="341">
        <f>IF('General price list'!$AB90="",0,'General price list'!$AB90)</f>
        <v>0</v>
      </c>
      <c r="Z88" s="365" t="str">
        <f>IFERROR(X88*VLOOKUP(C88,'General price list'!C:I,7,FALSE),"")</f>
        <v/>
      </c>
      <c r="AA88" s="805" t="str">
        <f>IF(X88&lt;&gt;"",VLOOKUP(C88,'General price list'!C90:AN1063,MATCH("HM",Tabulka1[[#Headers],[KOD]:[NEQ]],0),FALSE),"")</f>
        <v/>
      </c>
    </row>
    <row r="89" spans="1:27">
      <c r="A89">
        <f>COUNTIF($W$22:W89,1)</f>
        <v>0</v>
      </c>
      <c r="B89">
        <v>89</v>
      </c>
      <c r="C89" s="340" t="str">
        <f>Tabulka1[[#This Row],[KOD]]</f>
        <v>VP28</v>
      </c>
      <c r="W89" s="804" t="str">
        <f t="shared" ref="W89:W152" si="5">IF(Y89+1=1,"",1)</f>
        <v/>
      </c>
      <c r="X89" t="str">
        <f t="shared" ref="X89:X152" si="6">IF(OR(A89&lt;$E$20,A89&gt;$E$21),"",IF(Y89=0,"",Y89))</f>
        <v/>
      </c>
      <c r="Y89" s="341">
        <f>IF('General price list'!$AB91="",0,'General price list'!$AB91)</f>
        <v>0</v>
      </c>
      <c r="Z89" s="365" t="str">
        <f>IFERROR(X89*VLOOKUP(C89,'General price list'!C:I,7,FALSE),"")</f>
        <v/>
      </c>
      <c r="AA89" s="805" t="str">
        <f>IF(X89&lt;&gt;"",VLOOKUP(C89,'General price list'!C91:AN1064,MATCH("HM",Tabulka1[[#Headers],[KOD]:[NEQ]],0),FALSE),"")</f>
        <v/>
      </c>
    </row>
    <row r="90" spans="1:27">
      <c r="A90">
        <f>COUNTIF($W$22:W90,1)</f>
        <v>0</v>
      </c>
      <c r="B90">
        <v>90</v>
      </c>
      <c r="C90" s="340" t="str">
        <f>Tabulka1[[#This Row],[KOD]]</f>
        <v>VP16A</v>
      </c>
      <c r="W90" s="804" t="str">
        <f t="shared" si="5"/>
        <v/>
      </c>
      <c r="X90" t="str">
        <f t="shared" si="6"/>
        <v/>
      </c>
      <c r="Y90" s="341">
        <f>IF('General price list'!$AB92="",0,'General price list'!$AB92)</f>
        <v>0</v>
      </c>
      <c r="Z90" s="365" t="str">
        <f>IFERROR(X90*VLOOKUP(C90,'General price list'!C:I,7,FALSE),"")</f>
        <v/>
      </c>
      <c r="AA90" s="805" t="str">
        <f>IF(X90&lt;&gt;"",VLOOKUP(C90,'General price list'!C92:AN1065,MATCH("HM",Tabulka1[[#Headers],[KOD]:[NEQ]],0),FALSE),"")</f>
        <v/>
      </c>
    </row>
    <row r="91" spans="1:27">
      <c r="A91">
        <f>COUNTIF($W$22:W91,1)</f>
        <v>0</v>
      </c>
      <c r="B91">
        <v>91</v>
      </c>
      <c r="C91" s="340" t="str">
        <f>Tabulka1[[#This Row],[KOD]]</f>
        <v>VP16A(1)</v>
      </c>
      <c r="W91" s="804" t="str">
        <f t="shared" si="5"/>
        <v/>
      </c>
      <c r="X91" t="str">
        <f t="shared" si="6"/>
        <v/>
      </c>
      <c r="Y91" s="341">
        <f>IF('General price list'!$AB93="",0,'General price list'!$AB93)</f>
        <v>0</v>
      </c>
      <c r="Z91" s="365" t="str">
        <f>IFERROR(X91*VLOOKUP(C91,'General price list'!C:I,7,FALSE),"")</f>
        <v/>
      </c>
      <c r="AA91" s="805" t="str">
        <f>IF(X91&lt;&gt;"",VLOOKUP(C91,'General price list'!C93:AN1066,MATCH("HM",Tabulka1[[#Headers],[KOD]:[NEQ]],0),FALSE),"")</f>
        <v/>
      </c>
    </row>
    <row r="92" spans="1:27">
      <c r="A92">
        <f>COUNTIF($W$22:W92,1)</f>
        <v>0</v>
      </c>
      <c r="B92">
        <v>92</v>
      </c>
      <c r="C92" s="340">
        <f>Tabulka1[[#This Row],[KOD]]</f>
        <v>0</v>
      </c>
      <c r="W92" s="804" t="str">
        <f t="shared" si="5"/>
        <v/>
      </c>
      <c r="X92" t="str">
        <f t="shared" si="6"/>
        <v/>
      </c>
      <c r="Y92" s="341">
        <f>IF('General price list'!$AB94="",0,'General price list'!$AB94)</f>
        <v>0</v>
      </c>
      <c r="Z92" s="365" t="str">
        <f>IFERROR(X92*VLOOKUP(C92,'General price list'!C:I,7,FALSE),"")</f>
        <v/>
      </c>
      <c r="AA92" s="805" t="str">
        <f>IF(X92&lt;&gt;"",VLOOKUP(C92,'General price list'!C94:AN1067,MATCH("HM",Tabulka1[[#Headers],[KOD]:[NEQ]],0),FALSE),"")</f>
        <v/>
      </c>
    </row>
    <row r="93" spans="1:27">
      <c r="A93">
        <f>COUNTIF($W$22:W93,1)</f>
        <v>0</v>
      </c>
      <c r="B93">
        <v>93</v>
      </c>
      <c r="C93" s="340" t="str">
        <f>Tabulka1[[#This Row],[KOD]]</f>
        <v>VP28N</v>
      </c>
      <c r="W93" s="804" t="str">
        <f t="shared" si="5"/>
        <v/>
      </c>
      <c r="X93" t="str">
        <f t="shared" si="6"/>
        <v/>
      </c>
      <c r="Y93" s="341">
        <f>IF('General price list'!$AB95="",0,'General price list'!$AB95)</f>
        <v>0</v>
      </c>
      <c r="Z93" s="365" t="str">
        <f>IFERROR(X93*VLOOKUP(C93,'General price list'!C:I,7,FALSE),"")</f>
        <v/>
      </c>
      <c r="AA93" s="805" t="str">
        <f>IF(X93&lt;&gt;"",VLOOKUP(C93,'General price list'!C95:AN1068,MATCH("HM",Tabulka1[[#Headers],[KOD]:[NEQ]],0),FALSE),"")</f>
        <v/>
      </c>
    </row>
    <row r="94" spans="1:27">
      <c r="A94">
        <f>COUNTIF($W$22:W94,1)</f>
        <v>0</v>
      </c>
      <c r="B94">
        <v>94</v>
      </c>
      <c r="C94" s="340" t="str">
        <f>Tabulka1[[#This Row],[KOD]]</f>
        <v>VP40N</v>
      </c>
      <c r="W94" s="804" t="str">
        <f t="shared" si="5"/>
        <v/>
      </c>
      <c r="X94" t="str">
        <f t="shared" si="6"/>
        <v/>
      </c>
      <c r="Y94" s="341">
        <f>IF('General price list'!$AB96="",0,'General price list'!$AB96)</f>
        <v>0</v>
      </c>
      <c r="Z94" s="365" t="str">
        <f>IFERROR(X94*VLOOKUP(C94,'General price list'!C:I,7,FALSE),"")</f>
        <v/>
      </c>
      <c r="AA94" s="805" t="str">
        <f>IF(X94&lt;&gt;"",VLOOKUP(C94,'General price list'!C96:AN1069,MATCH("HM",Tabulka1[[#Headers],[KOD]:[NEQ]],0),FALSE),"")</f>
        <v/>
      </c>
    </row>
    <row r="95" spans="1:27">
      <c r="A95">
        <f>COUNTIF($W$22:W95,1)</f>
        <v>0</v>
      </c>
      <c r="B95">
        <v>95</v>
      </c>
      <c r="C95" s="340" t="str">
        <f>Tabulka1[[#This Row],[KOD]]</f>
        <v>VP12MIX</v>
      </c>
      <c r="W95" s="804" t="str">
        <f t="shared" si="5"/>
        <v/>
      </c>
      <c r="X95" t="str">
        <f t="shared" si="6"/>
        <v/>
      </c>
      <c r="Y95" s="341">
        <f>IF('General price list'!$AB97="",0,'General price list'!$AB97)</f>
        <v>0</v>
      </c>
      <c r="Z95" s="365" t="str">
        <f>IFERROR(X95*VLOOKUP(C95,'General price list'!C:I,7,FALSE),"")</f>
        <v/>
      </c>
      <c r="AA95" s="805" t="str">
        <f>IF(X95&lt;&gt;"",VLOOKUP(C95,'General price list'!C97:AN1070,MATCH("HM",Tabulka1[[#Headers],[KOD]:[NEQ]],0),FALSE),"")</f>
        <v/>
      </c>
    </row>
    <row r="96" spans="1:27">
      <c r="A96">
        <f>COUNTIF($W$22:W96,1)</f>
        <v>0</v>
      </c>
      <c r="B96">
        <v>96</v>
      </c>
      <c r="C96" s="340" t="str">
        <f>Tabulka1[[#This Row],[KOD]]</f>
        <v>SPRS1E</v>
      </c>
      <c r="W96" s="804" t="str">
        <f t="shared" si="5"/>
        <v/>
      </c>
      <c r="X96" t="str">
        <f t="shared" si="6"/>
        <v/>
      </c>
      <c r="Y96" s="341">
        <f>IF('General price list'!$AB98="",0,'General price list'!$AB98)</f>
        <v>0</v>
      </c>
      <c r="Z96" s="365" t="str">
        <f>IFERROR(X96*VLOOKUP(C96,'General price list'!C:I,7,FALSE),"")</f>
        <v/>
      </c>
      <c r="AA96" s="805" t="str">
        <f>IF(X96&lt;&gt;"",VLOOKUP(C96,'General price list'!C98:AN1071,MATCH("HM",Tabulka1[[#Headers],[KOD]:[NEQ]],0),FALSE),"")</f>
        <v/>
      </c>
    </row>
    <row r="97" spans="1:27">
      <c r="A97">
        <f>COUNTIF($W$22:W97,1)</f>
        <v>0</v>
      </c>
      <c r="B97">
        <v>97</v>
      </c>
      <c r="C97" s="340">
        <f>Tabulka1[[#This Row],[KOD]]</f>
        <v>0</v>
      </c>
      <c r="W97" s="804" t="str">
        <f t="shared" si="5"/>
        <v/>
      </c>
      <c r="X97" t="str">
        <f t="shared" si="6"/>
        <v/>
      </c>
      <c r="Y97" s="341">
        <f>IF('General price list'!$AB99="",0,'General price list'!$AB99)</f>
        <v>0</v>
      </c>
      <c r="Z97" s="365" t="str">
        <f>IFERROR(X97*VLOOKUP(C97,'General price list'!C:I,7,FALSE),"")</f>
        <v/>
      </c>
      <c r="AA97" s="805" t="str">
        <f>IF(X97&lt;&gt;"",VLOOKUP(C97,'General price list'!C99:AN1072,MATCH("HM",Tabulka1[[#Headers],[KOD]:[NEQ]],0),FALSE),"")</f>
        <v/>
      </c>
    </row>
    <row r="98" spans="1:27">
      <c r="A98">
        <f>COUNTIF($W$22:W98,1)</f>
        <v>0</v>
      </c>
      <c r="B98">
        <v>98</v>
      </c>
      <c r="C98" s="340" t="str">
        <f>Tabulka1[[#This Row],[KOD]]</f>
        <v>D1D</v>
      </c>
      <c r="W98" s="804" t="str">
        <f t="shared" si="5"/>
        <v/>
      </c>
      <c r="X98" t="str">
        <f t="shared" si="6"/>
        <v/>
      </c>
      <c r="Y98" s="341">
        <f>IF('General price list'!$AB100="",0,'General price list'!$AB100)</f>
        <v>0</v>
      </c>
      <c r="Z98" s="365" t="str">
        <f>IFERROR(X98*VLOOKUP(C98,'General price list'!C:I,7,FALSE),"")</f>
        <v/>
      </c>
      <c r="AA98" s="805" t="str">
        <f>IF(X98&lt;&gt;"",VLOOKUP(C98,'General price list'!C100:AN1073,MATCH("HM",Tabulka1[[#Headers],[KOD]:[NEQ]],0),FALSE),"")</f>
        <v/>
      </c>
    </row>
    <row r="99" spans="1:27">
      <c r="A99">
        <f>COUNTIF($W$22:W99,1)</f>
        <v>0</v>
      </c>
      <c r="B99">
        <v>99</v>
      </c>
      <c r="C99" s="340" t="str">
        <f>Tabulka1[[#This Row],[KOD]]</f>
        <v>D1M</v>
      </c>
      <c r="W99" s="804" t="str">
        <f t="shared" si="5"/>
        <v/>
      </c>
      <c r="X99" t="str">
        <f t="shared" si="6"/>
        <v/>
      </c>
      <c r="Y99" s="341">
        <f>IF('General price list'!$AB101="",0,'General price list'!$AB101)</f>
        <v>0</v>
      </c>
      <c r="Z99" s="365" t="str">
        <f>IFERROR(X99*VLOOKUP(C99,'General price list'!C:I,7,FALSE),"")</f>
        <v/>
      </c>
      <c r="AA99" s="805" t="str">
        <f>IF(X99&lt;&gt;"",VLOOKUP(C99,'General price list'!C101:AN1074,MATCH("HM",Tabulka1[[#Headers],[KOD]:[NEQ]],0),FALSE),"")</f>
        <v/>
      </c>
    </row>
    <row r="100" spans="1:27">
      <c r="A100">
        <f>COUNTIF($W$22:W100,1)</f>
        <v>0</v>
      </c>
      <c r="B100">
        <v>100</v>
      </c>
      <c r="C100" s="340" t="str">
        <f>Tabulka1[[#This Row],[KOD]]</f>
        <v>D2C</v>
      </c>
      <c r="W100" s="804" t="str">
        <f t="shared" si="5"/>
        <v/>
      </c>
      <c r="X100" t="str">
        <f t="shared" si="6"/>
        <v/>
      </c>
      <c r="Y100" s="341">
        <f>IF('General price list'!$AB102="",0,'General price list'!$AB102)</f>
        <v>0</v>
      </c>
      <c r="Z100" s="365" t="str">
        <f>IFERROR(X100*VLOOKUP(C100,'General price list'!C:I,7,FALSE),"")</f>
        <v/>
      </c>
      <c r="AA100" s="805" t="str">
        <f>IF(X100&lt;&gt;"",VLOOKUP(C100,'General price list'!C102:AN1075,MATCH("HM",Tabulka1[[#Headers],[KOD]:[NEQ]],0),FALSE),"")</f>
        <v/>
      </c>
    </row>
    <row r="101" spans="1:27">
      <c r="A101">
        <f>COUNTIF($W$22:W101,1)</f>
        <v>0</v>
      </c>
      <c r="B101">
        <v>101</v>
      </c>
      <c r="C101" s="340" t="str">
        <f>Tabulka1[[#This Row],[KOD]]</f>
        <v>D2CN(1)</v>
      </c>
      <c r="W101" s="804" t="str">
        <f t="shared" si="5"/>
        <v/>
      </c>
      <c r="X101" t="str">
        <f t="shared" si="6"/>
        <v/>
      </c>
      <c r="Y101" s="341">
        <f>IF('General price list'!$AB103="",0,'General price list'!$AB103)</f>
        <v>0</v>
      </c>
      <c r="Z101" s="365" t="str">
        <f>IFERROR(X101*VLOOKUP(C101,'General price list'!C:I,7,FALSE),"")</f>
        <v/>
      </c>
      <c r="AA101" s="805" t="str">
        <f>IF(X101&lt;&gt;"",VLOOKUP(C101,'General price list'!C103:AN1076,MATCH("HM",Tabulka1[[#Headers],[KOD]:[NEQ]],0),FALSE),"")</f>
        <v/>
      </c>
    </row>
    <row r="102" spans="1:27">
      <c r="A102">
        <f>COUNTIF($W$22:W102,1)</f>
        <v>0</v>
      </c>
      <c r="B102">
        <v>102</v>
      </c>
      <c r="C102" s="340" t="str">
        <f>Tabulka1[[#This Row],[KOD]]</f>
        <v>D3SK</v>
      </c>
      <c r="W102" s="804" t="str">
        <f t="shared" si="5"/>
        <v/>
      </c>
      <c r="X102" t="str">
        <f t="shared" si="6"/>
        <v/>
      </c>
      <c r="Y102" s="341">
        <f>IF('General price list'!$AB104="",0,'General price list'!$AB104)</f>
        <v>0</v>
      </c>
      <c r="Z102" s="365" t="str">
        <f>IFERROR(X102*VLOOKUP(C102,'General price list'!C:I,7,FALSE),"")</f>
        <v/>
      </c>
      <c r="AA102" s="805" t="str">
        <f>IF(X102&lt;&gt;"",VLOOKUP(C102,'General price list'!C104:AN1077,MATCH("HM",Tabulka1[[#Headers],[KOD]:[NEQ]],0),FALSE),"")</f>
        <v/>
      </c>
    </row>
    <row r="103" spans="1:27">
      <c r="A103">
        <f>COUNTIF($W$22:W103,1)</f>
        <v>0</v>
      </c>
      <c r="B103">
        <v>103</v>
      </c>
      <c r="C103" s="340" t="str">
        <f>Tabulka1[[#This Row],[KOD]]</f>
        <v>RDG1B</v>
      </c>
      <c r="W103" s="804" t="str">
        <f t="shared" si="5"/>
        <v/>
      </c>
      <c r="X103" t="str">
        <f t="shared" si="6"/>
        <v/>
      </c>
      <c r="Y103" s="341">
        <f>IF('General price list'!$AB105="",0,'General price list'!$AB105)</f>
        <v>0</v>
      </c>
      <c r="Z103" s="365" t="str">
        <f>IFERROR(X103*VLOOKUP(C103,'General price list'!C:I,7,FALSE),"")</f>
        <v/>
      </c>
      <c r="AA103" s="805" t="str">
        <f>IF(X103&lt;&gt;"",VLOOKUP(C103,'General price list'!C105:AN1078,MATCH("HM",Tabulka1[[#Headers],[KOD]:[NEQ]],0),FALSE),"")</f>
        <v/>
      </c>
    </row>
    <row r="104" spans="1:27">
      <c r="A104">
        <f>COUNTIF($W$22:W104,1)</f>
        <v>0</v>
      </c>
      <c r="B104">
        <v>104</v>
      </c>
      <c r="C104" s="340" t="str">
        <f>Tabulka1[[#This Row],[KOD]]</f>
        <v>RDG1C</v>
      </c>
      <c r="W104" s="804" t="str">
        <f t="shared" si="5"/>
        <v/>
      </c>
      <c r="X104" t="str">
        <f t="shared" si="6"/>
        <v/>
      </c>
      <c r="Y104" s="341">
        <f>IF('General price list'!$AB106="",0,'General price list'!$AB106)</f>
        <v>0</v>
      </c>
      <c r="Z104" s="365" t="str">
        <f>IFERROR(X104*VLOOKUP(C104,'General price list'!C:I,7,FALSE),"")</f>
        <v/>
      </c>
      <c r="AA104" s="805" t="str">
        <f>IF(X104&lt;&gt;"",VLOOKUP(C104,'General price list'!C106:AN1079,MATCH("HM",Tabulka1[[#Headers],[KOD]:[NEQ]],0),FALSE),"")</f>
        <v/>
      </c>
    </row>
    <row r="105" spans="1:27">
      <c r="A105">
        <f>COUNTIF($W$22:W105,1)</f>
        <v>0</v>
      </c>
      <c r="B105">
        <v>105</v>
      </c>
      <c r="C105" s="340" t="str">
        <f>Tabulka1[[#This Row],[KOD]]</f>
        <v>RDG1M</v>
      </c>
      <c r="W105" s="804" t="str">
        <f t="shared" si="5"/>
        <v/>
      </c>
      <c r="X105" t="str">
        <f t="shared" si="6"/>
        <v/>
      </c>
      <c r="Y105" s="341">
        <f>IF('General price list'!$AB107="",0,'General price list'!$AB107)</f>
        <v>0</v>
      </c>
      <c r="Z105" s="365" t="str">
        <f>IFERROR(X105*VLOOKUP(C105,'General price list'!C:I,7,FALSE),"")</f>
        <v/>
      </c>
      <c r="AA105" s="805" t="str">
        <f>IF(X105&lt;&gt;"",VLOOKUP(C105,'General price list'!C107:AN1080,MATCH("HM",Tabulka1[[#Headers],[KOD]:[NEQ]],0),FALSE),"")</f>
        <v/>
      </c>
    </row>
    <row r="106" spans="1:27">
      <c r="A106">
        <f>COUNTIF($W$22:W106,1)</f>
        <v>0</v>
      </c>
      <c r="B106">
        <v>106</v>
      </c>
      <c r="C106" s="340" t="str">
        <f>Tabulka1[[#This Row],[KOD]]</f>
        <v>RDG1ZL</v>
      </c>
      <c r="W106" s="804" t="str">
        <f t="shared" si="5"/>
        <v/>
      </c>
      <c r="X106" t="str">
        <f t="shared" si="6"/>
        <v/>
      </c>
      <c r="Y106" s="341">
        <f>IF('General price list'!$AB108="",0,'General price list'!$AB108)</f>
        <v>0</v>
      </c>
      <c r="Z106" s="365" t="str">
        <f>IFERROR(X106*VLOOKUP(C106,'General price list'!C:I,7,FALSE),"")</f>
        <v/>
      </c>
      <c r="AA106" s="805" t="str">
        <f>IF(X106&lt;&gt;"",VLOOKUP(C106,'General price list'!C108:AN1081,MATCH("HM",Tabulka1[[#Headers],[KOD]:[NEQ]],0),FALSE),"")</f>
        <v/>
      </c>
    </row>
    <row r="107" spans="1:27">
      <c r="A107">
        <f>COUNTIF($W$22:W107,1)</f>
        <v>0</v>
      </c>
      <c r="B107">
        <v>107</v>
      </c>
      <c r="C107" s="340" t="str">
        <f>Tabulka1[[#This Row],[KOD]]</f>
        <v>RDG1ZL(1)</v>
      </c>
      <c r="W107" s="804" t="str">
        <f t="shared" si="5"/>
        <v/>
      </c>
      <c r="X107" t="str">
        <f t="shared" si="6"/>
        <v/>
      </c>
      <c r="Y107" s="341">
        <f>IF('General price list'!$AB109="",0,'General price list'!$AB109)</f>
        <v>0</v>
      </c>
      <c r="Z107" s="365" t="str">
        <f>IFERROR(X107*VLOOKUP(C107,'General price list'!C:I,7,FALSE),"")</f>
        <v/>
      </c>
      <c r="AA107" s="805" t="str">
        <f>IF(X107&lt;&gt;"",VLOOKUP(C107,'General price list'!C109:AN1082,MATCH("HM",Tabulka1[[#Headers],[KOD]:[NEQ]],0),FALSE),"")</f>
        <v/>
      </c>
    </row>
    <row r="108" spans="1:27">
      <c r="A108">
        <f>COUNTIF($W$22:W108,1)</f>
        <v>0</v>
      </c>
      <c r="B108">
        <v>108</v>
      </c>
      <c r="C108" s="340" t="str">
        <f>Tabulka1[[#This Row],[KOD]]</f>
        <v>RDG1ZE</v>
      </c>
      <c r="W108" s="804" t="str">
        <f t="shared" si="5"/>
        <v/>
      </c>
      <c r="X108" t="str">
        <f t="shared" si="6"/>
        <v/>
      </c>
      <c r="Y108" s="341">
        <f>IF('General price list'!$AB110="",0,'General price list'!$AB110)</f>
        <v>0</v>
      </c>
      <c r="Z108" s="365" t="str">
        <f>IFERROR(X108*VLOOKUP(C108,'General price list'!C:I,7,FALSE),"")</f>
        <v/>
      </c>
      <c r="AA108" s="805" t="str">
        <f>IF(X108&lt;&gt;"",VLOOKUP(C108,'General price list'!C110:AN1083,MATCH("HM",Tabulka1[[#Headers],[KOD]:[NEQ]],0),FALSE),"")</f>
        <v/>
      </c>
    </row>
    <row r="109" spans="1:27">
      <c r="A109">
        <f>COUNTIF($W$22:W109,1)</f>
        <v>0</v>
      </c>
      <c r="B109">
        <v>109</v>
      </c>
      <c r="C109" s="340" t="str">
        <f>Tabulka1[[#This Row],[KOD]]</f>
        <v>RDG2B</v>
      </c>
      <c r="W109" s="804" t="str">
        <f t="shared" si="5"/>
        <v/>
      </c>
      <c r="X109" t="str">
        <f t="shared" si="6"/>
        <v/>
      </c>
      <c r="Y109" s="341">
        <f>IF('General price list'!$AB111="",0,'General price list'!$AB111)</f>
        <v>0</v>
      </c>
      <c r="Z109" s="365" t="str">
        <f>IFERROR(X109*VLOOKUP(C109,'General price list'!C:I,7,FALSE),"")</f>
        <v/>
      </c>
      <c r="AA109" s="805" t="str">
        <f>IF(X109&lt;&gt;"",VLOOKUP(C109,'General price list'!C111:AN1084,MATCH("HM",Tabulka1[[#Headers],[KOD]:[NEQ]],0),FALSE),"")</f>
        <v/>
      </c>
    </row>
    <row r="110" spans="1:27">
      <c r="A110">
        <f>COUNTIF($W$22:W110,1)</f>
        <v>0</v>
      </c>
      <c r="B110">
        <v>110</v>
      </c>
      <c r="C110" s="340" t="str">
        <f>Tabulka1[[#This Row],[KOD]]</f>
        <v>RDG2C</v>
      </c>
      <c r="W110" s="804" t="str">
        <f t="shared" si="5"/>
        <v/>
      </c>
      <c r="X110" t="str">
        <f t="shared" si="6"/>
        <v/>
      </c>
      <c r="Y110" s="341">
        <f>IF('General price list'!$AB112="",0,'General price list'!$AB112)</f>
        <v>0</v>
      </c>
      <c r="Z110" s="365" t="str">
        <f>IFERROR(X110*VLOOKUP(C110,'General price list'!C:I,7,FALSE),"")</f>
        <v/>
      </c>
      <c r="AA110" s="805" t="str">
        <f>IF(X110&lt;&gt;"",VLOOKUP(C110,'General price list'!C112:AN1085,MATCH("HM",Tabulka1[[#Headers],[KOD]:[NEQ]],0),FALSE),"")</f>
        <v/>
      </c>
    </row>
    <row r="111" spans="1:27">
      <c r="A111">
        <f>COUNTIF($W$22:W111,1)</f>
        <v>0</v>
      </c>
      <c r="B111">
        <v>111</v>
      </c>
      <c r="C111" s="340" t="str">
        <f>Tabulka1[[#This Row],[KOD]]</f>
        <v>RDG2M</v>
      </c>
      <c r="W111" s="804" t="str">
        <f t="shared" si="5"/>
        <v/>
      </c>
      <c r="X111" t="str">
        <f t="shared" si="6"/>
        <v/>
      </c>
      <c r="Y111" s="341">
        <f>IF('General price list'!$AB113="",0,'General price list'!$AB113)</f>
        <v>0</v>
      </c>
      <c r="Z111" s="365" t="str">
        <f>IFERROR(X111*VLOOKUP(C111,'General price list'!C:I,7,FALSE),"")</f>
        <v/>
      </c>
      <c r="AA111" s="805" t="str">
        <f>IF(X111&lt;&gt;"",VLOOKUP(C111,'General price list'!C113:AN1086,MATCH("HM",Tabulka1[[#Headers],[KOD]:[NEQ]],0),FALSE),"")</f>
        <v/>
      </c>
    </row>
    <row r="112" spans="1:27">
      <c r="A112">
        <f>COUNTIF($W$22:W112,1)</f>
        <v>0</v>
      </c>
      <c r="B112">
        <v>112</v>
      </c>
      <c r="C112" s="340">
        <f>Tabulka1[[#This Row],[KOD]]</f>
        <v>0</v>
      </c>
      <c r="W112" s="804" t="str">
        <f t="shared" si="5"/>
        <v/>
      </c>
      <c r="X112" t="str">
        <f t="shared" si="6"/>
        <v/>
      </c>
      <c r="Y112" s="341">
        <f>IF('General price list'!$AB114="",0,'General price list'!$AB114)</f>
        <v>0</v>
      </c>
      <c r="Z112" s="365" t="str">
        <f>IFERROR(X112*VLOOKUP(C112,'General price list'!C:I,7,FALSE),"")</f>
        <v/>
      </c>
      <c r="AA112" s="805" t="str">
        <f>IF(X112&lt;&gt;"",VLOOKUP(C112,'General price list'!C114:AN1087,MATCH("HM",Tabulka1[[#Headers],[KOD]:[NEQ]],0),FALSE),"")</f>
        <v/>
      </c>
    </row>
    <row r="113" spans="1:27">
      <c r="A113">
        <f>COUNTIF($W$22:W113,1)</f>
        <v>0</v>
      </c>
      <c r="B113">
        <v>113</v>
      </c>
      <c r="C113" s="340" t="str">
        <f>Tabulka1[[#This Row],[KOD]]</f>
        <v>RDG60B(SH)</v>
      </c>
      <c r="W113" s="804" t="str">
        <f t="shared" si="5"/>
        <v/>
      </c>
      <c r="X113" t="str">
        <f t="shared" si="6"/>
        <v/>
      </c>
      <c r="Y113" s="341">
        <f>IF('General price list'!$AB115="",0,'General price list'!$AB115)</f>
        <v>0</v>
      </c>
      <c r="Z113" s="365" t="str">
        <f>IFERROR(X113*VLOOKUP(C113,'General price list'!C:I,7,FALSE),"")</f>
        <v/>
      </c>
      <c r="AA113" s="805" t="str">
        <f>IF(X113&lt;&gt;"",VLOOKUP(C113,'General price list'!C115:AN1088,MATCH("HM",Tabulka1[[#Headers],[KOD]:[NEQ]],0),FALSE),"")</f>
        <v/>
      </c>
    </row>
    <row r="114" spans="1:27">
      <c r="A114">
        <f>COUNTIF($W$22:W114,1)</f>
        <v>0</v>
      </c>
      <c r="B114">
        <v>114</v>
      </c>
      <c r="C114" s="340" t="str">
        <f>Tabulka1[[#This Row],[KOD]]</f>
        <v>RDG60ZL(SH)</v>
      </c>
      <c r="W114" s="804" t="str">
        <f t="shared" si="5"/>
        <v/>
      </c>
      <c r="X114" t="str">
        <f t="shared" si="6"/>
        <v/>
      </c>
      <c r="Y114" s="341">
        <f>IF('General price list'!$AB116="",0,'General price list'!$AB116)</f>
        <v>0</v>
      </c>
      <c r="Z114" s="365" t="str">
        <f>IFERROR(X114*VLOOKUP(C114,'General price list'!C:I,7,FALSE),"")</f>
        <v/>
      </c>
      <c r="AA114" s="805" t="str">
        <f>IF(X114&lt;&gt;"",VLOOKUP(C114,'General price list'!C116:AN1089,MATCH("HM",Tabulka1[[#Headers],[KOD]:[NEQ]],0),FALSE),"")</f>
        <v/>
      </c>
    </row>
    <row r="115" spans="1:27">
      <c r="A115">
        <f>COUNTIF($W$22:W115,1)</f>
        <v>0</v>
      </c>
      <c r="B115">
        <v>115</v>
      </c>
      <c r="C115" s="340" t="str">
        <f>Tabulka1[[#This Row],[KOD]]</f>
        <v>RDG60R(SH)</v>
      </c>
      <c r="W115" s="804" t="str">
        <f t="shared" si="5"/>
        <v/>
      </c>
      <c r="X115" t="str">
        <f t="shared" si="6"/>
        <v/>
      </c>
      <c r="Y115" s="341">
        <f>IF('General price list'!$AB117="",0,'General price list'!$AB117)</f>
        <v>0</v>
      </c>
      <c r="Z115" s="365" t="str">
        <f>IFERROR(X115*VLOOKUP(C115,'General price list'!C:I,7,FALSE),"")</f>
        <v/>
      </c>
      <c r="AA115" s="805" t="str">
        <f>IF(X115&lt;&gt;"",VLOOKUP(C115,'General price list'!C117:AN1090,MATCH("HM",Tabulka1[[#Headers],[KOD]:[NEQ]],0),FALSE),"")</f>
        <v/>
      </c>
    </row>
    <row r="116" spans="1:27">
      <c r="A116">
        <f>COUNTIF($W$22:W116,1)</f>
        <v>0</v>
      </c>
      <c r="B116">
        <v>116</v>
      </c>
      <c r="C116" s="340" t="str">
        <f>Tabulka1[[#This Row],[KOD]]</f>
        <v>RDG60ZEOCER(SH)</v>
      </c>
      <c r="W116" s="804" t="str">
        <f t="shared" si="5"/>
        <v/>
      </c>
      <c r="X116" t="str">
        <f t="shared" si="6"/>
        <v/>
      </c>
      <c r="Y116" s="341">
        <f>IF('General price list'!$AB118="",0,'General price list'!$AB118)</f>
        <v>0</v>
      </c>
      <c r="Z116" s="365" t="str">
        <f>IFERROR(X116*VLOOKUP(C116,'General price list'!C:I,7,FALSE),"")</f>
        <v/>
      </c>
      <c r="AA116" s="805" t="str">
        <f>IF(X116&lt;&gt;"",VLOOKUP(C116,'General price list'!C118:AN1091,MATCH("HM",Tabulka1[[#Headers],[KOD]:[NEQ]],0),FALSE),"")</f>
        <v/>
      </c>
    </row>
    <row r="117" spans="1:27">
      <c r="A117">
        <f>COUNTIF($W$22:W117,1)</f>
        <v>0</v>
      </c>
      <c r="B117">
        <v>117</v>
      </c>
      <c r="C117" s="340">
        <f>Tabulka1[[#This Row],[KOD]]</f>
        <v>0</v>
      </c>
      <c r="W117" s="804" t="str">
        <f t="shared" si="5"/>
        <v/>
      </c>
      <c r="X117" t="str">
        <f t="shared" si="6"/>
        <v/>
      </c>
      <c r="Y117" s="341">
        <f>IF('General price list'!$AB119="",0,'General price list'!$AB119)</f>
        <v>0</v>
      </c>
      <c r="Z117" s="365" t="str">
        <f>IFERROR(X117*VLOOKUP(C117,'General price list'!C:I,7,FALSE),"")</f>
        <v/>
      </c>
      <c r="AA117" s="805" t="str">
        <f>IF(X117&lt;&gt;"",VLOOKUP(C117,'General price list'!C119:AN1092,MATCH("HM",Tabulka1[[#Headers],[KOD]:[NEQ]],0),FALSE),"")</f>
        <v/>
      </c>
    </row>
    <row r="118" spans="1:27">
      <c r="A118">
        <f>COUNTIF($W$22:W118,1)</f>
        <v>0</v>
      </c>
      <c r="B118">
        <v>118</v>
      </c>
      <c r="C118" s="340" t="str">
        <f>Tabulka1[[#This Row],[KOD]]</f>
        <v>RDG1ZL-P</v>
      </c>
      <c r="W118" s="804" t="str">
        <f t="shared" si="5"/>
        <v/>
      </c>
      <c r="X118" t="str">
        <f t="shared" si="6"/>
        <v/>
      </c>
      <c r="Y118" s="341">
        <f>IF('General price list'!$AB120="",0,'General price list'!$AB120)</f>
        <v>0</v>
      </c>
      <c r="Z118" s="365" t="str">
        <f>IFERROR(X118*VLOOKUP(C118,'General price list'!C:I,7,FALSE),"")</f>
        <v/>
      </c>
      <c r="AA118" s="805" t="str">
        <f>IF(X118&lt;&gt;"",VLOOKUP(C118,'General price list'!C120:AN1093,MATCH("HM",Tabulka1[[#Headers],[KOD]:[NEQ]],0),FALSE),"")</f>
        <v/>
      </c>
    </row>
    <row r="119" spans="1:27">
      <c r="A119">
        <f>COUNTIF($W$22:W119,1)</f>
        <v>0</v>
      </c>
      <c r="B119">
        <v>119</v>
      </c>
      <c r="C119" s="340" t="str">
        <f>Tabulka1[[#This Row],[KOD]]</f>
        <v>RDG1ZL-P(1)</v>
      </c>
      <c r="W119" s="804" t="str">
        <f t="shared" si="5"/>
        <v/>
      </c>
      <c r="X119" t="str">
        <f t="shared" si="6"/>
        <v/>
      </c>
      <c r="Y119" s="341">
        <f>IF('General price list'!$AB121="",0,'General price list'!$AB121)</f>
        <v>0</v>
      </c>
      <c r="Z119" s="365" t="str">
        <f>IFERROR(X119*VLOOKUP(C119,'General price list'!C:I,7,FALSE),"")</f>
        <v/>
      </c>
      <c r="AA119" s="805" t="str">
        <f>IF(X119&lt;&gt;"",VLOOKUP(C119,'General price list'!C121:AN1094,MATCH("HM",Tabulka1[[#Headers],[KOD]:[NEQ]],0),FALSE),"")</f>
        <v/>
      </c>
    </row>
    <row r="120" spans="1:27">
      <c r="A120">
        <f>COUNTIF($W$22:W120,1)</f>
        <v>0</v>
      </c>
      <c r="B120">
        <v>120</v>
      </c>
      <c r="C120" s="340" t="str">
        <f>Tabulka1[[#This Row],[KOD]]</f>
        <v>RDG1O-P</v>
      </c>
      <c r="W120" s="804" t="str">
        <f t="shared" si="5"/>
        <v/>
      </c>
      <c r="X120" t="str">
        <f t="shared" si="6"/>
        <v/>
      </c>
      <c r="Y120" s="341">
        <f>IF('General price list'!$AB122="",0,'General price list'!$AB122)</f>
        <v>0</v>
      </c>
      <c r="Z120" s="365" t="str">
        <f>IFERROR(X120*VLOOKUP(C120,'General price list'!C:I,7,FALSE),"")</f>
        <v/>
      </c>
      <c r="AA120" s="805" t="str">
        <f>IF(X120&lt;&gt;"",VLOOKUP(C120,'General price list'!C122:AN1095,MATCH("HM",Tabulka1[[#Headers],[KOD]:[NEQ]],0),FALSE),"")</f>
        <v/>
      </c>
    </row>
    <row r="121" spans="1:27">
      <c r="A121">
        <f>COUNTIF($W$22:W121,1)</f>
        <v>0</v>
      </c>
      <c r="B121">
        <v>121</v>
      </c>
      <c r="C121" s="340" t="str">
        <f>Tabulka1[[#This Row],[KOD]]</f>
        <v>RDG1O-P(1)</v>
      </c>
      <c r="W121" s="804" t="str">
        <f t="shared" si="5"/>
        <v/>
      </c>
      <c r="X121" t="str">
        <f t="shared" si="6"/>
        <v/>
      </c>
      <c r="Y121" s="341">
        <f>IF('General price list'!$AB123="",0,'General price list'!$AB123)</f>
        <v>0</v>
      </c>
      <c r="Z121" s="365" t="str">
        <f>IFERROR(X121*VLOOKUP(C121,'General price list'!C:I,7,FALSE),"")</f>
        <v/>
      </c>
      <c r="AA121" s="805" t="str">
        <f>IF(X121&lt;&gt;"",VLOOKUP(C121,'General price list'!C123:AN1096,MATCH("HM",Tabulka1[[#Headers],[KOD]:[NEQ]],0),FALSE),"")</f>
        <v/>
      </c>
    </row>
    <row r="122" spans="1:27">
      <c r="A122">
        <f>COUNTIF($W$22:W122,1)</f>
        <v>0</v>
      </c>
      <c r="B122">
        <v>122</v>
      </c>
      <c r="C122" s="340">
        <f>Tabulka1[[#This Row],[KOD]]</f>
        <v>0</v>
      </c>
      <c r="W122" s="804" t="str">
        <f t="shared" si="5"/>
        <v/>
      </c>
      <c r="X122" t="str">
        <f t="shared" si="6"/>
        <v/>
      </c>
      <c r="Y122" s="341">
        <f>IF('General price list'!$AB124="",0,'General price list'!$AB124)</f>
        <v>0</v>
      </c>
      <c r="Z122" s="365" t="str">
        <f>IFERROR(X122*VLOOKUP(C122,'General price list'!C:I,7,FALSE),"")</f>
        <v/>
      </c>
      <c r="AA122" s="805" t="str">
        <f>IF(X122&lt;&gt;"",VLOOKUP(C122,'General price list'!C124:AN1097,MATCH("HM",Tabulka1[[#Headers],[KOD]:[NEQ]],0),FALSE),"")</f>
        <v/>
      </c>
    </row>
    <row r="123" spans="1:27">
      <c r="A123">
        <f>COUNTIF($W$22:W123,1)</f>
        <v>0</v>
      </c>
      <c r="B123">
        <v>123</v>
      </c>
      <c r="C123" s="340" t="str">
        <f>Tabulka1[[#This Row],[KOD]]</f>
        <v>RDP60M</v>
      </c>
      <c r="W123" s="804" t="str">
        <f t="shared" si="5"/>
        <v/>
      </c>
      <c r="X123" t="str">
        <f t="shared" si="6"/>
        <v/>
      </c>
      <c r="Y123" s="341">
        <f>IF('General price list'!$AB125="",0,'General price list'!$AB125)</f>
        <v>0</v>
      </c>
      <c r="Z123" s="365" t="str">
        <f>IFERROR(X123*VLOOKUP(C123,'General price list'!C:I,7,FALSE),"")</f>
        <v/>
      </c>
      <c r="AA123" s="805" t="str">
        <f>IF(X123&lt;&gt;"",VLOOKUP(C123,'General price list'!C125:AN1098,MATCH("HM",Tabulka1[[#Headers],[KOD]:[NEQ]],0),FALSE),"")</f>
        <v/>
      </c>
    </row>
    <row r="124" spans="1:27">
      <c r="A124">
        <f>COUNTIF($W$22:W124,1)</f>
        <v>0</v>
      </c>
      <c r="B124">
        <v>124</v>
      </c>
      <c r="C124" s="340" t="str">
        <f>Tabulka1[[#This Row],[KOD]]</f>
        <v>HDP60B</v>
      </c>
      <c r="W124" s="804" t="str">
        <f t="shared" si="5"/>
        <v/>
      </c>
      <c r="X124" t="str">
        <f t="shared" si="6"/>
        <v/>
      </c>
      <c r="Y124" s="341">
        <f>IF('General price list'!$AB126="",0,'General price list'!$AB126)</f>
        <v>0</v>
      </c>
      <c r="Z124" s="365" t="str">
        <f>IFERROR(X124*VLOOKUP(C124,'General price list'!C:I,7,FALSE),"")</f>
        <v/>
      </c>
      <c r="AA124" s="805" t="str">
        <f>IF(X124&lt;&gt;"",VLOOKUP(C124,'General price list'!C126:AN1099,MATCH("HM",Tabulka1[[#Headers],[KOD]:[NEQ]],0),FALSE),"")</f>
        <v/>
      </c>
    </row>
    <row r="125" spans="1:27">
      <c r="A125">
        <f>COUNTIF($W$22:W125,1)</f>
        <v>0</v>
      </c>
      <c r="B125">
        <v>125</v>
      </c>
      <c r="C125" s="340" t="str">
        <f>Tabulka1[[#This Row],[KOD]]</f>
        <v>HDP60C</v>
      </c>
      <c r="W125" s="804" t="str">
        <f t="shared" si="5"/>
        <v/>
      </c>
      <c r="X125" t="str">
        <f t="shared" si="6"/>
        <v/>
      </c>
      <c r="Y125" s="341">
        <f>IF('General price list'!$AB127="",0,'General price list'!$AB127)</f>
        <v>0</v>
      </c>
      <c r="Z125" s="365" t="str">
        <f>IFERROR(X125*VLOOKUP(C125,'General price list'!C:I,7,FALSE),"")</f>
        <v/>
      </c>
      <c r="AA125" s="805" t="str">
        <f>IF(X125&lt;&gt;"",VLOOKUP(C125,'General price list'!C127:AN1100,MATCH("HM",Tabulka1[[#Headers],[KOD]:[NEQ]],0),FALSE),"")</f>
        <v/>
      </c>
    </row>
    <row r="126" spans="1:27">
      <c r="A126">
        <f>COUNTIF($W$22:W126,1)</f>
        <v>0</v>
      </c>
      <c r="B126">
        <v>126</v>
      </c>
      <c r="C126" s="340" t="str">
        <f>Tabulka1[[#This Row],[KOD]]</f>
        <v>HDP60M</v>
      </c>
      <c r="W126" s="804" t="str">
        <f t="shared" si="5"/>
        <v/>
      </c>
      <c r="X126" t="str">
        <f t="shared" si="6"/>
        <v/>
      </c>
      <c r="Y126" s="341">
        <f>IF('General price list'!$AB128="",0,'General price list'!$AB128)</f>
        <v>0</v>
      </c>
      <c r="Z126" s="365" t="str">
        <f>IFERROR(X126*VLOOKUP(C126,'General price list'!C:I,7,FALSE),"")</f>
        <v/>
      </c>
      <c r="AA126" s="805" t="str">
        <f>IF(X126&lt;&gt;"",VLOOKUP(C126,'General price list'!C128:AN1101,MATCH("HM",Tabulka1[[#Headers],[KOD]:[NEQ]],0),FALSE),"")</f>
        <v/>
      </c>
    </row>
    <row r="127" spans="1:27">
      <c r="A127">
        <f>COUNTIF($W$22:W127,1)</f>
        <v>0</v>
      </c>
      <c r="B127">
        <v>127</v>
      </c>
      <c r="C127" s="340" t="str">
        <f>Tabulka1[[#This Row],[KOD]]</f>
        <v>HDP60ZE</v>
      </c>
      <c r="W127" s="804" t="str">
        <f t="shared" si="5"/>
        <v/>
      </c>
      <c r="X127" t="str">
        <f t="shared" si="6"/>
        <v/>
      </c>
      <c r="Y127" s="341">
        <f>IF('General price list'!$AB129="",0,'General price list'!$AB129)</f>
        <v>0</v>
      </c>
      <c r="Z127" s="365" t="str">
        <f>IFERROR(X127*VLOOKUP(C127,'General price list'!C:I,7,FALSE),"")</f>
        <v/>
      </c>
      <c r="AA127" s="805" t="str">
        <f>IF(X127&lt;&gt;"",VLOOKUP(C127,'General price list'!C129:AN1102,MATCH("HM",Tabulka1[[#Headers],[KOD]:[NEQ]],0),FALSE),"")</f>
        <v/>
      </c>
    </row>
    <row r="128" spans="1:27">
      <c r="A128">
        <f>COUNTIF($W$22:W128,1)</f>
        <v>0</v>
      </c>
      <c r="B128">
        <v>128</v>
      </c>
      <c r="C128" s="340">
        <f>Tabulka1[[#This Row],[KOD]]</f>
        <v>0</v>
      </c>
      <c r="W128" s="804" t="str">
        <f t="shared" si="5"/>
        <v/>
      </c>
      <c r="X128" t="str">
        <f t="shared" si="6"/>
        <v/>
      </c>
      <c r="Y128" s="341">
        <f>IF('General price list'!$AB130="",0,'General price list'!$AB130)</f>
        <v>0</v>
      </c>
      <c r="Z128" s="365" t="str">
        <f>IFERROR(X128*VLOOKUP(C128,'General price list'!C:I,7,FALSE),"")</f>
        <v/>
      </c>
      <c r="AA128" s="805" t="str">
        <f>IF(X128&lt;&gt;"",VLOOKUP(C128,'General price list'!C130:AN1103,MATCH("HM",Tabulka1[[#Headers],[KOD]:[NEQ]],0),FALSE),"")</f>
        <v/>
      </c>
    </row>
    <row r="129" spans="1:27">
      <c r="A129">
        <f>COUNTIF($W$22:W129,1)</f>
        <v>0</v>
      </c>
      <c r="B129">
        <v>129</v>
      </c>
      <c r="C129" s="340" t="str">
        <f>Tabulka1[[#This Row],[KOD]]</f>
        <v>P40C25</v>
      </c>
      <c r="W129" s="804" t="str">
        <f t="shared" si="5"/>
        <v/>
      </c>
      <c r="X129" t="str">
        <f t="shared" si="6"/>
        <v/>
      </c>
      <c r="Y129" s="341">
        <f>IF('General price list'!$AB131="",0,'General price list'!$AB131)</f>
        <v>0</v>
      </c>
      <c r="Z129" s="365" t="str">
        <f>IFERROR(X129*VLOOKUP(C129,'General price list'!C:I,7,FALSE),"")</f>
        <v/>
      </c>
      <c r="AA129" s="805" t="str">
        <f>IF(X129&lt;&gt;"",VLOOKUP(C129,'General price list'!C131:AN1104,MATCH("HM",Tabulka1[[#Headers],[KOD]:[NEQ]],0),FALSE),"")</f>
        <v/>
      </c>
    </row>
    <row r="130" spans="1:27">
      <c r="A130">
        <f>COUNTIF($W$22:W130,1)</f>
        <v>0</v>
      </c>
      <c r="B130">
        <v>130</v>
      </c>
      <c r="C130" s="340" t="str">
        <f>Tabulka1[[#This Row],[KOD]]</f>
        <v>P40Z25</v>
      </c>
      <c r="W130" s="804" t="str">
        <f t="shared" si="5"/>
        <v/>
      </c>
      <c r="X130" t="str">
        <f t="shared" si="6"/>
        <v/>
      </c>
      <c r="Y130" s="341">
        <f>IF('General price list'!$AB132="",0,'General price list'!$AB132)</f>
        <v>0</v>
      </c>
      <c r="Z130" s="365" t="str">
        <f>IFERROR(X130*VLOOKUP(C130,'General price list'!C:I,7,FALSE),"")</f>
        <v/>
      </c>
      <c r="AA130" s="805" t="str">
        <f>IF(X130&lt;&gt;"",VLOOKUP(C130,'General price list'!C132:AN1105,MATCH("HM",Tabulka1[[#Headers],[KOD]:[NEQ]],0),FALSE),"")</f>
        <v/>
      </c>
    </row>
    <row r="131" spans="1:27">
      <c r="A131">
        <f>COUNTIF($W$22:W131,1)</f>
        <v>0</v>
      </c>
      <c r="B131">
        <v>131</v>
      </c>
      <c r="C131" s="340" t="str">
        <f>Tabulka1[[#This Row],[KOD]]</f>
        <v>P40B25</v>
      </c>
      <c r="W131" s="804" t="str">
        <f t="shared" si="5"/>
        <v/>
      </c>
      <c r="X131" t="str">
        <f t="shared" si="6"/>
        <v/>
      </c>
      <c r="Y131" s="341">
        <f>IF('General price list'!$AB133="",0,'General price list'!$AB133)</f>
        <v>0</v>
      </c>
      <c r="Z131" s="365" t="str">
        <f>IFERROR(X131*VLOOKUP(C131,'General price list'!C:I,7,FALSE),"")</f>
        <v/>
      </c>
      <c r="AA131" s="805" t="str">
        <f>IF(X131&lt;&gt;"",VLOOKUP(C131,'General price list'!C133:AN1106,MATCH("HM",Tabulka1[[#Headers],[KOD]:[NEQ]],0),FALSE),"")</f>
        <v/>
      </c>
    </row>
    <row r="132" spans="1:27">
      <c r="A132">
        <f>COUNTIF($W$22:W132,1)</f>
        <v>0</v>
      </c>
      <c r="B132">
        <v>132</v>
      </c>
      <c r="C132" s="340" t="str">
        <f>Tabulka1[[#This Row],[KOD]]</f>
        <v>P40MO25</v>
      </c>
      <c r="W132" s="804" t="str">
        <f t="shared" si="5"/>
        <v/>
      </c>
      <c r="X132" t="str">
        <f t="shared" si="6"/>
        <v/>
      </c>
      <c r="Y132" s="341">
        <f>IF('General price list'!$AB134="",0,'General price list'!$AB134)</f>
        <v>0</v>
      </c>
      <c r="Z132" s="365" t="str">
        <f>IFERROR(X132*VLOOKUP(C132,'General price list'!C:I,7,FALSE),"")</f>
        <v/>
      </c>
      <c r="AA132" s="805" t="str">
        <f>IF(X132&lt;&gt;"",VLOOKUP(C132,'General price list'!C134:AN1107,MATCH("HM",Tabulka1[[#Headers],[KOD]:[NEQ]],0),FALSE),"")</f>
        <v/>
      </c>
    </row>
    <row r="133" spans="1:27">
      <c r="A133">
        <f>COUNTIF($W$22:W133,1)</f>
        <v>0</v>
      </c>
      <c r="B133">
        <v>133</v>
      </c>
      <c r="C133" s="340" t="str">
        <f>Tabulka1[[#This Row],[KOD]]</f>
        <v>SP60S</v>
      </c>
      <c r="W133" s="804" t="str">
        <f t="shared" si="5"/>
        <v/>
      </c>
      <c r="X133" t="str">
        <f t="shared" si="6"/>
        <v/>
      </c>
      <c r="Y133" s="341">
        <f>IF('General price list'!$AB135="",0,'General price list'!$AB135)</f>
        <v>0</v>
      </c>
      <c r="Z133" s="365" t="str">
        <f>IFERROR(X133*VLOOKUP(C133,'General price list'!C:I,7,FALSE),"")</f>
        <v/>
      </c>
      <c r="AA133" s="805" t="str">
        <f>IF(X133&lt;&gt;"",VLOOKUP(C133,'General price list'!C135:AN1108,MATCH("HM",Tabulka1[[#Headers],[KOD]:[NEQ]],0),FALSE),"")</f>
        <v/>
      </c>
    </row>
    <row r="134" spans="1:27">
      <c r="A134">
        <f>COUNTIF($W$22:W134,1)</f>
        <v>0</v>
      </c>
      <c r="B134">
        <v>134</v>
      </c>
      <c r="C134" s="340" t="str">
        <f>Tabulka1[[#This Row],[KOD]]</f>
        <v>BP60S</v>
      </c>
      <c r="W134" s="804" t="str">
        <f t="shared" si="5"/>
        <v/>
      </c>
      <c r="X134" t="str">
        <f t="shared" si="6"/>
        <v/>
      </c>
      <c r="Y134" s="341">
        <f>IF('General price list'!$AB136="",0,'General price list'!$AB136)</f>
        <v>0</v>
      </c>
      <c r="Z134" s="365" t="str">
        <f>IFERROR(X134*VLOOKUP(C134,'General price list'!C:I,7,FALSE),"")</f>
        <v/>
      </c>
      <c r="AA134" s="805" t="str">
        <f>IF(X134&lt;&gt;"",VLOOKUP(C134,'General price list'!C136:AN1109,MATCH("HM",Tabulka1[[#Headers],[KOD]:[NEQ]],0),FALSE),"")</f>
        <v/>
      </c>
    </row>
    <row r="135" spans="1:27">
      <c r="A135">
        <f>COUNTIF($W$22:W135,1)</f>
        <v>0</v>
      </c>
      <c r="B135">
        <v>135</v>
      </c>
      <c r="C135" s="340">
        <f>Tabulka1[[#This Row],[KOD]]</f>
        <v>0</v>
      </c>
      <c r="W135" s="804" t="str">
        <f t="shared" si="5"/>
        <v/>
      </c>
      <c r="X135" t="str">
        <f t="shared" si="6"/>
        <v/>
      </c>
      <c r="Y135" s="341">
        <f>IF('General price list'!$AB137="",0,'General price list'!$AB137)</f>
        <v>0</v>
      </c>
      <c r="Z135" s="365" t="str">
        <f>IFERROR(X135*VLOOKUP(C135,'General price list'!C:I,7,FALSE),"")</f>
        <v/>
      </c>
      <c r="AA135" s="805" t="str">
        <f>IF(X135&lt;&gt;"",VLOOKUP(C135,'General price list'!C137:AN1110,MATCH("HM",Tabulka1[[#Headers],[KOD]:[NEQ]],0),FALSE),"")</f>
        <v/>
      </c>
    </row>
    <row r="136" spans="1:27">
      <c r="A136">
        <f>COUNTIF($W$22:W136,1)</f>
        <v>0</v>
      </c>
      <c r="B136">
        <v>136</v>
      </c>
      <c r="C136" s="340" t="str">
        <f>Tabulka1[[#This Row],[KOD]]</f>
        <v>S90S</v>
      </c>
      <c r="W136" s="804" t="str">
        <f t="shared" si="5"/>
        <v/>
      </c>
      <c r="X136" t="str">
        <f t="shared" si="6"/>
        <v/>
      </c>
      <c r="Y136" s="341">
        <f>IF('General price list'!$AB138="",0,'General price list'!$AB138)</f>
        <v>0</v>
      </c>
      <c r="Z136" s="365" t="str">
        <f>IFERROR(X136*VLOOKUP(C136,'General price list'!C:I,7,FALSE),"")</f>
        <v/>
      </c>
      <c r="AA136" s="805" t="str">
        <f>IF(X136&lt;&gt;"",VLOOKUP(C136,'General price list'!C138:AN1111,MATCH("HM",Tabulka1[[#Headers],[KOD]:[NEQ]],0),FALSE),"")</f>
        <v/>
      </c>
    </row>
    <row r="137" spans="1:27">
      <c r="A137">
        <f>COUNTIF($W$22:W137,1)</f>
        <v>0</v>
      </c>
      <c r="B137">
        <v>137</v>
      </c>
      <c r="C137" s="340" t="str">
        <f>Tabulka1[[#This Row],[KOD]]</f>
        <v>S60S</v>
      </c>
      <c r="W137" s="804" t="str">
        <f t="shared" si="5"/>
        <v/>
      </c>
      <c r="X137" t="str">
        <f t="shared" si="6"/>
        <v/>
      </c>
      <c r="Y137" s="341">
        <f>IF('General price list'!$AB139="",0,'General price list'!$AB139)</f>
        <v>0</v>
      </c>
      <c r="Z137" s="365" t="str">
        <f>IFERROR(X137*VLOOKUP(C137,'General price list'!C:I,7,FALSE),"")</f>
        <v/>
      </c>
      <c r="AA137" s="805" t="str">
        <f>IF(X137&lt;&gt;"",VLOOKUP(C137,'General price list'!C139:AN1112,MATCH("HM",Tabulka1[[#Headers],[KOD]:[NEQ]],0),FALSE),"")</f>
        <v/>
      </c>
    </row>
    <row r="138" spans="1:27">
      <c r="A138">
        <f>COUNTIF($W$22:W138,1)</f>
        <v>0</v>
      </c>
      <c r="B138">
        <v>138</v>
      </c>
      <c r="C138" s="340">
        <f>Tabulka1[[#This Row],[KOD]]</f>
        <v>0</v>
      </c>
      <c r="W138" s="804" t="str">
        <f t="shared" si="5"/>
        <v/>
      </c>
      <c r="X138" t="str">
        <f t="shared" si="6"/>
        <v/>
      </c>
      <c r="Y138" s="341">
        <f>IF('General price list'!$AB140="",0,'General price list'!$AB140)</f>
        <v>0</v>
      </c>
      <c r="Z138" s="365" t="str">
        <f>IFERROR(X138*VLOOKUP(C138,'General price list'!C:I,7,FALSE),"")</f>
        <v/>
      </c>
      <c r="AA138" s="805" t="str">
        <f>IF(X138&lt;&gt;"",VLOOKUP(C138,'General price list'!C140:AN1113,MATCH("HM",Tabulka1[[#Headers],[KOD]:[NEQ]],0),FALSE),"")</f>
        <v/>
      </c>
    </row>
    <row r="139" spans="1:27">
      <c r="A139">
        <f>COUNTIF($W$22:W139,1)</f>
        <v>0</v>
      </c>
      <c r="B139">
        <v>139</v>
      </c>
      <c r="C139" s="340" t="str">
        <f>Tabulka1[[#This Row],[KOD]]</f>
        <v>F1M</v>
      </c>
      <c r="W139" s="804" t="str">
        <f t="shared" si="5"/>
        <v/>
      </c>
      <c r="X139" t="str">
        <f t="shared" si="6"/>
        <v/>
      </c>
      <c r="Y139" s="341">
        <f>IF('General price list'!$AB141="",0,'General price list'!$AB141)</f>
        <v>0</v>
      </c>
      <c r="Z139" s="365" t="str">
        <f>IFERROR(X139*VLOOKUP(C139,'General price list'!C:I,7,FALSE),"")</f>
        <v/>
      </c>
      <c r="AA139" s="805" t="str">
        <f>IF(X139&lt;&gt;"",VLOOKUP(C139,'General price list'!C141:AN1114,MATCH("HM",Tabulka1[[#Headers],[KOD]:[NEQ]],0),FALSE),"")</f>
        <v/>
      </c>
    </row>
    <row r="140" spans="1:27">
      <c r="A140">
        <f>COUNTIF($W$22:W140,1)</f>
        <v>0</v>
      </c>
      <c r="B140">
        <v>140</v>
      </c>
      <c r="C140" s="340" t="str">
        <f>Tabulka1[[#This Row],[KOD]]</f>
        <v>F2M</v>
      </c>
      <c r="W140" s="804" t="str">
        <f t="shared" si="5"/>
        <v/>
      </c>
      <c r="X140" t="str">
        <f t="shared" si="6"/>
        <v/>
      </c>
      <c r="Y140" s="341">
        <f>IF('General price list'!$AB142="",0,'General price list'!$AB142)</f>
        <v>0</v>
      </c>
      <c r="Z140" s="365" t="str">
        <f>IFERROR(X140*VLOOKUP(C140,'General price list'!C:I,7,FALSE),"")</f>
        <v/>
      </c>
      <c r="AA140" s="805" t="str">
        <f>IF(X140&lt;&gt;"",VLOOKUP(C140,'General price list'!C142:AN1115,MATCH("HM",Tabulka1[[#Headers],[KOD]:[NEQ]],0),FALSE),"")</f>
        <v/>
      </c>
    </row>
    <row r="141" spans="1:27">
      <c r="A141">
        <f>COUNTIF($W$22:W141,1)</f>
        <v>0</v>
      </c>
      <c r="B141">
        <v>141</v>
      </c>
      <c r="C141" s="340" t="str">
        <f>Tabulka1[[#This Row],[KOD]]</f>
        <v>F3CC</v>
      </c>
      <c r="W141" s="804" t="str">
        <f t="shared" si="5"/>
        <v/>
      </c>
      <c r="X141" t="str">
        <f t="shared" si="6"/>
        <v/>
      </c>
      <c r="Y141" s="341">
        <f>IF('General price list'!$AB143="",0,'General price list'!$AB143)</f>
        <v>0</v>
      </c>
      <c r="Z141" s="365" t="str">
        <f>IFERROR(X141*VLOOKUP(C141,'General price list'!C:I,7,FALSE),"")</f>
        <v/>
      </c>
      <c r="AA141" s="805" t="str">
        <f>IF(X141&lt;&gt;"",VLOOKUP(C141,'General price list'!C143:AN1116,MATCH("HM",Tabulka1[[#Headers],[KOD]:[NEQ]],0),FALSE),"")</f>
        <v/>
      </c>
    </row>
    <row r="142" spans="1:27">
      <c r="A142">
        <f>COUNTIF($W$22:W142,1)</f>
        <v>0</v>
      </c>
      <c r="B142">
        <v>142</v>
      </c>
      <c r="C142" s="340" t="str">
        <f>Tabulka1[[#This Row],[KOD]]</f>
        <v>F6K</v>
      </c>
      <c r="W142" s="804" t="str">
        <f t="shared" si="5"/>
        <v/>
      </c>
      <c r="X142" t="str">
        <f t="shared" si="6"/>
        <v/>
      </c>
      <c r="Y142" s="341">
        <f>IF('General price list'!$AB144="",0,'General price list'!$AB144)</f>
        <v>0</v>
      </c>
      <c r="Z142" s="365" t="str">
        <f>IFERROR(X142*VLOOKUP(C142,'General price list'!C:I,7,FALSE),"")</f>
        <v/>
      </c>
      <c r="AA142" s="805" t="str">
        <f>IF(X142&lt;&gt;"",VLOOKUP(C142,'General price list'!C144:AN1117,MATCH("HM",Tabulka1[[#Headers],[KOD]:[NEQ]],0),FALSE),"")</f>
        <v/>
      </c>
    </row>
    <row r="143" spans="1:27">
      <c r="A143">
        <f>COUNTIF($W$22:W143,1)</f>
        <v>0</v>
      </c>
      <c r="B143">
        <v>143</v>
      </c>
      <c r="C143" s="340" t="str">
        <f>Tabulka1[[#This Row],[KOD]]</f>
        <v>F16CS</v>
      </c>
      <c r="W143" s="804" t="str">
        <f t="shared" si="5"/>
        <v/>
      </c>
      <c r="X143" t="str">
        <f t="shared" si="6"/>
        <v/>
      </c>
      <c r="Y143" s="341">
        <f>IF('General price list'!$AB145="",0,'General price list'!$AB145)</f>
        <v>0</v>
      </c>
      <c r="Z143" s="365" t="str">
        <f>IFERROR(X143*VLOOKUP(C143,'General price list'!C:I,7,FALSE),"")</f>
        <v/>
      </c>
      <c r="AA143" s="805" t="str">
        <f>IF(X143&lt;&gt;"",VLOOKUP(C143,'General price list'!C145:AN1118,MATCH("HM",Tabulka1[[#Headers],[KOD]:[NEQ]],0),FALSE),"")</f>
        <v/>
      </c>
    </row>
    <row r="144" spans="1:27">
      <c r="A144">
        <f>COUNTIF($W$22:W144,1)</f>
        <v>0</v>
      </c>
      <c r="B144">
        <v>144</v>
      </c>
      <c r="C144" s="340" t="str">
        <f>Tabulka1[[#This Row],[KOD]]</f>
        <v>F8B</v>
      </c>
      <c r="W144" s="804" t="str">
        <f t="shared" si="5"/>
        <v/>
      </c>
      <c r="X144" t="str">
        <f t="shared" si="6"/>
        <v/>
      </c>
      <c r="Y144" s="341">
        <f>IF('General price list'!$AB146="",0,'General price list'!$AB146)</f>
        <v>0</v>
      </c>
      <c r="Z144" s="365" t="str">
        <f>IFERROR(X144*VLOOKUP(C144,'General price list'!C:I,7,FALSE),"")</f>
        <v/>
      </c>
      <c r="AA144" s="805" t="str">
        <f>IF(X144&lt;&gt;"",VLOOKUP(C144,'General price list'!C146:AN1119,MATCH("HM",Tabulka1[[#Headers],[KOD]:[NEQ]],0),FALSE),"")</f>
        <v/>
      </c>
    </row>
    <row r="145" spans="1:27">
      <c r="A145">
        <f>COUNTIF($W$22:W145,1)</f>
        <v>0</v>
      </c>
      <c r="B145">
        <v>145</v>
      </c>
      <c r="C145" s="340" t="str">
        <f>Tabulka1[[#This Row],[KOD]]</f>
        <v>F10E</v>
      </c>
      <c r="W145" s="804" t="str">
        <f t="shared" si="5"/>
        <v/>
      </c>
      <c r="X145" t="str">
        <f t="shared" si="6"/>
        <v/>
      </c>
      <c r="Y145" s="341">
        <f>IF('General price list'!$AB147="",0,'General price list'!$AB147)</f>
        <v>0</v>
      </c>
      <c r="Z145" s="365" t="str">
        <f>IFERROR(X145*VLOOKUP(C145,'General price list'!C:I,7,FALSE),"")</f>
        <v/>
      </c>
      <c r="AA145" s="805" t="str">
        <f>IF(X145&lt;&gt;"",VLOOKUP(C145,'General price list'!C147:AN1120,MATCH("HM",Tabulka1[[#Headers],[KOD]:[NEQ]],0),FALSE),"")</f>
        <v/>
      </c>
    </row>
    <row r="146" spans="1:27">
      <c r="A146">
        <f>COUNTIF($W$22:W146,1)</f>
        <v>0</v>
      </c>
      <c r="B146">
        <v>146</v>
      </c>
      <c r="C146" s="340" t="str">
        <f>Tabulka1[[#This Row],[KOD]]</f>
        <v>F11M</v>
      </c>
      <c r="W146" s="804" t="str">
        <f t="shared" si="5"/>
        <v/>
      </c>
      <c r="X146" t="str">
        <f t="shared" si="6"/>
        <v/>
      </c>
      <c r="Y146" s="341">
        <f>IF('General price list'!$AB148="",0,'General price list'!$AB148)</f>
        <v>0</v>
      </c>
      <c r="Z146" s="365" t="str">
        <f>IFERROR(X146*VLOOKUP(C146,'General price list'!C:I,7,FALSE),"")</f>
        <v/>
      </c>
      <c r="AA146" s="805" t="str">
        <f>IF(X146&lt;&gt;"",VLOOKUP(C146,'General price list'!C148:AN1121,MATCH("HM",Tabulka1[[#Headers],[KOD]:[NEQ]],0),FALSE),"")</f>
        <v/>
      </c>
    </row>
    <row r="147" spans="1:27">
      <c r="A147">
        <f>COUNTIF($W$22:W147,1)</f>
        <v>0</v>
      </c>
      <c r="B147">
        <v>147</v>
      </c>
      <c r="C147" s="340" t="str">
        <f>Tabulka1[[#This Row],[KOD]]</f>
        <v>F14R</v>
      </c>
      <c r="W147" s="804" t="str">
        <f t="shared" si="5"/>
        <v/>
      </c>
      <c r="X147" t="str">
        <f t="shared" si="6"/>
        <v/>
      </c>
      <c r="Y147" s="341">
        <f>IF('General price list'!$AB149="",0,'General price list'!$AB149)</f>
        <v>0</v>
      </c>
      <c r="Z147" s="365" t="str">
        <f>IFERROR(X147*VLOOKUP(C147,'General price list'!C:I,7,FALSE),"")</f>
        <v/>
      </c>
      <c r="AA147" s="805" t="str">
        <f>IF(X147&lt;&gt;"",VLOOKUP(C147,'General price list'!C149:AN1122,MATCH("HM",Tabulka1[[#Headers],[KOD]:[NEQ]],0),FALSE),"")</f>
        <v/>
      </c>
    </row>
    <row r="148" spans="1:27">
      <c r="A148">
        <f>COUNTIF($W$22:W148,1)</f>
        <v>0</v>
      </c>
      <c r="B148">
        <v>148</v>
      </c>
      <c r="C148" s="340" t="str">
        <f>Tabulka1[[#This Row],[KOD]]</f>
        <v>F14R F</v>
      </c>
      <c r="W148" s="804" t="str">
        <f t="shared" si="5"/>
        <v/>
      </c>
      <c r="X148" t="str">
        <f t="shared" si="6"/>
        <v/>
      </c>
      <c r="Y148" s="341">
        <f>IF('General price list'!$AB150="",0,'General price list'!$AB150)</f>
        <v>0</v>
      </c>
      <c r="Z148" s="365" t="str">
        <f>IFERROR(X148*VLOOKUP(C148,'General price list'!C:I,7,FALSE),"")</f>
        <v/>
      </c>
      <c r="AA148" s="805" t="str">
        <f>IF(X148&lt;&gt;"",VLOOKUP(C148,'General price list'!C150:AN1123,MATCH("HM",Tabulka1[[#Headers],[KOD]:[NEQ]],0),FALSE),"")</f>
        <v/>
      </c>
    </row>
    <row r="149" spans="1:27">
      <c r="A149">
        <f>COUNTIF($W$22:W149,1)</f>
        <v>0</v>
      </c>
      <c r="B149">
        <v>149</v>
      </c>
      <c r="C149" s="340" t="str">
        <f>Tabulka1[[#This Row],[KOD]]</f>
        <v>F17S</v>
      </c>
      <c r="W149" s="804" t="str">
        <f t="shared" si="5"/>
        <v/>
      </c>
      <c r="X149" t="str">
        <f t="shared" si="6"/>
        <v/>
      </c>
      <c r="Y149" s="341">
        <f>IF('General price list'!$AB151="",0,'General price list'!$AB151)</f>
        <v>0</v>
      </c>
      <c r="Z149" s="365" t="str">
        <f>IFERROR(X149*VLOOKUP(C149,'General price list'!C:I,7,FALSE),"")</f>
        <v/>
      </c>
      <c r="AA149" s="805" t="str">
        <f>IF(X149&lt;&gt;"",VLOOKUP(C149,'General price list'!C151:AN1124,MATCH("HM",Tabulka1[[#Headers],[KOD]:[NEQ]],0),FALSE),"")</f>
        <v/>
      </c>
    </row>
    <row r="150" spans="1:27">
      <c r="A150">
        <f>COUNTIF($W$22:W150,1)</f>
        <v>0</v>
      </c>
      <c r="B150">
        <v>150</v>
      </c>
      <c r="C150" s="340" t="str">
        <f>Tabulka1[[#This Row],[KOD]]</f>
        <v>F18NB</v>
      </c>
      <c r="W150" s="804" t="str">
        <f t="shared" si="5"/>
        <v/>
      </c>
      <c r="X150" t="str">
        <f t="shared" si="6"/>
        <v/>
      </c>
      <c r="Y150" s="341">
        <f>IF('General price list'!$AB152="",0,'General price list'!$AB152)</f>
        <v>0</v>
      </c>
      <c r="Z150" s="365" t="str">
        <f>IFERROR(X150*VLOOKUP(C150,'General price list'!C:I,7,FALSE),"")</f>
        <v/>
      </c>
      <c r="AA150" s="805" t="str">
        <f>IF(X150&lt;&gt;"",VLOOKUP(C150,'General price list'!C152:AN1125,MATCH("HM",Tabulka1[[#Headers],[KOD]:[NEQ]],0),FALSE),"")</f>
        <v/>
      </c>
    </row>
    <row r="151" spans="1:27">
      <c r="A151">
        <f>COUNTIF($W$22:W151,1)</f>
        <v>0</v>
      </c>
      <c r="B151">
        <v>151</v>
      </c>
      <c r="C151" s="340" t="str">
        <f>Tabulka1[[#This Row],[KOD]]</f>
        <v>F216M</v>
      </c>
      <c r="W151" s="804" t="str">
        <f t="shared" si="5"/>
        <v/>
      </c>
      <c r="X151" t="str">
        <f t="shared" si="6"/>
        <v/>
      </c>
      <c r="Y151" s="341">
        <f>IF('General price list'!$AB153="",0,'General price list'!$AB153)</f>
        <v>0</v>
      </c>
      <c r="Z151" s="365" t="str">
        <f>IFERROR(X151*VLOOKUP(C151,'General price list'!C:I,7,FALSE),"")</f>
        <v/>
      </c>
      <c r="AA151" s="805" t="str">
        <f>IF(X151&lt;&gt;"",VLOOKUP(C151,'General price list'!C153:AN1126,MATCH("HM",Tabulka1[[#Headers],[KOD]:[NEQ]],0),FALSE),"")</f>
        <v/>
      </c>
    </row>
    <row r="152" spans="1:27">
      <c r="A152">
        <f>COUNTIF($W$22:W152,1)</f>
        <v>0</v>
      </c>
      <c r="B152">
        <v>152</v>
      </c>
      <c r="C152" s="340" t="str">
        <f>Tabulka1[[#This Row],[KOD]]</f>
        <v>RK25002F</v>
      </c>
      <c r="W152" s="804" t="str">
        <f t="shared" si="5"/>
        <v/>
      </c>
      <c r="X152" t="str">
        <f t="shared" si="6"/>
        <v/>
      </c>
      <c r="Y152" s="341">
        <f>IF('General price list'!$AB154="",0,'General price list'!$AB154)</f>
        <v>0</v>
      </c>
      <c r="Z152" s="365" t="str">
        <f>IFERROR(X152*VLOOKUP(C152,'General price list'!C:I,7,FALSE),"")</f>
        <v/>
      </c>
      <c r="AA152" s="805" t="str">
        <f>IF(X152&lt;&gt;"",VLOOKUP(C152,'General price list'!C154:AN1127,MATCH("HM",Tabulka1[[#Headers],[KOD]:[NEQ]],0),FALSE),"")</f>
        <v/>
      </c>
    </row>
    <row r="153" spans="1:27">
      <c r="A153">
        <f>COUNTIF($W$22:W153,1)</f>
        <v>0</v>
      </c>
      <c r="B153">
        <v>153</v>
      </c>
      <c r="C153" s="340">
        <f>Tabulka1[[#This Row],[KOD]]</f>
        <v>0</v>
      </c>
      <c r="W153" s="804" t="str">
        <f t="shared" ref="W153:W216" si="7">IF(Y153+1=1,"",1)</f>
        <v/>
      </c>
      <c r="X153" t="str">
        <f t="shared" ref="X153:X216" si="8">IF(OR(A153&lt;$E$20,A153&gt;$E$21),"",IF(Y153=0,"",Y153))</f>
        <v/>
      </c>
      <c r="Y153" s="341">
        <f>IF('General price list'!$AB155="",0,'General price list'!$AB155)</f>
        <v>0</v>
      </c>
      <c r="Z153" s="365" t="str">
        <f>IFERROR(X153*VLOOKUP(C153,'General price list'!C:I,7,FALSE),"")</f>
        <v/>
      </c>
      <c r="AA153" s="805" t="str">
        <f>IF(X153&lt;&gt;"",VLOOKUP(C153,'General price list'!C155:AN1128,MATCH("HM",Tabulka1[[#Headers],[KOD]:[NEQ]],0),FALSE),"")</f>
        <v/>
      </c>
    </row>
    <row r="154" spans="1:27">
      <c r="A154">
        <f>COUNTIF($W$22:W154,1)</f>
        <v>0</v>
      </c>
      <c r="B154">
        <v>154</v>
      </c>
      <c r="C154" s="340" t="str">
        <f>Tabulka1[[#This Row],[KOD]]</f>
        <v>F100C</v>
      </c>
      <c r="W154" s="804" t="str">
        <f t="shared" si="7"/>
        <v/>
      </c>
      <c r="X154" t="str">
        <f t="shared" si="8"/>
        <v/>
      </c>
      <c r="Y154" s="341">
        <f>IF('General price list'!$AB156="",0,'General price list'!$AB156)</f>
        <v>0</v>
      </c>
      <c r="Z154" s="365" t="str">
        <f>IFERROR(X154*VLOOKUP(C154,'General price list'!C:I,7,FALSE),"")</f>
        <v/>
      </c>
      <c r="AA154" s="805" t="str">
        <f>IF(X154&lt;&gt;"",VLOOKUP(C154,'General price list'!C156:AN1129,MATCH("HM",Tabulka1[[#Headers],[KOD]:[NEQ]],0),FALSE),"")</f>
        <v/>
      </c>
    </row>
    <row r="155" spans="1:27">
      <c r="A155">
        <f>COUNTIF($W$22:W155,1)</f>
        <v>0</v>
      </c>
      <c r="B155">
        <v>155</v>
      </c>
      <c r="C155" s="340" t="str">
        <f>Tabulka1[[#This Row],[KOD]]</f>
        <v>F100DC</v>
      </c>
      <c r="W155" s="804" t="str">
        <f t="shared" si="7"/>
        <v/>
      </c>
      <c r="X155" t="str">
        <f t="shared" si="8"/>
        <v/>
      </c>
      <c r="Y155" s="341">
        <f>IF('General price list'!$AB157="",0,'General price list'!$AB157)</f>
        <v>0</v>
      </c>
      <c r="Z155" s="365" t="str">
        <f>IFERROR(X155*VLOOKUP(C155,'General price list'!C:I,7,FALSE),"")</f>
        <v/>
      </c>
      <c r="AA155" s="805" t="str">
        <f>IF(X155&lt;&gt;"",VLOOKUP(C155,'General price list'!C157:AN1130,MATCH("HM",Tabulka1[[#Headers],[KOD]:[NEQ]],0),FALSE),"")</f>
        <v/>
      </c>
    </row>
    <row r="156" spans="1:27">
      <c r="A156">
        <f>COUNTIF($W$22:W156,1)</f>
        <v>0</v>
      </c>
      <c r="B156">
        <v>156</v>
      </c>
      <c r="C156" s="340" t="str">
        <f>Tabulka1[[#This Row],[KOD]]</f>
        <v>F250SC</v>
      </c>
      <c r="W156" s="804" t="str">
        <f t="shared" si="7"/>
        <v/>
      </c>
      <c r="X156" t="str">
        <f t="shared" si="8"/>
        <v/>
      </c>
      <c r="Y156" s="341">
        <f>IF('General price list'!$AB158="",0,'General price list'!$AB158)</f>
        <v>0</v>
      </c>
      <c r="Z156" s="365" t="str">
        <f>IFERROR(X156*VLOOKUP(C156,'General price list'!C:I,7,FALSE),"")</f>
        <v/>
      </c>
      <c r="AA156" s="805" t="str">
        <f>IF(X156&lt;&gt;"",VLOOKUP(C156,'General price list'!C158:AN1131,MATCH("HM",Tabulka1[[#Headers],[KOD]:[NEQ]],0),FALSE),"")</f>
        <v/>
      </c>
    </row>
    <row r="157" spans="1:27">
      <c r="A157">
        <f>COUNTIF($W$22:W157,1)</f>
        <v>0</v>
      </c>
      <c r="B157">
        <v>157</v>
      </c>
      <c r="C157" s="340" t="str">
        <f>Tabulka1[[#This Row],[KOD]]</f>
        <v>F250C</v>
      </c>
      <c r="W157" s="804" t="str">
        <f t="shared" si="7"/>
        <v/>
      </c>
      <c r="X157" t="str">
        <f t="shared" si="8"/>
        <v/>
      </c>
      <c r="Y157" s="341">
        <f>IF('General price list'!$AB159="",0,'General price list'!$AB159)</f>
        <v>0</v>
      </c>
      <c r="Z157" s="365" t="str">
        <f>IFERROR(X157*VLOOKUP(C157,'General price list'!C:I,7,FALSE),"")</f>
        <v/>
      </c>
      <c r="AA157" s="805" t="str">
        <f>IF(X157&lt;&gt;"",VLOOKUP(C157,'General price list'!C159:AN1132,MATCH("HM",Tabulka1[[#Headers],[KOD]:[NEQ]],0),FALSE),"")</f>
        <v/>
      </c>
    </row>
    <row r="158" spans="1:27">
      <c r="A158">
        <f>COUNTIF($W$22:W158,1)</f>
        <v>0</v>
      </c>
      <c r="B158">
        <v>158</v>
      </c>
      <c r="C158" s="340" t="str">
        <f>Tabulka1[[#This Row],[KOD]]</f>
        <v>F500SIG</v>
      </c>
      <c r="W158" s="804" t="str">
        <f t="shared" si="7"/>
        <v/>
      </c>
      <c r="X158" t="str">
        <f t="shared" si="8"/>
        <v/>
      </c>
      <c r="Y158" s="341">
        <f>IF('General price list'!$AB160="",0,'General price list'!$AB160)</f>
        <v>0</v>
      </c>
      <c r="Z158" s="365" t="str">
        <f>IFERROR(X158*VLOOKUP(C158,'General price list'!C:I,7,FALSE),"")</f>
        <v/>
      </c>
      <c r="AA158" s="805" t="str">
        <f>IF(X158&lt;&gt;"",VLOOKUP(C158,'General price list'!C160:AN1133,MATCH("HM",Tabulka1[[#Headers],[KOD]:[NEQ]],0),FALSE),"")</f>
        <v/>
      </c>
    </row>
    <row r="159" spans="1:27">
      <c r="A159">
        <f>COUNTIF($W$22:W159,1)</f>
        <v>0</v>
      </c>
      <c r="B159">
        <v>159</v>
      </c>
      <c r="C159" s="340" t="str">
        <f>Tabulka1[[#This Row],[KOD]]</f>
        <v>F500SS</v>
      </c>
      <c r="W159" s="804" t="str">
        <f t="shared" si="7"/>
        <v/>
      </c>
      <c r="X159" t="str">
        <f t="shared" si="8"/>
        <v/>
      </c>
      <c r="Y159" s="341">
        <f>IF('General price list'!$AB161="",0,'General price list'!$AB161)</f>
        <v>0</v>
      </c>
      <c r="Z159" s="365" t="str">
        <f>IFERROR(X159*VLOOKUP(C159,'General price list'!C:I,7,FALSE),"")</f>
        <v/>
      </c>
      <c r="AA159" s="805" t="str">
        <f>IF(X159&lt;&gt;"",VLOOKUP(C159,'General price list'!C161:AN1134,MATCH("HM",Tabulka1[[#Headers],[KOD]:[NEQ]],0),FALSE),"")</f>
        <v/>
      </c>
    </row>
    <row r="160" spans="1:27">
      <c r="A160">
        <f>COUNTIF($W$22:W160,1)</f>
        <v>0</v>
      </c>
      <c r="B160">
        <v>160</v>
      </c>
      <c r="C160" s="340" t="str">
        <f>Tabulka1[[#This Row],[KOD]]</f>
        <v>F500C</v>
      </c>
      <c r="W160" s="804" t="str">
        <f t="shared" si="7"/>
        <v/>
      </c>
      <c r="X160" t="str">
        <f t="shared" si="8"/>
        <v/>
      </c>
      <c r="Y160" s="341">
        <f>IF('General price list'!$AB162="",0,'General price list'!$AB162)</f>
        <v>0</v>
      </c>
      <c r="Z160" s="365" t="str">
        <f>IFERROR(X160*VLOOKUP(C160,'General price list'!C:I,7,FALSE),"")</f>
        <v/>
      </c>
      <c r="AA160" s="805" t="str">
        <f>IF(X160&lt;&gt;"",VLOOKUP(C160,'General price list'!C162:AN1135,MATCH("HM",Tabulka1[[#Headers],[KOD]:[NEQ]],0),FALSE),"")</f>
        <v/>
      </c>
    </row>
    <row r="161" spans="1:27">
      <c r="A161">
        <f>COUNTIF($W$22:W161,1)</f>
        <v>0</v>
      </c>
      <c r="B161">
        <v>161</v>
      </c>
      <c r="C161" s="340" t="str">
        <f>Tabulka1[[#This Row],[KOD]]</f>
        <v>F1000SS</v>
      </c>
      <c r="W161" s="804" t="str">
        <f t="shared" si="7"/>
        <v/>
      </c>
      <c r="X161" t="str">
        <f t="shared" si="8"/>
        <v/>
      </c>
      <c r="Y161" s="341">
        <f>IF('General price list'!$AB163="",0,'General price list'!$AB163)</f>
        <v>0</v>
      </c>
      <c r="Z161" s="365" t="str">
        <f>IFERROR(X161*VLOOKUP(C161,'General price list'!C:I,7,FALSE),"")</f>
        <v/>
      </c>
      <c r="AA161" s="805" t="str">
        <f>IF(X161&lt;&gt;"",VLOOKUP(C161,'General price list'!C163:AN1136,MATCH("HM",Tabulka1[[#Headers],[KOD]:[NEQ]],0),FALSE),"")</f>
        <v/>
      </c>
    </row>
    <row r="162" spans="1:27">
      <c r="A162">
        <f>COUNTIF($W$22:W162,1)</f>
        <v>0</v>
      </c>
      <c r="B162">
        <v>162</v>
      </c>
      <c r="C162" s="340" t="str">
        <f>Tabulka1[[#This Row],[KOD]]</f>
        <v>F1500C</v>
      </c>
      <c r="W162" s="804" t="str">
        <f t="shared" si="7"/>
        <v/>
      </c>
      <c r="X162" t="str">
        <f t="shared" si="8"/>
        <v/>
      </c>
      <c r="Y162" s="341">
        <f>IF('General price list'!$AB164="",0,'General price list'!$AB164)</f>
        <v>0</v>
      </c>
      <c r="Z162" s="365" t="str">
        <f>IFERROR(X162*VLOOKUP(C162,'General price list'!C:I,7,FALSE),"")</f>
        <v/>
      </c>
      <c r="AA162" s="805" t="str">
        <f>IF(X162&lt;&gt;"",VLOOKUP(C162,'General price list'!C164:AN1137,MATCH("HM",Tabulka1[[#Headers],[KOD]:[NEQ]],0),FALSE),"")</f>
        <v/>
      </c>
    </row>
    <row r="163" spans="1:27">
      <c r="A163">
        <f>COUNTIF($W$22:W163,1)</f>
        <v>0</v>
      </c>
      <c r="B163">
        <v>163</v>
      </c>
      <c r="C163" s="340">
        <f>Tabulka1[[#This Row],[KOD]]</f>
        <v>0</v>
      </c>
      <c r="W163" s="804" t="str">
        <f t="shared" si="7"/>
        <v/>
      </c>
      <c r="X163" t="str">
        <f t="shared" si="8"/>
        <v/>
      </c>
      <c r="Y163" s="341">
        <f>IF('General price list'!$AB165="",0,'General price list'!$AB165)</f>
        <v>0</v>
      </c>
      <c r="Z163" s="365" t="str">
        <f>IFERROR(X163*VLOOKUP(C163,'General price list'!C:I,7,FALSE),"")</f>
        <v/>
      </c>
      <c r="AA163" s="805" t="str">
        <f>IF(X163&lt;&gt;"",VLOOKUP(C163,'General price list'!C165:AN1138,MATCH("HM",Tabulka1[[#Headers],[KOD]:[NEQ]],0),FALSE),"")</f>
        <v/>
      </c>
    </row>
    <row r="164" spans="1:27">
      <c r="A164">
        <f>COUNTIF($W$22:W164,1)</f>
        <v>0</v>
      </c>
      <c r="B164">
        <v>164</v>
      </c>
      <c r="C164" s="340" t="str">
        <f>Tabulka1[[#This Row],[KOD]]</f>
        <v>F3N</v>
      </c>
      <c r="W164" s="804" t="str">
        <f t="shared" si="7"/>
        <v/>
      </c>
      <c r="X164" t="str">
        <f t="shared" si="8"/>
        <v/>
      </c>
      <c r="Y164" s="341">
        <f>IF('General price list'!$AB166="",0,'General price list'!$AB166)</f>
        <v>0</v>
      </c>
      <c r="Z164" s="365" t="str">
        <f>IFERROR(X164*VLOOKUP(C164,'General price list'!C:I,7,FALSE),"")</f>
        <v/>
      </c>
      <c r="AA164" s="805" t="str">
        <f>IF(X164&lt;&gt;"",VLOOKUP(C164,'General price list'!C166:AN1139,MATCH("HM",Tabulka1[[#Headers],[KOD]:[NEQ]],0),FALSE),"")</f>
        <v/>
      </c>
    </row>
    <row r="165" spans="1:27">
      <c r="A165">
        <f>COUNTIF($W$22:W165,1)</f>
        <v>0</v>
      </c>
      <c r="B165">
        <v>165</v>
      </c>
      <c r="C165" s="340" t="str">
        <f>Tabulka1[[#This Row],[KOD]]</f>
        <v>DF10CM</v>
      </c>
      <c r="W165" s="804" t="str">
        <f t="shared" si="7"/>
        <v/>
      </c>
      <c r="X165" t="str">
        <f t="shared" si="8"/>
        <v/>
      </c>
      <c r="Y165" s="341">
        <f>IF('General price list'!$AB167="",0,'General price list'!$AB167)</f>
        <v>0</v>
      </c>
      <c r="Z165" s="365" t="str">
        <f>IFERROR(X165*VLOOKUP(C165,'General price list'!C:I,7,FALSE),"")</f>
        <v/>
      </c>
      <c r="AA165" s="805" t="str">
        <f>IF(X165&lt;&gt;"",VLOOKUP(C165,'General price list'!C167:AN1140,MATCH("HM",Tabulka1[[#Headers],[KOD]:[NEQ]],0),FALSE),"")</f>
        <v/>
      </c>
    </row>
    <row r="166" spans="1:27">
      <c r="A166">
        <f>COUNTIF($W$22:W166,1)</f>
        <v>0</v>
      </c>
      <c r="B166">
        <v>166</v>
      </c>
      <c r="C166" s="340" t="str">
        <f>Tabulka1[[#This Row],[KOD]]</f>
        <v>DF20CM</v>
      </c>
      <c r="W166" s="804" t="str">
        <f t="shared" si="7"/>
        <v/>
      </c>
      <c r="X166" t="str">
        <f t="shared" si="8"/>
        <v/>
      </c>
      <c r="Y166" s="341">
        <f>IF('General price list'!$AB168="",0,'General price list'!$AB168)</f>
        <v>0</v>
      </c>
      <c r="Z166" s="365" t="str">
        <f>IFERROR(X166*VLOOKUP(C166,'General price list'!C:I,7,FALSE),"")</f>
        <v/>
      </c>
      <c r="AA166" s="805" t="str">
        <f>IF(X166&lt;&gt;"",VLOOKUP(C166,'General price list'!C168:AN1141,MATCH("HM",Tabulka1[[#Headers],[KOD]:[NEQ]],0),FALSE),"")</f>
        <v/>
      </c>
    </row>
    <row r="167" spans="1:27">
      <c r="A167">
        <f>COUNTIF($W$22:W167,1)</f>
        <v>0</v>
      </c>
      <c r="B167">
        <v>167</v>
      </c>
      <c r="C167" s="340" t="str">
        <f>Tabulka1[[#This Row],[KOD]]</f>
        <v>DF30CM</v>
      </c>
      <c r="W167" s="804" t="str">
        <f t="shared" si="7"/>
        <v/>
      </c>
      <c r="X167" t="str">
        <f t="shared" si="8"/>
        <v/>
      </c>
      <c r="Y167" s="341">
        <f>IF('General price list'!$AB169="",0,'General price list'!$AB169)</f>
        <v>0</v>
      </c>
      <c r="Z167" s="365" t="str">
        <f>IFERROR(X167*VLOOKUP(C167,'General price list'!C:I,7,FALSE),"")</f>
        <v/>
      </c>
      <c r="AA167" s="805" t="str">
        <f>IF(X167&lt;&gt;"",VLOOKUP(C167,'General price list'!C169:AN1142,MATCH("HM",Tabulka1[[#Headers],[KOD]:[NEQ]],0),FALSE),"")</f>
        <v/>
      </c>
    </row>
    <row r="168" spans="1:27">
      <c r="A168">
        <f>COUNTIF($W$22:W168,1)</f>
        <v>0</v>
      </c>
      <c r="B168">
        <v>168</v>
      </c>
      <c r="C168" s="340">
        <f>Tabulka1[[#This Row],[KOD]]</f>
        <v>0</v>
      </c>
      <c r="W168" s="804" t="str">
        <f t="shared" si="7"/>
        <v/>
      </c>
      <c r="X168" t="str">
        <f t="shared" si="8"/>
        <v/>
      </c>
      <c r="Y168" s="341">
        <f>IF('General price list'!$AB170="",0,'General price list'!$AB170)</f>
        <v>0</v>
      </c>
      <c r="Z168" s="365" t="str">
        <f>IFERROR(X168*VLOOKUP(C168,'General price list'!C:I,7,FALSE),"")</f>
        <v/>
      </c>
      <c r="AA168" s="805" t="str">
        <f>IF(X168&lt;&gt;"",VLOOKUP(C168,'General price list'!C170:AN1143,MATCH("HM",Tabulka1[[#Headers],[KOD]:[NEQ]],0),FALSE),"")</f>
        <v/>
      </c>
    </row>
    <row r="169" spans="1:27">
      <c r="A169">
        <f>COUNTIF($W$22:W169,1)</f>
        <v>0</v>
      </c>
      <c r="B169">
        <v>169</v>
      </c>
      <c r="C169" s="340" t="str">
        <f>Tabulka1[[#This Row],[KOD]]</f>
        <v>CON80P</v>
      </c>
      <c r="W169" s="804" t="str">
        <f t="shared" si="7"/>
        <v/>
      </c>
      <c r="X169" t="str">
        <f t="shared" si="8"/>
        <v/>
      </c>
      <c r="Y169" s="341">
        <f>IF('General price list'!$AB171="",0,'General price list'!$AB171)</f>
        <v>0</v>
      </c>
      <c r="Z169" s="365" t="str">
        <f>IFERROR(X169*VLOOKUP(C169,'General price list'!C:I,7,FALSE),"")</f>
        <v/>
      </c>
      <c r="AA169" s="805" t="str">
        <f>IF(X169&lt;&gt;"",VLOOKUP(C169,'General price list'!C171:AN1144,MATCH("HM",Tabulka1[[#Headers],[KOD]:[NEQ]],0),FALSE),"")</f>
        <v/>
      </c>
    </row>
    <row r="170" spans="1:27">
      <c r="A170">
        <f>COUNTIF($W$22:W170,1)</f>
        <v>0</v>
      </c>
      <c r="B170">
        <v>170</v>
      </c>
      <c r="C170" s="340">
        <f>Tabulka1[[#This Row],[KOD]]</f>
        <v>0</v>
      </c>
      <c r="W170" s="804" t="str">
        <f t="shared" si="7"/>
        <v/>
      </c>
      <c r="X170" t="str">
        <f t="shared" si="8"/>
        <v/>
      </c>
      <c r="Y170" s="341">
        <f>IF('General price list'!$AB172="",0,'General price list'!$AB172)</f>
        <v>0</v>
      </c>
      <c r="Z170" s="365" t="str">
        <f>IFERROR(X170*VLOOKUP(C170,'General price list'!C:I,7,FALSE),"")</f>
        <v/>
      </c>
      <c r="AA170" s="805" t="str">
        <f>IF(X170&lt;&gt;"",VLOOKUP(C170,'General price list'!C172:AN1145,MATCH("HM",Tabulka1[[#Headers],[KOD]:[NEQ]],0),FALSE),"")</f>
        <v/>
      </c>
    </row>
    <row r="171" spans="1:27">
      <c r="A171">
        <f>COUNTIF($W$22:W171,1)</f>
        <v>0</v>
      </c>
      <c r="B171">
        <v>171</v>
      </c>
      <c r="C171" s="340" t="str">
        <f>Tabulka1[[#This Row],[KOD]]</f>
        <v>R4420B</v>
      </c>
      <c r="W171" s="804" t="str">
        <f t="shared" si="7"/>
        <v/>
      </c>
      <c r="X171" t="str">
        <f t="shared" si="8"/>
        <v/>
      </c>
      <c r="Y171" s="341">
        <f>IF('General price list'!$AB173="",0,'General price list'!$AB173)</f>
        <v>0</v>
      </c>
      <c r="Z171" s="365" t="str">
        <f>IFERROR(X171*VLOOKUP(C171,'General price list'!C:I,7,FALSE),"")</f>
        <v/>
      </c>
      <c r="AA171" s="805" t="str">
        <f>IF(X171&lt;&gt;"",VLOOKUP(C171,'General price list'!C173:AN1146,MATCH("HM",Tabulka1[[#Headers],[KOD]:[NEQ]],0),FALSE),"")</f>
        <v/>
      </c>
    </row>
    <row r="172" spans="1:27">
      <c r="A172">
        <f>COUNTIF($W$22:W172,1)</f>
        <v>0</v>
      </c>
      <c r="B172">
        <v>172</v>
      </c>
      <c r="C172" s="340" t="str">
        <f>Tabulka1[[#This Row],[KOD]]</f>
        <v>R7040C</v>
      </c>
      <c r="W172" s="804" t="str">
        <f t="shared" si="7"/>
        <v/>
      </c>
      <c r="X172" t="str">
        <f t="shared" si="8"/>
        <v/>
      </c>
      <c r="Y172" s="341">
        <f>IF('General price list'!$AB174="",0,'General price list'!$AB174)</f>
        <v>0</v>
      </c>
      <c r="Z172" s="365" t="str">
        <f>IFERROR(X172*VLOOKUP(C172,'General price list'!C:I,7,FALSE),"")</f>
        <v/>
      </c>
      <c r="AA172" s="805" t="str">
        <f>IF(X172&lt;&gt;"",VLOOKUP(C172,'General price list'!C174:AN1147,MATCH("HM",Tabulka1[[#Headers],[KOD]:[NEQ]],0),FALSE),"")</f>
        <v/>
      </c>
    </row>
    <row r="173" spans="1:27">
      <c r="A173">
        <f>COUNTIF($W$22:W173,1)</f>
        <v>0</v>
      </c>
      <c r="B173">
        <v>173</v>
      </c>
      <c r="C173" s="340">
        <f>Tabulka1[[#This Row],[KOD]]</f>
        <v>0</v>
      </c>
      <c r="W173" s="804" t="str">
        <f t="shared" si="7"/>
        <v/>
      </c>
      <c r="X173" t="str">
        <f t="shared" si="8"/>
        <v/>
      </c>
      <c r="Y173" s="341">
        <f>IF('General price list'!$AB175="",0,'General price list'!$AB175)</f>
        <v>0</v>
      </c>
      <c r="Z173" s="365" t="str">
        <f>IFERROR(X173*VLOOKUP(C173,'General price list'!C:I,7,FALSE),"")</f>
        <v/>
      </c>
      <c r="AA173" s="805" t="str">
        <f>IF(X173&lt;&gt;"",VLOOKUP(C173,'General price list'!C175:AN1148,MATCH("HM",Tabulka1[[#Headers],[KOD]:[NEQ]],0),FALSE),"")</f>
        <v/>
      </c>
    </row>
    <row r="174" spans="1:27">
      <c r="A174">
        <f>COUNTIF($W$22:W174,1)</f>
        <v>0</v>
      </c>
      <c r="B174">
        <v>174</v>
      </c>
      <c r="C174" s="340" t="str">
        <f>Tabulka1[[#This Row],[KOD]]</f>
        <v>R5410B</v>
      </c>
      <c r="W174" s="804" t="str">
        <f t="shared" si="7"/>
        <v/>
      </c>
      <c r="X174" t="str">
        <f t="shared" si="8"/>
        <v/>
      </c>
      <c r="Y174" s="341">
        <f>IF('General price list'!$AB176="",0,'General price list'!$AB176)</f>
        <v>0</v>
      </c>
      <c r="Z174" s="365" t="str">
        <f>IFERROR(X174*VLOOKUP(C174,'General price list'!C:I,7,FALSE),"")</f>
        <v/>
      </c>
      <c r="AA174" s="805" t="str">
        <f>IF(X174&lt;&gt;"",VLOOKUP(C174,'General price list'!C176:AN1149,MATCH("HM",Tabulka1[[#Headers],[KOD]:[NEQ]],0),FALSE),"")</f>
        <v/>
      </c>
    </row>
    <row r="175" spans="1:27">
      <c r="A175">
        <f>COUNTIF($W$22:W175,1)</f>
        <v>0</v>
      </c>
      <c r="B175">
        <v>175</v>
      </c>
      <c r="C175" s="340" t="str">
        <f>Tabulka1[[#This Row],[KOD]]</f>
        <v>R5420K</v>
      </c>
      <c r="W175" s="804" t="str">
        <f t="shared" si="7"/>
        <v/>
      </c>
      <c r="X175" t="str">
        <f t="shared" si="8"/>
        <v/>
      </c>
      <c r="Y175" s="341">
        <f>IF('General price list'!$AB177="",0,'General price list'!$AB177)</f>
        <v>0</v>
      </c>
      <c r="Z175" s="365" t="str">
        <f>IFERROR(X175*VLOOKUP(C175,'General price list'!C:I,7,FALSE),"")</f>
        <v/>
      </c>
      <c r="AA175" s="805" t="str">
        <f>IF(X175&lt;&gt;"",VLOOKUP(C175,'General price list'!C177:AN1150,MATCH("HM",Tabulka1[[#Headers],[KOD]:[NEQ]],0),FALSE),"")</f>
        <v/>
      </c>
    </row>
    <row r="176" spans="1:27">
      <c r="A176">
        <f>COUNTIF($W$22:W176,1)</f>
        <v>0</v>
      </c>
      <c r="B176">
        <v>176</v>
      </c>
      <c r="C176" s="340" t="str">
        <f>Tabulka1[[#This Row],[KOD]]</f>
        <v>R7020K</v>
      </c>
      <c r="W176" s="804" t="str">
        <f t="shared" si="7"/>
        <v/>
      </c>
      <c r="X176" t="str">
        <f t="shared" si="8"/>
        <v/>
      </c>
      <c r="Y176" s="341">
        <f>IF('General price list'!$AB178="",0,'General price list'!$AB178)</f>
        <v>0</v>
      </c>
      <c r="Z176" s="365" t="str">
        <f>IFERROR(X176*VLOOKUP(C176,'General price list'!C:I,7,FALSE),"")</f>
        <v/>
      </c>
      <c r="AA176" s="805" t="str">
        <f>IF(X176&lt;&gt;"",VLOOKUP(C176,'General price list'!C178:AN1151,MATCH("HM",Tabulka1[[#Headers],[KOD]:[NEQ]],0),FALSE),"")</f>
        <v/>
      </c>
    </row>
    <row r="177" spans="1:27">
      <c r="A177">
        <f>COUNTIF($W$22:W177,1)</f>
        <v>0</v>
      </c>
      <c r="B177">
        <v>177</v>
      </c>
      <c r="C177" s="340" t="str">
        <f>Tabulka1[[#This Row],[KOD]]</f>
        <v>R6020B</v>
      </c>
      <c r="W177" s="804" t="str">
        <f t="shared" si="7"/>
        <v/>
      </c>
      <c r="X177" t="str">
        <f t="shared" si="8"/>
        <v/>
      </c>
      <c r="Y177" s="341">
        <f>IF('General price list'!$AB179="",0,'General price list'!$AB179)</f>
        <v>0</v>
      </c>
      <c r="Z177" s="365" t="str">
        <f>IFERROR(X177*VLOOKUP(C177,'General price list'!C:I,7,FALSE),"")</f>
        <v/>
      </c>
      <c r="AA177" s="805" t="str">
        <f>IF(X177&lt;&gt;"",VLOOKUP(C177,'General price list'!C179:AN1152,MATCH("HM",Tabulka1[[#Headers],[KOD]:[NEQ]],0),FALSE),"")</f>
        <v/>
      </c>
    </row>
    <row r="178" spans="1:27">
      <c r="A178">
        <f>COUNTIF($W$22:W178,1)</f>
        <v>0</v>
      </c>
      <c r="B178">
        <v>178</v>
      </c>
      <c r="C178" s="340" t="str">
        <f>Tabulka1[[#This Row],[KOD]]</f>
        <v>R6520BK/2</v>
      </c>
      <c r="W178" s="804" t="str">
        <f t="shared" si="7"/>
        <v/>
      </c>
      <c r="X178" t="str">
        <f t="shared" si="8"/>
        <v/>
      </c>
      <c r="Y178" s="341">
        <f>IF('General price list'!$AB180="",0,'General price list'!$AB180)</f>
        <v>0</v>
      </c>
      <c r="Z178" s="365" t="str">
        <f>IFERROR(X178*VLOOKUP(C178,'General price list'!C:I,7,FALSE),"")</f>
        <v/>
      </c>
      <c r="AA178" s="805" t="str">
        <f>IF(X178&lt;&gt;"",VLOOKUP(C178,'General price list'!C180:AN1153,MATCH("HM",Tabulka1[[#Headers],[KOD]:[NEQ]],0),FALSE),"")</f>
        <v/>
      </c>
    </row>
    <row r="179" spans="1:27">
      <c r="A179">
        <f>COUNTIF($W$22:W179,1)</f>
        <v>0</v>
      </c>
      <c r="B179">
        <v>179</v>
      </c>
      <c r="C179" s="340" t="str">
        <f>Tabulka1[[#This Row],[KOD]]</f>
        <v>R6020M</v>
      </c>
      <c r="W179" s="804" t="str">
        <f t="shared" si="7"/>
        <v/>
      </c>
      <c r="X179" t="str">
        <f t="shared" si="8"/>
        <v/>
      </c>
      <c r="Y179" s="341">
        <f>IF('General price list'!$AB181="",0,'General price list'!$AB181)</f>
        <v>0</v>
      </c>
      <c r="Z179" s="365" t="str">
        <f>IFERROR(X179*VLOOKUP(C179,'General price list'!C:I,7,FALSE),"")</f>
        <v/>
      </c>
      <c r="AA179" s="805" t="str">
        <f>IF(X179&lt;&gt;"",VLOOKUP(C179,'General price list'!C181:AN1154,MATCH("HM",Tabulka1[[#Headers],[KOD]:[NEQ]],0),FALSE),"")</f>
        <v/>
      </c>
    </row>
    <row r="180" spans="1:27">
      <c r="A180">
        <f>COUNTIF($W$22:W180,1)</f>
        <v>0</v>
      </c>
      <c r="B180">
        <v>180</v>
      </c>
      <c r="C180" s="340" t="str">
        <f>Tabulka1[[#This Row],[KOD]]</f>
        <v>R7020M</v>
      </c>
      <c r="W180" s="804" t="str">
        <f t="shared" si="7"/>
        <v/>
      </c>
      <c r="X180" t="str">
        <f t="shared" si="8"/>
        <v/>
      </c>
      <c r="Y180" s="341">
        <f>IF('General price list'!$AB182="",0,'General price list'!$AB182)</f>
        <v>0</v>
      </c>
      <c r="Z180" s="365" t="str">
        <f>IFERROR(X180*VLOOKUP(C180,'General price list'!C:I,7,FALSE),"")</f>
        <v/>
      </c>
      <c r="AA180" s="805" t="str">
        <f>IF(X180&lt;&gt;"",VLOOKUP(C180,'General price list'!C182:AN1155,MATCH("HM",Tabulka1[[#Headers],[KOD]:[NEQ]],0),FALSE),"")</f>
        <v/>
      </c>
    </row>
    <row r="181" spans="1:27">
      <c r="A181">
        <f>COUNTIF($W$22:W181,1)</f>
        <v>0</v>
      </c>
      <c r="B181">
        <v>181</v>
      </c>
      <c r="C181" s="340">
        <f>Tabulka1[[#This Row],[KOD]]</f>
        <v>0</v>
      </c>
      <c r="W181" s="804" t="str">
        <f t="shared" si="7"/>
        <v/>
      </c>
      <c r="X181" t="str">
        <f t="shared" si="8"/>
        <v/>
      </c>
      <c r="Y181" s="341">
        <f>IF('General price list'!$AB183="",0,'General price list'!$AB183)</f>
        <v>0</v>
      </c>
      <c r="Z181" s="365" t="str">
        <f>IFERROR(X181*VLOOKUP(C181,'General price list'!C:I,7,FALSE),"")</f>
        <v/>
      </c>
      <c r="AA181" s="805" t="str">
        <f>IF(X181&lt;&gt;"",VLOOKUP(C181,'General price list'!C183:AN1156,MATCH("HM",Tabulka1[[#Headers],[KOD]:[NEQ]],0),FALSE),"")</f>
        <v/>
      </c>
    </row>
    <row r="182" spans="1:27">
      <c r="A182">
        <f>COUNTIF($W$22:W182,1)</f>
        <v>0</v>
      </c>
      <c r="B182">
        <v>182</v>
      </c>
      <c r="C182" s="340" t="str">
        <f>Tabulka1[[#This Row],[KOD]]</f>
        <v>R60508E</v>
      </c>
      <c r="W182" s="804" t="str">
        <f t="shared" si="7"/>
        <v/>
      </c>
      <c r="X182" t="str">
        <f t="shared" si="8"/>
        <v/>
      </c>
      <c r="Y182" s="341">
        <f>IF('General price list'!$AB184="",0,'General price list'!$AB184)</f>
        <v>0</v>
      </c>
      <c r="Z182" s="365" t="str">
        <f>IFERROR(X182*VLOOKUP(C182,'General price list'!C:I,7,FALSE),"")</f>
        <v/>
      </c>
      <c r="AA182" s="805" t="str">
        <f>IF(X182&lt;&gt;"",VLOOKUP(C182,'General price list'!C184:AN1157,MATCH("HM",Tabulka1[[#Headers],[KOD]:[NEQ]],0),FALSE),"")</f>
        <v/>
      </c>
    </row>
    <row r="183" spans="1:27">
      <c r="A183">
        <f>COUNTIF($W$22:W183,1)</f>
        <v>0</v>
      </c>
      <c r="B183">
        <v>183</v>
      </c>
      <c r="C183" s="340" t="str">
        <f>Tabulka1[[#This Row],[KOD]]</f>
        <v>R6508S</v>
      </c>
      <c r="W183" s="804" t="str">
        <f t="shared" si="7"/>
        <v/>
      </c>
      <c r="X183" t="str">
        <f t="shared" si="8"/>
        <v/>
      </c>
      <c r="Y183" s="341">
        <f>IF('General price list'!$AB185="",0,'General price list'!$AB185)</f>
        <v>0</v>
      </c>
      <c r="Z183" s="365" t="str">
        <f>IFERROR(X183*VLOOKUP(C183,'General price list'!C:I,7,FALSE),"")</f>
        <v/>
      </c>
      <c r="AA183" s="805" t="str">
        <f>IF(X183&lt;&gt;"",VLOOKUP(C183,'General price list'!C185:AN1158,MATCH("HM",Tabulka1[[#Headers],[KOD]:[NEQ]],0),FALSE),"")</f>
        <v/>
      </c>
    </row>
    <row r="184" spans="1:27">
      <c r="A184">
        <f>COUNTIF($W$22:W184,1)</f>
        <v>0</v>
      </c>
      <c r="B184">
        <v>184</v>
      </c>
      <c r="C184" s="340" t="str">
        <f>Tabulka1[[#This Row],[KOD]]</f>
        <v>R75508SIG</v>
      </c>
      <c r="W184" s="804" t="str">
        <f t="shared" si="7"/>
        <v/>
      </c>
      <c r="X184" t="str">
        <f t="shared" si="8"/>
        <v/>
      </c>
      <c r="Y184" s="341">
        <f>IF('General price list'!$AB186="",0,'General price list'!$AB186)</f>
        <v>0</v>
      </c>
      <c r="Z184" s="365" t="str">
        <f>IFERROR(X184*VLOOKUP(C184,'General price list'!C:I,7,FALSE),"")</f>
        <v/>
      </c>
      <c r="AA184" s="805" t="str">
        <f>IF(X184&lt;&gt;"",VLOOKUP(C184,'General price list'!C186:AN1159,MATCH("HM",Tabulka1[[#Headers],[KOD]:[NEQ]],0),FALSE),"")</f>
        <v/>
      </c>
    </row>
    <row r="185" spans="1:27">
      <c r="A185">
        <f>COUNTIF($W$22:W185,1)</f>
        <v>0</v>
      </c>
      <c r="B185">
        <v>185</v>
      </c>
      <c r="C185" s="340">
        <f>Tabulka1[[#This Row],[KOD]]</f>
        <v>0</v>
      </c>
      <c r="W185" s="804" t="str">
        <f t="shared" si="7"/>
        <v/>
      </c>
      <c r="X185" t="str">
        <f t="shared" si="8"/>
        <v/>
      </c>
      <c r="Y185" s="341">
        <f>IF('General price list'!$AB187="",0,'General price list'!$AB187)</f>
        <v>0</v>
      </c>
      <c r="Z185" s="365" t="str">
        <f>IFERROR(X185*VLOOKUP(C185,'General price list'!C:I,7,FALSE),"")</f>
        <v/>
      </c>
      <c r="AA185" s="805" t="str">
        <f>IF(X185&lt;&gt;"",VLOOKUP(C185,'General price list'!C187:AN1160,MATCH("HM",Tabulka1[[#Headers],[KOD]:[NEQ]],0),FALSE),"")</f>
        <v/>
      </c>
    </row>
    <row r="186" spans="1:27">
      <c r="A186">
        <f>COUNTIF($W$22:W186,1)</f>
        <v>0</v>
      </c>
      <c r="B186">
        <v>186</v>
      </c>
      <c r="C186" s="340" t="str">
        <f>Tabulka1[[#This Row],[KOD]]</f>
        <v>R5808D</v>
      </c>
      <c r="W186" s="804" t="str">
        <f t="shared" si="7"/>
        <v/>
      </c>
      <c r="X186" t="str">
        <f t="shared" si="8"/>
        <v/>
      </c>
      <c r="Y186" s="341">
        <f>IF('General price list'!$AB188="",0,'General price list'!$AB188)</f>
        <v>0</v>
      </c>
      <c r="Z186" s="365" t="str">
        <f>IFERROR(X186*VLOOKUP(C186,'General price list'!C:I,7,FALSE),"")</f>
        <v/>
      </c>
      <c r="AA186" s="805" t="str">
        <f>IF(X186&lt;&gt;"",VLOOKUP(C186,'General price list'!C188:AN1161,MATCH("HM",Tabulka1[[#Headers],[KOD]:[NEQ]],0),FALSE),"")</f>
        <v/>
      </c>
    </row>
    <row r="187" spans="1:27">
      <c r="A187">
        <f>COUNTIF($W$22:W187,1)</f>
        <v>0</v>
      </c>
      <c r="B187">
        <v>187</v>
      </c>
      <c r="C187" s="340" t="str">
        <f>Tabulka1[[#This Row],[KOD]]</f>
        <v>R6008E</v>
      </c>
      <c r="W187" s="804" t="str">
        <f t="shared" si="7"/>
        <v/>
      </c>
      <c r="X187" t="str">
        <f t="shared" si="8"/>
        <v/>
      </c>
      <c r="Y187" s="341">
        <f>IF('General price list'!$AB189="",0,'General price list'!$AB189)</f>
        <v>0</v>
      </c>
      <c r="Z187" s="365" t="str">
        <f>IFERROR(X187*VLOOKUP(C187,'General price list'!C:I,7,FALSE),"")</f>
        <v/>
      </c>
      <c r="AA187" s="805" t="str">
        <f>IF(X187&lt;&gt;"",VLOOKUP(C187,'General price list'!C189:AN1162,MATCH("HM",Tabulka1[[#Headers],[KOD]:[NEQ]],0),FALSE),"")</f>
        <v/>
      </c>
    </row>
    <row r="188" spans="1:27">
      <c r="A188">
        <f>COUNTIF($W$22:W188,1)</f>
        <v>0</v>
      </c>
      <c r="B188">
        <v>188</v>
      </c>
      <c r="C188" s="340" t="str">
        <f>Tabulka1[[#This Row],[KOD]]</f>
        <v>R6008M</v>
      </c>
      <c r="W188" s="804" t="str">
        <f t="shared" si="7"/>
        <v/>
      </c>
      <c r="X188" t="str">
        <f t="shared" si="8"/>
        <v/>
      </c>
      <c r="Y188" s="341">
        <f>IF('General price list'!$AB190="",0,'General price list'!$AB190)</f>
        <v>0</v>
      </c>
      <c r="Z188" s="365" t="str">
        <f>IFERROR(X188*VLOOKUP(C188,'General price list'!C:I,7,FALSE),"")</f>
        <v/>
      </c>
      <c r="AA188" s="805" t="str">
        <f>IF(X188&lt;&gt;"",VLOOKUP(C188,'General price list'!C190:AN1163,MATCH("HM",Tabulka1[[#Headers],[KOD]:[NEQ]],0),FALSE),"")</f>
        <v/>
      </c>
    </row>
    <row r="189" spans="1:27">
      <c r="A189">
        <f>COUNTIF($W$22:W189,1)</f>
        <v>0</v>
      </c>
      <c r="B189">
        <v>189</v>
      </c>
      <c r="C189" s="340" t="str">
        <f>Tabulka1[[#This Row],[KOD]]</f>
        <v>R7508E</v>
      </c>
      <c r="W189" s="804" t="str">
        <f t="shared" si="7"/>
        <v/>
      </c>
      <c r="X189" t="str">
        <f t="shared" si="8"/>
        <v/>
      </c>
      <c r="Y189" s="341">
        <f>IF('General price list'!$AB191="",0,'General price list'!$AB191)</f>
        <v>0</v>
      </c>
      <c r="Z189" s="365" t="str">
        <f>IFERROR(X189*VLOOKUP(C189,'General price list'!C:I,7,FALSE),"")</f>
        <v/>
      </c>
      <c r="AA189" s="805" t="str">
        <f>IF(X189&lt;&gt;"",VLOOKUP(C189,'General price list'!C191:AN1164,MATCH("HM",Tabulka1[[#Headers],[KOD]:[NEQ]],0),FALSE),"")</f>
        <v/>
      </c>
    </row>
    <row r="190" spans="1:27">
      <c r="A190">
        <f>COUNTIF($W$22:W190,1)</f>
        <v>0</v>
      </c>
      <c r="B190">
        <v>190</v>
      </c>
      <c r="C190" s="340" t="str">
        <f>Tabulka1[[#This Row],[KOD]]</f>
        <v>R7508SIG</v>
      </c>
      <c r="W190" s="804" t="str">
        <f t="shared" si="7"/>
        <v/>
      </c>
      <c r="X190" t="str">
        <f t="shared" si="8"/>
        <v/>
      </c>
      <c r="Y190" s="341">
        <f>IF('General price list'!$AB192="",0,'General price list'!$AB192)</f>
        <v>0</v>
      </c>
      <c r="Z190" s="365" t="str">
        <f>IFERROR(X190*VLOOKUP(C190,'General price list'!C:I,7,FALSE),"")</f>
        <v/>
      </c>
      <c r="AA190" s="805" t="str">
        <f>IF(X190&lt;&gt;"",VLOOKUP(C190,'General price list'!C192:AN1165,MATCH("HM",Tabulka1[[#Headers],[KOD]:[NEQ]],0),FALSE),"")</f>
        <v/>
      </c>
    </row>
    <row r="191" spans="1:27">
      <c r="A191">
        <f>COUNTIF($W$22:W191,1)</f>
        <v>0</v>
      </c>
      <c r="B191">
        <v>191</v>
      </c>
      <c r="C191" s="340">
        <f>Tabulka1[[#This Row],[KOD]]</f>
        <v>0</v>
      </c>
      <c r="W191" s="804" t="str">
        <f t="shared" si="7"/>
        <v/>
      </c>
      <c r="X191" t="str">
        <f t="shared" si="8"/>
        <v/>
      </c>
      <c r="Y191" s="341">
        <f>IF('General price list'!$AB193="",0,'General price list'!$AB193)</f>
        <v>0</v>
      </c>
      <c r="Z191" s="365" t="str">
        <f>IFERROR(X191*VLOOKUP(C191,'General price list'!C:I,7,FALSE),"")</f>
        <v/>
      </c>
      <c r="AA191" s="805" t="str">
        <f>IF(X191&lt;&gt;"",VLOOKUP(C191,'General price list'!C193:AN1166,MATCH("HM",Tabulka1[[#Headers],[KOD]:[NEQ]],0),FALSE),"")</f>
        <v/>
      </c>
    </row>
    <row r="192" spans="1:27">
      <c r="A192">
        <f>COUNTIF($W$22:W192,1)</f>
        <v>0</v>
      </c>
      <c r="B192">
        <v>192</v>
      </c>
      <c r="C192" s="340" t="str">
        <f>Tabulka1[[#This Row],[KOD]]</f>
        <v>R7538S</v>
      </c>
      <c r="W192" s="804" t="str">
        <f t="shared" si="7"/>
        <v/>
      </c>
      <c r="X192" t="str">
        <f t="shared" si="8"/>
        <v/>
      </c>
      <c r="Y192" s="341">
        <f>IF('General price list'!$AB194="",0,'General price list'!$AB194)</f>
        <v>0</v>
      </c>
      <c r="Z192" s="365" t="str">
        <f>IFERROR(X192*VLOOKUP(C192,'General price list'!C:I,7,FALSE),"")</f>
        <v/>
      </c>
      <c r="AA192" s="805" t="str">
        <f>IF(X192&lt;&gt;"",VLOOKUP(C192,'General price list'!C194:AN1167,MATCH("HM",Tabulka1[[#Headers],[KOD]:[NEQ]],0),FALSE),"")</f>
        <v/>
      </c>
    </row>
    <row r="193" spans="1:27">
      <c r="A193">
        <f>COUNTIF($W$22:W193,1)</f>
        <v>0</v>
      </c>
      <c r="B193">
        <v>193</v>
      </c>
      <c r="C193" s="340" t="str">
        <f>Tabulka1[[#This Row],[KOD]]</f>
        <v>R7538I</v>
      </c>
      <c r="W193" s="804" t="str">
        <f t="shared" si="7"/>
        <v/>
      </c>
      <c r="X193" t="str">
        <f t="shared" si="8"/>
        <v/>
      </c>
      <c r="Y193" s="341">
        <f>IF('General price list'!$AB195="",0,'General price list'!$AB195)</f>
        <v>0</v>
      </c>
      <c r="Z193" s="365" t="str">
        <f>IFERROR(X193*VLOOKUP(C193,'General price list'!C:I,7,FALSE),"")</f>
        <v/>
      </c>
      <c r="AA193" s="805" t="str">
        <f>IF(X193&lt;&gt;"",VLOOKUP(C193,'General price list'!C195:AN1168,MATCH("HM",Tabulka1[[#Headers],[KOD]:[NEQ]],0),FALSE),"")</f>
        <v/>
      </c>
    </row>
    <row r="194" spans="1:27">
      <c r="A194">
        <f>COUNTIF($W$22:W194,1)</f>
        <v>0</v>
      </c>
      <c r="B194">
        <v>194</v>
      </c>
      <c r="C194" s="340">
        <f>Tabulka1[[#This Row],[KOD]]</f>
        <v>0</v>
      </c>
      <c r="W194" s="804" t="str">
        <f t="shared" si="7"/>
        <v/>
      </c>
      <c r="X194" t="str">
        <f t="shared" si="8"/>
        <v/>
      </c>
      <c r="Y194" s="341">
        <f>IF('General price list'!$AB196="",0,'General price list'!$AB196)</f>
        <v>0</v>
      </c>
      <c r="Z194" s="365" t="str">
        <f>IFERROR(X194*VLOOKUP(C194,'General price list'!C:I,7,FALSE),"")</f>
        <v/>
      </c>
      <c r="AA194" s="805" t="str">
        <f>IF(X194&lt;&gt;"",VLOOKUP(C194,'General price list'!C196:AN1169,MATCH("HM",Tabulka1[[#Headers],[KOD]:[NEQ]],0),FALSE),"")</f>
        <v/>
      </c>
    </row>
    <row r="195" spans="1:27">
      <c r="A195">
        <f>COUNTIF($W$22:W195,1)</f>
        <v>0</v>
      </c>
      <c r="B195">
        <v>195</v>
      </c>
      <c r="C195" s="340" t="str">
        <f>Tabulka1[[#This Row],[KOD]]</f>
        <v>GAT300</v>
      </c>
      <c r="W195" s="804" t="str">
        <f t="shared" si="7"/>
        <v/>
      </c>
      <c r="X195" t="str">
        <f t="shared" si="8"/>
        <v/>
      </c>
      <c r="Y195" s="341">
        <f>IF('General price list'!$AB197="",0,'General price list'!$AB197)</f>
        <v>0</v>
      </c>
      <c r="Z195" s="365" t="str">
        <f>IFERROR(X195*VLOOKUP(C195,'General price list'!C:I,7,FALSE),"")</f>
        <v/>
      </c>
      <c r="AA195" s="805" t="str">
        <f>IF(X195&lt;&gt;"",VLOOKUP(C195,'General price list'!C197:AN1170,MATCH("HM",Tabulka1[[#Headers],[KOD]:[NEQ]],0),FALSE),"")</f>
        <v/>
      </c>
    </row>
    <row r="196" spans="1:27">
      <c r="A196">
        <f>COUNTIF($W$22:W196,1)</f>
        <v>0</v>
      </c>
      <c r="B196">
        <v>196</v>
      </c>
      <c r="C196" s="340" t="str">
        <f>Tabulka1[[#This Row],[KOD]]</f>
        <v>R100M</v>
      </c>
      <c r="W196" s="804" t="str">
        <f t="shared" si="7"/>
        <v/>
      </c>
      <c r="X196" t="str">
        <f t="shared" si="8"/>
        <v/>
      </c>
      <c r="Y196" s="341">
        <f>IF('General price list'!$AB198="",0,'General price list'!$AB198)</f>
        <v>0</v>
      </c>
      <c r="Z196" s="365" t="str">
        <f>IFERROR(X196*VLOOKUP(C196,'General price list'!C:I,7,FALSE),"")</f>
        <v/>
      </c>
      <c r="AA196" s="805" t="str">
        <f>IF(X196&lt;&gt;"",VLOOKUP(C196,'General price list'!C198:AN1171,MATCH("HM",Tabulka1[[#Headers],[KOD]:[NEQ]],0),FALSE),"")</f>
        <v/>
      </c>
    </row>
    <row r="197" spans="1:27">
      <c r="A197">
        <f>COUNTIF($W$22:W197,1)</f>
        <v>0</v>
      </c>
      <c r="B197">
        <v>197</v>
      </c>
      <c r="C197" s="340">
        <f>Tabulka1[[#This Row],[KOD]]</f>
        <v>0</v>
      </c>
      <c r="W197" s="804" t="str">
        <f t="shared" si="7"/>
        <v/>
      </c>
      <c r="X197" t="str">
        <f t="shared" si="8"/>
        <v/>
      </c>
      <c r="Y197" s="341">
        <f>IF('General price list'!$AB199="",0,'General price list'!$AB199)</f>
        <v>0</v>
      </c>
      <c r="Z197" s="365" t="str">
        <f>IFERROR(X197*VLOOKUP(C197,'General price list'!C:I,7,FALSE),"")</f>
        <v/>
      </c>
      <c r="AA197" s="805" t="str">
        <f>IF(X197&lt;&gt;"",VLOOKUP(C197,'General price list'!C199:AN1172,MATCH("HM",Tabulka1[[#Headers],[KOD]:[NEQ]],0),FALSE),"")</f>
        <v/>
      </c>
    </row>
    <row r="198" spans="1:27">
      <c r="A198">
        <f>COUNTIF($W$22:W198,1)</f>
        <v>0</v>
      </c>
      <c r="B198">
        <v>198</v>
      </c>
      <c r="C198" s="340" t="str">
        <f>Tabulka1[[#This Row],[KOD]]</f>
        <v>SS14D</v>
      </c>
      <c r="W198" s="804" t="str">
        <f t="shared" si="7"/>
        <v/>
      </c>
      <c r="X198" t="str">
        <f t="shared" si="8"/>
        <v/>
      </c>
      <c r="Y198" s="341">
        <f>IF('General price list'!$AB200="",0,'General price list'!$AB200)</f>
        <v>0</v>
      </c>
      <c r="Z198" s="365" t="str">
        <f>IFERROR(X198*VLOOKUP(C198,'General price list'!C:I,7,FALSE),"")</f>
        <v/>
      </c>
      <c r="AA198" s="805" t="str">
        <f>IF(X198&lt;&gt;"",VLOOKUP(C198,'General price list'!C200:AN1173,MATCH("HM",Tabulka1[[#Headers],[KOD]:[NEQ]],0),FALSE),"")</f>
        <v/>
      </c>
    </row>
    <row r="199" spans="1:27">
      <c r="A199">
        <f>COUNTIF($W$22:W199,1)</f>
        <v>0</v>
      </c>
      <c r="B199">
        <v>199</v>
      </c>
      <c r="C199" s="340" t="str">
        <f>Tabulka1[[#This Row],[KOD]]</f>
        <v>SS20D</v>
      </c>
      <c r="W199" s="804" t="str">
        <f t="shared" si="7"/>
        <v/>
      </c>
      <c r="X199" t="str">
        <f t="shared" si="8"/>
        <v/>
      </c>
      <c r="Y199" s="341">
        <f>IF('General price list'!$AB201="",0,'General price list'!$AB201)</f>
        <v>0</v>
      </c>
      <c r="Z199" s="365" t="str">
        <f>IFERROR(X199*VLOOKUP(C199,'General price list'!C:I,7,FALSE),"")</f>
        <v/>
      </c>
      <c r="AA199" s="805" t="str">
        <f>IF(X199&lt;&gt;"",VLOOKUP(C199,'General price list'!C201:AN1174,MATCH("HM",Tabulka1[[#Headers],[KOD]:[NEQ]],0),FALSE),"")</f>
        <v/>
      </c>
    </row>
    <row r="200" spans="1:27">
      <c r="A200">
        <f>COUNTIF($W$22:W200,1)</f>
        <v>0</v>
      </c>
      <c r="B200">
        <v>200</v>
      </c>
      <c r="C200" s="340" t="str">
        <f>Tabulka1[[#This Row],[KOD]]</f>
        <v>SS20SIG14</v>
      </c>
      <c r="W200" s="804" t="str">
        <f t="shared" si="7"/>
        <v/>
      </c>
      <c r="X200" t="str">
        <f t="shared" si="8"/>
        <v/>
      </c>
      <c r="Y200" s="341">
        <f>IF('General price list'!$AB202="",0,'General price list'!$AB202)</f>
        <v>0</v>
      </c>
      <c r="Z200" s="365" t="str">
        <f>IFERROR(X200*VLOOKUP(C200,'General price list'!C:I,7,FALSE),"")</f>
        <v/>
      </c>
      <c r="AA200" s="805" t="str">
        <f>IF(X200&lt;&gt;"",VLOOKUP(C200,'General price list'!C202:AN1175,MATCH("HM",Tabulka1[[#Headers],[KOD]:[NEQ]],0),FALSE),"")</f>
        <v/>
      </c>
    </row>
    <row r="201" spans="1:27">
      <c r="A201">
        <f>COUNTIF($W$22:W201,1)</f>
        <v>0</v>
      </c>
      <c r="B201">
        <v>201</v>
      </c>
      <c r="C201" s="340" t="str">
        <f>Tabulka1[[#This Row],[KOD]]</f>
        <v>SS25SC</v>
      </c>
      <c r="W201" s="804" t="str">
        <f t="shared" si="7"/>
        <v/>
      </c>
      <c r="X201" t="str">
        <f t="shared" si="8"/>
        <v/>
      </c>
      <c r="Y201" s="341">
        <f>IF('General price list'!$AB203="",0,'General price list'!$AB203)</f>
        <v>0</v>
      </c>
      <c r="Z201" s="365" t="str">
        <f>IFERROR(X201*VLOOKUP(C201,'General price list'!C:I,7,FALSE),"")</f>
        <v/>
      </c>
      <c r="AA201" s="805" t="str">
        <f>IF(X201&lt;&gt;"",VLOOKUP(C201,'General price list'!C203:AN1176,MATCH("HM",Tabulka1[[#Headers],[KOD]:[NEQ]],0),FALSE),"")</f>
        <v/>
      </c>
    </row>
    <row r="202" spans="1:27">
      <c r="A202">
        <f>COUNTIF($W$22:W202,1)</f>
        <v>0</v>
      </c>
      <c r="B202">
        <v>202</v>
      </c>
      <c r="C202" s="340" t="str">
        <f>Tabulka1[[#This Row],[KOD]]</f>
        <v>SS25SIG14</v>
      </c>
      <c r="W202" s="804" t="str">
        <f t="shared" si="7"/>
        <v/>
      </c>
      <c r="X202" t="str">
        <f t="shared" si="8"/>
        <v/>
      </c>
      <c r="Y202" s="341">
        <f>IF('General price list'!$AB204="",0,'General price list'!$AB204)</f>
        <v>0</v>
      </c>
      <c r="Z202" s="365" t="str">
        <f>IFERROR(X202*VLOOKUP(C202,'General price list'!C:I,7,FALSE),"")</f>
        <v/>
      </c>
      <c r="AA202" s="805" t="str">
        <f>IF(X202&lt;&gt;"",VLOOKUP(C202,'General price list'!C204:AN1177,MATCH("HM",Tabulka1[[#Headers],[KOD]:[NEQ]],0),FALSE),"")</f>
        <v/>
      </c>
    </row>
    <row r="203" spans="1:27">
      <c r="A203">
        <f>COUNTIF($W$22:W203,1)</f>
        <v>0</v>
      </c>
      <c r="B203">
        <v>203</v>
      </c>
      <c r="C203" s="340" t="str">
        <f>Tabulka1[[#This Row],[KOD]]</f>
        <v>SS25DU14</v>
      </c>
      <c r="W203" s="804" t="str">
        <f t="shared" si="7"/>
        <v/>
      </c>
      <c r="X203" t="str">
        <f t="shared" si="8"/>
        <v/>
      </c>
      <c r="Y203" s="341">
        <f>IF('General price list'!$AB205="",0,'General price list'!$AB205)</f>
        <v>0</v>
      </c>
      <c r="Z203" s="365" t="str">
        <f>IFERROR(X203*VLOOKUP(C203,'General price list'!C:I,7,FALSE),"")</f>
        <v/>
      </c>
      <c r="AA203" s="805" t="str">
        <f>IF(X203&lt;&gt;"",VLOOKUP(C203,'General price list'!C205:AN1178,MATCH("HM",Tabulka1[[#Headers],[KOD]:[NEQ]],0),FALSE),"")</f>
        <v/>
      </c>
    </row>
    <row r="204" spans="1:27">
      <c r="A204">
        <f>COUNTIF($W$22:W204,1)</f>
        <v>0</v>
      </c>
      <c r="B204">
        <v>204</v>
      </c>
      <c r="C204" s="340" t="str">
        <f>Tabulka1[[#This Row],[KOD]]</f>
        <v>SS30A14</v>
      </c>
      <c r="W204" s="804" t="str">
        <f t="shared" si="7"/>
        <v/>
      </c>
      <c r="X204" t="str">
        <f t="shared" si="8"/>
        <v/>
      </c>
      <c r="Y204" s="341">
        <f>IF('General price list'!$AB206="",0,'General price list'!$AB206)</f>
        <v>0</v>
      </c>
      <c r="Z204" s="365" t="str">
        <f>IFERROR(X204*VLOOKUP(C204,'General price list'!C:I,7,FALSE),"")</f>
        <v/>
      </c>
      <c r="AA204" s="805" t="str">
        <f>IF(X204&lt;&gt;"",VLOOKUP(C204,'General price list'!C206:AN1179,MATCH("HM",Tabulka1[[#Headers],[KOD]:[NEQ]],0),FALSE),"")</f>
        <v/>
      </c>
    </row>
    <row r="205" spans="1:27">
      <c r="A205">
        <f>COUNTIF($W$22:W205,1)</f>
        <v>0</v>
      </c>
      <c r="B205">
        <v>205</v>
      </c>
      <c r="C205" s="340" t="str">
        <f>Tabulka1[[#This Row],[KOD]]</f>
        <v>SS30SIGF2</v>
      </c>
      <c r="W205" s="804" t="str">
        <f t="shared" si="7"/>
        <v/>
      </c>
      <c r="X205" t="str">
        <f t="shared" si="8"/>
        <v/>
      </c>
      <c r="Y205" s="341">
        <f>IF('General price list'!$AB207="",0,'General price list'!$AB207)</f>
        <v>0</v>
      </c>
      <c r="Z205" s="365" t="str">
        <f>IFERROR(X205*VLOOKUP(C205,'General price list'!C:I,7,FALSE),"")</f>
        <v/>
      </c>
      <c r="AA205" s="805" t="str">
        <f>IF(X205&lt;&gt;"",VLOOKUP(C205,'General price list'!C207:AN1180,MATCH("HM",Tabulka1[[#Headers],[KOD]:[NEQ]],0),FALSE),"")</f>
        <v/>
      </c>
    </row>
    <row r="206" spans="1:27">
      <c r="A206">
        <f>COUNTIF($W$22:W206,1)</f>
        <v>0</v>
      </c>
      <c r="B206">
        <v>206</v>
      </c>
      <c r="C206" s="340">
        <f>Tabulka1[[#This Row],[KOD]]</f>
        <v>0</v>
      </c>
      <c r="W206" s="804" t="str">
        <f t="shared" si="7"/>
        <v/>
      </c>
      <c r="X206" t="str">
        <f t="shared" si="8"/>
        <v/>
      </c>
      <c r="Y206" s="341">
        <f>IF('General price list'!$AB208="",0,'General price list'!$AB208)</f>
        <v>0</v>
      </c>
      <c r="Z206" s="365" t="str">
        <f>IFERROR(X206*VLOOKUP(C206,'General price list'!C:I,7,FALSE),"")</f>
        <v/>
      </c>
      <c r="AA206" s="805" t="str">
        <f>IF(X206&lt;&gt;"",VLOOKUP(C206,'General price list'!C208:AN1181,MATCH("HM",Tabulka1[[#Headers],[KOD]:[NEQ]],0),FALSE),"")</f>
        <v/>
      </c>
    </row>
    <row r="207" spans="1:27">
      <c r="A207">
        <f>COUNTIF($W$22:W207,1)</f>
        <v>0</v>
      </c>
      <c r="B207">
        <v>207</v>
      </c>
      <c r="C207" s="340" t="str">
        <f>Tabulka1[[#This Row],[KOD]]</f>
        <v>SS30D</v>
      </c>
      <c r="W207" s="804" t="str">
        <f t="shared" si="7"/>
        <v/>
      </c>
      <c r="X207" t="str">
        <f t="shared" si="8"/>
        <v/>
      </c>
      <c r="Y207" s="341">
        <f>IF('General price list'!$AB209="",0,'General price list'!$AB209)</f>
        <v>0</v>
      </c>
      <c r="Z207" s="365" t="str">
        <f>IFERROR(X207*VLOOKUP(C207,'General price list'!C:I,7,FALSE),"")</f>
        <v/>
      </c>
      <c r="AA207" s="805" t="str">
        <f>IF(X207&lt;&gt;"",VLOOKUP(C207,'General price list'!C209:AN1182,MATCH("HM",Tabulka1[[#Headers],[KOD]:[NEQ]],0),FALSE),"")</f>
        <v/>
      </c>
    </row>
    <row r="208" spans="1:27">
      <c r="A208">
        <f>COUNTIF($W$22:W208,1)</f>
        <v>0</v>
      </c>
      <c r="B208">
        <v>208</v>
      </c>
      <c r="C208" s="340" t="str">
        <f>Tabulka1[[#This Row],[KOD]]</f>
        <v>SS30A</v>
      </c>
      <c r="W208" s="804" t="str">
        <f t="shared" si="7"/>
        <v/>
      </c>
      <c r="X208" t="str">
        <f t="shared" si="8"/>
        <v/>
      </c>
      <c r="Y208" s="341">
        <f>IF('General price list'!$AB210="",0,'General price list'!$AB210)</f>
        <v>0</v>
      </c>
      <c r="Z208" s="365" t="str">
        <f>IFERROR(X208*VLOOKUP(C208,'General price list'!C:I,7,FALSE),"")</f>
        <v/>
      </c>
      <c r="AA208" s="805" t="str">
        <f>IF(X208&lt;&gt;"",VLOOKUP(C208,'General price list'!C210:AN1183,MATCH("HM",Tabulka1[[#Headers],[KOD]:[NEQ]],0),FALSE),"")</f>
        <v/>
      </c>
    </row>
    <row r="209" spans="1:27">
      <c r="A209">
        <f>COUNTIF($W$22:W209,1)</f>
        <v>0</v>
      </c>
      <c r="B209">
        <v>209</v>
      </c>
      <c r="C209" s="340" t="str">
        <f>Tabulka1[[#This Row],[KOD]]</f>
        <v>SS37K</v>
      </c>
      <c r="W209" s="804" t="str">
        <f t="shared" si="7"/>
        <v/>
      </c>
      <c r="X209" t="str">
        <f t="shared" si="8"/>
        <v/>
      </c>
      <c r="Y209" s="341">
        <f>IF('General price list'!$AB211="",0,'General price list'!$AB211)</f>
        <v>0</v>
      </c>
      <c r="Z209" s="365" t="str">
        <f>IFERROR(X209*VLOOKUP(C209,'General price list'!C:I,7,FALSE),"")</f>
        <v/>
      </c>
      <c r="AA209" s="805" t="str">
        <f>IF(X209&lt;&gt;"",VLOOKUP(C209,'General price list'!C211:AN1184,MATCH("HM",Tabulka1[[#Headers],[KOD]:[NEQ]],0),FALSE),"")</f>
        <v/>
      </c>
    </row>
    <row r="210" spans="1:27">
      <c r="A210">
        <f>COUNTIF($W$22:W210,1)</f>
        <v>0</v>
      </c>
      <c r="B210">
        <v>210</v>
      </c>
      <c r="C210" s="340" t="str">
        <f>Tabulka1[[#This Row],[KOD]]</f>
        <v>SS50K</v>
      </c>
      <c r="W210" s="804" t="str">
        <f t="shared" si="7"/>
        <v/>
      </c>
      <c r="X210" t="str">
        <f t="shared" si="8"/>
        <v/>
      </c>
      <c r="Y210" s="341">
        <f>IF('General price list'!$AB212="",0,'General price list'!$AB212)</f>
        <v>0</v>
      </c>
      <c r="Z210" s="365" t="str">
        <f>IFERROR(X210*VLOOKUP(C210,'General price list'!C:I,7,FALSE),"")</f>
        <v/>
      </c>
      <c r="AA210" s="805" t="str">
        <f>IF(X210&lt;&gt;"",VLOOKUP(C210,'General price list'!C212:AN1185,MATCH("HM",Tabulka1[[#Headers],[KOD]:[NEQ]],0),FALSE),"")</f>
        <v/>
      </c>
    </row>
    <row r="211" spans="1:27">
      <c r="A211">
        <f>COUNTIF($W$22:W211,1)</f>
        <v>0</v>
      </c>
      <c r="B211">
        <v>211</v>
      </c>
      <c r="C211" s="340">
        <f>Tabulka1[[#This Row],[KOD]]</f>
        <v>0</v>
      </c>
      <c r="W211" s="804" t="str">
        <f t="shared" si="7"/>
        <v/>
      </c>
      <c r="X211" t="str">
        <f t="shared" si="8"/>
        <v/>
      </c>
      <c r="Y211" s="341">
        <f>IF('General price list'!$AB213="",0,'General price list'!$AB213)</f>
        <v>0</v>
      </c>
      <c r="Z211" s="365" t="str">
        <f>IFERROR(X211*VLOOKUP(C211,'General price list'!C:I,7,FALSE),"")</f>
        <v/>
      </c>
      <c r="AA211" s="805" t="str">
        <f>IF(X211&lt;&gt;"",VLOOKUP(C211,'General price list'!C213:AN1186,MATCH("HM",Tabulka1[[#Headers],[KOD]:[NEQ]],0),FALSE),"")</f>
        <v/>
      </c>
    </row>
    <row r="212" spans="1:27">
      <c r="A212">
        <f>COUNTIF($W$22:W212,1)</f>
        <v>0</v>
      </c>
      <c r="B212">
        <v>212</v>
      </c>
      <c r="C212" s="340" t="str">
        <f>Tabulka1[[#This Row],[KOD]]</f>
        <v>SS50NO14</v>
      </c>
      <c r="W212" s="804" t="str">
        <f t="shared" si="7"/>
        <v/>
      </c>
      <c r="X212" t="str">
        <f t="shared" si="8"/>
        <v/>
      </c>
      <c r="Y212" s="341">
        <f>IF('General price list'!$AB214="",0,'General price list'!$AB214)</f>
        <v>0</v>
      </c>
      <c r="Z212" s="365" t="str">
        <f>IFERROR(X212*VLOOKUP(C212,'General price list'!C:I,7,FALSE),"")</f>
        <v/>
      </c>
      <c r="AA212" s="805" t="str">
        <f>IF(X212&lt;&gt;"",VLOOKUP(C212,'General price list'!C214:AN1187,MATCH("HM",Tabulka1[[#Headers],[KOD]:[NEQ]],0),FALSE),"")</f>
        <v/>
      </c>
    </row>
    <row r="213" spans="1:27">
      <c r="A213">
        <f>COUNTIF($W$22:W213,1)</f>
        <v>0</v>
      </c>
      <c r="B213">
        <v>213</v>
      </c>
      <c r="C213" s="340" t="str">
        <f>Tabulka1[[#This Row],[KOD]]</f>
        <v>SS50DU14</v>
      </c>
      <c r="W213" s="804" t="str">
        <f t="shared" si="7"/>
        <v/>
      </c>
      <c r="X213" t="str">
        <f t="shared" si="8"/>
        <v/>
      </c>
      <c r="Y213" s="341">
        <f>IF('General price list'!$AB215="",0,'General price list'!$AB215)</f>
        <v>0</v>
      </c>
      <c r="Z213" s="365" t="str">
        <f>IFERROR(X213*VLOOKUP(C213,'General price list'!C:I,7,FALSE),"")</f>
        <v/>
      </c>
      <c r="AA213" s="805" t="str">
        <f>IF(X213&lt;&gt;"",VLOOKUP(C213,'General price list'!C215:AN1188,MATCH("HM",Tabulka1[[#Headers],[KOD]:[NEQ]],0),FALSE),"")</f>
        <v/>
      </c>
    </row>
    <row r="214" spans="1:27">
      <c r="A214">
        <f>COUNTIF($W$22:W214,1)</f>
        <v>0</v>
      </c>
      <c r="B214">
        <v>214</v>
      </c>
      <c r="C214" s="340">
        <f>Tabulka1[[#This Row],[KOD]]</f>
        <v>0</v>
      </c>
      <c r="W214" s="804" t="str">
        <f t="shared" si="7"/>
        <v/>
      </c>
      <c r="X214" t="str">
        <f t="shared" si="8"/>
        <v/>
      </c>
      <c r="Y214" s="341">
        <f>IF('General price list'!$AB216="",0,'General price list'!$AB216)</f>
        <v>0</v>
      </c>
      <c r="Z214" s="365" t="str">
        <f>IFERROR(X214*VLOOKUP(C214,'General price list'!C:I,7,FALSE),"")</f>
        <v/>
      </c>
      <c r="AA214" s="805" t="str">
        <f>IF(X214&lt;&gt;"",VLOOKUP(C214,'General price list'!C216:AN1189,MATCH("HM",Tabulka1[[#Headers],[KOD]:[NEQ]],0),FALSE),"")</f>
        <v/>
      </c>
    </row>
    <row r="215" spans="1:27">
      <c r="A215">
        <f>COUNTIF($W$22:W215,1)</f>
        <v>0</v>
      </c>
      <c r="B215">
        <v>215</v>
      </c>
      <c r="C215" s="340" t="str">
        <f>Tabulka1[[#This Row],[KOD]]</f>
        <v>C320D</v>
      </c>
      <c r="W215" s="804" t="str">
        <f t="shared" si="7"/>
        <v/>
      </c>
      <c r="X215" t="str">
        <f t="shared" si="8"/>
        <v/>
      </c>
      <c r="Y215" s="341">
        <f>IF('General price list'!$AB217="",0,'General price list'!$AB217)</f>
        <v>0</v>
      </c>
      <c r="Z215" s="365" t="str">
        <f>IFERROR(X215*VLOOKUP(C215,'General price list'!C:I,7,FALSE),"")</f>
        <v/>
      </c>
      <c r="AA215" s="805" t="str">
        <f>IF(X215&lt;&gt;"",VLOOKUP(C215,'General price list'!C217:AN1190,MATCH("HM",Tabulka1[[#Headers],[KOD]:[NEQ]],0),FALSE),"")</f>
        <v/>
      </c>
    </row>
    <row r="216" spans="1:27">
      <c r="A216">
        <f>COUNTIF($W$22:W216,1)</f>
        <v>0</v>
      </c>
      <c r="B216">
        <v>216</v>
      </c>
      <c r="C216" s="340" t="str">
        <f>Tabulka1[[#This Row],[KOD]]</f>
        <v>C320B</v>
      </c>
      <c r="W216" s="804" t="str">
        <f t="shared" si="7"/>
        <v/>
      </c>
      <c r="X216" t="str">
        <f t="shared" si="8"/>
        <v/>
      </c>
      <c r="Y216" s="341">
        <f>IF('General price list'!$AB218="",0,'General price list'!$AB218)</f>
        <v>0</v>
      </c>
      <c r="Z216" s="365" t="str">
        <f>IFERROR(X216*VLOOKUP(C216,'General price list'!C:I,7,FALSE),"")</f>
        <v/>
      </c>
      <c r="AA216" s="805" t="str">
        <f>IF(X216&lt;&gt;"",VLOOKUP(C216,'General price list'!C218:AN1191,MATCH("HM",Tabulka1[[#Headers],[KOD]:[NEQ]],0),FALSE),"")</f>
        <v/>
      </c>
    </row>
    <row r="217" spans="1:27">
      <c r="A217">
        <f>COUNTIF($W$22:W217,1)</f>
        <v>0</v>
      </c>
      <c r="B217">
        <v>217</v>
      </c>
      <c r="C217" s="340" t="str">
        <f>Tabulka1[[#This Row],[KOD]]</f>
        <v>C320X14</v>
      </c>
      <c r="W217" s="804" t="str">
        <f t="shared" ref="W217:W280" si="9">IF(Y217+1=1,"",1)</f>
        <v/>
      </c>
      <c r="X217" t="str">
        <f t="shared" ref="X217:X280" si="10">IF(OR(A217&lt;$E$20,A217&gt;$E$21),"",IF(Y217=0,"",Y217))</f>
        <v/>
      </c>
      <c r="Y217" s="341">
        <f>IF('General price list'!$AB219="",0,'General price list'!$AB219)</f>
        <v>0</v>
      </c>
      <c r="Z217" s="365" t="str">
        <f>IFERROR(X217*VLOOKUP(C217,'General price list'!C:I,7,FALSE),"")</f>
        <v/>
      </c>
      <c r="AA217" s="805" t="str">
        <f>IF(X217&lt;&gt;"",VLOOKUP(C217,'General price list'!C219:AN1192,MATCH("HM",Tabulka1[[#Headers],[KOD]:[NEQ]],0),FALSE),"")</f>
        <v/>
      </c>
    </row>
    <row r="218" spans="1:27">
      <c r="A218">
        <f>COUNTIF($W$22:W218,1)</f>
        <v>0</v>
      </c>
      <c r="B218">
        <v>218</v>
      </c>
      <c r="C218" s="340">
        <f>Tabulka1[[#This Row],[KOD]]</f>
        <v>0</v>
      </c>
      <c r="W218" s="804" t="str">
        <f t="shared" si="9"/>
        <v/>
      </c>
      <c r="X218" t="str">
        <f t="shared" si="10"/>
        <v/>
      </c>
      <c r="Y218" s="341">
        <f>IF('General price list'!$AB220="",0,'General price list'!$AB220)</f>
        <v>0</v>
      </c>
      <c r="Z218" s="365" t="str">
        <f>IFERROR(X218*VLOOKUP(C218,'General price list'!C:I,7,FALSE),"")</f>
        <v/>
      </c>
      <c r="AA218" s="805" t="str">
        <f>IF(X218&lt;&gt;"",VLOOKUP(C218,'General price list'!C220:AN1193,MATCH("HM",Tabulka1[[#Headers],[KOD]:[NEQ]],0),FALSE),"")</f>
        <v/>
      </c>
    </row>
    <row r="219" spans="1:27">
      <c r="A219">
        <f>COUNTIF($W$22:W219,1)</f>
        <v>0</v>
      </c>
      <c r="B219">
        <v>219</v>
      </c>
      <c r="C219" s="340" t="str">
        <f>Tabulka1[[#This Row],[KOD]]</f>
        <v>C330D</v>
      </c>
      <c r="W219" s="804" t="str">
        <f t="shared" si="9"/>
        <v/>
      </c>
      <c r="X219" t="str">
        <f t="shared" si="10"/>
        <v/>
      </c>
      <c r="Y219" s="341">
        <f>IF('General price list'!$AB221="",0,'General price list'!$AB221)</f>
        <v>0</v>
      </c>
      <c r="Z219" s="365" t="str">
        <f>IFERROR(X219*VLOOKUP(C219,'General price list'!C:I,7,FALSE),"")</f>
        <v/>
      </c>
      <c r="AA219" s="805" t="str">
        <f>IF(X219&lt;&gt;"",VLOOKUP(C219,'General price list'!C221:AN1194,MATCH("HM",Tabulka1[[#Headers],[KOD]:[NEQ]],0),FALSE),"")</f>
        <v/>
      </c>
    </row>
    <row r="220" spans="1:27">
      <c r="A220">
        <f>COUNTIF($W$22:W220,1)</f>
        <v>0</v>
      </c>
      <c r="B220">
        <v>220</v>
      </c>
      <c r="C220" s="340" t="str">
        <f>Tabulka1[[#This Row],[KOD]]</f>
        <v>C330B</v>
      </c>
      <c r="W220" s="804" t="str">
        <f t="shared" si="9"/>
        <v/>
      </c>
      <c r="X220" t="str">
        <f t="shared" si="10"/>
        <v/>
      </c>
      <c r="Y220" s="341">
        <f>IF('General price list'!$AB222="",0,'General price list'!$AB222)</f>
        <v>0</v>
      </c>
      <c r="Z220" s="365" t="str">
        <f>IFERROR(X220*VLOOKUP(C220,'General price list'!C:I,7,FALSE),"")</f>
        <v/>
      </c>
      <c r="AA220" s="805" t="str">
        <f>IF(X220&lt;&gt;"",VLOOKUP(C220,'General price list'!C222:AN1195,MATCH("HM",Tabulka1[[#Headers],[KOD]:[NEQ]],0),FALSE),"")</f>
        <v/>
      </c>
    </row>
    <row r="221" spans="1:27">
      <c r="A221">
        <f>COUNTIF($W$22:W221,1)</f>
        <v>0</v>
      </c>
      <c r="B221">
        <v>221</v>
      </c>
      <c r="C221" s="340">
        <f>Tabulka1[[#This Row],[KOD]]</f>
        <v>0</v>
      </c>
      <c r="W221" s="804" t="str">
        <f t="shared" si="9"/>
        <v/>
      </c>
      <c r="X221" t="str">
        <f t="shared" si="10"/>
        <v/>
      </c>
      <c r="Y221" s="341">
        <f>IF('General price list'!$AB223="",0,'General price list'!$AB223)</f>
        <v>0</v>
      </c>
      <c r="Z221" s="365" t="str">
        <f>IFERROR(X221*VLOOKUP(C221,'General price list'!C:I,7,FALSE),"")</f>
        <v/>
      </c>
      <c r="AA221" s="805" t="str">
        <f>IF(X221&lt;&gt;"",VLOOKUP(C221,'General price list'!C223:AN1196,MATCH("HM",Tabulka1[[#Headers],[KOD]:[NEQ]],0),FALSE),"")</f>
        <v/>
      </c>
    </row>
    <row r="222" spans="1:27">
      <c r="A222">
        <f>COUNTIF($W$22:W222,1)</f>
        <v>0</v>
      </c>
      <c r="B222">
        <v>222</v>
      </c>
      <c r="C222" s="340" t="str">
        <f>Tabulka1[[#This Row],[KOD]]</f>
        <v>CS2BB</v>
      </c>
      <c r="W222" s="804" t="str">
        <f t="shared" si="9"/>
        <v/>
      </c>
      <c r="X222" t="str">
        <f t="shared" si="10"/>
        <v/>
      </c>
      <c r="Y222" s="341">
        <f>IF('General price list'!$AB224="",0,'General price list'!$AB224)</f>
        <v>0</v>
      </c>
      <c r="Z222" s="365" t="str">
        <f>IFERROR(X222*VLOOKUP(C222,'General price list'!C:I,7,FALSE),"")</f>
        <v/>
      </c>
      <c r="AA222" s="805" t="str">
        <f>IF(X222&lt;&gt;"",VLOOKUP(C222,'General price list'!C224:AN1197,MATCH("HM",Tabulka1[[#Headers],[KOD]:[NEQ]],0),FALSE),"")</f>
        <v/>
      </c>
    </row>
    <row r="223" spans="1:27">
      <c r="A223">
        <f>COUNTIF($W$22:W223,1)</f>
        <v>0</v>
      </c>
      <c r="B223">
        <v>223</v>
      </c>
      <c r="C223" s="340">
        <f>Tabulka1[[#This Row],[KOD]]</f>
        <v>0</v>
      </c>
      <c r="W223" s="804" t="str">
        <f t="shared" si="9"/>
        <v/>
      </c>
      <c r="X223" t="str">
        <f t="shared" si="10"/>
        <v/>
      </c>
      <c r="Y223" s="341">
        <f>IF('General price list'!$AB225="",0,'General price list'!$AB225)</f>
        <v>0</v>
      </c>
      <c r="Z223" s="365" t="str">
        <f>IFERROR(X223*VLOOKUP(C223,'General price list'!C:I,7,FALSE),"")</f>
        <v/>
      </c>
      <c r="AA223" s="805" t="str">
        <f>IF(X223&lt;&gt;"",VLOOKUP(C223,'General price list'!C225:AN1198,MATCH("HM",Tabulka1[[#Headers],[KOD]:[NEQ]],0),FALSE),"")</f>
        <v/>
      </c>
    </row>
    <row r="224" spans="1:27">
      <c r="A224">
        <f>COUNTIF($W$22:W224,1)</f>
        <v>0</v>
      </c>
      <c r="B224">
        <v>224</v>
      </c>
      <c r="C224" s="340" t="str">
        <f>Tabulka1[[#This Row],[KOD]]</f>
        <v>K0203BP</v>
      </c>
      <c r="W224" s="804" t="str">
        <f t="shared" si="9"/>
        <v/>
      </c>
      <c r="X224" t="str">
        <f t="shared" si="10"/>
        <v/>
      </c>
      <c r="Y224" s="341">
        <f>IF('General price list'!$AB226="",0,'General price list'!$AB226)</f>
        <v>0</v>
      </c>
      <c r="Z224" s="365" t="str">
        <f>IFERROR(X224*VLOOKUP(C224,'General price list'!C:I,7,FALSE),"")</f>
        <v/>
      </c>
      <c r="AA224" s="805" t="str">
        <f>IF(X224&lt;&gt;"",VLOOKUP(C224,'General price list'!C226:AN1199,MATCH("HM",Tabulka1[[#Headers],[KOD]:[NEQ]],0),FALSE),"")</f>
        <v/>
      </c>
    </row>
    <row r="225" spans="1:27">
      <c r="A225">
        <f>COUNTIF($W$22:W225,1)</f>
        <v>0</v>
      </c>
      <c r="B225">
        <v>225</v>
      </c>
      <c r="C225" s="340" t="str">
        <f>Tabulka1[[#This Row],[KOD]]</f>
        <v>P05DSP1</v>
      </c>
      <c r="W225" s="804" t="str">
        <f t="shared" si="9"/>
        <v/>
      </c>
      <c r="X225" t="str">
        <f t="shared" si="10"/>
        <v/>
      </c>
      <c r="Y225" s="341">
        <f>IF('General price list'!$AB227="",0,'General price list'!$AB227)</f>
        <v>0</v>
      </c>
      <c r="Z225" s="365" t="str">
        <f>IFERROR(X225*VLOOKUP(C225,'General price list'!C:I,7,FALSE),"")</f>
        <v/>
      </c>
      <c r="AA225" s="805" t="str">
        <f>IF(X225&lt;&gt;"",VLOOKUP(C225,'General price list'!C227:AN1200,MATCH("HM",Tabulka1[[#Headers],[KOD]:[NEQ]],0),FALSE),"")</f>
        <v/>
      </c>
    </row>
    <row r="226" spans="1:27">
      <c r="A226">
        <f>COUNTIF($W$22:W226,1)</f>
        <v>0</v>
      </c>
      <c r="B226">
        <v>226</v>
      </c>
      <c r="C226" s="340" t="str">
        <f>Tabulka1[[#This Row],[KOD]]</f>
        <v>P10D20SP1</v>
      </c>
      <c r="W226" s="804" t="str">
        <f t="shared" si="9"/>
        <v/>
      </c>
      <c r="X226" t="str">
        <f t="shared" si="10"/>
        <v/>
      </c>
      <c r="Y226" s="341">
        <f>IF('General price list'!$AB228="",0,'General price list'!$AB228)</f>
        <v>0</v>
      </c>
      <c r="Z226" s="365" t="str">
        <f>IFERROR(X226*VLOOKUP(C226,'General price list'!C:I,7,FALSE),"")</f>
        <v/>
      </c>
      <c r="AA226" s="805" t="str">
        <f>IF(X226&lt;&gt;"",VLOOKUP(C226,'General price list'!C228:AN1201,MATCH("HM",Tabulka1[[#Headers],[KOD]:[NEQ]],0),FALSE),"")</f>
        <v/>
      </c>
    </row>
    <row r="227" spans="1:27">
      <c r="A227">
        <f>COUNTIF($W$22:W227,1)</f>
        <v>0</v>
      </c>
      <c r="B227">
        <v>227</v>
      </c>
      <c r="C227" s="340">
        <f>Tabulka1[[#This Row],[KOD]]</f>
        <v>0</v>
      </c>
      <c r="W227" s="804" t="str">
        <f t="shared" si="9"/>
        <v/>
      </c>
      <c r="X227" t="str">
        <f t="shared" si="10"/>
        <v/>
      </c>
      <c r="Y227" s="341">
        <f>IF('General price list'!$AB229="",0,'General price list'!$AB229)</f>
        <v>0</v>
      </c>
      <c r="Z227" s="365" t="str">
        <f>IFERROR(X227*VLOOKUP(C227,'General price list'!C:I,7,FALSE),"")</f>
        <v/>
      </c>
      <c r="AA227" s="805" t="str">
        <f>IF(X227&lt;&gt;"",VLOOKUP(C227,'General price list'!C229:AN1202,MATCH("HM",Tabulka1[[#Headers],[KOD]:[NEQ]],0),FALSE),"")</f>
        <v/>
      </c>
    </row>
    <row r="228" spans="1:27">
      <c r="A228">
        <f>COUNTIF($W$22:W228,1)</f>
        <v>0</v>
      </c>
      <c r="B228">
        <v>228</v>
      </c>
      <c r="C228" s="340" t="str">
        <f>Tabulka1[[#This Row],[KOD]]</f>
        <v>P1D</v>
      </c>
      <c r="W228" s="804" t="str">
        <f t="shared" si="9"/>
        <v/>
      </c>
      <c r="X228" t="str">
        <f t="shared" si="10"/>
        <v/>
      </c>
      <c r="Y228" s="341">
        <f>IF('General price list'!$AB230="",0,'General price list'!$AB230)</f>
        <v>0</v>
      </c>
      <c r="Z228" s="365" t="str">
        <f>IFERROR(X228*VLOOKUP(C228,'General price list'!C:I,7,FALSE),"")</f>
        <v/>
      </c>
      <c r="AA228" s="805" t="str">
        <f>IF(X228&lt;&gt;"",VLOOKUP(C228,'General price list'!C230:AN1203,MATCH("HM",Tabulka1[[#Headers],[KOD]:[NEQ]],0),FALSE),"")</f>
        <v/>
      </c>
    </row>
    <row r="229" spans="1:27">
      <c r="A229">
        <f>COUNTIF($W$22:W229,1)</f>
        <v>0</v>
      </c>
      <c r="B229">
        <v>229</v>
      </c>
      <c r="C229" s="340" t="str">
        <f>Tabulka1[[#This Row],[KOD]]</f>
        <v>P2D</v>
      </c>
      <c r="W229" s="804" t="str">
        <f t="shared" si="9"/>
        <v/>
      </c>
      <c r="X229" t="str">
        <f t="shared" si="10"/>
        <v/>
      </c>
      <c r="Y229" s="341">
        <f>IF('General price list'!$AB231="",0,'General price list'!$AB231)</f>
        <v>0</v>
      </c>
      <c r="Z229" s="365" t="str">
        <f>IFERROR(X229*VLOOKUP(C229,'General price list'!C:I,7,FALSE),"")</f>
        <v/>
      </c>
      <c r="AA229" s="805" t="str">
        <f>IF(X229&lt;&gt;"",VLOOKUP(C229,'General price list'!C231:AN1204,MATCH("HM",Tabulka1[[#Headers],[KOD]:[NEQ]],0),FALSE),"")</f>
        <v/>
      </c>
    </row>
    <row r="230" spans="1:27">
      <c r="A230">
        <f>COUNTIF($W$22:W230,1)</f>
        <v>0</v>
      </c>
      <c r="B230">
        <v>230</v>
      </c>
      <c r="C230" s="340" t="str">
        <f>Tabulka1[[#This Row],[KOD]]</f>
        <v>K0203K</v>
      </c>
      <c r="W230" s="804" t="str">
        <f t="shared" si="9"/>
        <v/>
      </c>
      <c r="X230" t="str">
        <f t="shared" si="10"/>
        <v/>
      </c>
      <c r="Y230" s="341">
        <f>IF('General price list'!$AB232="",0,'General price list'!$AB232)</f>
        <v>0</v>
      </c>
      <c r="Z230" s="365" t="str">
        <f>IFERROR(X230*VLOOKUP(C230,'General price list'!C:I,7,FALSE),"")</f>
        <v/>
      </c>
      <c r="AA230" s="805" t="str">
        <f>IF(X230&lt;&gt;"",VLOOKUP(C230,'General price list'!C232:AN1205,MATCH("HM",Tabulka1[[#Headers],[KOD]:[NEQ]],0),FALSE),"")</f>
        <v/>
      </c>
    </row>
    <row r="231" spans="1:27">
      <c r="A231">
        <f>COUNTIF($W$22:W231,1)</f>
        <v>0</v>
      </c>
      <c r="B231">
        <v>231</v>
      </c>
      <c r="C231" s="340" t="str">
        <f>Tabulka1[[#This Row],[KOD]]</f>
        <v>K0203KB</v>
      </c>
      <c r="W231" s="804" t="str">
        <f t="shared" si="9"/>
        <v/>
      </c>
      <c r="X231" t="str">
        <f t="shared" si="10"/>
        <v/>
      </c>
      <c r="Y231" s="341">
        <f>IF('General price list'!$AB233="",0,'General price list'!$AB233)</f>
        <v>0</v>
      </c>
      <c r="Z231" s="365" t="str">
        <f>IFERROR(X231*VLOOKUP(C231,'General price list'!C:I,7,FALSE),"")</f>
        <v/>
      </c>
      <c r="AA231" s="805" t="str">
        <f>IF(X231&lt;&gt;"",VLOOKUP(C231,'General price list'!C233:AN1206,MATCH("HM",Tabulka1[[#Headers],[KOD]:[NEQ]],0),FALSE),"")</f>
        <v/>
      </c>
    </row>
    <row r="232" spans="1:27">
      <c r="A232">
        <f>COUNTIF($W$22:W232,1)</f>
        <v>0</v>
      </c>
      <c r="B232">
        <v>232</v>
      </c>
      <c r="C232" s="340" t="str">
        <f>Tabulka1[[#This Row],[KOD]]</f>
        <v>P05D</v>
      </c>
      <c r="W232" s="804" t="str">
        <f t="shared" si="9"/>
        <v/>
      </c>
      <c r="X232" t="str">
        <f t="shared" si="10"/>
        <v/>
      </c>
      <c r="Y232" s="341">
        <f>IF('General price list'!$AB234="",0,'General price list'!$AB234)</f>
        <v>0</v>
      </c>
      <c r="Z232" s="365" t="str">
        <f>IFERROR(X232*VLOOKUP(C232,'General price list'!C:I,7,FALSE),"")</f>
        <v/>
      </c>
      <c r="AA232" s="805" t="str">
        <f>IF(X232&lt;&gt;"",VLOOKUP(C232,'General price list'!C234:AN1207,MATCH("HM",Tabulka1[[#Headers],[KOD]:[NEQ]],0),FALSE),"")</f>
        <v/>
      </c>
    </row>
    <row r="233" spans="1:27">
      <c r="A233">
        <f>COUNTIF($W$22:W233,1)</f>
        <v>0</v>
      </c>
      <c r="B233">
        <v>233</v>
      </c>
      <c r="C233" s="340" t="str">
        <f>Tabulka1[[#This Row],[KOD]]</f>
        <v>PSF2D</v>
      </c>
      <c r="W233" s="804" t="str">
        <f t="shared" si="9"/>
        <v/>
      </c>
      <c r="X233" t="str">
        <f t="shared" si="10"/>
        <v/>
      </c>
      <c r="Y233" s="341">
        <f>IF('General price list'!$AB235="",0,'General price list'!$AB235)</f>
        <v>0</v>
      </c>
      <c r="Z233" s="365" t="str">
        <f>IFERROR(X233*VLOOKUP(C233,'General price list'!C:I,7,FALSE),"")</f>
        <v/>
      </c>
      <c r="AA233" s="805" t="str">
        <f>IF(X233&lt;&gt;"",VLOOKUP(C233,'General price list'!C235:AN1208,MATCH("HM",Tabulka1[[#Headers],[KOD]:[NEQ]],0),FALSE),"")</f>
        <v/>
      </c>
    </row>
    <row r="234" spans="1:27">
      <c r="A234">
        <f>COUNTIF($W$22:W234,1)</f>
        <v>0</v>
      </c>
      <c r="B234">
        <v>234</v>
      </c>
      <c r="C234" s="340">
        <f>Tabulka1[[#This Row],[KOD]]</f>
        <v>0</v>
      </c>
      <c r="W234" s="804" t="str">
        <f t="shared" si="9"/>
        <v/>
      </c>
      <c r="X234" t="str">
        <f t="shared" si="10"/>
        <v/>
      </c>
      <c r="Y234" s="341">
        <f>IF('General price list'!$AB236="",0,'General price list'!$AB236)</f>
        <v>0</v>
      </c>
      <c r="Z234" s="365" t="str">
        <f>IFERROR(X234*VLOOKUP(C234,'General price list'!C:I,7,FALSE),"")</f>
        <v/>
      </c>
      <c r="AA234" s="805" t="str">
        <f>IF(X234&lt;&gt;"",VLOOKUP(C234,'General price list'!C236:AN1209,MATCH("HM",Tabulka1[[#Headers],[KOD]:[NEQ]],0),FALSE),"")</f>
        <v/>
      </c>
    </row>
    <row r="235" spans="1:27">
      <c r="A235">
        <f>COUNTIF($W$22:W235,1)</f>
        <v>0</v>
      </c>
      <c r="B235">
        <v>235</v>
      </c>
      <c r="C235" s="340" t="str">
        <f>Tabulka1[[#This Row],[KOD]]</f>
        <v>PBDF2</v>
      </c>
      <c r="W235" s="804" t="str">
        <f t="shared" si="9"/>
        <v/>
      </c>
      <c r="X235" t="str">
        <f t="shared" si="10"/>
        <v/>
      </c>
      <c r="Y235" s="341">
        <f>IF('General price list'!$AB237="",0,'General price list'!$AB237)</f>
        <v>0</v>
      </c>
      <c r="Z235" s="365" t="str">
        <f>IFERROR(X235*VLOOKUP(C235,'General price list'!C:I,7,FALSE),"")</f>
        <v/>
      </c>
      <c r="AA235" s="805" t="str">
        <f>IF(X235&lt;&gt;"",VLOOKUP(C235,'General price list'!C237:AN1210,MATCH("HM",Tabulka1[[#Headers],[KOD]:[NEQ]],0),FALSE),"")</f>
        <v/>
      </c>
    </row>
    <row r="236" spans="1:27">
      <c r="A236">
        <f>COUNTIF($W$22:W236,1)</f>
        <v>0</v>
      </c>
      <c r="B236">
        <v>236</v>
      </c>
      <c r="C236" s="340" t="str">
        <f>Tabulka1[[#This Row],[KOD]]</f>
        <v>PBF2D</v>
      </c>
      <c r="W236" s="804" t="str">
        <f t="shared" si="9"/>
        <v/>
      </c>
      <c r="X236" t="str">
        <f t="shared" si="10"/>
        <v/>
      </c>
      <c r="Y236" s="341">
        <f>IF('General price list'!$AB238="",0,'General price list'!$AB238)</f>
        <v>0</v>
      </c>
      <c r="Z236" s="365" t="str">
        <f>IFERROR(X236*VLOOKUP(C236,'General price list'!C:I,7,FALSE),"")</f>
        <v/>
      </c>
      <c r="AA236" s="805" t="str">
        <f>IF(X236&lt;&gt;"",VLOOKUP(C236,'General price list'!C238:AN1211,MATCH("HM",Tabulka1[[#Headers],[KOD]:[NEQ]],0),FALSE),"")</f>
        <v/>
      </c>
    </row>
    <row r="237" spans="1:27">
      <c r="A237">
        <f>COUNTIF($W$22:W237,1)</f>
        <v>0</v>
      </c>
      <c r="B237">
        <v>237</v>
      </c>
      <c r="C237" s="340" t="str">
        <f>Tabulka1[[#This Row],[KOD]]</f>
        <v>PB120D</v>
      </c>
      <c r="W237" s="804" t="str">
        <f t="shared" si="9"/>
        <v/>
      </c>
      <c r="X237" t="str">
        <f t="shared" si="10"/>
        <v/>
      </c>
      <c r="Y237" s="341">
        <f>IF('General price list'!$AB239="",0,'General price list'!$AB239)</f>
        <v>0</v>
      </c>
      <c r="Z237" s="365" t="str">
        <f>IFERROR(X237*VLOOKUP(C237,'General price list'!C:I,7,FALSE),"")</f>
        <v/>
      </c>
      <c r="AA237" s="805" t="str">
        <f>IF(X237&lt;&gt;"",VLOOKUP(C237,'General price list'!C239:AN1212,MATCH("HM",Tabulka1[[#Headers],[KOD]:[NEQ]],0),FALSE),"")</f>
        <v/>
      </c>
    </row>
    <row r="238" spans="1:27">
      <c r="A238">
        <f>COUNTIF($W$22:W238,1)</f>
        <v>0</v>
      </c>
      <c r="B238">
        <v>238</v>
      </c>
      <c r="C238" s="340">
        <f>Tabulka1[[#This Row],[KOD]]</f>
        <v>0</v>
      </c>
      <c r="W238" s="804" t="str">
        <f t="shared" si="9"/>
        <v/>
      </c>
      <c r="X238" t="str">
        <f t="shared" si="10"/>
        <v/>
      </c>
      <c r="Y238" s="341">
        <f>IF('General price list'!$AB240="",0,'General price list'!$AB240)</f>
        <v>0</v>
      </c>
      <c r="Z238" s="365" t="str">
        <f>IFERROR(X238*VLOOKUP(C238,'General price list'!C:I,7,FALSE),"")</f>
        <v/>
      </c>
      <c r="AA238" s="805" t="str">
        <f>IF(X238&lt;&gt;"",VLOOKUP(C238,'General price list'!C240:AN1213,MATCH("HM",Tabulka1[[#Headers],[KOD]:[NEQ]],0),FALSE),"")</f>
        <v/>
      </c>
    </row>
    <row r="239" spans="1:27">
      <c r="A239">
        <f>COUNTIF($W$22:W239,1)</f>
        <v>0</v>
      </c>
      <c r="B239">
        <v>239</v>
      </c>
      <c r="C239" s="340" t="str">
        <f>Tabulka1[[#This Row],[KOD]]</f>
        <v>P6A14F3</v>
      </c>
      <c r="W239" s="804" t="str">
        <f t="shared" si="9"/>
        <v/>
      </c>
      <c r="X239" t="str">
        <f t="shared" si="10"/>
        <v/>
      </c>
      <c r="Y239" s="341">
        <f>IF('General price list'!$AB241="",0,'General price list'!$AB241)</f>
        <v>0</v>
      </c>
      <c r="Z239" s="365" t="str">
        <f>IFERROR(X239*VLOOKUP(C239,'General price list'!C:I,7,FALSE),"")</f>
        <v/>
      </c>
      <c r="AA239" s="805" t="str">
        <f>IF(X239&lt;&gt;"",VLOOKUP(C239,'General price list'!C241:AN1214,MATCH("HM",Tabulka1[[#Headers],[KOD]:[NEQ]],0),FALSE),"")</f>
        <v/>
      </c>
    </row>
    <row r="240" spans="1:27">
      <c r="A240">
        <f>COUNTIF($W$22:W240,1)</f>
        <v>0</v>
      </c>
      <c r="B240">
        <v>240</v>
      </c>
      <c r="C240" s="340" t="str">
        <f>Tabulka1[[#This Row],[KOD]]</f>
        <v>P7A14</v>
      </c>
      <c r="W240" s="804" t="str">
        <f t="shared" si="9"/>
        <v/>
      </c>
      <c r="X240" t="str">
        <f t="shared" si="10"/>
        <v/>
      </c>
      <c r="Y240" s="341">
        <f>IF('General price list'!$AB242="",0,'General price list'!$AB242)</f>
        <v>0</v>
      </c>
      <c r="Z240" s="365" t="str">
        <f>IFERROR(X240*VLOOKUP(C240,'General price list'!C:I,7,FALSE),"")</f>
        <v/>
      </c>
      <c r="AA240" s="805" t="str">
        <f>IF(X240&lt;&gt;"",VLOOKUP(C240,'General price list'!C242:AN1215,MATCH("HM",Tabulka1[[#Headers],[KOD]:[NEQ]],0),FALSE),"")</f>
        <v/>
      </c>
    </row>
    <row r="241" spans="1:27">
      <c r="A241">
        <f>COUNTIF($W$22:W241,1)</f>
        <v>0</v>
      </c>
      <c r="B241">
        <v>241</v>
      </c>
      <c r="C241" s="340" t="str">
        <f>Tabulka1[[#This Row],[KOD]]</f>
        <v>P4B</v>
      </c>
      <c r="W241" s="804" t="str">
        <f t="shared" si="9"/>
        <v/>
      </c>
      <c r="X241" t="str">
        <f t="shared" si="10"/>
        <v/>
      </c>
      <c r="Y241" s="341">
        <f>IF('General price list'!$AB243="",0,'General price list'!$AB243)</f>
        <v>0</v>
      </c>
      <c r="Z241" s="365" t="str">
        <f>IFERROR(X241*VLOOKUP(C241,'General price list'!C:I,7,FALSE),"")</f>
        <v/>
      </c>
      <c r="AA241" s="805" t="str">
        <f>IF(X241&lt;&gt;"",VLOOKUP(C241,'General price list'!C243:AN1216,MATCH("HM",Tabulka1[[#Headers],[KOD]:[NEQ]],0),FALSE),"")</f>
        <v/>
      </c>
    </row>
    <row r="242" spans="1:27">
      <c r="A242">
        <f>COUNTIF($W$22:W242,1)</f>
        <v>0</v>
      </c>
      <c r="B242">
        <v>242</v>
      </c>
      <c r="C242" s="340" t="str">
        <f>Tabulka1[[#This Row],[KOD]]</f>
        <v>P5DU13</v>
      </c>
      <c r="W242" s="804" t="str">
        <f t="shared" si="9"/>
        <v/>
      </c>
      <c r="X242" t="str">
        <f t="shared" si="10"/>
        <v/>
      </c>
      <c r="Y242" s="341">
        <f>IF('General price list'!$AB244="",0,'General price list'!$AB244)</f>
        <v>0</v>
      </c>
      <c r="Z242" s="365" t="str">
        <f>IFERROR(X242*VLOOKUP(C242,'General price list'!C:I,7,FALSE),"")</f>
        <v/>
      </c>
      <c r="AA242" s="805" t="str">
        <f>IF(X242&lt;&gt;"",VLOOKUP(C242,'General price list'!C244:AN1217,MATCH("HM",Tabulka1[[#Headers],[KOD]:[NEQ]],0),FALSE),"")</f>
        <v/>
      </c>
    </row>
    <row r="243" spans="1:27">
      <c r="A243">
        <f>COUNTIF($W$22:W243,1)</f>
        <v>0</v>
      </c>
      <c r="B243">
        <v>243</v>
      </c>
      <c r="C243" s="340" t="str">
        <f>Tabulka1[[#This Row],[KOD]]</f>
        <v>P5DU13(M)</v>
      </c>
      <c r="W243" s="804" t="str">
        <f t="shared" si="9"/>
        <v/>
      </c>
      <c r="X243" t="str">
        <f t="shared" si="10"/>
        <v/>
      </c>
      <c r="Y243" s="341">
        <f>IF('General price list'!$AB245="",0,'General price list'!$AB245)</f>
        <v>0</v>
      </c>
      <c r="Z243" s="365" t="str">
        <f>IFERROR(X243*VLOOKUP(C243,'General price list'!C:I,7,FALSE),"")</f>
        <v/>
      </c>
      <c r="AA243" s="805" t="str">
        <f>IF(X243&lt;&gt;"",VLOOKUP(C243,'General price list'!C245:AN1218,MATCH("HM",Tabulka1[[#Headers],[KOD]:[NEQ]],0),FALSE),"")</f>
        <v/>
      </c>
    </row>
    <row r="244" spans="1:27">
      <c r="A244">
        <f>COUNTIF($W$22:W244,1)</f>
        <v>0</v>
      </c>
      <c r="B244">
        <v>244</v>
      </c>
      <c r="C244" s="340" t="str">
        <f>Tabulka1[[#This Row],[KOD]]</f>
        <v>P5DU</v>
      </c>
      <c r="W244" s="804" t="str">
        <f t="shared" si="9"/>
        <v/>
      </c>
      <c r="X244" t="str">
        <f t="shared" si="10"/>
        <v/>
      </c>
      <c r="Y244" s="341">
        <f>IF('General price list'!$AB246="",0,'General price list'!$AB246)</f>
        <v>0</v>
      </c>
      <c r="Z244" s="365" t="str">
        <f>IFERROR(X244*VLOOKUP(C244,'General price list'!C:I,7,FALSE),"")</f>
        <v/>
      </c>
      <c r="AA244" s="805" t="str">
        <f>IF(X244&lt;&gt;"",VLOOKUP(C244,'General price list'!C246:AN1219,MATCH("HM",Tabulka1[[#Headers],[KOD]:[NEQ]],0),FALSE),"")</f>
        <v/>
      </c>
    </row>
    <row r="245" spans="1:27">
      <c r="A245">
        <f>COUNTIF($W$22:W245,1)</f>
        <v>0</v>
      </c>
      <c r="B245">
        <v>245</v>
      </c>
      <c r="C245" s="340" t="str">
        <f>Tabulka1[[#This Row],[KOD]]</f>
        <v>P5A13</v>
      </c>
      <c r="W245" s="804" t="str">
        <f t="shared" si="9"/>
        <v/>
      </c>
      <c r="X245" t="str">
        <f t="shared" si="10"/>
        <v/>
      </c>
      <c r="Y245" s="341">
        <f>IF('General price list'!$AB247="",0,'General price list'!$AB247)</f>
        <v>0</v>
      </c>
      <c r="Z245" s="365" t="str">
        <f>IFERROR(X245*VLOOKUP(C245,'General price list'!C:I,7,FALSE),"")</f>
        <v/>
      </c>
      <c r="AA245" s="805" t="str">
        <f>IF(X245&lt;&gt;"",VLOOKUP(C245,'General price list'!C247:AN1220,MATCH("HM",Tabulka1[[#Headers],[KOD]:[NEQ]],0),FALSE),"")</f>
        <v/>
      </c>
    </row>
    <row r="246" spans="1:27">
      <c r="A246">
        <f>COUNTIF($W$22:W246,1)</f>
        <v>0</v>
      </c>
      <c r="B246">
        <v>246</v>
      </c>
      <c r="C246" s="340" t="str">
        <f>Tabulka1[[#This Row],[KOD]]</f>
        <v>P5D13</v>
      </c>
      <c r="W246" s="804" t="str">
        <f t="shared" si="9"/>
        <v/>
      </c>
      <c r="X246" t="str">
        <f t="shared" si="10"/>
        <v/>
      </c>
      <c r="Y246" s="341">
        <f>IF('General price list'!$AB248="",0,'General price list'!$AB248)</f>
        <v>0</v>
      </c>
      <c r="Z246" s="365" t="str">
        <f>IFERROR(X246*VLOOKUP(C246,'General price list'!C:I,7,FALSE),"")</f>
        <v/>
      </c>
      <c r="AA246" s="805" t="str">
        <f>IF(X246&lt;&gt;"",VLOOKUP(C246,'General price list'!C248:AN1221,MATCH("HM",Tabulka1[[#Headers],[KOD]:[NEQ]],0),FALSE),"")</f>
        <v/>
      </c>
    </row>
    <row r="247" spans="1:27">
      <c r="A247">
        <f>COUNTIF($W$22:W247,1)</f>
        <v>0</v>
      </c>
      <c r="B247">
        <v>247</v>
      </c>
      <c r="C247" s="340" t="str">
        <f>Tabulka1[[#This Row],[KOD]]</f>
        <v>P5D13(W)</v>
      </c>
      <c r="W247" s="804" t="str">
        <f t="shared" si="9"/>
        <v/>
      </c>
      <c r="X247" t="str">
        <f t="shared" si="10"/>
        <v/>
      </c>
      <c r="Y247" s="341">
        <f>IF('General price list'!$AB249="",0,'General price list'!$AB249)</f>
        <v>0</v>
      </c>
      <c r="Z247" s="365" t="str">
        <f>IFERROR(X247*VLOOKUP(C247,'General price list'!C:I,7,FALSE),"")</f>
        <v/>
      </c>
      <c r="AA247" s="805" t="str">
        <f>IF(X247&lt;&gt;"",VLOOKUP(C247,'General price list'!C249:AN1222,MATCH("HM",Tabulka1[[#Headers],[KOD]:[NEQ]],0),FALSE),"")</f>
        <v/>
      </c>
    </row>
    <row r="248" spans="1:27">
      <c r="A248">
        <f>COUNTIF($W$22:W248,1)</f>
        <v>0</v>
      </c>
      <c r="B248">
        <v>248</v>
      </c>
      <c r="C248" s="340" t="str">
        <f>Tabulka1[[#This Row],[KOD]]</f>
        <v>P6A13(G)F3</v>
      </c>
      <c r="W248" s="804" t="str">
        <f t="shared" si="9"/>
        <v/>
      </c>
      <c r="X248" t="str">
        <f t="shared" si="10"/>
        <v/>
      </c>
      <c r="Y248" s="341">
        <f>IF('General price list'!$AB250="",0,'General price list'!$AB250)</f>
        <v>0</v>
      </c>
      <c r="Z248" s="365" t="str">
        <f>IFERROR(X248*VLOOKUP(C248,'General price list'!C:I,7,FALSE),"")</f>
        <v/>
      </c>
      <c r="AA248" s="805" t="str">
        <f>IF(X248&lt;&gt;"",VLOOKUP(C248,'General price list'!C250:AN1223,MATCH("HM",Tabulka1[[#Headers],[KOD]:[NEQ]],0),FALSE),"")</f>
        <v/>
      </c>
    </row>
    <row r="249" spans="1:27">
      <c r="A249">
        <f>COUNTIF($W$22:W249,1)</f>
        <v>0</v>
      </c>
      <c r="B249">
        <v>249</v>
      </c>
      <c r="C249" s="340" t="str">
        <f>Tabulka1[[#This Row],[KOD]]</f>
        <v>P6A13(R)F3</v>
      </c>
      <c r="W249" s="804" t="str">
        <f t="shared" si="9"/>
        <v/>
      </c>
      <c r="X249" t="str">
        <f t="shared" si="10"/>
        <v/>
      </c>
      <c r="Y249" s="341">
        <f>IF('General price list'!$AB251="",0,'General price list'!$AB251)</f>
        <v>0</v>
      </c>
      <c r="Z249" s="365" t="str">
        <f>IFERROR(X249*VLOOKUP(C249,'General price list'!C:I,7,FALSE),"")</f>
        <v/>
      </c>
      <c r="AA249" s="805" t="str">
        <f>IF(X249&lt;&gt;"",VLOOKUP(C249,'General price list'!C251:AN1224,MATCH("HM",Tabulka1[[#Headers],[KOD]:[NEQ]],0),FALSE),"")</f>
        <v/>
      </c>
    </row>
    <row r="250" spans="1:27">
      <c r="A250">
        <f>COUNTIF($W$22:W250,1)</f>
        <v>0</v>
      </c>
      <c r="B250">
        <v>250</v>
      </c>
      <c r="C250" s="340">
        <f>Tabulka1[[#This Row],[KOD]]</f>
        <v>0</v>
      </c>
      <c r="W250" s="804" t="str">
        <f t="shared" si="9"/>
        <v/>
      </c>
      <c r="X250" t="str">
        <f t="shared" si="10"/>
        <v/>
      </c>
      <c r="Y250" s="341">
        <f>IF('General price list'!$AB252="",0,'General price list'!$AB252)</f>
        <v>0</v>
      </c>
      <c r="Z250" s="365" t="str">
        <f>IFERROR(X250*VLOOKUP(C250,'General price list'!C:I,7,FALSE),"")</f>
        <v/>
      </c>
      <c r="AA250" s="805" t="str">
        <f>IF(X250&lt;&gt;"",VLOOKUP(C250,'General price list'!C252:AN1225,MATCH("HM",Tabulka1[[#Headers],[KOD]:[NEQ]],0),FALSE),"")</f>
        <v/>
      </c>
    </row>
    <row r="251" spans="1:27">
      <c r="A251">
        <f>COUNTIF($W$22:W251,1)</f>
        <v>0</v>
      </c>
      <c r="B251">
        <v>251</v>
      </c>
      <c r="C251" s="340" t="str">
        <f>Tabulka1[[#This Row],[KOD]]</f>
        <v>P066D20P1</v>
      </c>
      <c r="W251" s="804" t="str">
        <f t="shared" si="9"/>
        <v/>
      </c>
      <c r="X251" t="str">
        <f t="shared" si="10"/>
        <v/>
      </c>
      <c r="Y251" s="341">
        <f>IF('General price list'!$AB253="",0,'General price list'!$AB253)</f>
        <v>0</v>
      </c>
      <c r="Z251" s="365" t="str">
        <f>IFERROR(X251*VLOOKUP(C251,'General price list'!C:I,7,FALSE),"")</f>
        <v/>
      </c>
      <c r="AA251" s="805" t="str">
        <f>IF(X251&lt;&gt;"",VLOOKUP(C251,'General price list'!C253:AN1226,MATCH("HM",Tabulka1[[#Headers],[KOD]:[NEQ]],0),FALSE),"")</f>
        <v/>
      </c>
    </row>
    <row r="252" spans="1:27">
      <c r="A252">
        <f>COUNTIF($W$22:W252,1)</f>
        <v>0</v>
      </c>
      <c r="B252">
        <v>252</v>
      </c>
      <c r="C252" s="340" t="str">
        <f>Tabulka1[[#This Row],[KOD]]</f>
        <v>P5DU13(1)</v>
      </c>
      <c r="W252" s="804" t="str">
        <f t="shared" si="9"/>
        <v/>
      </c>
      <c r="X252" t="str">
        <f t="shared" si="10"/>
        <v/>
      </c>
      <c r="Y252" s="341">
        <f>IF('General price list'!$AB254="",0,'General price list'!$AB254)</f>
        <v>0</v>
      </c>
      <c r="Z252" s="365" t="str">
        <f>IFERROR(X252*VLOOKUP(C252,'General price list'!C:I,7,FALSE),"")</f>
        <v/>
      </c>
      <c r="AA252" s="805" t="str">
        <f>IF(X252&lt;&gt;"",VLOOKUP(C252,'General price list'!C254:AN1227,MATCH("HM",Tabulka1[[#Headers],[KOD]:[NEQ]],0),FALSE),"")</f>
        <v/>
      </c>
    </row>
    <row r="253" spans="1:27">
      <c r="A253">
        <f>COUNTIF($W$22:W253,1)</f>
        <v>0</v>
      </c>
      <c r="B253">
        <v>253</v>
      </c>
      <c r="C253" s="340" t="str">
        <f>Tabulka1[[#This Row],[KOD]]</f>
        <v>P2GP1</v>
      </c>
      <c r="W253" s="804" t="str">
        <f t="shared" si="9"/>
        <v/>
      </c>
      <c r="X253" t="str">
        <f t="shared" si="10"/>
        <v/>
      </c>
      <c r="Y253" s="341">
        <f>IF('General price list'!$AB255="",0,'General price list'!$AB255)</f>
        <v>0</v>
      </c>
      <c r="Z253" s="365" t="str">
        <f>IFERROR(X253*VLOOKUP(C253,'General price list'!C:I,7,FALSE),"")</f>
        <v/>
      </c>
      <c r="AA253" s="805" t="str">
        <f>IF(X253&lt;&gt;"",VLOOKUP(C253,'General price list'!C255:AN1228,MATCH("HM",Tabulka1[[#Headers],[KOD]:[NEQ]],0),FALSE),"")</f>
        <v/>
      </c>
    </row>
    <row r="254" spans="1:27">
      <c r="A254">
        <f>COUNTIF($W$22:W254,1)</f>
        <v>0</v>
      </c>
      <c r="B254">
        <v>254</v>
      </c>
      <c r="C254" s="340">
        <f>Tabulka1[[#This Row],[KOD]]</f>
        <v>0</v>
      </c>
      <c r="W254" s="804" t="str">
        <f t="shared" si="9"/>
        <v/>
      </c>
      <c r="X254" t="str">
        <f t="shared" si="10"/>
        <v/>
      </c>
      <c r="Y254" s="341">
        <f>IF('General price list'!$AB256="",0,'General price list'!$AB256)</f>
        <v>0</v>
      </c>
      <c r="Z254" s="365" t="str">
        <f>IFERROR(X254*VLOOKUP(C254,'General price list'!C:I,7,FALSE),"")</f>
        <v/>
      </c>
      <c r="AA254" s="805" t="str">
        <f>IF(X254&lt;&gt;"",VLOOKUP(C254,'General price list'!C256:AN1229,MATCH("HM",Tabulka1[[#Headers],[KOD]:[NEQ]],0),FALSE),"")</f>
        <v/>
      </c>
    </row>
    <row r="255" spans="1:27">
      <c r="A255">
        <f>COUNTIF($W$22:W255,1)</f>
        <v>0</v>
      </c>
      <c r="B255">
        <v>255</v>
      </c>
      <c r="C255" s="340" t="str">
        <f>Tabulka1[[#This Row],[KOD]]</f>
        <v>P6AE</v>
      </c>
      <c r="W255" s="804" t="str">
        <f t="shared" si="9"/>
        <v/>
      </c>
      <c r="X255" t="str">
        <f t="shared" si="10"/>
        <v/>
      </c>
      <c r="Y255" s="341">
        <f>IF('General price list'!$AB257="",0,'General price list'!$AB257)</f>
        <v>0</v>
      </c>
      <c r="Z255" s="365" t="str">
        <f>IFERROR(X255*VLOOKUP(C255,'General price list'!C:I,7,FALSE),"")</f>
        <v/>
      </c>
      <c r="AA255" s="805" t="str">
        <f>IF(X255&lt;&gt;"",VLOOKUP(C255,'General price list'!C257:AN1230,MATCH("HM",Tabulka1[[#Headers],[KOD]:[NEQ]],0),FALSE),"")</f>
        <v/>
      </c>
    </row>
    <row r="256" spans="1:27">
      <c r="A256">
        <f>COUNTIF($W$22:W256,1)</f>
        <v>0</v>
      </c>
      <c r="B256">
        <v>256</v>
      </c>
      <c r="C256" s="340" t="str">
        <f>Tabulka1[[#This Row],[KOD]]</f>
        <v>P30D</v>
      </c>
      <c r="W256" s="804" t="str">
        <f t="shared" si="9"/>
        <v/>
      </c>
      <c r="X256" t="str">
        <f t="shared" si="10"/>
        <v/>
      </c>
      <c r="Y256" s="341">
        <f>IF('General price list'!$AB258="",0,'General price list'!$AB258)</f>
        <v>0</v>
      </c>
      <c r="Z256" s="365" t="str">
        <f>IFERROR(X256*VLOOKUP(C256,'General price list'!C:I,7,FALSE),"")</f>
        <v/>
      </c>
      <c r="AA256" s="805" t="str">
        <f>IF(X256&lt;&gt;"",VLOOKUP(C256,'General price list'!C258:AN1231,MATCH("HM",Tabulka1[[#Headers],[KOD]:[NEQ]],0),FALSE),"")</f>
        <v/>
      </c>
    </row>
    <row r="257" spans="1:27">
      <c r="A257">
        <f>COUNTIF($W$22:W257,1)</f>
        <v>0</v>
      </c>
      <c r="B257">
        <v>257</v>
      </c>
      <c r="C257" s="340" t="str">
        <f>Tabulka1[[#This Row],[KOD]]</f>
        <v>P50D</v>
      </c>
      <c r="W257" s="804" t="str">
        <f t="shared" si="9"/>
        <v/>
      </c>
      <c r="X257" t="str">
        <f t="shared" si="10"/>
        <v/>
      </c>
      <c r="Y257" s="341">
        <f>IF('General price list'!$AB259="",0,'General price list'!$AB259)</f>
        <v>0</v>
      </c>
      <c r="Z257" s="365" t="str">
        <f>IFERROR(X257*VLOOKUP(C257,'General price list'!C:I,7,FALSE),"")</f>
        <v/>
      </c>
      <c r="AA257" s="805" t="str">
        <f>IF(X257&lt;&gt;"",VLOOKUP(C257,'General price list'!C259:AN1232,MATCH("HM",Tabulka1[[#Headers],[KOD]:[NEQ]],0),FALSE),"")</f>
        <v/>
      </c>
    </row>
    <row r="258" spans="1:27">
      <c r="A258">
        <f>COUNTIF($W$22:W258,1)</f>
        <v>0</v>
      </c>
      <c r="B258">
        <v>258</v>
      </c>
      <c r="C258" s="340" t="str">
        <f>Tabulka1[[#This Row],[KOD]]</f>
        <v>P170</v>
      </c>
      <c r="W258" s="804" t="str">
        <f t="shared" si="9"/>
        <v/>
      </c>
      <c r="X258" t="str">
        <f t="shared" si="10"/>
        <v/>
      </c>
      <c r="Y258" s="341">
        <f>IF('General price list'!$AB260="",0,'General price list'!$AB260)</f>
        <v>0</v>
      </c>
      <c r="Z258" s="365" t="str">
        <f>IFERROR(X258*VLOOKUP(C258,'General price list'!C:I,7,FALSE),"")</f>
        <v/>
      </c>
      <c r="AA258" s="805" t="str">
        <f>IF(X258&lt;&gt;"",VLOOKUP(C258,'General price list'!C260:AN1233,MATCH("HM",Tabulka1[[#Headers],[KOD]:[NEQ]],0),FALSE),"")</f>
        <v/>
      </c>
    </row>
    <row r="259" spans="1:27">
      <c r="A259">
        <f>COUNTIF($W$22:W259,1)</f>
        <v>0</v>
      </c>
      <c r="B259">
        <v>259</v>
      </c>
      <c r="C259" s="340">
        <f>Tabulka1[[#This Row],[KOD]]</f>
        <v>0</v>
      </c>
      <c r="W259" s="804" t="str">
        <f t="shared" si="9"/>
        <v/>
      </c>
      <c r="X259" t="str">
        <f t="shared" si="10"/>
        <v/>
      </c>
      <c r="Y259" s="341">
        <f>IF('General price list'!$AB261="",0,'General price list'!$AB261)</f>
        <v>0</v>
      </c>
      <c r="Z259" s="365" t="str">
        <f>IFERROR(X259*VLOOKUP(C259,'General price list'!C:I,7,FALSE),"")</f>
        <v/>
      </c>
      <c r="AA259" s="805" t="str">
        <f>IF(X259&lt;&gt;"",VLOOKUP(C259,'General price list'!C261:AN1234,MATCH("HM",Tabulka1[[#Headers],[KOD]:[NEQ]],0),FALSE),"")</f>
        <v/>
      </c>
    </row>
    <row r="260" spans="1:27">
      <c r="A260">
        <f>COUNTIF($W$22:W260,1)</f>
        <v>0</v>
      </c>
      <c r="B260">
        <v>260</v>
      </c>
      <c r="C260" s="340" t="str">
        <f>Tabulka1[[#This Row],[KOD]]</f>
        <v>EB15</v>
      </c>
      <c r="W260" s="804" t="str">
        <f t="shared" si="9"/>
        <v/>
      </c>
      <c r="X260" t="str">
        <f t="shared" si="10"/>
        <v/>
      </c>
      <c r="Y260" s="341">
        <f>IF('General price list'!$AB262="",0,'General price list'!$AB262)</f>
        <v>0</v>
      </c>
      <c r="Z260" s="365" t="str">
        <f>IFERROR(X260*VLOOKUP(C260,'General price list'!C:I,7,FALSE),"")</f>
        <v/>
      </c>
      <c r="AA260" s="805" t="str">
        <f>IF(X260&lt;&gt;"",VLOOKUP(C260,'General price list'!C262:AN1235,MATCH("HM",Tabulka1[[#Headers],[KOD]:[NEQ]],0),FALSE),"")</f>
        <v/>
      </c>
    </row>
    <row r="261" spans="1:27">
      <c r="A261">
        <f>COUNTIF($W$22:W261,1)</f>
        <v>0</v>
      </c>
      <c r="B261">
        <v>261</v>
      </c>
      <c r="C261" s="340" t="str">
        <f>Tabulka1[[#This Row],[KOD]]</f>
        <v>EB9</v>
      </c>
      <c r="W261" s="804" t="str">
        <f t="shared" si="9"/>
        <v/>
      </c>
      <c r="X261" t="str">
        <f t="shared" si="10"/>
        <v/>
      </c>
      <c r="Y261" s="341">
        <f>IF('General price list'!$AB263="",0,'General price list'!$AB263)</f>
        <v>0</v>
      </c>
      <c r="Z261" s="365" t="str">
        <f>IFERROR(X261*VLOOKUP(C261,'General price list'!C:I,7,FALSE),"")</f>
        <v/>
      </c>
      <c r="AA261" s="805" t="str">
        <f>IF(X261&lt;&gt;"",VLOOKUP(C261,'General price list'!C263:AN1236,MATCH("HM",Tabulka1[[#Headers],[KOD]:[NEQ]],0),FALSE),"")</f>
        <v/>
      </c>
    </row>
    <row r="262" spans="1:27">
      <c r="A262">
        <f>COUNTIF($W$22:W262,1)</f>
        <v>0</v>
      </c>
      <c r="B262">
        <v>262</v>
      </c>
      <c r="C262" s="340" t="str">
        <f>Tabulka1[[#This Row],[KOD]]</f>
        <v>K20K</v>
      </c>
      <c r="W262" s="804" t="str">
        <f t="shared" si="9"/>
        <v/>
      </c>
      <c r="X262" t="str">
        <f t="shared" si="10"/>
        <v/>
      </c>
      <c r="Y262" s="341">
        <f>IF('General price list'!$AB264="",0,'General price list'!$AB264)</f>
        <v>0</v>
      </c>
      <c r="Z262" s="365" t="str">
        <f>IFERROR(X262*VLOOKUP(C262,'General price list'!C:I,7,FALSE),"")</f>
        <v/>
      </c>
      <c r="AA262" s="805" t="str">
        <f>IF(X262&lt;&gt;"",VLOOKUP(C262,'General price list'!C264:AN1237,MATCH("HM",Tabulka1[[#Headers],[KOD]:[NEQ]],0),FALSE),"")</f>
        <v/>
      </c>
    </row>
    <row r="263" spans="1:27">
      <c r="A263">
        <f>COUNTIF($W$22:W263,1)</f>
        <v>0</v>
      </c>
      <c r="B263">
        <v>263</v>
      </c>
      <c r="C263" s="340" t="str">
        <f>Tabulka1[[#This Row],[KOD]]</f>
        <v>K60K</v>
      </c>
      <c r="W263" s="804" t="str">
        <f t="shared" si="9"/>
        <v/>
      </c>
      <c r="X263" t="str">
        <f t="shared" si="10"/>
        <v/>
      </c>
      <c r="Y263" s="341">
        <f>IF('General price list'!$AB265="",0,'General price list'!$AB265)</f>
        <v>0</v>
      </c>
      <c r="Z263" s="365" t="str">
        <f>IFERROR(X263*VLOOKUP(C263,'General price list'!C:I,7,FALSE),"")</f>
        <v/>
      </c>
      <c r="AA263" s="805" t="str">
        <f>IF(X263&lt;&gt;"",VLOOKUP(C263,'General price list'!C265:AN1238,MATCH("HM",Tabulka1[[#Headers],[KOD]:[NEQ]],0),FALSE),"")</f>
        <v/>
      </c>
    </row>
    <row r="264" spans="1:27">
      <c r="A264">
        <f>COUNTIF($W$22:W264,1)</f>
        <v>0</v>
      </c>
      <c r="B264">
        <v>264</v>
      </c>
      <c r="C264" s="340" t="str">
        <f>Tabulka1[[#This Row],[KOD]]</f>
        <v>K01M</v>
      </c>
      <c r="W264" s="804" t="str">
        <f t="shared" si="9"/>
        <v/>
      </c>
      <c r="X264" t="str">
        <f t="shared" si="10"/>
        <v/>
      </c>
      <c r="Y264" s="341">
        <f>IF('General price list'!$AB266="",0,'General price list'!$AB266)</f>
        <v>0</v>
      </c>
      <c r="Z264" s="365" t="str">
        <f>IFERROR(X264*VLOOKUP(C264,'General price list'!C:I,7,FALSE),"")</f>
        <v/>
      </c>
      <c r="AA264" s="805" t="str">
        <f>IF(X264&lt;&gt;"",VLOOKUP(C264,'General price list'!C266:AN1239,MATCH("HM",Tabulka1[[#Headers],[KOD]:[NEQ]],0),FALSE),"")</f>
        <v/>
      </c>
    </row>
    <row r="265" spans="1:27">
      <c r="A265">
        <f>COUNTIF($W$22:W265,1)</f>
        <v>0</v>
      </c>
      <c r="B265">
        <v>265</v>
      </c>
      <c r="C265" s="340" t="str">
        <f>Tabulka1[[#This Row],[KOD]]</f>
        <v>K100R</v>
      </c>
      <c r="W265" s="804" t="str">
        <f t="shared" si="9"/>
        <v/>
      </c>
      <c r="X265" t="str">
        <f t="shared" si="10"/>
        <v/>
      </c>
      <c r="Y265" s="341">
        <f>IF('General price list'!$AB267="",0,'General price list'!$AB267)</f>
        <v>0</v>
      </c>
      <c r="Z265" s="365" t="str">
        <f>IFERROR(X265*VLOOKUP(C265,'General price list'!C:I,7,FALSE),"")</f>
        <v/>
      </c>
      <c r="AA265" s="805" t="str">
        <f>IF(X265&lt;&gt;"",VLOOKUP(C265,'General price list'!C267:AN1240,MATCH("HM",Tabulka1[[#Headers],[KOD]:[NEQ]],0),FALSE),"")</f>
        <v/>
      </c>
    </row>
    <row r="266" spans="1:27">
      <c r="A266">
        <f>COUNTIF($W$22:W266,1)</f>
        <v>0</v>
      </c>
      <c r="B266">
        <v>266</v>
      </c>
      <c r="C266" s="340" t="str">
        <f>Tabulka1[[#This Row],[KOD]]</f>
        <v>K200R</v>
      </c>
      <c r="W266" s="804" t="str">
        <f t="shared" si="9"/>
        <v/>
      </c>
      <c r="X266" t="str">
        <f t="shared" si="10"/>
        <v/>
      </c>
      <c r="Y266" s="341">
        <f>IF('General price list'!$AB268="",0,'General price list'!$AB268)</f>
        <v>0</v>
      </c>
      <c r="Z266" s="365" t="str">
        <f>IFERROR(X266*VLOOKUP(C266,'General price list'!C:I,7,FALSE),"")</f>
        <v/>
      </c>
      <c r="AA266" s="805" t="str">
        <f>IF(X266&lt;&gt;"",VLOOKUP(C266,'General price list'!C268:AN1241,MATCH("HM",Tabulka1[[#Headers],[KOD]:[NEQ]],0),FALSE),"")</f>
        <v/>
      </c>
    </row>
    <row r="267" spans="1:27">
      <c r="A267">
        <f>COUNTIF($W$22:W267,1)</f>
        <v>0</v>
      </c>
      <c r="B267">
        <v>267</v>
      </c>
      <c r="C267" s="340" t="str">
        <f>Tabulka1[[#This Row],[KOD]]</f>
        <v>K500R</v>
      </c>
      <c r="W267" s="804" t="str">
        <f t="shared" si="9"/>
        <v/>
      </c>
      <c r="X267" t="str">
        <f t="shared" si="10"/>
        <v/>
      </c>
      <c r="Y267" s="341">
        <f>IF('General price list'!$AB269="",0,'General price list'!$AB269)</f>
        <v>0</v>
      </c>
      <c r="Z267" s="365" t="str">
        <f>IFERROR(X267*VLOOKUP(C267,'General price list'!C:I,7,FALSE),"")</f>
        <v/>
      </c>
      <c r="AA267" s="805" t="str">
        <f>IF(X267&lt;&gt;"",VLOOKUP(C267,'General price list'!C269:AN1242,MATCH("HM",Tabulka1[[#Headers],[KOD]:[NEQ]],0),FALSE),"")</f>
        <v/>
      </c>
    </row>
    <row r="268" spans="1:27">
      <c r="A268">
        <f>COUNTIF($W$22:W268,1)</f>
        <v>0</v>
      </c>
      <c r="B268">
        <v>268</v>
      </c>
      <c r="C268" s="340" t="str">
        <f>Tabulka1[[#This Row],[KOD]]</f>
        <v>K1000R</v>
      </c>
      <c r="W268" s="804" t="str">
        <f t="shared" si="9"/>
        <v/>
      </c>
      <c r="X268" t="str">
        <f t="shared" si="10"/>
        <v/>
      </c>
      <c r="Y268" s="341">
        <f>IF('General price list'!$AB270="",0,'General price list'!$AB270)</f>
        <v>0</v>
      </c>
      <c r="Z268" s="365" t="str">
        <f>IFERROR(X268*VLOOKUP(C268,'General price list'!C:I,7,FALSE),"")</f>
        <v/>
      </c>
      <c r="AA268" s="805" t="str">
        <f>IF(X268&lt;&gt;"",VLOOKUP(C268,'General price list'!C270:AN1243,MATCH("HM",Tabulka1[[#Headers],[KOD]:[NEQ]],0),FALSE),"")</f>
        <v/>
      </c>
    </row>
    <row r="269" spans="1:27">
      <c r="A269">
        <f>COUNTIF($W$22:W269,1)</f>
        <v>0</v>
      </c>
      <c r="B269">
        <v>269</v>
      </c>
      <c r="C269" s="340" t="str">
        <f>Tabulka1[[#This Row],[KOD]]</f>
        <v>K1969R</v>
      </c>
      <c r="W269" s="804" t="str">
        <f t="shared" si="9"/>
        <v/>
      </c>
      <c r="X269" t="str">
        <f t="shared" si="10"/>
        <v/>
      </c>
      <c r="Y269" s="341">
        <f>IF('General price list'!$AB271="",0,'General price list'!$AB271)</f>
        <v>0</v>
      </c>
      <c r="Z269" s="365" t="str">
        <f>IFERROR(X269*VLOOKUP(C269,'General price list'!C:I,7,FALSE),"")</f>
        <v/>
      </c>
      <c r="AA269" s="805" t="str">
        <f>IF(X269&lt;&gt;"",VLOOKUP(C269,'General price list'!C271:AN1244,MATCH("HM",Tabulka1[[#Headers],[KOD]:[NEQ]],0),FALSE),"")</f>
        <v/>
      </c>
    </row>
    <row r="270" spans="1:27">
      <c r="A270">
        <f>COUNTIF($W$22:W270,1)</f>
        <v>0</v>
      </c>
      <c r="B270">
        <v>270</v>
      </c>
      <c r="C270" s="340" t="str">
        <f>Tabulka1[[#This Row],[KOD]]</f>
        <v>K10M</v>
      </c>
      <c r="W270" s="804" t="str">
        <f t="shared" si="9"/>
        <v/>
      </c>
      <c r="X270" t="str">
        <f t="shared" si="10"/>
        <v/>
      </c>
      <c r="Y270" s="341">
        <f>IF('General price list'!$AB272="",0,'General price list'!$AB272)</f>
        <v>0</v>
      </c>
      <c r="Z270" s="365" t="str">
        <f>IFERROR(X270*VLOOKUP(C270,'General price list'!C:I,7,FALSE),"")</f>
        <v/>
      </c>
      <c r="AA270" s="805" t="str">
        <f>IF(X270&lt;&gt;"",VLOOKUP(C270,'General price list'!C272:AN1245,MATCH("HM",Tabulka1[[#Headers],[KOD]:[NEQ]],0),FALSE),"")</f>
        <v/>
      </c>
    </row>
    <row r="271" spans="1:27">
      <c r="A271">
        <f>COUNTIF($W$22:W271,1)</f>
        <v>0</v>
      </c>
      <c r="B271">
        <v>271</v>
      </c>
      <c r="C271" s="340" t="str">
        <f>Tabulka1[[#This Row],[KOD]]</f>
        <v>DBB1E</v>
      </c>
      <c r="W271" s="804" t="str">
        <f t="shared" si="9"/>
        <v/>
      </c>
      <c r="X271" t="str">
        <f t="shared" si="10"/>
        <v/>
      </c>
      <c r="Y271" s="341">
        <f>IF('General price list'!$AB273="",0,'General price list'!$AB273)</f>
        <v>0</v>
      </c>
      <c r="Z271" s="365" t="str">
        <f>IFERROR(X271*VLOOKUP(C271,'General price list'!C:I,7,FALSE),"")</f>
        <v/>
      </c>
      <c r="AA271" s="805" t="str">
        <f>IF(X271&lt;&gt;"",VLOOKUP(C271,'General price list'!C273:AN1246,MATCH("HM",Tabulka1[[#Headers],[KOD]:[NEQ]],0),FALSE),"")</f>
        <v/>
      </c>
    </row>
    <row r="272" spans="1:27">
      <c r="A272">
        <f>COUNTIF($W$22:W272,1)</f>
        <v>0</v>
      </c>
      <c r="B272">
        <v>272</v>
      </c>
      <c r="C272" s="340">
        <f>Tabulka1[[#This Row],[KOD]]</f>
        <v>0</v>
      </c>
      <c r="W272" s="804" t="str">
        <f t="shared" si="9"/>
        <v/>
      </c>
      <c r="X272" t="str">
        <f t="shared" si="10"/>
        <v/>
      </c>
      <c r="Y272" s="341">
        <f>IF('General price list'!$AB274="",0,'General price list'!$AB274)</f>
        <v>0</v>
      </c>
      <c r="Z272" s="365" t="str">
        <f>IFERROR(X272*VLOOKUP(C272,'General price list'!C:I,7,FALSE),"")</f>
        <v/>
      </c>
      <c r="AA272" s="805" t="str">
        <f>IF(X272&lt;&gt;"",VLOOKUP(C272,'General price list'!C274:AN1247,MATCH("HM",Tabulka1[[#Headers],[KOD]:[NEQ]],0),FALSE),"")</f>
        <v/>
      </c>
    </row>
    <row r="273" spans="1:27">
      <c r="A273">
        <f>COUNTIF($W$22:W273,1)</f>
        <v>0</v>
      </c>
      <c r="B273">
        <v>273</v>
      </c>
      <c r="C273" s="340" t="str">
        <f>Tabulka1[[#This Row],[KOD]]</f>
        <v>RS1</v>
      </c>
      <c r="W273" s="804" t="str">
        <f t="shared" si="9"/>
        <v/>
      </c>
      <c r="X273" t="str">
        <f t="shared" si="10"/>
        <v/>
      </c>
      <c r="Y273" s="341">
        <f>IF('General price list'!$AB275="",0,'General price list'!$AB275)</f>
        <v>0</v>
      </c>
      <c r="Z273" s="365" t="str">
        <f>IFERROR(X273*VLOOKUP(C273,'General price list'!C:I,7,FALSE),"")</f>
        <v/>
      </c>
      <c r="AA273" s="805" t="str">
        <f>IF(X273&lt;&gt;"",VLOOKUP(C273,'General price list'!C275:AN1248,MATCH("HM",Tabulka1[[#Headers],[KOD]:[NEQ]],0),FALSE),"")</f>
        <v/>
      </c>
    </row>
    <row r="274" spans="1:27">
      <c r="A274">
        <f>COUNTIF($W$22:W274,1)</f>
        <v>0</v>
      </c>
      <c r="B274">
        <v>274</v>
      </c>
      <c r="C274" s="340" t="str">
        <f>Tabulka1[[#This Row],[KOD]]</f>
        <v>RS6P</v>
      </c>
      <c r="W274" s="804" t="str">
        <f t="shared" si="9"/>
        <v/>
      </c>
      <c r="X274" t="str">
        <f t="shared" si="10"/>
        <v/>
      </c>
      <c r="Y274" s="341">
        <f>IF('General price list'!$AB276="",0,'General price list'!$AB276)</f>
        <v>0</v>
      </c>
      <c r="Z274" s="365" t="str">
        <f>IFERROR(X274*VLOOKUP(C274,'General price list'!C:I,7,FALSE),"")</f>
        <v/>
      </c>
      <c r="AA274" s="805" t="str">
        <f>IF(X274&lt;&gt;"",VLOOKUP(C274,'General price list'!C276:AN1249,MATCH("HM",Tabulka1[[#Headers],[KOD]:[NEQ]],0),FALSE),"")</f>
        <v/>
      </c>
    </row>
    <row r="275" spans="1:27">
      <c r="A275">
        <f>COUNTIF($W$22:W275,1)</f>
        <v>0</v>
      </c>
      <c r="B275">
        <v>275</v>
      </c>
      <c r="C275" s="340" t="str">
        <f>Tabulka1[[#This Row],[KOD]]</f>
        <v>RS6O</v>
      </c>
      <c r="W275" s="804" t="str">
        <f t="shared" si="9"/>
        <v/>
      </c>
      <c r="X275" t="str">
        <f t="shared" si="10"/>
        <v/>
      </c>
      <c r="Y275" s="341">
        <f>IF('General price list'!$AB277="",0,'General price list'!$AB277)</f>
        <v>0</v>
      </c>
      <c r="Z275" s="365" t="str">
        <f>IFERROR(X275*VLOOKUP(C275,'General price list'!C:I,7,FALSE),"")</f>
        <v/>
      </c>
      <c r="AA275" s="805" t="str">
        <f>IF(X275&lt;&gt;"",VLOOKUP(C275,'General price list'!C277:AN1250,MATCH("HM",Tabulka1[[#Headers],[KOD]:[NEQ]],0),FALSE),"")</f>
        <v/>
      </c>
    </row>
    <row r="276" spans="1:27">
      <c r="A276">
        <f>COUNTIF($W$22:W276,1)</f>
        <v>0</v>
      </c>
      <c r="B276">
        <v>276</v>
      </c>
      <c r="C276" s="340" t="str">
        <f>Tabulka1[[#This Row],[KOD]]</f>
        <v>RS6S</v>
      </c>
      <c r="W276" s="804" t="str">
        <f t="shared" si="9"/>
        <v/>
      </c>
      <c r="X276" t="str">
        <f t="shared" si="10"/>
        <v/>
      </c>
      <c r="Y276" s="341">
        <f>IF('General price list'!$AB278="",0,'General price list'!$AB278)</f>
        <v>0</v>
      </c>
      <c r="Z276" s="365" t="str">
        <f>IFERROR(X276*VLOOKUP(C276,'General price list'!C:I,7,FALSE),"")</f>
        <v/>
      </c>
      <c r="AA276" s="805" t="str">
        <f>IF(X276&lt;&gt;"",VLOOKUP(C276,'General price list'!C278:AN1251,MATCH("HM",Tabulka1[[#Headers],[KOD]:[NEQ]],0),FALSE),"")</f>
        <v/>
      </c>
    </row>
    <row r="277" spans="1:27">
      <c r="A277">
        <f>COUNTIF($W$22:W277,1)</f>
        <v>0</v>
      </c>
      <c r="B277">
        <v>277</v>
      </c>
      <c r="C277" s="340" t="str">
        <f>Tabulka1[[#This Row],[KOD]]</f>
        <v>RS6SM</v>
      </c>
      <c r="W277" s="804" t="str">
        <f t="shared" si="9"/>
        <v/>
      </c>
      <c r="X277" t="str">
        <f t="shared" si="10"/>
        <v/>
      </c>
      <c r="Y277" s="341">
        <f>IF('General price list'!$AB279="",0,'General price list'!$AB279)</f>
        <v>0</v>
      </c>
      <c r="Z277" s="365" t="str">
        <f>IFERROR(X277*VLOOKUP(C277,'General price list'!C:I,7,FALSE),"")</f>
        <v/>
      </c>
      <c r="AA277" s="805" t="str">
        <f>IF(X277&lt;&gt;"",VLOOKUP(C277,'General price list'!C279:AN1252,MATCH("HM",Tabulka1[[#Headers],[KOD]:[NEQ]],0),FALSE),"")</f>
        <v/>
      </c>
    </row>
    <row r="278" spans="1:27">
      <c r="A278">
        <f>COUNTIF($W$22:W278,1)</f>
        <v>0</v>
      </c>
      <c r="B278">
        <v>278</v>
      </c>
      <c r="C278" s="340" t="str">
        <f>Tabulka1[[#This Row],[KOD]]</f>
        <v>R12T1</v>
      </c>
      <c r="W278" s="804" t="str">
        <f t="shared" si="9"/>
        <v/>
      </c>
      <c r="X278" t="str">
        <f t="shared" si="10"/>
        <v/>
      </c>
      <c r="Y278" s="341">
        <f>IF('General price list'!$AB280="",0,'General price list'!$AB280)</f>
        <v>0</v>
      </c>
      <c r="Z278" s="365" t="str">
        <f>IFERROR(X278*VLOOKUP(C278,'General price list'!C:I,7,FALSE),"")</f>
        <v/>
      </c>
      <c r="AA278" s="805" t="str">
        <f>IF(X278&lt;&gt;"",VLOOKUP(C278,'General price list'!C280:AN1253,MATCH("HM",Tabulka1[[#Headers],[KOD]:[NEQ]],0),FALSE),"")</f>
        <v/>
      </c>
    </row>
    <row r="279" spans="1:27">
      <c r="A279">
        <f>COUNTIF($W$22:W279,1)</f>
        <v>0</v>
      </c>
      <c r="B279">
        <v>279</v>
      </c>
      <c r="C279" s="340" t="str">
        <f>Tabulka1[[#This Row],[KOD]]</f>
        <v>R12T3</v>
      </c>
      <c r="W279" s="804" t="str">
        <f t="shared" si="9"/>
        <v/>
      </c>
      <c r="X279" t="str">
        <f t="shared" si="10"/>
        <v/>
      </c>
      <c r="Y279" s="341">
        <f>IF('General price list'!$AB281="",0,'General price list'!$AB281)</f>
        <v>0</v>
      </c>
      <c r="Z279" s="365" t="str">
        <f>IFERROR(X279*VLOOKUP(C279,'General price list'!C:I,7,FALSE),"")</f>
        <v/>
      </c>
      <c r="AA279" s="805" t="str">
        <f>IF(X279&lt;&gt;"",VLOOKUP(C279,'General price list'!C281:AN1254,MATCH("HM",Tabulka1[[#Headers],[KOD]:[NEQ]],0),FALSE),"")</f>
        <v/>
      </c>
    </row>
    <row r="280" spans="1:27">
      <c r="A280">
        <f>COUNTIF($W$22:W280,1)</f>
        <v>0</v>
      </c>
      <c r="B280">
        <v>280</v>
      </c>
      <c r="C280" s="340" t="str">
        <f>Tabulka1[[#This Row],[KOD]]</f>
        <v>RSD6</v>
      </c>
      <c r="W280" s="804" t="str">
        <f t="shared" si="9"/>
        <v/>
      </c>
      <c r="X280" t="str">
        <f t="shared" si="10"/>
        <v/>
      </c>
      <c r="Y280" s="341">
        <f>IF('General price list'!$AB282="",0,'General price list'!$AB282)</f>
        <v>0</v>
      </c>
      <c r="Z280" s="365" t="str">
        <f>IFERROR(X280*VLOOKUP(C280,'General price list'!C:I,7,FALSE),"")</f>
        <v/>
      </c>
      <c r="AA280" s="805" t="str">
        <f>IF(X280&lt;&gt;"",VLOOKUP(C280,'General price list'!C282:AN1255,MATCH("HM",Tabulka1[[#Headers],[KOD]:[NEQ]],0),FALSE),"")</f>
        <v/>
      </c>
    </row>
    <row r="281" spans="1:27">
      <c r="A281">
        <f>COUNTIF($W$22:W281,1)</f>
        <v>0</v>
      </c>
      <c r="B281">
        <v>281</v>
      </c>
      <c r="C281" s="340" t="str">
        <f>Tabulka1[[#This Row],[KOD]]</f>
        <v>RS6XS</v>
      </c>
      <c r="W281" s="804" t="str">
        <f t="shared" ref="W281:W344" si="11">IF(Y281+1=1,"",1)</f>
        <v/>
      </c>
      <c r="X281" t="str">
        <f t="shared" ref="X281:X344" si="12">IF(OR(A281&lt;$E$20,A281&gt;$E$21),"",IF(Y281=0,"",Y281))</f>
        <v/>
      </c>
      <c r="Y281" s="341">
        <f>IF('General price list'!$AB283="",0,'General price list'!$AB283)</f>
        <v>0</v>
      </c>
      <c r="Z281" s="365" t="str">
        <f>IFERROR(X281*VLOOKUP(C281,'General price list'!C:I,7,FALSE),"")</f>
        <v/>
      </c>
      <c r="AA281" s="805" t="str">
        <f>IF(X281&lt;&gt;"",VLOOKUP(C281,'General price list'!C283:AN1256,MATCH("HM",Tabulka1[[#Headers],[KOD]:[NEQ]],0),FALSE),"")</f>
        <v/>
      </c>
    </row>
    <row r="282" spans="1:27">
      <c r="A282">
        <f>COUNTIF($W$22:W282,1)</f>
        <v>0</v>
      </c>
      <c r="B282">
        <v>282</v>
      </c>
      <c r="C282" s="340" t="str">
        <f>Tabulka1[[#This Row],[KOD]]</f>
        <v>RS5DU</v>
      </c>
      <c r="W282" s="804" t="str">
        <f t="shared" si="11"/>
        <v/>
      </c>
      <c r="X282" t="str">
        <f t="shared" si="12"/>
        <v/>
      </c>
      <c r="Y282" s="341">
        <f>IF('General price list'!$AB284="",0,'General price list'!$AB284)</f>
        <v>0</v>
      </c>
      <c r="Z282" s="365" t="str">
        <f>IFERROR(X282*VLOOKUP(C282,'General price list'!C:I,7,FALSE),"")</f>
        <v/>
      </c>
      <c r="AA282" s="805" t="str">
        <f>IF(X282&lt;&gt;"",VLOOKUP(C282,'General price list'!C284:AN1257,MATCH("HM",Tabulka1[[#Headers],[KOD]:[NEQ]],0),FALSE),"")</f>
        <v/>
      </c>
    </row>
    <row r="283" spans="1:27">
      <c r="A283">
        <f>COUNTIF($W$22:W283,1)</f>
        <v>0</v>
      </c>
      <c r="B283">
        <v>283</v>
      </c>
      <c r="C283" s="340" t="str">
        <f>Tabulka1[[#This Row],[KOD]]</f>
        <v>HF24733RK</v>
      </c>
      <c r="W283" s="804" t="str">
        <f t="shared" si="11"/>
        <v/>
      </c>
      <c r="X283" t="str">
        <f t="shared" si="12"/>
        <v/>
      </c>
      <c r="Y283" s="341">
        <f>IF('General price list'!$AB285="",0,'General price list'!$AB285)</f>
        <v>0</v>
      </c>
      <c r="Z283" s="365" t="str">
        <f>IFERROR(X283*VLOOKUP(C283,'General price list'!C:I,7,FALSE),"")</f>
        <v/>
      </c>
      <c r="AA283" s="805" t="str">
        <f>IF(X283&lt;&gt;"",VLOOKUP(C283,'General price list'!C285:AN1258,MATCH("HM",Tabulka1[[#Headers],[KOD]:[NEQ]],0),FALSE),"")</f>
        <v/>
      </c>
    </row>
    <row r="284" spans="1:27">
      <c r="A284">
        <f>COUNTIF($W$22:W284,1)</f>
        <v>0</v>
      </c>
      <c r="B284">
        <v>284</v>
      </c>
      <c r="C284" s="340" t="str">
        <f>Tabulka1[[#This Row],[KOD]]</f>
        <v>RS4H14</v>
      </c>
      <c r="W284" s="804" t="str">
        <f t="shared" si="11"/>
        <v/>
      </c>
      <c r="X284" t="str">
        <f t="shared" si="12"/>
        <v/>
      </c>
      <c r="Y284" s="341">
        <f>IF('General price list'!$AB286="",0,'General price list'!$AB286)</f>
        <v>0</v>
      </c>
      <c r="Z284" s="365" t="str">
        <f>IFERROR(X284*VLOOKUP(C284,'General price list'!C:I,7,FALSE),"")</f>
        <v/>
      </c>
      <c r="AA284" s="805" t="str">
        <f>IF(X284&lt;&gt;"",VLOOKUP(C284,'General price list'!C286:AN1259,MATCH("HM",Tabulka1[[#Headers],[KOD]:[NEQ]],0),FALSE),"")</f>
        <v/>
      </c>
    </row>
    <row r="285" spans="1:27">
      <c r="A285">
        <f>COUNTIF($W$22:W285,1)</f>
        <v>0</v>
      </c>
      <c r="B285">
        <v>285</v>
      </c>
      <c r="C285" s="340" t="str">
        <f>Tabulka1[[#This Row],[KOD]]</f>
        <v>RS7MD14</v>
      </c>
      <c r="W285" s="804" t="str">
        <f t="shared" si="11"/>
        <v/>
      </c>
      <c r="X285" t="str">
        <f t="shared" si="12"/>
        <v/>
      </c>
      <c r="Y285" s="341">
        <f>IF('General price list'!$AB287="",0,'General price list'!$AB287)</f>
        <v>0</v>
      </c>
      <c r="Z285" s="365" t="str">
        <f>IFERROR(X285*VLOOKUP(C285,'General price list'!C:I,7,FALSE),"")</f>
        <v/>
      </c>
      <c r="AA285" s="805" t="str">
        <f>IF(X285&lt;&gt;"",VLOOKUP(C285,'General price list'!C287:AN1260,MATCH("HM",Tabulka1[[#Headers],[KOD]:[NEQ]],0),FALSE),"")</f>
        <v/>
      </c>
    </row>
    <row r="286" spans="1:27">
      <c r="A286">
        <f>COUNTIF($W$22:W286,1)</f>
        <v>0</v>
      </c>
      <c r="B286">
        <v>286</v>
      </c>
      <c r="C286" s="340" t="str">
        <f>Tabulka1[[#This Row],[KOD]]</f>
        <v>RS7T14</v>
      </c>
      <c r="W286" s="804" t="str">
        <f t="shared" si="11"/>
        <v/>
      </c>
      <c r="X286" t="str">
        <f t="shared" si="12"/>
        <v/>
      </c>
      <c r="Y286" s="341">
        <f>IF('General price list'!$AB288="",0,'General price list'!$AB288)</f>
        <v>0</v>
      </c>
      <c r="Z286" s="365" t="str">
        <f>IFERROR(X286*VLOOKUP(C286,'General price list'!C:I,7,FALSE),"")</f>
        <v/>
      </c>
      <c r="AA286" s="805" t="str">
        <f>IF(X286&lt;&gt;"",VLOOKUP(C286,'General price list'!C288:AN1261,MATCH("HM",Tabulka1[[#Headers],[KOD]:[NEQ]],0),FALSE),"")</f>
        <v/>
      </c>
    </row>
    <row r="287" spans="1:27">
      <c r="A287">
        <f>COUNTIF($W$22:W287,1)</f>
        <v>0</v>
      </c>
      <c r="B287">
        <v>287</v>
      </c>
      <c r="C287" s="340" t="str">
        <f>Tabulka1[[#This Row],[KOD]]</f>
        <v>RS9T14</v>
      </c>
      <c r="W287" s="804" t="str">
        <f t="shared" si="11"/>
        <v/>
      </c>
      <c r="X287" t="str">
        <f t="shared" si="12"/>
        <v/>
      </c>
      <c r="Y287" s="341">
        <f>IF('General price list'!$AB289="",0,'General price list'!$AB289)</f>
        <v>0</v>
      </c>
      <c r="Z287" s="365" t="str">
        <f>IFERROR(X287*VLOOKUP(C287,'General price list'!C:I,7,FALSE),"")</f>
        <v/>
      </c>
      <c r="AA287" s="805" t="str">
        <f>IF(X287&lt;&gt;"",VLOOKUP(C287,'General price list'!C289:AN1262,MATCH("HM",Tabulka1[[#Headers],[KOD]:[NEQ]],0),FALSE),"")</f>
        <v/>
      </c>
    </row>
    <row r="288" spans="1:27">
      <c r="A288">
        <f>COUNTIF($W$22:W288,1)</f>
        <v>0</v>
      </c>
      <c r="B288">
        <v>288</v>
      </c>
      <c r="C288" s="340" t="str">
        <f>Tabulka1[[#This Row],[KOD]]</f>
        <v>RS9P14</v>
      </c>
      <c r="W288" s="804" t="str">
        <f t="shared" si="11"/>
        <v/>
      </c>
      <c r="X288" t="str">
        <f t="shared" si="12"/>
        <v/>
      </c>
      <c r="Y288" s="341">
        <f>IF('General price list'!$AB290="",0,'General price list'!$AB290)</f>
        <v>0</v>
      </c>
      <c r="Z288" s="365" t="str">
        <f>IFERROR(X288*VLOOKUP(C288,'General price list'!C:I,7,FALSE),"")</f>
        <v/>
      </c>
      <c r="AA288" s="805" t="str">
        <f>IF(X288&lt;&gt;"",VLOOKUP(C288,'General price list'!C290:AN1263,MATCH("HM",Tabulka1[[#Headers],[KOD]:[NEQ]],0),FALSE),"")</f>
        <v/>
      </c>
    </row>
    <row r="289" spans="1:27">
      <c r="A289">
        <f>COUNTIF($W$22:W289,1)</f>
        <v>0</v>
      </c>
      <c r="B289">
        <v>289</v>
      </c>
      <c r="C289" s="340" t="str">
        <f>Tabulka1[[#This Row],[KOD]]</f>
        <v>RS11HF2</v>
      </c>
      <c r="W289" s="804" t="str">
        <f t="shared" si="11"/>
        <v/>
      </c>
      <c r="X289" t="str">
        <f t="shared" si="12"/>
        <v/>
      </c>
      <c r="Y289" s="341">
        <f>IF('General price list'!$AB291="",0,'General price list'!$AB291)</f>
        <v>0</v>
      </c>
      <c r="Z289" s="365" t="str">
        <f>IFERROR(X289*VLOOKUP(C289,'General price list'!C:I,7,FALSE),"")</f>
        <v/>
      </c>
      <c r="AA289" s="805" t="str">
        <f>IF(X289&lt;&gt;"",VLOOKUP(C289,'General price list'!C291:AN1264,MATCH("HM",Tabulka1[[#Headers],[KOD]:[NEQ]],0),FALSE),"")</f>
        <v/>
      </c>
    </row>
    <row r="290" spans="1:27">
      <c r="A290">
        <f>COUNTIF($W$22:W290,1)</f>
        <v>0</v>
      </c>
      <c r="B290">
        <v>290</v>
      </c>
      <c r="C290" s="340" t="str">
        <f>Tabulka1[[#This Row],[KOD]]</f>
        <v>SP3CF2</v>
      </c>
      <c r="W290" s="804" t="str">
        <f t="shared" si="11"/>
        <v/>
      </c>
      <c r="X290" t="str">
        <f t="shared" si="12"/>
        <v/>
      </c>
      <c r="Y290" s="341">
        <f>IF('General price list'!$AB292="",0,'General price list'!$AB292)</f>
        <v>0</v>
      </c>
      <c r="Z290" s="365" t="str">
        <f>IFERROR(X290*VLOOKUP(C290,'General price list'!C:I,7,FALSE),"")</f>
        <v/>
      </c>
      <c r="AA290" s="805" t="str">
        <f>IF(X290&lt;&gt;"",VLOOKUP(C290,'General price list'!C292:AN1265,MATCH("HM",Tabulka1[[#Headers],[KOD]:[NEQ]],0),FALSE),"")</f>
        <v/>
      </c>
    </row>
    <row r="291" spans="1:27">
      <c r="A291">
        <f>COUNTIF($W$22:W291,1)</f>
        <v>0</v>
      </c>
      <c r="B291">
        <v>291</v>
      </c>
      <c r="C291" s="340" t="str">
        <f>Tabulka1[[#This Row],[KOD]]</f>
        <v>RS18TF2</v>
      </c>
      <c r="W291" s="804" t="str">
        <f t="shared" si="11"/>
        <v/>
      </c>
      <c r="X291" t="str">
        <f t="shared" si="12"/>
        <v/>
      </c>
      <c r="Y291" s="341">
        <f>IF('General price list'!$AB293="",0,'General price list'!$AB293)</f>
        <v>0</v>
      </c>
      <c r="Z291" s="365" t="str">
        <f>IFERROR(X291*VLOOKUP(C291,'General price list'!C:I,7,FALSE),"")</f>
        <v/>
      </c>
      <c r="AA291" s="805" t="str">
        <f>IF(X291&lt;&gt;"",VLOOKUP(C291,'General price list'!C293:AN1266,MATCH("HM",Tabulka1[[#Headers],[KOD]:[NEQ]],0),FALSE),"")</f>
        <v/>
      </c>
    </row>
    <row r="292" spans="1:27">
      <c r="A292">
        <f>COUNTIF($W$22:W292,1)</f>
        <v>0</v>
      </c>
      <c r="B292">
        <v>292</v>
      </c>
      <c r="C292" s="340" t="str">
        <f>Tabulka1[[#This Row],[KOD]]</f>
        <v>RS18SF2</v>
      </c>
      <c r="W292" s="804" t="str">
        <f t="shared" si="11"/>
        <v/>
      </c>
      <c r="X292" t="str">
        <f t="shared" si="12"/>
        <v/>
      </c>
      <c r="Y292" s="341">
        <f>IF('General price list'!$AB294="",0,'General price list'!$AB294)</f>
        <v>0</v>
      </c>
      <c r="Z292" s="365" t="str">
        <f>IFERROR(X292*VLOOKUP(C292,'General price list'!C:I,7,FALSE),"")</f>
        <v/>
      </c>
      <c r="AA292" s="805" t="str">
        <f>IF(X292&lt;&gt;"",VLOOKUP(C292,'General price list'!C294:AN1267,MATCH("HM",Tabulka1[[#Headers],[KOD]:[NEQ]],0),FALSE),"")</f>
        <v/>
      </c>
    </row>
    <row r="293" spans="1:27">
      <c r="A293">
        <f>COUNTIF($W$22:W293,1)</f>
        <v>0</v>
      </c>
      <c r="B293">
        <v>293</v>
      </c>
      <c r="C293" s="340" t="str">
        <f>Tabulka1[[#This Row],[KOD]]</f>
        <v>RS21Z14</v>
      </c>
      <c r="W293" s="804" t="str">
        <f t="shared" si="11"/>
        <v/>
      </c>
      <c r="X293" t="str">
        <f t="shared" si="12"/>
        <v/>
      </c>
      <c r="Y293" s="341">
        <f>IF('General price list'!$AB295="",0,'General price list'!$AB295)</f>
        <v>0</v>
      </c>
      <c r="Z293" s="365" t="str">
        <f>IFERROR(X293*VLOOKUP(C293,'General price list'!C:I,7,FALSE),"")</f>
        <v/>
      </c>
      <c r="AA293" s="805" t="str">
        <f>IF(X293&lt;&gt;"",VLOOKUP(C293,'General price list'!C295:AN1268,MATCH("HM",Tabulka1[[#Headers],[KOD]:[NEQ]],0),FALSE),"")</f>
        <v/>
      </c>
    </row>
    <row r="294" spans="1:27">
      <c r="A294">
        <f>COUNTIF($W$22:W294,1)</f>
        <v>0</v>
      </c>
      <c r="B294">
        <v>294</v>
      </c>
      <c r="C294" s="340" t="str">
        <f>Tabulka1[[#This Row],[KOD]]</f>
        <v>RS33R14</v>
      </c>
      <c r="W294" s="804" t="str">
        <f t="shared" si="11"/>
        <v/>
      </c>
      <c r="X294" t="str">
        <f t="shared" si="12"/>
        <v/>
      </c>
      <c r="Y294" s="341">
        <f>IF('General price list'!$AB296="",0,'General price list'!$AB296)</f>
        <v>0</v>
      </c>
      <c r="Z294" s="365" t="str">
        <f>IFERROR(X294*VLOOKUP(C294,'General price list'!C:I,7,FALSE),"")</f>
        <v/>
      </c>
      <c r="AA294" s="805" t="str">
        <f>IF(X294&lt;&gt;"",VLOOKUP(C294,'General price list'!C296:AN1269,MATCH("HM",Tabulka1[[#Headers],[KOD]:[NEQ]],0),FALSE),"")</f>
        <v/>
      </c>
    </row>
    <row r="295" spans="1:27">
      <c r="A295">
        <f>COUNTIF($W$22:W295,1)</f>
        <v>0</v>
      </c>
      <c r="B295">
        <v>295</v>
      </c>
      <c r="C295" s="340" t="str">
        <f>Tabulka1[[#This Row],[KOD]]</f>
        <v>RSSF2</v>
      </c>
      <c r="W295" s="804" t="str">
        <f t="shared" si="11"/>
        <v/>
      </c>
      <c r="X295" t="str">
        <f t="shared" si="12"/>
        <v/>
      </c>
      <c r="Y295" s="341">
        <f>IF('General price list'!$AB297="",0,'General price list'!$AB297)</f>
        <v>0</v>
      </c>
      <c r="Z295" s="365" t="str">
        <f>IFERROR(X295*VLOOKUP(C295,'General price list'!C:I,7,FALSE),"")</f>
        <v/>
      </c>
      <c r="AA295" s="805" t="str">
        <f>IF(X295&lt;&gt;"",VLOOKUP(C295,'General price list'!C297:AN1270,MATCH("HM",Tabulka1[[#Headers],[KOD]:[NEQ]],0),FALSE),"")</f>
        <v/>
      </c>
    </row>
    <row r="296" spans="1:27">
      <c r="A296">
        <f>COUNTIF($W$22:W296,1)</f>
        <v>0</v>
      </c>
      <c r="B296">
        <v>296</v>
      </c>
      <c r="C296" s="340" t="str">
        <f>Tabulka1[[#This Row],[KOD]]</f>
        <v>RSS75</v>
      </c>
      <c r="W296" s="804" t="str">
        <f t="shared" si="11"/>
        <v/>
      </c>
      <c r="X296" t="str">
        <f t="shared" si="12"/>
        <v/>
      </c>
      <c r="Y296" s="341">
        <f>IF('General price list'!$AB298="",0,'General price list'!$AB298)</f>
        <v>0</v>
      </c>
      <c r="Z296" s="365" t="str">
        <f>IFERROR(X296*VLOOKUP(C296,'General price list'!C:I,7,FALSE),"")</f>
        <v/>
      </c>
      <c r="AA296" s="805" t="str">
        <f>IF(X296&lt;&gt;"",VLOOKUP(C296,'General price list'!C298:AN1271,MATCH("HM",Tabulka1[[#Headers],[KOD]:[NEQ]],0),FALSE),"")</f>
        <v/>
      </c>
    </row>
    <row r="297" spans="1:27">
      <c r="A297">
        <f>COUNTIF($W$22:W297,1)</f>
        <v>0</v>
      </c>
      <c r="B297">
        <v>297</v>
      </c>
      <c r="C297" s="340">
        <f>Tabulka1[[#This Row],[KOD]]</f>
        <v>0</v>
      </c>
      <c r="W297" s="804" t="str">
        <f t="shared" si="11"/>
        <v/>
      </c>
      <c r="X297" t="str">
        <f t="shared" si="12"/>
        <v/>
      </c>
      <c r="Y297" s="341">
        <f>IF('General price list'!$AB299="",0,'General price list'!$AB299)</f>
        <v>0</v>
      </c>
      <c r="Z297" s="365" t="str">
        <f>IFERROR(X297*VLOOKUP(C297,'General price list'!C:I,7,FALSE),"")</f>
        <v/>
      </c>
      <c r="AA297" s="805" t="str">
        <f>IF(X297&lt;&gt;"",VLOOKUP(C297,'General price list'!C299:AN1272,MATCH("HM",Tabulka1[[#Headers],[KOD]:[NEQ]],0),FALSE),"")</f>
        <v/>
      </c>
    </row>
    <row r="298" spans="1:27">
      <c r="A298">
        <f>COUNTIF($W$22:W298,1)</f>
        <v>0</v>
      </c>
      <c r="B298">
        <v>298</v>
      </c>
      <c r="C298" s="340" t="str">
        <f>Tabulka1[[#This Row],[KOD]]</f>
        <v>RS4D</v>
      </c>
      <c r="W298" s="804" t="str">
        <f t="shared" si="11"/>
        <v/>
      </c>
      <c r="X298" t="str">
        <f t="shared" si="12"/>
        <v/>
      </c>
      <c r="Y298" s="341">
        <f>IF('General price list'!$AB300="",0,'General price list'!$AB300)</f>
        <v>0</v>
      </c>
      <c r="Z298" s="365" t="str">
        <f>IFERROR(X298*VLOOKUP(C298,'General price list'!C:I,7,FALSE),"")</f>
        <v/>
      </c>
      <c r="AA298" s="805" t="str">
        <f>IF(X298&lt;&gt;"",VLOOKUP(C298,'General price list'!C300:AN1273,MATCH("HM",Tabulka1[[#Headers],[KOD]:[NEQ]],0),FALSE),"")</f>
        <v/>
      </c>
    </row>
    <row r="299" spans="1:27">
      <c r="A299">
        <f>COUNTIF($W$22:W299,1)</f>
        <v>0</v>
      </c>
      <c r="B299">
        <v>299</v>
      </c>
      <c r="C299" s="340" t="str">
        <f>Tabulka1[[#This Row],[KOD]]</f>
        <v>SP3C</v>
      </c>
      <c r="W299" s="804" t="str">
        <f t="shared" si="11"/>
        <v/>
      </c>
      <c r="X299" t="str">
        <f t="shared" si="12"/>
        <v/>
      </c>
      <c r="Y299" s="341">
        <f>IF('General price list'!$AB301="",0,'General price list'!$AB301)</f>
        <v>0</v>
      </c>
      <c r="Z299" s="365" t="str">
        <f>IFERROR(X299*VLOOKUP(C299,'General price list'!C:I,7,FALSE),"")</f>
        <v/>
      </c>
      <c r="AA299" s="805" t="str">
        <f>IF(X299&lt;&gt;"",VLOOKUP(C299,'General price list'!C301:AN1274,MATCH("HM",Tabulka1[[#Headers],[KOD]:[NEQ]],0),FALSE),"")</f>
        <v/>
      </c>
    </row>
    <row r="300" spans="1:27">
      <c r="A300">
        <f>COUNTIF($W$22:W300,1)</f>
        <v>0</v>
      </c>
      <c r="B300">
        <v>300</v>
      </c>
      <c r="C300" s="340" t="str">
        <f>Tabulka1[[#This Row],[KOD]]</f>
        <v>RS18T</v>
      </c>
      <c r="W300" s="804" t="str">
        <f t="shared" si="11"/>
        <v/>
      </c>
      <c r="X300" t="str">
        <f t="shared" si="12"/>
        <v/>
      </c>
      <c r="Y300" s="341">
        <f>IF('General price list'!$AB302="",0,'General price list'!$AB302)</f>
        <v>0</v>
      </c>
      <c r="Z300" s="365" t="str">
        <f>IFERROR(X300*VLOOKUP(C300,'General price list'!C:I,7,FALSE),"")</f>
        <v/>
      </c>
      <c r="AA300" s="805" t="str">
        <f>IF(X300&lt;&gt;"",VLOOKUP(C300,'General price list'!C302:AN1275,MATCH("HM",Tabulka1[[#Headers],[KOD]:[NEQ]],0),FALSE),"")</f>
        <v/>
      </c>
    </row>
    <row r="301" spans="1:27">
      <c r="A301">
        <f>COUNTIF($W$22:W301,1)</f>
        <v>0</v>
      </c>
      <c r="B301">
        <v>301</v>
      </c>
      <c r="C301" s="340" t="str">
        <f>Tabulka1[[#This Row],[KOD]]</f>
        <v>RS18S</v>
      </c>
      <c r="W301" s="804" t="str">
        <f t="shared" si="11"/>
        <v/>
      </c>
      <c r="X301" t="str">
        <f t="shared" si="12"/>
        <v/>
      </c>
      <c r="Y301" s="341">
        <f>IF('General price list'!$AB303="",0,'General price list'!$AB303)</f>
        <v>0</v>
      </c>
      <c r="Z301" s="365" t="str">
        <f>IFERROR(X301*VLOOKUP(C301,'General price list'!C:I,7,FALSE),"")</f>
        <v/>
      </c>
      <c r="AA301" s="805" t="str">
        <f>IF(X301&lt;&gt;"",VLOOKUP(C301,'General price list'!C303:AN1276,MATCH("HM",Tabulka1[[#Headers],[KOD]:[NEQ]],0),FALSE),"")</f>
        <v/>
      </c>
    </row>
    <row r="302" spans="1:27">
      <c r="A302">
        <f>COUNTIF($W$22:W302,1)</f>
        <v>0</v>
      </c>
      <c r="B302">
        <v>302</v>
      </c>
      <c r="C302" s="340" t="str">
        <f>Tabulka1[[#This Row],[KOD]]</f>
        <v>RS33R</v>
      </c>
      <c r="W302" s="804" t="str">
        <f t="shared" si="11"/>
        <v/>
      </c>
      <c r="X302" t="str">
        <f t="shared" si="12"/>
        <v/>
      </c>
      <c r="Y302" s="341">
        <f>IF('General price list'!$AB304="",0,'General price list'!$AB304)</f>
        <v>0</v>
      </c>
      <c r="Z302" s="365" t="str">
        <f>IFERROR(X302*VLOOKUP(C302,'General price list'!C:I,7,FALSE),"")</f>
        <v/>
      </c>
      <c r="AA302" s="805" t="str">
        <f>IF(X302&lt;&gt;"",VLOOKUP(C302,'General price list'!C304:AN1277,MATCH("HM",Tabulka1[[#Headers],[KOD]:[NEQ]],0),FALSE),"")</f>
        <v/>
      </c>
    </row>
    <row r="303" spans="1:27">
      <c r="A303">
        <f>COUNTIF($W$22:W303,1)</f>
        <v>0</v>
      </c>
      <c r="B303">
        <v>303</v>
      </c>
      <c r="C303" s="340" t="str">
        <f>Tabulka1[[#This Row],[KOD]]</f>
        <v>RSS100</v>
      </c>
      <c r="W303" s="804" t="str">
        <f t="shared" si="11"/>
        <v/>
      </c>
      <c r="X303" t="str">
        <f t="shared" si="12"/>
        <v/>
      </c>
      <c r="Y303" s="341">
        <f>IF('General price list'!$AB305="",0,'General price list'!$AB305)</f>
        <v>0</v>
      </c>
      <c r="Z303" s="365" t="str">
        <f>IFERROR(X303*VLOOKUP(C303,'General price list'!C:I,7,FALSE),"")</f>
        <v/>
      </c>
      <c r="AA303" s="805" t="str">
        <f>IF(X303&lt;&gt;"",VLOOKUP(C303,'General price list'!C305:AN1278,MATCH("HM",Tabulka1[[#Headers],[KOD]:[NEQ]],0),FALSE),"")</f>
        <v/>
      </c>
    </row>
    <row r="304" spans="1:27">
      <c r="A304">
        <f>COUNTIF($W$22:W304,1)</f>
        <v>0</v>
      </c>
      <c r="B304">
        <v>304</v>
      </c>
      <c r="C304" s="340" t="str">
        <f>Tabulka1[[#This Row],[KOD]]</f>
        <v>R170B</v>
      </c>
      <c r="W304" s="804" t="str">
        <f t="shared" si="11"/>
        <v/>
      </c>
      <c r="X304" t="str">
        <f t="shared" si="12"/>
        <v/>
      </c>
      <c r="Y304" s="341">
        <f>IF('General price list'!$AB306="",0,'General price list'!$AB306)</f>
        <v>0</v>
      </c>
      <c r="Z304" s="365" t="str">
        <f>IFERROR(X304*VLOOKUP(C304,'General price list'!C:I,7,FALSE),"")</f>
        <v/>
      </c>
      <c r="AA304" s="805" t="str">
        <f>IF(X304&lt;&gt;"",VLOOKUP(C304,'General price list'!C306:AN1279,MATCH("HM",Tabulka1[[#Headers],[KOD]:[NEQ]],0),FALSE),"")</f>
        <v/>
      </c>
    </row>
    <row r="305" spans="1:27">
      <c r="A305">
        <f>COUNTIF($W$22:W305,1)</f>
        <v>0</v>
      </c>
      <c r="B305">
        <v>305</v>
      </c>
      <c r="C305" s="340" t="str">
        <f>Tabulka1[[#This Row],[KOD]]</f>
        <v>R170X</v>
      </c>
      <c r="W305" s="804" t="str">
        <f t="shared" si="11"/>
        <v/>
      </c>
      <c r="X305" t="str">
        <f t="shared" si="12"/>
        <v/>
      </c>
      <c r="Y305" s="341">
        <f>IF('General price list'!$AB307="",0,'General price list'!$AB307)</f>
        <v>0</v>
      </c>
      <c r="Z305" s="365" t="str">
        <f>IFERROR(X305*VLOOKUP(C305,'General price list'!C:I,7,FALSE),"")</f>
        <v/>
      </c>
      <c r="AA305" s="805" t="str">
        <f>IF(X305&lt;&gt;"",VLOOKUP(C305,'General price list'!C307:AN1280,MATCH("HM",Tabulka1[[#Headers],[KOD]:[NEQ]],0),FALSE),"")</f>
        <v/>
      </c>
    </row>
    <row r="306" spans="1:27">
      <c r="A306">
        <f>COUNTIF($W$22:W306,1)</f>
        <v>0</v>
      </c>
      <c r="B306">
        <v>306</v>
      </c>
      <c r="C306" s="340" t="str">
        <f>Tabulka1[[#This Row],[KOD]]</f>
        <v>R170M</v>
      </c>
      <c r="W306" s="804" t="str">
        <f t="shared" si="11"/>
        <v/>
      </c>
      <c r="X306" t="str">
        <f t="shared" si="12"/>
        <v/>
      </c>
      <c r="Y306" s="341">
        <f>IF('General price list'!$AB308="",0,'General price list'!$AB308)</f>
        <v>0</v>
      </c>
      <c r="Z306" s="365" t="str">
        <f>IFERROR(X306*VLOOKUP(C306,'General price list'!C:I,7,FALSE),"")</f>
        <v/>
      </c>
      <c r="AA306" s="805" t="str">
        <f>IF(X306&lt;&gt;"",VLOOKUP(C306,'General price list'!C308:AN1281,MATCH("HM",Tabulka1[[#Headers],[KOD]:[NEQ]],0),FALSE),"")</f>
        <v/>
      </c>
    </row>
    <row r="307" spans="1:27">
      <c r="A307">
        <f>COUNTIF($W$22:W307,1)</f>
        <v>0</v>
      </c>
      <c r="B307">
        <v>307</v>
      </c>
      <c r="C307" s="340" t="str">
        <f>Tabulka1[[#This Row],[KOD]]</f>
        <v>RSSF3</v>
      </c>
      <c r="W307" s="804" t="str">
        <f t="shared" si="11"/>
        <v/>
      </c>
      <c r="X307" t="str">
        <f t="shared" si="12"/>
        <v/>
      </c>
      <c r="Y307" s="341">
        <f>IF('General price list'!$AB309="",0,'General price list'!$AB309)</f>
        <v>0</v>
      </c>
      <c r="Z307" s="365" t="str">
        <f>IFERROR(X307*VLOOKUP(C307,'General price list'!C:I,7,FALSE),"")</f>
        <v/>
      </c>
      <c r="AA307" s="805" t="str">
        <f>IF(X307&lt;&gt;"",VLOOKUP(C307,'General price list'!C309:AN1282,MATCH("HM",Tabulka1[[#Headers],[KOD]:[NEQ]],0),FALSE),"")</f>
        <v/>
      </c>
    </row>
    <row r="308" spans="1:27">
      <c r="A308">
        <f>COUNTIF($W$22:W308,1)</f>
        <v>0</v>
      </c>
      <c r="B308">
        <v>308</v>
      </c>
      <c r="C308" s="340">
        <f>Tabulka1[[#This Row],[KOD]]</f>
        <v>0</v>
      </c>
      <c r="W308" s="804" t="str">
        <f t="shared" si="11"/>
        <v/>
      </c>
      <c r="X308" t="str">
        <f t="shared" si="12"/>
        <v/>
      </c>
      <c r="Y308" s="341">
        <f>IF('General price list'!$AB310="",0,'General price list'!$AB310)</f>
        <v>0</v>
      </c>
      <c r="Z308" s="365" t="str">
        <f>IFERROR(X308*VLOOKUP(C308,'General price list'!C:I,7,FALSE),"")</f>
        <v/>
      </c>
      <c r="AA308" s="805" t="str">
        <f>IF(X308&lt;&gt;"",VLOOKUP(C308,'General price list'!C310:AN1283,MATCH("HM",Tabulka1[[#Headers],[KOD]:[NEQ]],0),FALSE),"")</f>
        <v/>
      </c>
    </row>
    <row r="309" spans="1:27">
      <c r="A309">
        <f>COUNTIF($W$22:W309,1)</f>
        <v>0</v>
      </c>
      <c r="B309">
        <v>309</v>
      </c>
      <c r="C309" s="340" t="str">
        <f>Tabulka1[[#This Row],[KOD]]</f>
        <v>TIDB1L</v>
      </c>
      <c r="W309" s="804" t="str">
        <f t="shared" si="11"/>
        <v/>
      </c>
      <c r="X309" t="str">
        <f t="shared" si="12"/>
        <v/>
      </c>
      <c r="Y309" s="341">
        <f>IF('General price list'!$AB311="",0,'General price list'!$AB311)</f>
        <v>0</v>
      </c>
      <c r="Z309" s="365" t="str">
        <f>IFERROR(X309*VLOOKUP(C309,'General price list'!C:I,7,FALSE),"")</f>
        <v/>
      </c>
      <c r="AA309" s="805" t="str">
        <f>IF(X309&lt;&gt;"",VLOOKUP(C309,'General price list'!C311:AN1284,MATCH("HM",Tabulka1[[#Headers],[KOD]:[NEQ]],0),FALSE),"")</f>
        <v/>
      </c>
    </row>
    <row r="310" spans="1:27">
      <c r="A310">
        <f>COUNTIF($W$22:W310,1)</f>
        <v>0</v>
      </c>
      <c r="B310">
        <v>310</v>
      </c>
      <c r="C310" s="340" t="str">
        <f>Tabulka1[[#This Row],[KOD]]</f>
        <v>TPD1L</v>
      </c>
      <c r="W310" s="804" t="str">
        <f t="shared" si="11"/>
        <v/>
      </c>
      <c r="X310" t="str">
        <f t="shared" si="12"/>
        <v/>
      </c>
      <c r="Y310" s="341">
        <f>IF('General price list'!$AB312="",0,'General price list'!$AB312)</f>
        <v>0</v>
      </c>
      <c r="Z310" s="365" t="str">
        <f>IFERROR(X310*VLOOKUP(C310,'General price list'!C:I,7,FALSE),"")</f>
        <v/>
      </c>
      <c r="AA310" s="805" t="str">
        <f>IF(X310&lt;&gt;"",VLOOKUP(C310,'General price list'!C312:AN1285,MATCH("HM",Tabulka1[[#Headers],[KOD]:[NEQ]],0),FALSE),"")</f>
        <v/>
      </c>
    </row>
    <row r="311" spans="1:27">
      <c r="A311">
        <f>COUNTIF($W$22:W311,1)</f>
        <v>0</v>
      </c>
      <c r="B311">
        <v>311</v>
      </c>
      <c r="C311" s="340" t="str">
        <f>Tabulka1[[#This Row],[KOD]]</f>
        <v>TPD1XL</v>
      </c>
      <c r="W311" s="804" t="str">
        <f t="shared" si="11"/>
        <v/>
      </c>
      <c r="X311" t="str">
        <f t="shared" si="12"/>
        <v/>
      </c>
      <c r="Y311" s="341">
        <f>IF('General price list'!$AB313="",0,'General price list'!$AB313)</f>
        <v>0</v>
      </c>
      <c r="Z311" s="365" t="str">
        <f>IFERROR(X311*VLOOKUP(C311,'General price list'!C:I,7,FALSE),"")</f>
        <v/>
      </c>
      <c r="AA311" s="805" t="str">
        <f>IF(X311&lt;&gt;"",VLOOKUP(C311,'General price list'!C313:AN1286,MATCH("HM",Tabulka1[[#Headers],[KOD]:[NEQ]],0),FALSE),"")</f>
        <v/>
      </c>
    </row>
    <row r="312" spans="1:27">
      <c r="A312">
        <f>COUNTIF($W$22:W312,1)</f>
        <v>0</v>
      </c>
      <c r="B312">
        <v>312</v>
      </c>
      <c r="C312" s="340" t="str">
        <f>Tabulka1[[#This Row],[KOD]]</f>
        <v>BD1XXL</v>
      </c>
      <c r="W312" s="804" t="str">
        <f t="shared" si="11"/>
        <v/>
      </c>
      <c r="X312" t="str">
        <f t="shared" si="12"/>
        <v/>
      </c>
      <c r="Y312" s="341">
        <f>IF('General price list'!$AB314="",0,'General price list'!$AB314)</f>
        <v>0</v>
      </c>
      <c r="Z312" s="365" t="str">
        <f>IFERROR(X312*VLOOKUP(C312,'General price list'!C:I,7,FALSE),"")</f>
        <v/>
      </c>
      <c r="AA312" s="805" t="str">
        <f>IF(X312&lt;&gt;"",VLOOKUP(C312,'General price list'!C314:AN1287,MATCH("HM",Tabulka1[[#Headers],[KOD]:[NEQ]],0),FALSE),"")</f>
        <v/>
      </c>
    </row>
    <row r="313" spans="1:27">
      <c r="A313">
        <f>COUNTIF($W$22:W313,1)</f>
        <v>0</v>
      </c>
      <c r="B313">
        <v>313</v>
      </c>
      <c r="C313" s="340">
        <f>Tabulka1[[#This Row],[KOD]]</f>
        <v>0</v>
      </c>
      <c r="W313" s="804" t="str">
        <f t="shared" si="11"/>
        <v/>
      </c>
      <c r="X313" t="str">
        <f t="shared" si="12"/>
        <v/>
      </c>
      <c r="Y313" s="341">
        <f>IF('General price list'!$AB315="",0,'General price list'!$AB315)</f>
        <v>0</v>
      </c>
      <c r="Z313" s="365" t="str">
        <f>IFERROR(X313*VLOOKUP(C313,'General price list'!C:I,7,FALSE),"")</f>
        <v/>
      </c>
      <c r="AA313" s="805" t="str">
        <f>IF(X313&lt;&gt;"",VLOOKUP(C313,'General price list'!C315:AN1288,MATCH("HM",Tabulka1[[#Headers],[KOD]:[NEQ]],0),FALSE),"")</f>
        <v/>
      </c>
    </row>
    <row r="314" spans="1:27">
      <c r="A314">
        <f>COUNTIF($W$22:W314,1)</f>
        <v>0</v>
      </c>
      <c r="B314">
        <v>314</v>
      </c>
      <c r="C314" s="340" t="str">
        <f>Tabulka1[[#This Row],[KOD]]</f>
        <v>TDLE1M</v>
      </c>
      <c r="W314" s="804" t="str">
        <f t="shared" si="11"/>
        <v/>
      </c>
      <c r="X314" t="str">
        <f t="shared" si="12"/>
        <v/>
      </c>
      <c r="Y314" s="341">
        <f>IF('General price list'!$AB316="",0,'General price list'!$AB316)</f>
        <v>0</v>
      </c>
      <c r="Z314" s="365" t="str">
        <f>IFERROR(X314*VLOOKUP(C314,'General price list'!C:I,7,FALSE),"")</f>
        <v/>
      </c>
      <c r="AA314" s="805" t="str">
        <f>IF(X314&lt;&gt;"",VLOOKUP(C314,'General price list'!C316:AN1289,MATCH("HM",Tabulka1[[#Headers],[KOD]:[NEQ]],0),FALSE),"")</f>
        <v/>
      </c>
    </row>
    <row r="315" spans="1:27">
      <c r="A315">
        <f>COUNTIF($W$22:W315,1)</f>
        <v>0</v>
      </c>
      <c r="B315">
        <v>315</v>
      </c>
      <c r="C315" s="340" t="str">
        <f>Tabulka1[[#This Row],[KOD]]</f>
        <v>TDLE1L</v>
      </c>
      <c r="W315" s="804" t="str">
        <f t="shared" si="11"/>
        <v/>
      </c>
      <c r="X315" t="str">
        <f t="shared" si="12"/>
        <v/>
      </c>
      <c r="Y315" s="341">
        <f>IF('General price list'!$AB317="",0,'General price list'!$AB317)</f>
        <v>0</v>
      </c>
      <c r="Z315" s="365" t="str">
        <f>IFERROR(X315*VLOOKUP(C315,'General price list'!C:I,7,FALSE),"")</f>
        <v/>
      </c>
      <c r="AA315" s="805" t="str">
        <f>IF(X315&lt;&gt;"",VLOOKUP(C315,'General price list'!C317:AN1290,MATCH("HM",Tabulka1[[#Headers],[KOD]:[NEQ]],0),FALSE),"")</f>
        <v/>
      </c>
    </row>
    <row r="316" spans="1:27">
      <c r="A316">
        <f>COUNTIF($W$22:W316,1)</f>
        <v>0</v>
      </c>
      <c r="B316">
        <v>316</v>
      </c>
      <c r="C316" s="340" t="str">
        <f>Tabulka1[[#This Row],[KOD]]</f>
        <v>TDLE1XL</v>
      </c>
      <c r="W316" s="804" t="str">
        <f t="shared" si="11"/>
        <v/>
      </c>
      <c r="X316" t="str">
        <f t="shared" si="12"/>
        <v/>
      </c>
      <c r="Y316" s="341">
        <f>IF('General price list'!$AB318="",0,'General price list'!$AB318)</f>
        <v>0</v>
      </c>
      <c r="Z316" s="365" t="str">
        <f>IFERROR(X316*VLOOKUP(C316,'General price list'!C:I,7,FALSE),"")</f>
        <v/>
      </c>
      <c r="AA316" s="805" t="str">
        <f>IF(X316&lt;&gt;"",VLOOKUP(C316,'General price list'!C318:AN1291,MATCH("HM",Tabulka1[[#Headers],[KOD]:[NEQ]],0),FALSE),"")</f>
        <v/>
      </c>
    </row>
    <row r="317" spans="1:27">
      <c r="A317">
        <f>COUNTIF($W$22:W317,1)</f>
        <v>0</v>
      </c>
      <c r="B317">
        <v>317</v>
      </c>
      <c r="C317" s="340" t="str">
        <f>Tabulka1[[#This Row],[KOD]]</f>
        <v>TDLE1XXL</v>
      </c>
      <c r="W317" s="804" t="str">
        <f t="shared" si="11"/>
        <v/>
      </c>
      <c r="X317" t="str">
        <f t="shared" si="12"/>
        <v/>
      </c>
      <c r="Y317" s="341">
        <f>IF('General price list'!$AB319="",0,'General price list'!$AB319)</f>
        <v>0</v>
      </c>
      <c r="Z317" s="365" t="str">
        <f>IFERROR(X317*VLOOKUP(C317,'General price list'!C:I,7,FALSE),"")</f>
        <v/>
      </c>
      <c r="AA317" s="805" t="str">
        <f>IF(X317&lt;&gt;"",VLOOKUP(C317,'General price list'!C319:AN1292,MATCH("HM",Tabulka1[[#Headers],[KOD]:[NEQ]],0),FALSE),"")</f>
        <v/>
      </c>
    </row>
    <row r="318" spans="1:27">
      <c r="A318">
        <f>COUNTIF($W$22:W318,1)</f>
        <v>0</v>
      </c>
      <c r="B318">
        <v>318</v>
      </c>
      <c r="C318" s="340">
        <f>Tabulka1[[#This Row],[KOD]]</f>
        <v>0</v>
      </c>
      <c r="W318" s="804" t="str">
        <f t="shared" si="11"/>
        <v/>
      </c>
      <c r="X318" t="str">
        <f t="shared" si="12"/>
        <v/>
      </c>
      <c r="Y318" s="341">
        <f>IF('General price list'!$AB320="",0,'General price list'!$AB320)</f>
        <v>0</v>
      </c>
      <c r="Z318" s="365" t="str">
        <f>IFERROR(X318*VLOOKUP(C318,'General price list'!C:I,7,FALSE),"")</f>
        <v/>
      </c>
      <c r="AA318" s="805" t="str">
        <f>IF(X318&lt;&gt;"",VLOOKUP(C318,'General price list'!C320:AN1293,MATCH("HM",Tabulka1[[#Headers],[KOD]:[NEQ]],0),FALSE),"")</f>
        <v/>
      </c>
    </row>
    <row r="319" spans="1:27">
      <c r="A319">
        <f>COUNTIF($W$22:W319,1)</f>
        <v>0</v>
      </c>
      <c r="B319">
        <v>319</v>
      </c>
      <c r="C319" s="340" t="str">
        <f>Tabulka1[[#This Row],[KOD]]</f>
        <v>TPDLE1M</v>
      </c>
      <c r="W319" s="804" t="str">
        <f t="shared" si="11"/>
        <v/>
      </c>
      <c r="X319" t="str">
        <f t="shared" si="12"/>
        <v/>
      </c>
      <c r="Y319" s="341">
        <f>IF('General price list'!$AB321="",0,'General price list'!$AB321)</f>
        <v>0</v>
      </c>
      <c r="Z319" s="365" t="str">
        <f>IFERROR(X319*VLOOKUP(C319,'General price list'!C:I,7,FALSE),"")</f>
        <v/>
      </c>
      <c r="AA319" s="805" t="str">
        <f>IF(X319&lt;&gt;"",VLOOKUP(C319,'General price list'!C321:AN1294,MATCH("HM",Tabulka1[[#Headers],[KOD]:[NEQ]],0),FALSE),"")</f>
        <v/>
      </c>
    </row>
    <row r="320" spans="1:27">
      <c r="A320">
        <f>COUNTIF($W$22:W320,1)</f>
        <v>0</v>
      </c>
      <c r="B320">
        <v>320</v>
      </c>
      <c r="C320" s="340" t="str">
        <f>Tabulka1[[#This Row],[KOD]]</f>
        <v>TPDLE1L</v>
      </c>
      <c r="W320" s="804" t="str">
        <f t="shared" si="11"/>
        <v/>
      </c>
      <c r="X320" t="str">
        <f t="shared" si="12"/>
        <v/>
      </c>
      <c r="Y320" s="341">
        <f>IF('General price list'!$AB322="",0,'General price list'!$AB322)</f>
        <v>0</v>
      </c>
      <c r="Z320" s="365" t="str">
        <f>IFERROR(X320*VLOOKUP(C320,'General price list'!C:I,7,FALSE),"")</f>
        <v/>
      </c>
      <c r="AA320" s="805" t="str">
        <f>IF(X320&lt;&gt;"",VLOOKUP(C320,'General price list'!C322:AN1295,MATCH("HM",Tabulka1[[#Headers],[KOD]:[NEQ]],0),FALSE),"")</f>
        <v/>
      </c>
    </row>
    <row r="321" spans="1:27">
      <c r="A321">
        <f>COUNTIF($W$22:W321,1)</f>
        <v>0</v>
      </c>
      <c r="B321">
        <v>321</v>
      </c>
      <c r="C321" s="340" t="str">
        <f>Tabulka1[[#This Row],[KOD]]</f>
        <v>TPDLE1XL</v>
      </c>
      <c r="W321" s="804" t="str">
        <f t="shared" si="11"/>
        <v/>
      </c>
      <c r="X321" t="str">
        <f t="shared" si="12"/>
        <v/>
      </c>
      <c r="Y321" s="341">
        <f>IF('General price list'!$AB323="",0,'General price list'!$AB323)</f>
        <v>0</v>
      </c>
      <c r="Z321" s="365" t="str">
        <f>IFERROR(X321*VLOOKUP(C321,'General price list'!C:I,7,FALSE),"")</f>
        <v/>
      </c>
      <c r="AA321" s="805" t="str">
        <f>IF(X321&lt;&gt;"",VLOOKUP(C321,'General price list'!C323:AN1296,MATCH("HM",Tabulka1[[#Headers],[KOD]:[NEQ]],0),FALSE),"")</f>
        <v/>
      </c>
    </row>
    <row r="322" spans="1:27">
      <c r="A322">
        <f>COUNTIF($W$22:W322,1)</f>
        <v>0</v>
      </c>
      <c r="B322">
        <v>322</v>
      </c>
      <c r="C322" s="340" t="str">
        <f>Tabulka1[[#This Row],[KOD]]</f>
        <v>TPDLE1XXL</v>
      </c>
      <c r="W322" s="804" t="str">
        <f t="shared" si="11"/>
        <v/>
      </c>
      <c r="X322" t="str">
        <f t="shared" si="12"/>
        <v/>
      </c>
      <c r="Y322" s="341">
        <f>IF('General price list'!$AB324="",0,'General price list'!$AB324)</f>
        <v>0</v>
      </c>
      <c r="Z322" s="365" t="str">
        <f>IFERROR(X322*VLOOKUP(C322,'General price list'!C:I,7,FALSE),"")</f>
        <v/>
      </c>
      <c r="AA322" s="805" t="str">
        <f>IF(X322&lt;&gt;"",VLOOKUP(C322,'General price list'!C324:AN1297,MATCH("HM",Tabulka1[[#Headers],[KOD]:[NEQ]],0),FALSE),"")</f>
        <v/>
      </c>
    </row>
    <row r="323" spans="1:27">
      <c r="A323">
        <f>COUNTIF($W$22:W323,1)</f>
        <v>0</v>
      </c>
      <c r="B323">
        <v>323</v>
      </c>
      <c r="C323" s="340">
        <f>Tabulka1[[#This Row],[KOD]]</f>
        <v>0</v>
      </c>
      <c r="W323" s="804" t="str">
        <f t="shared" si="11"/>
        <v/>
      </c>
      <c r="X323" t="str">
        <f t="shared" si="12"/>
        <v/>
      </c>
      <c r="Y323" s="341">
        <f>IF('General price list'!$AB325="",0,'General price list'!$AB325)</f>
        <v>0</v>
      </c>
      <c r="Z323" s="365" t="str">
        <f>IFERROR(X323*VLOOKUP(C323,'General price list'!C:I,7,FALSE),"")</f>
        <v/>
      </c>
      <c r="AA323" s="805" t="str">
        <f>IF(X323&lt;&gt;"",VLOOKUP(C323,'General price list'!C325:AN1298,MATCH("HM",Tabulka1[[#Headers],[KOD]:[NEQ]],0),FALSE),"")</f>
        <v/>
      </c>
    </row>
    <row r="324" spans="1:27">
      <c r="A324">
        <f>COUNTIF($W$22:W324,1)</f>
        <v>0</v>
      </c>
      <c r="B324">
        <v>324</v>
      </c>
      <c r="C324" s="340" t="str">
        <f>Tabulka1[[#This Row],[KOD]]</f>
        <v>VDLE1M</v>
      </c>
      <c r="W324" s="804" t="str">
        <f t="shared" si="11"/>
        <v/>
      </c>
      <c r="X324" t="str">
        <f t="shared" si="12"/>
        <v/>
      </c>
      <c r="Y324" s="341">
        <f>IF('General price list'!$AB326="",0,'General price list'!$AB326)</f>
        <v>0</v>
      </c>
      <c r="Z324" s="365" t="str">
        <f>IFERROR(X324*VLOOKUP(C324,'General price list'!C:I,7,FALSE),"")</f>
        <v/>
      </c>
      <c r="AA324" s="805" t="str">
        <f>IF(X324&lt;&gt;"",VLOOKUP(C324,'General price list'!C326:AN1299,MATCH("HM",Tabulka1[[#Headers],[KOD]:[NEQ]],0),FALSE),"")</f>
        <v/>
      </c>
    </row>
    <row r="325" spans="1:27">
      <c r="A325">
        <f>COUNTIF($W$22:W325,1)</f>
        <v>0</v>
      </c>
      <c r="B325">
        <v>325</v>
      </c>
      <c r="C325" s="340" t="str">
        <f>Tabulka1[[#This Row],[KOD]]</f>
        <v>VDLE1L</v>
      </c>
      <c r="W325" s="804" t="str">
        <f t="shared" si="11"/>
        <v/>
      </c>
      <c r="X325" t="str">
        <f t="shared" si="12"/>
        <v/>
      </c>
      <c r="Y325" s="341">
        <f>IF('General price list'!$AB327="",0,'General price list'!$AB327)</f>
        <v>0</v>
      </c>
      <c r="Z325" s="365" t="str">
        <f>IFERROR(X325*VLOOKUP(C325,'General price list'!C:I,7,FALSE),"")</f>
        <v/>
      </c>
      <c r="AA325" s="805" t="str">
        <f>IF(X325&lt;&gt;"",VLOOKUP(C325,'General price list'!C327:AN1300,MATCH("HM",Tabulka1[[#Headers],[KOD]:[NEQ]],0),FALSE),"")</f>
        <v/>
      </c>
    </row>
    <row r="326" spans="1:27">
      <c r="A326">
        <f>COUNTIF($W$22:W326,1)</f>
        <v>0</v>
      </c>
      <c r="B326">
        <v>326</v>
      </c>
      <c r="C326" s="340" t="str">
        <f>Tabulka1[[#This Row],[KOD]]</f>
        <v>VDLE1XL</v>
      </c>
      <c r="W326" s="804" t="str">
        <f t="shared" si="11"/>
        <v/>
      </c>
      <c r="X326" t="str">
        <f t="shared" si="12"/>
        <v/>
      </c>
      <c r="Y326" s="341">
        <f>IF('General price list'!$AB328="",0,'General price list'!$AB328)</f>
        <v>0</v>
      </c>
      <c r="Z326" s="365" t="str">
        <f>IFERROR(X326*VLOOKUP(C326,'General price list'!C:I,7,FALSE),"")</f>
        <v/>
      </c>
      <c r="AA326" s="805" t="str">
        <f>IF(X326&lt;&gt;"",VLOOKUP(C326,'General price list'!C328:AN1301,MATCH("HM",Tabulka1[[#Headers],[KOD]:[NEQ]],0),FALSE),"")</f>
        <v/>
      </c>
    </row>
    <row r="327" spans="1:27">
      <c r="A327">
        <f>COUNTIF($W$22:W327,1)</f>
        <v>0</v>
      </c>
      <c r="B327">
        <v>327</v>
      </c>
      <c r="C327" s="340" t="str">
        <f>Tabulka1[[#This Row],[KOD]]</f>
        <v>VDLE1XXL</v>
      </c>
      <c r="W327" s="804" t="str">
        <f t="shared" si="11"/>
        <v/>
      </c>
      <c r="X327" t="str">
        <f t="shared" si="12"/>
        <v/>
      </c>
      <c r="Y327" s="341">
        <f>IF('General price list'!$AB329="",0,'General price list'!$AB329)</f>
        <v>0</v>
      </c>
      <c r="Z327" s="365" t="str">
        <f>IFERROR(X327*VLOOKUP(C327,'General price list'!C:I,7,FALSE),"")</f>
        <v/>
      </c>
      <c r="AA327" s="805" t="str">
        <f>IF(X327&lt;&gt;"",VLOOKUP(C327,'General price list'!C329:AN1302,MATCH("HM",Tabulka1[[#Headers],[KOD]:[NEQ]],0),FALSE),"")</f>
        <v/>
      </c>
    </row>
    <row r="328" spans="1:27">
      <c r="A328">
        <f>COUNTIF($W$22:W328,1)</f>
        <v>0</v>
      </c>
      <c r="B328">
        <v>328</v>
      </c>
      <c r="C328" s="340">
        <f>Tabulka1[[#This Row],[KOD]]</f>
        <v>0</v>
      </c>
      <c r="W328" s="804" t="str">
        <f t="shared" si="11"/>
        <v/>
      </c>
      <c r="X328" t="str">
        <f t="shared" si="12"/>
        <v/>
      </c>
      <c r="Y328" s="341">
        <f>IF('General price list'!$AB330="",0,'General price list'!$AB330)</f>
        <v>0</v>
      </c>
      <c r="Z328" s="365" t="str">
        <f>IFERROR(X328*VLOOKUP(C328,'General price list'!C:I,7,FALSE),"")</f>
        <v/>
      </c>
      <c r="AA328" s="805" t="str">
        <f>IF(X328&lt;&gt;"",VLOOKUP(C328,'General price list'!C330:AN1303,MATCH("HM",Tabulka1[[#Headers],[KOD]:[NEQ]],0),FALSE),"")</f>
        <v/>
      </c>
    </row>
    <row r="329" spans="1:27">
      <c r="A329">
        <f>COUNTIF($W$22:W329,1)</f>
        <v>0</v>
      </c>
      <c r="B329">
        <v>329</v>
      </c>
      <c r="C329" s="340" t="str">
        <f>Tabulka1[[#This Row],[KOD]]</f>
        <v>BDLE1M</v>
      </c>
      <c r="W329" s="804" t="str">
        <f t="shared" si="11"/>
        <v/>
      </c>
      <c r="X329" t="str">
        <f t="shared" si="12"/>
        <v/>
      </c>
      <c r="Y329" s="341">
        <f>IF('General price list'!$AB331="",0,'General price list'!$AB331)</f>
        <v>0</v>
      </c>
      <c r="Z329" s="365" t="str">
        <f>IFERROR(X329*VLOOKUP(C329,'General price list'!C:I,7,FALSE),"")</f>
        <v/>
      </c>
      <c r="AA329" s="805" t="str">
        <f>IF(X329&lt;&gt;"",VLOOKUP(C329,'General price list'!C331:AN1304,MATCH("HM",Tabulka1[[#Headers],[KOD]:[NEQ]],0),FALSE),"")</f>
        <v/>
      </c>
    </row>
    <row r="330" spans="1:27">
      <c r="A330">
        <f>COUNTIF($W$22:W330,1)</f>
        <v>0</v>
      </c>
      <c r="B330">
        <v>330</v>
      </c>
      <c r="C330" s="340" t="str">
        <f>Tabulka1[[#This Row],[KOD]]</f>
        <v>BDLE1L</v>
      </c>
      <c r="W330" s="804" t="str">
        <f t="shared" si="11"/>
        <v/>
      </c>
      <c r="X330" t="str">
        <f t="shared" si="12"/>
        <v/>
      </c>
      <c r="Y330" s="341">
        <f>IF('General price list'!$AB332="",0,'General price list'!$AB332)</f>
        <v>0</v>
      </c>
      <c r="Z330" s="365" t="str">
        <f>IFERROR(X330*VLOOKUP(C330,'General price list'!C:I,7,FALSE),"")</f>
        <v/>
      </c>
      <c r="AA330" s="805" t="str">
        <f>IF(X330&lt;&gt;"",VLOOKUP(C330,'General price list'!C332:AN1305,MATCH("HM",Tabulka1[[#Headers],[KOD]:[NEQ]],0),FALSE),"")</f>
        <v/>
      </c>
    </row>
    <row r="331" spans="1:27">
      <c r="A331">
        <f>COUNTIF($W$22:W331,1)</f>
        <v>0</v>
      </c>
      <c r="B331">
        <v>331</v>
      </c>
      <c r="C331" s="340" t="str">
        <f>Tabulka1[[#This Row],[KOD]]</f>
        <v>BDLE1XL</v>
      </c>
      <c r="W331" s="804" t="str">
        <f t="shared" si="11"/>
        <v/>
      </c>
      <c r="X331" t="str">
        <f t="shared" si="12"/>
        <v/>
      </c>
      <c r="Y331" s="341">
        <f>IF('General price list'!$AB333="",0,'General price list'!$AB333)</f>
        <v>0</v>
      </c>
      <c r="Z331" s="365" t="str">
        <f>IFERROR(X331*VLOOKUP(C331,'General price list'!C:I,7,FALSE),"")</f>
        <v/>
      </c>
      <c r="AA331" s="805" t="str">
        <f>IF(X331&lt;&gt;"",VLOOKUP(C331,'General price list'!C333:AN1306,MATCH("HM",Tabulka1[[#Headers],[KOD]:[NEQ]],0),FALSE),"")</f>
        <v/>
      </c>
    </row>
    <row r="332" spans="1:27">
      <c r="A332">
        <f>COUNTIF($W$22:W332,1)</f>
        <v>0</v>
      </c>
      <c r="B332">
        <v>332</v>
      </c>
      <c r="C332" s="340" t="str">
        <f>Tabulka1[[#This Row],[KOD]]</f>
        <v>BDLE1XXL</v>
      </c>
      <c r="W332" s="804" t="str">
        <f t="shared" si="11"/>
        <v/>
      </c>
      <c r="X332" t="str">
        <f t="shared" si="12"/>
        <v/>
      </c>
      <c r="Y332" s="341">
        <f>IF('General price list'!$AB334="",0,'General price list'!$AB334)</f>
        <v>0</v>
      </c>
      <c r="Z332" s="365" t="str">
        <f>IFERROR(X332*VLOOKUP(C332,'General price list'!C:I,7,FALSE),"")</f>
        <v/>
      </c>
      <c r="AA332" s="805" t="str">
        <f>IF(X332&lt;&gt;"",VLOOKUP(C332,'General price list'!C334:AN1307,MATCH("HM",Tabulka1[[#Headers],[KOD]:[NEQ]],0),FALSE),"")</f>
        <v/>
      </c>
    </row>
    <row r="333" spans="1:27">
      <c r="A333">
        <f>COUNTIF($W$22:W333,1)</f>
        <v>0</v>
      </c>
      <c r="B333">
        <v>333</v>
      </c>
      <c r="C333" s="340">
        <f>Tabulka1[[#This Row],[KOD]]</f>
        <v>0</v>
      </c>
      <c r="W333" s="804" t="str">
        <f t="shared" si="11"/>
        <v/>
      </c>
      <c r="X333" t="str">
        <f t="shared" si="12"/>
        <v/>
      </c>
      <c r="Y333" s="341">
        <f>IF('General price list'!$AB335="",0,'General price list'!$AB335)</f>
        <v>0</v>
      </c>
      <c r="Z333" s="365" t="str">
        <f>IFERROR(X333*VLOOKUP(C333,'General price list'!C:I,7,FALSE),"")</f>
        <v/>
      </c>
      <c r="AA333" s="805" t="str">
        <f>IF(X333&lt;&gt;"",VLOOKUP(C333,'General price list'!C335:AN1308,MATCH("HM",Tabulka1[[#Headers],[KOD]:[NEQ]],0),FALSE),"")</f>
        <v/>
      </c>
    </row>
    <row r="334" spans="1:27">
      <c r="A334">
        <f>COUNTIF($W$22:W334,1)</f>
        <v>0</v>
      </c>
      <c r="B334">
        <v>334</v>
      </c>
      <c r="C334" s="340" t="str">
        <f>Tabulka1[[#This Row],[KOD]]</f>
        <v>MDLE1M</v>
      </c>
      <c r="W334" s="804" t="str">
        <f t="shared" si="11"/>
        <v/>
      </c>
      <c r="X334" t="str">
        <f t="shared" si="12"/>
        <v/>
      </c>
      <c r="Y334" s="341">
        <f>IF('General price list'!$AB336="",0,'General price list'!$AB336)</f>
        <v>0</v>
      </c>
      <c r="Z334" s="365" t="str">
        <f>IFERROR(X334*VLOOKUP(C334,'General price list'!C:I,7,FALSE),"")</f>
        <v/>
      </c>
      <c r="AA334" s="805" t="str">
        <f>IF(X334&lt;&gt;"",VLOOKUP(C334,'General price list'!C336:AN1309,MATCH("HM",Tabulka1[[#Headers],[KOD]:[NEQ]],0),FALSE),"")</f>
        <v/>
      </c>
    </row>
    <row r="335" spans="1:27">
      <c r="A335">
        <f>COUNTIF($W$22:W335,1)</f>
        <v>0</v>
      </c>
      <c r="B335">
        <v>335</v>
      </c>
      <c r="C335" s="340" t="str">
        <f>Tabulka1[[#This Row],[KOD]]</f>
        <v>MDLE1L</v>
      </c>
      <c r="W335" s="804" t="str">
        <f t="shared" si="11"/>
        <v/>
      </c>
      <c r="X335" t="str">
        <f t="shared" si="12"/>
        <v/>
      </c>
      <c r="Y335" s="341">
        <f>IF('General price list'!$AB337="",0,'General price list'!$AB337)</f>
        <v>0</v>
      </c>
      <c r="Z335" s="365" t="str">
        <f>IFERROR(X335*VLOOKUP(C335,'General price list'!C:I,7,FALSE),"")</f>
        <v/>
      </c>
      <c r="AA335" s="805" t="str">
        <f>IF(X335&lt;&gt;"",VLOOKUP(C335,'General price list'!C337:AN1310,MATCH("HM",Tabulka1[[#Headers],[KOD]:[NEQ]],0),FALSE),"")</f>
        <v/>
      </c>
    </row>
    <row r="336" spans="1:27">
      <c r="A336">
        <f>COUNTIF($W$22:W336,1)</f>
        <v>0</v>
      </c>
      <c r="B336">
        <v>336</v>
      </c>
      <c r="C336" s="340" t="str">
        <f>Tabulka1[[#This Row],[KOD]]</f>
        <v>MDLE1XL</v>
      </c>
      <c r="W336" s="804" t="str">
        <f t="shared" si="11"/>
        <v/>
      </c>
      <c r="X336" t="str">
        <f t="shared" si="12"/>
        <v/>
      </c>
      <c r="Y336" s="341">
        <f>IF('General price list'!$AB338="",0,'General price list'!$AB338)</f>
        <v>0</v>
      </c>
      <c r="Z336" s="365" t="str">
        <f>IFERROR(X336*VLOOKUP(C336,'General price list'!C:I,7,FALSE),"")</f>
        <v/>
      </c>
      <c r="AA336" s="805" t="str">
        <f>IF(X336&lt;&gt;"",VLOOKUP(C336,'General price list'!C338:AN1311,MATCH("HM",Tabulka1[[#Headers],[KOD]:[NEQ]],0),FALSE),"")</f>
        <v/>
      </c>
    </row>
    <row r="337" spans="1:27">
      <c r="A337">
        <f>COUNTIF($W$22:W337,1)</f>
        <v>0</v>
      </c>
      <c r="B337">
        <v>337</v>
      </c>
      <c r="C337" s="340" t="str">
        <f>Tabulka1[[#This Row],[KOD]]</f>
        <v>MDLE1XXL</v>
      </c>
      <c r="W337" s="804" t="str">
        <f t="shared" si="11"/>
        <v/>
      </c>
      <c r="X337" t="str">
        <f t="shared" si="12"/>
        <v/>
      </c>
      <c r="Y337" s="341">
        <f>IF('General price list'!$AB339="",0,'General price list'!$AB339)</f>
        <v>0</v>
      </c>
      <c r="Z337" s="365" t="str">
        <f>IFERROR(X337*VLOOKUP(C337,'General price list'!C:I,7,FALSE),"")</f>
        <v/>
      </c>
      <c r="AA337" s="805" t="str">
        <f>IF(X337&lt;&gt;"",VLOOKUP(C337,'General price list'!C339:AN1312,MATCH("HM",Tabulka1[[#Headers],[KOD]:[NEQ]],0),FALSE),"")</f>
        <v/>
      </c>
    </row>
    <row r="338" spans="1:27">
      <c r="A338">
        <f>COUNTIF($W$22:W338,1)</f>
        <v>0</v>
      </c>
      <c r="B338">
        <v>338</v>
      </c>
      <c r="C338" s="340">
        <f>Tabulka1[[#This Row],[KOD]]</f>
        <v>0</v>
      </c>
      <c r="W338" s="804" t="str">
        <f t="shared" si="11"/>
        <v/>
      </c>
      <c r="X338" t="str">
        <f t="shared" si="12"/>
        <v/>
      </c>
      <c r="Y338" s="341">
        <f>IF('General price list'!$AB340="",0,'General price list'!$AB340)</f>
        <v>0</v>
      </c>
      <c r="Z338" s="365" t="str">
        <f>IFERROR(X338*VLOOKUP(C338,'General price list'!C:I,7,FALSE),"")</f>
        <v/>
      </c>
      <c r="AA338" s="805" t="str">
        <f>IF(X338&lt;&gt;"",VLOOKUP(C338,'General price list'!C340:AN1313,MATCH("HM",Tabulka1[[#Headers],[KOD]:[NEQ]],0),FALSE),"")</f>
        <v/>
      </c>
    </row>
    <row r="339" spans="1:27">
      <c r="A339">
        <f>COUNTIF($W$22:W339,1)</f>
        <v>0</v>
      </c>
      <c r="B339">
        <v>339</v>
      </c>
      <c r="C339" s="340" t="str">
        <f>Tabulka1[[#This Row],[KOD]]</f>
        <v>MDLEZ1M</v>
      </c>
      <c r="W339" s="804" t="str">
        <f t="shared" si="11"/>
        <v/>
      </c>
      <c r="X339" t="str">
        <f t="shared" si="12"/>
        <v/>
      </c>
      <c r="Y339" s="341">
        <f>IF('General price list'!$AB341="",0,'General price list'!$AB341)</f>
        <v>0</v>
      </c>
      <c r="Z339" s="365" t="str">
        <f>IFERROR(X339*VLOOKUP(C339,'General price list'!C:I,7,FALSE),"")</f>
        <v/>
      </c>
      <c r="AA339" s="805" t="str">
        <f>IF(X339&lt;&gt;"",VLOOKUP(C339,'General price list'!C341:AN1314,MATCH("HM",Tabulka1[[#Headers],[KOD]:[NEQ]],0),FALSE),"")</f>
        <v/>
      </c>
    </row>
    <row r="340" spans="1:27">
      <c r="A340">
        <f>COUNTIF($W$22:W340,1)</f>
        <v>0</v>
      </c>
      <c r="B340">
        <v>340</v>
      </c>
      <c r="C340" s="340" t="str">
        <f>Tabulka1[[#This Row],[KOD]]</f>
        <v>MDLEZ1L</v>
      </c>
      <c r="W340" s="804" t="str">
        <f t="shared" si="11"/>
        <v/>
      </c>
      <c r="X340" t="str">
        <f t="shared" si="12"/>
        <v/>
      </c>
      <c r="Y340" s="341">
        <f>IF('General price list'!$AB342="",0,'General price list'!$AB342)</f>
        <v>0</v>
      </c>
      <c r="Z340" s="365" t="str">
        <f>IFERROR(X340*VLOOKUP(C340,'General price list'!C:I,7,FALSE),"")</f>
        <v/>
      </c>
      <c r="AA340" s="805" t="str">
        <f>IF(X340&lt;&gt;"",VLOOKUP(C340,'General price list'!C342:AN1315,MATCH("HM",Tabulka1[[#Headers],[KOD]:[NEQ]],0),FALSE),"")</f>
        <v/>
      </c>
    </row>
    <row r="341" spans="1:27">
      <c r="A341">
        <f>COUNTIF($W$22:W341,1)</f>
        <v>0</v>
      </c>
      <c r="B341">
        <v>341</v>
      </c>
      <c r="C341" s="340" t="str">
        <f>Tabulka1[[#This Row],[KOD]]</f>
        <v>MDLEZ1XL</v>
      </c>
      <c r="W341" s="804" t="str">
        <f t="shared" si="11"/>
        <v/>
      </c>
      <c r="X341" t="str">
        <f t="shared" si="12"/>
        <v/>
      </c>
      <c r="Y341" s="341">
        <f>IF('General price list'!$AB343="",0,'General price list'!$AB343)</f>
        <v>0</v>
      </c>
      <c r="Z341" s="365" t="str">
        <f>IFERROR(X341*VLOOKUP(C341,'General price list'!C:I,7,FALSE),"")</f>
        <v/>
      </c>
      <c r="AA341" s="805" t="str">
        <f>IF(X341&lt;&gt;"",VLOOKUP(C341,'General price list'!C343:AN1316,MATCH("HM",Tabulka1[[#Headers],[KOD]:[NEQ]],0),FALSE),"")</f>
        <v/>
      </c>
    </row>
    <row r="342" spans="1:27">
      <c r="A342">
        <f>COUNTIF($W$22:W342,1)</f>
        <v>0</v>
      </c>
      <c r="B342">
        <v>342</v>
      </c>
      <c r="C342" s="340" t="str">
        <f>Tabulka1[[#This Row],[KOD]]</f>
        <v>MDLEZ1XXL</v>
      </c>
      <c r="W342" s="804" t="str">
        <f t="shared" si="11"/>
        <v/>
      </c>
      <c r="X342" t="str">
        <f t="shared" si="12"/>
        <v/>
      </c>
      <c r="Y342" s="341">
        <f>IF('General price list'!$AB344="",0,'General price list'!$AB344)</f>
        <v>0</v>
      </c>
      <c r="Z342" s="365" t="str">
        <f>IFERROR(X342*VLOOKUP(C342,'General price list'!C:I,7,FALSE),"")</f>
        <v/>
      </c>
      <c r="AA342" s="805" t="str">
        <f>IF(X342&lt;&gt;"",VLOOKUP(C342,'General price list'!C344:AN1317,MATCH("HM",Tabulka1[[#Headers],[KOD]:[NEQ]],0),FALSE),"")</f>
        <v/>
      </c>
    </row>
    <row r="343" spans="1:27">
      <c r="A343">
        <f>COUNTIF($W$22:W343,1)</f>
        <v>0</v>
      </c>
      <c r="B343">
        <v>343</v>
      </c>
      <c r="C343" s="340">
        <f>Tabulka1[[#This Row],[KOD]]</f>
        <v>0</v>
      </c>
      <c r="W343" s="804" t="str">
        <f t="shared" si="11"/>
        <v/>
      </c>
      <c r="X343" t="str">
        <f t="shared" si="12"/>
        <v/>
      </c>
      <c r="Y343" s="341">
        <f>IF('General price list'!$AB345="",0,'General price list'!$AB345)</f>
        <v>0</v>
      </c>
      <c r="Z343" s="365" t="str">
        <f>IFERROR(X343*VLOOKUP(C343,'General price list'!C:I,7,FALSE),"")</f>
        <v/>
      </c>
      <c r="AA343" s="805" t="str">
        <f>IF(X343&lt;&gt;"",VLOOKUP(C343,'General price list'!C345:AN1318,MATCH("HM",Tabulka1[[#Headers],[KOD]:[NEQ]],0),FALSE),"")</f>
        <v/>
      </c>
    </row>
    <row r="344" spans="1:27">
      <c r="A344">
        <f>COUNTIF($W$22:W344,1)</f>
        <v>0</v>
      </c>
      <c r="B344">
        <v>344</v>
      </c>
      <c r="C344" s="340" t="str">
        <f>Tabulka1[[#This Row],[KOD]]</f>
        <v>KDLE1</v>
      </c>
      <c r="W344" s="804" t="str">
        <f t="shared" si="11"/>
        <v/>
      </c>
      <c r="X344" t="str">
        <f t="shared" si="12"/>
        <v/>
      </c>
      <c r="Y344" s="341">
        <f>IF('General price list'!$AB346="",0,'General price list'!$AB346)</f>
        <v>0</v>
      </c>
      <c r="Z344" s="365" t="str">
        <f>IFERROR(X344*VLOOKUP(C344,'General price list'!C:I,7,FALSE),"")</f>
        <v/>
      </c>
      <c r="AA344" s="805" t="str">
        <f>IF(X344&lt;&gt;"",VLOOKUP(C344,'General price list'!C346:AN1319,MATCH("HM",Tabulka1[[#Headers],[KOD]:[NEQ]],0),FALSE),"")</f>
        <v/>
      </c>
    </row>
    <row r="345" spans="1:27">
      <c r="A345">
        <f>COUNTIF($W$22:W345,1)</f>
        <v>0</v>
      </c>
      <c r="B345">
        <v>345</v>
      </c>
      <c r="C345" s="340" t="str">
        <f>Tabulka1[[#This Row],[KOD]]</f>
        <v>CDLE1</v>
      </c>
      <c r="W345" s="804" t="str">
        <f t="shared" ref="W345:W408" si="13">IF(Y345+1=1,"",1)</f>
        <v/>
      </c>
      <c r="X345" t="str">
        <f t="shared" ref="X345:X408" si="14">IF(OR(A345&lt;$E$20,A345&gt;$E$21),"",IF(Y345=0,"",Y345))</f>
        <v/>
      </c>
      <c r="Y345" s="341">
        <f>IF('General price list'!$AB347="",0,'General price list'!$AB347)</f>
        <v>0</v>
      </c>
      <c r="Z345" s="365" t="str">
        <f>IFERROR(X345*VLOOKUP(C345,'General price list'!C:I,7,FALSE),"")</f>
        <v/>
      </c>
      <c r="AA345" s="805" t="str">
        <f>IF(X345&lt;&gt;"",VLOOKUP(C345,'General price list'!C347:AN1320,MATCH("HM",Tabulka1[[#Headers],[KOD]:[NEQ]],0),FALSE),"")</f>
        <v/>
      </c>
    </row>
    <row r="346" spans="1:27">
      <c r="A346">
        <f>COUNTIF($W$22:W346,1)</f>
        <v>0</v>
      </c>
      <c r="B346">
        <v>346</v>
      </c>
      <c r="C346" s="340">
        <f>Tabulka1[[#This Row],[KOD]]</f>
        <v>0</v>
      </c>
      <c r="W346" s="804" t="str">
        <f t="shared" si="13"/>
        <v/>
      </c>
      <c r="X346" t="str">
        <f t="shared" si="14"/>
        <v/>
      </c>
      <c r="Y346" s="341">
        <f>IF('General price list'!$AB348="",0,'General price list'!$AB348)</f>
        <v>0</v>
      </c>
      <c r="Z346" s="365" t="str">
        <f>IFERROR(X346*VLOOKUP(C346,'General price list'!C:I,7,FALSE),"")</f>
        <v/>
      </c>
      <c r="AA346" s="805" t="str">
        <f>IF(X346&lt;&gt;"",VLOOKUP(C346,'General price list'!C348:AN1321,MATCH("HM",Tabulka1[[#Headers],[KOD]:[NEQ]],0),FALSE),"")</f>
        <v/>
      </c>
    </row>
    <row r="347" spans="1:27">
      <c r="A347">
        <f>COUNTIF($W$22:W347,1)</f>
        <v>0</v>
      </c>
      <c r="B347">
        <v>347</v>
      </c>
      <c r="C347" s="340" t="str">
        <f>Tabulka1[[#This Row],[KOD]]</f>
        <v>N1</v>
      </c>
      <c r="W347" s="804" t="str">
        <f t="shared" si="13"/>
        <v/>
      </c>
      <c r="X347" t="str">
        <f t="shared" si="14"/>
        <v/>
      </c>
      <c r="Y347" s="341">
        <f>IF('General price list'!$AB349="",0,'General price list'!$AB349)</f>
        <v>0</v>
      </c>
      <c r="Z347" s="365" t="str">
        <f>IFERROR(X347*VLOOKUP(C347,'General price list'!C:I,7,FALSE),"")</f>
        <v/>
      </c>
      <c r="AA347" s="805" t="str">
        <f>IF(X347&lt;&gt;"",VLOOKUP(C347,'General price list'!C349:AN1322,MATCH("HM",Tabulka1[[#Headers],[KOD]:[NEQ]],0),FALSE),"")</f>
        <v/>
      </c>
    </row>
    <row r="348" spans="1:27">
      <c r="A348">
        <f>COUNTIF($W$22:W348,1)</f>
        <v>0</v>
      </c>
      <c r="B348">
        <v>348</v>
      </c>
      <c r="C348" s="340" t="str">
        <f>Tabulka1[[#This Row],[KOD]]</f>
        <v>RUN1</v>
      </c>
      <c r="W348" s="804" t="str">
        <f t="shared" si="13"/>
        <v/>
      </c>
      <c r="X348" t="str">
        <f t="shared" si="14"/>
        <v/>
      </c>
      <c r="Y348" s="341">
        <f>IF('General price list'!$AB350="",0,'General price list'!$AB350)</f>
        <v>0</v>
      </c>
      <c r="Z348" s="365" t="str">
        <f>IFERROR(X348*VLOOKUP(C348,'General price list'!C:I,7,FALSE),"")</f>
        <v/>
      </c>
      <c r="AA348" s="805" t="str">
        <f>IF(X348&lt;&gt;"",VLOOKUP(C348,'General price list'!C350:AN1323,MATCH("HM",Tabulka1[[#Headers],[KOD]:[NEQ]],0),FALSE),"")</f>
        <v/>
      </c>
    </row>
    <row r="349" spans="1:27">
      <c r="A349">
        <f>COUNTIF($W$22:W349,1)</f>
        <v>0</v>
      </c>
      <c r="B349">
        <v>349</v>
      </c>
      <c r="C349" s="340" t="str">
        <f>Tabulka1[[#This Row],[KOD]]</f>
        <v>RT1DU</v>
      </c>
      <c r="W349" s="804" t="str">
        <f t="shared" si="13"/>
        <v/>
      </c>
      <c r="X349" t="str">
        <f t="shared" si="14"/>
        <v/>
      </c>
      <c r="Y349" s="341">
        <f>IF('General price list'!$AB351="",0,'General price list'!$AB351)</f>
        <v>0</v>
      </c>
      <c r="Z349" s="365" t="str">
        <f>IFERROR(X349*VLOOKUP(C349,'General price list'!C:I,7,FALSE),"")</f>
        <v/>
      </c>
      <c r="AA349" s="805" t="str">
        <f>IF(X349&lt;&gt;"",VLOOKUP(C349,'General price list'!C351:AN1324,MATCH("HM",Tabulka1[[#Headers],[KOD]:[NEQ]],0),FALSE),"")</f>
        <v/>
      </c>
    </row>
    <row r="350" spans="1:27">
      <c r="A350">
        <f>COUNTIF($W$22:W350,1)</f>
        <v>0</v>
      </c>
      <c r="B350">
        <v>350</v>
      </c>
      <c r="C350" s="340" t="str">
        <f>Tabulka1[[#This Row],[KOD]]</f>
        <v>PL1DU</v>
      </c>
      <c r="W350" s="804" t="str">
        <f t="shared" si="13"/>
        <v/>
      </c>
      <c r="X350" t="str">
        <f t="shared" si="14"/>
        <v/>
      </c>
      <c r="Y350" s="341">
        <f>IF('General price list'!$AB352="",0,'General price list'!$AB352)</f>
        <v>0</v>
      </c>
      <c r="Z350" s="365" t="str">
        <f>IFERROR(X350*VLOOKUP(C350,'General price list'!C:I,7,FALSE),"")</f>
        <v/>
      </c>
      <c r="AA350" s="805" t="str">
        <f>IF(X350&lt;&gt;"",VLOOKUP(C350,'General price list'!C352:AN1325,MATCH("HM",Tabulka1[[#Headers],[KOD]:[NEQ]],0),FALSE),"")</f>
        <v/>
      </c>
    </row>
    <row r="351" spans="1:27">
      <c r="A351">
        <f>COUNTIF($W$22:W351,1)</f>
        <v>0</v>
      </c>
      <c r="B351">
        <v>351</v>
      </c>
      <c r="C351" s="340" t="str">
        <f>Tabulka1[[#This Row],[KOD]]</f>
        <v>ZD1</v>
      </c>
      <c r="W351" s="804" t="str">
        <f t="shared" si="13"/>
        <v/>
      </c>
      <c r="X351" t="str">
        <f t="shared" si="14"/>
        <v/>
      </c>
      <c r="Y351" s="341">
        <f>IF('General price list'!$AB353="",0,'General price list'!$AB353)</f>
        <v>0</v>
      </c>
      <c r="Z351" s="365" t="str">
        <f>IFERROR(X351*VLOOKUP(C351,'General price list'!C:I,7,FALSE),"")</f>
        <v/>
      </c>
      <c r="AA351" s="805" t="str">
        <f>IF(X351&lt;&gt;"",VLOOKUP(C351,'General price list'!C353:AN1326,MATCH("HM",Tabulka1[[#Headers],[KOD]:[NEQ]],0),FALSE),"")</f>
        <v/>
      </c>
    </row>
    <row r="352" spans="1:27">
      <c r="A352">
        <f>COUNTIF($W$22:W352,1)</f>
        <v>0</v>
      </c>
      <c r="B352">
        <v>352</v>
      </c>
      <c r="C352" s="340" t="str">
        <f>Tabulka1[[#This Row],[KOD]]</f>
        <v>UZD2</v>
      </c>
      <c r="W352" s="804" t="str">
        <f t="shared" si="13"/>
        <v/>
      </c>
      <c r="X352" t="str">
        <f t="shared" si="14"/>
        <v/>
      </c>
      <c r="Y352" s="341">
        <f>IF('General price list'!$AB354="",0,'General price list'!$AB354)</f>
        <v>0</v>
      </c>
      <c r="Z352" s="365" t="str">
        <f>IFERROR(X352*VLOOKUP(C352,'General price list'!C:I,7,FALSE),"")</f>
        <v/>
      </c>
      <c r="AA352" s="805" t="str">
        <f>IF(X352&lt;&gt;"",VLOOKUP(C352,'General price list'!C354:AN1327,MATCH("HM",Tabulka1[[#Headers],[KOD]:[NEQ]],0),FALSE),"")</f>
        <v/>
      </c>
    </row>
    <row r="353" spans="1:27">
      <c r="A353">
        <f>COUNTIF($W$22:W353,1)</f>
        <v>0</v>
      </c>
      <c r="B353">
        <v>353</v>
      </c>
      <c r="C353" s="340" t="str">
        <f>Tabulka1[[#This Row],[KOD]]</f>
        <v>ND1</v>
      </c>
      <c r="W353" s="804" t="str">
        <f t="shared" si="13"/>
        <v/>
      </c>
      <c r="X353" t="str">
        <f t="shared" si="14"/>
        <v/>
      </c>
      <c r="Y353" s="341">
        <f>IF('General price list'!$AB355="",0,'General price list'!$AB355)</f>
        <v>0</v>
      </c>
      <c r="Z353" s="365" t="str">
        <f>IFERROR(X353*VLOOKUP(C353,'General price list'!C:I,7,FALSE),"")</f>
        <v/>
      </c>
      <c r="AA353" s="805" t="str">
        <f>IF(X353&lt;&gt;"",VLOOKUP(C353,'General price list'!C355:AN1328,MATCH("HM",Tabulka1[[#Headers],[KOD]:[NEQ]],0),FALSE),"")</f>
        <v/>
      </c>
    </row>
    <row r="354" spans="1:27">
      <c r="A354">
        <f>COUNTIF($W$22:W354,1)</f>
        <v>0</v>
      </c>
      <c r="B354">
        <v>354</v>
      </c>
      <c r="C354" s="340" t="str">
        <f>Tabulka1[[#This Row],[KOD]]</f>
        <v>T2</v>
      </c>
      <c r="W354" s="804" t="str">
        <f t="shared" si="13"/>
        <v/>
      </c>
      <c r="X354" t="str">
        <f t="shared" si="14"/>
        <v/>
      </c>
      <c r="Y354" s="341">
        <f>IF('General price list'!$AB356="",0,'General price list'!$AB356)</f>
        <v>0</v>
      </c>
      <c r="Z354" s="365" t="str">
        <f>IFERROR(X354*VLOOKUP(C354,'General price list'!C:I,7,FALSE),"")</f>
        <v/>
      </c>
      <c r="AA354" s="805" t="str">
        <f>IF(X354&lt;&gt;"",VLOOKUP(C354,'General price list'!C356:AN1329,MATCH("HM",Tabulka1[[#Headers],[KOD]:[NEQ]],0),FALSE),"")</f>
        <v/>
      </c>
    </row>
    <row r="355" spans="1:27">
      <c r="A355">
        <f>COUNTIF($W$22:W355,1)</f>
        <v>0</v>
      </c>
      <c r="B355">
        <v>355</v>
      </c>
      <c r="C355" s="340" t="str">
        <f>Tabulka1[[#This Row],[KOD]]</f>
        <v>KK2025</v>
      </c>
      <c r="W355" s="804" t="str">
        <f t="shared" si="13"/>
        <v/>
      </c>
      <c r="X355" t="str">
        <f t="shared" si="14"/>
        <v/>
      </c>
      <c r="Y355" s="341">
        <f>IF('General price list'!$AB357="",0,'General price list'!$AB357)</f>
        <v>0</v>
      </c>
      <c r="Z355" s="365" t="str">
        <f>IFERROR(X355*VLOOKUP(C355,'General price list'!C:I,7,FALSE),"")</f>
        <v/>
      </c>
      <c r="AA355" s="805" t="str">
        <f>IF(X355&lt;&gt;"",VLOOKUP(C355,'General price list'!C357:AN1330,MATCH("HM",Tabulka1[[#Headers],[KOD]:[NEQ]],0),FALSE),"")</f>
        <v/>
      </c>
    </row>
    <row r="356" spans="1:27">
      <c r="A356">
        <f>COUNTIF($W$22:W356,1)</f>
        <v>0</v>
      </c>
      <c r="B356">
        <v>356</v>
      </c>
      <c r="C356" s="340" t="str">
        <f>Tabulka1[[#This Row],[KOD]]</f>
        <v>HD1</v>
      </c>
      <c r="W356" s="804" t="str">
        <f t="shared" si="13"/>
        <v/>
      </c>
      <c r="X356" t="str">
        <f t="shared" si="14"/>
        <v/>
      </c>
      <c r="Y356" s="341">
        <f>IF('General price list'!$AB358="",0,'General price list'!$AB358)</f>
        <v>0</v>
      </c>
      <c r="Z356" s="365" t="str">
        <f>IFERROR(X356*VLOOKUP(C356,'General price list'!C:I,7,FALSE),"")</f>
        <v/>
      </c>
      <c r="AA356" s="805" t="str">
        <f>IF(X356&lt;&gt;"",VLOOKUP(C356,'General price list'!C358:AN1331,MATCH("HM",Tabulka1[[#Headers],[KOD]:[NEQ]],0),FALSE),"")</f>
        <v/>
      </c>
    </row>
    <row r="357" spans="1:27">
      <c r="A357">
        <f>COUNTIF($W$22:W357,1)</f>
        <v>0</v>
      </c>
      <c r="B357">
        <v>357</v>
      </c>
      <c r="C357" s="340" t="str">
        <f>Tabulka1[[#This Row],[KOD]]</f>
        <v>PPMD1</v>
      </c>
      <c r="W357" s="804" t="str">
        <f t="shared" si="13"/>
        <v/>
      </c>
      <c r="X357" t="str">
        <f t="shared" si="14"/>
        <v/>
      </c>
      <c r="Y357" s="341">
        <f>IF('General price list'!$AB359="",0,'General price list'!$AB359)</f>
        <v>0</v>
      </c>
      <c r="Z357" s="365" t="str">
        <f>IFERROR(X357*VLOOKUP(C357,'General price list'!C:I,7,FALSE),"")</f>
        <v/>
      </c>
      <c r="AA357" s="805" t="str">
        <f>IF(X357&lt;&gt;"",VLOOKUP(C357,'General price list'!C359:AN1332,MATCH("HM",Tabulka1[[#Headers],[KOD]:[NEQ]],0),FALSE),"")</f>
        <v/>
      </c>
    </row>
    <row r="358" spans="1:27">
      <c r="A358">
        <f>COUNTIF($W$22:W358,1)</f>
        <v>0</v>
      </c>
      <c r="B358">
        <v>358</v>
      </c>
      <c r="C358" s="340" t="str">
        <f>Tabulka1[[#This Row],[KOD]]</f>
        <v>DD1</v>
      </c>
      <c r="W358" s="804" t="str">
        <f t="shared" si="13"/>
        <v/>
      </c>
      <c r="X358" t="str">
        <f t="shared" si="14"/>
        <v/>
      </c>
      <c r="Y358" s="341">
        <f>IF('General price list'!$AB360="",0,'General price list'!$AB360)</f>
        <v>0</v>
      </c>
      <c r="Z358" s="365" t="str">
        <f>IFERROR(X358*VLOOKUP(C358,'General price list'!C:I,7,FALSE),"")</f>
        <v/>
      </c>
      <c r="AA358" s="805" t="str">
        <f>IF(X358&lt;&gt;"",VLOOKUP(C358,'General price list'!C360:AN1333,MATCH("HM",Tabulka1[[#Headers],[KOD]:[NEQ]],0),FALSE),"")</f>
        <v/>
      </c>
    </row>
    <row r="359" spans="1:27">
      <c r="A359">
        <f>COUNTIF($W$22:W359,1)</f>
        <v>0</v>
      </c>
      <c r="B359">
        <v>359</v>
      </c>
      <c r="C359" s="340" t="str">
        <f>Tabulka1[[#This Row],[KOD]]</f>
        <v>KKD1</v>
      </c>
      <c r="W359" s="804" t="str">
        <f t="shared" si="13"/>
        <v/>
      </c>
      <c r="X359" t="str">
        <f t="shared" si="14"/>
        <v/>
      </c>
      <c r="Y359" s="341">
        <f>IF('General price list'!$AB361="",0,'General price list'!$AB361)</f>
        <v>0</v>
      </c>
      <c r="Z359" s="365" t="str">
        <f>IFERROR(X359*VLOOKUP(C359,'General price list'!C:I,7,FALSE),"")</f>
        <v/>
      </c>
      <c r="AA359" s="805" t="str">
        <f>IF(X359&lt;&gt;"",VLOOKUP(C359,'General price list'!C361:AN1334,MATCH("HM",Tabulka1[[#Headers],[KOD]:[NEQ]],0),FALSE),"")</f>
        <v/>
      </c>
    </row>
    <row r="360" spans="1:27">
      <c r="A360">
        <f>COUNTIF($W$22:W360,1)</f>
        <v>0</v>
      </c>
      <c r="B360">
        <v>360</v>
      </c>
      <c r="C360" s="340" t="str">
        <f>Tabulka1[[#This Row],[KOD]]</f>
        <v>LO1DU</v>
      </c>
      <c r="W360" s="804" t="str">
        <f t="shared" si="13"/>
        <v/>
      </c>
      <c r="X360" t="str">
        <f t="shared" si="14"/>
        <v/>
      </c>
      <c r="Y360" s="341">
        <f>IF('General price list'!$AB362="",0,'General price list'!$AB362)</f>
        <v>0</v>
      </c>
      <c r="Z360" s="365" t="str">
        <f>IFERROR(X360*VLOOKUP(C360,'General price list'!C:I,7,FALSE),"")</f>
        <v/>
      </c>
      <c r="AA360" s="805" t="str">
        <f>IF(X360&lt;&gt;"",VLOOKUP(C360,'General price list'!C362:AN1335,MATCH("HM",Tabulka1[[#Headers],[KOD]:[NEQ]],0),FALSE),"")</f>
        <v/>
      </c>
    </row>
    <row r="361" spans="1:27">
      <c r="A361">
        <f>COUNTIF($W$22:W361,1)</f>
        <v>0</v>
      </c>
      <c r="B361">
        <v>361</v>
      </c>
      <c r="C361" s="340">
        <f>Tabulka1[[#This Row],[KOD]]</f>
        <v>0</v>
      </c>
      <c r="W361" s="804" t="str">
        <f t="shared" si="13"/>
        <v/>
      </c>
      <c r="X361" t="str">
        <f t="shared" si="14"/>
        <v/>
      </c>
      <c r="Y361" s="341">
        <f>IF('General price list'!$AB363="",0,'General price list'!$AB363)</f>
        <v>0</v>
      </c>
      <c r="Z361" s="365" t="str">
        <f>IFERROR(X361*VLOOKUP(C361,'General price list'!C:I,7,FALSE),"")</f>
        <v/>
      </c>
      <c r="AA361" s="805" t="str">
        <f>IF(X361&lt;&gt;"",VLOOKUP(C361,'General price list'!C363:AN1336,MATCH("HM",Tabulka1[[#Headers],[KOD]:[NEQ]],0),FALSE),"")</f>
        <v/>
      </c>
    </row>
    <row r="362" spans="1:27">
      <c r="A362">
        <f>COUNTIF($W$22:W362,1)</f>
        <v>0</v>
      </c>
      <c r="B362">
        <v>362</v>
      </c>
      <c r="C362" s="340" t="str">
        <f>Tabulka1[[#This Row],[KOD]]</f>
        <v>OZ4</v>
      </c>
      <c r="W362" s="804" t="str">
        <f t="shared" si="13"/>
        <v/>
      </c>
      <c r="X362" t="str">
        <f t="shared" si="14"/>
        <v/>
      </c>
      <c r="Y362" s="341">
        <f>IF('General price list'!$AB364="",0,'General price list'!$AB364)</f>
        <v>0</v>
      </c>
      <c r="Z362" s="365" t="str">
        <f>IFERROR(X362*VLOOKUP(C362,'General price list'!C:I,7,FALSE),"")</f>
        <v/>
      </c>
      <c r="AA362" s="805" t="str">
        <f>IF(X362&lt;&gt;"",VLOOKUP(C362,'General price list'!C364:AN1337,MATCH("HM",Tabulka1[[#Headers],[KOD]:[NEQ]],0),FALSE),"")</f>
        <v/>
      </c>
    </row>
    <row r="363" spans="1:27">
      <c r="A363">
        <f>COUNTIF($W$22:W363,1)</f>
        <v>0</v>
      </c>
      <c r="B363">
        <v>363</v>
      </c>
      <c r="C363" s="340" t="str">
        <f>Tabulka1[[#This Row],[KOD]]</f>
        <v>ZS5M</v>
      </c>
      <c r="W363" s="804" t="str">
        <f t="shared" si="13"/>
        <v/>
      </c>
      <c r="X363" t="str">
        <f t="shared" si="14"/>
        <v/>
      </c>
      <c r="Y363" s="341">
        <f>IF('General price list'!$AB365="",0,'General price list'!$AB365)</f>
        <v>0</v>
      </c>
      <c r="Z363" s="365" t="str">
        <f>IFERROR(X363*VLOOKUP(C363,'General price list'!C:I,7,FALSE),"")</f>
        <v/>
      </c>
      <c r="AA363" s="805" t="str">
        <f>IF(X363&lt;&gt;"",VLOOKUP(C363,'General price list'!C365:AN1338,MATCH("HM",Tabulka1[[#Headers],[KOD]:[NEQ]],0),FALSE),"")</f>
        <v/>
      </c>
    </row>
    <row r="364" spans="1:27">
      <c r="A364">
        <f>COUNTIF($W$22:W364,1)</f>
        <v>0</v>
      </c>
      <c r="B364">
        <v>364</v>
      </c>
      <c r="C364" s="340">
        <f>Tabulka1[[#This Row],[KOD]]</f>
        <v>0</v>
      </c>
      <c r="W364" s="804" t="str">
        <f t="shared" si="13"/>
        <v/>
      </c>
      <c r="X364" t="str">
        <f t="shared" si="14"/>
        <v/>
      </c>
      <c r="Y364" s="341">
        <f>IF('General price list'!$AB366="",0,'General price list'!$AB366)</f>
        <v>0</v>
      </c>
      <c r="Z364" s="365" t="str">
        <f>IFERROR(X364*VLOOKUP(C364,'General price list'!C:I,7,FALSE),"")</f>
        <v/>
      </c>
      <c r="AA364" s="805" t="str">
        <f>IF(X364&lt;&gt;"",VLOOKUP(C364,'General price list'!C366:AN1339,MATCH("HM",Tabulka1[[#Headers],[KOD]:[NEQ]],0),FALSE),"")</f>
        <v/>
      </c>
    </row>
    <row r="365" spans="1:27">
      <c r="A365">
        <f>COUNTIF($W$22:W365,1)</f>
        <v>0</v>
      </c>
      <c r="B365">
        <v>365</v>
      </c>
      <c r="C365" s="340" t="str">
        <f>Tabulka1[[#This Row],[KOD]]</f>
        <v>C2508R</v>
      </c>
      <c r="W365" s="804" t="str">
        <f t="shared" si="13"/>
        <v/>
      </c>
      <c r="X365" t="str">
        <f t="shared" si="14"/>
        <v/>
      </c>
      <c r="Y365" s="341">
        <f>IF('General price list'!$AB367="",0,'General price list'!$AB367)</f>
        <v>0</v>
      </c>
      <c r="Z365" s="365" t="str">
        <f>IFERROR(X365*VLOOKUP(C365,'General price list'!C:I,7,FALSE),"")</f>
        <v/>
      </c>
      <c r="AA365" s="805" t="str">
        <f>IF(X365&lt;&gt;"",VLOOKUP(C365,'General price list'!C367:AN1340,MATCH("HM",Tabulka1[[#Headers],[KOD]:[NEQ]],0),FALSE),"")</f>
        <v/>
      </c>
    </row>
    <row r="366" spans="1:27">
      <c r="A366">
        <f>COUNTIF($W$22:W366,1)</f>
        <v>0</v>
      </c>
      <c r="B366">
        <v>366</v>
      </c>
      <c r="C366" s="340" t="str">
        <f>Tabulka1[[#This Row],[KOD]]</f>
        <v>C10008R</v>
      </c>
      <c r="W366" s="804" t="str">
        <f t="shared" si="13"/>
        <v/>
      </c>
      <c r="X366" t="str">
        <f t="shared" si="14"/>
        <v/>
      </c>
      <c r="Y366" s="341">
        <f>IF('General price list'!$AB368="",0,'General price list'!$AB368)</f>
        <v>0</v>
      </c>
      <c r="Z366" s="365" t="str">
        <f>IFERROR(X366*VLOOKUP(C366,'General price list'!C:I,7,FALSE),"")</f>
        <v/>
      </c>
      <c r="AA366" s="805" t="str">
        <f>IF(X366&lt;&gt;"",VLOOKUP(C366,'General price list'!C368:AN1341,MATCH("HM",Tabulka1[[#Headers],[KOD]:[NEQ]],0),FALSE),"")</f>
        <v/>
      </c>
    </row>
    <row r="367" spans="1:27">
      <c r="A367">
        <f>COUNTIF($W$22:W367,1)</f>
        <v>0</v>
      </c>
      <c r="B367">
        <v>367</v>
      </c>
      <c r="C367" s="340">
        <f>Tabulka1[[#This Row],[KOD]]</f>
        <v>0</v>
      </c>
      <c r="W367" s="804" t="str">
        <f t="shared" si="13"/>
        <v/>
      </c>
      <c r="X367" t="str">
        <f t="shared" si="14"/>
        <v/>
      </c>
      <c r="Y367" s="341">
        <f>IF('General price list'!$AB369="",0,'General price list'!$AB369)</f>
        <v>0</v>
      </c>
      <c r="Z367" s="365" t="str">
        <f>IFERROR(X367*VLOOKUP(C367,'General price list'!C:I,7,FALSE),"")</f>
        <v/>
      </c>
      <c r="AA367" s="805" t="str">
        <f>IF(X367&lt;&gt;"",VLOOKUP(C367,'General price list'!C369:AN1342,MATCH("HM",Tabulka1[[#Headers],[KOD]:[NEQ]],0),FALSE),"")</f>
        <v/>
      </c>
    </row>
    <row r="368" spans="1:27">
      <c r="A368">
        <f>COUNTIF($W$22:W368,1)</f>
        <v>0</v>
      </c>
      <c r="B368">
        <v>368</v>
      </c>
      <c r="C368" s="340" t="str">
        <f>Tabulka1[[#This Row],[KOD]]</f>
        <v>C1008CC</v>
      </c>
      <c r="W368" s="804" t="str">
        <f t="shared" si="13"/>
        <v/>
      </c>
      <c r="X368" t="str">
        <f t="shared" si="14"/>
        <v/>
      </c>
      <c r="Y368" s="341">
        <f>IF('General price list'!$AB370="",0,'General price list'!$AB370)</f>
        <v>0</v>
      </c>
      <c r="Z368" s="365" t="str">
        <f>IFERROR(X368*VLOOKUP(C368,'General price list'!C:I,7,FALSE),"")</f>
        <v/>
      </c>
      <c r="AA368" s="805" t="str">
        <f>IF(X368&lt;&gt;"",VLOOKUP(C368,'General price list'!C370:AN1343,MATCH("HM",Tabulka1[[#Headers],[KOD]:[NEQ]],0),FALSE),"")</f>
        <v/>
      </c>
    </row>
    <row r="369" spans="1:27">
      <c r="A369">
        <f>COUNTIF($W$22:W369,1)</f>
        <v>0</v>
      </c>
      <c r="B369">
        <v>369</v>
      </c>
      <c r="C369" s="340">
        <f>Tabulka1[[#This Row],[KOD]]</f>
        <v>0</v>
      </c>
      <c r="W369" s="804" t="str">
        <f t="shared" si="13"/>
        <v/>
      </c>
      <c r="X369" t="str">
        <f t="shared" si="14"/>
        <v/>
      </c>
      <c r="Y369" s="341">
        <f>IF('General price list'!$AB371="",0,'General price list'!$AB371)</f>
        <v>0</v>
      </c>
      <c r="Z369" s="365" t="str">
        <f>IFERROR(X369*VLOOKUP(C369,'General price list'!C:I,7,FALSE),"")</f>
        <v/>
      </c>
      <c r="AA369" s="805" t="str">
        <f>IF(X369&lt;&gt;"",VLOOKUP(C369,'General price list'!C371:AN1344,MATCH("HM",Tabulka1[[#Headers],[KOD]:[NEQ]],0),FALSE),"")</f>
        <v/>
      </c>
    </row>
    <row r="370" spans="1:27">
      <c r="A370">
        <f>COUNTIF($W$22:W370,1)</f>
        <v>0</v>
      </c>
      <c r="B370">
        <v>370</v>
      </c>
      <c r="C370" s="340" t="str">
        <f>Tabulka1[[#This Row],[KOD]]</f>
        <v>C1614E14</v>
      </c>
      <c r="W370" s="804" t="str">
        <f t="shared" si="13"/>
        <v/>
      </c>
      <c r="X370" t="str">
        <f t="shared" si="14"/>
        <v/>
      </c>
      <c r="Y370" s="341">
        <f>IF('General price list'!$AB372="",0,'General price list'!$AB372)</f>
        <v>0</v>
      </c>
      <c r="Z370" s="365" t="str">
        <f>IFERROR(X370*VLOOKUP(C370,'General price list'!C:I,7,FALSE),"")</f>
        <v/>
      </c>
      <c r="AA370" s="805" t="str">
        <f>IF(X370&lt;&gt;"",VLOOKUP(C370,'General price list'!C372:AN1345,MATCH("HM",Tabulka1[[#Headers],[KOD]:[NEQ]],0),FALSE),"")</f>
        <v/>
      </c>
    </row>
    <row r="371" spans="1:27">
      <c r="A371">
        <f>COUNTIF($W$22:W371,1)</f>
        <v>0</v>
      </c>
      <c r="B371">
        <v>371</v>
      </c>
      <c r="C371" s="340">
        <f>Tabulka1[[#This Row],[KOD]]</f>
        <v>0</v>
      </c>
      <c r="W371" s="804" t="str">
        <f t="shared" si="13"/>
        <v/>
      </c>
      <c r="X371" t="str">
        <f t="shared" si="14"/>
        <v/>
      </c>
      <c r="Y371" s="341">
        <f>IF('General price list'!$AB373="",0,'General price list'!$AB373)</f>
        <v>0</v>
      </c>
      <c r="Z371" s="365" t="str">
        <f>IFERROR(X371*VLOOKUP(C371,'General price list'!C:I,7,FALSE),"")</f>
        <v/>
      </c>
      <c r="AA371" s="805" t="str">
        <f>IF(X371&lt;&gt;"",VLOOKUP(C371,'General price list'!C373:AN1346,MATCH("HM",Tabulka1[[#Headers],[KOD]:[NEQ]],0),FALSE),"")</f>
        <v/>
      </c>
    </row>
    <row r="372" spans="1:27">
      <c r="A372">
        <f>COUNTIF($W$22:W372,1)</f>
        <v>0</v>
      </c>
      <c r="B372">
        <v>372</v>
      </c>
      <c r="C372" s="340" t="str">
        <f>Tabulka1[[#This Row],[KOD]]</f>
        <v>C3614B14</v>
      </c>
      <c r="W372" s="804" t="str">
        <f t="shared" si="13"/>
        <v/>
      </c>
      <c r="X372" t="str">
        <f t="shared" si="14"/>
        <v/>
      </c>
      <c r="Y372" s="341">
        <f>IF('General price list'!$AB374="",0,'General price list'!$AB374)</f>
        <v>0</v>
      </c>
      <c r="Z372" s="365" t="str">
        <f>IFERROR(X372*VLOOKUP(C372,'General price list'!C:I,7,FALSE),"")</f>
        <v/>
      </c>
      <c r="AA372" s="805" t="str">
        <f>IF(X372&lt;&gt;"",VLOOKUP(C372,'General price list'!C374:AN1347,MATCH("HM",Tabulka1[[#Headers],[KOD]:[NEQ]],0),FALSE),"")</f>
        <v/>
      </c>
    </row>
    <row r="373" spans="1:27">
      <c r="A373">
        <f>COUNTIF($W$22:W373,1)</f>
        <v>0</v>
      </c>
      <c r="B373">
        <v>373</v>
      </c>
      <c r="C373" s="340">
        <f>Tabulka1[[#This Row],[KOD]]</f>
        <v>0</v>
      </c>
      <c r="W373" s="804" t="str">
        <f t="shared" si="13"/>
        <v/>
      </c>
      <c r="X373" t="str">
        <f t="shared" si="14"/>
        <v/>
      </c>
      <c r="Y373" s="341">
        <f>IF('General price list'!$AB375="",0,'General price list'!$AB375)</f>
        <v>0</v>
      </c>
      <c r="Z373" s="365" t="str">
        <f>IFERROR(X373*VLOOKUP(C373,'General price list'!C:I,7,FALSE),"")</f>
        <v/>
      </c>
      <c r="AA373" s="805" t="str">
        <f>IF(X373&lt;&gt;"",VLOOKUP(C373,'General price list'!C375:AN1348,MATCH("HM",Tabulka1[[#Headers],[KOD]:[NEQ]],0),FALSE),"")</f>
        <v/>
      </c>
    </row>
    <row r="374" spans="1:27">
      <c r="A374">
        <f>COUNTIF($W$22:W374,1)</f>
        <v>0</v>
      </c>
      <c r="B374">
        <v>374</v>
      </c>
      <c r="C374" s="340" t="str">
        <f>Tabulka1[[#This Row],[KOD]]</f>
        <v>C6414C14</v>
      </c>
      <c r="W374" s="804" t="str">
        <f t="shared" si="13"/>
        <v/>
      </c>
      <c r="X374" t="str">
        <f t="shared" si="14"/>
        <v/>
      </c>
      <c r="Y374" s="341">
        <f>IF('General price list'!$AB376="",0,'General price list'!$AB376)</f>
        <v>0</v>
      </c>
      <c r="Z374" s="365" t="str">
        <f>IFERROR(X374*VLOOKUP(C374,'General price list'!C:I,7,FALSE),"")</f>
        <v/>
      </c>
      <c r="AA374" s="805" t="str">
        <f>IF(X374&lt;&gt;"",VLOOKUP(C374,'General price list'!C376:AN1349,MATCH("HM",Tabulka1[[#Headers],[KOD]:[NEQ]],0),FALSE),"")</f>
        <v/>
      </c>
    </row>
    <row r="375" spans="1:27">
      <c r="A375">
        <f>COUNTIF($W$22:W375,1)</f>
        <v>0</v>
      </c>
      <c r="B375">
        <v>375</v>
      </c>
      <c r="C375" s="340">
        <f>Tabulka1[[#This Row],[KOD]]</f>
        <v>0</v>
      </c>
      <c r="W375" s="804" t="str">
        <f t="shared" si="13"/>
        <v/>
      </c>
      <c r="X375" t="str">
        <f t="shared" si="14"/>
        <v/>
      </c>
      <c r="Y375" s="341">
        <f>IF('General price list'!$AB377="",0,'General price list'!$AB377)</f>
        <v>0</v>
      </c>
      <c r="Z375" s="365" t="str">
        <f>IFERROR(X375*VLOOKUP(C375,'General price list'!C:I,7,FALSE),"")</f>
        <v/>
      </c>
      <c r="AA375" s="805" t="str">
        <f>IF(X375&lt;&gt;"",VLOOKUP(C375,'General price list'!C377:AN1350,MATCH("HM",Tabulka1[[#Headers],[KOD]:[NEQ]],0),FALSE),"")</f>
        <v/>
      </c>
    </row>
    <row r="376" spans="1:27">
      <c r="A376">
        <f>COUNTIF($W$22:W376,1)</f>
        <v>0</v>
      </c>
      <c r="B376">
        <v>376</v>
      </c>
      <c r="C376" s="340" t="str">
        <f>Tabulka1[[#This Row],[KOD]]</f>
        <v>C10014A</v>
      </c>
      <c r="W376" s="804" t="str">
        <f t="shared" si="13"/>
        <v/>
      </c>
      <c r="X376" t="str">
        <f t="shared" si="14"/>
        <v/>
      </c>
      <c r="Y376" s="341">
        <f>IF('General price list'!$AB378="",0,'General price list'!$AB378)</f>
        <v>0</v>
      </c>
      <c r="Z376" s="365" t="str">
        <f>IFERROR(X376*VLOOKUP(C376,'General price list'!C:I,7,FALSE),"")</f>
        <v/>
      </c>
      <c r="AA376" s="805" t="str">
        <f>IF(X376&lt;&gt;"",VLOOKUP(C376,'General price list'!C378:AN1351,MATCH("HM",Tabulka1[[#Headers],[KOD]:[NEQ]],0),FALSE),"")</f>
        <v/>
      </c>
    </row>
    <row r="377" spans="1:27">
      <c r="A377">
        <f>COUNTIF($W$22:W377,1)</f>
        <v>0</v>
      </c>
      <c r="B377">
        <v>377</v>
      </c>
      <c r="C377" s="340">
        <f>Tabulka1[[#This Row],[KOD]]</f>
        <v>0</v>
      </c>
      <c r="W377" s="804" t="str">
        <f t="shared" si="13"/>
        <v/>
      </c>
      <c r="X377" t="str">
        <f t="shared" si="14"/>
        <v/>
      </c>
      <c r="Y377" s="341">
        <f>IF('General price list'!$AB379="",0,'General price list'!$AB379)</f>
        <v>0</v>
      </c>
      <c r="Z377" s="365" t="str">
        <f>IFERROR(X377*VLOOKUP(C377,'General price list'!C:I,7,FALSE),"")</f>
        <v/>
      </c>
      <c r="AA377" s="805" t="str">
        <f>IF(X377&lt;&gt;"",VLOOKUP(C377,'General price list'!C379:AN1352,MATCH("HM",Tabulka1[[#Headers],[KOD]:[NEQ]],0),FALSE),"")</f>
        <v/>
      </c>
    </row>
    <row r="378" spans="1:27">
      <c r="A378">
        <f>COUNTIF($W$22:W378,1)</f>
        <v>0</v>
      </c>
      <c r="B378">
        <v>378</v>
      </c>
      <c r="C378" s="340" t="str">
        <f>Tabulka1[[#This Row],[KOD]]</f>
        <v>C20014F14</v>
      </c>
      <c r="W378" s="804" t="str">
        <f t="shared" si="13"/>
        <v/>
      </c>
      <c r="X378" t="str">
        <f t="shared" si="14"/>
        <v/>
      </c>
      <c r="Y378" s="341">
        <f>IF('General price list'!$AB380="",0,'General price list'!$AB380)</f>
        <v>0</v>
      </c>
      <c r="Z378" s="365" t="str">
        <f>IFERROR(X378*VLOOKUP(C378,'General price list'!C:I,7,FALSE),"")</f>
        <v/>
      </c>
      <c r="AA378" s="805" t="str">
        <f>IF(X378&lt;&gt;"",VLOOKUP(C378,'General price list'!C380:AN1353,MATCH("HM",Tabulka1[[#Headers],[KOD]:[NEQ]],0),FALSE),"")</f>
        <v/>
      </c>
    </row>
    <row r="379" spans="1:27">
      <c r="A379">
        <f>COUNTIF($W$22:W379,1)</f>
        <v>0</v>
      </c>
      <c r="B379">
        <v>379</v>
      </c>
      <c r="C379" s="340">
        <f>Tabulka1[[#This Row],[KOD]]</f>
        <v>0</v>
      </c>
      <c r="W379" s="804" t="str">
        <f t="shared" si="13"/>
        <v/>
      </c>
      <c r="X379" t="str">
        <f t="shared" si="14"/>
        <v/>
      </c>
      <c r="Y379" s="341">
        <f>IF('General price list'!$AB381="",0,'General price list'!$AB381)</f>
        <v>0</v>
      </c>
      <c r="Z379" s="365" t="str">
        <f>IFERROR(X379*VLOOKUP(C379,'General price list'!C:I,7,FALSE),"")</f>
        <v/>
      </c>
      <c r="AA379" s="805" t="str">
        <f>IF(X379&lt;&gt;"",VLOOKUP(C379,'General price list'!C381:AN1354,MATCH("HM",Tabulka1[[#Headers],[KOD]:[NEQ]],0),FALSE),"")</f>
        <v/>
      </c>
    </row>
    <row r="380" spans="1:27">
      <c r="A380">
        <f>COUNTIF($W$22:W380,1)</f>
        <v>0</v>
      </c>
      <c r="B380">
        <v>380</v>
      </c>
      <c r="C380" s="340" t="str">
        <f>Tabulka1[[#This Row],[KOD]]</f>
        <v>C40014W/C14</v>
      </c>
      <c r="W380" s="804" t="str">
        <f t="shared" si="13"/>
        <v/>
      </c>
      <c r="X380" t="str">
        <f t="shared" si="14"/>
        <v/>
      </c>
      <c r="Y380" s="341">
        <f>IF('General price list'!$AB382="",0,'General price list'!$AB382)</f>
        <v>0</v>
      </c>
      <c r="Z380" s="365" t="str">
        <f>IFERROR(X380*VLOOKUP(C380,'General price list'!C:I,7,FALSE),"")</f>
        <v/>
      </c>
      <c r="AA380" s="805" t="str">
        <f>IF(X380&lt;&gt;"",VLOOKUP(C380,'General price list'!C382:AN1355,MATCH("HM",Tabulka1[[#Headers],[KOD]:[NEQ]],0),FALSE),"")</f>
        <v/>
      </c>
    </row>
    <row r="381" spans="1:27">
      <c r="A381">
        <f>COUNTIF($W$22:W381,1)</f>
        <v>0</v>
      </c>
      <c r="B381">
        <v>381</v>
      </c>
      <c r="C381" s="340">
        <f>Tabulka1[[#This Row],[KOD]]</f>
        <v>0</v>
      </c>
      <c r="W381" s="804" t="str">
        <f t="shared" si="13"/>
        <v/>
      </c>
      <c r="X381" t="str">
        <f t="shared" si="14"/>
        <v/>
      </c>
      <c r="Y381" s="341">
        <f>IF('General price list'!$AB383="",0,'General price list'!$AB383)</f>
        <v>0</v>
      </c>
      <c r="Z381" s="365" t="str">
        <f>IFERROR(X381*VLOOKUP(C381,'General price list'!C:I,7,FALSE),"")</f>
        <v/>
      </c>
      <c r="AA381" s="805" t="str">
        <f>IF(X381&lt;&gt;"",VLOOKUP(C381,'General price list'!C383:AN1356,MATCH("HM",Tabulka1[[#Headers],[KOD]:[NEQ]],0),FALSE),"")</f>
        <v/>
      </c>
    </row>
    <row r="382" spans="1:27">
      <c r="A382">
        <f>COUNTIF($W$22:W382,1)</f>
        <v>0</v>
      </c>
      <c r="B382">
        <v>382</v>
      </c>
      <c r="C382" s="340" t="str">
        <f>Tabulka1[[#This Row],[KOD]]</f>
        <v>C20814XPR14</v>
      </c>
      <c r="W382" s="804" t="str">
        <f t="shared" si="13"/>
        <v/>
      </c>
      <c r="X382" t="str">
        <f t="shared" si="14"/>
        <v/>
      </c>
      <c r="Y382" s="341">
        <f>IF('General price list'!$AB384="",0,'General price list'!$AB384)</f>
        <v>0</v>
      </c>
      <c r="Z382" s="365" t="str">
        <f>IFERROR(X382*VLOOKUP(C382,'General price list'!C:I,7,FALSE),"")</f>
        <v/>
      </c>
      <c r="AA382" s="805" t="str">
        <f>IF(X382&lt;&gt;"",VLOOKUP(C382,'General price list'!C384:AN1357,MATCH("HM",Tabulka1[[#Headers],[KOD]:[NEQ]],0),FALSE),"")</f>
        <v/>
      </c>
    </row>
    <row r="383" spans="1:27">
      <c r="A383">
        <f>COUNTIF($W$22:W383,1)</f>
        <v>0</v>
      </c>
      <c r="B383">
        <v>383</v>
      </c>
      <c r="C383" s="340">
        <f>Tabulka1[[#This Row],[KOD]]</f>
        <v>0</v>
      </c>
      <c r="W383" s="804" t="str">
        <f t="shared" si="13"/>
        <v/>
      </c>
      <c r="X383" t="str">
        <f t="shared" si="14"/>
        <v/>
      </c>
      <c r="Y383" s="341">
        <f>IF('General price list'!$AB385="",0,'General price list'!$AB385)</f>
        <v>0</v>
      </c>
      <c r="Z383" s="365" t="str">
        <f>IFERROR(X383*VLOOKUP(C383,'General price list'!C:I,7,FALSE),"")</f>
        <v/>
      </c>
      <c r="AA383" s="805" t="str">
        <f>IF(X383&lt;&gt;"",VLOOKUP(C383,'General price list'!C385:AN1358,MATCH("HM",Tabulka1[[#Headers],[KOD]:[NEQ]],0),FALSE),"")</f>
        <v/>
      </c>
    </row>
    <row r="384" spans="1:27">
      <c r="A384">
        <f>COUNTIF($W$22:W384,1)</f>
        <v>0</v>
      </c>
      <c r="B384">
        <v>384</v>
      </c>
      <c r="C384" s="340" t="str">
        <f>Tabulka1[[#This Row],[KOD]]</f>
        <v>C9016XC14</v>
      </c>
      <c r="W384" s="804" t="str">
        <f t="shared" si="13"/>
        <v/>
      </c>
      <c r="X384" t="str">
        <f t="shared" si="14"/>
        <v/>
      </c>
      <c r="Y384" s="341">
        <f>IF('General price list'!$AB386="",0,'General price list'!$AB386)</f>
        <v>0</v>
      </c>
      <c r="Z384" s="365" t="str">
        <f>IFERROR(X384*VLOOKUP(C384,'General price list'!C:I,7,FALSE),"")</f>
        <v/>
      </c>
      <c r="AA384" s="805" t="str">
        <f>IF(X384&lt;&gt;"",VLOOKUP(C384,'General price list'!C386:AN1359,MATCH("HM",Tabulka1[[#Headers],[KOD]:[NEQ]],0),FALSE),"")</f>
        <v/>
      </c>
    </row>
    <row r="385" spans="1:27">
      <c r="A385">
        <f>COUNTIF($W$22:W385,1)</f>
        <v>0</v>
      </c>
      <c r="B385">
        <v>385</v>
      </c>
      <c r="C385" s="340">
        <f>Tabulka1[[#This Row],[KOD]]</f>
        <v>0</v>
      </c>
      <c r="W385" s="804" t="str">
        <f t="shared" si="13"/>
        <v/>
      </c>
      <c r="X385" t="str">
        <f t="shared" si="14"/>
        <v/>
      </c>
      <c r="Y385" s="341">
        <f>IF('General price list'!$AB387="",0,'General price list'!$AB387)</f>
        <v>0</v>
      </c>
      <c r="Z385" s="365" t="str">
        <f>IFERROR(X385*VLOOKUP(C385,'General price list'!C:I,7,FALSE),"")</f>
        <v/>
      </c>
      <c r="AA385" s="805" t="str">
        <f>IF(X385&lt;&gt;"",VLOOKUP(C385,'General price list'!C387:AN1360,MATCH("HM",Tabulka1[[#Headers],[KOD]:[NEQ]],0),FALSE),"")</f>
        <v/>
      </c>
    </row>
    <row r="386" spans="1:27">
      <c r="A386">
        <f>COUNTIF($W$22:W386,1)</f>
        <v>0</v>
      </c>
      <c r="B386">
        <v>386</v>
      </c>
      <c r="C386" s="340" t="str">
        <f>Tabulka1[[#This Row],[KOD]]</f>
        <v>C16016XP14</v>
      </c>
      <c r="W386" s="804" t="str">
        <f t="shared" si="13"/>
        <v/>
      </c>
      <c r="X386" t="str">
        <f t="shared" si="14"/>
        <v/>
      </c>
      <c r="Y386" s="341">
        <f>IF('General price list'!$AB388="",0,'General price list'!$AB388)</f>
        <v>0</v>
      </c>
      <c r="Z386" s="365" t="str">
        <f>IFERROR(X386*VLOOKUP(C386,'General price list'!C:I,7,FALSE),"")</f>
        <v/>
      </c>
      <c r="AA386" s="805" t="str">
        <f>IF(X386&lt;&gt;"",VLOOKUP(C386,'General price list'!C388:AN1361,MATCH("HM",Tabulka1[[#Headers],[KOD]:[NEQ]],0),FALSE),"")</f>
        <v/>
      </c>
    </row>
    <row r="387" spans="1:27">
      <c r="A387">
        <f>COUNTIF($W$22:W387,1)</f>
        <v>0</v>
      </c>
      <c r="B387">
        <v>387</v>
      </c>
      <c r="C387" s="340">
        <f>Tabulka1[[#This Row],[KOD]]</f>
        <v>0</v>
      </c>
      <c r="W387" s="804" t="str">
        <f t="shared" si="13"/>
        <v/>
      </c>
      <c r="X387" t="str">
        <f t="shared" si="14"/>
        <v/>
      </c>
      <c r="Y387" s="341">
        <f>IF('General price list'!$AB389="",0,'General price list'!$AB389)</f>
        <v>0</v>
      </c>
      <c r="Z387" s="365" t="str">
        <f>IFERROR(X387*VLOOKUP(C387,'General price list'!C:I,7,FALSE),"")</f>
        <v/>
      </c>
      <c r="AA387" s="805" t="str">
        <f>IF(X387&lt;&gt;"",VLOOKUP(C387,'General price list'!C389:AN1362,MATCH("HM",Tabulka1[[#Headers],[KOD]:[NEQ]],0),FALSE),"")</f>
        <v/>
      </c>
    </row>
    <row r="388" spans="1:27">
      <c r="A388">
        <f>COUNTIF($W$22:W388,1)</f>
        <v>0</v>
      </c>
      <c r="B388">
        <v>388</v>
      </c>
      <c r="C388" s="340" t="str">
        <f>Tabulka1[[#This Row],[KOD]]</f>
        <v>C27016XG/C14</v>
      </c>
      <c r="W388" s="804" t="str">
        <f t="shared" si="13"/>
        <v/>
      </c>
      <c r="X388" t="str">
        <f t="shared" si="14"/>
        <v/>
      </c>
      <c r="Y388" s="341">
        <f>IF('General price list'!$AB390="",0,'General price list'!$AB390)</f>
        <v>0</v>
      </c>
      <c r="Z388" s="365" t="str">
        <f>IFERROR(X388*VLOOKUP(C388,'General price list'!C:I,7,FALSE),"")</f>
        <v/>
      </c>
      <c r="AA388" s="805" t="str">
        <f>IF(X388&lt;&gt;"",VLOOKUP(C388,'General price list'!C390:AN1363,MATCH("HM",Tabulka1[[#Headers],[KOD]:[NEQ]],0),FALSE),"")</f>
        <v/>
      </c>
    </row>
    <row r="389" spans="1:27">
      <c r="A389">
        <f>COUNTIF($W$22:W389,1)</f>
        <v>0</v>
      </c>
      <c r="B389">
        <v>389</v>
      </c>
      <c r="C389" s="340" t="str">
        <f>Tabulka1[[#This Row],[KOD]]</f>
        <v>C32016XB/C14</v>
      </c>
      <c r="W389" s="804" t="str">
        <f t="shared" si="13"/>
        <v/>
      </c>
      <c r="X389" t="str">
        <f t="shared" si="14"/>
        <v/>
      </c>
      <c r="Y389" s="341">
        <f>IF('General price list'!$AB391="",0,'General price list'!$AB391)</f>
        <v>0</v>
      </c>
      <c r="Z389" s="365" t="str">
        <f>IFERROR(X389*VLOOKUP(C389,'General price list'!C:I,7,FALSE),"")</f>
        <v/>
      </c>
      <c r="AA389" s="805" t="str">
        <f>IF(X389&lt;&gt;"",VLOOKUP(C389,'General price list'!C391:AN1364,MATCH("HM",Tabulka1[[#Headers],[KOD]:[NEQ]],0),FALSE),"")</f>
        <v/>
      </c>
    </row>
    <row r="390" spans="1:27">
      <c r="A390">
        <f>COUNTIF($W$22:W390,1)</f>
        <v>0</v>
      </c>
      <c r="B390">
        <v>390</v>
      </c>
      <c r="C390" s="340">
        <f>Tabulka1[[#This Row],[KOD]]</f>
        <v>0</v>
      </c>
      <c r="W390" s="804" t="str">
        <f t="shared" si="13"/>
        <v/>
      </c>
      <c r="X390" t="str">
        <f t="shared" si="14"/>
        <v/>
      </c>
      <c r="Y390" s="341">
        <f>IF('General price list'!$AB392="",0,'General price list'!$AB392)</f>
        <v>0</v>
      </c>
      <c r="Z390" s="365" t="str">
        <f>IFERROR(X390*VLOOKUP(C390,'General price list'!C:I,7,FALSE),"")</f>
        <v/>
      </c>
      <c r="AA390" s="805" t="str">
        <f>IF(X390&lt;&gt;"",VLOOKUP(C390,'General price list'!C392:AN1365,MATCH("HM",Tabulka1[[#Headers],[KOD]:[NEQ]],0),FALSE),"")</f>
        <v/>
      </c>
    </row>
    <row r="391" spans="1:27">
      <c r="A391">
        <f>COUNTIF($W$22:W391,1)</f>
        <v>0</v>
      </c>
      <c r="B391">
        <v>391</v>
      </c>
      <c r="C391" s="340" t="str">
        <f>Tabulka1[[#This Row],[KOD]]</f>
        <v>C63MXS14</v>
      </c>
      <c r="W391" s="804" t="str">
        <f t="shared" si="13"/>
        <v/>
      </c>
      <c r="X391" t="str">
        <f t="shared" si="14"/>
        <v/>
      </c>
      <c r="Y391" s="341">
        <f>IF('General price list'!$AB393="",0,'General price list'!$AB393)</f>
        <v>0</v>
      </c>
      <c r="Z391" s="365" t="str">
        <f>IFERROR(X391*VLOOKUP(C391,'General price list'!C:I,7,FALSE),"")</f>
        <v/>
      </c>
      <c r="AA391" s="805" t="str">
        <f>IF(X391&lt;&gt;"",VLOOKUP(C391,'General price list'!C393:AN1366,MATCH("HM",Tabulka1[[#Headers],[KOD]:[NEQ]],0),FALSE),"")</f>
        <v/>
      </c>
    </row>
    <row r="392" spans="1:27">
      <c r="A392">
        <f>COUNTIF($W$22:W392,1)</f>
        <v>0</v>
      </c>
      <c r="B392">
        <v>392</v>
      </c>
      <c r="C392" s="340">
        <f>Tabulka1[[#This Row],[KOD]]</f>
        <v>0</v>
      </c>
      <c r="W392" s="804" t="str">
        <f t="shared" si="13"/>
        <v/>
      </c>
      <c r="X392" t="str">
        <f t="shared" si="14"/>
        <v/>
      </c>
      <c r="Y392" s="341">
        <f>IF('General price list'!$AB394="",0,'General price list'!$AB394)</f>
        <v>0</v>
      </c>
      <c r="Z392" s="365" t="str">
        <f>IFERROR(X392*VLOOKUP(C392,'General price list'!C:I,7,FALSE),"")</f>
        <v/>
      </c>
      <c r="AA392" s="805" t="str">
        <f>IF(X392&lt;&gt;"",VLOOKUP(C392,'General price list'!C394:AN1367,MATCH("HM",Tabulka1[[#Headers],[KOD]:[NEQ]],0),FALSE),"")</f>
        <v/>
      </c>
    </row>
    <row r="393" spans="1:27">
      <c r="A393">
        <f>COUNTIF($W$22:W393,1)</f>
        <v>0</v>
      </c>
      <c r="B393">
        <v>393</v>
      </c>
      <c r="C393" s="340" t="str">
        <f>Tabulka1[[#This Row],[KOD]]</f>
        <v>C920L</v>
      </c>
      <c r="W393" s="804" t="str">
        <f t="shared" si="13"/>
        <v/>
      </c>
      <c r="X393" t="str">
        <f t="shared" si="14"/>
        <v/>
      </c>
      <c r="Y393" s="341">
        <f>IF('General price list'!$AB395="",0,'General price list'!$AB395)</f>
        <v>0</v>
      </c>
      <c r="Z393" s="365" t="str">
        <f>IFERROR(X393*VLOOKUP(C393,'General price list'!C:I,7,FALSE),"")</f>
        <v/>
      </c>
      <c r="AA393" s="805" t="str">
        <f>IF(X393&lt;&gt;"",VLOOKUP(C393,'General price list'!C395:AN1368,MATCH("HM",Tabulka1[[#Headers],[KOD]:[NEQ]],0),FALSE),"")</f>
        <v/>
      </c>
    </row>
    <row r="394" spans="1:27">
      <c r="A394">
        <f>COUNTIF($W$22:W394,1)</f>
        <v>0</v>
      </c>
      <c r="B394">
        <v>394</v>
      </c>
      <c r="C394" s="340" t="str">
        <f>Tabulka1[[#This Row],[KOD]]</f>
        <v>C920M</v>
      </c>
      <c r="W394" s="804" t="str">
        <f t="shared" si="13"/>
        <v/>
      </c>
      <c r="X394" t="str">
        <f t="shared" si="14"/>
        <v/>
      </c>
      <c r="Y394" s="341">
        <f>IF('General price list'!$AB396="",0,'General price list'!$AB396)</f>
        <v>0</v>
      </c>
      <c r="Z394" s="365" t="str">
        <f>IFERROR(X394*VLOOKUP(C394,'General price list'!C:I,7,FALSE),"")</f>
        <v/>
      </c>
      <c r="AA394" s="805" t="str">
        <f>IF(X394&lt;&gt;"",VLOOKUP(C394,'General price list'!C396:AN1369,MATCH("HM",Tabulka1[[#Headers],[KOD]:[NEQ]],0),FALSE),"")</f>
        <v/>
      </c>
    </row>
    <row r="395" spans="1:27">
      <c r="A395">
        <f>COUNTIF($W$22:W395,1)</f>
        <v>0</v>
      </c>
      <c r="B395">
        <v>395</v>
      </c>
      <c r="C395" s="340">
        <f>Tabulka1[[#This Row],[KOD]]</f>
        <v>0</v>
      </c>
      <c r="W395" s="804" t="str">
        <f t="shared" si="13"/>
        <v/>
      </c>
      <c r="X395" t="str">
        <f t="shared" si="14"/>
        <v/>
      </c>
      <c r="Y395" s="341">
        <f>IF('General price list'!$AB397="",0,'General price list'!$AB397)</f>
        <v>0</v>
      </c>
      <c r="Z395" s="365" t="str">
        <f>IFERROR(X395*VLOOKUP(C395,'General price list'!C:I,7,FALSE),"")</f>
        <v/>
      </c>
      <c r="AA395" s="805" t="str">
        <f>IF(X395&lt;&gt;"",VLOOKUP(C395,'General price list'!C397:AN1370,MATCH("HM",Tabulka1[[#Headers],[KOD]:[NEQ]],0),FALSE),"")</f>
        <v/>
      </c>
    </row>
    <row r="396" spans="1:27">
      <c r="A396">
        <f>COUNTIF($W$22:W396,1)</f>
        <v>0</v>
      </c>
      <c r="B396">
        <v>396</v>
      </c>
      <c r="C396" s="340" t="str">
        <f>Tabulka1[[#This Row],[KOD]]</f>
        <v>C1620DU</v>
      </c>
      <c r="W396" s="804" t="str">
        <f t="shared" si="13"/>
        <v/>
      </c>
      <c r="X396" t="str">
        <f t="shared" si="14"/>
        <v/>
      </c>
      <c r="Y396" s="341">
        <f>IF('General price list'!$AB398="",0,'General price list'!$AB398)</f>
        <v>0</v>
      </c>
      <c r="Z396" s="365" t="str">
        <f>IFERROR(X396*VLOOKUP(C396,'General price list'!C:I,7,FALSE),"")</f>
        <v/>
      </c>
      <c r="AA396" s="805" t="str">
        <f>IF(X396&lt;&gt;"",VLOOKUP(C396,'General price list'!C398:AN1371,MATCH("HM",Tabulka1[[#Headers],[KOD]:[NEQ]],0),FALSE),"")</f>
        <v/>
      </c>
    </row>
    <row r="397" spans="1:27">
      <c r="A397">
        <f>COUNTIF($W$22:W397,1)</f>
        <v>0</v>
      </c>
      <c r="B397">
        <v>397</v>
      </c>
      <c r="C397" s="340" t="str">
        <f>Tabulka1[[#This Row],[KOD]]</f>
        <v>C1620DU(5)</v>
      </c>
      <c r="W397" s="804" t="str">
        <f t="shared" si="13"/>
        <v/>
      </c>
      <c r="X397" t="str">
        <f t="shared" si="14"/>
        <v/>
      </c>
      <c r="Y397" s="341">
        <f>IF('General price list'!$AB399="",0,'General price list'!$AB399)</f>
        <v>0</v>
      </c>
      <c r="Z397" s="365" t="str">
        <f>IFERROR(X397*VLOOKUP(C397,'General price list'!C:I,7,FALSE),"")</f>
        <v/>
      </c>
      <c r="AA397" s="805" t="str">
        <f>IF(X397&lt;&gt;"",VLOOKUP(C397,'General price list'!C399:AN1372,MATCH("HM",Tabulka1[[#Headers],[KOD]:[NEQ]],0),FALSE),"")</f>
        <v/>
      </c>
    </row>
    <row r="398" spans="1:27">
      <c r="A398">
        <f>COUNTIF($W$22:W398,1)</f>
        <v>0</v>
      </c>
      <c r="B398">
        <v>398</v>
      </c>
      <c r="C398" s="340" t="str">
        <f>Tabulka1[[#This Row],[KOD]]</f>
        <v>C1620BPF</v>
      </c>
      <c r="W398" s="804" t="str">
        <f t="shared" si="13"/>
        <v/>
      </c>
      <c r="X398" t="str">
        <f t="shared" si="14"/>
        <v/>
      </c>
      <c r="Y398" s="341">
        <f>IF('General price list'!$AB400="",0,'General price list'!$AB400)</f>
        <v>0</v>
      </c>
      <c r="Z398" s="365" t="str">
        <f>IFERROR(X398*VLOOKUP(C398,'General price list'!C:I,7,FALSE),"")</f>
        <v/>
      </c>
      <c r="AA398" s="805" t="str">
        <f>IF(X398&lt;&gt;"",VLOOKUP(C398,'General price list'!C400:AN1373,MATCH("HM",Tabulka1[[#Headers],[KOD]:[NEQ]],0),FALSE),"")</f>
        <v/>
      </c>
    </row>
    <row r="399" spans="1:27">
      <c r="A399">
        <f>COUNTIF($W$22:W399,1)</f>
        <v>0</v>
      </c>
      <c r="B399">
        <v>399</v>
      </c>
      <c r="C399" s="340" t="str">
        <f>Tabulka1[[#This Row],[KOD]]</f>
        <v>C1620H</v>
      </c>
      <c r="W399" s="804" t="str">
        <f t="shared" si="13"/>
        <v/>
      </c>
      <c r="X399" t="str">
        <f t="shared" si="14"/>
        <v/>
      </c>
      <c r="Y399" s="341">
        <f>IF('General price list'!$AB401="",0,'General price list'!$AB401)</f>
        <v>0</v>
      </c>
      <c r="Z399" s="365" t="str">
        <f>IFERROR(X399*VLOOKUP(C399,'General price list'!C:I,7,FALSE),"")</f>
        <v/>
      </c>
      <c r="AA399" s="805" t="str">
        <f>IF(X399&lt;&gt;"",VLOOKUP(C399,'General price list'!C401:AN1374,MATCH("HM",Tabulka1[[#Headers],[KOD]:[NEQ]],0),FALSE),"")</f>
        <v/>
      </c>
    </row>
    <row r="400" spans="1:27">
      <c r="A400">
        <f>COUNTIF($W$22:W400,1)</f>
        <v>0</v>
      </c>
      <c r="B400">
        <v>400</v>
      </c>
      <c r="C400" s="340" t="str">
        <f>Tabulka1[[#This Row],[KOD]]</f>
        <v>C1620N</v>
      </c>
      <c r="W400" s="804" t="str">
        <f t="shared" si="13"/>
        <v/>
      </c>
      <c r="X400" t="str">
        <f t="shared" si="14"/>
        <v/>
      </c>
      <c r="Y400" s="341">
        <f>IF('General price list'!$AB402="",0,'General price list'!$AB402)</f>
        <v>0</v>
      </c>
      <c r="Z400" s="365" t="str">
        <f>IFERROR(X400*VLOOKUP(C400,'General price list'!C:I,7,FALSE),"")</f>
        <v/>
      </c>
      <c r="AA400" s="805" t="str">
        <f>IF(X400&lt;&gt;"",VLOOKUP(C400,'General price list'!C402:AN1375,MATCH("HM",Tabulka1[[#Headers],[KOD]:[NEQ]],0),FALSE),"")</f>
        <v/>
      </c>
    </row>
    <row r="401" spans="1:27">
      <c r="A401">
        <f>COUNTIF($W$22:W401,1)</f>
        <v>0</v>
      </c>
      <c r="B401">
        <v>401</v>
      </c>
      <c r="C401" s="340" t="str">
        <f>Tabulka1[[#This Row],[KOD]]</f>
        <v>C1620F</v>
      </c>
      <c r="W401" s="804" t="str">
        <f t="shared" si="13"/>
        <v/>
      </c>
      <c r="X401" t="str">
        <f t="shared" si="14"/>
        <v/>
      </c>
      <c r="Y401" s="341">
        <f>IF('General price list'!$AB403="",0,'General price list'!$AB403)</f>
        <v>0</v>
      </c>
      <c r="Z401" s="365" t="str">
        <f>IFERROR(X401*VLOOKUP(C401,'General price list'!C:I,7,FALSE),"")</f>
        <v/>
      </c>
      <c r="AA401" s="805" t="str">
        <f>IF(X401&lt;&gt;"",VLOOKUP(C401,'General price list'!C403:AN1376,MATCH("HM",Tabulka1[[#Headers],[KOD]:[NEQ]],0),FALSE),"")</f>
        <v/>
      </c>
    </row>
    <row r="402" spans="1:27">
      <c r="A402">
        <f>COUNTIF($W$22:W402,1)</f>
        <v>0</v>
      </c>
      <c r="B402">
        <v>402</v>
      </c>
      <c r="C402" s="340">
        <f>Tabulka1[[#This Row],[KOD]]</f>
        <v>0</v>
      </c>
      <c r="W402" s="804" t="str">
        <f t="shared" si="13"/>
        <v/>
      </c>
      <c r="X402" t="str">
        <f t="shared" si="14"/>
        <v/>
      </c>
      <c r="Y402" s="341">
        <f>IF('General price list'!$AB404="",0,'General price list'!$AB404)</f>
        <v>0</v>
      </c>
      <c r="Z402" s="365" t="str">
        <f>IFERROR(X402*VLOOKUP(C402,'General price list'!C:I,7,FALSE),"")</f>
        <v/>
      </c>
      <c r="AA402" s="805" t="str">
        <f>IF(X402&lt;&gt;"",VLOOKUP(C402,'General price list'!C404:AN1377,MATCH("HM",Tabulka1[[#Headers],[KOD]:[NEQ]],0),FALSE),"")</f>
        <v/>
      </c>
    </row>
    <row r="403" spans="1:27">
      <c r="A403">
        <f>COUNTIF($W$22:W403,1)</f>
        <v>0</v>
      </c>
      <c r="B403">
        <v>403</v>
      </c>
      <c r="C403" s="340" t="str">
        <f>Tabulka1[[#This Row],[KOD]]</f>
        <v>C1620H14</v>
      </c>
      <c r="W403" s="804" t="str">
        <f t="shared" si="13"/>
        <v/>
      </c>
      <c r="X403" t="str">
        <f t="shared" si="14"/>
        <v/>
      </c>
      <c r="Y403" s="341">
        <f>IF('General price list'!$AB405="",0,'General price list'!$AB405)</f>
        <v>0</v>
      </c>
      <c r="Z403" s="365" t="str">
        <f>IFERROR(X403*VLOOKUP(C403,'General price list'!C:I,7,FALSE),"")</f>
        <v/>
      </c>
      <c r="AA403" s="805" t="str">
        <f>IF(X403&lt;&gt;"",VLOOKUP(C403,'General price list'!C405:AN1378,MATCH("HM",Tabulka1[[#Headers],[KOD]:[NEQ]],0),FALSE),"")</f>
        <v/>
      </c>
    </row>
    <row r="404" spans="1:27">
      <c r="A404">
        <f>COUNTIF($W$22:W404,1)</f>
        <v>0</v>
      </c>
      <c r="B404">
        <v>404</v>
      </c>
      <c r="C404" s="340" t="str">
        <f>Tabulka1[[#This Row],[KOD]]</f>
        <v>C1620F14</v>
      </c>
      <c r="W404" s="804" t="str">
        <f t="shared" si="13"/>
        <v/>
      </c>
      <c r="X404" t="str">
        <f t="shared" si="14"/>
        <v/>
      </c>
      <c r="Y404" s="341">
        <f>IF('General price list'!$AB406="",0,'General price list'!$AB406)</f>
        <v>0</v>
      </c>
      <c r="Z404" s="365" t="str">
        <f>IFERROR(X404*VLOOKUP(C404,'General price list'!C:I,7,FALSE),"")</f>
        <v/>
      </c>
      <c r="AA404" s="805" t="str">
        <f>IF(X404&lt;&gt;"",VLOOKUP(C404,'General price list'!C406:AN1379,MATCH("HM",Tabulka1[[#Headers],[KOD]:[NEQ]],0),FALSE),"")</f>
        <v/>
      </c>
    </row>
    <row r="405" spans="1:27">
      <c r="A405">
        <f>COUNTIF($W$22:W405,1)</f>
        <v>0</v>
      </c>
      <c r="B405">
        <v>405</v>
      </c>
      <c r="C405" s="340">
        <f>Tabulka1[[#This Row],[KOD]]</f>
        <v>0</v>
      </c>
      <c r="W405" s="804" t="str">
        <f t="shared" si="13"/>
        <v/>
      </c>
      <c r="X405" t="str">
        <f t="shared" si="14"/>
        <v/>
      </c>
      <c r="Y405" s="341">
        <f>IF('General price list'!$AB407="",0,'General price list'!$AB407)</f>
        <v>0</v>
      </c>
      <c r="Z405" s="365" t="str">
        <f>IFERROR(X405*VLOOKUP(C405,'General price list'!C:I,7,FALSE),"")</f>
        <v/>
      </c>
      <c r="AA405" s="805" t="str">
        <f>IF(X405&lt;&gt;"",VLOOKUP(C405,'General price list'!C407:AN1380,MATCH("HM",Tabulka1[[#Headers],[KOD]:[NEQ]],0),FALSE),"")</f>
        <v/>
      </c>
    </row>
    <row r="406" spans="1:27">
      <c r="A406">
        <f>COUNTIF($W$22:W406,1)</f>
        <v>0</v>
      </c>
      <c r="B406">
        <v>406</v>
      </c>
      <c r="C406" s="340" t="str">
        <f>Tabulka1[[#This Row],[KOD]]</f>
        <v>CX1620D</v>
      </c>
      <c r="W406" s="804" t="str">
        <f t="shared" si="13"/>
        <v/>
      </c>
      <c r="X406" t="str">
        <f t="shared" si="14"/>
        <v/>
      </c>
      <c r="Y406" s="341">
        <f>IF('General price list'!$AB408="",0,'General price list'!$AB408)</f>
        <v>0</v>
      </c>
      <c r="Z406" s="365" t="str">
        <f>IFERROR(X406*VLOOKUP(C406,'General price list'!C:I,7,FALSE),"")</f>
        <v/>
      </c>
      <c r="AA406" s="805" t="str">
        <f>IF(X406&lt;&gt;"",VLOOKUP(C406,'General price list'!C408:AN1381,MATCH("HM",Tabulka1[[#Headers],[KOD]:[NEQ]],0),FALSE),"")</f>
        <v/>
      </c>
    </row>
    <row r="407" spans="1:27">
      <c r="A407">
        <f>COUNTIF($W$22:W407,1)</f>
        <v>0</v>
      </c>
      <c r="B407">
        <v>407</v>
      </c>
      <c r="C407" s="340" t="str">
        <f>Tabulka1[[#This Row],[KOD]]</f>
        <v>CX1620X</v>
      </c>
      <c r="W407" s="804" t="str">
        <f t="shared" si="13"/>
        <v/>
      </c>
      <c r="X407" t="str">
        <f t="shared" si="14"/>
        <v/>
      </c>
      <c r="Y407" s="341">
        <f>IF('General price list'!$AB409="",0,'General price list'!$AB409)</f>
        <v>0</v>
      </c>
      <c r="Z407" s="365" t="str">
        <f>IFERROR(X407*VLOOKUP(C407,'General price list'!C:I,7,FALSE),"")</f>
        <v/>
      </c>
      <c r="AA407" s="805" t="str">
        <f>IF(X407&lt;&gt;"",VLOOKUP(C407,'General price list'!C409:AN1382,MATCH("HM",Tabulka1[[#Headers],[KOD]:[NEQ]],0),FALSE),"")</f>
        <v/>
      </c>
    </row>
    <row r="408" spans="1:27">
      <c r="A408">
        <f>COUNTIF($W$22:W408,1)</f>
        <v>0</v>
      </c>
      <c r="B408">
        <v>408</v>
      </c>
      <c r="C408" s="340">
        <f>Tabulka1[[#This Row],[KOD]]</f>
        <v>0</v>
      </c>
      <c r="W408" s="804" t="str">
        <f t="shared" si="13"/>
        <v/>
      </c>
      <c r="X408" t="str">
        <f t="shared" si="14"/>
        <v/>
      </c>
      <c r="Y408" s="341">
        <f>IF('General price list'!$AB410="",0,'General price list'!$AB410)</f>
        <v>0</v>
      </c>
      <c r="Z408" s="365" t="str">
        <f>IFERROR(X408*VLOOKUP(C408,'General price list'!C:I,7,FALSE),"")</f>
        <v/>
      </c>
      <c r="AA408" s="805" t="str">
        <f>IF(X408&lt;&gt;"",VLOOKUP(C408,'General price list'!C410:AN1383,MATCH("HM",Tabulka1[[#Headers],[KOD]:[NEQ]],0),FALSE),"")</f>
        <v/>
      </c>
    </row>
    <row r="409" spans="1:27">
      <c r="A409">
        <f>COUNTIF($W$22:W409,1)</f>
        <v>0</v>
      </c>
      <c r="B409">
        <v>409</v>
      </c>
      <c r="C409" s="340" t="str">
        <f>Tabulka1[[#This Row],[KOD]]</f>
        <v>C2520BP</v>
      </c>
      <c r="W409" s="804" t="str">
        <f t="shared" ref="W409:W472" si="15">IF(Y409+1=1,"",1)</f>
        <v/>
      </c>
      <c r="X409" t="str">
        <f t="shared" ref="X409:X472" si="16">IF(OR(A409&lt;$E$20,A409&gt;$E$21),"",IF(Y409=0,"",Y409))</f>
        <v/>
      </c>
      <c r="Y409" s="341">
        <f>IF('General price list'!$AB411="",0,'General price list'!$AB411)</f>
        <v>0</v>
      </c>
      <c r="Z409" s="365" t="str">
        <f>IFERROR(X409*VLOOKUP(C409,'General price list'!C:I,7,FALSE),"")</f>
        <v/>
      </c>
      <c r="AA409" s="805" t="str">
        <f>IF(X409&lt;&gt;"",VLOOKUP(C409,'General price list'!C411:AN1384,MATCH("HM",Tabulka1[[#Headers],[KOD]:[NEQ]],0),FALSE),"")</f>
        <v/>
      </c>
    </row>
    <row r="410" spans="1:27">
      <c r="A410">
        <f>COUNTIF($W$22:W410,1)</f>
        <v>0</v>
      </c>
      <c r="B410">
        <v>410</v>
      </c>
      <c r="C410" s="340" t="str">
        <f>Tabulka1[[#This Row],[KOD]]</f>
        <v>C2520SIG</v>
      </c>
      <c r="W410" s="804" t="str">
        <f t="shared" si="15"/>
        <v/>
      </c>
      <c r="X410" t="str">
        <f t="shared" si="16"/>
        <v/>
      </c>
      <c r="Y410" s="341">
        <f>IF('General price list'!$AB412="",0,'General price list'!$AB412)</f>
        <v>0</v>
      </c>
      <c r="Z410" s="365" t="str">
        <f>IFERROR(X410*VLOOKUP(C410,'General price list'!C:I,7,FALSE),"")</f>
        <v/>
      </c>
      <c r="AA410" s="805" t="str">
        <f>IF(X410&lt;&gt;"",VLOOKUP(C410,'General price list'!C412:AN1385,MATCH("HM",Tabulka1[[#Headers],[KOD]:[NEQ]],0),FALSE),"")</f>
        <v/>
      </c>
    </row>
    <row r="411" spans="1:27">
      <c r="A411">
        <f>COUNTIF($W$22:W411,1)</f>
        <v>0</v>
      </c>
      <c r="B411">
        <v>411</v>
      </c>
      <c r="C411" s="340" t="str">
        <f>Tabulka1[[#This Row],[KOD]]</f>
        <v>C2520Z</v>
      </c>
      <c r="W411" s="804" t="str">
        <f t="shared" si="15"/>
        <v/>
      </c>
      <c r="X411" t="str">
        <f t="shared" si="16"/>
        <v/>
      </c>
      <c r="Y411" s="341">
        <f>IF('General price list'!$AB413="",0,'General price list'!$AB413)</f>
        <v>0</v>
      </c>
      <c r="Z411" s="365" t="str">
        <f>IFERROR(X411*VLOOKUP(C411,'General price list'!C:I,7,FALSE),"")</f>
        <v/>
      </c>
      <c r="AA411" s="805" t="str">
        <f>IF(X411&lt;&gt;"",VLOOKUP(C411,'General price list'!C413:AN1386,MATCH("HM",Tabulka1[[#Headers],[KOD]:[NEQ]],0),FALSE),"")</f>
        <v/>
      </c>
    </row>
    <row r="412" spans="1:27">
      <c r="A412">
        <f>COUNTIF($W$22:W412,1)</f>
        <v>0</v>
      </c>
      <c r="B412">
        <v>412</v>
      </c>
      <c r="C412" s="340" t="str">
        <f>Tabulka1[[#This Row],[KOD]]</f>
        <v>C2520DI</v>
      </c>
      <c r="W412" s="804" t="str">
        <f t="shared" si="15"/>
        <v/>
      </c>
      <c r="X412" t="str">
        <f t="shared" si="16"/>
        <v/>
      </c>
      <c r="Y412" s="341">
        <f>IF('General price list'!$AB414="",0,'General price list'!$AB414)</f>
        <v>0</v>
      </c>
      <c r="Z412" s="365" t="str">
        <f>IFERROR(X412*VLOOKUP(C412,'General price list'!C:I,7,FALSE),"")</f>
        <v/>
      </c>
      <c r="AA412" s="805" t="str">
        <f>IF(X412&lt;&gt;"",VLOOKUP(C412,'General price list'!C414:AN1387,MATCH("HM",Tabulka1[[#Headers],[KOD]:[NEQ]],0),FALSE),"")</f>
        <v/>
      </c>
    </row>
    <row r="413" spans="1:27">
      <c r="A413">
        <f>COUNTIF($W$22:W413,1)</f>
        <v>0</v>
      </c>
      <c r="B413">
        <v>413</v>
      </c>
      <c r="C413" s="340" t="str">
        <f>Tabulka1[[#This Row],[KOD]]</f>
        <v>C2520T</v>
      </c>
      <c r="W413" s="804" t="str">
        <f t="shared" si="15"/>
        <v/>
      </c>
      <c r="X413" t="str">
        <f t="shared" si="16"/>
        <v/>
      </c>
      <c r="Y413" s="341">
        <f>IF('General price list'!$AB415="",0,'General price list'!$AB415)</f>
        <v>0</v>
      </c>
      <c r="Z413" s="365" t="str">
        <f>IFERROR(X413*VLOOKUP(C413,'General price list'!C:I,7,FALSE),"")</f>
        <v/>
      </c>
      <c r="AA413" s="805" t="str">
        <f>IF(X413&lt;&gt;"",VLOOKUP(C413,'General price list'!C415:AN1388,MATCH("HM",Tabulka1[[#Headers],[KOD]:[NEQ]],0),FALSE),"")</f>
        <v/>
      </c>
    </row>
    <row r="414" spans="1:27">
      <c r="A414">
        <f>COUNTIF($W$22:W414,1)</f>
        <v>0</v>
      </c>
      <c r="B414">
        <v>414</v>
      </c>
      <c r="C414" s="340" t="str">
        <f>Tabulka1[[#This Row],[KOD]]</f>
        <v>C2520SE</v>
      </c>
      <c r="W414" s="804" t="str">
        <f t="shared" si="15"/>
        <v/>
      </c>
      <c r="X414" t="str">
        <f t="shared" si="16"/>
        <v/>
      </c>
      <c r="Y414" s="341">
        <f>IF('General price list'!$AB416="",0,'General price list'!$AB416)</f>
        <v>0</v>
      </c>
      <c r="Z414" s="365" t="str">
        <f>IFERROR(X414*VLOOKUP(C414,'General price list'!C:I,7,FALSE),"")</f>
        <v/>
      </c>
      <c r="AA414" s="805" t="str">
        <f>IF(X414&lt;&gt;"",VLOOKUP(C414,'General price list'!C416:AN1389,MATCH("HM",Tabulka1[[#Headers],[KOD]:[NEQ]],0),FALSE),"")</f>
        <v/>
      </c>
    </row>
    <row r="415" spans="1:27">
      <c r="A415">
        <f>COUNTIF($W$22:W415,1)</f>
        <v>0</v>
      </c>
      <c r="B415">
        <v>415</v>
      </c>
      <c r="C415" s="340" t="str">
        <f>Tabulka1[[#This Row],[KOD]]</f>
        <v>C2520ST</v>
      </c>
      <c r="W415" s="804" t="str">
        <f t="shared" si="15"/>
        <v/>
      </c>
      <c r="X415" t="str">
        <f t="shared" si="16"/>
        <v/>
      </c>
      <c r="Y415" s="341">
        <f>IF('General price list'!$AB417="",0,'General price list'!$AB417)</f>
        <v>0</v>
      </c>
      <c r="Z415" s="365" t="str">
        <f>IFERROR(X415*VLOOKUP(C415,'General price list'!C:I,7,FALSE),"")</f>
        <v/>
      </c>
      <c r="AA415" s="805" t="str">
        <f>IF(X415&lt;&gt;"",VLOOKUP(C415,'General price list'!C417:AN1390,MATCH("HM",Tabulka1[[#Headers],[KOD]:[NEQ]],0),FALSE),"")</f>
        <v/>
      </c>
    </row>
    <row r="416" spans="1:27">
      <c r="A416">
        <f>COUNTIF($W$22:W416,1)</f>
        <v>0</v>
      </c>
      <c r="B416">
        <v>416</v>
      </c>
      <c r="C416" s="340" t="str">
        <f>Tabulka1[[#This Row],[KOD]]</f>
        <v>C2520SL</v>
      </c>
      <c r="W416" s="804" t="str">
        <f t="shared" si="15"/>
        <v/>
      </c>
      <c r="X416" t="str">
        <f t="shared" si="16"/>
        <v/>
      </c>
      <c r="Y416" s="341">
        <f>IF('General price list'!$AB418="",0,'General price list'!$AB418)</f>
        <v>0</v>
      </c>
      <c r="Z416" s="365" t="str">
        <f>IFERROR(X416*VLOOKUP(C416,'General price list'!C:I,7,FALSE),"")</f>
        <v/>
      </c>
      <c r="AA416" s="805" t="str">
        <f>IF(X416&lt;&gt;"",VLOOKUP(C416,'General price list'!C418:AN1391,MATCH("HM",Tabulka1[[#Headers],[KOD]:[NEQ]],0),FALSE),"")</f>
        <v/>
      </c>
    </row>
    <row r="417" spans="1:27">
      <c r="A417">
        <f>COUNTIF($W$22:W417,1)</f>
        <v>0</v>
      </c>
      <c r="B417">
        <v>417</v>
      </c>
      <c r="C417" s="340" t="str">
        <f>Tabulka1[[#This Row],[KOD]]</f>
        <v>C2520R</v>
      </c>
      <c r="W417" s="804" t="str">
        <f t="shared" si="15"/>
        <v/>
      </c>
      <c r="X417" t="str">
        <f t="shared" si="16"/>
        <v/>
      </c>
      <c r="Y417" s="341">
        <f>IF('General price list'!$AB419="",0,'General price list'!$AB419)</f>
        <v>0</v>
      </c>
      <c r="Z417" s="365" t="str">
        <f>IFERROR(X417*VLOOKUP(C417,'General price list'!C:I,7,FALSE),"")</f>
        <v/>
      </c>
      <c r="AA417" s="805" t="str">
        <f>IF(X417&lt;&gt;"",VLOOKUP(C417,'General price list'!C419:AN1392,MATCH("HM",Tabulka1[[#Headers],[KOD]:[NEQ]],0),FALSE),"")</f>
        <v/>
      </c>
    </row>
    <row r="418" spans="1:27">
      <c r="A418">
        <f>COUNTIF($W$22:W418,1)</f>
        <v>0</v>
      </c>
      <c r="B418">
        <v>418</v>
      </c>
      <c r="C418" s="340" t="str">
        <f>Tabulka1[[#This Row],[KOD]]</f>
        <v>C2520VI</v>
      </c>
      <c r="W418" s="804" t="str">
        <f t="shared" si="15"/>
        <v/>
      </c>
      <c r="X418" t="str">
        <f t="shared" si="16"/>
        <v/>
      </c>
      <c r="Y418" s="341">
        <f>IF('General price list'!$AB420="",0,'General price list'!$AB420)</f>
        <v>0</v>
      </c>
      <c r="Z418" s="365" t="str">
        <f>IFERROR(X418*VLOOKUP(C418,'General price list'!C:I,7,FALSE),"")</f>
        <v/>
      </c>
      <c r="AA418" s="805" t="str">
        <f>IF(X418&lt;&gt;"",VLOOKUP(C418,'General price list'!C420:AN1393,MATCH("HM",Tabulka1[[#Headers],[KOD]:[NEQ]],0),FALSE),"")</f>
        <v/>
      </c>
    </row>
    <row r="419" spans="1:27">
      <c r="A419">
        <f>COUNTIF($W$22:W419,1)</f>
        <v>0</v>
      </c>
      <c r="B419">
        <v>419</v>
      </c>
      <c r="C419" s="340">
        <f>Tabulka1[[#This Row],[KOD]]</f>
        <v>0</v>
      </c>
      <c r="W419" s="804" t="str">
        <f t="shared" si="15"/>
        <v/>
      </c>
      <c r="X419" t="str">
        <f t="shared" si="16"/>
        <v/>
      </c>
      <c r="Y419" s="341">
        <f>IF('General price list'!$AB421="",0,'General price list'!$AB421)</f>
        <v>0</v>
      </c>
      <c r="Z419" s="365" t="str">
        <f>IFERROR(X419*VLOOKUP(C419,'General price list'!C:I,7,FALSE),"")</f>
        <v/>
      </c>
      <c r="AA419" s="805" t="str">
        <f>IF(X419&lt;&gt;"",VLOOKUP(C419,'General price list'!C421:AN1394,MATCH("HM",Tabulka1[[#Headers],[KOD]:[NEQ]],0),FALSE),"")</f>
        <v/>
      </c>
    </row>
    <row r="420" spans="1:27">
      <c r="A420">
        <f>COUNTIF($W$22:W420,1)</f>
        <v>0</v>
      </c>
      <c r="B420">
        <v>420</v>
      </c>
      <c r="C420" s="340" t="str">
        <f>Tabulka1[[#This Row],[KOD]]</f>
        <v>C2520DI14</v>
      </c>
      <c r="W420" s="804" t="str">
        <f t="shared" si="15"/>
        <v/>
      </c>
      <c r="X420" t="str">
        <f t="shared" si="16"/>
        <v/>
      </c>
      <c r="Y420" s="341">
        <f>IF('General price list'!$AB422="",0,'General price list'!$AB422)</f>
        <v>0</v>
      </c>
      <c r="Z420" s="365" t="str">
        <f>IFERROR(X420*VLOOKUP(C420,'General price list'!C:I,7,FALSE),"")</f>
        <v/>
      </c>
      <c r="AA420" s="805" t="str">
        <f>IF(X420&lt;&gt;"",VLOOKUP(C420,'General price list'!C422:AN1395,MATCH("HM",Tabulka1[[#Headers],[KOD]:[NEQ]],0),FALSE),"")</f>
        <v/>
      </c>
    </row>
    <row r="421" spans="1:27">
      <c r="A421">
        <f>COUNTIF($W$22:W421,1)</f>
        <v>0</v>
      </c>
      <c r="B421">
        <v>421</v>
      </c>
      <c r="C421" s="340" t="str">
        <f>Tabulka1[[#This Row],[KOD]]</f>
        <v>C2520T14</v>
      </c>
      <c r="W421" s="804" t="str">
        <f t="shared" si="15"/>
        <v/>
      </c>
      <c r="X421" t="str">
        <f t="shared" si="16"/>
        <v/>
      </c>
      <c r="Y421" s="341">
        <f>IF('General price list'!$AB423="",0,'General price list'!$AB423)</f>
        <v>0</v>
      </c>
      <c r="Z421" s="365" t="str">
        <f>IFERROR(X421*VLOOKUP(C421,'General price list'!C:I,7,FALSE),"")</f>
        <v/>
      </c>
      <c r="AA421" s="805" t="str">
        <f>IF(X421&lt;&gt;"",VLOOKUP(C421,'General price list'!C423:AN1396,MATCH("HM",Tabulka1[[#Headers],[KOD]:[NEQ]],0),FALSE),"")</f>
        <v/>
      </c>
    </row>
    <row r="422" spans="1:27">
      <c r="A422">
        <f>COUNTIF($W$22:W422,1)</f>
        <v>0</v>
      </c>
      <c r="B422">
        <v>422</v>
      </c>
      <c r="C422" s="340" t="str">
        <f>Tabulka1[[#This Row],[KOD]]</f>
        <v>C2520SE14</v>
      </c>
      <c r="W422" s="804" t="str">
        <f t="shared" si="15"/>
        <v/>
      </c>
      <c r="X422" t="str">
        <f t="shared" si="16"/>
        <v/>
      </c>
      <c r="Y422" s="341">
        <f>IF('General price list'!$AB424="",0,'General price list'!$AB424)</f>
        <v>0</v>
      </c>
      <c r="Z422" s="365" t="str">
        <f>IFERROR(X422*VLOOKUP(C422,'General price list'!C:I,7,FALSE),"")</f>
        <v/>
      </c>
      <c r="AA422" s="805" t="str">
        <f>IF(X422&lt;&gt;"",VLOOKUP(C422,'General price list'!C424:AN1397,MATCH("HM",Tabulka1[[#Headers],[KOD]:[NEQ]],0),FALSE),"")</f>
        <v/>
      </c>
    </row>
    <row r="423" spans="1:27">
      <c r="A423">
        <f>COUNTIF($W$22:W423,1)</f>
        <v>0</v>
      </c>
      <c r="B423">
        <v>423</v>
      </c>
      <c r="C423" s="340">
        <f>Tabulka1[[#This Row],[KOD]]</f>
        <v>0</v>
      </c>
      <c r="W423" s="804" t="str">
        <f t="shared" si="15"/>
        <v/>
      </c>
      <c r="X423" t="str">
        <f t="shared" si="16"/>
        <v/>
      </c>
      <c r="Y423" s="341">
        <f>IF('General price list'!$AB425="",0,'General price list'!$AB425)</f>
        <v>0</v>
      </c>
      <c r="Z423" s="365" t="str">
        <f>IFERROR(X423*VLOOKUP(C423,'General price list'!C:I,7,FALSE),"")</f>
        <v/>
      </c>
      <c r="AA423" s="805" t="str">
        <f>IF(X423&lt;&gt;"",VLOOKUP(C423,'General price list'!C425:AN1398,MATCH("HM",Tabulka1[[#Headers],[KOD]:[NEQ]],0),FALSE),"")</f>
        <v/>
      </c>
    </row>
    <row r="424" spans="1:27">
      <c r="A424">
        <f>COUNTIF($W$22:W424,1)</f>
        <v>0</v>
      </c>
      <c r="B424">
        <v>424</v>
      </c>
      <c r="C424" s="340" t="str">
        <f>Tabulka1[[#This Row],[KOD]]</f>
        <v>C3620V</v>
      </c>
      <c r="W424" s="804" t="str">
        <f t="shared" si="15"/>
        <v/>
      </c>
      <c r="X424" t="str">
        <f t="shared" si="16"/>
        <v/>
      </c>
      <c r="Y424" s="341">
        <f>IF('General price list'!$AB426="",0,'General price list'!$AB426)</f>
        <v>0</v>
      </c>
      <c r="Z424" s="365" t="str">
        <f>IFERROR(X424*VLOOKUP(C424,'General price list'!C:I,7,FALSE),"")</f>
        <v/>
      </c>
      <c r="AA424" s="805" t="str">
        <f>IF(X424&lt;&gt;"",VLOOKUP(C424,'General price list'!C426:AN1399,MATCH("HM",Tabulka1[[#Headers],[KOD]:[NEQ]],0),FALSE),"")</f>
        <v/>
      </c>
    </row>
    <row r="425" spans="1:27">
      <c r="A425">
        <f>COUNTIF($W$22:W425,1)</f>
        <v>0</v>
      </c>
      <c r="B425">
        <v>425</v>
      </c>
      <c r="C425" s="340">
        <f>Tabulka1[[#This Row],[KOD]]</f>
        <v>0</v>
      </c>
      <c r="W425" s="804" t="str">
        <f t="shared" si="15"/>
        <v/>
      </c>
      <c r="X425" t="str">
        <f t="shared" si="16"/>
        <v/>
      </c>
      <c r="Y425" s="341">
        <f>IF('General price list'!$AB427="",0,'General price list'!$AB427)</f>
        <v>0</v>
      </c>
      <c r="Z425" s="365" t="str">
        <f>IFERROR(X425*VLOOKUP(C425,'General price list'!C:I,7,FALSE),"")</f>
        <v/>
      </c>
      <c r="AA425" s="805" t="str">
        <f>IF(X425&lt;&gt;"",VLOOKUP(C425,'General price list'!C427:AN1400,MATCH("HM",Tabulka1[[#Headers],[KOD]:[NEQ]],0),FALSE),"")</f>
        <v/>
      </c>
    </row>
    <row r="426" spans="1:27">
      <c r="A426">
        <f>COUNTIF($W$22:W426,1)</f>
        <v>0</v>
      </c>
      <c r="B426">
        <v>426</v>
      </c>
      <c r="C426" s="340" t="str">
        <f>Tabulka1[[#This Row],[KOD]]</f>
        <v>C3620N14</v>
      </c>
      <c r="W426" s="804" t="str">
        <f t="shared" si="15"/>
        <v/>
      </c>
      <c r="X426" t="str">
        <f t="shared" si="16"/>
        <v/>
      </c>
      <c r="Y426" s="341">
        <f>IF('General price list'!$AB428="",0,'General price list'!$AB428)</f>
        <v>0</v>
      </c>
      <c r="Z426" s="365" t="str">
        <f>IFERROR(X426*VLOOKUP(C426,'General price list'!C:I,7,FALSE),"")</f>
        <v/>
      </c>
      <c r="AA426" s="805" t="str">
        <f>IF(X426&lt;&gt;"",VLOOKUP(C426,'General price list'!C428:AN1401,MATCH("HM",Tabulka1[[#Headers],[KOD]:[NEQ]],0),FALSE),"")</f>
        <v/>
      </c>
    </row>
    <row r="427" spans="1:27">
      <c r="A427">
        <f>COUNTIF($W$22:W427,1)</f>
        <v>0</v>
      </c>
      <c r="B427">
        <v>427</v>
      </c>
      <c r="C427" s="340" t="str">
        <f>Tabulka1[[#This Row],[KOD]]</f>
        <v>C3620NO14</v>
      </c>
      <c r="W427" s="804" t="str">
        <f t="shared" si="15"/>
        <v/>
      </c>
      <c r="X427" t="str">
        <f t="shared" si="16"/>
        <v/>
      </c>
      <c r="Y427" s="341">
        <f>IF('General price list'!$AB429="",0,'General price list'!$AB429)</f>
        <v>0</v>
      </c>
      <c r="Z427" s="365" t="str">
        <f>IFERROR(X427*VLOOKUP(C427,'General price list'!C:I,7,FALSE),"")</f>
        <v/>
      </c>
      <c r="AA427" s="805" t="str">
        <f>IF(X427&lt;&gt;"",VLOOKUP(C427,'General price list'!C429:AN1402,MATCH("HM",Tabulka1[[#Headers],[KOD]:[NEQ]],0),FALSE),"")</f>
        <v/>
      </c>
    </row>
    <row r="428" spans="1:27">
      <c r="A428">
        <f>COUNTIF($W$22:W428,1)</f>
        <v>0</v>
      </c>
      <c r="B428">
        <v>428</v>
      </c>
      <c r="C428" s="340">
        <f>Tabulka1[[#This Row],[KOD]]</f>
        <v>0</v>
      </c>
      <c r="W428" s="804" t="str">
        <f t="shared" si="15"/>
        <v/>
      </c>
      <c r="X428" t="str">
        <f t="shared" si="16"/>
        <v/>
      </c>
      <c r="Y428" s="341">
        <f>IF('General price list'!$AB430="",0,'General price list'!$AB430)</f>
        <v>0</v>
      </c>
      <c r="Z428" s="365" t="str">
        <f>IFERROR(X428*VLOOKUP(C428,'General price list'!C:I,7,FALSE),"")</f>
        <v/>
      </c>
      <c r="AA428" s="805" t="str">
        <f>IF(X428&lt;&gt;"",VLOOKUP(C428,'General price list'!C430:AN1403,MATCH("HM",Tabulka1[[#Headers],[KOD]:[NEQ]],0),FALSE),"")</f>
        <v/>
      </c>
    </row>
    <row r="429" spans="1:27">
      <c r="A429">
        <f>COUNTIF($W$22:W429,1)</f>
        <v>0</v>
      </c>
      <c r="B429">
        <v>429</v>
      </c>
      <c r="C429" s="340" t="str">
        <f>Tabulka1[[#This Row],[KOD]]</f>
        <v>C4920BPF</v>
      </c>
      <c r="W429" s="804" t="str">
        <f t="shared" si="15"/>
        <v/>
      </c>
      <c r="X429" t="str">
        <f t="shared" si="16"/>
        <v/>
      </c>
      <c r="Y429" s="341">
        <f>IF('General price list'!$AB431="",0,'General price list'!$AB431)</f>
        <v>0</v>
      </c>
      <c r="Z429" s="365" t="str">
        <f>IFERROR(X429*VLOOKUP(C429,'General price list'!C:I,7,FALSE),"")</f>
        <v/>
      </c>
      <c r="AA429" s="805" t="str">
        <f>IF(X429&lt;&gt;"",VLOOKUP(C429,'General price list'!C431:AN1404,MATCH("HM",Tabulka1[[#Headers],[KOD]:[NEQ]],0),FALSE),"")</f>
        <v/>
      </c>
    </row>
    <row r="430" spans="1:27">
      <c r="A430">
        <f>COUNTIF($W$22:W430,1)</f>
        <v>0</v>
      </c>
      <c r="B430">
        <v>430</v>
      </c>
      <c r="C430" s="340" t="str">
        <f>Tabulka1[[#This Row],[KOD]]</f>
        <v>C4920SIG</v>
      </c>
      <c r="W430" s="804" t="str">
        <f t="shared" si="15"/>
        <v/>
      </c>
      <c r="X430" t="str">
        <f t="shared" si="16"/>
        <v/>
      </c>
      <c r="Y430" s="341">
        <f>IF('General price list'!$AB432="",0,'General price list'!$AB432)</f>
        <v>0</v>
      </c>
      <c r="Z430" s="365" t="str">
        <f>IFERROR(X430*VLOOKUP(C430,'General price list'!C:I,7,FALSE),"")</f>
        <v/>
      </c>
      <c r="AA430" s="805" t="str">
        <f>IF(X430&lt;&gt;"",VLOOKUP(C430,'General price list'!C432:AN1405,MATCH("HM",Tabulka1[[#Headers],[KOD]:[NEQ]],0),FALSE),"")</f>
        <v/>
      </c>
    </row>
    <row r="431" spans="1:27">
      <c r="A431">
        <f>COUNTIF($W$22:W431,1)</f>
        <v>0</v>
      </c>
      <c r="B431">
        <v>431</v>
      </c>
      <c r="C431" s="340" t="str">
        <f>Tabulka1[[#This Row],[KOD]]</f>
        <v>C4920DR</v>
      </c>
      <c r="W431" s="804" t="str">
        <f t="shared" si="15"/>
        <v/>
      </c>
      <c r="X431" t="str">
        <f t="shared" si="16"/>
        <v/>
      </c>
      <c r="Y431" s="341">
        <f>IF('General price list'!$AB433="",0,'General price list'!$AB433)</f>
        <v>0</v>
      </c>
      <c r="Z431" s="365" t="str">
        <f>IFERROR(X431*VLOOKUP(C431,'General price list'!C:I,7,FALSE),"")</f>
        <v/>
      </c>
      <c r="AA431" s="805" t="str">
        <f>IF(X431&lt;&gt;"",VLOOKUP(C431,'General price list'!C433:AN1406,MATCH("HM",Tabulka1[[#Headers],[KOD]:[NEQ]],0),FALSE),"")</f>
        <v/>
      </c>
    </row>
    <row r="432" spans="1:27">
      <c r="A432">
        <f>COUNTIF($W$22:W432,1)</f>
        <v>0</v>
      </c>
      <c r="B432">
        <v>432</v>
      </c>
      <c r="C432" s="340" t="str">
        <f>Tabulka1[[#This Row],[KOD]]</f>
        <v>C4920K</v>
      </c>
      <c r="W432" s="804" t="str">
        <f t="shared" si="15"/>
        <v/>
      </c>
      <c r="X432" t="str">
        <f t="shared" si="16"/>
        <v/>
      </c>
      <c r="Y432" s="341">
        <f>IF('General price list'!$AB434="",0,'General price list'!$AB434)</f>
        <v>0</v>
      </c>
      <c r="Z432" s="365" t="str">
        <f>IFERROR(X432*VLOOKUP(C432,'General price list'!C:I,7,FALSE),"")</f>
        <v/>
      </c>
      <c r="AA432" s="805" t="str">
        <f>IF(X432&lt;&gt;"",VLOOKUP(C432,'General price list'!C434:AN1407,MATCH("HM",Tabulka1[[#Headers],[KOD]:[NEQ]],0),FALSE),"")</f>
        <v/>
      </c>
    </row>
    <row r="433" spans="1:27">
      <c r="A433">
        <f>COUNTIF($W$22:W433,1)</f>
        <v>0</v>
      </c>
      <c r="B433">
        <v>433</v>
      </c>
      <c r="C433" s="340" t="str">
        <f>Tabulka1[[#This Row],[KOD]]</f>
        <v>C4920S</v>
      </c>
      <c r="W433" s="804" t="str">
        <f t="shared" si="15"/>
        <v/>
      </c>
      <c r="X433" t="str">
        <f t="shared" si="16"/>
        <v/>
      </c>
      <c r="Y433" s="341">
        <f>IF('General price list'!$AB435="",0,'General price list'!$AB435)</f>
        <v>0</v>
      </c>
      <c r="Z433" s="365" t="str">
        <f>IFERROR(X433*VLOOKUP(C433,'General price list'!C:I,7,FALSE),"")</f>
        <v/>
      </c>
      <c r="AA433" s="805" t="str">
        <f>IF(X433&lt;&gt;"",VLOOKUP(C433,'General price list'!C435:AN1408,MATCH("HM",Tabulka1[[#Headers],[KOD]:[NEQ]],0),FALSE),"")</f>
        <v/>
      </c>
    </row>
    <row r="434" spans="1:27">
      <c r="A434">
        <f>COUNTIF($W$22:W434,1)</f>
        <v>0</v>
      </c>
      <c r="B434">
        <v>434</v>
      </c>
      <c r="C434" s="340">
        <f>Tabulka1[[#This Row],[KOD]]</f>
        <v>0</v>
      </c>
      <c r="W434" s="804" t="str">
        <f t="shared" si="15"/>
        <v/>
      </c>
      <c r="X434" t="str">
        <f t="shared" si="16"/>
        <v/>
      </c>
      <c r="Y434" s="341">
        <f>IF('General price list'!$AB436="",0,'General price list'!$AB436)</f>
        <v>0</v>
      </c>
      <c r="Z434" s="365" t="str">
        <f>IFERROR(X434*VLOOKUP(C434,'General price list'!C:I,7,FALSE),"")</f>
        <v/>
      </c>
      <c r="AA434" s="805" t="str">
        <f>IF(X434&lt;&gt;"",VLOOKUP(C434,'General price list'!C436:AN1409,MATCH("HM",Tabulka1[[#Headers],[KOD]:[NEQ]],0),FALSE),"")</f>
        <v/>
      </c>
    </row>
    <row r="435" spans="1:27">
      <c r="A435">
        <f>COUNTIF($W$22:W435,1)</f>
        <v>0</v>
      </c>
      <c r="B435">
        <v>435</v>
      </c>
      <c r="C435" s="340" t="str">
        <f>Tabulka1[[#This Row],[KOD]]</f>
        <v>C4920DR14</v>
      </c>
      <c r="W435" s="804" t="str">
        <f t="shared" si="15"/>
        <v/>
      </c>
      <c r="X435" t="str">
        <f t="shared" si="16"/>
        <v/>
      </c>
      <c r="Y435" s="341">
        <f>IF('General price list'!$AB437="",0,'General price list'!$AB437)</f>
        <v>0</v>
      </c>
      <c r="Z435" s="365" t="str">
        <f>IFERROR(X435*VLOOKUP(C435,'General price list'!C:I,7,FALSE),"")</f>
        <v/>
      </c>
      <c r="AA435" s="805" t="str">
        <f>IF(X435&lt;&gt;"",VLOOKUP(C435,'General price list'!C437:AN1410,MATCH("HM",Tabulka1[[#Headers],[KOD]:[NEQ]],0),FALSE),"")</f>
        <v/>
      </c>
    </row>
    <row r="436" spans="1:27">
      <c r="A436">
        <f>COUNTIF($W$22:W436,1)</f>
        <v>0</v>
      </c>
      <c r="B436">
        <v>436</v>
      </c>
      <c r="C436" s="340" t="str">
        <f>Tabulka1[[#This Row],[KOD]]</f>
        <v>C4920S14</v>
      </c>
      <c r="W436" s="804" t="str">
        <f t="shared" si="15"/>
        <v/>
      </c>
      <c r="X436" t="str">
        <f t="shared" si="16"/>
        <v/>
      </c>
      <c r="Y436" s="341">
        <f>IF('General price list'!$AB438="",0,'General price list'!$AB438)</f>
        <v>0</v>
      </c>
      <c r="Z436" s="365" t="str">
        <f>IFERROR(X436*VLOOKUP(C436,'General price list'!C:I,7,FALSE),"")</f>
        <v/>
      </c>
      <c r="AA436" s="805" t="str">
        <f>IF(X436&lt;&gt;"",VLOOKUP(C436,'General price list'!C438:AN1411,MATCH("HM",Tabulka1[[#Headers],[KOD]:[NEQ]],0),FALSE),"")</f>
        <v/>
      </c>
    </row>
    <row r="437" spans="1:27">
      <c r="A437">
        <f>COUNTIF($W$22:W437,1)</f>
        <v>0</v>
      </c>
      <c r="B437">
        <v>437</v>
      </c>
      <c r="C437" s="340">
        <f>Tabulka1[[#This Row],[KOD]]</f>
        <v>0</v>
      </c>
      <c r="W437" s="804" t="str">
        <f t="shared" si="15"/>
        <v/>
      </c>
      <c r="X437" t="str">
        <f t="shared" si="16"/>
        <v/>
      </c>
      <c r="Y437" s="341">
        <f>IF('General price list'!$AB439="",0,'General price list'!$AB439)</f>
        <v>0</v>
      </c>
      <c r="Z437" s="365" t="str">
        <f>IFERROR(X437*VLOOKUP(C437,'General price list'!C:I,7,FALSE),"")</f>
        <v/>
      </c>
      <c r="AA437" s="805" t="str">
        <f>IF(X437&lt;&gt;"",VLOOKUP(C437,'General price list'!C439:AN1412,MATCH("HM",Tabulka1[[#Headers],[KOD]:[NEQ]],0),FALSE),"")</f>
        <v/>
      </c>
    </row>
    <row r="438" spans="1:27">
      <c r="A438">
        <f>COUNTIF($W$22:W438,1)</f>
        <v>0</v>
      </c>
      <c r="B438">
        <v>438</v>
      </c>
      <c r="C438" s="340" t="str">
        <f>Tabulka1[[#This Row],[KOD]]</f>
        <v>CF4920G</v>
      </c>
      <c r="W438" s="804" t="str">
        <f t="shared" si="15"/>
        <v/>
      </c>
      <c r="X438" t="str">
        <f t="shared" si="16"/>
        <v/>
      </c>
      <c r="Y438" s="341">
        <f>IF('General price list'!$AB440="",0,'General price list'!$AB440)</f>
        <v>0</v>
      </c>
      <c r="Z438" s="365" t="str">
        <f>IFERROR(X438*VLOOKUP(C438,'General price list'!C:I,7,FALSE),"")</f>
        <v/>
      </c>
      <c r="AA438" s="805" t="str">
        <f>IF(X438&lt;&gt;"",VLOOKUP(C438,'General price list'!C440:AN1413,MATCH("HM",Tabulka1[[#Headers],[KOD]:[NEQ]],0),FALSE),"")</f>
        <v/>
      </c>
    </row>
    <row r="439" spans="1:27">
      <c r="A439">
        <f>COUNTIF($W$22:W439,1)</f>
        <v>0</v>
      </c>
      <c r="B439">
        <v>439</v>
      </c>
      <c r="C439" s="340" t="str">
        <f>Tabulka1[[#This Row],[KOD]]</f>
        <v>CF4920J</v>
      </c>
      <c r="W439" s="804" t="str">
        <f t="shared" si="15"/>
        <v/>
      </c>
      <c r="X439" t="str">
        <f t="shared" si="16"/>
        <v/>
      </c>
      <c r="Y439" s="341">
        <f>IF('General price list'!$AB441="",0,'General price list'!$AB441)</f>
        <v>0</v>
      </c>
      <c r="Z439" s="365" t="str">
        <f>IFERROR(X439*VLOOKUP(C439,'General price list'!C:I,7,FALSE),"")</f>
        <v/>
      </c>
      <c r="AA439" s="805" t="str">
        <f>IF(X439&lt;&gt;"",VLOOKUP(C439,'General price list'!C441:AN1414,MATCH("HM",Tabulka1[[#Headers],[KOD]:[NEQ]],0),FALSE),"")</f>
        <v/>
      </c>
    </row>
    <row r="440" spans="1:27">
      <c r="A440">
        <f>COUNTIF($W$22:W440,1)</f>
        <v>0</v>
      </c>
      <c r="B440">
        <v>440</v>
      </c>
      <c r="C440" s="340" t="str">
        <f>Tabulka1[[#This Row],[KOD]]</f>
        <v>CF4920A</v>
      </c>
      <c r="W440" s="804" t="str">
        <f t="shared" si="15"/>
        <v/>
      </c>
      <c r="X440" t="str">
        <f t="shared" si="16"/>
        <v/>
      </c>
      <c r="Y440" s="341">
        <f>IF('General price list'!$AB442="",0,'General price list'!$AB442)</f>
        <v>0</v>
      </c>
      <c r="Z440" s="365" t="str">
        <f>IFERROR(X440*VLOOKUP(C440,'General price list'!C:I,7,FALSE),"")</f>
        <v/>
      </c>
      <c r="AA440" s="805" t="str">
        <f>IF(X440&lt;&gt;"",VLOOKUP(C440,'General price list'!C442:AN1415,MATCH("HM",Tabulka1[[#Headers],[KOD]:[NEQ]],0),FALSE),"")</f>
        <v/>
      </c>
    </row>
    <row r="441" spans="1:27">
      <c r="A441">
        <f>COUNTIF($W$22:W441,1)</f>
        <v>0</v>
      </c>
      <c r="B441">
        <v>441</v>
      </c>
      <c r="C441" s="340">
        <f>Tabulka1[[#This Row],[KOD]]</f>
        <v>0</v>
      </c>
      <c r="W441" s="804" t="str">
        <f t="shared" si="15"/>
        <v/>
      </c>
      <c r="X441" t="str">
        <f t="shared" si="16"/>
        <v/>
      </c>
      <c r="Y441" s="341">
        <f>IF('General price list'!$AB443="",0,'General price list'!$AB443)</f>
        <v>0</v>
      </c>
      <c r="Z441" s="365" t="str">
        <f>IFERROR(X441*VLOOKUP(C441,'General price list'!C:I,7,FALSE),"")</f>
        <v/>
      </c>
      <c r="AA441" s="805" t="str">
        <f>IF(X441&lt;&gt;"",VLOOKUP(C441,'General price list'!C443:AN1416,MATCH("HM",Tabulka1[[#Headers],[KOD]:[NEQ]],0),FALSE),"")</f>
        <v/>
      </c>
    </row>
    <row r="442" spans="1:27">
      <c r="A442">
        <f>COUNTIF($W$22:W442,1)</f>
        <v>0</v>
      </c>
      <c r="B442">
        <v>442</v>
      </c>
      <c r="C442" s="340" t="str">
        <f>Tabulka1[[#This Row],[KOD]]</f>
        <v>CF4920G14</v>
      </c>
      <c r="W442" s="804" t="str">
        <f t="shared" si="15"/>
        <v/>
      </c>
      <c r="X442" t="str">
        <f t="shared" si="16"/>
        <v/>
      </c>
      <c r="Y442" s="341">
        <f>IF('General price list'!$AB444="",0,'General price list'!$AB444)</f>
        <v>0</v>
      </c>
      <c r="Z442" s="365" t="str">
        <f>IFERROR(X442*VLOOKUP(C442,'General price list'!C:I,7,FALSE),"")</f>
        <v/>
      </c>
      <c r="AA442" s="805" t="str">
        <f>IF(X442&lt;&gt;"",VLOOKUP(C442,'General price list'!C444:AN1417,MATCH("HM",Tabulka1[[#Headers],[KOD]:[NEQ]],0),FALSE),"")</f>
        <v/>
      </c>
    </row>
    <row r="443" spans="1:27">
      <c r="A443">
        <f>COUNTIF($W$22:W443,1)</f>
        <v>0</v>
      </c>
      <c r="B443">
        <v>443</v>
      </c>
      <c r="C443" s="340">
        <f>Tabulka1[[#This Row],[KOD]]</f>
        <v>0</v>
      </c>
      <c r="W443" s="804" t="str">
        <f t="shared" si="15"/>
        <v/>
      </c>
      <c r="X443" t="str">
        <f t="shared" si="16"/>
        <v/>
      </c>
      <c r="Y443" s="341">
        <f>IF('General price list'!$AB445="",0,'General price list'!$AB445)</f>
        <v>0</v>
      </c>
      <c r="Z443" s="365" t="str">
        <f>IFERROR(X443*VLOOKUP(C443,'General price list'!C:I,7,FALSE),"")</f>
        <v/>
      </c>
      <c r="AA443" s="805" t="str">
        <f>IF(X443&lt;&gt;"",VLOOKUP(C443,'General price list'!C445:AN1418,MATCH("HM",Tabulka1[[#Headers],[KOD]:[NEQ]],0),FALSE),"")</f>
        <v/>
      </c>
    </row>
    <row r="444" spans="1:27">
      <c r="A444">
        <f>COUNTIF($W$22:W444,1)</f>
        <v>0</v>
      </c>
      <c r="B444">
        <v>444</v>
      </c>
      <c r="C444" s="340" t="str">
        <f>Tabulka1[[#This Row],[KOD]]</f>
        <v>C6420BPW</v>
      </c>
      <c r="W444" s="804" t="str">
        <f t="shared" si="15"/>
        <v/>
      </c>
      <c r="X444" t="str">
        <f t="shared" si="16"/>
        <v/>
      </c>
      <c r="Y444" s="341">
        <f>IF('General price list'!$AB446="",0,'General price list'!$AB446)</f>
        <v>0</v>
      </c>
      <c r="Z444" s="365" t="str">
        <f>IFERROR(X444*VLOOKUP(C444,'General price list'!C:I,7,FALSE),"")</f>
        <v/>
      </c>
      <c r="AA444" s="805" t="str">
        <f>IF(X444&lt;&gt;"",VLOOKUP(C444,'General price list'!C446:AN1419,MATCH("HM",Tabulka1[[#Headers],[KOD]:[NEQ]],0),FALSE),"")</f>
        <v/>
      </c>
    </row>
    <row r="445" spans="1:27">
      <c r="A445">
        <f>COUNTIF($W$22:W445,1)</f>
        <v>0</v>
      </c>
      <c r="B445">
        <v>445</v>
      </c>
      <c r="C445" s="340" t="str">
        <f>Tabulka1[[#This Row],[KOD]]</f>
        <v>C6420B</v>
      </c>
      <c r="W445" s="804" t="str">
        <f t="shared" si="15"/>
        <v/>
      </c>
      <c r="X445" t="str">
        <f t="shared" si="16"/>
        <v/>
      </c>
      <c r="Y445" s="341">
        <f>IF('General price list'!$AB447="",0,'General price list'!$AB447)</f>
        <v>0</v>
      </c>
      <c r="Z445" s="365" t="str">
        <f>IFERROR(X445*VLOOKUP(C445,'General price list'!C:I,7,FALSE),"")</f>
        <v/>
      </c>
      <c r="AA445" s="805" t="str">
        <f>IF(X445&lt;&gt;"",VLOOKUP(C445,'General price list'!C447:AN1420,MATCH("HM",Tabulka1[[#Headers],[KOD]:[NEQ]],0),FALSE),"")</f>
        <v/>
      </c>
    </row>
    <row r="446" spans="1:27">
      <c r="A446">
        <f>COUNTIF($W$22:W446,1)</f>
        <v>0</v>
      </c>
      <c r="B446">
        <v>446</v>
      </c>
      <c r="C446" s="340" t="str">
        <f>Tabulka1[[#This Row],[KOD]]</f>
        <v>C6420G</v>
      </c>
      <c r="W446" s="804" t="str">
        <f t="shared" si="15"/>
        <v/>
      </c>
      <c r="X446" t="str">
        <f t="shared" si="16"/>
        <v/>
      </c>
      <c r="Y446" s="341">
        <f>IF('General price list'!$AB448="",0,'General price list'!$AB448)</f>
        <v>0</v>
      </c>
      <c r="Z446" s="365" t="str">
        <f>IFERROR(X446*VLOOKUP(C446,'General price list'!C:I,7,FALSE),"")</f>
        <v/>
      </c>
      <c r="AA446" s="805" t="str">
        <f>IF(X446&lt;&gt;"",VLOOKUP(C446,'General price list'!C448:AN1421,MATCH("HM",Tabulka1[[#Headers],[KOD]:[NEQ]],0),FALSE),"")</f>
        <v/>
      </c>
    </row>
    <row r="447" spans="1:27">
      <c r="A447">
        <f>COUNTIF($W$22:W447,1)</f>
        <v>0</v>
      </c>
      <c r="B447">
        <v>447</v>
      </c>
      <c r="C447" s="340" t="str">
        <f>Tabulka1[[#This Row],[KOD]]</f>
        <v>C6420D</v>
      </c>
      <c r="W447" s="804" t="str">
        <f t="shared" si="15"/>
        <v/>
      </c>
      <c r="X447" t="str">
        <f t="shared" si="16"/>
        <v/>
      </c>
      <c r="Y447" s="341">
        <f>IF('General price list'!$AB449="",0,'General price list'!$AB449)</f>
        <v>0</v>
      </c>
      <c r="Z447" s="365" t="str">
        <f>IFERROR(X447*VLOOKUP(C447,'General price list'!C:I,7,FALSE),"")</f>
        <v/>
      </c>
      <c r="AA447" s="805" t="str">
        <f>IF(X447&lt;&gt;"",VLOOKUP(C447,'General price list'!C449:AN1422,MATCH("HM",Tabulka1[[#Headers],[KOD]:[NEQ]],0),FALSE),"")</f>
        <v/>
      </c>
    </row>
    <row r="448" spans="1:27">
      <c r="A448">
        <f>COUNTIF($W$22:W448,1)</f>
        <v>0</v>
      </c>
      <c r="B448">
        <v>448</v>
      </c>
      <c r="C448" s="340">
        <f>Tabulka1[[#This Row],[KOD]]</f>
        <v>0</v>
      </c>
      <c r="W448" s="804" t="str">
        <f t="shared" si="15"/>
        <v/>
      </c>
      <c r="X448" t="str">
        <f t="shared" si="16"/>
        <v/>
      </c>
      <c r="Y448" s="341">
        <f>IF('General price list'!$AB450="",0,'General price list'!$AB450)</f>
        <v>0</v>
      </c>
      <c r="Z448" s="365" t="str">
        <f>IFERROR(X448*VLOOKUP(C448,'General price list'!C:I,7,FALSE),"")</f>
        <v/>
      </c>
      <c r="AA448" s="805" t="str">
        <f>IF(X448&lt;&gt;"",VLOOKUP(C448,'General price list'!C450:AN1423,MATCH("HM",Tabulka1[[#Headers],[KOD]:[NEQ]],0),FALSE),"")</f>
        <v/>
      </c>
    </row>
    <row r="449" spans="1:27">
      <c r="A449">
        <f>COUNTIF($W$22:W449,1)</f>
        <v>0</v>
      </c>
      <c r="B449">
        <v>449</v>
      </c>
      <c r="C449" s="340" t="str">
        <f>Tabulka1[[#This Row],[KOD]]</f>
        <v>C6420D14</v>
      </c>
      <c r="W449" s="804" t="str">
        <f t="shared" si="15"/>
        <v/>
      </c>
      <c r="X449" t="str">
        <f t="shared" si="16"/>
        <v/>
      </c>
      <c r="Y449" s="341">
        <f>IF('General price list'!$AB451="",0,'General price list'!$AB451)</f>
        <v>0</v>
      </c>
      <c r="Z449" s="365" t="str">
        <f>IFERROR(X449*VLOOKUP(C449,'General price list'!C:I,7,FALSE),"")</f>
        <v/>
      </c>
      <c r="AA449" s="805" t="str">
        <f>IF(X449&lt;&gt;"",VLOOKUP(C449,'General price list'!C451:AN1424,MATCH("HM",Tabulka1[[#Headers],[KOD]:[NEQ]],0),FALSE),"")</f>
        <v/>
      </c>
    </row>
    <row r="450" spans="1:27">
      <c r="A450">
        <f>COUNTIF($W$22:W450,1)</f>
        <v>0</v>
      </c>
      <c r="B450">
        <v>450</v>
      </c>
      <c r="C450" s="340">
        <f>Tabulka1[[#This Row],[KOD]]</f>
        <v>0</v>
      </c>
      <c r="W450" s="804" t="str">
        <f t="shared" si="15"/>
        <v/>
      </c>
      <c r="X450" t="str">
        <f t="shared" si="16"/>
        <v/>
      </c>
      <c r="Y450" s="341">
        <f>IF('General price list'!$AB452="",0,'General price list'!$AB452)</f>
        <v>0</v>
      </c>
      <c r="Z450" s="365" t="str">
        <f>IFERROR(X450*VLOOKUP(C450,'General price list'!C:I,7,FALSE),"")</f>
        <v/>
      </c>
      <c r="AA450" s="805" t="str">
        <f>IF(X450&lt;&gt;"",VLOOKUP(C450,'General price list'!C452:AN1425,MATCH("HM",Tabulka1[[#Headers],[KOD]:[NEQ]],0),FALSE),"")</f>
        <v/>
      </c>
    </row>
    <row r="451" spans="1:27">
      <c r="A451">
        <f>COUNTIF($W$22:W451,1)</f>
        <v>0</v>
      </c>
      <c r="B451">
        <v>451</v>
      </c>
      <c r="C451" s="340" t="str">
        <f>Tabulka1[[#This Row],[KOD]]</f>
        <v>C6620P</v>
      </c>
      <c r="W451" s="804" t="str">
        <f t="shared" si="15"/>
        <v/>
      </c>
      <c r="X451" t="str">
        <f t="shared" si="16"/>
        <v/>
      </c>
      <c r="Y451" s="341">
        <f>IF('General price list'!$AB453="",0,'General price list'!$AB453)</f>
        <v>0</v>
      </c>
      <c r="Z451" s="365" t="str">
        <f>IFERROR(X451*VLOOKUP(C451,'General price list'!C:I,7,FALSE),"")</f>
        <v/>
      </c>
      <c r="AA451" s="805" t="str">
        <f>IF(X451&lt;&gt;"",VLOOKUP(C451,'General price list'!C453:AN1426,MATCH("HM",Tabulka1[[#Headers],[KOD]:[NEQ]],0),FALSE),"")</f>
        <v/>
      </c>
    </row>
    <row r="452" spans="1:27">
      <c r="A452">
        <f>COUNTIF($W$22:W452,1)</f>
        <v>0</v>
      </c>
      <c r="B452">
        <v>452</v>
      </c>
      <c r="C452" s="340" t="str">
        <f>Tabulka1[[#This Row],[KOD]]</f>
        <v>C6620L</v>
      </c>
      <c r="W452" s="804" t="str">
        <f t="shared" si="15"/>
        <v/>
      </c>
      <c r="X452" t="str">
        <f t="shared" si="16"/>
        <v/>
      </c>
      <c r="Y452" s="341">
        <f>IF('General price list'!$AB454="",0,'General price list'!$AB454)</f>
        <v>0</v>
      </c>
      <c r="Z452" s="365" t="str">
        <f>IFERROR(X452*VLOOKUP(C452,'General price list'!C:I,7,FALSE),"")</f>
        <v/>
      </c>
      <c r="AA452" s="805" t="str">
        <f>IF(X452&lt;&gt;"",VLOOKUP(C452,'General price list'!C454:AN1427,MATCH("HM",Tabulka1[[#Headers],[KOD]:[NEQ]],0),FALSE),"")</f>
        <v/>
      </c>
    </row>
    <row r="453" spans="1:27">
      <c r="A453">
        <f>COUNTIF($W$22:W453,1)</f>
        <v>0</v>
      </c>
      <c r="B453">
        <v>453</v>
      </c>
      <c r="C453" s="340">
        <f>Tabulka1[[#This Row],[KOD]]</f>
        <v>0</v>
      </c>
      <c r="W453" s="804" t="str">
        <f t="shared" si="15"/>
        <v/>
      </c>
      <c r="X453" t="str">
        <f t="shared" si="16"/>
        <v/>
      </c>
      <c r="Y453" s="341">
        <f>IF('General price list'!$AB455="",0,'General price list'!$AB455)</f>
        <v>0</v>
      </c>
      <c r="Z453" s="365" t="str">
        <f>IFERROR(X453*VLOOKUP(C453,'General price list'!C:I,7,FALSE),"")</f>
        <v/>
      </c>
      <c r="AA453" s="805" t="str">
        <f>IF(X453&lt;&gt;"",VLOOKUP(C453,'General price list'!C455:AN1428,MATCH("HM",Tabulka1[[#Headers],[KOD]:[NEQ]],0),FALSE),"")</f>
        <v/>
      </c>
    </row>
    <row r="454" spans="1:27">
      <c r="A454">
        <f>COUNTIF($W$22:W454,1)</f>
        <v>0</v>
      </c>
      <c r="B454">
        <v>454</v>
      </c>
      <c r="C454" s="340" t="str">
        <f>Tabulka1[[#This Row],[KOD]]</f>
        <v>C6620P14</v>
      </c>
      <c r="W454" s="804" t="str">
        <f t="shared" si="15"/>
        <v/>
      </c>
      <c r="X454" t="str">
        <f t="shared" si="16"/>
        <v/>
      </c>
      <c r="Y454" s="341">
        <f>IF('General price list'!$AB456="",0,'General price list'!$AB456)</f>
        <v>0</v>
      </c>
      <c r="Z454" s="365" t="str">
        <f>IFERROR(X454*VLOOKUP(C454,'General price list'!C:I,7,FALSE),"")</f>
        <v/>
      </c>
      <c r="AA454" s="805" t="str">
        <f>IF(X454&lt;&gt;"",VLOOKUP(C454,'General price list'!C456:AN1429,MATCH("HM",Tabulka1[[#Headers],[KOD]:[NEQ]],0),FALSE),"")</f>
        <v/>
      </c>
    </row>
    <row r="455" spans="1:27">
      <c r="A455">
        <f>COUNTIF($W$22:W455,1)</f>
        <v>0</v>
      </c>
      <c r="B455">
        <v>455</v>
      </c>
      <c r="C455" s="340">
        <f>Tabulka1[[#This Row],[KOD]]</f>
        <v>0</v>
      </c>
      <c r="W455" s="804" t="str">
        <f t="shared" si="15"/>
        <v/>
      </c>
      <c r="X455" t="str">
        <f t="shared" si="16"/>
        <v/>
      </c>
      <c r="Y455" s="341">
        <f>IF('General price list'!$AB457="",0,'General price list'!$AB457)</f>
        <v>0</v>
      </c>
      <c r="Z455" s="365" t="str">
        <f>IFERROR(X455*VLOOKUP(C455,'General price list'!C:I,7,FALSE),"")</f>
        <v/>
      </c>
      <c r="AA455" s="805" t="str">
        <f>IF(X455&lt;&gt;"",VLOOKUP(C455,'General price list'!C457:AN1430,MATCH("HM",Tabulka1[[#Headers],[KOD]:[NEQ]],0),FALSE),"")</f>
        <v/>
      </c>
    </row>
    <row r="456" spans="1:27">
      <c r="A456">
        <f>COUNTIF($W$22:W456,1)</f>
        <v>0</v>
      </c>
      <c r="B456">
        <v>456</v>
      </c>
      <c r="C456" s="340" t="str">
        <f>Tabulka1[[#This Row],[KOD]]</f>
        <v>C9020SIG</v>
      </c>
      <c r="W456" s="804" t="str">
        <f t="shared" si="15"/>
        <v/>
      </c>
      <c r="X456" t="str">
        <f t="shared" si="16"/>
        <v/>
      </c>
      <c r="Y456" s="341">
        <f>IF('General price list'!$AB458="",0,'General price list'!$AB458)</f>
        <v>0</v>
      </c>
      <c r="Z456" s="365" t="str">
        <f>IFERROR(X456*VLOOKUP(C456,'General price list'!C:I,7,FALSE),"")</f>
        <v/>
      </c>
      <c r="AA456" s="805" t="str">
        <f>IF(X456&lt;&gt;"",VLOOKUP(C456,'General price list'!C458:AN1431,MATCH("HM",Tabulka1[[#Headers],[KOD]:[NEQ]],0),FALSE),"")</f>
        <v/>
      </c>
    </row>
    <row r="457" spans="1:27">
      <c r="A457">
        <f>COUNTIF($W$22:W457,1)</f>
        <v>0</v>
      </c>
      <c r="B457">
        <v>457</v>
      </c>
      <c r="C457" s="340" t="str">
        <f>Tabulka1[[#This Row],[KOD]]</f>
        <v>C9020V</v>
      </c>
      <c r="W457" s="804" t="str">
        <f t="shared" si="15"/>
        <v/>
      </c>
      <c r="X457" t="str">
        <f t="shared" si="16"/>
        <v/>
      </c>
      <c r="Y457" s="341">
        <f>IF('General price list'!$AB459="",0,'General price list'!$AB459)</f>
        <v>0</v>
      </c>
      <c r="Z457" s="365" t="str">
        <f>IFERROR(X457*VLOOKUP(C457,'General price list'!C:I,7,FALSE),"")</f>
        <v/>
      </c>
      <c r="AA457" s="805" t="str">
        <f>IF(X457&lt;&gt;"",VLOOKUP(C457,'General price list'!C459:AN1432,MATCH("HM",Tabulka1[[#Headers],[KOD]:[NEQ]],0),FALSE),"")</f>
        <v/>
      </c>
    </row>
    <row r="458" spans="1:27">
      <c r="A458">
        <f>COUNTIF($W$22:W458,1)</f>
        <v>0</v>
      </c>
      <c r="B458">
        <v>458</v>
      </c>
      <c r="C458" s="340" t="str">
        <f>Tabulka1[[#This Row],[KOD]]</f>
        <v>C9020X</v>
      </c>
      <c r="W458" s="804" t="str">
        <f t="shared" si="15"/>
        <v/>
      </c>
      <c r="X458" t="str">
        <f t="shared" si="16"/>
        <v/>
      </c>
      <c r="Y458" s="341">
        <f>IF('General price list'!$AB460="",0,'General price list'!$AB460)</f>
        <v>0</v>
      </c>
      <c r="Z458" s="365" t="str">
        <f>IFERROR(X458*VLOOKUP(C458,'General price list'!C:I,7,FALSE),"")</f>
        <v/>
      </c>
      <c r="AA458" s="805" t="str">
        <f>IF(X458&lt;&gt;"",VLOOKUP(C458,'General price list'!C460:AN1433,MATCH("HM",Tabulka1[[#Headers],[KOD]:[NEQ]],0),FALSE),"")</f>
        <v/>
      </c>
    </row>
    <row r="459" spans="1:27">
      <c r="A459">
        <f>COUNTIF($W$22:W459,1)</f>
        <v>0</v>
      </c>
      <c r="B459">
        <v>459</v>
      </c>
      <c r="C459" s="340">
        <f>Tabulka1[[#This Row],[KOD]]</f>
        <v>0</v>
      </c>
      <c r="W459" s="804" t="str">
        <f t="shared" si="15"/>
        <v/>
      </c>
      <c r="X459" t="str">
        <f t="shared" si="16"/>
        <v/>
      </c>
      <c r="Y459" s="341">
        <f>IF('General price list'!$AB461="",0,'General price list'!$AB461)</f>
        <v>0</v>
      </c>
      <c r="Z459" s="365" t="str">
        <f>IFERROR(X459*VLOOKUP(C459,'General price list'!C:I,7,FALSE),"")</f>
        <v/>
      </c>
      <c r="AA459" s="805" t="str">
        <f>IF(X459&lt;&gt;"",VLOOKUP(C459,'General price list'!C461:AN1434,MATCH("HM",Tabulka1[[#Headers],[KOD]:[NEQ]],0),FALSE),"")</f>
        <v/>
      </c>
    </row>
    <row r="460" spans="1:27">
      <c r="A460">
        <f>COUNTIF($W$22:W460,1)</f>
        <v>0</v>
      </c>
      <c r="B460">
        <v>460</v>
      </c>
      <c r="C460" s="340" t="str">
        <f>Tabulka1[[#This Row],[KOD]]</f>
        <v>C10020BP14</v>
      </c>
      <c r="W460" s="804" t="str">
        <f t="shared" si="15"/>
        <v/>
      </c>
      <c r="X460" t="str">
        <f t="shared" si="16"/>
        <v/>
      </c>
      <c r="Y460" s="341">
        <f>IF('General price list'!$AB462="",0,'General price list'!$AB462)</f>
        <v>0</v>
      </c>
      <c r="Z460" s="365" t="str">
        <f>IFERROR(X460*VLOOKUP(C460,'General price list'!C:I,7,FALSE),"")</f>
        <v/>
      </c>
      <c r="AA460" s="805" t="str">
        <f>IF(X460&lt;&gt;"",VLOOKUP(C460,'General price list'!C462:AN1435,MATCH("HM",Tabulka1[[#Headers],[KOD]:[NEQ]],0),FALSE),"")</f>
        <v/>
      </c>
    </row>
    <row r="461" spans="1:27">
      <c r="A461">
        <f>COUNTIF($W$22:W461,1)</f>
        <v>0</v>
      </c>
      <c r="B461">
        <v>461</v>
      </c>
      <c r="C461" s="340" t="str">
        <f>Tabulka1[[#This Row],[KOD]]</f>
        <v>C10020BPS14</v>
      </c>
      <c r="W461" s="804" t="str">
        <f t="shared" si="15"/>
        <v/>
      </c>
      <c r="X461" t="str">
        <f t="shared" si="16"/>
        <v/>
      </c>
      <c r="Y461" s="341">
        <f>IF('General price list'!$AB463="",0,'General price list'!$AB463)</f>
        <v>0</v>
      </c>
      <c r="Z461" s="365" t="str">
        <f>IFERROR(X461*VLOOKUP(C461,'General price list'!C:I,7,FALSE),"")</f>
        <v/>
      </c>
      <c r="AA461" s="805" t="str">
        <f>IF(X461&lt;&gt;"",VLOOKUP(C461,'General price list'!C463:AN1436,MATCH("HM",Tabulka1[[#Headers],[KOD]:[NEQ]],0),FALSE),"")</f>
        <v/>
      </c>
    </row>
    <row r="462" spans="1:27">
      <c r="A462">
        <f>COUNTIF($W$22:W462,1)</f>
        <v>0</v>
      </c>
      <c r="B462">
        <v>462</v>
      </c>
      <c r="C462" s="340" t="str">
        <f>Tabulka1[[#This Row],[KOD]]</f>
        <v>C10020NID14</v>
      </c>
      <c r="W462" s="804" t="str">
        <f t="shared" si="15"/>
        <v/>
      </c>
      <c r="X462" t="str">
        <f t="shared" si="16"/>
        <v/>
      </c>
      <c r="Y462" s="341">
        <f>IF('General price list'!$AB464="",0,'General price list'!$AB464)</f>
        <v>0</v>
      </c>
      <c r="Z462" s="365" t="str">
        <f>IFERROR(X462*VLOOKUP(C462,'General price list'!C:I,7,FALSE),"")</f>
        <v/>
      </c>
      <c r="AA462" s="805" t="str">
        <f>IF(X462&lt;&gt;"",VLOOKUP(C462,'General price list'!C464:AN1437,MATCH("HM",Tabulka1[[#Headers],[KOD]:[NEQ]],0),FALSE),"")</f>
        <v/>
      </c>
    </row>
    <row r="463" spans="1:27">
      <c r="A463">
        <f>COUNTIF($W$22:W463,1)</f>
        <v>0</v>
      </c>
      <c r="B463">
        <v>463</v>
      </c>
      <c r="C463" s="340">
        <f>Tabulka1[[#This Row],[KOD]]</f>
        <v>0</v>
      </c>
      <c r="W463" s="804" t="str">
        <f t="shared" si="15"/>
        <v/>
      </c>
      <c r="X463" t="str">
        <f t="shared" si="16"/>
        <v/>
      </c>
      <c r="Y463" s="341">
        <f>IF('General price list'!$AB465="",0,'General price list'!$AB465)</f>
        <v>0</v>
      </c>
      <c r="Z463" s="365" t="str">
        <f>IFERROR(X463*VLOOKUP(C463,'General price list'!C:I,7,FALSE),"")</f>
        <v/>
      </c>
      <c r="AA463" s="805" t="str">
        <f>IF(X463&lt;&gt;"",VLOOKUP(C463,'General price list'!C465:AN1438,MATCH("HM",Tabulka1[[#Headers],[KOD]:[NEQ]],0),FALSE),"")</f>
        <v/>
      </c>
    </row>
    <row r="464" spans="1:27">
      <c r="A464">
        <f>COUNTIF($W$22:W464,1)</f>
        <v>0</v>
      </c>
      <c r="B464">
        <v>464</v>
      </c>
      <c r="C464" s="340" t="str">
        <f>Tabulka1[[#This Row],[KOD]]</f>
        <v>C10020XBPW14</v>
      </c>
      <c r="W464" s="804" t="str">
        <f t="shared" si="15"/>
        <v/>
      </c>
      <c r="X464" t="str">
        <f t="shared" si="16"/>
        <v/>
      </c>
      <c r="Y464" s="341">
        <f>IF('General price list'!$AB466="",0,'General price list'!$AB466)</f>
        <v>0</v>
      </c>
      <c r="Z464" s="365" t="str">
        <f>IFERROR(X464*VLOOKUP(C464,'General price list'!C:I,7,FALSE),"")</f>
        <v/>
      </c>
      <c r="AA464" s="805" t="str">
        <f>IF(X464&lt;&gt;"",VLOOKUP(C464,'General price list'!C466:AN1439,MATCH("HM",Tabulka1[[#Headers],[KOD]:[NEQ]],0),FALSE),"")</f>
        <v/>
      </c>
    </row>
    <row r="465" spans="1:27">
      <c r="A465">
        <f>COUNTIF($W$22:W465,1)</f>
        <v>0</v>
      </c>
      <c r="B465">
        <v>465</v>
      </c>
      <c r="C465" s="340" t="str">
        <f>Tabulka1[[#This Row],[KOD]]</f>
        <v>C10020XBP14</v>
      </c>
      <c r="W465" s="804" t="str">
        <f t="shared" si="15"/>
        <v/>
      </c>
      <c r="X465" t="str">
        <f t="shared" si="16"/>
        <v/>
      </c>
      <c r="Y465" s="341">
        <f>IF('General price list'!$AB467="",0,'General price list'!$AB467)</f>
        <v>0</v>
      </c>
      <c r="Z465" s="365" t="str">
        <f>IFERROR(X465*VLOOKUP(C465,'General price list'!C:I,7,FALSE),"")</f>
        <v/>
      </c>
      <c r="AA465" s="805" t="str">
        <f>IF(X465&lt;&gt;"",VLOOKUP(C465,'General price list'!C467:AN1440,MATCH("HM",Tabulka1[[#Headers],[KOD]:[NEQ]],0),FALSE),"")</f>
        <v/>
      </c>
    </row>
    <row r="466" spans="1:27">
      <c r="A466">
        <f>COUNTIF($W$22:W466,1)</f>
        <v>0</v>
      </c>
      <c r="B466">
        <v>466</v>
      </c>
      <c r="C466" s="340" t="str">
        <f>Tabulka1[[#This Row],[KOD]]</f>
        <v>C10020XTS14</v>
      </c>
      <c r="W466" s="804" t="str">
        <f t="shared" si="15"/>
        <v/>
      </c>
      <c r="X466" t="str">
        <f t="shared" si="16"/>
        <v/>
      </c>
      <c r="Y466" s="341">
        <f>IF('General price list'!$AB468="",0,'General price list'!$AB468)</f>
        <v>0</v>
      </c>
      <c r="Z466" s="365" t="str">
        <f>IFERROR(X466*VLOOKUP(C466,'General price list'!C:I,7,FALSE),"")</f>
        <v/>
      </c>
      <c r="AA466" s="805" t="str">
        <f>IF(X466&lt;&gt;"",VLOOKUP(C466,'General price list'!C468:AN1441,MATCH("HM",Tabulka1[[#Headers],[KOD]:[NEQ]],0),FALSE),"")</f>
        <v/>
      </c>
    </row>
    <row r="467" spans="1:27">
      <c r="A467">
        <f>COUNTIF($W$22:W467,1)</f>
        <v>0</v>
      </c>
      <c r="B467">
        <v>467</v>
      </c>
      <c r="C467" s="340" t="str">
        <f>Tabulka1[[#This Row],[KOD]]</f>
        <v>C10020XPR14</v>
      </c>
      <c r="W467" s="804" t="str">
        <f t="shared" si="15"/>
        <v/>
      </c>
      <c r="X467" t="str">
        <f t="shared" si="16"/>
        <v/>
      </c>
      <c r="Y467" s="341">
        <f>IF('General price list'!$AB469="",0,'General price list'!$AB469)</f>
        <v>0</v>
      </c>
      <c r="Z467" s="365" t="str">
        <f>IFERROR(X467*VLOOKUP(C467,'General price list'!C:I,7,FALSE),"")</f>
        <v/>
      </c>
      <c r="AA467" s="805" t="str">
        <f>IF(X467&lt;&gt;"",VLOOKUP(C467,'General price list'!C469:AN1442,MATCH("HM",Tabulka1[[#Headers],[KOD]:[NEQ]],0),FALSE),"")</f>
        <v/>
      </c>
    </row>
    <row r="468" spans="1:27">
      <c r="A468">
        <f>COUNTIF($W$22:W468,1)</f>
        <v>0</v>
      </c>
      <c r="B468">
        <v>468</v>
      </c>
      <c r="C468" s="340">
        <f>Tabulka1[[#This Row],[KOD]]</f>
        <v>0</v>
      </c>
      <c r="W468" s="804" t="str">
        <f t="shared" si="15"/>
        <v/>
      </c>
      <c r="X468" t="str">
        <f t="shared" si="16"/>
        <v/>
      </c>
      <c r="Y468" s="341">
        <f>IF('General price list'!$AB470="",0,'General price list'!$AB470)</f>
        <v>0</v>
      </c>
      <c r="Z468" s="365" t="str">
        <f>IFERROR(X468*VLOOKUP(C468,'General price list'!C:I,7,FALSE),"")</f>
        <v/>
      </c>
      <c r="AA468" s="805" t="str">
        <f>IF(X468&lt;&gt;"",VLOOKUP(C468,'General price list'!C470:AN1443,MATCH("HM",Tabulka1[[#Headers],[KOD]:[NEQ]],0),FALSE),"")</f>
        <v/>
      </c>
    </row>
    <row r="469" spans="1:27">
      <c r="A469">
        <f>COUNTIF($W$22:W469,1)</f>
        <v>0</v>
      </c>
      <c r="B469">
        <v>469</v>
      </c>
      <c r="C469" s="340" t="str">
        <f>Tabulka1[[#This Row],[KOD]]</f>
        <v>CF10020P</v>
      </c>
      <c r="W469" s="804" t="str">
        <f t="shared" si="15"/>
        <v/>
      </c>
      <c r="X469" t="str">
        <f t="shared" si="16"/>
        <v/>
      </c>
      <c r="Y469" s="341">
        <f>IF('General price list'!$AB471="",0,'General price list'!$AB471)</f>
        <v>0</v>
      </c>
      <c r="Z469" s="365" t="str">
        <f>IFERROR(X469*VLOOKUP(C469,'General price list'!C:I,7,FALSE),"")</f>
        <v/>
      </c>
      <c r="AA469" s="805" t="str">
        <f>IF(X469&lt;&gt;"",VLOOKUP(C469,'General price list'!C471:AN1444,MATCH("HM",Tabulka1[[#Headers],[KOD]:[NEQ]],0),FALSE),"")</f>
        <v/>
      </c>
    </row>
    <row r="470" spans="1:27">
      <c r="A470">
        <f>COUNTIF($W$22:W470,1)</f>
        <v>0</v>
      </c>
      <c r="B470">
        <v>470</v>
      </c>
      <c r="C470" s="340">
        <f>Tabulka1[[#This Row],[KOD]]</f>
        <v>0</v>
      </c>
      <c r="W470" s="804" t="str">
        <f t="shared" si="15"/>
        <v/>
      </c>
      <c r="X470" t="str">
        <f t="shared" si="16"/>
        <v/>
      </c>
      <c r="Y470" s="341">
        <f>IF('General price list'!$AB472="",0,'General price list'!$AB472)</f>
        <v>0</v>
      </c>
      <c r="Z470" s="365" t="str">
        <f>IFERROR(X470*VLOOKUP(C470,'General price list'!C:I,7,FALSE),"")</f>
        <v/>
      </c>
      <c r="AA470" s="805" t="str">
        <f>IF(X470&lt;&gt;"",VLOOKUP(C470,'General price list'!C472:AN1445,MATCH("HM",Tabulka1[[#Headers],[KOD]:[NEQ]],0),FALSE),"")</f>
        <v/>
      </c>
    </row>
    <row r="471" spans="1:27">
      <c r="A471">
        <f>COUNTIF($W$22:W471,1)</f>
        <v>0</v>
      </c>
      <c r="B471">
        <v>471</v>
      </c>
      <c r="C471" s="340" t="str">
        <f>Tabulka1[[#This Row],[KOD]]</f>
        <v>C13020BP</v>
      </c>
      <c r="W471" s="804" t="str">
        <f t="shared" si="15"/>
        <v/>
      </c>
      <c r="X471" t="str">
        <f t="shared" si="16"/>
        <v/>
      </c>
      <c r="Y471" s="341">
        <f>IF('General price list'!$AB473="",0,'General price list'!$AB473)</f>
        <v>0</v>
      </c>
      <c r="Z471" s="365" t="str">
        <f>IFERROR(X471*VLOOKUP(C471,'General price list'!C:I,7,FALSE),"")</f>
        <v/>
      </c>
      <c r="AA471" s="805" t="str">
        <f>IF(X471&lt;&gt;"",VLOOKUP(C471,'General price list'!C473:AN1446,MATCH("HM",Tabulka1[[#Headers],[KOD]:[NEQ]],0),FALSE),"")</f>
        <v/>
      </c>
    </row>
    <row r="472" spans="1:27">
      <c r="A472">
        <f>COUNTIF($W$22:W472,1)</f>
        <v>0</v>
      </c>
      <c r="B472">
        <v>472</v>
      </c>
      <c r="C472" s="340" t="str">
        <f>Tabulka1[[#This Row],[KOD]]</f>
        <v>C13020M</v>
      </c>
      <c r="W472" s="804" t="str">
        <f t="shared" si="15"/>
        <v/>
      </c>
      <c r="X472" t="str">
        <f t="shared" si="16"/>
        <v/>
      </c>
      <c r="Y472" s="341">
        <f>IF('General price list'!$AB474="",0,'General price list'!$AB474)</f>
        <v>0</v>
      </c>
      <c r="Z472" s="365" t="str">
        <f>IFERROR(X472*VLOOKUP(C472,'General price list'!C:I,7,FALSE),"")</f>
        <v/>
      </c>
      <c r="AA472" s="805" t="str">
        <f>IF(X472&lt;&gt;"",VLOOKUP(C472,'General price list'!C474:AN1447,MATCH("HM",Tabulka1[[#Headers],[KOD]:[NEQ]],0),FALSE),"")</f>
        <v/>
      </c>
    </row>
    <row r="473" spans="1:27">
      <c r="A473">
        <f>COUNTIF($W$22:W473,1)</f>
        <v>0</v>
      </c>
      <c r="B473">
        <v>473</v>
      </c>
      <c r="C473" s="340" t="str">
        <f>Tabulka1[[#This Row],[KOD]]</f>
        <v>C13020B</v>
      </c>
      <c r="W473" s="804" t="str">
        <f t="shared" ref="W473:W536" si="17">IF(Y473+1=1,"",1)</f>
        <v/>
      </c>
      <c r="X473" t="str">
        <f t="shared" ref="X473:X536" si="18">IF(OR(A473&lt;$E$20,A473&gt;$E$21),"",IF(Y473=0,"",Y473))</f>
        <v/>
      </c>
      <c r="Y473" s="341">
        <f>IF('General price list'!$AB475="",0,'General price list'!$AB475)</f>
        <v>0</v>
      </c>
      <c r="Z473" s="365" t="str">
        <f>IFERROR(X473*VLOOKUP(C473,'General price list'!C:I,7,FALSE),"")</f>
        <v/>
      </c>
      <c r="AA473" s="805" t="str">
        <f>IF(X473&lt;&gt;"",VLOOKUP(C473,'General price list'!C475:AN1448,MATCH("HM",Tabulka1[[#Headers],[KOD]:[NEQ]],0),FALSE),"")</f>
        <v/>
      </c>
    </row>
    <row r="474" spans="1:27">
      <c r="A474">
        <f>COUNTIF($W$22:W474,1)</f>
        <v>0</v>
      </c>
      <c r="B474">
        <v>474</v>
      </c>
      <c r="C474" s="340">
        <f>Tabulka1[[#This Row],[KOD]]</f>
        <v>0</v>
      </c>
      <c r="W474" s="804" t="str">
        <f t="shared" si="17"/>
        <v/>
      </c>
      <c r="X474" t="str">
        <f t="shared" si="18"/>
        <v/>
      </c>
      <c r="Y474" s="341">
        <f>IF('General price list'!$AB476="",0,'General price list'!$AB476)</f>
        <v>0</v>
      </c>
      <c r="Z474" s="365" t="str">
        <f>IFERROR(X474*VLOOKUP(C474,'General price list'!C:I,7,FALSE),"")</f>
        <v/>
      </c>
      <c r="AA474" s="805" t="str">
        <f>IF(X474&lt;&gt;"",VLOOKUP(C474,'General price list'!C476:AN1449,MATCH("HM",Tabulka1[[#Headers],[KOD]:[NEQ]],0),FALSE),"")</f>
        <v/>
      </c>
    </row>
    <row r="475" spans="1:27">
      <c r="A475">
        <f>COUNTIF($W$22:W475,1)</f>
        <v>0</v>
      </c>
      <c r="B475">
        <v>475</v>
      </c>
      <c r="C475" s="340" t="str">
        <f>Tabulka1[[#This Row],[KOD]]</f>
        <v>C13420H</v>
      </c>
      <c r="W475" s="804" t="str">
        <f t="shared" si="17"/>
        <v/>
      </c>
      <c r="X475" t="str">
        <f t="shared" si="18"/>
        <v/>
      </c>
      <c r="Y475" s="341">
        <f>IF('General price list'!$AB477="",0,'General price list'!$AB477)</f>
        <v>0</v>
      </c>
      <c r="Z475" s="365" t="str">
        <f>IFERROR(X475*VLOOKUP(C475,'General price list'!C:I,7,FALSE),"")</f>
        <v/>
      </c>
      <c r="AA475" s="805" t="str">
        <f>IF(X475&lt;&gt;"",VLOOKUP(C475,'General price list'!C477:AN1450,MATCH("HM",Tabulka1[[#Headers],[KOD]:[NEQ]],0),FALSE),"")</f>
        <v/>
      </c>
    </row>
    <row r="476" spans="1:27">
      <c r="A476">
        <f>COUNTIF($W$22:W476,1)</f>
        <v>0</v>
      </c>
      <c r="B476">
        <v>476</v>
      </c>
      <c r="C476" s="340">
        <f>Tabulka1[[#This Row],[KOD]]</f>
        <v>0</v>
      </c>
      <c r="W476" s="804" t="str">
        <f t="shared" si="17"/>
        <v/>
      </c>
      <c r="X476" t="str">
        <f t="shared" si="18"/>
        <v/>
      </c>
      <c r="Y476" s="341">
        <f>IF('General price list'!$AB478="",0,'General price list'!$AB478)</f>
        <v>0</v>
      </c>
      <c r="Z476" s="365" t="str">
        <f>IFERROR(X476*VLOOKUP(C476,'General price list'!C:I,7,FALSE),"")</f>
        <v/>
      </c>
      <c r="AA476" s="805" t="str">
        <f>IF(X476&lt;&gt;"",VLOOKUP(C476,'General price list'!C478:AN1451,MATCH("HM",Tabulka1[[#Headers],[KOD]:[NEQ]],0),FALSE),"")</f>
        <v/>
      </c>
    </row>
    <row r="477" spans="1:27">
      <c r="A477">
        <f>COUNTIF($W$22:W477,1)</f>
        <v>0</v>
      </c>
      <c r="B477">
        <v>477</v>
      </c>
      <c r="C477" s="340" t="str">
        <f>Tabulka1[[#This Row],[KOD]]</f>
        <v>C20020BPS</v>
      </c>
      <c r="W477" s="804" t="str">
        <f t="shared" si="17"/>
        <v/>
      </c>
      <c r="X477" t="str">
        <f t="shared" si="18"/>
        <v/>
      </c>
      <c r="Y477" s="341">
        <f>IF('General price list'!$AB479="",0,'General price list'!$AB479)</f>
        <v>0</v>
      </c>
      <c r="Z477" s="365" t="str">
        <f>IFERROR(X477*VLOOKUP(C477,'General price list'!C:I,7,FALSE),"")</f>
        <v/>
      </c>
      <c r="AA477" s="805" t="str">
        <f>IF(X477&lt;&gt;"",VLOOKUP(C477,'General price list'!C479:AN1452,MATCH("HM",Tabulka1[[#Headers],[KOD]:[NEQ]],0),FALSE),"")</f>
        <v/>
      </c>
    </row>
    <row r="478" spans="1:27">
      <c r="A478">
        <f>COUNTIF($W$22:W478,1)</f>
        <v>0</v>
      </c>
      <c r="B478">
        <v>478</v>
      </c>
      <c r="C478" s="340" t="str">
        <f>Tabulka1[[#This Row],[KOD]]</f>
        <v>C20020PR</v>
      </c>
      <c r="W478" s="804" t="str">
        <f t="shared" si="17"/>
        <v/>
      </c>
      <c r="X478" t="str">
        <f t="shared" si="18"/>
        <v/>
      </c>
      <c r="Y478" s="341">
        <f>IF('General price list'!$AB480="",0,'General price list'!$AB480)</f>
        <v>0</v>
      </c>
      <c r="Z478" s="365" t="str">
        <f>IFERROR(X478*VLOOKUP(C478,'General price list'!C:I,7,FALSE),"")</f>
        <v/>
      </c>
      <c r="AA478" s="805" t="str">
        <f>IF(X478&lt;&gt;"",VLOOKUP(C478,'General price list'!C480:AN1453,MATCH("HM",Tabulka1[[#Headers],[KOD]:[NEQ]],0),FALSE),"")</f>
        <v/>
      </c>
    </row>
    <row r="479" spans="1:27">
      <c r="A479">
        <f>COUNTIF($W$22:W479,1)</f>
        <v>0</v>
      </c>
      <c r="B479">
        <v>479</v>
      </c>
      <c r="C479" s="340">
        <f>Tabulka1[[#This Row],[KOD]]</f>
        <v>0</v>
      </c>
      <c r="W479" s="804" t="str">
        <f t="shared" si="17"/>
        <v/>
      </c>
      <c r="X479" t="str">
        <f t="shared" si="18"/>
        <v/>
      </c>
      <c r="Y479" s="341">
        <f>IF('General price list'!$AB481="",0,'General price list'!$AB481)</f>
        <v>0</v>
      </c>
      <c r="Z479" s="365" t="str">
        <f>IFERROR(X479*VLOOKUP(C479,'General price list'!C:I,7,FALSE),"")</f>
        <v/>
      </c>
      <c r="AA479" s="805" t="str">
        <f>IF(X479&lt;&gt;"",VLOOKUP(C479,'General price list'!C481:AN1454,MATCH("HM",Tabulka1[[#Headers],[KOD]:[NEQ]],0),FALSE),"")</f>
        <v/>
      </c>
    </row>
    <row r="480" spans="1:27">
      <c r="A480">
        <f>COUNTIF($W$22:W480,1)</f>
        <v>0</v>
      </c>
      <c r="B480">
        <v>480</v>
      </c>
      <c r="C480" s="340" t="str">
        <f>Tabulka1[[#This Row],[KOD]]</f>
        <v>C20020XBP</v>
      </c>
      <c r="W480" s="804" t="str">
        <f t="shared" si="17"/>
        <v/>
      </c>
      <c r="X480" t="str">
        <f t="shared" si="18"/>
        <v/>
      </c>
      <c r="Y480" s="341">
        <f>IF('General price list'!$AB482="",0,'General price list'!$AB482)</f>
        <v>0</v>
      </c>
      <c r="Z480" s="365" t="str">
        <f>IFERROR(X480*VLOOKUP(C480,'General price list'!C:I,7,FALSE),"")</f>
        <v/>
      </c>
      <c r="AA480" s="805" t="str">
        <f>IF(X480&lt;&gt;"",VLOOKUP(C480,'General price list'!C482:AN1455,MATCH("HM",Tabulka1[[#Headers],[KOD]:[NEQ]],0),FALSE),"")</f>
        <v/>
      </c>
    </row>
    <row r="481" spans="1:27">
      <c r="A481">
        <f>COUNTIF($W$22:W481,1)</f>
        <v>0</v>
      </c>
      <c r="B481">
        <v>481</v>
      </c>
      <c r="C481" s="340" t="str">
        <f>Tabulka1[[#This Row],[KOD]]</f>
        <v>C20020XPR</v>
      </c>
      <c r="W481" s="804" t="str">
        <f t="shared" si="17"/>
        <v/>
      </c>
      <c r="X481" t="str">
        <f t="shared" si="18"/>
        <v/>
      </c>
      <c r="Y481" s="341">
        <f>IF('General price list'!$AB483="",0,'General price list'!$AB483)</f>
        <v>0</v>
      </c>
      <c r="Z481" s="365" t="str">
        <f>IFERROR(X481*VLOOKUP(C481,'General price list'!C:I,7,FALSE),"")</f>
        <v/>
      </c>
      <c r="AA481" s="805" t="str">
        <f>IF(X481&lt;&gt;"",VLOOKUP(C481,'General price list'!C483:AN1456,MATCH("HM",Tabulka1[[#Headers],[KOD]:[NEQ]],0),FALSE),"")</f>
        <v/>
      </c>
    </row>
    <row r="482" spans="1:27">
      <c r="A482">
        <f>COUNTIF($W$22:W482,1)</f>
        <v>0</v>
      </c>
      <c r="B482">
        <v>482</v>
      </c>
      <c r="C482" s="340">
        <f>Tabulka1[[#This Row],[KOD]]</f>
        <v>0</v>
      </c>
      <c r="W482" s="804" t="str">
        <f t="shared" si="17"/>
        <v/>
      </c>
      <c r="X482" t="str">
        <f t="shared" si="18"/>
        <v/>
      </c>
      <c r="Y482" s="341">
        <f>IF('General price list'!$AB484="",0,'General price list'!$AB484)</f>
        <v>0</v>
      </c>
      <c r="Z482" s="365" t="str">
        <f>IFERROR(X482*VLOOKUP(C482,'General price list'!C:I,7,FALSE),"")</f>
        <v/>
      </c>
      <c r="AA482" s="805" t="str">
        <f>IF(X482&lt;&gt;"",VLOOKUP(C482,'General price list'!C484:AN1457,MATCH("HM",Tabulka1[[#Headers],[KOD]:[NEQ]],0),FALSE),"")</f>
        <v/>
      </c>
    </row>
    <row r="483" spans="1:27">
      <c r="A483">
        <f>COUNTIF($W$22:W483,1)</f>
        <v>0</v>
      </c>
      <c r="B483">
        <v>483</v>
      </c>
      <c r="C483" s="340" t="str">
        <f>Tabulka1[[#This Row],[KOD]]</f>
        <v>C12820F/C14</v>
      </c>
      <c r="W483" s="804" t="str">
        <f t="shared" si="17"/>
        <v/>
      </c>
      <c r="X483" t="str">
        <f t="shared" si="18"/>
        <v/>
      </c>
      <c r="Y483" s="341">
        <f>IF('General price list'!$AB485="",0,'General price list'!$AB485)</f>
        <v>0</v>
      </c>
      <c r="Z483" s="365" t="str">
        <f>IFERROR(X483*VLOOKUP(C483,'General price list'!C:I,7,FALSE),"")</f>
        <v/>
      </c>
      <c r="AA483" s="805" t="str">
        <f>IF(X483&lt;&gt;"",VLOOKUP(C483,'General price list'!C485:AN1458,MATCH("HM",Tabulka1[[#Headers],[KOD]:[NEQ]],0),FALSE),"")</f>
        <v/>
      </c>
    </row>
    <row r="484" spans="1:27">
      <c r="A484">
        <f>COUNTIF($W$22:W484,1)</f>
        <v>0</v>
      </c>
      <c r="B484">
        <v>484</v>
      </c>
      <c r="C484" s="340" t="str">
        <f>Tabulka1[[#This Row],[KOD]]</f>
        <v>C13220B/C14</v>
      </c>
      <c r="W484" s="804" t="str">
        <f t="shared" si="17"/>
        <v/>
      </c>
      <c r="X484" t="str">
        <f t="shared" si="18"/>
        <v/>
      </c>
      <c r="Y484" s="341">
        <f>IF('General price list'!$AB486="",0,'General price list'!$AB486)</f>
        <v>0</v>
      </c>
      <c r="Z484" s="365" t="str">
        <f>IFERROR(X484*VLOOKUP(C484,'General price list'!C:I,7,FALSE),"")</f>
        <v/>
      </c>
      <c r="AA484" s="805" t="str">
        <f>IF(X484&lt;&gt;"",VLOOKUP(C484,'General price list'!C486:AN1459,MATCH("HM",Tabulka1[[#Headers],[KOD]:[NEQ]],0),FALSE),"")</f>
        <v/>
      </c>
    </row>
    <row r="485" spans="1:27">
      <c r="A485">
        <f>COUNTIF($W$22:W485,1)</f>
        <v>0</v>
      </c>
      <c r="B485">
        <v>485</v>
      </c>
      <c r="C485" s="340" t="str">
        <f>Tabulka1[[#This Row],[KOD]]</f>
        <v>C13220TS/C14</v>
      </c>
      <c r="W485" s="804" t="str">
        <f t="shared" si="17"/>
        <v/>
      </c>
      <c r="X485" t="str">
        <f t="shared" si="18"/>
        <v/>
      </c>
      <c r="Y485" s="341">
        <f>IF('General price list'!$AB487="",0,'General price list'!$AB487)</f>
        <v>0</v>
      </c>
      <c r="Z485" s="365" t="str">
        <f>IFERROR(X485*VLOOKUP(C485,'General price list'!C:I,7,FALSE),"")</f>
        <v/>
      </c>
      <c r="AA485" s="805" t="str">
        <f>IF(X485&lt;&gt;"",VLOOKUP(C485,'General price list'!C487:AN1460,MATCH("HM",Tabulka1[[#Headers],[KOD]:[NEQ]],0),FALSE),"")</f>
        <v/>
      </c>
    </row>
    <row r="486" spans="1:27">
      <c r="A486">
        <f>COUNTIF($W$22:W486,1)</f>
        <v>0</v>
      </c>
      <c r="B486">
        <v>486</v>
      </c>
      <c r="C486" s="340" t="str">
        <f>Tabulka1[[#This Row],[KOD]]</f>
        <v>C18820XR/C14</v>
      </c>
      <c r="W486" s="804" t="str">
        <f t="shared" si="17"/>
        <v/>
      </c>
      <c r="X486" t="str">
        <f t="shared" si="18"/>
        <v/>
      </c>
      <c r="Y486" s="341">
        <f>IF('General price list'!$AB488="",0,'General price list'!$AB488)</f>
        <v>0</v>
      </c>
      <c r="Z486" s="365" t="str">
        <f>IFERROR(X486*VLOOKUP(C486,'General price list'!C:I,7,FALSE),"")</f>
        <v/>
      </c>
      <c r="AA486" s="805" t="str">
        <f>IF(X486&lt;&gt;"",VLOOKUP(C486,'General price list'!C488:AN1461,MATCH("HM",Tabulka1[[#Headers],[KOD]:[NEQ]],0),FALSE),"")</f>
        <v/>
      </c>
    </row>
    <row r="487" spans="1:27">
      <c r="A487">
        <f>COUNTIF($W$22:W487,1)</f>
        <v>0</v>
      </c>
      <c r="B487">
        <v>487</v>
      </c>
      <c r="C487" s="340" t="str">
        <f>Tabulka1[[#This Row],[KOD]]</f>
        <v>C20020N/C14</v>
      </c>
      <c r="W487" s="804" t="str">
        <f t="shared" si="17"/>
        <v/>
      </c>
      <c r="X487" t="str">
        <f t="shared" si="18"/>
        <v/>
      </c>
      <c r="Y487" s="341">
        <f>IF('General price list'!$AB489="",0,'General price list'!$AB489)</f>
        <v>0</v>
      </c>
      <c r="Z487" s="365" t="str">
        <f>IFERROR(X487*VLOOKUP(C487,'General price list'!C:I,7,FALSE),"")</f>
        <v/>
      </c>
      <c r="AA487" s="805" t="str">
        <f>IF(X487&lt;&gt;"",VLOOKUP(C487,'General price list'!C489:AN1462,MATCH("HM",Tabulka1[[#Headers],[KOD]:[NEQ]],0),FALSE),"")</f>
        <v/>
      </c>
    </row>
    <row r="488" spans="1:27">
      <c r="A488">
        <f>COUNTIF($W$22:W488,1)</f>
        <v>0</v>
      </c>
      <c r="B488">
        <v>488</v>
      </c>
      <c r="C488" s="340" t="str">
        <f>Tabulka1[[#This Row],[KOD]]</f>
        <v>C20020XPR/C14</v>
      </c>
      <c r="W488" s="804" t="str">
        <f t="shared" si="17"/>
        <v/>
      </c>
      <c r="X488" t="str">
        <f t="shared" si="18"/>
        <v/>
      </c>
      <c r="Y488" s="341">
        <f>IF('General price list'!$AB490="",0,'General price list'!$AB490)</f>
        <v>0</v>
      </c>
      <c r="Z488" s="365" t="str">
        <f>IFERROR(X488*VLOOKUP(C488,'General price list'!C:I,7,FALSE),"")</f>
        <v/>
      </c>
      <c r="AA488" s="805" t="str">
        <f>IF(X488&lt;&gt;"",VLOOKUP(C488,'General price list'!C490:AN1463,MATCH("HM",Tabulka1[[#Headers],[KOD]:[NEQ]],0),FALSE),"")</f>
        <v/>
      </c>
    </row>
    <row r="489" spans="1:27">
      <c r="A489">
        <f>COUNTIF($W$22:W489,1)</f>
        <v>0</v>
      </c>
      <c r="B489">
        <v>489</v>
      </c>
      <c r="C489" s="340" t="str">
        <f>Tabulka1[[#This Row],[KOD]]</f>
        <v>C20020XTS/C14</v>
      </c>
      <c r="W489" s="804" t="str">
        <f t="shared" si="17"/>
        <v/>
      </c>
      <c r="X489" t="str">
        <f t="shared" si="18"/>
        <v/>
      </c>
      <c r="Y489" s="341">
        <f>IF('General price list'!$AB491="",0,'General price list'!$AB491)</f>
        <v>0</v>
      </c>
      <c r="Z489" s="365" t="str">
        <f>IFERROR(X489*VLOOKUP(C489,'General price list'!C:I,7,FALSE),"")</f>
        <v/>
      </c>
      <c r="AA489" s="805" t="str">
        <f>IF(X489&lt;&gt;"",VLOOKUP(C489,'General price list'!C491:AN1464,MATCH("HM",Tabulka1[[#Headers],[KOD]:[NEQ]],0),FALSE),"")</f>
        <v/>
      </c>
    </row>
    <row r="490" spans="1:27">
      <c r="A490">
        <f>COUNTIF($W$22:W490,1)</f>
        <v>0</v>
      </c>
      <c r="B490">
        <v>490</v>
      </c>
      <c r="C490" s="340" t="str">
        <f>Tabulka1[[#This Row],[KOD]]</f>
        <v>C19320XR/C14</v>
      </c>
      <c r="W490" s="804" t="str">
        <f t="shared" si="17"/>
        <v/>
      </c>
      <c r="X490" t="str">
        <f t="shared" si="18"/>
        <v/>
      </c>
      <c r="Y490" s="341">
        <f>IF('General price list'!$AB492="",0,'General price list'!$AB492)</f>
        <v>0</v>
      </c>
      <c r="Z490" s="365" t="str">
        <f>IFERROR(X490*VLOOKUP(C490,'General price list'!C:I,7,FALSE),"")</f>
        <v/>
      </c>
      <c r="AA490" s="805" t="str">
        <f>IF(X490&lt;&gt;"",VLOOKUP(C490,'General price list'!C492:AN1465,MATCH("HM",Tabulka1[[#Headers],[KOD]:[NEQ]],0),FALSE),"")</f>
        <v/>
      </c>
    </row>
    <row r="491" spans="1:27">
      <c r="A491">
        <f>COUNTIF($W$22:W491,1)</f>
        <v>0</v>
      </c>
      <c r="B491">
        <v>491</v>
      </c>
      <c r="C491" s="340">
        <f>Tabulka1[[#This Row],[KOD]]</f>
        <v>0</v>
      </c>
      <c r="W491" s="804" t="str">
        <f t="shared" si="17"/>
        <v/>
      </c>
      <c r="X491" t="str">
        <f t="shared" si="18"/>
        <v/>
      </c>
      <c r="Y491" s="341">
        <f>IF('General price list'!$AB493="",0,'General price list'!$AB493)</f>
        <v>0</v>
      </c>
      <c r="Z491" s="365" t="str">
        <f>IFERROR(X491*VLOOKUP(C491,'General price list'!C:I,7,FALSE),"")</f>
        <v/>
      </c>
      <c r="AA491" s="805" t="str">
        <f>IF(X491&lt;&gt;"",VLOOKUP(C491,'General price list'!C493:AN1466,MATCH("HM",Tabulka1[[#Headers],[KOD]:[NEQ]],0),FALSE),"")</f>
        <v/>
      </c>
    </row>
    <row r="492" spans="1:27">
      <c r="A492">
        <f>COUNTIF($W$22:W492,1)</f>
        <v>0</v>
      </c>
      <c r="B492">
        <v>492</v>
      </c>
      <c r="C492" s="340" t="str">
        <f>Tabulka1[[#This Row],[KOD]]</f>
        <v>C19220F/C14</v>
      </c>
      <c r="W492" s="804" t="str">
        <f t="shared" si="17"/>
        <v/>
      </c>
      <c r="X492" t="str">
        <f t="shared" si="18"/>
        <v/>
      </c>
      <c r="Y492" s="341">
        <f>IF('General price list'!$AB494="",0,'General price list'!$AB494)</f>
        <v>0</v>
      </c>
      <c r="Z492" s="365" t="str">
        <f>IFERROR(X492*VLOOKUP(C492,'General price list'!C:I,7,FALSE),"")</f>
        <v/>
      </c>
      <c r="AA492" s="805" t="str">
        <f>IF(X492&lt;&gt;"",VLOOKUP(C492,'General price list'!C494:AN1467,MATCH("HM",Tabulka1[[#Headers],[KOD]:[NEQ]],0),FALSE),"")</f>
        <v/>
      </c>
    </row>
    <row r="493" spans="1:27">
      <c r="A493">
        <f>COUNTIF($W$22:W493,1)</f>
        <v>0</v>
      </c>
      <c r="B493">
        <v>493</v>
      </c>
      <c r="C493" s="340" t="str">
        <f>Tabulka1[[#This Row],[KOD]]</f>
        <v>C25220XFS/C14</v>
      </c>
      <c r="W493" s="804" t="str">
        <f t="shared" si="17"/>
        <v/>
      </c>
      <c r="X493" t="str">
        <f t="shared" si="18"/>
        <v/>
      </c>
      <c r="Y493" s="341">
        <f>IF('General price list'!$AB495="",0,'General price list'!$AB495)</f>
        <v>0</v>
      </c>
      <c r="Z493" s="365" t="str">
        <f>IFERROR(X493*VLOOKUP(C493,'General price list'!C:I,7,FALSE),"")</f>
        <v/>
      </c>
      <c r="AA493" s="805" t="str">
        <f>IF(X493&lt;&gt;"",VLOOKUP(C493,'General price list'!C495:AN1468,MATCH("HM",Tabulka1[[#Headers],[KOD]:[NEQ]],0),FALSE),"")</f>
        <v/>
      </c>
    </row>
    <row r="494" spans="1:27">
      <c r="A494">
        <f>COUNTIF($W$22:W494,1)</f>
        <v>0</v>
      </c>
      <c r="B494">
        <v>494</v>
      </c>
      <c r="C494" s="340" t="str">
        <f>Tabulka1[[#This Row],[KOD]]</f>
        <v>C25620F/C14</v>
      </c>
      <c r="W494" s="804" t="str">
        <f t="shared" si="17"/>
        <v/>
      </c>
      <c r="X494" t="str">
        <f t="shared" si="18"/>
        <v/>
      </c>
      <c r="Y494" s="341">
        <f>IF('General price list'!$AB496="",0,'General price list'!$AB496)</f>
        <v>0</v>
      </c>
      <c r="Z494" s="365" t="str">
        <f>IFERROR(X494*VLOOKUP(C494,'General price list'!C:I,7,FALSE),"")</f>
        <v/>
      </c>
      <c r="AA494" s="805" t="str">
        <f>IF(X494&lt;&gt;"",VLOOKUP(C494,'General price list'!C496:AN1469,MATCH("HM",Tabulka1[[#Headers],[KOD]:[NEQ]],0),FALSE),"")</f>
        <v/>
      </c>
    </row>
    <row r="495" spans="1:27">
      <c r="A495">
        <f>COUNTIF($W$22:W495,1)</f>
        <v>0</v>
      </c>
      <c r="B495">
        <v>495</v>
      </c>
      <c r="C495" s="340" t="str">
        <f>Tabulka1[[#This Row],[KOD]]</f>
        <v>C26420N/C14</v>
      </c>
      <c r="W495" s="804" t="str">
        <f t="shared" si="17"/>
        <v/>
      </c>
      <c r="X495" t="str">
        <f t="shared" si="18"/>
        <v/>
      </c>
      <c r="Y495" s="341">
        <f>IF('General price list'!$AB497="",0,'General price list'!$AB497)</f>
        <v>0</v>
      </c>
      <c r="Z495" s="365" t="str">
        <f>IFERROR(X495*VLOOKUP(C495,'General price list'!C:I,7,FALSE),"")</f>
        <v/>
      </c>
      <c r="AA495" s="805" t="str">
        <f>IF(X495&lt;&gt;"",VLOOKUP(C495,'General price list'!C497:AN1470,MATCH("HM",Tabulka1[[#Headers],[KOD]:[NEQ]],0),FALSE),"")</f>
        <v/>
      </c>
    </row>
    <row r="496" spans="1:27">
      <c r="A496">
        <f>COUNTIF($W$22:W496,1)</f>
        <v>0</v>
      </c>
      <c r="B496">
        <v>496</v>
      </c>
      <c r="C496" s="340" t="str">
        <f>Tabulka1[[#This Row],[KOD]]</f>
        <v>C30020R/C14</v>
      </c>
      <c r="W496" s="804" t="str">
        <f t="shared" si="17"/>
        <v/>
      </c>
      <c r="X496" t="str">
        <f t="shared" si="18"/>
        <v/>
      </c>
      <c r="Y496" s="341">
        <f>IF('General price list'!$AB498="",0,'General price list'!$AB498)</f>
        <v>0</v>
      </c>
      <c r="Z496" s="365" t="str">
        <f>IFERROR(X496*VLOOKUP(C496,'General price list'!C:I,7,FALSE),"")</f>
        <v/>
      </c>
      <c r="AA496" s="805" t="str">
        <f>IF(X496&lt;&gt;"",VLOOKUP(C496,'General price list'!C498:AN1471,MATCH("HM",Tabulka1[[#Headers],[KOD]:[NEQ]],0),FALSE),"")</f>
        <v/>
      </c>
    </row>
    <row r="497" spans="1:27">
      <c r="A497">
        <f>COUNTIF($W$22:W497,1)</f>
        <v>0</v>
      </c>
      <c r="B497">
        <v>497</v>
      </c>
      <c r="C497" s="340" t="str">
        <f>Tabulka1[[#This Row],[KOD]]</f>
        <v>C40020B/C14</v>
      </c>
      <c r="W497" s="804" t="str">
        <f t="shared" si="17"/>
        <v/>
      </c>
      <c r="X497" t="str">
        <f t="shared" si="18"/>
        <v/>
      </c>
      <c r="Y497" s="341">
        <f>IF('General price list'!$AB499="",0,'General price list'!$AB499)</f>
        <v>0</v>
      </c>
      <c r="Z497" s="365" t="str">
        <f>IFERROR(X497*VLOOKUP(C497,'General price list'!C:I,7,FALSE),"")</f>
        <v/>
      </c>
      <c r="AA497" s="805" t="str">
        <f>IF(X497&lt;&gt;"",VLOOKUP(C497,'General price list'!C499:AN1472,MATCH("HM",Tabulka1[[#Headers],[KOD]:[NEQ]],0),FALSE),"")</f>
        <v/>
      </c>
    </row>
    <row r="498" spans="1:27">
      <c r="A498">
        <f>COUNTIF($W$22:W498,1)</f>
        <v>0</v>
      </c>
      <c r="B498">
        <v>498</v>
      </c>
      <c r="C498" s="340" t="str">
        <f>Tabulka1[[#This Row],[KOD]]</f>
        <v>C40020XPR/C14</v>
      </c>
      <c r="W498" s="804" t="str">
        <f t="shared" si="17"/>
        <v/>
      </c>
      <c r="X498" t="str">
        <f t="shared" si="18"/>
        <v/>
      </c>
      <c r="Y498" s="341">
        <f>IF('General price list'!$AB500="",0,'General price list'!$AB500)</f>
        <v>0</v>
      </c>
      <c r="Z498" s="365" t="str">
        <f>IFERROR(X498*VLOOKUP(C498,'General price list'!C:I,7,FALSE),"")</f>
        <v/>
      </c>
      <c r="AA498" s="805" t="str">
        <f>IF(X498&lt;&gt;"",VLOOKUP(C498,'General price list'!C500:AN1473,MATCH("HM",Tabulka1[[#Headers],[KOD]:[NEQ]],0),FALSE),"")</f>
        <v/>
      </c>
    </row>
    <row r="499" spans="1:27">
      <c r="A499">
        <f>COUNTIF($W$22:W499,1)</f>
        <v>0</v>
      </c>
      <c r="B499">
        <v>499</v>
      </c>
      <c r="C499" s="340" t="str">
        <f>Tabulka1[[#This Row],[KOD]]</f>
        <v>C1-C2 C51220I/C14</v>
      </c>
      <c r="W499" s="804" t="str">
        <f t="shared" si="17"/>
        <v/>
      </c>
      <c r="X499" t="str">
        <f t="shared" si="18"/>
        <v/>
      </c>
      <c r="Y499" s="341">
        <f>IF('General price list'!$AB501="",0,'General price list'!$AB501)</f>
        <v>0</v>
      </c>
      <c r="Z499" s="365" t="str">
        <f>IFERROR(X499*VLOOKUP(C499,'General price list'!C:I,7,FALSE),"")</f>
        <v/>
      </c>
      <c r="AA499" s="805" t="str">
        <f>IF(X499&lt;&gt;"",VLOOKUP(C499,'General price list'!C501:AN1474,MATCH("HM",Tabulka1[[#Headers],[KOD]:[NEQ]],0),FALSE),"")</f>
        <v/>
      </c>
    </row>
    <row r="500" spans="1:27">
      <c r="A500">
        <f>COUNTIF($W$22:W500,1)</f>
        <v>0</v>
      </c>
      <c r="B500">
        <v>500</v>
      </c>
      <c r="C500" s="340" t="str">
        <f>Tabulka1[[#This Row],[KOD]]</f>
        <v>C1-C2 C65620XH/C14</v>
      </c>
      <c r="W500" s="804" t="str">
        <f t="shared" si="17"/>
        <v/>
      </c>
      <c r="X500" t="str">
        <f t="shared" si="18"/>
        <v/>
      </c>
      <c r="Y500" s="341">
        <f>IF('General price list'!$AB502="",0,'General price list'!$AB502)</f>
        <v>0</v>
      </c>
      <c r="Z500" s="365" t="str">
        <f>IFERROR(X500*VLOOKUP(C500,'General price list'!C:I,7,FALSE),"")</f>
        <v/>
      </c>
      <c r="AA500" s="805" t="str">
        <f>IF(X500&lt;&gt;"",VLOOKUP(C500,'General price list'!C502:AN1475,MATCH("HM",Tabulka1[[#Headers],[KOD]:[NEQ]],0),FALSE),"")</f>
        <v/>
      </c>
    </row>
    <row r="501" spans="1:27">
      <c r="A501">
        <f>COUNTIF($W$22:W501,1)</f>
        <v>0</v>
      </c>
      <c r="B501">
        <v>501</v>
      </c>
      <c r="C501" s="340" t="str">
        <f>Tabulka1[[#This Row],[KOD]]</f>
        <v>C1-C2 C80020S/C14</v>
      </c>
      <c r="W501" s="804" t="str">
        <f t="shared" si="17"/>
        <v/>
      </c>
      <c r="X501" t="str">
        <f t="shared" si="18"/>
        <v/>
      </c>
      <c r="Y501" s="341">
        <f>IF('General price list'!$AB503="",0,'General price list'!$AB503)</f>
        <v>0</v>
      </c>
      <c r="Z501" s="365" t="str">
        <f>IFERROR(X501*VLOOKUP(C501,'General price list'!C:I,7,FALSE),"")</f>
        <v/>
      </c>
      <c r="AA501" s="805" t="str">
        <f>IF(X501&lt;&gt;"",VLOOKUP(C501,'General price list'!C503:AN1476,MATCH("HM",Tabulka1[[#Headers],[KOD]:[NEQ]],0),FALSE),"")</f>
        <v/>
      </c>
    </row>
    <row r="502" spans="1:27">
      <c r="A502">
        <f>COUNTIF($W$22:W502,1)</f>
        <v>0</v>
      </c>
      <c r="B502">
        <v>502</v>
      </c>
      <c r="C502" s="340">
        <f>Tabulka1[[#This Row],[KOD]]</f>
        <v>0</v>
      </c>
      <c r="W502" s="804" t="str">
        <f t="shared" si="17"/>
        <v/>
      </c>
      <c r="X502" t="str">
        <f t="shared" si="18"/>
        <v/>
      </c>
      <c r="Y502" s="341">
        <f>IF('General price list'!$AB504="",0,'General price list'!$AB504)</f>
        <v>0</v>
      </c>
      <c r="Z502" s="365" t="str">
        <f>IFERROR(X502*VLOOKUP(C502,'General price list'!C:I,7,FALSE),"")</f>
        <v/>
      </c>
      <c r="AA502" s="805" t="str">
        <f>IF(X502&lt;&gt;"",VLOOKUP(C502,'General price list'!C504:AN1477,MATCH("HM",Tabulka1[[#Headers],[KOD]:[NEQ]],0),FALSE),"")</f>
        <v/>
      </c>
    </row>
    <row r="503" spans="1:27">
      <c r="A503">
        <f>COUNTIF($W$22:W503,1)</f>
        <v>0</v>
      </c>
      <c r="B503">
        <v>503</v>
      </c>
      <c r="C503" s="340" t="str">
        <f>Tabulka1[[#This Row],[KOD]]</f>
        <v>C6420DU/C</v>
      </c>
      <c r="W503" s="804" t="str">
        <f t="shared" si="17"/>
        <v/>
      </c>
      <c r="X503" t="str">
        <f t="shared" si="18"/>
        <v/>
      </c>
      <c r="Y503" s="341">
        <f>IF('General price list'!$AB505="",0,'General price list'!$AB505)</f>
        <v>0</v>
      </c>
      <c r="Z503" s="365" t="str">
        <f>IFERROR(X503*VLOOKUP(C503,'General price list'!C:I,7,FALSE),"")</f>
        <v/>
      </c>
      <c r="AA503" s="805" t="str">
        <f>IF(X503&lt;&gt;"",VLOOKUP(C503,'General price list'!C505:AN1478,MATCH("HM",Tabulka1[[#Headers],[KOD]:[NEQ]],0),FALSE),"")</f>
        <v/>
      </c>
    </row>
    <row r="504" spans="1:27">
      <c r="A504">
        <f>COUNTIF($W$22:W504,1)</f>
        <v>0</v>
      </c>
      <c r="B504">
        <v>504</v>
      </c>
      <c r="C504" s="340" t="str">
        <f>Tabulka1[[#This Row],[KOD]]</f>
        <v>C12820F/C</v>
      </c>
      <c r="W504" s="804" t="str">
        <f t="shared" si="17"/>
        <v/>
      </c>
      <c r="X504" t="str">
        <f t="shared" si="18"/>
        <v/>
      </c>
      <c r="Y504" s="341">
        <f>IF('General price list'!$AB506="",0,'General price list'!$AB506)</f>
        <v>0</v>
      </c>
      <c r="Z504" s="365" t="str">
        <f>IFERROR(X504*VLOOKUP(C504,'General price list'!C:I,7,FALSE),"")</f>
        <v/>
      </c>
      <c r="AA504" s="805" t="str">
        <f>IF(X504&lt;&gt;"",VLOOKUP(C504,'General price list'!C506:AN1479,MATCH("HM",Tabulka1[[#Headers],[KOD]:[NEQ]],0),FALSE),"")</f>
        <v/>
      </c>
    </row>
    <row r="505" spans="1:27">
      <c r="A505">
        <f>COUNTIF($W$22:W505,1)</f>
        <v>0</v>
      </c>
      <c r="B505">
        <v>505</v>
      </c>
      <c r="C505" s="340" t="str">
        <f>Tabulka1[[#This Row],[KOD]]</f>
        <v>C13220B/C</v>
      </c>
      <c r="W505" s="804" t="str">
        <f t="shared" si="17"/>
        <v/>
      </c>
      <c r="X505" t="str">
        <f t="shared" si="18"/>
        <v/>
      </c>
      <c r="Y505" s="341">
        <f>IF('General price list'!$AB507="",0,'General price list'!$AB507)</f>
        <v>0</v>
      </c>
      <c r="Z505" s="365" t="str">
        <f>IFERROR(X505*VLOOKUP(C505,'General price list'!C:I,7,FALSE),"")</f>
        <v/>
      </c>
      <c r="AA505" s="805" t="str">
        <f>IF(X505&lt;&gt;"",VLOOKUP(C505,'General price list'!C507:AN1480,MATCH("HM",Tabulka1[[#Headers],[KOD]:[NEQ]],0),FALSE),"")</f>
        <v/>
      </c>
    </row>
    <row r="506" spans="1:27">
      <c r="A506">
        <f>COUNTIF($W$22:W506,1)</f>
        <v>0</v>
      </c>
      <c r="B506">
        <v>506</v>
      </c>
      <c r="C506" s="340" t="str">
        <f>Tabulka1[[#This Row],[KOD]]</f>
        <v>C19220F/C</v>
      </c>
      <c r="W506" s="804" t="str">
        <f t="shared" si="17"/>
        <v/>
      </c>
      <c r="X506" t="str">
        <f t="shared" si="18"/>
        <v/>
      </c>
      <c r="Y506" s="341">
        <f>IF('General price list'!$AB508="",0,'General price list'!$AB508)</f>
        <v>0</v>
      </c>
      <c r="Z506" s="365" t="str">
        <f>IFERROR(X506*VLOOKUP(C506,'General price list'!C:I,7,FALSE),"")</f>
        <v/>
      </c>
      <c r="AA506" s="805" t="str">
        <f>IF(X506&lt;&gt;"",VLOOKUP(C506,'General price list'!C508:AN1481,MATCH("HM",Tabulka1[[#Headers],[KOD]:[NEQ]],0),FALSE),"")</f>
        <v/>
      </c>
    </row>
    <row r="507" spans="1:27">
      <c r="A507">
        <f>COUNTIF($W$22:W507,1)</f>
        <v>0</v>
      </c>
      <c r="B507">
        <v>507</v>
      </c>
      <c r="C507" s="340" t="str">
        <f>Tabulka1[[#This Row],[KOD]]</f>
        <v>C25220XFS/C</v>
      </c>
      <c r="W507" s="804" t="str">
        <f t="shared" si="17"/>
        <v/>
      </c>
      <c r="X507" t="str">
        <f t="shared" si="18"/>
        <v/>
      </c>
      <c r="Y507" s="341">
        <f>IF('General price list'!$AB509="",0,'General price list'!$AB509)</f>
        <v>0</v>
      </c>
      <c r="Z507" s="365" t="str">
        <f>IFERROR(X507*VLOOKUP(C507,'General price list'!C:I,7,FALSE),"")</f>
        <v/>
      </c>
      <c r="AA507" s="805" t="str">
        <f>IF(X507&lt;&gt;"",VLOOKUP(C507,'General price list'!C509:AN1482,MATCH("HM",Tabulka1[[#Headers],[KOD]:[NEQ]],0),FALSE),"")</f>
        <v/>
      </c>
    </row>
    <row r="508" spans="1:27">
      <c r="A508">
        <f>COUNTIF($W$22:W508,1)</f>
        <v>0</v>
      </c>
      <c r="B508">
        <v>508</v>
      </c>
      <c r="C508" s="340" t="str">
        <f>Tabulka1[[#This Row],[KOD]]</f>
        <v>C25620NID/C</v>
      </c>
      <c r="W508" s="804" t="str">
        <f t="shared" si="17"/>
        <v/>
      </c>
      <c r="X508" t="str">
        <f t="shared" si="18"/>
        <v/>
      </c>
      <c r="Y508" s="341">
        <f>IF('General price list'!$AB510="",0,'General price list'!$AB510)</f>
        <v>0</v>
      </c>
      <c r="Z508" s="365" t="str">
        <f>IFERROR(X508*VLOOKUP(C508,'General price list'!C:I,7,FALSE),"")</f>
        <v/>
      </c>
      <c r="AA508" s="805" t="str">
        <f>IF(X508&lt;&gt;"",VLOOKUP(C508,'General price list'!C510:AN1483,MATCH("HM",Tabulka1[[#Headers],[KOD]:[NEQ]],0),FALSE),"")</f>
        <v/>
      </c>
    </row>
    <row r="509" spans="1:27">
      <c r="A509">
        <f>COUNTIF($W$22:W509,1)</f>
        <v>0</v>
      </c>
      <c r="B509">
        <v>509</v>
      </c>
      <c r="C509" s="340" t="str">
        <f>Tabulka1[[#This Row],[KOD]]</f>
        <v>C25620F/C</v>
      </c>
      <c r="W509" s="804" t="str">
        <f t="shared" si="17"/>
        <v/>
      </c>
      <c r="X509" t="str">
        <f t="shared" si="18"/>
        <v/>
      </c>
      <c r="Y509" s="341">
        <f>IF('General price list'!$AB511="",0,'General price list'!$AB511)</f>
        <v>0</v>
      </c>
      <c r="Z509" s="365" t="str">
        <f>IFERROR(X509*VLOOKUP(C509,'General price list'!C:I,7,FALSE),"")</f>
        <v/>
      </c>
      <c r="AA509" s="805" t="str">
        <f>IF(X509&lt;&gt;"",VLOOKUP(C509,'General price list'!C511:AN1484,MATCH("HM",Tabulka1[[#Headers],[KOD]:[NEQ]],0),FALSE),"")</f>
        <v/>
      </c>
    </row>
    <row r="510" spans="1:27">
      <c r="A510">
        <f>COUNTIF($W$22:W510,1)</f>
        <v>0</v>
      </c>
      <c r="B510">
        <v>510</v>
      </c>
      <c r="C510" s="340" t="str">
        <f>Tabulka1[[#This Row],[KOD]]</f>
        <v>C26420N/C</v>
      </c>
      <c r="W510" s="804" t="str">
        <f t="shared" si="17"/>
        <v/>
      </c>
      <c r="X510" t="str">
        <f t="shared" si="18"/>
        <v/>
      </c>
      <c r="Y510" s="341">
        <f>IF('General price list'!$AB512="",0,'General price list'!$AB512)</f>
        <v>0</v>
      </c>
      <c r="Z510" s="365" t="str">
        <f>IFERROR(X510*VLOOKUP(C510,'General price list'!C:I,7,FALSE),"")</f>
        <v/>
      </c>
      <c r="AA510" s="805" t="str">
        <f>IF(X510&lt;&gt;"",VLOOKUP(C510,'General price list'!C512:AN1485,MATCH("HM",Tabulka1[[#Headers],[KOD]:[NEQ]],0),FALSE),"")</f>
        <v/>
      </c>
    </row>
    <row r="511" spans="1:27">
      <c r="A511">
        <f>COUNTIF($W$22:W511,1)</f>
        <v>0</v>
      </c>
      <c r="B511">
        <v>511</v>
      </c>
      <c r="C511" s="340" t="str">
        <f>Tabulka1[[#This Row],[KOD]]</f>
        <v>C32820XM/C</v>
      </c>
      <c r="W511" s="804" t="str">
        <f t="shared" si="17"/>
        <v/>
      </c>
      <c r="X511" t="str">
        <f t="shared" si="18"/>
        <v/>
      </c>
      <c r="Y511" s="341">
        <f>IF('General price list'!$AB513="",0,'General price list'!$AB513)</f>
        <v>0</v>
      </c>
      <c r="Z511" s="365" t="str">
        <f>IFERROR(X511*VLOOKUP(C511,'General price list'!C:I,7,FALSE),"")</f>
        <v/>
      </c>
      <c r="AA511" s="805" t="str">
        <f>IF(X511&lt;&gt;"",VLOOKUP(C511,'General price list'!C513:AN1486,MATCH("HM",Tabulka1[[#Headers],[KOD]:[NEQ]],0),FALSE),"")</f>
        <v/>
      </c>
    </row>
    <row r="512" spans="1:27">
      <c r="A512">
        <f>COUNTIF($W$22:W512,1)</f>
        <v>0</v>
      </c>
      <c r="B512">
        <v>512</v>
      </c>
      <c r="C512" s="340">
        <f>Tabulka1[[#This Row],[KOD]]</f>
        <v>0</v>
      </c>
      <c r="W512" s="804" t="str">
        <f t="shared" si="17"/>
        <v/>
      </c>
      <c r="X512" t="str">
        <f t="shared" si="18"/>
        <v/>
      </c>
      <c r="Y512" s="341">
        <f>IF('General price list'!$AB514="",0,'General price list'!$AB514)</f>
        <v>0</v>
      </c>
      <c r="Z512" s="365" t="str">
        <f>IFERROR(X512*VLOOKUP(C512,'General price list'!C:I,7,FALSE),"")</f>
        <v/>
      </c>
      <c r="AA512" s="805" t="str">
        <f>IF(X512&lt;&gt;"",VLOOKUP(C512,'General price list'!C514:AN1487,MATCH("HM",Tabulka1[[#Headers],[KOD]:[NEQ]],0),FALSE),"")</f>
        <v/>
      </c>
    </row>
    <row r="513" spans="1:27">
      <c r="A513">
        <f>COUNTIF($W$22:W513,1)</f>
        <v>0</v>
      </c>
      <c r="B513">
        <v>513</v>
      </c>
      <c r="C513" s="340" t="str">
        <f>Tabulka1[[#This Row],[KOD]]</f>
        <v>C18020SIG/C</v>
      </c>
      <c r="W513" s="804" t="str">
        <f t="shared" si="17"/>
        <v/>
      </c>
      <c r="X513" t="str">
        <f t="shared" si="18"/>
        <v/>
      </c>
      <c r="Y513" s="341">
        <f>IF('General price list'!$AB515="",0,'General price list'!$AB515)</f>
        <v>0</v>
      </c>
      <c r="Z513" s="365" t="str">
        <f>IFERROR(X513*VLOOKUP(C513,'General price list'!C:I,7,FALSE),"")</f>
        <v/>
      </c>
      <c r="AA513" s="805" t="str">
        <f>IF(X513&lt;&gt;"",VLOOKUP(C513,'General price list'!C515:AN1488,MATCH("HM",Tabulka1[[#Headers],[KOD]:[NEQ]],0),FALSE),"")</f>
        <v/>
      </c>
    </row>
    <row r="514" spans="1:27">
      <c r="A514">
        <f>COUNTIF($W$22:W514,1)</f>
        <v>0</v>
      </c>
      <c r="B514">
        <v>514</v>
      </c>
      <c r="C514" s="340" t="str">
        <f>Tabulka1[[#This Row],[KOD]]</f>
        <v>C26020F/C</v>
      </c>
      <c r="W514" s="804" t="str">
        <f t="shared" si="17"/>
        <v/>
      </c>
      <c r="X514" t="str">
        <f t="shared" si="18"/>
        <v/>
      </c>
      <c r="Y514" s="341">
        <f>IF('General price list'!$AB516="",0,'General price list'!$AB516)</f>
        <v>0</v>
      </c>
      <c r="Z514" s="365" t="str">
        <f>IFERROR(X514*VLOOKUP(C514,'General price list'!C:I,7,FALSE),"")</f>
        <v/>
      </c>
      <c r="AA514" s="805" t="str">
        <f>IF(X514&lt;&gt;"",VLOOKUP(C514,'General price list'!C516:AN1489,MATCH("HM",Tabulka1[[#Headers],[KOD]:[NEQ]],0),FALSE),"")</f>
        <v/>
      </c>
    </row>
    <row r="515" spans="1:27">
      <c r="A515">
        <f>COUNTIF($W$22:W515,1)</f>
        <v>0</v>
      </c>
      <c r="B515">
        <v>515</v>
      </c>
      <c r="C515" s="340" t="str">
        <f>Tabulka1[[#This Row],[KOD]]</f>
        <v>C26820F/C</v>
      </c>
      <c r="W515" s="804" t="str">
        <f t="shared" si="17"/>
        <v/>
      </c>
      <c r="X515" t="str">
        <f t="shared" si="18"/>
        <v/>
      </c>
      <c r="Y515" s="341">
        <f>IF('General price list'!$AB517="",0,'General price list'!$AB517)</f>
        <v>0</v>
      </c>
      <c r="Z515" s="365" t="str">
        <f>IFERROR(X515*VLOOKUP(C515,'General price list'!C:I,7,FALSE),"")</f>
        <v/>
      </c>
      <c r="AA515" s="805" t="str">
        <f>IF(X515&lt;&gt;"",VLOOKUP(C515,'General price list'!C517:AN1490,MATCH("HM",Tabulka1[[#Headers],[KOD]:[NEQ]],0),FALSE),"")</f>
        <v/>
      </c>
    </row>
    <row r="516" spans="1:27">
      <c r="A516">
        <f>COUNTIF($W$22:W516,1)</f>
        <v>0</v>
      </c>
      <c r="B516">
        <v>516</v>
      </c>
      <c r="C516" s="340" t="str">
        <f>Tabulka1[[#This Row],[KOD]]</f>
        <v>C39020F/C</v>
      </c>
      <c r="W516" s="804" t="str">
        <f t="shared" si="17"/>
        <v/>
      </c>
      <c r="X516" t="str">
        <f t="shared" si="18"/>
        <v/>
      </c>
      <c r="Y516" s="341">
        <f>IF('General price list'!$AB518="",0,'General price list'!$AB518)</f>
        <v>0</v>
      </c>
      <c r="Z516" s="365" t="str">
        <f>IFERROR(X516*VLOOKUP(C516,'General price list'!C:I,7,FALSE),"")</f>
        <v/>
      </c>
      <c r="AA516" s="805" t="str">
        <f>IF(X516&lt;&gt;"",VLOOKUP(C516,'General price list'!C518:AN1491,MATCH("HM",Tabulka1[[#Headers],[KOD]:[NEQ]],0),FALSE),"")</f>
        <v/>
      </c>
    </row>
    <row r="517" spans="1:27">
      <c r="A517">
        <f>COUNTIF($W$22:W517,1)</f>
        <v>0</v>
      </c>
      <c r="B517">
        <v>517</v>
      </c>
      <c r="C517" s="340" t="str">
        <f>Tabulka1[[#This Row],[KOD]]</f>
        <v>C52020F/C</v>
      </c>
      <c r="W517" s="804" t="str">
        <f t="shared" si="17"/>
        <v/>
      </c>
      <c r="X517" t="str">
        <f t="shared" si="18"/>
        <v/>
      </c>
      <c r="Y517" s="341">
        <f>IF('General price list'!$AB519="",0,'General price list'!$AB519)</f>
        <v>0</v>
      </c>
      <c r="Z517" s="365" t="str">
        <f>IFERROR(X517*VLOOKUP(C517,'General price list'!C:I,7,FALSE),"")</f>
        <v/>
      </c>
      <c r="AA517" s="805" t="str">
        <f>IF(X517&lt;&gt;"",VLOOKUP(C517,'General price list'!C519:AN1492,MATCH("HM",Tabulka1[[#Headers],[KOD]:[NEQ]],0),FALSE),"")</f>
        <v/>
      </c>
    </row>
    <row r="518" spans="1:27">
      <c r="A518">
        <f>COUNTIF($W$22:W518,1)</f>
        <v>0</v>
      </c>
      <c r="B518">
        <v>518</v>
      </c>
      <c r="C518" s="340" t="str">
        <f>Tabulka1[[#This Row],[KOD]]</f>
        <v>C53620F/C</v>
      </c>
      <c r="W518" s="804" t="str">
        <f t="shared" si="17"/>
        <v/>
      </c>
      <c r="X518" t="str">
        <f t="shared" si="18"/>
        <v/>
      </c>
      <c r="Y518" s="341">
        <f>IF('General price list'!$AB520="",0,'General price list'!$AB520)</f>
        <v>0</v>
      </c>
      <c r="Z518" s="365" t="str">
        <f>IFERROR(X518*VLOOKUP(C518,'General price list'!C:I,7,FALSE),"")</f>
        <v/>
      </c>
      <c r="AA518" s="805" t="str">
        <f>IF(X518&lt;&gt;"",VLOOKUP(C518,'General price list'!C520:AN1493,MATCH("HM",Tabulka1[[#Headers],[KOD]:[NEQ]],0),FALSE),"")</f>
        <v/>
      </c>
    </row>
    <row r="519" spans="1:27">
      <c r="A519">
        <f>COUNTIF($W$22:W519,1)</f>
        <v>0</v>
      </c>
      <c r="B519">
        <v>519</v>
      </c>
      <c r="C519" s="340" t="str">
        <f>Tabulka1[[#This Row],[KOD]]</f>
        <v>C60020XPR/C</v>
      </c>
      <c r="W519" s="804" t="str">
        <f t="shared" si="17"/>
        <v/>
      </c>
      <c r="X519" t="str">
        <f t="shared" si="18"/>
        <v/>
      </c>
      <c r="Y519" s="341">
        <f>IF('General price list'!$AB521="",0,'General price list'!$AB521)</f>
        <v>0</v>
      </c>
      <c r="Z519" s="365" t="str">
        <f>IFERROR(X519*VLOOKUP(C519,'General price list'!C:I,7,FALSE),"")</f>
        <v/>
      </c>
      <c r="AA519" s="805" t="str">
        <f>IF(X519&lt;&gt;"",VLOOKUP(C519,'General price list'!C521:AN1494,MATCH("HM",Tabulka1[[#Headers],[KOD]:[NEQ]],0),FALSE),"")</f>
        <v/>
      </c>
    </row>
    <row r="520" spans="1:27">
      <c r="A520">
        <f>COUNTIF($W$22:W520,1)</f>
        <v>0</v>
      </c>
      <c r="B520">
        <v>520</v>
      </c>
      <c r="C520" s="340">
        <f>Tabulka1[[#This Row],[KOD]]</f>
        <v>0</v>
      </c>
      <c r="W520" s="804" t="str">
        <f t="shared" si="17"/>
        <v/>
      </c>
      <c r="X520" t="str">
        <f t="shared" si="18"/>
        <v/>
      </c>
      <c r="Y520" s="341">
        <f>IF('General price list'!$AB522="",0,'General price list'!$AB522)</f>
        <v>0</v>
      </c>
      <c r="Z520" s="365" t="str">
        <f>IFERROR(X520*VLOOKUP(C520,'General price list'!C:I,7,FALSE),"")</f>
        <v/>
      </c>
      <c r="AA520" s="805" t="str">
        <f>IF(X520&lt;&gt;"",VLOOKUP(C520,'General price list'!C522:AN1495,MATCH("HM",Tabulka1[[#Headers],[KOD]:[NEQ]],0),FALSE),"")</f>
        <v/>
      </c>
    </row>
    <row r="521" spans="1:27">
      <c r="A521">
        <f>COUNTIF($W$22:W521,1)</f>
        <v>0</v>
      </c>
      <c r="B521">
        <v>521</v>
      </c>
      <c r="C521" s="340" t="str">
        <f>Tabulka1[[#This Row],[KOD]]</f>
        <v>C1625B</v>
      </c>
      <c r="W521" s="804" t="str">
        <f t="shared" si="17"/>
        <v/>
      </c>
      <c r="X521" t="str">
        <f t="shared" si="18"/>
        <v/>
      </c>
      <c r="Y521" s="341">
        <f>IF('General price list'!$AB523="",0,'General price list'!$AB523)</f>
        <v>0</v>
      </c>
      <c r="Z521" s="365" t="str">
        <f>IFERROR(X521*VLOOKUP(C521,'General price list'!C:I,7,FALSE),"")</f>
        <v/>
      </c>
      <c r="AA521" s="805" t="str">
        <f>IF(X521&lt;&gt;"",VLOOKUP(C521,'General price list'!C523:AN1496,MATCH("HM",Tabulka1[[#Headers],[KOD]:[NEQ]],0),FALSE),"")</f>
        <v/>
      </c>
    </row>
    <row r="522" spans="1:27">
      <c r="A522">
        <f>COUNTIF($W$22:W522,1)</f>
        <v>0</v>
      </c>
      <c r="B522">
        <v>522</v>
      </c>
      <c r="C522" s="340" t="str">
        <f>Tabulka1[[#This Row],[KOD]]</f>
        <v>C1625D</v>
      </c>
      <c r="W522" s="804" t="str">
        <f t="shared" si="17"/>
        <v/>
      </c>
      <c r="X522" t="str">
        <f t="shared" si="18"/>
        <v/>
      </c>
      <c r="Y522" s="341">
        <f>IF('General price list'!$AB524="",0,'General price list'!$AB524)</f>
        <v>0</v>
      </c>
      <c r="Z522" s="365" t="str">
        <f>IFERROR(X522*VLOOKUP(C522,'General price list'!C:I,7,FALSE),"")</f>
        <v/>
      </c>
      <c r="AA522" s="805" t="str">
        <f>IF(X522&lt;&gt;"",VLOOKUP(C522,'General price list'!C524:AN1497,MATCH("HM",Tabulka1[[#Headers],[KOD]:[NEQ]],0),FALSE),"")</f>
        <v/>
      </c>
    </row>
    <row r="523" spans="1:27">
      <c r="A523">
        <f>COUNTIF($W$22:W523,1)</f>
        <v>0</v>
      </c>
      <c r="B523">
        <v>523</v>
      </c>
      <c r="C523" s="340" t="str">
        <f>Tabulka1[[#This Row],[KOD]]</f>
        <v>C1625F</v>
      </c>
      <c r="W523" s="804" t="str">
        <f t="shared" si="17"/>
        <v/>
      </c>
      <c r="X523" t="str">
        <f t="shared" si="18"/>
        <v/>
      </c>
      <c r="Y523" s="341">
        <f>IF('General price list'!$AB525="",0,'General price list'!$AB525)</f>
        <v>0</v>
      </c>
      <c r="Z523" s="365" t="str">
        <f>IFERROR(X523*VLOOKUP(C523,'General price list'!C:I,7,FALSE),"")</f>
        <v/>
      </c>
      <c r="AA523" s="805" t="str">
        <f>IF(X523&lt;&gt;"",VLOOKUP(C523,'General price list'!C525:AN1498,MATCH("HM",Tabulka1[[#Headers],[KOD]:[NEQ]],0),FALSE),"")</f>
        <v/>
      </c>
    </row>
    <row r="524" spans="1:27">
      <c r="A524">
        <f>COUNTIF($W$22:W524,1)</f>
        <v>0</v>
      </c>
      <c r="B524">
        <v>524</v>
      </c>
      <c r="C524" s="340" t="str">
        <f>Tabulka1[[#This Row],[KOD]]</f>
        <v>C1625G</v>
      </c>
      <c r="W524" s="804" t="str">
        <f t="shared" si="17"/>
        <v/>
      </c>
      <c r="X524" t="str">
        <f t="shared" si="18"/>
        <v/>
      </c>
      <c r="Y524" s="341">
        <f>IF('General price list'!$AB526="",0,'General price list'!$AB526)</f>
        <v>0</v>
      </c>
      <c r="Z524" s="365" t="str">
        <f>IFERROR(X524*VLOOKUP(C524,'General price list'!C:I,7,FALSE),"")</f>
        <v/>
      </c>
      <c r="AA524" s="805" t="str">
        <f>IF(X524&lt;&gt;"",VLOOKUP(C524,'General price list'!C526:AN1499,MATCH("HM",Tabulka1[[#Headers],[KOD]:[NEQ]],0),FALSE),"")</f>
        <v/>
      </c>
    </row>
    <row r="525" spans="1:27">
      <c r="A525">
        <f>COUNTIF($W$22:W525,1)</f>
        <v>0</v>
      </c>
      <c r="B525">
        <v>525</v>
      </c>
      <c r="C525" s="340">
        <f>Tabulka1[[#This Row],[KOD]]</f>
        <v>0</v>
      </c>
      <c r="W525" s="804" t="str">
        <f t="shared" si="17"/>
        <v/>
      </c>
      <c r="X525" t="str">
        <f t="shared" si="18"/>
        <v/>
      </c>
      <c r="Y525" s="341">
        <f>IF('General price list'!$AB527="",0,'General price list'!$AB527)</f>
        <v>0</v>
      </c>
      <c r="Z525" s="365" t="str">
        <f>IFERROR(X525*VLOOKUP(C525,'General price list'!C:I,7,FALSE),"")</f>
        <v/>
      </c>
      <c r="AA525" s="805" t="str">
        <f>IF(X525&lt;&gt;"",VLOOKUP(C525,'General price list'!C527:AN1500,MATCH("HM",Tabulka1[[#Headers],[KOD]:[NEQ]],0),FALSE),"")</f>
        <v/>
      </c>
    </row>
    <row r="526" spans="1:27">
      <c r="A526">
        <f>COUNTIF($W$22:W526,1)</f>
        <v>0</v>
      </c>
      <c r="B526">
        <v>526</v>
      </c>
      <c r="C526" s="340" t="str">
        <f>Tabulka1[[#This Row],[KOD]]</f>
        <v>C1625DU</v>
      </c>
      <c r="W526" s="804" t="str">
        <f t="shared" si="17"/>
        <v/>
      </c>
      <c r="X526" t="str">
        <f t="shared" si="18"/>
        <v/>
      </c>
      <c r="Y526" s="341">
        <f>IF('General price list'!$AB528="",0,'General price list'!$AB528)</f>
        <v>0</v>
      </c>
      <c r="Z526" s="365" t="str">
        <f>IFERROR(X526*VLOOKUP(C526,'General price list'!C:I,7,FALSE),"")</f>
        <v/>
      </c>
      <c r="AA526" s="805" t="str">
        <f>IF(X526&lt;&gt;"",VLOOKUP(C526,'General price list'!C528:AN1501,MATCH("HM",Tabulka1[[#Headers],[KOD]:[NEQ]],0),FALSE),"")</f>
        <v/>
      </c>
    </row>
    <row r="527" spans="1:27">
      <c r="A527">
        <f>COUNTIF($W$22:W527,1)</f>
        <v>0</v>
      </c>
      <c r="B527">
        <v>527</v>
      </c>
      <c r="C527" s="340" t="str">
        <f>Tabulka1[[#This Row],[KOD]]</f>
        <v>C1625D14</v>
      </c>
      <c r="W527" s="804" t="str">
        <f t="shared" si="17"/>
        <v/>
      </c>
      <c r="X527" t="str">
        <f t="shared" si="18"/>
        <v/>
      </c>
      <c r="Y527" s="341">
        <f>IF('General price list'!$AB529="",0,'General price list'!$AB529)</f>
        <v>0</v>
      </c>
      <c r="Z527" s="365" t="str">
        <f>IFERROR(X527*VLOOKUP(C527,'General price list'!C:I,7,FALSE),"")</f>
        <v/>
      </c>
      <c r="AA527" s="805" t="str">
        <f>IF(X527&lt;&gt;"",VLOOKUP(C527,'General price list'!C529:AN1502,MATCH("HM",Tabulka1[[#Headers],[KOD]:[NEQ]],0),FALSE),"")</f>
        <v/>
      </c>
    </row>
    <row r="528" spans="1:27">
      <c r="A528">
        <f>COUNTIF($W$22:W528,1)</f>
        <v>0</v>
      </c>
      <c r="B528">
        <v>528</v>
      </c>
      <c r="C528" s="340" t="str">
        <f>Tabulka1[[#This Row],[KOD]]</f>
        <v>C1625F14</v>
      </c>
      <c r="W528" s="804" t="str">
        <f t="shared" si="17"/>
        <v/>
      </c>
      <c r="X528" t="str">
        <f t="shared" si="18"/>
        <v/>
      </c>
      <c r="Y528" s="341">
        <f>IF('General price list'!$AB530="",0,'General price list'!$AB530)</f>
        <v>0</v>
      </c>
      <c r="Z528" s="365" t="str">
        <f>IFERROR(X528*VLOOKUP(C528,'General price list'!C:I,7,FALSE),"")</f>
        <v/>
      </c>
      <c r="AA528" s="805" t="str">
        <f>IF(X528&lt;&gt;"",VLOOKUP(C528,'General price list'!C530:AN1503,MATCH("HM",Tabulka1[[#Headers],[KOD]:[NEQ]],0),FALSE),"")</f>
        <v/>
      </c>
    </row>
    <row r="529" spans="1:27">
      <c r="A529">
        <f>COUNTIF($W$22:W529,1)</f>
        <v>0</v>
      </c>
      <c r="B529">
        <v>529</v>
      </c>
      <c r="C529" s="340">
        <f>Tabulka1[[#This Row],[KOD]]</f>
        <v>0</v>
      </c>
      <c r="W529" s="804" t="str">
        <f t="shared" si="17"/>
        <v/>
      </c>
      <c r="X529" t="str">
        <f t="shared" si="18"/>
        <v/>
      </c>
      <c r="Y529" s="341">
        <f>IF('General price list'!$AB531="",0,'General price list'!$AB531)</f>
        <v>0</v>
      </c>
      <c r="Z529" s="365" t="str">
        <f>IFERROR(X529*VLOOKUP(C529,'General price list'!C:I,7,FALSE),"")</f>
        <v/>
      </c>
      <c r="AA529" s="805" t="str">
        <f>IF(X529&lt;&gt;"",VLOOKUP(C529,'General price list'!C531:AN1504,MATCH("HM",Tabulka1[[#Headers],[KOD]:[NEQ]],0),FALSE),"")</f>
        <v/>
      </c>
    </row>
    <row r="530" spans="1:27">
      <c r="A530">
        <f>COUNTIF($W$22:W530,1)</f>
        <v>0</v>
      </c>
      <c r="B530">
        <v>530</v>
      </c>
      <c r="C530" s="340" t="str">
        <f>Tabulka1[[#This Row],[KOD]]</f>
        <v>C2525BPW</v>
      </c>
      <c r="W530" s="804" t="str">
        <f t="shared" si="17"/>
        <v/>
      </c>
      <c r="X530" t="str">
        <f t="shared" si="18"/>
        <v/>
      </c>
      <c r="Y530" s="341">
        <f>IF('General price list'!$AB532="",0,'General price list'!$AB532)</f>
        <v>0</v>
      </c>
      <c r="Z530" s="365" t="str">
        <f>IFERROR(X530*VLOOKUP(C530,'General price list'!C:I,7,FALSE),"")</f>
        <v/>
      </c>
      <c r="AA530" s="805" t="str">
        <f>IF(X530&lt;&gt;"",VLOOKUP(C530,'General price list'!C532:AN1505,MATCH("HM",Tabulka1[[#Headers],[KOD]:[NEQ]],0),FALSE),"")</f>
        <v/>
      </c>
    </row>
    <row r="531" spans="1:27">
      <c r="A531">
        <f>COUNTIF($W$22:W531,1)</f>
        <v>0</v>
      </c>
      <c r="B531">
        <v>531</v>
      </c>
      <c r="C531" s="340" t="str">
        <f>Tabulka1[[#This Row],[KOD]]</f>
        <v>C2525SIG</v>
      </c>
      <c r="W531" s="804" t="str">
        <f t="shared" si="17"/>
        <v/>
      </c>
      <c r="X531" t="str">
        <f t="shared" si="18"/>
        <v/>
      </c>
      <c r="Y531" s="341">
        <f>IF('General price list'!$AB533="",0,'General price list'!$AB533)</f>
        <v>0</v>
      </c>
      <c r="Z531" s="365" t="str">
        <f>IFERROR(X531*VLOOKUP(C531,'General price list'!C:I,7,FALSE),"")</f>
        <v/>
      </c>
      <c r="AA531" s="805" t="str">
        <f>IF(X531&lt;&gt;"",VLOOKUP(C531,'General price list'!C533:AN1506,MATCH("HM",Tabulka1[[#Headers],[KOD]:[NEQ]],0),FALSE),"")</f>
        <v/>
      </c>
    </row>
    <row r="532" spans="1:27">
      <c r="A532">
        <f>COUNTIF($W$22:W532,1)</f>
        <v>0</v>
      </c>
      <c r="B532">
        <v>532</v>
      </c>
      <c r="C532" s="340" t="str">
        <f>Tabulka1[[#This Row],[KOD]]</f>
        <v>C2525DU</v>
      </c>
      <c r="W532" s="804" t="str">
        <f t="shared" si="17"/>
        <v/>
      </c>
      <c r="X532" t="str">
        <f t="shared" si="18"/>
        <v/>
      </c>
      <c r="Y532" s="341">
        <f>IF('General price list'!$AB534="",0,'General price list'!$AB534)</f>
        <v>0</v>
      </c>
      <c r="Z532" s="365" t="str">
        <f>IFERROR(X532*VLOOKUP(C532,'General price list'!C:I,7,FALSE),"")</f>
        <v/>
      </c>
      <c r="AA532" s="805" t="str">
        <f>IF(X532&lt;&gt;"",VLOOKUP(C532,'General price list'!C534:AN1507,MATCH("HM",Tabulka1[[#Headers],[KOD]:[NEQ]],0),FALSE),"")</f>
        <v/>
      </c>
    </row>
    <row r="533" spans="1:27">
      <c r="A533">
        <f>COUNTIF($W$22:W533,1)</f>
        <v>0</v>
      </c>
      <c r="B533">
        <v>533</v>
      </c>
      <c r="C533" s="340" t="str">
        <f>Tabulka1[[#This Row],[KOD]]</f>
        <v>C2525C</v>
      </c>
      <c r="W533" s="804" t="str">
        <f t="shared" si="17"/>
        <v/>
      </c>
      <c r="X533" t="str">
        <f t="shared" si="18"/>
        <v/>
      </c>
      <c r="Y533" s="341">
        <f>IF('General price list'!$AB535="",0,'General price list'!$AB535)</f>
        <v>0</v>
      </c>
      <c r="Z533" s="365" t="str">
        <f>IFERROR(X533*VLOOKUP(C533,'General price list'!C:I,7,FALSE),"")</f>
        <v/>
      </c>
      <c r="AA533" s="805" t="str">
        <f>IF(X533&lt;&gt;"",VLOOKUP(C533,'General price list'!C535:AN1508,MATCH("HM",Tabulka1[[#Headers],[KOD]:[NEQ]],0),FALSE),"")</f>
        <v/>
      </c>
    </row>
    <row r="534" spans="1:27">
      <c r="A534">
        <f>COUNTIF($W$22:W534,1)</f>
        <v>0</v>
      </c>
      <c r="B534">
        <v>534</v>
      </c>
      <c r="C534" s="340" t="str">
        <f>Tabulka1[[#This Row],[KOD]]</f>
        <v>C2525L</v>
      </c>
      <c r="W534" s="804" t="str">
        <f t="shared" si="17"/>
        <v/>
      </c>
      <c r="X534" t="str">
        <f t="shared" si="18"/>
        <v/>
      </c>
      <c r="Y534" s="341">
        <f>IF('General price list'!$AB536="",0,'General price list'!$AB536)</f>
        <v>0</v>
      </c>
      <c r="Z534" s="365" t="str">
        <f>IFERROR(X534*VLOOKUP(C534,'General price list'!C:I,7,FALSE),"")</f>
        <v/>
      </c>
      <c r="AA534" s="805" t="str">
        <f>IF(X534&lt;&gt;"",VLOOKUP(C534,'General price list'!C536:AN1509,MATCH("HM",Tabulka1[[#Headers],[KOD]:[NEQ]],0),FALSE),"")</f>
        <v/>
      </c>
    </row>
    <row r="535" spans="1:27">
      <c r="A535">
        <f>COUNTIF($W$22:W535,1)</f>
        <v>0</v>
      </c>
      <c r="B535">
        <v>535</v>
      </c>
      <c r="C535" s="340">
        <f>Tabulka1[[#This Row],[KOD]]</f>
        <v>0</v>
      </c>
      <c r="W535" s="804" t="str">
        <f t="shared" si="17"/>
        <v/>
      </c>
      <c r="X535" t="str">
        <f t="shared" si="18"/>
        <v/>
      </c>
      <c r="Y535" s="341">
        <f>IF('General price list'!$AB537="",0,'General price list'!$AB537)</f>
        <v>0</v>
      </c>
      <c r="Z535" s="365" t="str">
        <f>IFERROR(X535*VLOOKUP(C535,'General price list'!C:I,7,FALSE),"")</f>
        <v/>
      </c>
      <c r="AA535" s="805" t="str">
        <f>IF(X535&lt;&gt;"",VLOOKUP(C535,'General price list'!C537:AN1510,MATCH("HM",Tabulka1[[#Headers],[KOD]:[NEQ]],0),FALSE),"")</f>
        <v/>
      </c>
    </row>
    <row r="536" spans="1:27">
      <c r="A536">
        <f>COUNTIF($W$22:W536,1)</f>
        <v>0</v>
      </c>
      <c r="B536">
        <v>536</v>
      </c>
      <c r="C536" s="340" t="str">
        <f>Tabulka1[[#This Row],[KOD]]</f>
        <v>C2525SC14</v>
      </c>
      <c r="W536" s="804" t="str">
        <f t="shared" si="17"/>
        <v/>
      </c>
      <c r="X536" t="str">
        <f t="shared" si="18"/>
        <v/>
      </c>
      <c r="Y536" s="341">
        <f>IF('General price list'!$AB538="",0,'General price list'!$AB538)</f>
        <v>0</v>
      </c>
      <c r="Z536" s="365" t="str">
        <f>IFERROR(X536*VLOOKUP(C536,'General price list'!C:I,7,FALSE),"")</f>
        <v/>
      </c>
      <c r="AA536" s="805" t="str">
        <f>IF(X536&lt;&gt;"",VLOOKUP(C536,'General price list'!C538:AN1511,MATCH("HM",Tabulka1[[#Headers],[KOD]:[NEQ]],0),FALSE),"")</f>
        <v/>
      </c>
    </row>
    <row r="537" spans="1:27">
      <c r="A537">
        <f>COUNTIF($W$22:W537,1)</f>
        <v>0</v>
      </c>
      <c r="B537">
        <v>537</v>
      </c>
      <c r="C537" s="340">
        <f>Tabulka1[[#This Row],[KOD]]</f>
        <v>0</v>
      </c>
      <c r="W537" s="804" t="str">
        <f t="shared" ref="W537:W600" si="19">IF(Y537+1=1,"",1)</f>
        <v/>
      </c>
      <c r="X537" t="str">
        <f t="shared" ref="X537:X600" si="20">IF(OR(A537&lt;$E$20,A537&gt;$E$21),"",IF(Y537=0,"",Y537))</f>
        <v/>
      </c>
      <c r="Y537" s="341">
        <f>IF('General price list'!$AB539="",0,'General price list'!$AB539)</f>
        <v>0</v>
      </c>
      <c r="Z537" s="365" t="str">
        <f>IFERROR(X537*VLOOKUP(C537,'General price list'!C:I,7,FALSE),"")</f>
        <v/>
      </c>
      <c r="AA537" s="805" t="str">
        <f>IF(X537&lt;&gt;"",VLOOKUP(C537,'General price list'!C539:AN1512,MATCH("HM",Tabulka1[[#Headers],[KOD]:[NEQ]],0),FALSE),"")</f>
        <v/>
      </c>
    </row>
    <row r="538" spans="1:27">
      <c r="A538">
        <f>COUNTIF($W$22:W538,1)</f>
        <v>0</v>
      </c>
      <c r="B538">
        <v>538</v>
      </c>
      <c r="C538" s="340" t="str">
        <f>Tabulka1[[#This Row],[KOD]]</f>
        <v>CF2525D</v>
      </c>
      <c r="W538" s="804" t="str">
        <f t="shared" si="19"/>
        <v/>
      </c>
      <c r="X538" t="str">
        <f t="shared" si="20"/>
        <v/>
      </c>
      <c r="Y538" s="341">
        <f>IF('General price list'!$AB540="",0,'General price list'!$AB540)</f>
        <v>0</v>
      </c>
      <c r="Z538" s="365" t="str">
        <f>IFERROR(X538*VLOOKUP(C538,'General price list'!C:I,7,FALSE),"")</f>
        <v/>
      </c>
      <c r="AA538" s="805" t="str">
        <f>IF(X538&lt;&gt;"",VLOOKUP(C538,'General price list'!C540:AN1513,MATCH("HM",Tabulka1[[#Headers],[KOD]:[NEQ]],0),FALSE),"")</f>
        <v/>
      </c>
    </row>
    <row r="539" spans="1:27">
      <c r="A539">
        <f>COUNTIF($W$22:W539,1)</f>
        <v>0</v>
      </c>
      <c r="B539">
        <v>539</v>
      </c>
      <c r="C539" s="340" t="str">
        <f>Tabulka1[[#This Row],[KOD]]</f>
        <v>CF2525O</v>
      </c>
      <c r="W539" s="804" t="str">
        <f t="shared" si="19"/>
        <v/>
      </c>
      <c r="X539" t="str">
        <f t="shared" si="20"/>
        <v/>
      </c>
      <c r="Y539" s="341">
        <f>IF('General price list'!$AB541="",0,'General price list'!$AB541)</f>
        <v>0</v>
      </c>
      <c r="Z539" s="365" t="str">
        <f>IFERROR(X539*VLOOKUP(C539,'General price list'!C:I,7,FALSE),"")</f>
        <v/>
      </c>
      <c r="AA539" s="805" t="str">
        <f>IF(X539&lt;&gt;"",VLOOKUP(C539,'General price list'!C541:AN1514,MATCH("HM",Tabulka1[[#Headers],[KOD]:[NEQ]],0),FALSE),"")</f>
        <v/>
      </c>
    </row>
    <row r="540" spans="1:27">
      <c r="A540">
        <f>COUNTIF($W$22:W540,1)</f>
        <v>0</v>
      </c>
      <c r="B540">
        <v>540</v>
      </c>
      <c r="C540" s="340" t="str">
        <f>Tabulka1[[#This Row],[KOD]]</f>
        <v>CF2525S</v>
      </c>
      <c r="W540" s="804" t="str">
        <f t="shared" si="19"/>
        <v/>
      </c>
      <c r="X540" t="str">
        <f t="shared" si="20"/>
        <v/>
      </c>
      <c r="Y540" s="341">
        <f>IF('General price list'!$AB542="",0,'General price list'!$AB542)</f>
        <v>0</v>
      </c>
      <c r="Z540" s="365" t="str">
        <f>IFERROR(X540*VLOOKUP(C540,'General price list'!C:I,7,FALSE),"")</f>
        <v/>
      </c>
      <c r="AA540" s="805" t="str">
        <f>IF(X540&lt;&gt;"",VLOOKUP(C540,'General price list'!C542:AN1515,MATCH("HM",Tabulka1[[#Headers],[KOD]:[NEQ]],0),FALSE),"")</f>
        <v/>
      </c>
    </row>
    <row r="541" spans="1:27">
      <c r="A541">
        <f>COUNTIF($W$22:W541,1)</f>
        <v>0</v>
      </c>
      <c r="B541">
        <v>541</v>
      </c>
      <c r="C541" s="340">
        <f>Tabulka1[[#This Row],[KOD]]</f>
        <v>0</v>
      </c>
      <c r="W541" s="804" t="str">
        <f t="shared" si="19"/>
        <v/>
      </c>
      <c r="X541" t="str">
        <f t="shared" si="20"/>
        <v/>
      </c>
      <c r="Y541" s="341">
        <f>IF('General price list'!$AB543="",0,'General price list'!$AB543)</f>
        <v>0</v>
      </c>
      <c r="Z541" s="365" t="str">
        <f>IFERROR(X541*VLOOKUP(C541,'General price list'!C:I,7,FALSE),"")</f>
        <v/>
      </c>
      <c r="AA541" s="805" t="str">
        <f>IF(X541&lt;&gt;"",VLOOKUP(C541,'General price list'!C543:AN1516,MATCH("HM",Tabulka1[[#Headers],[KOD]:[NEQ]],0),FALSE),"")</f>
        <v/>
      </c>
    </row>
    <row r="542" spans="1:27">
      <c r="A542">
        <f>COUNTIF($W$22:W542,1)</f>
        <v>0</v>
      </c>
      <c r="B542">
        <v>542</v>
      </c>
      <c r="C542" s="340" t="str">
        <f>Tabulka1[[#This Row],[KOD]]</f>
        <v>C3625P</v>
      </c>
      <c r="W542" s="804" t="str">
        <f t="shared" si="19"/>
        <v/>
      </c>
      <c r="X542" t="str">
        <f t="shared" si="20"/>
        <v/>
      </c>
      <c r="Y542" s="341">
        <f>IF('General price list'!$AB544="",0,'General price list'!$AB544)</f>
        <v>0</v>
      </c>
      <c r="Z542" s="365" t="str">
        <f>IFERROR(X542*VLOOKUP(C542,'General price list'!C:I,7,FALSE),"")</f>
        <v/>
      </c>
      <c r="AA542" s="805" t="str">
        <f>IF(X542&lt;&gt;"",VLOOKUP(C542,'General price list'!C544:AN1517,MATCH("HM",Tabulka1[[#Headers],[KOD]:[NEQ]],0),FALSE),"")</f>
        <v/>
      </c>
    </row>
    <row r="543" spans="1:27">
      <c r="A543">
        <f>COUNTIF($W$22:W543,1)</f>
        <v>0</v>
      </c>
      <c r="B543">
        <v>543</v>
      </c>
      <c r="C543" s="340">
        <f>Tabulka1[[#This Row],[KOD]]</f>
        <v>0</v>
      </c>
      <c r="W543" s="804" t="str">
        <f t="shared" si="19"/>
        <v/>
      </c>
      <c r="X543" t="str">
        <f t="shared" si="20"/>
        <v/>
      </c>
      <c r="Y543" s="341">
        <f>IF('General price list'!$AB545="",0,'General price list'!$AB545)</f>
        <v>0</v>
      </c>
      <c r="Z543" s="365" t="str">
        <f>IFERROR(X543*VLOOKUP(C543,'General price list'!C:I,7,FALSE),"")</f>
        <v/>
      </c>
      <c r="AA543" s="805" t="str">
        <f>IF(X543&lt;&gt;"",VLOOKUP(C543,'General price list'!C545:AN1518,MATCH("HM",Tabulka1[[#Headers],[KOD]:[NEQ]],0),FALSE),"")</f>
        <v/>
      </c>
    </row>
    <row r="544" spans="1:27">
      <c r="A544">
        <f>COUNTIF($W$22:W544,1)</f>
        <v>0</v>
      </c>
      <c r="B544">
        <v>544</v>
      </c>
      <c r="C544" s="340" t="str">
        <f>Tabulka1[[#This Row],[KOD]]</f>
        <v>C3625P14</v>
      </c>
      <c r="W544" s="804" t="str">
        <f t="shared" si="19"/>
        <v/>
      </c>
      <c r="X544" t="str">
        <f t="shared" si="20"/>
        <v/>
      </c>
      <c r="Y544" s="341">
        <f>IF('General price list'!$AB546="",0,'General price list'!$AB546)</f>
        <v>0</v>
      </c>
      <c r="Z544" s="365" t="str">
        <f>IFERROR(X544*VLOOKUP(C544,'General price list'!C:I,7,FALSE),"")</f>
        <v/>
      </c>
      <c r="AA544" s="805" t="str">
        <f>IF(X544&lt;&gt;"",VLOOKUP(C544,'General price list'!C546:AN1519,MATCH("HM",Tabulka1[[#Headers],[KOD]:[NEQ]],0),FALSE),"")</f>
        <v/>
      </c>
    </row>
    <row r="545" spans="1:27">
      <c r="A545">
        <f>COUNTIF($W$22:W545,1)</f>
        <v>0</v>
      </c>
      <c r="B545">
        <v>545</v>
      </c>
      <c r="C545" s="340">
        <f>Tabulka1[[#This Row],[KOD]]</f>
        <v>0</v>
      </c>
      <c r="W545" s="804" t="str">
        <f t="shared" si="19"/>
        <v/>
      </c>
      <c r="X545" t="str">
        <f t="shared" si="20"/>
        <v/>
      </c>
      <c r="Y545" s="341">
        <f>IF('General price list'!$AB547="",0,'General price list'!$AB547)</f>
        <v>0</v>
      </c>
      <c r="Z545" s="365" t="str">
        <f>IFERROR(X545*VLOOKUP(C545,'General price list'!C:I,7,FALSE),"")</f>
        <v/>
      </c>
      <c r="AA545" s="805" t="str">
        <f>IF(X545&lt;&gt;"",VLOOKUP(C545,'General price list'!C547:AN1520,MATCH("HM",Tabulka1[[#Headers],[KOD]:[NEQ]],0),FALSE),"")</f>
        <v/>
      </c>
    </row>
    <row r="546" spans="1:27">
      <c r="A546">
        <f>COUNTIF($W$22:W546,1)</f>
        <v>0</v>
      </c>
      <c r="B546">
        <v>546</v>
      </c>
      <c r="C546" s="340" t="str">
        <f>Tabulka1[[#This Row],[KOD]]</f>
        <v>C4825MP</v>
      </c>
      <c r="W546" s="804" t="str">
        <f t="shared" si="19"/>
        <v/>
      </c>
      <c r="X546" t="str">
        <f t="shared" si="20"/>
        <v/>
      </c>
      <c r="Y546" s="341">
        <f>IF('General price list'!$AB548="",0,'General price list'!$AB548)</f>
        <v>0</v>
      </c>
      <c r="Z546" s="365" t="str">
        <f>IFERROR(X546*VLOOKUP(C546,'General price list'!C:I,7,FALSE),"")</f>
        <v/>
      </c>
      <c r="AA546" s="805" t="str">
        <f>IF(X546&lt;&gt;"",VLOOKUP(C546,'General price list'!C548:AN1521,MATCH("HM",Tabulka1[[#Headers],[KOD]:[NEQ]],0),FALSE),"")</f>
        <v/>
      </c>
    </row>
    <row r="547" spans="1:27">
      <c r="A547">
        <f>COUNTIF($W$22:W547,1)</f>
        <v>0</v>
      </c>
      <c r="B547">
        <v>547</v>
      </c>
      <c r="C547" s="340">
        <f>Tabulka1[[#This Row],[KOD]]</f>
        <v>0</v>
      </c>
      <c r="W547" s="804" t="str">
        <f t="shared" si="19"/>
        <v/>
      </c>
      <c r="X547" t="str">
        <f t="shared" si="20"/>
        <v/>
      </c>
      <c r="Y547" s="341">
        <f>IF('General price list'!$AB549="",0,'General price list'!$AB549)</f>
        <v>0</v>
      </c>
      <c r="Z547" s="365" t="str">
        <f>IFERROR(X547*VLOOKUP(C547,'General price list'!C:I,7,FALSE),"")</f>
        <v/>
      </c>
      <c r="AA547" s="805" t="str">
        <f>IF(X547&lt;&gt;"",VLOOKUP(C547,'General price list'!C549:AN1522,MATCH("HM",Tabulka1[[#Headers],[KOD]:[NEQ]],0),FALSE),"")</f>
        <v/>
      </c>
    </row>
    <row r="548" spans="1:27">
      <c r="A548">
        <f>COUNTIF($W$22:W548,1)</f>
        <v>0</v>
      </c>
      <c r="B548">
        <v>548</v>
      </c>
      <c r="C548" s="340" t="str">
        <f>Tabulka1[[#This Row],[KOD]]</f>
        <v>C4925G</v>
      </c>
      <c r="W548" s="804" t="str">
        <f t="shared" si="19"/>
        <v/>
      </c>
      <c r="X548" t="str">
        <f t="shared" si="20"/>
        <v/>
      </c>
      <c r="Y548" s="341">
        <f>IF('General price list'!$AB550="",0,'General price list'!$AB550)</f>
        <v>0</v>
      </c>
      <c r="Z548" s="365" t="str">
        <f>IFERROR(X548*VLOOKUP(C548,'General price list'!C:I,7,FALSE),"")</f>
        <v/>
      </c>
      <c r="AA548" s="805" t="str">
        <f>IF(X548&lt;&gt;"",VLOOKUP(C548,'General price list'!C550:AN1523,MATCH("HM",Tabulka1[[#Headers],[KOD]:[NEQ]],0),FALSE),"")</f>
        <v/>
      </c>
    </row>
    <row r="549" spans="1:27">
      <c r="A549">
        <f>COUNTIF($W$22:W549,1)</f>
        <v>0</v>
      </c>
      <c r="B549">
        <v>549</v>
      </c>
      <c r="C549" s="340" t="str">
        <f>Tabulka1[[#This Row],[KOD]]</f>
        <v>C4925P</v>
      </c>
      <c r="W549" s="804" t="str">
        <f t="shared" si="19"/>
        <v/>
      </c>
      <c r="X549" t="str">
        <f t="shared" si="20"/>
        <v/>
      </c>
      <c r="Y549" s="341">
        <f>IF('General price list'!$AB551="",0,'General price list'!$AB551)</f>
        <v>0</v>
      </c>
      <c r="Z549" s="365" t="str">
        <f>IFERROR(X549*VLOOKUP(C549,'General price list'!C:I,7,FALSE),"")</f>
        <v/>
      </c>
      <c r="AA549" s="805" t="str">
        <f>IF(X549&lt;&gt;"",VLOOKUP(C549,'General price list'!C551:AN1524,MATCH("HM",Tabulka1[[#Headers],[KOD]:[NEQ]],0),FALSE),"")</f>
        <v/>
      </c>
    </row>
    <row r="550" spans="1:27">
      <c r="A550">
        <f>COUNTIF($W$22:W550,1)</f>
        <v>0</v>
      </c>
      <c r="B550">
        <v>550</v>
      </c>
      <c r="C550" s="340" t="str">
        <f>Tabulka1[[#This Row],[KOD]]</f>
        <v>C4925V</v>
      </c>
      <c r="W550" s="804" t="str">
        <f t="shared" si="19"/>
        <v/>
      </c>
      <c r="X550" t="str">
        <f t="shared" si="20"/>
        <v/>
      </c>
      <c r="Y550" s="341">
        <f>IF('General price list'!$AB552="",0,'General price list'!$AB552)</f>
        <v>0</v>
      </c>
      <c r="Z550" s="365" t="str">
        <f>IFERROR(X550*VLOOKUP(C550,'General price list'!C:I,7,FALSE),"")</f>
        <v/>
      </c>
      <c r="AA550" s="805" t="str">
        <f>IF(X550&lt;&gt;"",VLOOKUP(C550,'General price list'!C552:AN1525,MATCH("HM",Tabulka1[[#Headers],[KOD]:[NEQ]],0),FALSE),"")</f>
        <v/>
      </c>
    </row>
    <row r="551" spans="1:27">
      <c r="A551">
        <f>COUNTIF($W$22:W551,1)</f>
        <v>0</v>
      </c>
      <c r="B551">
        <v>551</v>
      </c>
      <c r="C551" s="340">
        <f>Tabulka1[[#This Row],[KOD]]</f>
        <v>0</v>
      </c>
      <c r="W551" s="804" t="str">
        <f t="shared" si="19"/>
        <v/>
      </c>
      <c r="X551" t="str">
        <f t="shared" si="20"/>
        <v/>
      </c>
      <c r="Y551" s="341">
        <f>IF('General price list'!$AB553="",0,'General price list'!$AB553)</f>
        <v>0</v>
      </c>
      <c r="Z551" s="365" t="str">
        <f>IFERROR(X551*VLOOKUP(C551,'General price list'!C:I,7,FALSE),"")</f>
        <v/>
      </c>
      <c r="AA551" s="805" t="str">
        <f>IF(X551&lt;&gt;"",VLOOKUP(C551,'General price list'!C553:AN1526,MATCH("HM",Tabulka1[[#Headers],[KOD]:[NEQ]],0),FALSE),"")</f>
        <v/>
      </c>
    </row>
    <row r="552" spans="1:27">
      <c r="A552">
        <f>COUNTIF($W$22:W552,1)</f>
        <v>0</v>
      </c>
      <c r="B552">
        <v>552</v>
      </c>
      <c r="C552" s="340" t="str">
        <f>Tabulka1[[#This Row],[KOD]]</f>
        <v>C4925BP14</v>
      </c>
      <c r="W552" s="804" t="str">
        <f t="shared" si="19"/>
        <v/>
      </c>
      <c r="X552" t="str">
        <f t="shared" si="20"/>
        <v/>
      </c>
      <c r="Y552" s="341">
        <f>IF('General price list'!$AB554="",0,'General price list'!$AB554)</f>
        <v>0</v>
      </c>
      <c r="Z552" s="365" t="str">
        <f>IFERROR(X552*VLOOKUP(C552,'General price list'!C:I,7,FALSE),"")</f>
        <v/>
      </c>
      <c r="AA552" s="805" t="str">
        <f>IF(X552&lt;&gt;"",VLOOKUP(C552,'General price list'!C554:AN1527,MATCH("HM",Tabulka1[[#Headers],[KOD]:[NEQ]],0),FALSE),"")</f>
        <v/>
      </c>
    </row>
    <row r="553" spans="1:27">
      <c r="A553">
        <f>COUNTIF($W$22:W553,1)</f>
        <v>0</v>
      </c>
      <c r="B553">
        <v>553</v>
      </c>
      <c r="C553" s="340" t="str">
        <f>Tabulka1[[#This Row],[KOD]]</f>
        <v>C4925NO14</v>
      </c>
      <c r="W553" s="804" t="str">
        <f t="shared" si="19"/>
        <v/>
      </c>
      <c r="X553" t="str">
        <f t="shared" si="20"/>
        <v/>
      </c>
      <c r="Y553" s="341">
        <f>IF('General price list'!$AB555="",0,'General price list'!$AB555)</f>
        <v>0</v>
      </c>
      <c r="Z553" s="365" t="str">
        <f>IFERROR(X553*VLOOKUP(C553,'General price list'!C:I,7,FALSE),"")</f>
        <v/>
      </c>
      <c r="AA553" s="805" t="str">
        <f>IF(X553&lt;&gt;"",VLOOKUP(C553,'General price list'!C555:AN1528,MATCH("HM",Tabulka1[[#Headers],[KOD]:[NEQ]],0),FALSE),"")</f>
        <v/>
      </c>
    </row>
    <row r="554" spans="1:27">
      <c r="A554">
        <f>COUNTIF($W$22:W554,1)</f>
        <v>0</v>
      </c>
      <c r="B554">
        <v>554</v>
      </c>
      <c r="C554" s="340" t="str">
        <f>Tabulka1[[#This Row],[KOD]]</f>
        <v>C4925V14</v>
      </c>
      <c r="W554" s="804" t="str">
        <f t="shared" si="19"/>
        <v/>
      </c>
      <c r="X554" t="str">
        <f t="shared" si="20"/>
        <v/>
      </c>
      <c r="Y554" s="341">
        <f>IF('General price list'!$AB556="",0,'General price list'!$AB556)</f>
        <v>0</v>
      </c>
      <c r="Z554" s="365" t="str">
        <f>IFERROR(X554*VLOOKUP(C554,'General price list'!C:I,7,FALSE),"")</f>
        <v/>
      </c>
      <c r="AA554" s="805" t="str">
        <f>IF(X554&lt;&gt;"",VLOOKUP(C554,'General price list'!C556:AN1529,MATCH("HM",Tabulka1[[#Headers],[KOD]:[NEQ]],0),FALSE),"")</f>
        <v/>
      </c>
    </row>
    <row r="555" spans="1:27">
      <c r="A555">
        <f>COUNTIF($W$22:W555,1)</f>
        <v>0</v>
      </c>
      <c r="B555">
        <v>555</v>
      </c>
      <c r="C555" s="340" t="str">
        <f>Tabulka1[[#This Row],[KOD]]</f>
        <v>C4925VS14</v>
      </c>
      <c r="W555" s="804" t="str">
        <f t="shared" si="19"/>
        <v/>
      </c>
      <c r="X555" t="str">
        <f t="shared" si="20"/>
        <v/>
      </c>
      <c r="Y555" s="341">
        <f>IF('General price list'!$AB557="",0,'General price list'!$AB557)</f>
        <v>0</v>
      </c>
      <c r="Z555" s="365" t="str">
        <f>IFERROR(X555*VLOOKUP(C555,'General price list'!C:I,7,FALSE),"")</f>
        <v/>
      </c>
      <c r="AA555" s="805" t="str">
        <f>IF(X555&lt;&gt;"",VLOOKUP(C555,'General price list'!C557:AN1530,MATCH("HM",Tabulka1[[#Headers],[KOD]:[NEQ]],0),FALSE),"")</f>
        <v/>
      </c>
    </row>
    <row r="556" spans="1:27">
      <c r="A556">
        <f>COUNTIF($W$22:W556,1)</f>
        <v>0</v>
      </c>
      <c r="B556">
        <v>556</v>
      </c>
      <c r="C556" s="340">
        <f>Tabulka1[[#This Row],[KOD]]</f>
        <v>0</v>
      </c>
      <c r="W556" s="804" t="str">
        <f t="shared" si="19"/>
        <v/>
      </c>
      <c r="X556" t="str">
        <f t="shared" si="20"/>
        <v/>
      </c>
      <c r="Y556" s="341">
        <f>IF('General price list'!$AB558="",0,'General price list'!$AB558)</f>
        <v>0</v>
      </c>
      <c r="Z556" s="365" t="str">
        <f>IFERROR(X556*VLOOKUP(C556,'General price list'!C:I,7,FALSE),"")</f>
        <v/>
      </c>
      <c r="AA556" s="805" t="str">
        <f>IF(X556&lt;&gt;"",VLOOKUP(C556,'General price list'!C558:AN1531,MATCH("HM",Tabulka1[[#Headers],[KOD]:[NEQ]],0),FALSE),"")</f>
        <v/>
      </c>
    </row>
    <row r="557" spans="1:27">
      <c r="A557">
        <f>COUNTIF($W$22:W557,1)</f>
        <v>0</v>
      </c>
      <c r="B557">
        <v>557</v>
      </c>
      <c r="C557" s="340" t="str">
        <f>Tabulka1[[#This Row],[KOD]]</f>
        <v>C4925SIG</v>
      </c>
      <c r="W557" s="804" t="str">
        <f t="shared" si="19"/>
        <v/>
      </c>
      <c r="X557" t="str">
        <f t="shared" si="20"/>
        <v/>
      </c>
      <c r="Y557" s="341">
        <f>IF('General price list'!$AB559="",0,'General price list'!$AB559)</f>
        <v>0</v>
      </c>
      <c r="Z557" s="365" t="str">
        <f>IFERROR(X557*VLOOKUP(C557,'General price list'!C:I,7,FALSE),"")</f>
        <v/>
      </c>
      <c r="AA557" s="805" t="str">
        <f>IF(X557&lt;&gt;"",VLOOKUP(C557,'General price list'!C559:AN1532,MATCH("HM",Tabulka1[[#Headers],[KOD]:[NEQ]],0),FALSE),"")</f>
        <v/>
      </c>
    </row>
    <row r="558" spans="1:27">
      <c r="A558">
        <f>COUNTIF($W$22:W558,1)</f>
        <v>0</v>
      </c>
      <c r="B558">
        <v>558</v>
      </c>
      <c r="C558" s="340" t="str">
        <f>Tabulka1[[#This Row],[KOD]]</f>
        <v>C4925D</v>
      </c>
      <c r="W558" s="804" t="str">
        <f t="shared" si="19"/>
        <v/>
      </c>
      <c r="X558" t="str">
        <f t="shared" si="20"/>
        <v/>
      </c>
      <c r="Y558" s="341">
        <f>IF('General price list'!$AB560="",0,'General price list'!$AB560)</f>
        <v>0</v>
      </c>
      <c r="Z558" s="365" t="str">
        <f>IFERROR(X558*VLOOKUP(C558,'General price list'!C:I,7,FALSE),"")</f>
        <v/>
      </c>
      <c r="AA558" s="805" t="str">
        <f>IF(X558&lt;&gt;"",VLOOKUP(C558,'General price list'!C560:AN1533,MATCH("HM",Tabulka1[[#Headers],[KOD]:[NEQ]],0),FALSE),"")</f>
        <v/>
      </c>
    </row>
    <row r="559" spans="1:27">
      <c r="A559">
        <f>COUNTIF($W$22:W559,1)</f>
        <v>0</v>
      </c>
      <c r="B559">
        <v>559</v>
      </c>
      <c r="C559" s="340">
        <f>Tabulka1[[#This Row],[KOD]]</f>
        <v>0</v>
      </c>
      <c r="W559" s="804" t="str">
        <f t="shared" si="19"/>
        <v/>
      </c>
      <c r="X559" t="str">
        <f t="shared" si="20"/>
        <v/>
      </c>
      <c r="Y559" s="341">
        <f>IF('General price list'!$AB561="",0,'General price list'!$AB561)</f>
        <v>0</v>
      </c>
      <c r="Z559" s="365" t="str">
        <f>IFERROR(X559*VLOOKUP(C559,'General price list'!C:I,7,FALSE),"")</f>
        <v/>
      </c>
      <c r="AA559" s="805" t="str">
        <f>IF(X559&lt;&gt;"",VLOOKUP(C559,'General price list'!C561:AN1534,MATCH("HM",Tabulka1[[#Headers],[KOD]:[NEQ]],0),FALSE),"")</f>
        <v/>
      </c>
    </row>
    <row r="560" spans="1:27">
      <c r="A560">
        <f>COUNTIF($W$22:W560,1)</f>
        <v>0</v>
      </c>
      <c r="B560">
        <v>560</v>
      </c>
      <c r="C560" s="340" t="str">
        <f>Tabulka1[[#This Row],[KOD]]</f>
        <v>CF4925S14</v>
      </c>
      <c r="W560" s="804" t="str">
        <f t="shared" si="19"/>
        <v/>
      </c>
      <c r="X560" t="str">
        <f t="shared" si="20"/>
        <v/>
      </c>
      <c r="Y560" s="341">
        <f>IF('General price list'!$AB562="",0,'General price list'!$AB562)</f>
        <v>0</v>
      </c>
      <c r="Z560" s="365" t="str">
        <f>IFERROR(X560*VLOOKUP(C560,'General price list'!C:I,7,FALSE),"")</f>
        <v/>
      </c>
      <c r="AA560" s="805" t="str">
        <f>IF(X560&lt;&gt;"",VLOOKUP(C560,'General price list'!C562:AN1535,MATCH("HM",Tabulka1[[#Headers],[KOD]:[NEQ]],0),FALSE),"")</f>
        <v/>
      </c>
    </row>
    <row r="561" spans="1:27">
      <c r="A561">
        <f>COUNTIF($W$22:W561,1)</f>
        <v>0</v>
      </c>
      <c r="B561">
        <v>561</v>
      </c>
      <c r="C561" s="340" t="str">
        <f>Tabulka1[[#This Row],[KOD]]</f>
        <v>CF4925B14</v>
      </c>
      <c r="W561" s="804" t="str">
        <f t="shared" si="19"/>
        <v/>
      </c>
      <c r="X561" t="str">
        <f t="shared" si="20"/>
        <v/>
      </c>
      <c r="Y561" s="341">
        <f>IF('General price list'!$AB563="",0,'General price list'!$AB563)</f>
        <v>0</v>
      </c>
      <c r="Z561" s="365" t="str">
        <f>IFERROR(X561*VLOOKUP(C561,'General price list'!C:I,7,FALSE),"")</f>
        <v/>
      </c>
      <c r="AA561" s="805" t="str">
        <f>IF(X561&lt;&gt;"",VLOOKUP(C561,'General price list'!C563:AN1536,MATCH("HM",Tabulka1[[#Headers],[KOD]:[NEQ]],0),FALSE),"")</f>
        <v/>
      </c>
    </row>
    <row r="562" spans="1:27">
      <c r="A562">
        <f>COUNTIF($W$22:W562,1)</f>
        <v>0</v>
      </c>
      <c r="B562">
        <v>562</v>
      </c>
      <c r="C562" s="340">
        <f>Tabulka1[[#This Row],[KOD]]</f>
        <v>0</v>
      </c>
      <c r="W562" s="804" t="str">
        <f t="shared" si="19"/>
        <v/>
      </c>
      <c r="X562" t="str">
        <f t="shared" si="20"/>
        <v/>
      </c>
      <c r="Y562" s="341">
        <f>IF('General price list'!$AB564="",0,'General price list'!$AB564)</f>
        <v>0</v>
      </c>
      <c r="Z562" s="365" t="str">
        <f>IFERROR(X562*VLOOKUP(C562,'General price list'!C:I,7,FALSE),"")</f>
        <v/>
      </c>
      <c r="AA562" s="805" t="str">
        <f>IF(X562&lt;&gt;"",VLOOKUP(C562,'General price list'!C564:AN1537,MATCH("HM",Tabulka1[[#Headers],[KOD]:[NEQ]],0),FALSE),"")</f>
        <v/>
      </c>
    </row>
    <row r="563" spans="1:27">
      <c r="A563">
        <f>COUNTIF($W$22:W563,1)</f>
        <v>0</v>
      </c>
      <c r="B563">
        <v>563</v>
      </c>
      <c r="C563" s="340" t="str">
        <f>Tabulka1[[#This Row],[KOD]]</f>
        <v>CF4925S</v>
      </c>
      <c r="W563" s="804" t="str">
        <f t="shared" si="19"/>
        <v/>
      </c>
      <c r="X563" t="str">
        <f t="shared" si="20"/>
        <v/>
      </c>
      <c r="Y563" s="341">
        <f>IF('General price list'!$AB565="",0,'General price list'!$AB565)</f>
        <v>0</v>
      </c>
      <c r="Z563" s="365" t="str">
        <f>IFERROR(X563*VLOOKUP(C563,'General price list'!C:I,7,FALSE),"")</f>
        <v/>
      </c>
      <c r="AA563" s="805" t="str">
        <f>IF(X563&lt;&gt;"",VLOOKUP(C563,'General price list'!C565:AN1538,MATCH("HM",Tabulka1[[#Headers],[KOD]:[NEQ]],0),FALSE),"")</f>
        <v/>
      </c>
    </row>
    <row r="564" spans="1:27">
      <c r="A564">
        <f>COUNTIF($W$22:W564,1)</f>
        <v>0</v>
      </c>
      <c r="B564">
        <v>564</v>
      </c>
      <c r="C564" s="340" t="str">
        <f>Tabulka1[[#This Row],[KOD]]</f>
        <v>CF4925D</v>
      </c>
      <c r="W564" s="804" t="str">
        <f t="shared" si="19"/>
        <v/>
      </c>
      <c r="X564" t="str">
        <f t="shared" si="20"/>
        <v/>
      </c>
      <c r="Y564" s="341">
        <f>IF('General price list'!$AB566="",0,'General price list'!$AB566)</f>
        <v>0</v>
      </c>
      <c r="Z564" s="365" t="str">
        <f>IFERROR(X564*VLOOKUP(C564,'General price list'!C:I,7,FALSE),"")</f>
        <v/>
      </c>
      <c r="AA564" s="805" t="str">
        <f>IF(X564&lt;&gt;"",VLOOKUP(C564,'General price list'!C566:AN1539,MATCH("HM",Tabulka1[[#Headers],[KOD]:[NEQ]],0),FALSE),"")</f>
        <v/>
      </c>
    </row>
    <row r="565" spans="1:27">
      <c r="A565">
        <f>COUNTIF($W$22:W565,1)</f>
        <v>0</v>
      </c>
      <c r="B565">
        <v>565</v>
      </c>
      <c r="C565" s="340" t="str">
        <f>Tabulka1[[#This Row],[KOD]]</f>
        <v>CF4925B</v>
      </c>
      <c r="W565" s="804" t="str">
        <f t="shared" si="19"/>
        <v/>
      </c>
      <c r="X565" t="str">
        <f t="shared" si="20"/>
        <v/>
      </c>
      <c r="Y565" s="341">
        <f>IF('General price list'!$AB567="",0,'General price list'!$AB567)</f>
        <v>0</v>
      </c>
      <c r="Z565" s="365" t="str">
        <f>IFERROR(X565*VLOOKUP(C565,'General price list'!C:I,7,FALSE),"")</f>
        <v/>
      </c>
      <c r="AA565" s="805" t="str">
        <f>IF(X565&lt;&gt;"",VLOOKUP(C565,'General price list'!C567:AN1540,MATCH("HM",Tabulka1[[#Headers],[KOD]:[NEQ]],0),FALSE),"")</f>
        <v/>
      </c>
    </row>
    <row r="566" spans="1:27">
      <c r="A566">
        <f>COUNTIF($W$22:W566,1)</f>
        <v>0</v>
      </c>
      <c r="B566">
        <v>566</v>
      </c>
      <c r="C566" s="340">
        <f>Tabulka1[[#This Row],[KOD]]</f>
        <v>0</v>
      </c>
      <c r="W566" s="804" t="str">
        <f t="shared" si="19"/>
        <v/>
      </c>
      <c r="X566" t="str">
        <f t="shared" si="20"/>
        <v/>
      </c>
      <c r="Y566" s="341">
        <f>IF('General price list'!$AB568="",0,'General price list'!$AB568)</f>
        <v>0</v>
      </c>
      <c r="Z566" s="365" t="str">
        <f>IFERROR(X566*VLOOKUP(C566,'General price list'!C:I,7,FALSE),"")</f>
        <v/>
      </c>
      <c r="AA566" s="805" t="str">
        <f>IF(X566&lt;&gt;"",VLOOKUP(C566,'General price list'!C568:AN1541,MATCH("HM",Tabulka1[[#Headers],[KOD]:[NEQ]],0),FALSE),"")</f>
        <v/>
      </c>
    </row>
    <row r="567" spans="1:27">
      <c r="A567">
        <f>COUNTIF($W$22:W567,1)</f>
        <v>0</v>
      </c>
      <c r="B567">
        <v>567</v>
      </c>
      <c r="C567" s="340" t="str">
        <f>Tabulka1[[#This Row],[KOD]]</f>
        <v>C6425XPT</v>
      </c>
      <c r="W567" s="804" t="str">
        <f t="shared" si="19"/>
        <v/>
      </c>
      <c r="X567" t="str">
        <f t="shared" si="20"/>
        <v/>
      </c>
      <c r="Y567" s="341">
        <f>IF('General price list'!$AB569="",0,'General price list'!$AB569)</f>
        <v>0</v>
      </c>
      <c r="Z567" s="365" t="str">
        <f>IFERROR(X567*VLOOKUP(C567,'General price list'!C:I,7,FALSE),"")</f>
        <v/>
      </c>
      <c r="AA567" s="805" t="str">
        <f>IF(X567&lt;&gt;"",VLOOKUP(C567,'General price list'!C569:AN1542,MATCH("HM",Tabulka1[[#Headers],[KOD]:[NEQ]],0),FALSE),"")</f>
        <v/>
      </c>
    </row>
    <row r="568" spans="1:27">
      <c r="A568">
        <f>COUNTIF($W$22:W568,1)</f>
        <v>0</v>
      </c>
      <c r="B568">
        <v>568</v>
      </c>
      <c r="C568" s="340">
        <f>Tabulka1[[#This Row],[KOD]]</f>
        <v>0</v>
      </c>
      <c r="W568" s="804" t="str">
        <f t="shared" si="19"/>
        <v/>
      </c>
      <c r="X568" t="str">
        <f t="shared" si="20"/>
        <v/>
      </c>
      <c r="Y568" s="341">
        <f>IF('General price list'!$AB570="",0,'General price list'!$AB570)</f>
        <v>0</v>
      </c>
      <c r="Z568" s="365" t="str">
        <f>IFERROR(X568*VLOOKUP(C568,'General price list'!C:I,7,FALSE),"")</f>
        <v/>
      </c>
      <c r="AA568" s="805" t="str">
        <f>IF(X568&lt;&gt;"",VLOOKUP(C568,'General price list'!C570:AN1543,MATCH("HM",Tabulka1[[#Headers],[KOD]:[NEQ]],0),FALSE),"")</f>
        <v/>
      </c>
    </row>
    <row r="569" spans="1:27">
      <c r="A569">
        <f>COUNTIF($W$22:W569,1)</f>
        <v>0</v>
      </c>
      <c r="B569">
        <v>569</v>
      </c>
      <c r="C569" s="340" t="str">
        <f>Tabulka1[[#This Row],[KOD]]</f>
        <v>C8825G</v>
      </c>
      <c r="W569" s="804" t="str">
        <f t="shared" si="19"/>
        <v/>
      </c>
      <c r="X569" t="str">
        <f t="shared" si="20"/>
        <v/>
      </c>
      <c r="Y569" s="341">
        <f>IF('General price list'!$AB571="",0,'General price list'!$AB571)</f>
        <v>0</v>
      </c>
      <c r="Z569" s="365" t="str">
        <f>IFERROR(X569*VLOOKUP(C569,'General price list'!C:I,7,FALSE),"")</f>
        <v/>
      </c>
      <c r="AA569" s="805" t="str">
        <f>IF(X569&lt;&gt;"",VLOOKUP(C569,'General price list'!C571:AN1544,MATCH("HM",Tabulka1[[#Headers],[KOD]:[NEQ]],0),FALSE),"")</f>
        <v/>
      </c>
    </row>
    <row r="570" spans="1:27">
      <c r="A570">
        <f>COUNTIF($W$22:W570,1)</f>
        <v>0</v>
      </c>
      <c r="B570">
        <v>570</v>
      </c>
      <c r="C570" s="340" t="str">
        <f>Tabulka1[[#This Row],[KOD]]</f>
        <v>C8825PA</v>
      </c>
      <c r="W570" s="804" t="str">
        <f t="shared" si="19"/>
        <v/>
      </c>
      <c r="X570" t="str">
        <f t="shared" si="20"/>
        <v/>
      </c>
      <c r="Y570" s="341">
        <f>IF('General price list'!$AB572="",0,'General price list'!$AB572)</f>
        <v>0</v>
      </c>
      <c r="Z570" s="365" t="str">
        <f>IFERROR(X570*VLOOKUP(C570,'General price list'!C:I,7,FALSE),"")</f>
        <v/>
      </c>
      <c r="AA570" s="805" t="str">
        <f>IF(X570&lt;&gt;"",VLOOKUP(C570,'General price list'!C572:AN1545,MATCH("HM",Tabulka1[[#Headers],[KOD]:[NEQ]],0),FALSE),"")</f>
        <v/>
      </c>
    </row>
    <row r="571" spans="1:27">
      <c r="A571">
        <f>COUNTIF($W$22:W571,1)</f>
        <v>0</v>
      </c>
      <c r="B571">
        <v>571</v>
      </c>
      <c r="C571" s="340" t="str">
        <f>Tabulka1[[#This Row],[KOD]]</f>
        <v>C8825BR</v>
      </c>
      <c r="W571" s="804" t="str">
        <f t="shared" si="19"/>
        <v/>
      </c>
      <c r="X571" t="str">
        <f t="shared" si="20"/>
        <v/>
      </c>
      <c r="Y571" s="341">
        <f>IF('General price list'!$AB573="",0,'General price list'!$AB573)</f>
        <v>0</v>
      </c>
      <c r="Z571" s="365" t="str">
        <f>IFERROR(X571*VLOOKUP(C571,'General price list'!C:I,7,FALSE),"")</f>
        <v/>
      </c>
      <c r="AA571" s="805" t="str">
        <f>IF(X571&lt;&gt;"",VLOOKUP(C571,'General price list'!C573:AN1546,MATCH("HM",Tabulka1[[#Headers],[KOD]:[NEQ]],0),FALSE),"")</f>
        <v/>
      </c>
    </row>
    <row r="572" spans="1:27">
      <c r="A572">
        <f>COUNTIF($W$22:W572,1)</f>
        <v>0</v>
      </c>
      <c r="B572">
        <v>572</v>
      </c>
      <c r="C572" s="340">
        <f>Tabulka1[[#This Row],[KOD]]</f>
        <v>0</v>
      </c>
      <c r="W572" s="804" t="str">
        <f t="shared" si="19"/>
        <v/>
      </c>
      <c r="X572" t="str">
        <f t="shared" si="20"/>
        <v/>
      </c>
      <c r="Y572" s="341">
        <f>IF('General price list'!$AB574="",0,'General price list'!$AB574)</f>
        <v>0</v>
      </c>
      <c r="Z572" s="365" t="str">
        <f>IFERROR(X572*VLOOKUP(C572,'General price list'!C:I,7,FALSE),"")</f>
        <v/>
      </c>
      <c r="AA572" s="805" t="str">
        <f>IF(X572&lt;&gt;"",VLOOKUP(C572,'General price list'!C574:AN1547,MATCH("HM",Tabulka1[[#Headers],[KOD]:[NEQ]],0),FALSE),"")</f>
        <v/>
      </c>
    </row>
    <row r="573" spans="1:27">
      <c r="A573">
        <f>COUNTIF($W$22:W573,1)</f>
        <v>0</v>
      </c>
      <c r="B573">
        <v>573</v>
      </c>
      <c r="C573" s="340" t="str">
        <f>Tabulka1[[#This Row],[KOD]]</f>
        <v>C10025BPS</v>
      </c>
      <c r="W573" s="804" t="str">
        <f t="shared" si="19"/>
        <v/>
      </c>
      <c r="X573" t="str">
        <f t="shared" si="20"/>
        <v/>
      </c>
      <c r="Y573" s="341">
        <f>IF('General price list'!$AB575="",0,'General price list'!$AB575)</f>
        <v>0</v>
      </c>
      <c r="Z573" s="365" t="str">
        <f>IFERROR(X573*VLOOKUP(C573,'General price list'!C:I,7,FALSE),"")</f>
        <v/>
      </c>
      <c r="AA573" s="805" t="str">
        <f>IF(X573&lt;&gt;"",VLOOKUP(C573,'General price list'!C575:AN1548,MATCH("HM",Tabulka1[[#Headers],[KOD]:[NEQ]],0),FALSE),"")</f>
        <v/>
      </c>
    </row>
    <row r="574" spans="1:27">
      <c r="A574">
        <f>COUNTIF($W$22:W574,1)</f>
        <v>0</v>
      </c>
      <c r="B574">
        <v>574</v>
      </c>
      <c r="C574" s="340" t="str">
        <f>Tabulka1[[#This Row],[KOD]]</f>
        <v>C10025PR1</v>
      </c>
      <c r="W574" s="804" t="str">
        <f t="shared" si="19"/>
        <v/>
      </c>
      <c r="X574" t="str">
        <f t="shared" si="20"/>
        <v/>
      </c>
      <c r="Y574" s="341">
        <f>IF('General price list'!$AB576="",0,'General price list'!$AB576)</f>
        <v>0</v>
      </c>
      <c r="Z574" s="365" t="str">
        <f>IFERROR(X574*VLOOKUP(C574,'General price list'!C:I,7,FALSE),"")</f>
        <v/>
      </c>
      <c r="AA574" s="805" t="str">
        <f>IF(X574&lt;&gt;"",VLOOKUP(C574,'General price list'!C576:AN1549,MATCH("HM",Tabulka1[[#Headers],[KOD]:[NEQ]],0),FALSE),"")</f>
        <v/>
      </c>
    </row>
    <row r="575" spans="1:27">
      <c r="A575">
        <f>COUNTIF($W$22:W575,1)</f>
        <v>0</v>
      </c>
      <c r="B575">
        <v>575</v>
      </c>
      <c r="C575" s="340" t="str">
        <f>Tabulka1[[#This Row],[KOD]]</f>
        <v>C10025I</v>
      </c>
      <c r="W575" s="804" t="str">
        <f t="shared" si="19"/>
        <v/>
      </c>
      <c r="X575" t="str">
        <f t="shared" si="20"/>
        <v/>
      </c>
      <c r="Y575" s="341">
        <f>IF('General price list'!$AB577="",0,'General price list'!$AB577)</f>
        <v>0</v>
      </c>
      <c r="Z575" s="365" t="str">
        <f>IFERROR(X575*VLOOKUP(C575,'General price list'!C:I,7,FALSE),"")</f>
        <v/>
      </c>
      <c r="AA575" s="805" t="str">
        <f>IF(X575&lt;&gt;"",VLOOKUP(C575,'General price list'!C577:AN1550,MATCH("HM",Tabulka1[[#Headers],[KOD]:[NEQ]],0),FALSE),"")</f>
        <v/>
      </c>
    </row>
    <row r="576" spans="1:27">
      <c r="A576">
        <f>COUNTIF($W$22:W576,1)</f>
        <v>0</v>
      </c>
      <c r="B576">
        <v>576</v>
      </c>
      <c r="C576" s="340">
        <f>Tabulka1[[#This Row],[KOD]]</f>
        <v>0</v>
      </c>
      <c r="W576" s="804" t="str">
        <f t="shared" si="19"/>
        <v/>
      </c>
      <c r="X576" t="str">
        <f t="shared" si="20"/>
        <v/>
      </c>
      <c r="Y576" s="341">
        <f>IF('General price list'!$AB578="",0,'General price list'!$AB578)</f>
        <v>0</v>
      </c>
      <c r="Z576" s="365" t="str">
        <f>IFERROR(X576*VLOOKUP(C576,'General price list'!C:I,7,FALSE),"")</f>
        <v/>
      </c>
      <c r="AA576" s="805" t="str">
        <f>IF(X576&lt;&gt;"",VLOOKUP(C576,'General price list'!C578:AN1551,MATCH("HM",Tabulka1[[#Headers],[KOD]:[NEQ]],0),FALSE),"")</f>
        <v/>
      </c>
    </row>
    <row r="577" spans="1:27">
      <c r="A577">
        <f>COUNTIF($W$22:W577,1)</f>
        <v>0</v>
      </c>
      <c r="B577">
        <v>577</v>
      </c>
      <c r="C577" s="340" t="str">
        <f>Tabulka1[[#This Row],[KOD]]</f>
        <v>C6425DU/C14</v>
      </c>
      <c r="W577" s="804" t="str">
        <f t="shared" si="19"/>
        <v/>
      </c>
      <c r="X577" t="str">
        <f t="shared" si="20"/>
        <v/>
      </c>
      <c r="Y577" s="341">
        <f>IF('General price list'!$AB579="",0,'General price list'!$AB579)</f>
        <v>0</v>
      </c>
      <c r="Z577" s="365" t="str">
        <f>IFERROR(X577*VLOOKUP(C577,'General price list'!C:I,7,FALSE),"")</f>
        <v/>
      </c>
      <c r="AA577" s="805" t="str">
        <f>IF(X577&lt;&gt;"",VLOOKUP(C577,'General price list'!C579:AN1552,MATCH("HM",Tabulka1[[#Headers],[KOD]:[NEQ]],0),FALSE),"")</f>
        <v/>
      </c>
    </row>
    <row r="578" spans="1:27">
      <c r="A578">
        <f>COUNTIF($W$22:W578,1)</f>
        <v>0</v>
      </c>
      <c r="B578">
        <v>578</v>
      </c>
      <c r="C578" s="340" t="str">
        <f>Tabulka1[[#This Row],[KOD]]</f>
        <v>C9625MF/C14</v>
      </c>
      <c r="W578" s="804" t="str">
        <f t="shared" si="19"/>
        <v/>
      </c>
      <c r="X578" t="str">
        <f t="shared" si="20"/>
        <v/>
      </c>
      <c r="Y578" s="341">
        <f>IF('General price list'!$AB580="",0,'General price list'!$AB580)</f>
        <v>0</v>
      </c>
      <c r="Z578" s="365" t="str">
        <f>IFERROR(X578*VLOOKUP(C578,'General price list'!C:I,7,FALSE),"")</f>
        <v/>
      </c>
      <c r="AA578" s="805" t="str">
        <f>IF(X578&lt;&gt;"",VLOOKUP(C578,'General price list'!C580:AN1553,MATCH("HM",Tabulka1[[#Headers],[KOD]:[NEQ]],0),FALSE),"")</f>
        <v/>
      </c>
    </row>
    <row r="579" spans="1:27">
      <c r="A579">
        <f>COUNTIF($W$22:W579,1)</f>
        <v>0</v>
      </c>
      <c r="B579">
        <v>579</v>
      </c>
      <c r="C579" s="340" t="str">
        <f>Tabulka1[[#This Row],[KOD]]</f>
        <v>C9825C/C14</v>
      </c>
      <c r="W579" s="804" t="str">
        <f t="shared" si="19"/>
        <v/>
      </c>
      <c r="X579" t="str">
        <f t="shared" si="20"/>
        <v/>
      </c>
      <c r="Y579" s="341">
        <f>IF('General price list'!$AB581="",0,'General price list'!$AB581)</f>
        <v>0</v>
      </c>
      <c r="Z579" s="365" t="str">
        <f>IFERROR(X579*VLOOKUP(C579,'General price list'!C:I,7,FALSE),"")</f>
        <v/>
      </c>
      <c r="AA579" s="805" t="str">
        <f>IF(X579&lt;&gt;"",VLOOKUP(C579,'General price list'!C581:AN1554,MATCH("HM",Tabulka1[[#Headers],[KOD]:[NEQ]],0),FALSE),"")</f>
        <v/>
      </c>
    </row>
    <row r="580" spans="1:27">
      <c r="A580">
        <f>COUNTIF($W$22:W580,1)</f>
        <v>0</v>
      </c>
      <c r="B580">
        <v>580</v>
      </c>
      <c r="C580" s="340" t="str">
        <f>Tabulka1[[#This Row],[KOD]]</f>
        <v>C9825SIG/C14</v>
      </c>
      <c r="W580" s="804" t="str">
        <f t="shared" si="19"/>
        <v/>
      </c>
      <c r="X580" t="str">
        <f t="shared" si="20"/>
        <v/>
      </c>
      <c r="Y580" s="341">
        <f>IF('General price list'!$AB582="",0,'General price list'!$AB582)</f>
        <v>0</v>
      </c>
      <c r="Z580" s="365" t="str">
        <f>IFERROR(X580*VLOOKUP(C580,'General price list'!C:I,7,FALSE),"")</f>
        <v/>
      </c>
      <c r="AA580" s="805" t="str">
        <f>IF(X580&lt;&gt;"",VLOOKUP(C580,'General price list'!C582:AN1555,MATCH("HM",Tabulka1[[#Headers],[KOD]:[NEQ]],0),FALSE),"")</f>
        <v/>
      </c>
    </row>
    <row r="581" spans="1:27">
      <c r="A581">
        <f>COUNTIF($W$22:W581,1)</f>
        <v>0</v>
      </c>
      <c r="B581">
        <v>581</v>
      </c>
      <c r="C581" s="340" t="str">
        <f>Tabulka1[[#This Row],[KOD]]</f>
        <v>C10025BPW/C14</v>
      </c>
      <c r="W581" s="804" t="str">
        <f t="shared" si="19"/>
        <v/>
      </c>
      <c r="X581" t="str">
        <f t="shared" si="20"/>
        <v/>
      </c>
      <c r="Y581" s="341">
        <f>IF('General price list'!$AB583="",0,'General price list'!$AB583)</f>
        <v>0</v>
      </c>
      <c r="Z581" s="365" t="str">
        <f>IFERROR(X581*VLOOKUP(C581,'General price list'!C:I,7,FALSE),"")</f>
        <v/>
      </c>
      <c r="AA581" s="805" t="str">
        <f>IF(X581&lt;&gt;"",VLOOKUP(C581,'General price list'!C583:AN1556,MATCH("HM",Tabulka1[[#Headers],[KOD]:[NEQ]],0),FALSE),"")</f>
        <v/>
      </c>
    </row>
    <row r="582" spans="1:27">
      <c r="A582">
        <f>COUNTIF($W$22:W582,1)</f>
        <v>0</v>
      </c>
      <c r="B582">
        <v>582</v>
      </c>
      <c r="C582" s="340" t="str">
        <f>Tabulka1[[#This Row],[KOD]]</f>
        <v>C14025XFS/C14</v>
      </c>
      <c r="W582" s="804" t="str">
        <f t="shared" si="19"/>
        <v/>
      </c>
      <c r="X582" t="str">
        <f t="shared" si="20"/>
        <v/>
      </c>
      <c r="Y582" s="341">
        <f>IF('General price list'!$AB584="",0,'General price list'!$AB584)</f>
        <v>0</v>
      </c>
      <c r="Z582" s="365" t="str">
        <f>IFERROR(X582*VLOOKUP(C582,'General price list'!C:I,7,FALSE),"")</f>
        <v/>
      </c>
      <c r="AA582" s="805" t="str">
        <f>IF(X582&lt;&gt;"",VLOOKUP(C582,'General price list'!C584:AN1557,MATCH("HM",Tabulka1[[#Headers],[KOD]:[NEQ]],0),FALSE),"")</f>
        <v/>
      </c>
    </row>
    <row r="583" spans="1:27">
      <c r="A583">
        <f>COUNTIF($W$22:W583,1)</f>
        <v>0</v>
      </c>
      <c r="B583">
        <v>583</v>
      </c>
      <c r="C583" s="340" t="str">
        <f>Tabulka1[[#This Row],[KOD]]</f>
        <v>C19225MF/C14</v>
      </c>
      <c r="W583" s="804" t="str">
        <f t="shared" si="19"/>
        <v/>
      </c>
      <c r="X583" t="str">
        <f t="shared" si="20"/>
        <v/>
      </c>
      <c r="Y583" s="341">
        <f>IF('General price list'!$AB585="",0,'General price list'!$AB585)</f>
        <v>0</v>
      </c>
      <c r="Z583" s="365" t="str">
        <f>IFERROR(X583*VLOOKUP(C583,'General price list'!C:I,7,FALSE),"")</f>
        <v/>
      </c>
      <c r="AA583" s="805" t="str">
        <f>IF(X583&lt;&gt;"",VLOOKUP(C583,'General price list'!C585:AN1558,MATCH("HM",Tabulka1[[#Headers],[KOD]:[NEQ]],0),FALSE),"")</f>
        <v/>
      </c>
    </row>
    <row r="584" spans="1:27">
      <c r="A584">
        <f>COUNTIF($W$22:W584,1)</f>
        <v>0</v>
      </c>
      <c r="B584">
        <v>584</v>
      </c>
      <c r="C584" s="340" t="str">
        <f>Tabulka1[[#This Row],[KOD]]</f>
        <v>C19625/C14</v>
      </c>
      <c r="W584" s="804" t="str">
        <f t="shared" si="19"/>
        <v/>
      </c>
      <c r="X584" t="str">
        <f t="shared" si="20"/>
        <v/>
      </c>
      <c r="Y584" s="341">
        <f>IF('General price list'!$AB586="",0,'General price list'!$AB586)</f>
        <v>0</v>
      </c>
      <c r="Z584" s="365" t="str">
        <f>IFERROR(X584*VLOOKUP(C584,'General price list'!C:I,7,FALSE),"")</f>
        <v/>
      </c>
      <c r="AA584" s="805" t="str">
        <f>IF(X584&lt;&gt;"",VLOOKUP(C584,'General price list'!C586:AN1559,MATCH("HM",Tabulka1[[#Headers],[KOD]:[NEQ]],0),FALSE),"")</f>
        <v/>
      </c>
    </row>
    <row r="585" spans="1:27">
      <c r="A585">
        <f>COUNTIF($W$22:W585,1)</f>
        <v>0</v>
      </c>
      <c r="B585">
        <v>585</v>
      </c>
      <c r="C585" s="340" t="str">
        <f>Tabulka1[[#This Row],[KOD]]</f>
        <v>C1-C2 C40025F/C14</v>
      </c>
      <c r="W585" s="804" t="str">
        <f t="shared" si="19"/>
        <v/>
      </c>
      <c r="X585" t="str">
        <f t="shared" si="20"/>
        <v/>
      </c>
      <c r="Y585" s="341">
        <f>IF('General price list'!$AB587="",0,'General price list'!$AB587)</f>
        <v>0</v>
      </c>
      <c r="Z585" s="365" t="str">
        <f>IFERROR(X585*VLOOKUP(C585,'General price list'!C:I,7,FALSE),"")</f>
        <v/>
      </c>
      <c r="AA585" s="805" t="str">
        <f>IF(X585&lt;&gt;"",VLOOKUP(C585,'General price list'!C587:AN1560,MATCH("HM",Tabulka1[[#Headers],[KOD]:[NEQ]],0),FALSE),"")</f>
        <v/>
      </c>
    </row>
    <row r="586" spans="1:27">
      <c r="A586">
        <f>COUNTIF($W$22:W586,1)</f>
        <v>0</v>
      </c>
      <c r="B586">
        <v>586</v>
      </c>
      <c r="C586" s="340">
        <f>Tabulka1[[#This Row],[KOD]]</f>
        <v>0</v>
      </c>
      <c r="W586" s="804" t="str">
        <f t="shared" si="19"/>
        <v/>
      </c>
      <c r="X586" t="str">
        <f t="shared" si="20"/>
        <v/>
      </c>
      <c r="Y586" s="341">
        <f>IF('General price list'!$AB588="",0,'General price list'!$AB588)</f>
        <v>0</v>
      </c>
      <c r="Z586" s="365" t="str">
        <f>IFERROR(X586*VLOOKUP(C586,'General price list'!C:I,7,FALSE),"")</f>
        <v/>
      </c>
      <c r="AA586" s="805" t="str">
        <f>IF(X586&lt;&gt;"",VLOOKUP(C586,'General price list'!C588:AN1561,MATCH("HM",Tabulka1[[#Headers],[KOD]:[NEQ]],0),FALSE),"")</f>
        <v/>
      </c>
    </row>
    <row r="587" spans="1:27">
      <c r="A587">
        <f>COUNTIF($W$22:W587,1)</f>
        <v>0</v>
      </c>
      <c r="B587">
        <v>587</v>
      </c>
      <c r="C587" s="340" t="str">
        <f>Tabulka1[[#This Row],[KOD]]</f>
        <v>C9825C/C</v>
      </c>
      <c r="W587" s="804" t="str">
        <f t="shared" si="19"/>
        <v/>
      </c>
      <c r="X587" t="str">
        <f t="shared" si="20"/>
        <v/>
      </c>
      <c r="Y587" s="341">
        <f>IF('General price list'!$AB589="",0,'General price list'!$AB589)</f>
        <v>0</v>
      </c>
      <c r="Z587" s="365" t="str">
        <f>IFERROR(X587*VLOOKUP(C587,'General price list'!C:I,7,FALSE),"")</f>
        <v/>
      </c>
      <c r="AA587" s="805" t="str">
        <f>IF(X587&lt;&gt;"",VLOOKUP(C587,'General price list'!C589:AN1562,MATCH("HM",Tabulka1[[#Headers],[KOD]:[NEQ]],0),FALSE),"")</f>
        <v/>
      </c>
    </row>
    <row r="588" spans="1:27">
      <c r="A588">
        <f>COUNTIF($W$22:W588,1)</f>
        <v>0</v>
      </c>
      <c r="B588">
        <v>588</v>
      </c>
      <c r="C588" s="340" t="str">
        <f>Tabulka1[[#This Row],[KOD]]</f>
        <v>C10025SIG/C</v>
      </c>
      <c r="W588" s="804" t="str">
        <f t="shared" si="19"/>
        <v/>
      </c>
      <c r="X588" t="str">
        <f t="shared" si="20"/>
        <v/>
      </c>
      <c r="Y588" s="341">
        <f>IF('General price list'!$AB590="",0,'General price list'!$AB590)</f>
        <v>0</v>
      </c>
      <c r="Z588" s="365" t="str">
        <f>IFERROR(X588*VLOOKUP(C588,'General price list'!C:I,7,FALSE),"")</f>
        <v/>
      </c>
      <c r="AA588" s="805" t="str">
        <f>IF(X588&lt;&gt;"",VLOOKUP(C588,'General price list'!C590:AN1563,MATCH("HM",Tabulka1[[#Headers],[KOD]:[NEQ]],0),FALSE),"")</f>
        <v/>
      </c>
    </row>
    <row r="589" spans="1:27">
      <c r="A589">
        <f>COUNTIF($W$22:W589,1)</f>
        <v>0</v>
      </c>
      <c r="B589">
        <v>589</v>
      </c>
      <c r="C589" s="340" t="str">
        <f>Tabulka1[[#This Row],[KOD]]</f>
        <v>C14025XFS/C</v>
      </c>
      <c r="W589" s="804" t="str">
        <f t="shared" si="19"/>
        <v/>
      </c>
      <c r="X589" t="str">
        <f t="shared" si="20"/>
        <v/>
      </c>
      <c r="Y589" s="341">
        <f>IF('General price list'!$AB591="",0,'General price list'!$AB591)</f>
        <v>0</v>
      </c>
      <c r="Z589" s="365" t="str">
        <f>IFERROR(X589*VLOOKUP(C589,'General price list'!C:I,7,FALSE),"")</f>
        <v/>
      </c>
      <c r="AA589" s="805" t="str">
        <f>IF(X589&lt;&gt;"",VLOOKUP(C589,'General price list'!C591:AN1564,MATCH("HM",Tabulka1[[#Headers],[KOD]:[NEQ]],0),FALSE),"")</f>
        <v/>
      </c>
    </row>
    <row r="590" spans="1:27">
      <c r="A590">
        <f>COUNTIF($W$22:W590,1)</f>
        <v>0</v>
      </c>
      <c r="B590">
        <v>590</v>
      </c>
      <c r="C590" s="340" t="str">
        <f>Tabulka1[[#This Row],[KOD]]</f>
        <v>C19625F/C</v>
      </c>
      <c r="W590" s="804" t="str">
        <f t="shared" si="19"/>
        <v/>
      </c>
      <c r="X590" t="str">
        <f t="shared" si="20"/>
        <v/>
      </c>
      <c r="Y590" s="341">
        <f>IF('General price list'!$AB592="",0,'General price list'!$AB592)</f>
        <v>0</v>
      </c>
      <c r="Z590" s="365" t="str">
        <f>IFERROR(X590*VLOOKUP(C590,'General price list'!C:I,7,FALSE),"")</f>
        <v/>
      </c>
      <c r="AA590" s="805" t="str">
        <f>IF(X590&lt;&gt;"",VLOOKUP(C590,'General price list'!C592:AN1565,MATCH("HM",Tabulka1[[#Headers],[KOD]:[NEQ]],0),FALSE),"")</f>
        <v/>
      </c>
    </row>
    <row r="591" spans="1:27">
      <c r="A591">
        <f>COUNTIF($W$22:W591,1)</f>
        <v>0</v>
      </c>
      <c r="B591">
        <v>591</v>
      </c>
      <c r="C591" s="340" t="str">
        <f>Tabulka1[[#This Row],[KOD]]</f>
        <v>C20025I/C</v>
      </c>
      <c r="W591" s="804" t="str">
        <f t="shared" si="19"/>
        <v/>
      </c>
      <c r="X591" t="str">
        <f t="shared" si="20"/>
        <v/>
      </c>
      <c r="Y591" s="341">
        <f>IF('General price list'!$AB593="",0,'General price list'!$AB593)</f>
        <v>0</v>
      </c>
      <c r="Z591" s="365" t="str">
        <f>IFERROR(X591*VLOOKUP(C591,'General price list'!C:I,7,FALSE),"")</f>
        <v/>
      </c>
      <c r="AA591" s="805" t="str">
        <f>IF(X591&lt;&gt;"",VLOOKUP(C591,'General price list'!C593:AN1566,MATCH("HM",Tabulka1[[#Headers],[KOD]:[NEQ]],0),FALSE),"")</f>
        <v/>
      </c>
    </row>
    <row r="592" spans="1:27">
      <c r="A592">
        <f>COUNTIF($W$22:W592,1)</f>
        <v>0</v>
      </c>
      <c r="B592">
        <v>592</v>
      </c>
      <c r="C592" s="340">
        <f>Tabulka1[[#This Row],[KOD]]</f>
        <v>0</v>
      </c>
      <c r="W592" s="804" t="str">
        <f t="shared" si="19"/>
        <v/>
      </c>
      <c r="X592" t="str">
        <f t="shared" si="20"/>
        <v/>
      </c>
      <c r="Y592" s="341">
        <f>IF('General price list'!$AB594="",0,'General price list'!$AB594)</f>
        <v>0</v>
      </c>
      <c r="Z592" s="365" t="str">
        <f>IFERROR(X592*VLOOKUP(C592,'General price list'!C:I,7,FALSE),"")</f>
        <v/>
      </c>
      <c r="AA592" s="805" t="str">
        <f>IF(X592&lt;&gt;"",VLOOKUP(C592,'General price list'!C594:AN1567,MATCH("HM",Tabulka1[[#Headers],[KOD]:[NEQ]],0),FALSE),"")</f>
        <v/>
      </c>
    </row>
    <row r="593" spans="1:27">
      <c r="A593">
        <f>COUNTIF($W$22:W593,1)</f>
        <v>0</v>
      </c>
      <c r="B593">
        <v>593</v>
      </c>
      <c r="C593" s="340" t="str">
        <f>Tabulka1[[#This Row],[KOD]]</f>
        <v>C17825W/C</v>
      </c>
      <c r="W593" s="804" t="str">
        <f t="shared" si="19"/>
        <v/>
      </c>
      <c r="X593" t="str">
        <f t="shared" si="20"/>
        <v/>
      </c>
      <c r="Y593" s="341">
        <f>IF('General price list'!$AB595="",0,'General price list'!$AB595)</f>
        <v>0</v>
      </c>
      <c r="Z593" s="365" t="str">
        <f>IFERROR(X593*VLOOKUP(C593,'General price list'!C:I,7,FALSE),"")</f>
        <v/>
      </c>
      <c r="AA593" s="805" t="str">
        <f>IF(X593&lt;&gt;"",VLOOKUP(C593,'General price list'!C595:AN1568,MATCH("HM",Tabulka1[[#Headers],[KOD]:[NEQ]],0),FALSE),"")</f>
        <v/>
      </c>
    </row>
    <row r="594" spans="1:27">
      <c r="A594">
        <f>COUNTIF($W$22:W594,1)</f>
        <v>0</v>
      </c>
      <c r="B594">
        <v>594</v>
      </c>
      <c r="C594" s="340" t="str">
        <f>Tabulka1[[#This Row],[KOD]]</f>
        <v>C20025F/C</v>
      </c>
      <c r="W594" s="804" t="str">
        <f t="shared" si="19"/>
        <v/>
      </c>
      <c r="X594" t="str">
        <f t="shared" si="20"/>
        <v/>
      </c>
      <c r="Y594" s="341">
        <f>IF('General price list'!$AB596="",0,'General price list'!$AB596)</f>
        <v>0</v>
      </c>
      <c r="Z594" s="365" t="str">
        <f>IFERROR(X594*VLOOKUP(C594,'General price list'!C:I,7,FALSE),"")</f>
        <v/>
      </c>
      <c r="AA594" s="805" t="str">
        <f>IF(X594&lt;&gt;"",VLOOKUP(C594,'General price list'!C596:AN1569,MATCH("HM",Tabulka1[[#Headers],[KOD]:[NEQ]],0),FALSE),"")</f>
        <v/>
      </c>
    </row>
    <row r="595" spans="1:27">
      <c r="A595">
        <f>COUNTIF($W$22:W595,1)</f>
        <v>0</v>
      </c>
      <c r="B595">
        <v>595</v>
      </c>
      <c r="C595" s="340" t="str">
        <f>Tabulka1[[#This Row],[KOD]]</f>
        <v>C30025F/C</v>
      </c>
      <c r="W595" s="804" t="str">
        <f t="shared" si="19"/>
        <v/>
      </c>
      <c r="X595" t="str">
        <f t="shared" si="20"/>
        <v/>
      </c>
      <c r="Y595" s="341">
        <f>IF('General price list'!$AB597="",0,'General price list'!$AB597)</f>
        <v>0</v>
      </c>
      <c r="Z595" s="365" t="str">
        <f>IFERROR(X595*VLOOKUP(C595,'General price list'!C:I,7,FALSE),"")</f>
        <v/>
      </c>
      <c r="AA595" s="805" t="str">
        <f>IF(X595&lt;&gt;"",VLOOKUP(C595,'General price list'!C597:AN1570,MATCH("HM",Tabulka1[[#Headers],[KOD]:[NEQ]],0),FALSE),"")</f>
        <v/>
      </c>
    </row>
    <row r="596" spans="1:27">
      <c r="A596">
        <f>COUNTIF($W$22:W596,1)</f>
        <v>0</v>
      </c>
      <c r="B596">
        <v>596</v>
      </c>
      <c r="C596" s="340" t="str">
        <f>Tabulka1[[#This Row],[KOD]]</f>
        <v>C40025F/C</v>
      </c>
      <c r="W596" s="804" t="str">
        <f t="shared" si="19"/>
        <v/>
      </c>
      <c r="X596" t="str">
        <f t="shared" si="20"/>
        <v/>
      </c>
      <c r="Y596" s="341">
        <f>IF('General price list'!$AB598="",0,'General price list'!$AB598)</f>
        <v>0</v>
      </c>
      <c r="Z596" s="365" t="str">
        <f>IFERROR(X596*VLOOKUP(C596,'General price list'!C:I,7,FALSE),"")</f>
        <v/>
      </c>
      <c r="AA596" s="805" t="str">
        <f>IF(X596&lt;&gt;"",VLOOKUP(C596,'General price list'!C598:AN1571,MATCH("HM",Tabulka1[[#Headers],[KOD]:[NEQ]],0),FALSE),"")</f>
        <v/>
      </c>
    </row>
    <row r="597" spans="1:27">
      <c r="A597">
        <f>COUNTIF($W$22:W597,1)</f>
        <v>0</v>
      </c>
      <c r="B597">
        <v>597</v>
      </c>
      <c r="C597" s="340">
        <f>Tabulka1[[#This Row],[KOD]]</f>
        <v>0</v>
      </c>
      <c r="W597" s="804" t="str">
        <f t="shared" si="19"/>
        <v/>
      </c>
      <c r="X597" t="str">
        <f t="shared" si="20"/>
        <v/>
      </c>
      <c r="Y597" s="341">
        <f>IF('General price list'!$AB599="",0,'General price list'!$AB599)</f>
        <v>0</v>
      </c>
      <c r="Z597" s="365" t="str">
        <f>IFERROR(X597*VLOOKUP(C597,'General price list'!C:I,7,FALSE),"")</f>
        <v/>
      </c>
      <c r="AA597" s="805" t="str">
        <f>IF(X597&lt;&gt;"",VLOOKUP(C597,'General price list'!C599:AN1572,MATCH("HM",Tabulka1[[#Headers],[KOD]:[NEQ]],0),FALSE),"")</f>
        <v/>
      </c>
    </row>
    <row r="598" spans="1:27">
      <c r="A598">
        <f>COUNTIF($W$22:W598,1)</f>
        <v>0</v>
      </c>
      <c r="B598">
        <v>598</v>
      </c>
      <c r="C598" s="340" t="str">
        <f>Tabulka1[[#This Row],[KOD]]</f>
        <v>C163BP</v>
      </c>
      <c r="W598" s="804" t="str">
        <f t="shared" si="19"/>
        <v/>
      </c>
      <c r="X598" t="str">
        <f t="shared" si="20"/>
        <v/>
      </c>
      <c r="Y598" s="341">
        <f>IF('General price list'!$AB600="",0,'General price list'!$AB600)</f>
        <v>0</v>
      </c>
      <c r="Z598" s="365" t="str">
        <f>IFERROR(X598*VLOOKUP(C598,'General price list'!C:I,7,FALSE),"")</f>
        <v/>
      </c>
      <c r="AA598" s="805" t="str">
        <f>IF(X598&lt;&gt;"",VLOOKUP(C598,'General price list'!C600:AN1573,MATCH("HM",Tabulka1[[#Headers],[KOD]:[NEQ]],0),FALSE),"")</f>
        <v/>
      </c>
    </row>
    <row r="599" spans="1:27">
      <c r="A599">
        <f>COUNTIF($W$22:W599,1)</f>
        <v>0</v>
      </c>
      <c r="B599">
        <v>599</v>
      </c>
      <c r="C599" s="340" t="str">
        <f>Tabulka1[[#This Row],[KOD]]</f>
        <v>C163SIG</v>
      </c>
      <c r="W599" s="804" t="str">
        <f t="shared" si="19"/>
        <v/>
      </c>
      <c r="X599" t="str">
        <f t="shared" si="20"/>
        <v/>
      </c>
      <c r="Y599" s="341">
        <f>IF('General price list'!$AB601="",0,'General price list'!$AB601)</f>
        <v>0</v>
      </c>
      <c r="Z599" s="365" t="str">
        <f>IFERROR(X599*VLOOKUP(C599,'General price list'!C:I,7,FALSE),"")</f>
        <v/>
      </c>
      <c r="AA599" s="805" t="str">
        <f>IF(X599&lt;&gt;"",VLOOKUP(C599,'General price list'!C601:AN1574,MATCH("HM",Tabulka1[[#Headers],[KOD]:[NEQ]],0),FALSE),"")</f>
        <v/>
      </c>
    </row>
    <row r="600" spans="1:27">
      <c r="A600">
        <f>COUNTIF($W$22:W600,1)</f>
        <v>0</v>
      </c>
      <c r="B600">
        <v>600</v>
      </c>
      <c r="C600" s="340" t="str">
        <f>Tabulka1[[#This Row],[KOD]]</f>
        <v>C163A</v>
      </c>
      <c r="W600" s="804" t="str">
        <f t="shared" si="19"/>
        <v/>
      </c>
      <c r="X600" t="str">
        <f t="shared" si="20"/>
        <v/>
      </c>
      <c r="Y600" s="341">
        <f>IF('General price list'!$AB602="",0,'General price list'!$AB602)</f>
        <v>0</v>
      </c>
      <c r="Z600" s="365" t="str">
        <f>IFERROR(X600*VLOOKUP(C600,'General price list'!C:I,7,FALSE),"")</f>
        <v/>
      </c>
      <c r="AA600" s="805" t="str">
        <f>IF(X600&lt;&gt;"",VLOOKUP(C600,'General price list'!C602:AN1575,MATCH("HM",Tabulka1[[#Headers],[KOD]:[NEQ]],0),FALSE),"")</f>
        <v/>
      </c>
    </row>
    <row r="601" spans="1:27">
      <c r="A601">
        <f>COUNTIF($W$22:W601,1)</f>
        <v>0</v>
      </c>
      <c r="B601">
        <v>601</v>
      </c>
      <c r="C601" s="340" t="str">
        <f>Tabulka1[[#This Row],[KOD]]</f>
        <v>C163B</v>
      </c>
      <c r="W601" s="804" t="str">
        <f t="shared" ref="W601:W664" si="21">IF(Y601+1=1,"",1)</f>
        <v/>
      </c>
      <c r="X601" t="str">
        <f t="shared" ref="X601:X664" si="22">IF(OR(A601&lt;$E$20,A601&gt;$E$21),"",IF(Y601=0,"",Y601))</f>
        <v/>
      </c>
      <c r="Y601" s="341">
        <f>IF('General price list'!$AB603="",0,'General price list'!$AB603)</f>
        <v>0</v>
      </c>
      <c r="Z601" s="365" t="str">
        <f>IFERROR(X601*VLOOKUP(C601,'General price list'!C:I,7,FALSE),"")</f>
        <v/>
      </c>
      <c r="AA601" s="805" t="str">
        <f>IF(X601&lt;&gt;"",VLOOKUP(C601,'General price list'!C603:AN1576,MATCH("HM",Tabulka1[[#Headers],[KOD]:[NEQ]],0),FALSE),"")</f>
        <v/>
      </c>
    </row>
    <row r="602" spans="1:27">
      <c r="A602">
        <f>COUNTIF($W$22:W602,1)</f>
        <v>0</v>
      </c>
      <c r="B602">
        <v>602</v>
      </c>
      <c r="C602" s="340" t="str">
        <f>Tabulka1[[#This Row],[KOD]]</f>
        <v>C163L</v>
      </c>
      <c r="W602" s="804" t="str">
        <f t="shared" si="21"/>
        <v/>
      </c>
      <c r="X602" t="str">
        <f t="shared" si="22"/>
        <v/>
      </c>
      <c r="Y602" s="341">
        <f>IF('General price list'!$AB604="",0,'General price list'!$AB604)</f>
        <v>0</v>
      </c>
      <c r="Z602" s="365" t="str">
        <f>IFERROR(X602*VLOOKUP(C602,'General price list'!C:I,7,FALSE),"")</f>
        <v/>
      </c>
      <c r="AA602" s="805" t="str">
        <f>IF(X602&lt;&gt;"",VLOOKUP(C602,'General price list'!C604:AN1577,MATCH("HM",Tabulka1[[#Headers],[KOD]:[NEQ]],0),FALSE),"")</f>
        <v/>
      </c>
    </row>
    <row r="603" spans="1:27">
      <c r="A603">
        <f>COUNTIF($W$22:W603,1)</f>
        <v>0</v>
      </c>
      <c r="B603">
        <v>603</v>
      </c>
      <c r="C603" s="340" t="str">
        <f>Tabulka1[[#This Row],[KOD]]</f>
        <v>C163E</v>
      </c>
      <c r="W603" s="804" t="str">
        <f t="shared" si="21"/>
        <v/>
      </c>
      <c r="X603" t="str">
        <f t="shared" si="22"/>
        <v/>
      </c>
      <c r="Y603" s="341">
        <f>IF('General price list'!$AB605="",0,'General price list'!$AB605)</f>
        <v>0</v>
      </c>
      <c r="Z603" s="365" t="str">
        <f>IFERROR(X603*VLOOKUP(C603,'General price list'!C:I,7,FALSE),"")</f>
        <v/>
      </c>
      <c r="AA603" s="805" t="str">
        <f>IF(X603&lt;&gt;"",VLOOKUP(C603,'General price list'!C605:AN1578,MATCH("HM",Tabulka1[[#Headers],[KOD]:[NEQ]],0),FALSE),"")</f>
        <v/>
      </c>
    </row>
    <row r="604" spans="1:27">
      <c r="A604">
        <f>COUNTIF($W$22:W604,1)</f>
        <v>0</v>
      </c>
      <c r="B604">
        <v>604</v>
      </c>
      <c r="C604" s="340" t="str">
        <f>Tabulka1[[#This Row],[KOD]]</f>
        <v>C163K</v>
      </c>
      <c r="W604" s="804" t="str">
        <f t="shared" si="21"/>
        <v/>
      </c>
      <c r="X604" t="str">
        <f t="shared" si="22"/>
        <v/>
      </c>
      <c r="Y604" s="341">
        <f>IF('General price list'!$AB606="",0,'General price list'!$AB606)</f>
        <v>0</v>
      </c>
      <c r="Z604" s="365" t="str">
        <f>IFERROR(X604*VLOOKUP(C604,'General price list'!C:I,7,FALSE),"")</f>
        <v/>
      </c>
      <c r="AA604" s="805" t="str">
        <f>IF(X604&lt;&gt;"",VLOOKUP(C604,'General price list'!C606:AN1579,MATCH("HM",Tabulka1[[#Headers],[KOD]:[NEQ]],0),FALSE),"")</f>
        <v/>
      </c>
    </row>
    <row r="605" spans="1:27">
      <c r="A605">
        <f>COUNTIF($W$22:W605,1)</f>
        <v>0</v>
      </c>
      <c r="B605">
        <v>605</v>
      </c>
      <c r="C605" s="340">
        <f>Tabulka1[[#This Row],[KOD]]</f>
        <v>0</v>
      </c>
      <c r="W605" s="804" t="str">
        <f t="shared" si="21"/>
        <v/>
      </c>
      <c r="X605" t="str">
        <f t="shared" si="22"/>
        <v/>
      </c>
      <c r="Y605" s="341">
        <f>IF('General price list'!$AB607="",0,'General price list'!$AB607)</f>
        <v>0</v>
      </c>
      <c r="Z605" s="365" t="str">
        <f>IFERROR(X605*VLOOKUP(C605,'General price list'!C:I,7,FALSE),"")</f>
        <v/>
      </c>
      <c r="AA605" s="805" t="str">
        <f>IF(X605&lt;&gt;"",VLOOKUP(C605,'General price list'!C607:AN1580,MATCH("HM",Tabulka1[[#Headers],[KOD]:[NEQ]],0),FALSE),"")</f>
        <v/>
      </c>
    </row>
    <row r="606" spans="1:27">
      <c r="A606">
        <f>COUNTIF($W$22:W606,1)</f>
        <v>0</v>
      </c>
      <c r="B606">
        <v>606</v>
      </c>
      <c r="C606" s="340" t="str">
        <f>Tabulka1[[#This Row],[KOD]]</f>
        <v>C163A14</v>
      </c>
      <c r="W606" s="804" t="str">
        <f t="shared" si="21"/>
        <v/>
      </c>
      <c r="X606" t="str">
        <f t="shared" si="22"/>
        <v/>
      </c>
      <c r="Y606" s="341">
        <f>IF('General price list'!$AB608="",0,'General price list'!$AB608)</f>
        <v>0</v>
      </c>
      <c r="Z606" s="365" t="str">
        <f>IFERROR(X606*VLOOKUP(C606,'General price list'!C:I,7,FALSE),"")</f>
        <v/>
      </c>
      <c r="AA606" s="805" t="str">
        <f>IF(X606&lt;&gt;"",VLOOKUP(C606,'General price list'!C608:AN1581,MATCH("HM",Tabulka1[[#Headers],[KOD]:[NEQ]],0),FALSE),"")</f>
        <v/>
      </c>
    </row>
    <row r="607" spans="1:27">
      <c r="A607">
        <f>COUNTIF($W$22:W607,1)</f>
        <v>0</v>
      </c>
      <c r="B607">
        <v>607</v>
      </c>
      <c r="C607" s="340">
        <f>Tabulka1[[#This Row],[KOD]]</f>
        <v>0</v>
      </c>
      <c r="W607" s="804" t="str">
        <f t="shared" si="21"/>
        <v/>
      </c>
      <c r="X607" t="str">
        <f t="shared" si="22"/>
        <v/>
      </c>
      <c r="Y607" s="341">
        <f>IF('General price list'!$AB609="",0,'General price list'!$AB609)</f>
        <v>0</v>
      </c>
      <c r="Z607" s="365" t="str">
        <f>IFERROR(X607*VLOOKUP(C607,'General price list'!C:I,7,FALSE),"")</f>
        <v/>
      </c>
      <c r="AA607" s="805" t="str">
        <f>IF(X607&lt;&gt;"",VLOOKUP(C607,'General price list'!C609:AN1582,MATCH("HM",Tabulka1[[#Headers],[KOD]:[NEQ]],0),FALSE),"")</f>
        <v/>
      </c>
    </row>
    <row r="608" spans="1:27">
      <c r="A608">
        <f>COUNTIF($W$22:W608,1)</f>
        <v>0</v>
      </c>
      <c r="B608">
        <v>608</v>
      </c>
      <c r="C608" s="340" t="str">
        <f>Tabulka1[[#This Row],[KOD]]</f>
        <v>C193BP</v>
      </c>
      <c r="W608" s="804" t="str">
        <f t="shared" si="21"/>
        <v/>
      </c>
      <c r="X608" t="str">
        <f t="shared" si="22"/>
        <v/>
      </c>
      <c r="Y608" s="341">
        <f>IF('General price list'!$AB610="",0,'General price list'!$AB610)</f>
        <v>0</v>
      </c>
      <c r="Z608" s="365" t="str">
        <f>IFERROR(X608*VLOOKUP(C608,'General price list'!C:I,7,FALSE),"")</f>
        <v/>
      </c>
      <c r="AA608" s="805" t="str">
        <f>IF(X608&lt;&gt;"",VLOOKUP(C608,'General price list'!C610:AN1583,MATCH("HM",Tabulka1[[#Headers],[KOD]:[NEQ]],0),FALSE),"")</f>
        <v/>
      </c>
    </row>
    <row r="609" spans="1:27">
      <c r="A609">
        <f>COUNTIF($W$22:W609,1)</f>
        <v>0</v>
      </c>
      <c r="B609">
        <v>609</v>
      </c>
      <c r="C609" s="340" t="str">
        <f>Tabulka1[[#This Row],[KOD]]</f>
        <v>C193C</v>
      </c>
      <c r="W609" s="804" t="str">
        <f t="shared" si="21"/>
        <v/>
      </c>
      <c r="X609" t="str">
        <f t="shared" si="22"/>
        <v/>
      </c>
      <c r="Y609" s="341">
        <f>IF('General price list'!$AB611="",0,'General price list'!$AB611)</f>
        <v>0</v>
      </c>
      <c r="Z609" s="365" t="str">
        <f>IFERROR(X609*VLOOKUP(C609,'General price list'!C:I,7,FALSE),"")</f>
        <v/>
      </c>
      <c r="AA609" s="805" t="str">
        <f>IF(X609&lt;&gt;"",VLOOKUP(C609,'General price list'!C611:AN1584,MATCH("HM",Tabulka1[[#Headers],[KOD]:[NEQ]],0),FALSE),"")</f>
        <v/>
      </c>
    </row>
    <row r="610" spans="1:27">
      <c r="A610">
        <f>COUNTIF($W$22:W610,1)</f>
        <v>0</v>
      </c>
      <c r="B610">
        <v>610</v>
      </c>
      <c r="C610" s="340" t="str">
        <f>Tabulka1[[#This Row],[KOD]]</f>
        <v>C193D</v>
      </c>
      <c r="W610" s="804" t="str">
        <f t="shared" si="21"/>
        <v/>
      </c>
      <c r="X610" t="str">
        <f t="shared" si="22"/>
        <v/>
      </c>
      <c r="Y610" s="341">
        <f>IF('General price list'!$AB612="",0,'General price list'!$AB612)</f>
        <v>0</v>
      </c>
      <c r="Z610" s="365" t="str">
        <f>IFERROR(X610*VLOOKUP(C610,'General price list'!C:I,7,FALSE),"")</f>
        <v/>
      </c>
      <c r="AA610" s="805" t="str">
        <f>IF(X610&lt;&gt;"",VLOOKUP(C610,'General price list'!C612:AN1585,MATCH("HM",Tabulka1[[#Headers],[KOD]:[NEQ]],0),FALSE),"")</f>
        <v/>
      </c>
    </row>
    <row r="611" spans="1:27">
      <c r="A611">
        <f>COUNTIF($W$22:W611,1)</f>
        <v>0</v>
      </c>
      <c r="B611">
        <v>611</v>
      </c>
      <c r="C611" s="340" t="str">
        <f>Tabulka1[[#This Row],[KOD]]</f>
        <v>C193J</v>
      </c>
      <c r="W611" s="804" t="str">
        <f t="shared" si="21"/>
        <v/>
      </c>
      <c r="X611" t="str">
        <f t="shared" si="22"/>
        <v/>
      </c>
      <c r="Y611" s="341">
        <f>IF('General price list'!$AB613="",0,'General price list'!$AB613)</f>
        <v>0</v>
      </c>
      <c r="Z611" s="365" t="str">
        <f>IFERROR(X611*VLOOKUP(C611,'General price list'!C:I,7,FALSE),"")</f>
        <v/>
      </c>
      <c r="AA611" s="805" t="str">
        <f>IF(X611&lt;&gt;"",VLOOKUP(C611,'General price list'!C613:AN1586,MATCH("HM",Tabulka1[[#Headers],[KOD]:[NEQ]],0),FALSE),"")</f>
        <v/>
      </c>
    </row>
    <row r="612" spans="1:27">
      <c r="A612">
        <f>COUNTIF($W$22:W612,1)</f>
        <v>0</v>
      </c>
      <c r="B612">
        <v>612</v>
      </c>
      <c r="C612" s="340" t="str">
        <f>Tabulka1[[#This Row],[KOD]]</f>
        <v>C193I</v>
      </c>
      <c r="W612" s="804" t="str">
        <f t="shared" si="21"/>
        <v/>
      </c>
      <c r="X612" t="str">
        <f t="shared" si="22"/>
        <v/>
      </c>
      <c r="Y612" s="341">
        <f>IF('General price list'!$AB614="",0,'General price list'!$AB614)</f>
        <v>0</v>
      </c>
      <c r="Z612" s="365" t="str">
        <f>IFERROR(X612*VLOOKUP(C612,'General price list'!C:I,7,FALSE),"")</f>
        <v/>
      </c>
      <c r="AA612" s="805" t="str">
        <f>IF(X612&lt;&gt;"",VLOOKUP(C612,'General price list'!C614:AN1587,MATCH("HM",Tabulka1[[#Headers],[KOD]:[NEQ]],0),FALSE),"")</f>
        <v/>
      </c>
    </row>
    <row r="613" spans="1:27">
      <c r="A613">
        <f>COUNTIF($W$22:W613,1)</f>
        <v>0</v>
      </c>
      <c r="B613">
        <v>613</v>
      </c>
      <c r="C613" s="340">
        <f>Tabulka1[[#This Row],[KOD]]</f>
        <v>0</v>
      </c>
      <c r="W613" s="804" t="str">
        <f t="shared" si="21"/>
        <v/>
      </c>
      <c r="X613" t="str">
        <f t="shared" si="22"/>
        <v/>
      </c>
      <c r="Y613" s="341">
        <f>IF('General price list'!$AB615="",0,'General price list'!$AB615)</f>
        <v>0</v>
      </c>
      <c r="Z613" s="365" t="str">
        <f>IFERROR(X613*VLOOKUP(C613,'General price list'!C:I,7,FALSE),"")</f>
        <v/>
      </c>
      <c r="AA613" s="805" t="str">
        <f>IF(X613&lt;&gt;"",VLOOKUP(C613,'General price list'!C615:AN1588,MATCH("HM",Tabulka1[[#Headers],[KOD]:[NEQ]],0),FALSE),"")</f>
        <v/>
      </c>
    </row>
    <row r="614" spans="1:27">
      <c r="A614">
        <f>COUNTIF($W$22:W614,1)</f>
        <v>0</v>
      </c>
      <c r="B614">
        <v>614</v>
      </c>
      <c r="C614" s="340" t="str">
        <f>Tabulka1[[#This Row],[KOD]]</f>
        <v>C253SIG</v>
      </c>
      <c r="W614" s="804" t="str">
        <f t="shared" si="21"/>
        <v/>
      </c>
      <c r="X614" t="str">
        <f t="shared" si="22"/>
        <v/>
      </c>
      <c r="Y614" s="341">
        <f>IF('General price list'!$AB616="",0,'General price list'!$AB616)</f>
        <v>0</v>
      </c>
      <c r="Z614" s="365" t="str">
        <f>IFERROR(X614*VLOOKUP(C614,'General price list'!C:I,7,FALSE),"")</f>
        <v/>
      </c>
      <c r="AA614" s="805" t="str">
        <f>IF(X614&lt;&gt;"",VLOOKUP(C614,'General price list'!C616:AN1589,MATCH("HM",Tabulka1[[#Headers],[KOD]:[NEQ]],0),FALSE),"")</f>
        <v/>
      </c>
    </row>
    <row r="615" spans="1:27">
      <c r="A615">
        <f>COUNTIF($W$22:W615,1)</f>
        <v>0</v>
      </c>
      <c r="B615">
        <v>615</v>
      </c>
      <c r="C615" s="340" t="str">
        <f>Tabulka1[[#This Row],[KOD]]</f>
        <v>C253SIG B</v>
      </c>
      <c r="W615" s="804" t="str">
        <f t="shared" si="21"/>
        <v/>
      </c>
      <c r="X615" t="str">
        <f t="shared" si="22"/>
        <v/>
      </c>
      <c r="Y615" s="341">
        <f>IF('General price list'!$AB617="",0,'General price list'!$AB617)</f>
        <v>0</v>
      </c>
      <c r="Z615" s="365" t="str">
        <f>IFERROR(X615*VLOOKUP(C615,'General price list'!C:I,7,FALSE),"")</f>
        <v/>
      </c>
      <c r="AA615" s="805" t="str">
        <f>IF(X615&lt;&gt;"",VLOOKUP(C615,'General price list'!C617:AN1590,MATCH("HM",Tabulka1[[#Headers],[KOD]:[NEQ]],0),FALSE),"")</f>
        <v/>
      </c>
    </row>
    <row r="616" spans="1:27">
      <c r="A616">
        <f>COUNTIF($W$22:W616,1)</f>
        <v>0</v>
      </c>
      <c r="B616">
        <v>616</v>
      </c>
      <c r="C616" s="340" t="str">
        <f>Tabulka1[[#This Row],[KOD]]</f>
        <v>C253FR</v>
      </c>
      <c r="W616" s="804" t="str">
        <f t="shared" si="21"/>
        <v/>
      </c>
      <c r="X616" t="str">
        <f t="shared" si="22"/>
        <v/>
      </c>
      <c r="Y616" s="341">
        <f>IF('General price list'!$AB618="",0,'General price list'!$AB618)</f>
        <v>0</v>
      </c>
      <c r="Z616" s="365" t="str">
        <f>IFERROR(X616*VLOOKUP(C616,'General price list'!C:I,7,FALSE),"")</f>
        <v/>
      </c>
      <c r="AA616" s="805" t="str">
        <f>IF(X616&lt;&gt;"",VLOOKUP(C616,'General price list'!C618:AN1591,MATCH("HM",Tabulka1[[#Headers],[KOD]:[NEQ]],0),FALSE),"")</f>
        <v/>
      </c>
    </row>
    <row r="617" spans="1:27">
      <c r="A617">
        <f>COUNTIF($W$22:W617,1)</f>
        <v>0</v>
      </c>
      <c r="B617">
        <v>617</v>
      </c>
      <c r="C617" s="340" t="str">
        <f>Tabulka1[[#This Row],[KOD]]</f>
        <v>C253MY</v>
      </c>
      <c r="W617" s="804" t="str">
        <f t="shared" si="21"/>
        <v/>
      </c>
      <c r="X617" t="str">
        <f t="shared" si="22"/>
        <v/>
      </c>
      <c r="Y617" s="341">
        <f>IF('General price list'!$AB619="",0,'General price list'!$AB619)</f>
        <v>0</v>
      </c>
      <c r="Z617" s="365" t="str">
        <f>IFERROR(X617*VLOOKUP(C617,'General price list'!C:I,7,FALSE),"")</f>
        <v/>
      </c>
      <c r="AA617" s="805" t="str">
        <f>IF(X617&lt;&gt;"",VLOOKUP(C617,'General price list'!C619:AN1592,MATCH("HM",Tabulka1[[#Headers],[KOD]:[NEQ]],0),FALSE),"")</f>
        <v/>
      </c>
    </row>
    <row r="618" spans="1:27">
      <c r="A618">
        <f>COUNTIF($W$22:W618,1)</f>
        <v>0</v>
      </c>
      <c r="B618">
        <v>618</v>
      </c>
      <c r="C618" s="340" t="str">
        <f>Tabulka1[[#This Row],[KOD]]</f>
        <v>C253DU</v>
      </c>
      <c r="W618" s="804" t="str">
        <f t="shared" si="21"/>
        <v/>
      </c>
      <c r="X618" t="str">
        <f t="shared" si="22"/>
        <v/>
      </c>
      <c r="Y618" s="341">
        <f>IF('General price list'!$AB620="",0,'General price list'!$AB620)</f>
        <v>0</v>
      </c>
      <c r="Z618" s="365" t="str">
        <f>IFERROR(X618*VLOOKUP(C618,'General price list'!C:I,7,FALSE),"")</f>
        <v/>
      </c>
      <c r="AA618" s="805" t="str">
        <f>IF(X618&lt;&gt;"",VLOOKUP(C618,'General price list'!C620:AN1593,MATCH("HM",Tabulka1[[#Headers],[KOD]:[NEQ]],0),FALSE),"")</f>
        <v/>
      </c>
    </row>
    <row r="619" spans="1:27">
      <c r="A619">
        <f>COUNTIF($W$22:W619,1)</f>
        <v>0</v>
      </c>
      <c r="B619">
        <v>619</v>
      </c>
      <c r="C619" s="340">
        <f>Tabulka1[[#This Row],[KOD]]</f>
        <v>0</v>
      </c>
      <c r="W619" s="804" t="str">
        <f t="shared" si="21"/>
        <v/>
      </c>
      <c r="X619" t="str">
        <f t="shared" si="22"/>
        <v/>
      </c>
      <c r="Y619" s="341">
        <f>IF('General price list'!$AB621="",0,'General price list'!$AB621)</f>
        <v>0</v>
      </c>
      <c r="Z619" s="365" t="str">
        <f>IFERROR(X619*VLOOKUP(C619,'General price list'!C:I,7,FALSE),"")</f>
        <v/>
      </c>
      <c r="AA619" s="805" t="str">
        <f>IF(X619&lt;&gt;"",VLOOKUP(C619,'General price list'!C621:AN1594,MATCH("HM",Tabulka1[[#Headers],[KOD]:[NEQ]],0),FALSE),"")</f>
        <v/>
      </c>
    </row>
    <row r="620" spans="1:27">
      <c r="A620">
        <f>COUNTIF($W$22:W620,1)</f>
        <v>0</v>
      </c>
      <c r="B620">
        <v>620</v>
      </c>
      <c r="C620" s="340" t="str">
        <f>Tabulka1[[#This Row],[KOD]]</f>
        <v>C253BP14</v>
      </c>
      <c r="W620" s="804" t="str">
        <f t="shared" si="21"/>
        <v/>
      </c>
      <c r="X620" t="str">
        <f t="shared" si="22"/>
        <v/>
      </c>
      <c r="Y620" s="341">
        <f>IF('General price list'!$AB622="",0,'General price list'!$AB622)</f>
        <v>0</v>
      </c>
      <c r="Z620" s="365" t="str">
        <f>IFERROR(X620*VLOOKUP(C620,'General price list'!C:I,7,FALSE),"")</f>
        <v/>
      </c>
      <c r="AA620" s="805" t="str">
        <f>IF(X620&lt;&gt;"",VLOOKUP(C620,'General price list'!C622:AN1595,MATCH("HM",Tabulka1[[#Headers],[KOD]:[NEQ]],0),FALSE),"")</f>
        <v/>
      </c>
    </row>
    <row r="621" spans="1:27">
      <c r="A621">
        <f>COUNTIF($W$22:W621,1)</f>
        <v>0</v>
      </c>
      <c r="B621">
        <v>621</v>
      </c>
      <c r="C621" s="340" t="str">
        <f>Tabulka1[[#This Row],[KOD]]</f>
        <v>C253NO14</v>
      </c>
      <c r="W621" s="804" t="str">
        <f t="shared" si="21"/>
        <v/>
      </c>
      <c r="X621" t="str">
        <f t="shared" si="22"/>
        <v/>
      </c>
      <c r="Y621" s="341">
        <f>IF('General price list'!$AB623="",0,'General price list'!$AB623)</f>
        <v>0</v>
      </c>
      <c r="Z621" s="365" t="str">
        <f>IFERROR(X621*VLOOKUP(C621,'General price list'!C:I,7,FALSE),"")</f>
        <v/>
      </c>
      <c r="AA621" s="805" t="str">
        <f>IF(X621&lt;&gt;"",VLOOKUP(C621,'General price list'!C623:AN1596,MATCH("HM",Tabulka1[[#Headers],[KOD]:[NEQ]],0),FALSE),"")</f>
        <v/>
      </c>
    </row>
    <row r="622" spans="1:27">
      <c r="A622">
        <f>COUNTIF($W$22:W622,1)</f>
        <v>0</v>
      </c>
      <c r="B622">
        <v>622</v>
      </c>
      <c r="C622" s="340" t="str">
        <f>Tabulka1[[#This Row],[KOD]]</f>
        <v>C253B14</v>
      </c>
      <c r="W622" s="804" t="str">
        <f t="shared" si="21"/>
        <v/>
      </c>
      <c r="X622" t="str">
        <f t="shared" si="22"/>
        <v/>
      </c>
      <c r="Y622" s="341">
        <f>IF('General price list'!$AB624="",0,'General price list'!$AB624)</f>
        <v>0</v>
      </c>
      <c r="Z622" s="365" t="str">
        <f>IFERROR(X622*VLOOKUP(C622,'General price list'!C:I,7,FALSE),"")</f>
        <v/>
      </c>
      <c r="AA622" s="805" t="str">
        <f>IF(X622&lt;&gt;"",VLOOKUP(C622,'General price list'!C624:AN1597,MATCH("HM",Tabulka1[[#Headers],[KOD]:[NEQ]],0),FALSE),"")</f>
        <v/>
      </c>
    </row>
    <row r="623" spans="1:27">
      <c r="A623">
        <f>COUNTIF($W$22:W623,1)</f>
        <v>0</v>
      </c>
      <c r="B623">
        <v>623</v>
      </c>
      <c r="C623" s="340" t="str">
        <f>Tabulka1[[#This Row],[KOD]]</f>
        <v>C253TH14</v>
      </c>
      <c r="W623" s="804" t="str">
        <f t="shared" si="21"/>
        <v/>
      </c>
      <c r="X623" t="str">
        <f t="shared" si="22"/>
        <v/>
      </c>
      <c r="Y623" s="341">
        <f>IF('General price list'!$AB625="",0,'General price list'!$AB625)</f>
        <v>0</v>
      </c>
      <c r="Z623" s="365" t="str">
        <f>IFERROR(X623*VLOOKUP(C623,'General price list'!C:I,7,FALSE),"")</f>
        <v/>
      </c>
      <c r="AA623" s="805" t="str">
        <f>IF(X623&lt;&gt;"",VLOOKUP(C623,'General price list'!C625:AN1598,MATCH("HM",Tabulka1[[#Headers],[KOD]:[NEQ]],0),FALSE),"")</f>
        <v/>
      </c>
    </row>
    <row r="624" spans="1:27">
      <c r="A624">
        <f>COUNTIF($W$22:W624,1)</f>
        <v>0</v>
      </c>
      <c r="B624">
        <v>624</v>
      </c>
      <c r="C624" s="340" t="str">
        <f>Tabulka1[[#This Row],[KOD]]</f>
        <v>C253E14</v>
      </c>
      <c r="W624" s="804" t="str">
        <f t="shared" si="21"/>
        <v/>
      </c>
      <c r="X624" t="str">
        <f t="shared" si="22"/>
        <v/>
      </c>
      <c r="Y624" s="341">
        <f>IF('General price list'!$AB626="",0,'General price list'!$AB626)</f>
        <v>0</v>
      </c>
      <c r="Z624" s="365" t="str">
        <f>IFERROR(X624*VLOOKUP(C624,'General price list'!C:I,7,FALSE),"")</f>
        <v/>
      </c>
      <c r="AA624" s="805" t="str">
        <f>IF(X624&lt;&gt;"",VLOOKUP(C624,'General price list'!C626:AN1599,MATCH("HM",Tabulka1[[#Headers],[KOD]:[NEQ]],0),FALSE),"")</f>
        <v/>
      </c>
    </row>
    <row r="625" spans="1:27">
      <c r="A625">
        <f>COUNTIF($W$22:W625,1)</f>
        <v>0</v>
      </c>
      <c r="B625">
        <v>625</v>
      </c>
      <c r="C625" s="340">
        <f>Tabulka1[[#This Row],[KOD]]</f>
        <v>0</v>
      </c>
      <c r="W625" s="804" t="str">
        <f t="shared" si="21"/>
        <v/>
      </c>
      <c r="X625" t="str">
        <f t="shared" si="22"/>
        <v/>
      </c>
      <c r="Y625" s="341">
        <f>IF('General price list'!$AB627="",0,'General price list'!$AB627)</f>
        <v>0</v>
      </c>
      <c r="Z625" s="365" t="str">
        <f>IFERROR(X625*VLOOKUP(C625,'General price list'!C:I,7,FALSE),"")</f>
        <v/>
      </c>
      <c r="AA625" s="805" t="str">
        <f>IF(X625&lt;&gt;"",VLOOKUP(C625,'General price list'!C627:AN1600,MATCH("HM",Tabulka1[[#Headers],[KOD]:[NEQ]],0),FALSE),"")</f>
        <v/>
      </c>
    </row>
    <row r="626" spans="1:27">
      <c r="A626">
        <f>COUNTIF($W$22:W626,1)</f>
        <v>0</v>
      </c>
      <c r="B626">
        <v>626</v>
      </c>
      <c r="C626" s="340" t="str">
        <f>Tabulka1[[#This Row],[KOD]]</f>
        <v>C253F14</v>
      </c>
      <c r="W626" s="804" t="str">
        <f t="shared" si="21"/>
        <v/>
      </c>
      <c r="X626" t="str">
        <f t="shared" si="22"/>
        <v/>
      </c>
      <c r="Y626" s="341">
        <f>IF('General price list'!$AB628="",0,'General price list'!$AB628)</f>
        <v>0</v>
      </c>
      <c r="Z626" s="365" t="str">
        <f>IFERROR(X626*VLOOKUP(C626,'General price list'!C:I,7,FALSE),"")</f>
        <v/>
      </c>
      <c r="AA626" s="805" t="str">
        <f>IF(X626&lt;&gt;"",VLOOKUP(C626,'General price list'!C628:AN1601,MATCH("HM",Tabulka1[[#Headers],[KOD]:[NEQ]],0),FALSE),"")</f>
        <v/>
      </c>
    </row>
    <row r="627" spans="1:27">
      <c r="A627">
        <f>COUNTIF($W$22:W627,1)</f>
        <v>0</v>
      </c>
      <c r="B627">
        <v>627</v>
      </c>
      <c r="C627" s="340">
        <f>Tabulka1[[#This Row],[KOD]]</f>
        <v>0</v>
      </c>
      <c r="W627" s="804" t="str">
        <f t="shared" si="21"/>
        <v/>
      </c>
      <c r="X627" t="str">
        <f t="shared" si="22"/>
        <v/>
      </c>
      <c r="Y627" s="341">
        <f>IF('General price list'!$AB629="",0,'General price list'!$AB629)</f>
        <v>0</v>
      </c>
      <c r="Z627" s="365" t="str">
        <f>IFERROR(X627*VLOOKUP(C627,'General price list'!C:I,7,FALSE),"")</f>
        <v/>
      </c>
      <c r="AA627" s="805" t="str">
        <f>IF(X627&lt;&gt;"",VLOOKUP(C627,'General price list'!C629:AN1602,MATCH("HM",Tabulka1[[#Headers],[KOD]:[NEQ]],0),FALSE),"")</f>
        <v/>
      </c>
    </row>
    <row r="628" spans="1:27">
      <c r="A628">
        <f>COUNTIF($W$22:W628,1)</f>
        <v>0</v>
      </c>
      <c r="B628">
        <v>628</v>
      </c>
      <c r="C628" s="340" t="str">
        <f>Tabulka1[[#This Row],[KOD]]</f>
        <v>CF253R14</v>
      </c>
      <c r="W628" s="804" t="str">
        <f t="shared" si="21"/>
        <v/>
      </c>
      <c r="X628" t="str">
        <f t="shared" si="22"/>
        <v/>
      </c>
      <c r="Y628" s="341">
        <f>IF('General price list'!$AB630="",0,'General price list'!$AB630)</f>
        <v>0</v>
      </c>
      <c r="Z628" s="365" t="str">
        <f>IFERROR(X628*VLOOKUP(C628,'General price list'!C:I,7,FALSE),"")</f>
        <v/>
      </c>
      <c r="AA628" s="805" t="str">
        <f>IF(X628&lt;&gt;"",VLOOKUP(C628,'General price list'!C630:AN1603,MATCH("HM",Tabulka1[[#Headers],[KOD]:[NEQ]],0),FALSE),"")</f>
        <v/>
      </c>
    </row>
    <row r="629" spans="1:27">
      <c r="A629">
        <f>COUNTIF($W$22:W629,1)</f>
        <v>0</v>
      </c>
      <c r="B629">
        <v>629</v>
      </c>
      <c r="C629" s="340" t="str">
        <f>Tabulka1[[#This Row],[KOD]]</f>
        <v>CF253D14</v>
      </c>
      <c r="W629" s="804" t="str">
        <f t="shared" si="21"/>
        <v/>
      </c>
      <c r="X629" t="str">
        <f t="shared" si="22"/>
        <v/>
      </c>
      <c r="Y629" s="341">
        <f>IF('General price list'!$AB631="",0,'General price list'!$AB631)</f>
        <v>0</v>
      </c>
      <c r="Z629" s="365" t="str">
        <f>IFERROR(X629*VLOOKUP(C629,'General price list'!C:I,7,FALSE),"")</f>
        <v/>
      </c>
      <c r="AA629" s="805" t="str">
        <f>IF(X629&lt;&gt;"",VLOOKUP(C629,'General price list'!C631:AN1604,MATCH("HM",Tabulka1[[#Headers],[KOD]:[NEQ]],0),FALSE),"")</f>
        <v/>
      </c>
    </row>
    <row r="630" spans="1:27">
      <c r="A630">
        <f>COUNTIF($W$22:W630,1)</f>
        <v>0</v>
      </c>
      <c r="B630">
        <v>630</v>
      </c>
      <c r="C630" s="340" t="str">
        <f>Tabulka1[[#This Row],[KOD]]</f>
        <v>CF253K14</v>
      </c>
      <c r="W630" s="804" t="str">
        <f t="shared" si="21"/>
        <v/>
      </c>
      <c r="X630" t="str">
        <f t="shared" si="22"/>
        <v/>
      </c>
      <c r="Y630" s="341">
        <f>IF('General price list'!$AB632="",0,'General price list'!$AB632)</f>
        <v>0</v>
      </c>
      <c r="Z630" s="365" t="str">
        <f>IFERROR(X630*VLOOKUP(C630,'General price list'!C:I,7,FALSE),"")</f>
        <v/>
      </c>
      <c r="AA630" s="805" t="str">
        <f>IF(X630&lt;&gt;"",VLOOKUP(C630,'General price list'!C632:AN1605,MATCH("HM",Tabulka1[[#Headers],[KOD]:[NEQ]],0),FALSE),"")</f>
        <v/>
      </c>
    </row>
    <row r="631" spans="1:27">
      <c r="A631">
        <f>COUNTIF($W$22:W631,1)</f>
        <v>0</v>
      </c>
      <c r="B631">
        <v>631</v>
      </c>
      <c r="C631" s="340">
        <f>Tabulka1[[#This Row],[KOD]]</f>
        <v>0</v>
      </c>
      <c r="W631" s="804" t="str">
        <f t="shared" si="21"/>
        <v/>
      </c>
      <c r="X631" t="str">
        <f t="shared" si="22"/>
        <v/>
      </c>
      <c r="Y631" s="341">
        <f>IF('General price list'!$AB633="",0,'General price list'!$AB633)</f>
        <v>0</v>
      </c>
      <c r="Z631" s="365" t="str">
        <f>IFERROR(X631*VLOOKUP(C631,'General price list'!C:I,7,FALSE),"")</f>
        <v/>
      </c>
      <c r="AA631" s="805" t="str">
        <f>IF(X631&lt;&gt;"",VLOOKUP(C631,'General price list'!C633:AN1606,MATCH("HM",Tabulka1[[#Headers],[KOD]:[NEQ]],0),FALSE),"")</f>
        <v/>
      </c>
    </row>
    <row r="632" spans="1:27">
      <c r="A632">
        <f>COUNTIF($W$22:W632,1)</f>
        <v>0</v>
      </c>
      <c r="B632">
        <v>632</v>
      </c>
      <c r="C632" s="340" t="str">
        <f>Tabulka1[[#This Row],[KOD]]</f>
        <v>C363PL</v>
      </c>
      <c r="W632" s="804" t="str">
        <f t="shared" si="21"/>
        <v/>
      </c>
      <c r="X632" t="str">
        <f t="shared" si="22"/>
        <v/>
      </c>
      <c r="Y632" s="341">
        <f>IF('General price list'!$AB634="",0,'General price list'!$AB634)</f>
        <v>0</v>
      </c>
      <c r="Z632" s="365" t="str">
        <f>IFERROR(X632*VLOOKUP(C632,'General price list'!C:I,7,FALSE),"")</f>
        <v/>
      </c>
      <c r="AA632" s="805" t="str">
        <f>IF(X632&lt;&gt;"",VLOOKUP(C632,'General price list'!C634:AN1607,MATCH("HM",Tabulka1[[#Headers],[KOD]:[NEQ]],0),FALSE),"")</f>
        <v/>
      </c>
    </row>
    <row r="633" spans="1:27">
      <c r="A633">
        <f>COUNTIF($W$22:W633,1)</f>
        <v>0</v>
      </c>
      <c r="B633">
        <v>633</v>
      </c>
      <c r="C633" s="340" t="str">
        <f>Tabulka1[[#This Row],[KOD]]</f>
        <v>C363PA</v>
      </c>
      <c r="W633" s="804" t="str">
        <f t="shared" si="21"/>
        <v/>
      </c>
      <c r="X633" t="str">
        <f t="shared" si="22"/>
        <v/>
      </c>
      <c r="Y633" s="341">
        <f>IF('General price list'!$AB635="",0,'General price list'!$AB635)</f>
        <v>0</v>
      </c>
      <c r="Z633" s="365" t="str">
        <f>IFERROR(X633*VLOOKUP(C633,'General price list'!C:I,7,FALSE),"")</f>
        <v/>
      </c>
      <c r="AA633" s="805" t="str">
        <f>IF(X633&lt;&gt;"",VLOOKUP(C633,'General price list'!C635:AN1608,MATCH("HM",Tabulka1[[#Headers],[KOD]:[NEQ]],0),FALSE),"")</f>
        <v/>
      </c>
    </row>
    <row r="634" spans="1:27">
      <c r="A634">
        <f>COUNTIF($W$22:W634,1)</f>
        <v>0</v>
      </c>
      <c r="B634">
        <v>634</v>
      </c>
      <c r="C634" s="340" t="str">
        <f>Tabulka1[[#This Row],[KOD]]</f>
        <v>C363DR</v>
      </c>
      <c r="W634" s="804" t="str">
        <f t="shared" si="21"/>
        <v/>
      </c>
      <c r="X634" t="str">
        <f t="shared" si="22"/>
        <v/>
      </c>
      <c r="Y634" s="341">
        <f>IF('General price list'!$AB636="",0,'General price list'!$AB636)</f>
        <v>0</v>
      </c>
      <c r="Z634" s="365" t="str">
        <f>IFERROR(X634*VLOOKUP(C634,'General price list'!C:I,7,FALSE),"")</f>
        <v/>
      </c>
      <c r="AA634" s="805" t="str">
        <f>IF(X634&lt;&gt;"",VLOOKUP(C634,'General price list'!C636:AN1609,MATCH("HM",Tabulka1[[#Headers],[KOD]:[NEQ]],0),FALSE),"")</f>
        <v/>
      </c>
    </row>
    <row r="635" spans="1:27">
      <c r="A635">
        <f>COUNTIF($W$22:W635,1)</f>
        <v>0</v>
      </c>
      <c r="B635">
        <v>635</v>
      </c>
      <c r="C635" s="340">
        <f>Tabulka1[[#This Row],[KOD]]</f>
        <v>0</v>
      </c>
      <c r="W635" s="804" t="str">
        <f t="shared" si="21"/>
        <v/>
      </c>
      <c r="X635" t="str">
        <f t="shared" si="22"/>
        <v/>
      </c>
      <c r="Y635" s="341">
        <f>IF('General price list'!$AB637="",0,'General price list'!$AB637)</f>
        <v>0</v>
      </c>
      <c r="Z635" s="365" t="str">
        <f>IFERROR(X635*VLOOKUP(C635,'General price list'!C:I,7,FALSE),"")</f>
        <v/>
      </c>
      <c r="AA635" s="805" t="str">
        <f>IF(X635&lt;&gt;"",VLOOKUP(C635,'General price list'!C637:AN1610,MATCH("HM",Tabulka1[[#Headers],[KOD]:[NEQ]],0),FALSE),"")</f>
        <v/>
      </c>
    </row>
    <row r="636" spans="1:27">
      <c r="A636">
        <f>COUNTIF($W$22:W636,1)</f>
        <v>0</v>
      </c>
      <c r="B636">
        <v>636</v>
      </c>
      <c r="C636" s="340" t="str">
        <f>Tabulka1[[#This Row],[KOD]]</f>
        <v>CF363S</v>
      </c>
      <c r="W636" s="804" t="str">
        <f t="shared" si="21"/>
        <v/>
      </c>
      <c r="X636" t="str">
        <f t="shared" si="22"/>
        <v/>
      </c>
      <c r="Y636" s="341">
        <f>IF('General price list'!$AB638="",0,'General price list'!$AB638)</f>
        <v>0</v>
      </c>
      <c r="Z636" s="365" t="str">
        <f>IFERROR(X636*VLOOKUP(C636,'General price list'!C:I,7,FALSE),"")</f>
        <v/>
      </c>
      <c r="AA636" s="805" t="str">
        <f>IF(X636&lt;&gt;"",VLOOKUP(C636,'General price list'!C638:AN1611,MATCH("HM",Tabulka1[[#Headers],[KOD]:[NEQ]],0),FALSE),"")</f>
        <v/>
      </c>
    </row>
    <row r="637" spans="1:27">
      <c r="A637">
        <f>COUNTIF($W$22:W637,1)</f>
        <v>0</v>
      </c>
      <c r="B637">
        <v>637</v>
      </c>
      <c r="C637" s="340">
        <f>Tabulka1[[#This Row],[KOD]]</f>
        <v>0</v>
      </c>
      <c r="W637" s="804" t="str">
        <f t="shared" si="21"/>
        <v/>
      </c>
      <c r="X637" t="str">
        <f t="shared" si="22"/>
        <v/>
      </c>
      <c r="Y637" s="341">
        <f>IF('General price list'!$AB639="",0,'General price list'!$AB639)</f>
        <v>0</v>
      </c>
      <c r="Z637" s="365" t="str">
        <f>IFERROR(X637*VLOOKUP(C637,'General price list'!C:I,7,FALSE),"")</f>
        <v/>
      </c>
      <c r="AA637" s="805" t="str">
        <f>IF(X637&lt;&gt;"",VLOOKUP(C637,'General price list'!C639:AN1612,MATCH("HM",Tabulka1[[#Headers],[KOD]:[NEQ]],0),FALSE),"")</f>
        <v/>
      </c>
    </row>
    <row r="638" spans="1:27">
      <c r="A638">
        <f>COUNTIF($W$22:W638,1)</f>
        <v>0</v>
      </c>
      <c r="B638">
        <v>638</v>
      </c>
      <c r="C638" s="340" t="str">
        <f>Tabulka1[[#This Row],[KOD]]</f>
        <v>C493BPS</v>
      </c>
      <c r="W638" s="804" t="str">
        <f t="shared" si="21"/>
        <v/>
      </c>
      <c r="X638" t="str">
        <f t="shared" si="22"/>
        <v/>
      </c>
      <c r="Y638" s="341">
        <f>IF('General price list'!$AB640="",0,'General price list'!$AB640)</f>
        <v>0</v>
      </c>
      <c r="Z638" s="365" t="str">
        <f>IFERROR(X638*VLOOKUP(C638,'General price list'!C:I,7,FALSE),"")</f>
        <v/>
      </c>
      <c r="AA638" s="805" t="str">
        <f>IF(X638&lt;&gt;"",VLOOKUP(C638,'General price list'!C640:AN1613,MATCH("HM",Tabulka1[[#Headers],[KOD]:[NEQ]],0),FALSE),"")</f>
        <v/>
      </c>
    </row>
    <row r="639" spans="1:27">
      <c r="A639">
        <f>COUNTIF($W$22:W639,1)</f>
        <v>0</v>
      </c>
      <c r="B639">
        <v>639</v>
      </c>
      <c r="C639" s="340" t="str">
        <f>Tabulka1[[#This Row],[KOD]]</f>
        <v>C493PR</v>
      </c>
      <c r="W639" s="804" t="str">
        <f t="shared" si="21"/>
        <v/>
      </c>
      <c r="X639" t="str">
        <f t="shared" si="22"/>
        <v/>
      </c>
      <c r="Y639" s="341">
        <f>IF('General price list'!$AB641="",0,'General price list'!$AB641)</f>
        <v>0</v>
      </c>
      <c r="Z639" s="365" t="str">
        <f>IFERROR(X639*VLOOKUP(C639,'General price list'!C:I,7,FALSE),"")</f>
        <v/>
      </c>
      <c r="AA639" s="805" t="str">
        <f>IF(X639&lt;&gt;"",VLOOKUP(C639,'General price list'!C641:AN1614,MATCH("HM",Tabulka1[[#Headers],[KOD]:[NEQ]],0),FALSE),"")</f>
        <v/>
      </c>
    </row>
    <row r="640" spans="1:27">
      <c r="A640">
        <f>COUNTIF($W$22:W640,1)</f>
        <v>0</v>
      </c>
      <c r="B640">
        <v>640</v>
      </c>
      <c r="C640" s="340" t="str">
        <f>Tabulka1[[#This Row],[KOD]]</f>
        <v>C493RU</v>
      </c>
      <c r="W640" s="804" t="str">
        <f t="shared" si="21"/>
        <v/>
      </c>
      <c r="X640" t="str">
        <f t="shared" si="22"/>
        <v/>
      </c>
      <c r="Y640" s="341">
        <f>IF('General price list'!$AB642="",0,'General price list'!$AB642)</f>
        <v>0</v>
      </c>
      <c r="Z640" s="365" t="str">
        <f>IFERROR(X640*VLOOKUP(C640,'General price list'!C:I,7,FALSE),"")</f>
        <v/>
      </c>
      <c r="AA640" s="805" t="str">
        <f>IF(X640&lt;&gt;"",VLOOKUP(C640,'General price list'!C642:AN1615,MATCH("HM",Tabulka1[[#Headers],[KOD]:[NEQ]],0),FALSE),"")</f>
        <v/>
      </c>
    </row>
    <row r="641" spans="1:27">
      <c r="A641">
        <f>COUNTIF($W$22:W641,1)</f>
        <v>0</v>
      </c>
      <c r="B641">
        <v>641</v>
      </c>
      <c r="C641" s="340" t="str">
        <f>Tabulka1[[#This Row],[KOD]]</f>
        <v>C493MA</v>
      </c>
      <c r="W641" s="804" t="str">
        <f t="shared" si="21"/>
        <v/>
      </c>
      <c r="X641" t="str">
        <f t="shared" si="22"/>
        <v/>
      </c>
      <c r="Y641" s="341">
        <f>IF('General price list'!$AB643="",0,'General price list'!$AB643)</f>
        <v>0</v>
      </c>
      <c r="Z641" s="365" t="str">
        <f>IFERROR(X641*VLOOKUP(C641,'General price list'!C:I,7,FALSE),"")</f>
        <v/>
      </c>
      <c r="AA641" s="805" t="str">
        <f>IF(X641&lt;&gt;"",VLOOKUP(C641,'General price list'!C643:AN1616,MATCH("HM",Tabulka1[[#Headers],[KOD]:[NEQ]],0),FALSE),"")</f>
        <v/>
      </c>
    </row>
    <row r="642" spans="1:27">
      <c r="A642">
        <f>COUNTIF($W$22:W642,1)</f>
        <v>0</v>
      </c>
      <c r="B642">
        <v>642</v>
      </c>
      <c r="C642" s="340" t="str">
        <f>Tabulka1[[#This Row],[KOD]]</f>
        <v>C493LI</v>
      </c>
      <c r="W642" s="804" t="str">
        <f t="shared" si="21"/>
        <v/>
      </c>
      <c r="X642" t="str">
        <f t="shared" si="22"/>
        <v/>
      </c>
      <c r="Y642" s="341">
        <f>IF('General price list'!$AB644="",0,'General price list'!$AB644)</f>
        <v>0</v>
      </c>
      <c r="Z642" s="365" t="str">
        <f>IFERROR(X642*VLOOKUP(C642,'General price list'!C:I,7,FALSE),"")</f>
        <v/>
      </c>
      <c r="AA642" s="805" t="str">
        <f>IF(X642&lt;&gt;"",VLOOKUP(C642,'General price list'!C644:AN1617,MATCH("HM",Tabulka1[[#Headers],[KOD]:[NEQ]],0),FALSE),"")</f>
        <v/>
      </c>
    </row>
    <row r="643" spans="1:27">
      <c r="A643">
        <f>COUNTIF($W$22:W643,1)</f>
        <v>0</v>
      </c>
      <c r="B643">
        <v>643</v>
      </c>
      <c r="C643" s="340" t="str">
        <f>Tabulka1[[#This Row],[KOD]]</f>
        <v>C493DU</v>
      </c>
      <c r="W643" s="804" t="str">
        <f t="shared" si="21"/>
        <v/>
      </c>
      <c r="X643" t="str">
        <f t="shared" si="22"/>
        <v/>
      </c>
      <c r="Y643" s="341">
        <f>IF('General price list'!$AB645="",0,'General price list'!$AB645)</f>
        <v>0</v>
      </c>
      <c r="Z643" s="365" t="str">
        <f>IFERROR(X643*VLOOKUP(C643,'General price list'!C:I,7,FALSE),"")</f>
        <v/>
      </c>
      <c r="AA643" s="805" t="str">
        <f>IF(X643&lt;&gt;"",VLOOKUP(C643,'General price list'!C645:AN1618,MATCH("HM",Tabulka1[[#Headers],[KOD]:[NEQ]],0),FALSE),"")</f>
        <v/>
      </c>
    </row>
    <row r="644" spans="1:27">
      <c r="A644">
        <f>COUNTIF($W$22:W644,1)</f>
        <v>0</v>
      </c>
      <c r="B644">
        <v>644</v>
      </c>
      <c r="C644" s="340" t="str">
        <f>Tabulka1[[#This Row],[KOD]]</f>
        <v>C493SW</v>
      </c>
      <c r="W644" s="804" t="str">
        <f t="shared" si="21"/>
        <v/>
      </c>
      <c r="X644" t="str">
        <f t="shared" si="22"/>
        <v/>
      </c>
      <c r="Y644" s="341">
        <f>IF('General price list'!$AB646="",0,'General price list'!$AB646)</f>
        <v>0</v>
      </c>
      <c r="Z644" s="365" t="str">
        <f>IFERROR(X644*VLOOKUP(C644,'General price list'!C:I,7,FALSE),"")</f>
        <v/>
      </c>
      <c r="AA644" s="805" t="str">
        <f>IF(X644&lt;&gt;"",VLOOKUP(C644,'General price list'!C646:AN1619,MATCH("HM",Tabulka1[[#Headers],[KOD]:[NEQ]],0),FALSE),"")</f>
        <v/>
      </c>
    </row>
    <row r="645" spans="1:27">
      <c r="A645">
        <f>COUNTIF($W$22:W645,1)</f>
        <v>0</v>
      </c>
      <c r="B645">
        <v>645</v>
      </c>
      <c r="C645" s="340" t="str">
        <f>Tabulka1[[#This Row],[KOD]]</f>
        <v>C493GH</v>
      </c>
      <c r="W645" s="804" t="str">
        <f t="shared" si="21"/>
        <v/>
      </c>
      <c r="X645" t="str">
        <f t="shared" si="22"/>
        <v/>
      </c>
      <c r="Y645" s="341">
        <f>IF('General price list'!$AB647="",0,'General price list'!$AB647)</f>
        <v>0</v>
      </c>
      <c r="Z645" s="365" t="str">
        <f>IFERROR(X645*VLOOKUP(C645,'General price list'!C:I,7,FALSE),"")</f>
        <v/>
      </c>
      <c r="AA645" s="805" t="str">
        <f>IF(X645&lt;&gt;"",VLOOKUP(C645,'General price list'!C647:AN1620,MATCH("HM",Tabulka1[[#Headers],[KOD]:[NEQ]],0),FALSE),"")</f>
        <v/>
      </c>
    </row>
    <row r="646" spans="1:27">
      <c r="A646">
        <f>COUNTIF($W$22:W646,1)</f>
        <v>0</v>
      </c>
      <c r="B646">
        <v>646</v>
      </c>
      <c r="C646" s="340" t="str">
        <f>Tabulka1[[#This Row],[KOD]]</f>
        <v>C493RG</v>
      </c>
      <c r="W646" s="804" t="str">
        <f t="shared" si="21"/>
        <v/>
      </c>
      <c r="X646" t="str">
        <f t="shared" si="22"/>
        <v/>
      </c>
      <c r="Y646" s="341">
        <f>IF('General price list'!$AB648="",0,'General price list'!$AB648)</f>
        <v>0</v>
      </c>
      <c r="Z646" s="365" t="str">
        <f>IFERROR(X646*VLOOKUP(C646,'General price list'!C:I,7,FALSE),"")</f>
        <v/>
      </c>
      <c r="AA646" s="805" t="str">
        <f>IF(X646&lt;&gt;"",VLOOKUP(C646,'General price list'!C648:AN1621,MATCH("HM",Tabulka1[[#Headers],[KOD]:[NEQ]],0),FALSE),"")</f>
        <v/>
      </c>
    </row>
    <row r="647" spans="1:27">
      <c r="A647">
        <f>COUNTIF($W$22:W647,1)</f>
        <v>0</v>
      </c>
      <c r="B647">
        <v>647</v>
      </c>
      <c r="C647" s="340" t="str">
        <f>Tabulka1[[#This Row],[KOD]]</f>
        <v>C493BW</v>
      </c>
      <c r="W647" s="804" t="str">
        <f t="shared" si="21"/>
        <v/>
      </c>
      <c r="X647" t="str">
        <f t="shared" si="22"/>
        <v/>
      </c>
      <c r="Y647" s="341">
        <f>IF('General price list'!$AB649="",0,'General price list'!$AB649)</f>
        <v>0</v>
      </c>
      <c r="Z647" s="365" t="str">
        <f>IFERROR(X647*VLOOKUP(C647,'General price list'!C:I,7,FALSE),"")</f>
        <v/>
      </c>
      <c r="AA647" s="805" t="str">
        <f>IF(X647&lt;&gt;"",VLOOKUP(C647,'General price list'!C649:AN1622,MATCH("HM",Tabulka1[[#Headers],[KOD]:[NEQ]],0),FALSE),"")</f>
        <v/>
      </c>
    </row>
    <row r="648" spans="1:27">
      <c r="A648">
        <f>COUNTIF($W$22:W648,1)</f>
        <v>0</v>
      </c>
      <c r="B648">
        <v>648</v>
      </c>
      <c r="C648" s="340">
        <f>Tabulka1[[#This Row],[KOD]]</f>
        <v>0</v>
      </c>
      <c r="W648" s="804" t="str">
        <f t="shared" si="21"/>
        <v/>
      </c>
      <c r="X648" t="str">
        <f t="shared" si="22"/>
        <v/>
      </c>
      <c r="Y648" s="341">
        <f>IF('General price list'!$AB650="",0,'General price list'!$AB650)</f>
        <v>0</v>
      </c>
      <c r="Z648" s="365" t="str">
        <f>IFERROR(X648*VLOOKUP(C648,'General price list'!C:I,7,FALSE),"")</f>
        <v/>
      </c>
      <c r="AA648" s="805" t="str">
        <f>IF(X648&lt;&gt;"",VLOOKUP(C648,'General price list'!C650:AN1623,MATCH("HM",Tabulka1[[#Headers],[KOD]:[NEQ]],0),FALSE),"")</f>
        <v/>
      </c>
    </row>
    <row r="649" spans="1:27">
      <c r="A649">
        <f>COUNTIF($W$22:W649,1)</f>
        <v>0</v>
      </c>
      <c r="B649">
        <v>649</v>
      </c>
      <c r="C649" s="340" t="str">
        <f>Tabulka1[[#This Row],[KOD]]</f>
        <v>CF493ST</v>
      </c>
      <c r="W649" s="804" t="str">
        <f t="shared" si="21"/>
        <v/>
      </c>
      <c r="X649" t="str">
        <f t="shared" si="22"/>
        <v/>
      </c>
      <c r="Y649" s="341">
        <f>IF('General price list'!$AB651="",0,'General price list'!$AB651)</f>
        <v>0</v>
      </c>
      <c r="Z649" s="365" t="str">
        <f>IFERROR(X649*VLOOKUP(C649,'General price list'!C:I,7,FALSE),"")</f>
        <v/>
      </c>
      <c r="AA649" s="805" t="str">
        <f>IF(X649&lt;&gt;"",VLOOKUP(C649,'General price list'!C651:AN1624,MATCH("HM",Tabulka1[[#Headers],[KOD]:[NEQ]],0),FALSE),"")</f>
        <v/>
      </c>
    </row>
    <row r="650" spans="1:27">
      <c r="A650">
        <f>COUNTIF($W$22:W650,1)</f>
        <v>0</v>
      </c>
      <c r="B650">
        <v>650</v>
      </c>
      <c r="C650" s="340" t="str">
        <f>Tabulka1[[#This Row],[KOD]]</f>
        <v>CF493SA</v>
      </c>
      <c r="W650" s="804" t="str">
        <f t="shared" si="21"/>
        <v/>
      </c>
      <c r="X650" t="str">
        <f t="shared" si="22"/>
        <v/>
      </c>
      <c r="Y650" s="341">
        <f>IF('General price list'!$AB652="",0,'General price list'!$AB652)</f>
        <v>0</v>
      </c>
      <c r="Z650" s="365" t="str">
        <f>IFERROR(X650*VLOOKUP(C650,'General price list'!C:I,7,FALSE),"")</f>
        <v/>
      </c>
      <c r="AA650" s="805" t="str">
        <f>IF(X650&lt;&gt;"",VLOOKUP(C650,'General price list'!C652:AN1625,MATCH("HM",Tabulka1[[#Headers],[KOD]:[NEQ]],0),FALSE),"")</f>
        <v/>
      </c>
    </row>
    <row r="651" spans="1:27">
      <c r="A651">
        <f>COUNTIF($W$22:W651,1)</f>
        <v>0</v>
      </c>
      <c r="B651">
        <v>651</v>
      </c>
      <c r="C651" s="340" t="str">
        <f>Tabulka1[[#This Row],[KOD]]</f>
        <v>CF493W</v>
      </c>
      <c r="W651" s="804" t="str">
        <f t="shared" si="21"/>
        <v/>
      </c>
      <c r="X651" t="str">
        <f t="shared" si="22"/>
        <v/>
      </c>
      <c r="Y651" s="341">
        <f>IF('General price list'!$AB653="",0,'General price list'!$AB653)</f>
        <v>0</v>
      </c>
      <c r="Z651" s="365" t="str">
        <f>IFERROR(X651*VLOOKUP(C651,'General price list'!C:I,7,FALSE),"")</f>
        <v/>
      </c>
      <c r="AA651" s="805" t="str">
        <f>IF(X651&lt;&gt;"",VLOOKUP(C651,'General price list'!C653:AN1626,MATCH("HM",Tabulka1[[#Headers],[KOD]:[NEQ]],0),FALSE),"")</f>
        <v/>
      </c>
    </row>
    <row r="652" spans="1:27">
      <c r="A652">
        <f>COUNTIF($W$22:W652,1)</f>
        <v>0</v>
      </c>
      <c r="B652">
        <v>652</v>
      </c>
      <c r="C652" s="340" t="str">
        <f>Tabulka1[[#This Row],[KOD]]</f>
        <v>CF493ME</v>
      </c>
      <c r="W652" s="804" t="str">
        <f t="shared" si="21"/>
        <v/>
      </c>
      <c r="X652" t="str">
        <f t="shared" si="22"/>
        <v/>
      </c>
      <c r="Y652" s="341">
        <f>IF('General price list'!$AB654="",0,'General price list'!$AB654)</f>
        <v>0</v>
      </c>
      <c r="Z652" s="365" t="str">
        <f>IFERROR(X652*VLOOKUP(C652,'General price list'!C:I,7,FALSE),"")</f>
        <v/>
      </c>
      <c r="AA652" s="805" t="str">
        <f>IF(X652&lt;&gt;"",VLOOKUP(C652,'General price list'!C654:AN1627,MATCH("HM",Tabulka1[[#Headers],[KOD]:[NEQ]],0),FALSE),"")</f>
        <v/>
      </c>
    </row>
    <row r="653" spans="1:27">
      <c r="A653">
        <f>COUNTIF($W$22:W653,1)</f>
        <v>0</v>
      </c>
      <c r="B653">
        <v>653</v>
      </c>
      <c r="C653" s="340">
        <f>Tabulka1[[#This Row],[KOD]]</f>
        <v>0</v>
      </c>
      <c r="W653" s="804" t="str">
        <f t="shared" si="21"/>
        <v/>
      </c>
      <c r="X653" t="str">
        <f t="shared" si="22"/>
        <v/>
      </c>
      <c r="Y653" s="341">
        <f>IF('General price list'!$AB655="",0,'General price list'!$AB655)</f>
        <v>0</v>
      </c>
      <c r="Z653" s="365" t="str">
        <f>IFERROR(X653*VLOOKUP(C653,'General price list'!C:I,7,FALSE),"")</f>
        <v/>
      </c>
      <c r="AA653" s="805" t="str">
        <f>IF(X653&lt;&gt;"",VLOOKUP(C653,'General price list'!C655:AN1628,MATCH("HM",Tabulka1[[#Headers],[KOD]:[NEQ]],0),FALSE),"")</f>
        <v/>
      </c>
    </row>
    <row r="654" spans="1:27">
      <c r="A654">
        <f>COUNTIF($W$22:W654,1)</f>
        <v>0</v>
      </c>
      <c r="B654">
        <v>654</v>
      </c>
      <c r="C654" s="340" t="str">
        <f>Tabulka1[[#This Row],[KOD]]</f>
        <v>C503SIGA</v>
      </c>
      <c r="W654" s="804" t="str">
        <f t="shared" si="21"/>
        <v/>
      </c>
      <c r="X654" t="str">
        <f t="shared" si="22"/>
        <v/>
      </c>
      <c r="Y654" s="341">
        <f>IF('General price list'!$AB656="",0,'General price list'!$AB656)</f>
        <v>0</v>
      </c>
      <c r="Z654" s="365" t="str">
        <f>IFERROR(X654*VLOOKUP(C654,'General price list'!C:I,7,FALSE),"")</f>
        <v/>
      </c>
      <c r="AA654" s="805" t="str">
        <f>IF(X654&lt;&gt;"",VLOOKUP(C654,'General price list'!C656:AN1629,MATCH("HM",Tabulka1[[#Headers],[KOD]:[NEQ]],0),FALSE),"")</f>
        <v/>
      </c>
    </row>
    <row r="655" spans="1:27">
      <c r="A655">
        <f>COUNTIF($W$22:W655,1)</f>
        <v>0</v>
      </c>
      <c r="B655">
        <v>655</v>
      </c>
      <c r="C655" s="340" t="str">
        <f>Tabulka1[[#This Row],[KOD]]</f>
        <v>C503RA</v>
      </c>
      <c r="W655" s="804" t="str">
        <f t="shared" si="21"/>
        <v/>
      </c>
      <c r="X655" t="str">
        <f t="shared" si="22"/>
        <v/>
      </c>
      <c r="Y655" s="341">
        <f>IF('General price list'!$AB657="",0,'General price list'!$AB657)</f>
        <v>0</v>
      </c>
      <c r="Z655" s="365" t="str">
        <f>IFERROR(X655*VLOOKUP(C655,'General price list'!C:I,7,FALSE),"")</f>
        <v/>
      </c>
      <c r="AA655" s="805" t="str">
        <f>IF(X655&lt;&gt;"",VLOOKUP(C655,'General price list'!C657:AN1630,MATCH("HM",Tabulka1[[#Headers],[KOD]:[NEQ]],0),FALSE),"")</f>
        <v/>
      </c>
    </row>
    <row r="656" spans="1:27">
      <c r="A656">
        <f>COUNTIF($W$22:W656,1)</f>
        <v>0</v>
      </c>
      <c r="B656">
        <v>656</v>
      </c>
      <c r="C656" s="340" t="str">
        <f>Tabulka1[[#This Row],[KOD]]</f>
        <v>C503RO</v>
      </c>
      <c r="W656" s="804" t="str">
        <f t="shared" si="21"/>
        <v/>
      </c>
      <c r="X656" t="str">
        <f t="shared" si="22"/>
        <v/>
      </c>
      <c r="Y656" s="341">
        <f>IF('General price list'!$AB658="",0,'General price list'!$AB658)</f>
        <v>0</v>
      </c>
      <c r="Z656" s="365" t="str">
        <f>IFERROR(X656*VLOOKUP(C656,'General price list'!C:I,7,FALSE),"")</f>
        <v/>
      </c>
      <c r="AA656" s="805" t="str">
        <f>IF(X656&lt;&gt;"",VLOOKUP(C656,'General price list'!C658:AN1631,MATCH("HM",Tabulka1[[#Headers],[KOD]:[NEQ]],0),FALSE),"")</f>
        <v/>
      </c>
    </row>
    <row r="657" spans="1:27">
      <c r="A657">
        <f>COUNTIF($W$22:W657,1)</f>
        <v>0</v>
      </c>
      <c r="B657">
        <v>657</v>
      </c>
      <c r="C657" s="340" t="str">
        <f>Tabulka1[[#This Row],[KOD]]</f>
        <v>C503BI</v>
      </c>
      <c r="W657" s="804" t="str">
        <f t="shared" si="21"/>
        <v/>
      </c>
      <c r="X657" t="str">
        <f t="shared" si="22"/>
        <v/>
      </c>
      <c r="Y657" s="341">
        <f>IF('General price list'!$AB659="",0,'General price list'!$AB659)</f>
        <v>0</v>
      </c>
      <c r="Z657" s="365" t="str">
        <f>IFERROR(X657*VLOOKUP(C657,'General price list'!C:I,7,FALSE),"")</f>
        <v/>
      </c>
      <c r="AA657" s="805" t="str">
        <f>IF(X657&lt;&gt;"",VLOOKUP(C657,'General price list'!C659:AN1632,MATCH("HM",Tabulka1[[#Headers],[KOD]:[NEQ]],0),FALSE),"")</f>
        <v/>
      </c>
    </row>
    <row r="658" spans="1:27">
      <c r="A658">
        <f>COUNTIF($W$22:W658,1)</f>
        <v>0</v>
      </c>
      <c r="B658">
        <v>658</v>
      </c>
      <c r="C658" s="340">
        <f>Tabulka1[[#This Row],[KOD]]</f>
        <v>0</v>
      </c>
      <c r="W658" s="804" t="str">
        <f t="shared" si="21"/>
        <v/>
      </c>
      <c r="X658" t="str">
        <f t="shared" si="22"/>
        <v/>
      </c>
      <c r="Y658" s="341">
        <f>IF('General price list'!$AB660="",0,'General price list'!$AB660)</f>
        <v>0</v>
      </c>
      <c r="Z658" s="365" t="str">
        <f>IFERROR(X658*VLOOKUP(C658,'General price list'!C:I,7,FALSE),"")</f>
        <v/>
      </c>
      <c r="AA658" s="805" t="str">
        <f>IF(X658&lt;&gt;"",VLOOKUP(C658,'General price list'!C660:AN1633,MATCH("HM",Tabulka1[[#Headers],[KOD]:[NEQ]],0),FALSE),"")</f>
        <v/>
      </c>
    </row>
    <row r="659" spans="1:27">
      <c r="A659">
        <f>COUNTIF($W$22:W659,1)</f>
        <v>0</v>
      </c>
      <c r="B659">
        <v>659</v>
      </c>
      <c r="C659" s="340" t="str">
        <f>Tabulka1[[#This Row],[KOD]]</f>
        <v>C643BI</v>
      </c>
      <c r="W659" s="804" t="str">
        <f t="shared" si="21"/>
        <v/>
      </c>
      <c r="X659" t="str">
        <f t="shared" si="22"/>
        <v/>
      </c>
      <c r="Y659" s="341">
        <f>IF('General price list'!$AB661="",0,'General price list'!$AB661)</f>
        <v>0</v>
      </c>
      <c r="Z659" s="365" t="str">
        <f>IFERROR(X659*VLOOKUP(C659,'General price list'!C:I,7,FALSE),"")</f>
        <v/>
      </c>
      <c r="AA659" s="805" t="str">
        <f>IF(X659&lt;&gt;"",VLOOKUP(C659,'General price list'!C661:AN1634,MATCH("HM",Tabulka1[[#Headers],[KOD]:[NEQ]],0),FALSE),"")</f>
        <v/>
      </c>
    </row>
    <row r="660" spans="1:27">
      <c r="A660">
        <f>COUNTIF($W$22:W660,1)</f>
        <v>0</v>
      </c>
      <c r="B660">
        <v>660</v>
      </c>
      <c r="C660" s="340" t="str">
        <f>Tabulka1[[#This Row],[KOD]]</f>
        <v>C643H</v>
      </c>
      <c r="W660" s="804" t="str">
        <f t="shared" si="21"/>
        <v/>
      </c>
      <c r="X660" t="str">
        <f t="shared" si="22"/>
        <v/>
      </c>
      <c r="Y660" s="341">
        <f>IF('General price list'!$AB662="",0,'General price list'!$AB662)</f>
        <v>0</v>
      </c>
      <c r="Z660" s="365" t="str">
        <f>IFERROR(X660*VLOOKUP(C660,'General price list'!C:I,7,FALSE),"")</f>
        <v/>
      </c>
      <c r="AA660" s="805" t="str">
        <f>IF(X660&lt;&gt;"",VLOOKUP(C660,'General price list'!C662:AN1635,MATCH("HM",Tabulka1[[#Headers],[KOD]:[NEQ]],0),FALSE),"")</f>
        <v/>
      </c>
    </row>
    <row r="661" spans="1:27">
      <c r="A661">
        <f>COUNTIF($W$22:W661,1)</f>
        <v>0</v>
      </c>
      <c r="B661">
        <v>661</v>
      </c>
      <c r="C661" s="340">
        <f>Tabulka1[[#This Row],[KOD]]</f>
        <v>0</v>
      </c>
      <c r="W661" s="804" t="str">
        <f t="shared" si="21"/>
        <v/>
      </c>
      <c r="X661" t="str">
        <f t="shared" si="22"/>
        <v/>
      </c>
      <c r="Y661" s="341">
        <f>IF('General price list'!$AB663="",0,'General price list'!$AB663)</f>
        <v>0</v>
      </c>
      <c r="Z661" s="365" t="str">
        <f>IFERROR(X661*VLOOKUP(C661,'General price list'!C:I,7,FALSE),"")</f>
        <v/>
      </c>
      <c r="AA661" s="805" t="str">
        <f>IF(X661&lt;&gt;"",VLOOKUP(C661,'General price list'!C663:AN1636,MATCH("HM",Tabulka1[[#Headers],[KOD]:[NEQ]],0),FALSE),"")</f>
        <v/>
      </c>
    </row>
    <row r="662" spans="1:27">
      <c r="A662">
        <f>COUNTIF($W$22:W662,1)</f>
        <v>0</v>
      </c>
      <c r="B662">
        <v>662</v>
      </c>
      <c r="C662" s="340" t="str">
        <f>Tabulka1[[#This Row],[KOD]]</f>
        <v>CF643M</v>
      </c>
      <c r="W662" s="804" t="str">
        <f t="shared" si="21"/>
        <v/>
      </c>
      <c r="X662" t="str">
        <f t="shared" si="22"/>
        <v/>
      </c>
      <c r="Y662" s="341">
        <f>IF('General price list'!$AB664="",0,'General price list'!$AB664)</f>
        <v>0</v>
      </c>
      <c r="Z662" s="365" t="str">
        <f>IFERROR(X662*VLOOKUP(C662,'General price list'!C:I,7,FALSE),"")</f>
        <v/>
      </c>
      <c r="AA662" s="805" t="str">
        <f>IF(X662&lt;&gt;"",VLOOKUP(C662,'General price list'!C664:AN1637,MATCH("HM",Tabulka1[[#Headers],[KOD]:[NEQ]],0),FALSE),"")</f>
        <v/>
      </c>
    </row>
    <row r="663" spans="1:27">
      <c r="A663">
        <f>COUNTIF($W$22:W663,1)</f>
        <v>0</v>
      </c>
      <c r="B663">
        <v>663</v>
      </c>
      <c r="C663" s="340" t="str">
        <f>Tabulka1[[#This Row],[KOD]]</f>
        <v>CF643T</v>
      </c>
      <c r="W663" s="804" t="str">
        <f t="shared" si="21"/>
        <v/>
      </c>
      <c r="X663" t="str">
        <f t="shared" si="22"/>
        <v/>
      </c>
      <c r="Y663" s="341">
        <f>IF('General price list'!$AB665="",0,'General price list'!$AB665)</f>
        <v>0</v>
      </c>
      <c r="Z663" s="365" t="str">
        <f>IFERROR(X663*VLOOKUP(C663,'General price list'!C:I,7,FALSE),"")</f>
        <v/>
      </c>
      <c r="AA663" s="805" t="str">
        <f>IF(X663&lt;&gt;"",VLOOKUP(C663,'General price list'!C665:AN1638,MATCH("HM",Tabulka1[[#Headers],[KOD]:[NEQ]],0),FALSE),"")</f>
        <v/>
      </c>
    </row>
    <row r="664" spans="1:27">
      <c r="A664">
        <f>COUNTIF($W$22:W664,1)</f>
        <v>0</v>
      </c>
      <c r="B664">
        <v>664</v>
      </c>
      <c r="C664" s="340">
        <f>Tabulka1[[#This Row],[KOD]]</f>
        <v>0</v>
      </c>
      <c r="W664" s="804" t="str">
        <f t="shared" si="21"/>
        <v/>
      </c>
      <c r="X664" t="str">
        <f t="shared" si="22"/>
        <v/>
      </c>
      <c r="Y664" s="341">
        <f>IF('General price list'!$AB666="",0,'General price list'!$AB666)</f>
        <v>0</v>
      </c>
      <c r="Z664" s="365" t="str">
        <f>IFERROR(X664*VLOOKUP(C664,'General price list'!C:I,7,FALSE),"")</f>
        <v/>
      </c>
      <c r="AA664" s="805" t="str">
        <f>IF(X664&lt;&gt;"",VLOOKUP(C664,'General price list'!C666:AN1639,MATCH("HM",Tabulka1[[#Headers],[KOD]:[NEQ]],0),FALSE),"")</f>
        <v/>
      </c>
    </row>
    <row r="665" spans="1:27">
      <c r="A665">
        <f>COUNTIF($W$22:W665,1)</f>
        <v>0</v>
      </c>
      <c r="B665">
        <v>665</v>
      </c>
      <c r="C665" s="340" t="str">
        <f>Tabulka1[[#This Row],[KOD]]</f>
        <v>C643XMO</v>
      </c>
      <c r="W665" s="804" t="str">
        <f t="shared" ref="W665:W728" si="23">IF(Y665+1=1,"",1)</f>
        <v/>
      </c>
      <c r="X665" t="str">
        <f t="shared" ref="X665:X728" si="24">IF(OR(A665&lt;$E$20,A665&gt;$E$21),"",IF(Y665=0,"",Y665))</f>
        <v/>
      </c>
      <c r="Y665" s="341">
        <f>IF('General price list'!$AB667="",0,'General price list'!$AB667)</f>
        <v>0</v>
      </c>
      <c r="Z665" s="365" t="str">
        <f>IFERROR(X665*VLOOKUP(C665,'General price list'!C:I,7,FALSE),"")</f>
        <v/>
      </c>
      <c r="AA665" s="805" t="str">
        <f>IF(X665&lt;&gt;"",VLOOKUP(C665,'General price list'!C667:AN1640,MATCH("HM",Tabulka1[[#Headers],[KOD]:[NEQ]],0),FALSE),"")</f>
        <v/>
      </c>
    </row>
    <row r="666" spans="1:27">
      <c r="A666">
        <f>COUNTIF($W$22:W666,1)</f>
        <v>0</v>
      </c>
      <c r="B666">
        <v>666</v>
      </c>
      <c r="C666" s="340" t="str">
        <f>Tabulka1[[#This Row],[KOD]]</f>
        <v>C643XMS</v>
      </c>
      <c r="W666" s="804" t="str">
        <f t="shared" si="23"/>
        <v/>
      </c>
      <c r="X666" t="str">
        <f t="shared" si="24"/>
        <v/>
      </c>
      <c r="Y666" s="341">
        <f>IF('General price list'!$AB668="",0,'General price list'!$AB668)</f>
        <v>0</v>
      </c>
      <c r="Z666" s="365" t="str">
        <f>IFERROR(X666*VLOOKUP(C666,'General price list'!C:I,7,FALSE),"")</f>
        <v/>
      </c>
      <c r="AA666" s="805" t="str">
        <f>IF(X666&lt;&gt;"",VLOOKUP(C666,'General price list'!C668:AN1641,MATCH("HM",Tabulka1[[#Headers],[KOD]:[NEQ]],0),FALSE),"")</f>
        <v/>
      </c>
    </row>
    <row r="667" spans="1:27">
      <c r="A667">
        <f>COUNTIF($W$22:W667,1)</f>
        <v>0</v>
      </c>
      <c r="B667">
        <v>667</v>
      </c>
      <c r="C667" s="340">
        <f>Tabulka1[[#This Row],[KOD]]</f>
        <v>0</v>
      </c>
      <c r="W667" s="804" t="str">
        <f t="shared" si="23"/>
        <v/>
      </c>
      <c r="X667" t="str">
        <f t="shared" si="24"/>
        <v/>
      </c>
      <c r="Y667" s="341">
        <f>IF('General price list'!$AB669="",0,'General price list'!$AB669)</f>
        <v>0</v>
      </c>
      <c r="Z667" s="365" t="str">
        <f>IFERROR(X667*VLOOKUP(C667,'General price list'!C:I,7,FALSE),"")</f>
        <v/>
      </c>
      <c r="AA667" s="805" t="str">
        <f>IF(X667&lt;&gt;"",VLOOKUP(C667,'General price list'!C669:AN1642,MATCH("HM",Tabulka1[[#Headers],[KOD]:[NEQ]],0),FALSE),"")</f>
        <v/>
      </c>
    </row>
    <row r="668" spans="1:27">
      <c r="A668">
        <f>COUNTIF($W$22:W668,1)</f>
        <v>0</v>
      </c>
      <c r="B668">
        <v>668</v>
      </c>
      <c r="C668" s="340" t="str">
        <f>Tabulka1[[#This Row],[KOD]]</f>
        <v>C503BW/C14</v>
      </c>
      <c r="W668" s="804" t="str">
        <f t="shared" si="23"/>
        <v/>
      </c>
      <c r="X668" t="str">
        <f t="shared" si="24"/>
        <v/>
      </c>
      <c r="Y668" s="341">
        <f>IF('General price list'!$AB670="",0,'General price list'!$AB670)</f>
        <v>0</v>
      </c>
      <c r="Z668" s="365" t="str">
        <f>IFERROR(X668*VLOOKUP(C668,'General price list'!C:I,7,FALSE),"")</f>
        <v/>
      </c>
      <c r="AA668" s="805" t="str">
        <f>IF(X668&lt;&gt;"",VLOOKUP(C668,'General price list'!C670:AN1643,MATCH("HM",Tabulka1[[#Headers],[KOD]:[NEQ]],0),FALSE),"")</f>
        <v/>
      </c>
    </row>
    <row r="669" spans="1:27">
      <c r="A669">
        <f>COUNTIF($W$22:W669,1)</f>
        <v>0</v>
      </c>
      <c r="B669">
        <v>669</v>
      </c>
      <c r="C669" s="340" t="str">
        <f>Tabulka1[[#This Row],[KOD]]</f>
        <v>C503TS/C14</v>
      </c>
      <c r="W669" s="804" t="str">
        <f t="shared" si="23"/>
        <v/>
      </c>
      <c r="X669" t="str">
        <f t="shared" si="24"/>
        <v/>
      </c>
      <c r="Y669" s="341">
        <f>IF('General price list'!$AB671="",0,'General price list'!$AB671)</f>
        <v>0</v>
      </c>
      <c r="Z669" s="365" t="str">
        <f>IFERROR(X669*VLOOKUP(C669,'General price list'!C:I,7,FALSE),"")</f>
        <v/>
      </c>
      <c r="AA669" s="805" t="str">
        <f>IF(X669&lt;&gt;"",VLOOKUP(C669,'General price list'!C671:AN1644,MATCH("HM",Tabulka1[[#Headers],[KOD]:[NEQ]],0),FALSE),"")</f>
        <v/>
      </c>
    </row>
    <row r="670" spans="1:27">
      <c r="A670">
        <f>COUNTIF($W$22:W670,1)</f>
        <v>0</v>
      </c>
      <c r="B670">
        <v>670</v>
      </c>
      <c r="C670" s="340" t="str">
        <f>Tabulka1[[#This Row],[KOD]]</f>
        <v>C503RO/C14</v>
      </c>
      <c r="W670" s="804" t="str">
        <f t="shared" si="23"/>
        <v/>
      </c>
      <c r="X670" t="str">
        <f t="shared" si="24"/>
        <v/>
      </c>
      <c r="Y670" s="341">
        <f>IF('General price list'!$AB672="",0,'General price list'!$AB672)</f>
        <v>0</v>
      </c>
      <c r="Z670" s="365" t="str">
        <f>IFERROR(X670*VLOOKUP(C670,'General price list'!C:I,7,FALSE),"")</f>
        <v/>
      </c>
      <c r="AA670" s="805" t="str">
        <f>IF(X670&lt;&gt;"",VLOOKUP(C670,'General price list'!C672:AN1645,MATCH("HM",Tabulka1[[#Headers],[KOD]:[NEQ]],0),FALSE),"")</f>
        <v/>
      </c>
    </row>
    <row r="671" spans="1:27">
      <c r="A671">
        <f>COUNTIF($W$22:W671,1)</f>
        <v>0</v>
      </c>
      <c r="B671">
        <v>671</v>
      </c>
      <c r="C671" s="340" t="str">
        <f>Tabulka1[[#This Row],[KOD]]</f>
        <v>C503F/C14</v>
      </c>
      <c r="W671" s="804" t="str">
        <f t="shared" si="23"/>
        <v/>
      </c>
      <c r="X671" t="str">
        <f t="shared" si="24"/>
        <v/>
      </c>
      <c r="Y671" s="341">
        <f>IF('General price list'!$AB673="",0,'General price list'!$AB673)</f>
        <v>0</v>
      </c>
      <c r="Z671" s="365" t="str">
        <f>IFERROR(X671*VLOOKUP(C671,'General price list'!C:I,7,FALSE),"")</f>
        <v/>
      </c>
      <c r="AA671" s="805" t="str">
        <f>IF(X671&lt;&gt;"",VLOOKUP(C671,'General price list'!C673:AN1646,MATCH("HM",Tabulka1[[#Headers],[KOD]:[NEQ]],0),FALSE),"")</f>
        <v/>
      </c>
    </row>
    <row r="672" spans="1:27">
      <c r="A672">
        <f>COUNTIF($W$22:W672,1)</f>
        <v>0</v>
      </c>
      <c r="B672">
        <v>672</v>
      </c>
      <c r="C672" s="340" t="str">
        <f>Tabulka1[[#This Row],[KOD]]</f>
        <v>C503SIG/C14</v>
      </c>
      <c r="W672" s="804" t="str">
        <f t="shared" si="23"/>
        <v/>
      </c>
      <c r="X672" t="str">
        <f t="shared" si="24"/>
        <v/>
      </c>
      <c r="Y672" s="341">
        <f>IF('General price list'!$AB674="",0,'General price list'!$AB674)</f>
        <v>0</v>
      </c>
      <c r="Z672" s="365" t="str">
        <f>IFERROR(X672*VLOOKUP(C672,'General price list'!C:I,7,FALSE),"")</f>
        <v/>
      </c>
      <c r="AA672" s="805" t="str">
        <f>IF(X672&lt;&gt;"",VLOOKUP(C672,'General price list'!C674:AN1647,MATCH("HM",Tabulka1[[#Headers],[KOD]:[NEQ]],0),FALSE),"")</f>
        <v/>
      </c>
    </row>
    <row r="673" spans="1:27">
      <c r="A673">
        <f>COUNTIF($W$22:W673,1)</f>
        <v>0</v>
      </c>
      <c r="B673">
        <v>673</v>
      </c>
      <c r="C673" s="340" t="str">
        <f>Tabulka1[[#This Row],[KOD]]</f>
        <v>C1003F/C14</v>
      </c>
      <c r="W673" s="804" t="str">
        <f t="shared" si="23"/>
        <v/>
      </c>
      <c r="X673" t="str">
        <f t="shared" si="24"/>
        <v/>
      </c>
      <c r="Y673" s="341">
        <f>IF('General price list'!$AB675="",0,'General price list'!$AB675)</f>
        <v>0</v>
      </c>
      <c r="Z673" s="365" t="str">
        <f>IFERROR(X673*VLOOKUP(C673,'General price list'!C:I,7,FALSE),"")</f>
        <v/>
      </c>
      <c r="AA673" s="805" t="str">
        <f>IF(X673&lt;&gt;"",VLOOKUP(C673,'General price list'!C675:AN1648,MATCH("HM",Tabulka1[[#Headers],[KOD]:[NEQ]],0),FALSE),"")</f>
        <v/>
      </c>
    </row>
    <row r="674" spans="1:27">
      <c r="A674">
        <f>COUNTIF($W$22:W674,1)</f>
        <v>0</v>
      </c>
      <c r="B674">
        <v>674</v>
      </c>
      <c r="C674" s="340" t="str">
        <f>Tabulka1[[#This Row],[KOD]]</f>
        <v>C1003VS/C14</v>
      </c>
      <c r="W674" s="804" t="str">
        <f t="shared" si="23"/>
        <v/>
      </c>
      <c r="X674" t="str">
        <f t="shared" si="24"/>
        <v/>
      </c>
      <c r="Y674" s="341">
        <f>IF('General price list'!$AB676="",0,'General price list'!$AB676)</f>
        <v>0</v>
      </c>
      <c r="Z674" s="365" t="str">
        <f>IFERROR(X674*VLOOKUP(C674,'General price list'!C:I,7,FALSE),"")</f>
        <v/>
      </c>
      <c r="AA674" s="805" t="str">
        <f>IF(X674&lt;&gt;"",VLOOKUP(C674,'General price list'!C676:AN1649,MATCH("HM",Tabulka1[[#Headers],[KOD]:[NEQ]],0),FALSE),"")</f>
        <v/>
      </c>
    </row>
    <row r="675" spans="1:27">
      <c r="A675">
        <f>COUNTIF($W$22:W675,1)</f>
        <v>0</v>
      </c>
      <c r="B675">
        <v>675</v>
      </c>
      <c r="C675" s="340" t="str">
        <f>Tabulka1[[#This Row],[KOD]]</f>
        <v>C1003CY/C</v>
      </c>
      <c r="W675" s="804" t="str">
        <f t="shared" si="23"/>
        <v/>
      </c>
      <c r="X675" t="str">
        <f t="shared" si="24"/>
        <v/>
      </c>
      <c r="Y675" s="341">
        <f>IF('General price list'!$AB677="",0,'General price list'!$AB677)</f>
        <v>0</v>
      </c>
      <c r="Z675" s="365" t="str">
        <f>IFERROR(X675*VLOOKUP(C675,'General price list'!C:I,7,FALSE),"")</f>
        <v/>
      </c>
      <c r="AA675" s="805" t="str">
        <f>IF(X675&lt;&gt;"",VLOOKUP(C675,'General price list'!C677:AN1650,MATCH("HM",Tabulka1[[#Headers],[KOD]:[NEQ]],0),FALSE),"")</f>
        <v/>
      </c>
    </row>
    <row r="676" spans="1:27">
      <c r="A676">
        <f>COUNTIF($W$22:W676,1)</f>
        <v>0</v>
      </c>
      <c r="B676">
        <v>676</v>
      </c>
      <c r="C676" s="340" t="str">
        <f>Tabulka1[[#This Row],[KOD]]</f>
        <v>C10030XF/C14</v>
      </c>
      <c r="W676" s="804" t="str">
        <f t="shared" si="23"/>
        <v/>
      </c>
      <c r="X676" t="str">
        <f t="shared" si="24"/>
        <v/>
      </c>
      <c r="Y676" s="341">
        <f>IF('General price list'!$AB678="",0,'General price list'!$AB678)</f>
        <v>0</v>
      </c>
      <c r="Z676" s="365" t="str">
        <f>IFERROR(X676*VLOOKUP(C676,'General price list'!C:I,7,FALSE),"")</f>
        <v/>
      </c>
      <c r="AA676" s="805" t="str">
        <f>IF(X676&lt;&gt;"",VLOOKUP(C676,'General price list'!C678:AN1651,MATCH("HM",Tabulka1[[#Headers],[KOD]:[NEQ]],0),FALSE),"")</f>
        <v/>
      </c>
    </row>
    <row r="677" spans="1:27">
      <c r="A677">
        <f>COUNTIF($W$22:W677,1)</f>
        <v>0</v>
      </c>
      <c r="B677">
        <v>677</v>
      </c>
      <c r="C677" s="340" t="str">
        <f>Tabulka1[[#This Row],[KOD]]</f>
        <v>C1163MB/C14</v>
      </c>
      <c r="W677" s="804" t="str">
        <f t="shared" si="23"/>
        <v/>
      </c>
      <c r="X677" t="str">
        <f t="shared" si="24"/>
        <v/>
      </c>
      <c r="Y677" s="341">
        <f>IF('General price list'!$AB679="",0,'General price list'!$AB679)</f>
        <v>0</v>
      </c>
      <c r="Z677" s="365" t="str">
        <f>IFERROR(X677*VLOOKUP(C677,'General price list'!C:I,7,FALSE),"")</f>
        <v/>
      </c>
      <c r="AA677" s="805" t="str">
        <f>IF(X677&lt;&gt;"",VLOOKUP(C677,'General price list'!C679:AN1652,MATCH("HM",Tabulka1[[#Headers],[KOD]:[NEQ]],0),FALSE),"")</f>
        <v/>
      </c>
    </row>
    <row r="678" spans="1:27">
      <c r="A678">
        <f>COUNTIF($W$22:W678,1)</f>
        <v>0</v>
      </c>
      <c r="B678">
        <v>678</v>
      </c>
      <c r="C678" s="340" t="str">
        <f>Tabulka1[[#This Row],[KOD]]</f>
        <v>C12230XPT/C14</v>
      </c>
      <c r="W678" s="804" t="str">
        <f t="shared" si="23"/>
        <v/>
      </c>
      <c r="X678" t="str">
        <f t="shared" si="24"/>
        <v/>
      </c>
      <c r="Y678" s="341">
        <f>IF('General price list'!$AB680="",0,'General price list'!$AB680)</f>
        <v>0</v>
      </c>
      <c r="Z678" s="365" t="str">
        <f>IFERROR(X678*VLOOKUP(C678,'General price list'!C:I,7,FALSE),"")</f>
        <v/>
      </c>
      <c r="AA678" s="805" t="str">
        <f>IF(X678&lt;&gt;"",VLOOKUP(C678,'General price list'!C680:AN1653,MATCH("HM",Tabulka1[[#Headers],[KOD]:[NEQ]],0),FALSE),"")</f>
        <v/>
      </c>
    </row>
    <row r="679" spans="1:27">
      <c r="A679">
        <f>COUNTIF($W$22:W679,1)</f>
        <v>0</v>
      </c>
      <c r="B679">
        <v>679</v>
      </c>
      <c r="C679" s="340">
        <f>Tabulka1[[#This Row],[KOD]]</f>
        <v>0</v>
      </c>
      <c r="W679" s="804" t="str">
        <f t="shared" si="23"/>
        <v/>
      </c>
      <c r="X679" t="str">
        <f t="shared" si="24"/>
        <v/>
      </c>
      <c r="Y679" s="341">
        <f>IF('General price list'!$AB681="",0,'General price list'!$AB681)</f>
        <v>0</v>
      </c>
      <c r="Z679" s="365" t="str">
        <f>IFERROR(X679*VLOOKUP(C679,'General price list'!C:I,7,FALSE),"")</f>
        <v/>
      </c>
      <c r="AA679" s="805" t="str">
        <f>IF(X679&lt;&gt;"",VLOOKUP(C679,'General price list'!C681:AN1654,MATCH("HM",Tabulka1[[#Headers],[KOD]:[NEQ]],0),FALSE),"")</f>
        <v/>
      </c>
    </row>
    <row r="680" spans="1:27">
      <c r="A680">
        <f>COUNTIF($W$22:W680,1)</f>
        <v>0</v>
      </c>
      <c r="B680">
        <v>680</v>
      </c>
      <c r="C680" s="340" t="str">
        <f>Tabulka1[[#This Row],[KOD]]</f>
        <v>C1-C2 C1503X/C14</v>
      </c>
      <c r="W680" s="804" t="str">
        <f t="shared" si="23"/>
        <v/>
      </c>
      <c r="X680" t="str">
        <f t="shared" si="24"/>
        <v/>
      </c>
      <c r="Y680" s="341">
        <f>IF('General price list'!$AB682="",0,'General price list'!$AB682)</f>
        <v>0</v>
      </c>
      <c r="Z680" s="365" t="str">
        <f>IFERROR(X680*VLOOKUP(C680,'General price list'!C:I,7,FALSE),"")</f>
        <v/>
      </c>
      <c r="AA680" s="805" t="str">
        <f>IF(X680&lt;&gt;"",VLOOKUP(C680,'General price list'!C682:AN1655,MATCH("HM",Tabulka1[[#Headers],[KOD]:[NEQ]],0),FALSE),"")</f>
        <v/>
      </c>
    </row>
    <row r="681" spans="1:27">
      <c r="A681">
        <f>COUNTIF($W$22:W681,1)</f>
        <v>0</v>
      </c>
      <c r="B681">
        <v>681</v>
      </c>
      <c r="C681" s="340" t="str">
        <f>Tabulka1[[#This Row],[KOD]]</f>
        <v>C1-C2 C2003U/C14</v>
      </c>
      <c r="W681" s="804" t="str">
        <f t="shared" si="23"/>
        <v/>
      </c>
      <c r="X681" t="str">
        <f t="shared" si="24"/>
        <v/>
      </c>
      <c r="Y681" s="341">
        <f>IF('General price list'!$AB683="",0,'General price list'!$AB683)</f>
        <v>0</v>
      </c>
      <c r="Z681" s="365" t="str">
        <f>IFERROR(X681*VLOOKUP(C681,'General price list'!C:I,7,FALSE),"")</f>
        <v/>
      </c>
      <c r="AA681" s="805" t="str">
        <f>IF(X681&lt;&gt;"",VLOOKUP(C681,'General price list'!C683:AN1656,MATCH("HM",Tabulka1[[#Headers],[KOD]:[NEQ]],0),FALSE),"")</f>
        <v/>
      </c>
    </row>
    <row r="682" spans="1:27">
      <c r="A682">
        <f>COUNTIF($W$22:W682,1)</f>
        <v>0</v>
      </c>
      <c r="B682">
        <v>682</v>
      </c>
      <c r="C682" s="340">
        <f>Tabulka1[[#This Row],[KOD]]</f>
        <v>0</v>
      </c>
      <c r="W682" s="804" t="str">
        <f t="shared" si="23"/>
        <v/>
      </c>
      <c r="X682" t="str">
        <f t="shared" si="24"/>
        <v/>
      </c>
      <c r="Y682" s="341">
        <f>IF('General price list'!$AB684="",0,'General price list'!$AB684)</f>
        <v>0</v>
      </c>
      <c r="Z682" s="365" t="str">
        <f>IFERROR(X682*VLOOKUP(C682,'General price list'!C:I,7,FALSE),"")</f>
        <v/>
      </c>
      <c r="AA682" s="805" t="str">
        <f>IF(X682&lt;&gt;"",VLOOKUP(C682,'General price list'!C684:AN1657,MATCH("HM",Tabulka1[[#Headers],[KOD]:[NEQ]],0),FALSE),"")</f>
        <v/>
      </c>
    </row>
    <row r="683" spans="1:27">
      <c r="A683">
        <f>COUNTIF($W$22:W683,1)</f>
        <v>0</v>
      </c>
      <c r="B683">
        <v>683</v>
      </c>
      <c r="C683" s="340" t="str">
        <f>Tabulka1[[#This Row],[KOD]]</f>
        <v>C1003BP/C</v>
      </c>
      <c r="W683" s="804" t="str">
        <f t="shared" si="23"/>
        <v/>
      </c>
      <c r="X683" t="str">
        <f t="shared" si="24"/>
        <v/>
      </c>
      <c r="Y683" s="341">
        <f>IF('General price list'!$AB685="",0,'General price list'!$AB685)</f>
        <v>0</v>
      </c>
      <c r="Z683" s="365" t="str">
        <f>IFERROR(X683*VLOOKUP(C683,'General price list'!C:I,7,FALSE),"")</f>
        <v/>
      </c>
      <c r="AA683" s="805" t="str">
        <f>IF(X683&lt;&gt;"",VLOOKUP(C683,'General price list'!C685:AN1658,MATCH("HM",Tabulka1[[#Headers],[KOD]:[NEQ]],0),FALSE),"")</f>
        <v/>
      </c>
    </row>
    <row r="684" spans="1:27">
      <c r="A684">
        <f>COUNTIF($W$22:W684,1)</f>
        <v>0</v>
      </c>
      <c r="B684">
        <v>684</v>
      </c>
      <c r="C684" s="340" t="str">
        <f>Tabulka1[[#This Row],[KOD]]</f>
        <v>C1003BPS/C</v>
      </c>
      <c r="W684" s="804" t="str">
        <f t="shared" si="23"/>
        <v/>
      </c>
      <c r="X684" t="str">
        <f t="shared" si="24"/>
        <v/>
      </c>
      <c r="Y684" s="341">
        <f>IF('General price list'!$AB686="",0,'General price list'!$AB686)</f>
        <v>0</v>
      </c>
      <c r="Z684" s="365" t="str">
        <f>IFERROR(X684*VLOOKUP(C684,'General price list'!C:I,7,FALSE),"")</f>
        <v/>
      </c>
      <c r="AA684" s="805" t="str">
        <f>IF(X684&lt;&gt;"",VLOOKUP(C684,'General price list'!C686:AN1659,MATCH("HM",Tabulka1[[#Headers],[KOD]:[NEQ]],0),FALSE),"")</f>
        <v/>
      </c>
    </row>
    <row r="685" spans="1:27">
      <c r="A685">
        <f>COUNTIF($W$22:W685,1)</f>
        <v>0</v>
      </c>
      <c r="B685">
        <v>685</v>
      </c>
      <c r="C685" s="340" t="str">
        <f>Tabulka1[[#This Row],[KOD]]</f>
        <v>C1003BB/C</v>
      </c>
      <c r="W685" s="804" t="str">
        <f t="shared" si="23"/>
        <v/>
      </c>
      <c r="X685" t="str">
        <f t="shared" si="24"/>
        <v/>
      </c>
      <c r="Y685" s="341">
        <f>IF('General price list'!$AB687="",0,'General price list'!$AB687)</f>
        <v>0</v>
      </c>
      <c r="Z685" s="365" t="str">
        <f>IFERROR(X685*VLOOKUP(C685,'General price list'!C:I,7,FALSE),"")</f>
        <v/>
      </c>
      <c r="AA685" s="805" t="str">
        <f>IF(X685&lt;&gt;"",VLOOKUP(C685,'General price list'!C687:AN1660,MATCH("HM",Tabulka1[[#Headers],[KOD]:[NEQ]],0),FALSE),"")</f>
        <v/>
      </c>
    </row>
    <row r="686" spans="1:27">
      <c r="A686">
        <f>COUNTIF($W$22:W686,1)</f>
        <v>0</v>
      </c>
      <c r="B686">
        <v>686</v>
      </c>
      <c r="C686" s="340" t="str">
        <f>Tabulka1[[#This Row],[KOD]]</f>
        <v>C1003F/C</v>
      </c>
      <c r="W686" s="804" t="str">
        <f t="shared" si="23"/>
        <v/>
      </c>
      <c r="X686" t="str">
        <f t="shared" si="24"/>
        <v/>
      </c>
      <c r="Y686" s="341">
        <f>IF('General price list'!$AB688="",0,'General price list'!$AB688)</f>
        <v>0</v>
      </c>
      <c r="Z686" s="365" t="str">
        <f>IFERROR(X686*VLOOKUP(C686,'General price list'!C:I,7,FALSE),"")</f>
        <v/>
      </c>
      <c r="AA686" s="805" t="str">
        <f>IF(X686&lt;&gt;"",VLOOKUP(C686,'General price list'!C688:AN1661,MATCH("HM",Tabulka1[[#Headers],[KOD]:[NEQ]],0),FALSE),"")</f>
        <v/>
      </c>
    </row>
    <row r="687" spans="1:27">
      <c r="A687">
        <f>COUNTIF($W$22:W687,1)</f>
        <v>0</v>
      </c>
      <c r="B687">
        <v>687</v>
      </c>
      <c r="C687" s="340" t="str">
        <f>Tabulka1[[#This Row],[KOD]]</f>
        <v>C1003SIG/C</v>
      </c>
      <c r="W687" s="804" t="str">
        <f t="shared" si="23"/>
        <v/>
      </c>
      <c r="X687" t="str">
        <f t="shared" si="24"/>
        <v/>
      </c>
      <c r="Y687" s="341">
        <f>IF('General price list'!$AB689="",0,'General price list'!$AB689)</f>
        <v>0</v>
      </c>
      <c r="Z687" s="365" t="str">
        <f>IFERROR(X687*VLOOKUP(C687,'General price list'!C:I,7,FALSE),"")</f>
        <v/>
      </c>
      <c r="AA687" s="805" t="str">
        <f>IF(X687&lt;&gt;"",VLOOKUP(C687,'General price list'!C689:AN1662,MATCH("HM",Tabulka1[[#Headers],[KOD]:[NEQ]],0),FALSE),"")</f>
        <v/>
      </c>
    </row>
    <row r="688" spans="1:27">
      <c r="A688">
        <f>COUNTIF($W$22:W688,1)</f>
        <v>0</v>
      </c>
      <c r="B688">
        <v>688</v>
      </c>
      <c r="C688" s="340" t="str">
        <f>Tabulka1[[#This Row],[KOD]]</f>
        <v>C1003VS/C</v>
      </c>
      <c r="W688" s="804" t="str">
        <f t="shared" si="23"/>
        <v/>
      </c>
      <c r="X688" t="str">
        <f t="shared" si="24"/>
        <v/>
      </c>
      <c r="Y688" s="341">
        <f>IF('General price list'!$AB690="",0,'General price list'!$AB690)</f>
        <v>0</v>
      </c>
      <c r="Z688" s="365" t="str">
        <f>IFERROR(X688*VLOOKUP(C688,'General price list'!C:I,7,FALSE),"")</f>
        <v/>
      </c>
      <c r="AA688" s="805" t="str">
        <f>IF(X688&lt;&gt;"",VLOOKUP(C688,'General price list'!C690:AN1663,MATCH("HM",Tabulka1[[#Headers],[KOD]:[NEQ]],0),FALSE),"")</f>
        <v/>
      </c>
    </row>
    <row r="689" spans="1:27">
      <c r="A689">
        <f>COUNTIF($W$22:W689,1)</f>
        <v>0</v>
      </c>
      <c r="B689">
        <v>689</v>
      </c>
      <c r="C689" s="340" t="str">
        <f>Tabulka1[[#This Row],[KOD]]</f>
        <v>C128XMPT/C</v>
      </c>
      <c r="W689" s="804" t="str">
        <f t="shared" si="23"/>
        <v/>
      </c>
      <c r="X689" t="str">
        <f t="shared" si="24"/>
        <v/>
      </c>
      <c r="Y689" s="341">
        <f>IF('General price list'!$AB691="",0,'General price list'!$AB691)</f>
        <v>0</v>
      </c>
      <c r="Z689" s="365" t="str">
        <f>IFERROR(X689*VLOOKUP(C689,'General price list'!C:I,7,FALSE),"")</f>
        <v/>
      </c>
      <c r="AA689" s="805" t="str">
        <f>IF(X689&lt;&gt;"",VLOOKUP(C689,'General price list'!C691:AN1664,MATCH("HM",Tabulka1[[#Headers],[KOD]:[NEQ]],0),FALSE),"")</f>
        <v/>
      </c>
    </row>
    <row r="690" spans="1:27">
      <c r="A690">
        <f>COUNTIF($W$22:W690,1)</f>
        <v>0</v>
      </c>
      <c r="B690">
        <v>690</v>
      </c>
      <c r="C690" s="340" t="str">
        <f>Tabulka1[[#This Row],[KOD]]</f>
        <v>C128XMB/C</v>
      </c>
      <c r="W690" s="804" t="str">
        <f t="shared" si="23"/>
        <v/>
      </c>
      <c r="X690" t="str">
        <f t="shared" si="24"/>
        <v/>
      </c>
      <c r="Y690" s="341">
        <f>IF('General price list'!$AB692="",0,'General price list'!$AB692)</f>
        <v>0</v>
      </c>
      <c r="Z690" s="365" t="str">
        <f>IFERROR(X690*VLOOKUP(C690,'General price list'!C:I,7,FALSE),"")</f>
        <v/>
      </c>
      <c r="AA690" s="805" t="str">
        <f>IF(X690&lt;&gt;"",VLOOKUP(C690,'General price list'!C692:AN1665,MATCH("HM",Tabulka1[[#Headers],[KOD]:[NEQ]],0),FALSE),"")</f>
        <v/>
      </c>
    </row>
    <row r="691" spans="1:27">
      <c r="A691">
        <f>COUNTIF($W$22:W691,1)</f>
        <v>0</v>
      </c>
      <c r="B691">
        <v>691</v>
      </c>
      <c r="C691" s="340" t="str">
        <f>Tabulka1[[#This Row],[KOD]]</f>
        <v>C1503X/C</v>
      </c>
      <c r="W691" s="804" t="str">
        <f t="shared" si="23"/>
        <v/>
      </c>
      <c r="X691" t="str">
        <f t="shared" si="24"/>
        <v/>
      </c>
      <c r="Y691" s="341">
        <f>IF('General price list'!$AB693="",0,'General price list'!$AB693)</f>
        <v>0</v>
      </c>
      <c r="Z691" s="365" t="str">
        <f>IFERROR(X691*VLOOKUP(C691,'General price list'!C:I,7,FALSE),"")</f>
        <v/>
      </c>
      <c r="AA691" s="805" t="str">
        <f>IF(X691&lt;&gt;"",VLOOKUP(C691,'General price list'!C693:AN1666,MATCH("HM",Tabulka1[[#Headers],[KOD]:[NEQ]],0),FALSE),"")</f>
        <v/>
      </c>
    </row>
    <row r="692" spans="1:27">
      <c r="A692">
        <f>COUNTIF($W$22:W692,1)</f>
        <v>0</v>
      </c>
      <c r="B692">
        <v>692</v>
      </c>
      <c r="C692" s="340" t="str">
        <f>Tabulka1[[#This Row],[KOD]]</f>
        <v>C1503BPF/C</v>
      </c>
      <c r="W692" s="804" t="str">
        <f t="shared" si="23"/>
        <v/>
      </c>
      <c r="X692" t="str">
        <f t="shared" si="24"/>
        <v/>
      </c>
      <c r="Y692" s="341">
        <f>IF('General price list'!$AB694="",0,'General price list'!$AB694)</f>
        <v>0</v>
      </c>
      <c r="Z692" s="365" t="str">
        <f>IFERROR(X692*VLOOKUP(C692,'General price list'!C:I,7,FALSE),"")</f>
        <v/>
      </c>
      <c r="AA692" s="805" t="str">
        <f>IF(X692&lt;&gt;"",VLOOKUP(C692,'General price list'!C694:AN1667,MATCH("HM",Tabulka1[[#Headers],[KOD]:[NEQ]],0),FALSE),"")</f>
        <v/>
      </c>
    </row>
    <row r="693" spans="1:27">
      <c r="A693">
        <f>COUNTIF($W$22:W693,1)</f>
        <v>0</v>
      </c>
      <c r="B693">
        <v>693</v>
      </c>
      <c r="C693" s="340" t="str">
        <f>Tabulka1[[#This Row],[KOD]]</f>
        <v>C1923XMF/C</v>
      </c>
      <c r="W693" s="804" t="str">
        <f t="shared" si="23"/>
        <v/>
      </c>
      <c r="X693" t="str">
        <f t="shared" si="24"/>
        <v/>
      </c>
      <c r="Y693" s="341">
        <f>IF('General price list'!$AB695="",0,'General price list'!$AB695)</f>
        <v>0</v>
      </c>
      <c r="Z693" s="365" t="str">
        <f>IFERROR(X693*VLOOKUP(C693,'General price list'!C:I,7,FALSE),"")</f>
        <v/>
      </c>
      <c r="AA693" s="805" t="str">
        <f>IF(X693&lt;&gt;"",VLOOKUP(C693,'General price list'!C695:AN1668,MATCH("HM",Tabulka1[[#Headers],[KOD]:[NEQ]],0),FALSE),"")</f>
        <v/>
      </c>
    </row>
    <row r="694" spans="1:27">
      <c r="A694">
        <f>COUNTIF($W$22:W694,1)</f>
        <v>0</v>
      </c>
      <c r="B694">
        <v>694</v>
      </c>
      <c r="C694" s="340" t="str">
        <f>Tabulka1[[#This Row],[KOD]]</f>
        <v>C2003BP/C</v>
      </c>
      <c r="W694" s="804" t="str">
        <f t="shared" si="23"/>
        <v/>
      </c>
      <c r="X694" t="str">
        <f t="shared" si="24"/>
        <v/>
      </c>
      <c r="Y694" s="341">
        <f>IF('General price list'!$AB696="",0,'General price list'!$AB696)</f>
        <v>0</v>
      </c>
      <c r="Z694" s="365" t="str">
        <f>IFERROR(X694*VLOOKUP(C694,'General price list'!C:I,7,FALSE),"")</f>
        <v/>
      </c>
      <c r="AA694" s="805" t="str">
        <f>IF(X694&lt;&gt;"",VLOOKUP(C694,'General price list'!C696:AN1669,MATCH("HM",Tabulka1[[#Headers],[KOD]:[NEQ]],0),FALSE),"")</f>
        <v/>
      </c>
    </row>
    <row r="695" spans="1:27">
      <c r="A695">
        <f>COUNTIF($W$22:W695,1)</f>
        <v>0</v>
      </c>
      <c r="B695">
        <v>695</v>
      </c>
      <c r="C695" s="340" t="str">
        <f>Tabulka1[[#This Row],[KOD]]</f>
        <v>C2003U/C</v>
      </c>
      <c r="W695" s="804" t="str">
        <f t="shared" si="23"/>
        <v/>
      </c>
      <c r="X695" t="str">
        <f t="shared" si="24"/>
        <v/>
      </c>
      <c r="Y695" s="341">
        <f>IF('General price list'!$AB697="",0,'General price list'!$AB697)</f>
        <v>0</v>
      </c>
      <c r="Z695" s="365" t="str">
        <f>IFERROR(X695*VLOOKUP(C695,'General price list'!C:I,7,FALSE),"")</f>
        <v/>
      </c>
      <c r="AA695" s="805" t="str">
        <f>IF(X695&lt;&gt;"",VLOOKUP(C695,'General price list'!C697:AN1670,MATCH("HM",Tabulka1[[#Headers],[KOD]:[NEQ]],0),FALSE),"")</f>
        <v/>
      </c>
    </row>
    <row r="696" spans="1:27">
      <c r="A696">
        <f>COUNTIF($W$22:W696,1)</f>
        <v>0</v>
      </c>
      <c r="B696">
        <v>696</v>
      </c>
      <c r="C696" s="340" t="str">
        <f>Tabulka1[[#This Row],[KOD]]</f>
        <v>C2003F/C</v>
      </c>
      <c r="W696" s="804" t="str">
        <f t="shared" si="23"/>
        <v/>
      </c>
      <c r="X696" t="str">
        <f t="shared" si="24"/>
        <v/>
      </c>
      <c r="Y696" s="341">
        <f>IF('General price list'!$AB698="",0,'General price list'!$AB698)</f>
        <v>0</v>
      </c>
      <c r="Z696" s="365" t="str">
        <f>IFERROR(X696*VLOOKUP(C696,'General price list'!C:I,7,FALSE),"")</f>
        <v/>
      </c>
      <c r="AA696" s="805" t="str">
        <f>IF(X696&lt;&gt;"",VLOOKUP(C696,'General price list'!C698:AN1671,MATCH("HM",Tabulka1[[#Headers],[KOD]:[NEQ]],0),FALSE),"")</f>
        <v/>
      </c>
    </row>
    <row r="697" spans="1:27">
      <c r="A697">
        <f>COUNTIF($W$22:W697,1)</f>
        <v>0</v>
      </c>
      <c r="B697">
        <v>697</v>
      </c>
      <c r="C697" s="340" t="str">
        <f>Tabulka1[[#This Row],[KOD]]</f>
        <v>C2003SIG/C</v>
      </c>
      <c r="W697" s="804" t="str">
        <f t="shared" si="23"/>
        <v/>
      </c>
      <c r="X697" t="str">
        <f t="shared" si="24"/>
        <v/>
      </c>
      <c r="Y697" s="341">
        <f>IF('General price list'!$AB699="",0,'General price list'!$AB699)</f>
        <v>0</v>
      </c>
      <c r="Z697" s="365" t="str">
        <f>IFERROR(X697*VLOOKUP(C697,'General price list'!C:I,7,FALSE),"")</f>
        <v/>
      </c>
      <c r="AA697" s="805" t="str">
        <f>IF(X697&lt;&gt;"",VLOOKUP(C697,'General price list'!C699:AN1672,MATCH("HM",Tabulka1[[#Headers],[KOD]:[NEQ]],0),FALSE),"")</f>
        <v/>
      </c>
    </row>
    <row r="698" spans="1:27">
      <c r="A698">
        <f>COUNTIF($W$22:W698,1)</f>
        <v>0</v>
      </c>
      <c r="B698">
        <v>698</v>
      </c>
      <c r="C698" s="340" t="str">
        <f>Tabulka1[[#This Row],[KOD]]</f>
        <v>C2563XMF/C</v>
      </c>
      <c r="W698" s="804" t="str">
        <f t="shared" si="23"/>
        <v/>
      </c>
      <c r="X698" t="str">
        <f t="shared" si="24"/>
        <v/>
      </c>
      <c r="Y698" s="341">
        <f>IF('General price list'!$AB700="",0,'General price list'!$AB700)</f>
        <v>0</v>
      </c>
      <c r="Z698" s="365" t="str">
        <f>IFERROR(X698*VLOOKUP(C698,'General price list'!C:I,7,FALSE),"")</f>
        <v/>
      </c>
      <c r="AA698" s="805" t="str">
        <f>IF(X698&lt;&gt;"",VLOOKUP(C698,'General price list'!C700:AN1673,MATCH("HM",Tabulka1[[#Headers],[KOD]:[NEQ]],0),FALSE),"")</f>
        <v/>
      </c>
    </row>
    <row r="699" spans="1:27">
      <c r="A699">
        <f>COUNTIF($W$22:W699,1)</f>
        <v>0</v>
      </c>
      <c r="B699">
        <v>699</v>
      </c>
      <c r="C699" s="340">
        <f>Tabulka1[[#This Row],[KOD]]</f>
        <v>0</v>
      </c>
      <c r="W699" s="804" t="str">
        <f t="shared" si="23"/>
        <v/>
      </c>
      <c r="X699" t="str">
        <f t="shared" si="24"/>
        <v/>
      </c>
      <c r="Y699" s="341">
        <f>IF('General price list'!$AB701="",0,'General price list'!$AB701)</f>
        <v>0</v>
      </c>
      <c r="Z699" s="365" t="str">
        <f>IFERROR(X699*VLOOKUP(C699,'General price list'!C:I,7,FALSE),"")</f>
        <v/>
      </c>
      <c r="AA699" s="805" t="str">
        <f>IF(X699&lt;&gt;"",VLOOKUP(C699,'General price list'!C701:AN1674,MATCH("HM",Tabulka1[[#Headers],[KOD]:[NEQ]],0),FALSE),"")</f>
        <v/>
      </c>
    </row>
    <row r="700" spans="1:27">
      <c r="A700">
        <f>COUNTIF($W$22:W700,1)</f>
        <v>0</v>
      </c>
      <c r="B700">
        <v>700</v>
      </c>
      <c r="C700" s="340" t="str">
        <f>Tabulka1[[#This Row],[KOD]]</f>
        <v>C165DU14</v>
      </c>
      <c r="W700" s="804" t="str">
        <f t="shared" si="23"/>
        <v/>
      </c>
      <c r="X700" t="str">
        <f t="shared" si="24"/>
        <v/>
      </c>
      <c r="Y700" s="341">
        <f>IF('General price list'!$AB702="",0,'General price list'!$AB702)</f>
        <v>0</v>
      </c>
      <c r="Z700" s="365" t="str">
        <f>IFERROR(X700*VLOOKUP(C700,'General price list'!C:I,7,FALSE),"")</f>
        <v/>
      </c>
      <c r="AA700" s="805" t="str">
        <f>IF(X700&lt;&gt;"",VLOOKUP(C700,'General price list'!C702:AN1675,MATCH("HM",Tabulka1[[#Headers],[KOD]:[NEQ]],0),FALSE),"")</f>
        <v/>
      </c>
    </row>
    <row r="701" spans="1:27">
      <c r="A701">
        <f>COUNTIF($W$22:W701,1)</f>
        <v>0</v>
      </c>
      <c r="B701">
        <v>701</v>
      </c>
      <c r="C701" s="340" t="str">
        <f>Tabulka1[[#This Row],[KOD]]</f>
        <v>C165NO14</v>
      </c>
      <c r="W701" s="804" t="str">
        <f t="shared" si="23"/>
        <v/>
      </c>
      <c r="X701" t="str">
        <f t="shared" si="24"/>
        <v/>
      </c>
      <c r="Y701" s="341">
        <f>IF('General price list'!$AB703="",0,'General price list'!$AB703)</f>
        <v>0</v>
      </c>
      <c r="Z701" s="365" t="str">
        <f>IFERROR(X701*VLOOKUP(C701,'General price list'!C:I,7,FALSE),"")</f>
        <v/>
      </c>
      <c r="AA701" s="805" t="str">
        <f>IF(X701&lt;&gt;"",VLOOKUP(C701,'General price list'!C703:AN1676,MATCH("HM",Tabulka1[[#Headers],[KOD]:[NEQ]],0),FALSE),"")</f>
        <v/>
      </c>
    </row>
    <row r="702" spans="1:27">
      <c r="A702">
        <f>COUNTIF($W$22:W702,1)</f>
        <v>0</v>
      </c>
      <c r="B702">
        <v>702</v>
      </c>
      <c r="C702" s="340">
        <f>Tabulka1[[#This Row],[KOD]]</f>
        <v>0</v>
      </c>
      <c r="W702" s="804" t="str">
        <f t="shared" si="23"/>
        <v/>
      </c>
      <c r="X702" t="str">
        <f t="shared" si="24"/>
        <v/>
      </c>
      <c r="Y702" s="341">
        <f>IF('General price list'!$AB704="",0,'General price list'!$AB704)</f>
        <v>0</v>
      </c>
      <c r="Z702" s="365" t="str">
        <f>IFERROR(X702*VLOOKUP(C702,'General price list'!C:I,7,FALSE),"")</f>
        <v/>
      </c>
      <c r="AA702" s="805" t="str">
        <f>IF(X702&lt;&gt;"",VLOOKUP(C702,'General price list'!C704:AN1677,MATCH("HM",Tabulka1[[#Headers],[KOD]:[NEQ]],0),FALSE),"")</f>
        <v/>
      </c>
    </row>
    <row r="703" spans="1:27">
      <c r="A703">
        <f>COUNTIF($W$22:W703,1)</f>
        <v>0</v>
      </c>
      <c r="B703">
        <v>703</v>
      </c>
      <c r="C703" s="340" t="str">
        <f>Tabulka1[[#This Row],[KOD]]</f>
        <v>C165JA</v>
      </c>
      <c r="W703" s="804" t="str">
        <f t="shared" si="23"/>
        <v/>
      </c>
      <c r="X703" t="str">
        <f t="shared" si="24"/>
        <v/>
      </c>
      <c r="Y703" s="341">
        <f>IF('General price list'!$AB705="",0,'General price list'!$AB705)</f>
        <v>0</v>
      </c>
      <c r="Z703" s="365" t="str">
        <f>IFERROR(X703*VLOOKUP(C703,'General price list'!C:I,7,FALSE),"")</f>
        <v/>
      </c>
      <c r="AA703" s="805" t="str">
        <f>IF(X703&lt;&gt;"",VLOOKUP(C703,'General price list'!C705:AN1678,MATCH("HM",Tabulka1[[#Headers],[KOD]:[NEQ]],0),FALSE),"")</f>
        <v/>
      </c>
    </row>
    <row r="704" spans="1:27">
      <c r="A704">
        <f>COUNTIF($W$22:W704,1)</f>
        <v>0</v>
      </c>
      <c r="B704">
        <v>704</v>
      </c>
      <c r="C704" s="340" t="str">
        <f>Tabulka1[[#This Row],[KOD]]</f>
        <v>C165P</v>
      </c>
      <c r="W704" s="804" t="str">
        <f t="shared" si="23"/>
        <v/>
      </c>
      <c r="X704" t="str">
        <f t="shared" si="24"/>
        <v/>
      </c>
      <c r="Y704" s="341">
        <f>IF('General price list'!$AB706="",0,'General price list'!$AB706)</f>
        <v>0</v>
      </c>
      <c r="Z704" s="365" t="str">
        <f>IFERROR(X704*VLOOKUP(C704,'General price list'!C:I,7,FALSE),"")</f>
        <v/>
      </c>
      <c r="AA704" s="805" t="str">
        <f>IF(X704&lt;&gt;"",VLOOKUP(C704,'General price list'!C706:AN1679,MATCH("HM",Tabulka1[[#Headers],[KOD]:[NEQ]],0),FALSE),"")</f>
        <v/>
      </c>
    </row>
    <row r="705" spans="1:27">
      <c r="A705">
        <f>COUNTIF($W$22:W705,1)</f>
        <v>0</v>
      </c>
      <c r="B705">
        <v>705</v>
      </c>
      <c r="C705" s="340">
        <f>Tabulka1[[#This Row],[KOD]]</f>
        <v>0</v>
      </c>
      <c r="W705" s="804" t="str">
        <f t="shared" si="23"/>
        <v/>
      </c>
      <c r="X705" t="str">
        <f t="shared" si="24"/>
        <v/>
      </c>
      <c r="Y705" s="341">
        <f>IF('General price list'!$AB707="",0,'General price list'!$AB707)</f>
        <v>0</v>
      </c>
      <c r="Z705" s="365" t="str">
        <f>IFERROR(X705*VLOOKUP(C705,'General price list'!C:I,7,FALSE),"")</f>
        <v/>
      </c>
      <c r="AA705" s="805" t="str">
        <f>IF(X705&lt;&gt;"",VLOOKUP(C705,'General price list'!C707:AN1680,MATCH("HM",Tabulka1[[#Headers],[KOD]:[NEQ]],0),FALSE),"")</f>
        <v/>
      </c>
    </row>
    <row r="706" spans="1:27">
      <c r="A706">
        <f>COUNTIF($W$22:W706,1)</f>
        <v>0</v>
      </c>
      <c r="B706">
        <v>706</v>
      </c>
      <c r="C706" s="340" t="str">
        <f>Tabulka1[[#This Row],[KOD]]</f>
        <v>C2545NO</v>
      </c>
      <c r="W706" s="804" t="str">
        <f t="shared" si="23"/>
        <v/>
      </c>
      <c r="X706" t="str">
        <f t="shared" si="24"/>
        <v/>
      </c>
      <c r="Y706" s="341">
        <f>IF('General price list'!$AB708="",0,'General price list'!$AB708)</f>
        <v>0</v>
      </c>
      <c r="Z706" s="365" t="str">
        <f>IFERROR(X706*VLOOKUP(C706,'General price list'!C:I,7,FALSE),"")</f>
        <v/>
      </c>
      <c r="AA706" s="805" t="str">
        <f>IF(X706&lt;&gt;"",VLOOKUP(C706,'General price list'!C708:AN1681,MATCH("HM",Tabulka1[[#Headers],[KOD]:[NEQ]],0),FALSE),"")</f>
        <v/>
      </c>
    </row>
    <row r="707" spans="1:27">
      <c r="A707">
        <f>COUNTIF($W$22:W707,1)</f>
        <v>0</v>
      </c>
      <c r="B707">
        <v>707</v>
      </c>
      <c r="C707" s="340" t="str">
        <f>Tabulka1[[#This Row],[KOD]]</f>
        <v>C2545DI</v>
      </c>
      <c r="W707" s="804" t="str">
        <f t="shared" si="23"/>
        <v/>
      </c>
      <c r="X707" t="str">
        <f t="shared" si="24"/>
        <v/>
      </c>
      <c r="Y707" s="341">
        <f>IF('General price list'!$AB709="",0,'General price list'!$AB709)</f>
        <v>0</v>
      </c>
      <c r="Z707" s="365" t="str">
        <f>IFERROR(X707*VLOOKUP(C707,'General price list'!C:I,7,FALSE),"")</f>
        <v/>
      </c>
      <c r="AA707" s="805" t="str">
        <f>IF(X707&lt;&gt;"",VLOOKUP(C707,'General price list'!C709:AN1682,MATCH("HM",Tabulka1[[#Headers],[KOD]:[NEQ]],0),FALSE),"")</f>
        <v/>
      </c>
    </row>
    <row r="708" spans="1:27">
      <c r="A708">
        <f>COUNTIF($W$22:W708,1)</f>
        <v>0</v>
      </c>
      <c r="B708">
        <v>708</v>
      </c>
      <c r="C708" s="340">
        <f>Tabulka1[[#This Row],[KOD]]</f>
        <v>0</v>
      </c>
      <c r="W708" s="804" t="str">
        <f t="shared" si="23"/>
        <v/>
      </c>
      <c r="X708" t="str">
        <f t="shared" si="24"/>
        <v/>
      </c>
      <c r="Y708" s="341">
        <f>IF('General price list'!$AB710="",0,'General price list'!$AB710)</f>
        <v>0</v>
      </c>
      <c r="Z708" s="365" t="str">
        <f>IFERROR(X708*VLOOKUP(C708,'General price list'!C:I,7,FALSE),"")</f>
        <v/>
      </c>
      <c r="AA708" s="805" t="str">
        <f>IF(X708&lt;&gt;"",VLOOKUP(C708,'General price list'!C710:AN1683,MATCH("HM",Tabulka1[[#Headers],[KOD]:[NEQ]],0),FALSE),"")</f>
        <v/>
      </c>
    </row>
    <row r="709" spans="1:27">
      <c r="A709">
        <f>COUNTIF($W$22:W709,1)</f>
        <v>0</v>
      </c>
      <c r="B709">
        <v>709</v>
      </c>
      <c r="C709" s="340" t="str">
        <f>Tabulka1[[#This Row],[KOD]]</f>
        <v>C255BP</v>
      </c>
      <c r="W709" s="804" t="str">
        <f t="shared" si="23"/>
        <v/>
      </c>
      <c r="X709" t="str">
        <f t="shared" si="24"/>
        <v/>
      </c>
      <c r="Y709" s="341">
        <f>IF('General price list'!$AB711="",0,'General price list'!$AB711)</f>
        <v>0</v>
      </c>
      <c r="Z709" s="365" t="str">
        <f>IFERROR(X709*VLOOKUP(C709,'General price list'!C:I,7,FALSE),"")</f>
        <v/>
      </c>
      <c r="AA709" s="805" t="str">
        <f>IF(X709&lt;&gt;"",VLOOKUP(C709,'General price list'!C711:AN1684,MATCH("HM",Tabulka1[[#Headers],[KOD]:[NEQ]],0),FALSE),"")</f>
        <v/>
      </c>
    </row>
    <row r="710" spans="1:27">
      <c r="A710">
        <f>COUNTIF($W$22:W710,1)</f>
        <v>0</v>
      </c>
      <c r="B710">
        <v>710</v>
      </c>
      <c r="C710" s="340">
        <f>Tabulka1[[#This Row],[KOD]]</f>
        <v>0</v>
      </c>
      <c r="W710" s="804" t="str">
        <f t="shared" si="23"/>
        <v/>
      </c>
      <c r="X710" t="str">
        <f t="shared" si="24"/>
        <v/>
      </c>
      <c r="Y710" s="341">
        <f>IF('General price list'!$AB712="",0,'General price list'!$AB712)</f>
        <v>0</v>
      </c>
      <c r="Z710" s="365" t="str">
        <f>IFERROR(X710*VLOOKUP(C710,'General price list'!C:I,7,FALSE),"")</f>
        <v/>
      </c>
      <c r="AA710" s="805" t="str">
        <f>IF(X710&lt;&gt;"",VLOOKUP(C710,'General price list'!C712:AN1685,MATCH("HM",Tabulka1[[#Headers],[KOD]:[NEQ]],0),FALSE),"")</f>
        <v/>
      </c>
    </row>
    <row r="711" spans="1:27">
      <c r="A711">
        <f>COUNTIF($W$22:W711,1)</f>
        <v>0</v>
      </c>
      <c r="B711">
        <v>711</v>
      </c>
      <c r="C711" s="340" t="str">
        <f>Tabulka1[[#This Row],[KOD]]</f>
        <v>C3545MF</v>
      </c>
      <c r="W711" s="804" t="str">
        <f t="shared" si="23"/>
        <v/>
      </c>
      <c r="X711" t="str">
        <f t="shared" si="24"/>
        <v/>
      </c>
      <c r="Y711" s="341">
        <f>IF('General price list'!$AB713="",0,'General price list'!$AB713)</f>
        <v>0</v>
      </c>
      <c r="Z711" s="365" t="str">
        <f>IFERROR(X711*VLOOKUP(C711,'General price list'!C:I,7,FALSE),"")</f>
        <v/>
      </c>
      <c r="AA711" s="805" t="str">
        <f>IF(X711&lt;&gt;"",VLOOKUP(C711,'General price list'!C713:AN1686,MATCH("HM",Tabulka1[[#Headers],[KOD]:[NEQ]],0),FALSE),"")</f>
        <v/>
      </c>
    </row>
    <row r="712" spans="1:27">
      <c r="A712">
        <f>COUNTIF($W$22:W712,1)</f>
        <v>0</v>
      </c>
      <c r="B712">
        <v>712</v>
      </c>
      <c r="C712" s="340" t="str">
        <f>Tabulka1[[#This Row],[KOD]]</f>
        <v>C3545NO</v>
      </c>
      <c r="W712" s="804" t="str">
        <f t="shared" si="23"/>
        <v/>
      </c>
      <c r="X712" t="str">
        <f t="shared" si="24"/>
        <v/>
      </c>
      <c r="Y712" s="341">
        <f>IF('General price list'!$AB714="",0,'General price list'!$AB714)</f>
        <v>0</v>
      </c>
      <c r="Z712" s="365" t="str">
        <f>IFERROR(X712*VLOOKUP(C712,'General price list'!C:I,7,FALSE),"")</f>
        <v/>
      </c>
      <c r="AA712" s="805" t="str">
        <f>IF(X712&lt;&gt;"",VLOOKUP(C712,'General price list'!C714:AN1687,MATCH("HM",Tabulka1[[#Headers],[KOD]:[NEQ]],0),FALSE),"")</f>
        <v/>
      </c>
    </row>
    <row r="713" spans="1:27">
      <c r="A713">
        <f>COUNTIF($W$22:W713,1)</f>
        <v>0</v>
      </c>
      <c r="B713">
        <v>713</v>
      </c>
      <c r="C713" s="340">
        <f>Tabulka1[[#This Row],[KOD]]</f>
        <v>0</v>
      </c>
      <c r="W713" s="804" t="str">
        <f t="shared" si="23"/>
        <v/>
      </c>
      <c r="X713" t="str">
        <f t="shared" si="24"/>
        <v/>
      </c>
      <c r="Y713" s="341">
        <f>IF('General price list'!$AB715="",0,'General price list'!$AB715)</f>
        <v>0</v>
      </c>
      <c r="Z713" s="365" t="str">
        <f>IFERROR(X713*VLOOKUP(C713,'General price list'!C:I,7,FALSE),"")</f>
        <v/>
      </c>
      <c r="AA713" s="805" t="str">
        <f>IF(X713&lt;&gt;"",VLOOKUP(C713,'General price list'!C715:AN1688,MATCH("HM",Tabulka1[[#Headers],[KOD]:[NEQ]],0),FALSE),"")</f>
        <v/>
      </c>
    </row>
    <row r="714" spans="1:27">
      <c r="A714">
        <f>COUNTIF($W$22:W714,1)</f>
        <v>0</v>
      </c>
      <c r="B714">
        <v>714</v>
      </c>
      <c r="C714" s="340" t="str">
        <f>Tabulka1[[#This Row],[KOD]]</f>
        <v>C3645BA</v>
      </c>
      <c r="W714" s="804" t="str">
        <f t="shared" si="23"/>
        <v/>
      </c>
      <c r="X714" t="str">
        <f t="shared" si="24"/>
        <v/>
      </c>
      <c r="Y714" s="341">
        <f>IF('General price list'!$AB716="",0,'General price list'!$AB716)</f>
        <v>0</v>
      </c>
      <c r="Z714" s="365" t="str">
        <f>IFERROR(X714*VLOOKUP(C714,'General price list'!C:I,7,FALSE),"")</f>
        <v/>
      </c>
      <c r="AA714" s="805" t="str">
        <f>IF(X714&lt;&gt;"",VLOOKUP(C714,'General price list'!C716:AN1689,MATCH("HM",Tabulka1[[#Headers],[KOD]:[NEQ]],0),FALSE),"")</f>
        <v/>
      </c>
    </row>
    <row r="715" spans="1:27">
      <c r="A715">
        <f>COUNTIF($W$22:W715,1)</f>
        <v>0</v>
      </c>
      <c r="B715">
        <v>715</v>
      </c>
      <c r="C715" s="340" t="str">
        <f>Tabulka1[[#This Row],[KOD]]</f>
        <v>C3645SE</v>
      </c>
      <c r="W715" s="804" t="str">
        <f t="shared" si="23"/>
        <v/>
      </c>
      <c r="X715" t="str">
        <f t="shared" si="24"/>
        <v/>
      </c>
      <c r="Y715" s="341">
        <f>IF('General price list'!$AB717="",0,'General price list'!$AB717)</f>
        <v>0</v>
      </c>
      <c r="Z715" s="365" t="str">
        <f>IFERROR(X715*VLOOKUP(C715,'General price list'!C:I,7,FALSE),"")</f>
        <v/>
      </c>
      <c r="AA715" s="805" t="str">
        <f>IF(X715&lt;&gt;"",VLOOKUP(C715,'General price list'!C717:AN1690,MATCH("HM",Tabulka1[[#Headers],[KOD]:[NEQ]],0),FALSE),"")</f>
        <v/>
      </c>
    </row>
    <row r="716" spans="1:27">
      <c r="A716">
        <f>COUNTIF($W$22:W716,1)</f>
        <v>0</v>
      </c>
      <c r="B716">
        <v>716</v>
      </c>
      <c r="C716" s="340">
        <f>Tabulka1[[#This Row],[KOD]]</f>
        <v>0</v>
      </c>
      <c r="W716" s="804" t="str">
        <f t="shared" si="23"/>
        <v/>
      </c>
      <c r="X716" t="str">
        <f t="shared" si="24"/>
        <v/>
      </c>
      <c r="Y716" s="341">
        <f>IF('General price list'!$AB718="",0,'General price list'!$AB718)</f>
        <v>0</v>
      </c>
      <c r="Z716" s="365" t="str">
        <f>IFERROR(X716*VLOOKUP(C716,'General price list'!C:I,7,FALSE),"")</f>
        <v/>
      </c>
      <c r="AA716" s="805" t="str">
        <f>IF(X716&lt;&gt;"",VLOOKUP(C716,'General price list'!C718:AN1691,MATCH("HM",Tabulka1[[#Headers],[KOD]:[NEQ]],0),FALSE),"")</f>
        <v/>
      </c>
    </row>
    <row r="717" spans="1:27">
      <c r="A717">
        <f>COUNTIF($W$22:W717,1)</f>
        <v>0</v>
      </c>
      <c r="B717">
        <v>717</v>
      </c>
      <c r="C717" s="340" t="str">
        <f>Tabulka1[[#This Row],[KOD]]</f>
        <v>C365DU</v>
      </c>
      <c r="W717" s="804" t="str">
        <f t="shared" si="23"/>
        <v/>
      </c>
      <c r="X717" t="str">
        <f t="shared" si="24"/>
        <v/>
      </c>
      <c r="Y717" s="341">
        <f>IF('General price list'!$AB719="",0,'General price list'!$AB719)</f>
        <v>0</v>
      </c>
      <c r="Z717" s="365" t="str">
        <f>IFERROR(X717*VLOOKUP(C717,'General price list'!C:I,7,FALSE),"")</f>
        <v/>
      </c>
      <c r="AA717" s="805" t="str">
        <f>IF(X717&lt;&gt;"",VLOOKUP(C717,'General price list'!C719:AN1692,MATCH("HM",Tabulka1[[#Headers],[KOD]:[NEQ]],0),FALSE),"")</f>
        <v/>
      </c>
    </row>
    <row r="718" spans="1:27">
      <c r="A718">
        <f>COUNTIF($W$22:W718,1)</f>
        <v>0</v>
      </c>
      <c r="B718">
        <v>718</v>
      </c>
      <c r="C718" s="340">
        <f>Tabulka1[[#This Row],[KOD]]</f>
        <v>0</v>
      </c>
      <c r="W718" s="804" t="str">
        <f t="shared" si="23"/>
        <v/>
      </c>
      <c r="X718" t="str">
        <f t="shared" si="24"/>
        <v/>
      </c>
      <c r="Y718" s="341">
        <f>IF('General price list'!$AB720="",0,'General price list'!$AB720)</f>
        <v>0</v>
      </c>
      <c r="Z718" s="365" t="str">
        <f>IFERROR(X718*VLOOKUP(C718,'General price list'!C:I,7,FALSE),"")</f>
        <v/>
      </c>
      <c r="AA718" s="805" t="str">
        <f>IF(X718&lt;&gt;"",VLOOKUP(C718,'General price list'!C720:AN1693,MATCH("HM",Tabulka1[[#Headers],[KOD]:[NEQ]],0),FALSE),"")</f>
        <v/>
      </c>
    </row>
    <row r="719" spans="1:27">
      <c r="A719">
        <f>COUNTIF($W$22:W719,1)</f>
        <v>0</v>
      </c>
      <c r="B719">
        <v>719</v>
      </c>
      <c r="C719" s="340" t="str">
        <f>Tabulka1[[#This Row],[KOD]]</f>
        <v>C505X/C</v>
      </c>
      <c r="W719" s="804" t="str">
        <f t="shared" si="23"/>
        <v/>
      </c>
      <c r="X719" t="str">
        <f t="shared" si="24"/>
        <v/>
      </c>
      <c r="Y719" s="341">
        <f>IF('General price list'!$AB721="",0,'General price list'!$AB721)</f>
        <v>0</v>
      </c>
      <c r="Z719" s="365" t="str">
        <f>IFERROR(X719*VLOOKUP(C719,'General price list'!C:I,7,FALSE),"")</f>
        <v/>
      </c>
      <c r="AA719" s="805" t="str">
        <f>IF(X719&lt;&gt;"",VLOOKUP(C719,'General price list'!C721:AN1694,MATCH("HM",Tabulka1[[#Headers],[KOD]:[NEQ]],0),FALSE),"")</f>
        <v/>
      </c>
    </row>
    <row r="720" spans="1:27">
      <c r="A720">
        <f>COUNTIF($W$22:W720,1)</f>
        <v>0</v>
      </c>
      <c r="B720">
        <v>720</v>
      </c>
      <c r="C720" s="340" t="str">
        <f>Tabulka1[[#This Row],[KOD]]</f>
        <v>C505V/C</v>
      </c>
      <c r="W720" s="804" t="str">
        <f t="shared" si="23"/>
        <v/>
      </c>
      <c r="X720" t="str">
        <f t="shared" si="24"/>
        <v/>
      </c>
      <c r="Y720" s="341">
        <f>IF('General price list'!$AB722="",0,'General price list'!$AB722)</f>
        <v>0</v>
      </c>
      <c r="Z720" s="365" t="str">
        <f>IFERROR(X720*VLOOKUP(C720,'General price list'!C:I,7,FALSE),"")</f>
        <v/>
      </c>
      <c r="AA720" s="805" t="str">
        <f>IF(X720&lt;&gt;"",VLOOKUP(C720,'General price list'!C722:AN1695,MATCH("HM",Tabulka1[[#Headers],[KOD]:[NEQ]],0),FALSE),"")</f>
        <v/>
      </c>
    </row>
    <row r="721" spans="1:27">
      <c r="A721">
        <f>COUNTIF($W$22:W721,1)</f>
        <v>0</v>
      </c>
      <c r="B721">
        <v>721</v>
      </c>
      <c r="C721" s="340" t="str">
        <f>Tabulka1[[#This Row],[KOD]]</f>
        <v>C755R/C</v>
      </c>
      <c r="W721" s="804" t="str">
        <f t="shared" si="23"/>
        <v/>
      </c>
      <c r="X721" t="str">
        <f t="shared" si="24"/>
        <v/>
      </c>
      <c r="Y721" s="341">
        <f>IF('General price list'!$AB723="",0,'General price list'!$AB723)</f>
        <v>0</v>
      </c>
      <c r="Z721" s="365" t="str">
        <f>IFERROR(X721*VLOOKUP(C721,'General price list'!C:I,7,FALSE),"")</f>
        <v/>
      </c>
      <c r="AA721" s="805" t="str">
        <f>IF(X721&lt;&gt;"",VLOOKUP(C721,'General price list'!C723:AN1696,MATCH("HM",Tabulka1[[#Headers],[KOD]:[NEQ]],0),FALSE),"")</f>
        <v/>
      </c>
    </row>
    <row r="722" spans="1:27">
      <c r="A722">
        <f>COUNTIF($W$22:W722,1)</f>
        <v>0</v>
      </c>
      <c r="B722">
        <v>722</v>
      </c>
      <c r="C722" s="340" t="str">
        <f>Tabulka1[[#This Row],[KOD]]</f>
        <v>C10545GI/C</v>
      </c>
      <c r="W722" s="804" t="str">
        <f t="shared" si="23"/>
        <v/>
      </c>
      <c r="X722" t="str">
        <f t="shared" si="24"/>
        <v/>
      </c>
      <c r="Y722" s="341">
        <f>IF('General price list'!$AB724="",0,'General price list'!$AB724)</f>
        <v>0</v>
      </c>
      <c r="Z722" s="365" t="str">
        <f>IFERROR(X722*VLOOKUP(C722,'General price list'!C:I,7,FALSE),"")</f>
        <v/>
      </c>
      <c r="AA722" s="805" t="str">
        <f>IF(X722&lt;&gt;"",VLOOKUP(C722,'General price list'!C724:AN1697,MATCH("HM",Tabulka1[[#Headers],[KOD]:[NEQ]],0),FALSE),"")</f>
        <v/>
      </c>
    </row>
    <row r="723" spans="1:27">
      <c r="A723">
        <f>COUNTIF($W$22:W723,1)</f>
        <v>0</v>
      </c>
      <c r="B723">
        <v>723</v>
      </c>
      <c r="C723" s="340">
        <f>Tabulka1[[#This Row],[KOD]]</f>
        <v>0</v>
      </c>
      <c r="W723" s="804" t="str">
        <f t="shared" si="23"/>
        <v/>
      </c>
      <c r="X723" t="str">
        <f t="shared" si="24"/>
        <v/>
      </c>
      <c r="Y723" s="341">
        <f>IF('General price list'!$AB725="",0,'General price list'!$AB725)</f>
        <v>0</v>
      </c>
      <c r="Z723" s="365" t="str">
        <f>IFERROR(X723*VLOOKUP(C723,'General price list'!C:I,7,FALSE),"")</f>
        <v/>
      </c>
      <c r="AA723" s="805" t="str">
        <f>IF(X723&lt;&gt;"",VLOOKUP(C723,'General price list'!C725:AN1698,MATCH("HM",Tabulka1[[#Headers],[KOD]:[NEQ]],0),FALSE),"")</f>
        <v/>
      </c>
    </row>
    <row r="724" spans="1:27">
      <c r="A724">
        <f>COUNTIF($W$22:W724,1)</f>
        <v>0</v>
      </c>
      <c r="B724">
        <v>724</v>
      </c>
      <c r="C724" s="340" t="str">
        <f>Tabulka1[[#This Row],[KOD]]</f>
        <v>C2505D</v>
      </c>
      <c r="W724" s="804" t="str">
        <f t="shared" si="23"/>
        <v/>
      </c>
      <c r="X724" t="str">
        <f t="shared" si="24"/>
        <v/>
      </c>
      <c r="Y724" s="341">
        <f>IF('General price list'!$AB726="",0,'General price list'!$AB726)</f>
        <v>0</v>
      </c>
      <c r="Z724" s="365" t="str">
        <f>IFERROR(X724*VLOOKUP(C724,'General price list'!C:I,7,FALSE),"")</f>
        <v/>
      </c>
      <c r="AA724" s="805" t="str">
        <f>IF(X724&lt;&gt;"",VLOOKUP(C724,'General price list'!C726:AN1699,MATCH("HM",Tabulka1[[#Headers],[KOD]:[NEQ]],0),FALSE),"")</f>
        <v/>
      </c>
    </row>
    <row r="725" spans="1:27">
      <c r="A725">
        <f>COUNTIF($W$22:W725,1)</f>
        <v>0</v>
      </c>
      <c r="B725">
        <v>725</v>
      </c>
      <c r="C725" s="340">
        <f>Tabulka1[[#This Row],[KOD]]</f>
        <v>0</v>
      </c>
      <c r="W725" s="804" t="str">
        <f t="shared" si="23"/>
        <v/>
      </c>
      <c r="X725" t="str">
        <f t="shared" si="24"/>
        <v/>
      </c>
      <c r="Y725" s="341">
        <f>IF('General price list'!$AB727="",0,'General price list'!$AB727)</f>
        <v>0</v>
      </c>
      <c r="Z725" s="365" t="str">
        <f>IFERROR(X725*VLOOKUP(C725,'General price list'!C:I,7,FALSE),"")</f>
        <v/>
      </c>
      <c r="AA725" s="805" t="str">
        <f>IF(X725&lt;&gt;"",VLOOKUP(C725,'General price list'!C727:AN1700,MATCH("HM",Tabulka1[[#Headers],[KOD]:[NEQ]],0),FALSE),"")</f>
        <v/>
      </c>
    </row>
    <row r="726" spans="1:27">
      <c r="A726">
        <f>COUNTIF($W$22:W726,1)</f>
        <v>0</v>
      </c>
      <c r="B726">
        <v>726</v>
      </c>
      <c r="C726" s="340" t="str">
        <f>Tabulka1[[#This Row],[KOD]]</f>
        <v>C2463B</v>
      </c>
      <c r="W726" s="804" t="str">
        <f t="shared" si="23"/>
        <v/>
      </c>
      <c r="X726" t="str">
        <f t="shared" si="24"/>
        <v/>
      </c>
      <c r="Y726" s="341">
        <f>IF('General price list'!$AB728="",0,'General price list'!$AB728)</f>
        <v>0</v>
      </c>
      <c r="Z726" s="365" t="str">
        <f>IFERROR(X726*VLOOKUP(C726,'General price list'!C:I,7,FALSE),"")</f>
        <v/>
      </c>
      <c r="AA726" s="805" t="str">
        <f>IF(X726&lt;&gt;"",VLOOKUP(C726,'General price list'!C728:AN1701,MATCH("HM",Tabulka1[[#Headers],[KOD]:[NEQ]],0),FALSE),"")</f>
        <v/>
      </c>
    </row>
    <row r="727" spans="1:27">
      <c r="A727">
        <f>COUNTIF($W$22:W727,1)</f>
        <v>0</v>
      </c>
      <c r="B727">
        <v>727</v>
      </c>
      <c r="C727" s="340">
        <f>Tabulka1[[#This Row],[KOD]]</f>
        <v>0</v>
      </c>
      <c r="W727" s="804" t="str">
        <f t="shared" si="23"/>
        <v/>
      </c>
      <c r="X727" t="str">
        <f t="shared" si="24"/>
        <v/>
      </c>
      <c r="Y727" s="341">
        <f>IF('General price list'!$AB729="",0,'General price list'!$AB729)</f>
        <v>0</v>
      </c>
      <c r="Z727" s="365" t="str">
        <f>IFERROR(X727*VLOOKUP(C727,'General price list'!C:I,7,FALSE),"")</f>
        <v/>
      </c>
      <c r="AA727" s="805" t="str">
        <f>IF(X727&lt;&gt;"",VLOOKUP(C727,'General price list'!C729:AN1702,MATCH("HM",Tabulka1[[#Headers],[KOD]:[NEQ]],0),FALSE),"")</f>
        <v/>
      </c>
    </row>
    <row r="728" spans="1:27">
      <c r="A728">
        <f>COUNTIF($W$22:W728,1)</f>
        <v>0</v>
      </c>
      <c r="B728">
        <v>728</v>
      </c>
      <c r="C728" s="340" t="str">
        <f>Tabulka1[[#This Row],[KOD]]</f>
        <v>C2575C</v>
      </c>
      <c r="W728" s="804" t="str">
        <f t="shared" si="23"/>
        <v/>
      </c>
      <c r="X728" t="str">
        <f t="shared" si="24"/>
        <v/>
      </c>
      <c r="Y728" s="341">
        <f>IF('General price list'!$AB730="",0,'General price list'!$AB730)</f>
        <v>0</v>
      </c>
      <c r="Z728" s="365" t="str">
        <f>IFERROR(X728*VLOOKUP(C728,'General price list'!C:I,7,FALSE),"")</f>
        <v/>
      </c>
      <c r="AA728" s="805" t="str">
        <f>IF(X728&lt;&gt;"",VLOOKUP(C728,'General price list'!C730:AN1703,MATCH("HM",Tabulka1[[#Headers],[KOD]:[NEQ]],0),FALSE),"")</f>
        <v/>
      </c>
    </row>
    <row r="729" spans="1:27">
      <c r="A729">
        <f>COUNTIF($W$22:W729,1)</f>
        <v>0</v>
      </c>
      <c r="B729">
        <v>729</v>
      </c>
      <c r="C729" s="340">
        <f>Tabulka1[[#This Row],[KOD]]</f>
        <v>0</v>
      </c>
      <c r="W729" s="804" t="str">
        <f t="shared" ref="W729:W792" si="25">IF(Y729+1=1,"",1)</f>
        <v/>
      </c>
      <c r="X729" t="str">
        <f t="shared" ref="X729:X792" si="26">IF(OR(A729&lt;$E$20,A729&gt;$E$21),"",IF(Y729=0,"",Y729))</f>
        <v/>
      </c>
      <c r="Y729" s="341">
        <f>IF('General price list'!$AB731="",0,'General price list'!$AB731)</f>
        <v>0</v>
      </c>
      <c r="Z729" s="365" t="str">
        <f>IFERROR(X729*VLOOKUP(C729,'General price list'!C:I,7,FALSE),"")</f>
        <v/>
      </c>
      <c r="AA729" s="805" t="str">
        <f>IF(X729&lt;&gt;"",VLOOKUP(C729,'General price list'!C731:AN1704,MATCH("HM",Tabulka1[[#Headers],[KOD]:[NEQ]],0),FALSE),"")</f>
        <v/>
      </c>
    </row>
    <row r="730" spans="1:27">
      <c r="A730">
        <f>COUNTIF($W$22:W730,1)</f>
        <v>0</v>
      </c>
      <c r="B730">
        <v>730</v>
      </c>
      <c r="C730" s="340">
        <f>Tabulka1[[#This Row],[KOD]]</f>
        <v>0</v>
      </c>
      <c r="W730" s="804" t="str">
        <f t="shared" si="25"/>
        <v/>
      </c>
      <c r="X730" t="str">
        <f t="shared" si="26"/>
        <v/>
      </c>
      <c r="Y730" s="341">
        <f>IF('General price list'!$AB732="",0,'General price list'!$AB732)</f>
        <v>0</v>
      </c>
      <c r="Z730" s="365" t="str">
        <f>IFERROR(X730*VLOOKUP(C730,'General price list'!C:I,7,FALSE),"")</f>
        <v/>
      </c>
      <c r="AA730" s="805" t="str">
        <f>IF(X730&lt;&gt;"",VLOOKUP(C730,'General price list'!C732:AN1705,MATCH("HM",Tabulka1[[#Headers],[KOD]:[NEQ]],0),FALSE),"")</f>
        <v/>
      </c>
    </row>
    <row r="731" spans="1:27">
      <c r="A731">
        <f>COUNTIF($W$22:W731,1)</f>
        <v>0</v>
      </c>
      <c r="B731">
        <v>731</v>
      </c>
      <c r="C731" s="340" t="str">
        <f>Tabulka1[[#This Row],[KOD]]</f>
        <v>C39MPT</v>
      </c>
      <c r="W731" s="804" t="str">
        <f t="shared" si="25"/>
        <v/>
      </c>
      <c r="X731" t="str">
        <f t="shared" si="26"/>
        <v/>
      </c>
      <c r="Y731" s="341">
        <f>IF('General price list'!$AB733="",0,'General price list'!$AB733)</f>
        <v>0</v>
      </c>
      <c r="Z731" s="365" t="str">
        <f>IFERROR(X731*VLOOKUP(C731,'General price list'!C:I,7,FALSE),"")</f>
        <v/>
      </c>
      <c r="AA731" s="805" t="str">
        <f>IF(X731&lt;&gt;"",VLOOKUP(C731,'General price list'!C733:AN1706,MATCH("HM",Tabulka1[[#Headers],[KOD]:[NEQ]],0),FALSE),"")</f>
        <v/>
      </c>
    </row>
    <row r="732" spans="1:27">
      <c r="A732">
        <f>COUNTIF($W$22:W732,1)</f>
        <v>0</v>
      </c>
      <c r="B732">
        <v>732</v>
      </c>
      <c r="C732" s="340">
        <f>Tabulka1[[#This Row],[KOD]]</f>
        <v>0</v>
      </c>
      <c r="W732" s="804" t="str">
        <f t="shared" si="25"/>
        <v/>
      </c>
      <c r="X732" t="str">
        <f t="shared" si="26"/>
        <v/>
      </c>
      <c r="Y732" s="341">
        <f>IF('General price list'!$AB734="",0,'General price list'!$AB734)</f>
        <v>0</v>
      </c>
      <c r="Z732" s="365" t="str">
        <f>IFERROR(X732*VLOOKUP(C732,'General price list'!C:I,7,FALSE),"")</f>
        <v/>
      </c>
      <c r="AA732" s="805" t="str">
        <f>IF(X732&lt;&gt;"",VLOOKUP(C732,'General price list'!C734:AN1707,MATCH("HM",Tabulka1[[#Headers],[KOD]:[NEQ]],0),FALSE),"")</f>
        <v/>
      </c>
    </row>
    <row r="733" spans="1:27">
      <c r="A733">
        <f>COUNTIF($W$22:W733,1)</f>
        <v>0</v>
      </c>
      <c r="B733">
        <v>733</v>
      </c>
      <c r="C733" s="340" t="str">
        <f>Tabulka1[[#This Row],[KOD]]</f>
        <v>C46MXP</v>
      </c>
      <c r="W733" s="804" t="str">
        <f t="shared" si="25"/>
        <v/>
      </c>
      <c r="X733" t="str">
        <f t="shared" si="26"/>
        <v/>
      </c>
      <c r="Y733" s="341">
        <f>IF('General price list'!$AB735="",0,'General price list'!$AB735)</f>
        <v>0</v>
      </c>
      <c r="Z733" s="365" t="str">
        <f>IFERROR(X733*VLOOKUP(C733,'General price list'!C:I,7,FALSE),"")</f>
        <v/>
      </c>
      <c r="AA733" s="805" t="str">
        <f>IF(X733&lt;&gt;"",VLOOKUP(C733,'General price list'!C735:AN1708,MATCH("HM",Tabulka1[[#Headers],[KOD]:[NEQ]],0),FALSE),"")</f>
        <v/>
      </c>
    </row>
    <row r="734" spans="1:27">
      <c r="A734">
        <f>COUNTIF($W$22:W734,1)</f>
        <v>0</v>
      </c>
      <c r="B734">
        <v>734</v>
      </c>
      <c r="C734" s="340">
        <f>Tabulka1[[#This Row],[KOD]]</f>
        <v>0</v>
      </c>
      <c r="W734" s="804" t="str">
        <f t="shared" si="25"/>
        <v/>
      </c>
      <c r="X734" t="str">
        <f t="shared" si="26"/>
        <v/>
      </c>
      <c r="Y734" s="341">
        <f>IF('General price list'!$AB736="",0,'General price list'!$AB736)</f>
        <v>0</v>
      </c>
      <c r="Z734" s="365" t="str">
        <f>IFERROR(X734*VLOOKUP(C734,'General price list'!C:I,7,FALSE),"")</f>
        <v/>
      </c>
      <c r="AA734" s="805" t="str">
        <f>IF(X734&lt;&gt;"",VLOOKUP(C734,'General price list'!C736:AN1709,MATCH("HM",Tabulka1[[#Headers],[KOD]:[NEQ]],0),FALSE),"")</f>
        <v/>
      </c>
    </row>
    <row r="735" spans="1:27">
      <c r="A735">
        <f>COUNTIF($W$22:W735,1)</f>
        <v>0</v>
      </c>
      <c r="B735">
        <v>735</v>
      </c>
      <c r="C735" s="340" t="str">
        <f>Tabulka1[[#This Row],[KOD]]</f>
        <v>C48XMF14</v>
      </c>
      <c r="W735" s="804" t="str">
        <f t="shared" si="25"/>
        <v/>
      </c>
      <c r="X735" t="str">
        <f t="shared" si="26"/>
        <v/>
      </c>
      <c r="Y735" s="341">
        <f>IF('General price list'!$AB737="",0,'General price list'!$AB737)</f>
        <v>0</v>
      </c>
      <c r="Z735" s="365" t="str">
        <f>IFERROR(X735*VLOOKUP(C735,'General price list'!C:I,7,FALSE),"")</f>
        <v/>
      </c>
      <c r="AA735" s="805" t="str">
        <f>IF(X735&lt;&gt;"",VLOOKUP(C735,'General price list'!C737:AN1710,MATCH("HM",Tabulka1[[#Headers],[KOD]:[NEQ]],0),FALSE),"")</f>
        <v/>
      </c>
    </row>
    <row r="736" spans="1:27">
      <c r="A736">
        <f>COUNTIF($W$22:W736,1)</f>
        <v>0</v>
      </c>
      <c r="B736">
        <v>736</v>
      </c>
      <c r="C736" s="340">
        <f>Tabulka1[[#This Row],[KOD]]</f>
        <v>0</v>
      </c>
      <c r="W736" s="804" t="str">
        <f t="shared" si="25"/>
        <v/>
      </c>
      <c r="X736" t="str">
        <f t="shared" si="26"/>
        <v/>
      </c>
      <c r="Y736" s="341">
        <f>IF('General price list'!$AB738="",0,'General price list'!$AB738)</f>
        <v>0</v>
      </c>
      <c r="Z736" s="365" t="str">
        <f>IFERROR(X736*VLOOKUP(C736,'General price list'!C:I,7,FALSE),"")</f>
        <v/>
      </c>
      <c r="AA736" s="805" t="str">
        <f>IF(X736&lt;&gt;"",VLOOKUP(C736,'General price list'!C738:AN1711,MATCH("HM",Tabulka1[[#Headers],[KOD]:[NEQ]],0),FALSE),"")</f>
        <v/>
      </c>
    </row>
    <row r="737" spans="1:27">
      <c r="A737">
        <f>COUNTIF($W$22:W737,1)</f>
        <v>0</v>
      </c>
      <c r="B737">
        <v>737</v>
      </c>
      <c r="C737" s="340" t="str">
        <f>Tabulka1[[#This Row],[KOD]]</f>
        <v>C50MO</v>
      </c>
      <c r="W737" s="804" t="str">
        <f t="shared" si="25"/>
        <v/>
      </c>
      <c r="X737" t="str">
        <f t="shared" si="26"/>
        <v/>
      </c>
      <c r="Y737" s="341">
        <f>IF('General price list'!$AB739="",0,'General price list'!$AB739)</f>
        <v>0</v>
      </c>
      <c r="Z737" s="365" t="str">
        <f>IFERROR(X737*VLOOKUP(C737,'General price list'!C:I,7,FALSE),"")</f>
        <v/>
      </c>
      <c r="AA737" s="805" t="str">
        <f>IF(X737&lt;&gt;"",VLOOKUP(C737,'General price list'!C739:AN1712,MATCH("HM",Tabulka1[[#Headers],[KOD]:[NEQ]],0),FALSE),"")</f>
        <v/>
      </c>
    </row>
    <row r="738" spans="1:27">
      <c r="A738">
        <f>COUNTIF($W$22:W738,1)</f>
        <v>0</v>
      </c>
      <c r="B738">
        <v>738</v>
      </c>
      <c r="C738" s="340" t="str">
        <f>Tabulka1[[#This Row],[KOD]]</f>
        <v>C50MCH</v>
      </c>
      <c r="W738" s="804" t="str">
        <f t="shared" si="25"/>
        <v/>
      </c>
      <c r="X738" t="str">
        <f t="shared" si="26"/>
        <v/>
      </c>
      <c r="Y738" s="341">
        <f>IF('General price list'!$AB740="",0,'General price list'!$AB740)</f>
        <v>0</v>
      </c>
      <c r="Z738" s="365" t="str">
        <f>IFERROR(X738*VLOOKUP(C738,'General price list'!C:I,7,FALSE),"")</f>
        <v/>
      </c>
      <c r="AA738" s="805" t="str">
        <f>IF(X738&lt;&gt;"",VLOOKUP(C738,'General price list'!C740:AN1713,MATCH("HM",Tabulka1[[#Headers],[KOD]:[NEQ]],0),FALSE),"")</f>
        <v/>
      </c>
    </row>
    <row r="739" spans="1:27">
      <c r="A739">
        <f>COUNTIF($W$22:W739,1)</f>
        <v>0</v>
      </c>
      <c r="B739">
        <v>739</v>
      </c>
      <c r="C739" s="340">
        <f>Tabulka1[[#This Row],[KOD]]</f>
        <v>0</v>
      </c>
      <c r="W739" s="804" t="str">
        <f t="shared" si="25"/>
        <v/>
      </c>
      <c r="X739" t="str">
        <f t="shared" si="26"/>
        <v/>
      </c>
      <c r="Y739" s="341">
        <f>IF('General price list'!$AB741="",0,'General price list'!$AB741)</f>
        <v>0</v>
      </c>
      <c r="Z739" s="365" t="str">
        <f>IFERROR(X739*VLOOKUP(C739,'General price list'!C:I,7,FALSE),"")</f>
        <v/>
      </c>
      <c r="AA739" s="805" t="str">
        <f>IF(X739&lt;&gt;"",VLOOKUP(C739,'General price list'!C741:AN1714,MATCH("HM",Tabulka1[[#Headers],[KOD]:[NEQ]],0),FALSE),"")</f>
        <v/>
      </c>
    </row>
    <row r="740" spans="1:27">
      <c r="A740">
        <f>COUNTIF($W$22:W740,1)</f>
        <v>0</v>
      </c>
      <c r="B740">
        <v>740</v>
      </c>
      <c r="C740" s="340" t="str">
        <f>Tabulka1[[#This Row],[KOD]]</f>
        <v>C64MT</v>
      </c>
      <c r="W740" s="804" t="str">
        <f t="shared" si="25"/>
        <v/>
      </c>
      <c r="X740" t="str">
        <f t="shared" si="26"/>
        <v/>
      </c>
      <c r="Y740" s="341">
        <f>IF('General price list'!$AB742="",0,'General price list'!$AB742)</f>
        <v>0</v>
      </c>
      <c r="Z740" s="365" t="str">
        <f>IFERROR(X740*VLOOKUP(C740,'General price list'!C:I,7,FALSE),"")</f>
        <v/>
      </c>
      <c r="AA740" s="805" t="str">
        <f>IF(X740&lt;&gt;"",VLOOKUP(C740,'General price list'!C742:AN1715,MATCH("HM",Tabulka1[[#Headers],[KOD]:[NEQ]],0),FALSE),"")</f>
        <v/>
      </c>
    </row>
    <row r="741" spans="1:27">
      <c r="A741">
        <f>COUNTIF($W$22:W741,1)</f>
        <v>0</v>
      </c>
      <c r="B741">
        <v>741</v>
      </c>
      <c r="C741" s="340" t="str">
        <f>Tabulka1[[#This Row],[KOD]]</f>
        <v>C64MP</v>
      </c>
      <c r="W741" s="804" t="str">
        <f t="shared" si="25"/>
        <v/>
      </c>
      <c r="X741" t="str">
        <f t="shared" si="26"/>
        <v/>
      </c>
      <c r="Y741" s="341">
        <f>IF('General price list'!$AB743="",0,'General price list'!$AB743)</f>
        <v>0</v>
      </c>
      <c r="Z741" s="365" t="str">
        <f>IFERROR(X741*VLOOKUP(C741,'General price list'!C:I,7,FALSE),"")</f>
        <v/>
      </c>
      <c r="AA741" s="805" t="str">
        <f>IF(X741&lt;&gt;"",VLOOKUP(C741,'General price list'!C743:AN1716,MATCH("HM",Tabulka1[[#Headers],[KOD]:[NEQ]],0),FALSE),"")</f>
        <v/>
      </c>
    </row>
    <row r="742" spans="1:27">
      <c r="A742">
        <f>COUNTIF($W$22:W742,1)</f>
        <v>0</v>
      </c>
      <c r="B742">
        <v>742</v>
      </c>
      <c r="C742" s="340">
        <f>Tabulka1[[#This Row],[KOD]]</f>
        <v>0</v>
      </c>
      <c r="W742" s="804" t="str">
        <f t="shared" si="25"/>
        <v/>
      </c>
      <c r="X742" t="str">
        <f t="shared" si="26"/>
        <v/>
      </c>
      <c r="Y742" s="341">
        <f>IF('General price list'!$AB744="",0,'General price list'!$AB744)</f>
        <v>0</v>
      </c>
      <c r="Z742" s="365" t="str">
        <f>IFERROR(X742*VLOOKUP(C742,'General price list'!C:I,7,FALSE),"")</f>
        <v/>
      </c>
      <c r="AA742" s="805" t="str">
        <f>IF(X742&lt;&gt;"",VLOOKUP(C742,'General price list'!C744:AN1717,MATCH("HM",Tabulka1[[#Headers],[KOD]:[NEQ]],0),FALSE),"")</f>
        <v/>
      </c>
    </row>
    <row r="743" spans="1:27">
      <c r="A743">
        <f>COUNTIF($W$22:W743,1)</f>
        <v>0</v>
      </c>
      <c r="B743">
        <v>743</v>
      </c>
      <c r="C743" s="340" t="str">
        <f>Tabulka1[[#This Row],[KOD]]</f>
        <v>C68XMPT</v>
      </c>
      <c r="W743" s="804" t="str">
        <f t="shared" si="25"/>
        <v/>
      </c>
      <c r="X743" t="str">
        <f t="shared" si="26"/>
        <v/>
      </c>
      <c r="Y743" s="341">
        <f>IF('General price list'!$AB745="",0,'General price list'!$AB745)</f>
        <v>0</v>
      </c>
      <c r="Z743" s="365" t="str">
        <f>IFERROR(X743*VLOOKUP(C743,'General price list'!C:I,7,FALSE),"")</f>
        <v/>
      </c>
      <c r="AA743" s="805" t="str">
        <f>IF(X743&lt;&gt;"",VLOOKUP(C743,'General price list'!C745:AN1718,MATCH("HM",Tabulka1[[#Headers],[KOD]:[NEQ]],0),FALSE),"")</f>
        <v/>
      </c>
    </row>
    <row r="744" spans="1:27">
      <c r="A744">
        <f>COUNTIF($W$22:W744,1)</f>
        <v>0</v>
      </c>
      <c r="B744">
        <v>744</v>
      </c>
      <c r="C744" s="340">
        <f>Tabulka1[[#This Row],[KOD]]</f>
        <v>0</v>
      </c>
      <c r="W744" s="804" t="str">
        <f t="shared" si="25"/>
        <v/>
      </c>
      <c r="X744" t="str">
        <f t="shared" si="26"/>
        <v/>
      </c>
      <c r="Y744" s="341">
        <f>IF('General price list'!$AB746="",0,'General price list'!$AB746)</f>
        <v>0</v>
      </c>
      <c r="Z744" s="365" t="str">
        <f>IFERROR(X744*VLOOKUP(C744,'General price list'!C:I,7,FALSE),"")</f>
        <v/>
      </c>
      <c r="AA744" s="805" t="str">
        <f>IF(X744&lt;&gt;"",VLOOKUP(C744,'General price list'!C746:AN1719,MATCH("HM",Tabulka1[[#Headers],[KOD]:[NEQ]],0),FALSE),"")</f>
        <v/>
      </c>
    </row>
    <row r="745" spans="1:27">
      <c r="A745">
        <f>COUNTIF($W$22:W745,1)</f>
        <v>0</v>
      </c>
      <c r="B745">
        <v>745</v>
      </c>
      <c r="C745" s="340" t="str">
        <f>Tabulka1[[#This Row],[KOD]]</f>
        <v>C68XMPT14</v>
      </c>
      <c r="W745" s="804" t="str">
        <f t="shared" si="25"/>
        <v/>
      </c>
      <c r="X745" t="str">
        <f t="shared" si="26"/>
        <v/>
      </c>
      <c r="Y745" s="341">
        <f>IF('General price list'!$AB747="",0,'General price list'!$AB747)</f>
        <v>0</v>
      </c>
      <c r="Z745" s="365" t="str">
        <f>IFERROR(X745*VLOOKUP(C745,'General price list'!C:I,7,FALSE),"")</f>
        <v/>
      </c>
      <c r="AA745" s="805" t="str">
        <f>IF(X745&lt;&gt;"",VLOOKUP(C745,'General price list'!C747:AN1720,MATCH("HM",Tabulka1[[#Headers],[KOD]:[NEQ]],0),FALSE),"")</f>
        <v/>
      </c>
    </row>
    <row r="746" spans="1:27">
      <c r="A746">
        <f>COUNTIF($W$22:W746,1)</f>
        <v>0</v>
      </c>
      <c r="B746">
        <v>746</v>
      </c>
      <c r="C746" s="340">
        <f>Tabulka1[[#This Row],[KOD]]</f>
        <v>0</v>
      </c>
      <c r="W746" s="804" t="str">
        <f t="shared" si="25"/>
        <v/>
      </c>
      <c r="X746" t="str">
        <f t="shared" si="26"/>
        <v/>
      </c>
      <c r="Y746" s="341">
        <f>IF('General price list'!$AB748="",0,'General price list'!$AB748)</f>
        <v>0</v>
      </c>
      <c r="Z746" s="365" t="str">
        <f>IFERROR(X746*VLOOKUP(C746,'General price list'!C:I,7,FALSE),"")</f>
        <v/>
      </c>
      <c r="AA746" s="805" t="str">
        <f>IF(X746&lt;&gt;"",VLOOKUP(C746,'General price list'!C748:AN1721,MATCH("HM",Tabulka1[[#Headers],[KOD]:[NEQ]],0),FALSE),"")</f>
        <v/>
      </c>
    </row>
    <row r="747" spans="1:27">
      <c r="A747">
        <f>COUNTIF($W$22:W747,1)</f>
        <v>0</v>
      </c>
      <c r="B747">
        <v>747</v>
      </c>
      <c r="C747" s="340" t="str">
        <f>Tabulka1[[#This Row],[KOD]]</f>
        <v>C77MXR14</v>
      </c>
      <c r="W747" s="804" t="str">
        <f t="shared" si="25"/>
        <v/>
      </c>
      <c r="X747" t="str">
        <f t="shared" si="26"/>
        <v/>
      </c>
      <c r="Y747" s="341">
        <f>IF('General price list'!$AB749="",0,'General price list'!$AB749)</f>
        <v>0</v>
      </c>
      <c r="Z747" s="365" t="str">
        <f>IFERROR(X747*VLOOKUP(C747,'General price list'!C:I,7,FALSE),"")</f>
        <v/>
      </c>
      <c r="AA747" s="805" t="str">
        <f>IF(X747&lt;&gt;"",VLOOKUP(C747,'General price list'!C749:AN1722,MATCH("HM",Tabulka1[[#Headers],[KOD]:[NEQ]],0),FALSE),"")</f>
        <v/>
      </c>
    </row>
    <row r="748" spans="1:27">
      <c r="A748">
        <f>COUNTIF($W$22:W748,1)</f>
        <v>0</v>
      </c>
      <c r="B748">
        <v>748</v>
      </c>
      <c r="C748" s="340">
        <f>Tabulka1[[#This Row],[KOD]]</f>
        <v>0</v>
      </c>
      <c r="W748" s="804" t="str">
        <f t="shared" si="25"/>
        <v/>
      </c>
      <c r="X748" t="str">
        <f t="shared" si="26"/>
        <v/>
      </c>
      <c r="Y748" s="341">
        <f>IF('General price list'!$AB750="",0,'General price list'!$AB750)</f>
        <v>0</v>
      </c>
      <c r="Z748" s="365" t="str">
        <f>IFERROR(X748*VLOOKUP(C748,'General price list'!C:I,7,FALSE),"")</f>
        <v/>
      </c>
      <c r="AA748" s="805" t="str">
        <f>IF(X748&lt;&gt;"",VLOOKUP(C748,'General price list'!C750:AN1723,MATCH("HM",Tabulka1[[#Headers],[KOD]:[NEQ]],0),FALSE),"")</f>
        <v/>
      </c>
    </row>
    <row r="749" spans="1:27">
      <c r="A749">
        <f>COUNTIF($W$22:W749,1)</f>
        <v>0</v>
      </c>
      <c r="B749">
        <v>749</v>
      </c>
      <c r="C749" s="340" t="str">
        <f>Tabulka1[[#This Row],[KOD]]</f>
        <v>C100MXS14</v>
      </c>
      <c r="W749" s="804" t="str">
        <f t="shared" si="25"/>
        <v/>
      </c>
      <c r="X749" t="str">
        <f t="shared" si="26"/>
        <v/>
      </c>
      <c r="Y749" s="341">
        <f>IF('General price list'!$AB751="",0,'General price list'!$AB751)</f>
        <v>0</v>
      </c>
      <c r="Z749" s="365" t="str">
        <f>IFERROR(X749*VLOOKUP(C749,'General price list'!C:I,7,FALSE),"")</f>
        <v/>
      </c>
      <c r="AA749" s="805" t="str">
        <f>IF(X749&lt;&gt;"",VLOOKUP(C749,'General price list'!C751:AN1724,MATCH("HM",Tabulka1[[#Headers],[KOD]:[NEQ]],0),FALSE),"")</f>
        <v/>
      </c>
    </row>
    <row r="750" spans="1:27">
      <c r="A750">
        <f>COUNTIF($W$22:W750,1)</f>
        <v>0</v>
      </c>
      <c r="B750">
        <v>750</v>
      </c>
      <c r="C750" s="340">
        <f>Tabulka1[[#This Row],[KOD]]</f>
        <v>0</v>
      </c>
      <c r="W750" s="804" t="str">
        <f t="shared" si="25"/>
        <v/>
      </c>
      <c r="X750" t="str">
        <f t="shared" si="26"/>
        <v/>
      </c>
      <c r="Y750" s="341">
        <f>IF('General price list'!$AB752="",0,'General price list'!$AB752)</f>
        <v>0</v>
      </c>
      <c r="Z750" s="365" t="str">
        <f>IFERROR(X750*VLOOKUP(C750,'General price list'!C:I,7,FALSE),"")</f>
        <v/>
      </c>
      <c r="AA750" s="805" t="str">
        <f>IF(X750&lt;&gt;"",VLOOKUP(C750,'General price list'!C752:AN1725,MATCH("HM",Tabulka1[[#Headers],[KOD]:[NEQ]],0),FALSE),"")</f>
        <v/>
      </c>
    </row>
    <row r="751" spans="1:27">
      <c r="A751">
        <f>COUNTIF($W$22:W751,1)</f>
        <v>0</v>
      </c>
      <c r="B751">
        <v>751</v>
      </c>
      <c r="C751" s="340" t="str">
        <f>Tabulka1[[#This Row],[KOD]]</f>
        <v>C148MXP14</v>
      </c>
      <c r="W751" s="804" t="str">
        <f t="shared" si="25"/>
        <v/>
      </c>
      <c r="X751" t="str">
        <f t="shared" si="26"/>
        <v/>
      </c>
      <c r="Y751" s="341">
        <f>IF('General price list'!$AB753="",0,'General price list'!$AB753)</f>
        <v>0</v>
      </c>
      <c r="Z751" s="365" t="str">
        <f>IFERROR(X751*VLOOKUP(C751,'General price list'!C:I,7,FALSE),"")</f>
        <v/>
      </c>
      <c r="AA751" s="805" t="str">
        <f>IF(X751&lt;&gt;"",VLOOKUP(C751,'General price list'!C753:AN1726,MATCH("HM",Tabulka1[[#Headers],[KOD]:[NEQ]],0),FALSE),"")</f>
        <v/>
      </c>
    </row>
    <row r="752" spans="1:27">
      <c r="A752">
        <f>COUNTIF($W$22:W752,1)</f>
        <v>0</v>
      </c>
      <c r="B752">
        <v>752</v>
      </c>
      <c r="C752" s="340">
        <f>Tabulka1[[#This Row],[KOD]]</f>
        <v>0</v>
      </c>
      <c r="W752" s="804" t="str">
        <f t="shared" si="25"/>
        <v/>
      </c>
      <c r="X752" t="str">
        <f t="shared" si="26"/>
        <v/>
      </c>
      <c r="Y752" s="341">
        <f>IF('General price list'!$AB754="",0,'General price list'!$AB754)</f>
        <v>0</v>
      </c>
      <c r="Z752" s="365" t="str">
        <f>IFERROR(X752*VLOOKUP(C752,'General price list'!C:I,7,FALSE),"")</f>
        <v/>
      </c>
      <c r="AA752" s="805" t="str">
        <f>IF(X752&lt;&gt;"",VLOOKUP(C752,'General price list'!C754:AN1727,MATCH("HM",Tabulka1[[#Headers],[KOD]:[NEQ]],0),FALSE),"")</f>
        <v/>
      </c>
    </row>
    <row r="753" spans="1:27">
      <c r="A753">
        <f>COUNTIF($W$22:W753,1)</f>
        <v>0</v>
      </c>
      <c r="B753">
        <v>753</v>
      </c>
      <c r="C753" s="340" t="str">
        <f>Tabulka1[[#This Row],[KOD]]</f>
        <v>C165MXV14</v>
      </c>
      <c r="W753" s="804" t="str">
        <f t="shared" si="25"/>
        <v/>
      </c>
      <c r="X753" t="str">
        <f t="shared" si="26"/>
        <v/>
      </c>
      <c r="Y753" s="341">
        <f>IF('General price list'!$AB755="",0,'General price list'!$AB755)</f>
        <v>0</v>
      </c>
      <c r="Z753" s="365" t="str">
        <f>IFERROR(X753*VLOOKUP(C753,'General price list'!C:I,7,FALSE),"")</f>
        <v/>
      </c>
      <c r="AA753" s="805" t="str">
        <f>IF(X753&lt;&gt;"",VLOOKUP(C753,'General price list'!C755:AN1728,MATCH("HM",Tabulka1[[#Headers],[KOD]:[NEQ]],0),FALSE),"")</f>
        <v/>
      </c>
    </row>
    <row r="754" spans="1:27">
      <c r="A754">
        <f>COUNTIF($W$22:W754,1)</f>
        <v>0</v>
      </c>
      <c r="B754">
        <v>754</v>
      </c>
      <c r="C754" s="340">
        <f>Tabulka1[[#This Row],[KOD]]</f>
        <v>0</v>
      </c>
      <c r="W754" s="804" t="str">
        <f t="shared" si="25"/>
        <v/>
      </c>
      <c r="X754" t="str">
        <f t="shared" si="26"/>
        <v/>
      </c>
      <c r="Y754" s="341">
        <f>IF('General price list'!$AB756="",0,'General price list'!$AB756)</f>
        <v>0</v>
      </c>
      <c r="Z754" s="365" t="str">
        <f>IFERROR(X754*VLOOKUP(C754,'General price list'!C:I,7,FALSE),"")</f>
        <v/>
      </c>
      <c r="AA754" s="805" t="str">
        <f>IF(X754&lt;&gt;"",VLOOKUP(C754,'General price list'!C756:AN1729,MATCH("HM",Tabulka1[[#Headers],[KOD]:[NEQ]],0),FALSE),"")</f>
        <v/>
      </c>
    </row>
    <row r="755" spans="1:27">
      <c r="A755">
        <f>COUNTIF($W$22:W755,1)</f>
        <v>0</v>
      </c>
      <c r="B755">
        <v>755</v>
      </c>
      <c r="C755" s="340" t="str">
        <f>Tabulka1[[#This Row],[KOD]]</f>
        <v>C170MXR14</v>
      </c>
      <c r="W755" s="804" t="str">
        <f t="shared" si="25"/>
        <v/>
      </c>
      <c r="X755" t="str">
        <f t="shared" si="26"/>
        <v/>
      </c>
      <c r="Y755" s="341">
        <f>IF('General price list'!$AB757="",0,'General price list'!$AB757)</f>
        <v>0</v>
      </c>
      <c r="Z755" s="365" t="str">
        <f>IFERROR(X755*VLOOKUP(C755,'General price list'!C:I,7,FALSE),"")</f>
        <v/>
      </c>
      <c r="AA755" s="805" t="str">
        <f>IF(X755&lt;&gt;"",VLOOKUP(C755,'General price list'!C757:AN1730,MATCH("HM",Tabulka1[[#Headers],[KOD]:[NEQ]],0),FALSE),"")</f>
        <v/>
      </c>
    </row>
    <row r="756" spans="1:27">
      <c r="A756">
        <f>COUNTIF($W$22:W756,1)</f>
        <v>0</v>
      </c>
      <c r="B756">
        <v>756</v>
      </c>
      <c r="C756" s="340">
        <f>Tabulka1[[#This Row],[KOD]]</f>
        <v>0</v>
      </c>
      <c r="W756" s="804" t="str">
        <f t="shared" si="25"/>
        <v/>
      </c>
      <c r="X756" t="str">
        <f t="shared" si="26"/>
        <v/>
      </c>
      <c r="Y756" s="341">
        <f>IF('General price list'!$AB758="",0,'General price list'!$AB758)</f>
        <v>0</v>
      </c>
      <c r="Z756" s="365" t="str">
        <f>IFERROR(X756*VLOOKUP(C756,'General price list'!C:I,7,FALSE),"")</f>
        <v/>
      </c>
      <c r="AA756" s="805" t="str">
        <f>IF(X756&lt;&gt;"",VLOOKUP(C756,'General price list'!C758:AN1731,MATCH("HM",Tabulka1[[#Headers],[KOD]:[NEQ]],0),FALSE),"")</f>
        <v/>
      </c>
    </row>
    <row r="757" spans="1:27">
      <c r="A757">
        <f>COUNTIF($W$22:W757,1)</f>
        <v>0</v>
      </c>
      <c r="B757">
        <v>757</v>
      </c>
      <c r="C757" s="340">
        <f>Tabulka1[[#This Row],[KOD]]</f>
        <v>0</v>
      </c>
      <c r="W757" s="804" t="str">
        <f t="shared" si="25"/>
        <v/>
      </c>
      <c r="X757" t="str">
        <f t="shared" si="26"/>
        <v/>
      </c>
      <c r="Y757" s="341">
        <f>IF('General price list'!$AB759="",0,'General price list'!$AB759)</f>
        <v>0</v>
      </c>
      <c r="Z757" s="365" t="str">
        <f>IFERROR(X757*VLOOKUP(C757,'General price list'!C:I,7,FALSE),"")</f>
        <v/>
      </c>
      <c r="AA757" s="805" t="str">
        <f>IF(X757&lt;&gt;"",VLOOKUP(C757,'General price list'!C759:AN1732,MATCH("HM",Tabulka1[[#Headers],[KOD]:[NEQ]],0),FALSE),"")</f>
        <v/>
      </c>
    </row>
    <row r="758" spans="1:27">
      <c r="A758">
        <f>COUNTIF($W$22:W758,1)</f>
        <v>0</v>
      </c>
      <c r="B758">
        <v>758</v>
      </c>
      <c r="C758" s="340" t="str">
        <f>Tabulka1[[#This Row],[KOD]]</f>
        <v>C40FMH</v>
      </c>
      <c r="W758" s="804" t="str">
        <f t="shared" si="25"/>
        <v/>
      </c>
      <c r="X758" t="str">
        <f t="shared" si="26"/>
        <v/>
      </c>
      <c r="Y758" s="341">
        <f>IF('General price list'!$AB760="",0,'General price list'!$AB760)</f>
        <v>0</v>
      </c>
      <c r="Z758" s="365" t="str">
        <f>IFERROR(X758*VLOOKUP(C758,'General price list'!C:I,7,FALSE),"")</f>
        <v/>
      </c>
      <c r="AA758" s="805" t="str">
        <f>IF(X758&lt;&gt;"",VLOOKUP(C758,'General price list'!C760:AN1733,MATCH("HM",Tabulka1[[#Headers],[KOD]:[NEQ]],0),FALSE),"")</f>
        <v/>
      </c>
    </row>
    <row r="759" spans="1:27">
      <c r="A759">
        <f>COUNTIF($W$22:W759,1)</f>
        <v>0</v>
      </c>
      <c r="B759">
        <v>759</v>
      </c>
      <c r="C759" s="340">
        <f>Tabulka1[[#This Row],[KOD]]</f>
        <v>0</v>
      </c>
      <c r="W759" s="804" t="str">
        <f t="shared" si="25"/>
        <v/>
      </c>
      <c r="X759" t="str">
        <f t="shared" si="26"/>
        <v/>
      </c>
      <c r="Y759" s="341">
        <f>IF('General price list'!$AB761="",0,'General price list'!$AB761)</f>
        <v>0</v>
      </c>
      <c r="Z759" s="365" t="str">
        <f>IFERROR(X759*VLOOKUP(C759,'General price list'!C:I,7,FALSE),"")</f>
        <v/>
      </c>
      <c r="AA759" s="805" t="str">
        <f>IF(X759&lt;&gt;"",VLOOKUP(C759,'General price list'!C761:AN1734,MATCH("HM",Tabulka1[[#Headers],[KOD]:[NEQ]],0),FALSE),"")</f>
        <v/>
      </c>
    </row>
    <row r="760" spans="1:27">
      <c r="A760">
        <f>COUNTIF($W$22:W760,1)</f>
        <v>0</v>
      </c>
      <c r="B760">
        <v>760</v>
      </c>
      <c r="C760" s="340" t="str">
        <f>Tabulka1[[#This Row],[KOD]]</f>
        <v>C100MPT</v>
      </c>
      <c r="W760" s="804" t="str">
        <f t="shared" si="25"/>
        <v/>
      </c>
      <c r="X760" t="str">
        <f t="shared" si="26"/>
        <v/>
      </c>
      <c r="Y760" s="341">
        <f>IF('General price list'!$AB762="",0,'General price list'!$AB762)</f>
        <v>0</v>
      </c>
      <c r="Z760" s="365" t="str">
        <f>IFERROR(X760*VLOOKUP(C760,'General price list'!C:I,7,FALSE),"")</f>
        <v/>
      </c>
      <c r="AA760" s="805" t="str">
        <f>IF(X760&lt;&gt;"",VLOOKUP(C760,'General price list'!C762:AN1735,MATCH("HM",Tabulka1[[#Headers],[KOD]:[NEQ]],0),FALSE),"")</f>
        <v/>
      </c>
    </row>
    <row r="761" spans="1:27">
      <c r="A761">
        <f>COUNTIF($W$22:W761,1)</f>
        <v>0</v>
      </c>
      <c r="B761">
        <v>761</v>
      </c>
      <c r="C761" s="340" t="str">
        <f>Tabulka1[[#This Row],[KOD]]</f>
        <v>C100MN</v>
      </c>
      <c r="W761" s="804" t="str">
        <f t="shared" si="25"/>
        <v/>
      </c>
      <c r="X761" t="str">
        <f t="shared" si="26"/>
        <v/>
      </c>
      <c r="Y761" s="341">
        <f>IF('General price list'!$AB763="",0,'General price list'!$AB763)</f>
        <v>0</v>
      </c>
      <c r="Z761" s="365" t="str">
        <f>IFERROR(X761*VLOOKUP(C761,'General price list'!C:I,7,FALSE),"")</f>
        <v/>
      </c>
      <c r="AA761" s="805" t="str">
        <f>IF(X761&lt;&gt;"",VLOOKUP(C761,'General price list'!C763:AN1736,MATCH("HM",Tabulka1[[#Headers],[KOD]:[NEQ]],0),FALSE),"")</f>
        <v/>
      </c>
    </row>
    <row r="762" spans="1:27">
      <c r="A762">
        <f>COUNTIF($W$22:W762,1)</f>
        <v>0</v>
      </c>
      <c r="B762">
        <v>762</v>
      </c>
      <c r="C762" s="340">
        <f>Tabulka1[[#This Row],[KOD]]</f>
        <v>0</v>
      </c>
      <c r="W762" s="804" t="str">
        <f t="shared" si="25"/>
        <v/>
      </c>
      <c r="X762" t="str">
        <f t="shared" si="26"/>
        <v/>
      </c>
      <c r="Y762" s="341">
        <f>IF('General price list'!$AB764="",0,'General price list'!$AB764)</f>
        <v>0</v>
      </c>
      <c r="Z762" s="365" t="str">
        <f>IFERROR(X762*VLOOKUP(C762,'General price list'!C:I,7,FALSE),"")</f>
        <v/>
      </c>
      <c r="AA762" s="805" t="str">
        <f>IF(X762&lt;&gt;"",VLOOKUP(C762,'General price list'!C764:AN1737,MATCH("HM",Tabulka1[[#Headers],[KOD]:[NEQ]],0),FALSE),"")</f>
        <v/>
      </c>
    </row>
    <row r="763" spans="1:27">
      <c r="A763">
        <f>COUNTIF($W$22:W763,1)</f>
        <v>0</v>
      </c>
      <c r="B763">
        <v>763</v>
      </c>
      <c r="C763" s="340" t="str">
        <f>Tabulka1[[#This Row],[KOD]]</f>
        <v>C106MH</v>
      </c>
      <c r="W763" s="804" t="str">
        <f t="shared" si="25"/>
        <v/>
      </c>
      <c r="X763" t="str">
        <f t="shared" si="26"/>
        <v/>
      </c>
      <c r="Y763" s="341">
        <f>IF('General price list'!$AB765="",0,'General price list'!$AB765)</f>
        <v>0</v>
      </c>
      <c r="Z763" s="365" t="str">
        <f>IFERROR(X763*VLOOKUP(C763,'General price list'!C:I,7,FALSE),"")</f>
        <v/>
      </c>
      <c r="AA763" s="805" t="str">
        <f>IF(X763&lt;&gt;"",VLOOKUP(C763,'General price list'!C765:AN1738,MATCH("HM",Tabulka1[[#Headers],[KOD]:[NEQ]],0),FALSE),"")</f>
        <v/>
      </c>
    </row>
    <row r="764" spans="1:27">
      <c r="A764">
        <f>COUNTIF($W$22:W764,1)</f>
        <v>0</v>
      </c>
      <c r="B764">
        <v>764</v>
      </c>
      <c r="C764" s="340" t="str">
        <f>Tabulka1[[#This Row],[KOD]]</f>
        <v>C106MB</v>
      </c>
      <c r="W764" s="804" t="str">
        <f t="shared" si="25"/>
        <v/>
      </c>
      <c r="X764" t="str">
        <f t="shared" si="26"/>
        <v/>
      </c>
      <c r="Y764" s="341">
        <f>IF('General price list'!$AB766="",0,'General price list'!$AB766)</f>
        <v>0</v>
      </c>
      <c r="Z764" s="365" t="str">
        <f>IFERROR(X764*VLOOKUP(C764,'General price list'!C:I,7,FALSE),"")</f>
        <v/>
      </c>
      <c r="AA764" s="805" t="str">
        <f>IF(X764&lt;&gt;"",VLOOKUP(C764,'General price list'!C766:AN1739,MATCH("HM",Tabulka1[[#Headers],[KOD]:[NEQ]],0),FALSE),"")</f>
        <v/>
      </c>
    </row>
    <row r="765" spans="1:27">
      <c r="A765">
        <f>COUNTIF($W$22:W765,1)</f>
        <v>0</v>
      </c>
      <c r="B765">
        <v>765</v>
      </c>
      <c r="C765" s="340">
        <f>Tabulka1[[#This Row],[KOD]]</f>
        <v>0</v>
      </c>
      <c r="W765" s="804" t="str">
        <f t="shared" si="25"/>
        <v/>
      </c>
      <c r="X765" t="str">
        <f t="shared" si="26"/>
        <v/>
      </c>
      <c r="Y765" s="341">
        <f>IF('General price list'!$AB767="",0,'General price list'!$AB767)</f>
        <v>0</v>
      </c>
      <c r="Z765" s="365" t="str">
        <f>IFERROR(X765*VLOOKUP(C765,'General price list'!C:I,7,FALSE),"")</f>
        <v/>
      </c>
      <c r="AA765" s="805" t="str">
        <f>IF(X765&lt;&gt;"",VLOOKUP(C765,'General price list'!C767:AN1740,MATCH("HM",Tabulka1[[#Headers],[KOD]:[NEQ]],0),FALSE),"")</f>
        <v/>
      </c>
    </row>
    <row r="766" spans="1:27">
      <c r="A766">
        <f>COUNTIF($W$22:W766,1)</f>
        <v>0</v>
      </c>
      <c r="B766">
        <v>766</v>
      </c>
      <c r="C766" s="340" t="str">
        <f>Tabulka1[[#This Row],[KOD]]</f>
        <v>C109MG</v>
      </c>
      <c r="W766" s="804" t="str">
        <f t="shared" si="25"/>
        <v/>
      </c>
      <c r="X766" t="str">
        <f t="shared" si="26"/>
        <v/>
      </c>
      <c r="Y766" s="341">
        <f>IF('General price list'!$AB768="",0,'General price list'!$AB768)</f>
        <v>0</v>
      </c>
      <c r="Z766" s="365" t="str">
        <f>IFERROR(X766*VLOOKUP(C766,'General price list'!C:I,7,FALSE),"")</f>
        <v/>
      </c>
      <c r="AA766" s="805" t="str">
        <f>IF(X766&lt;&gt;"",VLOOKUP(C766,'General price list'!C768:AN1741,MATCH("HM",Tabulka1[[#Headers],[KOD]:[NEQ]],0),FALSE),"")</f>
        <v/>
      </c>
    </row>
    <row r="767" spans="1:27">
      <c r="A767">
        <f>COUNTIF($W$22:W767,1)</f>
        <v>0</v>
      </c>
      <c r="B767">
        <v>767</v>
      </c>
      <c r="C767" s="340" t="str">
        <f>Tabulka1[[#This Row],[KOD]]</f>
        <v>C109MM</v>
      </c>
      <c r="W767" s="804" t="str">
        <f t="shared" si="25"/>
        <v/>
      </c>
      <c r="X767" t="str">
        <f t="shared" si="26"/>
        <v/>
      </c>
      <c r="Y767" s="341">
        <f>IF('General price list'!$AB769="",0,'General price list'!$AB769)</f>
        <v>0</v>
      </c>
      <c r="Z767" s="365" t="str">
        <f>IFERROR(X767*VLOOKUP(C767,'General price list'!C:I,7,FALSE),"")</f>
        <v/>
      </c>
      <c r="AA767" s="805" t="str">
        <f>IF(X767&lt;&gt;"",VLOOKUP(C767,'General price list'!C769:AN1742,MATCH("HM",Tabulka1[[#Headers],[KOD]:[NEQ]],0),FALSE),"")</f>
        <v/>
      </c>
    </row>
    <row r="768" spans="1:27">
      <c r="A768">
        <f>COUNTIF($W$22:W768,1)</f>
        <v>0</v>
      </c>
      <c r="B768">
        <v>768</v>
      </c>
      <c r="C768" s="340">
        <f>Tabulka1[[#This Row],[KOD]]</f>
        <v>0</v>
      </c>
      <c r="W768" s="804" t="str">
        <f t="shared" si="25"/>
        <v/>
      </c>
      <c r="X768" t="str">
        <f t="shared" si="26"/>
        <v/>
      </c>
      <c r="Y768" s="341">
        <f>IF('General price list'!$AB770="",0,'General price list'!$AB770)</f>
        <v>0</v>
      </c>
      <c r="Z768" s="365" t="str">
        <f>IFERROR(X768*VLOOKUP(C768,'General price list'!C:I,7,FALSE),"")</f>
        <v/>
      </c>
      <c r="AA768" s="805" t="str">
        <f>IF(X768&lt;&gt;"",VLOOKUP(C768,'General price list'!C770:AN1743,MATCH("HM",Tabulka1[[#Headers],[KOD]:[NEQ]],0),FALSE),"")</f>
        <v/>
      </c>
    </row>
    <row r="769" spans="1:27">
      <c r="A769">
        <f>COUNTIF($W$22:W769,1)</f>
        <v>0</v>
      </c>
      <c r="B769">
        <v>769</v>
      </c>
      <c r="C769" s="340" t="str">
        <f>Tabulka1[[#This Row],[KOD]]</f>
        <v>C100MTS/C14</v>
      </c>
      <c r="W769" s="804" t="str">
        <f t="shared" si="25"/>
        <v/>
      </c>
      <c r="X769" t="str">
        <f t="shared" si="26"/>
        <v/>
      </c>
      <c r="Y769" s="341">
        <f>IF('General price list'!$AB771="",0,'General price list'!$AB771)</f>
        <v>0</v>
      </c>
      <c r="Z769" s="365" t="str">
        <f>IFERROR(X769*VLOOKUP(C769,'General price list'!C:I,7,FALSE),"")</f>
        <v/>
      </c>
      <c r="AA769" s="805" t="str">
        <f>IF(X769&lt;&gt;"",VLOOKUP(C769,'General price list'!C771:AN1744,MATCH("HM",Tabulka1[[#Headers],[KOD]:[NEQ]],0),FALSE),"")</f>
        <v/>
      </c>
    </row>
    <row r="770" spans="1:27">
      <c r="A770">
        <f>COUNTIF($W$22:W770,1)</f>
        <v>0</v>
      </c>
      <c r="B770">
        <v>770</v>
      </c>
      <c r="C770" s="340" t="str">
        <f>Tabulka1[[#This Row],[KOD]]</f>
        <v>C100MPT/C14</v>
      </c>
      <c r="W770" s="804" t="str">
        <f t="shared" si="25"/>
        <v/>
      </c>
      <c r="X770" t="str">
        <f t="shared" si="26"/>
        <v/>
      </c>
      <c r="Y770" s="341">
        <f>IF('General price list'!$AB772="",0,'General price list'!$AB772)</f>
        <v>0</v>
      </c>
      <c r="Z770" s="365" t="str">
        <f>IFERROR(X770*VLOOKUP(C770,'General price list'!C:I,7,FALSE),"")</f>
        <v/>
      </c>
      <c r="AA770" s="805" t="str">
        <f>IF(X770&lt;&gt;"",VLOOKUP(C770,'General price list'!C772:AN1745,MATCH("HM",Tabulka1[[#Headers],[KOD]:[NEQ]],0),FALSE),"")</f>
        <v/>
      </c>
    </row>
    <row r="771" spans="1:27">
      <c r="A771">
        <f>COUNTIF($W$22:W771,1)</f>
        <v>0</v>
      </c>
      <c r="B771">
        <v>771</v>
      </c>
      <c r="C771" s="340" t="str">
        <f>Tabulka1[[#This Row],[KOD]]</f>
        <v>C124MXM/C14</v>
      </c>
      <c r="W771" s="804" t="str">
        <f t="shared" si="25"/>
        <v/>
      </c>
      <c r="X771" t="str">
        <f t="shared" si="26"/>
        <v/>
      </c>
      <c r="Y771" s="341">
        <f>IF('General price list'!$AB773="",0,'General price list'!$AB773)</f>
        <v>0</v>
      </c>
      <c r="Z771" s="365" t="str">
        <f>IFERROR(X771*VLOOKUP(C771,'General price list'!C:I,7,FALSE),"")</f>
        <v/>
      </c>
      <c r="AA771" s="805" t="str">
        <f>IF(X771&lt;&gt;"",VLOOKUP(C771,'General price list'!C773:AN1746,MATCH("HM",Tabulka1[[#Headers],[KOD]:[NEQ]],0),FALSE),"")</f>
        <v/>
      </c>
    </row>
    <row r="772" spans="1:27">
      <c r="A772">
        <f>COUNTIF($W$22:W772,1)</f>
        <v>0</v>
      </c>
      <c r="B772">
        <v>772</v>
      </c>
      <c r="C772" s="340" t="str">
        <f>Tabulka1[[#This Row],[KOD]]</f>
        <v>C128MS/C14</v>
      </c>
      <c r="W772" s="804" t="str">
        <f t="shared" si="25"/>
        <v/>
      </c>
      <c r="X772" t="str">
        <f t="shared" si="26"/>
        <v/>
      </c>
      <c r="Y772" s="341">
        <f>IF('General price list'!$AB774="",0,'General price list'!$AB774)</f>
        <v>0</v>
      </c>
      <c r="Z772" s="365" t="str">
        <f>IFERROR(X772*VLOOKUP(C772,'General price list'!C:I,7,FALSE),"")</f>
        <v/>
      </c>
      <c r="AA772" s="805" t="str">
        <f>IF(X772&lt;&gt;"",VLOOKUP(C772,'General price list'!C774:AN1747,MATCH("HM",Tabulka1[[#Headers],[KOD]:[NEQ]],0),FALSE),"")</f>
        <v/>
      </c>
    </row>
    <row r="773" spans="1:27">
      <c r="A773">
        <f>COUNTIF($W$22:W773,1)</f>
        <v>0</v>
      </c>
      <c r="B773">
        <v>773</v>
      </c>
      <c r="C773" s="340" t="str">
        <f>Tabulka1[[#This Row],[KOD]]</f>
        <v>C136XMTS/C14</v>
      </c>
      <c r="W773" s="804" t="str">
        <f t="shared" si="25"/>
        <v/>
      </c>
      <c r="X773" t="str">
        <f t="shared" si="26"/>
        <v/>
      </c>
      <c r="Y773" s="341">
        <f>IF('General price list'!$AB775="",0,'General price list'!$AB775)</f>
        <v>0</v>
      </c>
      <c r="Z773" s="365" t="str">
        <f>IFERROR(X773*VLOOKUP(C773,'General price list'!C:I,7,FALSE),"")</f>
        <v/>
      </c>
      <c r="AA773" s="805" t="str">
        <f>IF(X773&lt;&gt;"",VLOOKUP(C773,'General price list'!C775:AN1748,MATCH("HM",Tabulka1[[#Headers],[KOD]:[NEQ]],0),FALSE),"")</f>
        <v/>
      </c>
    </row>
    <row r="774" spans="1:27">
      <c r="A774">
        <f>COUNTIF($W$22:W774,1)</f>
        <v>0</v>
      </c>
      <c r="B774">
        <v>774</v>
      </c>
      <c r="C774" s="340" t="str">
        <f>Tabulka1[[#This Row],[KOD]]</f>
        <v>C136XMK/C14</v>
      </c>
      <c r="W774" s="804" t="str">
        <f t="shared" si="25"/>
        <v/>
      </c>
      <c r="X774" t="str">
        <f t="shared" si="26"/>
        <v/>
      </c>
      <c r="Y774" s="341">
        <f>IF('General price list'!$AB776="",0,'General price list'!$AB776)</f>
        <v>0</v>
      </c>
      <c r="Z774" s="365" t="str">
        <f>IFERROR(X774*VLOOKUP(C774,'General price list'!C:I,7,FALSE),"")</f>
        <v/>
      </c>
      <c r="AA774" s="805" t="str">
        <f>IF(X774&lt;&gt;"",VLOOKUP(C774,'General price list'!C776:AN1749,MATCH("HM",Tabulka1[[#Headers],[KOD]:[NEQ]],0),FALSE),"")</f>
        <v/>
      </c>
    </row>
    <row r="775" spans="1:27">
      <c r="A775">
        <f>COUNTIF($W$22:W775,1)</f>
        <v>0</v>
      </c>
      <c r="B775">
        <v>775</v>
      </c>
      <c r="C775" s="340" t="str">
        <f>Tabulka1[[#This Row],[KOD]]</f>
        <v>C150MXH/C14</v>
      </c>
      <c r="W775" s="804" t="str">
        <f t="shared" si="25"/>
        <v/>
      </c>
      <c r="X775" t="str">
        <f t="shared" si="26"/>
        <v/>
      </c>
      <c r="Y775" s="341">
        <f>IF('General price list'!$AB777="",0,'General price list'!$AB777)</f>
        <v>0</v>
      </c>
      <c r="Z775" s="365" t="str">
        <f>IFERROR(X775*VLOOKUP(C775,'General price list'!C:I,7,FALSE),"")</f>
        <v/>
      </c>
      <c r="AA775" s="805" t="str">
        <f>IF(X775&lt;&gt;"",VLOOKUP(C775,'General price list'!C777:AN1750,MATCH("HM",Tabulka1[[#Headers],[KOD]:[NEQ]],0),FALSE),"")</f>
        <v/>
      </c>
    </row>
    <row r="776" spans="1:27">
      <c r="A776">
        <f>COUNTIF($W$22:W776,1)</f>
        <v>0</v>
      </c>
      <c r="B776">
        <v>776</v>
      </c>
      <c r="C776" s="340" t="str">
        <f>Tabulka1[[#This Row],[KOD]]</f>
        <v>C154MXB/C14</v>
      </c>
      <c r="W776" s="804" t="str">
        <f t="shared" si="25"/>
        <v/>
      </c>
      <c r="X776" t="str">
        <f t="shared" si="26"/>
        <v/>
      </c>
      <c r="Y776" s="341">
        <f>IF('General price list'!$AB778="",0,'General price list'!$AB778)</f>
        <v>0</v>
      </c>
      <c r="Z776" s="365" t="str">
        <f>IFERROR(X776*VLOOKUP(C776,'General price list'!C:I,7,FALSE),"")</f>
        <v/>
      </c>
      <c r="AA776" s="805" t="str">
        <f>IF(X776&lt;&gt;"",VLOOKUP(C776,'General price list'!C778:AN1751,MATCH("HM",Tabulka1[[#Headers],[KOD]:[NEQ]],0),FALSE),"")</f>
        <v/>
      </c>
    </row>
    <row r="777" spans="1:27">
      <c r="A777">
        <f>COUNTIF($W$22:W777,1)</f>
        <v>0</v>
      </c>
      <c r="B777">
        <v>777</v>
      </c>
      <c r="C777" s="340" t="str">
        <f>Tabulka1[[#This Row],[KOD]]</f>
        <v>C270MXM/C14</v>
      </c>
      <c r="W777" s="804" t="str">
        <f t="shared" si="25"/>
        <v/>
      </c>
      <c r="X777" t="str">
        <f t="shared" si="26"/>
        <v/>
      </c>
      <c r="Y777" s="341">
        <f>IF('General price list'!$AB779="",0,'General price list'!$AB779)</f>
        <v>0</v>
      </c>
      <c r="Z777" s="365" t="str">
        <f>IFERROR(X777*VLOOKUP(C777,'General price list'!C:I,7,FALSE),"")</f>
        <v/>
      </c>
      <c r="AA777" s="805" t="str">
        <f>IF(X777&lt;&gt;"",VLOOKUP(C777,'General price list'!C779:AN1752,MATCH("HM",Tabulka1[[#Headers],[KOD]:[NEQ]],0),FALSE),"")</f>
        <v/>
      </c>
    </row>
    <row r="778" spans="1:27">
      <c r="A778">
        <f>COUNTIF($W$22:W778,1)</f>
        <v>0</v>
      </c>
      <c r="B778">
        <v>778</v>
      </c>
      <c r="C778" s="340" t="str">
        <f>Tabulka1[[#This Row],[KOD]]</f>
        <v>C296MXH/C14</v>
      </c>
      <c r="W778" s="804" t="str">
        <f t="shared" si="25"/>
        <v/>
      </c>
      <c r="X778" t="str">
        <f t="shared" si="26"/>
        <v/>
      </c>
      <c r="Y778" s="341">
        <f>IF('General price list'!$AB780="",0,'General price list'!$AB780)</f>
        <v>0</v>
      </c>
      <c r="Z778" s="365" t="str">
        <f>IFERROR(X778*VLOOKUP(C778,'General price list'!C:I,7,FALSE),"")</f>
        <v/>
      </c>
      <c r="AA778" s="805" t="str">
        <f>IF(X778&lt;&gt;"",VLOOKUP(C778,'General price list'!C780:AN1753,MATCH("HM",Tabulka1[[#Headers],[KOD]:[NEQ]],0),FALSE),"")</f>
        <v/>
      </c>
    </row>
    <row r="779" spans="1:27">
      <c r="A779">
        <f>COUNTIF($W$22:W779,1)</f>
        <v>0</v>
      </c>
      <c r="B779">
        <v>779</v>
      </c>
      <c r="C779" s="340" t="str">
        <f>Tabulka1[[#This Row],[KOD]]</f>
        <v>C330MXR/C14</v>
      </c>
      <c r="W779" s="804" t="str">
        <f t="shared" si="25"/>
        <v/>
      </c>
      <c r="X779" t="str">
        <f t="shared" si="26"/>
        <v/>
      </c>
      <c r="Y779" s="341">
        <f>IF('General price list'!$AB781="",0,'General price list'!$AB781)</f>
        <v>0</v>
      </c>
      <c r="Z779" s="365" t="str">
        <f>IFERROR(X779*VLOOKUP(C779,'General price list'!C:I,7,FALSE),"")</f>
        <v/>
      </c>
      <c r="AA779" s="805" t="str">
        <f>IF(X779&lt;&gt;"",VLOOKUP(C779,'General price list'!C781:AN1754,MATCH("HM",Tabulka1[[#Headers],[KOD]:[NEQ]],0),FALSE),"")</f>
        <v/>
      </c>
    </row>
    <row r="780" spans="1:27">
      <c r="A780">
        <f>COUNTIF($W$22:W780,1)</f>
        <v>0</v>
      </c>
      <c r="B780">
        <v>780</v>
      </c>
      <c r="C780" s="340">
        <f>Tabulka1[[#This Row],[KOD]]</f>
        <v>0</v>
      </c>
      <c r="W780" s="804" t="str">
        <f t="shared" si="25"/>
        <v/>
      </c>
      <c r="X780" t="str">
        <f t="shared" si="26"/>
        <v/>
      </c>
      <c r="Y780" s="341">
        <f>IF('General price list'!$AB782="",0,'General price list'!$AB782)</f>
        <v>0</v>
      </c>
      <c r="Z780" s="365" t="str">
        <f>IFERROR(X780*VLOOKUP(C780,'General price list'!C:I,7,FALSE),"")</f>
        <v/>
      </c>
      <c r="AA780" s="805" t="str">
        <f>IF(X780&lt;&gt;"",VLOOKUP(C780,'General price list'!C782:AN1755,MATCH("HM",Tabulka1[[#Headers],[KOD]:[NEQ]],0),FALSE),"")</f>
        <v/>
      </c>
    </row>
    <row r="781" spans="1:27">
      <c r="A781">
        <f>COUNTIF($W$22:W781,1)</f>
        <v>0</v>
      </c>
      <c r="B781">
        <v>781</v>
      </c>
      <c r="C781" s="340" t="str">
        <f>Tabulka1[[#This Row],[KOD]]</f>
        <v>C150MF/C14</v>
      </c>
      <c r="W781" s="804" t="str">
        <f t="shared" si="25"/>
        <v/>
      </c>
      <c r="X781" t="str">
        <f t="shared" si="26"/>
        <v/>
      </c>
      <c r="Y781" s="341">
        <f>IF('General price list'!$AB783="",0,'General price list'!$AB783)</f>
        <v>0</v>
      </c>
      <c r="Z781" s="365" t="str">
        <f>IFERROR(X781*VLOOKUP(C781,'General price list'!C:I,7,FALSE),"")</f>
        <v/>
      </c>
      <c r="AA781" s="805" t="str">
        <f>IF(X781&lt;&gt;"",VLOOKUP(C781,'General price list'!C783:AN1756,MATCH("HM",Tabulka1[[#Headers],[KOD]:[NEQ]],0),FALSE),"")</f>
        <v/>
      </c>
    </row>
    <row r="782" spans="1:27">
      <c r="A782">
        <f>COUNTIF($W$22:W782,1)</f>
        <v>0</v>
      </c>
      <c r="B782">
        <v>782</v>
      </c>
      <c r="C782" s="340" t="str">
        <f>Tabulka1[[#This Row],[KOD]]</f>
        <v>C200MF/C14</v>
      </c>
      <c r="W782" s="804" t="str">
        <f t="shared" si="25"/>
        <v/>
      </c>
      <c r="X782" t="str">
        <f t="shared" si="26"/>
        <v/>
      </c>
      <c r="Y782" s="341">
        <f>IF('General price list'!$AB784="",0,'General price list'!$AB784)</f>
        <v>0</v>
      </c>
      <c r="Z782" s="365" t="str">
        <f>IFERROR(X782*VLOOKUP(C782,'General price list'!C:I,7,FALSE),"")</f>
        <v/>
      </c>
      <c r="AA782" s="805" t="str">
        <f>IF(X782&lt;&gt;"",VLOOKUP(C782,'General price list'!C784:AN1757,MATCH("HM",Tabulka1[[#Headers],[KOD]:[NEQ]],0),FALSE),"")</f>
        <v/>
      </c>
    </row>
    <row r="783" spans="1:27">
      <c r="A783">
        <f>COUNTIF($W$22:W783,1)</f>
        <v>0</v>
      </c>
      <c r="B783">
        <v>783</v>
      </c>
      <c r="C783" s="340" t="str">
        <f>Tabulka1[[#This Row],[KOD]]</f>
        <v>C204XMPT/C14</v>
      </c>
      <c r="W783" s="804" t="str">
        <f t="shared" si="25"/>
        <v/>
      </c>
      <c r="X783" t="str">
        <f t="shared" si="26"/>
        <v/>
      </c>
      <c r="Y783" s="341">
        <f>IF('General price list'!$AB785="",0,'General price list'!$AB785)</f>
        <v>0</v>
      </c>
      <c r="Z783" s="365" t="str">
        <f>IFERROR(X783*VLOOKUP(C783,'General price list'!C:I,7,FALSE),"")</f>
        <v/>
      </c>
      <c r="AA783" s="805" t="str">
        <f>IF(X783&lt;&gt;"",VLOOKUP(C783,'General price list'!C785:AN1758,MATCH("HM",Tabulka1[[#Headers],[KOD]:[NEQ]],0),FALSE),"")</f>
        <v/>
      </c>
    </row>
    <row r="784" spans="1:27">
      <c r="A784">
        <f>COUNTIF($W$22:W784,1)</f>
        <v>0</v>
      </c>
      <c r="B784">
        <v>784</v>
      </c>
      <c r="C784" s="340" t="str">
        <f>Tabulka1[[#This Row],[KOD]]</f>
        <v>C216XMFS/C14</v>
      </c>
      <c r="W784" s="804" t="str">
        <f t="shared" si="25"/>
        <v/>
      </c>
      <c r="X784" t="str">
        <f t="shared" si="26"/>
        <v/>
      </c>
      <c r="Y784" s="341">
        <f>IF('General price list'!$AB786="",0,'General price list'!$AB786)</f>
        <v>0</v>
      </c>
      <c r="Z784" s="365" t="str">
        <f>IFERROR(X784*VLOOKUP(C784,'General price list'!C:I,7,FALSE),"")</f>
        <v/>
      </c>
      <c r="AA784" s="805" t="str">
        <f>IF(X784&lt;&gt;"",VLOOKUP(C784,'General price list'!C786:AN1759,MATCH("HM",Tabulka1[[#Headers],[KOD]:[NEQ]],0),FALSE),"")</f>
        <v/>
      </c>
    </row>
    <row r="785" spans="1:27">
      <c r="A785">
        <f>COUNTIF($W$22:W785,1)</f>
        <v>0</v>
      </c>
      <c r="B785">
        <v>785</v>
      </c>
      <c r="C785" s="340" t="str">
        <f>Tabulka1[[#This Row],[KOD]]</f>
        <v>C223XMK/C14</v>
      </c>
      <c r="W785" s="804" t="str">
        <f t="shared" si="25"/>
        <v/>
      </c>
      <c r="X785" t="str">
        <f t="shared" si="26"/>
        <v/>
      </c>
      <c r="Y785" s="341">
        <f>IF('General price list'!$AB787="",0,'General price list'!$AB787)</f>
        <v>0</v>
      </c>
      <c r="Z785" s="365" t="str">
        <f>IFERROR(X785*VLOOKUP(C785,'General price list'!C:I,7,FALSE),"")</f>
        <v/>
      </c>
      <c r="AA785" s="805" t="str">
        <f>IF(X785&lt;&gt;"",VLOOKUP(C785,'General price list'!C787:AN1760,MATCH("HM",Tabulka1[[#Headers],[KOD]:[NEQ]],0),FALSE),"")</f>
        <v/>
      </c>
    </row>
    <row r="786" spans="1:27">
      <c r="A786">
        <f>COUNTIF($W$22:W786,1)</f>
        <v>0</v>
      </c>
      <c r="B786">
        <v>786</v>
      </c>
      <c r="C786" s="340" t="str">
        <f>Tabulka1[[#This Row],[KOD]]</f>
        <v>C510MXU/C14</v>
      </c>
      <c r="W786" s="804" t="str">
        <f t="shared" si="25"/>
        <v/>
      </c>
      <c r="X786" t="str">
        <f t="shared" si="26"/>
        <v/>
      </c>
      <c r="Y786" s="341">
        <f>IF('General price list'!$AB788="",0,'General price list'!$AB788)</f>
        <v>0</v>
      </c>
      <c r="Z786" s="365" t="str">
        <f>IFERROR(X786*VLOOKUP(C786,'General price list'!C:I,7,FALSE),"")</f>
        <v/>
      </c>
      <c r="AA786" s="805" t="str">
        <f>IF(X786&lt;&gt;"",VLOOKUP(C786,'General price list'!C788:AN1761,MATCH("HM",Tabulka1[[#Headers],[KOD]:[NEQ]],0),FALSE),"")</f>
        <v/>
      </c>
    </row>
    <row r="787" spans="1:27">
      <c r="A787">
        <f>COUNTIF($W$22:W787,1)</f>
        <v>0</v>
      </c>
      <c r="B787">
        <v>787</v>
      </c>
      <c r="C787" s="340">
        <f>Tabulka1[[#This Row],[KOD]]</f>
        <v>0</v>
      </c>
      <c r="W787" s="804" t="str">
        <f t="shared" si="25"/>
        <v/>
      </c>
      <c r="X787" t="str">
        <f t="shared" si="26"/>
        <v/>
      </c>
      <c r="Y787" s="341">
        <f>IF('General price list'!$AB789="",0,'General price list'!$AB789)</f>
        <v>0</v>
      </c>
      <c r="Z787" s="365" t="str">
        <f>IFERROR(X787*VLOOKUP(C787,'General price list'!C:I,7,FALSE),"")</f>
        <v/>
      </c>
      <c r="AA787" s="805" t="str">
        <f>IF(X787&lt;&gt;"",VLOOKUP(C787,'General price list'!C789:AN1762,MATCH("HM",Tabulka1[[#Headers],[KOD]:[NEQ]],0),FALSE),"")</f>
        <v/>
      </c>
    </row>
    <row r="788" spans="1:27">
      <c r="A788">
        <f>COUNTIF($W$22:W788,1)</f>
        <v>0</v>
      </c>
      <c r="B788">
        <v>788</v>
      </c>
      <c r="C788" s="340" t="str">
        <f>Tabulka1[[#This Row],[KOD]]</f>
        <v>C132XMPT/C</v>
      </c>
      <c r="W788" s="804" t="str">
        <f t="shared" si="25"/>
        <v/>
      </c>
      <c r="X788" t="str">
        <f t="shared" si="26"/>
        <v/>
      </c>
      <c r="Y788" s="341">
        <f>IF('General price list'!$AB790="",0,'General price list'!$AB790)</f>
        <v>0</v>
      </c>
      <c r="Z788" s="365" t="str">
        <f>IFERROR(X788*VLOOKUP(C788,'General price list'!C:I,7,FALSE),"")</f>
        <v/>
      </c>
      <c r="AA788" s="805" t="str">
        <f>IF(X788&lt;&gt;"",VLOOKUP(C788,'General price list'!C790:AN1763,MATCH("HM",Tabulka1[[#Headers],[KOD]:[NEQ]],0),FALSE),"")</f>
        <v/>
      </c>
    </row>
    <row r="789" spans="1:27">
      <c r="A789">
        <f>COUNTIF($W$22:W789,1)</f>
        <v>0</v>
      </c>
      <c r="B789">
        <v>789</v>
      </c>
      <c r="C789" s="340" t="str">
        <f>Tabulka1[[#This Row],[KOD]]</f>
        <v>C150MPT/C</v>
      </c>
      <c r="W789" s="804" t="str">
        <f t="shared" si="25"/>
        <v/>
      </c>
      <c r="X789" t="str">
        <f t="shared" si="26"/>
        <v/>
      </c>
      <c r="Y789" s="341">
        <f>IF('General price list'!$AB791="",0,'General price list'!$AB791)</f>
        <v>0</v>
      </c>
      <c r="Z789" s="365" t="str">
        <f>IFERROR(X789*VLOOKUP(C789,'General price list'!C:I,7,FALSE),"")</f>
        <v/>
      </c>
      <c r="AA789" s="805" t="str">
        <f>IF(X789&lt;&gt;"",VLOOKUP(C789,'General price list'!C791:AN1764,MATCH("HM",Tabulka1[[#Headers],[KOD]:[NEQ]],0),FALSE),"")</f>
        <v/>
      </c>
    </row>
    <row r="790" spans="1:27">
      <c r="A790">
        <f>COUNTIF($W$22:W790,1)</f>
        <v>0</v>
      </c>
      <c r="B790">
        <v>790</v>
      </c>
      <c r="C790" s="340" t="str">
        <f>Tabulka1[[#This Row],[KOD]]</f>
        <v>C150MF/C</v>
      </c>
      <c r="W790" s="804" t="str">
        <f t="shared" si="25"/>
        <v/>
      </c>
      <c r="X790" t="str">
        <f t="shared" si="26"/>
        <v/>
      </c>
      <c r="Y790" s="341">
        <f>IF('General price list'!$AB792="",0,'General price list'!$AB792)</f>
        <v>0</v>
      </c>
      <c r="Z790" s="365" t="str">
        <f>IFERROR(X790*VLOOKUP(C790,'General price list'!C:I,7,FALSE),"")</f>
        <v/>
      </c>
      <c r="AA790" s="805" t="str">
        <f>IF(X790&lt;&gt;"",VLOOKUP(C790,'General price list'!C792:AN1765,MATCH("HM",Tabulka1[[#Headers],[KOD]:[NEQ]],0),FALSE),"")</f>
        <v/>
      </c>
    </row>
    <row r="791" spans="1:27">
      <c r="A791">
        <f>COUNTIF($W$22:W791,1)</f>
        <v>0</v>
      </c>
      <c r="B791">
        <v>791</v>
      </c>
      <c r="C791" s="340" t="str">
        <f>Tabulka1[[#This Row],[KOD]]</f>
        <v>C200MF/C</v>
      </c>
      <c r="W791" s="804" t="str">
        <f t="shared" si="25"/>
        <v/>
      </c>
      <c r="X791" t="str">
        <f t="shared" si="26"/>
        <v/>
      </c>
      <c r="Y791" s="341">
        <f>IF('General price list'!$AB793="",0,'General price list'!$AB793)</f>
        <v>0</v>
      </c>
      <c r="Z791" s="365" t="str">
        <f>IFERROR(X791*VLOOKUP(C791,'General price list'!C:I,7,FALSE),"")</f>
        <v/>
      </c>
      <c r="AA791" s="805" t="str">
        <f>IF(X791&lt;&gt;"",VLOOKUP(C791,'General price list'!C793:AN1766,MATCH("HM",Tabulka1[[#Headers],[KOD]:[NEQ]],0),FALSE),"")</f>
        <v/>
      </c>
    </row>
    <row r="792" spans="1:27">
      <c r="A792">
        <f>COUNTIF($W$22:W792,1)</f>
        <v>0</v>
      </c>
      <c r="B792">
        <v>792</v>
      </c>
      <c r="C792" s="340" t="str">
        <f>Tabulka1[[#This Row],[KOD]]</f>
        <v>C204XMPT/C</v>
      </c>
      <c r="W792" s="804" t="str">
        <f t="shared" si="25"/>
        <v/>
      </c>
      <c r="X792" t="str">
        <f t="shared" si="26"/>
        <v/>
      </c>
      <c r="Y792" s="341">
        <f>IF('General price list'!$AB794="",0,'General price list'!$AB794)</f>
        <v>0</v>
      </c>
      <c r="Z792" s="365" t="str">
        <f>IFERROR(X792*VLOOKUP(C792,'General price list'!C:I,7,FALSE),"")</f>
        <v/>
      </c>
      <c r="AA792" s="805" t="str">
        <f>IF(X792&lt;&gt;"",VLOOKUP(C792,'General price list'!C794:AN1767,MATCH("HM",Tabulka1[[#Headers],[KOD]:[NEQ]],0),FALSE),"")</f>
        <v/>
      </c>
    </row>
    <row r="793" spans="1:27">
      <c r="A793">
        <f>COUNTIF($W$22:W793,1)</f>
        <v>0</v>
      </c>
      <c r="B793">
        <v>793</v>
      </c>
      <c r="C793" s="340" t="str">
        <f>Tabulka1[[#This Row],[KOD]]</f>
        <v>C216XMFS/C</v>
      </c>
      <c r="W793" s="804" t="str">
        <f t="shared" ref="W793:W856" si="27">IF(Y793+1=1,"",1)</f>
        <v/>
      </c>
      <c r="X793" t="str">
        <f t="shared" ref="X793:X856" si="28">IF(OR(A793&lt;$E$20,A793&gt;$E$21),"",IF(Y793=0,"",Y793))</f>
        <v/>
      </c>
      <c r="Y793" s="341">
        <f>IF('General price list'!$AB795="",0,'General price list'!$AB795)</f>
        <v>0</v>
      </c>
      <c r="Z793" s="365" t="str">
        <f>IFERROR(X793*VLOOKUP(C793,'General price list'!C:I,7,FALSE),"")</f>
        <v/>
      </c>
      <c r="AA793" s="805" t="str">
        <f>IF(X793&lt;&gt;"",VLOOKUP(C793,'General price list'!C795:AN1768,MATCH("HM",Tabulka1[[#Headers],[KOD]:[NEQ]],0),FALSE),"")</f>
        <v/>
      </c>
    </row>
    <row r="794" spans="1:27">
      <c r="A794">
        <f>COUNTIF($W$22:W794,1)</f>
        <v>0</v>
      </c>
      <c r="B794">
        <v>794</v>
      </c>
      <c r="C794" s="340" t="str">
        <f>Tabulka1[[#This Row],[KOD]]</f>
        <v>C223XMK/C</v>
      </c>
      <c r="W794" s="804" t="str">
        <f t="shared" si="27"/>
        <v/>
      </c>
      <c r="X794" t="str">
        <f t="shared" si="28"/>
        <v/>
      </c>
      <c r="Y794" s="341">
        <f>IF('General price list'!$AB796="",0,'General price list'!$AB796)</f>
        <v>0</v>
      </c>
      <c r="Z794" s="365" t="str">
        <f>IFERROR(X794*VLOOKUP(C794,'General price list'!C:I,7,FALSE),"")</f>
        <v/>
      </c>
      <c r="AA794" s="805" t="str">
        <f>IF(X794&lt;&gt;"",VLOOKUP(C794,'General price list'!C796:AN1769,MATCH("HM",Tabulka1[[#Headers],[KOD]:[NEQ]],0),FALSE),"")</f>
        <v/>
      </c>
    </row>
    <row r="795" spans="1:27">
      <c r="A795">
        <f>COUNTIF($W$22:W795,1)</f>
        <v>0</v>
      </c>
      <c r="B795">
        <v>795</v>
      </c>
      <c r="C795" s="340" t="str">
        <f>Tabulka1[[#This Row],[KOD]]</f>
        <v>C248MXY/C</v>
      </c>
      <c r="W795" s="804" t="str">
        <f t="shared" si="27"/>
        <v/>
      </c>
      <c r="X795" t="str">
        <f t="shared" si="28"/>
        <v/>
      </c>
      <c r="Y795" s="341">
        <f>IF('General price list'!$AB797="",0,'General price list'!$AB797)</f>
        <v>0</v>
      </c>
      <c r="Z795" s="365" t="str">
        <f>IFERROR(X795*VLOOKUP(C795,'General price list'!C:I,7,FALSE),"")</f>
        <v/>
      </c>
      <c r="AA795" s="805" t="str">
        <f>IF(X795&lt;&gt;"",VLOOKUP(C795,'General price list'!C797:AN1770,MATCH("HM",Tabulka1[[#Headers],[KOD]:[NEQ]],0),FALSE),"")</f>
        <v/>
      </c>
    </row>
    <row r="796" spans="1:27">
      <c r="A796">
        <f>COUNTIF($W$22:W796,1)</f>
        <v>0</v>
      </c>
      <c r="B796">
        <v>796</v>
      </c>
      <c r="C796" s="340" t="str">
        <f>Tabulka1[[#This Row],[KOD]]</f>
        <v>C252MXB/C</v>
      </c>
      <c r="W796" s="804" t="str">
        <f t="shared" si="27"/>
        <v/>
      </c>
      <c r="X796" t="str">
        <f t="shared" si="28"/>
        <v/>
      </c>
      <c r="Y796" s="341">
        <f>IF('General price list'!$AB798="",0,'General price list'!$AB798)</f>
        <v>0</v>
      </c>
      <c r="Z796" s="365" t="str">
        <f>IFERROR(X796*VLOOKUP(C796,'General price list'!C:I,7,FALSE),"")</f>
        <v/>
      </c>
      <c r="AA796" s="805" t="str">
        <f>IF(X796&lt;&gt;"",VLOOKUP(C796,'General price list'!C798:AN1771,MATCH("HM",Tabulka1[[#Headers],[KOD]:[NEQ]],0),FALSE),"")</f>
        <v/>
      </c>
    </row>
    <row r="797" spans="1:27">
      <c r="A797">
        <f>COUNTIF($W$22:W797,1)</f>
        <v>0</v>
      </c>
      <c r="B797">
        <v>797</v>
      </c>
      <c r="C797" s="340" t="str">
        <f>Tabulka1[[#This Row],[KOD]]</f>
        <v>C316MXF/C</v>
      </c>
      <c r="W797" s="804" t="str">
        <f t="shared" si="27"/>
        <v/>
      </c>
      <c r="X797" t="str">
        <f t="shared" si="28"/>
        <v/>
      </c>
      <c r="Y797" s="341">
        <f>IF('General price list'!$AB799="",0,'General price list'!$AB799)</f>
        <v>0</v>
      </c>
      <c r="Z797" s="365" t="str">
        <f>IFERROR(X797*VLOOKUP(C797,'General price list'!C:I,7,FALSE),"")</f>
        <v/>
      </c>
      <c r="AA797" s="805" t="str">
        <f>IF(X797&lt;&gt;"",VLOOKUP(C797,'General price list'!C799:AN1772,MATCH("HM",Tabulka1[[#Headers],[KOD]:[NEQ]],0),FALSE),"")</f>
        <v/>
      </c>
    </row>
    <row r="798" spans="1:27">
      <c r="A798">
        <f>COUNTIF($W$22:W798,1)</f>
        <v>0</v>
      </c>
      <c r="B798">
        <v>798</v>
      </c>
      <c r="C798" s="340" t="str">
        <f>Tabulka1[[#This Row],[KOD]]</f>
        <v>C342MXG/C</v>
      </c>
      <c r="W798" s="804" t="str">
        <f t="shared" si="27"/>
        <v/>
      </c>
      <c r="X798" t="str">
        <f t="shared" si="28"/>
        <v/>
      </c>
      <c r="Y798" s="341">
        <f>IF('General price list'!$AB800="",0,'General price list'!$AB800)</f>
        <v>0</v>
      </c>
      <c r="Z798" s="365" t="str">
        <f>IFERROR(X798*VLOOKUP(C798,'General price list'!C:I,7,FALSE),"")</f>
        <v/>
      </c>
      <c r="AA798" s="805" t="str">
        <f>IF(X798&lt;&gt;"",VLOOKUP(C798,'General price list'!C800:AN1773,MATCH("HM",Tabulka1[[#Headers],[KOD]:[NEQ]],0),FALSE),"")</f>
        <v/>
      </c>
    </row>
    <row r="799" spans="1:27">
      <c r="A799">
        <f>COUNTIF($W$22:W799,1)</f>
        <v>0</v>
      </c>
      <c r="B799">
        <v>799</v>
      </c>
      <c r="C799" s="340" t="str">
        <f>Tabulka1[[#This Row],[KOD]]</f>
        <v>C500MXB/C</v>
      </c>
      <c r="W799" s="804" t="str">
        <f t="shared" si="27"/>
        <v/>
      </c>
      <c r="X799" t="str">
        <f t="shared" si="28"/>
        <v/>
      </c>
      <c r="Y799" s="341">
        <f>IF('General price list'!$AB801="",0,'General price list'!$AB801)</f>
        <v>0</v>
      </c>
      <c r="Z799" s="365" t="str">
        <f>IFERROR(X799*VLOOKUP(C799,'General price list'!C:I,7,FALSE),"")</f>
        <v/>
      </c>
      <c r="AA799" s="805" t="str">
        <f>IF(X799&lt;&gt;"",VLOOKUP(C799,'General price list'!C801:AN1774,MATCH("HM",Tabulka1[[#Headers],[KOD]:[NEQ]],0),FALSE),"")</f>
        <v/>
      </c>
    </row>
    <row r="800" spans="1:27">
      <c r="A800">
        <f>COUNTIF($W$22:W800,1)</f>
        <v>0</v>
      </c>
      <c r="B800">
        <v>800</v>
      </c>
      <c r="C800" s="340">
        <f>Tabulka1[[#This Row],[KOD]]</f>
        <v>0</v>
      </c>
      <c r="W800" s="804" t="str">
        <f t="shared" si="27"/>
        <v/>
      </c>
      <c r="X800" t="str">
        <f t="shared" si="28"/>
        <v/>
      </c>
      <c r="Y800" s="341">
        <f>IF('General price list'!$AB802="",0,'General price list'!$AB802)</f>
        <v>0</v>
      </c>
      <c r="Z800" s="365" t="str">
        <f>IFERROR(X800*VLOOKUP(C800,'General price list'!C:I,7,FALSE),"")</f>
        <v/>
      </c>
      <c r="AA800" s="805" t="str">
        <f>IF(X800&lt;&gt;"",VLOOKUP(C800,'General price list'!C802:AN1775,MATCH("HM",Tabulka1[[#Headers],[KOD]:[NEQ]],0),FALSE),"")</f>
        <v/>
      </c>
    </row>
    <row r="801" spans="1:27">
      <c r="A801">
        <f>COUNTIF($W$22:W801,1)</f>
        <v>0</v>
      </c>
      <c r="B801">
        <v>801</v>
      </c>
      <c r="C801" s="340" t="str">
        <f>Tabulka1[[#This Row],[KOD]]</f>
        <v>C1-C2 C425MXM/C14</v>
      </c>
      <c r="W801" s="804" t="str">
        <f t="shared" si="27"/>
        <v/>
      </c>
      <c r="X801" t="str">
        <f t="shared" si="28"/>
        <v/>
      </c>
      <c r="Y801" s="341">
        <f>IF('General price list'!$AB803="",0,'General price list'!$AB803)</f>
        <v>0</v>
      </c>
      <c r="Z801" s="365" t="str">
        <f>IFERROR(X801*VLOOKUP(C801,'General price list'!C:I,7,FALSE),"")</f>
        <v/>
      </c>
      <c r="AA801" s="805" t="str">
        <f>IF(X801&lt;&gt;"",VLOOKUP(C801,'General price list'!C803:AN1776,MATCH("HM",Tabulka1[[#Headers],[KOD]:[NEQ]],0),FALSE),"")</f>
        <v/>
      </c>
    </row>
    <row r="802" spans="1:27">
      <c r="A802">
        <f>COUNTIF($W$22:W802,1)</f>
        <v>0</v>
      </c>
      <c r="B802">
        <v>802</v>
      </c>
      <c r="C802" s="340" t="str">
        <f>Tabulka1[[#This Row],[KOD]]</f>
        <v>C3-C4 C234MXD/C14</v>
      </c>
      <c r="W802" s="804" t="str">
        <f t="shared" si="27"/>
        <v/>
      </c>
      <c r="X802" t="str">
        <f t="shared" si="28"/>
        <v/>
      </c>
      <c r="Y802" s="341">
        <f>IF('General price list'!$AB804="",0,'General price list'!$AB804)</f>
        <v>0</v>
      </c>
      <c r="Z802" s="365" t="str">
        <f>IFERROR(X802*VLOOKUP(C802,'General price list'!C:I,7,FALSE),"")</f>
        <v/>
      </c>
      <c r="AA802" s="805" t="str">
        <f>IF(X802&lt;&gt;"",VLOOKUP(C802,'General price list'!C804:AN1777,MATCH("HM",Tabulka1[[#Headers],[KOD]:[NEQ]],0),FALSE),"")</f>
        <v/>
      </c>
    </row>
    <row r="803" spans="1:27">
      <c r="A803">
        <f>COUNTIF($W$22:W803,1)</f>
        <v>0</v>
      </c>
      <c r="B803">
        <v>803</v>
      </c>
      <c r="C803" s="340" t="str">
        <f>Tabulka1[[#This Row],[KOD]]</f>
        <v>C5-C6 C303MXN/C14</v>
      </c>
      <c r="W803" s="804" t="str">
        <f t="shared" si="27"/>
        <v/>
      </c>
      <c r="X803" t="str">
        <f t="shared" si="28"/>
        <v/>
      </c>
      <c r="Y803" s="341">
        <f>IF('General price list'!$AB805="",0,'General price list'!$AB805)</f>
        <v>0</v>
      </c>
      <c r="Z803" s="365" t="str">
        <f>IFERROR(X803*VLOOKUP(C803,'General price list'!C:I,7,FALSE),"")</f>
        <v/>
      </c>
      <c r="AA803" s="805" t="str">
        <f>IF(X803&lt;&gt;"",VLOOKUP(C803,'General price list'!C805:AN1778,MATCH("HM",Tabulka1[[#Headers],[KOD]:[NEQ]],0),FALSE),"")</f>
        <v/>
      </c>
    </row>
    <row r="804" spans="1:27">
      <c r="A804">
        <f>COUNTIF($W$22:W804,1)</f>
        <v>0</v>
      </c>
      <c r="B804">
        <v>804</v>
      </c>
      <c r="C804" s="340" t="str">
        <f>Tabulka1[[#This Row],[KOD]]</f>
        <v>C1-C2 C632MXN/C14</v>
      </c>
      <c r="W804" s="804" t="str">
        <f t="shared" si="27"/>
        <v/>
      </c>
      <c r="X804" t="str">
        <f t="shared" si="28"/>
        <v/>
      </c>
      <c r="Y804" s="341">
        <f>IF('General price list'!$AB806="",0,'General price list'!$AB806)</f>
        <v>0</v>
      </c>
      <c r="Z804" s="365" t="str">
        <f>IFERROR(X804*VLOOKUP(C804,'General price list'!C:I,7,FALSE),"")</f>
        <v/>
      </c>
      <c r="AA804" s="805" t="str">
        <f>IF(X804&lt;&gt;"",VLOOKUP(C804,'General price list'!C806:AN1779,MATCH("HM",Tabulka1[[#Headers],[KOD]:[NEQ]],0),FALSE),"")</f>
        <v/>
      </c>
    </row>
    <row r="805" spans="1:27">
      <c r="A805">
        <f>COUNTIF($W$22:W805,1)</f>
        <v>0</v>
      </c>
      <c r="B805">
        <v>805</v>
      </c>
      <c r="C805" s="340">
        <f>Tabulka1[[#This Row],[KOD]]</f>
        <v>0</v>
      </c>
      <c r="W805" s="804" t="str">
        <f t="shared" si="27"/>
        <v/>
      </c>
      <c r="X805" t="str">
        <f t="shared" si="28"/>
        <v/>
      </c>
      <c r="Y805" s="341">
        <f>IF('General price list'!$AB807="",0,'General price list'!$AB807)</f>
        <v>0</v>
      </c>
      <c r="Z805" s="365" t="str">
        <f>IFERROR(X805*VLOOKUP(C805,'General price list'!C:I,7,FALSE),"")</f>
        <v/>
      </c>
      <c r="AA805" s="805" t="str">
        <f>IF(X805&lt;&gt;"",VLOOKUP(C805,'General price list'!C807:AN1780,MATCH("HM",Tabulka1[[#Headers],[KOD]:[NEQ]],0),FALSE),"")</f>
        <v/>
      </c>
    </row>
    <row r="806" spans="1:27">
      <c r="A806">
        <f>COUNTIF($W$22:W806,1)</f>
        <v>0</v>
      </c>
      <c r="B806">
        <v>806</v>
      </c>
      <c r="C806" s="340" t="str">
        <f>Tabulka1[[#This Row],[KOD]]</f>
        <v>C212MF/C</v>
      </c>
      <c r="W806" s="804" t="str">
        <f t="shared" si="27"/>
        <v/>
      </c>
      <c r="X806" t="str">
        <f t="shared" si="28"/>
        <v/>
      </c>
      <c r="Y806" s="341">
        <f>IF('General price list'!$AB808="",0,'General price list'!$AB808)</f>
        <v>0</v>
      </c>
      <c r="Z806" s="365" t="str">
        <f>IFERROR(X806*VLOOKUP(C806,'General price list'!C:I,7,FALSE),"")</f>
        <v/>
      </c>
      <c r="AA806" s="805" t="str">
        <f>IF(X806&lt;&gt;"",VLOOKUP(C806,'General price list'!C808:AN1781,MATCH("HM",Tabulka1[[#Headers],[KOD]:[NEQ]],0),FALSE),"")</f>
        <v/>
      </c>
    </row>
    <row r="807" spans="1:27">
      <c r="A807">
        <f>COUNTIF($W$22:W807,1)</f>
        <v>0</v>
      </c>
      <c r="B807">
        <v>807</v>
      </c>
      <c r="C807" s="340" t="str">
        <f>Tabulka1[[#This Row],[KOD]]</f>
        <v>C219XMPT/C</v>
      </c>
      <c r="W807" s="804" t="str">
        <f t="shared" si="27"/>
        <v/>
      </c>
      <c r="X807" t="str">
        <f t="shared" si="28"/>
        <v/>
      </c>
      <c r="Y807" s="341">
        <f>IF('General price list'!$AB809="",0,'General price list'!$AB809)</f>
        <v>0</v>
      </c>
      <c r="Z807" s="365" t="str">
        <f>IFERROR(X807*VLOOKUP(C807,'General price list'!C:I,7,FALSE),"")</f>
        <v/>
      </c>
      <c r="AA807" s="805" t="str">
        <f>IF(X807&lt;&gt;"",VLOOKUP(C807,'General price list'!C809:AN1782,MATCH("HM",Tabulka1[[#Headers],[KOD]:[NEQ]],0),FALSE),"")</f>
        <v/>
      </c>
    </row>
    <row r="808" spans="1:27">
      <c r="A808">
        <f>COUNTIF($W$22:W808,1)</f>
        <v>0</v>
      </c>
      <c r="B808">
        <v>808</v>
      </c>
      <c r="C808" s="340" t="str">
        <f>Tabulka1[[#This Row],[KOD]]</f>
        <v>C253XMPT/C</v>
      </c>
      <c r="W808" s="804" t="str">
        <f t="shared" si="27"/>
        <v/>
      </c>
      <c r="X808" t="str">
        <f t="shared" si="28"/>
        <v/>
      </c>
      <c r="Y808" s="341">
        <f>IF('General price list'!$AB810="",0,'General price list'!$AB810)</f>
        <v>0</v>
      </c>
      <c r="Z808" s="365" t="str">
        <f>IFERROR(X808*VLOOKUP(C808,'General price list'!C:I,7,FALSE),"")</f>
        <v/>
      </c>
      <c r="AA808" s="805" t="str">
        <f>IF(X808&lt;&gt;"",VLOOKUP(C808,'General price list'!C810:AN1783,MATCH("HM",Tabulka1[[#Headers],[KOD]:[NEQ]],0),FALSE),"")</f>
        <v/>
      </c>
    </row>
    <row r="809" spans="1:27">
      <c r="A809">
        <f>COUNTIF($W$22:W809,1)</f>
        <v>0</v>
      </c>
      <c r="B809">
        <v>809</v>
      </c>
      <c r="C809" s="340" t="str">
        <f>Tabulka1[[#This Row],[KOD]]</f>
        <v>C379XMK/C</v>
      </c>
      <c r="W809" s="804" t="str">
        <f t="shared" si="27"/>
        <v/>
      </c>
      <c r="X809" t="str">
        <f t="shared" si="28"/>
        <v/>
      </c>
      <c r="Y809" s="341">
        <f>IF('General price list'!$AB811="",0,'General price list'!$AB811)</f>
        <v>0</v>
      </c>
      <c r="Z809" s="365" t="str">
        <f>IFERROR(X809*VLOOKUP(C809,'General price list'!C:I,7,FALSE),"")</f>
        <v/>
      </c>
      <c r="AA809" s="805" t="str">
        <f>IF(X809&lt;&gt;"",VLOOKUP(C809,'General price list'!C811:AN1784,MATCH("HM",Tabulka1[[#Headers],[KOD]:[NEQ]],0),FALSE),"")</f>
        <v/>
      </c>
    </row>
    <row r="810" spans="1:27">
      <c r="A810">
        <f>COUNTIF($W$22:W810,1)</f>
        <v>0</v>
      </c>
      <c r="B810">
        <v>810</v>
      </c>
      <c r="C810" s="340">
        <f>Tabulka1[[#This Row],[KOD]]</f>
        <v>0</v>
      </c>
      <c r="W810" s="804" t="str">
        <f t="shared" si="27"/>
        <v/>
      </c>
      <c r="X810" t="str">
        <f t="shared" si="28"/>
        <v/>
      </c>
      <c r="Y810" s="341">
        <f>IF('General price list'!$AB812="",0,'General price list'!$AB812)</f>
        <v>0</v>
      </c>
      <c r="Z810" s="365" t="str">
        <f>IFERROR(X810*VLOOKUP(C810,'General price list'!C:I,7,FALSE),"")</f>
        <v/>
      </c>
      <c r="AA810" s="805" t="str">
        <f>IF(X810&lt;&gt;"",VLOOKUP(C810,'General price list'!C812:AN1785,MATCH("HM",Tabulka1[[#Headers],[KOD]:[NEQ]],0),FALSE),"")</f>
        <v/>
      </c>
    </row>
    <row r="811" spans="1:27">
      <c r="A811">
        <f>COUNTIF($W$22:W811,1)</f>
        <v>0</v>
      </c>
      <c r="B811">
        <v>811</v>
      </c>
      <c r="C811" s="340">
        <f>Tabulka1[[#This Row],[KOD]]</f>
        <v>0</v>
      </c>
      <c r="W811" s="804" t="str">
        <f t="shared" si="27"/>
        <v/>
      </c>
      <c r="X811" t="str">
        <f t="shared" si="28"/>
        <v/>
      </c>
      <c r="Y811" s="341">
        <f>IF('General price list'!$AB813="",0,'General price list'!$AB813)</f>
        <v>0</v>
      </c>
      <c r="Z811" s="365" t="str">
        <f>IFERROR(X811*VLOOKUP(C811,'General price list'!C:I,7,FALSE),"")</f>
        <v/>
      </c>
      <c r="AA811" s="805" t="str">
        <f>IF(X811&lt;&gt;"",VLOOKUP(C811,'General price list'!C813:AN1786,MATCH("HM",Tabulka1[[#Headers],[KOD]:[NEQ]],0),FALSE),"")</f>
        <v/>
      </c>
    </row>
    <row r="812" spans="1:27">
      <c r="A812">
        <f>COUNTIF($W$22:W812,1)</f>
        <v>0</v>
      </c>
      <c r="B812">
        <v>812</v>
      </c>
      <c r="C812" s="340" t="str">
        <f>Tabulka1[[#This Row],[KOD]]</f>
        <v>C23MO</v>
      </c>
      <c r="W812" s="804" t="str">
        <f t="shared" si="27"/>
        <v/>
      </c>
      <c r="X812" t="str">
        <f t="shared" si="28"/>
        <v/>
      </c>
      <c r="Y812" s="341">
        <f>IF('General price list'!$AB814="",0,'General price list'!$AB814)</f>
        <v>0</v>
      </c>
      <c r="Z812" s="365" t="str">
        <f>IFERROR(X812*VLOOKUP(C812,'General price list'!C:I,7,FALSE),"")</f>
        <v/>
      </c>
      <c r="AA812" s="805" t="str">
        <f>IF(X812&lt;&gt;"",VLOOKUP(C812,'General price list'!C814:AN1787,MATCH("HM",Tabulka1[[#Headers],[KOD]:[NEQ]],0),FALSE),"")</f>
        <v/>
      </c>
    </row>
    <row r="813" spans="1:27">
      <c r="A813">
        <f>COUNTIF($W$22:W813,1)</f>
        <v>0</v>
      </c>
      <c r="B813">
        <v>813</v>
      </c>
      <c r="C813" s="340">
        <f>Tabulka1[[#This Row],[KOD]]</f>
        <v>0</v>
      </c>
      <c r="W813" s="804" t="str">
        <f t="shared" si="27"/>
        <v/>
      </c>
      <c r="X813" t="str">
        <f t="shared" si="28"/>
        <v/>
      </c>
      <c r="Y813" s="341">
        <f>IF('General price list'!$AB815="",0,'General price list'!$AB815)</f>
        <v>0</v>
      </c>
      <c r="Z813" s="365" t="str">
        <f>IFERROR(X813*VLOOKUP(C813,'General price list'!C:I,7,FALSE),"")</f>
        <v/>
      </c>
      <c r="AA813" s="805" t="str">
        <f>IF(X813&lt;&gt;"",VLOOKUP(C813,'General price list'!C815:AN1788,MATCH("HM",Tabulka1[[#Headers],[KOD]:[NEQ]],0),FALSE),"")</f>
        <v/>
      </c>
    </row>
    <row r="814" spans="1:27">
      <c r="A814">
        <f>COUNTIF($W$22:W814,1)</f>
        <v>0</v>
      </c>
      <c r="B814">
        <v>814</v>
      </c>
      <c r="C814" s="340" t="str">
        <f>Tabulka1[[#This Row],[KOD]]</f>
        <v>C24MH</v>
      </c>
      <c r="W814" s="804" t="str">
        <f t="shared" si="27"/>
        <v/>
      </c>
      <c r="X814" t="str">
        <f t="shared" si="28"/>
        <v/>
      </c>
      <c r="Y814" s="341">
        <f>IF('General price list'!$AB816="",0,'General price list'!$AB816)</f>
        <v>0</v>
      </c>
      <c r="Z814" s="365" t="str">
        <f>IFERROR(X814*VLOOKUP(C814,'General price list'!C:I,7,FALSE),"")</f>
        <v/>
      </c>
      <c r="AA814" s="805" t="str">
        <f>IF(X814&lt;&gt;"",VLOOKUP(C814,'General price list'!C816:AN1789,MATCH("HM",Tabulka1[[#Headers],[KOD]:[NEQ]],0),FALSE),"")</f>
        <v/>
      </c>
    </row>
    <row r="815" spans="1:27">
      <c r="A815">
        <f>COUNTIF($W$22:W815,1)</f>
        <v>0</v>
      </c>
      <c r="B815">
        <v>815</v>
      </c>
      <c r="C815" s="340">
        <f>Tabulka1[[#This Row],[KOD]]</f>
        <v>0</v>
      </c>
      <c r="W815" s="804" t="str">
        <f t="shared" si="27"/>
        <v/>
      </c>
      <c r="X815" t="str">
        <f t="shared" si="28"/>
        <v/>
      </c>
      <c r="Y815" s="341">
        <f>IF('General price list'!$AB817="",0,'General price list'!$AB817)</f>
        <v>0</v>
      </c>
      <c r="Z815" s="365" t="str">
        <f>IFERROR(X815*VLOOKUP(C815,'General price list'!C:I,7,FALSE),"")</f>
        <v/>
      </c>
      <c r="AA815" s="805" t="str">
        <f>IF(X815&lt;&gt;"",VLOOKUP(C815,'General price list'!C817:AN1790,MATCH("HM",Tabulka1[[#Headers],[KOD]:[NEQ]],0),FALSE),"")</f>
        <v/>
      </c>
    </row>
    <row r="816" spans="1:27">
      <c r="A816">
        <f>COUNTIF($W$22:W816,1)</f>
        <v>0</v>
      </c>
      <c r="B816">
        <v>816</v>
      </c>
      <c r="C816" s="340" t="str">
        <f>Tabulka1[[#This Row],[KOD]]</f>
        <v>C36MH</v>
      </c>
      <c r="W816" s="804" t="str">
        <f t="shared" si="27"/>
        <v/>
      </c>
      <c r="X816" t="str">
        <f t="shared" si="28"/>
        <v/>
      </c>
      <c r="Y816" s="341">
        <f>IF('General price list'!$AB818="",0,'General price list'!$AB818)</f>
        <v>0</v>
      </c>
      <c r="Z816" s="365" t="str">
        <f>IFERROR(X816*VLOOKUP(C816,'General price list'!C:I,7,FALSE),"")</f>
        <v/>
      </c>
      <c r="AA816" s="805" t="str">
        <f>IF(X816&lt;&gt;"",VLOOKUP(C816,'General price list'!C818:AN1791,MATCH("HM",Tabulka1[[#Headers],[KOD]:[NEQ]],0),FALSE),"")</f>
        <v/>
      </c>
    </row>
    <row r="817" spans="1:27">
      <c r="A817">
        <f>COUNTIF($W$22:W817,1)</f>
        <v>0</v>
      </c>
      <c r="B817">
        <v>817</v>
      </c>
      <c r="C817" s="340">
        <f>Tabulka1[[#This Row],[KOD]]</f>
        <v>0</v>
      </c>
      <c r="W817" s="804" t="str">
        <f t="shared" si="27"/>
        <v/>
      </c>
      <c r="X817" t="str">
        <f t="shared" si="28"/>
        <v/>
      </c>
      <c r="Y817" s="341">
        <f>IF('General price list'!$AB819="",0,'General price list'!$AB819)</f>
        <v>0</v>
      </c>
      <c r="Z817" s="365" t="str">
        <f>IFERROR(X817*VLOOKUP(C817,'General price list'!C:I,7,FALSE),"")</f>
        <v/>
      </c>
      <c r="AA817" s="805" t="str">
        <f>IF(X817&lt;&gt;"",VLOOKUP(C817,'General price list'!C819:AN1792,MATCH("HM",Tabulka1[[#Headers],[KOD]:[NEQ]],0),FALSE),"")</f>
        <v/>
      </c>
    </row>
    <row r="818" spans="1:27">
      <c r="A818">
        <f>COUNTIF($W$22:W818,1)</f>
        <v>0</v>
      </c>
      <c r="B818">
        <v>818</v>
      </c>
      <c r="C818" s="340" t="str">
        <f>Tabulka1[[#This Row],[KOD]]</f>
        <v>C42MM</v>
      </c>
      <c r="W818" s="804" t="str">
        <f t="shared" si="27"/>
        <v/>
      </c>
      <c r="X818" t="str">
        <f t="shared" si="28"/>
        <v/>
      </c>
      <c r="Y818" s="341">
        <f>IF('General price list'!$AB820="",0,'General price list'!$AB820)</f>
        <v>0</v>
      </c>
      <c r="Z818" s="365" t="str">
        <f>IFERROR(X818*VLOOKUP(C818,'General price list'!C:I,7,FALSE),"")</f>
        <v/>
      </c>
      <c r="AA818" s="805" t="str">
        <f>IF(X818&lt;&gt;"",VLOOKUP(C818,'General price list'!C820:AN1793,MATCH("HM",Tabulka1[[#Headers],[KOD]:[NEQ]],0),FALSE),"")</f>
        <v/>
      </c>
    </row>
    <row r="819" spans="1:27">
      <c r="A819">
        <f>COUNTIF($W$22:W819,1)</f>
        <v>0</v>
      </c>
      <c r="B819">
        <v>819</v>
      </c>
      <c r="C819" s="340">
        <f>Tabulka1[[#This Row],[KOD]]</f>
        <v>0</v>
      </c>
      <c r="W819" s="804" t="str">
        <f t="shared" si="27"/>
        <v/>
      </c>
      <c r="X819" t="str">
        <f t="shared" si="28"/>
        <v/>
      </c>
      <c r="Y819" s="341">
        <f>IF('General price list'!$AB821="",0,'General price list'!$AB821)</f>
        <v>0</v>
      </c>
      <c r="Z819" s="365" t="str">
        <f>IFERROR(X819*VLOOKUP(C819,'General price list'!C:I,7,FALSE),"")</f>
        <v/>
      </c>
      <c r="AA819" s="805" t="str">
        <f>IF(X819&lt;&gt;"",VLOOKUP(C819,'General price list'!C821:AN1794,MATCH("HM",Tabulka1[[#Headers],[KOD]:[NEQ]],0),FALSE),"")</f>
        <v/>
      </c>
    </row>
    <row r="820" spans="1:27">
      <c r="A820">
        <f>COUNTIF($W$22:W820,1)</f>
        <v>0</v>
      </c>
      <c r="B820">
        <v>820</v>
      </c>
      <c r="C820" s="340" t="str">
        <f>Tabulka1[[#This Row],[KOD]]</f>
        <v>C47MB</v>
      </c>
      <c r="W820" s="804" t="str">
        <f t="shared" si="27"/>
        <v/>
      </c>
      <c r="X820" t="str">
        <f t="shared" si="28"/>
        <v/>
      </c>
      <c r="Y820" s="341">
        <f>IF('General price list'!$AB822="",0,'General price list'!$AB822)</f>
        <v>0</v>
      </c>
      <c r="Z820" s="365" t="str">
        <f>IFERROR(X820*VLOOKUP(C820,'General price list'!C:I,7,FALSE),"")</f>
        <v/>
      </c>
      <c r="AA820" s="805" t="str">
        <f>IF(X820&lt;&gt;"",VLOOKUP(C820,'General price list'!C822:AN1795,MATCH("HM",Tabulka1[[#Headers],[KOD]:[NEQ]],0),FALSE),"")</f>
        <v/>
      </c>
    </row>
    <row r="821" spans="1:27">
      <c r="A821">
        <f>COUNTIF($W$22:W821,1)</f>
        <v>0</v>
      </c>
      <c r="B821">
        <v>821</v>
      </c>
      <c r="C821" s="340" t="str">
        <f>Tabulka1[[#This Row],[KOD]]</f>
        <v>C47XMT</v>
      </c>
      <c r="W821" s="804" t="str">
        <f t="shared" si="27"/>
        <v/>
      </c>
      <c r="X821" t="str">
        <f t="shared" si="28"/>
        <v/>
      </c>
      <c r="Y821" s="341">
        <f>IF('General price list'!$AB823="",0,'General price list'!$AB823)</f>
        <v>0</v>
      </c>
      <c r="Z821" s="365" t="str">
        <f>IFERROR(X821*VLOOKUP(C821,'General price list'!C:I,7,FALSE),"")</f>
        <v/>
      </c>
      <c r="AA821" s="805" t="str">
        <f>IF(X821&lt;&gt;"",VLOOKUP(C821,'General price list'!C823:AN1796,MATCH("HM",Tabulka1[[#Headers],[KOD]:[NEQ]],0),FALSE),"")</f>
        <v/>
      </c>
    </row>
    <row r="822" spans="1:27">
      <c r="A822">
        <f>COUNTIF($W$22:W822,1)</f>
        <v>0</v>
      </c>
      <c r="B822">
        <v>822</v>
      </c>
      <c r="C822" s="340">
        <f>Tabulka1[[#This Row],[KOD]]</f>
        <v>0</v>
      </c>
      <c r="W822" s="804" t="str">
        <f t="shared" si="27"/>
        <v/>
      </c>
      <c r="X822" t="str">
        <f t="shared" si="28"/>
        <v/>
      </c>
      <c r="Y822" s="341">
        <f>IF('General price list'!$AB824="",0,'General price list'!$AB824)</f>
        <v>0</v>
      </c>
      <c r="Z822" s="365" t="str">
        <f>IFERROR(X822*VLOOKUP(C822,'General price list'!C:I,7,FALSE),"")</f>
        <v/>
      </c>
      <c r="AA822" s="805" t="str">
        <f>IF(X822&lt;&gt;"",VLOOKUP(C822,'General price list'!C824:AN1797,MATCH("HM",Tabulka1[[#Headers],[KOD]:[NEQ]],0),FALSE),"")</f>
        <v/>
      </c>
    </row>
    <row r="823" spans="1:27">
      <c r="A823">
        <f>COUNTIF($W$22:W823,1)</f>
        <v>0</v>
      </c>
      <c r="B823">
        <v>823</v>
      </c>
      <c r="C823" s="340" t="str">
        <f>Tabulka1[[#This Row],[KOD]]</f>
        <v>C63MM</v>
      </c>
      <c r="W823" s="804" t="str">
        <f t="shared" si="27"/>
        <v/>
      </c>
      <c r="X823" t="str">
        <f t="shared" si="28"/>
        <v/>
      </c>
      <c r="Y823" s="341">
        <f>IF('General price list'!$AB825="",0,'General price list'!$AB825)</f>
        <v>0</v>
      </c>
      <c r="Z823" s="365" t="str">
        <f>IFERROR(X823*VLOOKUP(C823,'General price list'!C:I,7,FALSE),"")</f>
        <v/>
      </c>
      <c r="AA823" s="805" t="str">
        <f>IF(X823&lt;&gt;"",VLOOKUP(C823,'General price list'!C825:AN1798,MATCH("HM",Tabulka1[[#Headers],[KOD]:[NEQ]],0),FALSE),"")</f>
        <v/>
      </c>
    </row>
    <row r="824" spans="1:27">
      <c r="A824">
        <f>COUNTIF($W$22:W824,1)</f>
        <v>0</v>
      </c>
      <c r="B824">
        <v>824</v>
      </c>
      <c r="C824" s="340">
        <f>Tabulka1[[#This Row],[KOD]]</f>
        <v>0</v>
      </c>
      <c r="W824" s="804" t="str">
        <f t="shared" si="27"/>
        <v/>
      </c>
      <c r="X824" t="str">
        <f t="shared" si="28"/>
        <v/>
      </c>
      <c r="Y824" s="341">
        <f>IF('General price list'!$AB826="",0,'General price list'!$AB826)</f>
        <v>0</v>
      </c>
      <c r="Z824" s="365" t="str">
        <f>IFERROR(X824*VLOOKUP(C824,'General price list'!C:I,7,FALSE),"")</f>
        <v/>
      </c>
      <c r="AA824" s="805" t="str">
        <f>IF(X824&lt;&gt;"",VLOOKUP(C824,'General price list'!C826:AN1799,MATCH("HM",Tabulka1[[#Headers],[KOD]:[NEQ]],0),FALSE),"")</f>
        <v/>
      </c>
    </row>
    <row r="825" spans="1:27">
      <c r="A825">
        <f>COUNTIF($W$22:W825,1)</f>
        <v>0</v>
      </c>
      <c r="B825">
        <v>825</v>
      </c>
      <c r="C825" s="340" t="str">
        <f>Tabulka1[[#This Row],[KOD]]</f>
        <v>C66SMMO</v>
      </c>
      <c r="W825" s="804" t="str">
        <f t="shared" si="27"/>
        <v/>
      </c>
      <c r="X825" t="str">
        <f t="shared" si="28"/>
        <v/>
      </c>
      <c r="Y825" s="341">
        <f>IF('General price list'!$AB827="",0,'General price list'!$AB827)</f>
        <v>0</v>
      </c>
      <c r="Z825" s="365" t="str">
        <f>IFERROR(X825*VLOOKUP(C825,'General price list'!C:I,7,FALSE),"")</f>
        <v/>
      </c>
      <c r="AA825" s="805" t="str">
        <f>IF(X825&lt;&gt;"",VLOOKUP(C825,'General price list'!C827:AN1800,MATCH("HM",Tabulka1[[#Headers],[KOD]:[NEQ]],0),FALSE),"")</f>
        <v/>
      </c>
    </row>
    <row r="826" spans="1:27">
      <c r="A826">
        <f>COUNTIF($W$22:W826,1)</f>
        <v>0</v>
      </c>
      <c r="B826">
        <v>826</v>
      </c>
      <c r="C826" s="340">
        <f>Tabulka1[[#This Row],[KOD]]</f>
        <v>0</v>
      </c>
      <c r="W826" s="804" t="str">
        <f t="shared" si="27"/>
        <v/>
      </c>
      <c r="X826" t="str">
        <f t="shared" si="28"/>
        <v/>
      </c>
      <c r="Y826" s="341">
        <f>IF('General price list'!$AB828="",0,'General price list'!$AB828)</f>
        <v>0</v>
      </c>
      <c r="Z826" s="365" t="str">
        <f>IFERROR(X826*VLOOKUP(C826,'General price list'!C:I,7,FALSE),"")</f>
        <v/>
      </c>
      <c r="AA826" s="805" t="str">
        <f>IF(X826&lt;&gt;"",VLOOKUP(C826,'General price list'!C828:AN1801,MATCH("HM",Tabulka1[[#Headers],[KOD]:[NEQ]],0),FALSE),"")</f>
        <v/>
      </c>
    </row>
    <row r="827" spans="1:27">
      <c r="A827">
        <f>COUNTIF($W$22:W827,1)</f>
        <v>0</v>
      </c>
      <c r="B827">
        <v>827</v>
      </c>
      <c r="C827" s="340" t="str">
        <f>Tabulka1[[#This Row],[KOD]]</f>
        <v>C84M12F/C</v>
      </c>
      <c r="W827" s="804" t="str">
        <f t="shared" si="27"/>
        <v/>
      </c>
      <c r="X827" t="str">
        <f t="shared" si="28"/>
        <v/>
      </c>
      <c r="Y827" s="341">
        <f>IF('General price list'!$AB829="",0,'General price list'!$AB829)</f>
        <v>0</v>
      </c>
      <c r="Z827" s="365" t="str">
        <f>IFERROR(X827*VLOOKUP(C827,'General price list'!C:I,7,FALSE),"")</f>
        <v/>
      </c>
      <c r="AA827" s="805" t="str">
        <f>IF(X827&lt;&gt;"",VLOOKUP(C827,'General price list'!C829:AN1802,MATCH("HM",Tabulka1[[#Headers],[KOD]:[NEQ]],0),FALSE),"")</f>
        <v/>
      </c>
    </row>
    <row r="828" spans="1:27">
      <c r="A828">
        <f>COUNTIF($W$22:W828,1)</f>
        <v>0</v>
      </c>
      <c r="B828">
        <v>828</v>
      </c>
      <c r="C828" s="340" t="str">
        <f>Tabulka1[[#This Row],[KOD]]</f>
        <v>C84MC/C</v>
      </c>
      <c r="W828" s="804" t="str">
        <f t="shared" si="27"/>
        <v/>
      </c>
      <c r="X828" t="str">
        <f t="shared" si="28"/>
        <v/>
      </c>
      <c r="Y828" s="341">
        <f>IF('General price list'!$AB830="",0,'General price list'!$AB830)</f>
        <v>0</v>
      </c>
      <c r="Z828" s="365" t="str">
        <f>IFERROR(X828*VLOOKUP(C828,'General price list'!C:I,7,FALSE),"")</f>
        <v/>
      </c>
      <c r="AA828" s="805" t="str">
        <f>IF(X828&lt;&gt;"",VLOOKUP(C828,'General price list'!C830:AN1803,MATCH("HM",Tabulka1[[#Headers],[KOD]:[NEQ]],0),FALSE),"")</f>
        <v/>
      </c>
    </row>
    <row r="829" spans="1:27">
      <c r="A829">
        <f>COUNTIF($W$22:W829,1)</f>
        <v>0</v>
      </c>
      <c r="B829">
        <v>829</v>
      </c>
      <c r="C829" s="340" t="str">
        <f>Tabulka1[[#This Row],[KOD]]</f>
        <v>C175MSIG/C</v>
      </c>
      <c r="W829" s="804" t="str">
        <f t="shared" si="27"/>
        <v/>
      </c>
      <c r="X829" t="str">
        <f t="shared" si="28"/>
        <v/>
      </c>
      <c r="Y829" s="341">
        <f>IF('General price list'!$AB831="",0,'General price list'!$AB831)</f>
        <v>0</v>
      </c>
      <c r="Z829" s="365" t="str">
        <f>IFERROR(X829*VLOOKUP(C829,'General price list'!C:I,7,FALSE),"")</f>
        <v/>
      </c>
      <c r="AA829" s="805" t="str">
        <f>IF(X829&lt;&gt;"",VLOOKUP(C829,'General price list'!C831:AN1804,MATCH("HM",Tabulka1[[#Headers],[KOD]:[NEQ]],0),FALSE),"")</f>
        <v/>
      </c>
    </row>
    <row r="830" spans="1:27">
      <c r="A830">
        <f>COUNTIF($W$22:W830,1)</f>
        <v>0</v>
      </c>
      <c r="B830">
        <v>830</v>
      </c>
      <c r="C830" s="340" t="str">
        <f>Tabulka1[[#This Row],[KOD]]</f>
        <v>C222MNPT/C</v>
      </c>
      <c r="W830" s="804" t="str">
        <f t="shared" si="27"/>
        <v/>
      </c>
      <c r="X830" t="str">
        <f t="shared" si="28"/>
        <v/>
      </c>
      <c r="Y830" s="341">
        <f>IF('General price list'!$AB832="",0,'General price list'!$AB832)</f>
        <v>0</v>
      </c>
      <c r="Z830" s="365" t="str">
        <f>IFERROR(X830*VLOOKUP(C830,'General price list'!C:I,7,FALSE),"")</f>
        <v/>
      </c>
      <c r="AA830" s="805" t="str">
        <f>IF(X830&lt;&gt;"",VLOOKUP(C830,'General price list'!C832:AN1805,MATCH("HM",Tabulka1[[#Headers],[KOD]:[NEQ]],0),FALSE),"")</f>
        <v/>
      </c>
    </row>
    <row r="831" spans="1:27">
      <c r="A831">
        <f>COUNTIF($W$22:W831,1)</f>
        <v>0</v>
      </c>
      <c r="B831">
        <v>831</v>
      </c>
      <c r="C831" s="340" t="str">
        <f>Tabulka1[[#This Row],[KOD]]</f>
        <v>C222MF/C</v>
      </c>
      <c r="W831" s="804" t="str">
        <f t="shared" si="27"/>
        <v/>
      </c>
      <c r="X831" t="str">
        <f t="shared" si="28"/>
        <v/>
      </c>
      <c r="Y831" s="341">
        <f>IF('General price list'!$AB833="",0,'General price list'!$AB833)</f>
        <v>0</v>
      </c>
      <c r="Z831" s="365" t="str">
        <f>IFERROR(X831*VLOOKUP(C831,'General price list'!C:I,7,FALSE),"")</f>
        <v/>
      </c>
      <c r="AA831" s="805" t="str">
        <f>IF(X831&lt;&gt;"",VLOOKUP(C831,'General price list'!C833:AN1806,MATCH("HM",Tabulka1[[#Headers],[KOD]:[NEQ]],0),FALSE),"")</f>
        <v/>
      </c>
    </row>
    <row r="832" spans="1:27">
      <c r="A832">
        <f>COUNTIF($W$22:W832,1)</f>
        <v>0</v>
      </c>
      <c r="B832">
        <v>832</v>
      </c>
      <c r="C832" s="340">
        <f>Tabulka1[[#This Row],[KOD]]</f>
        <v>0</v>
      </c>
      <c r="W832" s="804" t="str">
        <f t="shared" si="27"/>
        <v/>
      </c>
      <c r="X832" t="str">
        <f t="shared" si="28"/>
        <v/>
      </c>
      <c r="Y832" s="341">
        <f>IF('General price list'!$AB834="",0,'General price list'!$AB834)</f>
        <v>0</v>
      </c>
      <c r="Z832" s="365" t="str">
        <f>IFERROR(X832*VLOOKUP(C832,'General price list'!C:I,7,FALSE),"")</f>
        <v/>
      </c>
      <c r="AA832" s="805" t="str">
        <f>IF(X832&lt;&gt;"",VLOOKUP(C832,'General price list'!C834:AN1807,MATCH("HM",Tabulka1[[#Headers],[KOD]:[NEQ]],0),FALSE),"")</f>
        <v/>
      </c>
    </row>
    <row r="833" spans="1:27">
      <c r="A833">
        <f>COUNTIF($W$22:W833,1)</f>
        <v>0</v>
      </c>
      <c r="B833">
        <v>833</v>
      </c>
      <c r="C833" s="340" t="str">
        <f>Tabulka1[[#This Row],[KOD]]</f>
        <v>C96MB</v>
      </c>
      <c r="W833" s="804" t="str">
        <f t="shared" si="27"/>
        <v/>
      </c>
      <c r="X833" t="str">
        <f t="shared" si="28"/>
        <v/>
      </c>
      <c r="Y833" s="341">
        <f>IF('General price list'!$AB835="",0,'General price list'!$AB835)</f>
        <v>0</v>
      </c>
      <c r="Z833" s="365" t="str">
        <f>IFERROR(X833*VLOOKUP(C833,'General price list'!C:I,7,FALSE),"")</f>
        <v/>
      </c>
      <c r="AA833" s="805" t="str">
        <f>IF(X833&lt;&gt;"",VLOOKUP(C833,'General price list'!C835:AN1808,MATCH("HM",Tabulka1[[#Headers],[KOD]:[NEQ]],0),FALSE),"")</f>
        <v/>
      </c>
    </row>
    <row r="834" spans="1:27">
      <c r="A834">
        <f>COUNTIF($W$22:W834,1)</f>
        <v>0</v>
      </c>
      <c r="B834">
        <v>834</v>
      </c>
      <c r="C834" s="340" t="str">
        <f>Tabulka1[[#This Row],[KOD]]</f>
        <v>C304MK</v>
      </c>
      <c r="W834" s="804" t="str">
        <f t="shared" si="27"/>
        <v/>
      </c>
      <c r="X834" t="str">
        <f t="shared" si="28"/>
        <v/>
      </c>
      <c r="Y834" s="341">
        <f>IF('General price list'!$AB836="",0,'General price list'!$AB836)</f>
        <v>0</v>
      </c>
      <c r="Z834" s="365" t="str">
        <f>IFERROR(X834*VLOOKUP(C834,'General price list'!C:I,7,FALSE),"")</f>
        <v/>
      </c>
      <c r="AA834" s="805" t="str">
        <f>IF(X834&lt;&gt;"",VLOOKUP(C834,'General price list'!C836:AN1809,MATCH("HM",Tabulka1[[#Headers],[KOD]:[NEQ]],0),FALSE),"")</f>
        <v/>
      </c>
    </row>
    <row r="835" spans="1:27">
      <c r="A835">
        <f>COUNTIF($W$22:W835,1)</f>
        <v>0</v>
      </c>
      <c r="B835">
        <v>835</v>
      </c>
      <c r="C835" s="340">
        <f>Tabulka1[[#This Row],[KOD]]</f>
        <v>0</v>
      </c>
      <c r="W835" s="804" t="str">
        <f t="shared" si="27"/>
        <v/>
      </c>
      <c r="X835" t="str">
        <f t="shared" si="28"/>
        <v/>
      </c>
      <c r="Y835" s="341">
        <f>IF('General price list'!$AB837="",0,'General price list'!$AB837)</f>
        <v>0</v>
      </c>
      <c r="Z835" s="365" t="str">
        <f>IFERROR(X835*VLOOKUP(C835,'General price list'!C:I,7,FALSE),"")</f>
        <v/>
      </c>
      <c r="AA835" s="805" t="str">
        <f>IF(X835&lt;&gt;"",VLOOKUP(C835,'General price list'!C837:AN1810,MATCH("HM",Tabulka1[[#Headers],[KOD]:[NEQ]],0),FALSE),"")</f>
        <v/>
      </c>
    </row>
    <row r="836" spans="1:27">
      <c r="A836">
        <f>COUNTIF($W$22:W836,1)</f>
        <v>0</v>
      </c>
      <c r="B836">
        <v>836</v>
      </c>
      <c r="C836" s="340" t="str">
        <f>Tabulka1[[#This Row],[KOD]]</f>
        <v>HF26001s</v>
      </c>
      <c r="W836" s="804" t="str">
        <f t="shared" si="27"/>
        <v/>
      </c>
      <c r="X836" t="str">
        <f t="shared" si="28"/>
        <v/>
      </c>
      <c r="Y836" s="341">
        <f>IF('General price list'!$AB838="",0,'General price list'!$AB838)</f>
        <v>0</v>
      </c>
      <c r="Z836" s="365" t="str">
        <f>IFERROR(X836*VLOOKUP(C836,'General price list'!C:I,7,FALSE),"")</f>
        <v/>
      </c>
      <c r="AA836" s="805" t="str">
        <f>IF(X836&lt;&gt;"",VLOOKUP(C836,'General price list'!C838:AN1811,MATCH("HM",Tabulka1[[#Headers],[KOD]:[NEQ]],0),FALSE),"")</f>
        <v/>
      </c>
    </row>
    <row r="837" spans="1:27">
      <c r="A837">
        <f>COUNTIF($W$22:W837,1)</f>
        <v>0</v>
      </c>
      <c r="B837">
        <v>837</v>
      </c>
      <c r="C837" s="340" t="str">
        <f>Tabulka1[[#This Row],[KOD]]</f>
        <v>HF26009s</v>
      </c>
      <c r="W837" s="804" t="str">
        <f t="shared" si="27"/>
        <v/>
      </c>
      <c r="X837" t="str">
        <f t="shared" si="28"/>
        <v/>
      </c>
      <c r="Y837" s="341">
        <f>IF('General price list'!$AB839="",0,'General price list'!$AB839)</f>
        <v>0</v>
      </c>
      <c r="Z837" s="365" t="str">
        <f>IFERROR(X837*VLOOKUP(C837,'General price list'!C:I,7,FALSE),"")</f>
        <v/>
      </c>
      <c r="AA837" s="805" t="str">
        <f>IF(X837&lt;&gt;"",VLOOKUP(C837,'General price list'!C839:AN1812,MATCH("HM",Tabulka1[[#Headers],[KOD]:[NEQ]],0),FALSE),"")</f>
        <v/>
      </c>
    </row>
    <row r="838" spans="1:27">
      <c r="A838">
        <f>COUNTIF($W$22:W838,1)</f>
        <v>0</v>
      </c>
      <c r="B838">
        <v>838</v>
      </c>
      <c r="C838" s="340" t="str">
        <f>Tabulka1[[#This Row],[KOD]]</f>
        <v>HF26012</v>
      </c>
      <c r="W838" s="804" t="str">
        <f t="shared" si="27"/>
        <v/>
      </c>
      <c r="X838" t="str">
        <f t="shared" si="28"/>
        <v/>
      </c>
      <c r="Y838" s="341">
        <f>IF('General price list'!$AB840="",0,'General price list'!$AB840)</f>
        <v>0</v>
      </c>
      <c r="Z838" s="365" t="str">
        <f>IFERROR(X838*VLOOKUP(C838,'General price list'!C:I,7,FALSE),"")</f>
        <v/>
      </c>
      <c r="AA838" s="805" t="str">
        <f>IF(X838&lt;&gt;"",VLOOKUP(C838,'General price list'!C840:AN1813,MATCH("HM",Tabulka1[[#Headers],[KOD]:[NEQ]],0),FALSE),"")</f>
        <v/>
      </c>
    </row>
    <row r="839" spans="1:27">
      <c r="A839">
        <f>COUNTIF($W$22:W839,1)</f>
        <v>0</v>
      </c>
      <c r="B839">
        <v>839</v>
      </c>
      <c r="C839" s="340" t="str">
        <f>Tabulka1[[#This Row],[KOD]]</f>
        <v>HF26015</v>
      </c>
      <c r="W839" s="804" t="str">
        <f t="shared" si="27"/>
        <v/>
      </c>
      <c r="X839" t="str">
        <f t="shared" si="28"/>
        <v/>
      </c>
      <c r="Y839" s="341">
        <f>IF('General price list'!$AB841="",0,'General price list'!$AB841)</f>
        <v>0</v>
      </c>
      <c r="Z839" s="365" t="str">
        <f>IFERROR(X839*VLOOKUP(C839,'General price list'!C:I,7,FALSE),"")</f>
        <v/>
      </c>
      <c r="AA839" s="805" t="str">
        <f>IF(X839&lt;&gt;"",VLOOKUP(C839,'General price list'!C841:AN1814,MATCH("HM",Tabulka1[[#Headers],[KOD]:[NEQ]],0),FALSE),"")</f>
        <v/>
      </c>
    </row>
    <row r="840" spans="1:27">
      <c r="A840">
        <f>COUNTIF($W$22:W840,1)</f>
        <v>0</v>
      </c>
      <c r="B840">
        <v>840</v>
      </c>
      <c r="C840" s="340" t="str">
        <f>Tabulka1[[#This Row],[KOD]]</f>
        <v>HF26016s</v>
      </c>
      <c r="W840" s="804" t="str">
        <f t="shared" si="27"/>
        <v/>
      </c>
      <c r="X840" t="str">
        <f t="shared" si="28"/>
        <v/>
      </c>
      <c r="Y840" s="341">
        <f>IF('General price list'!$AB842="",0,'General price list'!$AB842)</f>
        <v>0</v>
      </c>
      <c r="Z840" s="365" t="str">
        <f>IFERROR(X840*VLOOKUP(C840,'General price list'!C:I,7,FALSE),"")</f>
        <v/>
      </c>
      <c r="AA840" s="805" t="str">
        <f>IF(X840&lt;&gt;"",VLOOKUP(C840,'General price list'!C842:AN1815,MATCH("HM",Tabulka1[[#Headers],[KOD]:[NEQ]],0),FALSE),"")</f>
        <v/>
      </c>
    </row>
    <row r="841" spans="1:27">
      <c r="A841">
        <f>COUNTIF($W$22:W841,1)</f>
        <v>0</v>
      </c>
      <c r="B841">
        <v>841</v>
      </c>
      <c r="C841" s="340" t="str">
        <f>Tabulka1[[#This Row],[KOD]]</f>
        <v>HF2387S</v>
      </c>
      <c r="W841" s="804" t="str">
        <f t="shared" si="27"/>
        <v/>
      </c>
      <c r="X841" t="str">
        <f t="shared" si="28"/>
        <v/>
      </c>
      <c r="Y841" s="341">
        <f>IF('General price list'!$AB843="",0,'General price list'!$AB843)</f>
        <v>0</v>
      </c>
      <c r="Z841" s="365" t="str">
        <f>IFERROR(X841*VLOOKUP(C841,'General price list'!C:I,7,FALSE),"")</f>
        <v/>
      </c>
      <c r="AA841" s="805" t="str">
        <f>IF(X841&lt;&gt;"",VLOOKUP(C841,'General price list'!C843:AN1816,MATCH("HM",Tabulka1[[#Headers],[KOD]:[NEQ]],0),FALSE),"")</f>
        <v/>
      </c>
    </row>
    <row r="842" spans="1:27">
      <c r="A842">
        <f>COUNTIF($W$22:W842,1)</f>
        <v>0</v>
      </c>
      <c r="B842">
        <v>842</v>
      </c>
      <c r="C842" s="340" t="str">
        <f>Tabulka1[[#This Row],[KOD]]</f>
        <v>HF24090Qs</v>
      </c>
      <c r="W842" s="804" t="str">
        <f t="shared" si="27"/>
        <v/>
      </c>
      <c r="X842" t="str">
        <f t="shared" si="28"/>
        <v/>
      </c>
      <c r="Y842" s="341">
        <f>IF('General price list'!$AB844="",0,'General price list'!$AB844)</f>
        <v>0</v>
      </c>
      <c r="Z842" s="365" t="str">
        <f>IFERROR(X842*VLOOKUP(C842,'General price list'!C:I,7,FALSE),"")</f>
        <v/>
      </c>
      <c r="AA842" s="805" t="str">
        <f>IF(X842&lt;&gt;"",VLOOKUP(C842,'General price list'!C844:AN1817,MATCH("HM",Tabulka1[[#Headers],[KOD]:[NEQ]],0),FALSE),"")</f>
        <v/>
      </c>
    </row>
    <row r="843" spans="1:27">
      <c r="A843">
        <f>COUNTIF($W$22:W843,1)</f>
        <v>0</v>
      </c>
      <c r="B843">
        <v>843</v>
      </c>
      <c r="C843" s="340" t="str">
        <f>Tabulka1[[#This Row],[KOD]]</f>
        <v>HF2244</v>
      </c>
      <c r="W843" s="804" t="str">
        <f t="shared" si="27"/>
        <v/>
      </c>
      <c r="X843" t="str">
        <f t="shared" si="28"/>
        <v/>
      </c>
      <c r="Y843" s="341">
        <f>IF('General price list'!$AB845="",0,'General price list'!$AB845)</f>
        <v>0</v>
      </c>
      <c r="Z843" s="365" t="str">
        <f>IFERROR(X843*VLOOKUP(C843,'General price list'!C:I,7,FALSE),"")</f>
        <v/>
      </c>
      <c r="AA843" s="805" t="str">
        <f>IF(X843&lt;&gt;"",VLOOKUP(C843,'General price list'!C845:AN1818,MATCH("HM",Tabulka1[[#Headers],[KOD]:[NEQ]],0),FALSE),"")</f>
        <v/>
      </c>
    </row>
    <row r="844" spans="1:27">
      <c r="A844">
        <f>COUNTIF($W$22:W844,1)</f>
        <v>0</v>
      </c>
      <c r="B844">
        <v>844</v>
      </c>
      <c r="C844" s="340" t="str">
        <f>Tabulka1[[#This Row],[KOD]]</f>
        <v>HF2243</v>
      </c>
      <c r="W844" s="804" t="str">
        <f t="shared" si="27"/>
        <v/>
      </c>
      <c r="X844" t="str">
        <f t="shared" si="28"/>
        <v/>
      </c>
      <c r="Y844" s="341">
        <f>IF('General price list'!$AB846="",0,'General price list'!$AB846)</f>
        <v>0</v>
      </c>
      <c r="Z844" s="365" t="str">
        <f>IFERROR(X844*VLOOKUP(C844,'General price list'!C:I,7,FALSE),"")</f>
        <v/>
      </c>
      <c r="AA844" s="805" t="str">
        <f>IF(X844&lt;&gt;"",VLOOKUP(C844,'General price list'!C846:AN1819,MATCH("HM",Tabulka1[[#Headers],[KOD]:[NEQ]],0),FALSE),"")</f>
        <v/>
      </c>
    </row>
    <row r="845" spans="1:27">
      <c r="A845">
        <f>COUNTIF($W$22:W845,1)</f>
        <v>0</v>
      </c>
      <c r="B845">
        <v>845</v>
      </c>
      <c r="C845" s="340">
        <f>Tabulka1[[#This Row],[KOD]]</f>
        <v>0</v>
      </c>
      <c r="W845" s="804" t="str">
        <f t="shared" si="27"/>
        <v/>
      </c>
      <c r="X845" t="str">
        <f t="shared" si="28"/>
        <v/>
      </c>
      <c r="Y845" s="341">
        <f>IF('General price list'!$AB847="",0,'General price list'!$AB847)</f>
        <v>0</v>
      </c>
      <c r="Z845" s="365" t="str">
        <f>IFERROR(X845*VLOOKUP(C845,'General price list'!C:I,7,FALSE),"")</f>
        <v/>
      </c>
      <c r="AA845" s="805" t="str">
        <f>IF(X845&lt;&gt;"",VLOOKUP(C845,'General price list'!C847:AN1820,MATCH("HM",Tabulka1[[#Headers],[KOD]:[NEQ]],0),FALSE),"")</f>
        <v/>
      </c>
    </row>
    <row r="846" spans="1:27">
      <c r="A846">
        <f>COUNTIF($W$22:W846,1)</f>
        <v>0</v>
      </c>
      <c r="B846">
        <v>846</v>
      </c>
      <c r="C846" s="340" t="str">
        <f>Tabulka1[[#This Row],[KOD]]</f>
        <v>HF-45-2309s</v>
      </c>
      <c r="W846" s="804" t="str">
        <f t="shared" si="27"/>
        <v/>
      </c>
      <c r="X846" t="str">
        <f t="shared" si="28"/>
        <v/>
      </c>
      <c r="Y846" s="341">
        <f>IF('General price list'!$AB848="",0,'General price list'!$AB848)</f>
        <v>0</v>
      </c>
      <c r="Z846" s="365" t="str">
        <f>IFERROR(X846*VLOOKUP(C846,'General price list'!C:I,7,FALSE),"")</f>
        <v/>
      </c>
      <c r="AA846" s="805" t="str">
        <f>IF(X846&lt;&gt;"",VLOOKUP(C846,'General price list'!C848:AN1821,MATCH("HM",Tabulka1[[#Headers],[KOD]:[NEQ]],0),FALSE),"")</f>
        <v/>
      </c>
    </row>
    <row r="847" spans="1:27">
      <c r="A847">
        <f>COUNTIF($W$22:W847,1)</f>
        <v>0</v>
      </c>
      <c r="B847">
        <v>847</v>
      </c>
      <c r="C847" s="340" t="str">
        <f>Tabulka1[[#This Row],[KOD]]</f>
        <v>HF-51-2227s</v>
      </c>
      <c r="W847" s="804" t="str">
        <f t="shared" si="27"/>
        <v/>
      </c>
      <c r="X847" t="str">
        <f t="shared" si="28"/>
        <v/>
      </c>
      <c r="Y847" s="341">
        <f>IF('General price list'!$AB849="",0,'General price list'!$AB849)</f>
        <v>0</v>
      </c>
      <c r="Z847" s="365" t="str">
        <f>IFERROR(X847*VLOOKUP(C847,'General price list'!C:I,7,FALSE),"")</f>
        <v/>
      </c>
      <c r="AA847" s="805" t="str">
        <f>IF(X847&lt;&gt;"",VLOOKUP(C847,'General price list'!C849:AN1822,MATCH("HM",Tabulka1[[#Headers],[KOD]:[NEQ]],0),FALSE),"")</f>
        <v/>
      </c>
    </row>
    <row r="848" spans="1:27">
      <c r="A848">
        <f>COUNTIF($W$22:W848,1)</f>
        <v>0</v>
      </c>
      <c r="B848">
        <v>848</v>
      </c>
      <c r="C848" s="340" t="str">
        <f>Tabulka1[[#This Row],[KOD]]</f>
        <v>RK-66-2502</v>
      </c>
      <c r="W848" s="804" t="str">
        <f t="shared" si="27"/>
        <v/>
      </c>
      <c r="X848" t="str">
        <f t="shared" si="28"/>
        <v/>
      </c>
      <c r="Y848" s="341">
        <f>IF('General price list'!$AB850="",0,'General price list'!$AB850)</f>
        <v>0</v>
      </c>
      <c r="Z848" s="365" t="str">
        <f>IFERROR(X848*VLOOKUP(C848,'General price list'!C:I,7,FALSE),"")</f>
        <v/>
      </c>
      <c r="AA848" s="805" t="str">
        <f>IF(X848&lt;&gt;"",VLOOKUP(C848,'General price list'!C850:AN1823,MATCH("HM",Tabulka1[[#Headers],[KOD]:[NEQ]],0),FALSE),"")</f>
        <v/>
      </c>
    </row>
    <row r="849" spans="1:27">
      <c r="A849">
        <f>COUNTIF($W$22:W849,1)</f>
        <v>0</v>
      </c>
      <c r="B849">
        <v>849</v>
      </c>
      <c r="C849" s="340" t="str">
        <f>Tabulka1[[#This Row],[KOD]]</f>
        <v>HF-75-2310s</v>
      </c>
      <c r="W849" s="804" t="str">
        <f t="shared" si="27"/>
        <v/>
      </c>
      <c r="X849" t="str">
        <f t="shared" si="28"/>
        <v/>
      </c>
      <c r="Y849" s="341">
        <f>IF('General price list'!$AB851="",0,'General price list'!$AB851)</f>
        <v>0</v>
      </c>
      <c r="Z849" s="365" t="str">
        <f>IFERROR(X849*VLOOKUP(C849,'General price list'!C:I,7,FALSE),"")</f>
        <v/>
      </c>
      <c r="AA849" s="805" t="str">
        <f>IF(X849&lt;&gt;"",VLOOKUP(C849,'General price list'!C851:AN1824,MATCH("HM",Tabulka1[[#Headers],[KOD]:[NEQ]],0),FALSE),"")</f>
        <v/>
      </c>
    </row>
    <row r="850" spans="1:27">
      <c r="A850">
        <f>COUNTIF($W$22:W850,1)</f>
        <v>0</v>
      </c>
      <c r="B850">
        <v>850</v>
      </c>
      <c r="C850" s="340" t="str">
        <f>Tabulka1[[#This Row],[KOD]]</f>
        <v>HF-108-2603s</v>
      </c>
      <c r="W850" s="804" t="str">
        <f t="shared" si="27"/>
        <v/>
      </c>
      <c r="X850" t="str">
        <f t="shared" si="28"/>
        <v/>
      </c>
      <c r="Y850" s="341">
        <f>IF('General price list'!$AB852="",0,'General price list'!$AB852)</f>
        <v>0</v>
      </c>
      <c r="Z850" s="365" t="str">
        <f>IFERROR(X850*VLOOKUP(C850,'General price list'!C:I,7,FALSE),"")</f>
        <v/>
      </c>
      <c r="AA850" s="805" t="str">
        <f>IF(X850&lt;&gt;"",VLOOKUP(C850,'General price list'!C852:AN1825,MATCH("HM",Tabulka1[[#Headers],[KOD]:[NEQ]],0),FALSE),"")</f>
        <v/>
      </c>
    </row>
    <row r="851" spans="1:27">
      <c r="A851">
        <f>COUNTIF($W$22:W851,1)</f>
        <v>0</v>
      </c>
      <c r="B851">
        <v>851</v>
      </c>
      <c r="C851" s="340" t="str">
        <f>Tabulka1[[#This Row],[KOD]]</f>
        <v>HF-144-2605</v>
      </c>
      <c r="W851" s="804" t="str">
        <f t="shared" si="27"/>
        <v/>
      </c>
      <c r="X851" t="str">
        <f t="shared" si="28"/>
        <v/>
      </c>
      <c r="Y851" s="341">
        <f>IF('General price list'!$AB853="",0,'General price list'!$AB853)</f>
        <v>0</v>
      </c>
      <c r="Z851" s="365" t="str">
        <f>IFERROR(X851*VLOOKUP(C851,'General price list'!C:I,7,FALSE),"")</f>
        <v/>
      </c>
      <c r="AA851" s="805" t="str">
        <f>IF(X851&lt;&gt;"",VLOOKUP(C851,'General price list'!C853:AN1826,MATCH("HM",Tabulka1[[#Headers],[KOD]:[NEQ]],0),FALSE),"")</f>
        <v/>
      </c>
    </row>
    <row r="852" spans="1:27">
      <c r="A852">
        <f>COUNTIF($W$22:W852,1)</f>
        <v>0</v>
      </c>
      <c r="B852">
        <v>852</v>
      </c>
      <c r="C852" s="340" t="str">
        <f>Tabulka1[[#This Row],[KOD]]</f>
        <v>HF-75-2608s</v>
      </c>
      <c r="W852" s="804" t="str">
        <f t="shared" si="27"/>
        <v/>
      </c>
      <c r="X852" t="str">
        <f t="shared" si="28"/>
        <v/>
      </c>
      <c r="Y852" s="341">
        <f>IF('General price list'!$AB854="",0,'General price list'!$AB854)</f>
        <v>0</v>
      </c>
      <c r="Z852" s="365" t="str">
        <f>IFERROR(X852*VLOOKUP(C852,'General price list'!C:I,7,FALSE),"")</f>
        <v/>
      </c>
      <c r="AA852" s="805" t="str">
        <f>IF(X852&lt;&gt;"",VLOOKUP(C852,'General price list'!C854:AN1827,MATCH("HM",Tabulka1[[#Headers],[KOD]:[NEQ]],0),FALSE),"")</f>
        <v/>
      </c>
    </row>
    <row r="853" spans="1:27">
      <c r="A853">
        <f>COUNTIF($W$22:W853,1)</f>
        <v>0</v>
      </c>
      <c r="B853">
        <v>853</v>
      </c>
      <c r="C853" s="340" t="str">
        <f>Tabulka1[[#This Row],[KOD]]</f>
        <v>RK-98-2555</v>
      </c>
      <c r="W853" s="804" t="str">
        <f t="shared" si="27"/>
        <v/>
      </c>
      <c r="X853" t="str">
        <f t="shared" si="28"/>
        <v/>
      </c>
      <c r="Y853" s="341">
        <f>IF('General price list'!$AB855="",0,'General price list'!$AB855)</f>
        <v>0</v>
      </c>
      <c r="Z853" s="365" t="str">
        <f>IFERROR(X853*VLOOKUP(C853,'General price list'!C:I,7,FALSE),"")</f>
        <v/>
      </c>
      <c r="AA853" s="805" t="str">
        <f>IF(X853&lt;&gt;"",VLOOKUP(C853,'General price list'!C855:AN1828,MATCH("HM",Tabulka1[[#Headers],[KOD]:[NEQ]],0),FALSE),"")</f>
        <v/>
      </c>
    </row>
    <row r="854" spans="1:27">
      <c r="A854">
        <f>COUNTIF($W$22:W854,1)</f>
        <v>0</v>
      </c>
      <c r="B854">
        <v>854</v>
      </c>
      <c r="C854" s="340" t="str">
        <f>Tabulka1[[#This Row],[KOD]]</f>
        <v>HF-96-2362s</v>
      </c>
      <c r="W854" s="804" t="str">
        <f t="shared" si="27"/>
        <v/>
      </c>
      <c r="X854" t="str">
        <f t="shared" si="28"/>
        <v/>
      </c>
      <c r="Y854" s="341">
        <f>IF('General price list'!$AB856="",0,'General price list'!$AB856)</f>
        <v>0</v>
      </c>
      <c r="Z854" s="365" t="str">
        <f>IFERROR(X854*VLOOKUP(C854,'General price list'!C:I,7,FALSE),"")</f>
        <v/>
      </c>
      <c r="AA854" s="805" t="str">
        <f>IF(X854&lt;&gt;"",VLOOKUP(C854,'General price list'!C856:AN1829,MATCH("HM",Tabulka1[[#Headers],[KOD]:[NEQ]],0),FALSE),"")</f>
        <v/>
      </c>
    </row>
    <row r="855" spans="1:27">
      <c r="A855">
        <f>COUNTIF($W$22:W855,1)</f>
        <v>0</v>
      </c>
      <c r="B855">
        <v>855</v>
      </c>
      <c r="C855" s="340" t="str">
        <f>Tabulka1[[#This Row],[KOD]]</f>
        <v>HF-102-2214</v>
      </c>
      <c r="W855" s="804" t="str">
        <f t="shared" si="27"/>
        <v/>
      </c>
      <c r="X855" t="str">
        <f t="shared" si="28"/>
        <v/>
      </c>
      <c r="Y855" s="341">
        <f>IF('General price list'!$AB857="",0,'General price list'!$AB857)</f>
        <v>0</v>
      </c>
      <c r="Z855" s="365" t="str">
        <f>IFERROR(X855*VLOOKUP(C855,'General price list'!C:I,7,FALSE),"")</f>
        <v/>
      </c>
      <c r="AA855" s="805" t="str">
        <f>IF(X855&lt;&gt;"",VLOOKUP(C855,'General price list'!C857:AN1830,MATCH("HM",Tabulka1[[#Headers],[KOD]:[NEQ]],0),FALSE),"")</f>
        <v/>
      </c>
    </row>
    <row r="856" spans="1:27">
      <c r="A856">
        <f>COUNTIF($W$22:W856,1)</f>
        <v>0</v>
      </c>
      <c r="B856">
        <v>856</v>
      </c>
      <c r="C856" s="340" t="str">
        <f>Tabulka1[[#This Row],[KOD]]</f>
        <v>HF-101-2216</v>
      </c>
      <c r="W856" s="804" t="str">
        <f t="shared" si="27"/>
        <v/>
      </c>
      <c r="X856" t="str">
        <f t="shared" si="28"/>
        <v/>
      </c>
      <c r="Y856" s="341">
        <f>IF('General price list'!$AB858="",0,'General price list'!$AB858)</f>
        <v>0</v>
      </c>
      <c r="Z856" s="365" t="str">
        <f>IFERROR(X856*VLOOKUP(C856,'General price list'!C:I,7,FALSE),"")</f>
        <v/>
      </c>
      <c r="AA856" s="805" t="str">
        <f>IF(X856&lt;&gt;"",VLOOKUP(C856,'General price list'!C858:AN1831,MATCH("HM",Tabulka1[[#Headers],[KOD]:[NEQ]],0),FALSE),"")</f>
        <v/>
      </c>
    </row>
    <row r="857" spans="1:27">
      <c r="A857">
        <f>COUNTIF($W$22:W857,1)</f>
        <v>0</v>
      </c>
      <c r="B857">
        <v>857</v>
      </c>
      <c r="C857" s="340" t="str">
        <f>Tabulka1[[#This Row],[KOD]]</f>
        <v>HF-108-2315</v>
      </c>
      <c r="W857" s="804" t="str">
        <f t="shared" ref="W857:W920" si="29">IF(Y857+1=1,"",1)</f>
        <v/>
      </c>
      <c r="X857" t="str">
        <f t="shared" ref="X857:X920" si="30">IF(OR(A857&lt;$E$20,A857&gt;$E$21),"",IF(Y857=0,"",Y857))</f>
        <v/>
      </c>
      <c r="Y857" s="341">
        <f>IF('General price list'!$AB859="",0,'General price list'!$AB859)</f>
        <v>0</v>
      </c>
      <c r="Z857" s="365" t="str">
        <f>IFERROR(X857*VLOOKUP(C857,'General price list'!C:I,7,FALSE),"")</f>
        <v/>
      </c>
      <c r="AA857" s="805" t="str">
        <f>IF(X857&lt;&gt;"",VLOOKUP(C857,'General price list'!C859:AN1832,MATCH("HM",Tabulka1[[#Headers],[KOD]:[NEQ]],0),FALSE),"")</f>
        <v/>
      </c>
    </row>
    <row r="858" spans="1:27">
      <c r="A858">
        <f>COUNTIF($W$22:W858,1)</f>
        <v>0</v>
      </c>
      <c r="B858">
        <v>858</v>
      </c>
      <c r="C858" s="340" t="str">
        <f>Tabulka1[[#This Row],[KOD]]</f>
        <v>HF-83-2207P</v>
      </c>
      <c r="W858" s="804" t="str">
        <f t="shared" si="29"/>
        <v/>
      </c>
      <c r="X858" t="str">
        <f t="shared" si="30"/>
        <v/>
      </c>
      <c r="Y858" s="341">
        <f>IF('General price list'!$AB860="",0,'General price list'!$AB860)</f>
        <v>0</v>
      </c>
      <c r="Z858" s="365" t="str">
        <f>IFERROR(X858*VLOOKUP(C858,'General price list'!C:I,7,FALSE),"")</f>
        <v/>
      </c>
      <c r="AA858" s="805" t="str">
        <f>IF(X858&lt;&gt;"",VLOOKUP(C858,'General price list'!C860:AN1833,MATCH("HM",Tabulka1[[#Headers],[KOD]:[NEQ]],0),FALSE),"")</f>
        <v/>
      </c>
    </row>
    <row r="859" spans="1:27">
      <c r="A859">
        <f>COUNTIF($W$22:W859,1)</f>
        <v>0</v>
      </c>
      <c r="B859">
        <v>859</v>
      </c>
      <c r="C859" s="340" t="str">
        <f>Tabulka1[[#This Row],[KOD]]</f>
        <v>HF-98-2212</v>
      </c>
      <c r="W859" s="804" t="str">
        <f t="shared" si="29"/>
        <v/>
      </c>
      <c r="X859" t="str">
        <f t="shared" si="30"/>
        <v/>
      </c>
      <c r="Y859" s="341">
        <f>IF('General price list'!$AB861="",0,'General price list'!$AB861)</f>
        <v>0</v>
      </c>
      <c r="Z859" s="365" t="str">
        <f>IFERROR(X859*VLOOKUP(C859,'General price list'!C:I,7,FALSE),"")</f>
        <v/>
      </c>
      <c r="AA859" s="805" t="str">
        <f>IF(X859&lt;&gt;"",VLOOKUP(C859,'General price list'!C861:AN1834,MATCH("HM",Tabulka1[[#Headers],[KOD]:[NEQ]],0),FALSE),"")</f>
        <v/>
      </c>
    </row>
    <row r="860" spans="1:27">
      <c r="A860">
        <f>COUNTIF($W$22:W860,1)</f>
        <v>0</v>
      </c>
      <c r="B860">
        <v>860</v>
      </c>
      <c r="C860" s="340" t="str">
        <f>Tabulka1[[#This Row],[KOD]]</f>
        <v>HF-127-2411s</v>
      </c>
      <c r="W860" s="804" t="str">
        <f t="shared" si="29"/>
        <v/>
      </c>
      <c r="X860" t="str">
        <f t="shared" si="30"/>
        <v/>
      </c>
      <c r="Y860" s="341">
        <f>IF('General price list'!$AB862="",0,'General price list'!$AB862)</f>
        <v>0</v>
      </c>
      <c r="Z860" s="365" t="str">
        <f>IFERROR(X860*VLOOKUP(C860,'General price list'!C:I,7,FALSE),"")</f>
        <v/>
      </c>
      <c r="AA860" s="805" t="str">
        <f>IF(X860&lt;&gt;"",VLOOKUP(C860,'General price list'!C862:AN1835,MATCH("HM",Tabulka1[[#Headers],[KOD]:[NEQ]],0),FALSE),"")</f>
        <v/>
      </c>
    </row>
    <row r="861" spans="1:27">
      <c r="A861">
        <f>COUNTIF($W$22:W861,1)</f>
        <v>0</v>
      </c>
      <c r="B861">
        <v>861</v>
      </c>
      <c r="C861" s="340" t="str">
        <f>Tabulka1[[#This Row],[KOD]]</f>
        <v>HF-142-2211</v>
      </c>
      <c r="W861" s="804" t="str">
        <f t="shared" si="29"/>
        <v/>
      </c>
      <c r="X861" t="str">
        <f t="shared" si="30"/>
        <v/>
      </c>
      <c r="Y861" s="341">
        <f>IF('General price list'!$AB863="",0,'General price list'!$AB863)</f>
        <v>0</v>
      </c>
      <c r="Z861" s="365" t="str">
        <f>IFERROR(X861*VLOOKUP(C861,'General price list'!C:I,7,FALSE),"")</f>
        <v/>
      </c>
      <c r="AA861" s="805" t="str">
        <f>IF(X861&lt;&gt;"",VLOOKUP(C861,'General price list'!C863:AN1836,MATCH("HM",Tabulka1[[#Headers],[KOD]:[NEQ]],0),FALSE),"")</f>
        <v/>
      </c>
    </row>
    <row r="862" spans="1:27">
      <c r="A862">
        <f>COUNTIF($W$22:W862,1)</f>
        <v>0</v>
      </c>
      <c r="B862">
        <v>862</v>
      </c>
      <c r="C862" s="340" t="str">
        <f>Tabulka1[[#This Row],[KOD]]</f>
        <v>HF-148-2217</v>
      </c>
      <c r="W862" s="804" t="str">
        <f t="shared" si="29"/>
        <v/>
      </c>
      <c r="X862" t="str">
        <f t="shared" si="30"/>
        <v/>
      </c>
      <c r="Y862" s="341">
        <f>IF('General price list'!$AB864="",0,'General price list'!$AB864)</f>
        <v>0</v>
      </c>
      <c r="Z862" s="365" t="str">
        <f>IFERROR(X862*VLOOKUP(C862,'General price list'!C:I,7,FALSE),"")</f>
        <v/>
      </c>
      <c r="AA862" s="805" t="str">
        <f>IF(X862&lt;&gt;"",VLOOKUP(C862,'General price list'!C864:AN1837,MATCH("HM",Tabulka1[[#Headers],[KOD]:[NEQ]],0),FALSE),"")</f>
        <v/>
      </c>
    </row>
    <row r="863" spans="1:27">
      <c r="A863">
        <f>COUNTIF($W$22:W863,1)</f>
        <v>0</v>
      </c>
      <c r="B863">
        <v>863</v>
      </c>
      <c r="C863" s="340" t="str">
        <f>Tabulka1[[#This Row],[KOD]]</f>
        <v>RKD-24018</v>
      </c>
      <c r="W863" s="804" t="str">
        <f t="shared" si="29"/>
        <v/>
      </c>
      <c r="X863" t="str">
        <f t="shared" si="30"/>
        <v/>
      </c>
      <c r="Y863" s="341">
        <f>IF('General price list'!$AB865="",0,'General price list'!$AB865)</f>
        <v>0</v>
      </c>
      <c r="Z863" s="365" t="str">
        <f>IFERROR(X863*VLOOKUP(C863,'General price list'!C:I,7,FALSE),"")</f>
        <v/>
      </c>
      <c r="AA863" s="805" t="str">
        <f>IF(X863&lt;&gt;"",VLOOKUP(C863,'General price list'!C865:AN1838,MATCH("HM",Tabulka1[[#Headers],[KOD]:[NEQ]],0),FALSE),"")</f>
        <v/>
      </c>
    </row>
    <row r="864" spans="1:27">
      <c r="A864">
        <f>COUNTIF($W$22:W864,1)</f>
        <v>0</v>
      </c>
      <c r="B864">
        <v>864</v>
      </c>
      <c r="C864" s="340" t="str">
        <f>Tabulka1[[#This Row],[KOD]]</f>
        <v>RKD-24019</v>
      </c>
      <c r="W864" s="804" t="str">
        <f t="shared" si="29"/>
        <v/>
      </c>
      <c r="X864" t="str">
        <f t="shared" si="30"/>
        <v/>
      </c>
      <c r="Y864" s="341">
        <f>IF('General price list'!$AB866="",0,'General price list'!$AB866)</f>
        <v>0</v>
      </c>
      <c r="Z864" s="365" t="str">
        <f>IFERROR(X864*VLOOKUP(C864,'General price list'!C:I,7,FALSE),"")</f>
        <v/>
      </c>
      <c r="AA864" s="805" t="str">
        <f>IF(X864&lt;&gt;"",VLOOKUP(C864,'General price list'!C866:AN1839,MATCH("HM",Tabulka1[[#Headers],[KOD]:[NEQ]],0),FALSE),"")</f>
        <v/>
      </c>
    </row>
    <row r="865" spans="1:27">
      <c r="A865">
        <f>COUNTIF($W$22:W865,1)</f>
        <v>0</v>
      </c>
      <c r="B865">
        <v>865</v>
      </c>
      <c r="C865" s="340">
        <f>Tabulka1[[#This Row],[KOD]]</f>
        <v>0</v>
      </c>
      <c r="W865" s="804" t="str">
        <f t="shared" si="29"/>
        <v/>
      </c>
      <c r="X865" t="str">
        <f t="shared" si="30"/>
        <v/>
      </c>
      <c r="Y865" s="341">
        <f>IF('General price list'!$AB867="",0,'General price list'!$AB867)</f>
        <v>0</v>
      </c>
      <c r="Z865" s="365" t="str">
        <f>IFERROR(X865*VLOOKUP(C865,'General price list'!C:I,7,FALSE),"")</f>
        <v/>
      </c>
      <c r="AA865" s="805" t="str">
        <f>IF(X865&lt;&gt;"",VLOOKUP(C865,'General price list'!C867:AN1840,MATCH("HM",Tabulka1[[#Headers],[KOD]:[NEQ]],0),FALSE),"")</f>
        <v/>
      </c>
    </row>
    <row r="866" spans="1:27">
      <c r="A866">
        <f>COUNTIF($W$22:W866,1)</f>
        <v>0</v>
      </c>
      <c r="B866">
        <v>866</v>
      </c>
      <c r="C866" s="340" t="str">
        <f>Tabulka1[[#This Row],[KOD]]</f>
        <v>HF-90-2402-HF-90-2403</v>
      </c>
      <c r="W866" s="804" t="str">
        <f t="shared" si="29"/>
        <v/>
      </c>
      <c r="X866" t="str">
        <f t="shared" si="30"/>
        <v/>
      </c>
      <c r="Y866" s="341">
        <f>IF('General price list'!$AB868="",0,'General price list'!$AB868)</f>
        <v>0</v>
      </c>
      <c r="Z866" s="365" t="str">
        <f>IFERROR(X866*VLOOKUP(C866,'General price list'!C:I,7,FALSE),"")</f>
        <v/>
      </c>
      <c r="AA866" s="805" t="str">
        <f>IF(X866&lt;&gt;"",VLOOKUP(C866,'General price list'!C868:AN1841,MATCH("HM",Tabulka1[[#Headers],[KOD]:[NEQ]],0),FALSE),"")</f>
        <v/>
      </c>
    </row>
    <row r="867" spans="1:27">
      <c r="A867">
        <f>COUNTIF($W$22:W867,1)</f>
        <v>0</v>
      </c>
      <c r="B867">
        <v>867</v>
      </c>
      <c r="C867" s="340" t="str">
        <f>Tabulka1[[#This Row],[KOD]]</f>
        <v>HF-129-2223A-HF-114-2224</v>
      </c>
      <c r="W867" s="804" t="str">
        <f t="shared" si="29"/>
        <v/>
      </c>
      <c r="X867" t="str">
        <f t="shared" si="30"/>
        <v/>
      </c>
      <c r="Y867" s="341">
        <f>IF('General price list'!$AB869="",0,'General price list'!$AB869)</f>
        <v>0</v>
      </c>
      <c r="Z867" s="365" t="str">
        <f>IFERROR(X867*VLOOKUP(C867,'General price list'!C:I,7,FALSE),"")</f>
        <v/>
      </c>
      <c r="AA867" s="805" t="str">
        <f>IF(X867&lt;&gt;"",VLOOKUP(C867,'General price list'!C869:AN1842,MATCH("HM",Tabulka1[[#Headers],[KOD]:[NEQ]],0),FALSE),"")</f>
        <v/>
      </c>
    </row>
    <row r="868" spans="1:27">
      <c r="A868">
        <f>COUNTIF($W$22:W868,1)</f>
        <v>0</v>
      </c>
      <c r="B868">
        <v>868</v>
      </c>
      <c r="C868" s="340" t="str">
        <f>Tabulka1[[#This Row],[KOD]]</f>
        <v>HF-90-2218-HF-90-2219</v>
      </c>
      <c r="W868" s="804" t="str">
        <f t="shared" si="29"/>
        <v/>
      </c>
      <c r="X868" t="str">
        <f t="shared" si="30"/>
        <v/>
      </c>
      <c r="Y868" s="341">
        <f>IF('General price list'!$AB870="",0,'General price list'!$AB870)</f>
        <v>0</v>
      </c>
      <c r="Z868" s="365" t="str">
        <f>IFERROR(X868*VLOOKUP(C868,'General price list'!C:I,7,FALSE),"")</f>
        <v/>
      </c>
      <c r="AA868" s="805" t="str">
        <f>IF(X868&lt;&gt;"",VLOOKUP(C868,'General price list'!C870:AN1843,MATCH("HM",Tabulka1[[#Headers],[KOD]:[NEQ]],0),FALSE),"")</f>
        <v/>
      </c>
    </row>
    <row r="869" spans="1:27">
      <c r="A869">
        <f>COUNTIF($W$22:W869,1)</f>
        <v>0</v>
      </c>
      <c r="B869">
        <v>869</v>
      </c>
      <c r="C869" s="340" t="str">
        <f>Tabulka1[[#This Row],[KOD]]</f>
        <v>HF-78-2423-HF-78-2424</v>
      </c>
      <c r="W869" s="804" t="str">
        <f t="shared" si="29"/>
        <v/>
      </c>
      <c r="X869" t="str">
        <f t="shared" si="30"/>
        <v/>
      </c>
      <c r="Y869" s="341">
        <f>IF('General price list'!$AB871="",0,'General price list'!$AB871)</f>
        <v>0</v>
      </c>
      <c r="Z869" s="365" t="str">
        <f>IFERROR(X869*VLOOKUP(C869,'General price list'!C:I,7,FALSE),"")</f>
        <v/>
      </c>
      <c r="AA869" s="805" t="str">
        <f>IF(X869&lt;&gt;"",VLOOKUP(C869,'General price list'!C871:AN1844,MATCH("HM",Tabulka1[[#Headers],[KOD]:[NEQ]],0),FALSE),"")</f>
        <v/>
      </c>
    </row>
    <row r="870" spans="1:27">
      <c r="A870">
        <f>COUNTIF($W$22:W870,1)</f>
        <v>0</v>
      </c>
      <c r="B870">
        <v>870</v>
      </c>
      <c r="C870" s="340" t="str">
        <f>Tabulka1[[#This Row],[KOD]]</f>
        <v>HF-80-2366s  HF-80-2367s</v>
      </c>
      <c r="W870" s="804" t="str">
        <f t="shared" si="29"/>
        <v/>
      </c>
      <c r="X870" t="str">
        <f t="shared" si="30"/>
        <v/>
      </c>
      <c r="Y870" s="341">
        <f>IF('General price list'!$AB872="",0,'General price list'!$AB872)</f>
        <v>0</v>
      </c>
      <c r="Z870" s="365" t="str">
        <f>IFERROR(X870*VLOOKUP(C870,'General price list'!C:I,7,FALSE),"")</f>
        <v/>
      </c>
      <c r="AA870" s="805" t="str">
        <f>IF(X870&lt;&gt;"",VLOOKUP(C870,'General price list'!C872:AN1845,MATCH("HM",Tabulka1[[#Headers],[KOD]:[NEQ]],0),FALSE),"")</f>
        <v/>
      </c>
    </row>
    <row r="871" spans="1:27">
      <c r="A871">
        <f>COUNTIF($W$22:W871,1)</f>
        <v>0</v>
      </c>
      <c r="B871">
        <v>871</v>
      </c>
      <c r="C871" s="340" t="str">
        <f>Tabulka1[[#This Row],[KOD]]</f>
        <v>RK-92-2565 RK-96-2566</v>
      </c>
      <c r="W871" s="804" t="str">
        <f t="shared" si="29"/>
        <v/>
      </c>
      <c r="X871" t="str">
        <f t="shared" si="30"/>
        <v/>
      </c>
      <c r="Y871" s="341">
        <f>IF('General price list'!$AB873="",0,'General price list'!$AB873)</f>
        <v>0</v>
      </c>
      <c r="Z871" s="365" t="str">
        <f>IFERROR(X871*VLOOKUP(C871,'General price list'!C:I,7,FALSE),"")</f>
        <v/>
      </c>
      <c r="AA871" s="805" t="str">
        <f>IF(X871&lt;&gt;"",VLOOKUP(C871,'General price list'!C873:AN1846,MATCH("HM",Tabulka1[[#Headers],[KOD]:[NEQ]],0),FALSE),"")</f>
        <v/>
      </c>
    </row>
    <row r="872" spans="1:27">
      <c r="A872">
        <f>COUNTIF($W$22:W872,1)</f>
        <v>0</v>
      </c>
      <c r="B872">
        <v>872</v>
      </c>
      <c r="C872" s="340" t="str">
        <f>Tabulka1[[#This Row],[KOD]]</f>
        <v>HF-96-2418-HF-96-2419</v>
      </c>
      <c r="W872" s="804" t="str">
        <f t="shared" si="29"/>
        <v/>
      </c>
      <c r="X872" t="str">
        <f t="shared" si="30"/>
        <v/>
      </c>
      <c r="Y872" s="341">
        <f>IF('General price list'!$AB874="",0,'General price list'!$AB874)</f>
        <v>0</v>
      </c>
      <c r="Z872" s="365" t="str">
        <f>IFERROR(X872*VLOOKUP(C872,'General price list'!C:I,7,FALSE),"")</f>
        <v/>
      </c>
      <c r="AA872" s="805" t="str">
        <f>IF(X872&lt;&gt;"",VLOOKUP(C872,'General price list'!C874:AN1847,MATCH("HM",Tabulka1[[#Headers],[KOD]:[NEQ]],0),FALSE),"")</f>
        <v/>
      </c>
    </row>
    <row r="873" spans="1:27">
      <c r="A873">
        <f>COUNTIF($W$22:W873,1)</f>
        <v>0</v>
      </c>
      <c r="B873">
        <v>873</v>
      </c>
      <c r="C873" s="340" t="str">
        <f>Tabulka1[[#This Row],[KOD]]</f>
        <v>HF-88-2487-HF-116-2488</v>
      </c>
      <c r="W873" s="804" t="str">
        <f t="shared" si="29"/>
        <v/>
      </c>
      <c r="X873" t="str">
        <f t="shared" si="30"/>
        <v/>
      </c>
      <c r="Y873" s="341">
        <f>IF('General price list'!$AB875="",0,'General price list'!$AB875)</f>
        <v>0</v>
      </c>
      <c r="Z873" s="365" t="str">
        <f>IFERROR(X873*VLOOKUP(C873,'General price list'!C:I,7,FALSE),"")</f>
        <v/>
      </c>
      <c r="AA873" s="805" t="str">
        <f>IF(X873&lt;&gt;"",VLOOKUP(C873,'General price list'!C875:AN1848,MATCH("HM",Tabulka1[[#Headers],[KOD]:[NEQ]],0),FALSE),"")</f>
        <v/>
      </c>
    </row>
    <row r="874" spans="1:27">
      <c r="A874">
        <f>COUNTIF($W$22:W874,1)</f>
        <v>0</v>
      </c>
      <c r="B874">
        <v>874</v>
      </c>
      <c r="C874" s="340" t="str">
        <f>Tabulka1[[#This Row],[KOD]]</f>
        <v>HF-98-24103-HF-96-24104-HF-98-24105-HF-100-24106</v>
      </c>
      <c r="W874" s="804" t="str">
        <f t="shared" si="29"/>
        <v/>
      </c>
      <c r="X874" t="str">
        <f t="shared" si="30"/>
        <v/>
      </c>
      <c r="Y874" s="341">
        <f>IF('General price list'!$AB876="",0,'General price list'!$AB876)</f>
        <v>0</v>
      </c>
      <c r="Z874" s="365" t="str">
        <f>IFERROR(X874*VLOOKUP(C874,'General price list'!C:I,7,FALSE),"")</f>
        <v/>
      </c>
      <c r="AA874" s="805" t="str">
        <f>IF(X874&lt;&gt;"",VLOOKUP(C874,'General price list'!C876:AN1849,MATCH("HM",Tabulka1[[#Headers],[KOD]:[NEQ]],0),FALSE),"")</f>
        <v/>
      </c>
    </row>
    <row r="875" spans="1:27">
      <c r="A875">
        <f>COUNTIF($W$22:W875,1)</f>
        <v>0</v>
      </c>
      <c r="B875">
        <v>875</v>
      </c>
      <c r="C875" s="340">
        <f>Tabulka1[[#This Row],[KOD]]</f>
        <v>0</v>
      </c>
      <c r="W875" s="804" t="str">
        <f t="shared" si="29"/>
        <v/>
      </c>
      <c r="X875" t="str">
        <f t="shared" si="30"/>
        <v/>
      </c>
      <c r="Y875" s="341">
        <f>IF('General price list'!$AB877="",0,'General price list'!$AB877)</f>
        <v>0</v>
      </c>
      <c r="Z875" s="365" t="str">
        <f>IFERROR(X875*VLOOKUP(C875,'General price list'!C:I,7,FALSE),"")</f>
        <v/>
      </c>
      <c r="AA875" s="805" t="str">
        <f>IF(X875&lt;&gt;"",VLOOKUP(C875,'General price list'!C877:AN1850,MATCH("HM",Tabulka1[[#Headers],[KOD]:[NEQ]],0),FALSE),"")</f>
        <v/>
      </c>
    </row>
    <row r="876" spans="1:27">
      <c r="A876">
        <f>COUNTIF($W$22:W876,1)</f>
        <v>0</v>
      </c>
      <c r="B876">
        <v>876</v>
      </c>
      <c r="C876" s="340" t="str">
        <f>Tabulka1[[#This Row],[KOD]]</f>
        <v>CX1352X2</v>
      </c>
      <c r="W876" s="804" t="str">
        <f t="shared" si="29"/>
        <v/>
      </c>
      <c r="X876" t="str">
        <f t="shared" si="30"/>
        <v/>
      </c>
      <c r="Y876" s="341">
        <f>IF('General price list'!$AB878="",0,'General price list'!$AB878)</f>
        <v>0</v>
      </c>
      <c r="Z876" s="365" t="str">
        <f>IFERROR(X876*VLOOKUP(C876,'General price list'!C:I,7,FALSE),"")</f>
        <v/>
      </c>
      <c r="AA876" s="805" t="str">
        <f>IF(X876&lt;&gt;"",VLOOKUP(C876,'General price list'!C878:AN1851,MATCH("HM",Tabulka1[[#Headers],[KOD]:[NEQ]],0),FALSE),"")</f>
        <v/>
      </c>
    </row>
    <row r="877" spans="1:27">
      <c r="A877">
        <f>COUNTIF($W$22:W877,1)</f>
        <v>0</v>
      </c>
      <c r="B877">
        <v>877</v>
      </c>
      <c r="C877" s="340" t="str">
        <f>Tabulka1[[#This Row],[KOD]]</f>
        <v>CF1352X6</v>
      </c>
      <c r="W877" s="804" t="str">
        <f t="shared" si="29"/>
        <v/>
      </c>
      <c r="X877" t="str">
        <f t="shared" si="30"/>
        <v/>
      </c>
      <c r="Y877" s="341">
        <f>IF('General price list'!$AB879="",0,'General price list'!$AB879)</f>
        <v>0</v>
      </c>
      <c r="Z877" s="365" t="str">
        <f>IFERROR(X877*VLOOKUP(C877,'General price list'!C:I,7,FALSE),"")</f>
        <v/>
      </c>
      <c r="AA877" s="805" t="str">
        <f>IF(X877&lt;&gt;"",VLOOKUP(C877,'General price list'!C879:AN1852,MATCH("HM",Tabulka1[[#Headers],[KOD]:[NEQ]],0),FALSE),"")</f>
        <v/>
      </c>
    </row>
    <row r="878" spans="1:27">
      <c r="A878">
        <f>COUNTIF($W$22:W878,1)</f>
        <v>0</v>
      </c>
      <c r="B878">
        <v>878</v>
      </c>
      <c r="C878" s="340" t="str">
        <f>Tabulka1[[#This Row],[KOD]]</f>
        <v>CS1352X9</v>
      </c>
      <c r="W878" s="804" t="str">
        <f t="shared" si="29"/>
        <v/>
      </c>
      <c r="X878" t="str">
        <f t="shared" si="30"/>
        <v/>
      </c>
      <c r="Y878" s="341">
        <f>IF('General price list'!$AB880="",0,'General price list'!$AB880)</f>
        <v>0</v>
      </c>
      <c r="Z878" s="365" t="str">
        <f>IFERROR(X878*VLOOKUP(C878,'General price list'!C:I,7,FALSE),"")</f>
        <v/>
      </c>
      <c r="AA878" s="805" t="str">
        <f>IF(X878&lt;&gt;"",VLOOKUP(C878,'General price list'!C880:AN1853,MATCH("HM",Tabulka1[[#Headers],[KOD]:[NEQ]],0),FALSE),"")</f>
        <v/>
      </c>
    </row>
    <row r="879" spans="1:27">
      <c r="A879">
        <f>COUNTIF($W$22:W879,1)</f>
        <v>0</v>
      </c>
      <c r="B879">
        <v>879</v>
      </c>
      <c r="C879" s="340" t="str">
        <f>Tabulka1[[#This Row],[KOD]]</f>
        <v>CS1352X10</v>
      </c>
      <c r="W879" s="804" t="str">
        <f t="shared" si="29"/>
        <v/>
      </c>
      <c r="X879" t="str">
        <f t="shared" si="30"/>
        <v/>
      </c>
      <c r="Y879" s="341">
        <f>IF('General price list'!$AB881="",0,'General price list'!$AB881)</f>
        <v>0</v>
      </c>
      <c r="Z879" s="365" t="str">
        <f>IFERROR(X879*VLOOKUP(C879,'General price list'!C:I,7,FALSE),"")</f>
        <v/>
      </c>
      <c r="AA879" s="805" t="str">
        <f>IF(X879&lt;&gt;"",VLOOKUP(C879,'General price list'!C881:AN1854,MATCH("HM",Tabulka1[[#Headers],[KOD]:[NEQ]],0),FALSE),"")</f>
        <v/>
      </c>
    </row>
    <row r="880" spans="1:27">
      <c r="A880">
        <f>COUNTIF($W$22:W880,1)</f>
        <v>0</v>
      </c>
      <c r="B880">
        <v>880</v>
      </c>
      <c r="C880" s="340" t="str">
        <f>Tabulka1[[#This Row],[KOD]]</f>
        <v>CX1352X11</v>
      </c>
      <c r="W880" s="804" t="str">
        <f t="shared" si="29"/>
        <v/>
      </c>
      <c r="X880" t="str">
        <f t="shared" si="30"/>
        <v/>
      </c>
      <c r="Y880" s="341">
        <f>IF('General price list'!$AB882="",0,'General price list'!$AB882)</f>
        <v>0</v>
      </c>
      <c r="Z880" s="365" t="str">
        <f>IFERROR(X880*VLOOKUP(C880,'General price list'!C:I,7,FALSE),"")</f>
        <v/>
      </c>
      <c r="AA880" s="805" t="str">
        <f>IF(X880&lt;&gt;"",VLOOKUP(C880,'General price list'!C882:AN1855,MATCH("HM",Tabulka1[[#Headers],[KOD]:[NEQ]],0),FALSE),"")</f>
        <v/>
      </c>
    </row>
    <row r="881" spans="1:27">
      <c r="A881">
        <f>COUNTIF($W$22:W881,1)</f>
        <v>0</v>
      </c>
      <c r="B881">
        <v>881</v>
      </c>
      <c r="C881" s="340" t="str">
        <f>Tabulka1[[#This Row],[KOD]]</f>
        <v>CS1352X14</v>
      </c>
      <c r="W881" s="804" t="str">
        <f t="shared" si="29"/>
        <v/>
      </c>
      <c r="X881" t="str">
        <f t="shared" si="30"/>
        <v/>
      </c>
      <c r="Y881" s="341">
        <f>IF('General price list'!$AB883="",0,'General price list'!$AB883)</f>
        <v>0</v>
      </c>
      <c r="Z881" s="365" t="str">
        <f>IFERROR(X881*VLOOKUP(C881,'General price list'!C:I,7,FALSE),"")</f>
        <v/>
      </c>
      <c r="AA881" s="805" t="str">
        <f>IF(X881&lt;&gt;"",VLOOKUP(C881,'General price list'!C883:AN1856,MATCH("HM",Tabulka1[[#Headers],[KOD]:[NEQ]],0),FALSE),"")</f>
        <v/>
      </c>
    </row>
    <row r="882" spans="1:27">
      <c r="A882">
        <f>COUNTIF($W$22:W882,1)</f>
        <v>0</v>
      </c>
      <c r="B882">
        <v>882</v>
      </c>
      <c r="C882" s="340">
        <f>Tabulka1[[#This Row],[KOD]]</f>
        <v>0</v>
      </c>
      <c r="W882" s="804" t="str">
        <f t="shared" si="29"/>
        <v/>
      </c>
      <c r="X882" t="str">
        <f t="shared" si="30"/>
        <v/>
      </c>
      <c r="Y882" s="341">
        <f>IF('General price list'!$AB884="",0,'General price list'!$AB884)</f>
        <v>0</v>
      </c>
      <c r="Z882" s="365" t="str">
        <f>IFERROR(X882*VLOOKUP(C882,'General price list'!C:I,7,FALSE),"")</f>
        <v/>
      </c>
      <c r="AA882" s="805" t="str">
        <f>IF(X882&lt;&gt;"",VLOOKUP(C882,'General price list'!C884:AN1857,MATCH("HM",Tabulka1[[#Headers],[KOD]:[NEQ]],0),FALSE),"")</f>
        <v/>
      </c>
    </row>
    <row r="883" spans="1:27">
      <c r="A883">
        <f>COUNTIF($W$22:W883,1)</f>
        <v>0</v>
      </c>
      <c r="B883">
        <v>883</v>
      </c>
      <c r="C883" s="340" t="str">
        <f>Tabulka1[[#This Row],[KOD]]</f>
        <v>C253CH</v>
      </c>
      <c r="W883" s="804" t="str">
        <f t="shared" si="29"/>
        <v/>
      </c>
      <c r="X883" t="str">
        <f t="shared" si="30"/>
        <v/>
      </c>
      <c r="Y883" s="341">
        <f>IF('General price list'!$AB885="",0,'General price list'!$AB885)</f>
        <v>0</v>
      </c>
      <c r="Z883" s="365" t="str">
        <f>IFERROR(X883*VLOOKUP(C883,'General price list'!C:I,7,FALSE),"")</f>
        <v/>
      </c>
      <c r="AA883" s="805" t="str">
        <f>IF(X883&lt;&gt;"",VLOOKUP(C883,'General price list'!C885:AN1858,MATCH("HM",Tabulka1[[#Headers],[KOD]:[NEQ]],0),FALSE),"")</f>
        <v/>
      </c>
    </row>
    <row r="884" spans="1:27">
      <c r="A884">
        <f>COUNTIF($W$22:W884,1)</f>
        <v>0</v>
      </c>
      <c r="B884">
        <v>884</v>
      </c>
      <c r="C884" s="340" t="str">
        <f>Tabulka1[[#This Row],[KOD]]</f>
        <v>C253O</v>
      </c>
      <c r="W884" s="804" t="str">
        <f t="shared" si="29"/>
        <v/>
      </c>
      <c r="X884" t="str">
        <f t="shared" si="30"/>
        <v/>
      </c>
      <c r="Y884" s="341">
        <f>IF('General price list'!$AB886="",0,'General price list'!$AB886)</f>
        <v>0</v>
      </c>
      <c r="Z884" s="365" t="str">
        <f>IFERROR(X884*VLOOKUP(C884,'General price list'!C:I,7,FALSE),"")</f>
        <v/>
      </c>
      <c r="AA884" s="805" t="str">
        <f>IF(X884&lt;&gt;"",VLOOKUP(C884,'General price list'!C886:AN1859,MATCH("HM",Tabulka1[[#Headers],[KOD]:[NEQ]],0),FALSE),"")</f>
        <v/>
      </c>
    </row>
    <row r="885" spans="1:27">
      <c r="A885">
        <f>COUNTIF($W$22:W885,1)</f>
        <v>0</v>
      </c>
      <c r="B885">
        <v>885</v>
      </c>
      <c r="C885" s="340">
        <f>Tabulka1[[#This Row],[KOD]]</f>
        <v>0</v>
      </c>
      <c r="W885" s="804" t="str">
        <f t="shared" si="29"/>
        <v/>
      </c>
      <c r="X885" t="str">
        <f t="shared" si="30"/>
        <v/>
      </c>
      <c r="Y885" s="341">
        <f>IF('General price list'!$AB887="",0,'General price list'!$AB887)</f>
        <v>0</v>
      </c>
      <c r="Z885" s="365" t="str">
        <f>IFERROR(X885*VLOOKUP(C885,'General price list'!C:I,7,FALSE),"")</f>
        <v/>
      </c>
      <c r="AA885" s="805" t="str">
        <f>IF(X885&lt;&gt;"",VLOOKUP(C885,'General price list'!C887:AN1860,MATCH("HM",Tabulka1[[#Headers],[KOD]:[NEQ]],0),FALSE),"")</f>
        <v/>
      </c>
    </row>
    <row r="886" spans="1:27">
      <c r="A886">
        <f>COUNTIF($W$22:W886,1)</f>
        <v>0</v>
      </c>
      <c r="B886">
        <v>886</v>
      </c>
      <c r="C886" s="340" t="str">
        <f>Tabulka1[[#This Row],[KOD]]</f>
        <v>CF503X3</v>
      </c>
      <c r="W886" s="804" t="str">
        <f t="shared" si="29"/>
        <v/>
      </c>
      <c r="X886" t="str">
        <f t="shared" si="30"/>
        <v/>
      </c>
      <c r="Y886" s="341">
        <f>IF('General price list'!$AB888="",0,'General price list'!$AB888)</f>
        <v>0</v>
      </c>
      <c r="Z886" s="365" t="str">
        <f>IFERROR(X886*VLOOKUP(C886,'General price list'!C:I,7,FALSE),"")</f>
        <v/>
      </c>
      <c r="AA886" s="805" t="str">
        <f>IF(X886&lt;&gt;"",VLOOKUP(C886,'General price list'!C888:AN1861,MATCH("HM",Tabulka1[[#Headers],[KOD]:[NEQ]],0),FALSE),"")</f>
        <v/>
      </c>
    </row>
    <row r="887" spans="1:27">
      <c r="A887">
        <f>COUNTIF($W$22:W887,1)</f>
        <v>0</v>
      </c>
      <c r="B887">
        <v>887</v>
      </c>
      <c r="C887" s="340" t="str">
        <f>Tabulka1[[#This Row],[KOD]]</f>
        <v>CF503X4</v>
      </c>
      <c r="W887" s="804" t="str">
        <f t="shared" si="29"/>
        <v/>
      </c>
      <c r="X887" t="str">
        <f t="shared" si="30"/>
        <v/>
      </c>
      <c r="Y887" s="341">
        <f>IF('General price list'!$AB889="",0,'General price list'!$AB889)</f>
        <v>0</v>
      </c>
      <c r="Z887" s="365" t="str">
        <f>IFERROR(X887*VLOOKUP(C887,'General price list'!C:I,7,FALSE),"")</f>
        <v/>
      </c>
      <c r="AA887" s="805" t="str">
        <f>IF(X887&lt;&gt;"",VLOOKUP(C887,'General price list'!C889:AN1862,MATCH("HM",Tabulka1[[#Headers],[KOD]:[NEQ]],0),FALSE),"")</f>
        <v/>
      </c>
    </row>
    <row r="888" spans="1:27">
      <c r="A888">
        <f>COUNTIF($W$22:W888,1)</f>
        <v>0</v>
      </c>
      <c r="B888">
        <v>888</v>
      </c>
      <c r="C888" s="340" t="str">
        <f>Tabulka1[[#This Row],[KOD]]</f>
        <v>CF503X5</v>
      </c>
      <c r="W888" s="804" t="str">
        <f t="shared" si="29"/>
        <v/>
      </c>
      <c r="X888" t="str">
        <f t="shared" si="30"/>
        <v/>
      </c>
      <c r="Y888" s="341">
        <f>IF('General price list'!$AB890="",0,'General price list'!$AB890)</f>
        <v>0</v>
      </c>
      <c r="Z888" s="365" t="str">
        <f>IFERROR(X888*VLOOKUP(C888,'General price list'!C:I,7,FALSE),"")</f>
        <v/>
      </c>
      <c r="AA888" s="805" t="str">
        <f>IF(X888&lt;&gt;"",VLOOKUP(C888,'General price list'!C890:AN1863,MATCH("HM",Tabulka1[[#Headers],[KOD]:[NEQ]],0),FALSE),"")</f>
        <v/>
      </c>
    </row>
    <row r="889" spans="1:27">
      <c r="A889">
        <f>COUNTIF($W$22:W889,1)</f>
        <v>0</v>
      </c>
      <c r="B889">
        <v>889</v>
      </c>
      <c r="C889" s="340" t="str">
        <f>Tabulka1[[#This Row],[KOD]]</f>
        <v>CF503X7</v>
      </c>
      <c r="W889" s="804" t="str">
        <f t="shared" si="29"/>
        <v/>
      </c>
      <c r="X889" t="str">
        <f t="shared" si="30"/>
        <v/>
      </c>
      <c r="Y889" s="341">
        <f>IF('General price list'!$AB891="",0,'General price list'!$AB891)</f>
        <v>0</v>
      </c>
      <c r="Z889" s="365" t="str">
        <f>IFERROR(X889*VLOOKUP(C889,'General price list'!C:I,7,FALSE),"")</f>
        <v/>
      </c>
      <c r="AA889" s="805" t="str">
        <f>IF(X889&lt;&gt;"",VLOOKUP(C889,'General price list'!C891:AN1864,MATCH("HM",Tabulka1[[#Headers],[KOD]:[NEQ]],0),FALSE),"")</f>
        <v/>
      </c>
    </row>
    <row r="890" spans="1:27">
      <c r="A890">
        <f>COUNTIF($W$22:W890,1)</f>
        <v>0</v>
      </c>
      <c r="B890">
        <v>890</v>
      </c>
      <c r="C890" s="340" t="str">
        <f>Tabulka1[[#This Row],[KOD]]</f>
        <v>CF503X8</v>
      </c>
      <c r="W890" s="804" t="str">
        <f t="shared" si="29"/>
        <v/>
      </c>
      <c r="X890" t="str">
        <f t="shared" si="30"/>
        <v/>
      </c>
      <c r="Y890" s="341">
        <f>IF('General price list'!$AB892="",0,'General price list'!$AB892)</f>
        <v>0</v>
      </c>
      <c r="Z890" s="365" t="str">
        <f>IFERROR(X890*VLOOKUP(C890,'General price list'!C:I,7,FALSE),"")</f>
        <v/>
      </c>
      <c r="AA890" s="805" t="str">
        <f>IF(X890&lt;&gt;"",VLOOKUP(C890,'General price list'!C892:AN1865,MATCH("HM",Tabulka1[[#Headers],[KOD]:[NEQ]],0),FALSE),"")</f>
        <v/>
      </c>
    </row>
    <row r="891" spans="1:27">
      <c r="A891">
        <f>COUNTIF($W$22:W891,1)</f>
        <v>0</v>
      </c>
      <c r="B891">
        <v>891</v>
      </c>
      <c r="C891" s="340" t="str">
        <f>Tabulka1[[#This Row],[KOD]]</f>
        <v>CF503X12</v>
      </c>
      <c r="W891" s="804" t="str">
        <f t="shared" si="29"/>
        <v/>
      </c>
      <c r="X891" t="str">
        <f t="shared" si="30"/>
        <v/>
      </c>
      <c r="Y891" s="341">
        <f>IF('General price list'!$AB893="",0,'General price list'!$AB893)</f>
        <v>0</v>
      </c>
      <c r="Z891" s="365" t="str">
        <f>IFERROR(X891*VLOOKUP(C891,'General price list'!C:I,7,FALSE),"")</f>
        <v/>
      </c>
      <c r="AA891" s="805" t="str">
        <f>IF(X891&lt;&gt;"",VLOOKUP(C891,'General price list'!C893:AN1866,MATCH("HM",Tabulka1[[#Headers],[KOD]:[NEQ]],0),FALSE),"")</f>
        <v/>
      </c>
    </row>
    <row r="892" spans="1:27">
      <c r="A892">
        <f>COUNTIF($W$22:W892,1)</f>
        <v>0</v>
      </c>
      <c r="B892">
        <v>892</v>
      </c>
      <c r="C892" s="340" t="str">
        <f>Tabulka1[[#This Row],[KOD]]</f>
        <v>CF503X14</v>
      </c>
      <c r="W892" s="804" t="str">
        <f t="shared" si="29"/>
        <v/>
      </c>
      <c r="X892" t="str">
        <f t="shared" si="30"/>
        <v/>
      </c>
      <c r="Y892" s="341">
        <f>IF('General price list'!$AB894="",0,'General price list'!$AB894)</f>
        <v>0</v>
      </c>
      <c r="Z892" s="365" t="str">
        <f>IFERROR(X892*VLOOKUP(C892,'General price list'!C:I,7,FALSE),"")</f>
        <v/>
      </c>
      <c r="AA892" s="805" t="str">
        <f>IF(X892&lt;&gt;"",VLOOKUP(C892,'General price list'!C894:AN1867,MATCH("HM",Tabulka1[[#Headers],[KOD]:[NEQ]],0),FALSE),"")</f>
        <v/>
      </c>
    </row>
    <row r="893" spans="1:27" s="20" customFormat="1">
      <c r="A893">
        <f>COUNTIF($W$22:W893,1)</f>
        <v>0</v>
      </c>
      <c r="B893" s="20">
        <v>893</v>
      </c>
      <c r="C893" s="339" t="str">
        <f>Tabulka1[[#This Row],[KOD]]</f>
        <v>CF503X15</v>
      </c>
      <c r="W893" s="804" t="str">
        <f t="shared" si="29"/>
        <v/>
      </c>
      <c r="X893" t="str">
        <f t="shared" si="30"/>
        <v/>
      </c>
      <c r="Y893" s="341">
        <f>IF('General price list'!$AB895="",0,'General price list'!$AB895)</f>
        <v>0</v>
      </c>
      <c r="Z893" s="365" t="str">
        <f>IFERROR(X893*VLOOKUP(C893,'General price list'!C:I,7,FALSE),"")</f>
        <v/>
      </c>
      <c r="AA893" s="805" t="str">
        <f>IF(X893&lt;&gt;"",VLOOKUP(C893,'General price list'!C895:AN1868,MATCH("HM",Tabulka1[[#Headers],[KOD]:[NEQ]],0),FALSE),"")</f>
        <v/>
      </c>
    </row>
    <row r="894" spans="1:27">
      <c r="A894">
        <f>COUNTIF($W$22:W894,1)</f>
        <v>0</v>
      </c>
      <c r="B894">
        <v>894</v>
      </c>
      <c r="C894" s="340" t="str">
        <f>Tabulka1[[#This Row],[KOD]]</f>
        <v>CF503X17</v>
      </c>
      <c r="W894" s="804" t="str">
        <f t="shared" si="29"/>
        <v/>
      </c>
      <c r="X894" t="str">
        <f t="shared" si="30"/>
        <v/>
      </c>
      <c r="Y894" s="341">
        <f>IF('General price list'!$AB896="",0,'General price list'!$AB896)</f>
        <v>0</v>
      </c>
      <c r="Z894" s="365" t="str">
        <f>IFERROR(X894*VLOOKUP(C894,'General price list'!C:I,7,FALSE),"")</f>
        <v/>
      </c>
      <c r="AA894" s="805" t="str">
        <f>IF(X894&lt;&gt;"",VLOOKUP(C894,'General price list'!C896:AN1869,MATCH("HM",Tabulka1[[#Headers],[KOD]:[NEQ]],0),FALSE),"")</f>
        <v/>
      </c>
    </row>
    <row r="895" spans="1:27">
      <c r="A895">
        <f>COUNTIF($W$22:W895,1)</f>
        <v>0</v>
      </c>
      <c r="B895">
        <v>895</v>
      </c>
      <c r="C895" s="340" t="str">
        <f>Tabulka1[[#This Row],[KOD]]</f>
        <v>CF503X29</v>
      </c>
      <c r="W895" s="804" t="str">
        <f t="shared" si="29"/>
        <v/>
      </c>
      <c r="X895" t="str">
        <f t="shared" si="30"/>
        <v/>
      </c>
      <c r="Y895" s="341">
        <f>IF('General price list'!$AB897="",0,'General price list'!$AB897)</f>
        <v>0</v>
      </c>
      <c r="Z895" s="365" t="str">
        <f>IFERROR(X895*VLOOKUP(C895,'General price list'!C:I,7,FALSE),"")</f>
        <v/>
      </c>
      <c r="AA895" s="805" t="str">
        <f>IF(X895&lt;&gt;"",VLOOKUP(C895,'General price list'!C897:AN1870,MATCH("HM",Tabulka1[[#Headers],[KOD]:[NEQ]],0),FALSE),"")</f>
        <v/>
      </c>
    </row>
    <row r="896" spans="1:27">
      <c r="A896">
        <f>COUNTIF($W$22:W896,1)</f>
        <v>0</v>
      </c>
      <c r="B896">
        <v>896</v>
      </c>
      <c r="C896" s="340" t="str">
        <f>Tabulka1[[#This Row],[KOD]]</f>
        <v>CF503X48</v>
      </c>
      <c r="W896" s="804" t="str">
        <f t="shared" si="29"/>
        <v/>
      </c>
      <c r="X896" t="str">
        <f t="shared" si="30"/>
        <v/>
      </c>
      <c r="Y896" s="341">
        <f>IF('General price list'!$AB898="",0,'General price list'!$AB898)</f>
        <v>0</v>
      </c>
      <c r="Z896" s="365" t="str">
        <f>IFERROR(X896*VLOOKUP(C896,'General price list'!C:I,7,FALSE),"")</f>
        <v/>
      </c>
      <c r="AA896" s="805" t="str">
        <f>IF(X896&lt;&gt;"",VLOOKUP(C896,'General price list'!C898:AN1871,MATCH("HM",Tabulka1[[#Headers],[KOD]:[NEQ]],0),FALSE),"")</f>
        <v/>
      </c>
    </row>
    <row r="897" spans="1:27">
      <c r="A897">
        <f>COUNTIF($W$22:W897,1)</f>
        <v>0</v>
      </c>
      <c r="B897">
        <v>897</v>
      </c>
      <c r="C897" s="340" t="str">
        <f>Tabulka1[[#This Row],[KOD]]</f>
        <v>CF503X54</v>
      </c>
      <c r="W897" s="804" t="str">
        <f t="shared" si="29"/>
        <v/>
      </c>
      <c r="X897" t="str">
        <f t="shared" si="30"/>
        <v/>
      </c>
      <c r="Y897" s="341">
        <f>IF('General price list'!$AB899="",0,'General price list'!$AB899)</f>
        <v>0</v>
      </c>
      <c r="Z897" s="365" t="str">
        <f>IFERROR(X897*VLOOKUP(C897,'General price list'!C:I,7,FALSE),"")</f>
        <v/>
      </c>
      <c r="AA897" s="805" t="str">
        <f>IF(X897&lt;&gt;"",VLOOKUP(C897,'General price list'!C899:AN1872,MATCH("HM",Tabulka1[[#Headers],[KOD]:[NEQ]],0),FALSE),"")</f>
        <v/>
      </c>
    </row>
    <row r="898" spans="1:27">
      <c r="A898">
        <f>COUNTIF($W$22:W898,1)</f>
        <v>0</v>
      </c>
      <c r="B898">
        <v>898</v>
      </c>
      <c r="C898" s="340">
        <f>Tabulka1[[#This Row],[KOD]]</f>
        <v>0</v>
      </c>
      <c r="W898" s="804" t="str">
        <f t="shared" si="29"/>
        <v/>
      </c>
      <c r="X898" t="str">
        <f t="shared" si="30"/>
        <v/>
      </c>
      <c r="Y898" s="341">
        <f>IF('General price list'!$AB900="",0,'General price list'!$AB900)</f>
        <v>0</v>
      </c>
      <c r="Z898" s="365" t="str">
        <f>IFERROR(X898*VLOOKUP(C898,'General price list'!C:I,7,FALSE),"")</f>
        <v/>
      </c>
      <c r="AA898" s="805" t="str">
        <f>IF(X898&lt;&gt;"",VLOOKUP(C898,'General price list'!C900:AN1873,MATCH("HM",Tabulka1[[#Headers],[KOD]:[NEQ]],0),FALSE),"")</f>
        <v/>
      </c>
    </row>
    <row r="899" spans="1:27">
      <c r="A899">
        <f>COUNTIF($W$22:W899,1)</f>
        <v>0</v>
      </c>
      <c r="B899">
        <v>899</v>
      </c>
      <c r="C899" s="340" t="str">
        <f>Tabulka1[[#This Row],[KOD]]</f>
        <v>CS503X8</v>
      </c>
      <c r="W899" s="804" t="str">
        <f t="shared" si="29"/>
        <v/>
      </c>
      <c r="X899" t="str">
        <f t="shared" si="30"/>
        <v/>
      </c>
      <c r="Y899" s="341">
        <f>IF('General price list'!$AB901="",0,'General price list'!$AB901)</f>
        <v>0</v>
      </c>
      <c r="Z899" s="365" t="str">
        <f>IFERROR(X899*VLOOKUP(C899,'General price list'!C:I,7,FALSE),"")</f>
        <v/>
      </c>
      <c r="AA899" s="805" t="str">
        <f>IF(X899&lt;&gt;"",VLOOKUP(C899,'General price list'!C901:AN1874,MATCH("HM",Tabulka1[[#Headers],[KOD]:[NEQ]],0),FALSE),"")</f>
        <v/>
      </c>
    </row>
    <row r="900" spans="1:27">
      <c r="A900">
        <f>COUNTIF($W$22:W900,1)</f>
        <v>0</v>
      </c>
      <c r="B900">
        <v>900</v>
      </c>
      <c r="C900" s="340" t="str">
        <f>Tabulka1[[#This Row],[KOD]]</f>
        <v>CS503X9</v>
      </c>
      <c r="W900" s="804" t="str">
        <f t="shared" si="29"/>
        <v/>
      </c>
      <c r="X900" t="str">
        <f t="shared" si="30"/>
        <v/>
      </c>
      <c r="Y900" s="341">
        <f>IF('General price list'!$AB902="",0,'General price list'!$AB902)</f>
        <v>0</v>
      </c>
      <c r="Z900" s="365" t="str">
        <f>IFERROR(X900*VLOOKUP(C900,'General price list'!C:I,7,FALSE),"")</f>
        <v/>
      </c>
      <c r="AA900" s="805" t="str">
        <f>IF(X900&lt;&gt;"",VLOOKUP(C900,'General price list'!C902:AN1875,MATCH("HM",Tabulka1[[#Headers],[KOD]:[NEQ]],0),FALSE),"")</f>
        <v/>
      </c>
    </row>
    <row r="901" spans="1:27">
      <c r="A901">
        <f>COUNTIF($W$22:W901,1)</f>
        <v>0</v>
      </c>
      <c r="B901">
        <v>901</v>
      </c>
      <c r="C901" s="340" t="str">
        <f>Tabulka1[[#This Row],[KOD]]</f>
        <v>CS503X11</v>
      </c>
      <c r="W901" s="804" t="str">
        <f t="shared" si="29"/>
        <v/>
      </c>
      <c r="X901" t="str">
        <f t="shared" si="30"/>
        <v/>
      </c>
      <c r="Y901" s="341">
        <f>IF('General price list'!$AB903="",0,'General price list'!$AB903)</f>
        <v>0</v>
      </c>
      <c r="Z901" s="365" t="str">
        <f>IFERROR(X901*VLOOKUP(C901,'General price list'!C:I,7,FALSE),"")</f>
        <v/>
      </c>
      <c r="AA901" s="805" t="str">
        <f>IF(X901&lt;&gt;"",VLOOKUP(C901,'General price list'!C903:AN1876,MATCH("HM",Tabulka1[[#Headers],[KOD]:[NEQ]],0),FALSE),"")</f>
        <v/>
      </c>
    </row>
    <row r="902" spans="1:27">
      <c r="A902">
        <f>COUNTIF($W$22:W902,1)</f>
        <v>0</v>
      </c>
      <c r="B902">
        <v>902</v>
      </c>
      <c r="C902" s="340" t="str">
        <f>Tabulka1[[#This Row],[KOD]]</f>
        <v>CS503X14</v>
      </c>
      <c r="W902" s="804" t="str">
        <f t="shared" si="29"/>
        <v/>
      </c>
      <c r="X902" t="str">
        <f t="shared" si="30"/>
        <v/>
      </c>
      <c r="Y902" s="341">
        <f>IF('General price list'!$AB904="",0,'General price list'!$AB904)</f>
        <v>0</v>
      </c>
      <c r="Z902" s="365" t="str">
        <f>IFERROR(X902*VLOOKUP(C902,'General price list'!C:I,7,FALSE),"")</f>
        <v/>
      </c>
      <c r="AA902" s="805" t="str">
        <f>IF(X902&lt;&gt;"",VLOOKUP(C902,'General price list'!C904:AN1877,MATCH("HM",Tabulka1[[#Headers],[KOD]:[NEQ]],0),FALSE),"")</f>
        <v/>
      </c>
    </row>
    <row r="903" spans="1:27">
      <c r="A903">
        <f>COUNTIF($W$22:W903,1)</f>
        <v>0</v>
      </c>
      <c r="B903">
        <v>903</v>
      </c>
      <c r="C903" s="340" t="str">
        <f>Tabulka1[[#This Row],[KOD]]</f>
        <v>CS503X15</v>
      </c>
      <c r="W903" s="804" t="str">
        <f t="shared" si="29"/>
        <v/>
      </c>
      <c r="X903" t="str">
        <f t="shared" si="30"/>
        <v/>
      </c>
      <c r="Y903" s="341">
        <f>IF('General price list'!$AB905="",0,'General price list'!$AB905)</f>
        <v>0</v>
      </c>
      <c r="Z903" s="365" t="str">
        <f>IFERROR(X903*VLOOKUP(C903,'General price list'!C:I,7,FALSE),"")</f>
        <v/>
      </c>
      <c r="AA903" s="805" t="str">
        <f>IF(X903&lt;&gt;"",VLOOKUP(C903,'General price list'!C905:AN1878,MATCH("HM",Tabulka1[[#Headers],[KOD]:[NEQ]],0),FALSE),"")</f>
        <v/>
      </c>
    </row>
    <row r="904" spans="1:27">
      <c r="A904">
        <f>COUNTIF($W$22:W904,1)</f>
        <v>0</v>
      </c>
      <c r="B904">
        <v>904</v>
      </c>
      <c r="C904" s="340" t="str">
        <f>Tabulka1[[#This Row],[KOD]]</f>
        <v>CS503X19</v>
      </c>
      <c r="W904" s="804" t="str">
        <f t="shared" si="29"/>
        <v/>
      </c>
      <c r="X904" t="str">
        <f t="shared" si="30"/>
        <v/>
      </c>
      <c r="Y904" s="341">
        <f>IF('General price list'!$AB906="",0,'General price list'!$AB906)</f>
        <v>0</v>
      </c>
      <c r="Z904" s="365" t="str">
        <f>IFERROR(X904*VLOOKUP(C904,'General price list'!C:I,7,FALSE),"")</f>
        <v/>
      </c>
      <c r="AA904" s="805" t="str">
        <f>IF(X904&lt;&gt;"",VLOOKUP(C904,'General price list'!C906:AN1879,MATCH("HM",Tabulka1[[#Headers],[KOD]:[NEQ]],0),FALSE),"")</f>
        <v/>
      </c>
    </row>
    <row r="905" spans="1:27">
      <c r="A905">
        <f>COUNTIF($W$22:W905,1)</f>
        <v>0</v>
      </c>
      <c r="B905">
        <v>905</v>
      </c>
      <c r="C905" s="340" t="str">
        <f>Tabulka1[[#This Row],[KOD]]</f>
        <v>CS503X26</v>
      </c>
      <c r="W905" s="804" t="str">
        <f t="shared" si="29"/>
        <v/>
      </c>
      <c r="X905" t="str">
        <f t="shared" si="30"/>
        <v/>
      </c>
      <c r="Y905" s="341">
        <f>IF('General price list'!$AB907="",0,'General price list'!$AB907)</f>
        <v>0</v>
      </c>
      <c r="Z905" s="365" t="str">
        <f>IFERROR(X905*VLOOKUP(C905,'General price list'!C:I,7,FALSE),"")</f>
        <v/>
      </c>
      <c r="AA905" s="805" t="str">
        <f>IF(X905&lt;&gt;"",VLOOKUP(C905,'General price list'!C907:AN1880,MATCH("HM",Tabulka1[[#Headers],[KOD]:[NEQ]],0),FALSE),"")</f>
        <v/>
      </c>
    </row>
    <row r="906" spans="1:27">
      <c r="A906">
        <f>COUNTIF($W$22:W906,1)</f>
        <v>0</v>
      </c>
      <c r="B906">
        <v>906</v>
      </c>
      <c r="C906" s="340" t="str">
        <f>Tabulka1[[#This Row],[KOD]]</f>
        <v>CS503X33</v>
      </c>
      <c r="W906" s="804" t="str">
        <f t="shared" si="29"/>
        <v/>
      </c>
      <c r="X906" t="str">
        <f t="shared" si="30"/>
        <v/>
      </c>
      <c r="Y906" s="341">
        <f>IF('General price list'!$AB908="",0,'General price list'!$AB908)</f>
        <v>0</v>
      </c>
      <c r="Z906" s="365" t="str">
        <f>IFERROR(X906*VLOOKUP(C906,'General price list'!C:I,7,FALSE),"")</f>
        <v/>
      </c>
      <c r="AA906" s="805" t="str">
        <f>IF(X906&lt;&gt;"",VLOOKUP(C906,'General price list'!C908:AN1881,MATCH("HM",Tabulka1[[#Headers],[KOD]:[NEQ]],0),FALSE),"")</f>
        <v/>
      </c>
    </row>
    <row r="907" spans="1:27">
      <c r="A907">
        <f>COUNTIF($W$22:W907,1)</f>
        <v>0</v>
      </c>
      <c r="B907">
        <v>907</v>
      </c>
      <c r="C907" s="340" t="str">
        <f>Tabulka1[[#This Row],[KOD]]</f>
        <v>CS503X38</v>
      </c>
      <c r="W907" s="804" t="str">
        <f t="shared" si="29"/>
        <v/>
      </c>
      <c r="X907" t="str">
        <f t="shared" si="30"/>
        <v/>
      </c>
      <c r="Y907" s="341">
        <f>IF('General price list'!$AB909="",0,'General price list'!$AB909)</f>
        <v>0</v>
      </c>
      <c r="Z907" s="365" t="str">
        <f>IFERROR(X907*VLOOKUP(C907,'General price list'!C:I,7,FALSE),"")</f>
        <v/>
      </c>
      <c r="AA907" s="805" t="str">
        <f>IF(X907&lt;&gt;"",VLOOKUP(C907,'General price list'!C909:AN1882,MATCH("HM",Tabulka1[[#Headers],[KOD]:[NEQ]],0),FALSE),"")</f>
        <v/>
      </c>
    </row>
    <row r="908" spans="1:27">
      <c r="A908">
        <f>COUNTIF($W$22:W908,1)</f>
        <v>0</v>
      </c>
      <c r="B908">
        <v>908</v>
      </c>
      <c r="C908" s="340">
        <f>Tabulka1[[#This Row],[KOD]]</f>
        <v>0</v>
      </c>
      <c r="W908" s="804" t="str">
        <f t="shared" si="29"/>
        <v/>
      </c>
      <c r="X908" t="str">
        <f t="shared" si="30"/>
        <v/>
      </c>
      <c r="Y908" s="341">
        <f>IF('General price list'!$AB910="",0,'General price list'!$AB910)</f>
        <v>0</v>
      </c>
      <c r="Z908" s="365" t="str">
        <f>IFERROR(X908*VLOOKUP(C908,'General price list'!C:I,7,FALSE),"")</f>
        <v/>
      </c>
      <c r="AA908" s="805" t="str">
        <f>IF(X908&lt;&gt;"",VLOOKUP(C908,'General price list'!C910:AN1883,MATCH("HM",Tabulka1[[#Headers],[KOD]:[NEQ]],0),FALSE),"")</f>
        <v/>
      </c>
    </row>
    <row r="909" spans="1:27">
      <c r="A909">
        <f>COUNTIF($W$22:W909,1)</f>
        <v>0</v>
      </c>
      <c r="B909">
        <v>909</v>
      </c>
      <c r="C909" s="340" t="str">
        <f>Tabulka1[[#This Row],[KOD]]</f>
        <v>S2M</v>
      </c>
      <c r="W909" s="804" t="str">
        <f t="shared" si="29"/>
        <v/>
      </c>
      <c r="X909" t="str">
        <f t="shared" si="30"/>
        <v/>
      </c>
      <c r="Y909" s="341">
        <f>IF('General price list'!$AB911="",0,'General price list'!$AB911)</f>
        <v>0</v>
      </c>
      <c r="Z909" s="365" t="str">
        <f>IFERROR(X909*VLOOKUP(C909,'General price list'!C:I,7,FALSE),"")</f>
        <v/>
      </c>
      <c r="AA909" s="805" t="str">
        <f>IF(X909&lt;&gt;"",VLOOKUP(C909,'General price list'!C911:AN1884,MATCH("HM",Tabulka1[[#Headers],[KOD]:[NEQ]],0),FALSE),"")</f>
        <v/>
      </c>
    </row>
    <row r="910" spans="1:27">
      <c r="A910">
        <f>COUNTIF($W$22:W910,1)</f>
        <v>0</v>
      </c>
      <c r="B910">
        <v>910</v>
      </c>
      <c r="C910" s="340">
        <f>Tabulka1[[#This Row],[KOD]]</f>
        <v>0</v>
      </c>
      <c r="W910" s="804" t="str">
        <f t="shared" si="29"/>
        <v/>
      </c>
      <c r="X910" t="str">
        <f t="shared" si="30"/>
        <v/>
      </c>
      <c r="Y910" s="341">
        <f>IF('General price list'!$AB912="",0,'General price list'!$AB912)</f>
        <v>0</v>
      </c>
      <c r="Z910" s="365" t="str">
        <f>IFERROR(X910*VLOOKUP(C910,'General price list'!C:I,7,FALSE),"")</f>
        <v/>
      </c>
      <c r="AA910" s="805" t="str">
        <f>IF(X910&lt;&gt;"",VLOOKUP(C910,'General price list'!C912:AN1885,MATCH("HM",Tabulka1[[#Headers],[KOD]:[NEQ]],0),FALSE),"")</f>
        <v/>
      </c>
    </row>
    <row r="911" spans="1:27">
      <c r="A911">
        <f>COUNTIF($W$22:W911,1)</f>
        <v>0</v>
      </c>
      <c r="B911">
        <v>911</v>
      </c>
      <c r="C911" s="340" t="str">
        <f>Tabulka1[[#This Row],[KOD]]</f>
        <v>S3F/P</v>
      </c>
      <c r="W911" s="804" t="str">
        <f t="shared" si="29"/>
        <v/>
      </c>
      <c r="X911" t="str">
        <f t="shared" si="30"/>
        <v/>
      </c>
      <c r="Y911" s="341">
        <f>IF('General price list'!$AB913="",0,'General price list'!$AB913)</f>
        <v>0</v>
      </c>
      <c r="Z911" s="365" t="str">
        <f>IFERROR(X911*VLOOKUP(C911,'General price list'!C:I,7,FALSE),"")</f>
        <v/>
      </c>
      <c r="AA911" s="805" t="str">
        <f>IF(X911&lt;&gt;"",VLOOKUP(C911,'General price list'!C913:AN1886,MATCH("HM",Tabulka1[[#Headers],[KOD]:[NEQ]],0),FALSE),"")</f>
        <v/>
      </c>
    </row>
    <row r="912" spans="1:27">
      <c r="A912">
        <f>COUNTIF($W$22:W912,1)</f>
        <v>0</v>
      </c>
      <c r="B912">
        <v>912</v>
      </c>
      <c r="C912" s="340" t="str">
        <f>Tabulka1[[#This Row],[KOD]]</f>
        <v>S3IA/P</v>
      </c>
      <c r="W912" s="804" t="str">
        <f t="shared" si="29"/>
        <v/>
      </c>
      <c r="X912" t="str">
        <f t="shared" si="30"/>
        <v/>
      </c>
      <c r="Y912" s="341">
        <f>IF('General price list'!$AB914="",0,'General price list'!$AB914)</f>
        <v>0</v>
      </c>
      <c r="Z912" s="365" t="str">
        <f>IFERROR(X912*VLOOKUP(C912,'General price list'!C:I,7,FALSE),"")</f>
        <v/>
      </c>
      <c r="AA912" s="805" t="str">
        <f>IF(X912&lt;&gt;"",VLOOKUP(C912,'General price list'!C914:AN1887,MATCH("HM",Tabulka1[[#Headers],[KOD]:[NEQ]],0),FALSE),"")</f>
        <v/>
      </c>
    </row>
    <row r="913" spans="1:27">
      <c r="A913">
        <f>COUNTIF($W$22:W913,1)</f>
        <v>0</v>
      </c>
      <c r="B913">
        <v>913</v>
      </c>
      <c r="C913" s="340" t="str">
        <f>Tabulka1[[#This Row],[KOD]]</f>
        <v>S3J/P</v>
      </c>
      <c r="W913" s="804" t="str">
        <f t="shared" si="29"/>
        <v/>
      </c>
      <c r="X913" t="str">
        <f t="shared" si="30"/>
        <v/>
      </c>
      <c r="Y913" s="341">
        <f>IF('General price list'!$AB915="",0,'General price list'!$AB915)</f>
        <v>0</v>
      </c>
      <c r="Z913" s="365" t="str">
        <f>IFERROR(X913*VLOOKUP(C913,'General price list'!C:I,7,FALSE),"")</f>
        <v/>
      </c>
      <c r="AA913" s="805" t="str">
        <f>IF(X913&lt;&gt;"",VLOOKUP(C913,'General price list'!C915:AN1888,MATCH("HM",Tabulka1[[#Headers],[KOD]:[NEQ]],0),FALSE),"")</f>
        <v/>
      </c>
    </row>
    <row r="914" spans="1:27">
      <c r="A914">
        <f>COUNTIF($W$22:W914,1)</f>
        <v>0</v>
      </c>
      <c r="B914">
        <v>914</v>
      </c>
      <c r="C914" s="340" t="str">
        <f>Tabulka1[[#This Row],[KOD]]</f>
        <v>S3S/P</v>
      </c>
      <c r="W914" s="804" t="str">
        <f t="shared" si="29"/>
        <v/>
      </c>
      <c r="X914" t="str">
        <f t="shared" si="30"/>
        <v/>
      </c>
      <c r="Y914" s="341">
        <f>IF('General price list'!$AB916="",0,'General price list'!$AB916)</f>
        <v>0</v>
      </c>
      <c r="Z914" s="365" t="str">
        <f>IFERROR(X914*VLOOKUP(C914,'General price list'!C:I,7,FALSE),"")</f>
        <v/>
      </c>
      <c r="AA914" s="805" t="str">
        <f>IF(X914&lt;&gt;"",VLOOKUP(C914,'General price list'!C916:AN1889,MATCH("HM",Tabulka1[[#Headers],[KOD]:[NEQ]],0),FALSE),"")</f>
        <v/>
      </c>
    </row>
    <row r="915" spans="1:27">
      <c r="A915">
        <f>COUNTIF($W$22:W915,1)</f>
        <v>0</v>
      </c>
      <c r="B915">
        <v>915</v>
      </c>
      <c r="C915" s="340" t="str">
        <f>Tabulka1[[#This Row],[KOD]]</f>
        <v>S3T</v>
      </c>
      <c r="W915" s="804" t="str">
        <f t="shared" si="29"/>
        <v/>
      </c>
      <c r="X915" t="str">
        <f t="shared" si="30"/>
        <v/>
      </c>
      <c r="Y915" s="341">
        <f>IF('General price list'!$AB917="",0,'General price list'!$AB917)</f>
        <v>0</v>
      </c>
      <c r="Z915" s="365" t="str">
        <f>IFERROR(X915*VLOOKUP(C915,'General price list'!C:I,7,FALSE),"")</f>
        <v/>
      </c>
      <c r="AA915" s="805" t="str">
        <f>IF(X915&lt;&gt;"",VLOOKUP(C915,'General price list'!C917:AN1890,MATCH("HM",Tabulka1[[#Headers],[KOD]:[NEQ]],0),FALSE),"")</f>
        <v/>
      </c>
    </row>
    <row r="916" spans="1:27">
      <c r="A916">
        <f>COUNTIF($W$22:W916,1)</f>
        <v>0</v>
      </c>
      <c r="B916">
        <v>916</v>
      </c>
      <c r="C916" s="340" t="str">
        <f>Tabulka1[[#This Row],[KOD]]</f>
        <v>S3M/P</v>
      </c>
      <c r="W916" s="804" t="str">
        <f t="shared" si="29"/>
        <v/>
      </c>
      <c r="X916" t="str">
        <f t="shared" si="30"/>
        <v/>
      </c>
      <c r="Y916" s="341">
        <f>IF('General price list'!$AB918="",0,'General price list'!$AB918)</f>
        <v>0</v>
      </c>
      <c r="Z916" s="365" t="str">
        <f>IFERROR(X916*VLOOKUP(C916,'General price list'!C:I,7,FALSE),"")</f>
        <v/>
      </c>
      <c r="AA916" s="805" t="str">
        <f>IF(X916&lt;&gt;"",VLOOKUP(C916,'General price list'!C918:AN1891,MATCH("HM",Tabulka1[[#Headers],[KOD]:[NEQ]],0),FALSE),"")</f>
        <v/>
      </c>
    </row>
    <row r="917" spans="1:27">
      <c r="A917">
        <f>COUNTIF($W$22:W917,1)</f>
        <v>0</v>
      </c>
      <c r="B917">
        <v>917</v>
      </c>
      <c r="C917" s="340">
        <f>Tabulka1[[#This Row],[KOD]]</f>
        <v>0</v>
      </c>
      <c r="W917" s="804" t="str">
        <f t="shared" si="29"/>
        <v/>
      </c>
      <c r="X917" t="str">
        <f t="shared" si="30"/>
        <v/>
      </c>
      <c r="Y917" s="341">
        <f>IF('General price list'!$AB919="",0,'General price list'!$AB919)</f>
        <v>0</v>
      </c>
      <c r="Z917" s="365" t="str">
        <f>IFERROR(X917*VLOOKUP(C917,'General price list'!C:I,7,FALSE),"")</f>
        <v/>
      </c>
      <c r="AA917" s="805" t="str">
        <f>IF(X917&lt;&gt;"",VLOOKUP(C917,'General price list'!C919:AN1892,MATCH("HM",Tabulka1[[#Headers],[KOD]:[NEQ]],0),FALSE),"")</f>
        <v/>
      </c>
    </row>
    <row r="918" spans="1:27">
      <c r="A918">
        <f>COUNTIF($W$22:W918,1)</f>
        <v>0</v>
      </c>
      <c r="B918">
        <v>918</v>
      </c>
      <c r="C918" s="340" t="str">
        <f>Tabulka1[[#This Row],[KOD]]</f>
        <v>S4T</v>
      </c>
      <c r="W918" s="804" t="str">
        <f t="shared" si="29"/>
        <v/>
      </c>
      <c r="X918" t="str">
        <f t="shared" si="30"/>
        <v/>
      </c>
      <c r="Y918" s="341">
        <f>IF('General price list'!$AB920="",0,'General price list'!$AB920)</f>
        <v>0</v>
      </c>
      <c r="Z918" s="365" t="str">
        <f>IFERROR(X918*VLOOKUP(C918,'General price list'!C:I,7,FALSE),"")</f>
        <v/>
      </c>
      <c r="AA918" s="805" t="str">
        <f>IF(X918&lt;&gt;"",VLOOKUP(C918,'General price list'!C920:AN1893,MATCH("HM",Tabulka1[[#Headers],[KOD]:[NEQ]],0),FALSE),"")</f>
        <v/>
      </c>
    </row>
    <row r="919" spans="1:27">
      <c r="A919">
        <f>COUNTIF($W$22:W919,1)</f>
        <v>0</v>
      </c>
      <c r="B919">
        <v>919</v>
      </c>
      <c r="C919" s="340">
        <f>Tabulka1[[#This Row],[KOD]]</f>
        <v>0</v>
      </c>
      <c r="W919" s="804" t="str">
        <f t="shared" si="29"/>
        <v/>
      </c>
      <c r="X919" t="str">
        <f t="shared" si="30"/>
        <v/>
      </c>
      <c r="Y919" s="341">
        <f>IF('General price list'!$AB921="",0,'General price list'!$AB921)</f>
        <v>0</v>
      </c>
      <c r="Z919" s="365" t="str">
        <f>IFERROR(X919*VLOOKUP(C919,'General price list'!C:I,7,FALSE),"")</f>
        <v/>
      </c>
      <c r="AA919" s="805" t="str">
        <f>IF(X919&lt;&gt;"",VLOOKUP(C919,'General price list'!C921:AN1894,MATCH("HM",Tabulka1[[#Headers],[KOD]:[NEQ]],0),FALSE),"")</f>
        <v/>
      </c>
    </row>
    <row r="920" spans="1:27">
      <c r="A920">
        <f>COUNTIF($W$22:W920,1)</f>
        <v>0</v>
      </c>
      <c r="B920">
        <v>920</v>
      </c>
      <c r="C920" s="340" t="str">
        <f>Tabulka1[[#This Row],[KOD]]</f>
        <v>S4C/P</v>
      </c>
      <c r="W920" s="804" t="str">
        <f t="shared" si="29"/>
        <v/>
      </c>
      <c r="X920" t="str">
        <f t="shared" si="30"/>
        <v/>
      </c>
      <c r="Y920" s="341">
        <f>IF('General price list'!$AB922="",0,'General price list'!$AB922)</f>
        <v>0</v>
      </c>
      <c r="Z920" s="365" t="str">
        <f>IFERROR(X920*VLOOKUP(C920,'General price list'!C:I,7,FALSE),"")</f>
        <v/>
      </c>
      <c r="AA920" s="805" t="str">
        <f>IF(X920&lt;&gt;"",VLOOKUP(C920,'General price list'!C922:AN1895,MATCH("HM",Tabulka1[[#Headers],[KOD]:[NEQ]],0),FALSE),"")</f>
        <v/>
      </c>
    </row>
    <row r="921" spans="1:27">
      <c r="A921">
        <f>COUNTIF($W$22:W921,1)</f>
        <v>0</v>
      </c>
      <c r="B921">
        <v>921</v>
      </c>
      <c r="C921" s="340" t="str">
        <f>Tabulka1[[#This Row],[KOD]]</f>
        <v>S4J/P</v>
      </c>
      <c r="W921" s="804" t="str">
        <f t="shared" ref="W921:W981" si="31">IF(Y921+1=1,"",1)</f>
        <v/>
      </c>
      <c r="X921" t="str">
        <f t="shared" ref="X921:X981" si="32">IF(OR(A921&lt;$E$20,A921&gt;$E$21),"",IF(Y921=0,"",Y921))</f>
        <v/>
      </c>
      <c r="Y921" s="341">
        <f>IF('General price list'!$AB923="",0,'General price list'!$AB923)</f>
        <v>0</v>
      </c>
      <c r="Z921" s="365" t="str">
        <f>IFERROR(X921*VLOOKUP(C921,'General price list'!C:I,7,FALSE),"")</f>
        <v/>
      </c>
      <c r="AA921" s="805" t="str">
        <f>IF(X921&lt;&gt;"",VLOOKUP(C921,'General price list'!C923:AN1896,MATCH("HM",Tabulka1[[#Headers],[KOD]:[NEQ]],0),FALSE),"")</f>
        <v/>
      </c>
    </row>
    <row r="922" spans="1:27">
      <c r="A922">
        <f>COUNTIF($W$22:W922,1)</f>
        <v>0</v>
      </c>
      <c r="B922">
        <v>922</v>
      </c>
      <c r="C922" s="340" t="str">
        <f>Tabulka1[[#This Row],[KOD]]</f>
        <v>S4K/P</v>
      </c>
      <c r="W922" s="804" t="str">
        <f t="shared" si="31"/>
        <v/>
      </c>
      <c r="X922" t="str">
        <f t="shared" si="32"/>
        <v/>
      </c>
      <c r="Y922" s="341">
        <f>IF('General price list'!$AB924="",0,'General price list'!$AB924)</f>
        <v>0</v>
      </c>
      <c r="Z922" s="365" t="str">
        <f>IFERROR(X922*VLOOKUP(C922,'General price list'!C:I,7,FALSE),"")</f>
        <v/>
      </c>
      <c r="AA922" s="805" t="str">
        <f>IF(X922&lt;&gt;"",VLOOKUP(C922,'General price list'!C924:AN1897,MATCH("HM",Tabulka1[[#Headers],[KOD]:[NEQ]],0),FALSE),"")</f>
        <v/>
      </c>
    </row>
    <row r="923" spans="1:27">
      <c r="A923">
        <f>COUNTIF($W$22:W923,1)</f>
        <v>0</v>
      </c>
      <c r="B923">
        <v>923</v>
      </c>
      <c r="C923" s="340" t="str">
        <f>Tabulka1[[#This Row],[KOD]]</f>
        <v>S4L/P</v>
      </c>
      <c r="W923" s="804" t="str">
        <f t="shared" si="31"/>
        <v/>
      </c>
      <c r="X923" t="str">
        <f t="shared" si="32"/>
        <v/>
      </c>
      <c r="Y923" s="341">
        <f>IF('General price list'!$AB925="",0,'General price list'!$AB925)</f>
        <v>0</v>
      </c>
      <c r="Z923" s="365" t="str">
        <f>IFERROR(X923*VLOOKUP(C923,'General price list'!C:I,7,FALSE),"")</f>
        <v/>
      </c>
      <c r="AA923" s="805" t="str">
        <f>IF(X923&lt;&gt;"",VLOOKUP(C923,'General price list'!C925:AN1898,MATCH("HM",Tabulka1[[#Headers],[KOD]:[NEQ]],0),FALSE),"")</f>
        <v/>
      </c>
    </row>
    <row r="924" spans="1:27">
      <c r="A924">
        <f>COUNTIF($W$22:W924,1)</f>
        <v>0</v>
      </c>
      <c r="B924">
        <v>924</v>
      </c>
      <c r="C924" s="340" t="str">
        <f>Tabulka1[[#This Row],[KOD]]</f>
        <v>S4NA/P</v>
      </c>
      <c r="W924" s="804" t="str">
        <f t="shared" si="31"/>
        <v/>
      </c>
      <c r="X924" t="str">
        <f t="shared" si="32"/>
        <v/>
      </c>
      <c r="Y924" s="341">
        <f>IF('General price list'!$AB926="",0,'General price list'!$AB926)</f>
        <v>0</v>
      </c>
      <c r="Z924" s="365" t="str">
        <f>IFERROR(X924*VLOOKUP(C924,'General price list'!C:I,7,FALSE),"")</f>
        <v/>
      </c>
      <c r="AA924" s="805" t="str">
        <f>IF(X924&lt;&gt;"",VLOOKUP(C924,'General price list'!C926:AN1899,MATCH("HM",Tabulka1[[#Headers],[KOD]:[NEQ]],0),FALSE),"")</f>
        <v/>
      </c>
    </row>
    <row r="925" spans="1:27">
      <c r="A925">
        <f>COUNTIF($W$22:W925,1)</f>
        <v>0</v>
      </c>
      <c r="B925">
        <v>925</v>
      </c>
      <c r="C925" s="340" t="str">
        <f>Tabulka1[[#This Row],[KOD]]</f>
        <v>S4O/P</v>
      </c>
      <c r="W925" s="804" t="str">
        <f t="shared" si="31"/>
        <v/>
      </c>
      <c r="X925" t="str">
        <f t="shared" si="32"/>
        <v/>
      </c>
      <c r="Y925" s="341">
        <f>IF('General price list'!$AB927="",0,'General price list'!$AB927)</f>
        <v>0</v>
      </c>
      <c r="Z925" s="365" t="str">
        <f>IFERROR(X925*VLOOKUP(C925,'General price list'!C:I,7,FALSE),"")</f>
        <v/>
      </c>
      <c r="AA925" s="805" t="str">
        <f>IF(X925&lt;&gt;"",VLOOKUP(C925,'General price list'!C927:AN1900,MATCH("HM",Tabulka1[[#Headers],[KOD]:[NEQ]],0),FALSE),"")</f>
        <v/>
      </c>
    </row>
    <row r="926" spans="1:27">
      <c r="A926">
        <f>COUNTIF($W$22:W926,1)</f>
        <v>0</v>
      </c>
      <c r="B926">
        <v>926</v>
      </c>
      <c r="C926" s="340" t="str">
        <f>Tabulka1[[#This Row],[KOD]]</f>
        <v>S4P/P</v>
      </c>
      <c r="W926" s="804" t="str">
        <f t="shared" si="31"/>
        <v/>
      </c>
      <c r="X926" t="str">
        <f t="shared" si="32"/>
        <v/>
      </c>
      <c r="Y926" s="341">
        <f>IF('General price list'!$AB928="",0,'General price list'!$AB928)</f>
        <v>0</v>
      </c>
      <c r="Z926" s="365" t="str">
        <f>IFERROR(X926*VLOOKUP(C926,'General price list'!C:I,7,FALSE),"")</f>
        <v/>
      </c>
      <c r="AA926" s="805" t="str">
        <f>IF(X926&lt;&gt;"",VLOOKUP(C926,'General price list'!C928:AN1901,MATCH("HM",Tabulka1[[#Headers],[KOD]:[NEQ]],0),FALSE),"")</f>
        <v/>
      </c>
    </row>
    <row r="927" spans="1:27">
      <c r="A927">
        <f>COUNTIF($W$22:W927,1)</f>
        <v>0</v>
      </c>
      <c r="B927">
        <v>927</v>
      </c>
      <c r="C927" s="340" t="str">
        <f>Tabulka1[[#This Row],[KOD]]</f>
        <v>S4Q/P</v>
      </c>
      <c r="W927" s="804" t="str">
        <f t="shared" si="31"/>
        <v/>
      </c>
      <c r="X927" t="str">
        <f t="shared" si="32"/>
        <v/>
      </c>
      <c r="Y927" s="341">
        <f>IF('General price list'!$AB929="",0,'General price list'!$AB929)</f>
        <v>0</v>
      </c>
      <c r="Z927" s="365" t="str">
        <f>IFERROR(X927*VLOOKUP(C927,'General price list'!C:I,7,FALSE),"")</f>
        <v/>
      </c>
      <c r="AA927" s="805" t="str">
        <f>IF(X927&lt;&gt;"",VLOOKUP(C927,'General price list'!C929:AN1902,MATCH("HM",Tabulka1[[#Headers],[KOD]:[NEQ]],0),FALSE),"")</f>
        <v/>
      </c>
    </row>
    <row r="928" spans="1:27">
      <c r="A928">
        <f>COUNTIF($W$22:W928,1)</f>
        <v>0</v>
      </c>
      <c r="B928">
        <v>928</v>
      </c>
      <c r="C928" s="340" t="str">
        <f>Tabulka1[[#This Row],[KOD]]</f>
        <v>S4S/P</v>
      </c>
      <c r="W928" s="804" t="str">
        <f t="shared" si="31"/>
        <v/>
      </c>
      <c r="X928" t="str">
        <f t="shared" si="32"/>
        <v/>
      </c>
      <c r="Y928" s="341">
        <f>IF('General price list'!$AB930="",0,'General price list'!$AB930)</f>
        <v>0</v>
      </c>
      <c r="Z928" s="365" t="str">
        <f>IFERROR(X928*VLOOKUP(C928,'General price list'!C:I,7,FALSE),"")</f>
        <v/>
      </c>
      <c r="AA928" s="805" t="str">
        <f>IF(X928&lt;&gt;"",VLOOKUP(C928,'General price list'!C930:AN1903,MATCH("HM",Tabulka1[[#Headers],[KOD]:[NEQ]],0),FALSE),"")</f>
        <v/>
      </c>
    </row>
    <row r="929" spans="1:27">
      <c r="A929">
        <f>COUNTIF($W$22:W929,1)</f>
        <v>0</v>
      </c>
      <c r="B929">
        <v>929</v>
      </c>
      <c r="C929" s="340" t="str">
        <f>Tabulka1[[#This Row],[KOD]]</f>
        <v>S4W/P</v>
      </c>
      <c r="W929" s="804" t="str">
        <f t="shared" si="31"/>
        <v/>
      </c>
      <c r="X929" t="str">
        <f t="shared" si="32"/>
        <v/>
      </c>
      <c r="Y929" s="341">
        <f>IF('General price list'!$AB931="",0,'General price list'!$AB931)</f>
        <v>0</v>
      </c>
      <c r="Z929" s="365" t="str">
        <f>IFERROR(X929*VLOOKUP(C929,'General price list'!C:I,7,FALSE),"")</f>
        <v/>
      </c>
      <c r="AA929" s="805" t="str">
        <f>IF(X929&lt;&gt;"",VLOOKUP(C929,'General price list'!C931:AN1904,MATCH("HM",Tabulka1[[#Headers],[KOD]:[NEQ]],0),FALSE),"")</f>
        <v/>
      </c>
    </row>
    <row r="930" spans="1:27">
      <c r="A930">
        <f>COUNTIF($W$22:W930,1)</f>
        <v>0</v>
      </c>
      <c r="B930">
        <v>930</v>
      </c>
      <c r="C930" s="340" t="str">
        <f>Tabulka1[[#This Row],[KOD]]</f>
        <v>S4Z5/P</v>
      </c>
      <c r="W930" s="804" t="str">
        <f t="shared" si="31"/>
        <v/>
      </c>
      <c r="X930" t="str">
        <f t="shared" si="32"/>
        <v/>
      </c>
      <c r="Y930" s="341">
        <f>IF('General price list'!$AB932="",0,'General price list'!$AB932)</f>
        <v>0</v>
      </c>
      <c r="Z930" s="365" t="str">
        <f>IFERROR(X930*VLOOKUP(C930,'General price list'!C:I,7,FALSE),"")</f>
        <v/>
      </c>
      <c r="AA930" s="805" t="str">
        <f>IF(X930&lt;&gt;"",VLOOKUP(C930,'General price list'!C932:AN1905,MATCH("HM",Tabulka1[[#Headers],[KOD]:[NEQ]],0),FALSE),"")</f>
        <v/>
      </c>
    </row>
    <row r="931" spans="1:27">
      <c r="A931">
        <f>COUNTIF($W$22:W931,1)</f>
        <v>0</v>
      </c>
      <c r="B931">
        <v>931</v>
      </c>
      <c r="C931" s="340" t="str">
        <f>Tabulka1[[#This Row],[KOD]]</f>
        <v>S4Z6/P</v>
      </c>
      <c r="W931" s="804" t="str">
        <f t="shared" si="31"/>
        <v/>
      </c>
      <c r="X931" t="str">
        <f t="shared" si="32"/>
        <v/>
      </c>
      <c r="Y931" s="341">
        <f>IF('General price list'!$AB933="",0,'General price list'!$AB933)</f>
        <v>0</v>
      </c>
      <c r="Z931" s="365" t="str">
        <f>IFERROR(X931*VLOOKUP(C931,'General price list'!C:I,7,FALSE),"")</f>
        <v/>
      </c>
      <c r="AA931" s="805" t="str">
        <f>IF(X931&lt;&gt;"",VLOOKUP(C931,'General price list'!C933:AN1906,MATCH("HM",Tabulka1[[#Headers],[KOD]:[NEQ]],0),FALSE),"")</f>
        <v/>
      </c>
    </row>
    <row r="932" spans="1:27">
      <c r="A932">
        <f>COUNTIF($W$22:W932,1)</f>
        <v>0</v>
      </c>
      <c r="B932">
        <v>932</v>
      </c>
      <c r="C932" s="340" t="str">
        <f>Tabulka1[[#This Row],[KOD]]</f>
        <v>S4Z8/P</v>
      </c>
      <c r="W932" s="804" t="str">
        <f t="shared" si="31"/>
        <v/>
      </c>
      <c r="X932" t="str">
        <f t="shared" si="32"/>
        <v/>
      </c>
      <c r="Y932" s="341">
        <f>IF('General price list'!$AB934="",0,'General price list'!$AB934)</f>
        <v>0</v>
      </c>
      <c r="Z932" s="365" t="str">
        <f>IFERROR(X932*VLOOKUP(C932,'General price list'!C:I,7,FALSE),"")</f>
        <v/>
      </c>
      <c r="AA932" s="805" t="str">
        <f>IF(X932&lt;&gt;"",VLOOKUP(C932,'General price list'!C934:AN1907,MATCH("HM",Tabulka1[[#Headers],[KOD]:[NEQ]],0),FALSE),"")</f>
        <v/>
      </c>
    </row>
    <row r="933" spans="1:27">
      <c r="A933">
        <f>COUNTIF($W$22:W933,1)</f>
        <v>0</v>
      </c>
      <c r="B933">
        <v>933</v>
      </c>
      <c r="C933" s="340" t="str">
        <f>Tabulka1[[#This Row],[KOD]]</f>
        <v>S4Z11/P</v>
      </c>
      <c r="W933" s="804" t="str">
        <f t="shared" si="31"/>
        <v/>
      </c>
      <c r="X933" t="str">
        <f t="shared" si="32"/>
        <v/>
      </c>
      <c r="Y933" s="341">
        <f>IF('General price list'!$AB935="",0,'General price list'!$AB935)</f>
        <v>0</v>
      </c>
      <c r="Z933" s="365" t="str">
        <f>IFERROR(X933*VLOOKUP(C933,'General price list'!C:I,7,FALSE),"")</f>
        <v/>
      </c>
      <c r="AA933" s="805" t="str">
        <f>IF(X933&lt;&gt;"",VLOOKUP(C933,'General price list'!C935:AN1908,MATCH("HM",Tabulka1[[#Headers],[KOD]:[NEQ]],0),FALSE),"")</f>
        <v/>
      </c>
    </row>
    <row r="934" spans="1:27">
      <c r="A934">
        <f>COUNTIF($W$22:W934,1)</f>
        <v>0</v>
      </c>
      <c r="B934">
        <v>934</v>
      </c>
      <c r="C934" s="340" t="str">
        <f>Tabulka1[[#This Row],[KOD]]</f>
        <v>S4M/P</v>
      </c>
      <c r="W934" s="804" t="str">
        <f t="shared" si="31"/>
        <v/>
      </c>
      <c r="X934" t="str">
        <f t="shared" si="32"/>
        <v/>
      </c>
      <c r="Y934" s="341">
        <f>IF('General price list'!$AB936="",0,'General price list'!$AB936)</f>
        <v>0</v>
      </c>
      <c r="Z934" s="365" t="str">
        <f>IFERROR(X934*VLOOKUP(C934,'General price list'!C:I,7,FALSE),"")</f>
        <v/>
      </c>
      <c r="AA934" s="805" t="str">
        <f>IF(X934&lt;&gt;"",VLOOKUP(C934,'General price list'!C936:AN1909,MATCH("HM",Tabulka1[[#Headers],[KOD]:[NEQ]],0),FALSE),"")</f>
        <v/>
      </c>
    </row>
    <row r="935" spans="1:27">
      <c r="A935">
        <f>COUNTIF($W$22:W935,1)</f>
        <v>0</v>
      </c>
      <c r="B935">
        <v>935</v>
      </c>
      <c r="C935" s="340">
        <f>Tabulka1[[#This Row],[KOD]]</f>
        <v>0</v>
      </c>
      <c r="W935" s="804" t="str">
        <f t="shared" si="31"/>
        <v/>
      </c>
      <c r="X935" t="str">
        <f t="shared" si="32"/>
        <v/>
      </c>
      <c r="Y935" s="341">
        <f>IF('General price list'!$AB937="",0,'General price list'!$AB937)</f>
        <v>0</v>
      </c>
      <c r="Z935" s="365" t="str">
        <f>IFERROR(X935*VLOOKUP(C935,'General price list'!C:I,7,FALSE),"")</f>
        <v/>
      </c>
      <c r="AA935" s="805" t="str">
        <f>IF(X935&lt;&gt;"",VLOOKUP(C935,'General price list'!C937:AN1910,MATCH("HM",Tabulka1[[#Headers],[KOD]:[NEQ]],0),FALSE),"")</f>
        <v/>
      </c>
    </row>
    <row r="936" spans="1:27">
      <c r="A936">
        <f>COUNTIF($W$22:W936,1)</f>
        <v>0</v>
      </c>
      <c r="B936">
        <v>936</v>
      </c>
      <c r="C936" s="340" t="str">
        <f>Tabulka1[[#This Row],[KOD]]</f>
        <v>S5E/P</v>
      </c>
      <c r="W936" s="804" t="str">
        <f t="shared" si="31"/>
        <v/>
      </c>
      <c r="X936" t="str">
        <f t="shared" si="32"/>
        <v/>
      </c>
      <c r="Y936" s="341">
        <f>IF('General price list'!$AB938="",0,'General price list'!$AB938)</f>
        <v>0</v>
      </c>
      <c r="Z936" s="365" t="str">
        <f>IFERROR(X936*VLOOKUP(C936,'General price list'!C:I,7,FALSE),"")</f>
        <v/>
      </c>
      <c r="AA936" s="805" t="str">
        <f>IF(X936&lt;&gt;"",VLOOKUP(C936,'General price list'!C938:AN1911,MATCH("HM",Tabulka1[[#Headers],[KOD]:[NEQ]],0),FALSE),"")</f>
        <v/>
      </c>
    </row>
    <row r="937" spans="1:27">
      <c r="A937">
        <f>COUNTIF($W$22:W937,1)</f>
        <v>0</v>
      </c>
      <c r="B937">
        <v>937</v>
      </c>
      <c r="C937" s="340" t="str">
        <f>Tabulka1[[#This Row],[KOD]]</f>
        <v>S5F/P</v>
      </c>
      <c r="W937" s="804" t="str">
        <f t="shared" si="31"/>
        <v/>
      </c>
      <c r="X937" t="str">
        <f t="shared" si="32"/>
        <v/>
      </c>
      <c r="Y937" s="341">
        <f>IF('General price list'!$AB939="",0,'General price list'!$AB939)</f>
        <v>0</v>
      </c>
      <c r="Z937" s="365" t="str">
        <f>IFERROR(X937*VLOOKUP(C937,'General price list'!C:I,7,FALSE),"")</f>
        <v/>
      </c>
      <c r="AA937" s="805" t="str">
        <f>IF(X937&lt;&gt;"",VLOOKUP(C937,'General price list'!C939:AN1912,MATCH("HM",Tabulka1[[#Headers],[KOD]:[NEQ]],0),FALSE),"")</f>
        <v/>
      </c>
    </row>
    <row r="938" spans="1:27">
      <c r="A938">
        <f>COUNTIF($W$22:W938,1)</f>
        <v>0</v>
      </c>
      <c r="B938">
        <v>938</v>
      </c>
      <c r="C938" s="340" t="str">
        <f>Tabulka1[[#This Row],[KOD]]</f>
        <v>S5K/P</v>
      </c>
      <c r="W938" s="804" t="str">
        <f t="shared" si="31"/>
        <v/>
      </c>
      <c r="X938" t="str">
        <f t="shared" si="32"/>
        <v/>
      </c>
      <c r="Y938" s="341">
        <f>IF('General price list'!$AB940="",0,'General price list'!$AB940)</f>
        <v>0</v>
      </c>
      <c r="Z938" s="365" t="str">
        <f>IFERROR(X938*VLOOKUP(C938,'General price list'!C:I,7,FALSE),"")</f>
        <v/>
      </c>
      <c r="AA938" s="805" t="str">
        <f>IF(X938&lt;&gt;"",VLOOKUP(C938,'General price list'!C940:AN1913,MATCH("HM",Tabulka1[[#Headers],[KOD]:[NEQ]],0),FALSE),"")</f>
        <v/>
      </c>
    </row>
    <row r="939" spans="1:27">
      <c r="A939">
        <f>COUNTIF($W$22:W939,1)</f>
        <v>0</v>
      </c>
      <c r="B939">
        <v>939</v>
      </c>
      <c r="C939" s="340" t="str">
        <f>Tabulka1[[#This Row],[KOD]]</f>
        <v>S5M/P</v>
      </c>
      <c r="W939" s="804" t="str">
        <f t="shared" si="31"/>
        <v/>
      </c>
      <c r="X939" t="str">
        <f t="shared" si="32"/>
        <v/>
      </c>
      <c r="Y939" s="341">
        <f>IF('General price list'!$AB941="",0,'General price list'!$AB941)</f>
        <v>0</v>
      </c>
      <c r="Z939" s="365" t="str">
        <f>IFERROR(X939*VLOOKUP(C939,'General price list'!C:I,7,FALSE),"")</f>
        <v/>
      </c>
      <c r="AA939" s="805" t="str">
        <f>IF(X939&lt;&gt;"",VLOOKUP(C939,'General price list'!C941:AN1914,MATCH("HM",Tabulka1[[#Headers],[KOD]:[NEQ]],0),FALSE),"")</f>
        <v/>
      </c>
    </row>
    <row r="940" spans="1:27">
      <c r="A940">
        <f>COUNTIF($W$22:W940,1)</f>
        <v>0</v>
      </c>
      <c r="B940">
        <v>940</v>
      </c>
      <c r="C940" s="340">
        <f>Tabulka1[[#This Row],[KOD]]</f>
        <v>0</v>
      </c>
      <c r="W940" s="804" t="str">
        <f t="shared" si="31"/>
        <v/>
      </c>
      <c r="X940" t="str">
        <f t="shared" si="32"/>
        <v/>
      </c>
      <c r="Y940" s="341">
        <f>IF('General price list'!$AB942="",0,'General price list'!$AB942)</f>
        <v>0</v>
      </c>
      <c r="Z940" s="365" t="str">
        <f>IFERROR(X940*VLOOKUP(C940,'General price list'!C:I,7,FALSE),"")</f>
        <v/>
      </c>
      <c r="AA940" s="805" t="str">
        <f>IF(X940&lt;&gt;"",VLOOKUP(C940,'General price list'!C942:AN1915,MATCH("HM",Tabulka1[[#Headers],[KOD]:[NEQ]],0),FALSE),"")</f>
        <v/>
      </c>
    </row>
    <row r="941" spans="1:27">
      <c r="A941">
        <f>COUNTIF($W$22:W941,1)</f>
        <v>0</v>
      </c>
      <c r="B941">
        <v>941</v>
      </c>
      <c r="C941" s="340" t="str">
        <f>Tabulka1[[#This Row],[KOD]]</f>
        <v>S6M</v>
      </c>
      <c r="W941" s="804" t="str">
        <f t="shared" si="31"/>
        <v/>
      </c>
      <c r="X941" t="str">
        <f t="shared" si="32"/>
        <v/>
      </c>
      <c r="Y941" s="341">
        <f>IF('General price list'!$AB943="",0,'General price list'!$AB943)</f>
        <v>0</v>
      </c>
      <c r="Z941" s="365" t="str">
        <f>IFERROR(X941*VLOOKUP(C941,'General price list'!C:I,7,FALSE),"")</f>
        <v/>
      </c>
      <c r="AA941" s="805" t="str">
        <f>IF(X941&lt;&gt;"",VLOOKUP(C941,'General price list'!C943:AN1916,MATCH("HM",Tabulka1[[#Headers],[KOD]:[NEQ]],0),FALSE),"")</f>
        <v/>
      </c>
    </row>
    <row r="942" spans="1:27">
      <c r="A942">
        <f>COUNTIF($W$22:W942,1)</f>
        <v>0</v>
      </c>
      <c r="B942">
        <v>942</v>
      </c>
      <c r="C942" s="340">
        <f>Tabulka1[[#This Row],[KOD]]</f>
        <v>0</v>
      </c>
      <c r="W942" s="804" t="str">
        <f t="shared" si="31"/>
        <v/>
      </c>
      <c r="X942" t="str">
        <f t="shared" si="32"/>
        <v/>
      </c>
      <c r="Y942" s="341">
        <f>IF('General price list'!$AB944="",0,'General price list'!$AB944)</f>
        <v>0</v>
      </c>
      <c r="Z942" s="365" t="str">
        <f>IFERROR(X942*VLOOKUP(C942,'General price list'!C:I,7,FALSE),"")</f>
        <v/>
      </c>
      <c r="AA942" s="805" t="str">
        <f>IF(X942&lt;&gt;"",VLOOKUP(C942,'General price list'!C944:AN1917,MATCH("HM",Tabulka1[[#Headers],[KOD]:[NEQ]],0),FALSE),"")</f>
        <v/>
      </c>
    </row>
    <row r="943" spans="1:27">
      <c r="A943">
        <f>COUNTIF($W$22:W943,1)</f>
        <v>0</v>
      </c>
      <c r="B943">
        <v>943</v>
      </c>
      <c r="C943" s="340" t="str">
        <f>Tabulka1[[#This Row],[KOD]]</f>
        <v>S6F/P(9)</v>
      </c>
      <c r="W943" s="804" t="str">
        <f t="shared" si="31"/>
        <v/>
      </c>
      <c r="X943" t="str">
        <f t="shared" si="32"/>
        <v/>
      </c>
      <c r="Y943" s="341">
        <f>IF('General price list'!$AB945="",0,'General price list'!$AB945)</f>
        <v>0</v>
      </c>
      <c r="Z943" s="365" t="str">
        <f>IFERROR(X943*VLOOKUP(C943,'General price list'!C:I,7,FALSE),"")</f>
        <v/>
      </c>
      <c r="AA943" s="805" t="str">
        <f>IF(X943&lt;&gt;"",VLOOKUP(C943,'General price list'!C945:AN1918,MATCH("HM",Tabulka1[[#Headers],[KOD]:[NEQ]],0),FALSE),"")</f>
        <v/>
      </c>
    </row>
    <row r="944" spans="1:27">
      <c r="A944">
        <f>COUNTIF($W$22:W944,1)</f>
        <v>0</v>
      </c>
      <c r="B944">
        <v>944</v>
      </c>
      <c r="C944" s="340" t="str">
        <f>Tabulka1[[#This Row],[KOD]]</f>
        <v>S6I/P(9)</v>
      </c>
      <c r="W944" s="804" t="str">
        <f t="shared" si="31"/>
        <v/>
      </c>
      <c r="X944" t="str">
        <f t="shared" si="32"/>
        <v/>
      </c>
      <c r="Y944" s="341">
        <f>IF('General price list'!$AB946="",0,'General price list'!$AB946)</f>
        <v>0</v>
      </c>
      <c r="Z944" s="365" t="str">
        <f>IFERROR(X944*VLOOKUP(C944,'General price list'!C:I,7,FALSE),"")</f>
        <v/>
      </c>
      <c r="AA944" s="805" t="str">
        <f>IF(X944&lt;&gt;"",VLOOKUP(C944,'General price list'!C946:AN1919,MATCH("HM",Tabulka1[[#Headers],[KOD]:[NEQ]],0),FALSE),"")</f>
        <v/>
      </c>
    </row>
    <row r="945" spans="1:27">
      <c r="A945">
        <f>COUNTIF($W$22:W945,1)</f>
        <v>0</v>
      </c>
      <c r="B945">
        <v>945</v>
      </c>
      <c r="C945" s="340" t="str">
        <f>Tabulka1[[#This Row],[KOD]]</f>
        <v>S6R/P(9)</v>
      </c>
      <c r="W945" s="804" t="str">
        <f t="shared" si="31"/>
        <v/>
      </c>
      <c r="X945" t="str">
        <f t="shared" si="32"/>
        <v/>
      </c>
      <c r="Y945" s="341">
        <f>IF('General price list'!$AB947="",0,'General price list'!$AB947)</f>
        <v>0</v>
      </c>
      <c r="Z945" s="365" t="str">
        <f>IFERROR(X945*VLOOKUP(C945,'General price list'!C:I,7,FALSE),"")</f>
        <v/>
      </c>
      <c r="AA945" s="805" t="str">
        <f>IF(X945&lt;&gt;"",VLOOKUP(C945,'General price list'!C947:AN1920,MATCH("HM",Tabulka1[[#Headers],[KOD]:[NEQ]],0),FALSE),"")</f>
        <v/>
      </c>
    </row>
    <row r="946" spans="1:27">
      <c r="A946">
        <f>COUNTIF($W$22:W946,1)</f>
        <v>0</v>
      </c>
      <c r="B946">
        <v>946</v>
      </c>
      <c r="C946" s="340" t="str">
        <f>Tabulka1[[#This Row],[KOD]]</f>
        <v>S6Z3/P(9)</v>
      </c>
      <c r="W946" s="804" t="str">
        <f t="shared" si="31"/>
        <v/>
      </c>
      <c r="X946" t="str">
        <f t="shared" si="32"/>
        <v/>
      </c>
      <c r="Y946" s="341">
        <f>IF('General price list'!$AB948="",0,'General price list'!$AB948)</f>
        <v>0</v>
      </c>
      <c r="Z946" s="365" t="str">
        <f>IFERROR(X946*VLOOKUP(C946,'General price list'!C:I,7,FALSE),"")</f>
        <v/>
      </c>
      <c r="AA946" s="805" t="str">
        <f>IF(X946&lt;&gt;"",VLOOKUP(C946,'General price list'!C948:AN1921,MATCH("HM",Tabulka1[[#Headers],[KOD]:[NEQ]],0),FALSE),"")</f>
        <v/>
      </c>
    </row>
    <row r="947" spans="1:27">
      <c r="A947">
        <f>COUNTIF($W$22:W947,1)</f>
        <v>0</v>
      </c>
      <c r="B947">
        <v>947</v>
      </c>
      <c r="C947" s="340">
        <f>Tabulka1[[#This Row],[KOD]]</f>
        <v>0</v>
      </c>
      <c r="W947" s="804" t="str">
        <f t="shared" si="31"/>
        <v/>
      </c>
      <c r="X947" t="str">
        <f t="shared" si="32"/>
        <v/>
      </c>
      <c r="Y947" s="341">
        <f>IF('General price list'!$AB949="",0,'General price list'!$AB949)</f>
        <v>0</v>
      </c>
      <c r="Z947" s="365" t="str">
        <f>IFERROR(X947*VLOOKUP(C947,'General price list'!C:I,7,FALSE),"")</f>
        <v/>
      </c>
      <c r="AA947" s="805" t="str">
        <f>IF(X947&lt;&gt;"",VLOOKUP(C947,'General price list'!C949:AN1922,MATCH("HM",Tabulka1[[#Headers],[KOD]:[NEQ]],0),FALSE),"")</f>
        <v/>
      </c>
    </row>
    <row r="948" spans="1:27">
      <c r="A948">
        <f>COUNTIF($W$22:W948,1)</f>
        <v>0</v>
      </c>
      <c r="B948">
        <v>948</v>
      </c>
      <c r="C948" s="340" t="str">
        <f>Tabulka1[[#This Row],[KOD]]</f>
        <v>RKD-S03-01</v>
      </c>
      <c r="W948" s="804" t="str">
        <f t="shared" si="31"/>
        <v/>
      </c>
      <c r="X948" t="str">
        <f t="shared" si="32"/>
        <v/>
      </c>
      <c r="Y948" s="341">
        <f>IF('General price list'!$AB950="",0,'General price list'!$AB950)</f>
        <v>0</v>
      </c>
      <c r="Z948" s="365" t="str">
        <f>IFERROR(X948*VLOOKUP(C948,'General price list'!C:I,7,FALSE),"")</f>
        <v/>
      </c>
      <c r="AA948" s="805" t="str">
        <f>IF(X948&lt;&gt;"",VLOOKUP(C948,'General price list'!C950:AN1923,MATCH("HM",Tabulka1[[#Headers],[KOD]:[NEQ]],0),FALSE),"")</f>
        <v/>
      </c>
    </row>
    <row r="949" spans="1:27">
      <c r="A949">
        <f>COUNTIF($W$22:W949,1)</f>
        <v>0</v>
      </c>
      <c r="B949">
        <v>949</v>
      </c>
      <c r="C949" s="340" t="str">
        <f>Tabulka1[[#This Row],[KOD]]</f>
        <v>RKD-S03-02</v>
      </c>
      <c r="W949" s="804" t="str">
        <f t="shared" si="31"/>
        <v/>
      </c>
      <c r="X949" t="str">
        <f t="shared" si="32"/>
        <v/>
      </c>
      <c r="Y949" s="341">
        <f>IF('General price list'!$AB951="",0,'General price list'!$AB951)</f>
        <v>0</v>
      </c>
      <c r="Z949" s="365" t="str">
        <f>IFERROR(X949*VLOOKUP(C949,'General price list'!C:I,7,FALSE),"")</f>
        <v/>
      </c>
      <c r="AA949" s="805" t="str">
        <f>IF(X949&lt;&gt;"",VLOOKUP(C949,'General price list'!C951:AN1924,MATCH("HM",Tabulka1[[#Headers],[KOD]:[NEQ]],0),FALSE),"")</f>
        <v/>
      </c>
    </row>
    <row r="950" spans="1:27">
      <c r="A950">
        <f>COUNTIF($W$22:W950,1)</f>
        <v>0</v>
      </c>
      <c r="B950">
        <v>950</v>
      </c>
      <c r="C950" s="340" t="str">
        <f>Tabulka1[[#This Row],[KOD]]</f>
        <v>RKD-S03-03</v>
      </c>
      <c r="W950" s="804" t="str">
        <f t="shared" si="31"/>
        <v/>
      </c>
      <c r="X950" t="str">
        <f t="shared" si="32"/>
        <v/>
      </c>
      <c r="Y950" s="341">
        <f>IF('General price list'!$AB952="",0,'General price list'!$AB952)</f>
        <v>0</v>
      </c>
      <c r="Z950" s="365" t="str">
        <f>IFERROR(X950*VLOOKUP(C950,'General price list'!C:I,7,FALSE),"")</f>
        <v/>
      </c>
      <c r="AA950" s="805" t="str">
        <f>IF(X950&lt;&gt;"",VLOOKUP(C950,'General price list'!C952:AN1925,MATCH("HM",Tabulka1[[#Headers],[KOD]:[NEQ]],0),FALSE),"")</f>
        <v/>
      </c>
    </row>
    <row r="951" spans="1:27">
      <c r="A951">
        <f>COUNTIF($W$22:W951,1)</f>
        <v>0</v>
      </c>
      <c r="B951">
        <v>951</v>
      </c>
      <c r="C951" s="340" t="str">
        <f>Tabulka1[[#This Row],[KOD]]</f>
        <v>RKD-S04-01</v>
      </c>
      <c r="W951" s="804" t="str">
        <f t="shared" si="31"/>
        <v/>
      </c>
      <c r="X951" t="str">
        <f t="shared" si="32"/>
        <v/>
      </c>
      <c r="Y951" s="341">
        <f>IF('General price list'!$AB953="",0,'General price list'!$AB953)</f>
        <v>0</v>
      </c>
      <c r="Z951" s="365" t="str">
        <f>IFERROR(X951*VLOOKUP(C951,'General price list'!C:I,7,FALSE),"")</f>
        <v/>
      </c>
      <c r="AA951" s="805" t="str">
        <f>IF(X951&lt;&gt;"",VLOOKUP(C951,'General price list'!C953:AN1926,MATCH("HM",Tabulka1[[#Headers],[KOD]:[NEQ]],0),FALSE),"")</f>
        <v/>
      </c>
    </row>
    <row r="952" spans="1:27">
      <c r="A952">
        <f>COUNTIF($W$22:W952,1)</f>
        <v>0</v>
      </c>
      <c r="B952">
        <v>952</v>
      </c>
      <c r="C952" s="340" t="str">
        <f>Tabulka1[[#This Row],[KOD]]</f>
        <v>RKD-S04-04</v>
      </c>
      <c r="W952" s="804" t="str">
        <f t="shared" si="31"/>
        <v/>
      </c>
      <c r="X952" t="str">
        <f t="shared" si="32"/>
        <v/>
      </c>
      <c r="Y952" s="341">
        <f>IF('General price list'!$AB954="",0,'General price list'!$AB954)</f>
        <v>0</v>
      </c>
      <c r="Z952" s="365" t="str">
        <f>IFERROR(X952*VLOOKUP(C952,'General price list'!C:I,7,FALSE),"")</f>
        <v/>
      </c>
      <c r="AA952" s="805" t="str">
        <f>IF(X952&lt;&gt;"",VLOOKUP(C952,'General price list'!C954:AN1927,MATCH("HM",Tabulka1[[#Headers],[KOD]:[NEQ]],0),FALSE),"")</f>
        <v/>
      </c>
    </row>
    <row r="953" spans="1:27">
      <c r="A953">
        <f>COUNTIF($W$22:W953,1)</f>
        <v>0</v>
      </c>
      <c r="B953">
        <v>953</v>
      </c>
      <c r="C953" s="340" t="str">
        <f>Tabulka1[[#This Row],[KOD]]</f>
        <v>RKD-S05-01</v>
      </c>
      <c r="W953" s="804" t="str">
        <f t="shared" si="31"/>
        <v/>
      </c>
      <c r="X953" t="str">
        <f t="shared" si="32"/>
        <v/>
      </c>
      <c r="Y953" s="341">
        <f>IF('General price list'!$AB955="",0,'General price list'!$AB955)</f>
        <v>0</v>
      </c>
      <c r="Z953" s="365" t="str">
        <f>IFERROR(X953*VLOOKUP(C953,'General price list'!C:I,7,FALSE),"")</f>
        <v/>
      </c>
      <c r="AA953" s="805" t="str">
        <f>IF(X953&lt;&gt;"",VLOOKUP(C953,'General price list'!C955:AN1928,MATCH("HM",Tabulka1[[#Headers],[KOD]:[NEQ]],0),FALSE),"")</f>
        <v/>
      </c>
    </row>
    <row r="954" spans="1:27">
      <c r="A954">
        <f>COUNTIF($W$22:W954,1)</f>
        <v>0</v>
      </c>
      <c r="B954">
        <v>954</v>
      </c>
      <c r="C954" s="340" t="str">
        <f>Tabulka1[[#This Row],[KOD]]</f>
        <v>RKD-S05-02</v>
      </c>
      <c r="W954" s="804" t="str">
        <f t="shared" si="31"/>
        <v/>
      </c>
      <c r="X954" t="str">
        <f t="shared" si="32"/>
        <v/>
      </c>
      <c r="Y954" s="341">
        <f>IF('General price list'!$AB956="",0,'General price list'!$AB956)</f>
        <v>0</v>
      </c>
      <c r="Z954" s="365" t="str">
        <f>IFERROR(X954*VLOOKUP(C954,'General price list'!C:I,7,FALSE),"")</f>
        <v/>
      </c>
      <c r="AA954" s="805" t="str">
        <f>IF(X954&lt;&gt;"",VLOOKUP(C954,'General price list'!C956:AN1929,MATCH("HM",Tabulka1[[#Headers],[KOD]:[NEQ]],0),FALSE),"")</f>
        <v/>
      </c>
    </row>
    <row r="955" spans="1:27">
      <c r="A955">
        <f>COUNTIF($W$22:W955,1)</f>
        <v>0</v>
      </c>
      <c r="B955">
        <v>955</v>
      </c>
      <c r="C955" s="340" t="str">
        <f>Tabulka1[[#This Row],[KOD]]</f>
        <v>RKD-S05-03</v>
      </c>
      <c r="W955" s="804" t="str">
        <f t="shared" si="31"/>
        <v/>
      </c>
      <c r="X955" t="str">
        <f t="shared" si="32"/>
        <v/>
      </c>
      <c r="Y955" s="341">
        <f>IF('General price list'!$AB957="",0,'General price list'!$AB957)</f>
        <v>0</v>
      </c>
      <c r="Z955" s="365" t="str">
        <f>IFERROR(X955*VLOOKUP(C955,'General price list'!C:I,7,FALSE),"")</f>
        <v/>
      </c>
      <c r="AA955" s="805" t="str">
        <f>IF(X955&lt;&gt;"",VLOOKUP(C955,'General price list'!C957:AN1930,MATCH("HM",Tabulka1[[#Headers],[KOD]:[NEQ]],0),FALSE),"")</f>
        <v/>
      </c>
    </row>
    <row r="956" spans="1:27">
      <c r="A956">
        <f>COUNTIF($W$22:W956,1)</f>
        <v>0</v>
      </c>
      <c r="B956">
        <v>956</v>
      </c>
      <c r="C956" s="340" t="str">
        <f>Tabulka1[[#This Row],[KOD]]</f>
        <v>RKD-S05-04</v>
      </c>
      <c r="W956" s="804" t="str">
        <f t="shared" si="31"/>
        <v/>
      </c>
      <c r="X956" t="str">
        <f t="shared" si="32"/>
        <v/>
      </c>
      <c r="Y956" s="341">
        <f>IF('General price list'!$AB958="",0,'General price list'!$AB958)</f>
        <v>0</v>
      </c>
      <c r="Z956" s="365" t="str">
        <f>IFERROR(X956*VLOOKUP(C956,'General price list'!C:I,7,FALSE),"")</f>
        <v/>
      </c>
      <c r="AA956" s="805" t="str">
        <f>IF(X956&lt;&gt;"",VLOOKUP(C956,'General price list'!C958:AN1931,MATCH("HM",Tabulka1[[#Headers],[KOD]:[NEQ]],0),FALSE),"")</f>
        <v/>
      </c>
    </row>
    <row r="957" spans="1:27">
      <c r="A957">
        <f>COUNTIF($W$22:W957,1)</f>
        <v>0</v>
      </c>
      <c r="B957">
        <v>957</v>
      </c>
      <c r="C957" s="340" t="str">
        <f>Tabulka1[[#This Row],[KOD]]</f>
        <v>RKD-S05-05</v>
      </c>
      <c r="W957" s="804" t="str">
        <f t="shared" si="31"/>
        <v/>
      </c>
      <c r="X957" t="str">
        <f t="shared" si="32"/>
        <v/>
      </c>
      <c r="Y957" s="341">
        <f>IF('General price list'!$AB959="",0,'General price list'!$AB959)</f>
        <v>0</v>
      </c>
      <c r="Z957" s="365" t="str">
        <f>IFERROR(X957*VLOOKUP(C957,'General price list'!C:I,7,FALSE),"")</f>
        <v/>
      </c>
      <c r="AA957" s="805" t="str">
        <f>IF(X957&lt;&gt;"",VLOOKUP(C957,'General price list'!C959:AN1932,MATCH("HM",Tabulka1[[#Headers],[KOD]:[NEQ]],0),FALSE),"")</f>
        <v/>
      </c>
    </row>
    <row r="958" spans="1:27">
      <c r="A958">
        <f>COUNTIF($W$22:W958,1)</f>
        <v>0</v>
      </c>
      <c r="B958">
        <v>958</v>
      </c>
      <c r="C958" s="340" t="str">
        <f>Tabulka1[[#This Row],[KOD]]</f>
        <v>RKD-S05-09</v>
      </c>
      <c r="W958" s="804" t="str">
        <f t="shared" si="31"/>
        <v/>
      </c>
      <c r="X958" t="str">
        <f t="shared" si="32"/>
        <v/>
      </c>
      <c r="Y958" s="341">
        <f>IF('General price list'!$AB960="",0,'General price list'!$AB960)</f>
        <v>0</v>
      </c>
      <c r="Z958" s="365" t="str">
        <f>IFERROR(X958*VLOOKUP(C958,'General price list'!C:I,7,FALSE),"")</f>
        <v/>
      </c>
      <c r="AA958" s="805" t="str">
        <f>IF(X958&lt;&gt;"",VLOOKUP(C958,'General price list'!C960:AN1933,MATCH("HM",Tabulka1[[#Headers],[KOD]:[NEQ]],0),FALSE),"")</f>
        <v/>
      </c>
    </row>
    <row r="959" spans="1:27">
      <c r="A959">
        <f>COUNTIF($W$22:W959,1)</f>
        <v>0</v>
      </c>
      <c r="B959">
        <v>959</v>
      </c>
      <c r="C959" s="340" t="str">
        <f>Tabulka1[[#This Row],[KOD]]</f>
        <v>RKD-S05-11</v>
      </c>
      <c r="W959" s="804" t="str">
        <f t="shared" si="31"/>
        <v/>
      </c>
      <c r="X959" t="str">
        <f t="shared" si="32"/>
        <v/>
      </c>
      <c r="Y959" s="341">
        <f>IF('General price list'!$AB961="",0,'General price list'!$AB961)</f>
        <v>0</v>
      </c>
      <c r="Z959" s="365" t="str">
        <f>IFERROR(X959*VLOOKUP(C959,'General price list'!C:I,7,FALSE),"")</f>
        <v/>
      </c>
      <c r="AA959" s="805" t="str">
        <f>IF(X959&lt;&gt;"",VLOOKUP(C959,'General price list'!C961:AN1934,MATCH("HM",Tabulka1[[#Headers],[KOD]:[NEQ]],0),FALSE),"")</f>
        <v/>
      </c>
    </row>
    <row r="960" spans="1:27">
      <c r="A960">
        <f>COUNTIF($W$22:W960,1)</f>
        <v>0</v>
      </c>
      <c r="B960">
        <v>960</v>
      </c>
      <c r="C960" s="340" t="str">
        <f>Tabulka1[[#This Row],[KOD]]</f>
        <v>RKD-S05-12</v>
      </c>
      <c r="W960" s="804" t="str">
        <f t="shared" si="31"/>
        <v/>
      </c>
      <c r="X960" t="str">
        <f t="shared" si="32"/>
        <v/>
      </c>
      <c r="Y960" s="341">
        <f>IF('General price list'!$AB962="",0,'General price list'!$AB962)</f>
        <v>0</v>
      </c>
      <c r="Z960" s="365" t="str">
        <f>IFERROR(X960*VLOOKUP(C960,'General price list'!C:I,7,FALSE),"")</f>
        <v/>
      </c>
      <c r="AA960" s="805" t="str">
        <f>IF(X960&lt;&gt;"",VLOOKUP(C960,'General price list'!C962:AN1935,MATCH("HM",Tabulka1[[#Headers],[KOD]:[NEQ]],0),FALSE),"")</f>
        <v/>
      </c>
    </row>
    <row r="961" spans="1:27">
      <c r="A961">
        <f>COUNTIF($W$22:W961,1)</f>
        <v>0</v>
      </c>
      <c r="B961">
        <v>961</v>
      </c>
      <c r="C961" s="340" t="str">
        <f>Tabulka1[[#This Row],[KOD]]</f>
        <v>RKD-S06-01</v>
      </c>
      <c r="W961" s="804" t="str">
        <f t="shared" si="31"/>
        <v/>
      </c>
      <c r="X961" t="str">
        <f t="shared" si="32"/>
        <v/>
      </c>
      <c r="Y961" s="341">
        <f>IF('General price list'!$AB963="",0,'General price list'!$AB963)</f>
        <v>0</v>
      </c>
      <c r="Z961" s="365" t="str">
        <f>IFERROR(X961*VLOOKUP(C961,'General price list'!C:I,7,FALSE),"")</f>
        <v/>
      </c>
      <c r="AA961" s="805" t="str">
        <f>IF(X961&lt;&gt;"",VLOOKUP(C961,'General price list'!C963:AN1936,MATCH("HM",Tabulka1[[#Headers],[KOD]:[NEQ]],0),FALSE),"")</f>
        <v/>
      </c>
    </row>
    <row r="962" spans="1:27">
      <c r="A962">
        <f>COUNTIF($W$22:W962,1)</f>
        <v>0</v>
      </c>
      <c r="B962">
        <v>962</v>
      </c>
      <c r="C962" s="340" t="str">
        <f>Tabulka1[[#This Row],[KOD]]</f>
        <v>RKD-S06-02</v>
      </c>
      <c r="W962" s="804" t="str">
        <f t="shared" si="31"/>
        <v/>
      </c>
      <c r="X962" t="str">
        <f t="shared" si="32"/>
        <v/>
      </c>
      <c r="Y962" s="341">
        <f>IF('General price list'!$AB964="",0,'General price list'!$AB964)</f>
        <v>0</v>
      </c>
      <c r="Z962" s="365" t="str">
        <f>IFERROR(X962*VLOOKUP(C962,'General price list'!C:I,7,FALSE),"")</f>
        <v/>
      </c>
      <c r="AA962" s="805" t="str">
        <f>IF(X962&lt;&gt;"",VLOOKUP(C962,'General price list'!C964:AN1937,MATCH("HM",Tabulka1[[#Headers],[KOD]:[NEQ]],0),FALSE),"")</f>
        <v/>
      </c>
    </row>
    <row r="963" spans="1:27">
      <c r="A963">
        <f>COUNTIF($W$22:W963,1)</f>
        <v>0</v>
      </c>
      <c r="B963">
        <v>963</v>
      </c>
      <c r="C963" s="340" t="str">
        <f>Tabulka1[[#This Row],[KOD]]</f>
        <v>RKD-S06-03</v>
      </c>
      <c r="W963" s="804" t="str">
        <f t="shared" si="31"/>
        <v/>
      </c>
      <c r="X963" t="str">
        <f t="shared" si="32"/>
        <v/>
      </c>
      <c r="Y963" s="341">
        <f>IF('General price list'!$AB965="",0,'General price list'!$AB965)</f>
        <v>0</v>
      </c>
      <c r="Z963" s="365" t="str">
        <f>IFERROR(X963*VLOOKUP(C963,'General price list'!C:I,7,FALSE),"")</f>
        <v/>
      </c>
      <c r="AA963" s="805" t="str">
        <f>IF(X963&lt;&gt;"",VLOOKUP(C963,'General price list'!C965:AN1938,MATCH("HM",Tabulka1[[#Headers],[KOD]:[NEQ]],0),FALSE),"")</f>
        <v/>
      </c>
    </row>
    <row r="964" spans="1:27">
      <c r="A964">
        <f>COUNTIF($W$22:W964,1)</f>
        <v>0</v>
      </c>
      <c r="B964">
        <v>964</v>
      </c>
      <c r="C964" s="340" t="str">
        <f>Tabulka1[[#This Row],[KOD]]</f>
        <v>RKD-S06-04</v>
      </c>
      <c r="W964" s="804" t="str">
        <f t="shared" si="31"/>
        <v/>
      </c>
      <c r="X964" t="str">
        <f t="shared" si="32"/>
        <v/>
      </c>
      <c r="Y964" s="341">
        <f>IF('General price list'!$AB966="",0,'General price list'!$AB966)</f>
        <v>0</v>
      </c>
      <c r="Z964" s="365" t="str">
        <f>IFERROR(X964*VLOOKUP(C964,'General price list'!C:I,7,FALSE),"")</f>
        <v/>
      </c>
      <c r="AA964" s="805" t="str">
        <f>IF(X964&lt;&gt;"",VLOOKUP(C964,'General price list'!C966:AN1939,MATCH("HM",Tabulka1[[#Headers],[KOD]:[NEQ]],0),FALSE),"")</f>
        <v/>
      </c>
    </row>
    <row r="965" spans="1:27">
      <c r="A965">
        <f>COUNTIF($W$22:W965,1)</f>
        <v>0</v>
      </c>
      <c r="B965">
        <v>965</v>
      </c>
      <c r="C965" s="340" t="str">
        <f>Tabulka1[[#This Row],[KOD]]</f>
        <v>RKD-S06-05</v>
      </c>
      <c r="W965" s="804" t="str">
        <f t="shared" si="31"/>
        <v/>
      </c>
      <c r="X965" t="str">
        <f t="shared" si="32"/>
        <v/>
      </c>
      <c r="Y965" s="341">
        <f>IF('General price list'!$AB967="",0,'General price list'!$AB967)</f>
        <v>0</v>
      </c>
      <c r="Z965" s="365" t="str">
        <f>IFERROR(X965*VLOOKUP(C965,'General price list'!C:I,7,FALSE),"")</f>
        <v/>
      </c>
      <c r="AA965" s="805" t="str">
        <f>IF(X965&lt;&gt;"",VLOOKUP(C965,'General price list'!C967:AN1940,MATCH("HM",Tabulka1[[#Headers],[KOD]:[NEQ]],0),FALSE),"")</f>
        <v/>
      </c>
    </row>
    <row r="966" spans="1:27">
      <c r="A966">
        <f>COUNTIF($W$22:W966,1)</f>
        <v>0</v>
      </c>
      <c r="B966">
        <v>966</v>
      </c>
      <c r="C966" s="340" t="str">
        <f>Tabulka1[[#This Row],[KOD]]</f>
        <v>RKD-S06-07</v>
      </c>
      <c r="W966" s="804" t="str">
        <f t="shared" si="31"/>
        <v/>
      </c>
      <c r="X966" t="str">
        <f t="shared" si="32"/>
        <v/>
      </c>
      <c r="Y966" s="341">
        <f>IF('General price list'!$AB968="",0,'General price list'!$AB968)</f>
        <v>0</v>
      </c>
      <c r="Z966" s="365" t="str">
        <f>IFERROR(X966*VLOOKUP(C966,'General price list'!C:I,7,FALSE),"")</f>
        <v/>
      </c>
      <c r="AA966" s="805" t="str">
        <f>IF(X966&lt;&gt;"",VLOOKUP(C966,'General price list'!C968:AN1941,MATCH("HM",Tabulka1[[#Headers],[KOD]:[NEQ]],0),FALSE),"")</f>
        <v/>
      </c>
    </row>
    <row r="967" spans="1:27">
      <c r="A967">
        <f>COUNTIF($W$22:W967,1)</f>
        <v>0</v>
      </c>
      <c r="B967">
        <v>967</v>
      </c>
      <c r="C967" s="340">
        <f>Tabulka1[[#This Row],[KOD]]</f>
        <v>0</v>
      </c>
      <c r="W967" s="804" t="str">
        <f t="shared" si="31"/>
        <v/>
      </c>
      <c r="X967" t="str">
        <f t="shared" si="32"/>
        <v/>
      </c>
      <c r="Y967" s="341">
        <f>IF('General price list'!$AB969="",0,'General price list'!$AB969)</f>
        <v>0</v>
      </c>
      <c r="Z967" s="365" t="str">
        <f>IFERROR(X967*VLOOKUP(C967,'General price list'!C:I,7,FALSE),"")</f>
        <v/>
      </c>
      <c r="AA967" s="805" t="str">
        <f>IF(X967&lt;&gt;"",VLOOKUP(C967,'General price list'!C969:AN1942,MATCH("HM",Tabulka1[[#Headers],[KOD]:[NEQ]],0),FALSE),"")</f>
        <v/>
      </c>
    </row>
    <row r="968" spans="1:27">
      <c r="A968">
        <f>COUNTIF($W$22:W968,1)</f>
        <v>0</v>
      </c>
      <c r="B968">
        <v>968</v>
      </c>
      <c r="C968" s="340" t="str">
        <f>Tabulka1[[#This Row],[KOD]]</f>
        <v>M2</v>
      </c>
      <c r="W968" s="804" t="str">
        <f t="shared" si="31"/>
        <v/>
      </c>
      <c r="X968" t="str">
        <f t="shared" si="32"/>
        <v/>
      </c>
      <c r="Y968" s="341">
        <f>IF('General price list'!$AB970="",0,'General price list'!$AB970)</f>
        <v>0</v>
      </c>
      <c r="Z968" s="365" t="str">
        <f>IFERROR(X968*VLOOKUP(C968,'General price list'!C:I,7,FALSE),"")</f>
        <v/>
      </c>
      <c r="AA968" s="805" t="str">
        <f>IF(X968&lt;&gt;"",VLOOKUP(C968,'General price list'!C970:AN1943,MATCH("HM",Tabulka1[[#Headers],[KOD]:[NEQ]],0),FALSE),"")</f>
        <v/>
      </c>
    </row>
    <row r="969" spans="1:27">
      <c r="A969">
        <f>COUNTIF($W$22:W969,1)</f>
        <v>0</v>
      </c>
      <c r="B969">
        <v>969</v>
      </c>
      <c r="C969" s="340" t="str">
        <f>Tabulka1[[#This Row],[KOD]]</f>
        <v>M3</v>
      </c>
      <c r="W969" s="804" t="str">
        <f t="shared" si="31"/>
        <v/>
      </c>
      <c r="X969" t="str">
        <f t="shared" si="32"/>
        <v/>
      </c>
      <c r="Y969" s="341">
        <f>IF('General price list'!$AB971="",0,'General price list'!$AB971)</f>
        <v>0</v>
      </c>
      <c r="Z969" s="365" t="str">
        <f>IFERROR(X969*VLOOKUP(C969,'General price list'!C:I,7,FALSE),"")</f>
        <v/>
      </c>
      <c r="AA969" s="805" t="str">
        <f>IF(X969&lt;&gt;"",VLOOKUP(C969,'General price list'!C971:AN1944,MATCH("HM",Tabulka1[[#Headers],[KOD]:[NEQ]],0),FALSE),"")</f>
        <v/>
      </c>
    </row>
    <row r="970" spans="1:27">
      <c r="A970">
        <f>COUNTIF($W$22:W970,1)</f>
        <v>0</v>
      </c>
      <c r="B970">
        <v>970</v>
      </c>
      <c r="C970" s="340" t="str">
        <f>Tabulka1[[#This Row],[KOD]]</f>
        <v>M4</v>
      </c>
      <c r="W970" s="804" t="str">
        <f t="shared" si="31"/>
        <v/>
      </c>
      <c r="X970" t="str">
        <f t="shared" si="32"/>
        <v/>
      </c>
      <c r="Y970" s="341">
        <f>IF('General price list'!$AB972="",0,'General price list'!$AB972)</f>
        <v>0</v>
      </c>
      <c r="Z970" s="365" t="str">
        <f>IFERROR(X970*VLOOKUP(C970,'General price list'!C:I,7,FALSE),"")</f>
        <v/>
      </c>
      <c r="AA970" s="805" t="str">
        <f>IF(X970&lt;&gt;"",VLOOKUP(C970,'General price list'!C972:AN1945,MATCH("HM",Tabulka1[[#Headers],[KOD]:[NEQ]],0),FALSE),"")</f>
        <v/>
      </c>
    </row>
    <row r="971" spans="1:27">
      <c r="A971">
        <f>COUNTIF($W$22:W971,1)</f>
        <v>0</v>
      </c>
      <c r="B971">
        <v>971</v>
      </c>
      <c r="C971" s="340" t="str">
        <f>Tabulka1[[#This Row],[KOD]]</f>
        <v>M5</v>
      </c>
      <c r="W971" s="804" t="str">
        <f t="shared" si="31"/>
        <v/>
      </c>
      <c r="X971" t="str">
        <f t="shared" si="32"/>
        <v/>
      </c>
      <c r="Y971" s="341">
        <f>IF('General price list'!$AB973="",0,'General price list'!$AB973)</f>
        <v>0</v>
      </c>
      <c r="Z971" s="365" t="str">
        <f>IFERROR(X971*VLOOKUP(C971,'General price list'!C:I,7,FALSE),"")</f>
        <v/>
      </c>
      <c r="AA971" s="805" t="str">
        <f>IF(X971&lt;&gt;"",VLOOKUP(C971,'General price list'!C973:AN1946,MATCH("HM",Tabulka1[[#Headers],[KOD]:[NEQ]],0),FALSE),"")</f>
        <v/>
      </c>
    </row>
    <row r="972" spans="1:27">
      <c r="A972">
        <f>COUNTIF($W$22:W972,1)</f>
        <v>0</v>
      </c>
      <c r="B972">
        <v>972</v>
      </c>
      <c r="C972" s="340" t="str">
        <f>Tabulka1[[#This Row],[KOD]]</f>
        <v>M6</v>
      </c>
      <c r="W972" s="804" t="str">
        <f t="shared" si="31"/>
        <v/>
      </c>
      <c r="X972" t="str">
        <f t="shared" si="32"/>
        <v/>
      </c>
      <c r="Y972" s="341">
        <f>IF('General price list'!$AB974="",0,'General price list'!$AB974)</f>
        <v>0</v>
      </c>
      <c r="Z972" s="365" t="str">
        <f>IFERROR(X972*VLOOKUP(C972,'General price list'!C:I,7,FALSE),"")</f>
        <v/>
      </c>
      <c r="AA972" s="805" t="str">
        <f>IF(X972&lt;&gt;"",VLOOKUP(C972,'General price list'!C974:AN1947,MATCH("HM",Tabulka1[[#Headers],[KOD]:[NEQ]],0),FALSE),"")</f>
        <v/>
      </c>
    </row>
    <row r="973" spans="1:27">
      <c r="A973">
        <f>COUNTIF($W$22:W973,1)</f>
        <v>0</v>
      </c>
      <c r="B973">
        <v>973</v>
      </c>
      <c r="C973" s="340">
        <f>Tabulka1[[#This Row],[KOD]]</f>
        <v>0</v>
      </c>
      <c r="W973" s="804" t="str">
        <f t="shared" si="31"/>
        <v/>
      </c>
      <c r="X973" t="str">
        <f t="shared" si="32"/>
        <v/>
      </c>
      <c r="Y973" s="341">
        <f>IF('General price list'!$AB975="",0,'General price list'!$AB975)</f>
        <v>0</v>
      </c>
      <c r="Z973" s="365" t="str">
        <f>IFERROR(X973*VLOOKUP(C973,'General price list'!C:I,7,FALSE),"")</f>
        <v/>
      </c>
      <c r="AA973" s="805" t="str">
        <f>IF(X973&lt;&gt;"",VLOOKUP(C973,'General price list'!C975:AN1948,MATCH("HM",Tabulka1[[#Headers],[KOD]:[NEQ]],0),FALSE),"")</f>
        <v/>
      </c>
    </row>
    <row r="974" spans="1:27">
      <c r="A974">
        <f>COUNTIF($W$22:W974,1)</f>
        <v>0</v>
      </c>
      <c r="B974">
        <v>974</v>
      </c>
      <c r="C974" s="340" t="str">
        <f>Tabulka1[[#This Row],[KOD]]</f>
        <v>IF220A</v>
      </c>
      <c r="W974" s="804" t="str">
        <f t="shared" si="31"/>
        <v/>
      </c>
      <c r="X974" t="str">
        <f t="shared" si="32"/>
        <v/>
      </c>
      <c r="Y974" s="341">
        <f>IF('General price list'!$AB976="",0,'General price list'!$AB976)</f>
        <v>0</v>
      </c>
      <c r="Z974" s="365" t="str">
        <f>IFERROR(X974*VLOOKUP(C974,'General price list'!C:I,7,FALSE),"")</f>
        <v/>
      </c>
      <c r="AA974" s="805" t="str">
        <f>IF(X974&lt;&gt;"",VLOOKUP(C974,'General price list'!C976:AN1949,MATCH("HM",Tabulka1[[#Headers],[KOD]:[NEQ]],0),FALSE),"")</f>
        <v/>
      </c>
    </row>
    <row r="975" spans="1:27">
      <c r="A975">
        <f>COUNTIF($W$22:W975,1)</f>
        <v>0</v>
      </c>
      <c r="B975">
        <v>975</v>
      </c>
      <c r="C975" s="340" t="str">
        <f>Tabulka1[[#This Row],[KOD]]</f>
        <v>IF3MA</v>
      </c>
      <c r="W975" s="804" t="str">
        <f t="shared" si="31"/>
        <v/>
      </c>
      <c r="X975" t="str">
        <f t="shared" si="32"/>
        <v/>
      </c>
      <c r="Y975" s="341">
        <f>IF('General price list'!$AB977="",0,'General price list'!$AB977)</f>
        <v>0</v>
      </c>
      <c r="Z975" s="365" t="str">
        <f>IFERROR(X975*VLOOKUP(C975,'General price list'!C:I,7,FALSE),"")</f>
        <v/>
      </c>
      <c r="AA975" s="805" t="str">
        <f>IF(X975&lt;&gt;"",VLOOKUP(C975,'General price list'!C977:AN1950,MATCH("HM",Tabulka1[[#Headers],[KOD]:[NEQ]],0),FALSE),"")</f>
        <v/>
      </c>
    </row>
    <row r="976" spans="1:27">
      <c r="A976">
        <f>COUNTIF($W$22:W976,1)</f>
        <v>0</v>
      </c>
      <c r="B976">
        <v>976</v>
      </c>
      <c r="C976" s="340" t="str">
        <f>Tabulka1[[#This Row],[KOD]]</f>
        <v>IF560B</v>
      </c>
      <c r="W976" s="804" t="str">
        <f t="shared" si="31"/>
        <v/>
      </c>
      <c r="X976" t="str">
        <f t="shared" si="32"/>
        <v/>
      </c>
      <c r="Y976" s="341">
        <f>IF('General price list'!$AB978="",0,'General price list'!$AB978)</f>
        <v>0</v>
      </c>
      <c r="Z976" s="365" t="str">
        <f>IFERROR(X976*VLOOKUP(C976,'General price list'!C:I,7,FALSE),"")</f>
        <v/>
      </c>
      <c r="AA976" s="805" t="str">
        <f>IF(X976&lt;&gt;"",VLOOKUP(C976,'General price list'!C978:AN1951,MATCH("HM",Tabulka1[[#Headers],[KOD]:[NEQ]],0),FALSE),"")</f>
        <v/>
      </c>
    </row>
    <row r="977" spans="1:27">
      <c r="A977">
        <f>COUNTIF($W$22:W977,1)</f>
        <v>0</v>
      </c>
      <c r="B977">
        <v>977</v>
      </c>
      <c r="C977" s="340">
        <f>Tabulka1[[#This Row],[KOD]]</f>
        <v>0</v>
      </c>
      <c r="W977" s="804" t="str">
        <f t="shared" si="31"/>
        <v/>
      </c>
      <c r="X977" t="str">
        <f t="shared" si="32"/>
        <v/>
      </c>
      <c r="Y977" s="341">
        <f>IF('General price list'!$AB979="",0,'General price list'!$AB979)</f>
        <v>0</v>
      </c>
      <c r="Z977" s="365" t="str">
        <f>IFERROR(X977*VLOOKUP(C977,'General price list'!C:I,7,FALSE),"")</f>
        <v/>
      </c>
      <c r="AA977" s="805" t="str">
        <f>IF(X977&lt;&gt;"",VLOOKUP(C977,'General price list'!C979:AN1952,MATCH("HM",Tabulka1[[#Headers],[KOD]:[NEQ]],0),FALSE),"")</f>
        <v/>
      </c>
    </row>
    <row r="978" spans="1:27">
      <c r="A978">
        <f>COUNTIF($W$22:W978,1)</f>
        <v>0</v>
      </c>
      <c r="B978">
        <v>978</v>
      </c>
      <c r="C978" s="340" t="str">
        <f>Tabulka1[[#This Row],[KOD]]</f>
        <v>EP03M</v>
      </c>
      <c r="W978" s="804" t="str">
        <f t="shared" si="31"/>
        <v/>
      </c>
      <c r="X978" t="str">
        <f t="shared" si="32"/>
        <v/>
      </c>
      <c r="Y978" s="341">
        <f>IF('General price list'!$AB980="",0,'General price list'!$AB980)</f>
        <v>0</v>
      </c>
      <c r="Z978" s="365" t="str">
        <f>IFERROR(X978*VLOOKUP(C978,'General price list'!C:I,7,FALSE),"")</f>
        <v/>
      </c>
      <c r="AA978" s="805" t="str">
        <f>IF(X978&lt;&gt;"",VLOOKUP(C978,'General price list'!C980:AN1953,MATCH("HM",Tabulka1[[#Headers],[KOD]:[NEQ]],0),FALSE),"")</f>
        <v/>
      </c>
    </row>
    <row r="979" spans="1:27">
      <c r="A979">
        <f>COUNTIF($W$22:W979,1)</f>
        <v>0</v>
      </c>
      <c r="B979">
        <v>979</v>
      </c>
      <c r="C979" s="340" t="str">
        <f>Tabulka1[[#This Row],[KOD]]</f>
        <v>EP1M</v>
      </c>
      <c r="W979" s="804" t="str">
        <f t="shared" si="31"/>
        <v/>
      </c>
      <c r="X979" t="str">
        <f t="shared" si="32"/>
        <v/>
      </c>
      <c r="Y979" s="341">
        <f>IF('General price list'!$AB981="",0,'General price list'!$AB981)</f>
        <v>0</v>
      </c>
      <c r="Z979" s="365" t="str">
        <f>IFERROR(X979*VLOOKUP(C979,'General price list'!C:I,7,FALSE),"")</f>
        <v/>
      </c>
      <c r="AA979" s="805" t="str">
        <f>IF(X979&lt;&gt;"",VLOOKUP(C979,'General price list'!C981:AN1954,MATCH("HM",Tabulka1[[#Headers],[KOD]:[NEQ]],0),FALSE),"")</f>
        <v/>
      </c>
    </row>
    <row r="980" spans="1:27">
      <c r="A980">
        <f>COUNTIF($W$22:W980,1)</f>
        <v>0</v>
      </c>
      <c r="B980">
        <v>980</v>
      </c>
      <c r="C980" s="340" t="str">
        <f>Tabulka1[[#This Row],[KOD]]</f>
        <v>EP2M</v>
      </c>
      <c r="W980" s="804" t="str">
        <f t="shared" si="31"/>
        <v/>
      </c>
      <c r="X980" t="str">
        <f t="shared" si="32"/>
        <v/>
      </c>
      <c r="Y980" s="341">
        <f>IF('General price list'!$AB982="",0,'General price list'!$AB982)</f>
        <v>0</v>
      </c>
      <c r="Z980" s="365" t="str">
        <f>IFERROR(X980*VLOOKUP(C980,'General price list'!C:I,7,FALSE),"")</f>
        <v/>
      </c>
      <c r="AA980" s="805" t="str">
        <f>IF(X980&lt;&gt;"",VLOOKUP(C980,'General price list'!C982:AN1955,MATCH("HM",Tabulka1[[#Headers],[KOD]:[NEQ]],0),FALSE),"")</f>
        <v/>
      </c>
    </row>
    <row r="981" spans="1:27">
      <c r="A981">
        <f>COUNTIF($W$22:W981,1)</f>
        <v>0</v>
      </c>
      <c r="B981">
        <v>981</v>
      </c>
      <c r="C981" s="340" t="str">
        <f>Tabulka1[[#This Row],[KOD]]</f>
        <v>EP3M</v>
      </c>
      <c r="W981" s="804" t="str">
        <f t="shared" si="31"/>
        <v/>
      </c>
      <c r="X981" t="str">
        <f t="shared" si="32"/>
        <v/>
      </c>
      <c r="Y981" s="341">
        <f>IF('General price list'!$AB983="",0,'General price list'!$AB983)</f>
        <v>0</v>
      </c>
      <c r="Z981" s="365" t="str">
        <f>IFERROR(X981*VLOOKUP(C981,'General price list'!C:I,7,FALSE),"")</f>
        <v/>
      </c>
      <c r="AA981" s="805" t="str">
        <f>IF(X981&lt;&gt;"",VLOOKUP(C981,'General price list'!C983:AN1956,MATCH("HM",Tabulka1[[#Headers],[KOD]:[NEQ]],0),FALSE),"")</f>
        <v/>
      </c>
    </row>
  </sheetData>
  <autoFilter ref="X18:X981" xr:uid="{3B3104D2-46D0-42DA-90C3-E7D5532C7EBB}"/>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66A6B-4FD0-4D9A-BC03-3B170E82DF9D}">
  <dimension ref="A15:AA981"/>
  <sheetViews>
    <sheetView topLeftCell="A932" workbookViewId="0">
      <selection activeCell="O968" sqref="O968"/>
    </sheetView>
  </sheetViews>
  <sheetFormatPr defaultRowHeight="15"/>
  <cols>
    <col min="3" max="3" width="9.140625" style="340"/>
    <col min="5" max="5" width="8.85546875" customWidth="1"/>
    <col min="25" max="25" width="9.140625" style="341"/>
  </cols>
  <sheetData>
    <row r="15" spans="22:23">
      <c r="V15" s="356" t="s">
        <v>11097</v>
      </c>
      <c r="W15" s="365">
        <f>SUM(Z:Z)</f>
        <v>0</v>
      </c>
    </row>
    <row r="16" spans="22:23">
      <c r="V16" s="356" t="s">
        <v>11098</v>
      </c>
      <c r="W16" s="365">
        <f>SUM(AA:AA)</f>
        <v>0</v>
      </c>
    </row>
    <row r="17" spans="1:27">
      <c r="C17" s="351"/>
      <c r="D17" s="352" t="s">
        <v>11067</v>
      </c>
      <c r="E17" s="347" t="str">
        <f>VLOOKUP($F$20,A:C,3,FALSE)&amp;", ř."&amp;VLOOKUP($F$20,A:C,2,FALSE)&amp;" - "&amp;_xlfn.IFNA(VLOOKUP($F$21,A:C,3,FALSE)&amp;", ř."&amp;VLOOKUP($F$21,A:C,2,FALSE),VLOOKUP($W$20,A:C,3,FALSE)&amp;", ř."&amp;VLOOKUP($W$20,A:C,2,FALSE))</f>
        <v>BK1P(1), ř.23 - BK1P(1), ř.23</v>
      </c>
      <c r="F17" s="347"/>
      <c r="G17" s="347"/>
    </row>
    <row r="18" spans="1:27">
      <c r="C18" s="354">
        <v>1</v>
      </c>
      <c r="D18" s="343">
        <v>2</v>
      </c>
      <c r="E18" s="343">
        <v>3</v>
      </c>
      <c r="F18" s="344">
        <v>4</v>
      </c>
      <c r="G18" s="343">
        <v>5</v>
      </c>
    </row>
    <row r="19" spans="1:27">
      <c r="C19" s="355" t="str">
        <f>'Část (1)'!C19</f>
        <v>0 - -1</v>
      </c>
      <c r="D19" s="1" t="str">
        <f>'Část (1)'!D19</f>
        <v>0 - -1</v>
      </c>
      <c r="E19" s="1" t="str">
        <f>'Část (1)'!E19</f>
        <v>0 - -1</v>
      </c>
      <c r="F19" s="345" t="str">
        <f>'Část (1)'!F19</f>
        <v>0 - -1</v>
      </c>
      <c r="G19" s="1" t="str">
        <f>'Část (1)'!G19</f>
        <v>0 - 0</v>
      </c>
      <c r="X19" s="1" t="s">
        <v>11068</v>
      </c>
    </row>
    <row r="20" spans="1:27">
      <c r="C20" s="340">
        <f>'Část (1)'!C20</f>
        <v>0</v>
      </c>
      <c r="D20">
        <f>'Část (1)'!D20</f>
        <v>0</v>
      </c>
      <c r="E20">
        <f>'Část (1)'!E20</f>
        <v>0</v>
      </c>
      <c r="F20" s="345">
        <f>'Část (1)'!F20</f>
        <v>0</v>
      </c>
      <c r="G20">
        <f>'Část (1)'!G20</f>
        <v>0</v>
      </c>
      <c r="V20" t="s">
        <v>11062</v>
      </c>
      <c r="W20">
        <f>SUM(W22:W981)</f>
        <v>0</v>
      </c>
      <c r="X20" s="1" t="s">
        <v>9303</v>
      </c>
    </row>
    <row r="21" spans="1:27" s="20" customFormat="1">
      <c r="C21" s="339">
        <f>'Část (1)'!C21</f>
        <v>-1</v>
      </c>
      <c r="D21" s="20">
        <f>'Část (1)'!D21</f>
        <v>-1</v>
      </c>
      <c r="E21" s="20">
        <f>'Část (1)'!E21</f>
        <v>-1</v>
      </c>
      <c r="F21" s="346">
        <f>'Část (1)'!F21</f>
        <v>-1</v>
      </c>
      <c r="G21" s="20">
        <f>'Část (1)'!G21</f>
        <v>0</v>
      </c>
      <c r="V21" s="20" t="s">
        <v>11063</v>
      </c>
      <c r="W21" s="20">
        <f>ROUND(W20/5,0)</f>
        <v>0</v>
      </c>
      <c r="X21" s="342" t="s">
        <v>11069</v>
      </c>
      <c r="Y21" s="89"/>
      <c r="Z21" s="20" t="s">
        <v>11095</v>
      </c>
      <c r="AA21" s="20" t="s">
        <v>11096</v>
      </c>
    </row>
    <row r="22" spans="1:27">
      <c r="A22" t="str">
        <f>W22</f>
        <v/>
      </c>
      <c r="B22">
        <v>22</v>
      </c>
      <c r="C22" s="340" t="str">
        <f>Tabulka1[[#This Row],[KOD]]</f>
        <v>BK1P</v>
      </c>
      <c r="W22" t="str">
        <f>IF(Y22+1=1,"",1)</f>
        <v/>
      </c>
      <c r="Y22" s="341">
        <f>IF('General price list'!$AB22="",0,'General price list'!$AB22)</f>
        <v>0</v>
      </c>
      <c r="Z22" s="365">
        <f>IFERROR(X22*VLOOKUP(C22,'General price list'!C:I,7,FALSE),"")</f>
        <v>0</v>
      </c>
      <c r="AA22" s="365" t="str">
        <f>IF(X22&lt;&gt;"",VLOOKUP(C22,'General price list'!C22:AN997,MATCH("HM",Tabulka1[[#Headers],[KOD]:[NEQ]],0),FALSE),"")</f>
        <v/>
      </c>
    </row>
    <row r="23" spans="1:27">
      <c r="A23">
        <f>COUNTIF($W$22:W23,1)</f>
        <v>0</v>
      </c>
      <c r="B23">
        <v>23</v>
      </c>
      <c r="C23" s="340" t="str">
        <f>Tabulka1[[#This Row],[KOD]]</f>
        <v>BK1P(1)</v>
      </c>
      <c r="W23" s="804" t="str">
        <f t="shared" ref="W23" si="0">IF(Y23+1=1,"",1)</f>
        <v/>
      </c>
      <c r="X23" t="str">
        <f>IF(OR(A23&lt;$F$20,A23&gt;$F$21),"",IF(Y23=0,"",Y23))</f>
        <v/>
      </c>
      <c r="Y23" s="341">
        <f>IF('General price list'!$AB23="",0,'General price list'!$AB23)</f>
        <v>0</v>
      </c>
      <c r="Z23" s="365" t="str">
        <f>IFERROR(X23*VLOOKUP(C23,'General price list'!C:I,7,FALSE),"")</f>
        <v/>
      </c>
      <c r="AA23" s="805" t="str">
        <f>IF(X23&lt;&gt;"",VLOOKUP(C23,'General price list'!C23:AN998,MATCH("HM",Tabulka1[[#Headers],[KOD]:[NEQ]],0),FALSE),"")</f>
        <v/>
      </c>
    </row>
    <row r="24" spans="1:27">
      <c r="A24">
        <f>COUNTIF($W$22:W24,1)</f>
        <v>0</v>
      </c>
      <c r="B24">
        <v>24</v>
      </c>
      <c r="C24" s="340" t="str">
        <f>Tabulka1[[#This Row],[KOD]]</f>
        <v>BK2V</v>
      </c>
      <c r="W24" s="804" t="str">
        <f t="shared" ref="W24:W87" si="1">IF(Y24+1=1,"",1)</f>
        <v/>
      </c>
      <c r="X24" t="str">
        <f t="shared" ref="X24:X87" si="2">IF(OR(A24&lt;$F$20,A24&gt;$F$21),"",IF(Y24=0,"",Y24))</f>
        <v/>
      </c>
      <c r="Y24" s="341">
        <f>IF('General price list'!$AB24="",0,'General price list'!$AB24)</f>
        <v>0</v>
      </c>
      <c r="Z24" s="365" t="str">
        <f>IFERROR(X24*VLOOKUP(C24,'General price list'!C:I,7,FALSE),"")</f>
        <v/>
      </c>
      <c r="AA24" s="805" t="str">
        <f>IF(X24&lt;&gt;"",VLOOKUP(C24,'General price list'!C24:AN999,MATCH("HM",Tabulka1[[#Headers],[KOD]:[NEQ]],0),FALSE),"")</f>
        <v/>
      </c>
    </row>
    <row r="25" spans="1:27">
      <c r="A25">
        <f>COUNTIF($W$22:W25,1)</f>
        <v>0</v>
      </c>
      <c r="B25">
        <v>25</v>
      </c>
      <c r="C25" s="340" t="str">
        <f>Tabulka1[[#This Row],[KOD]]</f>
        <v>S5DU14</v>
      </c>
      <c r="W25" s="804" t="str">
        <f t="shared" si="1"/>
        <v/>
      </c>
      <c r="X25" t="str">
        <f t="shared" si="2"/>
        <v/>
      </c>
      <c r="Y25" s="341">
        <f>IF('General price list'!$AB25="",0,'General price list'!$AB25)</f>
        <v>0</v>
      </c>
      <c r="Z25" s="365" t="str">
        <f>IFERROR(X25*VLOOKUP(C25,'General price list'!C:I,7,FALSE),"")</f>
        <v/>
      </c>
      <c r="AA25" s="805" t="str">
        <f>IF(X25&lt;&gt;"",VLOOKUP(C25,'General price list'!C25:AN1000,MATCH("HM",Tabulka1[[#Headers],[KOD]:[NEQ]],0),FALSE),"")</f>
        <v/>
      </c>
    </row>
    <row r="26" spans="1:27">
      <c r="A26">
        <f>COUNTIF($W$22:W26,1)</f>
        <v>0</v>
      </c>
      <c r="B26">
        <v>26</v>
      </c>
      <c r="C26" s="340" t="str">
        <f>Tabulka1[[#This Row],[KOD]]</f>
        <v>R5DU14</v>
      </c>
      <c r="W26" s="804" t="str">
        <f t="shared" si="1"/>
        <v/>
      </c>
      <c r="X26" t="str">
        <f t="shared" si="2"/>
        <v/>
      </c>
      <c r="Y26" s="341">
        <f>IF('General price list'!$AB26="",0,'General price list'!$AB26)</f>
        <v>0</v>
      </c>
      <c r="Z26" s="365" t="str">
        <f>IFERROR(X26*VLOOKUP(C26,'General price list'!C:I,7,FALSE),"")</f>
        <v/>
      </c>
      <c r="AA26" s="805" t="str">
        <f>IF(X26&lt;&gt;"",VLOOKUP(C26,'General price list'!C26:AN1001,MATCH("HM",Tabulka1[[#Headers],[KOD]:[NEQ]],0),FALSE),"")</f>
        <v/>
      </c>
    </row>
    <row r="27" spans="1:27">
      <c r="A27">
        <f>COUNTIF($W$22:W27,1)</f>
        <v>0</v>
      </c>
      <c r="B27">
        <v>27</v>
      </c>
      <c r="C27" s="340" t="str">
        <f>Tabulka1[[#This Row],[KOD]]</f>
        <v>C5DU14</v>
      </c>
      <c r="W27" s="804" t="str">
        <f t="shared" si="1"/>
        <v/>
      </c>
      <c r="X27" t="str">
        <f t="shared" si="2"/>
        <v/>
      </c>
      <c r="Y27" s="341">
        <f>IF('General price list'!$AB27="",0,'General price list'!$AB27)</f>
        <v>0</v>
      </c>
      <c r="Z27" s="365" t="str">
        <f>IFERROR(X27*VLOOKUP(C27,'General price list'!C:I,7,FALSE),"")</f>
        <v/>
      </c>
      <c r="AA27" s="805" t="str">
        <f>IF(X27&lt;&gt;"",VLOOKUP(C27,'General price list'!C27:AN1002,MATCH("HM",Tabulka1[[#Headers],[KOD]:[NEQ]],0),FALSE),"")</f>
        <v/>
      </c>
    </row>
    <row r="28" spans="1:27">
      <c r="A28">
        <f>COUNTIF($W$22:W28,1)</f>
        <v>0</v>
      </c>
      <c r="B28">
        <v>28</v>
      </c>
      <c r="C28" s="340" t="str">
        <f>Tabulka1[[#This Row],[KOD]]</f>
        <v>DP1CB</v>
      </c>
      <c r="W28" s="804" t="str">
        <f t="shared" si="1"/>
        <v/>
      </c>
      <c r="X28" t="str">
        <f t="shared" si="2"/>
        <v/>
      </c>
      <c r="Y28" s="341">
        <f>IF('General price list'!$AB28="",0,'General price list'!$AB28)</f>
        <v>0</v>
      </c>
      <c r="Z28" s="365" t="str">
        <f>IFERROR(X28*VLOOKUP(C28,'General price list'!C:I,7,FALSE),"")</f>
        <v/>
      </c>
      <c r="AA28" s="805" t="str">
        <f>IF(X28&lt;&gt;"",VLOOKUP(C28,'General price list'!C28:AN1003,MATCH("HM",Tabulka1[[#Headers],[KOD]:[NEQ]],0),FALSE),"")</f>
        <v/>
      </c>
    </row>
    <row r="29" spans="1:27">
      <c r="A29">
        <f>COUNTIF($W$22:W29,1)</f>
        <v>0</v>
      </c>
      <c r="B29">
        <v>29</v>
      </c>
      <c r="C29" s="340" t="str">
        <f>Tabulka1[[#This Row],[KOD]]</f>
        <v>DP1CB(1)</v>
      </c>
      <c r="W29" s="804" t="str">
        <f t="shared" si="1"/>
        <v/>
      </c>
      <c r="X29" t="str">
        <f t="shared" si="2"/>
        <v/>
      </c>
      <c r="Y29" s="341">
        <f>IF('General price list'!$AB29="",0,'General price list'!$AB29)</f>
        <v>0</v>
      </c>
      <c r="Z29" s="365" t="str">
        <f>IFERROR(X29*VLOOKUP(C29,'General price list'!C:I,7,FALSE),"")</f>
        <v/>
      </c>
      <c r="AA29" s="805" t="str">
        <f>IF(X29&lt;&gt;"",VLOOKUP(C29,'General price list'!C29:AN1004,MATCH("HM",Tabulka1[[#Headers],[KOD]:[NEQ]],0),FALSE),"")</f>
        <v/>
      </c>
    </row>
    <row r="30" spans="1:27">
      <c r="A30">
        <f>COUNTIF($W$22:W30,1)</f>
        <v>0</v>
      </c>
      <c r="B30">
        <v>30</v>
      </c>
      <c r="C30" s="340" t="str">
        <f>Tabulka1[[#This Row],[KOD]]</f>
        <v>DP2CB</v>
      </c>
      <c r="W30" s="804" t="str">
        <f t="shared" si="1"/>
        <v/>
      </c>
      <c r="X30" t="str">
        <f t="shared" si="2"/>
        <v/>
      </c>
      <c r="Y30" s="341">
        <f>IF('General price list'!$AB30="",0,'General price list'!$AB30)</f>
        <v>0</v>
      </c>
      <c r="Z30" s="365" t="str">
        <f>IFERROR(X30*VLOOKUP(C30,'General price list'!C:I,7,FALSE),"")</f>
        <v/>
      </c>
      <c r="AA30" s="805" t="str">
        <f>IF(X30&lt;&gt;"",VLOOKUP(C30,'General price list'!C30:AN1005,MATCH("HM",Tabulka1[[#Headers],[KOD]:[NEQ]],0),FALSE),"")</f>
        <v/>
      </c>
    </row>
    <row r="31" spans="1:27">
      <c r="A31">
        <f>COUNTIF($W$22:W31,1)</f>
        <v>0</v>
      </c>
      <c r="B31">
        <v>31</v>
      </c>
      <c r="C31" s="340" t="str">
        <f>Tabulka1[[#This Row],[KOD]]</f>
        <v>DP2CB(1)</v>
      </c>
      <c r="W31" s="804" t="str">
        <f t="shared" si="1"/>
        <v/>
      </c>
      <c r="X31" t="str">
        <f t="shared" si="2"/>
        <v/>
      </c>
      <c r="Y31" s="341">
        <f>IF('General price list'!$AB31="",0,'General price list'!$AB31)</f>
        <v>0</v>
      </c>
      <c r="Z31" s="365" t="str">
        <f>IFERROR(X31*VLOOKUP(C31,'General price list'!C:I,7,FALSE),"")</f>
        <v/>
      </c>
      <c r="AA31" s="805" t="str">
        <f>IF(X31&lt;&gt;"",VLOOKUP(C31,'General price list'!C31:AN1006,MATCH("HM",Tabulka1[[#Headers],[KOD]:[NEQ]],0),FALSE),"")</f>
        <v/>
      </c>
    </row>
    <row r="32" spans="1:27">
      <c r="A32">
        <f>COUNTIF($W$22:W32,1)</f>
        <v>0</v>
      </c>
      <c r="B32">
        <v>32</v>
      </c>
      <c r="C32" s="340" t="str">
        <f>Tabulka1[[#This Row],[KOD]]</f>
        <v>DP1M</v>
      </c>
      <c r="W32" s="804" t="str">
        <f t="shared" si="1"/>
        <v/>
      </c>
      <c r="X32" t="str">
        <f t="shared" si="2"/>
        <v/>
      </c>
      <c r="Y32" s="341">
        <f>IF('General price list'!$AB32="",0,'General price list'!$AB32)</f>
        <v>0</v>
      </c>
      <c r="Z32" s="365" t="str">
        <f>IFERROR(X32*VLOOKUP(C32,'General price list'!C:I,7,FALSE),"")</f>
        <v/>
      </c>
      <c r="AA32" s="805" t="str">
        <f>IF(X32&lt;&gt;"",VLOOKUP(C32,'General price list'!C32:AN1007,MATCH("HM",Tabulka1[[#Headers],[KOD]:[NEQ]],0),FALSE),"")</f>
        <v/>
      </c>
    </row>
    <row r="33" spans="1:27">
      <c r="A33">
        <f>COUNTIF($W$22:W33,1)</f>
        <v>0</v>
      </c>
      <c r="B33">
        <v>33</v>
      </c>
      <c r="C33" s="340" t="str">
        <f>Tabulka1[[#This Row],[KOD]]</f>
        <v>DP1M(1)</v>
      </c>
      <c r="W33" s="804" t="str">
        <f t="shared" si="1"/>
        <v/>
      </c>
      <c r="X33" t="str">
        <f t="shared" si="2"/>
        <v/>
      </c>
      <c r="Y33" s="341">
        <f>IF('General price list'!$AB33="",0,'General price list'!$AB33)</f>
        <v>0</v>
      </c>
      <c r="Z33" s="365" t="str">
        <f>IFERROR(X33*VLOOKUP(C33,'General price list'!C:I,7,FALSE),"")</f>
        <v/>
      </c>
      <c r="AA33" s="805" t="str">
        <f>IF(X33&lt;&gt;"",VLOOKUP(C33,'General price list'!C33:AN1008,MATCH("HM",Tabulka1[[#Headers],[KOD]:[NEQ]],0),FALSE),"")</f>
        <v/>
      </c>
    </row>
    <row r="34" spans="1:27">
      <c r="A34">
        <f>COUNTIF($W$22:W34,1)</f>
        <v>0</v>
      </c>
      <c r="B34">
        <v>34</v>
      </c>
      <c r="C34" s="340" t="str">
        <f>Tabulka1[[#This Row],[KOD]]</f>
        <v>DP1Z20</v>
      </c>
      <c r="W34" s="804" t="str">
        <f t="shared" si="1"/>
        <v/>
      </c>
      <c r="X34" t="str">
        <f t="shared" si="2"/>
        <v/>
      </c>
      <c r="Y34" s="341">
        <f>IF('General price list'!$AB34="",0,'General price list'!$AB34)</f>
        <v>0</v>
      </c>
      <c r="Z34" s="365" t="str">
        <f>IFERROR(X34*VLOOKUP(C34,'General price list'!C:I,7,FALSE),"")</f>
        <v/>
      </c>
      <c r="AA34" s="805" t="str">
        <f>IF(X34&lt;&gt;"",VLOOKUP(C34,'General price list'!C34:AN1009,MATCH("HM",Tabulka1[[#Headers],[KOD]:[NEQ]],0),FALSE),"")</f>
        <v/>
      </c>
    </row>
    <row r="35" spans="1:27">
      <c r="A35">
        <f>COUNTIF($W$22:W35,1)</f>
        <v>0</v>
      </c>
      <c r="B35">
        <v>35</v>
      </c>
      <c r="C35" s="340" t="str">
        <f>Tabulka1[[#This Row],[KOD]]</f>
        <v>DP1Z20(1)</v>
      </c>
      <c r="W35" s="804" t="str">
        <f t="shared" si="1"/>
        <v/>
      </c>
      <c r="X35" t="str">
        <f t="shared" si="2"/>
        <v/>
      </c>
      <c r="Y35" s="341">
        <f>IF('General price list'!$AB35="",0,'General price list'!$AB35)</f>
        <v>0</v>
      </c>
      <c r="Z35" s="365" t="str">
        <f>IFERROR(X35*VLOOKUP(C35,'General price list'!C:I,7,FALSE),"")</f>
        <v/>
      </c>
      <c r="AA35" s="805" t="str">
        <f>IF(X35&lt;&gt;"",VLOOKUP(C35,'General price list'!C35:AN1010,MATCH("HM",Tabulka1[[#Headers],[KOD]:[NEQ]],0),FALSE),"")</f>
        <v/>
      </c>
    </row>
    <row r="36" spans="1:27">
      <c r="A36">
        <f>COUNTIF($W$22:W36,1)</f>
        <v>0</v>
      </c>
      <c r="B36">
        <v>36</v>
      </c>
      <c r="C36" s="340" t="str">
        <f>Tabulka1[[#This Row],[KOD]]</f>
        <v>CDK1</v>
      </c>
      <c r="W36" s="804" t="str">
        <f t="shared" si="1"/>
        <v/>
      </c>
      <c r="X36" t="str">
        <f t="shared" si="2"/>
        <v/>
      </c>
      <c r="Y36" s="341">
        <f>IF('General price list'!$AB36="",0,'General price list'!$AB36)</f>
        <v>0</v>
      </c>
      <c r="Z36" s="365" t="str">
        <f>IFERROR(X36*VLOOKUP(C36,'General price list'!C:I,7,FALSE),"")</f>
        <v/>
      </c>
      <c r="AA36" s="805" t="str">
        <f>IF(X36&lt;&gt;"",VLOOKUP(C36,'General price list'!C36:AN1011,MATCH("HM",Tabulka1[[#Headers],[KOD]:[NEQ]],0),FALSE),"")</f>
        <v/>
      </c>
    </row>
    <row r="37" spans="1:27">
      <c r="A37">
        <f>COUNTIF($W$22:W37,1)</f>
        <v>0</v>
      </c>
      <c r="B37">
        <v>37</v>
      </c>
      <c r="C37" s="340" t="str">
        <f>Tabulka1[[#This Row],[KOD]]</f>
        <v>CDK1(1)</v>
      </c>
      <c r="W37" s="804" t="str">
        <f t="shared" si="1"/>
        <v/>
      </c>
      <c r="X37" t="str">
        <f t="shared" si="2"/>
        <v/>
      </c>
      <c r="Y37" s="341">
        <f>IF('General price list'!$AB37="",0,'General price list'!$AB37)</f>
        <v>0</v>
      </c>
      <c r="Z37" s="365" t="str">
        <f>IFERROR(X37*VLOOKUP(C37,'General price list'!C:I,7,FALSE),"")</f>
        <v/>
      </c>
      <c r="AA37" s="805" t="str">
        <f>IF(X37&lt;&gt;"",VLOOKUP(C37,'General price list'!C37:AN1012,MATCH("HM",Tabulka1[[#Headers],[KOD]:[NEQ]],0),FALSE),"")</f>
        <v/>
      </c>
    </row>
    <row r="38" spans="1:27">
      <c r="A38">
        <f>COUNTIF($W$22:W38,1)</f>
        <v>0</v>
      </c>
      <c r="B38">
        <v>38</v>
      </c>
      <c r="C38" s="340" t="str">
        <f>Tabulka1[[#This Row],[KOD]]</f>
        <v>DP1BP</v>
      </c>
      <c r="W38" s="804" t="str">
        <f t="shared" si="1"/>
        <v/>
      </c>
      <c r="X38" t="str">
        <f t="shared" si="2"/>
        <v/>
      </c>
      <c r="Y38" s="341">
        <f>IF('General price list'!$AB38="",0,'General price list'!$AB38)</f>
        <v>0</v>
      </c>
      <c r="Z38" s="365" t="str">
        <f>IFERROR(X38*VLOOKUP(C38,'General price list'!C:I,7,FALSE),"")</f>
        <v/>
      </c>
      <c r="AA38" s="805" t="str">
        <f>IF(X38&lt;&gt;"",VLOOKUP(C38,'General price list'!C38:AN1013,MATCH("HM",Tabulka1[[#Headers],[KOD]:[NEQ]],0),FALSE),"")</f>
        <v/>
      </c>
    </row>
    <row r="39" spans="1:27">
      <c r="A39">
        <f>COUNTIF($W$22:W39,1)</f>
        <v>0</v>
      </c>
      <c r="B39">
        <v>39</v>
      </c>
      <c r="C39" s="340">
        <f>Tabulka1[[#This Row],[KOD]]</f>
        <v>0</v>
      </c>
      <c r="W39" s="804" t="str">
        <f t="shared" si="1"/>
        <v/>
      </c>
      <c r="X39" t="str">
        <f t="shared" si="2"/>
        <v/>
      </c>
      <c r="Y39" s="341">
        <f>IF('General price list'!$AB39="",0,'General price list'!$AB39)</f>
        <v>0</v>
      </c>
      <c r="Z39" s="365" t="str">
        <f>IFERROR(X39*VLOOKUP(C39,'General price list'!C:I,7,FALSE),"")</f>
        <v/>
      </c>
      <c r="AA39" s="805" t="str">
        <f>IF(X39&lt;&gt;"",VLOOKUP(C39,'General price list'!C39:AN1014,MATCH("HM",Tabulka1[[#Headers],[KOD]:[NEQ]],0),FALSE),"")</f>
        <v/>
      </c>
    </row>
    <row r="40" spans="1:27">
      <c r="A40">
        <f>COUNTIF($W$22:W40,1)</f>
        <v>0</v>
      </c>
      <c r="B40">
        <v>40</v>
      </c>
      <c r="C40" s="340" t="str">
        <f>Tabulka1[[#This Row],[KOD]]</f>
        <v>DP1T</v>
      </c>
      <c r="W40" s="804" t="str">
        <f t="shared" si="1"/>
        <v/>
      </c>
      <c r="X40" t="str">
        <f t="shared" si="2"/>
        <v/>
      </c>
      <c r="Y40" s="341">
        <f>IF('General price list'!$AB40="",0,'General price list'!$AB40)</f>
        <v>0</v>
      </c>
      <c r="Z40" s="365" t="str">
        <f>IFERROR(X40*VLOOKUP(C40,'General price list'!C:I,7,FALSE),"")</f>
        <v/>
      </c>
      <c r="AA40" s="805" t="str">
        <f>IF(X40&lt;&gt;"",VLOOKUP(C40,'General price list'!C40:AN1015,MATCH("HM",Tabulka1[[#Headers],[KOD]:[NEQ]],0),FALSE),"")</f>
        <v/>
      </c>
    </row>
    <row r="41" spans="1:27">
      <c r="A41">
        <f>COUNTIF($W$22:W41,1)</f>
        <v>0</v>
      </c>
      <c r="B41">
        <v>41</v>
      </c>
      <c r="C41" s="340" t="str">
        <f>Tabulka1[[#This Row],[KOD]]</f>
        <v>DP1R</v>
      </c>
      <c r="W41" s="804" t="str">
        <f t="shared" si="1"/>
        <v/>
      </c>
      <c r="X41" t="str">
        <f t="shared" si="2"/>
        <v/>
      </c>
      <c r="Y41" s="341">
        <f>IF('General price list'!$AB41="",0,'General price list'!$AB41)</f>
        <v>0</v>
      </c>
      <c r="Z41" s="365" t="str">
        <f>IFERROR(X41*VLOOKUP(C41,'General price list'!C:I,7,FALSE),"")</f>
        <v/>
      </c>
      <c r="AA41" s="805" t="str">
        <f>IF(X41&lt;&gt;"",VLOOKUP(C41,'General price list'!C41:AN1016,MATCH("HM",Tabulka1[[#Headers],[KOD]:[NEQ]],0),FALSE),"")</f>
        <v/>
      </c>
    </row>
    <row r="42" spans="1:27">
      <c r="A42">
        <f>COUNTIF($W$22:W42,1)</f>
        <v>0</v>
      </c>
      <c r="B42">
        <v>42</v>
      </c>
      <c r="C42" s="340" t="str">
        <f>Tabulka1[[#This Row],[KOD]]</f>
        <v>DP1VR</v>
      </c>
      <c r="W42" s="804" t="str">
        <f t="shared" si="1"/>
        <v/>
      </c>
      <c r="X42" t="str">
        <f t="shared" si="2"/>
        <v/>
      </c>
      <c r="Y42" s="341">
        <f>IF('General price list'!$AB42="",0,'General price list'!$AB42)</f>
        <v>0</v>
      </c>
      <c r="Z42" s="365" t="str">
        <f>IFERROR(X42*VLOOKUP(C42,'General price list'!C:I,7,FALSE),"")</f>
        <v/>
      </c>
      <c r="AA42" s="805" t="str">
        <f>IF(X42&lt;&gt;"",VLOOKUP(C42,'General price list'!C42:AN1017,MATCH("HM",Tabulka1[[#Headers],[KOD]:[NEQ]],0),FALSE),"")</f>
        <v/>
      </c>
    </row>
    <row r="43" spans="1:27">
      <c r="A43">
        <f>COUNTIF($W$22:W43,1)</f>
        <v>0</v>
      </c>
      <c r="B43">
        <v>43</v>
      </c>
      <c r="C43" s="340" t="str">
        <f>Tabulka1[[#This Row],[KOD]]</f>
        <v>DP1EM</v>
      </c>
      <c r="W43" s="804" t="str">
        <f t="shared" si="1"/>
        <v/>
      </c>
      <c r="X43" t="str">
        <f t="shared" si="2"/>
        <v/>
      </c>
      <c r="Y43" s="341">
        <f>IF('General price list'!$AB43="",0,'General price list'!$AB43)</f>
        <v>0</v>
      </c>
      <c r="Z43" s="365" t="str">
        <f>IFERROR(X43*VLOOKUP(C43,'General price list'!C:I,7,FALSE),"")</f>
        <v/>
      </c>
      <c r="AA43" s="805" t="str">
        <f>IF(X43&lt;&gt;"",VLOOKUP(C43,'General price list'!C43:AN1018,MATCH("HM",Tabulka1[[#Headers],[KOD]:[NEQ]],0),FALSE),"")</f>
        <v/>
      </c>
    </row>
    <row r="44" spans="1:27">
      <c r="A44">
        <f>COUNTIF($W$22:W44,1)</f>
        <v>0</v>
      </c>
      <c r="B44">
        <v>44</v>
      </c>
      <c r="C44" s="340" t="str">
        <f>Tabulka1[[#This Row],[KOD]]</f>
        <v>DP1SW</v>
      </c>
      <c r="W44" s="804" t="str">
        <f t="shared" si="1"/>
        <v/>
      </c>
      <c r="X44" t="str">
        <f t="shared" si="2"/>
        <v/>
      </c>
      <c r="Y44" s="341">
        <f>IF('General price list'!$AB44="",0,'General price list'!$AB44)</f>
        <v>0</v>
      </c>
      <c r="Z44" s="365" t="str">
        <f>IFERROR(X44*VLOOKUP(C44,'General price list'!C:I,7,FALSE),"")</f>
        <v/>
      </c>
      <c r="AA44" s="805" t="str">
        <f>IF(X44&lt;&gt;"",VLOOKUP(C44,'General price list'!C44:AN1019,MATCH("HM",Tabulka1[[#Headers],[KOD]:[NEQ]],0),FALSE),"")</f>
        <v/>
      </c>
    </row>
    <row r="45" spans="1:27">
      <c r="A45">
        <f>COUNTIF($W$22:W45,1)</f>
        <v>0</v>
      </c>
      <c r="B45">
        <v>45</v>
      </c>
      <c r="C45" s="340">
        <f>Tabulka1[[#This Row],[KOD]]</f>
        <v>0</v>
      </c>
      <c r="W45" s="804" t="str">
        <f t="shared" si="1"/>
        <v/>
      </c>
      <c r="X45" t="str">
        <f t="shared" si="2"/>
        <v/>
      </c>
      <c r="Y45" s="341">
        <f>IF('General price list'!$AB45="",0,'General price list'!$AB45)</f>
        <v>0</v>
      </c>
      <c r="Z45" s="365" t="str">
        <f>IFERROR(X45*VLOOKUP(C45,'General price list'!C:I,7,FALSE),"")</f>
        <v/>
      </c>
      <c r="AA45" s="805" t="str">
        <f>IF(X45&lt;&gt;"",VLOOKUP(C45,'General price list'!C45:AN1020,MATCH("HM",Tabulka1[[#Headers],[KOD]:[NEQ]],0),FALSE),"")</f>
        <v/>
      </c>
    </row>
    <row r="46" spans="1:27">
      <c r="A46">
        <f>COUNTIF($W$22:W46,1)</f>
        <v>0</v>
      </c>
      <c r="B46">
        <v>46</v>
      </c>
      <c r="C46" s="340" t="str">
        <f>Tabulka1[[#This Row],[KOD]]</f>
        <v>DP1FR</v>
      </c>
      <c r="W46" s="804" t="str">
        <f t="shared" si="1"/>
        <v/>
      </c>
      <c r="X46" t="str">
        <f t="shared" si="2"/>
        <v/>
      </c>
      <c r="Y46" s="341">
        <f>IF('General price list'!$AB46="",0,'General price list'!$AB46)</f>
        <v>0</v>
      </c>
      <c r="Z46" s="365" t="str">
        <f>IFERROR(X46*VLOOKUP(C46,'General price list'!C:I,7,FALSE),"")</f>
        <v/>
      </c>
      <c r="AA46" s="805" t="str">
        <f>IF(X46&lt;&gt;"",VLOOKUP(C46,'General price list'!C46:AN1021,MATCH("HM",Tabulka1[[#Headers],[KOD]:[NEQ]],0),FALSE),"")</f>
        <v/>
      </c>
    </row>
    <row r="47" spans="1:27">
      <c r="A47">
        <f>COUNTIF($W$22:W47,1)</f>
        <v>0</v>
      </c>
      <c r="B47">
        <v>47</v>
      </c>
      <c r="C47" s="340" t="str">
        <f>Tabulka1[[#This Row],[KOD]]</f>
        <v>DP1FM</v>
      </c>
      <c r="W47" s="804" t="str">
        <f t="shared" si="1"/>
        <v/>
      </c>
      <c r="X47" t="str">
        <f t="shared" si="2"/>
        <v/>
      </c>
      <c r="Y47" s="341">
        <f>IF('General price list'!$AB47="",0,'General price list'!$AB47)</f>
        <v>0</v>
      </c>
      <c r="Z47" s="365" t="str">
        <f>IFERROR(X47*VLOOKUP(C47,'General price list'!C:I,7,FALSE),"")</f>
        <v/>
      </c>
      <c r="AA47" s="805" t="str">
        <f>IF(X47&lt;&gt;"",VLOOKUP(C47,'General price list'!C47:AN1022,MATCH("HM",Tabulka1[[#Headers],[KOD]:[NEQ]],0),FALSE),"")</f>
        <v/>
      </c>
    </row>
    <row r="48" spans="1:27">
      <c r="A48">
        <f>COUNTIF($W$22:W48,1)</f>
        <v>0</v>
      </c>
      <c r="B48">
        <v>48</v>
      </c>
      <c r="C48" s="340" t="str">
        <f>Tabulka1[[#This Row],[KOD]]</f>
        <v>DP1FV</v>
      </c>
      <c r="W48" s="804" t="str">
        <f t="shared" si="1"/>
        <v/>
      </c>
      <c r="X48" t="str">
        <f t="shared" si="2"/>
        <v/>
      </c>
      <c r="Y48" s="341">
        <f>IF('General price list'!$AB48="",0,'General price list'!$AB48)</f>
        <v>0</v>
      </c>
      <c r="Z48" s="365" t="str">
        <f>IFERROR(X48*VLOOKUP(C48,'General price list'!C:I,7,FALSE),"")</f>
        <v/>
      </c>
      <c r="AA48" s="805" t="str">
        <f>IF(X48&lt;&gt;"",VLOOKUP(C48,'General price list'!C48:AN1023,MATCH("HM",Tabulka1[[#Headers],[KOD]:[NEQ]],0),FALSE),"")</f>
        <v/>
      </c>
    </row>
    <row r="49" spans="1:27">
      <c r="A49">
        <f>COUNTIF($W$22:W49,1)</f>
        <v>0</v>
      </c>
      <c r="B49">
        <v>49</v>
      </c>
      <c r="C49" s="340" t="str">
        <f>Tabulka1[[#This Row],[KOD]]</f>
        <v>DP1FD</v>
      </c>
      <c r="W49" s="804" t="str">
        <f t="shared" si="1"/>
        <v/>
      </c>
      <c r="X49" t="str">
        <f t="shared" si="2"/>
        <v/>
      </c>
      <c r="Y49" s="341">
        <f>IF('General price list'!$AB49="",0,'General price list'!$AB49)</f>
        <v>0</v>
      </c>
      <c r="Z49" s="365" t="str">
        <f>IFERROR(X49*VLOOKUP(C49,'General price list'!C:I,7,FALSE),"")</f>
        <v/>
      </c>
      <c r="AA49" s="805" t="str">
        <f>IF(X49&lt;&gt;"",VLOOKUP(C49,'General price list'!C49:AN1024,MATCH("HM",Tabulka1[[#Headers],[KOD]:[NEQ]],0),FALSE),"")</f>
        <v/>
      </c>
    </row>
    <row r="50" spans="1:27">
      <c r="A50">
        <f>COUNTIF($W$22:W50,1)</f>
        <v>0</v>
      </c>
      <c r="B50">
        <v>50</v>
      </c>
      <c r="C50" s="340" t="str">
        <f>Tabulka1[[#This Row],[KOD]]</f>
        <v>F1DB</v>
      </c>
      <c r="W50" s="804" t="str">
        <f t="shared" si="1"/>
        <v/>
      </c>
      <c r="X50" t="str">
        <f t="shared" si="2"/>
        <v/>
      </c>
      <c r="Y50" s="341">
        <f>IF('General price list'!$AB51="",0,'General price list'!$AB51)</f>
        <v>0</v>
      </c>
      <c r="Z50" s="365" t="str">
        <f>IFERROR(X50*VLOOKUP(C50,'General price list'!C:I,7,FALSE),"")</f>
        <v/>
      </c>
      <c r="AA50" s="805" t="str">
        <f>IF(X50&lt;&gt;"",VLOOKUP(C50,'General price list'!C51:AN1025,MATCH("HM",Tabulka1[[#Headers],[KOD]:[NEQ]],0),FALSE),"")</f>
        <v/>
      </c>
    </row>
    <row r="51" spans="1:27">
      <c r="A51">
        <f>COUNTIF($W$22:W51,1)</f>
        <v>0</v>
      </c>
      <c r="B51">
        <v>51</v>
      </c>
      <c r="C51" s="340" t="str">
        <f>Tabulka1[[#This Row],[KOD]]</f>
        <v>F19MF1</v>
      </c>
      <c r="W51" s="804" t="str">
        <f t="shared" si="1"/>
        <v/>
      </c>
      <c r="X51" t="str">
        <f t="shared" si="2"/>
        <v/>
      </c>
      <c r="Y51" s="341">
        <f>IF('General price list'!$AB52="",0,'General price list'!$AB52)</f>
        <v>0</v>
      </c>
      <c r="Z51" s="365" t="str">
        <f>IFERROR(X51*VLOOKUP(C51,'General price list'!C:I,7,FALSE),"")</f>
        <v/>
      </c>
      <c r="AA51" s="805" t="str">
        <f>IF(X51&lt;&gt;"",VLOOKUP(C51,'General price list'!C52:AN1026,MATCH("HM",Tabulka1[[#Headers],[KOD]:[NEQ]],0),FALSE),"")</f>
        <v/>
      </c>
    </row>
    <row r="52" spans="1:27">
      <c r="A52">
        <f>COUNTIF($W$22:W52,1)</f>
        <v>0</v>
      </c>
      <c r="B52">
        <v>52</v>
      </c>
      <c r="C52" s="340" t="str">
        <f>Tabulka1[[#This Row],[KOD]]</f>
        <v>BP30S</v>
      </c>
      <c r="W52" s="804" t="str">
        <f t="shared" si="1"/>
        <v/>
      </c>
      <c r="X52" t="str">
        <f t="shared" si="2"/>
        <v/>
      </c>
      <c r="Y52" s="341">
        <f>IF('General price list'!$AB53="",0,'General price list'!$AB53)</f>
        <v>0</v>
      </c>
      <c r="Z52" s="365" t="str">
        <f>IFERROR(X52*VLOOKUP(C52,'General price list'!C:I,7,FALSE),"")</f>
        <v/>
      </c>
      <c r="AA52" s="805" t="str">
        <f>IF(X52&lt;&gt;"",VLOOKUP(C52,'General price list'!C53:AN1027,MATCH("HM",Tabulka1[[#Headers],[KOD]:[NEQ]],0),FALSE),"")</f>
        <v/>
      </c>
    </row>
    <row r="53" spans="1:27">
      <c r="A53">
        <f>COUNTIF($W$22:W53,1)</f>
        <v>0</v>
      </c>
      <c r="B53">
        <v>53</v>
      </c>
      <c r="C53" s="340" t="str">
        <f>Tabulka1[[#This Row],[KOD]]</f>
        <v>CST12S</v>
      </c>
      <c r="W53" s="804" t="str">
        <f t="shared" si="1"/>
        <v/>
      </c>
      <c r="X53" t="str">
        <f t="shared" si="2"/>
        <v/>
      </c>
      <c r="Y53" s="341">
        <f>IF('General price list'!$AB54="",0,'General price list'!$AB54)</f>
        <v>0</v>
      </c>
      <c r="Z53" s="365" t="str">
        <f>IFERROR(X53*VLOOKUP(C53,'General price list'!C:I,7,FALSE),"")</f>
        <v/>
      </c>
      <c r="AA53" s="805" t="str">
        <f>IF(X53&lt;&gt;"",VLOOKUP(C53,'General price list'!C54:AN1028,MATCH("HM",Tabulka1[[#Headers],[KOD]:[NEQ]],0),FALSE),"")</f>
        <v/>
      </c>
    </row>
    <row r="54" spans="1:27">
      <c r="A54">
        <f>COUNTIF($W$22:W54,1)</f>
        <v>0</v>
      </c>
      <c r="B54">
        <v>54</v>
      </c>
      <c r="C54" s="340" t="str">
        <f>Tabulka1[[#This Row],[KOD]]</f>
        <v>CST40S</v>
      </c>
      <c r="W54" s="804" t="str">
        <f t="shared" si="1"/>
        <v/>
      </c>
      <c r="X54" t="str">
        <f t="shared" si="2"/>
        <v/>
      </c>
      <c r="Y54" s="341">
        <f>IF('General price list'!$AB55="",0,'General price list'!$AB55)</f>
        <v>0</v>
      </c>
      <c r="Z54" s="365" t="str">
        <f>IFERROR(X54*VLOOKUP(C54,'General price list'!C:I,7,FALSE),"")</f>
        <v/>
      </c>
      <c r="AA54" s="805" t="str">
        <f>IF(X54&lt;&gt;"",VLOOKUP(C54,'General price list'!C55:AN1029,MATCH("HM",Tabulka1[[#Headers],[KOD]:[NEQ]],0),FALSE),"")</f>
        <v/>
      </c>
    </row>
    <row r="55" spans="1:27">
      <c r="A55">
        <f>COUNTIF($W$22:W55,1)</f>
        <v>0</v>
      </c>
      <c r="B55">
        <v>55</v>
      </c>
      <c r="C55" s="340">
        <f>Tabulka1[[#This Row],[KOD]]</f>
        <v>0</v>
      </c>
      <c r="W55" s="804" t="str">
        <f t="shared" si="1"/>
        <v/>
      </c>
      <c r="X55" t="str">
        <f t="shared" si="2"/>
        <v/>
      </c>
      <c r="Y55" s="341">
        <f>IF('General price list'!$AB56="",0,'General price list'!$AB56)</f>
        <v>0</v>
      </c>
      <c r="Z55" s="365" t="str">
        <f>IFERROR(X55*VLOOKUP(C55,'General price list'!C:I,7,FALSE),"")</f>
        <v/>
      </c>
      <c r="AA55" s="805" t="str">
        <f>IF(X55&lt;&gt;"",VLOOKUP(C55,'General price list'!C56:AN1030,MATCH("HM",Tabulka1[[#Headers],[KOD]:[NEQ]],0),FALSE),"")</f>
        <v/>
      </c>
    </row>
    <row r="56" spans="1:27">
      <c r="A56">
        <f>COUNTIF($W$22:W56,1)</f>
        <v>0</v>
      </c>
      <c r="B56">
        <v>56</v>
      </c>
      <c r="C56" s="340" t="str">
        <f>Tabulka1[[#This Row],[KOD]]</f>
        <v>DP1TA</v>
      </c>
      <c r="W56" s="804" t="str">
        <f t="shared" si="1"/>
        <v/>
      </c>
      <c r="X56" t="str">
        <f t="shared" si="2"/>
        <v/>
      </c>
      <c r="Y56" s="341">
        <f>IF('General price list'!$AB57="",0,'General price list'!$AB57)</f>
        <v>0</v>
      </c>
      <c r="Z56" s="365" t="str">
        <f>IFERROR(X56*VLOOKUP(C56,'General price list'!C:I,7,FALSE),"")</f>
        <v/>
      </c>
      <c r="AA56" s="805" t="str">
        <f>IF(X56&lt;&gt;"",VLOOKUP(C56,'General price list'!C57:AN1031,MATCH("HM",Tabulka1[[#Headers],[KOD]:[NEQ]],0),FALSE),"")</f>
        <v/>
      </c>
    </row>
    <row r="57" spans="1:27">
      <c r="A57">
        <f>COUNTIF($W$22:W57,1)</f>
        <v>0</v>
      </c>
      <c r="B57">
        <v>57</v>
      </c>
      <c r="C57" s="340" t="str">
        <f>Tabulka1[[#This Row],[KOD]]</f>
        <v>DP1TA(1)</v>
      </c>
      <c r="W57" s="804" t="str">
        <f t="shared" si="1"/>
        <v/>
      </c>
      <c r="X57" t="str">
        <f t="shared" si="2"/>
        <v/>
      </c>
      <c r="Y57" s="341">
        <f>IF('General price list'!$AB58="",0,'General price list'!$AB58)</f>
        <v>0</v>
      </c>
      <c r="Z57" s="365" t="str">
        <f>IFERROR(X57*VLOOKUP(C57,'General price list'!C:I,7,FALSE),"")</f>
        <v/>
      </c>
      <c r="AA57" s="805" t="str">
        <f>IF(X57&lt;&gt;"",VLOOKUP(C57,'General price list'!C58:AN1032,MATCH("HM",Tabulka1[[#Headers],[KOD]:[NEQ]],0),FALSE),"")</f>
        <v/>
      </c>
    </row>
    <row r="58" spans="1:27">
      <c r="A58">
        <f>COUNTIF($W$22:W58,1)</f>
        <v>0</v>
      </c>
      <c r="B58">
        <v>58</v>
      </c>
      <c r="C58" s="340" t="str">
        <f>Tabulka1[[#This Row],[KOD]]</f>
        <v>DP1BS(1)</v>
      </c>
      <c r="W58" s="804" t="str">
        <f t="shared" si="1"/>
        <v/>
      </c>
      <c r="X58" t="str">
        <f t="shared" si="2"/>
        <v/>
      </c>
      <c r="Y58" s="341">
        <f>IF('General price list'!$AB59="",0,'General price list'!$AB59)</f>
        <v>0</v>
      </c>
      <c r="Z58" s="365" t="str">
        <f>IFERROR(X58*VLOOKUP(C58,'General price list'!C:I,7,FALSE),"")</f>
        <v/>
      </c>
      <c r="AA58" s="805" t="str">
        <f>IF(X58&lt;&gt;"",VLOOKUP(C58,'General price list'!C59:AN1033,MATCH("HM",Tabulka1[[#Headers],[KOD]:[NEQ]],0),FALSE),"")</f>
        <v/>
      </c>
    </row>
    <row r="59" spans="1:27">
      <c r="A59">
        <f>COUNTIF($W$22:W59,1)</f>
        <v>0</v>
      </c>
      <c r="B59">
        <v>59</v>
      </c>
      <c r="C59" s="340" t="str">
        <f>Tabulka1[[#This Row],[KOD]]</f>
        <v>DP1P</v>
      </c>
      <c r="W59" s="804" t="str">
        <f t="shared" si="1"/>
        <v/>
      </c>
      <c r="X59" t="str">
        <f t="shared" si="2"/>
        <v/>
      </c>
      <c r="Y59" s="341">
        <f>IF('General price list'!$AB60="",0,'General price list'!$AB60)</f>
        <v>0</v>
      </c>
      <c r="Z59" s="365" t="str">
        <f>IFERROR(X59*VLOOKUP(C59,'General price list'!C:I,7,FALSE),"")</f>
        <v/>
      </c>
      <c r="AA59" s="805" t="str">
        <f>IF(X59&lt;&gt;"",VLOOKUP(C59,'General price list'!C60:AN1034,MATCH("HM",Tabulka1[[#Headers],[KOD]:[NEQ]],0),FALSE),"")</f>
        <v/>
      </c>
    </row>
    <row r="60" spans="1:27">
      <c r="A60">
        <f>COUNTIF($W$22:W60,1)</f>
        <v>0</v>
      </c>
      <c r="B60">
        <v>60</v>
      </c>
      <c r="C60" s="340" t="str">
        <f>Tabulka1[[#This Row],[KOD]]</f>
        <v>DP2W</v>
      </c>
      <c r="W60" s="804" t="str">
        <f t="shared" si="1"/>
        <v/>
      </c>
      <c r="X60" t="str">
        <f t="shared" si="2"/>
        <v/>
      </c>
      <c r="Y60" s="341">
        <f>IF('General price list'!$AB61="",0,'General price list'!$AB61)</f>
        <v>0</v>
      </c>
      <c r="Z60" s="365" t="str">
        <f>IFERROR(X60*VLOOKUP(C60,'General price list'!C:I,7,FALSE),"")</f>
        <v/>
      </c>
      <c r="AA60" s="805" t="str">
        <f>IF(X60&lt;&gt;"",VLOOKUP(C60,'General price list'!C61:AN1035,MATCH("HM",Tabulka1[[#Headers],[KOD]:[NEQ]],0),FALSE),"")</f>
        <v/>
      </c>
    </row>
    <row r="61" spans="1:27">
      <c r="A61">
        <f>COUNTIF($W$22:W61,1)</f>
        <v>0</v>
      </c>
      <c r="B61">
        <v>61</v>
      </c>
      <c r="C61" s="340" t="str">
        <f>Tabulka1[[#This Row],[KOD]]</f>
        <v>S12S</v>
      </c>
      <c r="W61" s="804" t="str">
        <f t="shared" si="1"/>
        <v/>
      </c>
      <c r="X61" t="str">
        <f t="shared" si="2"/>
        <v/>
      </c>
      <c r="Y61" s="341">
        <f>IF('General price list'!$AB62="",0,'General price list'!$AB62)</f>
        <v>0</v>
      </c>
      <c r="Z61" s="365" t="str">
        <f>IFERROR(X61*VLOOKUP(C61,'General price list'!C:I,7,FALSE),"")</f>
        <v/>
      </c>
      <c r="AA61" s="805" t="str">
        <f>IF(X61&lt;&gt;"",VLOOKUP(C61,'General price list'!C62:AN1036,MATCH("HM",Tabulka1[[#Headers],[KOD]:[NEQ]],0),FALSE),"")</f>
        <v/>
      </c>
    </row>
    <row r="62" spans="1:27">
      <c r="A62">
        <f>COUNTIF($W$22:W62,1)</f>
        <v>0</v>
      </c>
      <c r="B62">
        <v>62</v>
      </c>
      <c r="C62" s="340" t="str">
        <f>Tabulka1[[#This Row],[KOD]]</f>
        <v>S12S(1)</v>
      </c>
      <c r="W62" s="804" t="str">
        <f t="shared" si="1"/>
        <v/>
      </c>
      <c r="X62" t="str">
        <f t="shared" si="2"/>
        <v/>
      </c>
      <c r="Y62" s="341">
        <f>IF('General price list'!$AB63="",0,'General price list'!$AB63)</f>
        <v>0</v>
      </c>
      <c r="Z62" s="365" t="str">
        <f>IFERROR(X62*VLOOKUP(C62,'General price list'!C:I,7,FALSE),"")</f>
        <v/>
      </c>
      <c r="AA62" s="805" t="str">
        <f>IF(X62&lt;&gt;"",VLOOKUP(C62,'General price list'!C63:AN1037,MATCH("HM",Tabulka1[[#Headers],[KOD]:[NEQ]],0),FALSE),"")</f>
        <v/>
      </c>
    </row>
    <row r="63" spans="1:27">
      <c r="A63">
        <f>COUNTIF($W$22:W63,1)</f>
        <v>0</v>
      </c>
      <c r="B63">
        <v>63</v>
      </c>
      <c r="C63" s="340">
        <f>Tabulka1[[#This Row],[KOD]]</f>
        <v>0</v>
      </c>
      <c r="W63" s="804" t="str">
        <f t="shared" si="1"/>
        <v/>
      </c>
      <c r="X63" t="str">
        <f t="shared" si="2"/>
        <v/>
      </c>
      <c r="Y63" s="341">
        <f>IF('General price list'!$AB65="",0,'General price list'!$AB65)</f>
        <v>0</v>
      </c>
      <c r="Z63" s="365" t="str">
        <f>IFERROR(X63*VLOOKUP(C63,'General price list'!C:I,7,FALSE),"")</f>
        <v/>
      </c>
      <c r="AA63" s="805" t="str">
        <f>IF(X63&lt;&gt;"",VLOOKUP(C63,'General price list'!C65:AN1038,MATCH("HM",Tabulka1[[#Headers],[KOD]:[NEQ]],0),FALSE),"")</f>
        <v/>
      </c>
    </row>
    <row r="64" spans="1:27">
      <c r="A64">
        <f>COUNTIF($W$22:W64,1)</f>
        <v>0</v>
      </c>
      <c r="B64">
        <v>64</v>
      </c>
      <c r="C64" s="340" t="str">
        <f>Tabulka1[[#This Row],[KOD]]</f>
        <v>CB1DB</v>
      </c>
      <c r="W64" s="804" t="str">
        <f t="shared" si="1"/>
        <v/>
      </c>
      <c r="X64" t="str">
        <f t="shared" si="2"/>
        <v/>
      </c>
      <c r="Y64" s="341">
        <f>IF('General price list'!$AB66="",0,'General price list'!$AB66)</f>
        <v>0</v>
      </c>
      <c r="Z64" s="365" t="str">
        <f>IFERROR(X64*VLOOKUP(C64,'General price list'!C:I,7,FALSE),"")</f>
        <v/>
      </c>
      <c r="AA64" s="805" t="str">
        <f>IF(X64&lt;&gt;"",VLOOKUP(C64,'General price list'!C66:AN1039,MATCH("HM",Tabulka1[[#Headers],[KOD]:[NEQ]],0),FALSE),"")</f>
        <v/>
      </c>
    </row>
    <row r="65" spans="1:27">
      <c r="A65">
        <f>COUNTIF($W$22:W65,1)</f>
        <v>0</v>
      </c>
      <c r="B65">
        <v>65</v>
      </c>
      <c r="C65" s="340" t="str">
        <f>Tabulka1[[#This Row],[KOD]]</f>
        <v>DP1VC</v>
      </c>
      <c r="W65" s="804" t="str">
        <f t="shared" si="1"/>
        <v/>
      </c>
      <c r="X65" t="str">
        <f t="shared" si="2"/>
        <v/>
      </c>
      <c r="Y65" s="341">
        <f>IF('General price list'!$AB67="",0,'General price list'!$AB67)</f>
        <v>0</v>
      </c>
      <c r="Z65" s="365" t="str">
        <f>IFERROR(X65*VLOOKUP(C65,'General price list'!C:I,7,FALSE),"")</f>
        <v/>
      </c>
      <c r="AA65" s="805" t="str">
        <f>IF(X65&lt;&gt;"",VLOOKUP(C65,'General price list'!C67:AN1040,MATCH("HM",Tabulka1[[#Headers],[KOD]:[NEQ]],0),FALSE),"")</f>
        <v/>
      </c>
    </row>
    <row r="66" spans="1:27">
      <c r="A66">
        <f>COUNTIF($W$22:W66,1)</f>
        <v>0</v>
      </c>
      <c r="B66">
        <v>66</v>
      </c>
      <c r="C66" s="340" t="str">
        <f>Tabulka1[[#This Row],[KOD]]</f>
        <v>LM0SW</v>
      </c>
      <c r="W66" s="804" t="str">
        <f t="shared" si="1"/>
        <v/>
      </c>
      <c r="X66" t="str">
        <f t="shared" si="2"/>
        <v/>
      </c>
      <c r="Y66" s="341">
        <f>IF('General price list'!$AB68="",0,'General price list'!$AB68)</f>
        <v>0</v>
      </c>
      <c r="Z66" s="365" t="str">
        <f>IFERROR(X66*VLOOKUP(C66,'General price list'!C:I,7,FALSE),"")</f>
        <v/>
      </c>
      <c r="AA66" s="805" t="str">
        <f>IF(X66&lt;&gt;"",VLOOKUP(C66,'General price list'!C68:AN1041,MATCH("HM",Tabulka1[[#Headers],[KOD]:[NEQ]],0),FALSE),"")</f>
        <v/>
      </c>
    </row>
    <row r="67" spans="1:27">
      <c r="A67">
        <f>COUNTIF($W$22:W67,1)</f>
        <v>0</v>
      </c>
      <c r="B67">
        <v>67</v>
      </c>
      <c r="C67" s="340" t="str">
        <f>Tabulka1[[#This Row],[KOD]]</f>
        <v>LM1O</v>
      </c>
      <c r="W67" s="804" t="str">
        <f t="shared" si="1"/>
        <v/>
      </c>
      <c r="X67" t="str">
        <f t="shared" si="2"/>
        <v/>
      </c>
      <c r="Y67" s="341">
        <f>IF('General price list'!$AB69="",0,'General price list'!$AB69)</f>
        <v>0</v>
      </c>
      <c r="Z67" s="365" t="str">
        <f>IFERROR(X67*VLOOKUP(C67,'General price list'!C:I,7,FALSE),"")</f>
        <v/>
      </c>
      <c r="AA67" s="805" t="str">
        <f>IF(X67&lt;&gt;"",VLOOKUP(C67,'General price list'!C69:AN1042,MATCH("HM",Tabulka1[[#Headers],[KOD]:[NEQ]],0),FALSE),"")</f>
        <v/>
      </c>
    </row>
    <row r="68" spans="1:27">
      <c r="A68">
        <f>COUNTIF($W$22:W68,1)</f>
        <v>0</v>
      </c>
      <c r="B68">
        <v>68</v>
      </c>
      <c r="C68" s="340" t="str">
        <f>Tabulka1[[#This Row],[KOD]]</f>
        <v>LM2C</v>
      </c>
      <c r="W68" s="804" t="str">
        <f t="shared" si="1"/>
        <v/>
      </c>
      <c r="X68" t="str">
        <f t="shared" si="2"/>
        <v/>
      </c>
      <c r="Y68" s="341">
        <f>IF('General price list'!$AB70="",0,'General price list'!$AB70)</f>
        <v>0</v>
      </c>
      <c r="Z68" s="365" t="str">
        <f>IFERROR(X68*VLOOKUP(C68,'General price list'!C:I,7,FALSE),"")</f>
        <v/>
      </c>
      <c r="AA68" s="805" t="str">
        <f>IF(X68&lt;&gt;"",VLOOKUP(C68,'General price list'!C70:AN1043,MATCH("HM",Tabulka1[[#Headers],[KOD]:[NEQ]],0),FALSE),"")</f>
        <v/>
      </c>
    </row>
    <row r="69" spans="1:27">
      <c r="A69">
        <f>COUNTIF($W$22:W69,1)</f>
        <v>0</v>
      </c>
      <c r="B69">
        <v>69</v>
      </c>
      <c r="C69" s="340" t="str">
        <f>Tabulka1[[#This Row],[KOD]]</f>
        <v>LM2V</v>
      </c>
      <c r="W69" s="804" t="str">
        <f t="shared" si="1"/>
        <v/>
      </c>
      <c r="X69" t="str">
        <f t="shared" si="2"/>
        <v/>
      </c>
      <c r="Y69" s="341">
        <f>IF('General price list'!$AB71="",0,'General price list'!$AB71)</f>
        <v>0</v>
      </c>
      <c r="Z69" s="365" t="str">
        <f>IFERROR(X69*VLOOKUP(C69,'General price list'!C:I,7,FALSE),"")</f>
        <v/>
      </c>
      <c r="AA69" s="805" t="str">
        <f>IF(X69&lt;&gt;"",VLOOKUP(C69,'General price list'!C71:AN1044,MATCH("HM",Tabulka1[[#Headers],[KOD]:[NEQ]],0),FALSE),"")</f>
        <v/>
      </c>
    </row>
    <row r="70" spans="1:27">
      <c r="A70">
        <f>COUNTIF($W$22:W70,1)</f>
        <v>0</v>
      </c>
      <c r="B70">
        <v>70</v>
      </c>
      <c r="C70" s="340" t="str">
        <f>Tabulka1[[#This Row],[KOD]]</f>
        <v>LM3T</v>
      </c>
      <c r="W70" s="804" t="str">
        <f t="shared" si="1"/>
        <v/>
      </c>
      <c r="X70" t="str">
        <f t="shared" si="2"/>
        <v/>
      </c>
      <c r="Y70" s="341">
        <f>IF('General price list'!$AB72="",0,'General price list'!$AB72)</f>
        <v>0</v>
      </c>
      <c r="Z70" s="365" t="str">
        <f>IFERROR(X70*VLOOKUP(C70,'General price list'!C:I,7,FALSE),"")</f>
        <v/>
      </c>
      <c r="AA70" s="805" t="str">
        <f>IF(X70&lt;&gt;"",VLOOKUP(C70,'General price list'!C72:AN1045,MATCH("HM",Tabulka1[[#Headers],[KOD]:[NEQ]],0),FALSE),"")</f>
        <v/>
      </c>
    </row>
    <row r="71" spans="1:27">
      <c r="A71">
        <f>COUNTIF($W$22:W71,1)</f>
        <v>0</v>
      </c>
      <c r="B71">
        <v>71</v>
      </c>
      <c r="C71" s="340" t="str">
        <f>Tabulka1[[#This Row],[KOD]]</f>
        <v>LM4O</v>
      </c>
      <c r="W71" s="804" t="str">
        <f t="shared" si="1"/>
        <v/>
      </c>
      <c r="X71" t="str">
        <f t="shared" si="2"/>
        <v/>
      </c>
      <c r="Y71" s="341">
        <f>IF('General price list'!$AB73="",0,'General price list'!$AB73)</f>
        <v>0</v>
      </c>
      <c r="Z71" s="365" t="str">
        <f>IFERROR(X71*VLOOKUP(C71,'General price list'!C:I,7,FALSE),"")</f>
        <v/>
      </c>
      <c r="AA71" s="805" t="str">
        <f>IF(X71&lt;&gt;"",VLOOKUP(C71,'General price list'!C73:AN1046,MATCH("HM",Tabulka1[[#Headers],[KOD]:[NEQ]],0),FALSE),"")</f>
        <v/>
      </c>
    </row>
    <row r="72" spans="1:27">
      <c r="A72">
        <f>COUNTIF($W$22:W72,1)</f>
        <v>0</v>
      </c>
      <c r="B72">
        <v>72</v>
      </c>
      <c r="C72" s="340" t="str">
        <f>Tabulka1[[#This Row],[KOD]]</f>
        <v>LM5W</v>
      </c>
      <c r="W72" s="804" t="str">
        <f t="shared" si="1"/>
        <v/>
      </c>
      <c r="X72" t="str">
        <f t="shared" si="2"/>
        <v/>
      </c>
      <c r="Y72" s="341">
        <f>IF('General price list'!$AB74="",0,'General price list'!$AB74)</f>
        <v>0</v>
      </c>
      <c r="Z72" s="365" t="str">
        <f>IFERROR(X72*VLOOKUP(C72,'General price list'!C:I,7,FALSE),"")</f>
        <v/>
      </c>
      <c r="AA72" s="805" t="str">
        <f>IF(X72&lt;&gt;"",VLOOKUP(C72,'General price list'!C74:AN1047,MATCH("HM",Tabulka1[[#Headers],[KOD]:[NEQ]],0),FALSE),"")</f>
        <v/>
      </c>
    </row>
    <row r="73" spans="1:27">
      <c r="A73">
        <f>COUNTIF($W$22:W73,1)</f>
        <v>0</v>
      </c>
      <c r="B73">
        <v>73</v>
      </c>
      <c r="C73" s="340" t="str">
        <f>Tabulka1[[#This Row],[KOD]]</f>
        <v>LM6M</v>
      </c>
      <c r="W73" s="804" t="str">
        <f t="shared" si="1"/>
        <v/>
      </c>
      <c r="X73" t="str">
        <f t="shared" si="2"/>
        <v/>
      </c>
      <c r="Y73" s="341">
        <f>IF('General price list'!$AB75="",0,'General price list'!$AB75)</f>
        <v>0</v>
      </c>
      <c r="Z73" s="365" t="str">
        <f>IFERROR(X73*VLOOKUP(C73,'General price list'!C:I,7,FALSE),"")</f>
        <v/>
      </c>
      <c r="AA73" s="805" t="str">
        <f>IF(X73&lt;&gt;"",VLOOKUP(C73,'General price list'!C75:AN1048,MATCH("HM",Tabulka1[[#Headers],[KOD]:[NEQ]],0),FALSE),"")</f>
        <v/>
      </c>
    </row>
    <row r="74" spans="1:27">
      <c r="A74">
        <f>COUNTIF($W$22:W74,1)</f>
        <v>0</v>
      </c>
      <c r="B74">
        <v>74</v>
      </c>
      <c r="C74" s="340" t="str">
        <f>Tabulka1[[#This Row],[KOD]]</f>
        <v>LM7S</v>
      </c>
      <c r="W74" s="804" t="str">
        <f t="shared" si="1"/>
        <v/>
      </c>
      <c r="X74" t="str">
        <f t="shared" si="2"/>
        <v/>
      </c>
      <c r="Y74" s="341">
        <f>IF('General price list'!$AB76="",0,'General price list'!$AB76)</f>
        <v>0</v>
      </c>
      <c r="Z74" s="365" t="str">
        <f>IFERROR(X74*VLOOKUP(C74,'General price list'!C:I,7,FALSE),"")</f>
        <v/>
      </c>
      <c r="AA74" s="805" t="str">
        <f>IF(X74&lt;&gt;"",VLOOKUP(C74,'General price list'!C76:AN1049,MATCH("HM",Tabulka1[[#Headers],[KOD]:[NEQ]],0),FALSE),"")</f>
        <v/>
      </c>
    </row>
    <row r="75" spans="1:27">
      <c r="A75">
        <f>COUNTIF($W$22:W75,1)</f>
        <v>0</v>
      </c>
      <c r="B75">
        <v>75</v>
      </c>
      <c r="C75" s="340" t="str">
        <f>Tabulka1[[#This Row],[KOD]]</f>
        <v>LM8SA</v>
      </c>
      <c r="W75" s="804" t="str">
        <f t="shared" si="1"/>
        <v/>
      </c>
      <c r="X75" t="str">
        <f t="shared" si="2"/>
        <v/>
      </c>
      <c r="Y75" s="341">
        <f>IF('General price list'!$AB77="",0,'General price list'!$AB77)</f>
        <v>0</v>
      </c>
      <c r="Z75" s="365" t="str">
        <f>IFERROR(X75*VLOOKUP(C75,'General price list'!C:I,7,FALSE),"")</f>
        <v/>
      </c>
      <c r="AA75" s="805" t="str">
        <f>IF(X75&lt;&gt;"",VLOOKUP(C75,'General price list'!C77:AN1050,MATCH("HM",Tabulka1[[#Headers],[KOD]:[NEQ]],0),FALSE),"")</f>
        <v/>
      </c>
    </row>
    <row r="76" spans="1:27">
      <c r="A76">
        <f>COUNTIF($W$22:W76,1)</f>
        <v>0</v>
      </c>
      <c r="B76">
        <v>76</v>
      </c>
      <c r="C76" s="340" t="str">
        <f>Tabulka1[[#This Row],[KOD]]</f>
        <v>SU45B</v>
      </c>
      <c r="W76" s="804" t="str">
        <f t="shared" si="1"/>
        <v/>
      </c>
      <c r="X76" t="str">
        <f t="shared" si="2"/>
        <v/>
      </c>
      <c r="Y76" s="341">
        <f>IF('General price list'!$AB78="",0,'General price list'!$AB78)</f>
        <v>0</v>
      </c>
      <c r="Z76" s="365" t="str">
        <f>IFERROR(X76*VLOOKUP(C76,'General price list'!C:I,7,FALSE),"")</f>
        <v/>
      </c>
      <c r="AA76" s="805" t="str">
        <f>IF(X76&lt;&gt;"",VLOOKUP(C76,'General price list'!C78:AN1051,MATCH("HM",Tabulka1[[#Headers],[KOD]:[NEQ]],0),FALSE),"")</f>
        <v/>
      </c>
    </row>
    <row r="77" spans="1:27">
      <c r="A77">
        <f>COUNTIF($W$22:W77,1)</f>
        <v>0</v>
      </c>
      <c r="B77">
        <v>77</v>
      </c>
      <c r="C77" s="340" t="str">
        <f>Tabulka1[[#This Row],[KOD]]</f>
        <v>RD8</v>
      </c>
      <c r="W77" s="804" t="str">
        <f t="shared" si="1"/>
        <v/>
      </c>
      <c r="X77" t="str">
        <f t="shared" si="2"/>
        <v/>
      </c>
      <c r="Y77" s="341">
        <f>IF('General price list'!$AB79="",0,'General price list'!$AB79)</f>
        <v>0</v>
      </c>
      <c r="Z77" s="365" t="str">
        <f>IFERROR(X77*VLOOKUP(C77,'General price list'!C:I,7,FALSE),"")</f>
        <v/>
      </c>
      <c r="AA77" s="805" t="str">
        <f>IF(X77&lt;&gt;"",VLOOKUP(C77,'General price list'!C79:AN1052,MATCH("HM",Tabulka1[[#Headers],[KOD]:[NEQ]],0),FALSE),"")</f>
        <v/>
      </c>
    </row>
    <row r="78" spans="1:27">
      <c r="A78">
        <f>COUNTIF($W$22:W78,1)</f>
        <v>0</v>
      </c>
      <c r="B78">
        <v>78</v>
      </c>
      <c r="C78" s="340">
        <f>Tabulka1[[#This Row],[KOD]]</f>
        <v>0</v>
      </c>
      <c r="W78" s="804" t="str">
        <f t="shared" si="1"/>
        <v/>
      </c>
      <c r="X78" t="str">
        <f t="shared" si="2"/>
        <v/>
      </c>
      <c r="Y78" s="341">
        <f>IF('General price list'!$AB80="",0,'General price list'!$AB80)</f>
        <v>0</v>
      </c>
      <c r="Z78" s="365" t="str">
        <f>IFERROR(X78*VLOOKUP(C78,'General price list'!C:I,7,FALSE),"")</f>
        <v/>
      </c>
      <c r="AA78" s="805" t="str">
        <f>IF(X78&lt;&gt;"",VLOOKUP(C78,'General price list'!C80:AN1053,MATCH("HM",Tabulka1[[#Headers],[KOD]:[NEQ]],0),FALSE),"")</f>
        <v/>
      </c>
    </row>
    <row r="79" spans="1:27">
      <c r="A79">
        <f>COUNTIF($W$22:W79,1)</f>
        <v>0</v>
      </c>
      <c r="B79">
        <v>79</v>
      </c>
      <c r="C79" s="340" t="str">
        <f>Tabulka1[[#This Row],[KOD]]</f>
        <v>DS1</v>
      </c>
      <c r="W79" s="804" t="str">
        <f t="shared" si="1"/>
        <v/>
      </c>
      <c r="X79" t="str">
        <f t="shared" si="2"/>
        <v/>
      </c>
      <c r="Y79" s="341">
        <f>IF('General price list'!$AB81="",0,'General price list'!$AB81)</f>
        <v>0</v>
      </c>
      <c r="Z79" s="365" t="str">
        <f>IFERROR(X79*VLOOKUP(C79,'General price list'!C:I,7,FALSE),"")</f>
        <v/>
      </c>
      <c r="AA79" s="805" t="str">
        <f>IF(X79&lt;&gt;"",VLOOKUP(C79,'General price list'!C81:AN1054,MATCH("HM",Tabulka1[[#Headers],[KOD]:[NEQ]],0),FALSE),"")</f>
        <v/>
      </c>
    </row>
    <row r="80" spans="1:27">
      <c r="A80">
        <f>COUNTIF($W$22:W80,1)</f>
        <v>0</v>
      </c>
      <c r="B80">
        <v>80</v>
      </c>
      <c r="C80" s="340" t="str">
        <f>Tabulka1[[#This Row],[KOD]]</f>
        <v>RB1</v>
      </c>
      <c r="W80" s="804" t="str">
        <f t="shared" si="1"/>
        <v/>
      </c>
      <c r="X80" t="str">
        <f t="shared" si="2"/>
        <v/>
      </c>
      <c r="Y80" s="341">
        <f>IF('General price list'!$AB82="",0,'General price list'!$AB82)</f>
        <v>0</v>
      </c>
      <c r="Z80" s="365" t="str">
        <f>IFERROR(X80*VLOOKUP(C80,'General price list'!C:I,7,FALSE),"")</f>
        <v/>
      </c>
      <c r="AA80" s="805" t="str">
        <f>IF(X80&lt;&gt;"",VLOOKUP(C80,'General price list'!C82:AN1055,MATCH("HM",Tabulka1[[#Headers],[KOD]:[NEQ]],0),FALSE),"")</f>
        <v/>
      </c>
    </row>
    <row r="81" spans="1:27">
      <c r="A81">
        <f>COUNTIF($W$22:W81,1)</f>
        <v>0</v>
      </c>
      <c r="B81">
        <v>81</v>
      </c>
      <c r="C81" s="340" t="str">
        <f>Tabulka1[[#This Row],[KOD]]</f>
        <v>FPS1</v>
      </c>
      <c r="W81" s="804" t="str">
        <f t="shared" si="1"/>
        <v/>
      </c>
      <c r="X81" t="str">
        <f t="shared" si="2"/>
        <v/>
      </c>
      <c r="Y81" s="341">
        <f>IF('General price list'!$AB83="",0,'General price list'!$AB83)</f>
        <v>0</v>
      </c>
      <c r="Z81" s="365" t="str">
        <f>IFERROR(X81*VLOOKUP(C81,'General price list'!C:I,7,FALSE),"")</f>
        <v/>
      </c>
      <c r="AA81" s="805" t="str">
        <f>IF(X81&lt;&gt;"",VLOOKUP(C81,'General price list'!C83:AN1056,MATCH("HM",Tabulka1[[#Headers],[KOD]:[NEQ]],0),FALSE),"")</f>
        <v/>
      </c>
    </row>
    <row r="82" spans="1:27">
      <c r="A82">
        <f>COUNTIF($W$22:W82,1)</f>
        <v>0</v>
      </c>
      <c r="B82">
        <v>82</v>
      </c>
      <c r="C82" s="340">
        <f>Tabulka1[[#This Row],[KOD]]</f>
        <v>0</v>
      </c>
      <c r="W82" s="804" t="str">
        <f t="shared" si="1"/>
        <v/>
      </c>
      <c r="X82" t="str">
        <f t="shared" si="2"/>
        <v/>
      </c>
      <c r="Y82" s="341">
        <f>IF('General price list'!$AB84="",0,'General price list'!$AB84)</f>
        <v>0</v>
      </c>
      <c r="Z82" s="365" t="str">
        <f>IFERROR(X82*VLOOKUP(C82,'General price list'!C:I,7,FALSE),"")</f>
        <v/>
      </c>
      <c r="AA82" s="805" t="str">
        <f>IF(X82&lt;&gt;"",VLOOKUP(C82,'General price list'!C84:AN1057,MATCH("HM",Tabulka1[[#Headers],[KOD]:[NEQ]],0),FALSE),"")</f>
        <v/>
      </c>
    </row>
    <row r="83" spans="1:27">
      <c r="A83">
        <f>COUNTIF($W$22:W83,1)</f>
        <v>0</v>
      </c>
      <c r="B83">
        <v>83</v>
      </c>
      <c r="C83" s="340" t="str">
        <f>Tabulka1[[#This Row],[KOD]]</f>
        <v>VP90</v>
      </c>
      <c r="W83" s="804" t="str">
        <f t="shared" si="1"/>
        <v/>
      </c>
      <c r="X83" t="str">
        <f t="shared" si="2"/>
        <v/>
      </c>
      <c r="Y83" s="341">
        <f>IF('General price list'!$AB85="",0,'General price list'!$AB85)</f>
        <v>0</v>
      </c>
      <c r="Z83" s="365" t="str">
        <f>IFERROR(X83*VLOOKUP(C83,'General price list'!C:I,7,FALSE),"")</f>
        <v/>
      </c>
      <c r="AA83" s="805" t="str">
        <f>IF(X83&lt;&gt;"",VLOOKUP(C83,'General price list'!C85:AN1058,MATCH("HM",Tabulka1[[#Headers],[KOD]:[NEQ]],0),FALSE),"")</f>
        <v/>
      </c>
    </row>
    <row r="84" spans="1:27">
      <c r="A84">
        <f>COUNTIF($W$22:W84,1)</f>
        <v>0</v>
      </c>
      <c r="B84">
        <v>84</v>
      </c>
      <c r="C84" s="340" t="str">
        <f>Tabulka1[[#This Row],[KOD]]</f>
        <v>VP70</v>
      </c>
      <c r="W84" s="804" t="str">
        <f t="shared" si="1"/>
        <v/>
      </c>
      <c r="X84" t="str">
        <f t="shared" si="2"/>
        <v/>
      </c>
      <c r="Y84" s="341">
        <f>IF('General price list'!$AB86="",0,'General price list'!$AB86)</f>
        <v>0</v>
      </c>
      <c r="Z84" s="365" t="str">
        <f>IFERROR(X84*VLOOKUP(C84,'General price list'!C:I,7,FALSE),"")</f>
        <v/>
      </c>
      <c r="AA84" s="805" t="str">
        <f>IF(X84&lt;&gt;"",VLOOKUP(C84,'General price list'!C86:AN1059,MATCH("HM",Tabulka1[[#Headers],[KOD]:[NEQ]],0),FALSE),"")</f>
        <v/>
      </c>
    </row>
    <row r="85" spans="1:27">
      <c r="A85">
        <f>COUNTIF($W$22:W85,1)</f>
        <v>0</v>
      </c>
      <c r="B85">
        <v>85</v>
      </c>
      <c r="C85" s="340" t="str">
        <f>Tabulka1[[#This Row],[KOD]]</f>
        <v>VP70W</v>
      </c>
      <c r="W85" s="804" t="str">
        <f t="shared" si="1"/>
        <v/>
      </c>
      <c r="X85" t="str">
        <f t="shared" si="2"/>
        <v/>
      </c>
      <c r="Y85" s="341">
        <f>IF('General price list'!$AB87="",0,'General price list'!$AB87)</f>
        <v>0</v>
      </c>
      <c r="Z85" s="365" t="str">
        <f>IFERROR(X85*VLOOKUP(C85,'General price list'!C:I,7,FALSE),"")</f>
        <v/>
      </c>
      <c r="AA85" s="805" t="str">
        <f>IF(X85&lt;&gt;"",VLOOKUP(C85,'General price list'!C87:AN1060,MATCH("HM",Tabulka1[[#Headers],[KOD]:[NEQ]],0),FALSE),"")</f>
        <v/>
      </c>
    </row>
    <row r="86" spans="1:27">
      <c r="A86">
        <f>COUNTIF($W$22:W86,1)</f>
        <v>0</v>
      </c>
      <c r="B86">
        <v>86</v>
      </c>
      <c r="C86" s="340" t="str">
        <f>Tabulka1[[#This Row],[KOD]]</f>
        <v>VP40</v>
      </c>
      <c r="W86" s="804" t="str">
        <f t="shared" si="1"/>
        <v/>
      </c>
      <c r="X86" t="str">
        <f t="shared" si="2"/>
        <v/>
      </c>
      <c r="Y86" s="341">
        <f>IF('General price list'!$AB88="",0,'General price list'!$AB88)</f>
        <v>0</v>
      </c>
      <c r="Z86" s="365" t="str">
        <f>IFERROR(X86*VLOOKUP(C86,'General price list'!C:I,7,FALSE),"")</f>
        <v/>
      </c>
      <c r="AA86" s="805" t="str">
        <f>IF(X86&lt;&gt;"",VLOOKUP(C86,'General price list'!C88:AN1061,MATCH("HM",Tabulka1[[#Headers],[KOD]:[NEQ]],0),FALSE),"")</f>
        <v/>
      </c>
    </row>
    <row r="87" spans="1:27">
      <c r="A87">
        <f>COUNTIF($W$22:W87,1)</f>
        <v>0</v>
      </c>
      <c r="B87">
        <v>87</v>
      </c>
      <c r="C87" s="340" t="str">
        <f>Tabulka1[[#This Row],[KOD]]</f>
        <v>VP40/20</v>
      </c>
      <c r="W87" s="804" t="str">
        <f t="shared" si="1"/>
        <v/>
      </c>
      <c r="X87" t="str">
        <f t="shared" si="2"/>
        <v/>
      </c>
      <c r="Y87" s="341">
        <f>IF('General price list'!$AB89="",0,'General price list'!$AB89)</f>
        <v>0</v>
      </c>
      <c r="Z87" s="365" t="str">
        <f>IFERROR(X87*VLOOKUP(C87,'General price list'!C:I,7,FALSE),"")</f>
        <v/>
      </c>
      <c r="AA87" s="805" t="str">
        <f>IF(X87&lt;&gt;"",VLOOKUP(C87,'General price list'!C89:AN1062,MATCH("HM",Tabulka1[[#Headers],[KOD]:[NEQ]],0),FALSE),"")</f>
        <v/>
      </c>
    </row>
    <row r="88" spans="1:27">
      <c r="A88">
        <f>COUNTIF($W$22:W88,1)</f>
        <v>0</v>
      </c>
      <c r="B88">
        <v>88</v>
      </c>
      <c r="C88" s="340" t="str">
        <f>Tabulka1[[#This Row],[KOD]]</f>
        <v>VP40W</v>
      </c>
      <c r="W88" s="804" t="str">
        <f t="shared" ref="W88:W151" si="3">IF(Y88+1=1,"",1)</f>
        <v/>
      </c>
      <c r="X88" t="str">
        <f t="shared" ref="X88:X151" si="4">IF(OR(A88&lt;$F$20,A88&gt;$F$21),"",IF(Y88=0,"",Y88))</f>
        <v/>
      </c>
      <c r="Y88" s="341">
        <f>IF('General price list'!$AB90="",0,'General price list'!$AB90)</f>
        <v>0</v>
      </c>
      <c r="Z88" s="365" t="str">
        <f>IFERROR(X88*VLOOKUP(C88,'General price list'!C:I,7,FALSE),"")</f>
        <v/>
      </c>
      <c r="AA88" s="805" t="str">
        <f>IF(X88&lt;&gt;"",VLOOKUP(C88,'General price list'!C90:AN1063,MATCH("HM",Tabulka1[[#Headers],[KOD]:[NEQ]],0),FALSE),"")</f>
        <v/>
      </c>
    </row>
    <row r="89" spans="1:27">
      <c r="A89">
        <f>COUNTIF($W$22:W89,1)</f>
        <v>0</v>
      </c>
      <c r="B89">
        <v>89</v>
      </c>
      <c r="C89" s="340" t="str">
        <f>Tabulka1[[#This Row],[KOD]]</f>
        <v>VP28</v>
      </c>
      <c r="W89" s="804" t="str">
        <f t="shared" si="3"/>
        <v/>
      </c>
      <c r="X89" t="str">
        <f t="shared" si="4"/>
        <v/>
      </c>
      <c r="Y89" s="341">
        <f>IF('General price list'!$AB91="",0,'General price list'!$AB91)</f>
        <v>0</v>
      </c>
      <c r="Z89" s="365" t="str">
        <f>IFERROR(X89*VLOOKUP(C89,'General price list'!C:I,7,FALSE),"")</f>
        <v/>
      </c>
      <c r="AA89" s="805" t="str">
        <f>IF(X89&lt;&gt;"",VLOOKUP(C89,'General price list'!C91:AN1064,MATCH("HM",Tabulka1[[#Headers],[KOD]:[NEQ]],0),FALSE),"")</f>
        <v/>
      </c>
    </row>
    <row r="90" spans="1:27">
      <c r="A90">
        <f>COUNTIF($W$22:W90,1)</f>
        <v>0</v>
      </c>
      <c r="B90">
        <v>90</v>
      </c>
      <c r="C90" s="340" t="str">
        <f>Tabulka1[[#This Row],[KOD]]</f>
        <v>VP16A</v>
      </c>
      <c r="W90" s="804" t="str">
        <f t="shared" si="3"/>
        <v/>
      </c>
      <c r="X90" t="str">
        <f t="shared" si="4"/>
        <v/>
      </c>
      <c r="Y90" s="341">
        <f>IF('General price list'!$AB92="",0,'General price list'!$AB92)</f>
        <v>0</v>
      </c>
      <c r="Z90" s="365" t="str">
        <f>IFERROR(X90*VLOOKUP(C90,'General price list'!C:I,7,FALSE),"")</f>
        <v/>
      </c>
      <c r="AA90" s="805" t="str">
        <f>IF(X90&lt;&gt;"",VLOOKUP(C90,'General price list'!C92:AN1065,MATCH("HM",Tabulka1[[#Headers],[KOD]:[NEQ]],0),FALSE),"")</f>
        <v/>
      </c>
    </row>
    <row r="91" spans="1:27">
      <c r="A91">
        <f>COUNTIF($W$22:W91,1)</f>
        <v>0</v>
      </c>
      <c r="B91">
        <v>91</v>
      </c>
      <c r="C91" s="340" t="str">
        <f>Tabulka1[[#This Row],[KOD]]</f>
        <v>VP16A(1)</v>
      </c>
      <c r="W91" s="804" t="str">
        <f t="shared" si="3"/>
        <v/>
      </c>
      <c r="X91" t="str">
        <f t="shared" si="4"/>
        <v/>
      </c>
      <c r="Y91" s="341">
        <f>IF('General price list'!$AB93="",0,'General price list'!$AB93)</f>
        <v>0</v>
      </c>
      <c r="Z91" s="365" t="str">
        <f>IFERROR(X91*VLOOKUP(C91,'General price list'!C:I,7,FALSE),"")</f>
        <v/>
      </c>
      <c r="AA91" s="805" t="str">
        <f>IF(X91&lt;&gt;"",VLOOKUP(C91,'General price list'!C93:AN1066,MATCH("HM",Tabulka1[[#Headers],[KOD]:[NEQ]],0),FALSE),"")</f>
        <v/>
      </c>
    </row>
    <row r="92" spans="1:27">
      <c r="A92">
        <f>COUNTIF($W$22:W92,1)</f>
        <v>0</v>
      </c>
      <c r="B92">
        <v>92</v>
      </c>
      <c r="C92" s="340">
        <f>Tabulka1[[#This Row],[KOD]]</f>
        <v>0</v>
      </c>
      <c r="W92" s="804" t="str">
        <f t="shared" si="3"/>
        <v/>
      </c>
      <c r="X92" t="str">
        <f t="shared" si="4"/>
        <v/>
      </c>
      <c r="Y92" s="341">
        <f>IF('General price list'!$AB94="",0,'General price list'!$AB94)</f>
        <v>0</v>
      </c>
      <c r="Z92" s="365" t="str">
        <f>IFERROR(X92*VLOOKUP(C92,'General price list'!C:I,7,FALSE),"")</f>
        <v/>
      </c>
      <c r="AA92" s="805" t="str">
        <f>IF(X92&lt;&gt;"",VLOOKUP(C92,'General price list'!C94:AN1067,MATCH("HM",Tabulka1[[#Headers],[KOD]:[NEQ]],0),FALSE),"")</f>
        <v/>
      </c>
    </row>
    <row r="93" spans="1:27">
      <c r="A93">
        <f>COUNTIF($W$22:W93,1)</f>
        <v>0</v>
      </c>
      <c r="B93">
        <v>93</v>
      </c>
      <c r="C93" s="340" t="str">
        <f>Tabulka1[[#This Row],[KOD]]</f>
        <v>VP28N</v>
      </c>
      <c r="W93" s="804" t="str">
        <f t="shared" si="3"/>
        <v/>
      </c>
      <c r="X93" t="str">
        <f t="shared" si="4"/>
        <v/>
      </c>
      <c r="Y93" s="341">
        <f>IF('General price list'!$AB95="",0,'General price list'!$AB95)</f>
        <v>0</v>
      </c>
      <c r="Z93" s="365" t="str">
        <f>IFERROR(X93*VLOOKUP(C93,'General price list'!C:I,7,FALSE),"")</f>
        <v/>
      </c>
      <c r="AA93" s="805" t="str">
        <f>IF(X93&lt;&gt;"",VLOOKUP(C93,'General price list'!C95:AN1068,MATCH("HM",Tabulka1[[#Headers],[KOD]:[NEQ]],0),FALSE),"")</f>
        <v/>
      </c>
    </row>
    <row r="94" spans="1:27">
      <c r="A94">
        <f>COUNTIF($W$22:W94,1)</f>
        <v>0</v>
      </c>
      <c r="B94">
        <v>94</v>
      </c>
      <c r="C94" s="340" t="str">
        <f>Tabulka1[[#This Row],[KOD]]</f>
        <v>VP40N</v>
      </c>
      <c r="W94" s="804" t="str">
        <f t="shared" si="3"/>
        <v/>
      </c>
      <c r="X94" t="str">
        <f t="shared" si="4"/>
        <v/>
      </c>
      <c r="Y94" s="341">
        <f>IF('General price list'!$AB96="",0,'General price list'!$AB96)</f>
        <v>0</v>
      </c>
      <c r="Z94" s="365" t="str">
        <f>IFERROR(X94*VLOOKUP(C94,'General price list'!C:I,7,FALSE),"")</f>
        <v/>
      </c>
      <c r="AA94" s="805" t="str">
        <f>IF(X94&lt;&gt;"",VLOOKUP(C94,'General price list'!C96:AN1069,MATCH("HM",Tabulka1[[#Headers],[KOD]:[NEQ]],0),FALSE),"")</f>
        <v/>
      </c>
    </row>
    <row r="95" spans="1:27">
      <c r="A95">
        <f>COUNTIF($W$22:W95,1)</f>
        <v>0</v>
      </c>
      <c r="B95">
        <v>95</v>
      </c>
      <c r="C95" s="340" t="str">
        <f>Tabulka1[[#This Row],[KOD]]</f>
        <v>VP12MIX</v>
      </c>
      <c r="W95" s="804" t="str">
        <f t="shared" si="3"/>
        <v/>
      </c>
      <c r="X95" t="str">
        <f t="shared" si="4"/>
        <v/>
      </c>
      <c r="Y95" s="341">
        <f>IF('General price list'!$AB97="",0,'General price list'!$AB97)</f>
        <v>0</v>
      </c>
      <c r="Z95" s="365" t="str">
        <f>IFERROR(X95*VLOOKUP(C95,'General price list'!C:I,7,FALSE),"")</f>
        <v/>
      </c>
      <c r="AA95" s="805" t="str">
        <f>IF(X95&lt;&gt;"",VLOOKUP(C95,'General price list'!C97:AN1070,MATCH("HM",Tabulka1[[#Headers],[KOD]:[NEQ]],0),FALSE),"")</f>
        <v/>
      </c>
    </row>
    <row r="96" spans="1:27">
      <c r="A96">
        <f>COUNTIF($W$22:W96,1)</f>
        <v>0</v>
      </c>
      <c r="B96">
        <v>96</v>
      </c>
      <c r="C96" s="340" t="str">
        <f>Tabulka1[[#This Row],[KOD]]</f>
        <v>SPRS1E</v>
      </c>
      <c r="W96" s="804" t="str">
        <f t="shared" si="3"/>
        <v/>
      </c>
      <c r="X96" t="str">
        <f t="shared" si="4"/>
        <v/>
      </c>
      <c r="Y96" s="341">
        <f>IF('General price list'!$AB98="",0,'General price list'!$AB98)</f>
        <v>0</v>
      </c>
      <c r="Z96" s="365" t="str">
        <f>IFERROR(X96*VLOOKUP(C96,'General price list'!C:I,7,FALSE),"")</f>
        <v/>
      </c>
      <c r="AA96" s="805" t="str">
        <f>IF(X96&lt;&gt;"",VLOOKUP(C96,'General price list'!C98:AN1071,MATCH("HM",Tabulka1[[#Headers],[KOD]:[NEQ]],0),FALSE),"")</f>
        <v/>
      </c>
    </row>
    <row r="97" spans="1:27">
      <c r="A97">
        <f>COUNTIF($W$22:W97,1)</f>
        <v>0</v>
      </c>
      <c r="B97">
        <v>97</v>
      </c>
      <c r="C97" s="340">
        <f>Tabulka1[[#This Row],[KOD]]</f>
        <v>0</v>
      </c>
      <c r="W97" s="804" t="str">
        <f t="shared" si="3"/>
        <v/>
      </c>
      <c r="X97" t="str">
        <f t="shared" si="4"/>
        <v/>
      </c>
      <c r="Y97" s="341">
        <f>IF('General price list'!$AB99="",0,'General price list'!$AB99)</f>
        <v>0</v>
      </c>
      <c r="Z97" s="365" t="str">
        <f>IFERROR(X97*VLOOKUP(C97,'General price list'!C:I,7,FALSE),"")</f>
        <v/>
      </c>
      <c r="AA97" s="805" t="str">
        <f>IF(X97&lt;&gt;"",VLOOKUP(C97,'General price list'!C99:AN1072,MATCH("HM",Tabulka1[[#Headers],[KOD]:[NEQ]],0),FALSE),"")</f>
        <v/>
      </c>
    </row>
    <row r="98" spans="1:27">
      <c r="A98">
        <f>COUNTIF($W$22:W98,1)</f>
        <v>0</v>
      </c>
      <c r="B98">
        <v>98</v>
      </c>
      <c r="C98" s="340" t="str">
        <f>Tabulka1[[#This Row],[KOD]]</f>
        <v>D1D</v>
      </c>
      <c r="W98" s="804" t="str">
        <f t="shared" si="3"/>
        <v/>
      </c>
      <c r="X98" t="str">
        <f t="shared" si="4"/>
        <v/>
      </c>
      <c r="Y98" s="341">
        <f>IF('General price list'!$AB100="",0,'General price list'!$AB100)</f>
        <v>0</v>
      </c>
      <c r="Z98" s="365" t="str">
        <f>IFERROR(X98*VLOOKUP(C98,'General price list'!C:I,7,FALSE),"")</f>
        <v/>
      </c>
      <c r="AA98" s="805" t="str">
        <f>IF(X98&lt;&gt;"",VLOOKUP(C98,'General price list'!C100:AN1073,MATCH("HM",Tabulka1[[#Headers],[KOD]:[NEQ]],0),FALSE),"")</f>
        <v/>
      </c>
    </row>
    <row r="99" spans="1:27">
      <c r="A99">
        <f>COUNTIF($W$22:W99,1)</f>
        <v>0</v>
      </c>
      <c r="B99">
        <v>99</v>
      </c>
      <c r="C99" s="340" t="str">
        <f>Tabulka1[[#This Row],[KOD]]</f>
        <v>D1M</v>
      </c>
      <c r="W99" s="804" t="str">
        <f t="shared" si="3"/>
        <v/>
      </c>
      <c r="X99" t="str">
        <f t="shared" si="4"/>
        <v/>
      </c>
      <c r="Y99" s="341">
        <f>IF('General price list'!$AB101="",0,'General price list'!$AB101)</f>
        <v>0</v>
      </c>
      <c r="Z99" s="365" t="str">
        <f>IFERROR(X99*VLOOKUP(C99,'General price list'!C:I,7,FALSE),"")</f>
        <v/>
      </c>
      <c r="AA99" s="805" t="str">
        <f>IF(X99&lt;&gt;"",VLOOKUP(C99,'General price list'!C101:AN1074,MATCH("HM",Tabulka1[[#Headers],[KOD]:[NEQ]],0),FALSE),"")</f>
        <v/>
      </c>
    </row>
    <row r="100" spans="1:27">
      <c r="A100">
        <f>COUNTIF($W$22:W100,1)</f>
        <v>0</v>
      </c>
      <c r="B100">
        <v>100</v>
      </c>
      <c r="C100" s="340" t="str">
        <f>Tabulka1[[#This Row],[KOD]]</f>
        <v>D2C</v>
      </c>
      <c r="W100" s="804" t="str">
        <f t="shared" si="3"/>
        <v/>
      </c>
      <c r="X100" t="str">
        <f t="shared" si="4"/>
        <v/>
      </c>
      <c r="Y100" s="341">
        <f>IF('General price list'!$AB102="",0,'General price list'!$AB102)</f>
        <v>0</v>
      </c>
      <c r="Z100" s="365" t="str">
        <f>IFERROR(X100*VLOOKUP(C100,'General price list'!C:I,7,FALSE),"")</f>
        <v/>
      </c>
      <c r="AA100" s="805" t="str">
        <f>IF(X100&lt;&gt;"",VLOOKUP(C100,'General price list'!C102:AN1075,MATCH("HM",Tabulka1[[#Headers],[KOD]:[NEQ]],0),FALSE),"")</f>
        <v/>
      </c>
    </row>
    <row r="101" spans="1:27">
      <c r="A101">
        <f>COUNTIF($W$22:W101,1)</f>
        <v>0</v>
      </c>
      <c r="B101">
        <v>101</v>
      </c>
      <c r="C101" s="340" t="str">
        <f>Tabulka1[[#This Row],[KOD]]</f>
        <v>D2CN(1)</v>
      </c>
      <c r="W101" s="804" t="str">
        <f t="shared" si="3"/>
        <v/>
      </c>
      <c r="X101" t="str">
        <f t="shared" si="4"/>
        <v/>
      </c>
      <c r="Y101" s="341">
        <f>IF('General price list'!$AB103="",0,'General price list'!$AB103)</f>
        <v>0</v>
      </c>
      <c r="Z101" s="365" t="str">
        <f>IFERROR(X101*VLOOKUP(C101,'General price list'!C:I,7,FALSE),"")</f>
        <v/>
      </c>
      <c r="AA101" s="805" t="str">
        <f>IF(X101&lt;&gt;"",VLOOKUP(C101,'General price list'!C103:AN1076,MATCH("HM",Tabulka1[[#Headers],[KOD]:[NEQ]],0),FALSE),"")</f>
        <v/>
      </c>
    </row>
    <row r="102" spans="1:27">
      <c r="A102">
        <f>COUNTIF($W$22:W102,1)</f>
        <v>0</v>
      </c>
      <c r="B102">
        <v>102</v>
      </c>
      <c r="C102" s="340" t="str">
        <f>Tabulka1[[#This Row],[KOD]]</f>
        <v>D3SK</v>
      </c>
      <c r="W102" s="804" t="str">
        <f t="shared" si="3"/>
        <v/>
      </c>
      <c r="X102" t="str">
        <f t="shared" si="4"/>
        <v/>
      </c>
      <c r="Y102" s="341">
        <f>IF('General price list'!$AB104="",0,'General price list'!$AB104)</f>
        <v>0</v>
      </c>
      <c r="Z102" s="365" t="str">
        <f>IFERROR(X102*VLOOKUP(C102,'General price list'!C:I,7,FALSE),"")</f>
        <v/>
      </c>
      <c r="AA102" s="805" t="str">
        <f>IF(X102&lt;&gt;"",VLOOKUP(C102,'General price list'!C104:AN1077,MATCH("HM",Tabulka1[[#Headers],[KOD]:[NEQ]],0),FALSE),"")</f>
        <v/>
      </c>
    </row>
    <row r="103" spans="1:27">
      <c r="A103">
        <f>COUNTIF($W$22:W103,1)</f>
        <v>0</v>
      </c>
      <c r="B103">
        <v>103</v>
      </c>
      <c r="C103" s="340" t="str">
        <f>Tabulka1[[#This Row],[KOD]]</f>
        <v>RDG1B</v>
      </c>
      <c r="W103" s="804" t="str">
        <f t="shared" si="3"/>
        <v/>
      </c>
      <c r="X103" t="str">
        <f t="shared" si="4"/>
        <v/>
      </c>
      <c r="Y103" s="341">
        <f>IF('General price list'!$AB105="",0,'General price list'!$AB105)</f>
        <v>0</v>
      </c>
      <c r="Z103" s="365" t="str">
        <f>IFERROR(X103*VLOOKUP(C103,'General price list'!C:I,7,FALSE),"")</f>
        <v/>
      </c>
      <c r="AA103" s="805" t="str">
        <f>IF(X103&lt;&gt;"",VLOOKUP(C103,'General price list'!C105:AN1078,MATCH("HM",Tabulka1[[#Headers],[KOD]:[NEQ]],0),FALSE),"")</f>
        <v/>
      </c>
    </row>
    <row r="104" spans="1:27">
      <c r="A104">
        <f>COUNTIF($W$22:W104,1)</f>
        <v>0</v>
      </c>
      <c r="B104">
        <v>104</v>
      </c>
      <c r="C104" s="340" t="str">
        <f>Tabulka1[[#This Row],[KOD]]</f>
        <v>RDG1C</v>
      </c>
      <c r="W104" s="804" t="str">
        <f t="shared" si="3"/>
        <v/>
      </c>
      <c r="X104" t="str">
        <f t="shared" si="4"/>
        <v/>
      </c>
      <c r="Y104" s="341">
        <f>IF('General price list'!$AB106="",0,'General price list'!$AB106)</f>
        <v>0</v>
      </c>
      <c r="Z104" s="365" t="str">
        <f>IFERROR(X104*VLOOKUP(C104,'General price list'!C:I,7,FALSE),"")</f>
        <v/>
      </c>
      <c r="AA104" s="805" t="str">
        <f>IF(X104&lt;&gt;"",VLOOKUP(C104,'General price list'!C106:AN1079,MATCH("HM",Tabulka1[[#Headers],[KOD]:[NEQ]],0),FALSE),"")</f>
        <v/>
      </c>
    </row>
    <row r="105" spans="1:27">
      <c r="A105">
        <f>COUNTIF($W$22:W105,1)</f>
        <v>0</v>
      </c>
      <c r="B105">
        <v>105</v>
      </c>
      <c r="C105" s="340" t="str">
        <f>Tabulka1[[#This Row],[KOD]]</f>
        <v>RDG1M</v>
      </c>
      <c r="W105" s="804" t="str">
        <f t="shared" si="3"/>
        <v/>
      </c>
      <c r="X105" t="str">
        <f t="shared" si="4"/>
        <v/>
      </c>
      <c r="Y105" s="341">
        <f>IF('General price list'!$AB107="",0,'General price list'!$AB107)</f>
        <v>0</v>
      </c>
      <c r="Z105" s="365" t="str">
        <f>IFERROR(X105*VLOOKUP(C105,'General price list'!C:I,7,FALSE),"")</f>
        <v/>
      </c>
      <c r="AA105" s="805" t="str">
        <f>IF(X105&lt;&gt;"",VLOOKUP(C105,'General price list'!C107:AN1080,MATCH("HM",Tabulka1[[#Headers],[KOD]:[NEQ]],0),FALSE),"")</f>
        <v/>
      </c>
    </row>
    <row r="106" spans="1:27">
      <c r="A106">
        <f>COUNTIF($W$22:W106,1)</f>
        <v>0</v>
      </c>
      <c r="B106">
        <v>106</v>
      </c>
      <c r="C106" s="340" t="str">
        <f>Tabulka1[[#This Row],[KOD]]</f>
        <v>RDG1ZL</v>
      </c>
      <c r="W106" s="804" t="str">
        <f t="shared" si="3"/>
        <v/>
      </c>
      <c r="X106" t="str">
        <f t="shared" si="4"/>
        <v/>
      </c>
      <c r="Y106" s="341">
        <f>IF('General price list'!$AB108="",0,'General price list'!$AB108)</f>
        <v>0</v>
      </c>
      <c r="Z106" s="365" t="str">
        <f>IFERROR(X106*VLOOKUP(C106,'General price list'!C:I,7,FALSE),"")</f>
        <v/>
      </c>
      <c r="AA106" s="805" t="str">
        <f>IF(X106&lt;&gt;"",VLOOKUP(C106,'General price list'!C108:AN1081,MATCH("HM",Tabulka1[[#Headers],[KOD]:[NEQ]],0),FALSE),"")</f>
        <v/>
      </c>
    </row>
    <row r="107" spans="1:27">
      <c r="A107">
        <f>COUNTIF($W$22:W107,1)</f>
        <v>0</v>
      </c>
      <c r="B107">
        <v>107</v>
      </c>
      <c r="C107" s="340" t="str">
        <f>Tabulka1[[#This Row],[KOD]]</f>
        <v>RDG1ZL(1)</v>
      </c>
      <c r="W107" s="804" t="str">
        <f t="shared" si="3"/>
        <v/>
      </c>
      <c r="X107" t="str">
        <f t="shared" si="4"/>
        <v/>
      </c>
      <c r="Y107" s="341">
        <f>IF('General price list'!$AB109="",0,'General price list'!$AB109)</f>
        <v>0</v>
      </c>
      <c r="Z107" s="365" t="str">
        <f>IFERROR(X107*VLOOKUP(C107,'General price list'!C:I,7,FALSE),"")</f>
        <v/>
      </c>
      <c r="AA107" s="805" t="str">
        <f>IF(X107&lt;&gt;"",VLOOKUP(C107,'General price list'!C109:AN1082,MATCH("HM",Tabulka1[[#Headers],[KOD]:[NEQ]],0),FALSE),"")</f>
        <v/>
      </c>
    </row>
    <row r="108" spans="1:27">
      <c r="A108">
        <f>COUNTIF($W$22:W108,1)</f>
        <v>0</v>
      </c>
      <c r="B108">
        <v>108</v>
      </c>
      <c r="C108" s="340" t="str">
        <f>Tabulka1[[#This Row],[KOD]]</f>
        <v>RDG1ZE</v>
      </c>
      <c r="W108" s="804" t="str">
        <f t="shared" si="3"/>
        <v/>
      </c>
      <c r="X108" t="str">
        <f t="shared" si="4"/>
        <v/>
      </c>
      <c r="Y108" s="341">
        <f>IF('General price list'!$AB110="",0,'General price list'!$AB110)</f>
        <v>0</v>
      </c>
      <c r="Z108" s="365" t="str">
        <f>IFERROR(X108*VLOOKUP(C108,'General price list'!C:I,7,FALSE),"")</f>
        <v/>
      </c>
      <c r="AA108" s="805" t="str">
        <f>IF(X108&lt;&gt;"",VLOOKUP(C108,'General price list'!C110:AN1083,MATCH("HM",Tabulka1[[#Headers],[KOD]:[NEQ]],0),FALSE),"")</f>
        <v/>
      </c>
    </row>
    <row r="109" spans="1:27">
      <c r="A109">
        <f>COUNTIF($W$22:W109,1)</f>
        <v>0</v>
      </c>
      <c r="B109">
        <v>109</v>
      </c>
      <c r="C109" s="340" t="str">
        <f>Tabulka1[[#This Row],[KOD]]</f>
        <v>RDG2B</v>
      </c>
      <c r="W109" s="804" t="str">
        <f t="shared" si="3"/>
        <v/>
      </c>
      <c r="X109" t="str">
        <f t="shared" si="4"/>
        <v/>
      </c>
      <c r="Y109" s="341">
        <f>IF('General price list'!$AB111="",0,'General price list'!$AB111)</f>
        <v>0</v>
      </c>
      <c r="Z109" s="365" t="str">
        <f>IFERROR(X109*VLOOKUP(C109,'General price list'!C:I,7,FALSE),"")</f>
        <v/>
      </c>
      <c r="AA109" s="805" t="str">
        <f>IF(X109&lt;&gt;"",VLOOKUP(C109,'General price list'!C111:AN1084,MATCH("HM",Tabulka1[[#Headers],[KOD]:[NEQ]],0),FALSE),"")</f>
        <v/>
      </c>
    </row>
    <row r="110" spans="1:27">
      <c r="A110">
        <f>COUNTIF($W$22:W110,1)</f>
        <v>0</v>
      </c>
      <c r="B110">
        <v>110</v>
      </c>
      <c r="C110" s="340" t="str">
        <f>Tabulka1[[#This Row],[KOD]]</f>
        <v>RDG2C</v>
      </c>
      <c r="W110" s="804" t="str">
        <f t="shared" si="3"/>
        <v/>
      </c>
      <c r="X110" t="str">
        <f t="shared" si="4"/>
        <v/>
      </c>
      <c r="Y110" s="341">
        <f>IF('General price list'!$AB112="",0,'General price list'!$AB112)</f>
        <v>0</v>
      </c>
      <c r="Z110" s="365" t="str">
        <f>IFERROR(X110*VLOOKUP(C110,'General price list'!C:I,7,FALSE),"")</f>
        <v/>
      </c>
      <c r="AA110" s="805" t="str">
        <f>IF(X110&lt;&gt;"",VLOOKUP(C110,'General price list'!C112:AN1085,MATCH("HM",Tabulka1[[#Headers],[KOD]:[NEQ]],0),FALSE),"")</f>
        <v/>
      </c>
    </row>
    <row r="111" spans="1:27">
      <c r="A111">
        <f>COUNTIF($W$22:W111,1)</f>
        <v>0</v>
      </c>
      <c r="B111">
        <v>111</v>
      </c>
      <c r="C111" s="340" t="str">
        <f>Tabulka1[[#This Row],[KOD]]</f>
        <v>RDG2M</v>
      </c>
      <c r="W111" s="804" t="str">
        <f t="shared" si="3"/>
        <v/>
      </c>
      <c r="X111" t="str">
        <f t="shared" si="4"/>
        <v/>
      </c>
      <c r="Y111" s="341">
        <f>IF('General price list'!$AB113="",0,'General price list'!$AB113)</f>
        <v>0</v>
      </c>
      <c r="Z111" s="365" t="str">
        <f>IFERROR(X111*VLOOKUP(C111,'General price list'!C:I,7,FALSE),"")</f>
        <v/>
      </c>
      <c r="AA111" s="805" t="str">
        <f>IF(X111&lt;&gt;"",VLOOKUP(C111,'General price list'!C113:AN1086,MATCH("HM",Tabulka1[[#Headers],[KOD]:[NEQ]],0),FALSE),"")</f>
        <v/>
      </c>
    </row>
    <row r="112" spans="1:27">
      <c r="A112">
        <f>COUNTIF($W$22:W112,1)</f>
        <v>0</v>
      </c>
      <c r="B112">
        <v>112</v>
      </c>
      <c r="C112" s="340">
        <f>Tabulka1[[#This Row],[KOD]]</f>
        <v>0</v>
      </c>
      <c r="W112" s="804" t="str">
        <f t="shared" si="3"/>
        <v/>
      </c>
      <c r="X112" t="str">
        <f t="shared" si="4"/>
        <v/>
      </c>
      <c r="Y112" s="341">
        <f>IF('General price list'!$AB114="",0,'General price list'!$AB114)</f>
        <v>0</v>
      </c>
      <c r="Z112" s="365" t="str">
        <f>IFERROR(X112*VLOOKUP(C112,'General price list'!C:I,7,FALSE),"")</f>
        <v/>
      </c>
      <c r="AA112" s="805" t="str">
        <f>IF(X112&lt;&gt;"",VLOOKUP(C112,'General price list'!C114:AN1087,MATCH("HM",Tabulka1[[#Headers],[KOD]:[NEQ]],0),FALSE),"")</f>
        <v/>
      </c>
    </row>
    <row r="113" spans="1:27">
      <c r="A113">
        <f>COUNTIF($W$22:W113,1)</f>
        <v>0</v>
      </c>
      <c r="B113">
        <v>113</v>
      </c>
      <c r="C113" s="340" t="str">
        <f>Tabulka1[[#This Row],[KOD]]</f>
        <v>RDG60B(SH)</v>
      </c>
      <c r="W113" s="804" t="str">
        <f t="shared" si="3"/>
        <v/>
      </c>
      <c r="X113" t="str">
        <f t="shared" si="4"/>
        <v/>
      </c>
      <c r="Y113" s="341">
        <f>IF('General price list'!$AB115="",0,'General price list'!$AB115)</f>
        <v>0</v>
      </c>
      <c r="Z113" s="365" t="str">
        <f>IFERROR(X113*VLOOKUP(C113,'General price list'!C:I,7,FALSE),"")</f>
        <v/>
      </c>
      <c r="AA113" s="805" t="str">
        <f>IF(X113&lt;&gt;"",VLOOKUP(C113,'General price list'!C115:AN1088,MATCH("HM",Tabulka1[[#Headers],[KOD]:[NEQ]],0),FALSE),"")</f>
        <v/>
      </c>
    </row>
    <row r="114" spans="1:27">
      <c r="A114">
        <f>COUNTIF($W$22:W114,1)</f>
        <v>0</v>
      </c>
      <c r="B114">
        <v>114</v>
      </c>
      <c r="C114" s="340" t="str">
        <f>Tabulka1[[#This Row],[KOD]]</f>
        <v>RDG60ZL(SH)</v>
      </c>
      <c r="W114" s="804" t="str">
        <f t="shared" si="3"/>
        <v/>
      </c>
      <c r="X114" t="str">
        <f t="shared" si="4"/>
        <v/>
      </c>
      <c r="Y114" s="341">
        <f>IF('General price list'!$AB116="",0,'General price list'!$AB116)</f>
        <v>0</v>
      </c>
      <c r="Z114" s="365" t="str">
        <f>IFERROR(X114*VLOOKUP(C114,'General price list'!C:I,7,FALSE),"")</f>
        <v/>
      </c>
      <c r="AA114" s="805" t="str">
        <f>IF(X114&lt;&gt;"",VLOOKUP(C114,'General price list'!C116:AN1089,MATCH("HM",Tabulka1[[#Headers],[KOD]:[NEQ]],0),FALSE),"")</f>
        <v/>
      </c>
    </row>
    <row r="115" spans="1:27">
      <c r="A115">
        <f>COUNTIF($W$22:W115,1)</f>
        <v>0</v>
      </c>
      <c r="B115">
        <v>115</v>
      </c>
      <c r="C115" s="340" t="str">
        <f>Tabulka1[[#This Row],[KOD]]</f>
        <v>RDG60R(SH)</v>
      </c>
      <c r="W115" s="804" t="str">
        <f t="shared" si="3"/>
        <v/>
      </c>
      <c r="X115" t="str">
        <f t="shared" si="4"/>
        <v/>
      </c>
      <c r="Y115" s="341">
        <f>IF('General price list'!$AB117="",0,'General price list'!$AB117)</f>
        <v>0</v>
      </c>
      <c r="Z115" s="365" t="str">
        <f>IFERROR(X115*VLOOKUP(C115,'General price list'!C:I,7,FALSE),"")</f>
        <v/>
      </c>
      <c r="AA115" s="805" t="str">
        <f>IF(X115&lt;&gt;"",VLOOKUP(C115,'General price list'!C117:AN1090,MATCH("HM",Tabulka1[[#Headers],[KOD]:[NEQ]],0),FALSE),"")</f>
        <v/>
      </c>
    </row>
    <row r="116" spans="1:27">
      <c r="A116">
        <f>COUNTIF($W$22:W116,1)</f>
        <v>0</v>
      </c>
      <c r="B116">
        <v>116</v>
      </c>
      <c r="C116" s="340" t="str">
        <f>Tabulka1[[#This Row],[KOD]]</f>
        <v>RDG60ZEOCER(SH)</v>
      </c>
      <c r="W116" s="804" t="str">
        <f t="shared" si="3"/>
        <v/>
      </c>
      <c r="X116" t="str">
        <f t="shared" si="4"/>
        <v/>
      </c>
      <c r="Y116" s="341">
        <f>IF('General price list'!$AB118="",0,'General price list'!$AB118)</f>
        <v>0</v>
      </c>
      <c r="Z116" s="365" t="str">
        <f>IFERROR(X116*VLOOKUP(C116,'General price list'!C:I,7,FALSE),"")</f>
        <v/>
      </c>
      <c r="AA116" s="805" t="str">
        <f>IF(X116&lt;&gt;"",VLOOKUP(C116,'General price list'!C118:AN1091,MATCH("HM",Tabulka1[[#Headers],[KOD]:[NEQ]],0),FALSE),"")</f>
        <v/>
      </c>
    </row>
    <row r="117" spans="1:27">
      <c r="A117">
        <f>COUNTIF($W$22:W117,1)</f>
        <v>0</v>
      </c>
      <c r="B117">
        <v>117</v>
      </c>
      <c r="C117" s="340">
        <f>Tabulka1[[#This Row],[KOD]]</f>
        <v>0</v>
      </c>
      <c r="W117" s="804" t="str">
        <f t="shared" si="3"/>
        <v/>
      </c>
      <c r="X117" t="str">
        <f t="shared" si="4"/>
        <v/>
      </c>
      <c r="Y117" s="341">
        <f>IF('General price list'!$AB119="",0,'General price list'!$AB119)</f>
        <v>0</v>
      </c>
      <c r="Z117" s="365" t="str">
        <f>IFERROR(X117*VLOOKUP(C117,'General price list'!C:I,7,FALSE),"")</f>
        <v/>
      </c>
      <c r="AA117" s="805" t="str">
        <f>IF(X117&lt;&gt;"",VLOOKUP(C117,'General price list'!C119:AN1092,MATCH("HM",Tabulka1[[#Headers],[KOD]:[NEQ]],0),FALSE),"")</f>
        <v/>
      </c>
    </row>
    <row r="118" spans="1:27">
      <c r="A118">
        <f>COUNTIF($W$22:W118,1)</f>
        <v>0</v>
      </c>
      <c r="B118">
        <v>118</v>
      </c>
      <c r="C118" s="340" t="str">
        <f>Tabulka1[[#This Row],[KOD]]</f>
        <v>RDG1ZL-P</v>
      </c>
      <c r="W118" s="804" t="str">
        <f t="shared" si="3"/>
        <v/>
      </c>
      <c r="X118" t="str">
        <f t="shared" si="4"/>
        <v/>
      </c>
      <c r="Y118" s="341">
        <f>IF('General price list'!$AB120="",0,'General price list'!$AB120)</f>
        <v>0</v>
      </c>
      <c r="Z118" s="365" t="str">
        <f>IFERROR(X118*VLOOKUP(C118,'General price list'!C:I,7,FALSE),"")</f>
        <v/>
      </c>
      <c r="AA118" s="805" t="str">
        <f>IF(X118&lt;&gt;"",VLOOKUP(C118,'General price list'!C120:AN1093,MATCH("HM",Tabulka1[[#Headers],[KOD]:[NEQ]],0),FALSE),"")</f>
        <v/>
      </c>
    </row>
    <row r="119" spans="1:27">
      <c r="A119">
        <f>COUNTIF($W$22:W119,1)</f>
        <v>0</v>
      </c>
      <c r="B119">
        <v>119</v>
      </c>
      <c r="C119" s="340" t="str">
        <f>Tabulka1[[#This Row],[KOD]]</f>
        <v>RDG1ZL-P(1)</v>
      </c>
      <c r="W119" s="804" t="str">
        <f t="shared" si="3"/>
        <v/>
      </c>
      <c r="X119" t="str">
        <f t="shared" si="4"/>
        <v/>
      </c>
      <c r="Y119" s="341">
        <f>IF('General price list'!$AB121="",0,'General price list'!$AB121)</f>
        <v>0</v>
      </c>
      <c r="Z119" s="365" t="str">
        <f>IFERROR(X119*VLOOKUP(C119,'General price list'!C:I,7,FALSE),"")</f>
        <v/>
      </c>
      <c r="AA119" s="805" t="str">
        <f>IF(X119&lt;&gt;"",VLOOKUP(C119,'General price list'!C121:AN1094,MATCH("HM",Tabulka1[[#Headers],[KOD]:[NEQ]],0),FALSE),"")</f>
        <v/>
      </c>
    </row>
    <row r="120" spans="1:27">
      <c r="A120">
        <f>COUNTIF($W$22:W120,1)</f>
        <v>0</v>
      </c>
      <c r="B120">
        <v>120</v>
      </c>
      <c r="C120" s="340" t="str">
        <f>Tabulka1[[#This Row],[KOD]]</f>
        <v>RDG1O-P</v>
      </c>
      <c r="W120" s="804" t="str">
        <f t="shared" si="3"/>
        <v/>
      </c>
      <c r="X120" t="str">
        <f t="shared" si="4"/>
        <v/>
      </c>
      <c r="Y120" s="341">
        <f>IF('General price list'!$AB122="",0,'General price list'!$AB122)</f>
        <v>0</v>
      </c>
      <c r="Z120" s="365" t="str">
        <f>IFERROR(X120*VLOOKUP(C120,'General price list'!C:I,7,FALSE),"")</f>
        <v/>
      </c>
      <c r="AA120" s="805" t="str">
        <f>IF(X120&lt;&gt;"",VLOOKUP(C120,'General price list'!C122:AN1095,MATCH("HM",Tabulka1[[#Headers],[KOD]:[NEQ]],0),FALSE),"")</f>
        <v/>
      </c>
    </row>
    <row r="121" spans="1:27">
      <c r="A121">
        <f>COUNTIF($W$22:W121,1)</f>
        <v>0</v>
      </c>
      <c r="B121">
        <v>121</v>
      </c>
      <c r="C121" s="340" t="str">
        <f>Tabulka1[[#This Row],[KOD]]</f>
        <v>RDG1O-P(1)</v>
      </c>
      <c r="W121" s="804" t="str">
        <f t="shared" si="3"/>
        <v/>
      </c>
      <c r="X121" t="str">
        <f t="shared" si="4"/>
        <v/>
      </c>
      <c r="Y121" s="341">
        <f>IF('General price list'!$AB123="",0,'General price list'!$AB123)</f>
        <v>0</v>
      </c>
      <c r="Z121" s="365" t="str">
        <f>IFERROR(X121*VLOOKUP(C121,'General price list'!C:I,7,FALSE),"")</f>
        <v/>
      </c>
      <c r="AA121" s="805" t="str">
        <f>IF(X121&lt;&gt;"",VLOOKUP(C121,'General price list'!C123:AN1096,MATCH("HM",Tabulka1[[#Headers],[KOD]:[NEQ]],0),FALSE),"")</f>
        <v/>
      </c>
    </row>
    <row r="122" spans="1:27">
      <c r="A122">
        <f>COUNTIF($W$22:W122,1)</f>
        <v>0</v>
      </c>
      <c r="B122">
        <v>122</v>
      </c>
      <c r="C122" s="340">
        <f>Tabulka1[[#This Row],[KOD]]</f>
        <v>0</v>
      </c>
      <c r="W122" s="804" t="str">
        <f t="shared" si="3"/>
        <v/>
      </c>
      <c r="X122" t="str">
        <f t="shared" si="4"/>
        <v/>
      </c>
      <c r="Y122" s="341">
        <f>IF('General price list'!$AB124="",0,'General price list'!$AB124)</f>
        <v>0</v>
      </c>
      <c r="Z122" s="365" t="str">
        <f>IFERROR(X122*VLOOKUP(C122,'General price list'!C:I,7,FALSE),"")</f>
        <v/>
      </c>
      <c r="AA122" s="805" t="str">
        <f>IF(X122&lt;&gt;"",VLOOKUP(C122,'General price list'!C124:AN1097,MATCH("HM",Tabulka1[[#Headers],[KOD]:[NEQ]],0),FALSE),"")</f>
        <v/>
      </c>
    </row>
    <row r="123" spans="1:27">
      <c r="A123">
        <f>COUNTIF($W$22:W123,1)</f>
        <v>0</v>
      </c>
      <c r="B123">
        <v>123</v>
      </c>
      <c r="C123" s="340" t="str">
        <f>Tabulka1[[#This Row],[KOD]]</f>
        <v>RDP60M</v>
      </c>
      <c r="W123" s="804" t="str">
        <f t="shared" si="3"/>
        <v/>
      </c>
      <c r="X123" t="str">
        <f t="shared" si="4"/>
        <v/>
      </c>
      <c r="Y123" s="341">
        <f>IF('General price list'!$AB125="",0,'General price list'!$AB125)</f>
        <v>0</v>
      </c>
      <c r="Z123" s="365" t="str">
        <f>IFERROR(X123*VLOOKUP(C123,'General price list'!C:I,7,FALSE),"")</f>
        <v/>
      </c>
      <c r="AA123" s="805" t="str">
        <f>IF(X123&lt;&gt;"",VLOOKUP(C123,'General price list'!C125:AN1098,MATCH("HM",Tabulka1[[#Headers],[KOD]:[NEQ]],0),FALSE),"")</f>
        <v/>
      </c>
    </row>
    <row r="124" spans="1:27">
      <c r="A124">
        <f>COUNTIF($W$22:W124,1)</f>
        <v>0</v>
      </c>
      <c r="B124">
        <v>124</v>
      </c>
      <c r="C124" s="340" t="str">
        <f>Tabulka1[[#This Row],[KOD]]</f>
        <v>HDP60B</v>
      </c>
      <c r="W124" s="804" t="str">
        <f t="shared" si="3"/>
        <v/>
      </c>
      <c r="X124" t="str">
        <f t="shared" si="4"/>
        <v/>
      </c>
      <c r="Y124" s="341">
        <f>IF('General price list'!$AB126="",0,'General price list'!$AB126)</f>
        <v>0</v>
      </c>
      <c r="Z124" s="365" t="str">
        <f>IFERROR(X124*VLOOKUP(C124,'General price list'!C:I,7,FALSE),"")</f>
        <v/>
      </c>
      <c r="AA124" s="805" t="str">
        <f>IF(X124&lt;&gt;"",VLOOKUP(C124,'General price list'!C126:AN1099,MATCH("HM",Tabulka1[[#Headers],[KOD]:[NEQ]],0),FALSE),"")</f>
        <v/>
      </c>
    </row>
    <row r="125" spans="1:27">
      <c r="A125">
        <f>COUNTIF($W$22:W125,1)</f>
        <v>0</v>
      </c>
      <c r="B125">
        <v>125</v>
      </c>
      <c r="C125" s="340" t="str">
        <f>Tabulka1[[#This Row],[KOD]]</f>
        <v>HDP60C</v>
      </c>
      <c r="W125" s="804" t="str">
        <f t="shared" si="3"/>
        <v/>
      </c>
      <c r="X125" t="str">
        <f t="shared" si="4"/>
        <v/>
      </c>
      <c r="Y125" s="341">
        <f>IF('General price list'!$AB127="",0,'General price list'!$AB127)</f>
        <v>0</v>
      </c>
      <c r="Z125" s="365" t="str">
        <f>IFERROR(X125*VLOOKUP(C125,'General price list'!C:I,7,FALSE),"")</f>
        <v/>
      </c>
      <c r="AA125" s="805" t="str">
        <f>IF(X125&lt;&gt;"",VLOOKUP(C125,'General price list'!C127:AN1100,MATCH("HM",Tabulka1[[#Headers],[KOD]:[NEQ]],0),FALSE),"")</f>
        <v/>
      </c>
    </row>
    <row r="126" spans="1:27">
      <c r="A126">
        <f>COUNTIF($W$22:W126,1)</f>
        <v>0</v>
      </c>
      <c r="B126">
        <v>126</v>
      </c>
      <c r="C126" s="340" t="str">
        <f>Tabulka1[[#This Row],[KOD]]</f>
        <v>HDP60M</v>
      </c>
      <c r="W126" s="804" t="str">
        <f t="shared" si="3"/>
        <v/>
      </c>
      <c r="X126" t="str">
        <f t="shared" si="4"/>
        <v/>
      </c>
      <c r="Y126" s="341">
        <f>IF('General price list'!$AB128="",0,'General price list'!$AB128)</f>
        <v>0</v>
      </c>
      <c r="Z126" s="365" t="str">
        <f>IFERROR(X126*VLOOKUP(C126,'General price list'!C:I,7,FALSE),"")</f>
        <v/>
      </c>
      <c r="AA126" s="805" t="str">
        <f>IF(X126&lt;&gt;"",VLOOKUP(C126,'General price list'!C128:AN1101,MATCH("HM",Tabulka1[[#Headers],[KOD]:[NEQ]],0),FALSE),"")</f>
        <v/>
      </c>
    </row>
    <row r="127" spans="1:27">
      <c r="A127">
        <f>COUNTIF($W$22:W127,1)</f>
        <v>0</v>
      </c>
      <c r="B127">
        <v>127</v>
      </c>
      <c r="C127" s="340" t="str">
        <f>Tabulka1[[#This Row],[KOD]]</f>
        <v>HDP60ZE</v>
      </c>
      <c r="W127" s="804" t="str">
        <f t="shared" si="3"/>
        <v/>
      </c>
      <c r="X127" t="str">
        <f t="shared" si="4"/>
        <v/>
      </c>
      <c r="Y127" s="341">
        <f>IF('General price list'!$AB129="",0,'General price list'!$AB129)</f>
        <v>0</v>
      </c>
      <c r="Z127" s="365" t="str">
        <f>IFERROR(X127*VLOOKUP(C127,'General price list'!C:I,7,FALSE),"")</f>
        <v/>
      </c>
      <c r="AA127" s="805" t="str">
        <f>IF(X127&lt;&gt;"",VLOOKUP(C127,'General price list'!C129:AN1102,MATCH("HM",Tabulka1[[#Headers],[KOD]:[NEQ]],0),FALSE),"")</f>
        <v/>
      </c>
    </row>
    <row r="128" spans="1:27">
      <c r="A128">
        <f>COUNTIF($W$22:W128,1)</f>
        <v>0</v>
      </c>
      <c r="B128">
        <v>128</v>
      </c>
      <c r="C128" s="340">
        <f>Tabulka1[[#This Row],[KOD]]</f>
        <v>0</v>
      </c>
      <c r="W128" s="804" t="str">
        <f t="shared" si="3"/>
        <v/>
      </c>
      <c r="X128" t="str">
        <f t="shared" si="4"/>
        <v/>
      </c>
      <c r="Y128" s="341">
        <f>IF('General price list'!$AB130="",0,'General price list'!$AB130)</f>
        <v>0</v>
      </c>
      <c r="Z128" s="365" t="str">
        <f>IFERROR(X128*VLOOKUP(C128,'General price list'!C:I,7,FALSE),"")</f>
        <v/>
      </c>
      <c r="AA128" s="805" t="str">
        <f>IF(X128&lt;&gt;"",VLOOKUP(C128,'General price list'!C130:AN1103,MATCH("HM",Tabulka1[[#Headers],[KOD]:[NEQ]],0),FALSE),"")</f>
        <v/>
      </c>
    </row>
    <row r="129" spans="1:27">
      <c r="A129">
        <f>COUNTIF($W$22:W129,1)</f>
        <v>0</v>
      </c>
      <c r="B129">
        <v>129</v>
      </c>
      <c r="C129" s="340" t="str">
        <f>Tabulka1[[#This Row],[KOD]]</f>
        <v>P40C25</v>
      </c>
      <c r="W129" s="804" t="str">
        <f t="shared" si="3"/>
        <v/>
      </c>
      <c r="X129" t="str">
        <f t="shared" si="4"/>
        <v/>
      </c>
      <c r="Y129" s="341">
        <f>IF('General price list'!$AB131="",0,'General price list'!$AB131)</f>
        <v>0</v>
      </c>
      <c r="Z129" s="365" t="str">
        <f>IFERROR(X129*VLOOKUP(C129,'General price list'!C:I,7,FALSE),"")</f>
        <v/>
      </c>
      <c r="AA129" s="805" t="str">
        <f>IF(X129&lt;&gt;"",VLOOKUP(C129,'General price list'!C131:AN1104,MATCH("HM",Tabulka1[[#Headers],[KOD]:[NEQ]],0),FALSE),"")</f>
        <v/>
      </c>
    </row>
    <row r="130" spans="1:27">
      <c r="A130">
        <f>COUNTIF($W$22:W130,1)</f>
        <v>0</v>
      </c>
      <c r="B130">
        <v>130</v>
      </c>
      <c r="C130" s="340" t="str">
        <f>Tabulka1[[#This Row],[KOD]]</f>
        <v>P40Z25</v>
      </c>
      <c r="W130" s="804" t="str">
        <f t="shared" si="3"/>
        <v/>
      </c>
      <c r="X130" t="str">
        <f t="shared" si="4"/>
        <v/>
      </c>
      <c r="Y130" s="341">
        <f>IF('General price list'!$AB132="",0,'General price list'!$AB132)</f>
        <v>0</v>
      </c>
      <c r="Z130" s="365" t="str">
        <f>IFERROR(X130*VLOOKUP(C130,'General price list'!C:I,7,FALSE),"")</f>
        <v/>
      </c>
      <c r="AA130" s="805" t="str">
        <f>IF(X130&lt;&gt;"",VLOOKUP(C130,'General price list'!C132:AN1105,MATCH("HM",Tabulka1[[#Headers],[KOD]:[NEQ]],0),FALSE),"")</f>
        <v/>
      </c>
    </row>
    <row r="131" spans="1:27">
      <c r="A131">
        <f>COUNTIF($W$22:W131,1)</f>
        <v>0</v>
      </c>
      <c r="B131">
        <v>131</v>
      </c>
      <c r="C131" s="340" t="str">
        <f>Tabulka1[[#This Row],[KOD]]</f>
        <v>P40B25</v>
      </c>
      <c r="W131" s="804" t="str">
        <f t="shared" si="3"/>
        <v/>
      </c>
      <c r="X131" t="str">
        <f t="shared" si="4"/>
        <v/>
      </c>
      <c r="Y131" s="341">
        <f>IF('General price list'!$AB133="",0,'General price list'!$AB133)</f>
        <v>0</v>
      </c>
      <c r="Z131" s="365" t="str">
        <f>IFERROR(X131*VLOOKUP(C131,'General price list'!C:I,7,FALSE),"")</f>
        <v/>
      </c>
      <c r="AA131" s="805" t="str">
        <f>IF(X131&lt;&gt;"",VLOOKUP(C131,'General price list'!C133:AN1106,MATCH("HM",Tabulka1[[#Headers],[KOD]:[NEQ]],0),FALSE),"")</f>
        <v/>
      </c>
    </row>
    <row r="132" spans="1:27">
      <c r="A132">
        <f>COUNTIF($W$22:W132,1)</f>
        <v>0</v>
      </c>
      <c r="B132">
        <v>132</v>
      </c>
      <c r="C132" s="340" t="str">
        <f>Tabulka1[[#This Row],[KOD]]</f>
        <v>P40MO25</v>
      </c>
      <c r="W132" s="804" t="str">
        <f t="shared" si="3"/>
        <v/>
      </c>
      <c r="X132" t="str">
        <f t="shared" si="4"/>
        <v/>
      </c>
      <c r="Y132" s="341">
        <f>IF('General price list'!$AB134="",0,'General price list'!$AB134)</f>
        <v>0</v>
      </c>
      <c r="Z132" s="365" t="str">
        <f>IFERROR(X132*VLOOKUP(C132,'General price list'!C:I,7,FALSE),"")</f>
        <v/>
      </c>
      <c r="AA132" s="805" t="str">
        <f>IF(X132&lt;&gt;"",VLOOKUP(C132,'General price list'!C134:AN1107,MATCH("HM",Tabulka1[[#Headers],[KOD]:[NEQ]],0),FALSE),"")</f>
        <v/>
      </c>
    </row>
    <row r="133" spans="1:27">
      <c r="A133">
        <f>COUNTIF($W$22:W133,1)</f>
        <v>0</v>
      </c>
      <c r="B133">
        <v>133</v>
      </c>
      <c r="C133" s="340" t="str">
        <f>Tabulka1[[#This Row],[KOD]]</f>
        <v>SP60S</v>
      </c>
      <c r="W133" s="804" t="str">
        <f t="shared" si="3"/>
        <v/>
      </c>
      <c r="X133" t="str">
        <f t="shared" si="4"/>
        <v/>
      </c>
      <c r="Y133" s="341">
        <f>IF('General price list'!$AB135="",0,'General price list'!$AB135)</f>
        <v>0</v>
      </c>
      <c r="Z133" s="365" t="str">
        <f>IFERROR(X133*VLOOKUP(C133,'General price list'!C:I,7,FALSE),"")</f>
        <v/>
      </c>
      <c r="AA133" s="805" t="str">
        <f>IF(X133&lt;&gt;"",VLOOKUP(C133,'General price list'!C135:AN1108,MATCH("HM",Tabulka1[[#Headers],[KOD]:[NEQ]],0),FALSE),"")</f>
        <v/>
      </c>
    </row>
    <row r="134" spans="1:27">
      <c r="A134">
        <f>COUNTIF($W$22:W134,1)</f>
        <v>0</v>
      </c>
      <c r="B134">
        <v>134</v>
      </c>
      <c r="C134" s="340" t="str">
        <f>Tabulka1[[#This Row],[KOD]]</f>
        <v>BP60S</v>
      </c>
      <c r="W134" s="804" t="str">
        <f t="shared" si="3"/>
        <v/>
      </c>
      <c r="X134" t="str">
        <f t="shared" si="4"/>
        <v/>
      </c>
      <c r="Y134" s="341">
        <f>IF('General price list'!$AB136="",0,'General price list'!$AB136)</f>
        <v>0</v>
      </c>
      <c r="Z134" s="365" t="str">
        <f>IFERROR(X134*VLOOKUP(C134,'General price list'!C:I,7,FALSE),"")</f>
        <v/>
      </c>
      <c r="AA134" s="805" t="str">
        <f>IF(X134&lt;&gt;"",VLOOKUP(C134,'General price list'!C136:AN1109,MATCH("HM",Tabulka1[[#Headers],[KOD]:[NEQ]],0),FALSE),"")</f>
        <v/>
      </c>
    </row>
    <row r="135" spans="1:27">
      <c r="A135">
        <f>COUNTIF($W$22:W135,1)</f>
        <v>0</v>
      </c>
      <c r="B135">
        <v>135</v>
      </c>
      <c r="C135" s="340">
        <f>Tabulka1[[#This Row],[KOD]]</f>
        <v>0</v>
      </c>
      <c r="W135" s="804" t="str">
        <f t="shared" si="3"/>
        <v/>
      </c>
      <c r="X135" t="str">
        <f t="shared" si="4"/>
        <v/>
      </c>
      <c r="Y135" s="341">
        <f>IF('General price list'!$AB137="",0,'General price list'!$AB137)</f>
        <v>0</v>
      </c>
      <c r="Z135" s="365" t="str">
        <f>IFERROR(X135*VLOOKUP(C135,'General price list'!C:I,7,FALSE),"")</f>
        <v/>
      </c>
      <c r="AA135" s="805" t="str">
        <f>IF(X135&lt;&gt;"",VLOOKUP(C135,'General price list'!C137:AN1110,MATCH("HM",Tabulka1[[#Headers],[KOD]:[NEQ]],0),FALSE),"")</f>
        <v/>
      </c>
    </row>
    <row r="136" spans="1:27">
      <c r="A136">
        <f>COUNTIF($W$22:W136,1)</f>
        <v>0</v>
      </c>
      <c r="B136">
        <v>136</v>
      </c>
      <c r="C136" s="340" t="str">
        <f>Tabulka1[[#This Row],[KOD]]</f>
        <v>S90S</v>
      </c>
      <c r="W136" s="804" t="str">
        <f t="shared" si="3"/>
        <v/>
      </c>
      <c r="X136" t="str">
        <f t="shared" si="4"/>
        <v/>
      </c>
      <c r="Y136" s="341">
        <f>IF('General price list'!$AB138="",0,'General price list'!$AB138)</f>
        <v>0</v>
      </c>
      <c r="Z136" s="365" t="str">
        <f>IFERROR(X136*VLOOKUP(C136,'General price list'!C:I,7,FALSE),"")</f>
        <v/>
      </c>
      <c r="AA136" s="805" t="str">
        <f>IF(X136&lt;&gt;"",VLOOKUP(C136,'General price list'!C138:AN1111,MATCH("HM",Tabulka1[[#Headers],[KOD]:[NEQ]],0),FALSE),"")</f>
        <v/>
      </c>
    </row>
    <row r="137" spans="1:27">
      <c r="A137">
        <f>COUNTIF($W$22:W137,1)</f>
        <v>0</v>
      </c>
      <c r="B137">
        <v>137</v>
      </c>
      <c r="C137" s="340" t="str">
        <f>Tabulka1[[#This Row],[KOD]]</f>
        <v>S60S</v>
      </c>
      <c r="W137" s="804" t="str">
        <f t="shared" si="3"/>
        <v/>
      </c>
      <c r="X137" t="str">
        <f t="shared" si="4"/>
        <v/>
      </c>
      <c r="Y137" s="341">
        <f>IF('General price list'!$AB139="",0,'General price list'!$AB139)</f>
        <v>0</v>
      </c>
      <c r="Z137" s="365" t="str">
        <f>IFERROR(X137*VLOOKUP(C137,'General price list'!C:I,7,FALSE),"")</f>
        <v/>
      </c>
      <c r="AA137" s="805" t="str">
        <f>IF(X137&lt;&gt;"",VLOOKUP(C137,'General price list'!C139:AN1112,MATCH("HM",Tabulka1[[#Headers],[KOD]:[NEQ]],0),FALSE),"")</f>
        <v/>
      </c>
    </row>
    <row r="138" spans="1:27">
      <c r="A138">
        <f>COUNTIF($W$22:W138,1)</f>
        <v>0</v>
      </c>
      <c r="B138">
        <v>138</v>
      </c>
      <c r="C138" s="340">
        <f>Tabulka1[[#This Row],[KOD]]</f>
        <v>0</v>
      </c>
      <c r="W138" s="804" t="str">
        <f t="shared" si="3"/>
        <v/>
      </c>
      <c r="X138" t="str">
        <f t="shared" si="4"/>
        <v/>
      </c>
      <c r="Y138" s="341">
        <f>IF('General price list'!$AB140="",0,'General price list'!$AB140)</f>
        <v>0</v>
      </c>
      <c r="Z138" s="365" t="str">
        <f>IFERROR(X138*VLOOKUP(C138,'General price list'!C:I,7,FALSE),"")</f>
        <v/>
      </c>
      <c r="AA138" s="805" t="str">
        <f>IF(X138&lt;&gt;"",VLOOKUP(C138,'General price list'!C140:AN1113,MATCH("HM",Tabulka1[[#Headers],[KOD]:[NEQ]],0),FALSE),"")</f>
        <v/>
      </c>
    </row>
    <row r="139" spans="1:27">
      <c r="A139">
        <f>COUNTIF($W$22:W139,1)</f>
        <v>0</v>
      </c>
      <c r="B139">
        <v>139</v>
      </c>
      <c r="C139" s="340" t="str">
        <f>Tabulka1[[#This Row],[KOD]]</f>
        <v>F1M</v>
      </c>
      <c r="W139" s="804" t="str">
        <f t="shared" si="3"/>
        <v/>
      </c>
      <c r="X139" t="str">
        <f t="shared" si="4"/>
        <v/>
      </c>
      <c r="Y139" s="341">
        <f>IF('General price list'!$AB141="",0,'General price list'!$AB141)</f>
        <v>0</v>
      </c>
      <c r="Z139" s="365" t="str">
        <f>IFERROR(X139*VLOOKUP(C139,'General price list'!C:I,7,FALSE),"")</f>
        <v/>
      </c>
      <c r="AA139" s="805" t="str">
        <f>IF(X139&lt;&gt;"",VLOOKUP(C139,'General price list'!C141:AN1114,MATCH("HM",Tabulka1[[#Headers],[KOD]:[NEQ]],0),FALSE),"")</f>
        <v/>
      </c>
    </row>
    <row r="140" spans="1:27">
      <c r="A140">
        <f>COUNTIF($W$22:W140,1)</f>
        <v>0</v>
      </c>
      <c r="B140">
        <v>140</v>
      </c>
      <c r="C140" s="340" t="str">
        <f>Tabulka1[[#This Row],[KOD]]</f>
        <v>F2M</v>
      </c>
      <c r="W140" s="804" t="str">
        <f t="shared" si="3"/>
        <v/>
      </c>
      <c r="X140" t="str">
        <f t="shared" si="4"/>
        <v/>
      </c>
      <c r="Y140" s="341">
        <f>IF('General price list'!$AB142="",0,'General price list'!$AB142)</f>
        <v>0</v>
      </c>
      <c r="Z140" s="365" t="str">
        <f>IFERROR(X140*VLOOKUP(C140,'General price list'!C:I,7,FALSE),"")</f>
        <v/>
      </c>
      <c r="AA140" s="805" t="str">
        <f>IF(X140&lt;&gt;"",VLOOKUP(C140,'General price list'!C142:AN1115,MATCH("HM",Tabulka1[[#Headers],[KOD]:[NEQ]],0),FALSE),"")</f>
        <v/>
      </c>
    </row>
    <row r="141" spans="1:27">
      <c r="A141">
        <f>COUNTIF($W$22:W141,1)</f>
        <v>0</v>
      </c>
      <c r="B141">
        <v>141</v>
      </c>
      <c r="C141" s="340" t="str">
        <f>Tabulka1[[#This Row],[KOD]]</f>
        <v>F3CC</v>
      </c>
      <c r="W141" s="804" t="str">
        <f t="shared" si="3"/>
        <v/>
      </c>
      <c r="X141" t="str">
        <f t="shared" si="4"/>
        <v/>
      </c>
      <c r="Y141" s="341">
        <f>IF('General price list'!$AB143="",0,'General price list'!$AB143)</f>
        <v>0</v>
      </c>
      <c r="Z141" s="365" t="str">
        <f>IFERROR(X141*VLOOKUP(C141,'General price list'!C:I,7,FALSE),"")</f>
        <v/>
      </c>
      <c r="AA141" s="805" t="str">
        <f>IF(X141&lt;&gt;"",VLOOKUP(C141,'General price list'!C143:AN1116,MATCH("HM",Tabulka1[[#Headers],[KOD]:[NEQ]],0),FALSE),"")</f>
        <v/>
      </c>
    </row>
    <row r="142" spans="1:27">
      <c r="A142">
        <f>COUNTIF($W$22:W142,1)</f>
        <v>0</v>
      </c>
      <c r="B142">
        <v>142</v>
      </c>
      <c r="C142" s="340" t="str">
        <f>Tabulka1[[#This Row],[KOD]]</f>
        <v>F6K</v>
      </c>
      <c r="W142" s="804" t="str">
        <f t="shared" si="3"/>
        <v/>
      </c>
      <c r="X142" t="str">
        <f t="shared" si="4"/>
        <v/>
      </c>
      <c r="Y142" s="341">
        <f>IF('General price list'!$AB144="",0,'General price list'!$AB144)</f>
        <v>0</v>
      </c>
      <c r="Z142" s="365" t="str">
        <f>IFERROR(X142*VLOOKUP(C142,'General price list'!C:I,7,FALSE),"")</f>
        <v/>
      </c>
      <c r="AA142" s="805" t="str">
        <f>IF(X142&lt;&gt;"",VLOOKUP(C142,'General price list'!C144:AN1117,MATCH("HM",Tabulka1[[#Headers],[KOD]:[NEQ]],0),FALSE),"")</f>
        <v/>
      </c>
    </row>
    <row r="143" spans="1:27">
      <c r="A143">
        <f>COUNTIF($W$22:W143,1)</f>
        <v>0</v>
      </c>
      <c r="B143">
        <v>143</v>
      </c>
      <c r="C143" s="340" t="str">
        <f>Tabulka1[[#This Row],[KOD]]</f>
        <v>F16CS</v>
      </c>
      <c r="W143" s="804" t="str">
        <f t="shared" si="3"/>
        <v/>
      </c>
      <c r="X143" t="str">
        <f t="shared" si="4"/>
        <v/>
      </c>
      <c r="Y143" s="341">
        <f>IF('General price list'!$AB145="",0,'General price list'!$AB145)</f>
        <v>0</v>
      </c>
      <c r="Z143" s="365" t="str">
        <f>IFERROR(X143*VLOOKUP(C143,'General price list'!C:I,7,FALSE),"")</f>
        <v/>
      </c>
      <c r="AA143" s="805" t="str">
        <f>IF(X143&lt;&gt;"",VLOOKUP(C143,'General price list'!C145:AN1118,MATCH("HM",Tabulka1[[#Headers],[KOD]:[NEQ]],0),FALSE),"")</f>
        <v/>
      </c>
    </row>
    <row r="144" spans="1:27">
      <c r="A144">
        <f>COUNTIF($W$22:W144,1)</f>
        <v>0</v>
      </c>
      <c r="B144">
        <v>144</v>
      </c>
      <c r="C144" s="340" t="str">
        <f>Tabulka1[[#This Row],[KOD]]</f>
        <v>F8B</v>
      </c>
      <c r="W144" s="804" t="str">
        <f t="shared" si="3"/>
        <v/>
      </c>
      <c r="X144" t="str">
        <f t="shared" si="4"/>
        <v/>
      </c>
      <c r="Y144" s="341">
        <f>IF('General price list'!$AB146="",0,'General price list'!$AB146)</f>
        <v>0</v>
      </c>
      <c r="Z144" s="365" t="str">
        <f>IFERROR(X144*VLOOKUP(C144,'General price list'!C:I,7,FALSE),"")</f>
        <v/>
      </c>
      <c r="AA144" s="805" t="str">
        <f>IF(X144&lt;&gt;"",VLOOKUP(C144,'General price list'!C146:AN1119,MATCH("HM",Tabulka1[[#Headers],[KOD]:[NEQ]],0),FALSE),"")</f>
        <v/>
      </c>
    </row>
    <row r="145" spans="1:27">
      <c r="A145">
        <f>COUNTIF($W$22:W145,1)</f>
        <v>0</v>
      </c>
      <c r="B145">
        <v>145</v>
      </c>
      <c r="C145" s="340" t="str">
        <f>Tabulka1[[#This Row],[KOD]]</f>
        <v>F10E</v>
      </c>
      <c r="W145" s="804" t="str">
        <f t="shared" si="3"/>
        <v/>
      </c>
      <c r="X145" t="str">
        <f t="shared" si="4"/>
        <v/>
      </c>
      <c r="Y145" s="341">
        <f>IF('General price list'!$AB147="",0,'General price list'!$AB147)</f>
        <v>0</v>
      </c>
      <c r="Z145" s="365" t="str">
        <f>IFERROR(X145*VLOOKUP(C145,'General price list'!C:I,7,FALSE),"")</f>
        <v/>
      </c>
      <c r="AA145" s="805" t="str">
        <f>IF(X145&lt;&gt;"",VLOOKUP(C145,'General price list'!C147:AN1120,MATCH("HM",Tabulka1[[#Headers],[KOD]:[NEQ]],0),FALSE),"")</f>
        <v/>
      </c>
    </row>
    <row r="146" spans="1:27">
      <c r="A146">
        <f>COUNTIF($W$22:W146,1)</f>
        <v>0</v>
      </c>
      <c r="B146">
        <v>146</v>
      </c>
      <c r="C146" s="340" t="str">
        <f>Tabulka1[[#This Row],[KOD]]</f>
        <v>F11M</v>
      </c>
      <c r="W146" s="804" t="str">
        <f t="shared" si="3"/>
        <v/>
      </c>
      <c r="X146" t="str">
        <f t="shared" si="4"/>
        <v/>
      </c>
      <c r="Y146" s="341">
        <f>IF('General price list'!$AB148="",0,'General price list'!$AB148)</f>
        <v>0</v>
      </c>
      <c r="Z146" s="365" t="str">
        <f>IFERROR(X146*VLOOKUP(C146,'General price list'!C:I,7,FALSE),"")</f>
        <v/>
      </c>
      <c r="AA146" s="805" t="str">
        <f>IF(X146&lt;&gt;"",VLOOKUP(C146,'General price list'!C148:AN1121,MATCH("HM",Tabulka1[[#Headers],[KOD]:[NEQ]],0),FALSE),"")</f>
        <v/>
      </c>
    </row>
    <row r="147" spans="1:27">
      <c r="A147">
        <f>COUNTIF($W$22:W147,1)</f>
        <v>0</v>
      </c>
      <c r="B147">
        <v>147</v>
      </c>
      <c r="C147" s="340" t="str">
        <f>Tabulka1[[#This Row],[KOD]]</f>
        <v>F14R</v>
      </c>
      <c r="W147" s="804" t="str">
        <f t="shared" si="3"/>
        <v/>
      </c>
      <c r="X147" t="str">
        <f t="shared" si="4"/>
        <v/>
      </c>
      <c r="Y147" s="341">
        <f>IF('General price list'!$AB149="",0,'General price list'!$AB149)</f>
        <v>0</v>
      </c>
      <c r="Z147" s="365" t="str">
        <f>IFERROR(X147*VLOOKUP(C147,'General price list'!C:I,7,FALSE),"")</f>
        <v/>
      </c>
      <c r="AA147" s="805" t="str">
        <f>IF(X147&lt;&gt;"",VLOOKUP(C147,'General price list'!C149:AN1122,MATCH("HM",Tabulka1[[#Headers],[KOD]:[NEQ]],0),FALSE),"")</f>
        <v/>
      </c>
    </row>
    <row r="148" spans="1:27">
      <c r="A148">
        <f>COUNTIF($W$22:W148,1)</f>
        <v>0</v>
      </c>
      <c r="B148">
        <v>148</v>
      </c>
      <c r="C148" s="340" t="str">
        <f>Tabulka1[[#This Row],[KOD]]</f>
        <v>F14R F</v>
      </c>
      <c r="W148" s="804" t="str">
        <f t="shared" si="3"/>
        <v/>
      </c>
      <c r="X148" t="str">
        <f t="shared" si="4"/>
        <v/>
      </c>
      <c r="Y148" s="341">
        <f>IF('General price list'!$AB150="",0,'General price list'!$AB150)</f>
        <v>0</v>
      </c>
      <c r="Z148" s="365" t="str">
        <f>IFERROR(X148*VLOOKUP(C148,'General price list'!C:I,7,FALSE),"")</f>
        <v/>
      </c>
      <c r="AA148" s="805" t="str">
        <f>IF(X148&lt;&gt;"",VLOOKUP(C148,'General price list'!C150:AN1123,MATCH("HM",Tabulka1[[#Headers],[KOD]:[NEQ]],0),FALSE),"")</f>
        <v/>
      </c>
    </row>
    <row r="149" spans="1:27">
      <c r="A149">
        <f>COUNTIF($W$22:W149,1)</f>
        <v>0</v>
      </c>
      <c r="B149">
        <v>149</v>
      </c>
      <c r="C149" s="340" t="str">
        <f>Tabulka1[[#This Row],[KOD]]</f>
        <v>F17S</v>
      </c>
      <c r="W149" s="804" t="str">
        <f t="shared" si="3"/>
        <v/>
      </c>
      <c r="X149" t="str">
        <f t="shared" si="4"/>
        <v/>
      </c>
      <c r="Y149" s="341">
        <f>IF('General price list'!$AB151="",0,'General price list'!$AB151)</f>
        <v>0</v>
      </c>
      <c r="Z149" s="365" t="str">
        <f>IFERROR(X149*VLOOKUP(C149,'General price list'!C:I,7,FALSE),"")</f>
        <v/>
      </c>
      <c r="AA149" s="805" t="str">
        <f>IF(X149&lt;&gt;"",VLOOKUP(C149,'General price list'!C151:AN1124,MATCH("HM",Tabulka1[[#Headers],[KOD]:[NEQ]],0),FALSE),"")</f>
        <v/>
      </c>
    </row>
    <row r="150" spans="1:27">
      <c r="A150">
        <f>COUNTIF($W$22:W150,1)</f>
        <v>0</v>
      </c>
      <c r="B150">
        <v>150</v>
      </c>
      <c r="C150" s="340" t="str">
        <f>Tabulka1[[#This Row],[KOD]]</f>
        <v>F18NB</v>
      </c>
      <c r="W150" s="804" t="str">
        <f t="shared" si="3"/>
        <v/>
      </c>
      <c r="X150" t="str">
        <f t="shared" si="4"/>
        <v/>
      </c>
      <c r="Y150" s="341">
        <f>IF('General price list'!$AB152="",0,'General price list'!$AB152)</f>
        <v>0</v>
      </c>
      <c r="Z150" s="365" t="str">
        <f>IFERROR(X150*VLOOKUP(C150,'General price list'!C:I,7,FALSE),"")</f>
        <v/>
      </c>
      <c r="AA150" s="805" t="str">
        <f>IF(X150&lt;&gt;"",VLOOKUP(C150,'General price list'!C152:AN1125,MATCH("HM",Tabulka1[[#Headers],[KOD]:[NEQ]],0),FALSE),"")</f>
        <v/>
      </c>
    </row>
    <row r="151" spans="1:27">
      <c r="A151">
        <f>COUNTIF($W$22:W151,1)</f>
        <v>0</v>
      </c>
      <c r="B151">
        <v>151</v>
      </c>
      <c r="C151" s="340" t="str">
        <f>Tabulka1[[#This Row],[KOD]]</f>
        <v>F216M</v>
      </c>
      <c r="W151" s="804" t="str">
        <f t="shared" si="3"/>
        <v/>
      </c>
      <c r="X151" t="str">
        <f t="shared" si="4"/>
        <v/>
      </c>
      <c r="Y151" s="341">
        <f>IF('General price list'!$AB153="",0,'General price list'!$AB153)</f>
        <v>0</v>
      </c>
      <c r="Z151" s="365" t="str">
        <f>IFERROR(X151*VLOOKUP(C151,'General price list'!C:I,7,FALSE),"")</f>
        <v/>
      </c>
      <c r="AA151" s="805" t="str">
        <f>IF(X151&lt;&gt;"",VLOOKUP(C151,'General price list'!C153:AN1126,MATCH("HM",Tabulka1[[#Headers],[KOD]:[NEQ]],0),FALSE),"")</f>
        <v/>
      </c>
    </row>
    <row r="152" spans="1:27">
      <c r="A152">
        <f>COUNTIF($W$22:W152,1)</f>
        <v>0</v>
      </c>
      <c r="B152">
        <v>152</v>
      </c>
      <c r="C152" s="340" t="str">
        <f>Tabulka1[[#This Row],[KOD]]</f>
        <v>RK25002F</v>
      </c>
      <c r="W152" s="804" t="str">
        <f t="shared" ref="W152:W215" si="5">IF(Y152+1=1,"",1)</f>
        <v/>
      </c>
      <c r="X152" t="str">
        <f t="shared" ref="X152:X215" si="6">IF(OR(A152&lt;$F$20,A152&gt;$F$21),"",IF(Y152=0,"",Y152))</f>
        <v/>
      </c>
      <c r="Y152" s="341">
        <f>IF('General price list'!$AB154="",0,'General price list'!$AB154)</f>
        <v>0</v>
      </c>
      <c r="Z152" s="365" t="str">
        <f>IFERROR(X152*VLOOKUP(C152,'General price list'!C:I,7,FALSE),"")</f>
        <v/>
      </c>
      <c r="AA152" s="805" t="str">
        <f>IF(X152&lt;&gt;"",VLOOKUP(C152,'General price list'!C154:AN1127,MATCH("HM",Tabulka1[[#Headers],[KOD]:[NEQ]],0),FALSE),"")</f>
        <v/>
      </c>
    </row>
    <row r="153" spans="1:27">
      <c r="A153">
        <f>COUNTIF($W$22:W153,1)</f>
        <v>0</v>
      </c>
      <c r="B153">
        <v>153</v>
      </c>
      <c r="C153" s="340">
        <f>Tabulka1[[#This Row],[KOD]]</f>
        <v>0</v>
      </c>
      <c r="W153" s="804" t="str">
        <f t="shared" si="5"/>
        <v/>
      </c>
      <c r="X153" t="str">
        <f t="shared" si="6"/>
        <v/>
      </c>
      <c r="Y153" s="341">
        <f>IF('General price list'!$AB155="",0,'General price list'!$AB155)</f>
        <v>0</v>
      </c>
      <c r="Z153" s="365" t="str">
        <f>IFERROR(X153*VLOOKUP(C153,'General price list'!C:I,7,FALSE),"")</f>
        <v/>
      </c>
      <c r="AA153" s="805" t="str">
        <f>IF(X153&lt;&gt;"",VLOOKUP(C153,'General price list'!C155:AN1128,MATCH("HM",Tabulka1[[#Headers],[KOD]:[NEQ]],0),FALSE),"")</f>
        <v/>
      </c>
    </row>
    <row r="154" spans="1:27">
      <c r="A154">
        <f>COUNTIF($W$22:W154,1)</f>
        <v>0</v>
      </c>
      <c r="B154">
        <v>154</v>
      </c>
      <c r="C154" s="340" t="str">
        <f>Tabulka1[[#This Row],[KOD]]</f>
        <v>F100C</v>
      </c>
      <c r="W154" s="804" t="str">
        <f t="shared" si="5"/>
        <v/>
      </c>
      <c r="X154" t="str">
        <f t="shared" si="6"/>
        <v/>
      </c>
      <c r="Y154" s="341">
        <f>IF('General price list'!$AB156="",0,'General price list'!$AB156)</f>
        <v>0</v>
      </c>
      <c r="Z154" s="365" t="str">
        <f>IFERROR(X154*VLOOKUP(C154,'General price list'!C:I,7,FALSE),"")</f>
        <v/>
      </c>
      <c r="AA154" s="805" t="str">
        <f>IF(X154&lt;&gt;"",VLOOKUP(C154,'General price list'!C156:AN1129,MATCH("HM",Tabulka1[[#Headers],[KOD]:[NEQ]],0),FALSE),"")</f>
        <v/>
      </c>
    </row>
    <row r="155" spans="1:27">
      <c r="A155">
        <f>COUNTIF($W$22:W155,1)</f>
        <v>0</v>
      </c>
      <c r="B155">
        <v>155</v>
      </c>
      <c r="C155" s="340" t="str">
        <f>Tabulka1[[#This Row],[KOD]]</f>
        <v>F100DC</v>
      </c>
      <c r="W155" s="804" t="str">
        <f t="shared" si="5"/>
        <v/>
      </c>
      <c r="X155" t="str">
        <f t="shared" si="6"/>
        <v/>
      </c>
      <c r="Y155" s="341">
        <f>IF('General price list'!$AB157="",0,'General price list'!$AB157)</f>
        <v>0</v>
      </c>
      <c r="Z155" s="365" t="str">
        <f>IFERROR(X155*VLOOKUP(C155,'General price list'!C:I,7,FALSE),"")</f>
        <v/>
      </c>
      <c r="AA155" s="805" t="str">
        <f>IF(X155&lt;&gt;"",VLOOKUP(C155,'General price list'!C157:AN1130,MATCH("HM",Tabulka1[[#Headers],[KOD]:[NEQ]],0),FALSE),"")</f>
        <v/>
      </c>
    </row>
    <row r="156" spans="1:27">
      <c r="A156">
        <f>COUNTIF($W$22:W156,1)</f>
        <v>0</v>
      </c>
      <c r="B156">
        <v>156</v>
      </c>
      <c r="C156" s="340" t="str">
        <f>Tabulka1[[#This Row],[KOD]]</f>
        <v>F250SC</v>
      </c>
      <c r="W156" s="804" t="str">
        <f t="shared" si="5"/>
        <v/>
      </c>
      <c r="X156" t="str">
        <f t="shared" si="6"/>
        <v/>
      </c>
      <c r="Y156" s="341">
        <f>IF('General price list'!$AB158="",0,'General price list'!$AB158)</f>
        <v>0</v>
      </c>
      <c r="Z156" s="365" t="str">
        <f>IFERROR(X156*VLOOKUP(C156,'General price list'!C:I,7,FALSE),"")</f>
        <v/>
      </c>
      <c r="AA156" s="805" t="str">
        <f>IF(X156&lt;&gt;"",VLOOKUP(C156,'General price list'!C158:AN1131,MATCH("HM",Tabulka1[[#Headers],[KOD]:[NEQ]],0),FALSE),"")</f>
        <v/>
      </c>
    </row>
    <row r="157" spans="1:27">
      <c r="A157">
        <f>COUNTIF($W$22:W157,1)</f>
        <v>0</v>
      </c>
      <c r="B157">
        <v>157</v>
      </c>
      <c r="C157" s="340" t="str">
        <f>Tabulka1[[#This Row],[KOD]]</f>
        <v>F250C</v>
      </c>
      <c r="W157" s="804" t="str">
        <f t="shared" si="5"/>
        <v/>
      </c>
      <c r="X157" t="str">
        <f t="shared" si="6"/>
        <v/>
      </c>
      <c r="Y157" s="341">
        <f>IF('General price list'!$AB159="",0,'General price list'!$AB159)</f>
        <v>0</v>
      </c>
      <c r="Z157" s="365" t="str">
        <f>IFERROR(X157*VLOOKUP(C157,'General price list'!C:I,7,FALSE),"")</f>
        <v/>
      </c>
      <c r="AA157" s="805" t="str">
        <f>IF(X157&lt;&gt;"",VLOOKUP(C157,'General price list'!C159:AN1132,MATCH("HM",Tabulka1[[#Headers],[KOD]:[NEQ]],0),FALSE),"")</f>
        <v/>
      </c>
    </row>
    <row r="158" spans="1:27">
      <c r="A158">
        <f>COUNTIF($W$22:W158,1)</f>
        <v>0</v>
      </c>
      <c r="B158">
        <v>158</v>
      </c>
      <c r="C158" s="340" t="str">
        <f>Tabulka1[[#This Row],[KOD]]</f>
        <v>F500SIG</v>
      </c>
      <c r="W158" s="804" t="str">
        <f t="shared" si="5"/>
        <v/>
      </c>
      <c r="X158" t="str">
        <f t="shared" si="6"/>
        <v/>
      </c>
      <c r="Y158" s="341">
        <f>IF('General price list'!$AB160="",0,'General price list'!$AB160)</f>
        <v>0</v>
      </c>
      <c r="Z158" s="365" t="str">
        <f>IFERROR(X158*VLOOKUP(C158,'General price list'!C:I,7,FALSE),"")</f>
        <v/>
      </c>
      <c r="AA158" s="805" t="str">
        <f>IF(X158&lt;&gt;"",VLOOKUP(C158,'General price list'!C160:AN1133,MATCH("HM",Tabulka1[[#Headers],[KOD]:[NEQ]],0),FALSE),"")</f>
        <v/>
      </c>
    </row>
    <row r="159" spans="1:27">
      <c r="A159">
        <f>COUNTIF($W$22:W159,1)</f>
        <v>0</v>
      </c>
      <c r="B159">
        <v>159</v>
      </c>
      <c r="C159" s="340" t="str">
        <f>Tabulka1[[#This Row],[KOD]]</f>
        <v>F500SS</v>
      </c>
      <c r="W159" s="804" t="str">
        <f t="shared" si="5"/>
        <v/>
      </c>
      <c r="X159" t="str">
        <f t="shared" si="6"/>
        <v/>
      </c>
      <c r="Y159" s="341">
        <f>IF('General price list'!$AB161="",0,'General price list'!$AB161)</f>
        <v>0</v>
      </c>
      <c r="Z159" s="365" t="str">
        <f>IFERROR(X159*VLOOKUP(C159,'General price list'!C:I,7,FALSE),"")</f>
        <v/>
      </c>
      <c r="AA159" s="805" t="str">
        <f>IF(X159&lt;&gt;"",VLOOKUP(C159,'General price list'!C161:AN1134,MATCH("HM",Tabulka1[[#Headers],[KOD]:[NEQ]],0),FALSE),"")</f>
        <v/>
      </c>
    </row>
    <row r="160" spans="1:27">
      <c r="A160">
        <f>COUNTIF($W$22:W160,1)</f>
        <v>0</v>
      </c>
      <c r="B160">
        <v>160</v>
      </c>
      <c r="C160" s="340" t="str">
        <f>Tabulka1[[#This Row],[KOD]]</f>
        <v>F500C</v>
      </c>
      <c r="W160" s="804" t="str">
        <f t="shared" si="5"/>
        <v/>
      </c>
      <c r="X160" t="str">
        <f t="shared" si="6"/>
        <v/>
      </c>
      <c r="Y160" s="341">
        <f>IF('General price list'!$AB162="",0,'General price list'!$AB162)</f>
        <v>0</v>
      </c>
      <c r="Z160" s="365" t="str">
        <f>IFERROR(X160*VLOOKUP(C160,'General price list'!C:I,7,FALSE),"")</f>
        <v/>
      </c>
      <c r="AA160" s="805" t="str">
        <f>IF(X160&lt;&gt;"",VLOOKUP(C160,'General price list'!C162:AN1135,MATCH("HM",Tabulka1[[#Headers],[KOD]:[NEQ]],0),FALSE),"")</f>
        <v/>
      </c>
    </row>
    <row r="161" spans="1:27">
      <c r="A161">
        <f>COUNTIF($W$22:W161,1)</f>
        <v>0</v>
      </c>
      <c r="B161">
        <v>161</v>
      </c>
      <c r="C161" s="340" t="str">
        <f>Tabulka1[[#This Row],[KOD]]</f>
        <v>F1000SS</v>
      </c>
      <c r="W161" s="804" t="str">
        <f t="shared" si="5"/>
        <v/>
      </c>
      <c r="X161" t="str">
        <f t="shared" si="6"/>
        <v/>
      </c>
      <c r="Y161" s="341">
        <f>IF('General price list'!$AB163="",0,'General price list'!$AB163)</f>
        <v>0</v>
      </c>
      <c r="Z161" s="365" t="str">
        <f>IFERROR(X161*VLOOKUP(C161,'General price list'!C:I,7,FALSE),"")</f>
        <v/>
      </c>
      <c r="AA161" s="805" t="str">
        <f>IF(X161&lt;&gt;"",VLOOKUP(C161,'General price list'!C163:AN1136,MATCH("HM",Tabulka1[[#Headers],[KOD]:[NEQ]],0),FALSE),"")</f>
        <v/>
      </c>
    </row>
    <row r="162" spans="1:27">
      <c r="A162">
        <f>COUNTIF($W$22:W162,1)</f>
        <v>0</v>
      </c>
      <c r="B162">
        <v>162</v>
      </c>
      <c r="C162" s="340" t="str">
        <f>Tabulka1[[#This Row],[KOD]]</f>
        <v>F1500C</v>
      </c>
      <c r="W162" s="804" t="str">
        <f t="shared" si="5"/>
        <v/>
      </c>
      <c r="X162" t="str">
        <f t="shared" si="6"/>
        <v/>
      </c>
      <c r="Y162" s="341">
        <f>IF('General price list'!$AB164="",0,'General price list'!$AB164)</f>
        <v>0</v>
      </c>
      <c r="Z162" s="365" t="str">
        <f>IFERROR(X162*VLOOKUP(C162,'General price list'!C:I,7,FALSE),"")</f>
        <v/>
      </c>
      <c r="AA162" s="805" t="str">
        <f>IF(X162&lt;&gt;"",VLOOKUP(C162,'General price list'!C164:AN1137,MATCH("HM",Tabulka1[[#Headers],[KOD]:[NEQ]],0),FALSE),"")</f>
        <v/>
      </c>
    </row>
    <row r="163" spans="1:27">
      <c r="A163">
        <f>COUNTIF($W$22:W163,1)</f>
        <v>0</v>
      </c>
      <c r="B163">
        <v>163</v>
      </c>
      <c r="C163" s="340">
        <f>Tabulka1[[#This Row],[KOD]]</f>
        <v>0</v>
      </c>
      <c r="W163" s="804" t="str">
        <f t="shared" si="5"/>
        <v/>
      </c>
      <c r="X163" t="str">
        <f t="shared" si="6"/>
        <v/>
      </c>
      <c r="Y163" s="341">
        <f>IF('General price list'!$AB165="",0,'General price list'!$AB165)</f>
        <v>0</v>
      </c>
      <c r="Z163" s="365" t="str">
        <f>IFERROR(X163*VLOOKUP(C163,'General price list'!C:I,7,FALSE),"")</f>
        <v/>
      </c>
      <c r="AA163" s="805" t="str">
        <f>IF(X163&lt;&gt;"",VLOOKUP(C163,'General price list'!C165:AN1138,MATCH("HM",Tabulka1[[#Headers],[KOD]:[NEQ]],0),FALSE),"")</f>
        <v/>
      </c>
    </row>
    <row r="164" spans="1:27">
      <c r="A164">
        <f>COUNTIF($W$22:W164,1)</f>
        <v>0</v>
      </c>
      <c r="B164">
        <v>164</v>
      </c>
      <c r="C164" s="340" t="str">
        <f>Tabulka1[[#This Row],[KOD]]</f>
        <v>F3N</v>
      </c>
      <c r="W164" s="804" t="str">
        <f t="shared" si="5"/>
        <v/>
      </c>
      <c r="X164" t="str">
        <f t="shared" si="6"/>
        <v/>
      </c>
      <c r="Y164" s="341">
        <f>IF('General price list'!$AB166="",0,'General price list'!$AB166)</f>
        <v>0</v>
      </c>
      <c r="Z164" s="365" t="str">
        <f>IFERROR(X164*VLOOKUP(C164,'General price list'!C:I,7,FALSE),"")</f>
        <v/>
      </c>
      <c r="AA164" s="805" t="str">
        <f>IF(X164&lt;&gt;"",VLOOKUP(C164,'General price list'!C166:AN1139,MATCH("HM",Tabulka1[[#Headers],[KOD]:[NEQ]],0),FALSE),"")</f>
        <v/>
      </c>
    </row>
    <row r="165" spans="1:27">
      <c r="A165">
        <f>COUNTIF($W$22:W165,1)</f>
        <v>0</v>
      </c>
      <c r="B165">
        <v>165</v>
      </c>
      <c r="C165" s="340" t="str">
        <f>Tabulka1[[#This Row],[KOD]]</f>
        <v>DF10CM</v>
      </c>
      <c r="W165" s="804" t="str">
        <f t="shared" si="5"/>
        <v/>
      </c>
      <c r="X165" t="str">
        <f t="shared" si="6"/>
        <v/>
      </c>
      <c r="Y165" s="341">
        <f>IF('General price list'!$AB167="",0,'General price list'!$AB167)</f>
        <v>0</v>
      </c>
      <c r="Z165" s="365" t="str">
        <f>IFERROR(X165*VLOOKUP(C165,'General price list'!C:I,7,FALSE),"")</f>
        <v/>
      </c>
      <c r="AA165" s="805" t="str">
        <f>IF(X165&lt;&gt;"",VLOOKUP(C165,'General price list'!C167:AN1140,MATCH("HM",Tabulka1[[#Headers],[KOD]:[NEQ]],0),FALSE),"")</f>
        <v/>
      </c>
    </row>
    <row r="166" spans="1:27">
      <c r="A166">
        <f>COUNTIF($W$22:W166,1)</f>
        <v>0</v>
      </c>
      <c r="B166">
        <v>166</v>
      </c>
      <c r="C166" s="340" t="str">
        <f>Tabulka1[[#This Row],[KOD]]</f>
        <v>DF20CM</v>
      </c>
      <c r="W166" s="804" t="str">
        <f t="shared" si="5"/>
        <v/>
      </c>
      <c r="X166" t="str">
        <f t="shared" si="6"/>
        <v/>
      </c>
      <c r="Y166" s="341">
        <f>IF('General price list'!$AB168="",0,'General price list'!$AB168)</f>
        <v>0</v>
      </c>
      <c r="Z166" s="365" t="str">
        <f>IFERROR(X166*VLOOKUP(C166,'General price list'!C:I,7,FALSE),"")</f>
        <v/>
      </c>
      <c r="AA166" s="805" t="str">
        <f>IF(X166&lt;&gt;"",VLOOKUP(C166,'General price list'!C168:AN1141,MATCH("HM",Tabulka1[[#Headers],[KOD]:[NEQ]],0),FALSE),"")</f>
        <v/>
      </c>
    </row>
    <row r="167" spans="1:27">
      <c r="A167">
        <f>COUNTIF($W$22:W167,1)</f>
        <v>0</v>
      </c>
      <c r="B167">
        <v>167</v>
      </c>
      <c r="C167" s="340" t="str">
        <f>Tabulka1[[#This Row],[KOD]]</f>
        <v>DF30CM</v>
      </c>
      <c r="W167" s="804" t="str">
        <f t="shared" si="5"/>
        <v/>
      </c>
      <c r="X167" t="str">
        <f t="shared" si="6"/>
        <v/>
      </c>
      <c r="Y167" s="341">
        <f>IF('General price list'!$AB169="",0,'General price list'!$AB169)</f>
        <v>0</v>
      </c>
      <c r="Z167" s="365" t="str">
        <f>IFERROR(X167*VLOOKUP(C167,'General price list'!C:I,7,FALSE),"")</f>
        <v/>
      </c>
      <c r="AA167" s="805" t="str">
        <f>IF(X167&lt;&gt;"",VLOOKUP(C167,'General price list'!C169:AN1142,MATCH("HM",Tabulka1[[#Headers],[KOD]:[NEQ]],0),FALSE),"")</f>
        <v/>
      </c>
    </row>
    <row r="168" spans="1:27">
      <c r="A168">
        <f>COUNTIF($W$22:W168,1)</f>
        <v>0</v>
      </c>
      <c r="B168">
        <v>168</v>
      </c>
      <c r="C168" s="340">
        <f>Tabulka1[[#This Row],[KOD]]</f>
        <v>0</v>
      </c>
      <c r="W168" s="804" t="str">
        <f t="shared" si="5"/>
        <v/>
      </c>
      <c r="X168" t="str">
        <f t="shared" si="6"/>
        <v/>
      </c>
      <c r="Y168" s="341">
        <f>IF('General price list'!$AB170="",0,'General price list'!$AB170)</f>
        <v>0</v>
      </c>
      <c r="Z168" s="365" t="str">
        <f>IFERROR(X168*VLOOKUP(C168,'General price list'!C:I,7,FALSE),"")</f>
        <v/>
      </c>
      <c r="AA168" s="805" t="str">
        <f>IF(X168&lt;&gt;"",VLOOKUP(C168,'General price list'!C170:AN1143,MATCH("HM",Tabulka1[[#Headers],[KOD]:[NEQ]],0),FALSE),"")</f>
        <v/>
      </c>
    </row>
    <row r="169" spans="1:27">
      <c r="A169">
        <f>COUNTIF($W$22:W169,1)</f>
        <v>0</v>
      </c>
      <c r="B169">
        <v>169</v>
      </c>
      <c r="C169" s="340" t="str">
        <f>Tabulka1[[#This Row],[KOD]]</f>
        <v>CON80P</v>
      </c>
      <c r="W169" s="804" t="str">
        <f t="shared" si="5"/>
        <v/>
      </c>
      <c r="X169" t="str">
        <f t="shared" si="6"/>
        <v/>
      </c>
      <c r="Y169" s="341">
        <f>IF('General price list'!$AB171="",0,'General price list'!$AB171)</f>
        <v>0</v>
      </c>
      <c r="Z169" s="365" t="str">
        <f>IFERROR(X169*VLOOKUP(C169,'General price list'!C:I,7,FALSE),"")</f>
        <v/>
      </c>
      <c r="AA169" s="805" t="str">
        <f>IF(X169&lt;&gt;"",VLOOKUP(C169,'General price list'!C171:AN1144,MATCH("HM",Tabulka1[[#Headers],[KOD]:[NEQ]],0),FALSE),"")</f>
        <v/>
      </c>
    </row>
    <row r="170" spans="1:27">
      <c r="A170">
        <f>COUNTIF($W$22:W170,1)</f>
        <v>0</v>
      </c>
      <c r="B170">
        <v>170</v>
      </c>
      <c r="C170" s="340">
        <f>Tabulka1[[#This Row],[KOD]]</f>
        <v>0</v>
      </c>
      <c r="W170" s="804" t="str">
        <f t="shared" si="5"/>
        <v/>
      </c>
      <c r="X170" t="str">
        <f t="shared" si="6"/>
        <v/>
      </c>
      <c r="Y170" s="341">
        <f>IF('General price list'!$AB172="",0,'General price list'!$AB172)</f>
        <v>0</v>
      </c>
      <c r="Z170" s="365" t="str">
        <f>IFERROR(X170*VLOOKUP(C170,'General price list'!C:I,7,FALSE),"")</f>
        <v/>
      </c>
      <c r="AA170" s="805" t="str">
        <f>IF(X170&lt;&gt;"",VLOOKUP(C170,'General price list'!C172:AN1145,MATCH("HM",Tabulka1[[#Headers],[KOD]:[NEQ]],0),FALSE),"")</f>
        <v/>
      </c>
    </row>
    <row r="171" spans="1:27">
      <c r="A171">
        <f>COUNTIF($W$22:W171,1)</f>
        <v>0</v>
      </c>
      <c r="B171">
        <v>171</v>
      </c>
      <c r="C171" s="340" t="str">
        <f>Tabulka1[[#This Row],[KOD]]</f>
        <v>R4420B</v>
      </c>
      <c r="W171" s="804" t="str">
        <f t="shared" si="5"/>
        <v/>
      </c>
      <c r="X171" t="str">
        <f t="shared" si="6"/>
        <v/>
      </c>
      <c r="Y171" s="341">
        <f>IF('General price list'!$AB173="",0,'General price list'!$AB173)</f>
        <v>0</v>
      </c>
      <c r="Z171" s="365" t="str">
        <f>IFERROR(X171*VLOOKUP(C171,'General price list'!C:I,7,FALSE),"")</f>
        <v/>
      </c>
      <c r="AA171" s="805" t="str">
        <f>IF(X171&lt;&gt;"",VLOOKUP(C171,'General price list'!C173:AN1146,MATCH("HM",Tabulka1[[#Headers],[KOD]:[NEQ]],0),FALSE),"")</f>
        <v/>
      </c>
    </row>
    <row r="172" spans="1:27">
      <c r="A172">
        <f>COUNTIF($W$22:W172,1)</f>
        <v>0</v>
      </c>
      <c r="B172">
        <v>172</v>
      </c>
      <c r="C172" s="340" t="str">
        <f>Tabulka1[[#This Row],[KOD]]</f>
        <v>R7040C</v>
      </c>
      <c r="W172" s="804" t="str">
        <f t="shared" si="5"/>
        <v/>
      </c>
      <c r="X172" t="str">
        <f t="shared" si="6"/>
        <v/>
      </c>
      <c r="Y172" s="341">
        <f>IF('General price list'!$AB174="",0,'General price list'!$AB174)</f>
        <v>0</v>
      </c>
      <c r="Z172" s="365" t="str">
        <f>IFERROR(X172*VLOOKUP(C172,'General price list'!C:I,7,FALSE),"")</f>
        <v/>
      </c>
      <c r="AA172" s="805" t="str">
        <f>IF(X172&lt;&gt;"",VLOOKUP(C172,'General price list'!C174:AN1147,MATCH("HM",Tabulka1[[#Headers],[KOD]:[NEQ]],0),FALSE),"")</f>
        <v/>
      </c>
    </row>
    <row r="173" spans="1:27">
      <c r="A173">
        <f>COUNTIF($W$22:W173,1)</f>
        <v>0</v>
      </c>
      <c r="B173">
        <v>173</v>
      </c>
      <c r="C173" s="340">
        <f>Tabulka1[[#This Row],[KOD]]</f>
        <v>0</v>
      </c>
      <c r="W173" s="804" t="str">
        <f t="shared" si="5"/>
        <v/>
      </c>
      <c r="X173" t="str">
        <f t="shared" si="6"/>
        <v/>
      </c>
      <c r="Y173" s="341">
        <f>IF('General price list'!$AB175="",0,'General price list'!$AB175)</f>
        <v>0</v>
      </c>
      <c r="Z173" s="365" t="str">
        <f>IFERROR(X173*VLOOKUP(C173,'General price list'!C:I,7,FALSE),"")</f>
        <v/>
      </c>
      <c r="AA173" s="805" t="str">
        <f>IF(X173&lt;&gt;"",VLOOKUP(C173,'General price list'!C175:AN1148,MATCH("HM",Tabulka1[[#Headers],[KOD]:[NEQ]],0),FALSE),"")</f>
        <v/>
      </c>
    </row>
    <row r="174" spans="1:27">
      <c r="A174">
        <f>COUNTIF($W$22:W174,1)</f>
        <v>0</v>
      </c>
      <c r="B174">
        <v>174</v>
      </c>
      <c r="C174" s="340" t="str">
        <f>Tabulka1[[#This Row],[KOD]]</f>
        <v>R5410B</v>
      </c>
      <c r="W174" s="804" t="str">
        <f t="shared" si="5"/>
        <v/>
      </c>
      <c r="X174" t="str">
        <f t="shared" si="6"/>
        <v/>
      </c>
      <c r="Y174" s="341">
        <f>IF('General price list'!$AB176="",0,'General price list'!$AB176)</f>
        <v>0</v>
      </c>
      <c r="Z174" s="365" t="str">
        <f>IFERROR(X174*VLOOKUP(C174,'General price list'!C:I,7,FALSE),"")</f>
        <v/>
      </c>
      <c r="AA174" s="805" t="str">
        <f>IF(X174&lt;&gt;"",VLOOKUP(C174,'General price list'!C176:AN1149,MATCH("HM",Tabulka1[[#Headers],[KOD]:[NEQ]],0),FALSE),"")</f>
        <v/>
      </c>
    </row>
    <row r="175" spans="1:27">
      <c r="A175">
        <f>COUNTIF($W$22:W175,1)</f>
        <v>0</v>
      </c>
      <c r="B175">
        <v>175</v>
      </c>
      <c r="C175" s="340" t="str">
        <f>Tabulka1[[#This Row],[KOD]]</f>
        <v>R5420K</v>
      </c>
      <c r="W175" s="804" t="str">
        <f t="shared" si="5"/>
        <v/>
      </c>
      <c r="X175" t="str">
        <f t="shared" si="6"/>
        <v/>
      </c>
      <c r="Y175" s="341">
        <f>IF('General price list'!$AB177="",0,'General price list'!$AB177)</f>
        <v>0</v>
      </c>
      <c r="Z175" s="365" t="str">
        <f>IFERROR(X175*VLOOKUP(C175,'General price list'!C:I,7,FALSE),"")</f>
        <v/>
      </c>
      <c r="AA175" s="805" t="str">
        <f>IF(X175&lt;&gt;"",VLOOKUP(C175,'General price list'!C177:AN1150,MATCH("HM",Tabulka1[[#Headers],[KOD]:[NEQ]],0),FALSE),"")</f>
        <v/>
      </c>
    </row>
    <row r="176" spans="1:27">
      <c r="A176">
        <f>COUNTIF($W$22:W176,1)</f>
        <v>0</v>
      </c>
      <c r="B176">
        <v>176</v>
      </c>
      <c r="C176" s="340" t="str">
        <f>Tabulka1[[#This Row],[KOD]]</f>
        <v>R7020K</v>
      </c>
      <c r="W176" s="804" t="str">
        <f t="shared" si="5"/>
        <v/>
      </c>
      <c r="X176" t="str">
        <f t="shared" si="6"/>
        <v/>
      </c>
      <c r="Y176" s="341">
        <f>IF('General price list'!$AB178="",0,'General price list'!$AB178)</f>
        <v>0</v>
      </c>
      <c r="Z176" s="365" t="str">
        <f>IFERROR(X176*VLOOKUP(C176,'General price list'!C:I,7,FALSE),"")</f>
        <v/>
      </c>
      <c r="AA176" s="805" t="str">
        <f>IF(X176&lt;&gt;"",VLOOKUP(C176,'General price list'!C178:AN1151,MATCH("HM",Tabulka1[[#Headers],[KOD]:[NEQ]],0),FALSE),"")</f>
        <v/>
      </c>
    </row>
    <row r="177" spans="1:27">
      <c r="A177">
        <f>COUNTIF($W$22:W177,1)</f>
        <v>0</v>
      </c>
      <c r="B177">
        <v>177</v>
      </c>
      <c r="C177" s="340" t="str">
        <f>Tabulka1[[#This Row],[KOD]]</f>
        <v>R6020B</v>
      </c>
      <c r="W177" s="804" t="str">
        <f t="shared" si="5"/>
        <v/>
      </c>
      <c r="X177" t="str">
        <f t="shared" si="6"/>
        <v/>
      </c>
      <c r="Y177" s="341">
        <f>IF('General price list'!$AB179="",0,'General price list'!$AB179)</f>
        <v>0</v>
      </c>
      <c r="Z177" s="365" t="str">
        <f>IFERROR(X177*VLOOKUP(C177,'General price list'!C:I,7,FALSE),"")</f>
        <v/>
      </c>
      <c r="AA177" s="805" t="str">
        <f>IF(X177&lt;&gt;"",VLOOKUP(C177,'General price list'!C179:AN1152,MATCH("HM",Tabulka1[[#Headers],[KOD]:[NEQ]],0),FALSE),"")</f>
        <v/>
      </c>
    </row>
    <row r="178" spans="1:27">
      <c r="A178">
        <f>COUNTIF($W$22:W178,1)</f>
        <v>0</v>
      </c>
      <c r="B178">
        <v>178</v>
      </c>
      <c r="C178" s="340" t="str">
        <f>Tabulka1[[#This Row],[KOD]]</f>
        <v>R6520BK/2</v>
      </c>
      <c r="W178" s="804" t="str">
        <f t="shared" si="5"/>
        <v/>
      </c>
      <c r="X178" t="str">
        <f t="shared" si="6"/>
        <v/>
      </c>
      <c r="Y178" s="341">
        <f>IF('General price list'!$AB180="",0,'General price list'!$AB180)</f>
        <v>0</v>
      </c>
      <c r="Z178" s="365" t="str">
        <f>IFERROR(X178*VLOOKUP(C178,'General price list'!C:I,7,FALSE),"")</f>
        <v/>
      </c>
      <c r="AA178" s="805" t="str">
        <f>IF(X178&lt;&gt;"",VLOOKUP(C178,'General price list'!C180:AN1153,MATCH("HM",Tabulka1[[#Headers],[KOD]:[NEQ]],0),FALSE),"")</f>
        <v/>
      </c>
    </row>
    <row r="179" spans="1:27">
      <c r="A179">
        <f>COUNTIF($W$22:W179,1)</f>
        <v>0</v>
      </c>
      <c r="B179">
        <v>179</v>
      </c>
      <c r="C179" s="340" t="str">
        <f>Tabulka1[[#This Row],[KOD]]</f>
        <v>R6020M</v>
      </c>
      <c r="W179" s="804" t="str">
        <f t="shared" si="5"/>
        <v/>
      </c>
      <c r="X179" t="str">
        <f t="shared" si="6"/>
        <v/>
      </c>
      <c r="Y179" s="341">
        <f>IF('General price list'!$AB181="",0,'General price list'!$AB181)</f>
        <v>0</v>
      </c>
      <c r="Z179" s="365" t="str">
        <f>IFERROR(X179*VLOOKUP(C179,'General price list'!C:I,7,FALSE),"")</f>
        <v/>
      </c>
      <c r="AA179" s="805" t="str">
        <f>IF(X179&lt;&gt;"",VLOOKUP(C179,'General price list'!C181:AN1154,MATCH("HM",Tabulka1[[#Headers],[KOD]:[NEQ]],0),FALSE),"")</f>
        <v/>
      </c>
    </row>
    <row r="180" spans="1:27">
      <c r="A180">
        <f>COUNTIF($W$22:W180,1)</f>
        <v>0</v>
      </c>
      <c r="B180">
        <v>180</v>
      </c>
      <c r="C180" s="340" t="str">
        <f>Tabulka1[[#This Row],[KOD]]</f>
        <v>R7020M</v>
      </c>
      <c r="W180" s="804" t="str">
        <f t="shared" si="5"/>
        <v/>
      </c>
      <c r="X180" t="str">
        <f t="shared" si="6"/>
        <v/>
      </c>
      <c r="Y180" s="341">
        <f>IF('General price list'!$AB182="",0,'General price list'!$AB182)</f>
        <v>0</v>
      </c>
      <c r="Z180" s="365" t="str">
        <f>IFERROR(X180*VLOOKUP(C180,'General price list'!C:I,7,FALSE),"")</f>
        <v/>
      </c>
      <c r="AA180" s="805" t="str">
        <f>IF(X180&lt;&gt;"",VLOOKUP(C180,'General price list'!C182:AN1155,MATCH("HM",Tabulka1[[#Headers],[KOD]:[NEQ]],0),FALSE),"")</f>
        <v/>
      </c>
    </row>
    <row r="181" spans="1:27">
      <c r="A181">
        <f>COUNTIF($W$22:W181,1)</f>
        <v>0</v>
      </c>
      <c r="B181">
        <v>181</v>
      </c>
      <c r="C181" s="340">
        <f>Tabulka1[[#This Row],[KOD]]</f>
        <v>0</v>
      </c>
      <c r="W181" s="804" t="str">
        <f t="shared" si="5"/>
        <v/>
      </c>
      <c r="X181" t="str">
        <f t="shared" si="6"/>
        <v/>
      </c>
      <c r="Y181" s="341">
        <f>IF('General price list'!$AB183="",0,'General price list'!$AB183)</f>
        <v>0</v>
      </c>
      <c r="Z181" s="365" t="str">
        <f>IFERROR(X181*VLOOKUP(C181,'General price list'!C:I,7,FALSE),"")</f>
        <v/>
      </c>
      <c r="AA181" s="805" t="str">
        <f>IF(X181&lt;&gt;"",VLOOKUP(C181,'General price list'!C183:AN1156,MATCH("HM",Tabulka1[[#Headers],[KOD]:[NEQ]],0),FALSE),"")</f>
        <v/>
      </c>
    </row>
    <row r="182" spans="1:27">
      <c r="A182">
        <f>COUNTIF($W$22:W182,1)</f>
        <v>0</v>
      </c>
      <c r="B182">
        <v>182</v>
      </c>
      <c r="C182" s="340" t="str">
        <f>Tabulka1[[#This Row],[KOD]]</f>
        <v>R60508E</v>
      </c>
      <c r="W182" s="804" t="str">
        <f t="shared" si="5"/>
        <v/>
      </c>
      <c r="X182" t="str">
        <f t="shared" si="6"/>
        <v/>
      </c>
      <c r="Y182" s="341">
        <f>IF('General price list'!$AB184="",0,'General price list'!$AB184)</f>
        <v>0</v>
      </c>
      <c r="Z182" s="365" t="str">
        <f>IFERROR(X182*VLOOKUP(C182,'General price list'!C:I,7,FALSE),"")</f>
        <v/>
      </c>
      <c r="AA182" s="805" t="str">
        <f>IF(X182&lt;&gt;"",VLOOKUP(C182,'General price list'!C184:AN1157,MATCH("HM",Tabulka1[[#Headers],[KOD]:[NEQ]],0),FALSE),"")</f>
        <v/>
      </c>
    </row>
    <row r="183" spans="1:27">
      <c r="A183">
        <f>COUNTIF($W$22:W183,1)</f>
        <v>0</v>
      </c>
      <c r="B183">
        <v>183</v>
      </c>
      <c r="C183" s="340" t="str">
        <f>Tabulka1[[#This Row],[KOD]]</f>
        <v>R6508S</v>
      </c>
      <c r="W183" s="804" t="str">
        <f t="shared" si="5"/>
        <v/>
      </c>
      <c r="X183" t="str">
        <f t="shared" si="6"/>
        <v/>
      </c>
      <c r="Y183" s="341">
        <f>IF('General price list'!$AB185="",0,'General price list'!$AB185)</f>
        <v>0</v>
      </c>
      <c r="Z183" s="365" t="str">
        <f>IFERROR(X183*VLOOKUP(C183,'General price list'!C:I,7,FALSE),"")</f>
        <v/>
      </c>
      <c r="AA183" s="805" t="str">
        <f>IF(X183&lt;&gt;"",VLOOKUP(C183,'General price list'!C185:AN1158,MATCH("HM",Tabulka1[[#Headers],[KOD]:[NEQ]],0),FALSE),"")</f>
        <v/>
      </c>
    </row>
    <row r="184" spans="1:27">
      <c r="A184">
        <f>COUNTIF($W$22:W184,1)</f>
        <v>0</v>
      </c>
      <c r="B184">
        <v>184</v>
      </c>
      <c r="C184" s="340" t="str">
        <f>Tabulka1[[#This Row],[KOD]]</f>
        <v>R75508SIG</v>
      </c>
      <c r="W184" s="804" t="str">
        <f t="shared" si="5"/>
        <v/>
      </c>
      <c r="X184" t="str">
        <f t="shared" si="6"/>
        <v/>
      </c>
      <c r="Y184" s="341">
        <f>IF('General price list'!$AB186="",0,'General price list'!$AB186)</f>
        <v>0</v>
      </c>
      <c r="Z184" s="365" t="str">
        <f>IFERROR(X184*VLOOKUP(C184,'General price list'!C:I,7,FALSE),"")</f>
        <v/>
      </c>
      <c r="AA184" s="805" t="str">
        <f>IF(X184&lt;&gt;"",VLOOKUP(C184,'General price list'!C186:AN1159,MATCH("HM",Tabulka1[[#Headers],[KOD]:[NEQ]],0),FALSE),"")</f>
        <v/>
      </c>
    </row>
    <row r="185" spans="1:27">
      <c r="A185">
        <f>COUNTIF($W$22:W185,1)</f>
        <v>0</v>
      </c>
      <c r="B185">
        <v>185</v>
      </c>
      <c r="C185" s="340">
        <f>Tabulka1[[#This Row],[KOD]]</f>
        <v>0</v>
      </c>
      <c r="W185" s="804" t="str">
        <f t="shared" si="5"/>
        <v/>
      </c>
      <c r="X185" t="str">
        <f t="shared" si="6"/>
        <v/>
      </c>
      <c r="Y185" s="341">
        <f>IF('General price list'!$AB187="",0,'General price list'!$AB187)</f>
        <v>0</v>
      </c>
      <c r="Z185" s="365" t="str">
        <f>IFERROR(X185*VLOOKUP(C185,'General price list'!C:I,7,FALSE),"")</f>
        <v/>
      </c>
      <c r="AA185" s="805" t="str">
        <f>IF(X185&lt;&gt;"",VLOOKUP(C185,'General price list'!C187:AN1160,MATCH("HM",Tabulka1[[#Headers],[KOD]:[NEQ]],0),FALSE),"")</f>
        <v/>
      </c>
    </row>
    <row r="186" spans="1:27">
      <c r="A186">
        <f>COUNTIF($W$22:W186,1)</f>
        <v>0</v>
      </c>
      <c r="B186">
        <v>186</v>
      </c>
      <c r="C186" s="340" t="str">
        <f>Tabulka1[[#This Row],[KOD]]</f>
        <v>R5808D</v>
      </c>
      <c r="W186" s="804" t="str">
        <f t="shared" si="5"/>
        <v/>
      </c>
      <c r="X186" t="str">
        <f t="shared" si="6"/>
        <v/>
      </c>
      <c r="Y186" s="341">
        <f>IF('General price list'!$AB188="",0,'General price list'!$AB188)</f>
        <v>0</v>
      </c>
      <c r="Z186" s="365" t="str">
        <f>IFERROR(X186*VLOOKUP(C186,'General price list'!C:I,7,FALSE),"")</f>
        <v/>
      </c>
      <c r="AA186" s="805" t="str">
        <f>IF(X186&lt;&gt;"",VLOOKUP(C186,'General price list'!C188:AN1161,MATCH("HM",Tabulka1[[#Headers],[KOD]:[NEQ]],0),FALSE),"")</f>
        <v/>
      </c>
    </row>
    <row r="187" spans="1:27">
      <c r="A187">
        <f>COUNTIF($W$22:W187,1)</f>
        <v>0</v>
      </c>
      <c r="B187">
        <v>187</v>
      </c>
      <c r="C187" s="340" t="str">
        <f>Tabulka1[[#This Row],[KOD]]</f>
        <v>R6008E</v>
      </c>
      <c r="W187" s="804" t="str">
        <f t="shared" si="5"/>
        <v/>
      </c>
      <c r="X187" t="str">
        <f t="shared" si="6"/>
        <v/>
      </c>
      <c r="Y187" s="341">
        <f>IF('General price list'!$AB189="",0,'General price list'!$AB189)</f>
        <v>0</v>
      </c>
      <c r="Z187" s="365" t="str">
        <f>IFERROR(X187*VLOOKUP(C187,'General price list'!C:I,7,FALSE),"")</f>
        <v/>
      </c>
      <c r="AA187" s="805" t="str">
        <f>IF(X187&lt;&gt;"",VLOOKUP(C187,'General price list'!C189:AN1162,MATCH("HM",Tabulka1[[#Headers],[KOD]:[NEQ]],0),FALSE),"")</f>
        <v/>
      </c>
    </row>
    <row r="188" spans="1:27">
      <c r="A188">
        <f>COUNTIF($W$22:W188,1)</f>
        <v>0</v>
      </c>
      <c r="B188">
        <v>188</v>
      </c>
      <c r="C188" s="340" t="str">
        <f>Tabulka1[[#This Row],[KOD]]</f>
        <v>R6008M</v>
      </c>
      <c r="W188" s="804" t="str">
        <f t="shared" si="5"/>
        <v/>
      </c>
      <c r="X188" t="str">
        <f t="shared" si="6"/>
        <v/>
      </c>
      <c r="Y188" s="341">
        <f>IF('General price list'!$AB190="",0,'General price list'!$AB190)</f>
        <v>0</v>
      </c>
      <c r="Z188" s="365" t="str">
        <f>IFERROR(X188*VLOOKUP(C188,'General price list'!C:I,7,FALSE),"")</f>
        <v/>
      </c>
      <c r="AA188" s="805" t="str">
        <f>IF(X188&lt;&gt;"",VLOOKUP(C188,'General price list'!C190:AN1163,MATCH("HM",Tabulka1[[#Headers],[KOD]:[NEQ]],0),FALSE),"")</f>
        <v/>
      </c>
    </row>
    <row r="189" spans="1:27">
      <c r="A189">
        <f>COUNTIF($W$22:W189,1)</f>
        <v>0</v>
      </c>
      <c r="B189">
        <v>189</v>
      </c>
      <c r="C189" s="340" t="str">
        <f>Tabulka1[[#This Row],[KOD]]</f>
        <v>R7508E</v>
      </c>
      <c r="W189" s="804" t="str">
        <f t="shared" si="5"/>
        <v/>
      </c>
      <c r="X189" t="str">
        <f t="shared" si="6"/>
        <v/>
      </c>
      <c r="Y189" s="341">
        <f>IF('General price list'!$AB191="",0,'General price list'!$AB191)</f>
        <v>0</v>
      </c>
      <c r="Z189" s="365" t="str">
        <f>IFERROR(X189*VLOOKUP(C189,'General price list'!C:I,7,FALSE),"")</f>
        <v/>
      </c>
      <c r="AA189" s="805" t="str">
        <f>IF(X189&lt;&gt;"",VLOOKUP(C189,'General price list'!C191:AN1164,MATCH("HM",Tabulka1[[#Headers],[KOD]:[NEQ]],0),FALSE),"")</f>
        <v/>
      </c>
    </row>
    <row r="190" spans="1:27">
      <c r="A190">
        <f>COUNTIF($W$22:W190,1)</f>
        <v>0</v>
      </c>
      <c r="B190">
        <v>190</v>
      </c>
      <c r="C190" s="340" t="str">
        <f>Tabulka1[[#This Row],[KOD]]</f>
        <v>R7508SIG</v>
      </c>
      <c r="W190" s="804" t="str">
        <f t="shared" si="5"/>
        <v/>
      </c>
      <c r="X190" t="str">
        <f t="shared" si="6"/>
        <v/>
      </c>
      <c r="Y190" s="341">
        <f>IF('General price list'!$AB192="",0,'General price list'!$AB192)</f>
        <v>0</v>
      </c>
      <c r="Z190" s="365" t="str">
        <f>IFERROR(X190*VLOOKUP(C190,'General price list'!C:I,7,FALSE),"")</f>
        <v/>
      </c>
      <c r="AA190" s="805" t="str">
        <f>IF(X190&lt;&gt;"",VLOOKUP(C190,'General price list'!C192:AN1165,MATCH("HM",Tabulka1[[#Headers],[KOD]:[NEQ]],0),FALSE),"")</f>
        <v/>
      </c>
    </row>
    <row r="191" spans="1:27">
      <c r="A191">
        <f>COUNTIF($W$22:W191,1)</f>
        <v>0</v>
      </c>
      <c r="B191">
        <v>191</v>
      </c>
      <c r="C191" s="340">
        <f>Tabulka1[[#This Row],[KOD]]</f>
        <v>0</v>
      </c>
      <c r="W191" s="804" t="str">
        <f t="shared" si="5"/>
        <v/>
      </c>
      <c r="X191" t="str">
        <f t="shared" si="6"/>
        <v/>
      </c>
      <c r="Y191" s="341">
        <f>IF('General price list'!$AB193="",0,'General price list'!$AB193)</f>
        <v>0</v>
      </c>
      <c r="Z191" s="365" t="str">
        <f>IFERROR(X191*VLOOKUP(C191,'General price list'!C:I,7,FALSE),"")</f>
        <v/>
      </c>
      <c r="AA191" s="805" t="str">
        <f>IF(X191&lt;&gt;"",VLOOKUP(C191,'General price list'!C193:AN1166,MATCH("HM",Tabulka1[[#Headers],[KOD]:[NEQ]],0),FALSE),"")</f>
        <v/>
      </c>
    </row>
    <row r="192" spans="1:27">
      <c r="A192">
        <f>COUNTIF($W$22:W192,1)</f>
        <v>0</v>
      </c>
      <c r="B192">
        <v>192</v>
      </c>
      <c r="C192" s="340" t="str">
        <f>Tabulka1[[#This Row],[KOD]]</f>
        <v>R7538S</v>
      </c>
      <c r="W192" s="804" t="str">
        <f t="shared" si="5"/>
        <v/>
      </c>
      <c r="X192" t="str">
        <f t="shared" si="6"/>
        <v/>
      </c>
      <c r="Y192" s="341">
        <f>IF('General price list'!$AB194="",0,'General price list'!$AB194)</f>
        <v>0</v>
      </c>
      <c r="Z192" s="365" t="str">
        <f>IFERROR(X192*VLOOKUP(C192,'General price list'!C:I,7,FALSE),"")</f>
        <v/>
      </c>
      <c r="AA192" s="805" t="str">
        <f>IF(X192&lt;&gt;"",VLOOKUP(C192,'General price list'!C194:AN1167,MATCH("HM",Tabulka1[[#Headers],[KOD]:[NEQ]],0),FALSE),"")</f>
        <v/>
      </c>
    </row>
    <row r="193" spans="1:27">
      <c r="A193">
        <f>COUNTIF($W$22:W193,1)</f>
        <v>0</v>
      </c>
      <c r="B193">
        <v>193</v>
      </c>
      <c r="C193" s="340" t="str">
        <f>Tabulka1[[#This Row],[KOD]]</f>
        <v>R7538I</v>
      </c>
      <c r="W193" s="804" t="str">
        <f t="shared" si="5"/>
        <v/>
      </c>
      <c r="X193" t="str">
        <f t="shared" si="6"/>
        <v/>
      </c>
      <c r="Y193" s="341">
        <f>IF('General price list'!$AB195="",0,'General price list'!$AB195)</f>
        <v>0</v>
      </c>
      <c r="Z193" s="365" t="str">
        <f>IFERROR(X193*VLOOKUP(C193,'General price list'!C:I,7,FALSE),"")</f>
        <v/>
      </c>
      <c r="AA193" s="805" t="str">
        <f>IF(X193&lt;&gt;"",VLOOKUP(C193,'General price list'!C195:AN1168,MATCH("HM",Tabulka1[[#Headers],[KOD]:[NEQ]],0),FALSE),"")</f>
        <v/>
      </c>
    </row>
    <row r="194" spans="1:27">
      <c r="A194">
        <f>COUNTIF($W$22:W194,1)</f>
        <v>0</v>
      </c>
      <c r="B194">
        <v>194</v>
      </c>
      <c r="C194" s="340">
        <f>Tabulka1[[#This Row],[KOD]]</f>
        <v>0</v>
      </c>
      <c r="W194" s="804" t="str">
        <f t="shared" si="5"/>
        <v/>
      </c>
      <c r="X194" t="str">
        <f t="shared" si="6"/>
        <v/>
      </c>
      <c r="Y194" s="341">
        <f>IF('General price list'!$AB196="",0,'General price list'!$AB196)</f>
        <v>0</v>
      </c>
      <c r="Z194" s="365" t="str">
        <f>IFERROR(X194*VLOOKUP(C194,'General price list'!C:I,7,FALSE),"")</f>
        <v/>
      </c>
      <c r="AA194" s="805" t="str">
        <f>IF(X194&lt;&gt;"",VLOOKUP(C194,'General price list'!C196:AN1169,MATCH("HM",Tabulka1[[#Headers],[KOD]:[NEQ]],0),FALSE),"")</f>
        <v/>
      </c>
    </row>
    <row r="195" spans="1:27">
      <c r="A195">
        <f>COUNTIF($W$22:W195,1)</f>
        <v>0</v>
      </c>
      <c r="B195">
        <v>195</v>
      </c>
      <c r="C195" s="340" t="str">
        <f>Tabulka1[[#This Row],[KOD]]</f>
        <v>GAT300</v>
      </c>
      <c r="W195" s="804" t="str">
        <f t="shared" si="5"/>
        <v/>
      </c>
      <c r="X195" t="str">
        <f t="shared" si="6"/>
        <v/>
      </c>
      <c r="Y195" s="341">
        <f>IF('General price list'!$AB197="",0,'General price list'!$AB197)</f>
        <v>0</v>
      </c>
      <c r="Z195" s="365" t="str">
        <f>IFERROR(X195*VLOOKUP(C195,'General price list'!C:I,7,FALSE),"")</f>
        <v/>
      </c>
      <c r="AA195" s="805" t="str">
        <f>IF(X195&lt;&gt;"",VLOOKUP(C195,'General price list'!C197:AN1170,MATCH("HM",Tabulka1[[#Headers],[KOD]:[NEQ]],0),FALSE),"")</f>
        <v/>
      </c>
    </row>
    <row r="196" spans="1:27">
      <c r="A196">
        <f>COUNTIF($W$22:W196,1)</f>
        <v>0</v>
      </c>
      <c r="B196">
        <v>196</v>
      </c>
      <c r="C196" s="340" t="str">
        <f>Tabulka1[[#This Row],[KOD]]</f>
        <v>R100M</v>
      </c>
      <c r="W196" s="804" t="str">
        <f t="shared" si="5"/>
        <v/>
      </c>
      <c r="X196" t="str">
        <f t="shared" si="6"/>
        <v/>
      </c>
      <c r="Y196" s="341">
        <f>IF('General price list'!$AB198="",0,'General price list'!$AB198)</f>
        <v>0</v>
      </c>
      <c r="Z196" s="365" t="str">
        <f>IFERROR(X196*VLOOKUP(C196,'General price list'!C:I,7,FALSE),"")</f>
        <v/>
      </c>
      <c r="AA196" s="805" t="str">
        <f>IF(X196&lt;&gt;"",VLOOKUP(C196,'General price list'!C198:AN1171,MATCH("HM",Tabulka1[[#Headers],[KOD]:[NEQ]],0),FALSE),"")</f>
        <v/>
      </c>
    </row>
    <row r="197" spans="1:27">
      <c r="A197">
        <f>COUNTIF($W$22:W197,1)</f>
        <v>0</v>
      </c>
      <c r="B197">
        <v>197</v>
      </c>
      <c r="C197" s="340">
        <f>Tabulka1[[#This Row],[KOD]]</f>
        <v>0</v>
      </c>
      <c r="W197" s="804" t="str">
        <f t="shared" si="5"/>
        <v/>
      </c>
      <c r="X197" t="str">
        <f t="shared" si="6"/>
        <v/>
      </c>
      <c r="Y197" s="341">
        <f>IF('General price list'!$AB199="",0,'General price list'!$AB199)</f>
        <v>0</v>
      </c>
      <c r="Z197" s="365" t="str">
        <f>IFERROR(X197*VLOOKUP(C197,'General price list'!C:I,7,FALSE),"")</f>
        <v/>
      </c>
      <c r="AA197" s="805" t="str">
        <f>IF(X197&lt;&gt;"",VLOOKUP(C197,'General price list'!C199:AN1172,MATCH("HM",Tabulka1[[#Headers],[KOD]:[NEQ]],0),FALSE),"")</f>
        <v/>
      </c>
    </row>
    <row r="198" spans="1:27">
      <c r="A198">
        <f>COUNTIF($W$22:W198,1)</f>
        <v>0</v>
      </c>
      <c r="B198">
        <v>198</v>
      </c>
      <c r="C198" s="340" t="str">
        <f>Tabulka1[[#This Row],[KOD]]</f>
        <v>SS14D</v>
      </c>
      <c r="W198" s="804" t="str">
        <f t="shared" si="5"/>
        <v/>
      </c>
      <c r="X198" t="str">
        <f t="shared" si="6"/>
        <v/>
      </c>
      <c r="Y198" s="341">
        <f>IF('General price list'!$AB200="",0,'General price list'!$AB200)</f>
        <v>0</v>
      </c>
      <c r="Z198" s="365" t="str">
        <f>IFERROR(X198*VLOOKUP(C198,'General price list'!C:I,7,FALSE),"")</f>
        <v/>
      </c>
      <c r="AA198" s="805" t="str">
        <f>IF(X198&lt;&gt;"",VLOOKUP(C198,'General price list'!C200:AN1173,MATCH("HM",Tabulka1[[#Headers],[KOD]:[NEQ]],0),FALSE),"")</f>
        <v/>
      </c>
    </row>
    <row r="199" spans="1:27">
      <c r="A199">
        <f>COUNTIF($W$22:W199,1)</f>
        <v>0</v>
      </c>
      <c r="B199">
        <v>199</v>
      </c>
      <c r="C199" s="340" t="str">
        <f>Tabulka1[[#This Row],[KOD]]</f>
        <v>SS20D</v>
      </c>
      <c r="W199" s="804" t="str">
        <f t="shared" si="5"/>
        <v/>
      </c>
      <c r="X199" t="str">
        <f t="shared" si="6"/>
        <v/>
      </c>
      <c r="Y199" s="341">
        <f>IF('General price list'!$AB201="",0,'General price list'!$AB201)</f>
        <v>0</v>
      </c>
      <c r="Z199" s="365" t="str">
        <f>IFERROR(X199*VLOOKUP(C199,'General price list'!C:I,7,FALSE),"")</f>
        <v/>
      </c>
      <c r="AA199" s="805" t="str">
        <f>IF(X199&lt;&gt;"",VLOOKUP(C199,'General price list'!C201:AN1174,MATCH("HM",Tabulka1[[#Headers],[KOD]:[NEQ]],0),FALSE),"")</f>
        <v/>
      </c>
    </row>
    <row r="200" spans="1:27">
      <c r="A200">
        <f>COUNTIF($W$22:W200,1)</f>
        <v>0</v>
      </c>
      <c r="B200">
        <v>200</v>
      </c>
      <c r="C200" s="340" t="str">
        <f>Tabulka1[[#This Row],[KOD]]</f>
        <v>SS20SIG14</v>
      </c>
      <c r="W200" s="804" t="str">
        <f t="shared" si="5"/>
        <v/>
      </c>
      <c r="X200" t="str">
        <f t="shared" si="6"/>
        <v/>
      </c>
      <c r="Y200" s="341">
        <f>IF('General price list'!$AB202="",0,'General price list'!$AB202)</f>
        <v>0</v>
      </c>
      <c r="Z200" s="365" t="str">
        <f>IFERROR(X200*VLOOKUP(C200,'General price list'!C:I,7,FALSE),"")</f>
        <v/>
      </c>
      <c r="AA200" s="805" t="str">
        <f>IF(X200&lt;&gt;"",VLOOKUP(C200,'General price list'!C202:AN1175,MATCH("HM",Tabulka1[[#Headers],[KOD]:[NEQ]],0),FALSE),"")</f>
        <v/>
      </c>
    </row>
    <row r="201" spans="1:27">
      <c r="A201">
        <f>COUNTIF($W$22:W201,1)</f>
        <v>0</v>
      </c>
      <c r="B201">
        <v>201</v>
      </c>
      <c r="C201" s="340" t="str">
        <f>Tabulka1[[#This Row],[KOD]]</f>
        <v>SS25SC</v>
      </c>
      <c r="W201" s="804" t="str">
        <f t="shared" si="5"/>
        <v/>
      </c>
      <c r="X201" t="str">
        <f t="shared" si="6"/>
        <v/>
      </c>
      <c r="Y201" s="341">
        <f>IF('General price list'!$AB203="",0,'General price list'!$AB203)</f>
        <v>0</v>
      </c>
      <c r="Z201" s="365" t="str">
        <f>IFERROR(X201*VLOOKUP(C201,'General price list'!C:I,7,FALSE),"")</f>
        <v/>
      </c>
      <c r="AA201" s="805" t="str">
        <f>IF(X201&lt;&gt;"",VLOOKUP(C201,'General price list'!C203:AN1176,MATCH("HM",Tabulka1[[#Headers],[KOD]:[NEQ]],0),FALSE),"")</f>
        <v/>
      </c>
    </row>
    <row r="202" spans="1:27">
      <c r="A202">
        <f>COUNTIF($W$22:W202,1)</f>
        <v>0</v>
      </c>
      <c r="B202">
        <v>202</v>
      </c>
      <c r="C202" s="340" t="str">
        <f>Tabulka1[[#This Row],[KOD]]</f>
        <v>SS25SIG14</v>
      </c>
      <c r="W202" s="804" t="str">
        <f t="shared" si="5"/>
        <v/>
      </c>
      <c r="X202" t="str">
        <f t="shared" si="6"/>
        <v/>
      </c>
      <c r="Y202" s="341">
        <f>IF('General price list'!$AB204="",0,'General price list'!$AB204)</f>
        <v>0</v>
      </c>
      <c r="Z202" s="365" t="str">
        <f>IFERROR(X202*VLOOKUP(C202,'General price list'!C:I,7,FALSE),"")</f>
        <v/>
      </c>
      <c r="AA202" s="805" t="str">
        <f>IF(X202&lt;&gt;"",VLOOKUP(C202,'General price list'!C204:AN1177,MATCH("HM",Tabulka1[[#Headers],[KOD]:[NEQ]],0),FALSE),"")</f>
        <v/>
      </c>
    </row>
    <row r="203" spans="1:27">
      <c r="A203">
        <f>COUNTIF($W$22:W203,1)</f>
        <v>0</v>
      </c>
      <c r="B203">
        <v>203</v>
      </c>
      <c r="C203" s="340" t="str">
        <f>Tabulka1[[#This Row],[KOD]]</f>
        <v>SS25DU14</v>
      </c>
      <c r="W203" s="804" t="str">
        <f t="shared" si="5"/>
        <v/>
      </c>
      <c r="X203" t="str">
        <f t="shared" si="6"/>
        <v/>
      </c>
      <c r="Y203" s="341">
        <f>IF('General price list'!$AB205="",0,'General price list'!$AB205)</f>
        <v>0</v>
      </c>
      <c r="Z203" s="365" t="str">
        <f>IFERROR(X203*VLOOKUP(C203,'General price list'!C:I,7,FALSE),"")</f>
        <v/>
      </c>
      <c r="AA203" s="805" t="str">
        <f>IF(X203&lt;&gt;"",VLOOKUP(C203,'General price list'!C205:AN1178,MATCH("HM",Tabulka1[[#Headers],[KOD]:[NEQ]],0),FALSE),"")</f>
        <v/>
      </c>
    </row>
    <row r="204" spans="1:27">
      <c r="A204">
        <f>COUNTIF($W$22:W204,1)</f>
        <v>0</v>
      </c>
      <c r="B204">
        <v>204</v>
      </c>
      <c r="C204" s="340" t="str">
        <f>Tabulka1[[#This Row],[KOD]]</f>
        <v>SS30A14</v>
      </c>
      <c r="W204" s="804" t="str">
        <f t="shared" si="5"/>
        <v/>
      </c>
      <c r="X204" t="str">
        <f t="shared" si="6"/>
        <v/>
      </c>
      <c r="Y204" s="341">
        <f>IF('General price list'!$AB206="",0,'General price list'!$AB206)</f>
        <v>0</v>
      </c>
      <c r="Z204" s="365" t="str">
        <f>IFERROR(X204*VLOOKUP(C204,'General price list'!C:I,7,FALSE),"")</f>
        <v/>
      </c>
      <c r="AA204" s="805" t="str">
        <f>IF(X204&lt;&gt;"",VLOOKUP(C204,'General price list'!C206:AN1179,MATCH("HM",Tabulka1[[#Headers],[KOD]:[NEQ]],0),FALSE),"")</f>
        <v/>
      </c>
    </row>
    <row r="205" spans="1:27">
      <c r="A205">
        <f>COUNTIF($W$22:W205,1)</f>
        <v>0</v>
      </c>
      <c r="B205">
        <v>205</v>
      </c>
      <c r="C205" s="340" t="str">
        <f>Tabulka1[[#This Row],[KOD]]</f>
        <v>SS30SIGF2</v>
      </c>
      <c r="W205" s="804" t="str">
        <f t="shared" si="5"/>
        <v/>
      </c>
      <c r="X205" t="str">
        <f t="shared" si="6"/>
        <v/>
      </c>
      <c r="Y205" s="341">
        <f>IF('General price list'!$AB207="",0,'General price list'!$AB207)</f>
        <v>0</v>
      </c>
      <c r="Z205" s="365" t="str">
        <f>IFERROR(X205*VLOOKUP(C205,'General price list'!C:I,7,FALSE),"")</f>
        <v/>
      </c>
      <c r="AA205" s="805" t="str">
        <f>IF(X205&lt;&gt;"",VLOOKUP(C205,'General price list'!C207:AN1180,MATCH("HM",Tabulka1[[#Headers],[KOD]:[NEQ]],0),FALSE),"")</f>
        <v/>
      </c>
    </row>
    <row r="206" spans="1:27">
      <c r="A206">
        <f>COUNTIF($W$22:W206,1)</f>
        <v>0</v>
      </c>
      <c r="B206">
        <v>206</v>
      </c>
      <c r="C206" s="340">
        <f>Tabulka1[[#This Row],[KOD]]</f>
        <v>0</v>
      </c>
      <c r="W206" s="804" t="str">
        <f t="shared" si="5"/>
        <v/>
      </c>
      <c r="X206" t="str">
        <f t="shared" si="6"/>
        <v/>
      </c>
      <c r="Y206" s="341">
        <f>IF('General price list'!$AB208="",0,'General price list'!$AB208)</f>
        <v>0</v>
      </c>
      <c r="Z206" s="365" t="str">
        <f>IFERROR(X206*VLOOKUP(C206,'General price list'!C:I,7,FALSE),"")</f>
        <v/>
      </c>
      <c r="AA206" s="805" t="str">
        <f>IF(X206&lt;&gt;"",VLOOKUP(C206,'General price list'!C208:AN1181,MATCH("HM",Tabulka1[[#Headers],[KOD]:[NEQ]],0),FALSE),"")</f>
        <v/>
      </c>
    </row>
    <row r="207" spans="1:27">
      <c r="A207">
        <f>COUNTIF($W$22:W207,1)</f>
        <v>0</v>
      </c>
      <c r="B207">
        <v>207</v>
      </c>
      <c r="C207" s="340" t="str">
        <f>Tabulka1[[#This Row],[KOD]]</f>
        <v>SS30D</v>
      </c>
      <c r="W207" s="804" t="str">
        <f t="shared" si="5"/>
        <v/>
      </c>
      <c r="X207" t="str">
        <f t="shared" si="6"/>
        <v/>
      </c>
      <c r="Y207" s="341">
        <f>IF('General price list'!$AB209="",0,'General price list'!$AB209)</f>
        <v>0</v>
      </c>
      <c r="Z207" s="365" t="str">
        <f>IFERROR(X207*VLOOKUP(C207,'General price list'!C:I,7,FALSE),"")</f>
        <v/>
      </c>
      <c r="AA207" s="805" t="str">
        <f>IF(X207&lt;&gt;"",VLOOKUP(C207,'General price list'!C209:AN1182,MATCH("HM",Tabulka1[[#Headers],[KOD]:[NEQ]],0),FALSE),"")</f>
        <v/>
      </c>
    </row>
    <row r="208" spans="1:27">
      <c r="A208">
        <f>COUNTIF($W$22:W208,1)</f>
        <v>0</v>
      </c>
      <c r="B208">
        <v>208</v>
      </c>
      <c r="C208" s="340" t="str">
        <f>Tabulka1[[#This Row],[KOD]]</f>
        <v>SS30A</v>
      </c>
      <c r="W208" s="804" t="str">
        <f t="shared" si="5"/>
        <v/>
      </c>
      <c r="X208" t="str">
        <f t="shared" si="6"/>
        <v/>
      </c>
      <c r="Y208" s="341">
        <f>IF('General price list'!$AB210="",0,'General price list'!$AB210)</f>
        <v>0</v>
      </c>
      <c r="Z208" s="365" t="str">
        <f>IFERROR(X208*VLOOKUP(C208,'General price list'!C:I,7,FALSE),"")</f>
        <v/>
      </c>
      <c r="AA208" s="805" t="str">
        <f>IF(X208&lt;&gt;"",VLOOKUP(C208,'General price list'!C210:AN1183,MATCH("HM",Tabulka1[[#Headers],[KOD]:[NEQ]],0),FALSE),"")</f>
        <v/>
      </c>
    </row>
    <row r="209" spans="1:27">
      <c r="A209">
        <f>COUNTIF($W$22:W209,1)</f>
        <v>0</v>
      </c>
      <c r="B209">
        <v>209</v>
      </c>
      <c r="C209" s="340" t="str">
        <f>Tabulka1[[#This Row],[KOD]]</f>
        <v>SS37K</v>
      </c>
      <c r="W209" s="804" t="str">
        <f t="shared" si="5"/>
        <v/>
      </c>
      <c r="X209" t="str">
        <f t="shared" si="6"/>
        <v/>
      </c>
      <c r="Y209" s="341">
        <f>IF('General price list'!$AB211="",0,'General price list'!$AB211)</f>
        <v>0</v>
      </c>
      <c r="Z209" s="365" t="str">
        <f>IFERROR(X209*VLOOKUP(C209,'General price list'!C:I,7,FALSE),"")</f>
        <v/>
      </c>
      <c r="AA209" s="805" t="str">
        <f>IF(X209&lt;&gt;"",VLOOKUP(C209,'General price list'!C211:AN1184,MATCH("HM",Tabulka1[[#Headers],[KOD]:[NEQ]],0),FALSE),"")</f>
        <v/>
      </c>
    </row>
    <row r="210" spans="1:27">
      <c r="A210">
        <f>COUNTIF($W$22:W210,1)</f>
        <v>0</v>
      </c>
      <c r="B210">
        <v>210</v>
      </c>
      <c r="C210" s="340" t="str">
        <f>Tabulka1[[#This Row],[KOD]]</f>
        <v>SS50K</v>
      </c>
      <c r="W210" s="804" t="str">
        <f t="shared" si="5"/>
        <v/>
      </c>
      <c r="X210" t="str">
        <f t="shared" si="6"/>
        <v/>
      </c>
      <c r="Y210" s="341">
        <f>IF('General price list'!$AB212="",0,'General price list'!$AB212)</f>
        <v>0</v>
      </c>
      <c r="Z210" s="365" t="str">
        <f>IFERROR(X210*VLOOKUP(C210,'General price list'!C:I,7,FALSE),"")</f>
        <v/>
      </c>
      <c r="AA210" s="805" t="str">
        <f>IF(X210&lt;&gt;"",VLOOKUP(C210,'General price list'!C212:AN1185,MATCH("HM",Tabulka1[[#Headers],[KOD]:[NEQ]],0),FALSE),"")</f>
        <v/>
      </c>
    </row>
    <row r="211" spans="1:27">
      <c r="A211">
        <f>COUNTIF($W$22:W211,1)</f>
        <v>0</v>
      </c>
      <c r="B211">
        <v>211</v>
      </c>
      <c r="C211" s="340">
        <f>Tabulka1[[#This Row],[KOD]]</f>
        <v>0</v>
      </c>
      <c r="W211" s="804" t="str">
        <f t="shared" si="5"/>
        <v/>
      </c>
      <c r="X211" t="str">
        <f t="shared" si="6"/>
        <v/>
      </c>
      <c r="Y211" s="341">
        <f>IF('General price list'!$AB213="",0,'General price list'!$AB213)</f>
        <v>0</v>
      </c>
      <c r="Z211" s="365" t="str">
        <f>IFERROR(X211*VLOOKUP(C211,'General price list'!C:I,7,FALSE),"")</f>
        <v/>
      </c>
      <c r="AA211" s="805" t="str">
        <f>IF(X211&lt;&gt;"",VLOOKUP(C211,'General price list'!C213:AN1186,MATCH("HM",Tabulka1[[#Headers],[KOD]:[NEQ]],0),FALSE),"")</f>
        <v/>
      </c>
    </row>
    <row r="212" spans="1:27">
      <c r="A212">
        <f>COUNTIF($W$22:W212,1)</f>
        <v>0</v>
      </c>
      <c r="B212">
        <v>212</v>
      </c>
      <c r="C212" s="340" t="str">
        <f>Tabulka1[[#This Row],[KOD]]</f>
        <v>SS50NO14</v>
      </c>
      <c r="W212" s="804" t="str">
        <f t="shared" si="5"/>
        <v/>
      </c>
      <c r="X212" t="str">
        <f t="shared" si="6"/>
        <v/>
      </c>
      <c r="Y212" s="341">
        <f>IF('General price list'!$AB214="",0,'General price list'!$AB214)</f>
        <v>0</v>
      </c>
      <c r="Z212" s="365" t="str">
        <f>IFERROR(X212*VLOOKUP(C212,'General price list'!C:I,7,FALSE),"")</f>
        <v/>
      </c>
      <c r="AA212" s="805" t="str">
        <f>IF(X212&lt;&gt;"",VLOOKUP(C212,'General price list'!C214:AN1187,MATCH("HM",Tabulka1[[#Headers],[KOD]:[NEQ]],0),FALSE),"")</f>
        <v/>
      </c>
    </row>
    <row r="213" spans="1:27">
      <c r="A213">
        <f>COUNTIF($W$22:W213,1)</f>
        <v>0</v>
      </c>
      <c r="B213">
        <v>213</v>
      </c>
      <c r="C213" s="340" t="str">
        <f>Tabulka1[[#This Row],[KOD]]</f>
        <v>SS50DU14</v>
      </c>
      <c r="W213" s="804" t="str">
        <f t="shared" si="5"/>
        <v/>
      </c>
      <c r="X213" t="str">
        <f t="shared" si="6"/>
        <v/>
      </c>
      <c r="Y213" s="341">
        <f>IF('General price list'!$AB215="",0,'General price list'!$AB215)</f>
        <v>0</v>
      </c>
      <c r="Z213" s="365" t="str">
        <f>IFERROR(X213*VLOOKUP(C213,'General price list'!C:I,7,FALSE),"")</f>
        <v/>
      </c>
      <c r="AA213" s="805" t="str">
        <f>IF(X213&lt;&gt;"",VLOOKUP(C213,'General price list'!C215:AN1188,MATCH("HM",Tabulka1[[#Headers],[KOD]:[NEQ]],0),FALSE),"")</f>
        <v/>
      </c>
    </row>
    <row r="214" spans="1:27">
      <c r="A214">
        <f>COUNTIF($W$22:W214,1)</f>
        <v>0</v>
      </c>
      <c r="B214">
        <v>214</v>
      </c>
      <c r="C214" s="340">
        <f>Tabulka1[[#This Row],[KOD]]</f>
        <v>0</v>
      </c>
      <c r="W214" s="804" t="str">
        <f t="shared" si="5"/>
        <v/>
      </c>
      <c r="X214" t="str">
        <f t="shared" si="6"/>
        <v/>
      </c>
      <c r="Y214" s="341">
        <f>IF('General price list'!$AB216="",0,'General price list'!$AB216)</f>
        <v>0</v>
      </c>
      <c r="Z214" s="365" t="str">
        <f>IFERROR(X214*VLOOKUP(C214,'General price list'!C:I,7,FALSE),"")</f>
        <v/>
      </c>
      <c r="AA214" s="805" t="str">
        <f>IF(X214&lt;&gt;"",VLOOKUP(C214,'General price list'!C216:AN1189,MATCH("HM",Tabulka1[[#Headers],[KOD]:[NEQ]],0),FALSE),"")</f>
        <v/>
      </c>
    </row>
    <row r="215" spans="1:27">
      <c r="A215">
        <f>COUNTIF($W$22:W215,1)</f>
        <v>0</v>
      </c>
      <c r="B215">
        <v>215</v>
      </c>
      <c r="C215" s="340" t="str">
        <f>Tabulka1[[#This Row],[KOD]]</f>
        <v>C320D</v>
      </c>
      <c r="W215" s="804" t="str">
        <f t="shared" si="5"/>
        <v/>
      </c>
      <c r="X215" t="str">
        <f t="shared" si="6"/>
        <v/>
      </c>
      <c r="Y215" s="341">
        <f>IF('General price list'!$AB217="",0,'General price list'!$AB217)</f>
        <v>0</v>
      </c>
      <c r="Z215" s="365" t="str">
        <f>IFERROR(X215*VLOOKUP(C215,'General price list'!C:I,7,FALSE),"")</f>
        <v/>
      </c>
      <c r="AA215" s="805" t="str">
        <f>IF(X215&lt;&gt;"",VLOOKUP(C215,'General price list'!C217:AN1190,MATCH("HM",Tabulka1[[#Headers],[KOD]:[NEQ]],0),FALSE),"")</f>
        <v/>
      </c>
    </row>
    <row r="216" spans="1:27">
      <c r="A216">
        <f>COUNTIF($W$22:W216,1)</f>
        <v>0</v>
      </c>
      <c r="B216">
        <v>216</v>
      </c>
      <c r="C216" s="340" t="str">
        <f>Tabulka1[[#This Row],[KOD]]</f>
        <v>C320B</v>
      </c>
      <c r="W216" s="804" t="str">
        <f t="shared" ref="W216:W279" si="7">IF(Y216+1=1,"",1)</f>
        <v/>
      </c>
      <c r="X216" t="str">
        <f t="shared" ref="X216:X279" si="8">IF(OR(A216&lt;$F$20,A216&gt;$F$21),"",IF(Y216=0,"",Y216))</f>
        <v/>
      </c>
      <c r="Y216" s="341">
        <f>IF('General price list'!$AB218="",0,'General price list'!$AB218)</f>
        <v>0</v>
      </c>
      <c r="Z216" s="365" t="str">
        <f>IFERROR(X216*VLOOKUP(C216,'General price list'!C:I,7,FALSE),"")</f>
        <v/>
      </c>
      <c r="AA216" s="805" t="str">
        <f>IF(X216&lt;&gt;"",VLOOKUP(C216,'General price list'!C218:AN1191,MATCH("HM",Tabulka1[[#Headers],[KOD]:[NEQ]],0),FALSE),"")</f>
        <v/>
      </c>
    </row>
    <row r="217" spans="1:27">
      <c r="A217">
        <f>COUNTIF($W$22:W217,1)</f>
        <v>0</v>
      </c>
      <c r="B217">
        <v>217</v>
      </c>
      <c r="C217" s="340" t="str">
        <f>Tabulka1[[#This Row],[KOD]]</f>
        <v>C320X14</v>
      </c>
      <c r="W217" s="804" t="str">
        <f t="shared" si="7"/>
        <v/>
      </c>
      <c r="X217" t="str">
        <f t="shared" si="8"/>
        <v/>
      </c>
      <c r="Y217" s="341">
        <f>IF('General price list'!$AB219="",0,'General price list'!$AB219)</f>
        <v>0</v>
      </c>
      <c r="Z217" s="365" t="str">
        <f>IFERROR(X217*VLOOKUP(C217,'General price list'!C:I,7,FALSE),"")</f>
        <v/>
      </c>
      <c r="AA217" s="805" t="str">
        <f>IF(X217&lt;&gt;"",VLOOKUP(C217,'General price list'!C219:AN1192,MATCH("HM",Tabulka1[[#Headers],[KOD]:[NEQ]],0),FALSE),"")</f>
        <v/>
      </c>
    </row>
    <row r="218" spans="1:27">
      <c r="A218">
        <f>COUNTIF($W$22:W218,1)</f>
        <v>0</v>
      </c>
      <c r="B218">
        <v>218</v>
      </c>
      <c r="C218" s="340">
        <f>Tabulka1[[#This Row],[KOD]]</f>
        <v>0</v>
      </c>
      <c r="W218" s="804" t="str">
        <f t="shared" si="7"/>
        <v/>
      </c>
      <c r="X218" t="str">
        <f t="shared" si="8"/>
        <v/>
      </c>
      <c r="Y218" s="341">
        <f>IF('General price list'!$AB220="",0,'General price list'!$AB220)</f>
        <v>0</v>
      </c>
      <c r="Z218" s="365" t="str">
        <f>IFERROR(X218*VLOOKUP(C218,'General price list'!C:I,7,FALSE),"")</f>
        <v/>
      </c>
      <c r="AA218" s="805" t="str">
        <f>IF(X218&lt;&gt;"",VLOOKUP(C218,'General price list'!C220:AN1193,MATCH("HM",Tabulka1[[#Headers],[KOD]:[NEQ]],0),FALSE),"")</f>
        <v/>
      </c>
    </row>
    <row r="219" spans="1:27">
      <c r="A219">
        <f>COUNTIF($W$22:W219,1)</f>
        <v>0</v>
      </c>
      <c r="B219">
        <v>219</v>
      </c>
      <c r="C219" s="340" t="str">
        <f>Tabulka1[[#This Row],[KOD]]</f>
        <v>C330D</v>
      </c>
      <c r="W219" s="804" t="str">
        <f t="shared" si="7"/>
        <v/>
      </c>
      <c r="X219" t="str">
        <f t="shared" si="8"/>
        <v/>
      </c>
      <c r="Y219" s="341">
        <f>IF('General price list'!$AB221="",0,'General price list'!$AB221)</f>
        <v>0</v>
      </c>
      <c r="Z219" s="365" t="str">
        <f>IFERROR(X219*VLOOKUP(C219,'General price list'!C:I,7,FALSE),"")</f>
        <v/>
      </c>
      <c r="AA219" s="805" t="str">
        <f>IF(X219&lt;&gt;"",VLOOKUP(C219,'General price list'!C221:AN1194,MATCH("HM",Tabulka1[[#Headers],[KOD]:[NEQ]],0),FALSE),"")</f>
        <v/>
      </c>
    </row>
    <row r="220" spans="1:27">
      <c r="A220">
        <f>COUNTIF($W$22:W220,1)</f>
        <v>0</v>
      </c>
      <c r="B220">
        <v>220</v>
      </c>
      <c r="C220" s="340" t="str">
        <f>Tabulka1[[#This Row],[KOD]]</f>
        <v>C330B</v>
      </c>
      <c r="W220" s="804" t="str">
        <f t="shared" si="7"/>
        <v/>
      </c>
      <c r="X220" t="str">
        <f t="shared" si="8"/>
        <v/>
      </c>
      <c r="Y220" s="341">
        <f>IF('General price list'!$AB222="",0,'General price list'!$AB222)</f>
        <v>0</v>
      </c>
      <c r="Z220" s="365" t="str">
        <f>IFERROR(X220*VLOOKUP(C220,'General price list'!C:I,7,FALSE),"")</f>
        <v/>
      </c>
      <c r="AA220" s="805" t="str">
        <f>IF(X220&lt;&gt;"",VLOOKUP(C220,'General price list'!C222:AN1195,MATCH("HM",Tabulka1[[#Headers],[KOD]:[NEQ]],0),FALSE),"")</f>
        <v/>
      </c>
    </row>
    <row r="221" spans="1:27">
      <c r="A221">
        <f>COUNTIF($W$22:W221,1)</f>
        <v>0</v>
      </c>
      <c r="B221">
        <v>221</v>
      </c>
      <c r="C221" s="340">
        <f>Tabulka1[[#This Row],[KOD]]</f>
        <v>0</v>
      </c>
      <c r="W221" s="804" t="str">
        <f t="shared" si="7"/>
        <v/>
      </c>
      <c r="X221" t="str">
        <f t="shared" si="8"/>
        <v/>
      </c>
      <c r="Y221" s="341">
        <f>IF('General price list'!$AB223="",0,'General price list'!$AB223)</f>
        <v>0</v>
      </c>
      <c r="Z221" s="365" t="str">
        <f>IFERROR(X221*VLOOKUP(C221,'General price list'!C:I,7,FALSE),"")</f>
        <v/>
      </c>
      <c r="AA221" s="805" t="str">
        <f>IF(X221&lt;&gt;"",VLOOKUP(C221,'General price list'!C223:AN1196,MATCH("HM",Tabulka1[[#Headers],[KOD]:[NEQ]],0),FALSE),"")</f>
        <v/>
      </c>
    </row>
    <row r="222" spans="1:27">
      <c r="A222">
        <f>COUNTIF($W$22:W222,1)</f>
        <v>0</v>
      </c>
      <c r="B222">
        <v>222</v>
      </c>
      <c r="C222" s="340" t="str">
        <f>Tabulka1[[#This Row],[KOD]]</f>
        <v>CS2BB</v>
      </c>
      <c r="W222" s="804" t="str">
        <f t="shared" si="7"/>
        <v/>
      </c>
      <c r="X222" t="str">
        <f t="shared" si="8"/>
        <v/>
      </c>
      <c r="Y222" s="341">
        <f>IF('General price list'!$AB224="",0,'General price list'!$AB224)</f>
        <v>0</v>
      </c>
      <c r="Z222" s="365" t="str">
        <f>IFERROR(X222*VLOOKUP(C222,'General price list'!C:I,7,FALSE),"")</f>
        <v/>
      </c>
      <c r="AA222" s="805" t="str">
        <f>IF(X222&lt;&gt;"",VLOOKUP(C222,'General price list'!C224:AN1197,MATCH("HM",Tabulka1[[#Headers],[KOD]:[NEQ]],0),FALSE),"")</f>
        <v/>
      </c>
    </row>
    <row r="223" spans="1:27">
      <c r="A223">
        <f>COUNTIF($W$22:W223,1)</f>
        <v>0</v>
      </c>
      <c r="B223">
        <v>223</v>
      </c>
      <c r="C223" s="340">
        <f>Tabulka1[[#This Row],[KOD]]</f>
        <v>0</v>
      </c>
      <c r="W223" s="804" t="str">
        <f t="shared" si="7"/>
        <v/>
      </c>
      <c r="X223" t="str">
        <f t="shared" si="8"/>
        <v/>
      </c>
      <c r="Y223" s="341">
        <f>IF('General price list'!$AB225="",0,'General price list'!$AB225)</f>
        <v>0</v>
      </c>
      <c r="Z223" s="365" t="str">
        <f>IFERROR(X223*VLOOKUP(C223,'General price list'!C:I,7,FALSE),"")</f>
        <v/>
      </c>
      <c r="AA223" s="805" t="str">
        <f>IF(X223&lt;&gt;"",VLOOKUP(C223,'General price list'!C225:AN1198,MATCH("HM",Tabulka1[[#Headers],[KOD]:[NEQ]],0),FALSE),"")</f>
        <v/>
      </c>
    </row>
    <row r="224" spans="1:27">
      <c r="A224">
        <f>COUNTIF($W$22:W224,1)</f>
        <v>0</v>
      </c>
      <c r="B224">
        <v>224</v>
      </c>
      <c r="C224" s="340" t="str">
        <f>Tabulka1[[#This Row],[KOD]]</f>
        <v>K0203BP</v>
      </c>
      <c r="W224" s="804" t="str">
        <f t="shared" si="7"/>
        <v/>
      </c>
      <c r="X224" t="str">
        <f t="shared" si="8"/>
        <v/>
      </c>
      <c r="Y224" s="341">
        <f>IF('General price list'!$AB226="",0,'General price list'!$AB226)</f>
        <v>0</v>
      </c>
      <c r="Z224" s="365" t="str">
        <f>IFERROR(X224*VLOOKUP(C224,'General price list'!C:I,7,FALSE),"")</f>
        <v/>
      </c>
      <c r="AA224" s="805" t="str">
        <f>IF(X224&lt;&gt;"",VLOOKUP(C224,'General price list'!C226:AN1199,MATCH("HM",Tabulka1[[#Headers],[KOD]:[NEQ]],0),FALSE),"")</f>
        <v/>
      </c>
    </row>
    <row r="225" spans="1:27">
      <c r="A225">
        <f>COUNTIF($W$22:W225,1)</f>
        <v>0</v>
      </c>
      <c r="B225">
        <v>225</v>
      </c>
      <c r="C225" s="340" t="str">
        <f>Tabulka1[[#This Row],[KOD]]</f>
        <v>P05DSP1</v>
      </c>
      <c r="W225" s="804" t="str">
        <f t="shared" si="7"/>
        <v/>
      </c>
      <c r="X225" t="str">
        <f t="shared" si="8"/>
        <v/>
      </c>
      <c r="Y225" s="341">
        <f>IF('General price list'!$AB227="",0,'General price list'!$AB227)</f>
        <v>0</v>
      </c>
      <c r="Z225" s="365" t="str">
        <f>IFERROR(X225*VLOOKUP(C225,'General price list'!C:I,7,FALSE),"")</f>
        <v/>
      </c>
      <c r="AA225" s="805" t="str">
        <f>IF(X225&lt;&gt;"",VLOOKUP(C225,'General price list'!C227:AN1200,MATCH("HM",Tabulka1[[#Headers],[KOD]:[NEQ]],0),FALSE),"")</f>
        <v/>
      </c>
    </row>
    <row r="226" spans="1:27">
      <c r="A226">
        <f>COUNTIF($W$22:W226,1)</f>
        <v>0</v>
      </c>
      <c r="B226">
        <v>226</v>
      </c>
      <c r="C226" s="340" t="str">
        <f>Tabulka1[[#This Row],[KOD]]</f>
        <v>P10D20SP1</v>
      </c>
      <c r="W226" s="804" t="str">
        <f t="shared" si="7"/>
        <v/>
      </c>
      <c r="X226" t="str">
        <f t="shared" si="8"/>
        <v/>
      </c>
      <c r="Y226" s="341">
        <f>IF('General price list'!$AB228="",0,'General price list'!$AB228)</f>
        <v>0</v>
      </c>
      <c r="Z226" s="365" t="str">
        <f>IFERROR(X226*VLOOKUP(C226,'General price list'!C:I,7,FALSE),"")</f>
        <v/>
      </c>
      <c r="AA226" s="805" t="str">
        <f>IF(X226&lt;&gt;"",VLOOKUP(C226,'General price list'!C228:AN1201,MATCH("HM",Tabulka1[[#Headers],[KOD]:[NEQ]],0),FALSE),"")</f>
        <v/>
      </c>
    </row>
    <row r="227" spans="1:27">
      <c r="A227">
        <f>COUNTIF($W$22:W227,1)</f>
        <v>0</v>
      </c>
      <c r="B227">
        <v>227</v>
      </c>
      <c r="C227" s="340">
        <f>Tabulka1[[#This Row],[KOD]]</f>
        <v>0</v>
      </c>
      <c r="W227" s="804" t="str">
        <f t="shared" si="7"/>
        <v/>
      </c>
      <c r="X227" t="str">
        <f t="shared" si="8"/>
        <v/>
      </c>
      <c r="Y227" s="341">
        <f>IF('General price list'!$AB229="",0,'General price list'!$AB229)</f>
        <v>0</v>
      </c>
      <c r="Z227" s="365" t="str">
        <f>IFERROR(X227*VLOOKUP(C227,'General price list'!C:I,7,FALSE),"")</f>
        <v/>
      </c>
      <c r="AA227" s="805" t="str">
        <f>IF(X227&lt;&gt;"",VLOOKUP(C227,'General price list'!C229:AN1202,MATCH("HM",Tabulka1[[#Headers],[KOD]:[NEQ]],0),FALSE),"")</f>
        <v/>
      </c>
    </row>
    <row r="228" spans="1:27">
      <c r="A228">
        <f>COUNTIF($W$22:W228,1)</f>
        <v>0</v>
      </c>
      <c r="B228">
        <v>228</v>
      </c>
      <c r="C228" s="340" t="str">
        <f>Tabulka1[[#This Row],[KOD]]</f>
        <v>P1D</v>
      </c>
      <c r="W228" s="804" t="str">
        <f t="shared" si="7"/>
        <v/>
      </c>
      <c r="X228" t="str">
        <f t="shared" si="8"/>
        <v/>
      </c>
      <c r="Y228" s="341">
        <f>IF('General price list'!$AB230="",0,'General price list'!$AB230)</f>
        <v>0</v>
      </c>
      <c r="Z228" s="365" t="str">
        <f>IFERROR(X228*VLOOKUP(C228,'General price list'!C:I,7,FALSE),"")</f>
        <v/>
      </c>
      <c r="AA228" s="805" t="str">
        <f>IF(X228&lt;&gt;"",VLOOKUP(C228,'General price list'!C230:AN1203,MATCH("HM",Tabulka1[[#Headers],[KOD]:[NEQ]],0),FALSE),"")</f>
        <v/>
      </c>
    </row>
    <row r="229" spans="1:27">
      <c r="A229">
        <f>COUNTIF($W$22:W229,1)</f>
        <v>0</v>
      </c>
      <c r="B229">
        <v>229</v>
      </c>
      <c r="C229" s="340" t="str">
        <f>Tabulka1[[#This Row],[KOD]]</f>
        <v>P2D</v>
      </c>
      <c r="W229" s="804" t="str">
        <f t="shared" si="7"/>
        <v/>
      </c>
      <c r="X229" t="str">
        <f t="shared" si="8"/>
        <v/>
      </c>
      <c r="Y229" s="341">
        <f>IF('General price list'!$AB231="",0,'General price list'!$AB231)</f>
        <v>0</v>
      </c>
      <c r="Z229" s="365" t="str">
        <f>IFERROR(X229*VLOOKUP(C229,'General price list'!C:I,7,FALSE),"")</f>
        <v/>
      </c>
      <c r="AA229" s="805" t="str">
        <f>IF(X229&lt;&gt;"",VLOOKUP(C229,'General price list'!C231:AN1204,MATCH("HM",Tabulka1[[#Headers],[KOD]:[NEQ]],0),FALSE),"")</f>
        <v/>
      </c>
    </row>
    <row r="230" spans="1:27">
      <c r="A230">
        <f>COUNTIF($W$22:W230,1)</f>
        <v>0</v>
      </c>
      <c r="B230">
        <v>230</v>
      </c>
      <c r="C230" s="340" t="str">
        <f>Tabulka1[[#This Row],[KOD]]</f>
        <v>K0203K</v>
      </c>
      <c r="W230" s="804" t="str">
        <f t="shared" si="7"/>
        <v/>
      </c>
      <c r="X230" t="str">
        <f t="shared" si="8"/>
        <v/>
      </c>
      <c r="Y230" s="341">
        <f>IF('General price list'!$AB232="",0,'General price list'!$AB232)</f>
        <v>0</v>
      </c>
      <c r="Z230" s="365" t="str">
        <f>IFERROR(X230*VLOOKUP(C230,'General price list'!C:I,7,FALSE),"")</f>
        <v/>
      </c>
      <c r="AA230" s="805" t="str">
        <f>IF(X230&lt;&gt;"",VLOOKUP(C230,'General price list'!C232:AN1205,MATCH("HM",Tabulka1[[#Headers],[KOD]:[NEQ]],0),FALSE),"")</f>
        <v/>
      </c>
    </row>
    <row r="231" spans="1:27">
      <c r="A231">
        <f>COUNTIF($W$22:W231,1)</f>
        <v>0</v>
      </c>
      <c r="B231">
        <v>231</v>
      </c>
      <c r="C231" s="340" t="str">
        <f>Tabulka1[[#This Row],[KOD]]</f>
        <v>K0203KB</v>
      </c>
      <c r="W231" s="804" t="str">
        <f t="shared" si="7"/>
        <v/>
      </c>
      <c r="X231" t="str">
        <f t="shared" si="8"/>
        <v/>
      </c>
      <c r="Y231" s="341">
        <f>IF('General price list'!$AB233="",0,'General price list'!$AB233)</f>
        <v>0</v>
      </c>
      <c r="Z231" s="365" t="str">
        <f>IFERROR(X231*VLOOKUP(C231,'General price list'!C:I,7,FALSE),"")</f>
        <v/>
      </c>
      <c r="AA231" s="805" t="str">
        <f>IF(X231&lt;&gt;"",VLOOKUP(C231,'General price list'!C233:AN1206,MATCH("HM",Tabulka1[[#Headers],[KOD]:[NEQ]],0),FALSE),"")</f>
        <v/>
      </c>
    </row>
    <row r="232" spans="1:27">
      <c r="A232">
        <f>COUNTIF($W$22:W232,1)</f>
        <v>0</v>
      </c>
      <c r="B232">
        <v>232</v>
      </c>
      <c r="C232" s="340" t="str">
        <f>Tabulka1[[#This Row],[KOD]]</f>
        <v>P05D</v>
      </c>
      <c r="W232" s="804" t="str">
        <f t="shared" si="7"/>
        <v/>
      </c>
      <c r="X232" t="str">
        <f t="shared" si="8"/>
        <v/>
      </c>
      <c r="Y232" s="341">
        <f>IF('General price list'!$AB234="",0,'General price list'!$AB234)</f>
        <v>0</v>
      </c>
      <c r="Z232" s="365" t="str">
        <f>IFERROR(X232*VLOOKUP(C232,'General price list'!C:I,7,FALSE),"")</f>
        <v/>
      </c>
      <c r="AA232" s="805" t="str">
        <f>IF(X232&lt;&gt;"",VLOOKUP(C232,'General price list'!C234:AN1207,MATCH("HM",Tabulka1[[#Headers],[KOD]:[NEQ]],0),FALSE),"")</f>
        <v/>
      </c>
    </row>
    <row r="233" spans="1:27">
      <c r="A233">
        <f>COUNTIF($W$22:W233,1)</f>
        <v>0</v>
      </c>
      <c r="B233">
        <v>233</v>
      </c>
      <c r="C233" s="340" t="str">
        <f>Tabulka1[[#This Row],[KOD]]</f>
        <v>PSF2D</v>
      </c>
      <c r="W233" s="804" t="str">
        <f t="shared" si="7"/>
        <v/>
      </c>
      <c r="X233" t="str">
        <f t="shared" si="8"/>
        <v/>
      </c>
      <c r="Y233" s="341">
        <f>IF('General price list'!$AB235="",0,'General price list'!$AB235)</f>
        <v>0</v>
      </c>
      <c r="Z233" s="365" t="str">
        <f>IFERROR(X233*VLOOKUP(C233,'General price list'!C:I,7,FALSE),"")</f>
        <v/>
      </c>
      <c r="AA233" s="805" t="str">
        <f>IF(X233&lt;&gt;"",VLOOKUP(C233,'General price list'!C235:AN1208,MATCH("HM",Tabulka1[[#Headers],[KOD]:[NEQ]],0),FALSE),"")</f>
        <v/>
      </c>
    </row>
    <row r="234" spans="1:27">
      <c r="A234">
        <f>COUNTIF($W$22:W234,1)</f>
        <v>0</v>
      </c>
      <c r="B234">
        <v>234</v>
      </c>
      <c r="C234" s="340">
        <f>Tabulka1[[#This Row],[KOD]]</f>
        <v>0</v>
      </c>
      <c r="W234" s="804" t="str">
        <f t="shared" si="7"/>
        <v/>
      </c>
      <c r="X234" t="str">
        <f t="shared" si="8"/>
        <v/>
      </c>
      <c r="Y234" s="341">
        <f>IF('General price list'!$AB236="",0,'General price list'!$AB236)</f>
        <v>0</v>
      </c>
      <c r="Z234" s="365" t="str">
        <f>IFERROR(X234*VLOOKUP(C234,'General price list'!C:I,7,FALSE),"")</f>
        <v/>
      </c>
      <c r="AA234" s="805" t="str">
        <f>IF(X234&lt;&gt;"",VLOOKUP(C234,'General price list'!C236:AN1209,MATCH("HM",Tabulka1[[#Headers],[KOD]:[NEQ]],0),FALSE),"")</f>
        <v/>
      </c>
    </row>
    <row r="235" spans="1:27">
      <c r="A235">
        <f>COUNTIF($W$22:W235,1)</f>
        <v>0</v>
      </c>
      <c r="B235">
        <v>235</v>
      </c>
      <c r="C235" s="340" t="str">
        <f>Tabulka1[[#This Row],[KOD]]</f>
        <v>PBDF2</v>
      </c>
      <c r="W235" s="804" t="str">
        <f t="shared" si="7"/>
        <v/>
      </c>
      <c r="X235" t="str">
        <f t="shared" si="8"/>
        <v/>
      </c>
      <c r="Y235" s="341">
        <f>IF('General price list'!$AB237="",0,'General price list'!$AB237)</f>
        <v>0</v>
      </c>
      <c r="Z235" s="365" t="str">
        <f>IFERROR(X235*VLOOKUP(C235,'General price list'!C:I,7,FALSE),"")</f>
        <v/>
      </c>
      <c r="AA235" s="805" t="str">
        <f>IF(X235&lt;&gt;"",VLOOKUP(C235,'General price list'!C237:AN1210,MATCH("HM",Tabulka1[[#Headers],[KOD]:[NEQ]],0),FALSE),"")</f>
        <v/>
      </c>
    </row>
    <row r="236" spans="1:27">
      <c r="A236">
        <f>COUNTIF($W$22:W236,1)</f>
        <v>0</v>
      </c>
      <c r="B236">
        <v>236</v>
      </c>
      <c r="C236" s="340" t="str">
        <f>Tabulka1[[#This Row],[KOD]]</f>
        <v>PBF2D</v>
      </c>
      <c r="W236" s="804" t="str">
        <f t="shared" si="7"/>
        <v/>
      </c>
      <c r="X236" t="str">
        <f t="shared" si="8"/>
        <v/>
      </c>
      <c r="Y236" s="341">
        <f>IF('General price list'!$AB238="",0,'General price list'!$AB238)</f>
        <v>0</v>
      </c>
      <c r="Z236" s="365" t="str">
        <f>IFERROR(X236*VLOOKUP(C236,'General price list'!C:I,7,FALSE),"")</f>
        <v/>
      </c>
      <c r="AA236" s="805" t="str">
        <f>IF(X236&lt;&gt;"",VLOOKUP(C236,'General price list'!C238:AN1211,MATCH("HM",Tabulka1[[#Headers],[KOD]:[NEQ]],0),FALSE),"")</f>
        <v/>
      </c>
    </row>
    <row r="237" spans="1:27">
      <c r="A237">
        <f>COUNTIF($W$22:W237,1)</f>
        <v>0</v>
      </c>
      <c r="B237">
        <v>237</v>
      </c>
      <c r="C237" s="340" t="str">
        <f>Tabulka1[[#This Row],[KOD]]</f>
        <v>PB120D</v>
      </c>
      <c r="W237" s="804" t="str">
        <f t="shared" si="7"/>
        <v/>
      </c>
      <c r="X237" t="str">
        <f t="shared" si="8"/>
        <v/>
      </c>
      <c r="Y237" s="341">
        <f>IF('General price list'!$AB239="",0,'General price list'!$AB239)</f>
        <v>0</v>
      </c>
      <c r="Z237" s="365" t="str">
        <f>IFERROR(X237*VLOOKUP(C237,'General price list'!C:I,7,FALSE),"")</f>
        <v/>
      </c>
      <c r="AA237" s="805" t="str">
        <f>IF(X237&lt;&gt;"",VLOOKUP(C237,'General price list'!C239:AN1212,MATCH("HM",Tabulka1[[#Headers],[KOD]:[NEQ]],0),FALSE),"")</f>
        <v/>
      </c>
    </row>
    <row r="238" spans="1:27">
      <c r="A238">
        <f>COUNTIF($W$22:W238,1)</f>
        <v>0</v>
      </c>
      <c r="B238">
        <v>238</v>
      </c>
      <c r="C238" s="340">
        <f>Tabulka1[[#This Row],[KOD]]</f>
        <v>0</v>
      </c>
      <c r="W238" s="804" t="str">
        <f t="shared" si="7"/>
        <v/>
      </c>
      <c r="X238" t="str">
        <f t="shared" si="8"/>
        <v/>
      </c>
      <c r="Y238" s="341">
        <f>IF('General price list'!$AB240="",0,'General price list'!$AB240)</f>
        <v>0</v>
      </c>
      <c r="Z238" s="365" t="str">
        <f>IFERROR(X238*VLOOKUP(C238,'General price list'!C:I,7,FALSE),"")</f>
        <v/>
      </c>
      <c r="AA238" s="805" t="str">
        <f>IF(X238&lt;&gt;"",VLOOKUP(C238,'General price list'!C240:AN1213,MATCH("HM",Tabulka1[[#Headers],[KOD]:[NEQ]],0),FALSE),"")</f>
        <v/>
      </c>
    </row>
    <row r="239" spans="1:27">
      <c r="A239">
        <f>COUNTIF($W$22:W239,1)</f>
        <v>0</v>
      </c>
      <c r="B239">
        <v>239</v>
      </c>
      <c r="C239" s="340" t="str">
        <f>Tabulka1[[#This Row],[KOD]]</f>
        <v>P6A14F3</v>
      </c>
      <c r="W239" s="804" t="str">
        <f t="shared" si="7"/>
        <v/>
      </c>
      <c r="X239" t="str">
        <f t="shared" si="8"/>
        <v/>
      </c>
      <c r="Y239" s="341">
        <f>IF('General price list'!$AB241="",0,'General price list'!$AB241)</f>
        <v>0</v>
      </c>
      <c r="Z239" s="365" t="str">
        <f>IFERROR(X239*VLOOKUP(C239,'General price list'!C:I,7,FALSE),"")</f>
        <v/>
      </c>
      <c r="AA239" s="805" t="str">
        <f>IF(X239&lt;&gt;"",VLOOKUP(C239,'General price list'!C241:AN1214,MATCH("HM",Tabulka1[[#Headers],[KOD]:[NEQ]],0),FALSE),"")</f>
        <v/>
      </c>
    </row>
    <row r="240" spans="1:27">
      <c r="A240">
        <f>COUNTIF($W$22:W240,1)</f>
        <v>0</v>
      </c>
      <c r="B240">
        <v>240</v>
      </c>
      <c r="C240" s="340" t="str">
        <f>Tabulka1[[#This Row],[KOD]]</f>
        <v>P7A14</v>
      </c>
      <c r="W240" s="804" t="str">
        <f t="shared" si="7"/>
        <v/>
      </c>
      <c r="X240" t="str">
        <f t="shared" si="8"/>
        <v/>
      </c>
      <c r="Y240" s="341">
        <f>IF('General price list'!$AB242="",0,'General price list'!$AB242)</f>
        <v>0</v>
      </c>
      <c r="Z240" s="365" t="str">
        <f>IFERROR(X240*VLOOKUP(C240,'General price list'!C:I,7,FALSE),"")</f>
        <v/>
      </c>
      <c r="AA240" s="805" t="str">
        <f>IF(X240&lt;&gt;"",VLOOKUP(C240,'General price list'!C242:AN1215,MATCH("HM",Tabulka1[[#Headers],[KOD]:[NEQ]],0),FALSE),"")</f>
        <v/>
      </c>
    </row>
    <row r="241" spans="1:27">
      <c r="A241">
        <f>COUNTIF($W$22:W241,1)</f>
        <v>0</v>
      </c>
      <c r="B241">
        <v>241</v>
      </c>
      <c r="C241" s="340" t="str">
        <f>Tabulka1[[#This Row],[KOD]]</f>
        <v>P4B</v>
      </c>
      <c r="W241" s="804" t="str">
        <f t="shared" si="7"/>
        <v/>
      </c>
      <c r="X241" t="str">
        <f t="shared" si="8"/>
        <v/>
      </c>
      <c r="Y241" s="341">
        <f>IF('General price list'!$AB243="",0,'General price list'!$AB243)</f>
        <v>0</v>
      </c>
      <c r="Z241" s="365" t="str">
        <f>IFERROR(X241*VLOOKUP(C241,'General price list'!C:I,7,FALSE),"")</f>
        <v/>
      </c>
      <c r="AA241" s="805" t="str">
        <f>IF(X241&lt;&gt;"",VLOOKUP(C241,'General price list'!C243:AN1216,MATCH("HM",Tabulka1[[#Headers],[KOD]:[NEQ]],0),FALSE),"")</f>
        <v/>
      </c>
    </row>
    <row r="242" spans="1:27">
      <c r="A242">
        <f>COUNTIF($W$22:W242,1)</f>
        <v>0</v>
      </c>
      <c r="B242">
        <v>242</v>
      </c>
      <c r="C242" s="340" t="str">
        <f>Tabulka1[[#This Row],[KOD]]</f>
        <v>P5DU13</v>
      </c>
      <c r="W242" s="804" t="str">
        <f t="shared" si="7"/>
        <v/>
      </c>
      <c r="X242" t="str">
        <f t="shared" si="8"/>
        <v/>
      </c>
      <c r="Y242" s="341">
        <f>IF('General price list'!$AB244="",0,'General price list'!$AB244)</f>
        <v>0</v>
      </c>
      <c r="Z242" s="365" t="str">
        <f>IFERROR(X242*VLOOKUP(C242,'General price list'!C:I,7,FALSE),"")</f>
        <v/>
      </c>
      <c r="AA242" s="805" t="str">
        <f>IF(X242&lt;&gt;"",VLOOKUP(C242,'General price list'!C244:AN1217,MATCH("HM",Tabulka1[[#Headers],[KOD]:[NEQ]],0),FALSE),"")</f>
        <v/>
      </c>
    </row>
    <row r="243" spans="1:27">
      <c r="A243">
        <f>COUNTIF($W$22:W243,1)</f>
        <v>0</v>
      </c>
      <c r="B243">
        <v>243</v>
      </c>
      <c r="C243" s="340" t="str">
        <f>Tabulka1[[#This Row],[KOD]]</f>
        <v>P5DU13(M)</v>
      </c>
      <c r="W243" s="804" t="str">
        <f t="shared" si="7"/>
        <v/>
      </c>
      <c r="X243" t="str">
        <f t="shared" si="8"/>
        <v/>
      </c>
      <c r="Y243" s="341">
        <f>IF('General price list'!$AB245="",0,'General price list'!$AB245)</f>
        <v>0</v>
      </c>
      <c r="Z243" s="365" t="str">
        <f>IFERROR(X243*VLOOKUP(C243,'General price list'!C:I,7,FALSE),"")</f>
        <v/>
      </c>
      <c r="AA243" s="805" t="str">
        <f>IF(X243&lt;&gt;"",VLOOKUP(C243,'General price list'!C245:AN1218,MATCH("HM",Tabulka1[[#Headers],[KOD]:[NEQ]],0),FALSE),"")</f>
        <v/>
      </c>
    </row>
    <row r="244" spans="1:27">
      <c r="A244">
        <f>COUNTIF($W$22:W244,1)</f>
        <v>0</v>
      </c>
      <c r="B244">
        <v>244</v>
      </c>
      <c r="C244" s="340" t="str">
        <f>Tabulka1[[#This Row],[KOD]]</f>
        <v>P5DU</v>
      </c>
      <c r="W244" s="804" t="str">
        <f t="shared" si="7"/>
        <v/>
      </c>
      <c r="X244" t="str">
        <f t="shared" si="8"/>
        <v/>
      </c>
      <c r="Y244" s="341">
        <f>IF('General price list'!$AB246="",0,'General price list'!$AB246)</f>
        <v>0</v>
      </c>
      <c r="Z244" s="365" t="str">
        <f>IFERROR(X244*VLOOKUP(C244,'General price list'!C:I,7,FALSE),"")</f>
        <v/>
      </c>
      <c r="AA244" s="805" t="str">
        <f>IF(X244&lt;&gt;"",VLOOKUP(C244,'General price list'!C246:AN1219,MATCH("HM",Tabulka1[[#Headers],[KOD]:[NEQ]],0),FALSE),"")</f>
        <v/>
      </c>
    </row>
    <row r="245" spans="1:27">
      <c r="A245">
        <f>COUNTIF($W$22:W245,1)</f>
        <v>0</v>
      </c>
      <c r="B245">
        <v>245</v>
      </c>
      <c r="C245" s="340" t="str">
        <f>Tabulka1[[#This Row],[KOD]]</f>
        <v>P5A13</v>
      </c>
      <c r="W245" s="804" t="str">
        <f t="shared" si="7"/>
        <v/>
      </c>
      <c r="X245" t="str">
        <f t="shared" si="8"/>
        <v/>
      </c>
      <c r="Y245" s="341">
        <f>IF('General price list'!$AB247="",0,'General price list'!$AB247)</f>
        <v>0</v>
      </c>
      <c r="Z245" s="365" t="str">
        <f>IFERROR(X245*VLOOKUP(C245,'General price list'!C:I,7,FALSE),"")</f>
        <v/>
      </c>
      <c r="AA245" s="805" t="str">
        <f>IF(X245&lt;&gt;"",VLOOKUP(C245,'General price list'!C247:AN1220,MATCH("HM",Tabulka1[[#Headers],[KOD]:[NEQ]],0),FALSE),"")</f>
        <v/>
      </c>
    </row>
    <row r="246" spans="1:27">
      <c r="A246">
        <f>COUNTIF($W$22:W246,1)</f>
        <v>0</v>
      </c>
      <c r="B246">
        <v>246</v>
      </c>
      <c r="C246" s="340" t="str">
        <f>Tabulka1[[#This Row],[KOD]]</f>
        <v>P5D13</v>
      </c>
      <c r="W246" s="804" t="str">
        <f t="shared" si="7"/>
        <v/>
      </c>
      <c r="X246" t="str">
        <f t="shared" si="8"/>
        <v/>
      </c>
      <c r="Y246" s="341">
        <f>IF('General price list'!$AB248="",0,'General price list'!$AB248)</f>
        <v>0</v>
      </c>
      <c r="Z246" s="365" t="str">
        <f>IFERROR(X246*VLOOKUP(C246,'General price list'!C:I,7,FALSE),"")</f>
        <v/>
      </c>
      <c r="AA246" s="805" t="str">
        <f>IF(X246&lt;&gt;"",VLOOKUP(C246,'General price list'!C248:AN1221,MATCH("HM",Tabulka1[[#Headers],[KOD]:[NEQ]],0),FALSE),"")</f>
        <v/>
      </c>
    </row>
    <row r="247" spans="1:27">
      <c r="A247">
        <f>COUNTIF($W$22:W247,1)</f>
        <v>0</v>
      </c>
      <c r="B247">
        <v>247</v>
      </c>
      <c r="C247" s="340" t="str">
        <f>Tabulka1[[#This Row],[KOD]]</f>
        <v>P5D13(W)</v>
      </c>
      <c r="W247" s="804" t="str">
        <f t="shared" si="7"/>
        <v/>
      </c>
      <c r="X247" t="str">
        <f t="shared" si="8"/>
        <v/>
      </c>
      <c r="Y247" s="341">
        <f>IF('General price list'!$AB249="",0,'General price list'!$AB249)</f>
        <v>0</v>
      </c>
      <c r="Z247" s="365" t="str">
        <f>IFERROR(X247*VLOOKUP(C247,'General price list'!C:I,7,FALSE),"")</f>
        <v/>
      </c>
      <c r="AA247" s="805" t="str">
        <f>IF(X247&lt;&gt;"",VLOOKUP(C247,'General price list'!C249:AN1222,MATCH("HM",Tabulka1[[#Headers],[KOD]:[NEQ]],0),FALSE),"")</f>
        <v/>
      </c>
    </row>
    <row r="248" spans="1:27">
      <c r="A248">
        <f>COUNTIF($W$22:W248,1)</f>
        <v>0</v>
      </c>
      <c r="B248">
        <v>248</v>
      </c>
      <c r="C248" s="340" t="str">
        <f>Tabulka1[[#This Row],[KOD]]</f>
        <v>P6A13(G)F3</v>
      </c>
      <c r="W248" s="804" t="str">
        <f t="shared" si="7"/>
        <v/>
      </c>
      <c r="X248" t="str">
        <f t="shared" si="8"/>
        <v/>
      </c>
      <c r="Y248" s="341">
        <f>IF('General price list'!$AB250="",0,'General price list'!$AB250)</f>
        <v>0</v>
      </c>
      <c r="Z248" s="365" t="str">
        <f>IFERROR(X248*VLOOKUP(C248,'General price list'!C:I,7,FALSE),"")</f>
        <v/>
      </c>
      <c r="AA248" s="805" t="str">
        <f>IF(X248&lt;&gt;"",VLOOKUP(C248,'General price list'!C250:AN1223,MATCH("HM",Tabulka1[[#Headers],[KOD]:[NEQ]],0),FALSE),"")</f>
        <v/>
      </c>
    </row>
    <row r="249" spans="1:27">
      <c r="A249">
        <f>COUNTIF($W$22:W249,1)</f>
        <v>0</v>
      </c>
      <c r="B249">
        <v>249</v>
      </c>
      <c r="C249" s="340" t="str">
        <f>Tabulka1[[#This Row],[KOD]]</f>
        <v>P6A13(R)F3</v>
      </c>
      <c r="W249" s="804" t="str">
        <f t="shared" si="7"/>
        <v/>
      </c>
      <c r="X249" t="str">
        <f t="shared" si="8"/>
        <v/>
      </c>
      <c r="Y249" s="341">
        <f>IF('General price list'!$AB251="",0,'General price list'!$AB251)</f>
        <v>0</v>
      </c>
      <c r="Z249" s="365" t="str">
        <f>IFERROR(X249*VLOOKUP(C249,'General price list'!C:I,7,FALSE),"")</f>
        <v/>
      </c>
      <c r="AA249" s="805" t="str">
        <f>IF(X249&lt;&gt;"",VLOOKUP(C249,'General price list'!C251:AN1224,MATCH("HM",Tabulka1[[#Headers],[KOD]:[NEQ]],0),FALSE),"")</f>
        <v/>
      </c>
    </row>
    <row r="250" spans="1:27">
      <c r="A250">
        <f>COUNTIF($W$22:W250,1)</f>
        <v>0</v>
      </c>
      <c r="B250">
        <v>250</v>
      </c>
      <c r="C250" s="340">
        <f>Tabulka1[[#This Row],[KOD]]</f>
        <v>0</v>
      </c>
      <c r="W250" s="804" t="str">
        <f t="shared" si="7"/>
        <v/>
      </c>
      <c r="X250" t="str">
        <f t="shared" si="8"/>
        <v/>
      </c>
      <c r="Y250" s="341">
        <f>IF('General price list'!$AB252="",0,'General price list'!$AB252)</f>
        <v>0</v>
      </c>
      <c r="Z250" s="365" t="str">
        <f>IFERROR(X250*VLOOKUP(C250,'General price list'!C:I,7,FALSE),"")</f>
        <v/>
      </c>
      <c r="AA250" s="805" t="str">
        <f>IF(X250&lt;&gt;"",VLOOKUP(C250,'General price list'!C252:AN1225,MATCH("HM",Tabulka1[[#Headers],[KOD]:[NEQ]],0),FALSE),"")</f>
        <v/>
      </c>
    </row>
    <row r="251" spans="1:27">
      <c r="A251">
        <f>COUNTIF($W$22:W251,1)</f>
        <v>0</v>
      </c>
      <c r="B251">
        <v>251</v>
      </c>
      <c r="C251" s="340" t="str">
        <f>Tabulka1[[#This Row],[KOD]]</f>
        <v>P066D20P1</v>
      </c>
      <c r="W251" s="804" t="str">
        <f t="shared" si="7"/>
        <v/>
      </c>
      <c r="X251" t="str">
        <f t="shared" si="8"/>
        <v/>
      </c>
      <c r="Y251" s="341">
        <f>IF('General price list'!$AB253="",0,'General price list'!$AB253)</f>
        <v>0</v>
      </c>
      <c r="Z251" s="365" t="str">
        <f>IFERROR(X251*VLOOKUP(C251,'General price list'!C:I,7,FALSE),"")</f>
        <v/>
      </c>
      <c r="AA251" s="805" t="str">
        <f>IF(X251&lt;&gt;"",VLOOKUP(C251,'General price list'!C253:AN1226,MATCH("HM",Tabulka1[[#Headers],[KOD]:[NEQ]],0),FALSE),"")</f>
        <v/>
      </c>
    </row>
    <row r="252" spans="1:27">
      <c r="A252">
        <f>COUNTIF($W$22:W252,1)</f>
        <v>0</v>
      </c>
      <c r="B252">
        <v>252</v>
      </c>
      <c r="C252" s="340" t="str">
        <f>Tabulka1[[#This Row],[KOD]]</f>
        <v>P5DU13(1)</v>
      </c>
      <c r="W252" s="804" t="str">
        <f t="shared" si="7"/>
        <v/>
      </c>
      <c r="X252" t="str">
        <f t="shared" si="8"/>
        <v/>
      </c>
      <c r="Y252" s="341">
        <f>IF('General price list'!$AB254="",0,'General price list'!$AB254)</f>
        <v>0</v>
      </c>
      <c r="Z252" s="365" t="str">
        <f>IFERROR(X252*VLOOKUP(C252,'General price list'!C:I,7,FALSE),"")</f>
        <v/>
      </c>
      <c r="AA252" s="805" t="str">
        <f>IF(X252&lt;&gt;"",VLOOKUP(C252,'General price list'!C254:AN1227,MATCH("HM",Tabulka1[[#Headers],[KOD]:[NEQ]],0),FALSE),"")</f>
        <v/>
      </c>
    </row>
    <row r="253" spans="1:27">
      <c r="A253">
        <f>COUNTIF($W$22:W253,1)</f>
        <v>0</v>
      </c>
      <c r="B253">
        <v>253</v>
      </c>
      <c r="C253" s="340" t="str">
        <f>Tabulka1[[#This Row],[KOD]]</f>
        <v>P2GP1</v>
      </c>
      <c r="W253" s="804" t="str">
        <f t="shared" si="7"/>
        <v/>
      </c>
      <c r="X253" t="str">
        <f t="shared" si="8"/>
        <v/>
      </c>
      <c r="Y253" s="341">
        <f>IF('General price list'!$AB255="",0,'General price list'!$AB255)</f>
        <v>0</v>
      </c>
      <c r="Z253" s="365" t="str">
        <f>IFERROR(X253*VLOOKUP(C253,'General price list'!C:I,7,FALSE),"")</f>
        <v/>
      </c>
      <c r="AA253" s="805" t="str">
        <f>IF(X253&lt;&gt;"",VLOOKUP(C253,'General price list'!C255:AN1228,MATCH("HM",Tabulka1[[#Headers],[KOD]:[NEQ]],0),FALSE),"")</f>
        <v/>
      </c>
    </row>
    <row r="254" spans="1:27">
      <c r="A254">
        <f>COUNTIF($W$22:W254,1)</f>
        <v>0</v>
      </c>
      <c r="B254">
        <v>254</v>
      </c>
      <c r="C254" s="340">
        <f>Tabulka1[[#This Row],[KOD]]</f>
        <v>0</v>
      </c>
      <c r="W254" s="804" t="str">
        <f t="shared" si="7"/>
        <v/>
      </c>
      <c r="X254" t="str">
        <f t="shared" si="8"/>
        <v/>
      </c>
      <c r="Y254" s="341">
        <f>IF('General price list'!$AB256="",0,'General price list'!$AB256)</f>
        <v>0</v>
      </c>
      <c r="Z254" s="365" t="str">
        <f>IFERROR(X254*VLOOKUP(C254,'General price list'!C:I,7,FALSE),"")</f>
        <v/>
      </c>
      <c r="AA254" s="805" t="str">
        <f>IF(X254&lt;&gt;"",VLOOKUP(C254,'General price list'!C256:AN1229,MATCH("HM",Tabulka1[[#Headers],[KOD]:[NEQ]],0),FALSE),"")</f>
        <v/>
      </c>
    </row>
    <row r="255" spans="1:27">
      <c r="A255">
        <f>COUNTIF($W$22:W255,1)</f>
        <v>0</v>
      </c>
      <c r="B255">
        <v>255</v>
      </c>
      <c r="C255" s="340" t="str">
        <f>Tabulka1[[#This Row],[KOD]]</f>
        <v>P6AE</v>
      </c>
      <c r="W255" s="804" t="str">
        <f t="shared" si="7"/>
        <v/>
      </c>
      <c r="X255" t="str">
        <f t="shared" si="8"/>
        <v/>
      </c>
      <c r="Y255" s="341">
        <f>IF('General price list'!$AB257="",0,'General price list'!$AB257)</f>
        <v>0</v>
      </c>
      <c r="Z255" s="365" t="str">
        <f>IFERROR(X255*VLOOKUP(C255,'General price list'!C:I,7,FALSE),"")</f>
        <v/>
      </c>
      <c r="AA255" s="805" t="str">
        <f>IF(X255&lt;&gt;"",VLOOKUP(C255,'General price list'!C257:AN1230,MATCH("HM",Tabulka1[[#Headers],[KOD]:[NEQ]],0),FALSE),"")</f>
        <v/>
      </c>
    </row>
    <row r="256" spans="1:27">
      <c r="A256">
        <f>COUNTIF($W$22:W256,1)</f>
        <v>0</v>
      </c>
      <c r="B256">
        <v>256</v>
      </c>
      <c r="C256" s="340" t="str">
        <f>Tabulka1[[#This Row],[KOD]]</f>
        <v>P30D</v>
      </c>
      <c r="W256" s="804" t="str">
        <f t="shared" si="7"/>
        <v/>
      </c>
      <c r="X256" t="str">
        <f t="shared" si="8"/>
        <v/>
      </c>
      <c r="Y256" s="341">
        <f>IF('General price list'!$AB258="",0,'General price list'!$AB258)</f>
        <v>0</v>
      </c>
      <c r="Z256" s="365" t="str">
        <f>IFERROR(X256*VLOOKUP(C256,'General price list'!C:I,7,FALSE),"")</f>
        <v/>
      </c>
      <c r="AA256" s="805" t="str">
        <f>IF(X256&lt;&gt;"",VLOOKUP(C256,'General price list'!C258:AN1231,MATCH("HM",Tabulka1[[#Headers],[KOD]:[NEQ]],0),FALSE),"")</f>
        <v/>
      </c>
    </row>
    <row r="257" spans="1:27">
      <c r="A257">
        <f>COUNTIF($W$22:W257,1)</f>
        <v>0</v>
      </c>
      <c r="B257">
        <v>257</v>
      </c>
      <c r="C257" s="340" t="str">
        <f>Tabulka1[[#This Row],[KOD]]</f>
        <v>P50D</v>
      </c>
      <c r="W257" s="804" t="str">
        <f t="shared" si="7"/>
        <v/>
      </c>
      <c r="X257" t="str">
        <f t="shared" si="8"/>
        <v/>
      </c>
      <c r="Y257" s="341">
        <f>IF('General price list'!$AB259="",0,'General price list'!$AB259)</f>
        <v>0</v>
      </c>
      <c r="Z257" s="365" t="str">
        <f>IFERROR(X257*VLOOKUP(C257,'General price list'!C:I,7,FALSE),"")</f>
        <v/>
      </c>
      <c r="AA257" s="805" t="str">
        <f>IF(X257&lt;&gt;"",VLOOKUP(C257,'General price list'!C259:AN1232,MATCH("HM",Tabulka1[[#Headers],[KOD]:[NEQ]],0),FALSE),"")</f>
        <v/>
      </c>
    </row>
    <row r="258" spans="1:27">
      <c r="A258">
        <f>COUNTIF($W$22:W258,1)</f>
        <v>0</v>
      </c>
      <c r="B258">
        <v>258</v>
      </c>
      <c r="C258" s="340" t="str">
        <f>Tabulka1[[#This Row],[KOD]]</f>
        <v>P170</v>
      </c>
      <c r="W258" s="804" t="str">
        <f t="shared" si="7"/>
        <v/>
      </c>
      <c r="X258" t="str">
        <f t="shared" si="8"/>
        <v/>
      </c>
      <c r="Y258" s="341">
        <f>IF('General price list'!$AB260="",0,'General price list'!$AB260)</f>
        <v>0</v>
      </c>
      <c r="Z258" s="365" t="str">
        <f>IFERROR(X258*VLOOKUP(C258,'General price list'!C:I,7,FALSE),"")</f>
        <v/>
      </c>
      <c r="AA258" s="805" t="str">
        <f>IF(X258&lt;&gt;"",VLOOKUP(C258,'General price list'!C260:AN1233,MATCH("HM",Tabulka1[[#Headers],[KOD]:[NEQ]],0),FALSE),"")</f>
        <v/>
      </c>
    </row>
    <row r="259" spans="1:27">
      <c r="A259">
        <f>COUNTIF($W$22:W259,1)</f>
        <v>0</v>
      </c>
      <c r="B259">
        <v>259</v>
      </c>
      <c r="C259" s="340">
        <f>Tabulka1[[#This Row],[KOD]]</f>
        <v>0</v>
      </c>
      <c r="W259" s="804" t="str">
        <f t="shared" si="7"/>
        <v/>
      </c>
      <c r="X259" t="str">
        <f t="shared" si="8"/>
        <v/>
      </c>
      <c r="Y259" s="341">
        <f>IF('General price list'!$AB261="",0,'General price list'!$AB261)</f>
        <v>0</v>
      </c>
      <c r="Z259" s="365" t="str">
        <f>IFERROR(X259*VLOOKUP(C259,'General price list'!C:I,7,FALSE),"")</f>
        <v/>
      </c>
      <c r="AA259" s="805" t="str">
        <f>IF(X259&lt;&gt;"",VLOOKUP(C259,'General price list'!C261:AN1234,MATCH("HM",Tabulka1[[#Headers],[KOD]:[NEQ]],0),FALSE),"")</f>
        <v/>
      </c>
    </row>
    <row r="260" spans="1:27">
      <c r="A260">
        <f>COUNTIF($W$22:W260,1)</f>
        <v>0</v>
      </c>
      <c r="B260">
        <v>260</v>
      </c>
      <c r="C260" s="340" t="str">
        <f>Tabulka1[[#This Row],[KOD]]</f>
        <v>EB15</v>
      </c>
      <c r="W260" s="804" t="str">
        <f t="shared" si="7"/>
        <v/>
      </c>
      <c r="X260" t="str">
        <f t="shared" si="8"/>
        <v/>
      </c>
      <c r="Y260" s="341">
        <f>IF('General price list'!$AB262="",0,'General price list'!$AB262)</f>
        <v>0</v>
      </c>
      <c r="Z260" s="365" t="str">
        <f>IFERROR(X260*VLOOKUP(C260,'General price list'!C:I,7,FALSE),"")</f>
        <v/>
      </c>
      <c r="AA260" s="805" t="str">
        <f>IF(X260&lt;&gt;"",VLOOKUP(C260,'General price list'!C262:AN1235,MATCH("HM",Tabulka1[[#Headers],[KOD]:[NEQ]],0),FALSE),"")</f>
        <v/>
      </c>
    </row>
    <row r="261" spans="1:27">
      <c r="A261">
        <f>COUNTIF($W$22:W261,1)</f>
        <v>0</v>
      </c>
      <c r="B261">
        <v>261</v>
      </c>
      <c r="C261" s="340" t="str">
        <f>Tabulka1[[#This Row],[KOD]]</f>
        <v>EB9</v>
      </c>
      <c r="W261" s="804" t="str">
        <f t="shared" si="7"/>
        <v/>
      </c>
      <c r="X261" t="str">
        <f t="shared" si="8"/>
        <v/>
      </c>
      <c r="Y261" s="341">
        <f>IF('General price list'!$AB263="",0,'General price list'!$AB263)</f>
        <v>0</v>
      </c>
      <c r="Z261" s="365" t="str">
        <f>IFERROR(X261*VLOOKUP(C261,'General price list'!C:I,7,FALSE),"")</f>
        <v/>
      </c>
      <c r="AA261" s="805" t="str">
        <f>IF(X261&lt;&gt;"",VLOOKUP(C261,'General price list'!C263:AN1236,MATCH("HM",Tabulka1[[#Headers],[KOD]:[NEQ]],0),FALSE),"")</f>
        <v/>
      </c>
    </row>
    <row r="262" spans="1:27">
      <c r="A262">
        <f>COUNTIF($W$22:W262,1)</f>
        <v>0</v>
      </c>
      <c r="B262">
        <v>262</v>
      </c>
      <c r="C262" s="340" t="str">
        <f>Tabulka1[[#This Row],[KOD]]</f>
        <v>K20K</v>
      </c>
      <c r="W262" s="804" t="str">
        <f t="shared" si="7"/>
        <v/>
      </c>
      <c r="X262" t="str">
        <f t="shared" si="8"/>
        <v/>
      </c>
      <c r="Y262" s="341">
        <f>IF('General price list'!$AB264="",0,'General price list'!$AB264)</f>
        <v>0</v>
      </c>
      <c r="Z262" s="365" t="str">
        <f>IFERROR(X262*VLOOKUP(C262,'General price list'!C:I,7,FALSE),"")</f>
        <v/>
      </c>
      <c r="AA262" s="805" t="str">
        <f>IF(X262&lt;&gt;"",VLOOKUP(C262,'General price list'!C264:AN1237,MATCH("HM",Tabulka1[[#Headers],[KOD]:[NEQ]],0),FALSE),"")</f>
        <v/>
      </c>
    </row>
    <row r="263" spans="1:27">
      <c r="A263">
        <f>COUNTIF($W$22:W263,1)</f>
        <v>0</v>
      </c>
      <c r="B263">
        <v>263</v>
      </c>
      <c r="C263" s="340" t="str">
        <f>Tabulka1[[#This Row],[KOD]]</f>
        <v>K60K</v>
      </c>
      <c r="W263" s="804" t="str">
        <f t="shared" si="7"/>
        <v/>
      </c>
      <c r="X263" t="str">
        <f t="shared" si="8"/>
        <v/>
      </c>
      <c r="Y263" s="341">
        <f>IF('General price list'!$AB265="",0,'General price list'!$AB265)</f>
        <v>0</v>
      </c>
      <c r="Z263" s="365" t="str">
        <f>IFERROR(X263*VLOOKUP(C263,'General price list'!C:I,7,FALSE),"")</f>
        <v/>
      </c>
      <c r="AA263" s="805" t="str">
        <f>IF(X263&lt;&gt;"",VLOOKUP(C263,'General price list'!C265:AN1238,MATCH("HM",Tabulka1[[#Headers],[KOD]:[NEQ]],0),FALSE),"")</f>
        <v/>
      </c>
    </row>
    <row r="264" spans="1:27">
      <c r="A264">
        <f>COUNTIF($W$22:W264,1)</f>
        <v>0</v>
      </c>
      <c r="B264">
        <v>264</v>
      </c>
      <c r="C264" s="340" t="str">
        <f>Tabulka1[[#This Row],[KOD]]</f>
        <v>K01M</v>
      </c>
      <c r="W264" s="804" t="str">
        <f t="shared" si="7"/>
        <v/>
      </c>
      <c r="X264" t="str">
        <f t="shared" si="8"/>
        <v/>
      </c>
      <c r="Y264" s="341">
        <f>IF('General price list'!$AB266="",0,'General price list'!$AB266)</f>
        <v>0</v>
      </c>
      <c r="Z264" s="365" t="str">
        <f>IFERROR(X264*VLOOKUP(C264,'General price list'!C:I,7,FALSE),"")</f>
        <v/>
      </c>
      <c r="AA264" s="805" t="str">
        <f>IF(X264&lt;&gt;"",VLOOKUP(C264,'General price list'!C266:AN1239,MATCH("HM",Tabulka1[[#Headers],[KOD]:[NEQ]],0),FALSE),"")</f>
        <v/>
      </c>
    </row>
    <row r="265" spans="1:27">
      <c r="A265">
        <f>COUNTIF($W$22:W265,1)</f>
        <v>0</v>
      </c>
      <c r="B265">
        <v>265</v>
      </c>
      <c r="C265" s="340" t="str">
        <f>Tabulka1[[#This Row],[KOD]]</f>
        <v>K100R</v>
      </c>
      <c r="W265" s="804" t="str">
        <f t="shared" si="7"/>
        <v/>
      </c>
      <c r="X265" t="str">
        <f t="shared" si="8"/>
        <v/>
      </c>
      <c r="Y265" s="341">
        <f>IF('General price list'!$AB267="",0,'General price list'!$AB267)</f>
        <v>0</v>
      </c>
      <c r="Z265" s="365" t="str">
        <f>IFERROR(X265*VLOOKUP(C265,'General price list'!C:I,7,FALSE),"")</f>
        <v/>
      </c>
      <c r="AA265" s="805" t="str">
        <f>IF(X265&lt;&gt;"",VLOOKUP(C265,'General price list'!C267:AN1240,MATCH("HM",Tabulka1[[#Headers],[KOD]:[NEQ]],0),FALSE),"")</f>
        <v/>
      </c>
    </row>
    <row r="266" spans="1:27">
      <c r="A266">
        <f>COUNTIF($W$22:W266,1)</f>
        <v>0</v>
      </c>
      <c r="B266">
        <v>266</v>
      </c>
      <c r="C266" s="340" t="str">
        <f>Tabulka1[[#This Row],[KOD]]</f>
        <v>K200R</v>
      </c>
      <c r="W266" s="804" t="str">
        <f t="shared" si="7"/>
        <v/>
      </c>
      <c r="X266" t="str">
        <f t="shared" si="8"/>
        <v/>
      </c>
      <c r="Y266" s="341">
        <f>IF('General price list'!$AB268="",0,'General price list'!$AB268)</f>
        <v>0</v>
      </c>
      <c r="Z266" s="365" t="str">
        <f>IFERROR(X266*VLOOKUP(C266,'General price list'!C:I,7,FALSE),"")</f>
        <v/>
      </c>
      <c r="AA266" s="805" t="str">
        <f>IF(X266&lt;&gt;"",VLOOKUP(C266,'General price list'!C268:AN1241,MATCH("HM",Tabulka1[[#Headers],[KOD]:[NEQ]],0),FALSE),"")</f>
        <v/>
      </c>
    </row>
    <row r="267" spans="1:27">
      <c r="A267">
        <f>COUNTIF($W$22:W267,1)</f>
        <v>0</v>
      </c>
      <c r="B267">
        <v>267</v>
      </c>
      <c r="C267" s="340" t="str">
        <f>Tabulka1[[#This Row],[KOD]]</f>
        <v>K500R</v>
      </c>
      <c r="W267" s="804" t="str">
        <f t="shared" si="7"/>
        <v/>
      </c>
      <c r="X267" t="str">
        <f t="shared" si="8"/>
        <v/>
      </c>
      <c r="Y267" s="341">
        <f>IF('General price list'!$AB269="",0,'General price list'!$AB269)</f>
        <v>0</v>
      </c>
      <c r="Z267" s="365" t="str">
        <f>IFERROR(X267*VLOOKUP(C267,'General price list'!C:I,7,FALSE),"")</f>
        <v/>
      </c>
      <c r="AA267" s="805" t="str">
        <f>IF(X267&lt;&gt;"",VLOOKUP(C267,'General price list'!C269:AN1242,MATCH("HM",Tabulka1[[#Headers],[KOD]:[NEQ]],0),FALSE),"")</f>
        <v/>
      </c>
    </row>
    <row r="268" spans="1:27">
      <c r="A268">
        <f>COUNTIF($W$22:W268,1)</f>
        <v>0</v>
      </c>
      <c r="B268">
        <v>268</v>
      </c>
      <c r="C268" s="340" t="str">
        <f>Tabulka1[[#This Row],[KOD]]</f>
        <v>K1000R</v>
      </c>
      <c r="W268" s="804" t="str">
        <f t="shared" si="7"/>
        <v/>
      </c>
      <c r="X268" t="str">
        <f t="shared" si="8"/>
        <v/>
      </c>
      <c r="Y268" s="341">
        <f>IF('General price list'!$AB270="",0,'General price list'!$AB270)</f>
        <v>0</v>
      </c>
      <c r="Z268" s="365" t="str">
        <f>IFERROR(X268*VLOOKUP(C268,'General price list'!C:I,7,FALSE),"")</f>
        <v/>
      </c>
      <c r="AA268" s="805" t="str">
        <f>IF(X268&lt;&gt;"",VLOOKUP(C268,'General price list'!C270:AN1243,MATCH("HM",Tabulka1[[#Headers],[KOD]:[NEQ]],0),FALSE),"")</f>
        <v/>
      </c>
    </row>
    <row r="269" spans="1:27">
      <c r="A269">
        <f>COUNTIF($W$22:W269,1)</f>
        <v>0</v>
      </c>
      <c r="B269">
        <v>269</v>
      </c>
      <c r="C269" s="340" t="str">
        <f>Tabulka1[[#This Row],[KOD]]</f>
        <v>K1969R</v>
      </c>
      <c r="W269" s="804" t="str">
        <f t="shared" si="7"/>
        <v/>
      </c>
      <c r="X269" t="str">
        <f t="shared" si="8"/>
        <v/>
      </c>
      <c r="Y269" s="341">
        <f>IF('General price list'!$AB271="",0,'General price list'!$AB271)</f>
        <v>0</v>
      </c>
      <c r="Z269" s="365" t="str">
        <f>IFERROR(X269*VLOOKUP(C269,'General price list'!C:I,7,FALSE),"")</f>
        <v/>
      </c>
      <c r="AA269" s="805" t="str">
        <f>IF(X269&lt;&gt;"",VLOOKUP(C269,'General price list'!C271:AN1244,MATCH("HM",Tabulka1[[#Headers],[KOD]:[NEQ]],0),FALSE),"")</f>
        <v/>
      </c>
    </row>
    <row r="270" spans="1:27">
      <c r="A270">
        <f>COUNTIF($W$22:W270,1)</f>
        <v>0</v>
      </c>
      <c r="B270">
        <v>270</v>
      </c>
      <c r="C270" s="340" t="str">
        <f>Tabulka1[[#This Row],[KOD]]</f>
        <v>K10M</v>
      </c>
      <c r="W270" s="804" t="str">
        <f t="shared" si="7"/>
        <v/>
      </c>
      <c r="X270" t="str">
        <f t="shared" si="8"/>
        <v/>
      </c>
      <c r="Y270" s="341">
        <f>IF('General price list'!$AB272="",0,'General price list'!$AB272)</f>
        <v>0</v>
      </c>
      <c r="Z270" s="365" t="str">
        <f>IFERROR(X270*VLOOKUP(C270,'General price list'!C:I,7,FALSE),"")</f>
        <v/>
      </c>
      <c r="AA270" s="805" t="str">
        <f>IF(X270&lt;&gt;"",VLOOKUP(C270,'General price list'!C272:AN1245,MATCH("HM",Tabulka1[[#Headers],[KOD]:[NEQ]],0),FALSE),"")</f>
        <v/>
      </c>
    </row>
    <row r="271" spans="1:27">
      <c r="A271">
        <f>COUNTIF($W$22:W271,1)</f>
        <v>0</v>
      </c>
      <c r="B271">
        <v>271</v>
      </c>
      <c r="C271" s="340" t="str">
        <f>Tabulka1[[#This Row],[KOD]]</f>
        <v>DBB1E</v>
      </c>
      <c r="W271" s="804" t="str">
        <f t="shared" si="7"/>
        <v/>
      </c>
      <c r="X271" t="str">
        <f t="shared" si="8"/>
        <v/>
      </c>
      <c r="Y271" s="341">
        <f>IF('General price list'!$AB273="",0,'General price list'!$AB273)</f>
        <v>0</v>
      </c>
      <c r="Z271" s="365" t="str">
        <f>IFERROR(X271*VLOOKUP(C271,'General price list'!C:I,7,FALSE),"")</f>
        <v/>
      </c>
      <c r="AA271" s="805" t="str">
        <f>IF(X271&lt;&gt;"",VLOOKUP(C271,'General price list'!C273:AN1246,MATCH("HM",Tabulka1[[#Headers],[KOD]:[NEQ]],0),FALSE),"")</f>
        <v/>
      </c>
    </row>
    <row r="272" spans="1:27">
      <c r="A272">
        <f>COUNTIF($W$22:W272,1)</f>
        <v>0</v>
      </c>
      <c r="B272">
        <v>272</v>
      </c>
      <c r="C272" s="340">
        <f>Tabulka1[[#This Row],[KOD]]</f>
        <v>0</v>
      </c>
      <c r="W272" s="804" t="str">
        <f t="shared" si="7"/>
        <v/>
      </c>
      <c r="X272" t="str">
        <f t="shared" si="8"/>
        <v/>
      </c>
      <c r="Y272" s="341">
        <f>IF('General price list'!$AB274="",0,'General price list'!$AB274)</f>
        <v>0</v>
      </c>
      <c r="Z272" s="365" t="str">
        <f>IFERROR(X272*VLOOKUP(C272,'General price list'!C:I,7,FALSE),"")</f>
        <v/>
      </c>
      <c r="AA272" s="805" t="str">
        <f>IF(X272&lt;&gt;"",VLOOKUP(C272,'General price list'!C274:AN1247,MATCH("HM",Tabulka1[[#Headers],[KOD]:[NEQ]],0),FALSE),"")</f>
        <v/>
      </c>
    </row>
    <row r="273" spans="1:27">
      <c r="A273">
        <f>COUNTIF($W$22:W273,1)</f>
        <v>0</v>
      </c>
      <c r="B273">
        <v>273</v>
      </c>
      <c r="C273" s="340" t="str">
        <f>Tabulka1[[#This Row],[KOD]]</f>
        <v>RS1</v>
      </c>
      <c r="W273" s="804" t="str">
        <f t="shared" si="7"/>
        <v/>
      </c>
      <c r="X273" t="str">
        <f t="shared" si="8"/>
        <v/>
      </c>
      <c r="Y273" s="341">
        <f>IF('General price list'!$AB275="",0,'General price list'!$AB275)</f>
        <v>0</v>
      </c>
      <c r="Z273" s="365" t="str">
        <f>IFERROR(X273*VLOOKUP(C273,'General price list'!C:I,7,FALSE),"")</f>
        <v/>
      </c>
      <c r="AA273" s="805" t="str">
        <f>IF(X273&lt;&gt;"",VLOOKUP(C273,'General price list'!C275:AN1248,MATCH("HM",Tabulka1[[#Headers],[KOD]:[NEQ]],0),FALSE),"")</f>
        <v/>
      </c>
    </row>
    <row r="274" spans="1:27">
      <c r="A274">
        <f>COUNTIF($W$22:W274,1)</f>
        <v>0</v>
      </c>
      <c r="B274">
        <v>274</v>
      </c>
      <c r="C274" s="340" t="str">
        <f>Tabulka1[[#This Row],[KOD]]</f>
        <v>RS6P</v>
      </c>
      <c r="W274" s="804" t="str">
        <f t="shared" si="7"/>
        <v/>
      </c>
      <c r="X274" t="str">
        <f t="shared" si="8"/>
        <v/>
      </c>
      <c r="Y274" s="341">
        <f>IF('General price list'!$AB276="",0,'General price list'!$AB276)</f>
        <v>0</v>
      </c>
      <c r="Z274" s="365" t="str">
        <f>IFERROR(X274*VLOOKUP(C274,'General price list'!C:I,7,FALSE),"")</f>
        <v/>
      </c>
      <c r="AA274" s="805" t="str">
        <f>IF(X274&lt;&gt;"",VLOOKUP(C274,'General price list'!C276:AN1249,MATCH("HM",Tabulka1[[#Headers],[KOD]:[NEQ]],0),FALSE),"")</f>
        <v/>
      </c>
    </row>
    <row r="275" spans="1:27">
      <c r="A275">
        <f>COUNTIF($W$22:W275,1)</f>
        <v>0</v>
      </c>
      <c r="B275">
        <v>275</v>
      </c>
      <c r="C275" s="340" t="str">
        <f>Tabulka1[[#This Row],[KOD]]</f>
        <v>RS6O</v>
      </c>
      <c r="W275" s="804" t="str">
        <f t="shared" si="7"/>
        <v/>
      </c>
      <c r="X275" t="str">
        <f t="shared" si="8"/>
        <v/>
      </c>
      <c r="Y275" s="341">
        <f>IF('General price list'!$AB277="",0,'General price list'!$AB277)</f>
        <v>0</v>
      </c>
      <c r="Z275" s="365" t="str">
        <f>IFERROR(X275*VLOOKUP(C275,'General price list'!C:I,7,FALSE),"")</f>
        <v/>
      </c>
      <c r="AA275" s="805" t="str">
        <f>IF(X275&lt;&gt;"",VLOOKUP(C275,'General price list'!C277:AN1250,MATCH("HM",Tabulka1[[#Headers],[KOD]:[NEQ]],0),FALSE),"")</f>
        <v/>
      </c>
    </row>
    <row r="276" spans="1:27">
      <c r="A276">
        <f>COUNTIF($W$22:W276,1)</f>
        <v>0</v>
      </c>
      <c r="B276">
        <v>276</v>
      </c>
      <c r="C276" s="340" t="str">
        <f>Tabulka1[[#This Row],[KOD]]</f>
        <v>RS6S</v>
      </c>
      <c r="W276" s="804" t="str">
        <f t="shared" si="7"/>
        <v/>
      </c>
      <c r="X276" t="str">
        <f t="shared" si="8"/>
        <v/>
      </c>
      <c r="Y276" s="341">
        <f>IF('General price list'!$AB278="",0,'General price list'!$AB278)</f>
        <v>0</v>
      </c>
      <c r="Z276" s="365" t="str">
        <f>IFERROR(X276*VLOOKUP(C276,'General price list'!C:I,7,FALSE),"")</f>
        <v/>
      </c>
      <c r="AA276" s="805" t="str">
        <f>IF(X276&lt;&gt;"",VLOOKUP(C276,'General price list'!C278:AN1251,MATCH("HM",Tabulka1[[#Headers],[KOD]:[NEQ]],0),FALSE),"")</f>
        <v/>
      </c>
    </row>
    <row r="277" spans="1:27">
      <c r="A277">
        <f>COUNTIF($W$22:W277,1)</f>
        <v>0</v>
      </c>
      <c r="B277">
        <v>277</v>
      </c>
      <c r="C277" s="340" t="str">
        <f>Tabulka1[[#This Row],[KOD]]</f>
        <v>RS6SM</v>
      </c>
      <c r="W277" s="804" t="str">
        <f t="shared" si="7"/>
        <v/>
      </c>
      <c r="X277" t="str">
        <f t="shared" si="8"/>
        <v/>
      </c>
      <c r="Y277" s="341">
        <f>IF('General price list'!$AB279="",0,'General price list'!$AB279)</f>
        <v>0</v>
      </c>
      <c r="Z277" s="365" t="str">
        <f>IFERROR(X277*VLOOKUP(C277,'General price list'!C:I,7,FALSE),"")</f>
        <v/>
      </c>
      <c r="AA277" s="805" t="str">
        <f>IF(X277&lt;&gt;"",VLOOKUP(C277,'General price list'!C279:AN1252,MATCH("HM",Tabulka1[[#Headers],[KOD]:[NEQ]],0),FALSE),"")</f>
        <v/>
      </c>
    </row>
    <row r="278" spans="1:27">
      <c r="A278">
        <f>COUNTIF($W$22:W278,1)</f>
        <v>0</v>
      </c>
      <c r="B278">
        <v>278</v>
      </c>
      <c r="C278" s="340" t="str">
        <f>Tabulka1[[#This Row],[KOD]]</f>
        <v>R12T1</v>
      </c>
      <c r="W278" s="804" t="str">
        <f t="shared" si="7"/>
        <v/>
      </c>
      <c r="X278" t="str">
        <f t="shared" si="8"/>
        <v/>
      </c>
      <c r="Y278" s="341">
        <f>IF('General price list'!$AB280="",0,'General price list'!$AB280)</f>
        <v>0</v>
      </c>
      <c r="Z278" s="365" t="str">
        <f>IFERROR(X278*VLOOKUP(C278,'General price list'!C:I,7,FALSE),"")</f>
        <v/>
      </c>
      <c r="AA278" s="805" t="str">
        <f>IF(X278&lt;&gt;"",VLOOKUP(C278,'General price list'!C280:AN1253,MATCH("HM",Tabulka1[[#Headers],[KOD]:[NEQ]],0),FALSE),"")</f>
        <v/>
      </c>
    </row>
    <row r="279" spans="1:27">
      <c r="A279">
        <f>COUNTIF($W$22:W279,1)</f>
        <v>0</v>
      </c>
      <c r="B279">
        <v>279</v>
      </c>
      <c r="C279" s="340" t="str">
        <f>Tabulka1[[#This Row],[KOD]]</f>
        <v>R12T3</v>
      </c>
      <c r="W279" s="804" t="str">
        <f t="shared" si="7"/>
        <v/>
      </c>
      <c r="X279" t="str">
        <f t="shared" si="8"/>
        <v/>
      </c>
      <c r="Y279" s="341">
        <f>IF('General price list'!$AB281="",0,'General price list'!$AB281)</f>
        <v>0</v>
      </c>
      <c r="Z279" s="365" t="str">
        <f>IFERROR(X279*VLOOKUP(C279,'General price list'!C:I,7,FALSE),"")</f>
        <v/>
      </c>
      <c r="AA279" s="805" t="str">
        <f>IF(X279&lt;&gt;"",VLOOKUP(C279,'General price list'!C281:AN1254,MATCH("HM",Tabulka1[[#Headers],[KOD]:[NEQ]],0),FALSE),"")</f>
        <v/>
      </c>
    </row>
    <row r="280" spans="1:27">
      <c r="A280">
        <f>COUNTIF($W$22:W280,1)</f>
        <v>0</v>
      </c>
      <c r="B280">
        <v>280</v>
      </c>
      <c r="C280" s="340" t="str">
        <f>Tabulka1[[#This Row],[KOD]]</f>
        <v>RSD6</v>
      </c>
      <c r="W280" s="804" t="str">
        <f t="shared" ref="W280:W343" si="9">IF(Y280+1=1,"",1)</f>
        <v/>
      </c>
      <c r="X280" t="str">
        <f t="shared" ref="X280:X343" si="10">IF(OR(A280&lt;$F$20,A280&gt;$F$21),"",IF(Y280=0,"",Y280))</f>
        <v/>
      </c>
      <c r="Y280" s="341">
        <f>IF('General price list'!$AB282="",0,'General price list'!$AB282)</f>
        <v>0</v>
      </c>
      <c r="Z280" s="365" t="str">
        <f>IFERROR(X280*VLOOKUP(C280,'General price list'!C:I,7,FALSE),"")</f>
        <v/>
      </c>
      <c r="AA280" s="805" t="str">
        <f>IF(X280&lt;&gt;"",VLOOKUP(C280,'General price list'!C282:AN1255,MATCH("HM",Tabulka1[[#Headers],[KOD]:[NEQ]],0),FALSE),"")</f>
        <v/>
      </c>
    </row>
    <row r="281" spans="1:27">
      <c r="A281">
        <f>COUNTIF($W$22:W281,1)</f>
        <v>0</v>
      </c>
      <c r="B281">
        <v>281</v>
      </c>
      <c r="C281" s="340" t="str">
        <f>Tabulka1[[#This Row],[KOD]]</f>
        <v>RS6XS</v>
      </c>
      <c r="W281" s="804" t="str">
        <f t="shared" si="9"/>
        <v/>
      </c>
      <c r="X281" t="str">
        <f t="shared" si="10"/>
        <v/>
      </c>
      <c r="Y281" s="341">
        <f>IF('General price list'!$AB283="",0,'General price list'!$AB283)</f>
        <v>0</v>
      </c>
      <c r="Z281" s="365" t="str">
        <f>IFERROR(X281*VLOOKUP(C281,'General price list'!C:I,7,FALSE),"")</f>
        <v/>
      </c>
      <c r="AA281" s="805" t="str">
        <f>IF(X281&lt;&gt;"",VLOOKUP(C281,'General price list'!C283:AN1256,MATCH("HM",Tabulka1[[#Headers],[KOD]:[NEQ]],0),FALSE),"")</f>
        <v/>
      </c>
    </row>
    <row r="282" spans="1:27">
      <c r="A282">
        <f>COUNTIF($W$22:W282,1)</f>
        <v>0</v>
      </c>
      <c r="B282">
        <v>282</v>
      </c>
      <c r="C282" s="340" t="str">
        <f>Tabulka1[[#This Row],[KOD]]</f>
        <v>RS5DU</v>
      </c>
      <c r="W282" s="804" t="str">
        <f t="shared" si="9"/>
        <v/>
      </c>
      <c r="X282" t="str">
        <f t="shared" si="10"/>
        <v/>
      </c>
      <c r="Y282" s="341">
        <f>IF('General price list'!$AB284="",0,'General price list'!$AB284)</f>
        <v>0</v>
      </c>
      <c r="Z282" s="365" t="str">
        <f>IFERROR(X282*VLOOKUP(C282,'General price list'!C:I,7,FALSE),"")</f>
        <v/>
      </c>
      <c r="AA282" s="805" t="str">
        <f>IF(X282&lt;&gt;"",VLOOKUP(C282,'General price list'!C284:AN1257,MATCH("HM",Tabulka1[[#Headers],[KOD]:[NEQ]],0),FALSE),"")</f>
        <v/>
      </c>
    </row>
    <row r="283" spans="1:27">
      <c r="A283">
        <f>COUNTIF($W$22:W283,1)</f>
        <v>0</v>
      </c>
      <c r="B283">
        <v>283</v>
      </c>
      <c r="C283" s="340" t="str">
        <f>Tabulka1[[#This Row],[KOD]]</f>
        <v>HF24733RK</v>
      </c>
      <c r="W283" s="804" t="str">
        <f t="shared" si="9"/>
        <v/>
      </c>
      <c r="X283" t="str">
        <f t="shared" si="10"/>
        <v/>
      </c>
      <c r="Y283" s="341">
        <f>IF('General price list'!$AB285="",0,'General price list'!$AB285)</f>
        <v>0</v>
      </c>
      <c r="Z283" s="365" t="str">
        <f>IFERROR(X283*VLOOKUP(C283,'General price list'!C:I,7,FALSE),"")</f>
        <v/>
      </c>
      <c r="AA283" s="805" t="str">
        <f>IF(X283&lt;&gt;"",VLOOKUP(C283,'General price list'!C285:AN1258,MATCH("HM",Tabulka1[[#Headers],[KOD]:[NEQ]],0),FALSE),"")</f>
        <v/>
      </c>
    </row>
    <row r="284" spans="1:27">
      <c r="A284">
        <f>COUNTIF($W$22:W284,1)</f>
        <v>0</v>
      </c>
      <c r="B284">
        <v>284</v>
      </c>
      <c r="C284" s="340" t="str">
        <f>Tabulka1[[#This Row],[KOD]]</f>
        <v>RS4H14</v>
      </c>
      <c r="W284" s="804" t="str">
        <f t="shared" si="9"/>
        <v/>
      </c>
      <c r="X284" t="str">
        <f t="shared" si="10"/>
        <v/>
      </c>
      <c r="Y284" s="341">
        <f>IF('General price list'!$AB286="",0,'General price list'!$AB286)</f>
        <v>0</v>
      </c>
      <c r="Z284" s="365" t="str">
        <f>IFERROR(X284*VLOOKUP(C284,'General price list'!C:I,7,FALSE),"")</f>
        <v/>
      </c>
      <c r="AA284" s="805" t="str">
        <f>IF(X284&lt;&gt;"",VLOOKUP(C284,'General price list'!C286:AN1259,MATCH("HM",Tabulka1[[#Headers],[KOD]:[NEQ]],0),FALSE),"")</f>
        <v/>
      </c>
    </row>
    <row r="285" spans="1:27">
      <c r="A285">
        <f>COUNTIF($W$22:W285,1)</f>
        <v>0</v>
      </c>
      <c r="B285">
        <v>285</v>
      </c>
      <c r="C285" s="340" t="str">
        <f>Tabulka1[[#This Row],[KOD]]</f>
        <v>RS7MD14</v>
      </c>
      <c r="W285" s="804" t="str">
        <f t="shared" si="9"/>
        <v/>
      </c>
      <c r="X285" t="str">
        <f t="shared" si="10"/>
        <v/>
      </c>
      <c r="Y285" s="341">
        <f>IF('General price list'!$AB287="",0,'General price list'!$AB287)</f>
        <v>0</v>
      </c>
      <c r="Z285" s="365" t="str">
        <f>IFERROR(X285*VLOOKUP(C285,'General price list'!C:I,7,FALSE),"")</f>
        <v/>
      </c>
      <c r="AA285" s="805" t="str">
        <f>IF(X285&lt;&gt;"",VLOOKUP(C285,'General price list'!C287:AN1260,MATCH("HM",Tabulka1[[#Headers],[KOD]:[NEQ]],0),FALSE),"")</f>
        <v/>
      </c>
    </row>
    <row r="286" spans="1:27">
      <c r="A286">
        <f>COUNTIF($W$22:W286,1)</f>
        <v>0</v>
      </c>
      <c r="B286">
        <v>286</v>
      </c>
      <c r="C286" s="340" t="str">
        <f>Tabulka1[[#This Row],[KOD]]</f>
        <v>RS7T14</v>
      </c>
      <c r="W286" s="804" t="str">
        <f t="shared" si="9"/>
        <v/>
      </c>
      <c r="X286" t="str">
        <f t="shared" si="10"/>
        <v/>
      </c>
      <c r="Y286" s="341">
        <f>IF('General price list'!$AB288="",0,'General price list'!$AB288)</f>
        <v>0</v>
      </c>
      <c r="Z286" s="365" t="str">
        <f>IFERROR(X286*VLOOKUP(C286,'General price list'!C:I,7,FALSE),"")</f>
        <v/>
      </c>
      <c r="AA286" s="805" t="str">
        <f>IF(X286&lt;&gt;"",VLOOKUP(C286,'General price list'!C288:AN1261,MATCH("HM",Tabulka1[[#Headers],[KOD]:[NEQ]],0),FALSE),"")</f>
        <v/>
      </c>
    </row>
    <row r="287" spans="1:27">
      <c r="A287">
        <f>COUNTIF($W$22:W287,1)</f>
        <v>0</v>
      </c>
      <c r="B287">
        <v>287</v>
      </c>
      <c r="C287" s="340" t="str">
        <f>Tabulka1[[#This Row],[KOD]]</f>
        <v>RS9T14</v>
      </c>
      <c r="W287" s="804" t="str">
        <f t="shared" si="9"/>
        <v/>
      </c>
      <c r="X287" t="str">
        <f t="shared" si="10"/>
        <v/>
      </c>
      <c r="Y287" s="341">
        <f>IF('General price list'!$AB289="",0,'General price list'!$AB289)</f>
        <v>0</v>
      </c>
      <c r="Z287" s="365" t="str">
        <f>IFERROR(X287*VLOOKUP(C287,'General price list'!C:I,7,FALSE),"")</f>
        <v/>
      </c>
      <c r="AA287" s="805" t="str">
        <f>IF(X287&lt;&gt;"",VLOOKUP(C287,'General price list'!C289:AN1262,MATCH("HM",Tabulka1[[#Headers],[KOD]:[NEQ]],0),FALSE),"")</f>
        <v/>
      </c>
    </row>
    <row r="288" spans="1:27">
      <c r="A288">
        <f>COUNTIF($W$22:W288,1)</f>
        <v>0</v>
      </c>
      <c r="B288">
        <v>288</v>
      </c>
      <c r="C288" s="340" t="str">
        <f>Tabulka1[[#This Row],[KOD]]</f>
        <v>RS9P14</v>
      </c>
      <c r="W288" s="804" t="str">
        <f t="shared" si="9"/>
        <v/>
      </c>
      <c r="X288" t="str">
        <f t="shared" si="10"/>
        <v/>
      </c>
      <c r="Y288" s="341">
        <f>IF('General price list'!$AB290="",0,'General price list'!$AB290)</f>
        <v>0</v>
      </c>
      <c r="Z288" s="365" t="str">
        <f>IFERROR(X288*VLOOKUP(C288,'General price list'!C:I,7,FALSE),"")</f>
        <v/>
      </c>
      <c r="AA288" s="805" t="str">
        <f>IF(X288&lt;&gt;"",VLOOKUP(C288,'General price list'!C290:AN1263,MATCH("HM",Tabulka1[[#Headers],[KOD]:[NEQ]],0),FALSE),"")</f>
        <v/>
      </c>
    </row>
    <row r="289" spans="1:27">
      <c r="A289">
        <f>COUNTIF($W$22:W289,1)</f>
        <v>0</v>
      </c>
      <c r="B289">
        <v>289</v>
      </c>
      <c r="C289" s="340" t="str">
        <f>Tabulka1[[#This Row],[KOD]]</f>
        <v>RS11HF2</v>
      </c>
      <c r="W289" s="804" t="str">
        <f t="shared" si="9"/>
        <v/>
      </c>
      <c r="X289" t="str">
        <f t="shared" si="10"/>
        <v/>
      </c>
      <c r="Y289" s="341">
        <f>IF('General price list'!$AB291="",0,'General price list'!$AB291)</f>
        <v>0</v>
      </c>
      <c r="Z289" s="365" t="str">
        <f>IFERROR(X289*VLOOKUP(C289,'General price list'!C:I,7,FALSE),"")</f>
        <v/>
      </c>
      <c r="AA289" s="805" t="str">
        <f>IF(X289&lt;&gt;"",VLOOKUP(C289,'General price list'!C291:AN1264,MATCH("HM",Tabulka1[[#Headers],[KOD]:[NEQ]],0),FALSE),"")</f>
        <v/>
      </c>
    </row>
    <row r="290" spans="1:27">
      <c r="A290">
        <f>COUNTIF($W$22:W290,1)</f>
        <v>0</v>
      </c>
      <c r="B290">
        <v>290</v>
      </c>
      <c r="C290" s="340" t="str">
        <f>Tabulka1[[#This Row],[KOD]]</f>
        <v>SP3CF2</v>
      </c>
      <c r="W290" s="804" t="str">
        <f t="shared" si="9"/>
        <v/>
      </c>
      <c r="X290" t="str">
        <f t="shared" si="10"/>
        <v/>
      </c>
      <c r="Y290" s="341">
        <f>IF('General price list'!$AB292="",0,'General price list'!$AB292)</f>
        <v>0</v>
      </c>
      <c r="Z290" s="365" t="str">
        <f>IFERROR(X290*VLOOKUP(C290,'General price list'!C:I,7,FALSE),"")</f>
        <v/>
      </c>
      <c r="AA290" s="805" t="str">
        <f>IF(X290&lt;&gt;"",VLOOKUP(C290,'General price list'!C292:AN1265,MATCH("HM",Tabulka1[[#Headers],[KOD]:[NEQ]],0),FALSE),"")</f>
        <v/>
      </c>
    </row>
    <row r="291" spans="1:27">
      <c r="A291">
        <f>COUNTIF($W$22:W291,1)</f>
        <v>0</v>
      </c>
      <c r="B291">
        <v>291</v>
      </c>
      <c r="C291" s="340" t="str">
        <f>Tabulka1[[#This Row],[KOD]]</f>
        <v>RS18TF2</v>
      </c>
      <c r="W291" s="804" t="str">
        <f t="shared" si="9"/>
        <v/>
      </c>
      <c r="X291" t="str">
        <f t="shared" si="10"/>
        <v/>
      </c>
      <c r="Y291" s="341">
        <f>IF('General price list'!$AB293="",0,'General price list'!$AB293)</f>
        <v>0</v>
      </c>
      <c r="Z291" s="365" t="str">
        <f>IFERROR(X291*VLOOKUP(C291,'General price list'!C:I,7,FALSE),"")</f>
        <v/>
      </c>
      <c r="AA291" s="805" t="str">
        <f>IF(X291&lt;&gt;"",VLOOKUP(C291,'General price list'!C293:AN1266,MATCH("HM",Tabulka1[[#Headers],[KOD]:[NEQ]],0),FALSE),"")</f>
        <v/>
      </c>
    </row>
    <row r="292" spans="1:27">
      <c r="A292">
        <f>COUNTIF($W$22:W292,1)</f>
        <v>0</v>
      </c>
      <c r="B292">
        <v>292</v>
      </c>
      <c r="C292" s="340" t="str">
        <f>Tabulka1[[#This Row],[KOD]]</f>
        <v>RS18SF2</v>
      </c>
      <c r="W292" s="804" t="str">
        <f t="shared" si="9"/>
        <v/>
      </c>
      <c r="X292" t="str">
        <f t="shared" si="10"/>
        <v/>
      </c>
      <c r="Y292" s="341">
        <f>IF('General price list'!$AB294="",0,'General price list'!$AB294)</f>
        <v>0</v>
      </c>
      <c r="Z292" s="365" t="str">
        <f>IFERROR(X292*VLOOKUP(C292,'General price list'!C:I,7,FALSE),"")</f>
        <v/>
      </c>
      <c r="AA292" s="805" t="str">
        <f>IF(X292&lt;&gt;"",VLOOKUP(C292,'General price list'!C294:AN1267,MATCH("HM",Tabulka1[[#Headers],[KOD]:[NEQ]],0),FALSE),"")</f>
        <v/>
      </c>
    </row>
    <row r="293" spans="1:27">
      <c r="A293">
        <f>COUNTIF($W$22:W293,1)</f>
        <v>0</v>
      </c>
      <c r="B293">
        <v>293</v>
      </c>
      <c r="C293" s="340" t="str">
        <f>Tabulka1[[#This Row],[KOD]]</f>
        <v>RS21Z14</v>
      </c>
      <c r="W293" s="804" t="str">
        <f t="shared" si="9"/>
        <v/>
      </c>
      <c r="X293" t="str">
        <f t="shared" si="10"/>
        <v/>
      </c>
      <c r="Y293" s="341">
        <f>IF('General price list'!$AB295="",0,'General price list'!$AB295)</f>
        <v>0</v>
      </c>
      <c r="Z293" s="365" t="str">
        <f>IFERROR(X293*VLOOKUP(C293,'General price list'!C:I,7,FALSE),"")</f>
        <v/>
      </c>
      <c r="AA293" s="805" t="str">
        <f>IF(X293&lt;&gt;"",VLOOKUP(C293,'General price list'!C295:AN1268,MATCH("HM",Tabulka1[[#Headers],[KOD]:[NEQ]],0),FALSE),"")</f>
        <v/>
      </c>
    </row>
    <row r="294" spans="1:27">
      <c r="A294">
        <f>COUNTIF($W$22:W294,1)</f>
        <v>0</v>
      </c>
      <c r="B294">
        <v>294</v>
      </c>
      <c r="C294" s="340" t="str">
        <f>Tabulka1[[#This Row],[KOD]]</f>
        <v>RS33R14</v>
      </c>
      <c r="W294" s="804" t="str">
        <f t="shared" si="9"/>
        <v/>
      </c>
      <c r="X294" t="str">
        <f t="shared" si="10"/>
        <v/>
      </c>
      <c r="Y294" s="341">
        <f>IF('General price list'!$AB296="",0,'General price list'!$AB296)</f>
        <v>0</v>
      </c>
      <c r="Z294" s="365" t="str">
        <f>IFERROR(X294*VLOOKUP(C294,'General price list'!C:I,7,FALSE),"")</f>
        <v/>
      </c>
      <c r="AA294" s="805" t="str">
        <f>IF(X294&lt;&gt;"",VLOOKUP(C294,'General price list'!C296:AN1269,MATCH("HM",Tabulka1[[#Headers],[KOD]:[NEQ]],0),FALSE),"")</f>
        <v/>
      </c>
    </row>
    <row r="295" spans="1:27">
      <c r="A295">
        <f>COUNTIF($W$22:W295,1)</f>
        <v>0</v>
      </c>
      <c r="B295">
        <v>295</v>
      </c>
      <c r="C295" s="340" t="str">
        <f>Tabulka1[[#This Row],[KOD]]</f>
        <v>RSSF2</v>
      </c>
      <c r="W295" s="804" t="str">
        <f t="shared" si="9"/>
        <v/>
      </c>
      <c r="X295" t="str">
        <f t="shared" si="10"/>
        <v/>
      </c>
      <c r="Y295" s="341">
        <f>IF('General price list'!$AB297="",0,'General price list'!$AB297)</f>
        <v>0</v>
      </c>
      <c r="Z295" s="365" t="str">
        <f>IFERROR(X295*VLOOKUP(C295,'General price list'!C:I,7,FALSE),"")</f>
        <v/>
      </c>
      <c r="AA295" s="805" t="str">
        <f>IF(X295&lt;&gt;"",VLOOKUP(C295,'General price list'!C297:AN1270,MATCH("HM",Tabulka1[[#Headers],[KOD]:[NEQ]],0),FALSE),"")</f>
        <v/>
      </c>
    </row>
    <row r="296" spans="1:27">
      <c r="A296">
        <f>COUNTIF($W$22:W296,1)</f>
        <v>0</v>
      </c>
      <c r="B296">
        <v>296</v>
      </c>
      <c r="C296" s="340" t="str">
        <f>Tabulka1[[#This Row],[KOD]]</f>
        <v>RSS75</v>
      </c>
      <c r="W296" s="804" t="str">
        <f t="shared" si="9"/>
        <v/>
      </c>
      <c r="X296" t="str">
        <f t="shared" si="10"/>
        <v/>
      </c>
      <c r="Y296" s="341">
        <f>IF('General price list'!$AB298="",0,'General price list'!$AB298)</f>
        <v>0</v>
      </c>
      <c r="Z296" s="365" t="str">
        <f>IFERROR(X296*VLOOKUP(C296,'General price list'!C:I,7,FALSE),"")</f>
        <v/>
      </c>
      <c r="AA296" s="805" t="str">
        <f>IF(X296&lt;&gt;"",VLOOKUP(C296,'General price list'!C298:AN1271,MATCH("HM",Tabulka1[[#Headers],[KOD]:[NEQ]],0),FALSE),"")</f>
        <v/>
      </c>
    </row>
    <row r="297" spans="1:27">
      <c r="A297">
        <f>COUNTIF($W$22:W297,1)</f>
        <v>0</v>
      </c>
      <c r="B297">
        <v>297</v>
      </c>
      <c r="C297" s="340">
        <f>Tabulka1[[#This Row],[KOD]]</f>
        <v>0</v>
      </c>
      <c r="W297" s="804" t="str">
        <f t="shared" si="9"/>
        <v/>
      </c>
      <c r="X297" t="str">
        <f t="shared" si="10"/>
        <v/>
      </c>
      <c r="Y297" s="341">
        <f>IF('General price list'!$AB299="",0,'General price list'!$AB299)</f>
        <v>0</v>
      </c>
      <c r="Z297" s="365" t="str">
        <f>IFERROR(X297*VLOOKUP(C297,'General price list'!C:I,7,FALSE),"")</f>
        <v/>
      </c>
      <c r="AA297" s="805" t="str">
        <f>IF(X297&lt;&gt;"",VLOOKUP(C297,'General price list'!C299:AN1272,MATCH("HM",Tabulka1[[#Headers],[KOD]:[NEQ]],0),FALSE),"")</f>
        <v/>
      </c>
    </row>
    <row r="298" spans="1:27">
      <c r="A298">
        <f>COUNTIF($W$22:W298,1)</f>
        <v>0</v>
      </c>
      <c r="B298">
        <v>298</v>
      </c>
      <c r="C298" s="340" t="str">
        <f>Tabulka1[[#This Row],[KOD]]</f>
        <v>RS4D</v>
      </c>
      <c r="W298" s="804" t="str">
        <f t="shared" si="9"/>
        <v/>
      </c>
      <c r="X298" t="str">
        <f t="shared" si="10"/>
        <v/>
      </c>
      <c r="Y298" s="341">
        <f>IF('General price list'!$AB300="",0,'General price list'!$AB300)</f>
        <v>0</v>
      </c>
      <c r="Z298" s="365" t="str">
        <f>IFERROR(X298*VLOOKUP(C298,'General price list'!C:I,7,FALSE),"")</f>
        <v/>
      </c>
      <c r="AA298" s="805" t="str">
        <f>IF(X298&lt;&gt;"",VLOOKUP(C298,'General price list'!C300:AN1273,MATCH("HM",Tabulka1[[#Headers],[KOD]:[NEQ]],0),FALSE),"")</f>
        <v/>
      </c>
    </row>
    <row r="299" spans="1:27">
      <c r="A299">
        <f>COUNTIF($W$22:W299,1)</f>
        <v>0</v>
      </c>
      <c r="B299">
        <v>299</v>
      </c>
      <c r="C299" s="340" t="str">
        <f>Tabulka1[[#This Row],[KOD]]</f>
        <v>SP3C</v>
      </c>
      <c r="W299" s="804" t="str">
        <f t="shared" si="9"/>
        <v/>
      </c>
      <c r="X299" t="str">
        <f t="shared" si="10"/>
        <v/>
      </c>
      <c r="Y299" s="341">
        <f>IF('General price list'!$AB301="",0,'General price list'!$AB301)</f>
        <v>0</v>
      </c>
      <c r="Z299" s="365" t="str">
        <f>IFERROR(X299*VLOOKUP(C299,'General price list'!C:I,7,FALSE),"")</f>
        <v/>
      </c>
      <c r="AA299" s="805" t="str">
        <f>IF(X299&lt;&gt;"",VLOOKUP(C299,'General price list'!C301:AN1274,MATCH("HM",Tabulka1[[#Headers],[KOD]:[NEQ]],0),FALSE),"")</f>
        <v/>
      </c>
    </row>
    <row r="300" spans="1:27">
      <c r="A300">
        <f>COUNTIF($W$22:W300,1)</f>
        <v>0</v>
      </c>
      <c r="B300">
        <v>300</v>
      </c>
      <c r="C300" s="340" t="str">
        <f>Tabulka1[[#This Row],[KOD]]</f>
        <v>RS18T</v>
      </c>
      <c r="W300" s="804" t="str">
        <f t="shared" si="9"/>
        <v/>
      </c>
      <c r="X300" t="str">
        <f t="shared" si="10"/>
        <v/>
      </c>
      <c r="Y300" s="341">
        <f>IF('General price list'!$AB302="",0,'General price list'!$AB302)</f>
        <v>0</v>
      </c>
      <c r="Z300" s="365" t="str">
        <f>IFERROR(X300*VLOOKUP(C300,'General price list'!C:I,7,FALSE),"")</f>
        <v/>
      </c>
      <c r="AA300" s="805" t="str">
        <f>IF(X300&lt;&gt;"",VLOOKUP(C300,'General price list'!C302:AN1275,MATCH("HM",Tabulka1[[#Headers],[KOD]:[NEQ]],0),FALSE),"")</f>
        <v/>
      </c>
    </row>
    <row r="301" spans="1:27">
      <c r="A301">
        <f>COUNTIF($W$22:W301,1)</f>
        <v>0</v>
      </c>
      <c r="B301">
        <v>301</v>
      </c>
      <c r="C301" s="340" t="str">
        <f>Tabulka1[[#This Row],[KOD]]</f>
        <v>RS18S</v>
      </c>
      <c r="W301" s="804" t="str">
        <f t="shared" si="9"/>
        <v/>
      </c>
      <c r="X301" t="str">
        <f t="shared" si="10"/>
        <v/>
      </c>
      <c r="Y301" s="341">
        <f>IF('General price list'!$AB303="",0,'General price list'!$AB303)</f>
        <v>0</v>
      </c>
      <c r="Z301" s="365" t="str">
        <f>IFERROR(X301*VLOOKUP(C301,'General price list'!C:I,7,FALSE),"")</f>
        <v/>
      </c>
      <c r="AA301" s="805" t="str">
        <f>IF(X301&lt;&gt;"",VLOOKUP(C301,'General price list'!C303:AN1276,MATCH("HM",Tabulka1[[#Headers],[KOD]:[NEQ]],0),FALSE),"")</f>
        <v/>
      </c>
    </row>
    <row r="302" spans="1:27">
      <c r="A302">
        <f>COUNTIF($W$22:W302,1)</f>
        <v>0</v>
      </c>
      <c r="B302">
        <v>302</v>
      </c>
      <c r="C302" s="340" t="str">
        <f>Tabulka1[[#This Row],[KOD]]</f>
        <v>RS33R</v>
      </c>
      <c r="W302" s="804" t="str">
        <f t="shared" si="9"/>
        <v/>
      </c>
      <c r="X302" t="str">
        <f t="shared" si="10"/>
        <v/>
      </c>
      <c r="Y302" s="341">
        <f>IF('General price list'!$AB304="",0,'General price list'!$AB304)</f>
        <v>0</v>
      </c>
      <c r="Z302" s="365" t="str">
        <f>IFERROR(X302*VLOOKUP(C302,'General price list'!C:I,7,FALSE),"")</f>
        <v/>
      </c>
      <c r="AA302" s="805" t="str">
        <f>IF(X302&lt;&gt;"",VLOOKUP(C302,'General price list'!C304:AN1277,MATCH("HM",Tabulka1[[#Headers],[KOD]:[NEQ]],0),FALSE),"")</f>
        <v/>
      </c>
    </row>
    <row r="303" spans="1:27">
      <c r="A303">
        <f>COUNTIF($W$22:W303,1)</f>
        <v>0</v>
      </c>
      <c r="B303">
        <v>303</v>
      </c>
      <c r="C303" s="340" t="str">
        <f>Tabulka1[[#This Row],[KOD]]</f>
        <v>RSS100</v>
      </c>
      <c r="W303" s="804" t="str">
        <f t="shared" si="9"/>
        <v/>
      </c>
      <c r="X303" t="str">
        <f t="shared" si="10"/>
        <v/>
      </c>
      <c r="Y303" s="341">
        <f>IF('General price list'!$AB305="",0,'General price list'!$AB305)</f>
        <v>0</v>
      </c>
      <c r="Z303" s="365" t="str">
        <f>IFERROR(X303*VLOOKUP(C303,'General price list'!C:I,7,FALSE),"")</f>
        <v/>
      </c>
      <c r="AA303" s="805" t="str">
        <f>IF(X303&lt;&gt;"",VLOOKUP(C303,'General price list'!C305:AN1278,MATCH("HM",Tabulka1[[#Headers],[KOD]:[NEQ]],0),FALSE),"")</f>
        <v/>
      </c>
    </row>
    <row r="304" spans="1:27">
      <c r="A304">
        <f>COUNTIF($W$22:W304,1)</f>
        <v>0</v>
      </c>
      <c r="B304">
        <v>304</v>
      </c>
      <c r="C304" s="340" t="str">
        <f>Tabulka1[[#This Row],[KOD]]</f>
        <v>R170B</v>
      </c>
      <c r="W304" s="804" t="str">
        <f t="shared" si="9"/>
        <v/>
      </c>
      <c r="X304" t="str">
        <f t="shared" si="10"/>
        <v/>
      </c>
      <c r="Y304" s="341">
        <f>IF('General price list'!$AB306="",0,'General price list'!$AB306)</f>
        <v>0</v>
      </c>
      <c r="Z304" s="365" t="str">
        <f>IFERROR(X304*VLOOKUP(C304,'General price list'!C:I,7,FALSE),"")</f>
        <v/>
      </c>
      <c r="AA304" s="805" t="str">
        <f>IF(X304&lt;&gt;"",VLOOKUP(C304,'General price list'!C306:AN1279,MATCH("HM",Tabulka1[[#Headers],[KOD]:[NEQ]],0),FALSE),"")</f>
        <v/>
      </c>
    </row>
    <row r="305" spans="1:27">
      <c r="A305">
        <f>COUNTIF($W$22:W305,1)</f>
        <v>0</v>
      </c>
      <c r="B305">
        <v>305</v>
      </c>
      <c r="C305" s="340" t="str">
        <f>Tabulka1[[#This Row],[KOD]]</f>
        <v>R170X</v>
      </c>
      <c r="W305" s="804" t="str">
        <f t="shared" si="9"/>
        <v/>
      </c>
      <c r="X305" t="str">
        <f t="shared" si="10"/>
        <v/>
      </c>
      <c r="Y305" s="341">
        <f>IF('General price list'!$AB307="",0,'General price list'!$AB307)</f>
        <v>0</v>
      </c>
      <c r="Z305" s="365" t="str">
        <f>IFERROR(X305*VLOOKUP(C305,'General price list'!C:I,7,FALSE),"")</f>
        <v/>
      </c>
      <c r="AA305" s="805" t="str">
        <f>IF(X305&lt;&gt;"",VLOOKUP(C305,'General price list'!C307:AN1280,MATCH("HM",Tabulka1[[#Headers],[KOD]:[NEQ]],0),FALSE),"")</f>
        <v/>
      </c>
    </row>
    <row r="306" spans="1:27">
      <c r="A306">
        <f>COUNTIF($W$22:W306,1)</f>
        <v>0</v>
      </c>
      <c r="B306">
        <v>306</v>
      </c>
      <c r="C306" s="340" t="str">
        <f>Tabulka1[[#This Row],[KOD]]</f>
        <v>R170M</v>
      </c>
      <c r="W306" s="804" t="str">
        <f t="shared" si="9"/>
        <v/>
      </c>
      <c r="X306" t="str">
        <f t="shared" si="10"/>
        <v/>
      </c>
      <c r="Y306" s="341">
        <f>IF('General price list'!$AB308="",0,'General price list'!$AB308)</f>
        <v>0</v>
      </c>
      <c r="Z306" s="365" t="str">
        <f>IFERROR(X306*VLOOKUP(C306,'General price list'!C:I,7,FALSE),"")</f>
        <v/>
      </c>
      <c r="AA306" s="805" t="str">
        <f>IF(X306&lt;&gt;"",VLOOKUP(C306,'General price list'!C308:AN1281,MATCH("HM",Tabulka1[[#Headers],[KOD]:[NEQ]],0),FALSE),"")</f>
        <v/>
      </c>
    </row>
    <row r="307" spans="1:27">
      <c r="A307">
        <f>COUNTIF($W$22:W307,1)</f>
        <v>0</v>
      </c>
      <c r="B307">
        <v>307</v>
      </c>
      <c r="C307" s="340" t="str">
        <f>Tabulka1[[#This Row],[KOD]]</f>
        <v>RSSF3</v>
      </c>
      <c r="W307" s="804" t="str">
        <f t="shared" si="9"/>
        <v/>
      </c>
      <c r="X307" t="str">
        <f t="shared" si="10"/>
        <v/>
      </c>
      <c r="Y307" s="341">
        <f>IF('General price list'!$AB309="",0,'General price list'!$AB309)</f>
        <v>0</v>
      </c>
      <c r="Z307" s="365" t="str">
        <f>IFERROR(X307*VLOOKUP(C307,'General price list'!C:I,7,FALSE),"")</f>
        <v/>
      </c>
      <c r="AA307" s="805" t="str">
        <f>IF(X307&lt;&gt;"",VLOOKUP(C307,'General price list'!C309:AN1282,MATCH("HM",Tabulka1[[#Headers],[KOD]:[NEQ]],0),FALSE),"")</f>
        <v/>
      </c>
    </row>
    <row r="308" spans="1:27">
      <c r="A308">
        <f>COUNTIF($W$22:W308,1)</f>
        <v>0</v>
      </c>
      <c r="B308">
        <v>308</v>
      </c>
      <c r="C308" s="340">
        <f>Tabulka1[[#This Row],[KOD]]</f>
        <v>0</v>
      </c>
      <c r="W308" s="804" t="str">
        <f t="shared" si="9"/>
        <v/>
      </c>
      <c r="X308" t="str">
        <f t="shared" si="10"/>
        <v/>
      </c>
      <c r="Y308" s="341">
        <f>IF('General price list'!$AB310="",0,'General price list'!$AB310)</f>
        <v>0</v>
      </c>
      <c r="Z308" s="365" t="str">
        <f>IFERROR(X308*VLOOKUP(C308,'General price list'!C:I,7,FALSE),"")</f>
        <v/>
      </c>
      <c r="AA308" s="805" t="str">
        <f>IF(X308&lt;&gt;"",VLOOKUP(C308,'General price list'!C310:AN1283,MATCH("HM",Tabulka1[[#Headers],[KOD]:[NEQ]],0),FALSE),"")</f>
        <v/>
      </c>
    </row>
    <row r="309" spans="1:27">
      <c r="A309">
        <f>COUNTIF($W$22:W309,1)</f>
        <v>0</v>
      </c>
      <c r="B309">
        <v>309</v>
      </c>
      <c r="C309" s="340" t="str">
        <f>Tabulka1[[#This Row],[KOD]]</f>
        <v>TIDB1L</v>
      </c>
      <c r="W309" s="804" t="str">
        <f t="shared" si="9"/>
        <v/>
      </c>
      <c r="X309" t="str">
        <f t="shared" si="10"/>
        <v/>
      </c>
      <c r="Y309" s="341">
        <f>IF('General price list'!$AB311="",0,'General price list'!$AB311)</f>
        <v>0</v>
      </c>
      <c r="Z309" s="365" t="str">
        <f>IFERROR(X309*VLOOKUP(C309,'General price list'!C:I,7,FALSE),"")</f>
        <v/>
      </c>
      <c r="AA309" s="805" t="str">
        <f>IF(X309&lt;&gt;"",VLOOKUP(C309,'General price list'!C311:AN1284,MATCH("HM",Tabulka1[[#Headers],[KOD]:[NEQ]],0),FALSE),"")</f>
        <v/>
      </c>
    </row>
    <row r="310" spans="1:27">
      <c r="A310">
        <f>COUNTIF($W$22:W310,1)</f>
        <v>0</v>
      </c>
      <c r="B310">
        <v>310</v>
      </c>
      <c r="C310" s="340" t="str">
        <f>Tabulka1[[#This Row],[KOD]]</f>
        <v>TPD1L</v>
      </c>
      <c r="W310" s="804" t="str">
        <f t="shared" si="9"/>
        <v/>
      </c>
      <c r="X310" t="str">
        <f t="shared" si="10"/>
        <v/>
      </c>
      <c r="Y310" s="341">
        <f>IF('General price list'!$AB312="",0,'General price list'!$AB312)</f>
        <v>0</v>
      </c>
      <c r="Z310" s="365" t="str">
        <f>IFERROR(X310*VLOOKUP(C310,'General price list'!C:I,7,FALSE),"")</f>
        <v/>
      </c>
      <c r="AA310" s="805" t="str">
        <f>IF(X310&lt;&gt;"",VLOOKUP(C310,'General price list'!C312:AN1285,MATCH("HM",Tabulka1[[#Headers],[KOD]:[NEQ]],0),FALSE),"")</f>
        <v/>
      </c>
    </row>
    <row r="311" spans="1:27">
      <c r="A311">
        <f>COUNTIF($W$22:W311,1)</f>
        <v>0</v>
      </c>
      <c r="B311">
        <v>311</v>
      </c>
      <c r="C311" s="340" t="str">
        <f>Tabulka1[[#This Row],[KOD]]</f>
        <v>TPD1XL</v>
      </c>
      <c r="W311" s="804" t="str">
        <f t="shared" si="9"/>
        <v/>
      </c>
      <c r="X311" t="str">
        <f t="shared" si="10"/>
        <v/>
      </c>
      <c r="Y311" s="341">
        <f>IF('General price list'!$AB313="",0,'General price list'!$AB313)</f>
        <v>0</v>
      </c>
      <c r="Z311" s="365" t="str">
        <f>IFERROR(X311*VLOOKUP(C311,'General price list'!C:I,7,FALSE),"")</f>
        <v/>
      </c>
      <c r="AA311" s="805" t="str">
        <f>IF(X311&lt;&gt;"",VLOOKUP(C311,'General price list'!C313:AN1286,MATCH("HM",Tabulka1[[#Headers],[KOD]:[NEQ]],0),FALSE),"")</f>
        <v/>
      </c>
    </row>
    <row r="312" spans="1:27">
      <c r="A312">
        <f>COUNTIF($W$22:W312,1)</f>
        <v>0</v>
      </c>
      <c r="B312">
        <v>312</v>
      </c>
      <c r="C312" s="340" t="str">
        <f>Tabulka1[[#This Row],[KOD]]</f>
        <v>BD1XXL</v>
      </c>
      <c r="W312" s="804" t="str">
        <f t="shared" si="9"/>
        <v/>
      </c>
      <c r="X312" t="str">
        <f t="shared" si="10"/>
        <v/>
      </c>
      <c r="Y312" s="341">
        <f>IF('General price list'!$AB314="",0,'General price list'!$AB314)</f>
        <v>0</v>
      </c>
      <c r="Z312" s="365" t="str">
        <f>IFERROR(X312*VLOOKUP(C312,'General price list'!C:I,7,FALSE),"")</f>
        <v/>
      </c>
      <c r="AA312" s="805" t="str">
        <f>IF(X312&lt;&gt;"",VLOOKUP(C312,'General price list'!C314:AN1287,MATCH("HM",Tabulka1[[#Headers],[KOD]:[NEQ]],0),FALSE),"")</f>
        <v/>
      </c>
    </row>
    <row r="313" spans="1:27">
      <c r="A313">
        <f>COUNTIF($W$22:W313,1)</f>
        <v>0</v>
      </c>
      <c r="B313">
        <v>313</v>
      </c>
      <c r="C313" s="340">
        <f>Tabulka1[[#This Row],[KOD]]</f>
        <v>0</v>
      </c>
      <c r="W313" s="804" t="str">
        <f t="shared" si="9"/>
        <v/>
      </c>
      <c r="X313" t="str">
        <f t="shared" si="10"/>
        <v/>
      </c>
      <c r="Y313" s="341">
        <f>IF('General price list'!$AB315="",0,'General price list'!$AB315)</f>
        <v>0</v>
      </c>
      <c r="Z313" s="365" t="str">
        <f>IFERROR(X313*VLOOKUP(C313,'General price list'!C:I,7,FALSE),"")</f>
        <v/>
      </c>
      <c r="AA313" s="805" t="str">
        <f>IF(X313&lt;&gt;"",VLOOKUP(C313,'General price list'!C315:AN1288,MATCH("HM",Tabulka1[[#Headers],[KOD]:[NEQ]],0),FALSE),"")</f>
        <v/>
      </c>
    </row>
    <row r="314" spans="1:27">
      <c r="A314">
        <f>COUNTIF($W$22:W314,1)</f>
        <v>0</v>
      </c>
      <c r="B314">
        <v>314</v>
      </c>
      <c r="C314" s="340" t="str">
        <f>Tabulka1[[#This Row],[KOD]]</f>
        <v>TDLE1M</v>
      </c>
      <c r="W314" s="804" t="str">
        <f t="shared" si="9"/>
        <v/>
      </c>
      <c r="X314" t="str">
        <f t="shared" si="10"/>
        <v/>
      </c>
      <c r="Y314" s="341">
        <f>IF('General price list'!$AB316="",0,'General price list'!$AB316)</f>
        <v>0</v>
      </c>
      <c r="Z314" s="365" t="str">
        <f>IFERROR(X314*VLOOKUP(C314,'General price list'!C:I,7,FALSE),"")</f>
        <v/>
      </c>
      <c r="AA314" s="805" t="str">
        <f>IF(X314&lt;&gt;"",VLOOKUP(C314,'General price list'!C316:AN1289,MATCH("HM",Tabulka1[[#Headers],[KOD]:[NEQ]],0),FALSE),"")</f>
        <v/>
      </c>
    </row>
    <row r="315" spans="1:27">
      <c r="A315">
        <f>COUNTIF($W$22:W315,1)</f>
        <v>0</v>
      </c>
      <c r="B315">
        <v>315</v>
      </c>
      <c r="C315" s="340" t="str">
        <f>Tabulka1[[#This Row],[KOD]]</f>
        <v>TDLE1L</v>
      </c>
      <c r="W315" s="804" t="str">
        <f t="shared" si="9"/>
        <v/>
      </c>
      <c r="X315" t="str">
        <f t="shared" si="10"/>
        <v/>
      </c>
      <c r="Y315" s="341">
        <f>IF('General price list'!$AB317="",0,'General price list'!$AB317)</f>
        <v>0</v>
      </c>
      <c r="Z315" s="365" t="str">
        <f>IFERROR(X315*VLOOKUP(C315,'General price list'!C:I,7,FALSE),"")</f>
        <v/>
      </c>
      <c r="AA315" s="805" t="str">
        <f>IF(X315&lt;&gt;"",VLOOKUP(C315,'General price list'!C317:AN1290,MATCH("HM",Tabulka1[[#Headers],[KOD]:[NEQ]],0),FALSE),"")</f>
        <v/>
      </c>
    </row>
    <row r="316" spans="1:27">
      <c r="A316">
        <f>COUNTIF($W$22:W316,1)</f>
        <v>0</v>
      </c>
      <c r="B316">
        <v>316</v>
      </c>
      <c r="C316" s="340" t="str">
        <f>Tabulka1[[#This Row],[KOD]]</f>
        <v>TDLE1XL</v>
      </c>
      <c r="W316" s="804" t="str">
        <f t="shared" si="9"/>
        <v/>
      </c>
      <c r="X316" t="str">
        <f t="shared" si="10"/>
        <v/>
      </c>
      <c r="Y316" s="341">
        <f>IF('General price list'!$AB318="",0,'General price list'!$AB318)</f>
        <v>0</v>
      </c>
      <c r="Z316" s="365" t="str">
        <f>IFERROR(X316*VLOOKUP(C316,'General price list'!C:I,7,FALSE),"")</f>
        <v/>
      </c>
      <c r="AA316" s="805" t="str">
        <f>IF(X316&lt;&gt;"",VLOOKUP(C316,'General price list'!C318:AN1291,MATCH("HM",Tabulka1[[#Headers],[KOD]:[NEQ]],0),FALSE),"")</f>
        <v/>
      </c>
    </row>
    <row r="317" spans="1:27">
      <c r="A317">
        <f>COUNTIF($W$22:W317,1)</f>
        <v>0</v>
      </c>
      <c r="B317">
        <v>317</v>
      </c>
      <c r="C317" s="340" t="str">
        <f>Tabulka1[[#This Row],[KOD]]</f>
        <v>TDLE1XXL</v>
      </c>
      <c r="W317" s="804" t="str">
        <f t="shared" si="9"/>
        <v/>
      </c>
      <c r="X317" t="str">
        <f t="shared" si="10"/>
        <v/>
      </c>
      <c r="Y317" s="341">
        <f>IF('General price list'!$AB319="",0,'General price list'!$AB319)</f>
        <v>0</v>
      </c>
      <c r="Z317" s="365" t="str">
        <f>IFERROR(X317*VLOOKUP(C317,'General price list'!C:I,7,FALSE),"")</f>
        <v/>
      </c>
      <c r="AA317" s="805" t="str">
        <f>IF(X317&lt;&gt;"",VLOOKUP(C317,'General price list'!C319:AN1292,MATCH("HM",Tabulka1[[#Headers],[KOD]:[NEQ]],0),FALSE),"")</f>
        <v/>
      </c>
    </row>
    <row r="318" spans="1:27">
      <c r="A318">
        <f>COUNTIF($W$22:W318,1)</f>
        <v>0</v>
      </c>
      <c r="B318">
        <v>318</v>
      </c>
      <c r="C318" s="340">
        <f>Tabulka1[[#This Row],[KOD]]</f>
        <v>0</v>
      </c>
      <c r="W318" s="804" t="str">
        <f t="shared" si="9"/>
        <v/>
      </c>
      <c r="X318" t="str">
        <f t="shared" si="10"/>
        <v/>
      </c>
      <c r="Y318" s="341">
        <f>IF('General price list'!$AB320="",0,'General price list'!$AB320)</f>
        <v>0</v>
      </c>
      <c r="Z318" s="365" t="str">
        <f>IFERROR(X318*VLOOKUP(C318,'General price list'!C:I,7,FALSE),"")</f>
        <v/>
      </c>
      <c r="AA318" s="805" t="str">
        <f>IF(X318&lt;&gt;"",VLOOKUP(C318,'General price list'!C320:AN1293,MATCH("HM",Tabulka1[[#Headers],[KOD]:[NEQ]],0),FALSE),"")</f>
        <v/>
      </c>
    </row>
    <row r="319" spans="1:27">
      <c r="A319">
        <f>COUNTIF($W$22:W319,1)</f>
        <v>0</v>
      </c>
      <c r="B319">
        <v>319</v>
      </c>
      <c r="C319" s="340" t="str">
        <f>Tabulka1[[#This Row],[KOD]]</f>
        <v>TPDLE1M</v>
      </c>
      <c r="W319" s="804" t="str">
        <f t="shared" si="9"/>
        <v/>
      </c>
      <c r="X319" t="str">
        <f t="shared" si="10"/>
        <v/>
      </c>
      <c r="Y319" s="341">
        <f>IF('General price list'!$AB321="",0,'General price list'!$AB321)</f>
        <v>0</v>
      </c>
      <c r="Z319" s="365" t="str">
        <f>IFERROR(X319*VLOOKUP(C319,'General price list'!C:I,7,FALSE),"")</f>
        <v/>
      </c>
      <c r="AA319" s="805" t="str">
        <f>IF(X319&lt;&gt;"",VLOOKUP(C319,'General price list'!C321:AN1294,MATCH("HM",Tabulka1[[#Headers],[KOD]:[NEQ]],0),FALSE),"")</f>
        <v/>
      </c>
    </row>
    <row r="320" spans="1:27">
      <c r="A320">
        <f>COUNTIF($W$22:W320,1)</f>
        <v>0</v>
      </c>
      <c r="B320">
        <v>320</v>
      </c>
      <c r="C320" s="340" t="str">
        <f>Tabulka1[[#This Row],[KOD]]</f>
        <v>TPDLE1L</v>
      </c>
      <c r="W320" s="804" t="str">
        <f t="shared" si="9"/>
        <v/>
      </c>
      <c r="X320" t="str">
        <f t="shared" si="10"/>
        <v/>
      </c>
      <c r="Y320" s="341">
        <f>IF('General price list'!$AB322="",0,'General price list'!$AB322)</f>
        <v>0</v>
      </c>
      <c r="Z320" s="365" t="str">
        <f>IFERROR(X320*VLOOKUP(C320,'General price list'!C:I,7,FALSE),"")</f>
        <v/>
      </c>
      <c r="AA320" s="805" t="str">
        <f>IF(X320&lt;&gt;"",VLOOKUP(C320,'General price list'!C322:AN1295,MATCH("HM",Tabulka1[[#Headers],[KOD]:[NEQ]],0),FALSE),"")</f>
        <v/>
      </c>
    </row>
    <row r="321" spans="1:27">
      <c r="A321">
        <f>COUNTIF($W$22:W321,1)</f>
        <v>0</v>
      </c>
      <c r="B321">
        <v>321</v>
      </c>
      <c r="C321" s="340" t="str">
        <f>Tabulka1[[#This Row],[KOD]]</f>
        <v>TPDLE1XL</v>
      </c>
      <c r="W321" s="804" t="str">
        <f t="shared" si="9"/>
        <v/>
      </c>
      <c r="X321" t="str">
        <f t="shared" si="10"/>
        <v/>
      </c>
      <c r="Y321" s="341">
        <f>IF('General price list'!$AB323="",0,'General price list'!$AB323)</f>
        <v>0</v>
      </c>
      <c r="Z321" s="365" t="str">
        <f>IFERROR(X321*VLOOKUP(C321,'General price list'!C:I,7,FALSE),"")</f>
        <v/>
      </c>
      <c r="AA321" s="805" t="str">
        <f>IF(X321&lt;&gt;"",VLOOKUP(C321,'General price list'!C323:AN1296,MATCH("HM",Tabulka1[[#Headers],[KOD]:[NEQ]],0),FALSE),"")</f>
        <v/>
      </c>
    </row>
    <row r="322" spans="1:27">
      <c r="A322">
        <f>COUNTIF($W$22:W322,1)</f>
        <v>0</v>
      </c>
      <c r="B322">
        <v>322</v>
      </c>
      <c r="C322" s="340" t="str">
        <f>Tabulka1[[#This Row],[KOD]]</f>
        <v>TPDLE1XXL</v>
      </c>
      <c r="W322" s="804" t="str">
        <f t="shared" si="9"/>
        <v/>
      </c>
      <c r="X322" t="str">
        <f t="shared" si="10"/>
        <v/>
      </c>
      <c r="Y322" s="341">
        <f>IF('General price list'!$AB324="",0,'General price list'!$AB324)</f>
        <v>0</v>
      </c>
      <c r="Z322" s="365" t="str">
        <f>IFERROR(X322*VLOOKUP(C322,'General price list'!C:I,7,FALSE),"")</f>
        <v/>
      </c>
      <c r="AA322" s="805" t="str">
        <f>IF(X322&lt;&gt;"",VLOOKUP(C322,'General price list'!C324:AN1297,MATCH("HM",Tabulka1[[#Headers],[KOD]:[NEQ]],0),FALSE),"")</f>
        <v/>
      </c>
    </row>
    <row r="323" spans="1:27">
      <c r="A323">
        <f>COUNTIF($W$22:W323,1)</f>
        <v>0</v>
      </c>
      <c r="B323">
        <v>323</v>
      </c>
      <c r="C323" s="340">
        <f>Tabulka1[[#This Row],[KOD]]</f>
        <v>0</v>
      </c>
      <c r="W323" s="804" t="str">
        <f t="shared" si="9"/>
        <v/>
      </c>
      <c r="X323" t="str">
        <f t="shared" si="10"/>
        <v/>
      </c>
      <c r="Y323" s="341">
        <f>IF('General price list'!$AB325="",0,'General price list'!$AB325)</f>
        <v>0</v>
      </c>
      <c r="Z323" s="365" t="str">
        <f>IFERROR(X323*VLOOKUP(C323,'General price list'!C:I,7,FALSE),"")</f>
        <v/>
      </c>
      <c r="AA323" s="805" t="str">
        <f>IF(X323&lt;&gt;"",VLOOKUP(C323,'General price list'!C325:AN1298,MATCH("HM",Tabulka1[[#Headers],[KOD]:[NEQ]],0),FALSE),"")</f>
        <v/>
      </c>
    </row>
    <row r="324" spans="1:27">
      <c r="A324">
        <f>COUNTIF($W$22:W324,1)</f>
        <v>0</v>
      </c>
      <c r="B324">
        <v>324</v>
      </c>
      <c r="C324" s="340" t="str">
        <f>Tabulka1[[#This Row],[KOD]]</f>
        <v>VDLE1M</v>
      </c>
      <c r="W324" s="804" t="str">
        <f t="shared" si="9"/>
        <v/>
      </c>
      <c r="X324" t="str">
        <f t="shared" si="10"/>
        <v/>
      </c>
      <c r="Y324" s="341">
        <f>IF('General price list'!$AB326="",0,'General price list'!$AB326)</f>
        <v>0</v>
      </c>
      <c r="Z324" s="365" t="str">
        <f>IFERROR(X324*VLOOKUP(C324,'General price list'!C:I,7,FALSE),"")</f>
        <v/>
      </c>
      <c r="AA324" s="805" t="str">
        <f>IF(X324&lt;&gt;"",VLOOKUP(C324,'General price list'!C326:AN1299,MATCH("HM",Tabulka1[[#Headers],[KOD]:[NEQ]],0),FALSE),"")</f>
        <v/>
      </c>
    </row>
    <row r="325" spans="1:27">
      <c r="A325">
        <f>COUNTIF($W$22:W325,1)</f>
        <v>0</v>
      </c>
      <c r="B325">
        <v>325</v>
      </c>
      <c r="C325" s="340" t="str">
        <f>Tabulka1[[#This Row],[KOD]]</f>
        <v>VDLE1L</v>
      </c>
      <c r="W325" s="804" t="str">
        <f t="shared" si="9"/>
        <v/>
      </c>
      <c r="X325" t="str">
        <f t="shared" si="10"/>
        <v/>
      </c>
      <c r="Y325" s="341">
        <f>IF('General price list'!$AB327="",0,'General price list'!$AB327)</f>
        <v>0</v>
      </c>
      <c r="Z325" s="365" t="str">
        <f>IFERROR(X325*VLOOKUP(C325,'General price list'!C:I,7,FALSE),"")</f>
        <v/>
      </c>
      <c r="AA325" s="805" t="str">
        <f>IF(X325&lt;&gt;"",VLOOKUP(C325,'General price list'!C327:AN1300,MATCH("HM",Tabulka1[[#Headers],[KOD]:[NEQ]],0),FALSE),"")</f>
        <v/>
      </c>
    </row>
    <row r="326" spans="1:27">
      <c r="A326">
        <f>COUNTIF($W$22:W326,1)</f>
        <v>0</v>
      </c>
      <c r="B326">
        <v>326</v>
      </c>
      <c r="C326" s="340" t="str">
        <f>Tabulka1[[#This Row],[KOD]]</f>
        <v>VDLE1XL</v>
      </c>
      <c r="W326" s="804" t="str">
        <f t="shared" si="9"/>
        <v/>
      </c>
      <c r="X326" t="str">
        <f t="shared" si="10"/>
        <v/>
      </c>
      <c r="Y326" s="341">
        <f>IF('General price list'!$AB328="",0,'General price list'!$AB328)</f>
        <v>0</v>
      </c>
      <c r="Z326" s="365" t="str">
        <f>IFERROR(X326*VLOOKUP(C326,'General price list'!C:I,7,FALSE),"")</f>
        <v/>
      </c>
      <c r="AA326" s="805" t="str">
        <f>IF(X326&lt;&gt;"",VLOOKUP(C326,'General price list'!C328:AN1301,MATCH("HM",Tabulka1[[#Headers],[KOD]:[NEQ]],0),FALSE),"")</f>
        <v/>
      </c>
    </row>
    <row r="327" spans="1:27">
      <c r="A327">
        <f>COUNTIF($W$22:W327,1)</f>
        <v>0</v>
      </c>
      <c r="B327">
        <v>327</v>
      </c>
      <c r="C327" s="340" t="str">
        <f>Tabulka1[[#This Row],[KOD]]</f>
        <v>VDLE1XXL</v>
      </c>
      <c r="W327" s="804" t="str">
        <f t="shared" si="9"/>
        <v/>
      </c>
      <c r="X327" t="str">
        <f t="shared" si="10"/>
        <v/>
      </c>
      <c r="Y327" s="341">
        <f>IF('General price list'!$AB329="",0,'General price list'!$AB329)</f>
        <v>0</v>
      </c>
      <c r="Z327" s="365" t="str">
        <f>IFERROR(X327*VLOOKUP(C327,'General price list'!C:I,7,FALSE),"")</f>
        <v/>
      </c>
      <c r="AA327" s="805" t="str">
        <f>IF(X327&lt;&gt;"",VLOOKUP(C327,'General price list'!C329:AN1302,MATCH("HM",Tabulka1[[#Headers],[KOD]:[NEQ]],0),FALSE),"")</f>
        <v/>
      </c>
    </row>
    <row r="328" spans="1:27">
      <c r="A328">
        <f>COUNTIF($W$22:W328,1)</f>
        <v>0</v>
      </c>
      <c r="B328">
        <v>328</v>
      </c>
      <c r="C328" s="340">
        <f>Tabulka1[[#This Row],[KOD]]</f>
        <v>0</v>
      </c>
      <c r="W328" s="804" t="str">
        <f t="shared" si="9"/>
        <v/>
      </c>
      <c r="X328" t="str">
        <f t="shared" si="10"/>
        <v/>
      </c>
      <c r="Y328" s="341">
        <f>IF('General price list'!$AB330="",0,'General price list'!$AB330)</f>
        <v>0</v>
      </c>
      <c r="Z328" s="365" t="str">
        <f>IFERROR(X328*VLOOKUP(C328,'General price list'!C:I,7,FALSE),"")</f>
        <v/>
      </c>
      <c r="AA328" s="805" t="str">
        <f>IF(X328&lt;&gt;"",VLOOKUP(C328,'General price list'!C330:AN1303,MATCH("HM",Tabulka1[[#Headers],[KOD]:[NEQ]],0),FALSE),"")</f>
        <v/>
      </c>
    </row>
    <row r="329" spans="1:27">
      <c r="A329">
        <f>COUNTIF($W$22:W329,1)</f>
        <v>0</v>
      </c>
      <c r="B329">
        <v>329</v>
      </c>
      <c r="C329" s="340" t="str">
        <f>Tabulka1[[#This Row],[KOD]]</f>
        <v>BDLE1M</v>
      </c>
      <c r="W329" s="804" t="str">
        <f t="shared" si="9"/>
        <v/>
      </c>
      <c r="X329" t="str">
        <f t="shared" si="10"/>
        <v/>
      </c>
      <c r="Y329" s="341">
        <f>IF('General price list'!$AB331="",0,'General price list'!$AB331)</f>
        <v>0</v>
      </c>
      <c r="Z329" s="365" t="str">
        <f>IFERROR(X329*VLOOKUP(C329,'General price list'!C:I,7,FALSE),"")</f>
        <v/>
      </c>
      <c r="AA329" s="805" t="str">
        <f>IF(X329&lt;&gt;"",VLOOKUP(C329,'General price list'!C331:AN1304,MATCH("HM",Tabulka1[[#Headers],[KOD]:[NEQ]],0),FALSE),"")</f>
        <v/>
      </c>
    </row>
    <row r="330" spans="1:27">
      <c r="A330">
        <f>COUNTIF($W$22:W330,1)</f>
        <v>0</v>
      </c>
      <c r="B330">
        <v>330</v>
      </c>
      <c r="C330" s="340" t="str">
        <f>Tabulka1[[#This Row],[KOD]]</f>
        <v>BDLE1L</v>
      </c>
      <c r="W330" s="804" t="str">
        <f t="shared" si="9"/>
        <v/>
      </c>
      <c r="X330" t="str">
        <f t="shared" si="10"/>
        <v/>
      </c>
      <c r="Y330" s="341">
        <f>IF('General price list'!$AB332="",0,'General price list'!$AB332)</f>
        <v>0</v>
      </c>
      <c r="Z330" s="365" t="str">
        <f>IFERROR(X330*VLOOKUP(C330,'General price list'!C:I,7,FALSE),"")</f>
        <v/>
      </c>
      <c r="AA330" s="805" t="str">
        <f>IF(X330&lt;&gt;"",VLOOKUP(C330,'General price list'!C332:AN1305,MATCH("HM",Tabulka1[[#Headers],[KOD]:[NEQ]],0),FALSE),"")</f>
        <v/>
      </c>
    </row>
    <row r="331" spans="1:27">
      <c r="A331">
        <f>COUNTIF($W$22:W331,1)</f>
        <v>0</v>
      </c>
      <c r="B331">
        <v>331</v>
      </c>
      <c r="C331" s="340" t="str">
        <f>Tabulka1[[#This Row],[KOD]]</f>
        <v>BDLE1XL</v>
      </c>
      <c r="W331" s="804" t="str">
        <f t="shared" si="9"/>
        <v/>
      </c>
      <c r="X331" t="str">
        <f t="shared" si="10"/>
        <v/>
      </c>
      <c r="Y331" s="341">
        <f>IF('General price list'!$AB333="",0,'General price list'!$AB333)</f>
        <v>0</v>
      </c>
      <c r="Z331" s="365" t="str">
        <f>IFERROR(X331*VLOOKUP(C331,'General price list'!C:I,7,FALSE),"")</f>
        <v/>
      </c>
      <c r="AA331" s="805" t="str">
        <f>IF(X331&lt;&gt;"",VLOOKUP(C331,'General price list'!C333:AN1306,MATCH("HM",Tabulka1[[#Headers],[KOD]:[NEQ]],0),FALSE),"")</f>
        <v/>
      </c>
    </row>
    <row r="332" spans="1:27">
      <c r="A332">
        <f>COUNTIF($W$22:W332,1)</f>
        <v>0</v>
      </c>
      <c r="B332">
        <v>332</v>
      </c>
      <c r="C332" s="340" t="str">
        <f>Tabulka1[[#This Row],[KOD]]</f>
        <v>BDLE1XXL</v>
      </c>
      <c r="W332" s="804" t="str">
        <f t="shared" si="9"/>
        <v/>
      </c>
      <c r="X332" t="str">
        <f t="shared" si="10"/>
        <v/>
      </c>
      <c r="Y332" s="341">
        <f>IF('General price list'!$AB334="",0,'General price list'!$AB334)</f>
        <v>0</v>
      </c>
      <c r="Z332" s="365" t="str">
        <f>IFERROR(X332*VLOOKUP(C332,'General price list'!C:I,7,FALSE),"")</f>
        <v/>
      </c>
      <c r="AA332" s="805" t="str">
        <f>IF(X332&lt;&gt;"",VLOOKUP(C332,'General price list'!C334:AN1307,MATCH("HM",Tabulka1[[#Headers],[KOD]:[NEQ]],0),FALSE),"")</f>
        <v/>
      </c>
    </row>
    <row r="333" spans="1:27">
      <c r="A333">
        <f>COUNTIF($W$22:W333,1)</f>
        <v>0</v>
      </c>
      <c r="B333">
        <v>333</v>
      </c>
      <c r="C333" s="340">
        <f>Tabulka1[[#This Row],[KOD]]</f>
        <v>0</v>
      </c>
      <c r="W333" s="804" t="str">
        <f t="shared" si="9"/>
        <v/>
      </c>
      <c r="X333" t="str">
        <f t="shared" si="10"/>
        <v/>
      </c>
      <c r="Y333" s="341">
        <f>IF('General price list'!$AB335="",0,'General price list'!$AB335)</f>
        <v>0</v>
      </c>
      <c r="Z333" s="365" t="str">
        <f>IFERROR(X333*VLOOKUP(C333,'General price list'!C:I,7,FALSE),"")</f>
        <v/>
      </c>
      <c r="AA333" s="805" t="str">
        <f>IF(X333&lt;&gt;"",VLOOKUP(C333,'General price list'!C335:AN1308,MATCH("HM",Tabulka1[[#Headers],[KOD]:[NEQ]],0),FALSE),"")</f>
        <v/>
      </c>
    </row>
    <row r="334" spans="1:27">
      <c r="A334">
        <f>COUNTIF($W$22:W334,1)</f>
        <v>0</v>
      </c>
      <c r="B334">
        <v>334</v>
      </c>
      <c r="C334" s="340" t="str">
        <f>Tabulka1[[#This Row],[KOD]]</f>
        <v>MDLE1M</v>
      </c>
      <c r="W334" s="804" t="str">
        <f t="shared" si="9"/>
        <v/>
      </c>
      <c r="X334" t="str">
        <f t="shared" si="10"/>
        <v/>
      </c>
      <c r="Y334" s="341">
        <f>IF('General price list'!$AB336="",0,'General price list'!$AB336)</f>
        <v>0</v>
      </c>
      <c r="Z334" s="365" t="str">
        <f>IFERROR(X334*VLOOKUP(C334,'General price list'!C:I,7,FALSE),"")</f>
        <v/>
      </c>
      <c r="AA334" s="805" t="str">
        <f>IF(X334&lt;&gt;"",VLOOKUP(C334,'General price list'!C336:AN1309,MATCH("HM",Tabulka1[[#Headers],[KOD]:[NEQ]],0),FALSE),"")</f>
        <v/>
      </c>
    </row>
    <row r="335" spans="1:27">
      <c r="A335">
        <f>COUNTIF($W$22:W335,1)</f>
        <v>0</v>
      </c>
      <c r="B335">
        <v>335</v>
      </c>
      <c r="C335" s="340" t="str">
        <f>Tabulka1[[#This Row],[KOD]]</f>
        <v>MDLE1L</v>
      </c>
      <c r="W335" s="804" t="str">
        <f t="shared" si="9"/>
        <v/>
      </c>
      <c r="X335" t="str">
        <f t="shared" si="10"/>
        <v/>
      </c>
      <c r="Y335" s="341">
        <f>IF('General price list'!$AB337="",0,'General price list'!$AB337)</f>
        <v>0</v>
      </c>
      <c r="Z335" s="365" t="str">
        <f>IFERROR(X335*VLOOKUP(C335,'General price list'!C:I,7,FALSE),"")</f>
        <v/>
      </c>
      <c r="AA335" s="805" t="str">
        <f>IF(X335&lt;&gt;"",VLOOKUP(C335,'General price list'!C337:AN1310,MATCH("HM",Tabulka1[[#Headers],[KOD]:[NEQ]],0),FALSE),"")</f>
        <v/>
      </c>
    </row>
    <row r="336" spans="1:27">
      <c r="A336">
        <f>COUNTIF($W$22:W336,1)</f>
        <v>0</v>
      </c>
      <c r="B336">
        <v>336</v>
      </c>
      <c r="C336" s="340" t="str">
        <f>Tabulka1[[#This Row],[KOD]]</f>
        <v>MDLE1XL</v>
      </c>
      <c r="W336" s="804" t="str">
        <f t="shared" si="9"/>
        <v/>
      </c>
      <c r="X336" t="str">
        <f t="shared" si="10"/>
        <v/>
      </c>
      <c r="Y336" s="341">
        <f>IF('General price list'!$AB338="",0,'General price list'!$AB338)</f>
        <v>0</v>
      </c>
      <c r="Z336" s="365" t="str">
        <f>IFERROR(X336*VLOOKUP(C336,'General price list'!C:I,7,FALSE),"")</f>
        <v/>
      </c>
      <c r="AA336" s="805" t="str">
        <f>IF(X336&lt;&gt;"",VLOOKUP(C336,'General price list'!C338:AN1311,MATCH("HM",Tabulka1[[#Headers],[KOD]:[NEQ]],0),FALSE),"")</f>
        <v/>
      </c>
    </row>
    <row r="337" spans="1:27">
      <c r="A337">
        <f>COUNTIF($W$22:W337,1)</f>
        <v>0</v>
      </c>
      <c r="B337">
        <v>337</v>
      </c>
      <c r="C337" s="340" t="str">
        <f>Tabulka1[[#This Row],[KOD]]</f>
        <v>MDLE1XXL</v>
      </c>
      <c r="W337" s="804" t="str">
        <f t="shared" si="9"/>
        <v/>
      </c>
      <c r="X337" t="str">
        <f t="shared" si="10"/>
        <v/>
      </c>
      <c r="Y337" s="341">
        <f>IF('General price list'!$AB339="",0,'General price list'!$AB339)</f>
        <v>0</v>
      </c>
      <c r="Z337" s="365" t="str">
        <f>IFERROR(X337*VLOOKUP(C337,'General price list'!C:I,7,FALSE),"")</f>
        <v/>
      </c>
      <c r="AA337" s="805" t="str">
        <f>IF(X337&lt;&gt;"",VLOOKUP(C337,'General price list'!C339:AN1312,MATCH("HM",Tabulka1[[#Headers],[KOD]:[NEQ]],0),FALSE),"")</f>
        <v/>
      </c>
    </row>
    <row r="338" spans="1:27">
      <c r="A338">
        <f>COUNTIF($W$22:W338,1)</f>
        <v>0</v>
      </c>
      <c r="B338">
        <v>338</v>
      </c>
      <c r="C338" s="340">
        <f>Tabulka1[[#This Row],[KOD]]</f>
        <v>0</v>
      </c>
      <c r="W338" s="804" t="str">
        <f t="shared" si="9"/>
        <v/>
      </c>
      <c r="X338" t="str">
        <f t="shared" si="10"/>
        <v/>
      </c>
      <c r="Y338" s="341">
        <f>IF('General price list'!$AB340="",0,'General price list'!$AB340)</f>
        <v>0</v>
      </c>
      <c r="Z338" s="365" t="str">
        <f>IFERROR(X338*VLOOKUP(C338,'General price list'!C:I,7,FALSE),"")</f>
        <v/>
      </c>
      <c r="AA338" s="805" t="str">
        <f>IF(X338&lt;&gt;"",VLOOKUP(C338,'General price list'!C340:AN1313,MATCH("HM",Tabulka1[[#Headers],[KOD]:[NEQ]],0),FALSE),"")</f>
        <v/>
      </c>
    </row>
    <row r="339" spans="1:27">
      <c r="A339">
        <f>COUNTIF($W$22:W339,1)</f>
        <v>0</v>
      </c>
      <c r="B339">
        <v>339</v>
      </c>
      <c r="C339" s="340" t="str">
        <f>Tabulka1[[#This Row],[KOD]]</f>
        <v>MDLEZ1M</v>
      </c>
      <c r="W339" s="804" t="str">
        <f t="shared" si="9"/>
        <v/>
      </c>
      <c r="X339" t="str">
        <f t="shared" si="10"/>
        <v/>
      </c>
      <c r="Y339" s="341">
        <f>IF('General price list'!$AB341="",0,'General price list'!$AB341)</f>
        <v>0</v>
      </c>
      <c r="Z339" s="365" t="str">
        <f>IFERROR(X339*VLOOKUP(C339,'General price list'!C:I,7,FALSE),"")</f>
        <v/>
      </c>
      <c r="AA339" s="805" t="str">
        <f>IF(X339&lt;&gt;"",VLOOKUP(C339,'General price list'!C341:AN1314,MATCH("HM",Tabulka1[[#Headers],[KOD]:[NEQ]],0),FALSE),"")</f>
        <v/>
      </c>
    </row>
    <row r="340" spans="1:27">
      <c r="A340">
        <f>COUNTIF($W$22:W340,1)</f>
        <v>0</v>
      </c>
      <c r="B340">
        <v>340</v>
      </c>
      <c r="C340" s="340" t="str">
        <f>Tabulka1[[#This Row],[KOD]]</f>
        <v>MDLEZ1L</v>
      </c>
      <c r="W340" s="804" t="str">
        <f t="shared" si="9"/>
        <v/>
      </c>
      <c r="X340" t="str">
        <f t="shared" si="10"/>
        <v/>
      </c>
      <c r="Y340" s="341">
        <f>IF('General price list'!$AB342="",0,'General price list'!$AB342)</f>
        <v>0</v>
      </c>
      <c r="Z340" s="365" t="str">
        <f>IFERROR(X340*VLOOKUP(C340,'General price list'!C:I,7,FALSE),"")</f>
        <v/>
      </c>
      <c r="AA340" s="805" t="str">
        <f>IF(X340&lt;&gt;"",VLOOKUP(C340,'General price list'!C342:AN1315,MATCH("HM",Tabulka1[[#Headers],[KOD]:[NEQ]],0),FALSE),"")</f>
        <v/>
      </c>
    </row>
    <row r="341" spans="1:27">
      <c r="A341">
        <f>COUNTIF($W$22:W341,1)</f>
        <v>0</v>
      </c>
      <c r="B341">
        <v>341</v>
      </c>
      <c r="C341" s="340" t="str">
        <f>Tabulka1[[#This Row],[KOD]]</f>
        <v>MDLEZ1XL</v>
      </c>
      <c r="W341" s="804" t="str">
        <f t="shared" si="9"/>
        <v/>
      </c>
      <c r="X341" t="str">
        <f t="shared" si="10"/>
        <v/>
      </c>
      <c r="Y341" s="341">
        <f>IF('General price list'!$AB343="",0,'General price list'!$AB343)</f>
        <v>0</v>
      </c>
      <c r="Z341" s="365" t="str">
        <f>IFERROR(X341*VLOOKUP(C341,'General price list'!C:I,7,FALSE),"")</f>
        <v/>
      </c>
      <c r="AA341" s="805" t="str">
        <f>IF(X341&lt;&gt;"",VLOOKUP(C341,'General price list'!C343:AN1316,MATCH("HM",Tabulka1[[#Headers],[KOD]:[NEQ]],0),FALSE),"")</f>
        <v/>
      </c>
    </row>
    <row r="342" spans="1:27">
      <c r="A342">
        <f>COUNTIF($W$22:W342,1)</f>
        <v>0</v>
      </c>
      <c r="B342">
        <v>342</v>
      </c>
      <c r="C342" s="340" t="str">
        <f>Tabulka1[[#This Row],[KOD]]</f>
        <v>MDLEZ1XXL</v>
      </c>
      <c r="W342" s="804" t="str">
        <f t="shared" si="9"/>
        <v/>
      </c>
      <c r="X342" t="str">
        <f t="shared" si="10"/>
        <v/>
      </c>
      <c r="Y342" s="341">
        <f>IF('General price list'!$AB344="",0,'General price list'!$AB344)</f>
        <v>0</v>
      </c>
      <c r="Z342" s="365" t="str">
        <f>IFERROR(X342*VLOOKUP(C342,'General price list'!C:I,7,FALSE),"")</f>
        <v/>
      </c>
      <c r="AA342" s="805" t="str">
        <f>IF(X342&lt;&gt;"",VLOOKUP(C342,'General price list'!C344:AN1317,MATCH("HM",Tabulka1[[#Headers],[KOD]:[NEQ]],0),FALSE),"")</f>
        <v/>
      </c>
    </row>
    <row r="343" spans="1:27">
      <c r="A343">
        <f>COUNTIF($W$22:W343,1)</f>
        <v>0</v>
      </c>
      <c r="B343">
        <v>343</v>
      </c>
      <c r="C343" s="340">
        <f>Tabulka1[[#This Row],[KOD]]</f>
        <v>0</v>
      </c>
      <c r="W343" s="804" t="str">
        <f t="shared" si="9"/>
        <v/>
      </c>
      <c r="X343" t="str">
        <f t="shared" si="10"/>
        <v/>
      </c>
      <c r="Y343" s="341">
        <f>IF('General price list'!$AB345="",0,'General price list'!$AB345)</f>
        <v>0</v>
      </c>
      <c r="Z343" s="365" t="str">
        <f>IFERROR(X343*VLOOKUP(C343,'General price list'!C:I,7,FALSE),"")</f>
        <v/>
      </c>
      <c r="AA343" s="805" t="str">
        <f>IF(X343&lt;&gt;"",VLOOKUP(C343,'General price list'!C345:AN1318,MATCH("HM",Tabulka1[[#Headers],[KOD]:[NEQ]],0),FALSE),"")</f>
        <v/>
      </c>
    </row>
    <row r="344" spans="1:27">
      <c r="A344">
        <f>COUNTIF($W$22:W344,1)</f>
        <v>0</v>
      </c>
      <c r="B344">
        <v>344</v>
      </c>
      <c r="C344" s="340" t="str">
        <f>Tabulka1[[#This Row],[KOD]]</f>
        <v>KDLE1</v>
      </c>
      <c r="W344" s="804" t="str">
        <f t="shared" ref="W344:W407" si="11">IF(Y344+1=1,"",1)</f>
        <v/>
      </c>
      <c r="X344" t="str">
        <f t="shared" ref="X344:X407" si="12">IF(OR(A344&lt;$F$20,A344&gt;$F$21),"",IF(Y344=0,"",Y344))</f>
        <v/>
      </c>
      <c r="Y344" s="341">
        <f>IF('General price list'!$AB346="",0,'General price list'!$AB346)</f>
        <v>0</v>
      </c>
      <c r="Z344" s="365" t="str">
        <f>IFERROR(X344*VLOOKUP(C344,'General price list'!C:I,7,FALSE),"")</f>
        <v/>
      </c>
      <c r="AA344" s="805" t="str">
        <f>IF(X344&lt;&gt;"",VLOOKUP(C344,'General price list'!C346:AN1319,MATCH("HM",Tabulka1[[#Headers],[KOD]:[NEQ]],0),FALSE),"")</f>
        <v/>
      </c>
    </row>
    <row r="345" spans="1:27">
      <c r="A345">
        <f>COUNTIF($W$22:W345,1)</f>
        <v>0</v>
      </c>
      <c r="B345">
        <v>345</v>
      </c>
      <c r="C345" s="340" t="str">
        <f>Tabulka1[[#This Row],[KOD]]</f>
        <v>CDLE1</v>
      </c>
      <c r="W345" s="804" t="str">
        <f t="shared" si="11"/>
        <v/>
      </c>
      <c r="X345" t="str">
        <f t="shared" si="12"/>
        <v/>
      </c>
      <c r="Y345" s="341">
        <f>IF('General price list'!$AB347="",0,'General price list'!$AB347)</f>
        <v>0</v>
      </c>
      <c r="Z345" s="365" t="str">
        <f>IFERROR(X345*VLOOKUP(C345,'General price list'!C:I,7,FALSE),"")</f>
        <v/>
      </c>
      <c r="AA345" s="805" t="str">
        <f>IF(X345&lt;&gt;"",VLOOKUP(C345,'General price list'!C347:AN1320,MATCH("HM",Tabulka1[[#Headers],[KOD]:[NEQ]],0),FALSE),"")</f>
        <v/>
      </c>
    </row>
    <row r="346" spans="1:27">
      <c r="A346">
        <f>COUNTIF($W$22:W346,1)</f>
        <v>0</v>
      </c>
      <c r="B346">
        <v>346</v>
      </c>
      <c r="C346" s="340">
        <f>Tabulka1[[#This Row],[KOD]]</f>
        <v>0</v>
      </c>
      <c r="W346" s="804" t="str">
        <f t="shared" si="11"/>
        <v/>
      </c>
      <c r="X346" t="str">
        <f t="shared" si="12"/>
        <v/>
      </c>
      <c r="Y346" s="341">
        <f>IF('General price list'!$AB348="",0,'General price list'!$AB348)</f>
        <v>0</v>
      </c>
      <c r="Z346" s="365" t="str">
        <f>IFERROR(X346*VLOOKUP(C346,'General price list'!C:I,7,FALSE),"")</f>
        <v/>
      </c>
      <c r="AA346" s="805" t="str">
        <f>IF(X346&lt;&gt;"",VLOOKUP(C346,'General price list'!C348:AN1321,MATCH("HM",Tabulka1[[#Headers],[KOD]:[NEQ]],0),FALSE),"")</f>
        <v/>
      </c>
    </row>
    <row r="347" spans="1:27">
      <c r="A347">
        <f>COUNTIF($W$22:W347,1)</f>
        <v>0</v>
      </c>
      <c r="B347">
        <v>347</v>
      </c>
      <c r="C347" s="340" t="str">
        <f>Tabulka1[[#This Row],[KOD]]</f>
        <v>N1</v>
      </c>
      <c r="W347" s="804" t="str">
        <f t="shared" si="11"/>
        <v/>
      </c>
      <c r="X347" t="str">
        <f t="shared" si="12"/>
        <v/>
      </c>
      <c r="Y347" s="341">
        <f>IF('General price list'!$AB349="",0,'General price list'!$AB349)</f>
        <v>0</v>
      </c>
      <c r="Z347" s="365" t="str">
        <f>IFERROR(X347*VLOOKUP(C347,'General price list'!C:I,7,FALSE),"")</f>
        <v/>
      </c>
      <c r="AA347" s="805" t="str">
        <f>IF(X347&lt;&gt;"",VLOOKUP(C347,'General price list'!C349:AN1322,MATCH("HM",Tabulka1[[#Headers],[KOD]:[NEQ]],0),FALSE),"")</f>
        <v/>
      </c>
    </row>
    <row r="348" spans="1:27">
      <c r="A348">
        <f>COUNTIF($W$22:W348,1)</f>
        <v>0</v>
      </c>
      <c r="B348">
        <v>348</v>
      </c>
      <c r="C348" s="340" t="str">
        <f>Tabulka1[[#This Row],[KOD]]</f>
        <v>RUN1</v>
      </c>
      <c r="W348" s="804" t="str">
        <f t="shared" si="11"/>
        <v/>
      </c>
      <c r="X348" t="str">
        <f t="shared" si="12"/>
        <v/>
      </c>
      <c r="Y348" s="341">
        <f>IF('General price list'!$AB350="",0,'General price list'!$AB350)</f>
        <v>0</v>
      </c>
      <c r="Z348" s="365" t="str">
        <f>IFERROR(X348*VLOOKUP(C348,'General price list'!C:I,7,FALSE),"")</f>
        <v/>
      </c>
      <c r="AA348" s="805" t="str">
        <f>IF(X348&lt;&gt;"",VLOOKUP(C348,'General price list'!C350:AN1323,MATCH("HM",Tabulka1[[#Headers],[KOD]:[NEQ]],0),FALSE),"")</f>
        <v/>
      </c>
    </row>
    <row r="349" spans="1:27">
      <c r="A349">
        <f>COUNTIF($W$22:W349,1)</f>
        <v>0</v>
      </c>
      <c r="B349">
        <v>349</v>
      </c>
      <c r="C349" s="340" t="str">
        <f>Tabulka1[[#This Row],[KOD]]</f>
        <v>RT1DU</v>
      </c>
      <c r="W349" s="804" t="str">
        <f t="shared" si="11"/>
        <v/>
      </c>
      <c r="X349" t="str">
        <f t="shared" si="12"/>
        <v/>
      </c>
      <c r="Y349" s="341">
        <f>IF('General price list'!$AB351="",0,'General price list'!$AB351)</f>
        <v>0</v>
      </c>
      <c r="Z349" s="365" t="str">
        <f>IFERROR(X349*VLOOKUP(C349,'General price list'!C:I,7,FALSE),"")</f>
        <v/>
      </c>
      <c r="AA349" s="805" t="str">
        <f>IF(X349&lt;&gt;"",VLOOKUP(C349,'General price list'!C351:AN1324,MATCH("HM",Tabulka1[[#Headers],[KOD]:[NEQ]],0),FALSE),"")</f>
        <v/>
      </c>
    </row>
    <row r="350" spans="1:27">
      <c r="A350">
        <f>COUNTIF($W$22:W350,1)</f>
        <v>0</v>
      </c>
      <c r="B350">
        <v>350</v>
      </c>
      <c r="C350" s="340" t="str">
        <f>Tabulka1[[#This Row],[KOD]]</f>
        <v>PL1DU</v>
      </c>
      <c r="W350" s="804" t="str">
        <f t="shared" si="11"/>
        <v/>
      </c>
      <c r="X350" t="str">
        <f t="shared" si="12"/>
        <v/>
      </c>
      <c r="Y350" s="341">
        <f>IF('General price list'!$AB352="",0,'General price list'!$AB352)</f>
        <v>0</v>
      </c>
      <c r="Z350" s="365" t="str">
        <f>IFERROR(X350*VLOOKUP(C350,'General price list'!C:I,7,FALSE),"")</f>
        <v/>
      </c>
      <c r="AA350" s="805" t="str">
        <f>IF(X350&lt;&gt;"",VLOOKUP(C350,'General price list'!C352:AN1325,MATCH("HM",Tabulka1[[#Headers],[KOD]:[NEQ]],0),FALSE),"")</f>
        <v/>
      </c>
    </row>
    <row r="351" spans="1:27">
      <c r="A351">
        <f>COUNTIF($W$22:W351,1)</f>
        <v>0</v>
      </c>
      <c r="B351">
        <v>351</v>
      </c>
      <c r="C351" s="340" t="str">
        <f>Tabulka1[[#This Row],[KOD]]</f>
        <v>ZD1</v>
      </c>
      <c r="W351" s="804" t="str">
        <f t="shared" si="11"/>
        <v/>
      </c>
      <c r="X351" t="str">
        <f t="shared" si="12"/>
        <v/>
      </c>
      <c r="Y351" s="341">
        <f>IF('General price list'!$AB353="",0,'General price list'!$AB353)</f>
        <v>0</v>
      </c>
      <c r="Z351" s="365" t="str">
        <f>IFERROR(X351*VLOOKUP(C351,'General price list'!C:I,7,FALSE),"")</f>
        <v/>
      </c>
      <c r="AA351" s="805" t="str">
        <f>IF(X351&lt;&gt;"",VLOOKUP(C351,'General price list'!C353:AN1326,MATCH("HM",Tabulka1[[#Headers],[KOD]:[NEQ]],0),FALSE),"")</f>
        <v/>
      </c>
    </row>
    <row r="352" spans="1:27">
      <c r="A352">
        <f>COUNTIF($W$22:W352,1)</f>
        <v>0</v>
      </c>
      <c r="B352">
        <v>352</v>
      </c>
      <c r="C352" s="340" t="str">
        <f>Tabulka1[[#This Row],[KOD]]</f>
        <v>UZD2</v>
      </c>
      <c r="W352" s="804" t="str">
        <f t="shared" si="11"/>
        <v/>
      </c>
      <c r="X352" t="str">
        <f t="shared" si="12"/>
        <v/>
      </c>
      <c r="Y352" s="341">
        <f>IF('General price list'!$AB354="",0,'General price list'!$AB354)</f>
        <v>0</v>
      </c>
      <c r="Z352" s="365" t="str">
        <f>IFERROR(X352*VLOOKUP(C352,'General price list'!C:I,7,FALSE),"")</f>
        <v/>
      </c>
      <c r="AA352" s="805" t="str">
        <f>IF(X352&lt;&gt;"",VLOOKUP(C352,'General price list'!C354:AN1327,MATCH("HM",Tabulka1[[#Headers],[KOD]:[NEQ]],0),FALSE),"")</f>
        <v/>
      </c>
    </row>
    <row r="353" spans="1:27">
      <c r="A353">
        <f>COUNTIF($W$22:W353,1)</f>
        <v>0</v>
      </c>
      <c r="B353">
        <v>353</v>
      </c>
      <c r="C353" s="340" t="str">
        <f>Tabulka1[[#This Row],[KOD]]</f>
        <v>ND1</v>
      </c>
      <c r="W353" s="804" t="str">
        <f t="shared" si="11"/>
        <v/>
      </c>
      <c r="X353" t="str">
        <f t="shared" si="12"/>
        <v/>
      </c>
      <c r="Y353" s="341">
        <f>IF('General price list'!$AB355="",0,'General price list'!$AB355)</f>
        <v>0</v>
      </c>
      <c r="Z353" s="365" t="str">
        <f>IFERROR(X353*VLOOKUP(C353,'General price list'!C:I,7,FALSE),"")</f>
        <v/>
      </c>
      <c r="AA353" s="805" t="str">
        <f>IF(X353&lt;&gt;"",VLOOKUP(C353,'General price list'!C355:AN1328,MATCH("HM",Tabulka1[[#Headers],[KOD]:[NEQ]],0),FALSE),"")</f>
        <v/>
      </c>
    </row>
    <row r="354" spans="1:27">
      <c r="A354">
        <f>COUNTIF($W$22:W354,1)</f>
        <v>0</v>
      </c>
      <c r="B354">
        <v>354</v>
      </c>
      <c r="C354" s="340" t="str">
        <f>Tabulka1[[#This Row],[KOD]]</f>
        <v>T2</v>
      </c>
      <c r="W354" s="804" t="str">
        <f t="shared" si="11"/>
        <v/>
      </c>
      <c r="X354" t="str">
        <f t="shared" si="12"/>
        <v/>
      </c>
      <c r="Y354" s="341">
        <f>IF('General price list'!$AB356="",0,'General price list'!$AB356)</f>
        <v>0</v>
      </c>
      <c r="Z354" s="365" t="str">
        <f>IFERROR(X354*VLOOKUP(C354,'General price list'!C:I,7,FALSE),"")</f>
        <v/>
      </c>
      <c r="AA354" s="805" t="str">
        <f>IF(X354&lt;&gt;"",VLOOKUP(C354,'General price list'!C356:AN1329,MATCH("HM",Tabulka1[[#Headers],[KOD]:[NEQ]],0),FALSE),"")</f>
        <v/>
      </c>
    </row>
    <row r="355" spans="1:27">
      <c r="A355">
        <f>COUNTIF($W$22:W355,1)</f>
        <v>0</v>
      </c>
      <c r="B355">
        <v>355</v>
      </c>
      <c r="C355" s="340" t="str">
        <f>Tabulka1[[#This Row],[KOD]]</f>
        <v>KK2025</v>
      </c>
      <c r="W355" s="804" t="str">
        <f t="shared" si="11"/>
        <v/>
      </c>
      <c r="X355" t="str">
        <f t="shared" si="12"/>
        <v/>
      </c>
      <c r="Y355" s="341">
        <f>IF('General price list'!$AB357="",0,'General price list'!$AB357)</f>
        <v>0</v>
      </c>
      <c r="Z355" s="365" t="str">
        <f>IFERROR(X355*VLOOKUP(C355,'General price list'!C:I,7,FALSE),"")</f>
        <v/>
      </c>
      <c r="AA355" s="805" t="str">
        <f>IF(X355&lt;&gt;"",VLOOKUP(C355,'General price list'!C357:AN1330,MATCH("HM",Tabulka1[[#Headers],[KOD]:[NEQ]],0),FALSE),"")</f>
        <v/>
      </c>
    </row>
    <row r="356" spans="1:27">
      <c r="A356">
        <f>COUNTIF($W$22:W356,1)</f>
        <v>0</v>
      </c>
      <c r="B356">
        <v>356</v>
      </c>
      <c r="C356" s="340" t="str">
        <f>Tabulka1[[#This Row],[KOD]]</f>
        <v>HD1</v>
      </c>
      <c r="W356" s="804" t="str">
        <f t="shared" si="11"/>
        <v/>
      </c>
      <c r="X356" t="str">
        <f t="shared" si="12"/>
        <v/>
      </c>
      <c r="Y356" s="341">
        <f>IF('General price list'!$AB358="",0,'General price list'!$AB358)</f>
        <v>0</v>
      </c>
      <c r="Z356" s="365" t="str">
        <f>IFERROR(X356*VLOOKUP(C356,'General price list'!C:I,7,FALSE),"")</f>
        <v/>
      </c>
      <c r="AA356" s="805" t="str">
        <f>IF(X356&lt;&gt;"",VLOOKUP(C356,'General price list'!C358:AN1331,MATCH("HM",Tabulka1[[#Headers],[KOD]:[NEQ]],0),FALSE),"")</f>
        <v/>
      </c>
    </row>
    <row r="357" spans="1:27">
      <c r="A357">
        <f>COUNTIF($W$22:W357,1)</f>
        <v>0</v>
      </c>
      <c r="B357">
        <v>357</v>
      </c>
      <c r="C357" s="340" t="str">
        <f>Tabulka1[[#This Row],[KOD]]</f>
        <v>PPMD1</v>
      </c>
      <c r="W357" s="804" t="str">
        <f t="shared" si="11"/>
        <v/>
      </c>
      <c r="X357" t="str">
        <f t="shared" si="12"/>
        <v/>
      </c>
      <c r="Y357" s="341">
        <f>IF('General price list'!$AB359="",0,'General price list'!$AB359)</f>
        <v>0</v>
      </c>
      <c r="Z357" s="365" t="str">
        <f>IFERROR(X357*VLOOKUP(C357,'General price list'!C:I,7,FALSE),"")</f>
        <v/>
      </c>
      <c r="AA357" s="805" t="str">
        <f>IF(X357&lt;&gt;"",VLOOKUP(C357,'General price list'!C359:AN1332,MATCH("HM",Tabulka1[[#Headers],[KOD]:[NEQ]],0),FALSE),"")</f>
        <v/>
      </c>
    </row>
    <row r="358" spans="1:27">
      <c r="A358">
        <f>COUNTIF($W$22:W358,1)</f>
        <v>0</v>
      </c>
      <c r="B358">
        <v>358</v>
      </c>
      <c r="C358" s="340" t="str">
        <f>Tabulka1[[#This Row],[KOD]]</f>
        <v>DD1</v>
      </c>
      <c r="W358" s="804" t="str">
        <f t="shared" si="11"/>
        <v/>
      </c>
      <c r="X358" t="str">
        <f t="shared" si="12"/>
        <v/>
      </c>
      <c r="Y358" s="341">
        <f>IF('General price list'!$AB360="",0,'General price list'!$AB360)</f>
        <v>0</v>
      </c>
      <c r="Z358" s="365" t="str">
        <f>IFERROR(X358*VLOOKUP(C358,'General price list'!C:I,7,FALSE),"")</f>
        <v/>
      </c>
      <c r="AA358" s="805" t="str">
        <f>IF(X358&lt;&gt;"",VLOOKUP(C358,'General price list'!C360:AN1333,MATCH("HM",Tabulka1[[#Headers],[KOD]:[NEQ]],0),FALSE),"")</f>
        <v/>
      </c>
    </row>
    <row r="359" spans="1:27">
      <c r="A359">
        <f>COUNTIF($W$22:W359,1)</f>
        <v>0</v>
      </c>
      <c r="B359">
        <v>359</v>
      </c>
      <c r="C359" s="340" t="str">
        <f>Tabulka1[[#This Row],[KOD]]</f>
        <v>KKD1</v>
      </c>
      <c r="W359" s="804" t="str">
        <f t="shared" si="11"/>
        <v/>
      </c>
      <c r="X359" t="str">
        <f t="shared" si="12"/>
        <v/>
      </c>
      <c r="Y359" s="341">
        <f>IF('General price list'!$AB361="",0,'General price list'!$AB361)</f>
        <v>0</v>
      </c>
      <c r="Z359" s="365" t="str">
        <f>IFERROR(X359*VLOOKUP(C359,'General price list'!C:I,7,FALSE),"")</f>
        <v/>
      </c>
      <c r="AA359" s="805" t="str">
        <f>IF(X359&lt;&gt;"",VLOOKUP(C359,'General price list'!C361:AN1334,MATCH("HM",Tabulka1[[#Headers],[KOD]:[NEQ]],0),FALSE),"")</f>
        <v/>
      </c>
    </row>
    <row r="360" spans="1:27">
      <c r="A360">
        <f>COUNTIF($W$22:W360,1)</f>
        <v>0</v>
      </c>
      <c r="B360">
        <v>360</v>
      </c>
      <c r="C360" s="340" t="str">
        <f>Tabulka1[[#This Row],[KOD]]</f>
        <v>LO1DU</v>
      </c>
      <c r="W360" s="804" t="str">
        <f t="shared" si="11"/>
        <v/>
      </c>
      <c r="X360" t="str">
        <f t="shared" si="12"/>
        <v/>
      </c>
      <c r="Y360" s="341">
        <f>IF('General price list'!$AB362="",0,'General price list'!$AB362)</f>
        <v>0</v>
      </c>
      <c r="Z360" s="365" t="str">
        <f>IFERROR(X360*VLOOKUP(C360,'General price list'!C:I,7,FALSE),"")</f>
        <v/>
      </c>
      <c r="AA360" s="805" t="str">
        <f>IF(X360&lt;&gt;"",VLOOKUP(C360,'General price list'!C362:AN1335,MATCH("HM",Tabulka1[[#Headers],[KOD]:[NEQ]],0),FALSE),"")</f>
        <v/>
      </c>
    </row>
    <row r="361" spans="1:27">
      <c r="A361">
        <f>COUNTIF($W$22:W361,1)</f>
        <v>0</v>
      </c>
      <c r="B361">
        <v>361</v>
      </c>
      <c r="C361" s="340">
        <f>Tabulka1[[#This Row],[KOD]]</f>
        <v>0</v>
      </c>
      <c r="W361" s="804" t="str">
        <f t="shared" si="11"/>
        <v/>
      </c>
      <c r="X361" t="str">
        <f t="shared" si="12"/>
        <v/>
      </c>
      <c r="Y361" s="341">
        <f>IF('General price list'!$AB363="",0,'General price list'!$AB363)</f>
        <v>0</v>
      </c>
      <c r="Z361" s="365" t="str">
        <f>IFERROR(X361*VLOOKUP(C361,'General price list'!C:I,7,FALSE),"")</f>
        <v/>
      </c>
      <c r="AA361" s="805" t="str">
        <f>IF(X361&lt;&gt;"",VLOOKUP(C361,'General price list'!C363:AN1336,MATCH("HM",Tabulka1[[#Headers],[KOD]:[NEQ]],0),FALSE),"")</f>
        <v/>
      </c>
    </row>
    <row r="362" spans="1:27">
      <c r="A362">
        <f>COUNTIF($W$22:W362,1)</f>
        <v>0</v>
      </c>
      <c r="B362">
        <v>362</v>
      </c>
      <c r="C362" s="340" t="str">
        <f>Tabulka1[[#This Row],[KOD]]</f>
        <v>OZ4</v>
      </c>
      <c r="W362" s="804" t="str">
        <f t="shared" si="11"/>
        <v/>
      </c>
      <c r="X362" t="str">
        <f t="shared" si="12"/>
        <v/>
      </c>
      <c r="Y362" s="341">
        <f>IF('General price list'!$AB364="",0,'General price list'!$AB364)</f>
        <v>0</v>
      </c>
      <c r="Z362" s="365" t="str">
        <f>IFERROR(X362*VLOOKUP(C362,'General price list'!C:I,7,FALSE),"")</f>
        <v/>
      </c>
      <c r="AA362" s="805" t="str">
        <f>IF(X362&lt;&gt;"",VLOOKUP(C362,'General price list'!C364:AN1337,MATCH("HM",Tabulka1[[#Headers],[KOD]:[NEQ]],0),FALSE),"")</f>
        <v/>
      </c>
    </row>
    <row r="363" spans="1:27">
      <c r="A363">
        <f>COUNTIF($W$22:W363,1)</f>
        <v>0</v>
      </c>
      <c r="B363">
        <v>363</v>
      </c>
      <c r="C363" s="340" t="str">
        <f>Tabulka1[[#This Row],[KOD]]</f>
        <v>ZS5M</v>
      </c>
      <c r="W363" s="804" t="str">
        <f t="shared" si="11"/>
        <v/>
      </c>
      <c r="X363" t="str">
        <f t="shared" si="12"/>
        <v/>
      </c>
      <c r="Y363" s="341">
        <f>IF('General price list'!$AB365="",0,'General price list'!$AB365)</f>
        <v>0</v>
      </c>
      <c r="Z363" s="365" t="str">
        <f>IFERROR(X363*VLOOKUP(C363,'General price list'!C:I,7,FALSE),"")</f>
        <v/>
      </c>
      <c r="AA363" s="805" t="str">
        <f>IF(X363&lt;&gt;"",VLOOKUP(C363,'General price list'!C365:AN1338,MATCH("HM",Tabulka1[[#Headers],[KOD]:[NEQ]],0),FALSE),"")</f>
        <v/>
      </c>
    </row>
    <row r="364" spans="1:27">
      <c r="A364">
        <f>COUNTIF($W$22:W364,1)</f>
        <v>0</v>
      </c>
      <c r="B364">
        <v>364</v>
      </c>
      <c r="C364" s="340">
        <f>Tabulka1[[#This Row],[KOD]]</f>
        <v>0</v>
      </c>
      <c r="W364" s="804" t="str">
        <f t="shared" si="11"/>
        <v/>
      </c>
      <c r="X364" t="str">
        <f t="shared" si="12"/>
        <v/>
      </c>
      <c r="Y364" s="341">
        <f>IF('General price list'!$AB366="",0,'General price list'!$AB366)</f>
        <v>0</v>
      </c>
      <c r="Z364" s="365" t="str">
        <f>IFERROR(X364*VLOOKUP(C364,'General price list'!C:I,7,FALSE),"")</f>
        <v/>
      </c>
      <c r="AA364" s="805" t="str">
        <f>IF(X364&lt;&gt;"",VLOOKUP(C364,'General price list'!C366:AN1339,MATCH("HM",Tabulka1[[#Headers],[KOD]:[NEQ]],0),FALSE),"")</f>
        <v/>
      </c>
    </row>
    <row r="365" spans="1:27">
      <c r="A365">
        <f>COUNTIF($W$22:W365,1)</f>
        <v>0</v>
      </c>
      <c r="B365">
        <v>365</v>
      </c>
      <c r="C365" s="340" t="str">
        <f>Tabulka1[[#This Row],[KOD]]</f>
        <v>C2508R</v>
      </c>
      <c r="W365" s="804" t="str">
        <f t="shared" si="11"/>
        <v/>
      </c>
      <c r="X365" t="str">
        <f t="shared" si="12"/>
        <v/>
      </c>
      <c r="Y365" s="341">
        <f>IF('General price list'!$AB367="",0,'General price list'!$AB367)</f>
        <v>0</v>
      </c>
      <c r="Z365" s="365" t="str">
        <f>IFERROR(X365*VLOOKUP(C365,'General price list'!C:I,7,FALSE),"")</f>
        <v/>
      </c>
      <c r="AA365" s="805" t="str">
        <f>IF(X365&lt;&gt;"",VLOOKUP(C365,'General price list'!C367:AN1340,MATCH("HM",Tabulka1[[#Headers],[KOD]:[NEQ]],0),FALSE),"")</f>
        <v/>
      </c>
    </row>
    <row r="366" spans="1:27">
      <c r="A366">
        <f>COUNTIF($W$22:W366,1)</f>
        <v>0</v>
      </c>
      <c r="B366">
        <v>366</v>
      </c>
      <c r="C366" s="340" t="str">
        <f>Tabulka1[[#This Row],[KOD]]</f>
        <v>C10008R</v>
      </c>
      <c r="W366" s="804" t="str">
        <f t="shared" si="11"/>
        <v/>
      </c>
      <c r="X366" t="str">
        <f t="shared" si="12"/>
        <v/>
      </c>
      <c r="Y366" s="341">
        <f>IF('General price list'!$AB368="",0,'General price list'!$AB368)</f>
        <v>0</v>
      </c>
      <c r="Z366" s="365" t="str">
        <f>IFERROR(X366*VLOOKUP(C366,'General price list'!C:I,7,FALSE),"")</f>
        <v/>
      </c>
      <c r="AA366" s="805" t="str">
        <f>IF(X366&lt;&gt;"",VLOOKUP(C366,'General price list'!C368:AN1341,MATCH("HM",Tabulka1[[#Headers],[KOD]:[NEQ]],0),FALSE),"")</f>
        <v/>
      </c>
    </row>
    <row r="367" spans="1:27">
      <c r="A367">
        <f>COUNTIF($W$22:W367,1)</f>
        <v>0</v>
      </c>
      <c r="B367">
        <v>367</v>
      </c>
      <c r="C367" s="340">
        <f>Tabulka1[[#This Row],[KOD]]</f>
        <v>0</v>
      </c>
      <c r="W367" s="804" t="str">
        <f t="shared" si="11"/>
        <v/>
      </c>
      <c r="X367" t="str">
        <f t="shared" si="12"/>
        <v/>
      </c>
      <c r="Y367" s="341">
        <f>IF('General price list'!$AB369="",0,'General price list'!$AB369)</f>
        <v>0</v>
      </c>
      <c r="Z367" s="365" t="str">
        <f>IFERROR(X367*VLOOKUP(C367,'General price list'!C:I,7,FALSE),"")</f>
        <v/>
      </c>
      <c r="AA367" s="805" t="str">
        <f>IF(X367&lt;&gt;"",VLOOKUP(C367,'General price list'!C369:AN1342,MATCH("HM",Tabulka1[[#Headers],[KOD]:[NEQ]],0),FALSE),"")</f>
        <v/>
      </c>
    </row>
    <row r="368" spans="1:27">
      <c r="A368">
        <f>COUNTIF($W$22:W368,1)</f>
        <v>0</v>
      </c>
      <c r="B368">
        <v>368</v>
      </c>
      <c r="C368" s="340" t="str">
        <f>Tabulka1[[#This Row],[KOD]]</f>
        <v>C1008CC</v>
      </c>
      <c r="W368" s="804" t="str">
        <f t="shared" si="11"/>
        <v/>
      </c>
      <c r="X368" t="str">
        <f t="shared" si="12"/>
        <v/>
      </c>
      <c r="Y368" s="341">
        <f>IF('General price list'!$AB370="",0,'General price list'!$AB370)</f>
        <v>0</v>
      </c>
      <c r="Z368" s="365" t="str">
        <f>IFERROR(X368*VLOOKUP(C368,'General price list'!C:I,7,FALSE),"")</f>
        <v/>
      </c>
      <c r="AA368" s="805" t="str">
        <f>IF(X368&lt;&gt;"",VLOOKUP(C368,'General price list'!C370:AN1343,MATCH("HM",Tabulka1[[#Headers],[KOD]:[NEQ]],0),FALSE),"")</f>
        <v/>
      </c>
    </row>
    <row r="369" spans="1:27">
      <c r="A369">
        <f>COUNTIF($W$22:W369,1)</f>
        <v>0</v>
      </c>
      <c r="B369">
        <v>369</v>
      </c>
      <c r="C369" s="340">
        <f>Tabulka1[[#This Row],[KOD]]</f>
        <v>0</v>
      </c>
      <c r="W369" s="804" t="str">
        <f t="shared" si="11"/>
        <v/>
      </c>
      <c r="X369" t="str">
        <f t="shared" si="12"/>
        <v/>
      </c>
      <c r="Y369" s="341">
        <f>IF('General price list'!$AB371="",0,'General price list'!$AB371)</f>
        <v>0</v>
      </c>
      <c r="Z369" s="365" t="str">
        <f>IFERROR(X369*VLOOKUP(C369,'General price list'!C:I,7,FALSE),"")</f>
        <v/>
      </c>
      <c r="AA369" s="805" t="str">
        <f>IF(X369&lt;&gt;"",VLOOKUP(C369,'General price list'!C371:AN1344,MATCH("HM",Tabulka1[[#Headers],[KOD]:[NEQ]],0),FALSE),"")</f>
        <v/>
      </c>
    </row>
    <row r="370" spans="1:27">
      <c r="A370">
        <f>COUNTIF($W$22:W370,1)</f>
        <v>0</v>
      </c>
      <c r="B370">
        <v>370</v>
      </c>
      <c r="C370" s="340" t="str">
        <f>Tabulka1[[#This Row],[KOD]]</f>
        <v>C1614E14</v>
      </c>
      <c r="W370" s="804" t="str">
        <f t="shared" si="11"/>
        <v/>
      </c>
      <c r="X370" t="str">
        <f t="shared" si="12"/>
        <v/>
      </c>
      <c r="Y370" s="341">
        <f>IF('General price list'!$AB372="",0,'General price list'!$AB372)</f>
        <v>0</v>
      </c>
      <c r="Z370" s="365" t="str">
        <f>IFERROR(X370*VLOOKUP(C370,'General price list'!C:I,7,FALSE),"")</f>
        <v/>
      </c>
      <c r="AA370" s="805" t="str">
        <f>IF(X370&lt;&gt;"",VLOOKUP(C370,'General price list'!C372:AN1345,MATCH("HM",Tabulka1[[#Headers],[KOD]:[NEQ]],0),FALSE),"")</f>
        <v/>
      </c>
    </row>
    <row r="371" spans="1:27">
      <c r="A371">
        <f>COUNTIF($W$22:W371,1)</f>
        <v>0</v>
      </c>
      <c r="B371">
        <v>371</v>
      </c>
      <c r="C371" s="340">
        <f>Tabulka1[[#This Row],[KOD]]</f>
        <v>0</v>
      </c>
      <c r="W371" s="804" t="str">
        <f t="shared" si="11"/>
        <v/>
      </c>
      <c r="X371" t="str">
        <f t="shared" si="12"/>
        <v/>
      </c>
      <c r="Y371" s="341">
        <f>IF('General price list'!$AB373="",0,'General price list'!$AB373)</f>
        <v>0</v>
      </c>
      <c r="Z371" s="365" t="str">
        <f>IFERROR(X371*VLOOKUP(C371,'General price list'!C:I,7,FALSE),"")</f>
        <v/>
      </c>
      <c r="AA371" s="805" t="str">
        <f>IF(X371&lt;&gt;"",VLOOKUP(C371,'General price list'!C373:AN1346,MATCH("HM",Tabulka1[[#Headers],[KOD]:[NEQ]],0),FALSE),"")</f>
        <v/>
      </c>
    </row>
    <row r="372" spans="1:27">
      <c r="A372">
        <f>COUNTIF($W$22:W372,1)</f>
        <v>0</v>
      </c>
      <c r="B372">
        <v>372</v>
      </c>
      <c r="C372" s="340" t="str">
        <f>Tabulka1[[#This Row],[KOD]]</f>
        <v>C3614B14</v>
      </c>
      <c r="W372" s="804" t="str">
        <f t="shared" si="11"/>
        <v/>
      </c>
      <c r="X372" t="str">
        <f t="shared" si="12"/>
        <v/>
      </c>
      <c r="Y372" s="341">
        <f>IF('General price list'!$AB374="",0,'General price list'!$AB374)</f>
        <v>0</v>
      </c>
      <c r="Z372" s="365" t="str">
        <f>IFERROR(X372*VLOOKUP(C372,'General price list'!C:I,7,FALSE),"")</f>
        <v/>
      </c>
      <c r="AA372" s="805" t="str">
        <f>IF(X372&lt;&gt;"",VLOOKUP(C372,'General price list'!C374:AN1347,MATCH("HM",Tabulka1[[#Headers],[KOD]:[NEQ]],0),FALSE),"")</f>
        <v/>
      </c>
    </row>
    <row r="373" spans="1:27">
      <c r="A373">
        <f>COUNTIF($W$22:W373,1)</f>
        <v>0</v>
      </c>
      <c r="B373">
        <v>373</v>
      </c>
      <c r="C373" s="340">
        <f>Tabulka1[[#This Row],[KOD]]</f>
        <v>0</v>
      </c>
      <c r="W373" s="804" t="str">
        <f t="shared" si="11"/>
        <v/>
      </c>
      <c r="X373" t="str">
        <f t="shared" si="12"/>
        <v/>
      </c>
      <c r="Y373" s="341">
        <f>IF('General price list'!$AB375="",0,'General price list'!$AB375)</f>
        <v>0</v>
      </c>
      <c r="Z373" s="365" t="str">
        <f>IFERROR(X373*VLOOKUP(C373,'General price list'!C:I,7,FALSE),"")</f>
        <v/>
      </c>
      <c r="AA373" s="805" t="str">
        <f>IF(X373&lt;&gt;"",VLOOKUP(C373,'General price list'!C375:AN1348,MATCH("HM",Tabulka1[[#Headers],[KOD]:[NEQ]],0),FALSE),"")</f>
        <v/>
      </c>
    </row>
    <row r="374" spans="1:27">
      <c r="A374">
        <f>COUNTIF($W$22:W374,1)</f>
        <v>0</v>
      </c>
      <c r="B374">
        <v>374</v>
      </c>
      <c r="C374" s="340" t="str">
        <f>Tabulka1[[#This Row],[KOD]]</f>
        <v>C6414C14</v>
      </c>
      <c r="W374" s="804" t="str">
        <f t="shared" si="11"/>
        <v/>
      </c>
      <c r="X374" t="str">
        <f t="shared" si="12"/>
        <v/>
      </c>
      <c r="Y374" s="341">
        <f>IF('General price list'!$AB376="",0,'General price list'!$AB376)</f>
        <v>0</v>
      </c>
      <c r="Z374" s="365" t="str">
        <f>IFERROR(X374*VLOOKUP(C374,'General price list'!C:I,7,FALSE),"")</f>
        <v/>
      </c>
      <c r="AA374" s="805" t="str">
        <f>IF(X374&lt;&gt;"",VLOOKUP(C374,'General price list'!C376:AN1349,MATCH("HM",Tabulka1[[#Headers],[KOD]:[NEQ]],0),FALSE),"")</f>
        <v/>
      </c>
    </row>
    <row r="375" spans="1:27">
      <c r="A375">
        <f>COUNTIF($W$22:W375,1)</f>
        <v>0</v>
      </c>
      <c r="B375">
        <v>375</v>
      </c>
      <c r="C375" s="340">
        <f>Tabulka1[[#This Row],[KOD]]</f>
        <v>0</v>
      </c>
      <c r="W375" s="804" t="str">
        <f t="shared" si="11"/>
        <v/>
      </c>
      <c r="X375" t="str">
        <f t="shared" si="12"/>
        <v/>
      </c>
      <c r="Y375" s="341">
        <f>IF('General price list'!$AB377="",0,'General price list'!$AB377)</f>
        <v>0</v>
      </c>
      <c r="Z375" s="365" t="str">
        <f>IFERROR(X375*VLOOKUP(C375,'General price list'!C:I,7,FALSE),"")</f>
        <v/>
      </c>
      <c r="AA375" s="805" t="str">
        <f>IF(X375&lt;&gt;"",VLOOKUP(C375,'General price list'!C377:AN1350,MATCH("HM",Tabulka1[[#Headers],[KOD]:[NEQ]],0),FALSE),"")</f>
        <v/>
      </c>
    </row>
    <row r="376" spans="1:27">
      <c r="A376">
        <f>COUNTIF($W$22:W376,1)</f>
        <v>0</v>
      </c>
      <c r="B376">
        <v>376</v>
      </c>
      <c r="C376" s="340" t="str">
        <f>Tabulka1[[#This Row],[KOD]]</f>
        <v>C10014A</v>
      </c>
      <c r="W376" s="804" t="str">
        <f t="shared" si="11"/>
        <v/>
      </c>
      <c r="X376" t="str">
        <f t="shared" si="12"/>
        <v/>
      </c>
      <c r="Y376" s="341">
        <f>IF('General price list'!$AB378="",0,'General price list'!$AB378)</f>
        <v>0</v>
      </c>
      <c r="Z376" s="365" t="str">
        <f>IFERROR(X376*VLOOKUP(C376,'General price list'!C:I,7,FALSE),"")</f>
        <v/>
      </c>
      <c r="AA376" s="805" t="str">
        <f>IF(X376&lt;&gt;"",VLOOKUP(C376,'General price list'!C378:AN1351,MATCH("HM",Tabulka1[[#Headers],[KOD]:[NEQ]],0),FALSE),"")</f>
        <v/>
      </c>
    </row>
    <row r="377" spans="1:27">
      <c r="A377">
        <f>COUNTIF($W$22:W377,1)</f>
        <v>0</v>
      </c>
      <c r="B377">
        <v>377</v>
      </c>
      <c r="C377" s="340">
        <f>Tabulka1[[#This Row],[KOD]]</f>
        <v>0</v>
      </c>
      <c r="W377" s="804" t="str">
        <f t="shared" si="11"/>
        <v/>
      </c>
      <c r="X377" t="str">
        <f t="shared" si="12"/>
        <v/>
      </c>
      <c r="Y377" s="341">
        <f>IF('General price list'!$AB379="",0,'General price list'!$AB379)</f>
        <v>0</v>
      </c>
      <c r="Z377" s="365" t="str">
        <f>IFERROR(X377*VLOOKUP(C377,'General price list'!C:I,7,FALSE),"")</f>
        <v/>
      </c>
      <c r="AA377" s="805" t="str">
        <f>IF(X377&lt;&gt;"",VLOOKUP(C377,'General price list'!C379:AN1352,MATCH("HM",Tabulka1[[#Headers],[KOD]:[NEQ]],0),FALSE),"")</f>
        <v/>
      </c>
    </row>
    <row r="378" spans="1:27">
      <c r="A378">
        <f>COUNTIF($W$22:W378,1)</f>
        <v>0</v>
      </c>
      <c r="B378">
        <v>378</v>
      </c>
      <c r="C378" s="340" t="str">
        <f>Tabulka1[[#This Row],[KOD]]</f>
        <v>C20014F14</v>
      </c>
      <c r="W378" s="804" t="str">
        <f t="shared" si="11"/>
        <v/>
      </c>
      <c r="X378" t="str">
        <f t="shared" si="12"/>
        <v/>
      </c>
      <c r="Y378" s="341">
        <f>IF('General price list'!$AB380="",0,'General price list'!$AB380)</f>
        <v>0</v>
      </c>
      <c r="Z378" s="365" t="str">
        <f>IFERROR(X378*VLOOKUP(C378,'General price list'!C:I,7,FALSE),"")</f>
        <v/>
      </c>
      <c r="AA378" s="805" t="str">
        <f>IF(X378&lt;&gt;"",VLOOKUP(C378,'General price list'!C380:AN1353,MATCH("HM",Tabulka1[[#Headers],[KOD]:[NEQ]],0),FALSE),"")</f>
        <v/>
      </c>
    </row>
    <row r="379" spans="1:27">
      <c r="A379">
        <f>COUNTIF($W$22:W379,1)</f>
        <v>0</v>
      </c>
      <c r="B379">
        <v>379</v>
      </c>
      <c r="C379" s="340">
        <f>Tabulka1[[#This Row],[KOD]]</f>
        <v>0</v>
      </c>
      <c r="W379" s="804" t="str">
        <f t="shared" si="11"/>
        <v/>
      </c>
      <c r="X379" t="str">
        <f t="shared" si="12"/>
        <v/>
      </c>
      <c r="Y379" s="341">
        <f>IF('General price list'!$AB381="",0,'General price list'!$AB381)</f>
        <v>0</v>
      </c>
      <c r="Z379" s="365" t="str">
        <f>IFERROR(X379*VLOOKUP(C379,'General price list'!C:I,7,FALSE),"")</f>
        <v/>
      </c>
      <c r="AA379" s="805" t="str">
        <f>IF(X379&lt;&gt;"",VLOOKUP(C379,'General price list'!C381:AN1354,MATCH("HM",Tabulka1[[#Headers],[KOD]:[NEQ]],0),FALSE),"")</f>
        <v/>
      </c>
    </row>
    <row r="380" spans="1:27">
      <c r="A380">
        <f>COUNTIF($W$22:W380,1)</f>
        <v>0</v>
      </c>
      <c r="B380">
        <v>380</v>
      </c>
      <c r="C380" s="340" t="str">
        <f>Tabulka1[[#This Row],[KOD]]</f>
        <v>C40014W/C14</v>
      </c>
      <c r="W380" s="804" t="str">
        <f t="shared" si="11"/>
        <v/>
      </c>
      <c r="X380" t="str">
        <f t="shared" si="12"/>
        <v/>
      </c>
      <c r="Y380" s="341">
        <f>IF('General price list'!$AB382="",0,'General price list'!$AB382)</f>
        <v>0</v>
      </c>
      <c r="Z380" s="365" t="str">
        <f>IFERROR(X380*VLOOKUP(C380,'General price list'!C:I,7,FALSE),"")</f>
        <v/>
      </c>
      <c r="AA380" s="805" t="str">
        <f>IF(X380&lt;&gt;"",VLOOKUP(C380,'General price list'!C382:AN1355,MATCH("HM",Tabulka1[[#Headers],[KOD]:[NEQ]],0),FALSE),"")</f>
        <v/>
      </c>
    </row>
    <row r="381" spans="1:27">
      <c r="A381">
        <f>COUNTIF($W$22:W381,1)</f>
        <v>0</v>
      </c>
      <c r="B381">
        <v>381</v>
      </c>
      <c r="C381" s="340">
        <f>Tabulka1[[#This Row],[KOD]]</f>
        <v>0</v>
      </c>
      <c r="W381" s="804" t="str">
        <f t="shared" si="11"/>
        <v/>
      </c>
      <c r="X381" t="str">
        <f t="shared" si="12"/>
        <v/>
      </c>
      <c r="Y381" s="341">
        <f>IF('General price list'!$AB383="",0,'General price list'!$AB383)</f>
        <v>0</v>
      </c>
      <c r="Z381" s="365" t="str">
        <f>IFERROR(X381*VLOOKUP(C381,'General price list'!C:I,7,FALSE),"")</f>
        <v/>
      </c>
      <c r="AA381" s="805" t="str">
        <f>IF(X381&lt;&gt;"",VLOOKUP(C381,'General price list'!C383:AN1356,MATCH("HM",Tabulka1[[#Headers],[KOD]:[NEQ]],0),FALSE),"")</f>
        <v/>
      </c>
    </row>
    <row r="382" spans="1:27">
      <c r="A382">
        <f>COUNTIF($W$22:W382,1)</f>
        <v>0</v>
      </c>
      <c r="B382">
        <v>382</v>
      </c>
      <c r="C382" s="340" t="str">
        <f>Tabulka1[[#This Row],[KOD]]</f>
        <v>C20814XPR14</v>
      </c>
      <c r="W382" s="804" t="str">
        <f t="shared" si="11"/>
        <v/>
      </c>
      <c r="X382" t="str">
        <f t="shared" si="12"/>
        <v/>
      </c>
      <c r="Y382" s="341">
        <f>IF('General price list'!$AB384="",0,'General price list'!$AB384)</f>
        <v>0</v>
      </c>
      <c r="Z382" s="365" t="str">
        <f>IFERROR(X382*VLOOKUP(C382,'General price list'!C:I,7,FALSE),"")</f>
        <v/>
      </c>
      <c r="AA382" s="805" t="str">
        <f>IF(X382&lt;&gt;"",VLOOKUP(C382,'General price list'!C384:AN1357,MATCH("HM",Tabulka1[[#Headers],[KOD]:[NEQ]],0),FALSE),"")</f>
        <v/>
      </c>
    </row>
    <row r="383" spans="1:27">
      <c r="A383">
        <f>COUNTIF($W$22:W383,1)</f>
        <v>0</v>
      </c>
      <c r="B383">
        <v>383</v>
      </c>
      <c r="C383" s="340">
        <f>Tabulka1[[#This Row],[KOD]]</f>
        <v>0</v>
      </c>
      <c r="W383" s="804" t="str">
        <f t="shared" si="11"/>
        <v/>
      </c>
      <c r="X383" t="str">
        <f t="shared" si="12"/>
        <v/>
      </c>
      <c r="Y383" s="341">
        <f>IF('General price list'!$AB385="",0,'General price list'!$AB385)</f>
        <v>0</v>
      </c>
      <c r="Z383" s="365" t="str">
        <f>IFERROR(X383*VLOOKUP(C383,'General price list'!C:I,7,FALSE),"")</f>
        <v/>
      </c>
      <c r="AA383" s="805" t="str">
        <f>IF(X383&lt;&gt;"",VLOOKUP(C383,'General price list'!C385:AN1358,MATCH("HM",Tabulka1[[#Headers],[KOD]:[NEQ]],0),FALSE),"")</f>
        <v/>
      </c>
    </row>
    <row r="384" spans="1:27">
      <c r="A384">
        <f>COUNTIF($W$22:W384,1)</f>
        <v>0</v>
      </c>
      <c r="B384">
        <v>384</v>
      </c>
      <c r="C384" s="340" t="str">
        <f>Tabulka1[[#This Row],[KOD]]</f>
        <v>C9016XC14</v>
      </c>
      <c r="W384" s="804" t="str">
        <f t="shared" si="11"/>
        <v/>
      </c>
      <c r="X384" t="str">
        <f t="shared" si="12"/>
        <v/>
      </c>
      <c r="Y384" s="341">
        <f>IF('General price list'!$AB386="",0,'General price list'!$AB386)</f>
        <v>0</v>
      </c>
      <c r="Z384" s="365" t="str">
        <f>IFERROR(X384*VLOOKUP(C384,'General price list'!C:I,7,FALSE),"")</f>
        <v/>
      </c>
      <c r="AA384" s="805" t="str">
        <f>IF(X384&lt;&gt;"",VLOOKUP(C384,'General price list'!C386:AN1359,MATCH("HM",Tabulka1[[#Headers],[KOD]:[NEQ]],0),FALSE),"")</f>
        <v/>
      </c>
    </row>
    <row r="385" spans="1:27">
      <c r="A385">
        <f>COUNTIF($W$22:W385,1)</f>
        <v>0</v>
      </c>
      <c r="B385">
        <v>385</v>
      </c>
      <c r="C385" s="340">
        <f>Tabulka1[[#This Row],[KOD]]</f>
        <v>0</v>
      </c>
      <c r="W385" s="804" t="str">
        <f t="shared" si="11"/>
        <v/>
      </c>
      <c r="X385" t="str">
        <f t="shared" si="12"/>
        <v/>
      </c>
      <c r="Y385" s="341">
        <f>IF('General price list'!$AB387="",0,'General price list'!$AB387)</f>
        <v>0</v>
      </c>
      <c r="Z385" s="365" t="str">
        <f>IFERROR(X385*VLOOKUP(C385,'General price list'!C:I,7,FALSE),"")</f>
        <v/>
      </c>
      <c r="AA385" s="805" t="str">
        <f>IF(X385&lt;&gt;"",VLOOKUP(C385,'General price list'!C387:AN1360,MATCH("HM",Tabulka1[[#Headers],[KOD]:[NEQ]],0),FALSE),"")</f>
        <v/>
      </c>
    </row>
    <row r="386" spans="1:27">
      <c r="A386">
        <f>COUNTIF($W$22:W386,1)</f>
        <v>0</v>
      </c>
      <c r="B386">
        <v>386</v>
      </c>
      <c r="C386" s="340" t="str">
        <f>Tabulka1[[#This Row],[KOD]]</f>
        <v>C16016XP14</v>
      </c>
      <c r="W386" s="804" t="str">
        <f t="shared" si="11"/>
        <v/>
      </c>
      <c r="X386" t="str">
        <f t="shared" si="12"/>
        <v/>
      </c>
      <c r="Y386" s="341">
        <f>IF('General price list'!$AB388="",0,'General price list'!$AB388)</f>
        <v>0</v>
      </c>
      <c r="Z386" s="365" t="str">
        <f>IFERROR(X386*VLOOKUP(C386,'General price list'!C:I,7,FALSE),"")</f>
        <v/>
      </c>
      <c r="AA386" s="805" t="str">
        <f>IF(X386&lt;&gt;"",VLOOKUP(C386,'General price list'!C388:AN1361,MATCH("HM",Tabulka1[[#Headers],[KOD]:[NEQ]],0),FALSE),"")</f>
        <v/>
      </c>
    </row>
    <row r="387" spans="1:27">
      <c r="A387">
        <f>COUNTIF($W$22:W387,1)</f>
        <v>0</v>
      </c>
      <c r="B387">
        <v>387</v>
      </c>
      <c r="C387" s="340">
        <f>Tabulka1[[#This Row],[KOD]]</f>
        <v>0</v>
      </c>
      <c r="W387" s="804" t="str">
        <f t="shared" si="11"/>
        <v/>
      </c>
      <c r="X387" t="str">
        <f t="shared" si="12"/>
        <v/>
      </c>
      <c r="Y387" s="341">
        <f>IF('General price list'!$AB389="",0,'General price list'!$AB389)</f>
        <v>0</v>
      </c>
      <c r="Z387" s="365" t="str">
        <f>IFERROR(X387*VLOOKUP(C387,'General price list'!C:I,7,FALSE),"")</f>
        <v/>
      </c>
      <c r="AA387" s="805" t="str">
        <f>IF(X387&lt;&gt;"",VLOOKUP(C387,'General price list'!C389:AN1362,MATCH("HM",Tabulka1[[#Headers],[KOD]:[NEQ]],0),FALSE),"")</f>
        <v/>
      </c>
    </row>
    <row r="388" spans="1:27">
      <c r="A388">
        <f>COUNTIF($W$22:W388,1)</f>
        <v>0</v>
      </c>
      <c r="B388">
        <v>388</v>
      </c>
      <c r="C388" s="340" t="str">
        <f>Tabulka1[[#This Row],[KOD]]</f>
        <v>C27016XG/C14</v>
      </c>
      <c r="W388" s="804" t="str">
        <f t="shared" si="11"/>
        <v/>
      </c>
      <c r="X388" t="str">
        <f t="shared" si="12"/>
        <v/>
      </c>
      <c r="Y388" s="341">
        <f>IF('General price list'!$AB390="",0,'General price list'!$AB390)</f>
        <v>0</v>
      </c>
      <c r="Z388" s="365" t="str">
        <f>IFERROR(X388*VLOOKUP(C388,'General price list'!C:I,7,FALSE),"")</f>
        <v/>
      </c>
      <c r="AA388" s="805" t="str">
        <f>IF(X388&lt;&gt;"",VLOOKUP(C388,'General price list'!C390:AN1363,MATCH("HM",Tabulka1[[#Headers],[KOD]:[NEQ]],0),FALSE),"")</f>
        <v/>
      </c>
    </row>
    <row r="389" spans="1:27">
      <c r="A389">
        <f>COUNTIF($W$22:W389,1)</f>
        <v>0</v>
      </c>
      <c r="B389">
        <v>389</v>
      </c>
      <c r="C389" s="340" t="str">
        <f>Tabulka1[[#This Row],[KOD]]</f>
        <v>C32016XB/C14</v>
      </c>
      <c r="W389" s="804" t="str">
        <f t="shared" si="11"/>
        <v/>
      </c>
      <c r="X389" t="str">
        <f t="shared" si="12"/>
        <v/>
      </c>
      <c r="Y389" s="341">
        <f>IF('General price list'!$AB391="",0,'General price list'!$AB391)</f>
        <v>0</v>
      </c>
      <c r="Z389" s="365" t="str">
        <f>IFERROR(X389*VLOOKUP(C389,'General price list'!C:I,7,FALSE),"")</f>
        <v/>
      </c>
      <c r="AA389" s="805" t="str">
        <f>IF(X389&lt;&gt;"",VLOOKUP(C389,'General price list'!C391:AN1364,MATCH("HM",Tabulka1[[#Headers],[KOD]:[NEQ]],0),FALSE),"")</f>
        <v/>
      </c>
    </row>
    <row r="390" spans="1:27">
      <c r="A390">
        <f>COUNTIF($W$22:W390,1)</f>
        <v>0</v>
      </c>
      <c r="B390">
        <v>390</v>
      </c>
      <c r="C390" s="340">
        <f>Tabulka1[[#This Row],[KOD]]</f>
        <v>0</v>
      </c>
      <c r="W390" s="804" t="str">
        <f t="shared" si="11"/>
        <v/>
      </c>
      <c r="X390" t="str">
        <f t="shared" si="12"/>
        <v/>
      </c>
      <c r="Y390" s="341">
        <f>IF('General price list'!$AB392="",0,'General price list'!$AB392)</f>
        <v>0</v>
      </c>
      <c r="Z390" s="365" t="str">
        <f>IFERROR(X390*VLOOKUP(C390,'General price list'!C:I,7,FALSE),"")</f>
        <v/>
      </c>
      <c r="AA390" s="805" t="str">
        <f>IF(X390&lt;&gt;"",VLOOKUP(C390,'General price list'!C392:AN1365,MATCH("HM",Tabulka1[[#Headers],[KOD]:[NEQ]],0),FALSE),"")</f>
        <v/>
      </c>
    </row>
    <row r="391" spans="1:27">
      <c r="A391">
        <f>COUNTIF($W$22:W391,1)</f>
        <v>0</v>
      </c>
      <c r="B391">
        <v>391</v>
      </c>
      <c r="C391" s="340" t="str">
        <f>Tabulka1[[#This Row],[KOD]]</f>
        <v>C63MXS14</v>
      </c>
      <c r="W391" s="804" t="str">
        <f t="shared" si="11"/>
        <v/>
      </c>
      <c r="X391" t="str">
        <f t="shared" si="12"/>
        <v/>
      </c>
      <c r="Y391" s="341">
        <f>IF('General price list'!$AB393="",0,'General price list'!$AB393)</f>
        <v>0</v>
      </c>
      <c r="Z391" s="365" t="str">
        <f>IFERROR(X391*VLOOKUP(C391,'General price list'!C:I,7,FALSE),"")</f>
        <v/>
      </c>
      <c r="AA391" s="805" t="str">
        <f>IF(X391&lt;&gt;"",VLOOKUP(C391,'General price list'!C393:AN1366,MATCH("HM",Tabulka1[[#Headers],[KOD]:[NEQ]],0),FALSE),"")</f>
        <v/>
      </c>
    </row>
    <row r="392" spans="1:27">
      <c r="A392">
        <f>COUNTIF($W$22:W392,1)</f>
        <v>0</v>
      </c>
      <c r="B392">
        <v>392</v>
      </c>
      <c r="C392" s="340">
        <f>Tabulka1[[#This Row],[KOD]]</f>
        <v>0</v>
      </c>
      <c r="W392" s="804" t="str">
        <f t="shared" si="11"/>
        <v/>
      </c>
      <c r="X392" t="str">
        <f t="shared" si="12"/>
        <v/>
      </c>
      <c r="Y392" s="341">
        <f>IF('General price list'!$AB394="",0,'General price list'!$AB394)</f>
        <v>0</v>
      </c>
      <c r="Z392" s="365" t="str">
        <f>IFERROR(X392*VLOOKUP(C392,'General price list'!C:I,7,FALSE),"")</f>
        <v/>
      </c>
      <c r="AA392" s="805" t="str">
        <f>IF(X392&lt;&gt;"",VLOOKUP(C392,'General price list'!C394:AN1367,MATCH("HM",Tabulka1[[#Headers],[KOD]:[NEQ]],0),FALSE),"")</f>
        <v/>
      </c>
    </row>
    <row r="393" spans="1:27">
      <c r="A393">
        <f>COUNTIF($W$22:W393,1)</f>
        <v>0</v>
      </c>
      <c r="B393">
        <v>393</v>
      </c>
      <c r="C393" s="340" t="str">
        <f>Tabulka1[[#This Row],[KOD]]</f>
        <v>C920L</v>
      </c>
      <c r="W393" s="804" t="str">
        <f t="shared" si="11"/>
        <v/>
      </c>
      <c r="X393" t="str">
        <f t="shared" si="12"/>
        <v/>
      </c>
      <c r="Y393" s="341">
        <f>IF('General price list'!$AB395="",0,'General price list'!$AB395)</f>
        <v>0</v>
      </c>
      <c r="Z393" s="365" t="str">
        <f>IFERROR(X393*VLOOKUP(C393,'General price list'!C:I,7,FALSE),"")</f>
        <v/>
      </c>
      <c r="AA393" s="805" t="str">
        <f>IF(X393&lt;&gt;"",VLOOKUP(C393,'General price list'!C395:AN1368,MATCH("HM",Tabulka1[[#Headers],[KOD]:[NEQ]],0),FALSE),"")</f>
        <v/>
      </c>
    </row>
    <row r="394" spans="1:27">
      <c r="A394">
        <f>COUNTIF($W$22:W394,1)</f>
        <v>0</v>
      </c>
      <c r="B394">
        <v>394</v>
      </c>
      <c r="C394" s="340" t="str">
        <f>Tabulka1[[#This Row],[KOD]]</f>
        <v>C920M</v>
      </c>
      <c r="W394" s="804" t="str">
        <f t="shared" si="11"/>
        <v/>
      </c>
      <c r="X394" t="str">
        <f t="shared" si="12"/>
        <v/>
      </c>
      <c r="Y394" s="341">
        <f>IF('General price list'!$AB396="",0,'General price list'!$AB396)</f>
        <v>0</v>
      </c>
      <c r="Z394" s="365" t="str">
        <f>IFERROR(X394*VLOOKUP(C394,'General price list'!C:I,7,FALSE),"")</f>
        <v/>
      </c>
      <c r="AA394" s="805" t="str">
        <f>IF(X394&lt;&gt;"",VLOOKUP(C394,'General price list'!C396:AN1369,MATCH("HM",Tabulka1[[#Headers],[KOD]:[NEQ]],0),FALSE),"")</f>
        <v/>
      </c>
    </row>
    <row r="395" spans="1:27">
      <c r="A395">
        <f>COUNTIF($W$22:W395,1)</f>
        <v>0</v>
      </c>
      <c r="B395">
        <v>395</v>
      </c>
      <c r="C395" s="340">
        <f>Tabulka1[[#This Row],[KOD]]</f>
        <v>0</v>
      </c>
      <c r="W395" s="804" t="str">
        <f t="shared" si="11"/>
        <v/>
      </c>
      <c r="X395" t="str">
        <f t="shared" si="12"/>
        <v/>
      </c>
      <c r="Y395" s="341">
        <f>IF('General price list'!$AB397="",0,'General price list'!$AB397)</f>
        <v>0</v>
      </c>
      <c r="Z395" s="365" t="str">
        <f>IFERROR(X395*VLOOKUP(C395,'General price list'!C:I,7,FALSE),"")</f>
        <v/>
      </c>
      <c r="AA395" s="805" t="str">
        <f>IF(X395&lt;&gt;"",VLOOKUP(C395,'General price list'!C397:AN1370,MATCH("HM",Tabulka1[[#Headers],[KOD]:[NEQ]],0),FALSE),"")</f>
        <v/>
      </c>
    </row>
    <row r="396" spans="1:27">
      <c r="A396">
        <f>COUNTIF($W$22:W396,1)</f>
        <v>0</v>
      </c>
      <c r="B396">
        <v>396</v>
      </c>
      <c r="C396" s="340" t="str">
        <f>Tabulka1[[#This Row],[KOD]]</f>
        <v>C1620DU</v>
      </c>
      <c r="W396" s="804" t="str">
        <f t="shared" si="11"/>
        <v/>
      </c>
      <c r="X396" t="str">
        <f t="shared" si="12"/>
        <v/>
      </c>
      <c r="Y396" s="341">
        <f>IF('General price list'!$AB398="",0,'General price list'!$AB398)</f>
        <v>0</v>
      </c>
      <c r="Z396" s="365" t="str">
        <f>IFERROR(X396*VLOOKUP(C396,'General price list'!C:I,7,FALSE),"")</f>
        <v/>
      </c>
      <c r="AA396" s="805" t="str">
        <f>IF(X396&lt;&gt;"",VLOOKUP(C396,'General price list'!C398:AN1371,MATCH("HM",Tabulka1[[#Headers],[KOD]:[NEQ]],0),FALSE),"")</f>
        <v/>
      </c>
    </row>
    <row r="397" spans="1:27">
      <c r="A397">
        <f>COUNTIF($W$22:W397,1)</f>
        <v>0</v>
      </c>
      <c r="B397">
        <v>397</v>
      </c>
      <c r="C397" s="340" t="str">
        <f>Tabulka1[[#This Row],[KOD]]</f>
        <v>C1620DU(5)</v>
      </c>
      <c r="W397" s="804" t="str">
        <f t="shared" si="11"/>
        <v/>
      </c>
      <c r="X397" t="str">
        <f t="shared" si="12"/>
        <v/>
      </c>
      <c r="Y397" s="341">
        <f>IF('General price list'!$AB399="",0,'General price list'!$AB399)</f>
        <v>0</v>
      </c>
      <c r="Z397" s="365" t="str">
        <f>IFERROR(X397*VLOOKUP(C397,'General price list'!C:I,7,FALSE),"")</f>
        <v/>
      </c>
      <c r="AA397" s="805" t="str">
        <f>IF(X397&lt;&gt;"",VLOOKUP(C397,'General price list'!C399:AN1372,MATCH("HM",Tabulka1[[#Headers],[KOD]:[NEQ]],0),FALSE),"")</f>
        <v/>
      </c>
    </row>
    <row r="398" spans="1:27">
      <c r="A398">
        <f>COUNTIF($W$22:W398,1)</f>
        <v>0</v>
      </c>
      <c r="B398">
        <v>398</v>
      </c>
      <c r="C398" s="340" t="str">
        <f>Tabulka1[[#This Row],[KOD]]</f>
        <v>C1620BPF</v>
      </c>
      <c r="W398" s="804" t="str">
        <f t="shared" si="11"/>
        <v/>
      </c>
      <c r="X398" t="str">
        <f t="shared" si="12"/>
        <v/>
      </c>
      <c r="Y398" s="341">
        <f>IF('General price list'!$AB400="",0,'General price list'!$AB400)</f>
        <v>0</v>
      </c>
      <c r="Z398" s="365" t="str">
        <f>IFERROR(X398*VLOOKUP(C398,'General price list'!C:I,7,FALSE),"")</f>
        <v/>
      </c>
      <c r="AA398" s="805" t="str">
        <f>IF(X398&lt;&gt;"",VLOOKUP(C398,'General price list'!C400:AN1373,MATCH("HM",Tabulka1[[#Headers],[KOD]:[NEQ]],0),FALSE),"")</f>
        <v/>
      </c>
    </row>
    <row r="399" spans="1:27">
      <c r="A399">
        <f>COUNTIF($W$22:W399,1)</f>
        <v>0</v>
      </c>
      <c r="B399">
        <v>399</v>
      </c>
      <c r="C399" s="340" t="str">
        <f>Tabulka1[[#This Row],[KOD]]</f>
        <v>C1620H</v>
      </c>
      <c r="W399" s="804" t="str">
        <f t="shared" si="11"/>
        <v/>
      </c>
      <c r="X399" t="str">
        <f t="shared" si="12"/>
        <v/>
      </c>
      <c r="Y399" s="341">
        <f>IF('General price list'!$AB401="",0,'General price list'!$AB401)</f>
        <v>0</v>
      </c>
      <c r="Z399" s="365" t="str">
        <f>IFERROR(X399*VLOOKUP(C399,'General price list'!C:I,7,FALSE),"")</f>
        <v/>
      </c>
      <c r="AA399" s="805" t="str">
        <f>IF(X399&lt;&gt;"",VLOOKUP(C399,'General price list'!C401:AN1374,MATCH("HM",Tabulka1[[#Headers],[KOD]:[NEQ]],0),FALSE),"")</f>
        <v/>
      </c>
    </row>
    <row r="400" spans="1:27">
      <c r="A400">
        <f>COUNTIF($W$22:W400,1)</f>
        <v>0</v>
      </c>
      <c r="B400">
        <v>400</v>
      </c>
      <c r="C400" s="340" t="str">
        <f>Tabulka1[[#This Row],[KOD]]</f>
        <v>C1620N</v>
      </c>
      <c r="W400" s="804" t="str">
        <f t="shared" si="11"/>
        <v/>
      </c>
      <c r="X400" t="str">
        <f t="shared" si="12"/>
        <v/>
      </c>
      <c r="Y400" s="341">
        <f>IF('General price list'!$AB402="",0,'General price list'!$AB402)</f>
        <v>0</v>
      </c>
      <c r="Z400" s="365" t="str">
        <f>IFERROR(X400*VLOOKUP(C400,'General price list'!C:I,7,FALSE),"")</f>
        <v/>
      </c>
      <c r="AA400" s="805" t="str">
        <f>IF(X400&lt;&gt;"",VLOOKUP(C400,'General price list'!C402:AN1375,MATCH("HM",Tabulka1[[#Headers],[KOD]:[NEQ]],0),FALSE),"")</f>
        <v/>
      </c>
    </row>
    <row r="401" spans="1:27">
      <c r="A401">
        <f>COUNTIF($W$22:W401,1)</f>
        <v>0</v>
      </c>
      <c r="B401">
        <v>401</v>
      </c>
      <c r="C401" s="340" t="str">
        <f>Tabulka1[[#This Row],[KOD]]</f>
        <v>C1620F</v>
      </c>
      <c r="W401" s="804" t="str">
        <f t="shared" si="11"/>
        <v/>
      </c>
      <c r="X401" t="str">
        <f t="shared" si="12"/>
        <v/>
      </c>
      <c r="Y401" s="341">
        <f>IF('General price list'!$AB403="",0,'General price list'!$AB403)</f>
        <v>0</v>
      </c>
      <c r="Z401" s="365" t="str">
        <f>IFERROR(X401*VLOOKUP(C401,'General price list'!C:I,7,FALSE),"")</f>
        <v/>
      </c>
      <c r="AA401" s="805" t="str">
        <f>IF(X401&lt;&gt;"",VLOOKUP(C401,'General price list'!C403:AN1376,MATCH("HM",Tabulka1[[#Headers],[KOD]:[NEQ]],0),FALSE),"")</f>
        <v/>
      </c>
    </row>
    <row r="402" spans="1:27">
      <c r="A402">
        <f>COUNTIF($W$22:W402,1)</f>
        <v>0</v>
      </c>
      <c r="B402">
        <v>402</v>
      </c>
      <c r="C402" s="340">
        <f>Tabulka1[[#This Row],[KOD]]</f>
        <v>0</v>
      </c>
      <c r="W402" s="804" t="str">
        <f t="shared" si="11"/>
        <v/>
      </c>
      <c r="X402" t="str">
        <f t="shared" si="12"/>
        <v/>
      </c>
      <c r="Y402" s="341">
        <f>IF('General price list'!$AB404="",0,'General price list'!$AB404)</f>
        <v>0</v>
      </c>
      <c r="Z402" s="365" t="str">
        <f>IFERROR(X402*VLOOKUP(C402,'General price list'!C:I,7,FALSE),"")</f>
        <v/>
      </c>
      <c r="AA402" s="805" t="str">
        <f>IF(X402&lt;&gt;"",VLOOKUP(C402,'General price list'!C404:AN1377,MATCH("HM",Tabulka1[[#Headers],[KOD]:[NEQ]],0),FALSE),"")</f>
        <v/>
      </c>
    </row>
    <row r="403" spans="1:27">
      <c r="A403">
        <f>COUNTIF($W$22:W403,1)</f>
        <v>0</v>
      </c>
      <c r="B403">
        <v>403</v>
      </c>
      <c r="C403" s="340" t="str">
        <f>Tabulka1[[#This Row],[KOD]]</f>
        <v>C1620H14</v>
      </c>
      <c r="W403" s="804" t="str">
        <f t="shared" si="11"/>
        <v/>
      </c>
      <c r="X403" t="str">
        <f t="shared" si="12"/>
        <v/>
      </c>
      <c r="Y403" s="341">
        <f>IF('General price list'!$AB405="",0,'General price list'!$AB405)</f>
        <v>0</v>
      </c>
      <c r="Z403" s="365" t="str">
        <f>IFERROR(X403*VLOOKUP(C403,'General price list'!C:I,7,FALSE),"")</f>
        <v/>
      </c>
      <c r="AA403" s="805" t="str">
        <f>IF(X403&lt;&gt;"",VLOOKUP(C403,'General price list'!C405:AN1378,MATCH("HM",Tabulka1[[#Headers],[KOD]:[NEQ]],0),FALSE),"")</f>
        <v/>
      </c>
    </row>
    <row r="404" spans="1:27">
      <c r="A404">
        <f>COUNTIF($W$22:W404,1)</f>
        <v>0</v>
      </c>
      <c r="B404">
        <v>404</v>
      </c>
      <c r="C404" s="340" t="str">
        <f>Tabulka1[[#This Row],[KOD]]</f>
        <v>C1620F14</v>
      </c>
      <c r="W404" s="804" t="str">
        <f t="shared" si="11"/>
        <v/>
      </c>
      <c r="X404" t="str">
        <f t="shared" si="12"/>
        <v/>
      </c>
      <c r="Y404" s="341">
        <f>IF('General price list'!$AB406="",0,'General price list'!$AB406)</f>
        <v>0</v>
      </c>
      <c r="Z404" s="365" t="str">
        <f>IFERROR(X404*VLOOKUP(C404,'General price list'!C:I,7,FALSE),"")</f>
        <v/>
      </c>
      <c r="AA404" s="805" t="str">
        <f>IF(X404&lt;&gt;"",VLOOKUP(C404,'General price list'!C406:AN1379,MATCH("HM",Tabulka1[[#Headers],[KOD]:[NEQ]],0),FALSE),"")</f>
        <v/>
      </c>
    </row>
    <row r="405" spans="1:27">
      <c r="A405">
        <f>COUNTIF($W$22:W405,1)</f>
        <v>0</v>
      </c>
      <c r="B405">
        <v>405</v>
      </c>
      <c r="C405" s="340">
        <f>Tabulka1[[#This Row],[KOD]]</f>
        <v>0</v>
      </c>
      <c r="W405" s="804" t="str">
        <f t="shared" si="11"/>
        <v/>
      </c>
      <c r="X405" t="str">
        <f t="shared" si="12"/>
        <v/>
      </c>
      <c r="Y405" s="341">
        <f>IF('General price list'!$AB407="",0,'General price list'!$AB407)</f>
        <v>0</v>
      </c>
      <c r="Z405" s="365" t="str">
        <f>IFERROR(X405*VLOOKUP(C405,'General price list'!C:I,7,FALSE),"")</f>
        <v/>
      </c>
      <c r="AA405" s="805" t="str">
        <f>IF(X405&lt;&gt;"",VLOOKUP(C405,'General price list'!C407:AN1380,MATCH("HM",Tabulka1[[#Headers],[KOD]:[NEQ]],0),FALSE),"")</f>
        <v/>
      </c>
    </row>
    <row r="406" spans="1:27">
      <c r="A406">
        <f>COUNTIF($W$22:W406,1)</f>
        <v>0</v>
      </c>
      <c r="B406">
        <v>406</v>
      </c>
      <c r="C406" s="340" t="str">
        <f>Tabulka1[[#This Row],[KOD]]</f>
        <v>CX1620D</v>
      </c>
      <c r="W406" s="804" t="str">
        <f t="shared" si="11"/>
        <v/>
      </c>
      <c r="X406" t="str">
        <f t="shared" si="12"/>
        <v/>
      </c>
      <c r="Y406" s="341">
        <f>IF('General price list'!$AB408="",0,'General price list'!$AB408)</f>
        <v>0</v>
      </c>
      <c r="Z406" s="365" t="str">
        <f>IFERROR(X406*VLOOKUP(C406,'General price list'!C:I,7,FALSE),"")</f>
        <v/>
      </c>
      <c r="AA406" s="805" t="str">
        <f>IF(X406&lt;&gt;"",VLOOKUP(C406,'General price list'!C408:AN1381,MATCH("HM",Tabulka1[[#Headers],[KOD]:[NEQ]],0),FALSE),"")</f>
        <v/>
      </c>
    </row>
    <row r="407" spans="1:27">
      <c r="A407">
        <f>COUNTIF($W$22:W407,1)</f>
        <v>0</v>
      </c>
      <c r="B407">
        <v>407</v>
      </c>
      <c r="C407" s="340" t="str">
        <f>Tabulka1[[#This Row],[KOD]]</f>
        <v>CX1620X</v>
      </c>
      <c r="W407" s="804" t="str">
        <f t="shared" si="11"/>
        <v/>
      </c>
      <c r="X407" t="str">
        <f t="shared" si="12"/>
        <v/>
      </c>
      <c r="Y407" s="341">
        <f>IF('General price list'!$AB409="",0,'General price list'!$AB409)</f>
        <v>0</v>
      </c>
      <c r="Z407" s="365" t="str">
        <f>IFERROR(X407*VLOOKUP(C407,'General price list'!C:I,7,FALSE),"")</f>
        <v/>
      </c>
      <c r="AA407" s="805" t="str">
        <f>IF(X407&lt;&gt;"",VLOOKUP(C407,'General price list'!C409:AN1382,MATCH("HM",Tabulka1[[#Headers],[KOD]:[NEQ]],0),FALSE),"")</f>
        <v/>
      </c>
    </row>
    <row r="408" spans="1:27">
      <c r="A408">
        <f>COUNTIF($W$22:W408,1)</f>
        <v>0</v>
      </c>
      <c r="B408">
        <v>408</v>
      </c>
      <c r="C408" s="340">
        <f>Tabulka1[[#This Row],[KOD]]</f>
        <v>0</v>
      </c>
      <c r="W408" s="804" t="str">
        <f t="shared" ref="W408:W471" si="13">IF(Y408+1=1,"",1)</f>
        <v/>
      </c>
      <c r="X408" t="str">
        <f t="shared" ref="X408:X471" si="14">IF(OR(A408&lt;$F$20,A408&gt;$F$21),"",IF(Y408=0,"",Y408))</f>
        <v/>
      </c>
      <c r="Y408" s="341">
        <f>IF('General price list'!$AB410="",0,'General price list'!$AB410)</f>
        <v>0</v>
      </c>
      <c r="Z408" s="365" t="str">
        <f>IFERROR(X408*VLOOKUP(C408,'General price list'!C:I,7,FALSE),"")</f>
        <v/>
      </c>
      <c r="AA408" s="805" t="str">
        <f>IF(X408&lt;&gt;"",VLOOKUP(C408,'General price list'!C410:AN1383,MATCH("HM",Tabulka1[[#Headers],[KOD]:[NEQ]],0),FALSE),"")</f>
        <v/>
      </c>
    </row>
    <row r="409" spans="1:27">
      <c r="A409">
        <f>COUNTIF($W$22:W409,1)</f>
        <v>0</v>
      </c>
      <c r="B409">
        <v>409</v>
      </c>
      <c r="C409" s="340" t="str">
        <f>Tabulka1[[#This Row],[KOD]]</f>
        <v>C2520BP</v>
      </c>
      <c r="W409" s="804" t="str">
        <f t="shared" si="13"/>
        <v/>
      </c>
      <c r="X409" t="str">
        <f t="shared" si="14"/>
        <v/>
      </c>
      <c r="Y409" s="341">
        <f>IF('General price list'!$AB411="",0,'General price list'!$AB411)</f>
        <v>0</v>
      </c>
      <c r="Z409" s="365" t="str">
        <f>IFERROR(X409*VLOOKUP(C409,'General price list'!C:I,7,FALSE),"")</f>
        <v/>
      </c>
      <c r="AA409" s="805" t="str">
        <f>IF(X409&lt;&gt;"",VLOOKUP(C409,'General price list'!C411:AN1384,MATCH("HM",Tabulka1[[#Headers],[KOD]:[NEQ]],0),FALSE),"")</f>
        <v/>
      </c>
    </row>
    <row r="410" spans="1:27">
      <c r="A410">
        <f>COUNTIF($W$22:W410,1)</f>
        <v>0</v>
      </c>
      <c r="B410">
        <v>410</v>
      </c>
      <c r="C410" s="340" t="str">
        <f>Tabulka1[[#This Row],[KOD]]</f>
        <v>C2520SIG</v>
      </c>
      <c r="W410" s="804" t="str">
        <f t="shared" si="13"/>
        <v/>
      </c>
      <c r="X410" t="str">
        <f t="shared" si="14"/>
        <v/>
      </c>
      <c r="Y410" s="341">
        <f>IF('General price list'!$AB412="",0,'General price list'!$AB412)</f>
        <v>0</v>
      </c>
      <c r="Z410" s="365" t="str">
        <f>IFERROR(X410*VLOOKUP(C410,'General price list'!C:I,7,FALSE),"")</f>
        <v/>
      </c>
      <c r="AA410" s="805" t="str">
        <f>IF(X410&lt;&gt;"",VLOOKUP(C410,'General price list'!C412:AN1385,MATCH("HM",Tabulka1[[#Headers],[KOD]:[NEQ]],0),FALSE),"")</f>
        <v/>
      </c>
    </row>
    <row r="411" spans="1:27">
      <c r="A411">
        <f>COUNTIF($W$22:W411,1)</f>
        <v>0</v>
      </c>
      <c r="B411">
        <v>411</v>
      </c>
      <c r="C411" s="340" t="str">
        <f>Tabulka1[[#This Row],[KOD]]</f>
        <v>C2520Z</v>
      </c>
      <c r="W411" s="804" t="str">
        <f t="shared" si="13"/>
        <v/>
      </c>
      <c r="X411" t="str">
        <f t="shared" si="14"/>
        <v/>
      </c>
      <c r="Y411" s="341">
        <f>IF('General price list'!$AB413="",0,'General price list'!$AB413)</f>
        <v>0</v>
      </c>
      <c r="Z411" s="365" t="str">
        <f>IFERROR(X411*VLOOKUP(C411,'General price list'!C:I,7,FALSE),"")</f>
        <v/>
      </c>
      <c r="AA411" s="805" t="str">
        <f>IF(X411&lt;&gt;"",VLOOKUP(C411,'General price list'!C413:AN1386,MATCH("HM",Tabulka1[[#Headers],[KOD]:[NEQ]],0),FALSE),"")</f>
        <v/>
      </c>
    </row>
    <row r="412" spans="1:27">
      <c r="A412">
        <f>COUNTIF($W$22:W412,1)</f>
        <v>0</v>
      </c>
      <c r="B412">
        <v>412</v>
      </c>
      <c r="C412" s="340" t="str">
        <f>Tabulka1[[#This Row],[KOD]]</f>
        <v>C2520DI</v>
      </c>
      <c r="W412" s="804" t="str">
        <f t="shared" si="13"/>
        <v/>
      </c>
      <c r="X412" t="str">
        <f t="shared" si="14"/>
        <v/>
      </c>
      <c r="Y412" s="341">
        <f>IF('General price list'!$AB414="",0,'General price list'!$AB414)</f>
        <v>0</v>
      </c>
      <c r="Z412" s="365" t="str">
        <f>IFERROR(X412*VLOOKUP(C412,'General price list'!C:I,7,FALSE),"")</f>
        <v/>
      </c>
      <c r="AA412" s="805" t="str">
        <f>IF(X412&lt;&gt;"",VLOOKUP(C412,'General price list'!C414:AN1387,MATCH("HM",Tabulka1[[#Headers],[KOD]:[NEQ]],0),FALSE),"")</f>
        <v/>
      </c>
    </row>
    <row r="413" spans="1:27">
      <c r="A413">
        <f>COUNTIF($W$22:W413,1)</f>
        <v>0</v>
      </c>
      <c r="B413">
        <v>413</v>
      </c>
      <c r="C413" s="340" t="str">
        <f>Tabulka1[[#This Row],[KOD]]</f>
        <v>C2520T</v>
      </c>
      <c r="W413" s="804" t="str">
        <f t="shared" si="13"/>
        <v/>
      </c>
      <c r="X413" t="str">
        <f t="shared" si="14"/>
        <v/>
      </c>
      <c r="Y413" s="341">
        <f>IF('General price list'!$AB415="",0,'General price list'!$AB415)</f>
        <v>0</v>
      </c>
      <c r="Z413" s="365" t="str">
        <f>IFERROR(X413*VLOOKUP(C413,'General price list'!C:I,7,FALSE),"")</f>
        <v/>
      </c>
      <c r="AA413" s="805" t="str">
        <f>IF(X413&lt;&gt;"",VLOOKUP(C413,'General price list'!C415:AN1388,MATCH("HM",Tabulka1[[#Headers],[KOD]:[NEQ]],0),FALSE),"")</f>
        <v/>
      </c>
    </row>
    <row r="414" spans="1:27">
      <c r="A414">
        <f>COUNTIF($W$22:W414,1)</f>
        <v>0</v>
      </c>
      <c r="B414">
        <v>414</v>
      </c>
      <c r="C414" s="340" t="str">
        <f>Tabulka1[[#This Row],[KOD]]</f>
        <v>C2520SE</v>
      </c>
      <c r="W414" s="804" t="str">
        <f t="shared" si="13"/>
        <v/>
      </c>
      <c r="X414" t="str">
        <f t="shared" si="14"/>
        <v/>
      </c>
      <c r="Y414" s="341">
        <f>IF('General price list'!$AB416="",0,'General price list'!$AB416)</f>
        <v>0</v>
      </c>
      <c r="Z414" s="365" t="str">
        <f>IFERROR(X414*VLOOKUP(C414,'General price list'!C:I,7,FALSE),"")</f>
        <v/>
      </c>
      <c r="AA414" s="805" t="str">
        <f>IF(X414&lt;&gt;"",VLOOKUP(C414,'General price list'!C416:AN1389,MATCH("HM",Tabulka1[[#Headers],[KOD]:[NEQ]],0),FALSE),"")</f>
        <v/>
      </c>
    </row>
    <row r="415" spans="1:27">
      <c r="A415">
        <f>COUNTIF($W$22:W415,1)</f>
        <v>0</v>
      </c>
      <c r="B415">
        <v>415</v>
      </c>
      <c r="C415" s="340" t="str">
        <f>Tabulka1[[#This Row],[KOD]]</f>
        <v>C2520ST</v>
      </c>
      <c r="W415" s="804" t="str">
        <f t="shared" si="13"/>
        <v/>
      </c>
      <c r="X415" t="str">
        <f t="shared" si="14"/>
        <v/>
      </c>
      <c r="Y415" s="341">
        <f>IF('General price list'!$AB417="",0,'General price list'!$AB417)</f>
        <v>0</v>
      </c>
      <c r="Z415" s="365" t="str">
        <f>IFERROR(X415*VLOOKUP(C415,'General price list'!C:I,7,FALSE),"")</f>
        <v/>
      </c>
      <c r="AA415" s="805" t="str">
        <f>IF(X415&lt;&gt;"",VLOOKUP(C415,'General price list'!C417:AN1390,MATCH("HM",Tabulka1[[#Headers],[KOD]:[NEQ]],0),FALSE),"")</f>
        <v/>
      </c>
    </row>
    <row r="416" spans="1:27">
      <c r="A416">
        <f>COUNTIF($W$22:W416,1)</f>
        <v>0</v>
      </c>
      <c r="B416">
        <v>416</v>
      </c>
      <c r="C416" s="340" t="str">
        <f>Tabulka1[[#This Row],[KOD]]</f>
        <v>C2520SL</v>
      </c>
      <c r="W416" s="804" t="str">
        <f t="shared" si="13"/>
        <v/>
      </c>
      <c r="X416" t="str">
        <f t="shared" si="14"/>
        <v/>
      </c>
      <c r="Y416" s="341">
        <f>IF('General price list'!$AB418="",0,'General price list'!$AB418)</f>
        <v>0</v>
      </c>
      <c r="Z416" s="365" t="str">
        <f>IFERROR(X416*VLOOKUP(C416,'General price list'!C:I,7,FALSE),"")</f>
        <v/>
      </c>
      <c r="AA416" s="805" t="str">
        <f>IF(X416&lt;&gt;"",VLOOKUP(C416,'General price list'!C418:AN1391,MATCH("HM",Tabulka1[[#Headers],[KOD]:[NEQ]],0),FALSE),"")</f>
        <v/>
      </c>
    </row>
    <row r="417" spans="1:27">
      <c r="A417">
        <f>COUNTIF($W$22:W417,1)</f>
        <v>0</v>
      </c>
      <c r="B417">
        <v>417</v>
      </c>
      <c r="C417" s="340" t="str">
        <f>Tabulka1[[#This Row],[KOD]]</f>
        <v>C2520R</v>
      </c>
      <c r="W417" s="804" t="str">
        <f t="shared" si="13"/>
        <v/>
      </c>
      <c r="X417" t="str">
        <f t="shared" si="14"/>
        <v/>
      </c>
      <c r="Y417" s="341">
        <f>IF('General price list'!$AB419="",0,'General price list'!$AB419)</f>
        <v>0</v>
      </c>
      <c r="Z417" s="365" t="str">
        <f>IFERROR(X417*VLOOKUP(C417,'General price list'!C:I,7,FALSE),"")</f>
        <v/>
      </c>
      <c r="AA417" s="805" t="str">
        <f>IF(X417&lt;&gt;"",VLOOKUP(C417,'General price list'!C419:AN1392,MATCH("HM",Tabulka1[[#Headers],[KOD]:[NEQ]],0),FALSE),"")</f>
        <v/>
      </c>
    </row>
    <row r="418" spans="1:27">
      <c r="A418">
        <f>COUNTIF($W$22:W418,1)</f>
        <v>0</v>
      </c>
      <c r="B418">
        <v>418</v>
      </c>
      <c r="C418" s="340" t="str">
        <f>Tabulka1[[#This Row],[KOD]]</f>
        <v>C2520VI</v>
      </c>
      <c r="W418" s="804" t="str">
        <f t="shared" si="13"/>
        <v/>
      </c>
      <c r="X418" t="str">
        <f t="shared" si="14"/>
        <v/>
      </c>
      <c r="Y418" s="341">
        <f>IF('General price list'!$AB420="",0,'General price list'!$AB420)</f>
        <v>0</v>
      </c>
      <c r="Z418" s="365" t="str">
        <f>IFERROR(X418*VLOOKUP(C418,'General price list'!C:I,7,FALSE),"")</f>
        <v/>
      </c>
      <c r="AA418" s="805" t="str">
        <f>IF(X418&lt;&gt;"",VLOOKUP(C418,'General price list'!C420:AN1393,MATCH("HM",Tabulka1[[#Headers],[KOD]:[NEQ]],0),FALSE),"")</f>
        <v/>
      </c>
    </row>
    <row r="419" spans="1:27">
      <c r="A419">
        <f>COUNTIF($W$22:W419,1)</f>
        <v>0</v>
      </c>
      <c r="B419">
        <v>419</v>
      </c>
      <c r="C419" s="340">
        <f>Tabulka1[[#This Row],[KOD]]</f>
        <v>0</v>
      </c>
      <c r="W419" s="804" t="str">
        <f t="shared" si="13"/>
        <v/>
      </c>
      <c r="X419" t="str">
        <f t="shared" si="14"/>
        <v/>
      </c>
      <c r="Y419" s="341">
        <f>IF('General price list'!$AB421="",0,'General price list'!$AB421)</f>
        <v>0</v>
      </c>
      <c r="Z419" s="365" t="str">
        <f>IFERROR(X419*VLOOKUP(C419,'General price list'!C:I,7,FALSE),"")</f>
        <v/>
      </c>
      <c r="AA419" s="805" t="str">
        <f>IF(X419&lt;&gt;"",VLOOKUP(C419,'General price list'!C421:AN1394,MATCH("HM",Tabulka1[[#Headers],[KOD]:[NEQ]],0),FALSE),"")</f>
        <v/>
      </c>
    </row>
    <row r="420" spans="1:27">
      <c r="A420">
        <f>COUNTIF($W$22:W420,1)</f>
        <v>0</v>
      </c>
      <c r="B420">
        <v>420</v>
      </c>
      <c r="C420" s="340" t="str">
        <f>Tabulka1[[#This Row],[KOD]]</f>
        <v>C2520DI14</v>
      </c>
      <c r="W420" s="804" t="str">
        <f t="shared" si="13"/>
        <v/>
      </c>
      <c r="X420" t="str">
        <f t="shared" si="14"/>
        <v/>
      </c>
      <c r="Y420" s="341">
        <f>IF('General price list'!$AB422="",0,'General price list'!$AB422)</f>
        <v>0</v>
      </c>
      <c r="Z420" s="365" t="str">
        <f>IFERROR(X420*VLOOKUP(C420,'General price list'!C:I,7,FALSE),"")</f>
        <v/>
      </c>
      <c r="AA420" s="805" t="str">
        <f>IF(X420&lt;&gt;"",VLOOKUP(C420,'General price list'!C422:AN1395,MATCH("HM",Tabulka1[[#Headers],[KOD]:[NEQ]],0),FALSE),"")</f>
        <v/>
      </c>
    </row>
    <row r="421" spans="1:27">
      <c r="A421">
        <f>COUNTIF($W$22:W421,1)</f>
        <v>0</v>
      </c>
      <c r="B421">
        <v>421</v>
      </c>
      <c r="C421" s="340" t="str">
        <f>Tabulka1[[#This Row],[KOD]]</f>
        <v>C2520T14</v>
      </c>
      <c r="W421" s="804" t="str">
        <f t="shared" si="13"/>
        <v/>
      </c>
      <c r="X421" t="str">
        <f t="shared" si="14"/>
        <v/>
      </c>
      <c r="Y421" s="341">
        <f>IF('General price list'!$AB423="",0,'General price list'!$AB423)</f>
        <v>0</v>
      </c>
      <c r="Z421" s="365" t="str">
        <f>IFERROR(X421*VLOOKUP(C421,'General price list'!C:I,7,FALSE),"")</f>
        <v/>
      </c>
      <c r="AA421" s="805" t="str">
        <f>IF(X421&lt;&gt;"",VLOOKUP(C421,'General price list'!C423:AN1396,MATCH("HM",Tabulka1[[#Headers],[KOD]:[NEQ]],0),FALSE),"")</f>
        <v/>
      </c>
    </row>
    <row r="422" spans="1:27">
      <c r="A422">
        <f>COUNTIF($W$22:W422,1)</f>
        <v>0</v>
      </c>
      <c r="B422">
        <v>422</v>
      </c>
      <c r="C422" s="340" t="str">
        <f>Tabulka1[[#This Row],[KOD]]</f>
        <v>C2520SE14</v>
      </c>
      <c r="W422" s="804" t="str">
        <f t="shared" si="13"/>
        <v/>
      </c>
      <c r="X422" t="str">
        <f t="shared" si="14"/>
        <v/>
      </c>
      <c r="Y422" s="341">
        <f>IF('General price list'!$AB424="",0,'General price list'!$AB424)</f>
        <v>0</v>
      </c>
      <c r="Z422" s="365" t="str">
        <f>IFERROR(X422*VLOOKUP(C422,'General price list'!C:I,7,FALSE),"")</f>
        <v/>
      </c>
      <c r="AA422" s="805" t="str">
        <f>IF(X422&lt;&gt;"",VLOOKUP(C422,'General price list'!C424:AN1397,MATCH("HM",Tabulka1[[#Headers],[KOD]:[NEQ]],0),FALSE),"")</f>
        <v/>
      </c>
    </row>
    <row r="423" spans="1:27">
      <c r="A423">
        <f>COUNTIF($W$22:W423,1)</f>
        <v>0</v>
      </c>
      <c r="B423">
        <v>423</v>
      </c>
      <c r="C423" s="340">
        <f>Tabulka1[[#This Row],[KOD]]</f>
        <v>0</v>
      </c>
      <c r="W423" s="804" t="str">
        <f t="shared" si="13"/>
        <v/>
      </c>
      <c r="X423" t="str">
        <f t="shared" si="14"/>
        <v/>
      </c>
      <c r="Y423" s="341">
        <f>IF('General price list'!$AB425="",0,'General price list'!$AB425)</f>
        <v>0</v>
      </c>
      <c r="Z423" s="365" t="str">
        <f>IFERROR(X423*VLOOKUP(C423,'General price list'!C:I,7,FALSE),"")</f>
        <v/>
      </c>
      <c r="AA423" s="805" t="str">
        <f>IF(X423&lt;&gt;"",VLOOKUP(C423,'General price list'!C425:AN1398,MATCH("HM",Tabulka1[[#Headers],[KOD]:[NEQ]],0),FALSE),"")</f>
        <v/>
      </c>
    </row>
    <row r="424" spans="1:27">
      <c r="A424">
        <f>COUNTIF($W$22:W424,1)</f>
        <v>0</v>
      </c>
      <c r="B424">
        <v>424</v>
      </c>
      <c r="C424" s="340" t="str">
        <f>Tabulka1[[#This Row],[KOD]]</f>
        <v>C3620V</v>
      </c>
      <c r="W424" s="804" t="str">
        <f t="shared" si="13"/>
        <v/>
      </c>
      <c r="X424" t="str">
        <f t="shared" si="14"/>
        <v/>
      </c>
      <c r="Y424" s="341">
        <f>IF('General price list'!$AB426="",0,'General price list'!$AB426)</f>
        <v>0</v>
      </c>
      <c r="Z424" s="365" t="str">
        <f>IFERROR(X424*VLOOKUP(C424,'General price list'!C:I,7,FALSE),"")</f>
        <v/>
      </c>
      <c r="AA424" s="805" t="str">
        <f>IF(X424&lt;&gt;"",VLOOKUP(C424,'General price list'!C426:AN1399,MATCH("HM",Tabulka1[[#Headers],[KOD]:[NEQ]],0),FALSE),"")</f>
        <v/>
      </c>
    </row>
    <row r="425" spans="1:27">
      <c r="A425">
        <f>COUNTIF($W$22:W425,1)</f>
        <v>0</v>
      </c>
      <c r="B425">
        <v>425</v>
      </c>
      <c r="C425" s="340">
        <f>Tabulka1[[#This Row],[KOD]]</f>
        <v>0</v>
      </c>
      <c r="W425" s="804" t="str">
        <f t="shared" si="13"/>
        <v/>
      </c>
      <c r="X425" t="str">
        <f t="shared" si="14"/>
        <v/>
      </c>
      <c r="Y425" s="341">
        <f>IF('General price list'!$AB427="",0,'General price list'!$AB427)</f>
        <v>0</v>
      </c>
      <c r="Z425" s="365" t="str">
        <f>IFERROR(X425*VLOOKUP(C425,'General price list'!C:I,7,FALSE),"")</f>
        <v/>
      </c>
      <c r="AA425" s="805" t="str">
        <f>IF(X425&lt;&gt;"",VLOOKUP(C425,'General price list'!C427:AN1400,MATCH("HM",Tabulka1[[#Headers],[KOD]:[NEQ]],0),FALSE),"")</f>
        <v/>
      </c>
    </row>
    <row r="426" spans="1:27">
      <c r="A426">
        <f>COUNTIF($W$22:W426,1)</f>
        <v>0</v>
      </c>
      <c r="B426">
        <v>426</v>
      </c>
      <c r="C426" s="340" t="str">
        <f>Tabulka1[[#This Row],[KOD]]</f>
        <v>C3620N14</v>
      </c>
      <c r="W426" s="804" t="str">
        <f t="shared" si="13"/>
        <v/>
      </c>
      <c r="X426" t="str">
        <f t="shared" si="14"/>
        <v/>
      </c>
      <c r="Y426" s="341">
        <f>IF('General price list'!$AB428="",0,'General price list'!$AB428)</f>
        <v>0</v>
      </c>
      <c r="Z426" s="365" t="str">
        <f>IFERROR(X426*VLOOKUP(C426,'General price list'!C:I,7,FALSE),"")</f>
        <v/>
      </c>
      <c r="AA426" s="805" t="str">
        <f>IF(X426&lt;&gt;"",VLOOKUP(C426,'General price list'!C428:AN1401,MATCH("HM",Tabulka1[[#Headers],[KOD]:[NEQ]],0),FALSE),"")</f>
        <v/>
      </c>
    </row>
    <row r="427" spans="1:27">
      <c r="A427">
        <f>COUNTIF($W$22:W427,1)</f>
        <v>0</v>
      </c>
      <c r="B427">
        <v>427</v>
      </c>
      <c r="C427" s="340" t="str">
        <f>Tabulka1[[#This Row],[KOD]]</f>
        <v>C3620NO14</v>
      </c>
      <c r="W427" s="804" t="str">
        <f t="shared" si="13"/>
        <v/>
      </c>
      <c r="X427" t="str">
        <f t="shared" si="14"/>
        <v/>
      </c>
      <c r="Y427" s="341">
        <f>IF('General price list'!$AB429="",0,'General price list'!$AB429)</f>
        <v>0</v>
      </c>
      <c r="Z427" s="365" t="str">
        <f>IFERROR(X427*VLOOKUP(C427,'General price list'!C:I,7,FALSE),"")</f>
        <v/>
      </c>
      <c r="AA427" s="805" t="str">
        <f>IF(X427&lt;&gt;"",VLOOKUP(C427,'General price list'!C429:AN1402,MATCH("HM",Tabulka1[[#Headers],[KOD]:[NEQ]],0),FALSE),"")</f>
        <v/>
      </c>
    </row>
    <row r="428" spans="1:27">
      <c r="A428">
        <f>COUNTIF($W$22:W428,1)</f>
        <v>0</v>
      </c>
      <c r="B428">
        <v>428</v>
      </c>
      <c r="C428" s="340">
        <f>Tabulka1[[#This Row],[KOD]]</f>
        <v>0</v>
      </c>
      <c r="W428" s="804" t="str">
        <f t="shared" si="13"/>
        <v/>
      </c>
      <c r="X428" t="str">
        <f t="shared" si="14"/>
        <v/>
      </c>
      <c r="Y428" s="341">
        <f>IF('General price list'!$AB430="",0,'General price list'!$AB430)</f>
        <v>0</v>
      </c>
      <c r="Z428" s="365" t="str">
        <f>IFERROR(X428*VLOOKUP(C428,'General price list'!C:I,7,FALSE),"")</f>
        <v/>
      </c>
      <c r="AA428" s="805" t="str">
        <f>IF(X428&lt;&gt;"",VLOOKUP(C428,'General price list'!C430:AN1403,MATCH("HM",Tabulka1[[#Headers],[KOD]:[NEQ]],0),FALSE),"")</f>
        <v/>
      </c>
    </row>
    <row r="429" spans="1:27">
      <c r="A429">
        <f>COUNTIF($W$22:W429,1)</f>
        <v>0</v>
      </c>
      <c r="B429">
        <v>429</v>
      </c>
      <c r="C429" s="340" t="str">
        <f>Tabulka1[[#This Row],[KOD]]</f>
        <v>C4920BPF</v>
      </c>
      <c r="W429" s="804" t="str">
        <f t="shared" si="13"/>
        <v/>
      </c>
      <c r="X429" t="str">
        <f t="shared" si="14"/>
        <v/>
      </c>
      <c r="Y429" s="341">
        <f>IF('General price list'!$AB431="",0,'General price list'!$AB431)</f>
        <v>0</v>
      </c>
      <c r="Z429" s="365" t="str">
        <f>IFERROR(X429*VLOOKUP(C429,'General price list'!C:I,7,FALSE),"")</f>
        <v/>
      </c>
      <c r="AA429" s="805" t="str">
        <f>IF(X429&lt;&gt;"",VLOOKUP(C429,'General price list'!C431:AN1404,MATCH("HM",Tabulka1[[#Headers],[KOD]:[NEQ]],0),FALSE),"")</f>
        <v/>
      </c>
    </row>
    <row r="430" spans="1:27">
      <c r="A430">
        <f>COUNTIF($W$22:W430,1)</f>
        <v>0</v>
      </c>
      <c r="B430">
        <v>430</v>
      </c>
      <c r="C430" s="340" t="str">
        <f>Tabulka1[[#This Row],[KOD]]</f>
        <v>C4920SIG</v>
      </c>
      <c r="W430" s="804" t="str">
        <f t="shared" si="13"/>
        <v/>
      </c>
      <c r="X430" t="str">
        <f t="shared" si="14"/>
        <v/>
      </c>
      <c r="Y430" s="341">
        <f>IF('General price list'!$AB432="",0,'General price list'!$AB432)</f>
        <v>0</v>
      </c>
      <c r="Z430" s="365" t="str">
        <f>IFERROR(X430*VLOOKUP(C430,'General price list'!C:I,7,FALSE),"")</f>
        <v/>
      </c>
      <c r="AA430" s="805" t="str">
        <f>IF(X430&lt;&gt;"",VLOOKUP(C430,'General price list'!C432:AN1405,MATCH("HM",Tabulka1[[#Headers],[KOD]:[NEQ]],0),FALSE),"")</f>
        <v/>
      </c>
    </row>
    <row r="431" spans="1:27">
      <c r="A431">
        <f>COUNTIF($W$22:W431,1)</f>
        <v>0</v>
      </c>
      <c r="B431">
        <v>431</v>
      </c>
      <c r="C431" s="340" t="str">
        <f>Tabulka1[[#This Row],[KOD]]</f>
        <v>C4920DR</v>
      </c>
      <c r="W431" s="804" t="str">
        <f t="shared" si="13"/>
        <v/>
      </c>
      <c r="X431" t="str">
        <f t="shared" si="14"/>
        <v/>
      </c>
      <c r="Y431" s="341">
        <f>IF('General price list'!$AB433="",0,'General price list'!$AB433)</f>
        <v>0</v>
      </c>
      <c r="Z431" s="365" t="str">
        <f>IFERROR(X431*VLOOKUP(C431,'General price list'!C:I,7,FALSE),"")</f>
        <v/>
      </c>
      <c r="AA431" s="805" t="str">
        <f>IF(X431&lt;&gt;"",VLOOKUP(C431,'General price list'!C433:AN1406,MATCH("HM",Tabulka1[[#Headers],[KOD]:[NEQ]],0),FALSE),"")</f>
        <v/>
      </c>
    </row>
    <row r="432" spans="1:27">
      <c r="A432">
        <f>COUNTIF($W$22:W432,1)</f>
        <v>0</v>
      </c>
      <c r="B432">
        <v>432</v>
      </c>
      <c r="C432" s="340" t="str">
        <f>Tabulka1[[#This Row],[KOD]]</f>
        <v>C4920K</v>
      </c>
      <c r="W432" s="804" t="str">
        <f t="shared" si="13"/>
        <v/>
      </c>
      <c r="X432" t="str">
        <f t="shared" si="14"/>
        <v/>
      </c>
      <c r="Y432" s="341">
        <f>IF('General price list'!$AB434="",0,'General price list'!$AB434)</f>
        <v>0</v>
      </c>
      <c r="Z432" s="365" t="str">
        <f>IFERROR(X432*VLOOKUP(C432,'General price list'!C:I,7,FALSE),"")</f>
        <v/>
      </c>
      <c r="AA432" s="805" t="str">
        <f>IF(X432&lt;&gt;"",VLOOKUP(C432,'General price list'!C434:AN1407,MATCH("HM",Tabulka1[[#Headers],[KOD]:[NEQ]],0),FALSE),"")</f>
        <v/>
      </c>
    </row>
    <row r="433" spans="1:27">
      <c r="A433">
        <f>COUNTIF($W$22:W433,1)</f>
        <v>0</v>
      </c>
      <c r="B433">
        <v>433</v>
      </c>
      <c r="C433" s="340" t="str">
        <f>Tabulka1[[#This Row],[KOD]]</f>
        <v>C4920S</v>
      </c>
      <c r="W433" s="804" t="str">
        <f t="shared" si="13"/>
        <v/>
      </c>
      <c r="X433" t="str">
        <f t="shared" si="14"/>
        <v/>
      </c>
      <c r="Y433" s="341">
        <f>IF('General price list'!$AB435="",0,'General price list'!$AB435)</f>
        <v>0</v>
      </c>
      <c r="Z433" s="365" t="str">
        <f>IFERROR(X433*VLOOKUP(C433,'General price list'!C:I,7,FALSE),"")</f>
        <v/>
      </c>
      <c r="AA433" s="805" t="str">
        <f>IF(X433&lt;&gt;"",VLOOKUP(C433,'General price list'!C435:AN1408,MATCH("HM",Tabulka1[[#Headers],[KOD]:[NEQ]],0),FALSE),"")</f>
        <v/>
      </c>
    </row>
    <row r="434" spans="1:27">
      <c r="A434">
        <f>COUNTIF($W$22:W434,1)</f>
        <v>0</v>
      </c>
      <c r="B434">
        <v>434</v>
      </c>
      <c r="C434" s="340">
        <f>Tabulka1[[#This Row],[KOD]]</f>
        <v>0</v>
      </c>
      <c r="W434" s="804" t="str">
        <f t="shared" si="13"/>
        <v/>
      </c>
      <c r="X434" t="str">
        <f t="shared" si="14"/>
        <v/>
      </c>
      <c r="Y434" s="341">
        <f>IF('General price list'!$AB436="",0,'General price list'!$AB436)</f>
        <v>0</v>
      </c>
      <c r="Z434" s="365" t="str">
        <f>IFERROR(X434*VLOOKUP(C434,'General price list'!C:I,7,FALSE),"")</f>
        <v/>
      </c>
      <c r="AA434" s="805" t="str">
        <f>IF(X434&lt;&gt;"",VLOOKUP(C434,'General price list'!C436:AN1409,MATCH("HM",Tabulka1[[#Headers],[KOD]:[NEQ]],0),FALSE),"")</f>
        <v/>
      </c>
    </row>
    <row r="435" spans="1:27">
      <c r="A435">
        <f>COUNTIF($W$22:W435,1)</f>
        <v>0</v>
      </c>
      <c r="B435">
        <v>435</v>
      </c>
      <c r="C435" s="340" t="str">
        <f>Tabulka1[[#This Row],[KOD]]</f>
        <v>C4920DR14</v>
      </c>
      <c r="W435" s="804" t="str">
        <f t="shared" si="13"/>
        <v/>
      </c>
      <c r="X435" t="str">
        <f t="shared" si="14"/>
        <v/>
      </c>
      <c r="Y435" s="341">
        <f>IF('General price list'!$AB437="",0,'General price list'!$AB437)</f>
        <v>0</v>
      </c>
      <c r="Z435" s="365" t="str">
        <f>IFERROR(X435*VLOOKUP(C435,'General price list'!C:I,7,FALSE),"")</f>
        <v/>
      </c>
      <c r="AA435" s="805" t="str">
        <f>IF(X435&lt;&gt;"",VLOOKUP(C435,'General price list'!C437:AN1410,MATCH("HM",Tabulka1[[#Headers],[KOD]:[NEQ]],0),FALSE),"")</f>
        <v/>
      </c>
    </row>
    <row r="436" spans="1:27">
      <c r="A436">
        <f>COUNTIF($W$22:W436,1)</f>
        <v>0</v>
      </c>
      <c r="B436">
        <v>436</v>
      </c>
      <c r="C436" s="340" t="str">
        <f>Tabulka1[[#This Row],[KOD]]</f>
        <v>C4920S14</v>
      </c>
      <c r="W436" s="804" t="str">
        <f t="shared" si="13"/>
        <v/>
      </c>
      <c r="X436" t="str">
        <f t="shared" si="14"/>
        <v/>
      </c>
      <c r="Y436" s="341">
        <f>IF('General price list'!$AB438="",0,'General price list'!$AB438)</f>
        <v>0</v>
      </c>
      <c r="Z436" s="365" t="str">
        <f>IFERROR(X436*VLOOKUP(C436,'General price list'!C:I,7,FALSE),"")</f>
        <v/>
      </c>
      <c r="AA436" s="805" t="str">
        <f>IF(X436&lt;&gt;"",VLOOKUP(C436,'General price list'!C438:AN1411,MATCH("HM",Tabulka1[[#Headers],[KOD]:[NEQ]],0),FALSE),"")</f>
        <v/>
      </c>
    </row>
    <row r="437" spans="1:27">
      <c r="A437">
        <f>COUNTIF($W$22:W437,1)</f>
        <v>0</v>
      </c>
      <c r="B437">
        <v>437</v>
      </c>
      <c r="C437" s="340">
        <f>Tabulka1[[#This Row],[KOD]]</f>
        <v>0</v>
      </c>
      <c r="W437" s="804" t="str">
        <f t="shared" si="13"/>
        <v/>
      </c>
      <c r="X437" t="str">
        <f t="shared" si="14"/>
        <v/>
      </c>
      <c r="Y437" s="341">
        <f>IF('General price list'!$AB439="",0,'General price list'!$AB439)</f>
        <v>0</v>
      </c>
      <c r="Z437" s="365" t="str">
        <f>IFERROR(X437*VLOOKUP(C437,'General price list'!C:I,7,FALSE),"")</f>
        <v/>
      </c>
      <c r="AA437" s="805" t="str">
        <f>IF(X437&lt;&gt;"",VLOOKUP(C437,'General price list'!C439:AN1412,MATCH("HM",Tabulka1[[#Headers],[KOD]:[NEQ]],0),FALSE),"")</f>
        <v/>
      </c>
    </row>
    <row r="438" spans="1:27">
      <c r="A438">
        <f>COUNTIF($W$22:W438,1)</f>
        <v>0</v>
      </c>
      <c r="B438">
        <v>438</v>
      </c>
      <c r="C438" s="340" t="str">
        <f>Tabulka1[[#This Row],[KOD]]</f>
        <v>CF4920G</v>
      </c>
      <c r="W438" s="804" t="str">
        <f t="shared" si="13"/>
        <v/>
      </c>
      <c r="X438" t="str">
        <f t="shared" si="14"/>
        <v/>
      </c>
      <c r="Y438" s="341">
        <f>IF('General price list'!$AB440="",0,'General price list'!$AB440)</f>
        <v>0</v>
      </c>
      <c r="Z438" s="365" t="str">
        <f>IFERROR(X438*VLOOKUP(C438,'General price list'!C:I,7,FALSE),"")</f>
        <v/>
      </c>
      <c r="AA438" s="805" t="str">
        <f>IF(X438&lt;&gt;"",VLOOKUP(C438,'General price list'!C440:AN1413,MATCH("HM",Tabulka1[[#Headers],[KOD]:[NEQ]],0),FALSE),"")</f>
        <v/>
      </c>
    </row>
    <row r="439" spans="1:27">
      <c r="A439">
        <f>COUNTIF($W$22:W439,1)</f>
        <v>0</v>
      </c>
      <c r="B439">
        <v>439</v>
      </c>
      <c r="C439" s="340" t="str">
        <f>Tabulka1[[#This Row],[KOD]]</f>
        <v>CF4920J</v>
      </c>
      <c r="W439" s="804" t="str">
        <f t="shared" si="13"/>
        <v/>
      </c>
      <c r="X439" t="str">
        <f t="shared" si="14"/>
        <v/>
      </c>
      <c r="Y439" s="341">
        <f>IF('General price list'!$AB441="",0,'General price list'!$AB441)</f>
        <v>0</v>
      </c>
      <c r="Z439" s="365" t="str">
        <f>IFERROR(X439*VLOOKUP(C439,'General price list'!C:I,7,FALSE),"")</f>
        <v/>
      </c>
      <c r="AA439" s="805" t="str">
        <f>IF(X439&lt;&gt;"",VLOOKUP(C439,'General price list'!C441:AN1414,MATCH("HM",Tabulka1[[#Headers],[KOD]:[NEQ]],0),FALSE),"")</f>
        <v/>
      </c>
    </row>
    <row r="440" spans="1:27">
      <c r="A440">
        <f>COUNTIF($W$22:W440,1)</f>
        <v>0</v>
      </c>
      <c r="B440">
        <v>440</v>
      </c>
      <c r="C440" s="340" t="str">
        <f>Tabulka1[[#This Row],[KOD]]</f>
        <v>CF4920A</v>
      </c>
      <c r="W440" s="804" t="str">
        <f t="shared" si="13"/>
        <v/>
      </c>
      <c r="X440" t="str">
        <f t="shared" si="14"/>
        <v/>
      </c>
      <c r="Y440" s="341">
        <f>IF('General price list'!$AB442="",0,'General price list'!$AB442)</f>
        <v>0</v>
      </c>
      <c r="Z440" s="365" t="str">
        <f>IFERROR(X440*VLOOKUP(C440,'General price list'!C:I,7,FALSE),"")</f>
        <v/>
      </c>
      <c r="AA440" s="805" t="str">
        <f>IF(X440&lt;&gt;"",VLOOKUP(C440,'General price list'!C442:AN1415,MATCH("HM",Tabulka1[[#Headers],[KOD]:[NEQ]],0),FALSE),"")</f>
        <v/>
      </c>
    </row>
    <row r="441" spans="1:27">
      <c r="A441">
        <f>COUNTIF($W$22:W441,1)</f>
        <v>0</v>
      </c>
      <c r="B441">
        <v>441</v>
      </c>
      <c r="C441" s="340">
        <f>Tabulka1[[#This Row],[KOD]]</f>
        <v>0</v>
      </c>
      <c r="W441" s="804" t="str">
        <f t="shared" si="13"/>
        <v/>
      </c>
      <c r="X441" t="str">
        <f t="shared" si="14"/>
        <v/>
      </c>
      <c r="Y441" s="341">
        <f>IF('General price list'!$AB443="",0,'General price list'!$AB443)</f>
        <v>0</v>
      </c>
      <c r="Z441" s="365" t="str">
        <f>IFERROR(X441*VLOOKUP(C441,'General price list'!C:I,7,FALSE),"")</f>
        <v/>
      </c>
      <c r="AA441" s="805" t="str">
        <f>IF(X441&lt;&gt;"",VLOOKUP(C441,'General price list'!C443:AN1416,MATCH("HM",Tabulka1[[#Headers],[KOD]:[NEQ]],0),FALSE),"")</f>
        <v/>
      </c>
    </row>
    <row r="442" spans="1:27">
      <c r="A442">
        <f>COUNTIF($W$22:W442,1)</f>
        <v>0</v>
      </c>
      <c r="B442">
        <v>442</v>
      </c>
      <c r="C442" s="340" t="str">
        <f>Tabulka1[[#This Row],[KOD]]</f>
        <v>CF4920G14</v>
      </c>
      <c r="W442" s="804" t="str">
        <f t="shared" si="13"/>
        <v/>
      </c>
      <c r="X442" t="str">
        <f t="shared" si="14"/>
        <v/>
      </c>
      <c r="Y442" s="341">
        <f>IF('General price list'!$AB444="",0,'General price list'!$AB444)</f>
        <v>0</v>
      </c>
      <c r="Z442" s="365" t="str">
        <f>IFERROR(X442*VLOOKUP(C442,'General price list'!C:I,7,FALSE),"")</f>
        <v/>
      </c>
      <c r="AA442" s="805" t="str">
        <f>IF(X442&lt;&gt;"",VLOOKUP(C442,'General price list'!C444:AN1417,MATCH("HM",Tabulka1[[#Headers],[KOD]:[NEQ]],0),FALSE),"")</f>
        <v/>
      </c>
    </row>
    <row r="443" spans="1:27">
      <c r="A443">
        <f>COUNTIF($W$22:W443,1)</f>
        <v>0</v>
      </c>
      <c r="B443">
        <v>443</v>
      </c>
      <c r="C443" s="340">
        <f>Tabulka1[[#This Row],[KOD]]</f>
        <v>0</v>
      </c>
      <c r="W443" s="804" t="str">
        <f t="shared" si="13"/>
        <v/>
      </c>
      <c r="X443" t="str">
        <f t="shared" si="14"/>
        <v/>
      </c>
      <c r="Y443" s="341">
        <f>IF('General price list'!$AB445="",0,'General price list'!$AB445)</f>
        <v>0</v>
      </c>
      <c r="Z443" s="365" t="str">
        <f>IFERROR(X443*VLOOKUP(C443,'General price list'!C:I,7,FALSE),"")</f>
        <v/>
      </c>
      <c r="AA443" s="805" t="str">
        <f>IF(X443&lt;&gt;"",VLOOKUP(C443,'General price list'!C445:AN1418,MATCH("HM",Tabulka1[[#Headers],[KOD]:[NEQ]],0),FALSE),"")</f>
        <v/>
      </c>
    </row>
    <row r="444" spans="1:27">
      <c r="A444">
        <f>COUNTIF($W$22:W444,1)</f>
        <v>0</v>
      </c>
      <c r="B444">
        <v>444</v>
      </c>
      <c r="C444" s="340" t="str">
        <f>Tabulka1[[#This Row],[KOD]]</f>
        <v>C6420BPW</v>
      </c>
      <c r="W444" s="804" t="str">
        <f t="shared" si="13"/>
        <v/>
      </c>
      <c r="X444" t="str">
        <f t="shared" si="14"/>
        <v/>
      </c>
      <c r="Y444" s="341">
        <f>IF('General price list'!$AB446="",0,'General price list'!$AB446)</f>
        <v>0</v>
      </c>
      <c r="Z444" s="365" t="str">
        <f>IFERROR(X444*VLOOKUP(C444,'General price list'!C:I,7,FALSE),"")</f>
        <v/>
      </c>
      <c r="AA444" s="805" t="str">
        <f>IF(X444&lt;&gt;"",VLOOKUP(C444,'General price list'!C446:AN1419,MATCH("HM",Tabulka1[[#Headers],[KOD]:[NEQ]],0),FALSE),"")</f>
        <v/>
      </c>
    </row>
    <row r="445" spans="1:27">
      <c r="A445">
        <f>COUNTIF($W$22:W445,1)</f>
        <v>0</v>
      </c>
      <c r="B445">
        <v>445</v>
      </c>
      <c r="C445" s="340" t="str">
        <f>Tabulka1[[#This Row],[KOD]]</f>
        <v>C6420B</v>
      </c>
      <c r="W445" s="804" t="str">
        <f t="shared" si="13"/>
        <v/>
      </c>
      <c r="X445" t="str">
        <f t="shared" si="14"/>
        <v/>
      </c>
      <c r="Y445" s="341">
        <f>IF('General price list'!$AB447="",0,'General price list'!$AB447)</f>
        <v>0</v>
      </c>
      <c r="Z445" s="365" t="str">
        <f>IFERROR(X445*VLOOKUP(C445,'General price list'!C:I,7,FALSE),"")</f>
        <v/>
      </c>
      <c r="AA445" s="805" t="str">
        <f>IF(X445&lt;&gt;"",VLOOKUP(C445,'General price list'!C447:AN1420,MATCH("HM",Tabulka1[[#Headers],[KOD]:[NEQ]],0),FALSE),"")</f>
        <v/>
      </c>
    </row>
    <row r="446" spans="1:27">
      <c r="A446">
        <f>COUNTIF($W$22:W446,1)</f>
        <v>0</v>
      </c>
      <c r="B446">
        <v>446</v>
      </c>
      <c r="C446" s="340" t="str">
        <f>Tabulka1[[#This Row],[KOD]]</f>
        <v>C6420G</v>
      </c>
      <c r="W446" s="804" t="str">
        <f t="shared" si="13"/>
        <v/>
      </c>
      <c r="X446" t="str">
        <f t="shared" si="14"/>
        <v/>
      </c>
      <c r="Y446" s="341">
        <f>IF('General price list'!$AB448="",0,'General price list'!$AB448)</f>
        <v>0</v>
      </c>
      <c r="Z446" s="365" t="str">
        <f>IFERROR(X446*VLOOKUP(C446,'General price list'!C:I,7,FALSE),"")</f>
        <v/>
      </c>
      <c r="AA446" s="805" t="str">
        <f>IF(X446&lt;&gt;"",VLOOKUP(C446,'General price list'!C448:AN1421,MATCH("HM",Tabulka1[[#Headers],[KOD]:[NEQ]],0),FALSE),"")</f>
        <v/>
      </c>
    </row>
    <row r="447" spans="1:27">
      <c r="A447">
        <f>COUNTIF($W$22:W447,1)</f>
        <v>0</v>
      </c>
      <c r="B447">
        <v>447</v>
      </c>
      <c r="C447" s="340" t="str">
        <f>Tabulka1[[#This Row],[KOD]]</f>
        <v>C6420D</v>
      </c>
      <c r="W447" s="804" t="str">
        <f t="shared" si="13"/>
        <v/>
      </c>
      <c r="X447" t="str">
        <f t="shared" si="14"/>
        <v/>
      </c>
      <c r="Y447" s="341">
        <f>IF('General price list'!$AB449="",0,'General price list'!$AB449)</f>
        <v>0</v>
      </c>
      <c r="Z447" s="365" t="str">
        <f>IFERROR(X447*VLOOKUP(C447,'General price list'!C:I,7,FALSE),"")</f>
        <v/>
      </c>
      <c r="AA447" s="805" t="str">
        <f>IF(X447&lt;&gt;"",VLOOKUP(C447,'General price list'!C449:AN1422,MATCH("HM",Tabulka1[[#Headers],[KOD]:[NEQ]],0),FALSE),"")</f>
        <v/>
      </c>
    </row>
    <row r="448" spans="1:27">
      <c r="A448">
        <f>COUNTIF($W$22:W448,1)</f>
        <v>0</v>
      </c>
      <c r="B448">
        <v>448</v>
      </c>
      <c r="C448" s="340">
        <f>Tabulka1[[#This Row],[KOD]]</f>
        <v>0</v>
      </c>
      <c r="W448" s="804" t="str">
        <f t="shared" si="13"/>
        <v/>
      </c>
      <c r="X448" t="str">
        <f t="shared" si="14"/>
        <v/>
      </c>
      <c r="Y448" s="341">
        <f>IF('General price list'!$AB450="",0,'General price list'!$AB450)</f>
        <v>0</v>
      </c>
      <c r="Z448" s="365" t="str">
        <f>IFERROR(X448*VLOOKUP(C448,'General price list'!C:I,7,FALSE),"")</f>
        <v/>
      </c>
      <c r="AA448" s="805" t="str">
        <f>IF(X448&lt;&gt;"",VLOOKUP(C448,'General price list'!C450:AN1423,MATCH("HM",Tabulka1[[#Headers],[KOD]:[NEQ]],0),FALSE),"")</f>
        <v/>
      </c>
    </row>
    <row r="449" spans="1:27">
      <c r="A449">
        <f>COUNTIF($W$22:W449,1)</f>
        <v>0</v>
      </c>
      <c r="B449">
        <v>449</v>
      </c>
      <c r="C449" s="340" t="str">
        <f>Tabulka1[[#This Row],[KOD]]</f>
        <v>C6420D14</v>
      </c>
      <c r="W449" s="804" t="str">
        <f t="shared" si="13"/>
        <v/>
      </c>
      <c r="X449" t="str">
        <f t="shared" si="14"/>
        <v/>
      </c>
      <c r="Y449" s="341">
        <f>IF('General price list'!$AB451="",0,'General price list'!$AB451)</f>
        <v>0</v>
      </c>
      <c r="Z449" s="365" t="str">
        <f>IFERROR(X449*VLOOKUP(C449,'General price list'!C:I,7,FALSE),"")</f>
        <v/>
      </c>
      <c r="AA449" s="805" t="str">
        <f>IF(X449&lt;&gt;"",VLOOKUP(C449,'General price list'!C451:AN1424,MATCH("HM",Tabulka1[[#Headers],[KOD]:[NEQ]],0),FALSE),"")</f>
        <v/>
      </c>
    </row>
    <row r="450" spans="1:27">
      <c r="A450">
        <f>COUNTIF($W$22:W450,1)</f>
        <v>0</v>
      </c>
      <c r="B450">
        <v>450</v>
      </c>
      <c r="C450" s="340">
        <f>Tabulka1[[#This Row],[KOD]]</f>
        <v>0</v>
      </c>
      <c r="W450" s="804" t="str">
        <f t="shared" si="13"/>
        <v/>
      </c>
      <c r="X450" t="str">
        <f t="shared" si="14"/>
        <v/>
      </c>
      <c r="Y450" s="341">
        <f>IF('General price list'!$AB452="",0,'General price list'!$AB452)</f>
        <v>0</v>
      </c>
      <c r="Z450" s="365" t="str">
        <f>IFERROR(X450*VLOOKUP(C450,'General price list'!C:I,7,FALSE),"")</f>
        <v/>
      </c>
      <c r="AA450" s="805" t="str">
        <f>IF(X450&lt;&gt;"",VLOOKUP(C450,'General price list'!C452:AN1425,MATCH("HM",Tabulka1[[#Headers],[KOD]:[NEQ]],0),FALSE),"")</f>
        <v/>
      </c>
    </row>
    <row r="451" spans="1:27">
      <c r="A451">
        <f>COUNTIF($W$22:W451,1)</f>
        <v>0</v>
      </c>
      <c r="B451">
        <v>451</v>
      </c>
      <c r="C451" s="340" t="str">
        <f>Tabulka1[[#This Row],[KOD]]</f>
        <v>C6620P</v>
      </c>
      <c r="W451" s="804" t="str">
        <f t="shared" si="13"/>
        <v/>
      </c>
      <c r="X451" t="str">
        <f t="shared" si="14"/>
        <v/>
      </c>
      <c r="Y451" s="341">
        <f>IF('General price list'!$AB453="",0,'General price list'!$AB453)</f>
        <v>0</v>
      </c>
      <c r="Z451" s="365" t="str">
        <f>IFERROR(X451*VLOOKUP(C451,'General price list'!C:I,7,FALSE),"")</f>
        <v/>
      </c>
      <c r="AA451" s="805" t="str">
        <f>IF(X451&lt;&gt;"",VLOOKUP(C451,'General price list'!C453:AN1426,MATCH("HM",Tabulka1[[#Headers],[KOD]:[NEQ]],0),FALSE),"")</f>
        <v/>
      </c>
    </row>
    <row r="452" spans="1:27">
      <c r="A452">
        <f>COUNTIF($W$22:W452,1)</f>
        <v>0</v>
      </c>
      <c r="B452">
        <v>452</v>
      </c>
      <c r="C452" s="340" t="str">
        <f>Tabulka1[[#This Row],[KOD]]</f>
        <v>C6620L</v>
      </c>
      <c r="W452" s="804" t="str">
        <f t="shared" si="13"/>
        <v/>
      </c>
      <c r="X452" t="str">
        <f t="shared" si="14"/>
        <v/>
      </c>
      <c r="Y452" s="341">
        <f>IF('General price list'!$AB454="",0,'General price list'!$AB454)</f>
        <v>0</v>
      </c>
      <c r="Z452" s="365" t="str">
        <f>IFERROR(X452*VLOOKUP(C452,'General price list'!C:I,7,FALSE),"")</f>
        <v/>
      </c>
      <c r="AA452" s="805" t="str">
        <f>IF(X452&lt;&gt;"",VLOOKUP(C452,'General price list'!C454:AN1427,MATCH("HM",Tabulka1[[#Headers],[KOD]:[NEQ]],0),FALSE),"")</f>
        <v/>
      </c>
    </row>
    <row r="453" spans="1:27">
      <c r="A453">
        <f>COUNTIF($W$22:W453,1)</f>
        <v>0</v>
      </c>
      <c r="B453">
        <v>453</v>
      </c>
      <c r="C453" s="340">
        <f>Tabulka1[[#This Row],[KOD]]</f>
        <v>0</v>
      </c>
      <c r="W453" s="804" t="str">
        <f t="shared" si="13"/>
        <v/>
      </c>
      <c r="X453" t="str">
        <f t="shared" si="14"/>
        <v/>
      </c>
      <c r="Y453" s="341">
        <f>IF('General price list'!$AB455="",0,'General price list'!$AB455)</f>
        <v>0</v>
      </c>
      <c r="Z453" s="365" t="str">
        <f>IFERROR(X453*VLOOKUP(C453,'General price list'!C:I,7,FALSE),"")</f>
        <v/>
      </c>
      <c r="AA453" s="805" t="str">
        <f>IF(X453&lt;&gt;"",VLOOKUP(C453,'General price list'!C455:AN1428,MATCH("HM",Tabulka1[[#Headers],[KOD]:[NEQ]],0),FALSE),"")</f>
        <v/>
      </c>
    </row>
    <row r="454" spans="1:27">
      <c r="A454">
        <f>COUNTIF($W$22:W454,1)</f>
        <v>0</v>
      </c>
      <c r="B454">
        <v>454</v>
      </c>
      <c r="C454" s="340" t="str">
        <f>Tabulka1[[#This Row],[KOD]]</f>
        <v>C6620P14</v>
      </c>
      <c r="W454" s="804" t="str">
        <f t="shared" si="13"/>
        <v/>
      </c>
      <c r="X454" t="str">
        <f t="shared" si="14"/>
        <v/>
      </c>
      <c r="Y454" s="341">
        <f>IF('General price list'!$AB456="",0,'General price list'!$AB456)</f>
        <v>0</v>
      </c>
      <c r="Z454" s="365" t="str">
        <f>IFERROR(X454*VLOOKUP(C454,'General price list'!C:I,7,FALSE),"")</f>
        <v/>
      </c>
      <c r="AA454" s="805" t="str">
        <f>IF(X454&lt;&gt;"",VLOOKUP(C454,'General price list'!C456:AN1429,MATCH("HM",Tabulka1[[#Headers],[KOD]:[NEQ]],0),FALSE),"")</f>
        <v/>
      </c>
    </row>
    <row r="455" spans="1:27">
      <c r="A455">
        <f>COUNTIF($W$22:W455,1)</f>
        <v>0</v>
      </c>
      <c r="B455">
        <v>455</v>
      </c>
      <c r="C455" s="340">
        <f>Tabulka1[[#This Row],[KOD]]</f>
        <v>0</v>
      </c>
      <c r="W455" s="804" t="str">
        <f t="shared" si="13"/>
        <v/>
      </c>
      <c r="X455" t="str">
        <f t="shared" si="14"/>
        <v/>
      </c>
      <c r="Y455" s="341">
        <f>IF('General price list'!$AB457="",0,'General price list'!$AB457)</f>
        <v>0</v>
      </c>
      <c r="Z455" s="365" t="str">
        <f>IFERROR(X455*VLOOKUP(C455,'General price list'!C:I,7,FALSE),"")</f>
        <v/>
      </c>
      <c r="AA455" s="805" t="str">
        <f>IF(X455&lt;&gt;"",VLOOKUP(C455,'General price list'!C457:AN1430,MATCH("HM",Tabulka1[[#Headers],[KOD]:[NEQ]],0),FALSE),"")</f>
        <v/>
      </c>
    </row>
    <row r="456" spans="1:27">
      <c r="A456">
        <f>COUNTIF($W$22:W456,1)</f>
        <v>0</v>
      </c>
      <c r="B456">
        <v>456</v>
      </c>
      <c r="C456" s="340" t="str">
        <f>Tabulka1[[#This Row],[KOD]]</f>
        <v>C9020SIG</v>
      </c>
      <c r="W456" s="804" t="str">
        <f t="shared" si="13"/>
        <v/>
      </c>
      <c r="X456" t="str">
        <f t="shared" si="14"/>
        <v/>
      </c>
      <c r="Y456" s="341">
        <f>IF('General price list'!$AB458="",0,'General price list'!$AB458)</f>
        <v>0</v>
      </c>
      <c r="Z456" s="365" t="str">
        <f>IFERROR(X456*VLOOKUP(C456,'General price list'!C:I,7,FALSE),"")</f>
        <v/>
      </c>
      <c r="AA456" s="805" t="str">
        <f>IF(X456&lt;&gt;"",VLOOKUP(C456,'General price list'!C458:AN1431,MATCH("HM",Tabulka1[[#Headers],[KOD]:[NEQ]],0),FALSE),"")</f>
        <v/>
      </c>
    </row>
    <row r="457" spans="1:27">
      <c r="A457">
        <f>COUNTIF($W$22:W457,1)</f>
        <v>0</v>
      </c>
      <c r="B457">
        <v>457</v>
      </c>
      <c r="C457" s="340" t="str">
        <f>Tabulka1[[#This Row],[KOD]]</f>
        <v>C9020V</v>
      </c>
      <c r="W457" s="804" t="str">
        <f t="shared" si="13"/>
        <v/>
      </c>
      <c r="X457" t="str">
        <f t="shared" si="14"/>
        <v/>
      </c>
      <c r="Y457" s="341">
        <f>IF('General price list'!$AB459="",0,'General price list'!$AB459)</f>
        <v>0</v>
      </c>
      <c r="Z457" s="365" t="str">
        <f>IFERROR(X457*VLOOKUP(C457,'General price list'!C:I,7,FALSE),"")</f>
        <v/>
      </c>
      <c r="AA457" s="805" t="str">
        <f>IF(X457&lt;&gt;"",VLOOKUP(C457,'General price list'!C459:AN1432,MATCH("HM",Tabulka1[[#Headers],[KOD]:[NEQ]],0),FALSE),"")</f>
        <v/>
      </c>
    </row>
    <row r="458" spans="1:27">
      <c r="A458">
        <f>COUNTIF($W$22:W458,1)</f>
        <v>0</v>
      </c>
      <c r="B458">
        <v>458</v>
      </c>
      <c r="C458" s="340" t="str">
        <f>Tabulka1[[#This Row],[KOD]]</f>
        <v>C9020X</v>
      </c>
      <c r="W458" s="804" t="str">
        <f t="shared" si="13"/>
        <v/>
      </c>
      <c r="X458" t="str">
        <f t="shared" si="14"/>
        <v/>
      </c>
      <c r="Y458" s="341">
        <f>IF('General price list'!$AB460="",0,'General price list'!$AB460)</f>
        <v>0</v>
      </c>
      <c r="Z458" s="365" t="str">
        <f>IFERROR(X458*VLOOKUP(C458,'General price list'!C:I,7,FALSE),"")</f>
        <v/>
      </c>
      <c r="AA458" s="805" t="str">
        <f>IF(X458&lt;&gt;"",VLOOKUP(C458,'General price list'!C460:AN1433,MATCH("HM",Tabulka1[[#Headers],[KOD]:[NEQ]],0),FALSE),"")</f>
        <v/>
      </c>
    </row>
    <row r="459" spans="1:27">
      <c r="A459">
        <f>COUNTIF($W$22:W459,1)</f>
        <v>0</v>
      </c>
      <c r="B459">
        <v>459</v>
      </c>
      <c r="C459" s="340">
        <f>Tabulka1[[#This Row],[KOD]]</f>
        <v>0</v>
      </c>
      <c r="W459" s="804" t="str">
        <f t="shared" si="13"/>
        <v/>
      </c>
      <c r="X459" t="str">
        <f t="shared" si="14"/>
        <v/>
      </c>
      <c r="Y459" s="341">
        <f>IF('General price list'!$AB461="",0,'General price list'!$AB461)</f>
        <v>0</v>
      </c>
      <c r="Z459" s="365" t="str">
        <f>IFERROR(X459*VLOOKUP(C459,'General price list'!C:I,7,FALSE),"")</f>
        <v/>
      </c>
      <c r="AA459" s="805" t="str">
        <f>IF(X459&lt;&gt;"",VLOOKUP(C459,'General price list'!C461:AN1434,MATCH("HM",Tabulka1[[#Headers],[KOD]:[NEQ]],0),FALSE),"")</f>
        <v/>
      </c>
    </row>
    <row r="460" spans="1:27">
      <c r="A460">
        <f>COUNTIF($W$22:W460,1)</f>
        <v>0</v>
      </c>
      <c r="B460">
        <v>460</v>
      </c>
      <c r="C460" s="340" t="str">
        <f>Tabulka1[[#This Row],[KOD]]</f>
        <v>C10020BP14</v>
      </c>
      <c r="W460" s="804" t="str">
        <f t="shared" si="13"/>
        <v/>
      </c>
      <c r="X460" t="str">
        <f t="shared" si="14"/>
        <v/>
      </c>
      <c r="Y460" s="341">
        <f>IF('General price list'!$AB462="",0,'General price list'!$AB462)</f>
        <v>0</v>
      </c>
      <c r="Z460" s="365" t="str">
        <f>IFERROR(X460*VLOOKUP(C460,'General price list'!C:I,7,FALSE),"")</f>
        <v/>
      </c>
      <c r="AA460" s="805" t="str">
        <f>IF(X460&lt;&gt;"",VLOOKUP(C460,'General price list'!C462:AN1435,MATCH("HM",Tabulka1[[#Headers],[KOD]:[NEQ]],0),FALSE),"")</f>
        <v/>
      </c>
    </row>
    <row r="461" spans="1:27">
      <c r="A461">
        <f>COUNTIF($W$22:W461,1)</f>
        <v>0</v>
      </c>
      <c r="B461">
        <v>461</v>
      </c>
      <c r="C461" s="340" t="str">
        <f>Tabulka1[[#This Row],[KOD]]</f>
        <v>C10020BPS14</v>
      </c>
      <c r="W461" s="804" t="str">
        <f t="shared" si="13"/>
        <v/>
      </c>
      <c r="X461" t="str">
        <f t="shared" si="14"/>
        <v/>
      </c>
      <c r="Y461" s="341">
        <f>IF('General price list'!$AB463="",0,'General price list'!$AB463)</f>
        <v>0</v>
      </c>
      <c r="Z461" s="365" t="str">
        <f>IFERROR(X461*VLOOKUP(C461,'General price list'!C:I,7,FALSE),"")</f>
        <v/>
      </c>
      <c r="AA461" s="805" t="str">
        <f>IF(X461&lt;&gt;"",VLOOKUP(C461,'General price list'!C463:AN1436,MATCH("HM",Tabulka1[[#Headers],[KOD]:[NEQ]],0),FALSE),"")</f>
        <v/>
      </c>
    </row>
    <row r="462" spans="1:27">
      <c r="A462">
        <f>COUNTIF($W$22:W462,1)</f>
        <v>0</v>
      </c>
      <c r="B462">
        <v>462</v>
      </c>
      <c r="C462" s="340" t="str">
        <f>Tabulka1[[#This Row],[KOD]]</f>
        <v>C10020NID14</v>
      </c>
      <c r="W462" s="804" t="str">
        <f t="shared" si="13"/>
        <v/>
      </c>
      <c r="X462" t="str">
        <f t="shared" si="14"/>
        <v/>
      </c>
      <c r="Y462" s="341">
        <f>IF('General price list'!$AB464="",0,'General price list'!$AB464)</f>
        <v>0</v>
      </c>
      <c r="Z462" s="365" t="str">
        <f>IFERROR(X462*VLOOKUP(C462,'General price list'!C:I,7,FALSE),"")</f>
        <v/>
      </c>
      <c r="AA462" s="805" t="str">
        <f>IF(X462&lt;&gt;"",VLOOKUP(C462,'General price list'!C464:AN1437,MATCH("HM",Tabulka1[[#Headers],[KOD]:[NEQ]],0),FALSE),"")</f>
        <v/>
      </c>
    </row>
    <row r="463" spans="1:27">
      <c r="A463">
        <f>COUNTIF($W$22:W463,1)</f>
        <v>0</v>
      </c>
      <c r="B463">
        <v>463</v>
      </c>
      <c r="C463" s="340">
        <f>Tabulka1[[#This Row],[KOD]]</f>
        <v>0</v>
      </c>
      <c r="W463" s="804" t="str">
        <f t="shared" si="13"/>
        <v/>
      </c>
      <c r="X463" t="str">
        <f t="shared" si="14"/>
        <v/>
      </c>
      <c r="Y463" s="341">
        <f>IF('General price list'!$AB465="",0,'General price list'!$AB465)</f>
        <v>0</v>
      </c>
      <c r="Z463" s="365" t="str">
        <f>IFERROR(X463*VLOOKUP(C463,'General price list'!C:I,7,FALSE),"")</f>
        <v/>
      </c>
      <c r="AA463" s="805" t="str">
        <f>IF(X463&lt;&gt;"",VLOOKUP(C463,'General price list'!C465:AN1438,MATCH("HM",Tabulka1[[#Headers],[KOD]:[NEQ]],0),FALSE),"")</f>
        <v/>
      </c>
    </row>
    <row r="464" spans="1:27">
      <c r="A464">
        <f>COUNTIF($W$22:W464,1)</f>
        <v>0</v>
      </c>
      <c r="B464">
        <v>464</v>
      </c>
      <c r="C464" s="340" t="str">
        <f>Tabulka1[[#This Row],[KOD]]</f>
        <v>C10020XBPW14</v>
      </c>
      <c r="W464" s="804" t="str">
        <f t="shared" si="13"/>
        <v/>
      </c>
      <c r="X464" t="str">
        <f t="shared" si="14"/>
        <v/>
      </c>
      <c r="Y464" s="341">
        <f>IF('General price list'!$AB466="",0,'General price list'!$AB466)</f>
        <v>0</v>
      </c>
      <c r="Z464" s="365" t="str">
        <f>IFERROR(X464*VLOOKUP(C464,'General price list'!C:I,7,FALSE),"")</f>
        <v/>
      </c>
      <c r="AA464" s="805" t="str">
        <f>IF(X464&lt;&gt;"",VLOOKUP(C464,'General price list'!C466:AN1439,MATCH("HM",Tabulka1[[#Headers],[KOD]:[NEQ]],0),FALSE),"")</f>
        <v/>
      </c>
    </row>
    <row r="465" spans="1:27">
      <c r="A465">
        <f>COUNTIF($W$22:W465,1)</f>
        <v>0</v>
      </c>
      <c r="B465">
        <v>465</v>
      </c>
      <c r="C465" s="340" t="str">
        <f>Tabulka1[[#This Row],[KOD]]</f>
        <v>C10020XBP14</v>
      </c>
      <c r="W465" s="804" t="str">
        <f t="shared" si="13"/>
        <v/>
      </c>
      <c r="X465" t="str">
        <f t="shared" si="14"/>
        <v/>
      </c>
      <c r="Y465" s="341">
        <f>IF('General price list'!$AB467="",0,'General price list'!$AB467)</f>
        <v>0</v>
      </c>
      <c r="Z465" s="365" t="str">
        <f>IFERROR(X465*VLOOKUP(C465,'General price list'!C:I,7,FALSE),"")</f>
        <v/>
      </c>
      <c r="AA465" s="805" t="str">
        <f>IF(X465&lt;&gt;"",VLOOKUP(C465,'General price list'!C467:AN1440,MATCH("HM",Tabulka1[[#Headers],[KOD]:[NEQ]],0),FALSE),"")</f>
        <v/>
      </c>
    </row>
    <row r="466" spans="1:27">
      <c r="A466">
        <f>COUNTIF($W$22:W466,1)</f>
        <v>0</v>
      </c>
      <c r="B466">
        <v>466</v>
      </c>
      <c r="C466" s="340" t="str">
        <f>Tabulka1[[#This Row],[KOD]]</f>
        <v>C10020XTS14</v>
      </c>
      <c r="W466" s="804" t="str">
        <f t="shared" si="13"/>
        <v/>
      </c>
      <c r="X466" t="str">
        <f t="shared" si="14"/>
        <v/>
      </c>
      <c r="Y466" s="341">
        <f>IF('General price list'!$AB468="",0,'General price list'!$AB468)</f>
        <v>0</v>
      </c>
      <c r="Z466" s="365" t="str">
        <f>IFERROR(X466*VLOOKUP(C466,'General price list'!C:I,7,FALSE),"")</f>
        <v/>
      </c>
      <c r="AA466" s="805" t="str">
        <f>IF(X466&lt;&gt;"",VLOOKUP(C466,'General price list'!C468:AN1441,MATCH("HM",Tabulka1[[#Headers],[KOD]:[NEQ]],0),FALSE),"")</f>
        <v/>
      </c>
    </row>
    <row r="467" spans="1:27">
      <c r="A467">
        <f>COUNTIF($W$22:W467,1)</f>
        <v>0</v>
      </c>
      <c r="B467">
        <v>467</v>
      </c>
      <c r="C467" s="340" t="str">
        <f>Tabulka1[[#This Row],[KOD]]</f>
        <v>C10020XPR14</v>
      </c>
      <c r="W467" s="804" t="str">
        <f t="shared" si="13"/>
        <v/>
      </c>
      <c r="X467" t="str">
        <f t="shared" si="14"/>
        <v/>
      </c>
      <c r="Y467" s="341">
        <f>IF('General price list'!$AB469="",0,'General price list'!$AB469)</f>
        <v>0</v>
      </c>
      <c r="Z467" s="365" t="str">
        <f>IFERROR(X467*VLOOKUP(C467,'General price list'!C:I,7,FALSE),"")</f>
        <v/>
      </c>
      <c r="AA467" s="805" t="str">
        <f>IF(X467&lt;&gt;"",VLOOKUP(C467,'General price list'!C469:AN1442,MATCH("HM",Tabulka1[[#Headers],[KOD]:[NEQ]],0),FALSE),"")</f>
        <v/>
      </c>
    </row>
    <row r="468" spans="1:27">
      <c r="A468">
        <f>COUNTIF($W$22:W468,1)</f>
        <v>0</v>
      </c>
      <c r="B468">
        <v>468</v>
      </c>
      <c r="C468" s="340">
        <f>Tabulka1[[#This Row],[KOD]]</f>
        <v>0</v>
      </c>
      <c r="W468" s="804" t="str">
        <f t="shared" si="13"/>
        <v/>
      </c>
      <c r="X468" t="str">
        <f t="shared" si="14"/>
        <v/>
      </c>
      <c r="Y468" s="341">
        <f>IF('General price list'!$AB470="",0,'General price list'!$AB470)</f>
        <v>0</v>
      </c>
      <c r="Z468" s="365" t="str">
        <f>IFERROR(X468*VLOOKUP(C468,'General price list'!C:I,7,FALSE),"")</f>
        <v/>
      </c>
      <c r="AA468" s="805" t="str">
        <f>IF(X468&lt;&gt;"",VLOOKUP(C468,'General price list'!C470:AN1443,MATCH("HM",Tabulka1[[#Headers],[KOD]:[NEQ]],0),FALSE),"")</f>
        <v/>
      </c>
    </row>
    <row r="469" spans="1:27">
      <c r="A469">
        <f>COUNTIF($W$22:W469,1)</f>
        <v>0</v>
      </c>
      <c r="B469">
        <v>469</v>
      </c>
      <c r="C469" s="340" t="str">
        <f>Tabulka1[[#This Row],[KOD]]</f>
        <v>CF10020P</v>
      </c>
      <c r="W469" s="804" t="str">
        <f t="shared" si="13"/>
        <v/>
      </c>
      <c r="X469" t="str">
        <f t="shared" si="14"/>
        <v/>
      </c>
      <c r="Y469" s="341">
        <f>IF('General price list'!$AB471="",0,'General price list'!$AB471)</f>
        <v>0</v>
      </c>
      <c r="Z469" s="365" t="str">
        <f>IFERROR(X469*VLOOKUP(C469,'General price list'!C:I,7,FALSE),"")</f>
        <v/>
      </c>
      <c r="AA469" s="805" t="str">
        <f>IF(X469&lt;&gt;"",VLOOKUP(C469,'General price list'!C471:AN1444,MATCH("HM",Tabulka1[[#Headers],[KOD]:[NEQ]],0),FALSE),"")</f>
        <v/>
      </c>
    </row>
    <row r="470" spans="1:27">
      <c r="A470">
        <f>COUNTIF($W$22:W470,1)</f>
        <v>0</v>
      </c>
      <c r="B470">
        <v>470</v>
      </c>
      <c r="C470" s="340">
        <f>Tabulka1[[#This Row],[KOD]]</f>
        <v>0</v>
      </c>
      <c r="W470" s="804" t="str">
        <f t="shared" si="13"/>
        <v/>
      </c>
      <c r="X470" t="str">
        <f t="shared" si="14"/>
        <v/>
      </c>
      <c r="Y470" s="341">
        <f>IF('General price list'!$AB472="",0,'General price list'!$AB472)</f>
        <v>0</v>
      </c>
      <c r="Z470" s="365" t="str">
        <f>IFERROR(X470*VLOOKUP(C470,'General price list'!C:I,7,FALSE),"")</f>
        <v/>
      </c>
      <c r="AA470" s="805" t="str">
        <f>IF(X470&lt;&gt;"",VLOOKUP(C470,'General price list'!C472:AN1445,MATCH("HM",Tabulka1[[#Headers],[KOD]:[NEQ]],0),FALSE),"")</f>
        <v/>
      </c>
    </row>
    <row r="471" spans="1:27">
      <c r="A471">
        <f>COUNTIF($W$22:W471,1)</f>
        <v>0</v>
      </c>
      <c r="B471">
        <v>471</v>
      </c>
      <c r="C471" s="340" t="str">
        <f>Tabulka1[[#This Row],[KOD]]</f>
        <v>C13020BP</v>
      </c>
      <c r="W471" s="804" t="str">
        <f t="shared" si="13"/>
        <v/>
      </c>
      <c r="X471" t="str">
        <f t="shared" si="14"/>
        <v/>
      </c>
      <c r="Y471" s="341">
        <f>IF('General price list'!$AB473="",0,'General price list'!$AB473)</f>
        <v>0</v>
      </c>
      <c r="Z471" s="365" t="str">
        <f>IFERROR(X471*VLOOKUP(C471,'General price list'!C:I,7,FALSE),"")</f>
        <v/>
      </c>
      <c r="AA471" s="805" t="str">
        <f>IF(X471&lt;&gt;"",VLOOKUP(C471,'General price list'!C473:AN1446,MATCH("HM",Tabulka1[[#Headers],[KOD]:[NEQ]],0),FALSE),"")</f>
        <v/>
      </c>
    </row>
    <row r="472" spans="1:27">
      <c r="A472">
        <f>COUNTIF($W$22:W472,1)</f>
        <v>0</v>
      </c>
      <c r="B472">
        <v>472</v>
      </c>
      <c r="C472" s="340" t="str">
        <f>Tabulka1[[#This Row],[KOD]]</f>
        <v>C13020M</v>
      </c>
      <c r="W472" s="804" t="str">
        <f t="shared" ref="W472:W535" si="15">IF(Y472+1=1,"",1)</f>
        <v/>
      </c>
      <c r="X472" t="str">
        <f t="shared" ref="X472:X535" si="16">IF(OR(A472&lt;$F$20,A472&gt;$F$21),"",IF(Y472=0,"",Y472))</f>
        <v/>
      </c>
      <c r="Y472" s="341">
        <f>IF('General price list'!$AB474="",0,'General price list'!$AB474)</f>
        <v>0</v>
      </c>
      <c r="Z472" s="365" t="str">
        <f>IFERROR(X472*VLOOKUP(C472,'General price list'!C:I,7,FALSE),"")</f>
        <v/>
      </c>
      <c r="AA472" s="805" t="str">
        <f>IF(X472&lt;&gt;"",VLOOKUP(C472,'General price list'!C474:AN1447,MATCH("HM",Tabulka1[[#Headers],[KOD]:[NEQ]],0),FALSE),"")</f>
        <v/>
      </c>
    </row>
    <row r="473" spans="1:27">
      <c r="A473">
        <f>COUNTIF($W$22:W473,1)</f>
        <v>0</v>
      </c>
      <c r="B473">
        <v>473</v>
      </c>
      <c r="C473" s="340" t="str">
        <f>Tabulka1[[#This Row],[KOD]]</f>
        <v>C13020B</v>
      </c>
      <c r="W473" s="804" t="str">
        <f t="shared" si="15"/>
        <v/>
      </c>
      <c r="X473" t="str">
        <f t="shared" si="16"/>
        <v/>
      </c>
      <c r="Y473" s="341">
        <f>IF('General price list'!$AB475="",0,'General price list'!$AB475)</f>
        <v>0</v>
      </c>
      <c r="Z473" s="365" t="str">
        <f>IFERROR(X473*VLOOKUP(C473,'General price list'!C:I,7,FALSE),"")</f>
        <v/>
      </c>
      <c r="AA473" s="805" t="str">
        <f>IF(X473&lt;&gt;"",VLOOKUP(C473,'General price list'!C475:AN1448,MATCH("HM",Tabulka1[[#Headers],[KOD]:[NEQ]],0),FALSE),"")</f>
        <v/>
      </c>
    </row>
    <row r="474" spans="1:27">
      <c r="A474">
        <f>COUNTIF($W$22:W474,1)</f>
        <v>0</v>
      </c>
      <c r="B474">
        <v>474</v>
      </c>
      <c r="C474" s="340">
        <f>Tabulka1[[#This Row],[KOD]]</f>
        <v>0</v>
      </c>
      <c r="W474" s="804" t="str">
        <f t="shared" si="15"/>
        <v/>
      </c>
      <c r="X474" t="str">
        <f t="shared" si="16"/>
        <v/>
      </c>
      <c r="Y474" s="341">
        <f>IF('General price list'!$AB476="",0,'General price list'!$AB476)</f>
        <v>0</v>
      </c>
      <c r="Z474" s="365" t="str">
        <f>IFERROR(X474*VLOOKUP(C474,'General price list'!C:I,7,FALSE),"")</f>
        <v/>
      </c>
      <c r="AA474" s="805" t="str">
        <f>IF(X474&lt;&gt;"",VLOOKUP(C474,'General price list'!C476:AN1449,MATCH("HM",Tabulka1[[#Headers],[KOD]:[NEQ]],0),FALSE),"")</f>
        <v/>
      </c>
    </row>
    <row r="475" spans="1:27">
      <c r="A475">
        <f>COUNTIF($W$22:W475,1)</f>
        <v>0</v>
      </c>
      <c r="B475">
        <v>475</v>
      </c>
      <c r="C475" s="340" t="str">
        <f>Tabulka1[[#This Row],[KOD]]</f>
        <v>C13420H</v>
      </c>
      <c r="W475" s="804" t="str">
        <f t="shared" si="15"/>
        <v/>
      </c>
      <c r="X475" t="str">
        <f t="shared" si="16"/>
        <v/>
      </c>
      <c r="Y475" s="341">
        <f>IF('General price list'!$AB477="",0,'General price list'!$AB477)</f>
        <v>0</v>
      </c>
      <c r="Z475" s="365" t="str">
        <f>IFERROR(X475*VLOOKUP(C475,'General price list'!C:I,7,FALSE),"")</f>
        <v/>
      </c>
      <c r="AA475" s="805" t="str">
        <f>IF(X475&lt;&gt;"",VLOOKUP(C475,'General price list'!C477:AN1450,MATCH("HM",Tabulka1[[#Headers],[KOD]:[NEQ]],0),FALSE),"")</f>
        <v/>
      </c>
    </row>
    <row r="476" spans="1:27">
      <c r="A476">
        <f>COUNTIF($W$22:W476,1)</f>
        <v>0</v>
      </c>
      <c r="B476">
        <v>476</v>
      </c>
      <c r="C476" s="340">
        <f>Tabulka1[[#This Row],[KOD]]</f>
        <v>0</v>
      </c>
      <c r="W476" s="804" t="str">
        <f t="shared" si="15"/>
        <v/>
      </c>
      <c r="X476" t="str">
        <f t="shared" si="16"/>
        <v/>
      </c>
      <c r="Y476" s="341">
        <f>IF('General price list'!$AB478="",0,'General price list'!$AB478)</f>
        <v>0</v>
      </c>
      <c r="Z476" s="365" t="str">
        <f>IFERROR(X476*VLOOKUP(C476,'General price list'!C:I,7,FALSE),"")</f>
        <v/>
      </c>
      <c r="AA476" s="805" t="str">
        <f>IF(X476&lt;&gt;"",VLOOKUP(C476,'General price list'!C478:AN1451,MATCH("HM",Tabulka1[[#Headers],[KOD]:[NEQ]],0),FALSE),"")</f>
        <v/>
      </c>
    </row>
    <row r="477" spans="1:27">
      <c r="A477">
        <f>COUNTIF($W$22:W477,1)</f>
        <v>0</v>
      </c>
      <c r="B477">
        <v>477</v>
      </c>
      <c r="C477" s="340" t="str">
        <f>Tabulka1[[#This Row],[KOD]]</f>
        <v>C20020BPS</v>
      </c>
      <c r="W477" s="804" t="str">
        <f t="shared" si="15"/>
        <v/>
      </c>
      <c r="X477" t="str">
        <f t="shared" si="16"/>
        <v/>
      </c>
      <c r="Y477" s="341">
        <f>IF('General price list'!$AB479="",0,'General price list'!$AB479)</f>
        <v>0</v>
      </c>
      <c r="Z477" s="365" t="str">
        <f>IFERROR(X477*VLOOKUP(C477,'General price list'!C:I,7,FALSE),"")</f>
        <v/>
      </c>
      <c r="AA477" s="805" t="str">
        <f>IF(X477&lt;&gt;"",VLOOKUP(C477,'General price list'!C479:AN1452,MATCH("HM",Tabulka1[[#Headers],[KOD]:[NEQ]],0),FALSE),"")</f>
        <v/>
      </c>
    </row>
    <row r="478" spans="1:27">
      <c r="A478">
        <f>COUNTIF($W$22:W478,1)</f>
        <v>0</v>
      </c>
      <c r="B478">
        <v>478</v>
      </c>
      <c r="C478" s="340" t="str">
        <f>Tabulka1[[#This Row],[KOD]]</f>
        <v>C20020PR</v>
      </c>
      <c r="W478" s="804" t="str">
        <f t="shared" si="15"/>
        <v/>
      </c>
      <c r="X478" t="str">
        <f t="shared" si="16"/>
        <v/>
      </c>
      <c r="Y478" s="341">
        <f>IF('General price list'!$AB480="",0,'General price list'!$AB480)</f>
        <v>0</v>
      </c>
      <c r="Z478" s="365" t="str">
        <f>IFERROR(X478*VLOOKUP(C478,'General price list'!C:I,7,FALSE),"")</f>
        <v/>
      </c>
      <c r="AA478" s="805" t="str">
        <f>IF(X478&lt;&gt;"",VLOOKUP(C478,'General price list'!C480:AN1453,MATCH("HM",Tabulka1[[#Headers],[KOD]:[NEQ]],0),FALSE),"")</f>
        <v/>
      </c>
    </row>
    <row r="479" spans="1:27">
      <c r="A479">
        <f>COUNTIF($W$22:W479,1)</f>
        <v>0</v>
      </c>
      <c r="B479">
        <v>479</v>
      </c>
      <c r="C479" s="340">
        <f>Tabulka1[[#This Row],[KOD]]</f>
        <v>0</v>
      </c>
      <c r="W479" s="804" t="str">
        <f t="shared" si="15"/>
        <v/>
      </c>
      <c r="X479" t="str">
        <f t="shared" si="16"/>
        <v/>
      </c>
      <c r="Y479" s="341">
        <f>IF('General price list'!$AB481="",0,'General price list'!$AB481)</f>
        <v>0</v>
      </c>
      <c r="Z479" s="365" t="str">
        <f>IFERROR(X479*VLOOKUP(C479,'General price list'!C:I,7,FALSE),"")</f>
        <v/>
      </c>
      <c r="AA479" s="805" t="str">
        <f>IF(X479&lt;&gt;"",VLOOKUP(C479,'General price list'!C481:AN1454,MATCH("HM",Tabulka1[[#Headers],[KOD]:[NEQ]],0),FALSE),"")</f>
        <v/>
      </c>
    </row>
    <row r="480" spans="1:27">
      <c r="A480">
        <f>COUNTIF($W$22:W480,1)</f>
        <v>0</v>
      </c>
      <c r="B480">
        <v>480</v>
      </c>
      <c r="C480" s="340" t="str">
        <f>Tabulka1[[#This Row],[KOD]]</f>
        <v>C20020XBP</v>
      </c>
      <c r="W480" s="804" t="str">
        <f t="shared" si="15"/>
        <v/>
      </c>
      <c r="X480" t="str">
        <f t="shared" si="16"/>
        <v/>
      </c>
      <c r="Y480" s="341">
        <f>IF('General price list'!$AB482="",0,'General price list'!$AB482)</f>
        <v>0</v>
      </c>
      <c r="Z480" s="365" t="str">
        <f>IFERROR(X480*VLOOKUP(C480,'General price list'!C:I,7,FALSE),"")</f>
        <v/>
      </c>
      <c r="AA480" s="805" t="str">
        <f>IF(X480&lt;&gt;"",VLOOKUP(C480,'General price list'!C482:AN1455,MATCH("HM",Tabulka1[[#Headers],[KOD]:[NEQ]],0),FALSE),"")</f>
        <v/>
      </c>
    </row>
    <row r="481" spans="1:27">
      <c r="A481">
        <f>COUNTIF($W$22:W481,1)</f>
        <v>0</v>
      </c>
      <c r="B481">
        <v>481</v>
      </c>
      <c r="C481" s="340" t="str">
        <f>Tabulka1[[#This Row],[KOD]]</f>
        <v>C20020XPR</v>
      </c>
      <c r="W481" s="804" t="str">
        <f t="shared" si="15"/>
        <v/>
      </c>
      <c r="X481" t="str">
        <f t="shared" si="16"/>
        <v/>
      </c>
      <c r="Y481" s="341">
        <f>IF('General price list'!$AB483="",0,'General price list'!$AB483)</f>
        <v>0</v>
      </c>
      <c r="Z481" s="365" t="str">
        <f>IFERROR(X481*VLOOKUP(C481,'General price list'!C:I,7,FALSE),"")</f>
        <v/>
      </c>
      <c r="AA481" s="805" t="str">
        <f>IF(X481&lt;&gt;"",VLOOKUP(C481,'General price list'!C483:AN1456,MATCH("HM",Tabulka1[[#Headers],[KOD]:[NEQ]],0),FALSE),"")</f>
        <v/>
      </c>
    </row>
    <row r="482" spans="1:27">
      <c r="A482">
        <f>COUNTIF($W$22:W482,1)</f>
        <v>0</v>
      </c>
      <c r="B482">
        <v>482</v>
      </c>
      <c r="C482" s="340">
        <f>Tabulka1[[#This Row],[KOD]]</f>
        <v>0</v>
      </c>
      <c r="W482" s="804" t="str">
        <f t="shared" si="15"/>
        <v/>
      </c>
      <c r="X482" t="str">
        <f t="shared" si="16"/>
        <v/>
      </c>
      <c r="Y482" s="341">
        <f>IF('General price list'!$AB484="",0,'General price list'!$AB484)</f>
        <v>0</v>
      </c>
      <c r="Z482" s="365" t="str">
        <f>IFERROR(X482*VLOOKUP(C482,'General price list'!C:I,7,FALSE),"")</f>
        <v/>
      </c>
      <c r="AA482" s="805" t="str">
        <f>IF(X482&lt;&gt;"",VLOOKUP(C482,'General price list'!C484:AN1457,MATCH("HM",Tabulka1[[#Headers],[KOD]:[NEQ]],0),FALSE),"")</f>
        <v/>
      </c>
    </row>
    <row r="483" spans="1:27">
      <c r="A483">
        <f>COUNTIF($W$22:W483,1)</f>
        <v>0</v>
      </c>
      <c r="B483">
        <v>483</v>
      </c>
      <c r="C483" s="340" t="str">
        <f>Tabulka1[[#This Row],[KOD]]</f>
        <v>C12820F/C14</v>
      </c>
      <c r="W483" s="804" t="str">
        <f t="shared" si="15"/>
        <v/>
      </c>
      <c r="X483" t="str">
        <f t="shared" si="16"/>
        <v/>
      </c>
      <c r="Y483" s="341">
        <f>IF('General price list'!$AB485="",0,'General price list'!$AB485)</f>
        <v>0</v>
      </c>
      <c r="Z483" s="365" t="str">
        <f>IFERROR(X483*VLOOKUP(C483,'General price list'!C:I,7,FALSE),"")</f>
        <v/>
      </c>
      <c r="AA483" s="805" t="str">
        <f>IF(X483&lt;&gt;"",VLOOKUP(C483,'General price list'!C485:AN1458,MATCH("HM",Tabulka1[[#Headers],[KOD]:[NEQ]],0),FALSE),"")</f>
        <v/>
      </c>
    </row>
    <row r="484" spans="1:27">
      <c r="A484">
        <f>COUNTIF($W$22:W484,1)</f>
        <v>0</v>
      </c>
      <c r="B484">
        <v>484</v>
      </c>
      <c r="C484" s="340" t="str">
        <f>Tabulka1[[#This Row],[KOD]]</f>
        <v>C13220B/C14</v>
      </c>
      <c r="W484" s="804" t="str">
        <f t="shared" si="15"/>
        <v/>
      </c>
      <c r="X484" t="str">
        <f t="shared" si="16"/>
        <v/>
      </c>
      <c r="Y484" s="341">
        <f>IF('General price list'!$AB486="",0,'General price list'!$AB486)</f>
        <v>0</v>
      </c>
      <c r="Z484" s="365" t="str">
        <f>IFERROR(X484*VLOOKUP(C484,'General price list'!C:I,7,FALSE),"")</f>
        <v/>
      </c>
      <c r="AA484" s="805" t="str">
        <f>IF(X484&lt;&gt;"",VLOOKUP(C484,'General price list'!C486:AN1459,MATCH("HM",Tabulka1[[#Headers],[KOD]:[NEQ]],0),FALSE),"")</f>
        <v/>
      </c>
    </row>
    <row r="485" spans="1:27">
      <c r="A485">
        <f>COUNTIF($W$22:W485,1)</f>
        <v>0</v>
      </c>
      <c r="B485">
        <v>485</v>
      </c>
      <c r="C485" s="340" t="str">
        <f>Tabulka1[[#This Row],[KOD]]</f>
        <v>C13220TS/C14</v>
      </c>
      <c r="W485" s="804" t="str">
        <f t="shared" si="15"/>
        <v/>
      </c>
      <c r="X485" t="str">
        <f t="shared" si="16"/>
        <v/>
      </c>
      <c r="Y485" s="341">
        <f>IF('General price list'!$AB487="",0,'General price list'!$AB487)</f>
        <v>0</v>
      </c>
      <c r="Z485" s="365" t="str">
        <f>IFERROR(X485*VLOOKUP(C485,'General price list'!C:I,7,FALSE),"")</f>
        <v/>
      </c>
      <c r="AA485" s="805" t="str">
        <f>IF(X485&lt;&gt;"",VLOOKUP(C485,'General price list'!C487:AN1460,MATCH("HM",Tabulka1[[#Headers],[KOD]:[NEQ]],0),FALSE),"")</f>
        <v/>
      </c>
    </row>
    <row r="486" spans="1:27">
      <c r="A486">
        <f>COUNTIF($W$22:W486,1)</f>
        <v>0</v>
      </c>
      <c r="B486">
        <v>486</v>
      </c>
      <c r="C486" s="340" t="str">
        <f>Tabulka1[[#This Row],[KOD]]</f>
        <v>C18820XR/C14</v>
      </c>
      <c r="W486" s="804" t="str">
        <f t="shared" si="15"/>
        <v/>
      </c>
      <c r="X486" t="str">
        <f t="shared" si="16"/>
        <v/>
      </c>
      <c r="Y486" s="341">
        <f>IF('General price list'!$AB488="",0,'General price list'!$AB488)</f>
        <v>0</v>
      </c>
      <c r="Z486" s="365" t="str">
        <f>IFERROR(X486*VLOOKUP(C486,'General price list'!C:I,7,FALSE),"")</f>
        <v/>
      </c>
      <c r="AA486" s="805" t="str">
        <f>IF(X486&lt;&gt;"",VLOOKUP(C486,'General price list'!C488:AN1461,MATCH("HM",Tabulka1[[#Headers],[KOD]:[NEQ]],0),FALSE),"")</f>
        <v/>
      </c>
    </row>
    <row r="487" spans="1:27">
      <c r="A487">
        <f>COUNTIF($W$22:W487,1)</f>
        <v>0</v>
      </c>
      <c r="B487">
        <v>487</v>
      </c>
      <c r="C487" s="340" t="str">
        <f>Tabulka1[[#This Row],[KOD]]</f>
        <v>C20020N/C14</v>
      </c>
      <c r="W487" s="804" t="str">
        <f t="shared" si="15"/>
        <v/>
      </c>
      <c r="X487" t="str">
        <f t="shared" si="16"/>
        <v/>
      </c>
      <c r="Y487" s="341">
        <f>IF('General price list'!$AB489="",0,'General price list'!$AB489)</f>
        <v>0</v>
      </c>
      <c r="Z487" s="365" t="str">
        <f>IFERROR(X487*VLOOKUP(C487,'General price list'!C:I,7,FALSE),"")</f>
        <v/>
      </c>
      <c r="AA487" s="805" t="str">
        <f>IF(X487&lt;&gt;"",VLOOKUP(C487,'General price list'!C489:AN1462,MATCH("HM",Tabulka1[[#Headers],[KOD]:[NEQ]],0),FALSE),"")</f>
        <v/>
      </c>
    </row>
    <row r="488" spans="1:27">
      <c r="A488">
        <f>COUNTIF($W$22:W488,1)</f>
        <v>0</v>
      </c>
      <c r="B488">
        <v>488</v>
      </c>
      <c r="C488" s="340" t="str">
        <f>Tabulka1[[#This Row],[KOD]]</f>
        <v>C20020XPR/C14</v>
      </c>
      <c r="W488" s="804" t="str">
        <f t="shared" si="15"/>
        <v/>
      </c>
      <c r="X488" t="str">
        <f t="shared" si="16"/>
        <v/>
      </c>
      <c r="Y488" s="341">
        <f>IF('General price list'!$AB490="",0,'General price list'!$AB490)</f>
        <v>0</v>
      </c>
      <c r="Z488" s="365" t="str">
        <f>IFERROR(X488*VLOOKUP(C488,'General price list'!C:I,7,FALSE),"")</f>
        <v/>
      </c>
      <c r="AA488" s="805" t="str">
        <f>IF(X488&lt;&gt;"",VLOOKUP(C488,'General price list'!C490:AN1463,MATCH("HM",Tabulka1[[#Headers],[KOD]:[NEQ]],0),FALSE),"")</f>
        <v/>
      </c>
    </row>
    <row r="489" spans="1:27">
      <c r="A489">
        <f>COUNTIF($W$22:W489,1)</f>
        <v>0</v>
      </c>
      <c r="B489">
        <v>489</v>
      </c>
      <c r="C489" s="340" t="str">
        <f>Tabulka1[[#This Row],[KOD]]</f>
        <v>C20020XTS/C14</v>
      </c>
      <c r="W489" s="804" t="str">
        <f t="shared" si="15"/>
        <v/>
      </c>
      <c r="X489" t="str">
        <f t="shared" si="16"/>
        <v/>
      </c>
      <c r="Y489" s="341">
        <f>IF('General price list'!$AB491="",0,'General price list'!$AB491)</f>
        <v>0</v>
      </c>
      <c r="Z489" s="365" t="str">
        <f>IFERROR(X489*VLOOKUP(C489,'General price list'!C:I,7,FALSE),"")</f>
        <v/>
      </c>
      <c r="AA489" s="805" t="str">
        <f>IF(X489&lt;&gt;"",VLOOKUP(C489,'General price list'!C491:AN1464,MATCH("HM",Tabulka1[[#Headers],[KOD]:[NEQ]],0),FALSE),"")</f>
        <v/>
      </c>
    </row>
    <row r="490" spans="1:27">
      <c r="A490">
        <f>COUNTIF($W$22:W490,1)</f>
        <v>0</v>
      </c>
      <c r="B490">
        <v>490</v>
      </c>
      <c r="C490" s="340" t="str">
        <f>Tabulka1[[#This Row],[KOD]]</f>
        <v>C19320XR/C14</v>
      </c>
      <c r="W490" s="804" t="str">
        <f t="shared" si="15"/>
        <v/>
      </c>
      <c r="X490" t="str">
        <f t="shared" si="16"/>
        <v/>
      </c>
      <c r="Y490" s="341">
        <f>IF('General price list'!$AB492="",0,'General price list'!$AB492)</f>
        <v>0</v>
      </c>
      <c r="Z490" s="365" t="str">
        <f>IFERROR(X490*VLOOKUP(C490,'General price list'!C:I,7,FALSE),"")</f>
        <v/>
      </c>
      <c r="AA490" s="805" t="str">
        <f>IF(X490&lt;&gt;"",VLOOKUP(C490,'General price list'!C492:AN1465,MATCH("HM",Tabulka1[[#Headers],[KOD]:[NEQ]],0),FALSE),"")</f>
        <v/>
      </c>
    </row>
    <row r="491" spans="1:27">
      <c r="A491">
        <f>COUNTIF($W$22:W491,1)</f>
        <v>0</v>
      </c>
      <c r="B491">
        <v>491</v>
      </c>
      <c r="C491" s="340">
        <f>Tabulka1[[#This Row],[KOD]]</f>
        <v>0</v>
      </c>
      <c r="W491" s="804" t="str">
        <f t="shared" si="15"/>
        <v/>
      </c>
      <c r="X491" t="str">
        <f t="shared" si="16"/>
        <v/>
      </c>
      <c r="Y491" s="341">
        <f>IF('General price list'!$AB493="",0,'General price list'!$AB493)</f>
        <v>0</v>
      </c>
      <c r="Z491" s="365" t="str">
        <f>IFERROR(X491*VLOOKUP(C491,'General price list'!C:I,7,FALSE),"")</f>
        <v/>
      </c>
      <c r="AA491" s="805" t="str">
        <f>IF(X491&lt;&gt;"",VLOOKUP(C491,'General price list'!C493:AN1466,MATCH("HM",Tabulka1[[#Headers],[KOD]:[NEQ]],0),FALSE),"")</f>
        <v/>
      </c>
    </row>
    <row r="492" spans="1:27">
      <c r="A492">
        <f>COUNTIF($W$22:W492,1)</f>
        <v>0</v>
      </c>
      <c r="B492">
        <v>492</v>
      </c>
      <c r="C492" s="340" t="str">
        <f>Tabulka1[[#This Row],[KOD]]</f>
        <v>C19220F/C14</v>
      </c>
      <c r="W492" s="804" t="str">
        <f t="shared" si="15"/>
        <v/>
      </c>
      <c r="X492" t="str">
        <f t="shared" si="16"/>
        <v/>
      </c>
      <c r="Y492" s="341">
        <f>IF('General price list'!$AB494="",0,'General price list'!$AB494)</f>
        <v>0</v>
      </c>
      <c r="Z492" s="365" t="str">
        <f>IFERROR(X492*VLOOKUP(C492,'General price list'!C:I,7,FALSE),"")</f>
        <v/>
      </c>
      <c r="AA492" s="805" t="str">
        <f>IF(X492&lt;&gt;"",VLOOKUP(C492,'General price list'!C494:AN1467,MATCH("HM",Tabulka1[[#Headers],[KOD]:[NEQ]],0),FALSE),"")</f>
        <v/>
      </c>
    </row>
    <row r="493" spans="1:27">
      <c r="A493">
        <f>COUNTIF($W$22:W493,1)</f>
        <v>0</v>
      </c>
      <c r="B493">
        <v>493</v>
      </c>
      <c r="C493" s="340" t="str">
        <f>Tabulka1[[#This Row],[KOD]]</f>
        <v>C25220XFS/C14</v>
      </c>
      <c r="W493" s="804" t="str">
        <f t="shared" si="15"/>
        <v/>
      </c>
      <c r="X493" t="str">
        <f t="shared" si="16"/>
        <v/>
      </c>
      <c r="Y493" s="341">
        <f>IF('General price list'!$AB495="",0,'General price list'!$AB495)</f>
        <v>0</v>
      </c>
      <c r="Z493" s="365" t="str">
        <f>IFERROR(X493*VLOOKUP(C493,'General price list'!C:I,7,FALSE),"")</f>
        <v/>
      </c>
      <c r="AA493" s="805" t="str">
        <f>IF(X493&lt;&gt;"",VLOOKUP(C493,'General price list'!C495:AN1468,MATCH("HM",Tabulka1[[#Headers],[KOD]:[NEQ]],0),FALSE),"")</f>
        <v/>
      </c>
    </row>
    <row r="494" spans="1:27">
      <c r="A494">
        <f>COUNTIF($W$22:W494,1)</f>
        <v>0</v>
      </c>
      <c r="B494">
        <v>494</v>
      </c>
      <c r="C494" s="340" t="str">
        <f>Tabulka1[[#This Row],[KOD]]</f>
        <v>C25620F/C14</v>
      </c>
      <c r="W494" s="804" t="str">
        <f t="shared" si="15"/>
        <v/>
      </c>
      <c r="X494" t="str">
        <f t="shared" si="16"/>
        <v/>
      </c>
      <c r="Y494" s="341">
        <f>IF('General price list'!$AB496="",0,'General price list'!$AB496)</f>
        <v>0</v>
      </c>
      <c r="Z494" s="365" t="str">
        <f>IFERROR(X494*VLOOKUP(C494,'General price list'!C:I,7,FALSE),"")</f>
        <v/>
      </c>
      <c r="AA494" s="805" t="str">
        <f>IF(X494&lt;&gt;"",VLOOKUP(C494,'General price list'!C496:AN1469,MATCH("HM",Tabulka1[[#Headers],[KOD]:[NEQ]],0),FALSE),"")</f>
        <v/>
      </c>
    </row>
    <row r="495" spans="1:27">
      <c r="A495">
        <f>COUNTIF($W$22:W495,1)</f>
        <v>0</v>
      </c>
      <c r="B495">
        <v>495</v>
      </c>
      <c r="C495" s="340" t="str">
        <f>Tabulka1[[#This Row],[KOD]]</f>
        <v>C26420N/C14</v>
      </c>
      <c r="W495" s="804" t="str">
        <f t="shared" si="15"/>
        <v/>
      </c>
      <c r="X495" t="str">
        <f t="shared" si="16"/>
        <v/>
      </c>
      <c r="Y495" s="341">
        <f>IF('General price list'!$AB497="",0,'General price list'!$AB497)</f>
        <v>0</v>
      </c>
      <c r="Z495" s="365" t="str">
        <f>IFERROR(X495*VLOOKUP(C495,'General price list'!C:I,7,FALSE),"")</f>
        <v/>
      </c>
      <c r="AA495" s="805" t="str">
        <f>IF(X495&lt;&gt;"",VLOOKUP(C495,'General price list'!C497:AN1470,MATCH("HM",Tabulka1[[#Headers],[KOD]:[NEQ]],0),FALSE),"")</f>
        <v/>
      </c>
    </row>
    <row r="496" spans="1:27">
      <c r="A496">
        <f>COUNTIF($W$22:W496,1)</f>
        <v>0</v>
      </c>
      <c r="B496">
        <v>496</v>
      </c>
      <c r="C496" s="340" t="str">
        <f>Tabulka1[[#This Row],[KOD]]</f>
        <v>C30020R/C14</v>
      </c>
      <c r="W496" s="804" t="str">
        <f t="shared" si="15"/>
        <v/>
      </c>
      <c r="X496" t="str">
        <f t="shared" si="16"/>
        <v/>
      </c>
      <c r="Y496" s="341">
        <f>IF('General price list'!$AB498="",0,'General price list'!$AB498)</f>
        <v>0</v>
      </c>
      <c r="Z496" s="365" t="str">
        <f>IFERROR(X496*VLOOKUP(C496,'General price list'!C:I,7,FALSE),"")</f>
        <v/>
      </c>
      <c r="AA496" s="805" t="str">
        <f>IF(X496&lt;&gt;"",VLOOKUP(C496,'General price list'!C498:AN1471,MATCH("HM",Tabulka1[[#Headers],[KOD]:[NEQ]],0),FALSE),"")</f>
        <v/>
      </c>
    </row>
    <row r="497" spans="1:27">
      <c r="A497">
        <f>COUNTIF($W$22:W497,1)</f>
        <v>0</v>
      </c>
      <c r="B497">
        <v>497</v>
      </c>
      <c r="C497" s="340" t="str">
        <f>Tabulka1[[#This Row],[KOD]]</f>
        <v>C40020B/C14</v>
      </c>
      <c r="W497" s="804" t="str">
        <f t="shared" si="15"/>
        <v/>
      </c>
      <c r="X497" t="str">
        <f t="shared" si="16"/>
        <v/>
      </c>
      <c r="Y497" s="341">
        <f>IF('General price list'!$AB499="",0,'General price list'!$AB499)</f>
        <v>0</v>
      </c>
      <c r="Z497" s="365" t="str">
        <f>IFERROR(X497*VLOOKUP(C497,'General price list'!C:I,7,FALSE),"")</f>
        <v/>
      </c>
      <c r="AA497" s="805" t="str">
        <f>IF(X497&lt;&gt;"",VLOOKUP(C497,'General price list'!C499:AN1472,MATCH("HM",Tabulka1[[#Headers],[KOD]:[NEQ]],0),FALSE),"")</f>
        <v/>
      </c>
    </row>
    <row r="498" spans="1:27">
      <c r="A498">
        <f>COUNTIF($W$22:W498,1)</f>
        <v>0</v>
      </c>
      <c r="B498">
        <v>498</v>
      </c>
      <c r="C498" s="340" t="str">
        <f>Tabulka1[[#This Row],[KOD]]</f>
        <v>C40020XPR/C14</v>
      </c>
      <c r="W498" s="804" t="str">
        <f t="shared" si="15"/>
        <v/>
      </c>
      <c r="X498" t="str">
        <f t="shared" si="16"/>
        <v/>
      </c>
      <c r="Y498" s="341">
        <f>IF('General price list'!$AB500="",0,'General price list'!$AB500)</f>
        <v>0</v>
      </c>
      <c r="Z498" s="365" t="str">
        <f>IFERROR(X498*VLOOKUP(C498,'General price list'!C:I,7,FALSE),"")</f>
        <v/>
      </c>
      <c r="AA498" s="805" t="str">
        <f>IF(X498&lt;&gt;"",VLOOKUP(C498,'General price list'!C500:AN1473,MATCH("HM",Tabulka1[[#Headers],[KOD]:[NEQ]],0),FALSE),"")</f>
        <v/>
      </c>
    </row>
    <row r="499" spans="1:27">
      <c r="A499">
        <f>COUNTIF($W$22:W499,1)</f>
        <v>0</v>
      </c>
      <c r="B499">
        <v>499</v>
      </c>
      <c r="C499" s="340" t="str">
        <f>Tabulka1[[#This Row],[KOD]]</f>
        <v>C1-C2 C51220I/C14</v>
      </c>
      <c r="W499" s="804" t="str">
        <f t="shared" si="15"/>
        <v/>
      </c>
      <c r="X499" t="str">
        <f t="shared" si="16"/>
        <v/>
      </c>
      <c r="Y499" s="341">
        <f>IF('General price list'!$AB501="",0,'General price list'!$AB501)</f>
        <v>0</v>
      </c>
      <c r="Z499" s="365" t="str">
        <f>IFERROR(X499*VLOOKUP(C499,'General price list'!C:I,7,FALSE),"")</f>
        <v/>
      </c>
      <c r="AA499" s="805" t="str">
        <f>IF(X499&lt;&gt;"",VLOOKUP(C499,'General price list'!C501:AN1474,MATCH("HM",Tabulka1[[#Headers],[KOD]:[NEQ]],0),FALSE),"")</f>
        <v/>
      </c>
    </row>
    <row r="500" spans="1:27">
      <c r="A500">
        <f>COUNTIF($W$22:W500,1)</f>
        <v>0</v>
      </c>
      <c r="B500">
        <v>500</v>
      </c>
      <c r="C500" s="340" t="str">
        <f>Tabulka1[[#This Row],[KOD]]</f>
        <v>C1-C2 C65620XH/C14</v>
      </c>
      <c r="W500" s="804" t="str">
        <f t="shared" si="15"/>
        <v/>
      </c>
      <c r="X500" t="str">
        <f t="shared" si="16"/>
        <v/>
      </c>
      <c r="Y500" s="341">
        <f>IF('General price list'!$AB502="",0,'General price list'!$AB502)</f>
        <v>0</v>
      </c>
      <c r="Z500" s="365" t="str">
        <f>IFERROR(X500*VLOOKUP(C500,'General price list'!C:I,7,FALSE),"")</f>
        <v/>
      </c>
      <c r="AA500" s="805" t="str">
        <f>IF(X500&lt;&gt;"",VLOOKUP(C500,'General price list'!C502:AN1475,MATCH("HM",Tabulka1[[#Headers],[KOD]:[NEQ]],0),FALSE),"")</f>
        <v/>
      </c>
    </row>
    <row r="501" spans="1:27">
      <c r="A501">
        <f>COUNTIF($W$22:W501,1)</f>
        <v>0</v>
      </c>
      <c r="B501">
        <v>501</v>
      </c>
      <c r="C501" s="340" t="str">
        <f>Tabulka1[[#This Row],[KOD]]</f>
        <v>C1-C2 C80020S/C14</v>
      </c>
      <c r="W501" s="804" t="str">
        <f t="shared" si="15"/>
        <v/>
      </c>
      <c r="X501" t="str">
        <f t="shared" si="16"/>
        <v/>
      </c>
      <c r="Y501" s="341">
        <f>IF('General price list'!$AB503="",0,'General price list'!$AB503)</f>
        <v>0</v>
      </c>
      <c r="Z501" s="365" t="str">
        <f>IFERROR(X501*VLOOKUP(C501,'General price list'!C:I,7,FALSE),"")</f>
        <v/>
      </c>
      <c r="AA501" s="805" t="str">
        <f>IF(X501&lt;&gt;"",VLOOKUP(C501,'General price list'!C503:AN1476,MATCH("HM",Tabulka1[[#Headers],[KOD]:[NEQ]],0),FALSE),"")</f>
        <v/>
      </c>
    </row>
    <row r="502" spans="1:27">
      <c r="A502">
        <f>COUNTIF($W$22:W502,1)</f>
        <v>0</v>
      </c>
      <c r="B502">
        <v>502</v>
      </c>
      <c r="C502" s="340">
        <f>Tabulka1[[#This Row],[KOD]]</f>
        <v>0</v>
      </c>
      <c r="W502" s="804" t="str">
        <f t="shared" si="15"/>
        <v/>
      </c>
      <c r="X502" t="str">
        <f t="shared" si="16"/>
        <v/>
      </c>
      <c r="Y502" s="341">
        <f>IF('General price list'!$AB504="",0,'General price list'!$AB504)</f>
        <v>0</v>
      </c>
      <c r="Z502" s="365" t="str">
        <f>IFERROR(X502*VLOOKUP(C502,'General price list'!C:I,7,FALSE),"")</f>
        <v/>
      </c>
      <c r="AA502" s="805" t="str">
        <f>IF(X502&lt;&gt;"",VLOOKUP(C502,'General price list'!C504:AN1477,MATCH("HM",Tabulka1[[#Headers],[KOD]:[NEQ]],0),FALSE),"")</f>
        <v/>
      </c>
    </row>
    <row r="503" spans="1:27">
      <c r="A503">
        <f>COUNTIF($W$22:W503,1)</f>
        <v>0</v>
      </c>
      <c r="B503">
        <v>503</v>
      </c>
      <c r="C503" s="340" t="str">
        <f>Tabulka1[[#This Row],[KOD]]</f>
        <v>C6420DU/C</v>
      </c>
      <c r="W503" s="804" t="str">
        <f t="shared" si="15"/>
        <v/>
      </c>
      <c r="X503" t="str">
        <f t="shared" si="16"/>
        <v/>
      </c>
      <c r="Y503" s="341">
        <f>IF('General price list'!$AB505="",0,'General price list'!$AB505)</f>
        <v>0</v>
      </c>
      <c r="Z503" s="365" t="str">
        <f>IFERROR(X503*VLOOKUP(C503,'General price list'!C:I,7,FALSE),"")</f>
        <v/>
      </c>
      <c r="AA503" s="805" t="str">
        <f>IF(X503&lt;&gt;"",VLOOKUP(C503,'General price list'!C505:AN1478,MATCH("HM",Tabulka1[[#Headers],[KOD]:[NEQ]],0),FALSE),"")</f>
        <v/>
      </c>
    </row>
    <row r="504" spans="1:27">
      <c r="A504">
        <f>COUNTIF($W$22:W504,1)</f>
        <v>0</v>
      </c>
      <c r="B504">
        <v>504</v>
      </c>
      <c r="C504" s="340" t="str">
        <f>Tabulka1[[#This Row],[KOD]]</f>
        <v>C12820F/C</v>
      </c>
      <c r="W504" s="804" t="str">
        <f t="shared" si="15"/>
        <v/>
      </c>
      <c r="X504" t="str">
        <f t="shared" si="16"/>
        <v/>
      </c>
      <c r="Y504" s="341">
        <f>IF('General price list'!$AB506="",0,'General price list'!$AB506)</f>
        <v>0</v>
      </c>
      <c r="Z504" s="365" t="str">
        <f>IFERROR(X504*VLOOKUP(C504,'General price list'!C:I,7,FALSE),"")</f>
        <v/>
      </c>
      <c r="AA504" s="805" t="str">
        <f>IF(X504&lt;&gt;"",VLOOKUP(C504,'General price list'!C506:AN1479,MATCH("HM",Tabulka1[[#Headers],[KOD]:[NEQ]],0),FALSE),"")</f>
        <v/>
      </c>
    </row>
    <row r="505" spans="1:27">
      <c r="A505">
        <f>COUNTIF($W$22:W505,1)</f>
        <v>0</v>
      </c>
      <c r="B505">
        <v>505</v>
      </c>
      <c r="C505" s="340" t="str">
        <f>Tabulka1[[#This Row],[KOD]]</f>
        <v>C13220B/C</v>
      </c>
      <c r="W505" s="804" t="str">
        <f t="shared" si="15"/>
        <v/>
      </c>
      <c r="X505" t="str">
        <f t="shared" si="16"/>
        <v/>
      </c>
      <c r="Y505" s="341">
        <f>IF('General price list'!$AB507="",0,'General price list'!$AB507)</f>
        <v>0</v>
      </c>
      <c r="Z505" s="365" t="str">
        <f>IFERROR(X505*VLOOKUP(C505,'General price list'!C:I,7,FALSE),"")</f>
        <v/>
      </c>
      <c r="AA505" s="805" t="str">
        <f>IF(X505&lt;&gt;"",VLOOKUP(C505,'General price list'!C507:AN1480,MATCH("HM",Tabulka1[[#Headers],[KOD]:[NEQ]],0),FALSE),"")</f>
        <v/>
      </c>
    </row>
    <row r="506" spans="1:27">
      <c r="A506">
        <f>COUNTIF($W$22:W506,1)</f>
        <v>0</v>
      </c>
      <c r="B506">
        <v>506</v>
      </c>
      <c r="C506" s="340" t="str">
        <f>Tabulka1[[#This Row],[KOD]]</f>
        <v>C19220F/C</v>
      </c>
      <c r="W506" s="804" t="str">
        <f t="shared" si="15"/>
        <v/>
      </c>
      <c r="X506" t="str">
        <f t="shared" si="16"/>
        <v/>
      </c>
      <c r="Y506" s="341">
        <f>IF('General price list'!$AB508="",0,'General price list'!$AB508)</f>
        <v>0</v>
      </c>
      <c r="Z506" s="365" t="str">
        <f>IFERROR(X506*VLOOKUP(C506,'General price list'!C:I,7,FALSE),"")</f>
        <v/>
      </c>
      <c r="AA506" s="805" t="str">
        <f>IF(X506&lt;&gt;"",VLOOKUP(C506,'General price list'!C508:AN1481,MATCH("HM",Tabulka1[[#Headers],[KOD]:[NEQ]],0),FALSE),"")</f>
        <v/>
      </c>
    </row>
    <row r="507" spans="1:27">
      <c r="A507">
        <f>COUNTIF($W$22:W507,1)</f>
        <v>0</v>
      </c>
      <c r="B507">
        <v>507</v>
      </c>
      <c r="C507" s="340" t="str">
        <f>Tabulka1[[#This Row],[KOD]]</f>
        <v>C25220XFS/C</v>
      </c>
      <c r="W507" s="804" t="str">
        <f t="shared" si="15"/>
        <v/>
      </c>
      <c r="X507" t="str">
        <f t="shared" si="16"/>
        <v/>
      </c>
      <c r="Y507" s="341">
        <f>IF('General price list'!$AB509="",0,'General price list'!$AB509)</f>
        <v>0</v>
      </c>
      <c r="Z507" s="365" t="str">
        <f>IFERROR(X507*VLOOKUP(C507,'General price list'!C:I,7,FALSE),"")</f>
        <v/>
      </c>
      <c r="AA507" s="805" t="str">
        <f>IF(X507&lt;&gt;"",VLOOKUP(C507,'General price list'!C509:AN1482,MATCH("HM",Tabulka1[[#Headers],[KOD]:[NEQ]],0),FALSE),"")</f>
        <v/>
      </c>
    </row>
    <row r="508" spans="1:27">
      <c r="A508">
        <f>COUNTIF($W$22:W508,1)</f>
        <v>0</v>
      </c>
      <c r="B508">
        <v>508</v>
      </c>
      <c r="C508" s="340" t="str">
        <f>Tabulka1[[#This Row],[KOD]]</f>
        <v>C25620NID/C</v>
      </c>
      <c r="W508" s="804" t="str">
        <f t="shared" si="15"/>
        <v/>
      </c>
      <c r="X508" t="str">
        <f t="shared" si="16"/>
        <v/>
      </c>
      <c r="Y508" s="341">
        <f>IF('General price list'!$AB510="",0,'General price list'!$AB510)</f>
        <v>0</v>
      </c>
      <c r="Z508" s="365" t="str">
        <f>IFERROR(X508*VLOOKUP(C508,'General price list'!C:I,7,FALSE),"")</f>
        <v/>
      </c>
      <c r="AA508" s="805" t="str">
        <f>IF(X508&lt;&gt;"",VLOOKUP(C508,'General price list'!C510:AN1483,MATCH("HM",Tabulka1[[#Headers],[KOD]:[NEQ]],0),FALSE),"")</f>
        <v/>
      </c>
    </row>
    <row r="509" spans="1:27">
      <c r="A509">
        <f>COUNTIF($W$22:W509,1)</f>
        <v>0</v>
      </c>
      <c r="B509">
        <v>509</v>
      </c>
      <c r="C509" s="340" t="str">
        <f>Tabulka1[[#This Row],[KOD]]</f>
        <v>C25620F/C</v>
      </c>
      <c r="W509" s="804" t="str">
        <f t="shared" si="15"/>
        <v/>
      </c>
      <c r="X509" t="str">
        <f t="shared" si="16"/>
        <v/>
      </c>
      <c r="Y509" s="341">
        <f>IF('General price list'!$AB511="",0,'General price list'!$AB511)</f>
        <v>0</v>
      </c>
      <c r="Z509" s="365" t="str">
        <f>IFERROR(X509*VLOOKUP(C509,'General price list'!C:I,7,FALSE),"")</f>
        <v/>
      </c>
      <c r="AA509" s="805" t="str">
        <f>IF(X509&lt;&gt;"",VLOOKUP(C509,'General price list'!C511:AN1484,MATCH("HM",Tabulka1[[#Headers],[KOD]:[NEQ]],0),FALSE),"")</f>
        <v/>
      </c>
    </row>
    <row r="510" spans="1:27">
      <c r="A510">
        <f>COUNTIF($W$22:W510,1)</f>
        <v>0</v>
      </c>
      <c r="B510">
        <v>510</v>
      </c>
      <c r="C510" s="340" t="str">
        <f>Tabulka1[[#This Row],[KOD]]</f>
        <v>C26420N/C</v>
      </c>
      <c r="W510" s="804" t="str">
        <f t="shared" si="15"/>
        <v/>
      </c>
      <c r="X510" t="str">
        <f t="shared" si="16"/>
        <v/>
      </c>
      <c r="Y510" s="341">
        <f>IF('General price list'!$AB512="",0,'General price list'!$AB512)</f>
        <v>0</v>
      </c>
      <c r="Z510" s="365" t="str">
        <f>IFERROR(X510*VLOOKUP(C510,'General price list'!C:I,7,FALSE),"")</f>
        <v/>
      </c>
      <c r="AA510" s="805" t="str">
        <f>IF(X510&lt;&gt;"",VLOOKUP(C510,'General price list'!C512:AN1485,MATCH("HM",Tabulka1[[#Headers],[KOD]:[NEQ]],0),FALSE),"")</f>
        <v/>
      </c>
    </row>
    <row r="511" spans="1:27">
      <c r="A511">
        <f>COUNTIF($W$22:W511,1)</f>
        <v>0</v>
      </c>
      <c r="B511">
        <v>511</v>
      </c>
      <c r="C511" s="340" t="str">
        <f>Tabulka1[[#This Row],[KOD]]</f>
        <v>C32820XM/C</v>
      </c>
      <c r="W511" s="804" t="str">
        <f t="shared" si="15"/>
        <v/>
      </c>
      <c r="X511" t="str">
        <f t="shared" si="16"/>
        <v/>
      </c>
      <c r="Y511" s="341">
        <f>IF('General price list'!$AB513="",0,'General price list'!$AB513)</f>
        <v>0</v>
      </c>
      <c r="Z511" s="365" t="str">
        <f>IFERROR(X511*VLOOKUP(C511,'General price list'!C:I,7,FALSE),"")</f>
        <v/>
      </c>
      <c r="AA511" s="805" t="str">
        <f>IF(X511&lt;&gt;"",VLOOKUP(C511,'General price list'!C513:AN1486,MATCH("HM",Tabulka1[[#Headers],[KOD]:[NEQ]],0),FALSE),"")</f>
        <v/>
      </c>
    </row>
    <row r="512" spans="1:27">
      <c r="A512">
        <f>COUNTIF($W$22:W512,1)</f>
        <v>0</v>
      </c>
      <c r="B512">
        <v>512</v>
      </c>
      <c r="C512" s="340">
        <f>Tabulka1[[#This Row],[KOD]]</f>
        <v>0</v>
      </c>
      <c r="W512" s="804" t="str">
        <f t="shared" si="15"/>
        <v/>
      </c>
      <c r="X512" t="str">
        <f t="shared" si="16"/>
        <v/>
      </c>
      <c r="Y512" s="341">
        <f>IF('General price list'!$AB514="",0,'General price list'!$AB514)</f>
        <v>0</v>
      </c>
      <c r="Z512" s="365" t="str">
        <f>IFERROR(X512*VLOOKUP(C512,'General price list'!C:I,7,FALSE),"")</f>
        <v/>
      </c>
      <c r="AA512" s="805" t="str">
        <f>IF(X512&lt;&gt;"",VLOOKUP(C512,'General price list'!C514:AN1487,MATCH("HM",Tabulka1[[#Headers],[KOD]:[NEQ]],0),FALSE),"")</f>
        <v/>
      </c>
    </row>
    <row r="513" spans="1:27">
      <c r="A513">
        <f>COUNTIF($W$22:W513,1)</f>
        <v>0</v>
      </c>
      <c r="B513">
        <v>513</v>
      </c>
      <c r="C513" s="340" t="str">
        <f>Tabulka1[[#This Row],[KOD]]</f>
        <v>C18020SIG/C</v>
      </c>
      <c r="W513" s="804" t="str">
        <f t="shared" si="15"/>
        <v/>
      </c>
      <c r="X513" t="str">
        <f t="shared" si="16"/>
        <v/>
      </c>
      <c r="Y513" s="341">
        <f>IF('General price list'!$AB515="",0,'General price list'!$AB515)</f>
        <v>0</v>
      </c>
      <c r="Z513" s="365" t="str">
        <f>IFERROR(X513*VLOOKUP(C513,'General price list'!C:I,7,FALSE),"")</f>
        <v/>
      </c>
      <c r="AA513" s="805" t="str">
        <f>IF(X513&lt;&gt;"",VLOOKUP(C513,'General price list'!C515:AN1488,MATCH("HM",Tabulka1[[#Headers],[KOD]:[NEQ]],0),FALSE),"")</f>
        <v/>
      </c>
    </row>
    <row r="514" spans="1:27">
      <c r="A514">
        <f>COUNTIF($W$22:W514,1)</f>
        <v>0</v>
      </c>
      <c r="B514">
        <v>514</v>
      </c>
      <c r="C514" s="340" t="str">
        <f>Tabulka1[[#This Row],[KOD]]</f>
        <v>C26020F/C</v>
      </c>
      <c r="W514" s="804" t="str">
        <f t="shared" si="15"/>
        <v/>
      </c>
      <c r="X514" t="str">
        <f t="shared" si="16"/>
        <v/>
      </c>
      <c r="Y514" s="341">
        <f>IF('General price list'!$AB516="",0,'General price list'!$AB516)</f>
        <v>0</v>
      </c>
      <c r="Z514" s="365" t="str">
        <f>IFERROR(X514*VLOOKUP(C514,'General price list'!C:I,7,FALSE),"")</f>
        <v/>
      </c>
      <c r="AA514" s="805" t="str">
        <f>IF(X514&lt;&gt;"",VLOOKUP(C514,'General price list'!C516:AN1489,MATCH("HM",Tabulka1[[#Headers],[KOD]:[NEQ]],0),FALSE),"")</f>
        <v/>
      </c>
    </row>
    <row r="515" spans="1:27">
      <c r="A515">
        <f>COUNTIF($W$22:W515,1)</f>
        <v>0</v>
      </c>
      <c r="B515">
        <v>515</v>
      </c>
      <c r="C515" s="340" t="str">
        <f>Tabulka1[[#This Row],[KOD]]</f>
        <v>C26820F/C</v>
      </c>
      <c r="W515" s="804" t="str">
        <f t="shared" si="15"/>
        <v/>
      </c>
      <c r="X515" t="str">
        <f t="shared" si="16"/>
        <v/>
      </c>
      <c r="Y515" s="341">
        <f>IF('General price list'!$AB517="",0,'General price list'!$AB517)</f>
        <v>0</v>
      </c>
      <c r="Z515" s="365" t="str">
        <f>IFERROR(X515*VLOOKUP(C515,'General price list'!C:I,7,FALSE),"")</f>
        <v/>
      </c>
      <c r="AA515" s="805" t="str">
        <f>IF(X515&lt;&gt;"",VLOOKUP(C515,'General price list'!C517:AN1490,MATCH("HM",Tabulka1[[#Headers],[KOD]:[NEQ]],0),FALSE),"")</f>
        <v/>
      </c>
    </row>
    <row r="516" spans="1:27">
      <c r="A516">
        <f>COUNTIF($W$22:W516,1)</f>
        <v>0</v>
      </c>
      <c r="B516">
        <v>516</v>
      </c>
      <c r="C516" s="340" t="str">
        <f>Tabulka1[[#This Row],[KOD]]</f>
        <v>C39020F/C</v>
      </c>
      <c r="W516" s="804" t="str">
        <f t="shared" si="15"/>
        <v/>
      </c>
      <c r="X516" t="str">
        <f t="shared" si="16"/>
        <v/>
      </c>
      <c r="Y516" s="341">
        <f>IF('General price list'!$AB518="",0,'General price list'!$AB518)</f>
        <v>0</v>
      </c>
      <c r="Z516" s="365" t="str">
        <f>IFERROR(X516*VLOOKUP(C516,'General price list'!C:I,7,FALSE),"")</f>
        <v/>
      </c>
      <c r="AA516" s="805" t="str">
        <f>IF(X516&lt;&gt;"",VLOOKUP(C516,'General price list'!C518:AN1491,MATCH("HM",Tabulka1[[#Headers],[KOD]:[NEQ]],0),FALSE),"")</f>
        <v/>
      </c>
    </row>
    <row r="517" spans="1:27">
      <c r="A517">
        <f>COUNTIF($W$22:W517,1)</f>
        <v>0</v>
      </c>
      <c r="B517">
        <v>517</v>
      </c>
      <c r="C517" s="340" t="str">
        <f>Tabulka1[[#This Row],[KOD]]</f>
        <v>C52020F/C</v>
      </c>
      <c r="W517" s="804" t="str">
        <f t="shared" si="15"/>
        <v/>
      </c>
      <c r="X517" t="str">
        <f t="shared" si="16"/>
        <v/>
      </c>
      <c r="Y517" s="341">
        <f>IF('General price list'!$AB519="",0,'General price list'!$AB519)</f>
        <v>0</v>
      </c>
      <c r="Z517" s="365" t="str">
        <f>IFERROR(X517*VLOOKUP(C517,'General price list'!C:I,7,FALSE),"")</f>
        <v/>
      </c>
      <c r="AA517" s="805" t="str">
        <f>IF(X517&lt;&gt;"",VLOOKUP(C517,'General price list'!C519:AN1492,MATCH("HM",Tabulka1[[#Headers],[KOD]:[NEQ]],0),FALSE),"")</f>
        <v/>
      </c>
    </row>
    <row r="518" spans="1:27">
      <c r="A518">
        <f>COUNTIF($W$22:W518,1)</f>
        <v>0</v>
      </c>
      <c r="B518">
        <v>518</v>
      </c>
      <c r="C518" s="340" t="str">
        <f>Tabulka1[[#This Row],[KOD]]</f>
        <v>C53620F/C</v>
      </c>
      <c r="W518" s="804" t="str">
        <f t="shared" si="15"/>
        <v/>
      </c>
      <c r="X518" t="str">
        <f t="shared" si="16"/>
        <v/>
      </c>
      <c r="Y518" s="341">
        <f>IF('General price list'!$AB520="",0,'General price list'!$AB520)</f>
        <v>0</v>
      </c>
      <c r="Z518" s="365" t="str">
        <f>IFERROR(X518*VLOOKUP(C518,'General price list'!C:I,7,FALSE),"")</f>
        <v/>
      </c>
      <c r="AA518" s="805" t="str">
        <f>IF(X518&lt;&gt;"",VLOOKUP(C518,'General price list'!C520:AN1493,MATCH("HM",Tabulka1[[#Headers],[KOD]:[NEQ]],0),FALSE),"")</f>
        <v/>
      </c>
    </row>
    <row r="519" spans="1:27">
      <c r="A519">
        <f>COUNTIF($W$22:W519,1)</f>
        <v>0</v>
      </c>
      <c r="B519">
        <v>519</v>
      </c>
      <c r="C519" s="340" t="str">
        <f>Tabulka1[[#This Row],[KOD]]</f>
        <v>C60020XPR/C</v>
      </c>
      <c r="W519" s="804" t="str">
        <f t="shared" si="15"/>
        <v/>
      </c>
      <c r="X519" t="str">
        <f t="shared" si="16"/>
        <v/>
      </c>
      <c r="Y519" s="341">
        <f>IF('General price list'!$AB521="",0,'General price list'!$AB521)</f>
        <v>0</v>
      </c>
      <c r="Z519" s="365" t="str">
        <f>IFERROR(X519*VLOOKUP(C519,'General price list'!C:I,7,FALSE),"")</f>
        <v/>
      </c>
      <c r="AA519" s="805" t="str">
        <f>IF(X519&lt;&gt;"",VLOOKUP(C519,'General price list'!C521:AN1494,MATCH("HM",Tabulka1[[#Headers],[KOD]:[NEQ]],0),FALSE),"")</f>
        <v/>
      </c>
    </row>
    <row r="520" spans="1:27">
      <c r="A520">
        <f>COUNTIF($W$22:W520,1)</f>
        <v>0</v>
      </c>
      <c r="B520">
        <v>520</v>
      </c>
      <c r="C520" s="340">
        <f>Tabulka1[[#This Row],[KOD]]</f>
        <v>0</v>
      </c>
      <c r="W520" s="804" t="str">
        <f t="shared" si="15"/>
        <v/>
      </c>
      <c r="X520" t="str">
        <f t="shared" si="16"/>
        <v/>
      </c>
      <c r="Y520" s="341">
        <f>IF('General price list'!$AB522="",0,'General price list'!$AB522)</f>
        <v>0</v>
      </c>
      <c r="Z520" s="365" t="str">
        <f>IFERROR(X520*VLOOKUP(C520,'General price list'!C:I,7,FALSE),"")</f>
        <v/>
      </c>
      <c r="AA520" s="805" t="str">
        <f>IF(X520&lt;&gt;"",VLOOKUP(C520,'General price list'!C522:AN1495,MATCH("HM",Tabulka1[[#Headers],[KOD]:[NEQ]],0),FALSE),"")</f>
        <v/>
      </c>
    </row>
    <row r="521" spans="1:27">
      <c r="A521">
        <f>COUNTIF($W$22:W521,1)</f>
        <v>0</v>
      </c>
      <c r="B521">
        <v>521</v>
      </c>
      <c r="C521" s="340" t="str">
        <f>Tabulka1[[#This Row],[KOD]]</f>
        <v>C1625B</v>
      </c>
      <c r="W521" s="804" t="str">
        <f t="shared" si="15"/>
        <v/>
      </c>
      <c r="X521" t="str">
        <f t="shared" si="16"/>
        <v/>
      </c>
      <c r="Y521" s="341">
        <f>IF('General price list'!$AB523="",0,'General price list'!$AB523)</f>
        <v>0</v>
      </c>
      <c r="Z521" s="365" t="str">
        <f>IFERROR(X521*VLOOKUP(C521,'General price list'!C:I,7,FALSE),"")</f>
        <v/>
      </c>
      <c r="AA521" s="805" t="str">
        <f>IF(X521&lt;&gt;"",VLOOKUP(C521,'General price list'!C523:AN1496,MATCH("HM",Tabulka1[[#Headers],[KOD]:[NEQ]],0),FALSE),"")</f>
        <v/>
      </c>
    </row>
    <row r="522" spans="1:27">
      <c r="A522">
        <f>COUNTIF($W$22:W522,1)</f>
        <v>0</v>
      </c>
      <c r="B522">
        <v>522</v>
      </c>
      <c r="C522" s="340" t="str">
        <f>Tabulka1[[#This Row],[KOD]]</f>
        <v>C1625D</v>
      </c>
      <c r="W522" s="804" t="str">
        <f t="shared" si="15"/>
        <v/>
      </c>
      <c r="X522" t="str">
        <f t="shared" si="16"/>
        <v/>
      </c>
      <c r="Y522" s="341">
        <f>IF('General price list'!$AB524="",0,'General price list'!$AB524)</f>
        <v>0</v>
      </c>
      <c r="Z522" s="365" t="str">
        <f>IFERROR(X522*VLOOKUP(C522,'General price list'!C:I,7,FALSE),"")</f>
        <v/>
      </c>
      <c r="AA522" s="805" t="str">
        <f>IF(X522&lt;&gt;"",VLOOKUP(C522,'General price list'!C524:AN1497,MATCH("HM",Tabulka1[[#Headers],[KOD]:[NEQ]],0),FALSE),"")</f>
        <v/>
      </c>
    </row>
    <row r="523" spans="1:27">
      <c r="A523">
        <f>COUNTIF($W$22:W523,1)</f>
        <v>0</v>
      </c>
      <c r="B523">
        <v>523</v>
      </c>
      <c r="C523" s="340" t="str">
        <f>Tabulka1[[#This Row],[KOD]]</f>
        <v>C1625F</v>
      </c>
      <c r="W523" s="804" t="str">
        <f t="shared" si="15"/>
        <v/>
      </c>
      <c r="X523" t="str">
        <f t="shared" si="16"/>
        <v/>
      </c>
      <c r="Y523" s="341">
        <f>IF('General price list'!$AB525="",0,'General price list'!$AB525)</f>
        <v>0</v>
      </c>
      <c r="Z523" s="365" t="str">
        <f>IFERROR(X523*VLOOKUP(C523,'General price list'!C:I,7,FALSE),"")</f>
        <v/>
      </c>
      <c r="AA523" s="805" t="str">
        <f>IF(X523&lt;&gt;"",VLOOKUP(C523,'General price list'!C525:AN1498,MATCH("HM",Tabulka1[[#Headers],[KOD]:[NEQ]],0),FALSE),"")</f>
        <v/>
      </c>
    </row>
    <row r="524" spans="1:27">
      <c r="A524">
        <f>COUNTIF($W$22:W524,1)</f>
        <v>0</v>
      </c>
      <c r="B524">
        <v>524</v>
      </c>
      <c r="C524" s="340" t="str">
        <f>Tabulka1[[#This Row],[KOD]]</f>
        <v>C1625G</v>
      </c>
      <c r="W524" s="804" t="str">
        <f t="shared" si="15"/>
        <v/>
      </c>
      <c r="X524" t="str">
        <f t="shared" si="16"/>
        <v/>
      </c>
      <c r="Y524" s="341">
        <f>IF('General price list'!$AB526="",0,'General price list'!$AB526)</f>
        <v>0</v>
      </c>
      <c r="Z524" s="365" t="str">
        <f>IFERROR(X524*VLOOKUP(C524,'General price list'!C:I,7,FALSE),"")</f>
        <v/>
      </c>
      <c r="AA524" s="805" t="str">
        <f>IF(X524&lt;&gt;"",VLOOKUP(C524,'General price list'!C526:AN1499,MATCH("HM",Tabulka1[[#Headers],[KOD]:[NEQ]],0),FALSE),"")</f>
        <v/>
      </c>
    </row>
    <row r="525" spans="1:27">
      <c r="A525">
        <f>COUNTIF($W$22:W525,1)</f>
        <v>0</v>
      </c>
      <c r="B525">
        <v>525</v>
      </c>
      <c r="C525" s="340">
        <f>Tabulka1[[#This Row],[KOD]]</f>
        <v>0</v>
      </c>
      <c r="W525" s="804" t="str">
        <f t="shared" si="15"/>
        <v/>
      </c>
      <c r="X525" t="str">
        <f t="shared" si="16"/>
        <v/>
      </c>
      <c r="Y525" s="341">
        <f>IF('General price list'!$AB527="",0,'General price list'!$AB527)</f>
        <v>0</v>
      </c>
      <c r="Z525" s="365" t="str">
        <f>IFERROR(X525*VLOOKUP(C525,'General price list'!C:I,7,FALSE),"")</f>
        <v/>
      </c>
      <c r="AA525" s="805" t="str">
        <f>IF(X525&lt;&gt;"",VLOOKUP(C525,'General price list'!C527:AN1500,MATCH("HM",Tabulka1[[#Headers],[KOD]:[NEQ]],0),FALSE),"")</f>
        <v/>
      </c>
    </row>
    <row r="526" spans="1:27">
      <c r="A526">
        <f>COUNTIF($W$22:W526,1)</f>
        <v>0</v>
      </c>
      <c r="B526">
        <v>526</v>
      </c>
      <c r="C526" s="340" t="str">
        <f>Tabulka1[[#This Row],[KOD]]</f>
        <v>C1625DU</v>
      </c>
      <c r="W526" s="804" t="str">
        <f t="shared" si="15"/>
        <v/>
      </c>
      <c r="X526" t="str">
        <f t="shared" si="16"/>
        <v/>
      </c>
      <c r="Y526" s="341">
        <f>IF('General price list'!$AB528="",0,'General price list'!$AB528)</f>
        <v>0</v>
      </c>
      <c r="Z526" s="365" t="str">
        <f>IFERROR(X526*VLOOKUP(C526,'General price list'!C:I,7,FALSE),"")</f>
        <v/>
      </c>
      <c r="AA526" s="805" t="str">
        <f>IF(X526&lt;&gt;"",VLOOKUP(C526,'General price list'!C528:AN1501,MATCH("HM",Tabulka1[[#Headers],[KOD]:[NEQ]],0),FALSE),"")</f>
        <v/>
      </c>
    </row>
    <row r="527" spans="1:27">
      <c r="A527">
        <f>COUNTIF($W$22:W527,1)</f>
        <v>0</v>
      </c>
      <c r="B527">
        <v>527</v>
      </c>
      <c r="C527" s="340" t="str">
        <f>Tabulka1[[#This Row],[KOD]]</f>
        <v>C1625D14</v>
      </c>
      <c r="W527" s="804" t="str">
        <f t="shared" si="15"/>
        <v/>
      </c>
      <c r="X527" t="str">
        <f t="shared" si="16"/>
        <v/>
      </c>
      <c r="Y527" s="341">
        <f>IF('General price list'!$AB529="",0,'General price list'!$AB529)</f>
        <v>0</v>
      </c>
      <c r="Z527" s="365" t="str">
        <f>IFERROR(X527*VLOOKUP(C527,'General price list'!C:I,7,FALSE),"")</f>
        <v/>
      </c>
      <c r="AA527" s="805" t="str">
        <f>IF(X527&lt;&gt;"",VLOOKUP(C527,'General price list'!C529:AN1502,MATCH("HM",Tabulka1[[#Headers],[KOD]:[NEQ]],0),FALSE),"")</f>
        <v/>
      </c>
    </row>
    <row r="528" spans="1:27">
      <c r="A528">
        <f>COUNTIF($W$22:W528,1)</f>
        <v>0</v>
      </c>
      <c r="B528">
        <v>528</v>
      </c>
      <c r="C528" s="340" t="str">
        <f>Tabulka1[[#This Row],[KOD]]</f>
        <v>C1625F14</v>
      </c>
      <c r="W528" s="804" t="str">
        <f t="shared" si="15"/>
        <v/>
      </c>
      <c r="X528" t="str">
        <f t="shared" si="16"/>
        <v/>
      </c>
      <c r="Y528" s="341">
        <f>IF('General price list'!$AB530="",0,'General price list'!$AB530)</f>
        <v>0</v>
      </c>
      <c r="Z528" s="365" t="str">
        <f>IFERROR(X528*VLOOKUP(C528,'General price list'!C:I,7,FALSE),"")</f>
        <v/>
      </c>
      <c r="AA528" s="805" t="str">
        <f>IF(X528&lt;&gt;"",VLOOKUP(C528,'General price list'!C530:AN1503,MATCH("HM",Tabulka1[[#Headers],[KOD]:[NEQ]],0),FALSE),"")</f>
        <v/>
      </c>
    </row>
    <row r="529" spans="1:27">
      <c r="A529">
        <f>COUNTIF($W$22:W529,1)</f>
        <v>0</v>
      </c>
      <c r="B529">
        <v>529</v>
      </c>
      <c r="C529" s="340">
        <f>Tabulka1[[#This Row],[KOD]]</f>
        <v>0</v>
      </c>
      <c r="W529" s="804" t="str">
        <f t="shared" si="15"/>
        <v/>
      </c>
      <c r="X529" t="str">
        <f t="shared" si="16"/>
        <v/>
      </c>
      <c r="Y529" s="341">
        <f>IF('General price list'!$AB531="",0,'General price list'!$AB531)</f>
        <v>0</v>
      </c>
      <c r="Z529" s="365" t="str">
        <f>IFERROR(X529*VLOOKUP(C529,'General price list'!C:I,7,FALSE),"")</f>
        <v/>
      </c>
      <c r="AA529" s="805" t="str">
        <f>IF(X529&lt;&gt;"",VLOOKUP(C529,'General price list'!C531:AN1504,MATCH("HM",Tabulka1[[#Headers],[KOD]:[NEQ]],0),FALSE),"")</f>
        <v/>
      </c>
    </row>
    <row r="530" spans="1:27">
      <c r="A530">
        <f>COUNTIF($W$22:W530,1)</f>
        <v>0</v>
      </c>
      <c r="B530">
        <v>530</v>
      </c>
      <c r="C530" s="340" t="str">
        <f>Tabulka1[[#This Row],[KOD]]</f>
        <v>C2525BPW</v>
      </c>
      <c r="W530" s="804" t="str">
        <f t="shared" si="15"/>
        <v/>
      </c>
      <c r="X530" t="str">
        <f t="shared" si="16"/>
        <v/>
      </c>
      <c r="Y530" s="341">
        <f>IF('General price list'!$AB532="",0,'General price list'!$AB532)</f>
        <v>0</v>
      </c>
      <c r="Z530" s="365" t="str">
        <f>IFERROR(X530*VLOOKUP(C530,'General price list'!C:I,7,FALSE),"")</f>
        <v/>
      </c>
      <c r="AA530" s="805" t="str">
        <f>IF(X530&lt;&gt;"",VLOOKUP(C530,'General price list'!C532:AN1505,MATCH("HM",Tabulka1[[#Headers],[KOD]:[NEQ]],0),FALSE),"")</f>
        <v/>
      </c>
    </row>
    <row r="531" spans="1:27">
      <c r="A531">
        <f>COUNTIF($W$22:W531,1)</f>
        <v>0</v>
      </c>
      <c r="B531">
        <v>531</v>
      </c>
      <c r="C531" s="340" t="str">
        <f>Tabulka1[[#This Row],[KOD]]</f>
        <v>C2525SIG</v>
      </c>
      <c r="W531" s="804" t="str">
        <f t="shared" si="15"/>
        <v/>
      </c>
      <c r="X531" t="str">
        <f t="shared" si="16"/>
        <v/>
      </c>
      <c r="Y531" s="341">
        <f>IF('General price list'!$AB533="",0,'General price list'!$AB533)</f>
        <v>0</v>
      </c>
      <c r="Z531" s="365" t="str">
        <f>IFERROR(X531*VLOOKUP(C531,'General price list'!C:I,7,FALSE),"")</f>
        <v/>
      </c>
      <c r="AA531" s="805" t="str">
        <f>IF(X531&lt;&gt;"",VLOOKUP(C531,'General price list'!C533:AN1506,MATCH("HM",Tabulka1[[#Headers],[KOD]:[NEQ]],0),FALSE),"")</f>
        <v/>
      </c>
    </row>
    <row r="532" spans="1:27">
      <c r="A532">
        <f>COUNTIF($W$22:W532,1)</f>
        <v>0</v>
      </c>
      <c r="B532">
        <v>532</v>
      </c>
      <c r="C532" s="340" t="str">
        <f>Tabulka1[[#This Row],[KOD]]</f>
        <v>C2525DU</v>
      </c>
      <c r="W532" s="804" t="str">
        <f t="shared" si="15"/>
        <v/>
      </c>
      <c r="X532" t="str">
        <f t="shared" si="16"/>
        <v/>
      </c>
      <c r="Y532" s="341">
        <f>IF('General price list'!$AB534="",0,'General price list'!$AB534)</f>
        <v>0</v>
      </c>
      <c r="Z532" s="365" t="str">
        <f>IFERROR(X532*VLOOKUP(C532,'General price list'!C:I,7,FALSE),"")</f>
        <v/>
      </c>
      <c r="AA532" s="805" t="str">
        <f>IF(X532&lt;&gt;"",VLOOKUP(C532,'General price list'!C534:AN1507,MATCH("HM",Tabulka1[[#Headers],[KOD]:[NEQ]],0),FALSE),"")</f>
        <v/>
      </c>
    </row>
    <row r="533" spans="1:27">
      <c r="A533">
        <f>COUNTIF($W$22:W533,1)</f>
        <v>0</v>
      </c>
      <c r="B533">
        <v>533</v>
      </c>
      <c r="C533" s="340" t="str">
        <f>Tabulka1[[#This Row],[KOD]]</f>
        <v>C2525C</v>
      </c>
      <c r="W533" s="804" t="str">
        <f t="shared" si="15"/>
        <v/>
      </c>
      <c r="X533" t="str">
        <f t="shared" si="16"/>
        <v/>
      </c>
      <c r="Y533" s="341">
        <f>IF('General price list'!$AB535="",0,'General price list'!$AB535)</f>
        <v>0</v>
      </c>
      <c r="Z533" s="365" t="str">
        <f>IFERROR(X533*VLOOKUP(C533,'General price list'!C:I,7,FALSE),"")</f>
        <v/>
      </c>
      <c r="AA533" s="805" t="str">
        <f>IF(X533&lt;&gt;"",VLOOKUP(C533,'General price list'!C535:AN1508,MATCH("HM",Tabulka1[[#Headers],[KOD]:[NEQ]],0),FALSE),"")</f>
        <v/>
      </c>
    </row>
    <row r="534" spans="1:27">
      <c r="A534">
        <f>COUNTIF($W$22:W534,1)</f>
        <v>0</v>
      </c>
      <c r="B534">
        <v>534</v>
      </c>
      <c r="C534" s="340" t="str">
        <f>Tabulka1[[#This Row],[KOD]]</f>
        <v>C2525L</v>
      </c>
      <c r="W534" s="804" t="str">
        <f t="shared" si="15"/>
        <v/>
      </c>
      <c r="X534" t="str">
        <f t="shared" si="16"/>
        <v/>
      </c>
      <c r="Y534" s="341">
        <f>IF('General price list'!$AB536="",0,'General price list'!$AB536)</f>
        <v>0</v>
      </c>
      <c r="Z534" s="365" t="str">
        <f>IFERROR(X534*VLOOKUP(C534,'General price list'!C:I,7,FALSE),"")</f>
        <v/>
      </c>
      <c r="AA534" s="805" t="str">
        <f>IF(X534&lt;&gt;"",VLOOKUP(C534,'General price list'!C536:AN1509,MATCH("HM",Tabulka1[[#Headers],[KOD]:[NEQ]],0),FALSE),"")</f>
        <v/>
      </c>
    </row>
    <row r="535" spans="1:27">
      <c r="A535">
        <f>COUNTIF($W$22:W535,1)</f>
        <v>0</v>
      </c>
      <c r="B535">
        <v>535</v>
      </c>
      <c r="C535" s="340">
        <f>Tabulka1[[#This Row],[KOD]]</f>
        <v>0</v>
      </c>
      <c r="W535" s="804" t="str">
        <f t="shared" si="15"/>
        <v/>
      </c>
      <c r="X535" t="str">
        <f t="shared" si="16"/>
        <v/>
      </c>
      <c r="Y535" s="341">
        <f>IF('General price list'!$AB537="",0,'General price list'!$AB537)</f>
        <v>0</v>
      </c>
      <c r="Z535" s="365" t="str">
        <f>IFERROR(X535*VLOOKUP(C535,'General price list'!C:I,7,FALSE),"")</f>
        <v/>
      </c>
      <c r="AA535" s="805" t="str">
        <f>IF(X535&lt;&gt;"",VLOOKUP(C535,'General price list'!C537:AN1510,MATCH("HM",Tabulka1[[#Headers],[KOD]:[NEQ]],0),FALSE),"")</f>
        <v/>
      </c>
    </row>
    <row r="536" spans="1:27">
      <c r="A536">
        <f>COUNTIF($W$22:W536,1)</f>
        <v>0</v>
      </c>
      <c r="B536">
        <v>536</v>
      </c>
      <c r="C536" s="340" t="str">
        <f>Tabulka1[[#This Row],[KOD]]</f>
        <v>C2525SC14</v>
      </c>
      <c r="W536" s="804" t="str">
        <f t="shared" ref="W536:W599" si="17">IF(Y536+1=1,"",1)</f>
        <v/>
      </c>
      <c r="X536" t="str">
        <f t="shared" ref="X536:X599" si="18">IF(OR(A536&lt;$F$20,A536&gt;$F$21),"",IF(Y536=0,"",Y536))</f>
        <v/>
      </c>
      <c r="Y536" s="341">
        <f>IF('General price list'!$AB538="",0,'General price list'!$AB538)</f>
        <v>0</v>
      </c>
      <c r="Z536" s="365" t="str">
        <f>IFERROR(X536*VLOOKUP(C536,'General price list'!C:I,7,FALSE),"")</f>
        <v/>
      </c>
      <c r="AA536" s="805" t="str">
        <f>IF(X536&lt;&gt;"",VLOOKUP(C536,'General price list'!C538:AN1511,MATCH("HM",Tabulka1[[#Headers],[KOD]:[NEQ]],0),FALSE),"")</f>
        <v/>
      </c>
    </row>
    <row r="537" spans="1:27">
      <c r="A537">
        <f>COUNTIF($W$22:W537,1)</f>
        <v>0</v>
      </c>
      <c r="B537">
        <v>537</v>
      </c>
      <c r="C537" s="340">
        <f>Tabulka1[[#This Row],[KOD]]</f>
        <v>0</v>
      </c>
      <c r="W537" s="804" t="str">
        <f t="shared" si="17"/>
        <v/>
      </c>
      <c r="X537" t="str">
        <f t="shared" si="18"/>
        <v/>
      </c>
      <c r="Y537" s="341">
        <f>IF('General price list'!$AB539="",0,'General price list'!$AB539)</f>
        <v>0</v>
      </c>
      <c r="Z537" s="365" t="str">
        <f>IFERROR(X537*VLOOKUP(C537,'General price list'!C:I,7,FALSE),"")</f>
        <v/>
      </c>
      <c r="AA537" s="805" t="str">
        <f>IF(X537&lt;&gt;"",VLOOKUP(C537,'General price list'!C539:AN1512,MATCH("HM",Tabulka1[[#Headers],[KOD]:[NEQ]],0),FALSE),"")</f>
        <v/>
      </c>
    </row>
    <row r="538" spans="1:27">
      <c r="A538">
        <f>COUNTIF($W$22:W538,1)</f>
        <v>0</v>
      </c>
      <c r="B538">
        <v>538</v>
      </c>
      <c r="C538" s="340" t="str">
        <f>Tabulka1[[#This Row],[KOD]]</f>
        <v>CF2525D</v>
      </c>
      <c r="W538" s="804" t="str">
        <f t="shared" si="17"/>
        <v/>
      </c>
      <c r="X538" t="str">
        <f t="shared" si="18"/>
        <v/>
      </c>
      <c r="Y538" s="341">
        <f>IF('General price list'!$AB540="",0,'General price list'!$AB540)</f>
        <v>0</v>
      </c>
      <c r="Z538" s="365" t="str">
        <f>IFERROR(X538*VLOOKUP(C538,'General price list'!C:I,7,FALSE),"")</f>
        <v/>
      </c>
      <c r="AA538" s="805" t="str">
        <f>IF(X538&lt;&gt;"",VLOOKUP(C538,'General price list'!C540:AN1513,MATCH("HM",Tabulka1[[#Headers],[KOD]:[NEQ]],0),FALSE),"")</f>
        <v/>
      </c>
    </row>
    <row r="539" spans="1:27">
      <c r="A539">
        <f>COUNTIF($W$22:W539,1)</f>
        <v>0</v>
      </c>
      <c r="B539">
        <v>539</v>
      </c>
      <c r="C539" s="340" t="str">
        <f>Tabulka1[[#This Row],[KOD]]</f>
        <v>CF2525O</v>
      </c>
      <c r="W539" s="804" t="str">
        <f t="shared" si="17"/>
        <v/>
      </c>
      <c r="X539" t="str">
        <f t="shared" si="18"/>
        <v/>
      </c>
      <c r="Y539" s="341">
        <f>IF('General price list'!$AB541="",0,'General price list'!$AB541)</f>
        <v>0</v>
      </c>
      <c r="Z539" s="365" t="str">
        <f>IFERROR(X539*VLOOKUP(C539,'General price list'!C:I,7,FALSE),"")</f>
        <v/>
      </c>
      <c r="AA539" s="805" t="str">
        <f>IF(X539&lt;&gt;"",VLOOKUP(C539,'General price list'!C541:AN1514,MATCH("HM",Tabulka1[[#Headers],[KOD]:[NEQ]],0),FALSE),"")</f>
        <v/>
      </c>
    </row>
    <row r="540" spans="1:27">
      <c r="A540">
        <f>COUNTIF($W$22:W540,1)</f>
        <v>0</v>
      </c>
      <c r="B540">
        <v>540</v>
      </c>
      <c r="C540" s="340" t="str">
        <f>Tabulka1[[#This Row],[KOD]]</f>
        <v>CF2525S</v>
      </c>
      <c r="W540" s="804" t="str">
        <f t="shared" si="17"/>
        <v/>
      </c>
      <c r="X540" t="str">
        <f t="shared" si="18"/>
        <v/>
      </c>
      <c r="Y540" s="341">
        <f>IF('General price list'!$AB542="",0,'General price list'!$AB542)</f>
        <v>0</v>
      </c>
      <c r="Z540" s="365" t="str">
        <f>IFERROR(X540*VLOOKUP(C540,'General price list'!C:I,7,FALSE),"")</f>
        <v/>
      </c>
      <c r="AA540" s="805" t="str">
        <f>IF(X540&lt;&gt;"",VLOOKUP(C540,'General price list'!C542:AN1515,MATCH("HM",Tabulka1[[#Headers],[KOD]:[NEQ]],0),FALSE),"")</f>
        <v/>
      </c>
    </row>
    <row r="541" spans="1:27">
      <c r="A541">
        <f>COUNTIF($W$22:W541,1)</f>
        <v>0</v>
      </c>
      <c r="B541">
        <v>541</v>
      </c>
      <c r="C541" s="340">
        <f>Tabulka1[[#This Row],[KOD]]</f>
        <v>0</v>
      </c>
      <c r="W541" s="804" t="str">
        <f t="shared" si="17"/>
        <v/>
      </c>
      <c r="X541" t="str">
        <f t="shared" si="18"/>
        <v/>
      </c>
      <c r="Y541" s="341">
        <f>IF('General price list'!$AB543="",0,'General price list'!$AB543)</f>
        <v>0</v>
      </c>
      <c r="Z541" s="365" t="str">
        <f>IFERROR(X541*VLOOKUP(C541,'General price list'!C:I,7,FALSE),"")</f>
        <v/>
      </c>
      <c r="AA541" s="805" t="str">
        <f>IF(X541&lt;&gt;"",VLOOKUP(C541,'General price list'!C543:AN1516,MATCH("HM",Tabulka1[[#Headers],[KOD]:[NEQ]],0),FALSE),"")</f>
        <v/>
      </c>
    </row>
    <row r="542" spans="1:27">
      <c r="A542">
        <f>COUNTIF($W$22:W542,1)</f>
        <v>0</v>
      </c>
      <c r="B542">
        <v>542</v>
      </c>
      <c r="C542" s="340" t="str">
        <f>Tabulka1[[#This Row],[KOD]]</f>
        <v>C3625P</v>
      </c>
      <c r="W542" s="804" t="str">
        <f t="shared" si="17"/>
        <v/>
      </c>
      <c r="X542" t="str">
        <f t="shared" si="18"/>
        <v/>
      </c>
      <c r="Y542" s="341">
        <f>IF('General price list'!$AB544="",0,'General price list'!$AB544)</f>
        <v>0</v>
      </c>
      <c r="Z542" s="365" t="str">
        <f>IFERROR(X542*VLOOKUP(C542,'General price list'!C:I,7,FALSE),"")</f>
        <v/>
      </c>
      <c r="AA542" s="805" t="str">
        <f>IF(X542&lt;&gt;"",VLOOKUP(C542,'General price list'!C544:AN1517,MATCH("HM",Tabulka1[[#Headers],[KOD]:[NEQ]],0),FALSE),"")</f>
        <v/>
      </c>
    </row>
    <row r="543" spans="1:27">
      <c r="A543">
        <f>COUNTIF($W$22:W543,1)</f>
        <v>0</v>
      </c>
      <c r="B543">
        <v>543</v>
      </c>
      <c r="C543" s="340">
        <f>Tabulka1[[#This Row],[KOD]]</f>
        <v>0</v>
      </c>
      <c r="W543" s="804" t="str">
        <f t="shared" si="17"/>
        <v/>
      </c>
      <c r="X543" t="str">
        <f t="shared" si="18"/>
        <v/>
      </c>
      <c r="Y543" s="341">
        <f>IF('General price list'!$AB545="",0,'General price list'!$AB545)</f>
        <v>0</v>
      </c>
      <c r="Z543" s="365" t="str">
        <f>IFERROR(X543*VLOOKUP(C543,'General price list'!C:I,7,FALSE),"")</f>
        <v/>
      </c>
      <c r="AA543" s="805" t="str">
        <f>IF(X543&lt;&gt;"",VLOOKUP(C543,'General price list'!C545:AN1518,MATCH("HM",Tabulka1[[#Headers],[KOD]:[NEQ]],0),FALSE),"")</f>
        <v/>
      </c>
    </row>
    <row r="544" spans="1:27">
      <c r="A544">
        <f>COUNTIF($W$22:W544,1)</f>
        <v>0</v>
      </c>
      <c r="B544">
        <v>544</v>
      </c>
      <c r="C544" s="340" t="str">
        <f>Tabulka1[[#This Row],[KOD]]</f>
        <v>C3625P14</v>
      </c>
      <c r="W544" s="804" t="str">
        <f t="shared" si="17"/>
        <v/>
      </c>
      <c r="X544" t="str">
        <f t="shared" si="18"/>
        <v/>
      </c>
      <c r="Y544" s="341">
        <f>IF('General price list'!$AB546="",0,'General price list'!$AB546)</f>
        <v>0</v>
      </c>
      <c r="Z544" s="365" t="str">
        <f>IFERROR(X544*VLOOKUP(C544,'General price list'!C:I,7,FALSE),"")</f>
        <v/>
      </c>
      <c r="AA544" s="805" t="str">
        <f>IF(X544&lt;&gt;"",VLOOKUP(C544,'General price list'!C546:AN1519,MATCH("HM",Tabulka1[[#Headers],[KOD]:[NEQ]],0),FALSE),"")</f>
        <v/>
      </c>
    </row>
    <row r="545" spans="1:27">
      <c r="A545">
        <f>COUNTIF($W$22:W545,1)</f>
        <v>0</v>
      </c>
      <c r="B545">
        <v>545</v>
      </c>
      <c r="C545" s="340">
        <f>Tabulka1[[#This Row],[KOD]]</f>
        <v>0</v>
      </c>
      <c r="W545" s="804" t="str">
        <f t="shared" si="17"/>
        <v/>
      </c>
      <c r="X545" t="str">
        <f t="shared" si="18"/>
        <v/>
      </c>
      <c r="Y545" s="341">
        <f>IF('General price list'!$AB547="",0,'General price list'!$AB547)</f>
        <v>0</v>
      </c>
      <c r="Z545" s="365" t="str">
        <f>IFERROR(X545*VLOOKUP(C545,'General price list'!C:I,7,FALSE),"")</f>
        <v/>
      </c>
      <c r="AA545" s="805" t="str">
        <f>IF(X545&lt;&gt;"",VLOOKUP(C545,'General price list'!C547:AN1520,MATCH("HM",Tabulka1[[#Headers],[KOD]:[NEQ]],0),FALSE),"")</f>
        <v/>
      </c>
    </row>
    <row r="546" spans="1:27">
      <c r="A546">
        <f>COUNTIF($W$22:W546,1)</f>
        <v>0</v>
      </c>
      <c r="B546">
        <v>546</v>
      </c>
      <c r="C546" s="340" t="str">
        <f>Tabulka1[[#This Row],[KOD]]</f>
        <v>C4825MP</v>
      </c>
      <c r="W546" s="804" t="str">
        <f t="shared" si="17"/>
        <v/>
      </c>
      <c r="X546" t="str">
        <f t="shared" si="18"/>
        <v/>
      </c>
      <c r="Y546" s="341">
        <f>IF('General price list'!$AB548="",0,'General price list'!$AB548)</f>
        <v>0</v>
      </c>
      <c r="Z546" s="365" t="str">
        <f>IFERROR(X546*VLOOKUP(C546,'General price list'!C:I,7,FALSE),"")</f>
        <v/>
      </c>
      <c r="AA546" s="805" t="str">
        <f>IF(X546&lt;&gt;"",VLOOKUP(C546,'General price list'!C548:AN1521,MATCH("HM",Tabulka1[[#Headers],[KOD]:[NEQ]],0),FALSE),"")</f>
        <v/>
      </c>
    </row>
    <row r="547" spans="1:27">
      <c r="A547">
        <f>COUNTIF($W$22:W547,1)</f>
        <v>0</v>
      </c>
      <c r="B547">
        <v>547</v>
      </c>
      <c r="C547" s="340">
        <f>Tabulka1[[#This Row],[KOD]]</f>
        <v>0</v>
      </c>
      <c r="W547" s="804" t="str">
        <f t="shared" si="17"/>
        <v/>
      </c>
      <c r="X547" t="str">
        <f t="shared" si="18"/>
        <v/>
      </c>
      <c r="Y547" s="341">
        <f>IF('General price list'!$AB549="",0,'General price list'!$AB549)</f>
        <v>0</v>
      </c>
      <c r="Z547" s="365" t="str">
        <f>IFERROR(X547*VLOOKUP(C547,'General price list'!C:I,7,FALSE),"")</f>
        <v/>
      </c>
      <c r="AA547" s="805" t="str">
        <f>IF(X547&lt;&gt;"",VLOOKUP(C547,'General price list'!C549:AN1522,MATCH("HM",Tabulka1[[#Headers],[KOD]:[NEQ]],0),FALSE),"")</f>
        <v/>
      </c>
    </row>
    <row r="548" spans="1:27">
      <c r="A548">
        <f>COUNTIF($W$22:W548,1)</f>
        <v>0</v>
      </c>
      <c r="B548">
        <v>548</v>
      </c>
      <c r="C548" s="340" t="str">
        <f>Tabulka1[[#This Row],[KOD]]</f>
        <v>C4925G</v>
      </c>
      <c r="W548" s="804" t="str">
        <f t="shared" si="17"/>
        <v/>
      </c>
      <c r="X548" t="str">
        <f t="shared" si="18"/>
        <v/>
      </c>
      <c r="Y548" s="341">
        <f>IF('General price list'!$AB550="",0,'General price list'!$AB550)</f>
        <v>0</v>
      </c>
      <c r="Z548" s="365" t="str">
        <f>IFERROR(X548*VLOOKUP(C548,'General price list'!C:I,7,FALSE),"")</f>
        <v/>
      </c>
      <c r="AA548" s="805" t="str">
        <f>IF(X548&lt;&gt;"",VLOOKUP(C548,'General price list'!C550:AN1523,MATCH("HM",Tabulka1[[#Headers],[KOD]:[NEQ]],0),FALSE),"")</f>
        <v/>
      </c>
    </row>
    <row r="549" spans="1:27">
      <c r="A549">
        <f>COUNTIF($W$22:W549,1)</f>
        <v>0</v>
      </c>
      <c r="B549">
        <v>549</v>
      </c>
      <c r="C549" s="340" t="str">
        <f>Tabulka1[[#This Row],[KOD]]</f>
        <v>C4925P</v>
      </c>
      <c r="W549" s="804" t="str">
        <f t="shared" si="17"/>
        <v/>
      </c>
      <c r="X549" t="str">
        <f t="shared" si="18"/>
        <v/>
      </c>
      <c r="Y549" s="341">
        <f>IF('General price list'!$AB551="",0,'General price list'!$AB551)</f>
        <v>0</v>
      </c>
      <c r="Z549" s="365" t="str">
        <f>IFERROR(X549*VLOOKUP(C549,'General price list'!C:I,7,FALSE),"")</f>
        <v/>
      </c>
      <c r="AA549" s="805" t="str">
        <f>IF(X549&lt;&gt;"",VLOOKUP(C549,'General price list'!C551:AN1524,MATCH("HM",Tabulka1[[#Headers],[KOD]:[NEQ]],0),FALSE),"")</f>
        <v/>
      </c>
    </row>
    <row r="550" spans="1:27">
      <c r="A550">
        <f>COUNTIF($W$22:W550,1)</f>
        <v>0</v>
      </c>
      <c r="B550">
        <v>550</v>
      </c>
      <c r="C550" s="340" t="str">
        <f>Tabulka1[[#This Row],[KOD]]</f>
        <v>C4925V</v>
      </c>
      <c r="W550" s="804" t="str">
        <f t="shared" si="17"/>
        <v/>
      </c>
      <c r="X550" t="str">
        <f t="shared" si="18"/>
        <v/>
      </c>
      <c r="Y550" s="341">
        <f>IF('General price list'!$AB552="",0,'General price list'!$AB552)</f>
        <v>0</v>
      </c>
      <c r="Z550" s="365" t="str">
        <f>IFERROR(X550*VLOOKUP(C550,'General price list'!C:I,7,FALSE),"")</f>
        <v/>
      </c>
      <c r="AA550" s="805" t="str">
        <f>IF(X550&lt;&gt;"",VLOOKUP(C550,'General price list'!C552:AN1525,MATCH("HM",Tabulka1[[#Headers],[KOD]:[NEQ]],0),FALSE),"")</f>
        <v/>
      </c>
    </row>
    <row r="551" spans="1:27">
      <c r="A551">
        <f>COUNTIF($W$22:W551,1)</f>
        <v>0</v>
      </c>
      <c r="B551">
        <v>551</v>
      </c>
      <c r="C551" s="340">
        <f>Tabulka1[[#This Row],[KOD]]</f>
        <v>0</v>
      </c>
      <c r="W551" s="804" t="str">
        <f t="shared" si="17"/>
        <v/>
      </c>
      <c r="X551" t="str">
        <f t="shared" si="18"/>
        <v/>
      </c>
      <c r="Y551" s="341">
        <f>IF('General price list'!$AB553="",0,'General price list'!$AB553)</f>
        <v>0</v>
      </c>
      <c r="Z551" s="365" t="str">
        <f>IFERROR(X551*VLOOKUP(C551,'General price list'!C:I,7,FALSE),"")</f>
        <v/>
      </c>
      <c r="AA551" s="805" t="str">
        <f>IF(X551&lt;&gt;"",VLOOKUP(C551,'General price list'!C553:AN1526,MATCH("HM",Tabulka1[[#Headers],[KOD]:[NEQ]],0),FALSE),"")</f>
        <v/>
      </c>
    </row>
    <row r="552" spans="1:27">
      <c r="A552">
        <f>COUNTIF($W$22:W552,1)</f>
        <v>0</v>
      </c>
      <c r="B552">
        <v>552</v>
      </c>
      <c r="C552" s="340" t="str">
        <f>Tabulka1[[#This Row],[KOD]]</f>
        <v>C4925BP14</v>
      </c>
      <c r="W552" s="804" t="str">
        <f t="shared" si="17"/>
        <v/>
      </c>
      <c r="X552" t="str">
        <f t="shared" si="18"/>
        <v/>
      </c>
      <c r="Y552" s="341">
        <f>IF('General price list'!$AB554="",0,'General price list'!$AB554)</f>
        <v>0</v>
      </c>
      <c r="Z552" s="365" t="str">
        <f>IFERROR(X552*VLOOKUP(C552,'General price list'!C:I,7,FALSE),"")</f>
        <v/>
      </c>
      <c r="AA552" s="805" t="str">
        <f>IF(X552&lt;&gt;"",VLOOKUP(C552,'General price list'!C554:AN1527,MATCH("HM",Tabulka1[[#Headers],[KOD]:[NEQ]],0),FALSE),"")</f>
        <v/>
      </c>
    </row>
    <row r="553" spans="1:27">
      <c r="A553">
        <f>COUNTIF($W$22:W553,1)</f>
        <v>0</v>
      </c>
      <c r="B553">
        <v>553</v>
      </c>
      <c r="C553" s="340" t="str">
        <f>Tabulka1[[#This Row],[KOD]]</f>
        <v>C4925NO14</v>
      </c>
      <c r="W553" s="804" t="str">
        <f t="shared" si="17"/>
        <v/>
      </c>
      <c r="X553" t="str">
        <f t="shared" si="18"/>
        <v/>
      </c>
      <c r="Y553" s="341">
        <f>IF('General price list'!$AB555="",0,'General price list'!$AB555)</f>
        <v>0</v>
      </c>
      <c r="Z553" s="365" t="str">
        <f>IFERROR(X553*VLOOKUP(C553,'General price list'!C:I,7,FALSE),"")</f>
        <v/>
      </c>
      <c r="AA553" s="805" t="str">
        <f>IF(X553&lt;&gt;"",VLOOKUP(C553,'General price list'!C555:AN1528,MATCH("HM",Tabulka1[[#Headers],[KOD]:[NEQ]],0),FALSE),"")</f>
        <v/>
      </c>
    </row>
    <row r="554" spans="1:27">
      <c r="A554">
        <f>COUNTIF($W$22:W554,1)</f>
        <v>0</v>
      </c>
      <c r="B554">
        <v>554</v>
      </c>
      <c r="C554" s="340" t="str">
        <f>Tabulka1[[#This Row],[KOD]]</f>
        <v>C4925V14</v>
      </c>
      <c r="W554" s="804" t="str">
        <f t="shared" si="17"/>
        <v/>
      </c>
      <c r="X554" t="str">
        <f t="shared" si="18"/>
        <v/>
      </c>
      <c r="Y554" s="341">
        <f>IF('General price list'!$AB556="",0,'General price list'!$AB556)</f>
        <v>0</v>
      </c>
      <c r="Z554" s="365" t="str">
        <f>IFERROR(X554*VLOOKUP(C554,'General price list'!C:I,7,FALSE),"")</f>
        <v/>
      </c>
      <c r="AA554" s="805" t="str">
        <f>IF(X554&lt;&gt;"",VLOOKUP(C554,'General price list'!C556:AN1529,MATCH("HM",Tabulka1[[#Headers],[KOD]:[NEQ]],0),FALSE),"")</f>
        <v/>
      </c>
    </row>
    <row r="555" spans="1:27">
      <c r="A555">
        <f>COUNTIF($W$22:W555,1)</f>
        <v>0</v>
      </c>
      <c r="B555">
        <v>555</v>
      </c>
      <c r="C555" s="340" t="str">
        <f>Tabulka1[[#This Row],[KOD]]</f>
        <v>C4925VS14</v>
      </c>
      <c r="W555" s="804" t="str">
        <f t="shared" si="17"/>
        <v/>
      </c>
      <c r="X555" t="str">
        <f t="shared" si="18"/>
        <v/>
      </c>
      <c r="Y555" s="341">
        <f>IF('General price list'!$AB557="",0,'General price list'!$AB557)</f>
        <v>0</v>
      </c>
      <c r="Z555" s="365" t="str">
        <f>IFERROR(X555*VLOOKUP(C555,'General price list'!C:I,7,FALSE),"")</f>
        <v/>
      </c>
      <c r="AA555" s="805" t="str">
        <f>IF(X555&lt;&gt;"",VLOOKUP(C555,'General price list'!C557:AN1530,MATCH("HM",Tabulka1[[#Headers],[KOD]:[NEQ]],0),FALSE),"")</f>
        <v/>
      </c>
    </row>
    <row r="556" spans="1:27">
      <c r="A556">
        <f>COUNTIF($W$22:W556,1)</f>
        <v>0</v>
      </c>
      <c r="B556">
        <v>556</v>
      </c>
      <c r="C556" s="340">
        <f>Tabulka1[[#This Row],[KOD]]</f>
        <v>0</v>
      </c>
      <c r="W556" s="804" t="str">
        <f t="shared" si="17"/>
        <v/>
      </c>
      <c r="X556" t="str">
        <f t="shared" si="18"/>
        <v/>
      </c>
      <c r="Y556" s="341">
        <f>IF('General price list'!$AB558="",0,'General price list'!$AB558)</f>
        <v>0</v>
      </c>
      <c r="Z556" s="365" t="str">
        <f>IFERROR(X556*VLOOKUP(C556,'General price list'!C:I,7,FALSE),"")</f>
        <v/>
      </c>
      <c r="AA556" s="805" t="str">
        <f>IF(X556&lt;&gt;"",VLOOKUP(C556,'General price list'!C558:AN1531,MATCH("HM",Tabulka1[[#Headers],[KOD]:[NEQ]],0),FALSE),"")</f>
        <v/>
      </c>
    </row>
    <row r="557" spans="1:27">
      <c r="A557">
        <f>COUNTIF($W$22:W557,1)</f>
        <v>0</v>
      </c>
      <c r="B557">
        <v>557</v>
      </c>
      <c r="C557" s="340" t="str">
        <f>Tabulka1[[#This Row],[KOD]]</f>
        <v>C4925SIG</v>
      </c>
      <c r="W557" s="804" t="str">
        <f t="shared" si="17"/>
        <v/>
      </c>
      <c r="X557" t="str">
        <f t="shared" si="18"/>
        <v/>
      </c>
      <c r="Y557" s="341">
        <f>IF('General price list'!$AB559="",0,'General price list'!$AB559)</f>
        <v>0</v>
      </c>
      <c r="Z557" s="365" t="str">
        <f>IFERROR(X557*VLOOKUP(C557,'General price list'!C:I,7,FALSE),"")</f>
        <v/>
      </c>
      <c r="AA557" s="805" t="str">
        <f>IF(X557&lt;&gt;"",VLOOKUP(C557,'General price list'!C559:AN1532,MATCH("HM",Tabulka1[[#Headers],[KOD]:[NEQ]],0),FALSE),"")</f>
        <v/>
      </c>
    </row>
    <row r="558" spans="1:27">
      <c r="A558">
        <f>COUNTIF($W$22:W558,1)</f>
        <v>0</v>
      </c>
      <c r="B558">
        <v>558</v>
      </c>
      <c r="C558" s="340" t="str">
        <f>Tabulka1[[#This Row],[KOD]]</f>
        <v>C4925D</v>
      </c>
      <c r="W558" s="804" t="str">
        <f t="shared" si="17"/>
        <v/>
      </c>
      <c r="X558" t="str">
        <f t="shared" si="18"/>
        <v/>
      </c>
      <c r="Y558" s="341">
        <f>IF('General price list'!$AB560="",0,'General price list'!$AB560)</f>
        <v>0</v>
      </c>
      <c r="Z558" s="365" t="str">
        <f>IFERROR(X558*VLOOKUP(C558,'General price list'!C:I,7,FALSE),"")</f>
        <v/>
      </c>
      <c r="AA558" s="805" t="str">
        <f>IF(X558&lt;&gt;"",VLOOKUP(C558,'General price list'!C560:AN1533,MATCH("HM",Tabulka1[[#Headers],[KOD]:[NEQ]],0),FALSE),"")</f>
        <v/>
      </c>
    </row>
    <row r="559" spans="1:27">
      <c r="A559">
        <f>COUNTIF($W$22:W559,1)</f>
        <v>0</v>
      </c>
      <c r="B559">
        <v>559</v>
      </c>
      <c r="C559" s="340">
        <f>Tabulka1[[#This Row],[KOD]]</f>
        <v>0</v>
      </c>
      <c r="W559" s="804" t="str">
        <f t="shared" si="17"/>
        <v/>
      </c>
      <c r="X559" t="str">
        <f t="shared" si="18"/>
        <v/>
      </c>
      <c r="Y559" s="341">
        <f>IF('General price list'!$AB561="",0,'General price list'!$AB561)</f>
        <v>0</v>
      </c>
      <c r="Z559" s="365" t="str">
        <f>IFERROR(X559*VLOOKUP(C559,'General price list'!C:I,7,FALSE),"")</f>
        <v/>
      </c>
      <c r="AA559" s="805" t="str">
        <f>IF(X559&lt;&gt;"",VLOOKUP(C559,'General price list'!C561:AN1534,MATCH("HM",Tabulka1[[#Headers],[KOD]:[NEQ]],0),FALSE),"")</f>
        <v/>
      </c>
    </row>
    <row r="560" spans="1:27">
      <c r="A560">
        <f>COUNTIF($W$22:W560,1)</f>
        <v>0</v>
      </c>
      <c r="B560">
        <v>560</v>
      </c>
      <c r="C560" s="340" t="str">
        <f>Tabulka1[[#This Row],[KOD]]</f>
        <v>CF4925S14</v>
      </c>
      <c r="W560" s="804" t="str">
        <f t="shared" si="17"/>
        <v/>
      </c>
      <c r="X560" t="str">
        <f t="shared" si="18"/>
        <v/>
      </c>
      <c r="Y560" s="341">
        <f>IF('General price list'!$AB562="",0,'General price list'!$AB562)</f>
        <v>0</v>
      </c>
      <c r="Z560" s="365" t="str">
        <f>IFERROR(X560*VLOOKUP(C560,'General price list'!C:I,7,FALSE),"")</f>
        <v/>
      </c>
      <c r="AA560" s="805" t="str">
        <f>IF(X560&lt;&gt;"",VLOOKUP(C560,'General price list'!C562:AN1535,MATCH("HM",Tabulka1[[#Headers],[KOD]:[NEQ]],0),FALSE),"")</f>
        <v/>
      </c>
    </row>
    <row r="561" spans="1:27">
      <c r="A561">
        <f>COUNTIF($W$22:W561,1)</f>
        <v>0</v>
      </c>
      <c r="B561">
        <v>561</v>
      </c>
      <c r="C561" s="340" t="str">
        <f>Tabulka1[[#This Row],[KOD]]</f>
        <v>CF4925B14</v>
      </c>
      <c r="W561" s="804" t="str">
        <f t="shared" si="17"/>
        <v/>
      </c>
      <c r="X561" t="str">
        <f t="shared" si="18"/>
        <v/>
      </c>
      <c r="Y561" s="341">
        <f>IF('General price list'!$AB563="",0,'General price list'!$AB563)</f>
        <v>0</v>
      </c>
      <c r="Z561" s="365" t="str">
        <f>IFERROR(X561*VLOOKUP(C561,'General price list'!C:I,7,FALSE),"")</f>
        <v/>
      </c>
      <c r="AA561" s="805" t="str">
        <f>IF(X561&lt;&gt;"",VLOOKUP(C561,'General price list'!C563:AN1536,MATCH("HM",Tabulka1[[#Headers],[KOD]:[NEQ]],0),FALSE),"")</f>
        <v/>
      </c>
    </row>
    <row r="562" spans="1:27">
      <c r="A562">
        <f>COUNTIF($W$22:W562,1)</f>
        <v>0</v>
      </c>
      <c r="B562">
        <v>562</v>
      </c>
      <c r="C562" s="340">
        <f>Tabulka1[[#This Row],[KOD]]</f>
        <v>0</v>
      </c>
      <c r="W562" s="804" t="str">
        <f t="shared" si="17"/>
        <v/>
      </c>
      <c r="X562" t="str">
        <f t="shared" si="18"/>
        <v/>
      </c>
      <c r="Y562" s="341">
        <f>IF('General price list'!$AB564="",0,'General price list'!$AB564)</f>
        <v>0</v>
      </c>
      <c r="Z562" s="365" t="str">
        <f>IFERROR(X562*VLOOKUP(C562,'General price list'!C:I,7,FALSE),"")</f>
        <v/>
      </c>
      <c r="AA562" s="805" t="str">
        <f>IF(X562&lt;&gt;"",VLOOKUP(C562,'General price list'!C564:AN1537,MATCH("HM",Tabulka1[[#Headers],[KOD]:[NEQ]],0),FALSE),"")</f>
        <v/>
      </c>
    </row>
    <row r="563" spans="1:27">
      <c r="A563">
        <f>COUNTIF($W$22:W563,1)</f>
        <v>0</v>
      </c>
      <c r="B563">
        <v>563</v>
      </c>
      <c r="C563" s="340" t="str">
        <f>Tabulka1[[#This Row],[KOD]]</f>
        <v>CF4925S</v>
      </c>
      <c r="W563" s="804" t="str">
        <f t="shared" si="17"/>
        <v/>
      </c>
      <c r="X563" t="str">
        <f t="shared" si="18"/>
        <v/>
      </c>
      <c r="Y563" s="341">
        <f>IF('General price list'!$AB565="",0,'General price list'!$AB565)</f>
        <v>0</v>
      </c>
      <c r="Z563" s="365" t="str">
        <f>IFERROR(X563*VLOOKUP(C563,'General price list'!C:I,7,FALSE),"")</f>
        <v/>
      </c>
      <c r="AA563" s="805" t="str">
        <f>IF(X563&lt;&gt;"",VLOOKUP(C563,'General price list'!C565:AN1538,MATCH("HM",Tabulka1[[#Headers],[KOD]:[NEQ]],0),FALSE),"")</f>
        <v/>
      </c>
    </row>
    <row r="564" spans="1:27">
      <c r="A564">
        <f>COUNTIF($W$22:W564,1)</f>
        <v>0</v>
      </c>
      <c r="B564">
        <v>564</v>
      </c>
      <c r="C564" s="340" t="str">
        <f>Tabulka1[[#This Row],[KOD]]</f>
        <v>CF4925D</v>
      </c>
      <c r="W564" s="804" t="str">
        <f t="shared" si="17"/>
        <v/>
      </c>
      <c r="X564" t="str">
        <f t="shared" si="18"/>
        <v/>
      </c>
      <c r="Y564" s="341">
        <f>IF('General price list'!$AB566="",0,'General price list'!$AB566)</f>
        <v>0</v>
      </c>
      <c r="Z564" s="365" t="str">
        <f>IFERROR(X564*VLOOKUP(C564,'General price list'!C:I,7,FALSE),"")</f>
        <v/>
      </c>
      <c r="AA564" s="805" t="str">
        <f>IF(X564&lt;&gt;"",VLOOKUP(C564,'General price list'!C566:AN1539,MATCH("HM",Tabulka1[[#Headers],[KOD]:[NEQ]],0),FALSE),"")</f>
        <v/>
      </c>
    </row>
    <row r="565" spans="1:27">
      <c r="A565">
        <f>COUNTIF($W$22:W565,1)</f>
        <v>0</v>
      </c>
      <c r="B565">
        <v>565</v>
      </c>
      <c r="C565" s="340" t="str">
        <f>Tabulka1[[#This Row],[KOD]]</f>
        <v>CF4925B</v>
      </c>
      <c r="W565" s="804" t="str">
        <f t="shared" si="17"/>
        <v/>
      </c>
      <c r="X565" t="str">
        <f t="shared" si="18"/>
        <v/>
      </c>
      <c r="Y565" s="341">
        <f>IF('General price list'!$AB567="",0,'General price list'!$AB567)</f>
        <v>0</v>
      </c>
      <c r="Z565" s="365" t="str">
        <f>IFERROR(X565*VLOOKUP(C565,'General price list'!C:I,7,FALSE),"")</f>
        <v/>
      </c>
      <c r="AA565" s="805" t="str">
        <f>IF(X565&lt;&gt;"",VLOOKUP(C565,'General price list'!C567:AN1540,MATCH("HM",Tabulka1[[#Headers],[KOD]:[NEQ]],0),FALSE),"")</f>
        <v/>
      </c>
    </row>
    <row r="566" spans="1:27">
      <c r="A566">
        <f>COUNTIF($W$22:W566,1)</f>
        <v>0</v>
      </c>
      <c r="B566">
        <v>566</v>
      </c>
      <c r="C566" s="340">
        <f>Tabulka1[[#This Row],[KOD]]</f>
        <v>0</v>
      </c>
      <c r="W566" s="804" t="str">
        <f t="shared" si="17"/>
        <v/>
      </c>
      <c r="X566" t="str">
        <f t="shared" si="18"/>
        <v/>
      </c>
      <c r="Y566" s="341">
        <f>IF('General price list'!$AB568="",0,'General price list'!$AB568)</f>
        <v>0</v>
      </c>
      <c r="Z566" s="365" t="str">
        <f>IFERROR(X566*VLOOKUP(C566,'General price list'!C:I,7,FALSE),"")</f>
        <v/>
      </c>
      <c r="AA566" s="805" t="str">
        <f>IF(X566&lt;&gt;"",VLOOKUP(C566,'General price list'!C568:AN1541,MATCH("HM",Tabulka1[[#Headers],[KOD]:[NEQ]],0),FALSE),"")</f>
        <v/>
      </c>
    </row>
    <row r="567" spans="1:27">
      <c r="A567">
        <f>COUNTIF($W$22:W567,1)</f>
        <v>0</v>
      </c>
      <c r="B567">
        <v>567</v>
      </c>
      <c r="C567" s="340" t="str">
        <f>Tabulka1[[#This Row],[KOD]]</f>
        <v>C6425XPT</v>
      </c>
      <c r="W567" s="804" t="str">
        <f t="shared" si="17"/>
        <v/>
      </c>
      <c r="X567" t="str">
        <f t="shared" si="18"/>
        <v/>
      </c>
      <c r="Y567" s="341">
        <f>IF('General price list'!$AB569="",0,'General price list'!$AB569)</f>
        <v>0</v>
      </c>
      <c r="Z567" s="365" t="str">
        <f>IFERROR(X567*VLOOKUP(C567,'General price list'!C:I,7,FALSE),"")</f>
        <v/>
      </c>
      <c r="AA567" s="805" t="str">
        <f>IF(X567&lt;&gt;"",VLOOKUP(C567,'General price list'!C569:AN1542,MATCH("HM",Tabulka1[[#Headers],[KOD]:[NEQ]],0),FALSE),"")</f>
        <v/>
      </c>
    </row>
    <row r="568" spans="1:27">
      <c r="A568">
        <f>COUNTIF($W$22:W568,1)</f>
        <v>0</v>
      </c>
      <c r="B568">
        <v>568</v>
      </c>
      <c r="C568" s="340">
        <f>Tabulka1[[#This Row],[KOD]]</f>
        <v>0</v>
      </c>
      <c r="W568" s="804" t="str">
        <f t="shared" si="17"/>
        <v/>
      </c>
      <c r="X568" t="str">
        <f t="shared" si="18"/>
        <v/>
      </c>
      <c r="Y568" s="341">
        <f>IF('General price list'!$AB570="",0,'General price list'!$AB570)</f>
        <v>0</v>
      </c>
      <c r="Z568" s="365" t="str">
        <f>IFERROR(X568*VLOOKUP(C568,'General price list'!C:I,7,FALSE),"")</f>
        <v/>
      </c>
      <c r="AA568" s="805" t="str">
        <f>IF(X568&lt;&gt;"",VLOOKUP(C568,'General price list'!C570:AN1543,MATCH("HM",Tabulka1[[#Headers],[KOD]:[NEQ]],0),FALSE),"")</f>
        <v/>
      </c>
    </row>
    <row r="569" spans="1:27">
      <c r="A569">
        <f>COUNTIF($W$22:W569,1)</f>
        <v>0</v>
      </c>
      <c r="B569">
        <v>569</v>
      </c>
      <c r="C569" s="340" t="str">
        <f>Tabulka1[[#This Row],[KOD]]</f>
        <v>C8825G</v>
      </c>
      <c r="W569" s="804" t="str">
        <f t="shared" si="17"/>
        <v/>
      </c>
      <c r="X569" t="str">
        <f t="shared" si="18"/>
        <v/>
      </c>
      <c r="Y569" s="341">
        <f>IF('General price list'!$AB571="",0,'General price list'!$AB571)</f>
        <v>0</v>
      </c>
      <c r="Z569" s="365" t="str">
        <f>IFERROR(X569*VLOOKUP(C569,'General price list'!C:I,7,FALSE),"")</f>
        <v/>
      </c>
      <c r="AA569" s="805" t="str">
        <f>IF(X569&lt;&gt;"",VLOOKUP(C569,'General price list'!C571:AN1544,MATCH("HM",Tabulka1[[#Headers],[KOD]:[NEQ]],0),FALSE),"")</f>
        <v/>
      </c>
    </row>
    <row r="570" spans="1:27">
      <c r="A570">
        <f>COUNTIF($W$22:W570,1)</f>
        <v>0</v>
      </c>
      <c r="B570">
        <v>570</v>
      </c>
      <c r="C570" s="340" t="str">
        <f>Tabulka1[[#This Row],[KOD]]</f>
        <v>C8825PA</v>
      </c>
      <c r="W570" s="804" t="str">
        <f t="shared" si="17"/>
        <v/>
      </c>
      <c r="X570" t="str">
        <f t="shared" si="18"/>
        <v/>
      </c>
      <c r="Y570" s="341">
        <f>IF('General price list'!$AB572="",0,'General price list'!$AB572)</f>
        <v>0</v>
      </c>
      <c r="Z570" s="365" t="str">
        <f>IFERROR(X570*VLOOKUP(C570,'General price list'!C:I,7,FALSE),"")</f>
        <v/>
      </c>
      <c r="AA570" s="805" t="str">
        <f>IF(X570&lt;&gt;"",VLOOKUP(C570,'General price list'!C572:AN1545,MATCH("HM",Tabulka1[[#Headers],[KOD]:[NEQ]],0),FALSE),"")</f>
        <v/>
      </c>
    </row>
    <row r="571" spans="1:27">
      <c r="A571">
        <f>COUNTIF($W$22:W571,1)</f>
        <v>0</v>
      </c>
      <c r="B571">
        <v>571</v>
      </c>
      <c r="C571" s="340" t="str">
        <f>Tabulka1[[#This Row],[KOD]]</f>
        <v>C8825BR</v>
      </c>
      <c r="W571" s="804" t="str">
        <f t="shared" si="17"/>
        <v/>
      </c>
      <c r="X571" t="str">
        <f t="shared" si="18"/>
        <v/>
      </c>
      <c r="Y571" s="341">
        <f>IF('General price list'!$AB573="",0,'General price list'!$AB573)</f>
        <v>0</v>
      </c>
      <c r="Z571" s="365" t="str">
        <f>IFERROR(X571*VLOOKUP(C571,'General price list'!C:I,7,FALSE),"")</f>
        <v/>
      </c>
      <c r="AA571" s="805" t="str">
        <f>IF(X571&lt;&gt;"",VLOOKUP(C571,'General price list'!C573:AN1546,MATCH("HM",Tabulka1[[#Headers],[KOD]:[NEQ]],0),FALSE),"")</f>
        <v/>
      </c>
    </row>
    <row r="572" spans="1:27">
      <c r="A572">
        <f>COUNTIF($W$22:W572,1)</f>
        <v>0</v>
      </c>
      <c r="B572">
        <v>572</v>
      </c>
      <c r="C572" s="340">
        <f>Tabulka1[[#This Row],[KOD]]</f>
        <v>0</v>
      </c>
      <c r="W572" s="804" t="str">
        <f t="shared" si="17"/>
        <v/>
      </c>
      <c r="X572" t="str">
        <f t="shared" si="18"/>
        <v/>
      </c>
      <c r="Y572" s="341">
        <f>IF('General price list'!$AB574="",0,'General price list'!$AB574)</f>
        <v>0</v>
      </c>
      <c r="Z572" s="365" t="str">
        <f>IFERROR(X572*VLOOKUP(C572,'General price list'!C:I,7,FALSE),"")</f>
        <v/>
      </c>
      <c r="AA572" s="805" t="str">
        <f>IF(X572&lt;&gt;"",VLOOKUP(C572,'General price list'!C574:AN1547,MATCH("HM",Tabulka1[[#Headers],[KOD]:[NEQ]],0),FALSE),"")</f>
        <v/>
      </c>
    </row>
    <row r="573" spans="1:27">
      <c r="A573">
        <f>COUNTIF($W$22:W573,1)</f>
        <v>0</v>
      </c>
      <c r="B573">
        <v>573</v>
      </c>
      <c r="C573" s="340" t="str">
        <f>Tabulka1[[#This Row],[KOD]]</f>
        <v>C10025BPS</v>
      </c>
      <c r="W573" s="804" t="str">
        <f t="shared" si="17"/>
        <v/>
      </c>
      <c r="X573" t="str">
        <f t="shared" si="18"/>
        <v/>
      </c>
      <c r="Y573" s="341">
        <f>IF('General price list'!$AB575="",0,'General price list'!$AB575)</f>
        <v>0</v>
      </c>
      <c r="Z573" s="365" t="str">
        <f>IFERROR(X573*VLOOKUP(C573,'General price list'!C:I,7,FALSE),"")</f>
        <v/>
      </c>
      <c r="AA573" s="805" t="str">
        <f>IF(X573&lt;&gt;"",VLOOKUP(C573,'General price list'!C575:AN1548,MATCH("HM",Tabulka1[[#Headers],[KOD]:[NEQ]],0),FALSE),"")</f>
        <v/>
      </c>
    </row>
    <row r="574" spans="1:27">
      <c r="A574">
        <f>COUNTIF($W$22:W574,1)</f>
        <v>0</v>
      </c>
      <c r="B574">
        <v>574</v>
      </c>
      <c r="C574" s="340" t="str">
        <f>Tabulka1[[#This Row],[KOD]]</f>
        <v>C10025PR1</v>
      </c>
      <c r="W574" s="804" t="str">
        <f t="shared" si="17"/>
        <v/>
      </c>
      <c r="X574" t="str">
        <f t="shared" si="18"/>
        <v/>
      </c>
      <c r="Y574" s="341">
        <f>IF('General price list'!$AB576="",0,'General price list'!$AB576)</f>
        <v>0</v>
      </c>
      <c r="Z574" s="365" t="str">
        <f>IFERROR(X574*VLOOKUP(C574,'General price list'!C:I,7,FALSE),"")</f>
        <v/>
      </c>
      <c r="AA574" s="805" t="str">
        <f>IF(X574&lt;&gt;"",VLOOKUP(C574,'General price list'!C576:AN1549,MATCH("HM",Tabulka1[[#Headers],[KOD]:[NEQ]],0),FALSE),"")</f>
        <v/>
      </c>
    </row>
    <row r="575" spans="1:27">
      <c r="A575">
        <f>COUNTIF($W$22:W575,1)</f>
        <v>0</v>
      </c>
      <c r="B575">
        <v>575</v>
      </c>
      <c r="C575" s="340" t="str">
        <f>Tabulka1[[#This Row],[KOD]]</f>
        <v>C10025I</v>
      </c>
      <c r="W575" s="804" t="str">
        <f t="shared" si="17"/>
        <v/>
      </c>
      <c r="X575" t="str">
        <f t="shared" si="18"/>
        <v/>
      </c>
      <c r="Y575" s="341">
        <f>IF('General price list'!$AB577="",0,'General price list'!$AB577)</f>
        <v>0</v>
      </c>
      <c r="Z575" s="365" t="str">
        <f>IFERROR(X575*VLOOKUP(C575,'General price list'!C:I,7,FALSE),"")</f>
        <v/>
      </c>
      <c r="AA575" s="805" t="str">
        <f>IF(X575&lt;&gt;"",VLOOKUP(C575,'General price list'!C577:AN1550,MATCH("HM",Tabulka1[[#Headers],[KOD]:[NEQ]],0),FALSE),"")</f>
        <v/>
      </c>
    </row>
    <row r="576" spans="1:27">
      <c r="A576">
        <f>COUNTIF($W$22:W576,1)</f>
        <v>0</v>
      </c>
      <c r="B576">
        <v>576</v>
      </c>
      <c r="C576" s="340">
        <f>Tabulka1[[#This Row],[KOD]]</f>
        <v>0</v>
      </c>
      <c r="W576" s="804" t="str">
        <f t="shared" si="17"/>
        <v/>
      </c>
      <c r="X576" t="str">
        <f t="shared" si="18"/>
        <v/>
      </c>
      <c r="Y576" s="341">
        <f>IF('General price list'!$AB578="",0,'General price list'!$AB578)</f>
        <v>0</v>
      </c>
      <c r="Z576" s="365" t="str">
        <f>IFERROR(X576*VLOOKUP(C576,'General price list'!C:I,7,FALSE),"")</f>
        <v/>
      </c>
      <c r="AA576" s="805" t="str">
        <f>IF(X576&lt;&gt;"",VLOOKUP(C576,'General price list'!C578:AN1551,MATCH("HM",Tabulka1[[#Headers],[KOD]:[NEQ]],0),FALSE),"")</f>
        <v/>
      </c>
    </row>
    <row r="577" spans="1:27">
      <c r="A577">
        <f>COUNTIF($W$22:W577,1)</f>
        <v>0</v>
      </c>
      <c r="B577">
        <v>577</v>
      </c>
      <c r="C577" s="340" t="str">
        <f>Tabulka1[[#This Row],[KOD]]</f>
        <v>C6425DU/C14</v>
      </c>
      <c r="W577" s="804" t="str">
        <f t="shared" si="17"/>
        <v/>
      </c>
      <c r="X577" t="str">
        <f t="shared" si="18"/>
        <v/>
      </c>
      <c r="Y577" s="341">
        <f>IF('General price list'!$AB579="",0,'General price list'!$AB579)</f>
        <v>0</v>
      </c>
      <c r="Z577" s="365" t="str">
        <f>IFERROR(X577*VLOOKUP(C577,'General price list'!C:I,7,FALSE),"")</f>
        <v/>
      </c>
      <c r="AA577" s="805" t="str">
        <f>IF(X577&lt;&gt;"",VLOOKUP(C577,'General price list'!C579:AN1552,MATCH("HM",Tabulka1[[#Headers],[KOD]:[NEQ]],0),FALSE),"")</f>
        <v/>
      </c>
    </row>
    <row r="578" spans="1:27">
      <c r="A578">
        <f>COUNTIF($W$22:W578,1)</f>
        <v>0</v>
      </c>
      <c r="B578">
        <v>578</v>
      </c>
      <c r="C578" s="340" t="str">
        <f>Tabulka1[[#This Row],[KOD]]</f>
        <v>C9625MF/C14</v>
      </c>
      <c r="W578" s="804" t="str">
        <f t="shared" si="17"/>
        <v/>
      </c>
      <c r="X578" t="str">
        <f t="shared" si="18"/>
        <v/>
      </c>
      <c r="Y578" s="341">
        <f>IF('General price list'!$AB580="",0,'General price list'!$AB580)</f>
        <v>0</v>
      </c>
      <c r="Z578" s="365" t="str">
        <f>IFERROR(X578*VLOOKUP(C578,'General price list'!C:I,7,FALSE),"")</f>
        <v/>
      </c>
      <c r="AA578" s="805" t="str">
        <f>IF(X578&lt;&gt;"",VLOOKUP(C578,'General price list'!C580:AN1553,MATCH("HM",Tabulka1[[#Headers],[KOD]:[NEQ]],0),FALSE),"")</f>
        <v/>
      </c>
    </row>
    <row r="579" spans="1:27">
      <c r="A579">
        <f>COUNTIF($W$22:W579,1)</f>
        <v>0</v>
      </c>
      <c r="B579">
        <v>579</v>
      </c>
      <c r="C579" s="340" t="str">
        <f>Tabulka1[[#This Row],[KOD]]</f>
        <v>C9825C/C14</v>
      </c>
      <c r="W579" s="804" t="str">
        <f t="shared" si="17"/>
        <v/>
      </c>
      <c r="X579" t="str">
        <f t="shared" si="18"/>
        <v/>
      </c>
      <c r="Y579" s="341">
        <f>IF('General price list'!$AB581="",0,'General price list'!$AB581)</f>
        <v>0</v>
      </c>
      <c r="Z579" s="365" t="str">
        <f>IFERROR(X579*VLOOKUP(C579,'General price list'!C:I,7,FALSE),"")</f>
        <v/>
      </c>
      <c r="AA579" s="805" t="str">
        <f>IF(X579&lt;&gt;"",VLOOKUP(C579,'General price list'!C581:AN1554,MATCH("HM",Tabulka1[[#Headers],[KOD]:[NEQ]],0),FALSE),"")</f>
        <v/>
      </c>
    </row>
    <row r="580" spans="1:27">
      <c r="A580">
        <f>COUNTIF($W$22:W580,1)</f>
        <v>0</v>
      </c>
      <c r="B580">
        <v>580</v>
      </c>
      <c r="C580" s="340" t="str">
        <f>Tabulka1[[#This Row],[KOD]]</f>
        <v>C9825SIG/C14</v>
      </c>
      <c r="W580" s="804" t="str">
        <f t="shared" si="17"/>
        <v/>
      </c>
      <c r="X580" t="str">
        <f t="shared" si="18"/>
        <v/>
      </c>
      <c r="Y580" s="341">
        <f>IF('General price list'!$AB582="",0,'General price list'!$AB582)</f>
        <v>0</v>
      </c>
      <c r="Z580" s="365" t="str">
        <f>IFERROR(X580*VLOOKUP(C580,'General price list'!C:I,7,FALSE),"")</f>
        <v/>
      </c>
      <c r="AA580" s="805" t="str">
        <f>IF(X580&lt;&gt;"",VLOOKUP(C580,'General price list'!C582:AN1555,MATCH("HM",Tabulka1[[#Headers],[KOD]:[NEQ]],0),FALSE),"")</f>
        <v/>
      </c>
    </row>
    <row r="581" spans="1:27">
      <c r="A581">
        <f>COUNTIF($W$22:W581,1)</f>
        <v>0</v>
      </c>
      <c r="B581">
        <v>581</v>
      </c>
      <c r="C581" s="340" t="str">
        <f>Tabulka1[[#This Row],[KOD]]</f>
        <v>C10025BPW/C14</v>
      </c>
      <c r="W581" s="804" t="str">
        <f t="shared" si="17"/>
        <v/>
      </c>
      <c r="X581" t="str">
        <f t="shared" si="18"/>
        <v/>
      </c>
      <c r="Y581" s="341">
        <f>IF('General price list'!$AB583="",0,'General price list'!$AB583)</f>
        <v>0</v>
      </c>
      <c r="Z581" s="365" t="str">
        <f>IFERROR(X581*VLOOKUP(C581,'General price list'!C:I,7,FALSE),"")</f>
        <v/>
      </c>
      <c r="AA581" s="805" t="str">
        <f>IF(X581&lt;&gt;"",VLOOKUP(C581,'General price list'!C583:AN1556,MATCH("HM",Tabulka1[[#Headers],[KOD]:[NEQ]],0),FALSE),"")</f>
        <v/>
      </c>
    </row>
    <row r="582" spans="1:27">
      <c r="A582">
        <f>COUNTIF($W$22:W582,1)</f>
        <v>0</v>
      </c>
      <c r="B582">
        <v>582</v>
      </c>
      <c r="C582" s="340" t="str">
        <f>Tabulka1[[#This Row],[KOD]]</f>
        <v>C14025XFS/C14</v>
      </c>
      <c r="W582" s="804" t="str">
        <f t="shared" si="17"/>
        <v/>
      </c>
      <c r="X582" t="str">
        <f t="shared" si="18"/>
        <v/>
      </c>
      <c r="Y582" s="341">
        <f>IF('General price list'!$AB584="",0,'General price list'!$AB584)</f>
        <v>0</v>
      </c>
      <c r="Z582" s="365" t="str">
        <f>IFERROR(X582*VLOOKUP(C582,'General price list'!C:I,7,FALSE),"")</f>
        <v/>
      </c>
      <c r="AA582" s="805" t="str">
        <f>IF(X582&lt;&gt;"",VLOOKUP(C582,'General price list'!C584:AN1557,MATCH("HM",Tabulka1[[#Headers],[KOD]:[NEQ]],0),FALSE),"")</f>
        <v/>
      </c>
    </row>
    <row r="583" spans="1:27">
      <c r="A583">
        <f>COUNTIF($W$22:W583,1)</f>
        <v>0</v>
      </c>
      <c r="B583">
        <v>583</v>
      </c>
      <c r="C583" s="340" t="str">
        <f>Tabulka1[[#This Row],[KOD]]</f>
        <v>C19225MF/C14</v>
      </c>
      <c r="W583" s="804" t="str">
        <f t="shared" si="17"/>
        <v/>
      </c>
      <c r="X583" t="str">
        <f t="shared" si="18"/>
        <v/>
      </c>
      <c r="Y583" s="341">
        <f>IF('General price list'!$AB585="",0,'General price list'!$AB585)</f>
        <v>0</v>
      </c>
      <c r="Z583" s="365" t="str">
        <f>IFERROR(X583*VLOOKUP(C583,'General price list'!C:I,7,FALSE),"")</f>
        <v/>
      </c>
      <c r="AA583" s="805" t="str">
        <f>IF(X583&lt;&gt;"",VLOOKUP(C583,'General price list'!C585:AN1558,MATCH("HM",Tabulka1[[#Headers],[KOD]:[NEQ]],0),FALSE),"")</f>
        <v/>
      </c>
    </row>
    <row r="584" spans="1:27">
      <c r="A584">
        <f>COUNTIF($W$22:W584,1)</f>
        <v>0</v>
      </c>
      <c r="B584">
        <v>584</v>
      </c>
      <c r="C584" s="340" t="str">
        <f>Tabulka1[[#This Row],[KOD]]</f>
        <v>C19625/C14</v>
      </c>
      <c r="W584" s="804" t="str">
        <f t="shared" si="17"/>
        <v/>
      </c>
      <c r="X584" t="str">
        <f t="shared" si="18"/>
        <v/>
      </c>
      <c r="Y584" s="341">
        <f>IF('General price list'!$AB586="",0,'General price list'!$AB586)</f>
        <v>0</v>
      </c>
      <c r="Z584" s="365" t="str">
        <f>IFERROR(X584*VLOOKUP(C584,'General price list'!C:I,7,FALSE),"")</f>
        <v/>
      </c>
      <c r="AA584" s="805" t="str">
        <f>IF(X584&lt;&gt;"",VLOOKUP(C584,'General price list'!C586:AN1559,MATCH("HM",Tabulka1[[#Headers],[KOD]:[NEQ]],0),FALSE),"")</f>
        <v/>
      </c>
    </row>
    <row r="585" spans="1:27">
      <c r="A585">
        <f>COUNTIF($W$22:W585,1)</f>
        <v>0</v>
      </c>
      <c r="B585">
        <v>585</v>
      </c>
      <c r="C585" s="340" t="str">
        <f>Tabulka1[[#This Row],[KOD]]</f>
        <v>C1-C2 C40025F/C14</v>
      </c>
      <c r="W585" s="804" t="str">
        <f t="shared" si="17"/>
        <v/>
      </c>
      <c r="X585" t="str">
        <f t="shared" si="18"/>
        <v/>
      </c>
      <c r="Y585" s="341">
        <f>IF('General price list'!$AB587="",0,'General price list'!$AB587)</f>
        <v>0</v>
      </c>
      <c r="Z585" s="365" t="str">
        <f>IFERROR(X585*VLOOKUP(C585,'General price list'!C:I,7,FALSE),"")</f>
        <v/>
      </c>
      <c r="AA585" s="805" t="str">
        <f>IF(X585&lt;&gt;"",VLOOKUP(C585,'General price list'!C587:AN1560,MATCH("HM",Tabulka1[[#Headers],[KOD]:[NEQ]],0),FALSE),"")</f>
        <v/>
      </c>
    </row>
    <row r="586" spans="1:27">
      <c r="A586">
        <f>COUNTIF($W$22:W586,1)</f>
        <v>0</v>
      </c>
      <c r="B586">
        <v>586</v>
      </c>
      <c r="C586" s="340">
        <f>Tabulka1[[#This Row],[KOD]]</f>
        <v>0</v>
      </c>
      <c r="W586" s="804" t="str">
        <f t="shared" si="17"/>
        <v/>
      </c>
      <c r="X586" t="str">
        <f t="shared" si="18"/>
        <v/>
      </c>
      <c r="Y586" s="341">
        <f>IF('General price list'!$AB588="",0,'General price list'!$AB588)</f>
        <v>0</v>
      </c>
      <c r="Z586" s="365" t="str">
        <f>IFERROR(X586*VLOOKUP(C586,'General price list'!C:I,7,FALSE),"")</f>
        <v/>
      </c>
      <c r="AA586" s="805" t="str">
        <f>IF(X586&lt;&gt;"",VLOOKUP(C586,'General price list'!C588:AN1561,MATCH("HM",Tabulka1[[#Headers],[KOD]:[NEQ]],0),FALSE),"")</f>
        <v/>
      </c>
    </row>
    <row r="587" spans="1:27">
      <c r="A587">
        <f>COUNTIF($W$22:W587,1)</f>
        <v>0</v>
      </c>
      <c r="B587">
        <v>587</v>
      </c>
      <c r="C587" s="340" t="str">
        <f>Tabulka1[[#This Row],[KOD]]</f>
        <v>C9825C/C</v>
      </c>
      <c r="W587" s="804" t="str">
        <f t="shared" si="17"/>
        <v/>
      </c>
      <c r="X587" t="str">
        <f t="shared" si="18"/>
        <v/>
      </c>
      <c r="Y587" s="341">
        <f>IF('General price list'!$AB589="",0,'General price list'!$AB589)</f>
        <v>0</v>
      </c>
      <c r="Z587" s="365" t="str">
        <f>IFERROR(X587*VLOOKUP(C587,'General price list'!C:I,7,FALSE),"")</f>
        <v/>
      </c>
      <c r="AA587" s="805" t="str">
        <f>IF(X587&lt;&gt;"",VLOOKUP(C587,'General price list'!C589:AN1562,MATCH("HM",Tabulka1[[#Headers],[KOD]:[NEQ]],0),FALSE),"")</f>
        <v/>
      </c>
    </row>
    <row r="588" spans="1:27">
      <c r="A588">
        <f>COUNTIF($W$22:W588,1)</f>
        <v>0</v>
      </c>
      <c r="B588">
        <v>588</v>
      </c>
      <c r="C588" s="340" t="str">
        <f>Tabulka1[[#This Row],[KOD]]</f>
        <v>C10025SIG/C</v>
      </c>
      <c r="W588" s="804" t="str">
        <f t="shared" si="17"/>
        <v/>
      </c>
      <c r="X588" t="str">
        <f t="shared" si="18"/>
        <v/>
      </c>
      <c r="Y588" s="341">
        <f>IF('General price list'!$AB590="",0,'General price list'!$AB590)</f>
        <v>0</v>
      </c>
      <c r="Z588" s="365" t="str">
        <f>IFERROR(X588*VLOOKUP(C588,'General price list'!C:I,7,FALSE),"")</f>
        <v/>
      </c>
      <c r="AA588" s="805" t="str">
        <f>IF(X588&lt;&gt;"",VLOOKUP(C588,'General price list'!C590:AN1563,MATCH("HM",Tabulka1[[#Headers],[KOD]:[NEQ]],0),FALSE),"")</f>
        <v/>
      </c>
    </row>
    <row r="589" spans="1:27">
      <c r="A589">
        <f>COUNTIF($W$22:W589,1)</f>
        <v>0</v>
      </c>
      <c r="B589">
        <v>589</v>
      </c>
      <c r="C589" s="340" t="str">
        <f>Tabulka1[[#This Row],[KOD]]</f>
        <v>C14025XFS/C</v>
      </c>
      <c r="W589" s="804" t="str">
        <f t="shared" si="17"/>
        <v/>
      </c>
      <c r="X589" t="str">
        <f t="shared" si="18"/>
        <v/>
      </c>
      <c r="Y589" s="341">
        <f>IF('General price list'!$AB591="",0,'General price list'!$AB591)</f>
        <v>0</v>
      </c>
      <c r="Z589" s="365" t="str">
        <f>IFERROR(X589*VLOOKUP(C589,'General price list'!C:I,7,FALSE),"")</f>
        <v/>
      </c>
      <c r="AA589" s="805" t="str">
        <f>IF(X589&lt;&gt;"",VLOOKUP(C589,'General price list'!C591:AN1564,MATCH("HM",Tabulka1[[#Headers],[KOD]:[NEQ]],0),FALSE),"")</f>
        <v/>
      </c>
    </row>
    <row r="590" spans="1:27">
      <c r="A590">
        <f>COUNTIF($W$22:W590,1)</f>
        <v>0</v>
      </c>
      <c r="B590">
        <v>590</v>
      </c>
      <c r="C590" s="340" t="str">
        <f>Tabulka1[[#This Row],[KOD]]</f>
        <v>C19625F/C</v>
      </c>
      <c r="W590" s="804" t="str">
        <f t="shared" si="17"/>
        <v/>
      </c>
      <c r="X590" t="str">
        <f t="shared" si="18"/>
        <v/>
      </c>
      <c r="Y590" s="341">
        <f>IF('General price list'!$AB592="",0,'General price list'!$AB592)</f>
        <v>0</v>
      </c>
      <c r="Z590" s="365" t="str">
        <f>IFERROR(X590*VLOOKUP(C590,'General price list'!C:I,7,FALSE),"")</f>
        <v/>
      </c>
      <c r="AA590" s="805" t="str">
        <f>IF(X590&lt;&gt;"",VLOOKUP(C590,'General price list'!C592:AN1565,MATCH("HM",Tabulka1[[#Headers],[KOD]:[NEQ]],0),FALSE),"")</f>
        <v/>
      </c>
    </row>
    <row r="591" spans="1:27">
      <c r="A591">
        <f>COUNTIF($W$22:W591,1)</f>
        <v>0</v>
      </c>
      <c r="B591">
        <v>591</v>
      </c>
      <c r="C591" s="340" t="str">
        <f>Tabulka1[[#This Row],[KOD]]</f>
        <v>C20025I/C</v>
      </c>
      <c r="W591" s="804" t="str">
        <f t="shared" si="17"/>
        <v/>
      </c>
      <c r="X591" t="str">
        <f t="shared" si="18"/>
        <v/>
      </c>
      <c r="Y591" s="341">
        <f>IF('General price list'!$AB593="",0,'General price list'!$AB593)</f>
        <v>0</v>
      </c>
      <c r="Z591" s="365" t="str">
        <f>IFERROR(X591*VLOOKUP(C591,'General price list'!C:I,7,FALSE),"")</f>
        <v/>
      </c>
      <c r="AA591" s="805" t="str">
        <f>IF(X591&lt;&gt;"",VLOOKUP(C591,'General price list'!C593:AN1566,MATCH("HM",Tabulka1[[#Headers],[KOD]:[NEQ]],0),FALSE),"")</f>
        <v/>
      </c>
    </row>
    <row r="592" spans="1:27">
      <c r="A592">
        <f>COUNTIF($W$22:W592,1)</f>
        <v>0</v>
      </c>
      <c r="B592">
        <v>592</v>
      </c>
      <c r="C592" s="340">
        <f>Tabulka1[[#This Row],[KOD]]</f>
        <v>0</v>
      </c>
      <c r="W592" s="804" t="str">
        <f t="shared" si="17"/>
        <v/>
      </c>
      <c r="X592" t="str">
        <f t="shared" si="18"/>
        <v/>
      </c>
      <c r="Y592" s="341">
        <f>IF('General price list'!$AB594="",0,'General price list'!$AB594)</f>
        <v>0</v>
      </c>
      <c r="Z592" s="365" t="str">
        <f>IFERROR(X592*VLOOKUP(C592,'General price list'!C:I,7,FALSE),"")</f>
        <v/>
      </c>
      <c r="AA592" s="805" t="str">
        <f>IF(X592&lt;&gt;"",VLOOKUP(C592,'General price list'!C594:AN1567,MATCH("HM",Tabulka1[[#Headers],[KOD]:[NEQ]],0),FALSE),"")</f>
        <v/>
      </c>
    </row>
    <row r="593" spans="1:27">
      <c r="A593">
        <f>COUNTIF($W$22:W593,1)</f>
        <v>0</v>
      </c>
      <c r="B593">
        <v>593</v>
      </c>
      <c r="C593" s="340" t="str">
        <f>Tabulka1[[#This Row],[KOD]]</f>
        <v>C17825W/C</v>
      </c>
      <c r="W593" s="804" t="str">
        <f t="shared" si="17"/>
        <v/>
      </c>
      <c r="X593" t="str">
        <f t="shared" si="18"/>
        <v/>
      </c>
      <c r="Y593" s="341">
        <f>IF('General price list'!$AB595="",0,'General price list'!$AB595)</f>
        <v>0</v>
      </c>
      <c r="Z593" s="365" t="str">
        <f>IFERROR(X593*VLOOKUP(C593,'General price list'!C:I,7,FALSE),"")</f>
        <v/>
      </c>
      <c r="AA593" s="805" t="str">
        <f>IF(X593&lt;&gt;"",VLOOKUP(C593,'General price list'!C595:AN1568,MATCH("HM",Tabulka1[[#Headers],[KOD]:[NEQ]],0),FALSE),"")</f>
        <v/>
      </c>
    </row>
    <row r="594" spans="1:27">
      <c r="A594">
        <f>COUNTIF($W$22:W594,1)</f>
        <v>0</v>
      </c>
      <c r="B594">
        <v>594</v>
      </c>
      <c r="C594" s="340" t="str">
        <f>Tabulka1[[#This Row],[KOD]]</f>
        <v>C20025F/C</v>
      </c>
      <c r="W594" s="804" t="str">
        <f t="shared" si="17"/>
        <v/>
      </c>
      <c r="X594" t="str">
        <f t="shared" si="18"/>
        <v/>
      </c>
      <c r="Y594" s="341">
        <f>IF('General price list'!$AB596="",0,'General price list'!$AB596)</f>
        <v>0</v>
      </c>
      <c r="Z594" s="365" t="str">
        <f>IFERROR(X594*VLOOKUP(C594,'General price list'!C:I,7,FALSE),"")</f>
        <v/>
      </c>
      <c r="AA594" s="805" t="str">
        <f>IF(X594&lt;&gt;"",VLOOKUP(C594,'General price list'!C596:AN1569,MATCH("HM",Tabulka1[[#Headers],[KOD]:[NEQ]],0),FALSE),"")</f>
        <v/>
      </c>
    </row>
    <row r="595" spans="1:27">
      <c r="A595">
        <f>COUNTIF($W$22:W595,1)</f>
        <v>0</v>
      </c>
      <c r="B595">
        <v>595</v>
      </c>
      <c r="C595" s="340" t="str">
        <f>Tabulka1[[#This Row],[KOD]]</f>
        <v>C30025F/C</v>
      </c>
      <c r="W595" s="804" t="str">
        <f t="shared" si="17"/>
        <v/>
      </c>
      <c r="X595" t="str">
        <f t="shared" si="18"/>
        <v/>
      </c>
      <c r="Y595" s="341">
        <f>IF('General price list'!$AB597="",0,'General price list'!$AB597)</f>
        <v>0</v>
      </c>
      <c r="Z595" s="365" t="str">
        <f>IFERROR(X595*VLOOKUP(C595,'General price list'!C:I,7,FALSE),"")</f>
        <v/>
      </c>
      <c r="AA595" s="805" t="str">
        <f>IF(X595&lt;&gt;"",VLOOKUP(C595,'General price list'!C597:AN1570,MATCH("HM",Tabulka1[[#Headers],[KOD]:[NEQ]],0),FALSE),"")</f>
        <v/>
      </c>
    </row>
    <row r="596" spans="1:27">
      <c r="A596">
        <f>COUNTIF($W$22:W596,1)</f>
        <v>0</v>
      </c>
      <c r="B596">
        <v>596</v>
      </c>
      <c r="C596" s="340" t="str">
        <f>Tabulka1[[#This Row],[KOD]]</f>
        <v>C40025F/C</v>
      </c>
      <c r="W596" s="804" t="str">
        <f t="shared" si="17"/>
        <v/>
      </c>
      <c r="X596" t="str">
        <f t="shared" si="18"/>
        <v/>
      </c>
      <c r="Y596" s="341">
        <f>IF('General price list'!$AB598="",0,'General price list'!$AB598)</f>
        <v>0</v>
      </c>
      <c r="Z596" s="365" t="str">
        <f>IFERROR(X596*VLOOKUP(C596,'General price list'!C:I,7,FALSE),"")</f>
        <v/>
      </c>
      <c r="AA596" s="805" t="str">
        <f>IF(X596&lt;&gt;"",VLOOKUP(C596,'General price list'!C598:AN1571,MATCH("HM",Tabulka1[[#Headers],[KOD]:[NEQ]],0),FALSE),"")</f>
        <v/>
      </c>
    </row>
    <row r="597" spans="1:27">
      <c r="A597">
        <f>COUNTIF($W$22:W597,1)</f>
        <v>0</v>
      </c>
      <c r="B597">
        <v>597</v>
      </c>
      <c r="C597" s="340">
        <f>Tabulka1[[#This Row],[KOD]]</f>
        <v>0</v>
      </c>
      <c r="W597" s="804" t="str">
        <f t="shared" si="17"/>
        <v/>
      </c>
      <c r="X597" t="str">
        <f t="shared" si="18"/>
        <v/>
      </c>
      <c r="Y597" s="341">
        <f>IF('General price list'!$AB599="",0,'General price list'!$AB599)</f>
        <v>0</v>
      </c>
      <c r="Z597" s="365" t="str">
        <f>IFERROR(X597*VLOOKUP(C597,'General price list'!C:I,7,FALSE),"")</f>
        <v/>
      </c>
      <c r="AA597" s="805" t="str">
        <f>IF(X597&lt;&gt;"",VLOOKUP(C597,'General price list'!C599:AN1572,MATCH("HM",Tabulka1[[#Headers],[KOD]:[NEQ]],0),FALSE),"")</f>
        <v/>
      </c>
    </row>
    <row r="598" spans="1:27">
      <c r="A598">
        <f>COUNTIF($W$22:W598,1)</f>
        <v>0</v>
      </c>
      <c r="B598">
        <v>598</v>
      </c>
      <c r="C598" s="340" t="str">
        <f>Tabulka1[[#This Row],[KOD]]</f>
        <v>C163BP</v>
      </c>
      <c r="W598" s="804" t="str">
        <f t="shared" si="17"/>
        <v/>
      </c>
      <c r="X598" t="str">
        <f t="shared" si="18"/>
        <v/>
      </c>
      <c r="Y598" s="341">
        <f>IF('General price list'!$AB600="",0,'General price list'!$AB600)</f>
        <v>0</v>
      </c>
      <c r="Z598" s="365" t="str">
        <f>IFERROR(X598*VLOOKUP(C598,'General price list'!C:I,7,FALSE),"")</f>
        <v/>
      </c>
      <c r="AA598" s="805" t="str">
        <f>IF(X598&lt;&gt;"",VLOOKUP(C598,'General price list'!C600:AN1573,MATCH("HM",Tabulka1[[#Headers],[KOD]:[NEQ]],0),FALSE),"")</f>
        <v/>
      </c>
    </row>
    <row r="599" spans="1:27">
      <c r="A599">
        <f>COUNTIF($W$22:W599,1)</f>
        <v>0</v>
      </c>
      <c r="B599">
        <v>599</v>
      </c>
      <c r="C599" s="340" t="str">
        <f>Tabulka1[[#This Row],[KOD]]</f>
        <v>C163SIG</v>
      </c>
      <c r="W599" s="804" t="str">
        <f t="shared" si="17"/>
        <v/>
      </c>
      <c r="X599" t="str">
        <f t="shared" si="18"/>
        <v/>
      </c>
      <c r="Y599" s="341">
        <f>IF('General price list'!$AB601="",0,'General price list'!$AB601)</f>
        <v>0</v>
      </c>
      <c r="Z599" s="365" t="str">
        <f>IFERROR(X599*VLOOKUP(C599,'General price list'!C:I,7,FALSE),"")</f>
        <v/>
      </c>
      <c r="AA599" s="805" t="str">
        <f>IF(X599&lt;&gt;"",VLOOKUP(C599,'General price list'!C601:AN1574,MATCH("HM",Tabulka1[[#Headers],[KOD]:[NEQ]],0),FALSE),"")</f>
        <v/>
      </c>
    </row>
    <row r="600" spans="1:27">
      <c r="A600">
        <f>COUNTIF($W$22:W600,1)</f>
        <v>0</v>
      </c>
      <c r="B600">
        <v>600</v>
      </c>
      <c r="C600" s="340" t="str">
        <f>Tabulka1[[#This Row],[KOD]]</f>
        <v>C163A</v>
      </c>
      <c r="W600" s="804" t="str">
        <f t="shared" ref="W600:W663" si="19">IF(Y600+1=1,"",1)</f>
        <v/>
      </c>
      <c r="X600" t="str">
        <f t="shared" ref="X600:X663" si="20">IF(OR(A600&lt;$F$20,A600&gt;$F$21),"",IF(Y600=0,"",Y600))</f>
        <v/>
      </c>
      <c r="Y600" s="341">
        <f>IF('General price list'!$AB602="",0,'General price list'!$AB602)</f>
        <v>0</v>
      </c>
      <c r="Z600" s="365" t="str">
        <f>IFERROR(X600*VLOOKUP(C600,'General price list'!C:I,7,FALSE),"")</f>
        <v/>
      </c>
      <c r="AA600" s="805" t="str">
        <f>IF(X600&lt;&gt;"",VLOOKUP(C600,'General price list'!C602:AN1575,MATCH("HM",Tabulka1[[#Headers],[KOD]:[NEQ]],0),FALSE),"")</f>
        <v/>
      </c>
    </row>
    <row r="601" spans="1:27">
      <c r="A601">
        <f>COUNTIF($W$22:W601,1)</f>
        <v>0</v>
      </c>
      <c r="B601">
        <v>601</v>
      </c>
      <c r="C601" s="340" t="str">
        <f>Tabulka1[[#This Row],[KOD]]</f>
        <v>C163B</v>
      </c>
      <c r="W601" s="804" t="str">
        <f t="shared" si="19"/>
        <v/>
      </c>
      <c r="X601" t="str">
        <f t="shared" si="20"/>
        <v/>
      </c>
      <c r="Y601" s="341">
        <f>IF('General price list'!$AB603="",0,'General price list'!$AB603)</f>
        <v>0</v>
      </c>
      <c r="Z601" s="365" t="str">
        <f>IFERROR(X601*VLOOKUP(C601,'General price list'!C:I,7,FALSE),"")</f>
        <v/>
      </c>
      <c r="AA601" s="805" t="str">
        <f>IF(X601&lt;&gt;"",VLOOKUP(C601,'General price list'!C603:AN1576,MATCH("HM",Tabulka1[[#Headers],[KOD]:[NEQ]],0),FALSE),"")</f>
        <v/>
      </c>
    </row>
    <row r="602" spans="1:27">
      <c r="A602">
        <f>COUNTIF($W$22:W602,1)</f>
        <v>0</v>
      </c>
      <c r="B602">
        <v>602</v>
      </c>
      <c r="C602" s="340" t="str">
        <f>Tabulka1[[#This Row],[KOD]]</f>
        <v>C163L</v>
      </c>
      <c r="W602" s="804" t="str">
        <f t="shared" si="19"/>
        <v/>
      </c>
      <c r="X602" t="str">
        <f t="shared" si="20"/>
        <v/>
      </c>
      <c r="Y602" s="341">
        <f>IF('General price list'!$AB604="",0,'General price list'!$AB604)</f>
        <v>0</v>
      </c>
      <c r="Z602" s="365" t="str">
        <f>IFERROR(X602*VLOOKUP(C602,'General price list'!C:I,7,FALSE),"")</f>
        <v/>
      </c>
      <c r="AA602" s="805" t="str">
        <f>IF(X602&lt;&gt;"",VLOOKUP(C602,'General price list'!C604:AN1577,MATCH("HM",Tabulka1[[#Headers],[KOD]:[NEQ]],0),FALSE),"")</f>
        <v/>
      </c>
    </row>
    <row r="603" spans="1:27">
      <c r="A603">
        <f>COUNTIF($W$22:W603,1)</f>
        <v>0</v>
      </c>
      <c r="B603">
        <v>603</v>
      </c>
      <c r="C603" s="340" t="str">
        <f>Tabulka1[[#This Row],[KOD]]</f>
        <v>C163E</v>
      </c>
      <c r="W603" s="804" t="str">
        <f t="shared" si="19"/>
        <v/>
      </c>
      <c r="X603" t="str">
        <f t="shared" si="20"/>
        <v/>
      </c>
      <c r="Y603" s="341">
        <f>IF('General price list'!$AB605="",0,'General price list'!$AB605)</f>
        <v>0</v>
      </c>
      <c r="Z603" s="365" t="str">
        <f>IFERROR(X603*VLOOKUP(C603,'General price list'!C:I,7,FALSE),"")</f>
        <v/>
      </c>
      <c r="AA603" s="805" t="str">
        <f>IF(X603&lt;&gt;"",VLOOKUP(C603,'General price list'!C605:AN1578,MATCH("HM",Tabulka1[[#Headers],[KOD]:[NEQ]],0),FALSE),"")</f>
        <v/>
      </c>
    </row>
    <row r="604" spans="1:27">
      <c r="A604">
        <f>COUNTIF($W$22:W604,1)</f>
        <v>0</v>
      </c>
      <c r="B604">
        <v>604</v>
      </c>
      <c r="C604" s="340" t="str">
        <f>Tabulka1[[#This Row],[KOD]]</f>
        <v>C163K</v>
      </c>
      <c r="W604" s="804" t="str">
        <f t="shared" si="19"/>
        <v/>
      </c>
      <c r="X604" t="str">
        <f t="shared" si="20"/>
        <v/>
      </c>
      <c r="Y604" s="341">
        <f>IF('General price list'!$AB606="",0,'General price list'!$AB606)</f>
        <v>0</v>
      </c>
      <c r="Z604" s="365" t="str">
        <f>IFERROR(X604*VLOOKUP(C604,'General price list'!C:I,7,FALSE),"")</f>
        <v/>
      </c>
      <c r="AA604" s="805" t="str">
        <f>IF(X604&lt;&gt;"",VLOOKUP(C604,'General price list'!C606:AN1579,MATCH("HM",Tabulka1[[#Headers],[KOD]:[NEQ]],0),FALSE),"")</f>
        <v/>
      </c>
    </row>
    <row r="605" spans="1:27">
      <c r="A605">
        <f>COUNTIF($W$22:W605,1)</f>
        <v>0</v>
      </c>
      <c r="B605">
        <v>605</v>
      </c>
      <c r="C605" s="340">
        <f>Tabulka1[[#This Row],[KOD]]</f>
        <v>0</v>
      </c>
      <c r="W605" s="804" t="str">
        <f t="shared" si="19"/>
        <v/>
      </c>
      <c r="X605" t="str">
        <f t="shared" si="20"/>
        <v/>
      </c>
      <c r="Y605" s="341">
        <f>IF('General price list'!$AB607="",0,'General price list'!$AB607)</f>
        <v>0</v>
      </c>
      <c r="Z605" s="365" t="str">
        <f>IFERROR(X605*VLOOKUP(C605,'General price list'!C:I,7,FALSE),"")</f>
        <v/>
      </c>
      <c r="AA605" s="805" t="str">
        <f>IF(X605&lt;&gt;"",VLOOKUP(C605,'General price list'!C607:AN1580,MATCH("HM",Tabulka1[[#Headers],[KOD]:[NEQ]],0),FALSE),"")</f>
        <v/>
      </c>
    </row>
    <row r="606" spans="1:27">
      <c r="A606">
        <f>COUNTIF($W$22:W606,1)</f>
        <v>0</v>
      </c>
      <c r="B606">
        <v>606</v>
      </c>
      <c r="C606" s="340" t="str">
        <f>Tabulka1[[#This Row],[KOD]]</f>
        <v>C163A14</v>
      </c>
      <c r="W606" s="804" t="str">
        <f t="shared" si="19"/>
        <v/>
      </c>
      <c r="X606" t="str">
        <f t="shared" si="20"/>
        <v/>
      </c>
      <c r="Y606" s="341">
        <f>IF('General price list'!$AB608="",0,'General price list'!$AB608)</f>
        <v>0</v>
      </c>
      <c r="Z606" s="365" t="str">
        <f>IFERROR(X606*VLOOKUP(C606,'General price list'!C:I,7,FALSE),"")</f>
        <v/>
      </c>
      <c r="AA606" s="805" t="str">
        <f>IF(X606&lt;&gt;"",VLOOKUP(C606,'General price list'!C608:AN1581,MATCH("HM",Tabulka1[[#Headers],[KOD]:[NEQ]],0),FALSE),"")</f>
        <v/>
      </c>
    </row>
    <row r="607" spans="1:27">
      <c r="A607">
        <f>COUNTIF($W$22:W607,1)</f>
        <v>0</v>
      </c>
      <c r="B607">
        <v>607</v>
      </c>
      <c r="C607" s="340">
        <f>Tabulka1[[#This Row],[KOD]]</f>
        <v>0</v>
      </c>
      <c r="W607" s="804" t="str">
        <f t="shared" si="19"/>
        <v/>
      </c>
      <c r="X607" t="str">
        <f t="shared" si="20"/>
        <v/>
      </c>
      <c r="Y607" s="341">
        <f>IF('General price list'!$AB609="",0,'General price list'!$AB609)</f>
        <v>0</v>
      </c>
      <c r="Z607" s="365" t="str">
        <f>IFERROR(X607*VLOOKUP(C607,'General price list'!C:I,7,FALSE),"")</f>
        <v/>
      </c>
      <c r="AA607" s="805" t="str">
        <f>IF(X607&lt;&gt;"",VLOOKUP(C607,'General price list'!C609:AN1582,MATCH("HM",Tabulka1[[#Headers],[KOD]:[NEQ]],0),FALSE),"")</f>
        <v/>
      </c>
    </row>
    <row r="608" spans="1:27">
      <c r="A608">
        <f>COUNTIF($W$22:W608,1)</f>
        <v>0</v>
      </c>
      <c r="B608">
        <v>608</v>
      </c>
      <c r="C608" s="340" t="str">
        <f>Tabulka1[[#This Row],[KOD]]</f>
        <v>C193BP</v>
      </c>
      <c r="W608" s="804" t="str">
        <f t="shared" si="19"/>
        <v/>
      </c>
      <c r="X608" t="str">
        <f t="shared" si="20"/>
        <v/>
      </c>
      <c r="Y608" s="341">
        <f>IF('General price list'!$AB610="",0,'General price list'!$AB610)</f>
        <v>0</v>
      </c>
      <c r="Z608" s="365" t="str">
        <f>IFERROR(X608*VLOOKUP(C608,'General price list'!C:I,7,FALSE),"")</f>
        <v/>
      </c>
      <c r="AA608" s="805" t="str">
        <f>IF(X608&lt;&gt;"",VLOOKUP(C608,'General price list'!C610:AN1583,MATCH("HM",Tabulka1[[#Headers],[KOD]:[NEQ]],0),FALSE),"")</f>
        <v/>
      </c>
    </row>
    <row r="609" spans="1:27">
      <c r="A609">
        <f>COUNTIF($W$22:W609,1)</f>
        <v>0</v>
      </c>
      <c r="B609">
        <v>609</v>
      </c>
      <c r="C609" s="340" t="str">
        <f>Tabulka1[[#This Row],[KOD]]</f>
        <v>C193C</v>
      </c>
      <c r="W609" s="804" t="str">
        <f t="shared" si="19"/>
        <v/>
      </c>
      <c r="X609" t="str">
        <f t="shared" si="20"/>
        <v/>
      </c>
      <c r="Y609" s="341">
        <f>IF('General price list'!$AB611="",0,'General price list'!$AB611)</f>
        <v>0</v>
      </c>
      <c r="Z609" s="365" t="str">
        <f>IFERROR(X609*VLOOKUP(C609,'General price list'!C:I,7,FALSE),"")</f>
        <v/>
      </c>
      <c r="AA609" s="805" t="str">
        <f>IF(X609&lt;&gt;"",VLOOKUP(C609,'General price list'!C611:AN1584,MATCH("HM",Tabulka1[[#Headers],[KOD]:[NEQ]],0),FALSE),"")</f>
        <v/>
      </c>
    </row>
    <row r="610" spans="1:27">
      <c r="A610">
        <f>COUNTIF($W$22:W610,1)</f>
        <v>0</v>
      </c>
      <c r="B610">
        <v>610</v>
      </c>
      <c r="C610" s="340" t="str">
        <f>Tabulka1[[#This Row],[KOD]]</f>
        <v>C193D</v>
      </c>
      <c r="W610" s="804" t="str">
        <f t="shared" si="19"/>
        <v/>
      </c>
      <c r="X610" t="str">
        <f t="shared" si="20"/>
        <v/>
      </c>
      <c r="Y610" s="341">
        <f>IF('General price list'!$AB612="",0,'General price list'!$AB612)</f>
        <v>0</v>
      </c>
      <c r="Z610" s="365" t="str">
        <f>IFERROR(X610*VLOOKUP(C610,'General price list'!C:I,7,FALSE),"")</f>
        <v/>
      </c>
      <c r="AA610" s="805" t="str">
        <f>IF(X610&lt;&gt;"",VLOOKUP(C610,'General price list'!C612:AN1585,MATCH("HM",Tabulka1[[#Headers],[KOD]:[NEQ]],0),FALSE),"")</f>
        <v/>
      </c>
    </row>
    <row r="611" spans="1:27">
      <c r="A611">
        <f>COUNTIF($W$22:W611,1)</f>
        <v>0</v>
      </c>
      <c r="B611">
        <v>611</v>
      </c>
      <c r="C611" s="340" t="str">
        <f>Tabulka1[[#This Row],[KOD]]</f>
        <v>C193J</v>
      </c>
      <c r="W611" s="804" t="str">
        <f t="shared" si="19"/>
        <v/>
      </c>
      <c r="X611" t="str">
        <f t="shared" si="20"/>
        <v/>
      </c>
      <c r="Y611" s="341">
        <f>IF('General price list'!$AB613="",0,'General price list'!$AB613)</f>
        <v>0</v>
      </c>
      <c r="Z611" s="365" t="str">
        <f>IFERROR(X611*VLOOKUP(C611,'General price list'!C:I,7,FALSE),"")</f>
        <v/>
      </c>
      <c r="AA611" s="805" t="str">
        <f>IF(X611&lt;&gt;"",VLOOKUP(C611,'General price list'!C613:AN1586,MATCH("HM",Tabulka1[[#Headers],[KOD]:[NEQ]],0),FALSE),"")</f>
        <v/>
      </c>
    </row>
    <row r="612" spans="1:27">
      <c r="A612">
        <f>COUNTIF($W$22:W612,1)</f>
        <v>0</v>
      </c>
      <c r="B612">
        <v>612</v>
      </c>
      <c r="C612" s="340" t="str">
        <f>Tabulka1[[#This Row],[KOD]]</f>
        <v>C193I</v>
      </c>
      <c r="W612" s="804" t="str">
        <f t="shared" si="19"/>
        <v/>
      </c>
      <c r="X612" t="str">
        <f t="shared" si="20"/>
        <v/>
      </c>
      <c r="Y612" s="341">
        <f>IF('General price list'!$AB614="",0,'General price list'!$AB614)</f>
        <v>0</v>
      </c>
      <c r="Z612" s="365" t="str">
        <f>IFERROR(X612*VLOOKUP(C612,'General price list'!C:I,7,FALSE),"")</f>
        <v/>
      </c>
      <c r="AA612" s="805" t="str">
        <f>IF(X612&lt;&gt;"",VLOOKUP(C612,'General price list'!C614:AN1587,MATCH("HM",Tabulka1[[#Headers],[KOD]:[NEQ]],0),FALSE),"")</f>
        <v/>
      </c>
    </row>
    <row r="613" spans="1:27">
      <c r="A613">
        <f>COUNTIF($W$22:W613,1)</f>
        <v>0</v>
      </c>
      <c r="B613">
        <v>613</v>
      </c>
      <c r="C613" s="340">
        <f>Tabulka1[[#This Row],[KOD]]</f>
        <v>0</v>
      </c>
      <c r="W613" s="804" t="str">
        <f t="shared" si="19"/>
        <v/>
      </c>
      <c r="X613" t="str">
        <f t="shared" si="20"/>
        <v/>
      </c>
      <c r="Y613" s="341">
        <f>IF('General price list'!$AB615="",0,'General price list'!$AB615)</f>
        <v>0</v>
      </c>
      <c r="Z613" s="365" t="str">
        <f>IFERROR(X613*VLOOKUP(C613,'General price list'!C:I,7,FALSE),"")</f>
        <v/>
      </c>
      <c r="AA613" s="805" t="str">
        <f>IF(X613&lt;&gt;"",VLOOKUP(C613,'General price list'!C615:AN1588,MATCH("HM",Tabulka1[[#Headers],[KOD]:[NEQ]],0),FALSE),"")</f>
        <v/>
      </c>
    </row>
    <row r="614" spans="1:27">
      <c r="A614">
        <f>COUNTIF($W$22:W614,1)</f>
        <v>0</v>
      </c>
      <c r="B614">
        <v>614</v>
      </c>
      <c r="C614" s="340" t="str">
        <f>Tabulka1[[#This Row],[KOD]]</f>
        <v>C253SIG</v>
      </c>
      <c r="W614" s="804" t="str">
        <f t="shared" si="19"/>
        <v/>
      </c>
      <c r="X614" t="str">
        <f t="shared" si="20"/>
        <v/>
      </c>
      <c r="Y614" s="341">
        <f>IF('General price list'!$AB616="",0,'General price list'!$AB616)</f>
        <v>0</v>
      </c>
      <c r="Z614" s="365" t="str">
        <f>IFERROR(X614*VLOOKUP(C614,'General price list'!C:I,7,FALSE),"")</f>
        <v/>
      </c>
      <c r="AA614" s="805" t="str">
        <f>IF(X614&lt;&gt;"",VLOOKUP(C614,'General price list'!C616:AN1589,MATCH("HM",Tabulka1[[#Headers],[KOD]:[NEQ]],0),FALSE),"")</f>
        <v/>
      </c>
    </row>
    <row r="615" spans="1:27">
      <c r="A615">
        <f>COUNTIF($W$22:W615,1)</f>
        <v>0</v>
      </c>
      <c r="B615">
        <v>615</v>
      </c>
      <c r="C615" s="340" t="str">
        <f>Tabulka1[[#This Row],[KOD]]</f>
        <v>C253SIG B</v>
      </c>
      <c r="W615" s="804" t="str">
        <f t="shared" si="19"/>
        <v/>
      </c>
      <c r="X615" t="str">
        <f t="shared" si="20"/>
        <v/>
      </c>
      <c r="Y615" s="341">
        <f>IF('General price list'!$AB617="",0,'General price list'!$AB617)</f>
        <v>0</v>
      </c>
      <c r="Z615" s="365" t="str">
        <f>IFERROR(X615*VLOOKUP(C615,'General price list'!C:I,7,FALSE),"")</f>
        <v/>
      </c>
      <c r="AA615" s="805" t="str">
        <f>IF(X615&lt;&gt;"",VLOOKUP(C615,'General price list'!C617:AN1590,MATCH("HM",Tabulka1[[#Headers],[KOD]:[NEQ]],0),FALSE),"")</f>
        <v/>
      </c>
    </row>
    <row r="616" spans="1:27">
      <c r="A616">
        <f>COUNTIF($W$22:W616,1)</f>
        <v>0</v>
      </c>
      <c r="B616">
        <v>616</v>
      </c>
      <c r="C616" s="340" t="str">
        <f>Tabulka1[[#This Row],[KOD]]</f>
        <v>C253FR</v>
      </c>
      <c r="W616" s="804" t="str">
        <f t="shared" si="19"/>
        <v/>
      </c>
      <c r="X616" t="str">
        <f t="shared" si="20"/>
        <v/>
      </c>
      <c r="Y616" s="341">
        <f>IF('General price list'!$AB618="",0,'General price list'!$AB618)</f>
        <v>0</v>
      </c>
      <c r="Z616" s="365" t="str">
        <f>IFERROR(X616*VLOOKUP(C616,'General price list'!C:I,7,FALSE),"")</f>
        <v/>
      </c>
      <c r="AA616" s="805" t="str">
        <f>IF(X616&lt;&gt;"",VLOOKUP(C616,'General price list'!C618:AN1591,MATCH("HM",Tabulka1[[#Headers],[KOD]:[NEQ]],0),FALSE),"")</f>
        <v/>
      </c>
    </row>
    <row r="617" spans="1:27">
      <c r="A617">
        <f>COUNTIF($W$22:W617,1)</f>
        <v>0</v>
      </c>
      <c r="B617">
        <v>617</v>
      </c>
      <c r="C617" s="340" t="str">
        <f>Tabulka1[[#This Row],[KOD]]</f>
        <v>C253MY</v>
      </c>
      <c r="W617" s="804" t="str">
        <f t="shared" si="19"/>
        <v/>
      </c>
      <c r="X617" t="str">
        <f t="shared" si="20"/>
        <v/>
      </c>
      <c r="Y617" s="341">
        <f>IF('General price list'!$AB619="",0,'General price list'!$AB619)</f>
        <v>0</v>
      </c>
      <c r="Z617" s="365" t="str">
        <f>IFERROR(X617*VLOOKUP(C617,'General price list'!C:I,7,FALSE),"")</f>
        <v/>
      </c>
      <c r="AA617" s="805" t="str">
        <f>IF(X617&lt;&gt;"",VLOOKUP(C617,'General price list'!C619:AN1592,MATCH("HM",Tabulka1[[#Headers],[KOD]:[NEQ]],0),FALSE),"")</f>
        <v/>
      </c>
    </row>
    <row r="618" spans="1:27">
      <c r="A618">
        <f>COUNTIF($W$22:W618,1)</f>
        <v>0</v>
      </c>
      <c r="B618">
        <v>618</v>
      </c>
      <c r="C618" s="340" t="str">
        <f>Tabulka1[[#This Row],[KOD]]</f>
        <v>C253DU</v>
      </c>
      <c r="W618" s="804" t="str">
        <f t="shared" si="19"/>
        <v/>
      </c>
      <c r="X618" t="str">
        <f t="shared" si="20"/>
        <v/>
      </c>
      <c r="Y618" s="341">
        <f>IF('General price list'!$AB620="",0,'General price list'!$AB620)</f>
        <v>0</v>
      </c>
      <c r="Z618" s="365" t="str">
        <f>IFERROR(X618*VLOOKUP(C618,'General price list'!C:I,7,FALSE),"")</f>
        <v/>
      </c>
      <c r="AA618" s="805" t="str">
        <f>IF(X618&lt;&gt;"",VLOOKUP(C618,'General price list'!C620:AN1593,MATCH("HM",Tabulka1[[#Headers],[KOD]:[NEQ]],0),FALSE),"")</f>
        <v/>
      </c>
    </row>
    <row r="619" spans="1:27">
      <c r="A619">
        <f>COUNTIF($W$22:W619,1)</f>
        <v>0</v>
      </c>
      <c r="B619">
        <v>619</v>
      </c>
      <c r="C619" s="340">
        <f>Tabulka1[[#This Row],[KOD]]</f>
        <v>0</v>
      </c>
      <c r="W619" s="804" t="str">
        <f t="shared" si="19"/>
        <v/>
      </c>
      <c r="X619" t="str">
        <f t="shared" si="20"/>
        <v/>
      </c>
      <c r="Y619" s="341">
        <f>IF('General price list'!$AB621="",0,'General price list'!$AB621)</f>
        <v>0</v>
      </c>
      <c r="Z619" s="365" t="str">
        <f>IFERROR(X619*VLOOKUP(C619,'General price list'!C:I,7,FALSE),"")</f>
        <v/>
      </c>
      <c r="AA619" s="805" t="str">
        <f>IF(X619&lt;&gt;"",VLOOKUP(C619,'General price list'!C621:AN1594,MATCH("HM",Tabulka1[[#Headers],[KOD]:[NEQ]],0),FALSE),"")</f>
        <v/>
      </c>
    </row>
    <row r="620" spans="1:27">
      <c r="A620">
        <f>COUNTIF($W$22:W620,1)</f>
        <v>0</v>
      </c>
      <c r="B620">
        <v>620</v>
      </c>
      <c r="C620" s="340" t="str">
        <f>Tabulka1[[#This Row],[KOD]]</f>
        <v>C253BP14</v>
      </c>
      <c r="W620" s="804" t="str">
        <f t="shared" si="19"/>
        <v/>
      </c>
      <c r="X620" t="str">
        <f t="shared" si="20"/>
        <v/>
      </c>
      <c r="Y620" s="341">
        <f>IF('General price list'!$AB622="",0,'General price list'!$AB622)</f>
        <v>0</v>
      </c>
      <c r="Z620" s="365" t="str">
        <f>IFERROR(X620*VLOOKUP(C620,'General price list'!C:I,7,FALSE),"")</f>
        <v/>
      </c>
      <c r="AA620" s="805" t="str">
        <f>IF(X620&lt;&gt;"",VLOOKUP(C620,'General price list'!C622:AN1595,MATCH("HM",Tabulka1[[#Headers],[KOD]:[NEQ]],0),FALSE),"")</f>
        <v/>
      </c>
    </row>
    <row r="621" spans="1:27">
      <c r="A621">
        <f>COUNTIF($W$22:W621,1)</f>
        <v>0</v>
      </c>
      <c r="B621">
        <v>621</v>
      </c>
      <c r="C621" s="340" t="str">
        <f>Tabulka1[[#This Row],[KOD]]</f>
        <v>C253NO14</v>
      </c>
      <c r="W621" s="804" t="str">
        <f t="shared" si="19"/>
        <v/>
      </c>
      <c r="X621" t="str">
        <f t="shared" si="20"/>
        <v/>
      </c>
      <c r="Y621" s="341">
        <f>IF('General price list'!$AB623="",0,'General price list'!$AB623)</f>
        <v>0</v>
      </c>
      <c r="Z621" s="365" t="str">
        <f>IFERROR(X621*VLOOKUP(C621,'General price list'!C:I,7,FALSE),"")</f>
        <v/>
      </c>
      <c r="AA621" s="805" t="str">
        <f>IF(X621&lt;&gt;"",VLOOKUP(C621,'General price list'!C623:AN1596,MATCH("HM",Tabulka1[[#Headers],[KOD]:[NEQ]],0),FALSE),"")</f>
        <v/>
      </c>
    </row>
    <row r="622" spans="1:27">
      <c r="A622">
        <f>COUNTIF($W$22:W622,1)</f>
        <v>0</v>
      </c>
      <c r="B622">
        <v>622</v>
      </c>
      <c r="C622" s="340" t="str">
        <f>Tabulka1[[#This Row],[KOD]]</f>
        <v>C253B14</v>
      </c>
      <c r="W622" s="804" t="str">
        <f t="shared" si="19"/>
        <v/>
      </c>
      <c r="X622" t="str">
        <f t="shared" si="20"/>
        <v/>
      </c>
      <c r="Y622" s="341">
        <f>IF('General price list'!$AB624="",0,'General price list'!$AB624)</f>
        <v>0</v>
      </c>
      <c r="Z622" s="365" t="str">
        <f>IFERROR(X622*VLOOKUP(C622,'General price list'!C:I,7,FALSE),"")</f>
        <v/>
      </c>
      <c r="AA622" s="805" t="str">
        <f>IF(X622&lt;&gt;"",VLOOKUP(C622,'General price list'!C624:AN1597,MATCH("HM",Tabulka1[[#Headers],[KOD]:[NEQ]],0),FALSE),"")</f>
        <v/>
      </c>
    </row>
    <row r="623" spans="1:27">
      <c r="A623">
        <f>COUNTIF($W$22:W623,1)</f>
        <v>0</v>
      </c>
      <c r="B623">
        <v>623</v>
      </c>
      <c r="C623" s="340" t="str">
        <f>Tabulka1[[#This Row],[KOD]]</f>
        <v>C253TH14</v>
      </c>
      <c r="W623" s="804" t="str">
        <f t="shared" si="19"/>
        <v/>
      </c>
      <c r="X623" t="str">
        <f t="shared" si="20"/>
        <v/>
      </c>
      <c r="Y623" s="341">
        <f>IF('General price list'!$AB625="",0,'General price list'!$AB625)</f>
        <v>0</v>
      </c>
      <c r="Z623" s="365" t="str">
        <f>IFERROR(X623*VLOOKUP(C623,'General price list'!C:I,7,FALSE),"")</f>
        <v/>
      </c>
      <c r="AA623" s="805" t="str">
        <f>IF(X623&lt;&gt;"",VLOOKUP(C623,'General price list'!C625:AN1598,MATCH("HM",Tabulka1[[#Headers],[KOD]:[NEQ]],0),FALSE),"")</f>
        <v/>
      </c>
    </row>
    <row r="624" spans="1:27">
      <c r="A624">
        <f>COUNTIF($W$22:W624,1)</f>
        <v>0</v>
      </c>
      <c r="B624">
        <v>624</v>
      </c>
      <c r="C624" s="340" t="str">
        <f>Tabulka1[[#This Row],[KOD]]</f>
        <v>C253E14</v>
      </c>
      <c r="W624" s="804" t="str">
        <f t="shared" si="19"/>
        <v/>
      </c>
      <c r="X624" t="str">
        <f t="shared" si="20"/>
        <v/>
      </c>
      <c r="Y624" s="341">
        <f>IF('General price list'!$AB626="",0,'General price list'!$AB626)</f>
        <v>0</v>
      </c>
      <c r="Z624" s="365" t="str">
        <f>IFERROR(X624*VLOOKUP(C624,'General price list'!C:I,7,FALSE),"")</f>
        <v/>
      </c>
      <c r="AA624" s="805" t="str">
        <f>IF(X624&lt;&gt;"",VLOOKUP(C624,'General price list'!C626:AN1599,MATCH("HM",Tabulka1[[#Headers],[KOD]:[NEQ]],0),FALSE),"")</f>
        <v/>
      </c>
    </row>
    <row r="625" spans="1:27">
      <c r="A625">
        <f>COUNTIF($W$22:W625,1)</f>
        <v>0</v>
      </c>
      <c r="B625">
        <v>625</v>
      </c>
      <c r="C625" s="340">
        <f>Tabulka1[[#This Row],[KOD]]</f>
        <v>0</v>
      </c>
      <c r="W625" s="804" t="str">
        <f t="shared" si="19"/>
        <v/>
      </c>
      <c r="X625" t="str">
        <f t="shared" si="20"/>
        <v/>
      </c>
      <c r="Y625" s="341">
        <f>IF('General price list'!$AB627="",0,'General price list'!$AB627)</f>
        <v>0</v>
      </c>
      <c r="Z625" s="365" t="str">
        <f>IFERROR(X625*VLOOKUP(C625,'General price list'!C:I,7,FALSE),"")</f>
        <v/>
      </c>
      <c r="AA625" s="805" t="str">
        <f>IF(X625&lt;&gt;"",VLOOKUP(C625,'General price list'!C627:AN1600,MATCH("HM",Tabulka1[[#Headers],[KOD]:[NEQ]],0),FALSE),"")</f>
        <v/>
      </c>
    </row>
    <row r="626" spans="1:27">
      <c r="A626">
        <f>COUNTIF($W$22:W626,1)</f>
        <v>0</v>
      </c>
      <c r="B626">
        <v>626</v>
      </c>
      <c r="C626" s="340" t="str">
        <f>Tabulka1[[#This Row],[KOD]]</f>
        <v>C253F14</v>
      </c>
      <c r="W626" s="804" t="str">
        <f t="shared" si="19"/>
        <v/>
      </c>
      <c r="X626" t="str">
        <f t="shared" si="20"/>
        <v/>
      </c>
      <c r="Y626" s="341">
        <f>IF('General price list'!$AB628="",0,'General price list'!$AB628)</f>
        <v>0</v>
      </c>
      <c r="Z626" s="365" t="str">
        <f>IFERROR(X626*VLOOKUP(C626,'General price list'!C:I,7,FALSE),"")</f>
        <v/>
      </c>
      <c r="AA626" s="805" t="str">
        <f>IF(X626&lt;&gt;"",VLOOKUP(C626,'General price list'!C628:AN1601,MATCH("HM",Tabulka1[[#Headers],[KOD]:[NEQ]],0),FALSE),"")</f>
        <v/>
      </c>
    </row>
    <row r="627" spans="1:27">
      <c r="A627">
        <f>COUNTIF($W$22:W627,1)</f>
        <v>0</v>
      </c>
      <c r="B627">
        <v>627</v>
      </c>
      <c r="C627" s="340">
        <f>Tabulka1[[#This Row],[KOD]]</f>
        <v>0</v>
      </c>
      <c r="W627" s="804" t="str">
        <f t="shared" si="19"/>
        <v/>
      </c>
      <c r="X627" t="str">
        <f t="shared" si="20"/>
        <v/>
      </c>
      <c r="Y627" s="341">
        <f>IF('General price list'!$AB629="",0,'General price list'!$AB629)</f>
        <v>0</v>
      </c>
      <c r="Z627" s="365" t="str">
        <f>IFERROR(X627*VLOOKUP(C627,'General price list'!C:I,7,FALSE),"")</f>
        <v/>
      </c>
      <c r="AA627" s="805" t="str">
        <f>IF(X627&lt;&gt;"",VLOOKUP(C627,'General price list'!C629:AN1602,MATCH("HM",Tabulka1[[#Headers],[KOD]:[NEQ]],0),FALSE),"")</f>
        <v/>
      </c>
    </row>
    <row r="628" spans="1:27">
      <c r="A628">
        <f>COUNTIF($W$22:W628,1)</f>
        <v>0</v>
      </c>
      <c r="B628">
        <v>628</v>
      </c>
      <c r="C628" s="340" t="str">
        <f>Tabulka1[[#This Row],[KOD]]</f>
        <v>CF253R14</v>
      </c>
      <c r="W628" s="804" t="str">
        <f t="shared" si="19"/>
        <v/>
      </c>
      <c r="X628" t="str">
        <f t="shared" si="20"/>
        <v/>
      </c>
      <c r="Y628" s="341">
        <f>IF('General price list'!$AB630="",0,'General price list'!$AB630)</f>
        <v>0</v>
      </c>
      <c r="Z628" s="365" t="str">
        <f>IFERROR(X628*VLOOKUP(C628,'General price list'!C:I,7,FALSE),"")</f>
        <v/>
      </c>
      <c r="AA628" s="805" t="str">
        <f>IF(X628&lt;&gt;"",VLOOKUP(C628,'General price list'!C630:AN1603,MATCH("HM",Tabulka1[[#Headers],[KOD]:[NEQ]],0),FALSE),"")</f>
        <v/>
      </c>
    </row>
    <row r="629" spans="1:27">
      <c r="A629">
        <f>COUNTIF($W$22:W629,1)</f>
        <v>0</v>
      </c>
      <c r="B629">
        <v>629</v>
      </c>
      <c r="C629" s="340" t="str">
        <f>Tabulka1[[#This Row],[KOD]]</f>
        <v>CF253D14</v>
      </c>
      <c r="W629" s="804" t="str">
        <f t="shared" si="19"/>
        <v/>
      </c>
      <c r="X629" t="str">
        <f t="shared" si="20"/>
        <v/>
      </c>
      <c r="Y629" s="341">
        <f>IF('General price list'!$AB631="",0,'General price list'!$AB631)</f>
        <v>0</v>
      </c>
      <c r="Z629" s="365" t="str">
        <f>IFERROR(X629*VLOOKUP(C629,'General price list'!C:I,7,FALSE),"")</f>
        <v/>
      </c>
      <c r="AA629" s="805" t="str">
        <f>IF(X629&lt;&gt;"",VLOOKUP(C629,'General price list'!C631:AN1604,MATCH("HM",Tabulka1[[#Headers],[KOD]:[NEQ]],0),FALSE),"")</f>
        <v/>
      </c>
    </row>
    <row r="630" spans="1:27">
      <c r="A630">
        <f>COUNTIF($W$22:W630,1)</f>
        <v>0</v>
      </c>
      <c r="B630">
        <v>630</v>
      </c>
      <c r="C630" s="340" t="str">
        <f>Tabulka1[[#This Row],[KOD]]</f>
        <v>CF253K14</v>
      </c>
      <c r="W630" s="804" t="str">
        <f t="shared" si="19"/>
        <v/>
      </c>
      <c r="X630" t="str">
        <f t="shared" si="20"/>
        <v/>
      </c>
      <c r="Y630" s="341">
        <f>IF('General price list'!$AB632="",0,'General price list'!$AB632)</f>
        <v>0</v>
      </c>
      <c r="Z630" s="365" t="str">
        <f>IFERROR(X630*VLOOKUP(C630,'General price list'!C:I,7,FALSE),"")</f>
        <v/>
      </c>
      <c r="AA630" s="805" t="str">
        <f>IF(X630&lt;&gt;"",VLOOKUP(C630,'General price list'!C632:AN1605,MATCH("HM",Tabulka1[[#Headers],[KOD]:[NEQ]],0),FALSE),"")</f>
        <v/>
      </c>
    </row>
    <row r="631" spans="1:27">
      <c r="A631">
        <f>COUNTIF($W$22:W631,1)</f>
        <v>0</v>
      </c>
      <c r="B631">
        <v>631</v>
      </c>
      <c r="C631" s="340">
        <f>Tabulka1[[#This Row],[KOD]]</f>
        <v>0</v>
      </c>
      <c r="W631" s="804" t="str">
        <f t="shared" si="19"/>
        <v/>
      </c>
      <c r="X631" t="str">
        <f t="shared" si="20"/>
        <v/>
      </c>
      <c r="Y631" s="341">
        <f>IF('General price list'!$AB633="",0,'General price list'!$AB633)</f>
        <v>0</v>
      </c>
      <c r="Z631" s="365" t="str">
        <f>IFERROR(X631*VLOOKUP(C631,'General price list'!C:I,7,FALSE),"")</f>
        <v/>
      </c>
      <c r="AA631" s="805" t="str">
        <f>IF(X631&lt;&gt;"",VLOOKUP(C631,'General price list'!C633:AN1606,MATCH("HM",Tabulka1[[#Headers],[KOD]:[NEQ]],0),FALSE),"")</f>
        <v/>
      </c>
    </row>
    <row r="632" spans="1:27">
      <c r="A632">
        <f>COUNTIF($W$22:W632,1)</f>
        <v>0</v>
      </c>
      <c r="B632">
        <v>632</v>
      </c>
      <c r="C632" s="340" t="str">
        <f>Tabulka1[[#This Row],[KOD]]</f>
        <v>C363PL</v>
      </c>
      <c r="W632" s="804" t="str">
        <f t="shared" si="19"/>
        <v/>
      </c>
      <c r="X632" t="str">
        <f t="shared" si="20"/>
        <v/>
      </c>
      <c r="Y632" s="341">
        <f>IF('General price list'!$AB634="",0,'General price list'!$AB634)</f>
        <v>0</v>
      </c>
      <c r="Z632" s="365" t="str">
        <f>IFERROR(X632*VLOOKUP(C632,'General price list'!C:I,7,FALSE),"")</f>
        <v/>
      </c>
      <c r="AA632" s="805" t="str">
        <f>IF(X632&lt;&gt;"",VLOOKUP(C632,'General price list'!C634:AN1607,MATCH("HM",Tabulka1[[#Headers],[KOD]:[NEQ]],0),FALSE),"")</f>
        <v/>
      </c>
    </row>
    <row r="633" spans="1:27">
      <c r="A633">
        <f>COUNTIF($W$22:W633,1)</f>
        <v>0</v>
      </c>
      <c r="B633">
        <v>633</v>
      </c>
      <c r="C633" s="340" t="str">
        <f>Tabulka1[[#This Row],[KOD]]</f>
        <v>C363PA</v>
      </c>
      <c r="W633" s="804" t="str">
        <f t="shared" si="19"/>
        <v/>
      </c>
      <c r="X633" t="str">
        <f t="shared" si="20"/>
        <v/>
      </c>
      <c r="Y633" s="341">
        <f>IF('General price list'!$AB635="",0,'General price list'!$AB635)</f>
        <v>0</v>
      </c>
      <c r="Z633" s="365" t="str">
        <f>IFERROR(X633*VLOOKUP(C633,'General price list'!C:I,7,FALSE),"")</f>
        <v/>
      </c>
      <c r="AA633" s="805" t="str">
        <f>IF(X633&lt;&gt;"",VLOOKUP(C633,'General price list'!C635:AN1608,MATCH("HM",Tabulka1[[#Headers],[KOD]:[NEQ]],0),FALSE),"")</f>
        <v/>
      </c>
    </row>
    <row r="634" spans="1:27">
      <c r="A634">
        <f>COUNTIF($W$22:W634,1)</f>
        <v>0</v>
      </c>
      <c r="B634">
        <v>634</v>
      </c>
      <c r="C634" s="340" t="str">
        <f>Tabulka1[[#This Row],[KOD]]</f>
        <v>C363DR</v>
      </c>
      <c r="W634" s="804" t="str">
        <f t="shared" si="19"/>
        <v/>
      </c>
      <c r="X634" t="str">
        <f t="shared" si="20"/>
        <v/>
      </c>
      <c r="Y634" s="341">
        <f>IF('General price list'!$AB636="",0,'General price list'!$AB636)</f>
        <v>0</v>
      </c>
      <c r="Z634" s="365" t="str">
        <f>IFERROR(X634*VLOOKUP(C634,'General price list'!C:I,7,FALSE),"")</f>
        <v/>
      </c>
      <c r="AA634" s="805" t="str">
        <f>IF(X634&lt;&gt;"",VLOOKUP(C634,'General price list'!C636:AN1609,MATCH("HM",Tabulka1[[#Headers],[KOD]:[NEQ]],0),FALSE),"")</f>
        <v/>
      </c>
    </row>
    <row r="635" spans="1:27">
      <c r="A635">
        <f>COUNTIF($W$22:W635,1)</f>
        <v>0</v>
      </c>
      <c r="B635">
        <v>635</v>
      </c>
      <c r="C635" s="340">
        <f>Tabulka1[[#This Row],[KOD]]</f>
        <v>0</v>
      </c>
      <c r="W635" s="804" t="str">
        <f t="shared" si="19"/>
        <v/>
      </c>
      <c r="X635" t="str">
        <f t="shared" si="20"/>
        <v/>
      </c>
      <c r="Y635" s="341">
        <f>IF('General price list'!$AB637="",0,'General price list'!$AB637)</f>
        <v>0</v>
      </c>
      <c r="Z635" s="365" t="str">
        <f>IFERROR(X635*VLOOKUP(C635,'General price list'!C:I,7,FALSE),"")</f>
        <v/>
      </c>
      <c r="AA635" s="805" t="str">
        <f>IF(X635&lt;&gt;"",VLOOKUP(C635,'General price list'!C637:AN1610,MATCH("HM",Tabulka1[[#Headers],[KOD]:[NEQ]],0),FALSE),"")</f>
        <v/>
      </c>
    </row>
    <row r="636" spans="1:27">
      <c r="A636">
        <f>COUNTIF($W$22:W636,1)</f>
        <v>0</v>
      </c>
      <c r="B636">
        <v>636</v>
      </c>
      <c r="C636" s="340" t="str">
        <f>Tabulka1[[#This Row],[KOD]]</f>
        <v>CF363S</v>
      </c>
      <c r="W636" s="804" t="str">
        <f t="shared" si="19"/>
        <v/>
      </c>
      <c r="X636" t="str">
        <f t="shared" si="20"/>
        <v/>
      </c>
      <c r="Y636" s="341">
        <f>IF('General price list'!$AB638="",0,'General price list'!$AB638)</f>
        <v>0</v>
      </c>
      <c r="Z636" s="365" t="str">
        <f>IFERROR(X636*VLOOKUP(C636,'General price list'!C:I,7,FALSE),"")</f>
        <v/>
      </c>
      <c r="AA636" s="805" t="str">
        <f>IF(X636&lt;&gt;"",VLOOKUP(C636,'General price list'!C638:AN1611,MATCH("HM",Tabulka1[[#Headers],[KOD]:[NEQ]],0),FALSE),"")</f>
        <v/>
      </c>
    </row>
    <row r="637" spans="1:27">
      <c r="A637">
        <f>COUNTIF($W$22:W637,1)</f>
        <v>0</v>
      </c>
      <c r="B637">
        <v>637</v>
      </c>
      <c r="C637" s="340">
        <f>Tabulka1[[#This Row],[KOD]]</f>
        <v>0</v>
      </c>
      <c r="W637" s="804" t="str">
        <f t="shared" si="19"/>
        <v/>
      </c>
      <c r="X637" t="str">
        <f t="shared" si="20"/>
        <v/>
      </c>
      <c r="Y637" s="341">
        <f>IF('General price list'!$AB639="",0,'General price list'!$AB639)</f>
        <v>0</v>
      </c>
      <c r="Z637" s="365" t="str">
        <f>IFERROR(X637*VLOOKUP(C637,'General price list'!C:I,7,FALSE),"")</f>
        <v/>
      </c>
      <c r="AA637" s="805" t="str">
        <f>IF(X637&lt;&gt;"",VLOOKUP(C637,'General price list'!C639:AN1612,MATCH("HM",Tabulka1[[#Headers],[KOD]:[NEQ]],0),FALSE),"")</f>
        <v/>
      </c>
    </row>
    <row r="638" spans="1:27">
      <c r="A638">
        <f>COUNTIF($W$22:W638,1)</f>
        <v>0</v>
      </c>
      <c r="B638">
        <v>638</v>
      </c>
      <c r="C638" s="340" t="str">
        <f>Tabulka1[[#This Row],[KOD]]</f>
        <v>C493BPS</v>
      </c>
      <c r="W638" s="804" t="str">
        <f t="shared" si="19"/>
        <v/>
      </c>
      <c r="X638" t="str">
        <f t="shared" si="20"/>
        <v/>
      </c>
      <c r="Y638" s="341">
        <f>IF('General price list'!$AB640="",0,'General price list'!$AB640)</f>
        <v>0</v>
      </c>
      <c r="Z638" s="365" t="str">
        <f>IFERROR(X638*VLOOKUP(C638,'General price list'!C:I,7,FALSE),"")</f>
        <v/>
      </c>
      <c r="AA638" s="805" t="str">
        <f>IF(X638&lt;&gt;"",VLOOKUP(C638,'General price list'!C640:AN1613,MATCH("HM",Tabulka1[[#Headers],[KOD]:[NEQ]],0),FALSE),"")</f>
        <v/>
      </c>
    </row>
    <row r="639" spans="1:27">
      <c r="A639">
        <f>COUNTIF($W$22:W639,1)</f>
        <v>0</v>
      </c>
      <c r="B639">
        <v>639</v>
      </c>
      <c r="C639" s="340" t="str">
        <f>Tabulka1[[#This Row],[KOD]]</f>
        <v>C493PR</v>
      </c>
      <c r="W639" s="804" t="str">
        <f t="shared" si="19"/>
        <v/>
      </c>
      <c r="X639" t="str">
        <f t="shared" si="20"/>
        <v/>
      </c>
      <c r="Y639" s="341">
        <f>IF('General price list'!$AB641="",0,'General price list'!$AB641)</f>
        <v>0</v>
      </c>
      <c r="Z639" s="365" t="str">
        <f>IFERROR(X639*VLOOKUP(C639,'General price list'!C:I,7,FALSE),"")</f>
        <v/>
      </c>
      <c r="AA639" s="805" t="str">
        <f>IF(X639&lt;&gt;"",VLOOKUP(C639,'General price list'!C641:AN1614,MATCH("HM",Tabulka1[[#Headers],[KOD]:[NEQ]],0),FALSE),"")</f>
        <v/>
      </c>
    </row>
    <row r="640" spans="1:27">
      <c r="A640">
        <f>COUNTIF($W$22:W640,1)</f>
        <v>0</v>
      </c>
      <c r="B640">
        <v>640</v>
      </c>
      <c r="C640" s="340" t="str">
        <f>Tabulka1[[#This Row],[KOD]]</f>
        <v>C493RU</v>
      </c>
      <c r="W640" s="804" t="str">
        <f t="shared" si="19"/>
        <v/>
      </c>
      <c r="X640" t="str">
        <f t="shared" si="20"/>
        <v/>
      </c>
      <c r="Y640" s="341">
        <f>IF('General price list'!$AB642="",0,'General price list'!$AB642)</f>
        <v>0</v>
      </c>
      <c r="Z640" s="365" t="str">
        <f>IFERROR(X640*VLOOKUP(C640,'General price list'!C:I,7,FALSE),"")</f>
        <v/>
      </c>
      <c r="AA640" s="805" t="str">
        <f>IF(X640&lt;&gt;"",VLOOKUP(C640,'General price list'!C642:AN1615,MATCH("HM",Tabulka1[[#Headers],[KOD]:[NEQ]],0),FALSE),"")</f>
        <v/>
      </c>
    </row>
    <row r="641" spans="1:27">
      <c r="A641">
        <f>COUNTIF($W$22:W641,1)</f>
        <v>0</v>
      </c>
      <c r="B641">
        <v>641</v>
      </c>
      <c r="C641" s="340" t="str">
        <f>Tabulka1[[#This Row],[KOD]]</f>
        <v>C493MA</v>
      </c>
      <c r="W641" s="804" t="str">
        <f t="shared" si="19"/>
        <v/>
      </c>
      <c r="X641" t="str">
        <f t="shared" si="20"/>
        <v/>
      </c>
      <c r="Y641" s="341">
        <f>IF('General price list'!$AB643="",0,'General price list'!$AB643)</f>
        <v>0</v>
      </c>
      <c r="Z641" s="365" t="str">
        <f>IFERROR(X641*VLOOKUP(C641,'General price list'!C:I,7,FALSE),"")</f>
        <v/>
      </c>
      <c r="AA641" s="805" t="str">
        <f>IF(X641&lt;&gt;"",VLOOKUP(C641,'General price list'!C643:AN1616,MATCH("HM",Tabulka1[[#Headers],[KOD]:[NEQ]],0),FALSE),"")</f>
        <v/>
      </c>
    </row>
    <row r="642" spans="1:27">
      <c r="A642">
        <f>COUNTIF($W$22:W642,1)</f>
        <v>0</v>
      </c>
      <c r="B642">
        <v>642</v>
      </c>
      <c r="C642" s="340" t="str">
        <f>Tabulka1[[#This Row],[KOD]]</f>
        <v>C493LI</v>
      </c>
      <c r="W642" s="804" t="str">
        <f t="shared" si="19"/>
        <v/>
      </c>
      <c r="X642" t="str">
        <f t="shared" si="20"/>
        <v/>
      </c>
      <c r="Y642" s="341">
        <f>IF('General price list'!$AB644="",0,'General price list'!$AB644)</f>
        <v>0</v>
      </c>
      <c r="Z642" s="365" t="str">
        <f>IFERROR(X642*VLOOKUP(C642,'General price list'!C:I,7,FALSE),"")</f>
        <v/>
      </c>
      <c r="AA642" s="805" t="str">
        <f>IF(X642&lt;&gt;"",VLOOKUP(C642,'General price list'!C644:AN1617,MATCH("HM",Tabulka1[[#Headers],[KOD]:[NEQ]],0),FALSE),"")</f>
        <v/>
      </c>
    </row>
    <row r="643" spans="1:27">
      <c r="A643">
        <f>COUNTIF($W$22:W643,1)</f>
        <v>0</v>
      </c>
      <c r="B643">
        <v>643</v>
      </c>
      <c r="C643" s="340" t="str">
        <f>Tabulka1[[#This Row],[KOD]]</f>
        <v>C493DU</v>
      </c>
      <c r="W643" s="804" t="str">
        <f t="shared" si="19"/>
        <v/>
      </c>
      <c r="X643" t="str">
        <f t="shared" si="20"/>
        <v/>
      </c>
      <c r="Y643" s="341">
        <f>IF('General price list'!$AB645="",0,'General price list'!$AB645)</f>
        <v>0</v>
      </c>
      <c r="Z643" s="365" t="str">
        <f>IFERROR(X643*VLOOKUP(C643,'General price list'!C:I,7,FALSE),"")</f>
        <v/>
      </c>
      <c r="AA643" s="805" t="str">
        <f>IF(X643&lt;&gt;"",VLOOKUP(C643,'General price list'!C645:AN1618,MATCH("HM",Tabulka1[[#Headers],[KOD]:[NEQ]],0),FALSE),"")</f>
        <v/>
      </c>
    </row>
    <row r="644" spans="1:27">
      <c r="A644">
        <f>COUNTIF($W$22:W644,1)</f>
        <v>0</v>
      </c>
      <c r="B644">
        <v>644</v>
      </c>
      <c r="C644" s="340" t="str">
        <f>Tabulka1[[#This Row],[KOD]]</f>
        <v>C493SW</v>
      </c>
      <c r="W644" s="804" t="str">
        <f t="shared" si="19"/>
        <v/>
      </c>
      <c r="X644" t="str">
        <f t="shared" si="20"/>
        <v/>
      </c>
      <c r="Y644" s="341">
        <f>IF('General price list'!$AB646="",0,'General price list'!$AB646)</f>
        <v>0</v>
      </c>
      <c r="Z644" s="365" t="str">
        <f>IFERROR(X644*VLOOKUP(C644,'General price list'!C:I,7,FALSE),"")</f>
        <v/>
      </c>
      <c r="AA644" s="805" t="str">
        <f>IF(X644&lt;&gt;"",VLOOKUP(C644,'General price list'!C646:AN1619,MATCH("HM",Tabulka1[[#Headers],[KOD]:[NEQ]],0),FALSE),"")</f>
        <v/>
      </c>
    </row>
    <row r="645" spans="1:27">
      <c r="A645">
        <f>COUNTIF($W$22:W645,1)</f>
        <v>0</v>
      </c>
      <c r="B645">
        <v>645</v>
      </c>
      <c r="C645" s="340" t="str">
        <f>Tabulka1[[#This Row],[KOD]]</f>
        <v>C493GH</v>
      </c>
      <c r="W645" s="804" t="str">
        <f t="shared" si="19"/>
        <v/>
      </c>
      <c r="X645" t="str">
        <f t="shared" si="20"/>
        <v/>
      </c>
      <c r="Y645" s="341">
        <f>IF('General price list'!$AB647="",0,'General price list'!$AB647)</f>
        <v>0</v>
      </c>
      <c r="Z645" s="365" t="str">
        <f>IFERROR(X645*VLOOKUP(C645,'General price list'!C:I,7,FALSE),"")</f>
        <v/>
      </c>
      <c r="AA645" s="805" t="str">
        <f>IF(X645&lt;&gt;"",VLOOKUP(C645,'General price list'!C647:AN1620,MATCH("HM",Tabulka1[[#Headers],[KOD]:[NEQ]],0),FALSE),"")</f>
        <v/>
      </c>
    </row>
    <row r="646" spans="1:27">
      <c r="A646">
        <f>COUNTIF($W$22:W646,1)</f>
        <v>0</v>
      </c>
      <c r="B646">
        <v>646</v>
      </c>
      <c r="C646" s="340" t="str">
        <f>Tabulka1[[#This Row],[KOD]]</f>
        <v>C493RG</v>
      </c>
      <c r="W646" s="804" t="str">
        <f t="shared" si="19"/>
        <v/>
      </c>
      <c r="X646" t="str">
        <f t="shared" si="20"/>
        <v/>
      </c>
      <c r="Y646" s="341">
        <f>IF('General price list'!$AB648="",0,'General price list'!$AB648)</f>
        <v>0</v>
      </c>
      <c r="Z646" s="365" t="str">
        <f>IFERROR(X646*VLOOKUP(C646,'General price list'!C:I,7,FALSE),"")</f>
        <v/>
      </c>
      <c r="AA646" s="805" t="str">
        <f>IF(X646&lt;&gt;"",VLOOKUP(C646,'General price list'!C648:AN1621,MATCH("HM",Tabulka1[[#Headers],[KOD]:[NEQ]],0),FALSE),"")</f>
        <v/>
      </c>
    </row>
    <row r="647" spans="1:27">
      <c r="A647">
        <f>COUNTIF($W$22:W647,1)</f>
        <v>0</v>
      </c>
      <c r="B647">
        <v>647</v>
      </c>
      <c r="C647" s="340" t="str">
        <f>Tabulka1[[#This Row],[KOD]]</f>
        <v>C493BW</v>
      </c>
      <c r="W647" s="804" t="str">
        <f t="shared" si="19"/>
        <v/>
      </c>
      <c r="X647" t="str">
        <f t="shared" si="20"/>
        <v/>
      </c>
      <c r="Y647" s="341">
        <f>IF('General price list'!$AB649="",0,'General price list'!$AB649)</f>
        <v>0</v>
      </c>
      <c r="Z647" s="365" t="str">
        <f>IFERROR(X647*VLOOKUP(C647,'General price list'!C:I,7,FALSE),"")</f>
        <v/>
      </c>
      <c r="AA647" s="805" t="str">
        <f>IF(X647&lt;&gt;"",VLOOKUP(C647,'General price list'!C649:AN1622,MATCH("HM",Tabulka1[[#Headers],[KOD]:[NEQ]],0),FALSE),"")</f>
        <v/>
      </c>
    </row>
    <row r="648" spans="1:27">
      <c r="A648">
        <f>COUNTIF($W$22:W648,1)</f>
        <v>0</v>
      </c>
      <c r="B648">
        <v>648</v>
      </c>
      <c r="C648" s="340">
        <f>Tabulka1[[#This Row],[KOD]]</f>
        <v>0</v>
      </c>
      <c r="W648" s="804" t="str">
        <f t="shared" si="19"/>
        <v/>
      </c>
      <c r="X648" t="str">
        <f t="shared" si="20"/>
        <v/>
      </c>
      <c r="Y648" s="341">
        <f>IF('General price list'!$AB650="",0,'General price list'!$AB650)</f>
        <v>0</v>
      </c>
      <c r="Z648" s="365" t="str">
        <f>IFERROR(X648*VLOOKUP(C648,'General price list'!C:I,7,FALSE),"")</f>
        <v/>
      </c>
      <c r="AA648" s="805" t="str">
        <f>IF(X648&lt;&gt;"",VLOOKUP(C648,'General price list'!C650:AN1623,MATCH("HM",Tabulka1[[#Headers],[KOD]:[NEQ]],0),FALSE),"")</f>
        <v/>
      </c>
    </row>
    <row r="649" spans="1:27">
      <c r="A649">
        <f>COUNTIF($W$22:W649,1)</f>
        <v>0</v>
      </c>
      <c r="B649">
        <v>649</v>
      </c>
      <c r="C649" s="340" t="str">
        <f>Tabulka1[[#This Row],[KOD]]</f>
        <v>CF493ST</v>
      </c>
      <c r="W649" s="804" t="str">
        <f t="shared" si="19"/>
        <v/>
      </c>
      <c r="X649" t="str">
        <f t="shared" si="20"/>
        <v/>
      </c>
      <c r="Y649" s="341">
        <f>IF('General price list'!$AB651="",0,'General price list'!$AB651)</f>
        <v>0</v>
      </c>
      <c r="Z649" s="365" t="str">
        <f>IFERROR(X649*VLOOKUP(C649,'General price list'!C:I,7,FALSE),"")</f>
        <v/>
      </c>
      <c r="AA649" s="805" t="str">
        <f>IF(X649&lt;&gt;"",VLOOKUP(C649,'General price list'!C651:AN1624,MATCH("HM",Tabulka1[[#Headers],[KOD]:[NEQ]],0),FALSE),"")</f>
        <v/>
      </c>
    </row>
    <row r="650" spans="1:27">
      <c r="A650">
        <f>COUNTIF($W$22:W650,1)</f>
        <v>0</v>
      </c>
      <c r="B650">
        <v>650</v>
      </c>
      <c r="C650" s="340" t="str">
        <f>Tabulka1[[#This Row],[KOD]]</f>
        <v>CF493SA</v>
      </c>
      <c r="W650" s="804" t="str">
        <f t="shared" si="19"/>
        <v/>
      </c>
      <c r="X650" t="str">
        <f t="shared" si="20"/>
        <v/>
      </c>
      <c r="Y650" s="341">
        <f>IF('General price list'!$AB652="",0,'General price list'!$AB652)</f>
        <v>0</v>
      </c>
      <c r="Z650" s="365" t="str">
        <f>IFERROR(X650*VLOOKUP(C650,'General price list'!C:I,7,FALSE),"")</f>
        <v/>
      </c>
      <c r="AA650" s="805" t="str">
        <f>IF(X650&lt;&gt;"",VLOOKUP(C650,'General price list'!C652:AN1625,MATCH("HM",Tabulka1[[#Headers],[KOD]:[NEQ]],0),FALSE),"")</f>
        <v/>
      </c>
    </row>
    <row r="651" spans="1:27">
      <c r="A651">
        <f>COUNTIF($W$22:W651,1)</f>
        <v>0</v>
      </c>
      <c r="B651">
        <v>651</v>
      </c>
      <c r="C651" s="340" t="str">
        <f>Tabulka1[[#This Row],[KOD]]</f>
        <v>CF493W</v>
      </c>
      <c r="W651" s="804" t="str">
        <f t="shared" si="19"/>
        <v/>
      </c>
      <c r="X651" t="str">
        <f t="shared" si="20"/>
        <v/>
      </c>
      <c r="Y651" s="341">
        <f>IF('General price list'!$AB653="",0,'General price list'!$AB653)</f>
        <v>0</v>
      </c>
      <c r="Z651" s="365" t="str">
        <f>IFERROR(X651*VLOOKUP(C651,'General price list'!C:I,7,FALSE),"")</f>
        <v/>
      </c>
      <c r="AA651" s="805" t="str">
        <f>IF(X651&lt;&gt;"",VLOOKUP(C651,'General price list'!C653:AN1626,MATCH("HM",Tabulka1[[#Headers],[KOD]:[NEQ]],0),FALSE),"")</f>
        <v/>
      </c>
    </row>
    <row r="652" spans="1:27">
      <c r="A652">
        <f>COUNTIF($W$22:W652,1)</f>
        <v>0</v>
      </c>
      <c r="B652">
        <v>652</v>
      </c>
      <c r="C652" s="340" t="str">
        <f>Tabulka1[[#This Row],[KOD]]</f>
        <v>CF493ME</v>
      </c>
      <c r="W652" s="804" t="str">
        <f t="shared" si="19"/>
        <v/>
      </c>
      <c r="X652" t="str">
        <f t="shared" si="20"/>
        <v/>
      </c>
      <c r="Y652" s="341">
        <f>IF('General price list'!$AB654="",0,'General price list'!$AB654)</f>
        <v>0</v>
      </c>
      <c r="Z652" s="365" t="str">
        <f>IFERROR(X652*VLOOKUP(C652,'General price list'!C:I,7,FALSE),"")</f>
        <v/>
      </c>
      <c r="AA652" s="805" t="str">
        <f>IF(X652&lt;&gt;"",VLOOKUP(C652,'General price list'!C654:AN1627,MATCH("HM",Tabulka1[[#Headers],[KOD]:[NEQ]],0),FALSE),"")</f>
        <v/>
      </c>
    </row>
    <row r="653" spans="1:27">
      <c r="A653">
        <f>COUNTIF($W$22:W653,1)</f>
        <v>0</v>
      </c>
      <c r="B653">
        <v>653</v>
      </c>
      <c r="C653" s="340">
        <f>Tabulka1[[#This Row],[KOD]]</f>
        <v>0</v>
      </c>
      <c r="W653" s="804" t="str">
        <f t="shared" si="19"/>
        <v/>
      </c>
      <c r="X653" t="str">
        <f t="shared" si="20"/>
        <v/>
      </c>
      <c r="Y653" s="341">
        <f>IF('General price list'!$AB655="",0,'General price list'!$AB655)</f>
        <v>0</v>
      </c>
      <c r="Z653" s="365" t="str">
        <f>IFERROR(X653*VLOOKUP(C653,'General price list'!C:I,7,FALSE),"")</f>
        <v/>
      </c>
      <c r="AA653" s="805" t="str">
        <f>IF(X653&lt;&gt;"",VLOOKUP(C653,'General price list'!C655:AN1628,MATCH("HM",Tabulka1[[#Headers],[KOD]:[NEQ]],0),FALSE),"")</f>
        <v/>
      </c>
    </row>
    <row r="654" spans="1:27">
      <c r="A654">
        <f>COUNTIF($W$22:W654,1)</f>
        <v>0</v>
      </c>
      <c r="B654">
        <v>654</v>
      </c>
      <c r="C654" s="340" t="str">
        <f>Tabulka1[[#This Row],[KOD]]</f>
        <v>C503SIGA</v>
      </c>
      <c r="W654" s="804" t="str">
        <f t="shared" si="19"/>
        <v/>
      </c>
      <c r="X654" t="str">
        <f t="shared" si="20"/>
        <v/>
      </c>
      <c r="Y654" s="341">
        <f>IF('General price list'!$AB656="",0,'General price list'!$AB656)</f>
        <v>0</v>
      </c>
      <c r="Z654" s="365" t="str">
        <f>IFERROR(X654*VLOOKUP(C654,'General price list'!C:I,7,FALSE),"")</f>
        <v/>
      </c>
      <c r="AA654" s="805" t="str">
        <f>IF(X654&lt;&gt;"",VLOOKUP(C654,'General price list'!C656:AN1629,MATCH("HM",Tabulka1[[#Headers],[KOD]:[NEQ]],0),FALSE),"")</f>
        <v/>
      </c>
    </row>
    <row r="655" spans="1:27">
      <c r="A655">
        <f>COUNTIF($W$22:W655,1)</f>
        <v>0</v>
      </c>
      <c r="B655">
        <v>655</v>
      </c>
      <c r="C655" s="340" t="str">
        <f>Tabulka1[[#This Row],[KOD]]</f>
        <v>C503RA</v>
      </c>
      <c r="W655" s="804" t="str">
        <f t="shared" si="19"/>
        <v/>
      </c>
      <c r="X655" t="str">
        <f t="shared" si="20"/>
        <v/>
      </c>
      <c r="Y655" s="341">
        <f>IF('General price list'!$AB657="",0,'General price list'!$AB657)</f>
        <v>0</v>
      </c>
      <c r="Z655" s="365" t="str">
        <f>IFERROR(X655*VLOOKUP(C655,'General price list'!C:I,7,FALSE),"")</f>
        <v/>
      </c>
      <c r="AA655" s="805" t="str">
        <f>IF(X655&lt;&gt;"",VLOOKUP(C655,'General price list'!C657:AN1630,MATCH("HM",Tabulka1[[#Headers],[KOD]:[NEQ]],0),FALSE),"")</f>
        <v/>
      </c>
    </row>
    <row r="656" spans="1:27">
      <c r="A656">
        <f>COUNTIF($W$22:W656,1)</f>
        <v>0</v>
      </c>
      <c r="B656">
        <v>656</v>
      </c>
      <c r="C656" s="340" t="str">
        <f>Tabulka1[[#This Row],[KOD]]</f>
        <v>C503RO</v>
      </c>
      <c r="W656" s="804" t="str">
        <f t="shared" si="19"/>
        <v/>
      </c>
      <c r="X656" t="str">
        <f t="shared" si="20"/>
        <v/>
      </c>
      <c r="Y656" s="341">
        <f>IF('General price list'!$AB658="",0,'General price list'!$AB658)</f>
        <v>0</v>
      </c>
      <c r="Z656" s="365" t="str">
        <f>IFERROR(X656*VLOOKUP(C656,'General price list'!C:I,7,FALSE),"")</f>
        <v/>
      </c>
      <c r="AA656" s="805" t="str">
        <f>IF(X656&lt;&gt;"",VLOOKUP(C656,'General price list'!C658:AN1631,MATCH("HM",Tabulka1[[#Headers],[KOD]:[NEQ]],0),FALSE),"")</f>
        <v/>
      </c>
    </row>
    <row r="657" spans="1:27">
      <c r="A657">
        <f>COUNTIF($W$22:W657,1)</f>
        <v>0</v>
      </c>
      <c r="B657">
        <v>657</v>
      </c>
      <c r="C657" s="340" t="str">
        <f>Tabulka1[[#This Row],[KOD]]</f>
        <v>C503BI</v>
      </c>
      <c r="W657" s="804" t="str">
        <f t="shared" si="19"/>
        <v/>
      </c>
      <c r="X657" t="str">
        <f t="shared" si="20"/>
        <v/>
      </c>
      <c r="Y657" s="341">
        <f>IF('General price list'!$AB659="",0,'General price list'!$AB659)</f>
        <v>0</v>
      </c>
      <c r="Z657" s="365" t="str">
        <f>IFERROR(X657*VLOOKUP(C657,'General price list'!C:I,7,FALSE),"")</f>
        <v/>
      </c>
      <c r="AA657" s="805" t="str">
        <f>IF(X657&lt;&gt;"",VLOOKUP(C657,'General price list'!C659:AN1632,MATCH("HM",Tabulka1[[#Headers],[KOD]:[NEQ]],0),FALSE),"")</f>
        <v/>
      </c>
    </row>
    <row r="658" spans="1:27">
      <c r="A658">
        <f>COUNTIF($W$22:W658,1)</f>
        <v>0</v>
      </c>
      <c r="B658">
        <v>658</v>
      </c>
      <c r="C658" s="340">
        <f>Tabulka1[[#This Row],[KOD]]</f>
        <v>0</v>
      </c>
      <c r="W658" s="804" t="str">
        <f t="shared" si="19"/>
        <v/>
      </c>
      <c r="X658" t="str">
        <f t="shared" si="20"/>
        <v/>
      </c>
      <c r="Y658" s="341">
        <f>IF('General price list'!$AB660="",0,'General price list'!$AB660)</f>
        <v>0</v>
      </c>
      <c r="Z658" s="365" t="str">
        <f>IFERROR(X658*VLOOKUP(C658,'General price list'!C:I,7,FALSE),"")</f>
        <v/>
      </c>
      <c r="AA658" s="805" t="str">
        <f>IF(X658&lt;&gt;"",VLOOKUP(C658,'General price list'!C660:AN1633,MATCH("HM",Tabulka1[[#Headers],[KOD]:[NEQ]],0),FALSE),"")</f>
        <v/>
      </c>
    </row>
    <row r="659" spans="1:27">
      <c r="A659">
        <f>COUNTIF($W$22:W659,1)</f>
        <v>0</v>
      </c>
      <c r="B659">
        <v>659</v>
      </c>
      <c r="C659" s="340" t="str">
        <f>Tabulka1[[#This Row],[KOD]]</f>
        <v>C643BI</v>
      </c>
      <c r="W659" s="804" t="str">
        <f t="shared" si="19"/>
        <v/>
      </c>
      <c r="X659" t="str">
        <f t="shared" si="20"/>
        <v/>
      </c>
      <c r="Y659" s="341">
        <f>IF('General price list'!$AB661="",0,'General price list'!$AB661)</f>
        <v>0</v>
      </c>
      <c r="Z659" s="365" t="str">
        <f>IFERROR(X659*VLOOKUP(C659,'General price list'!C:I,7,FALSE),"")</f>
        <v/>
      </c>
      <c r="AA659" s="805" t="str">
        <f>IF(X659&lt;&gt;"",VLOOKUP(C659,'General price list'!C661:AN1634,MATCH("HM",Tabulka1[[#Headers],[KOD]:[NEQ]],0),FALSE),"")</f>
        <v/>
      </c>
    </row>
    <row r="660" spans="1:27">
      <c r="A660">
        <f>COUNTIF($W$22:W660,1)</f>
        <v>0</v>
      </c>
      <c r="B660">
        <v>660</v>
      </c>
      <c r="C660" s="340" t="str">
        <f>Tabulka1[[#This Row],[KOD]]</f>
        <v>C643H</v>
      </c>
      <c r="W660" s="804" t="str">
        <f t="shared" si="19"/>
        <v/>
      </c>
      <c r="X660" t="str">
        <f t="shared" si="20"/>
        <v/>
      </c>
      <c r="Y660" s="341">
        <f>IF('General price list'!$AB662="",0,'General price list'!$AB662)</f>
        <v>0</v>
      </c>
      <c r="Z660" s="365" t="str">
        <f>IFERROR(X660*VLOOKUP(C660,'General price list'!C:I,7,FALSE),"")</f>
        <v/>
      </c>
      <c r="AA660" s="805" t="str">
        <f>IF(X660&lt;&gt;"",VLOOKUP(C660,'General price list'!C662:AN1635,MATCH("HM",Tabulka1[[#Headers],[KOD]:[NEQ]],0),FALSE),"")</f>
        <v/>
      </c>
    </row>
    <row r="661" spans="1:27">
      <c r="A661">
        <f>COUNTIF($W$22:W661,1)</f>
        <v>0</v>
      </c>
      <c r="B661">
        <v>661</v>
      </c>
      <c r="C661" s="340">
        <f>Tabulka1[[#This Row],[KOD]]</f>
        <v>0</v>
      </c>
      <c r="W661" s="804" t="str">
        <f t="shared" si="19"/>
        <v/>
      </c>
      <c r="X661" t="str">
        <f t="shared" si="20"/>
        <v/>
      </c>
      <c r="Y661" s="341">
        <f>IF('General price list'!$AB663="",0,'General price list'!$AB663)</f>
        <v>0</v>
      </c>
      <c r="Z661" s="365" t="str">
        <f>IFERROR(X661*VLOOKUP(C661,'General price list'!C:I,7,FALSE),"")</f>
        <v/>
      </c>
      <c r="AA661" s="805" t="str">
        <f>IF(X661&lt;&gt;"",VLOOKUP(C661,'General price list'!C663:AN1636,MATCH("HM",Tabulka1[[#Headers],[KOD]:[NEQ]],0),FALSE),"")</f>
        <v/>
      </c>
    </row>
    <row r="662" spans="1:27">
      <c r="A662">
        <f>COUNTIF($W$22:W662,1)</f>
        <v>0</v>
      </c>
      <c r="B662">
        <v>662</v>
      </c>
      <c r="C662" s="340" t="str">
        <f>Tabulka1[[#This Row],[KOD]]</f>
        <v>CF643M</v>
      </c>
      <c r="W662" s="804" t="str">
        <f t="shared" si="19"/>
        <v/>
      </c>
      <c r="X662" t="str">
        <f t="shared" si="20"/>
        <v/>
      </c>
      <c r="Y662" s="341">
        <f>IF('General price list'!$AB664="",0,'General price list'!$AB664)</f>
        <v>0</v>
      </c>
      <c r="Z662" s="365" t="str">
        <f>IFERROR(X662*VLOOKUP(C662,'General price list'!C:I,7,FALSE),"")</f>
        <v/>
      </c>
      <c r="AA662" s="805" t="str">
        <f>IF(X662&lt;&gt;"",VLOOKUP(C662,'General price list'!C664:AN1637,MATCH("HM",Tabulka1[[#Headers],[KOD]:[NEQ]],0),FALSE),"")</f>
        <v/>
      </c>
    </row>
    <row r="663" spans="1:27">
      <c r="A663">
        <f>COUNTIF($W$22:W663,1)</f>
        <v>0</v>
      </c>
      <c r="B663">
        <v>663</v>
      </c>
      <c r="C663" s="340" t="str">
        <f>Tabulka1[[#This Row],[KOD]]</f>
        <v>CF643T</v>
      </c>
      <c r="W663" s="804" t="str">
        <f t="shared" si="19"/>
        <v/>
      </c>
      <c r="X663" t="str">
        <f t="shared" si="20"/>
        <v/>
      </c>
      <c r="Y663" s="341">
        <f>IF('General price list'!$AB665="",0,'General price list'!$AB665)</f>
        <v>0</v>
      </c>
      <c r="Z663" s="365" t="str">
        <f>IFERROR(X663*VLOOKUP(C663,'General price list'!C:I,7,FALSE),"")</f>
        <v/>
      </c>
      <c r="AA663" s="805" t="str">
        <f>IF(X663&lt;&gt;"",VLOOKUP(C663,'General price list'!C665:AN1638,MATCH("HM",Tabulka1[[#Headers],[KOD]:[NEQ]],0),FALSE),"")</f>
        <v/>
      </c>
    </row>
    <row r="664" spans="1:27">
      <c r="A664">
        <f>COUNTIF($W$22:W664,1)</f>
        <v>0</v>
      </c>
      <c r="B664">
        <v>664</v>
      </c>
      <c r="C664" s="340">
        <f>Tabulka1[[#This Row],[KOD]]</f>
        <v>0</v>
      </c>
      <c r="W664" s="804" t="str">
        <f t="shared" ref="W664:W727" si="21">IF(Y664+1=1,"",1)</f>
        <v/>
      </c>
      <c r="X664" t="str">
        <f t="shared" ref="X664:X727" si="22">IF(OR(A664&lt;$F$20,A664&gt;$F$21),"",IF(Y664=0,"",Y664))</f>
        <v/>
      </c>
      <c r="Y664" s="341">
        <f>IF('General price list'!$AB666="",0,'General price list'!$AB666)</f>
        <v>0</v>
      </c>
      <c r="Z664" s="365" t="str">
        <f>IFERROR(X664*VLOOKUP(C664,'General price list'!C:I,7,FALSE),"")</f>
        <v/>
      </c>
      <c r="AA664" s="805" t="str">
        <f>IF(X664&lt;&gt;"",VLOOKUP(C664,'General price list'!C666:AN1639,MATCH("HM",Tabulka1[[#Headers],[KOD]:[NEQ]],0),FALSE),"")</f>
        <v/>
      </c>
    </row>
    <row r="665" spans="1:27">
      <c r="A665">
        <f>COUNTIF($W$22:W665,1)</f>
        <v>0</v>
      </c>
      <c r="B665">
        <v>665</v>
      </c>
      <c r="C665" s="340" t="str">
        <f>Tabulka1[[#This Row],[KOD]]</f>
        <v>C643XMO</v>
      </c>
      <c r="W665" s="804" t="str">
        <f t="shared" si="21"/>
        <v/>
      </c>
      <c r="X665" t="str">
        <f t="shared" si="22"/>
        <v/>
      </c>
      <c r="Y665" s="341">
        <f>IF('General price list'!$AB667="",0,'General price list'!$AB667)</f>
        <v>0</v>
      </c>
      <c r="Z665" s="365" t="str">
        <f>IFERROR(X665*VLOOKUP(C665,'General price list'!C:I,7,FALSE),"")</f>
        <v/>
      </c>
      <c r="AA665" s="805" t="str">
        <f>IF(X665&lt;&gt;"",VLOOKUP(C665,'General price list'!C667:AN1640,MATCH("HM",Tabulka1[[#Headers],[KOD]:[NEQ]],0),FALSE),"")</f>
        <v/>
      </c>
    </row>
    <row r="666" spans="1:27">
      <c r="A666">
        <f>COUNTIF($W$22:W666,1)</f>
        <v>0</v>
      </c>
      <c r="B666">
        <v>666</v>
      </c>
      <c r="C666" s="340" t="str">
        <f>Tabulka1[[#This Row],[KOD]]</f>
        <v>C643XMS</v>
      </c>
      <c r="W666" s="804" t="str">
        <f t="shared" si="21"/>
        <v/>
      </c>
      <c r="X666" t="str">
        <f t="shared" si="22"/>
        <v/>
      </c>
      <c r="Y666" s="341">
        <f>IF('General price list'!$AB668="",0,'General price list'!$AB668)</f>
        <v>0</v>
      </c>
      <c r="Z666" s="365" t="str">
        <f>IFERROR(X666*VLOOKUP(C666,'General price list'!C:I,7,FALSE),"")</f>
        <v/>
      </c>
      <c r="AA666" s="805" t="str">
        <f>IF(X666&lt;&gt;"",VLOOKUP(C666,'General price list'!C668:AN1641,MATCH("HM",Tabulka1[[#Headers],[KOD]:[NEQ]],0),FALSE),"")</f>
        <v/>
      </c>
    </row>
    <row r="667" spans="1:27">
      <c r="A667">
        <f>COUNTIF($W$22:W667,1)</f>
        <v>0</v>
      </c>
      <c r="B667">
        <v>667</v>
      </c>
      <c r="C667" s="340">
        <f>Tabulka1[[#This Row],[KOD]]</f>
        <v>0</v>
      </c>
      <c r="W667" s="804" t="str">
        <f t="shared" si="21"/>
        <v/>
      </c>
      <c r="X667" t="str">
        <f t="shared" si="22"/>
        <v/>
      </c>
      <c r="Y667" s="341">
        <f>IF('General price list'!$AB669="",0,'General price list'!$AB669)</f>
        <v>0</v>
      </c>
      <c r="Z667" s="365" t="str">
        <f>IFERROR(X667*VLOOKUP(C667,'General price list'!C:I,7,FALSE),"")</f>
        <v/>
      </c>
      <c r="AA667" s="805" t="str">
        <f>IF(X667&lt;&gt;"",VLOOKUP(C667,'General price list'!C669:AN1642,MATCH("HM",Tabulka1[[#Headers],[KOD]:[NEQ]],0),FALSE),"")</f>
        <v/>
      </c>
    </row>
    <row r="668" spans="1:27">
      <c r="A668">
        <f>COUNTIF($W$22:W668,1)</f>
        <v>0</v>
      </c>
      <c r="B668">
        <v>668</v>
      </c>
      <c r="C668" s="340" t="str">
        <f>Tabulka1[[#This Row],[KOD]]</f>
        <v>C503BW/C14</v>
      </c>
      <c r="W668" s="804" t="str">
        <f t="shared" si="21"/>
        <v/>
      </c>
      <c r="X668" t="str">
        <f t="shared" si="22"/>
        <v/>
      </c>
      <c r="Y668" s="341">
        <f>IF('General price list'!$AB670="",0,'General price list'!$AB670)</f>
        <v>0</v>
      </c>
      <c r="Z668" s="365" t="str">
        <f>IFERROR(X668*VLOOKUP(C668,'General price list'!C:I,7,FALSE),"")</f>
        <v/>
      </c>
      <c r="AA668" s="805" t="str">
        <f>IF(X668&lt;&gt;"",VLOOKUP(C668,'General price list'!C670:AN1643,MATCH("HM",Tabulka1[[#Headers],[KOD]:[NEQ]],0),FALSE),"")</f>
        <v/>
      </c>
    </row>
    <row r="669" spans="1:27">
      <c r="A669">
        <f>COUNTIF($W$22:W669,1)</f>
        <v>0</v>
      </c>
      <c r="B669">
        <v>669</v>
      </c>
      <c r="C669" s="340" t="str">
        <f>Tabulka1[[#This Row],[KOD]]</f>
        <v>C503TS/C14</v>
      </c>
      <c r="W669" s="804" t="str">
        <f t="shared" si="21"/>
        <v/>
      </c>
      <c r="X669" t="str">
        <f t="shared" si="22"/>
        <v/>
      </c>
      <c r="Y669" s="341">
        <f>IF('General price list'!$AB671="",0,'General price list'!$AB671)</f>
        <v>0</v>
      </c>
      <c r="Z669" s="365" t="str">
        <f>IFERROR(X669*VLOOKUP(C669,'General price list'!C:I,7,FALSE),"")</f>
        <v/>
      </c>
      <c r="AA669" s="805" t="str">
        <f>IF(X669&lt;&gt;"",VLOOKUP(C669,'General price list'!C671:AN1644,MATCH("HM",Tabulka1[[#Headers],[KOD]:[NEQ]],0),FALSE),"")</f>
        <v/>
      </c>
    </row>
    <row r="670" spans="1:27">
      <c r="A670">
        <f>COUNTIF($W$22:W670,1)</f>
        <v>0</v>
      </c>
      <c r="B670">
        <v>670</v>
      </c>
      <c r="C670" s="340" t="str">
        <f>Tabulka1[[#This Row],[KOD]]</f>
        <v>C503RO/C14</v>
      </c>
      <c r="W670" s="804" t="str">
        <f t="shared" si="21"/>
        <v/>
      </c>
      <c r="X670" t="str">
        <f t="shared" si="22"/>
        <v/>
      </c>
      <c r="Y670" s="341">
        <f>IF('General price list'!$AB672="",0,'General price list'!$AB672)</f>
        <v>0</v>
      </c>
      <c r="Z670" s="365" t="str">
        <f>IFERROR(X670*VLOOKUP(C670,'General price list'!C:I,7,FALSE),"")</f>
        <v/>
      </c>
      <c r="AA670" s="805" t="str">
        <f>IF(X670&lt;&gt;"",VLOOKUP(C670,'General price list'!C672:AN1645,MATCH("HM",Tabulka1[[#Headers],[KOD]:[NEQ]],0),FALSE),"")</f>
        <v/>
      </c>
    </row>
    <row r="671" spans="1:27">
      <c r="A671">
        <f>COUNTIF($W$22:W671,1)</f>
        <v>0</v>
      </c>
      <c r="B671">
        <v>671</v>
      </c>
      <c r="C671" s="340" t="str">
        <f>Tabulka1[[#This Row],[KOD]]</f>
        <v>C503F/C14</v>
      </c>
      <c r="W671" s="804" t="str">
        <f t="shared" si="21"/>
        <v/>
      </c>
      <c r="X671" t="str">
        <f t="shared" si="22"/>
        <v/>
      </c>
      <c r="Y671" s="341">
        <f>IF('General price list'!$AB673="",0,'General price list'!$AB673)</f>
        <v>0</v>
      </c>
      <c r="Z671" s="365" t="str">
        <f>IFERROR(X671*VLOOKUP(C671,'General price list'!C:I,7,FALSE),"")</f>
        <v/>
      </c>
      <c r="AA671" s="805" t="str">
        <f>IF(X671&lt;&gt;"",VLOOKUP(C671,'General price list'!C673:AN1646,MATCH("HM",Tabulka1[[#Headers],[KOD]:[NEQ]],0),FALSE),"")</f>
        <v/>
      </c>
    </row>
    <row r="672" spans="1:27">
      <c r="A672">
        <f>COUNTIF($W$22:W672,1)</f>
        <v>0</v>
      </c>
      <c r="B672">
        <v>672</v>
      </c>
      <c r="C672" s="340" t="str">
        <f>Tabulka1[[#This Row],[KOD]]</f>
        <v>C503SIG/C14</v>
      </c>
      <c r="W672" s="804" t="str">
        <f t="shared" si="21"/>
        <v/>
      </c>
      <c r="X672" t="str">
        <f t="shared" si="22"/>
        <v/>
      </c>
      <c r="Y672" s="341">
        <f>IF('General price list'!$AB674="",0,'General price list'!$AB674)</f>
        <v>0</v>
      </c>
      <c r="Z672" s="365" t="str">
        <f>IFERROR(X672*VLOOKUP(C672,'General price list'!C:I,7,FALSE),"")</f>
        <v/>
      </c>
      <c r="AA672" s="805" t="str">
        <f>IF(X672&lt;&gt;"",VLOOKUP(C672,'General price list'!C674:AN1647,MATCH("HM",Tabulka1[[#Headers],[KOD]:[NEQ]],0),FALSE),"")</f>
        <v/>
      </c>
    </row>
    <row r="673" spans="1:27">
      <c r="A673">
        <f>COUNTIF($W$22:W673,1)</f>
        <v>0</v>
      </c>
      <c r="B673">
        <v>673</v>
      </c>
      <c r="C673" s="340" t="str">
        <f>Tabulka1[[#This Row],[KOD]]</f>
        <v>C1003F/C14</v>
      </c>
      <c r="W673" s="804" t="str">
        <f t="shared" si="21"/>
        <v/>
      </c>
      <c r="X673" t="str">
        <f t="shared" si="22"/>
        <v/>
      </c>
      <c r="Y673" s="341">
        <f>IF('General price list'!$AB675="",0,'General price list'!$AB675)</f>
        <v>0</v>
      </c>
      <c r="Z673" s="365" t="str">
        <f>IFERROR(X673*VLOOKUP(C673,'General price list'!C:I,7,FALSE),"")</f>
        <v/>
      </c>
      <c r="AA673" s="805" t="str">
        <f>IF(X673&lt;&gt;"",VLOOKUP(C673,'General price list'!C675:AN1648,MATCH("HM",Tabulka1[[#Headers],[KOD]:[NEQ]],0),FALSE),"")</f>
        <v/>
      </c>
    </row>
    <row r="674" spans="1:27">
      <c r="A674">
        <f>COUNTIF($W$22:W674,1)</f>
        <v>0</v>
      </c>
      <c r="B674">
        <v>674</v>
      </c>
      <c r="C674" s="340" t="str">
        <f>Tabulka1[[#This Row],[KOD]]</f>
        <v>C1003VS/C14</v>
      </c>
      <c r="W674" s="804" t="str">
        <f t="shared" si="21"/>
        <v/>
      </c>
      <c r="X674" t="str">
        <f t="shared" si="22"/>
        <v/>
      </c>
      <c r="Y674" s="341">
        <f>IF('General price list'!$AB676="",0,'General price list'!$AB676)</f>
        <v>0</v>
      </c>
      <c r="Z674" s="365" t="str">
        <f>IFERROR(X674*VLOOKUP(C674,'General price list'!C:I,7,FALSE),"")</f>
        <v/>
      </c>
      <c r="AA674" s="805" t="str">
        <f>IF(X674&lt;&gt;"",VLOOKUP(C674,'General price list'!C676:AN1649,MATCH("HM",Tabulka1[[#Headers],[KOD]:[NEQ]],0),FALSE),"")</f>
        <v/>
      </c>
    </row>
    <row r="675" spans="1:27">
      <c r="A675">
        <f>COUNTIF($W$22:W675,1)</f>
        <v>0</v>
      </c>
      <c r="B675">
        <v>675</v>
      </c>
      <c r="C675" s="340" t="str">
        <f>Tabulka1[[#This Row],[KOD]]</f>
        <v>C1003CY/C</v>
      </c>
      <c r="W675" s="804" t="str">
        <f t="shared" si="21"/>
        <v/>
      </c>
      <c r="X675" t="str">
        <f t="shared" si="22"/>
        <v/>
      </c>
      <c r="Y675" s="341">
        <f>IF('General price list'!$AB677="",0,'General price list'!$AB677)</f>
        <v>0</v>
      </c>
      <c r="Z675" s="365" t="str">
        <f>IFERROR(X675*VLOOKUP(C675,'General price list'!C:I,7,FALSE),"")</f>
        <v/>
      </c>
      <c r="AA675" s="805" t="str">
        <f>IF(X675&lt;&gt;"",VLOOKUP(C675,'General price list'!C677:AN1650,MATCH("HM",Tabulka1[[#Headers],[KOD]:[NEQ]],0),FALSE),"")</f>
        <v/>
      </c>
    </row>
    <row r="676" spans="1:27">
      <c r="A676">
        <f>COUNTIF($W$22:W676,1)</f>
        <v>0</v>
      </c>
      <c r="B676">
        <v>676</v>
      </c>
      <c r="C676" s="340" t="str">
        <f>Tabulka1[[#This Row],[KOD]]</f>
        <v>C10030XF/C14</v>
      </c>
      <c r="W676" s="804" t="str">
        <f t="shared" si="21"/>
        <v/>
      </c>
      <c r="X676" t="str">
        <f t="shared" si="22"/>
        <v/>
      </c>
      <c r="Y676" s="341">
        <f>IF('General price list'!$AB678="",0,'General price list'!$AB678)</f>
        <v>0</v>
      </c>
      <c r="Z676" s="365" t="str">
        <f>IFERROR(X676*VLOOKUP(C676,'General price list'!C:I,7,FALSE),"")</f>
        <v/>
      </c>
      <c r="AA676" s="805" t="str">
        <f>IF(X676&lt;&gt;"",VLOOKUP(C676,'General price list'!C678:AN1651,MATCH("HM",Tabulka1[[#Headers],[KOD]:[NEQ]],0),FALSE),"")</f>
        <v/>
      </c>
    </row>
    <row r="677" spans="1:27">
      <c r="A677">
        <f>COUNTIF($W$22:W677,1)</f>
        <v>0</v>
      </c>
      <c r="B677">
        <v>677</v>
      </c>
      <c r="C677" s="340" t="str">
        <f>Tabulka1[[#This Row],[KOD]]</f>
        <v>C1163MB/C14</v>
      </c>
      <c r="W677" s="804" t="str">
        <f t="shared" si="21"/>
        <v/>
      </c>
      <c r="X677" t="str">
        <f t="shared" si="22"/>
        <v/>
      </c>
      <c r="Y677" s="341">
        <f>IF('General price list'!$AB679="",0,'General price list'!$AB679)</f>
        <v>0</v>
      </c>
      <c r="Z677" s="365" t="str">
        <f>IFERROR(X677*VLOOKUP(C677,'General price list'!C:I,7,FALSE),"")</f>
        <v/>
      </c>
      <c r="AA677" s="805" t="str">
        <f>IF(X677&lt;&gt;"",VLOOKUP(C677,'General price list'!C679:AN1652,MATCH("HM",Tabulka1[[#Headers],[KOD]:[NEQ]],0),FALSE),"")</f>
        <v/>
      </c>
    </row>
    <row r="678" spans="1:27">
      <c r="A678">
        <f>COUNTIF($W$22:W678,1)</f>
        <v>0</v>
      </c>
      <c r="B678">
        <v>678</v>
      </c>
      <c r="C678" s="340" t="str">
        <f>Tabulka1[[#This Row],[KOD]]</f>
        <v>C12230XPT/C14</v>
      </c>
      <c r="W678" s="804" t="str">
        <f t="shared" si="21"/>
        <v/>
      </c>
      <c r="X678" t="str">
        <f t="shared" si="22"/>
        <v/>
      </c>
      <c r="Y678" s="341">
        <f>IF('General price list'!$AB680="",0,'General price list'!$AB680)</f>
        <v>0</v>
      </c>
      <c r="Z678" s="365" t="str">
        <f>IFERROR(X678*VLOOKUP(C678,'General price list'!C:I,7,FALSE),"")</f>
        <v/>
      </c>
      <c r="AA678" s="805" t="str">
        <f>IF(X678&lt;&gt;"",VLOOKUP(C678,'General price list'!C680:AN1653,MATCH("HM",Tabulka1[[#Headers],[KOD]:[NEQ]],0),FALSE),"")</f>
        <v/>
      </c>
    </row>
    <row r="679" spans="1:27">
      <c r="A679">
        <f>COUNTIF($W$22:W679,1)</f>
        <v>0</v>
      </c>
      <c r="B679">
        <v>679</v>
      </c>
      <c r="C679" s="340">
        <f>Tabulka1[[#This Row],[KOD]]</f>
        <v>0</v>
      </c>
      <c r="W679" s="804" t="str">
        <f t="shared" si="21"/>
        <v/>
      </c>
      <c r="X679" t="str">
        <f t="shared" si="22"/>
        <v/>
      </c>
      <c r="Y679" s="341">
        <f>IF('General price list'!$AB681="",0,'General price list'!$AB681)</f>
        <v>0</v>
      </c>
      <c r="Z679" s="365" t="str">
        <f>IFERROR(X679*VLOOKUP(C679,'General price list'!C:I,7,FALSE),"")</f>
        <v/>
      </c>
      <c r="AA679" s="805" t="str">
        <f>IF(X679&lt;&gt;"",VLOOKUP(C679,'General price list'!C681:AN1654,MATCH("HM",Tabulka1[[#Headers],[KOD]:[NEQ]],0),FALSE),"")</f>
        <v/>
      </c>
    </row>
    <row r="680" spans="1:27">
      <c r="A680">
        <f>COUNTIF($W$22:W680,1)</f>
        <v>0</v>
      </c>
      <c r="B680">
        <v>680</v>
      </c>
      <c r="C680" s="340" t="str">
        <f>Tabulka1[[#This Row],[KOD]]</f>
        <v>C1-C2 C1503X/C14</v>
      </c>
      <c r="W680" s="804" t="str">
        <f t="shared" si="21"/>
        <v/>
      </c>
      <c r="X680" t="str">
        <f t="shared" si="22"/>
        <v/>
      </c>
      <c r="Y680" s="341">
        <f>IF('General price list'!$AB682="",0,'General price list'!$AB682)</f>
        <v>0</v>
      </c>
      <c r="Z680" s="365" t="str">
        <f>IFERROR(X680*VLOOKUP(C680,'General price list'!C:I,7,FALSE),"")</f>
        <v/>
      </c>
      <c r="AA680" s="805" t="str">
        <f>IF(X680&lt;&gt;"",VLOOKUP(C680,'General price list'!C682:AN1655,MATCH("HM",Tabulka1[[#Headers],[KOD]:[NEQ]],0),FALSE),"")</f>
        <v/>
      </c>
    </row>
    <row r="681" spans="1:27">
      <c r="A681">
        <f>COUNTIF($W$22:W681,1)</f>
        <v>0</v>
      </c>
      <c r="B681">
        <v>681</v>
      </c>
      <c r="C681" s="340" t="str">
        <f>Tabulka1[[#This Row],[KOD]]</f>
        <v>C1-C2 C2003U/C14</v>
      </c>
      <c r="W681" s="804" t="str">
        <f t="shared" si="21"/>
        <v/>
      </c>
      <c r="X681" t="str">
        <f t="shared" si="22"/>
        <v/>
      </c>
      <c r="Y681" s="341">
        <f>IF('General price list'!$AB683="",0,'General price list'!$AB683)</f>
        <v>0</v>
      </c>
      <c r="Z681" s="365" t="str">
        <f>IFERROR(X681*VLOOKUP(C681,'General price list'!C:I,7,FALSE),"")</f>
        <v/>
      </c>
      <c r="AA681" s="805" t="str">
        <f>IF(X681&lt;&gt;"",VLOOKUP(C681,'General price list'!C683:AN1656,MATCH("HM",Tabulka1[[#Headers],[KOD]:[NEQ]],0),FALSE),"")</f>
        <v/>
      </c>
    </row>
    <row r="682" spans="1:27">
      <c r="A682">
        <f>COUNTIF($W$22:W682,1)</f>
        <v>0</v>
      </c>
      <c r="B682">
        <v>682</v>
      </c>
      <c r="C682" s="340">
        <f>Tabulka1[[#This Row],[KOD]]</f>
        <v>0</v>
      </c>
      <c r="W682" s="804" t="str">
        <f t="shared" si="21"/>
        <v/>
      </c>
      <c r="X682" t="str">
        <f t="shared" si="22"/>
        <v/>
      </c>
      <c r="Y682" s="341">
        <f>IF('General price list'!$AB684="",0,'General price list'!$AB684)</f>
        <v>0</v>
      </c>
      <c r="Z682" s="365" t="str">
        <f>IFERROR(X682*VLOOKUP(C682,'General price list'!C:I,7,FALSE),"")</f>
        <v/>
      </c>
      <c r="AA682" s="805" t="str">
        <f>IF(X682&lt;&gt;"",VLOOKUP(C682,'General price list'!C684:AN1657,MATCH("HM",Tabulka1[[#Headers],[KOD]:[NEQ]],0),FALSE),"")</f>
        <v/>
      </c>
    </row>
    <row r="683" spans="1:27">
      <c r="A683">
        <f>COUNTIF($W$22:W683,1)</f>
        <v>0</v>
      </c>
      <c r="B683">
        <v>683</v>
      </c>
      <c r="C683" s="340" t="str">
        <f>Tabulka1[[#This Row],[KOD]]</f>
        <v>C1003BP/C</v>
      </c>
      <c r="W683" s="804" t="str">
        <f t="shared" si="21"/>
        <v/>
      </c>
      <c r="X683" t="str">
        <f t="shared" si="22"/>
        <v/>
      </c>
      <c r="Y683" s="341">
        <f>IF('General price list'!$AB685="",0,'General price list'!$AB685)</f>
        <v>0</v>
      </c>
      <c r="Z683" s="365" t="str">
        <f>IFERROR(X683*VLOOKUP(C683,'General price list'!C:I,7,FALSE),"")</f>
        <v/>
      </c>
      <c r="AA683" s="805" t="str">
        <f>IF(X683&lt;&gt;"",VLOOKUP(C683,'General price list'!C685:AN1658,MATCH("HM",Tabulka1[[#Headers],[KOD]:[NEQ]],0),FALSE),"")</f>
        <v/>
      </c>
    </row>
    <row r="684" spans="1:27">
      <c r="A684">
        <f>COUNTIF($W$22:W684,1)</f>
        <v>0</v>
      </c>
      <c r="B684">
        <v>684</v>
      </c>
      <c r="C684" s="340" t="str">
        <f>Tabulka1[[#This Row],[KOD]]</f>
        <v>C1003BPS/C</v>
      </c>
      <c r="W684" s="804" t="str">
        <f t="shared" si="21"/>
        <v/>
      </c>
      <c r="X684" t="str">
        <f t="shared" si="22"/>
        <v/>
      </c>
      <c r="Y684" s="341">
        <f>IF('General price list'!$AB686="",0,'General price list'!$AB686)</f>
        <v>0</v>
      </c>
      <c r="Z684" s="365" t="str">
        <f>IFERROR(X684*VLOOKUP(C684,'General price list'!C:I,7,FALSE),"")</f>
        <v/>
      </c>
      <c r="AA684" s="805" t="str">
        <f>IF(X684&lt;&gt;"",VLOOKUP(C684,'General price list'!C686:AN1659,MATCH("HM",Tabulka1[[#Headers],[KOD]:[NEQ]],0),FALSE),"")</f>
        <v/>
      </c>
    </row>
    <row r="685" spans="1:27">
      <c r="A685">
        <f>COUNTIF($W$22:W685,1)</f>
        <v>0</v>
      </c>
      <c r="B685">
        <v>685</v>
      </c>
      <c r="C685" s="340" t="str">
        <f>Tabulka1[[#This Row],[KOD]]</f>
        <v>C1003BB/C</v>
      </c>
      <c r="W685" s="804" t="str">
        <f t="shared" si="21"/>
        <v/>
      </c>
      <c r="X685" t="str">
        <f t="shared" si="22"/>
        <v/>
      </c>
      <c r="Y685" s="341">
        <f>IF('General price list'!$AB687="",0,'General price list'!$AB687)</f>
        <v>0</v>
      </c>
      <c r="Z685" s="365" t="str">
        <f>IFERROR(X685*VLOOKUP(C685,'General price list'!C:I,7,FALSE),"")</f>
        <v/>
      </c>
      <c r="AA685" s="805" t="str">
        <f>IF(X685&lt;&gt;"",VLOOKUP(C685,'General price list'!C687:AN1660,MATCH("HM",Tabulka1[[#Headers],[KOD]:[NEQ]],0),FALSE),"")</f>
        <v/>
      </c>
    </row>
    <row r="686" spans="1:27">
      <c r="A686">
        <f>COUNTIF($W$22:W686,1)</f>
        <v>0</v>
      </c>
      <c r="B686">
        <v>686</v>
      </c>
      <c r="C686" s="340" t="str">
        <f>Tabulka1[[#This Row],[KOD]]</f>
        <v>C1003F/C</v>
      </c>
      <c r="W686" s="804" t="str">
        <f t="shared" si="21"/>
        <v/>
      </c>
      <c r="X686" t="str">
        <f t="shared" si="22"/>
        <v/>
      </c>
      <c r="Y686" s="341">
        <f>IF('General price list'!$AB688="",0,'General price list'!$AB688)</f>
        <v>0</v>
      </c>
      <c r="Z686" s="365" t="str">
        <f>IFERROR(X686*VLOOKUP(C686,'General price list'!C:I,7,FALSE),"")</f>
        <v/>
      </c>
      <c r="AA686" s="805" t="str">
        <f>IF(X686&lt;&gt;"",VLOOKUP(C686,'General price list'!C688:AN1661,MATCH("HM",Tabulka1[[#Headers],[KOD]:[NEQ]],0),FALSE),"")</f>
        <v/>
      </c>
    </row>
    <row r="687" spans="1:27">
      <c r="A687">
        <f>COUNTIF($W$22:W687,1)</f>
        <v>0</v>
      </c>
      <c r="B687">
        <v>687</v>
      </c>
      <c r="C687" s="340" t="str">
        <f>Tabulka1[[#This Row],[KOD]]</f>
        <v>C1003SIG/C</v>
      </c>
      <c r="W687" s="804" t="str">
        <f t="shared" si="21"/>
        <v/>
      </c>
      <c r="X687" t="str">
        <f t="shared" si="22"/>
        <v/>
      </c>
      <c r="Y687" s="341">
        <f>IF('General price list'!$AB689="",0,'General price list'!$AB689)</f>
        <v>0</v>
      </c>
      <c r="Z687" s="365" t="str">
        <f>IFERROR(X687*VLOOKUP(C687,'General price list'!C:I,7,FALSE),"")</f>
        <v/>
      </c>
      <c r="AA687" s="805" t="str">
        <f>IF(X687&lt;&gt;"",VLOOKUP(C687,'General price list'!C689:AN1662,MATCH("HM",Tabulka1[[#Headers],[KOD]:[NEQ]],0),FALSE),"")</f>
        <v/>
      </c>
    </row>
    <row r="688" spans="1:27">
      <c r="A688">
        <f>COUNTIF($W$22:W688,1)</f>
        <v>0</v>
      </c>
      <c r="B688">
        <v>688</v>
      </c>
      <c r="C688" s="340" t="str">
        <f>Tabulka1[[#This Row],[KOD]]</f>
        <v>C1003VS/C</v>
      </c>
      <c r="W688" s="804" t="str">
        <f t="shared" si="21"/>
        <v/>
      </c>
      <c r="X688" t="str">
        <f t="shared" si="22"/>
        <v/>
      </c>
      <c r="Y688" s="341">
        <f>IF('General price list'!$AB690="",0,'General price list'!$AB690)</f>
        <v>0</v>
      </c>
      <c r="Z688" s="365" t="str">
        <f>IFERROR(X688*VLOOKUP(C688,'General price list'!C:I,7,FALSE),"")</f>
        <v/>
      </c>
      <c r="AA688" s="805" t="str">
        <f>IF(X688&lt;&gt;"",VLOOKUP(C688,'General price list'!C690:AN1663,MATCH("HM",Tabulka1[[#Headers],[KOD]:[NEQ]],0),FALSE),"")</f>
        <v/>
      </c>
    </row>
    <row r="689" spans="1:27">
      <c r="A689">
        <f>COUNTIF($W$22:W689,1)</f>
        <v>0</v>
      </c>
      <c r="B689">
        <v>689</v>
      </c>
      <c r="C689" s="340" t="str">
        <f>Tabulka1[[#This Row],[KOD]]</f>
        <v>C128XMPT/C</v>
      </c>
      <c r="W689" s="804" t="str">
        <f t="shared" si="21"/>
        <v/>
      </c>
      <c r="X689" t="str">
        <f t="shared" si="22"/>
        <v/>
      </c>
      <c r="Y689" s="341">
        <f>IF('General price list'!$AB691="",0,'General price list'!$AB691)</f>
        <v>0</v>
      </c>
      <c r="Z689" s="365" t="str">
        <f>IFERROR(X689*VLOOKUP(C689,'General price list'!C:I,7,FALSE),"")</f>
        <v/>
      </c>
      <c r="AA689" s="805" t="str">
        <f>IF(X689&lt;&gt;"",VLOOKUP(C689,'General price list'!C691:AN1664,MATCH("HM",Tabulka1[[#Headers],[KOD]:[NEQ]],0),FALSE),"")</f>
        <v/>
      </c>
    </row>
    <row r="690" spans="1:27">
      <c r="A690">
        <f>COUNTIF($W$22:W690,1)</f>
        <v>0</v>
      </c>
      <c r="B690">
        <v>690</v>
      </c>
      <c r="C690" s="340" t="str">
        <f>Tabulka1[[#This Row],[KOD]]</f>
        <v>C128XMB/C</v>
      </c>
      <c r="W690" s="804" t="str">
        <f t="shared" si="21"/>
        <v/>
      </c>
      <c r="X690" t="str">
        <f t="shared" si="22"/>
        <v/>
      </c>
      <c r="Y690" s="341">
        <f>IF('General price list'!$AB692="",0,'General price list'!$AB692)</f>
        <v>0</v>
      </c>
      <c r="Z690" s="365" t="str">
        <f>IFERROR(X690*VLOOKUP(C690,'General price list'!C:I,7,FALSE),"")</f>
        <v/>
      </c>
      <c r="AA690" s="805" t="str">
        <f>IF(X690&lt;&gt;"",VLOOKUP(C690,'General price list'!C692:AN1665,MATCH("HM",Tabulka1[[#Headers],[KOD]:[NEQ]],0),FALSE),"")</f>
        <v/>
      </c>
    </row>
    <row r="691" spans="1:27">
      <c r="A691">
        <f>COUNTIF($W$22:W691,1)</f>
        <v>0</v>
      </c>
      <c r="B691">
        <v>691</v>
      </c>
      <c r="C691" s="340" t="str">
        <f>Tabulka1[[#This Row],[KOD]]</f>
        <v>C1503X/C</v>
      </c>
      <c r="W691" s="804" t="str">
        <f t="shared" si="21"/>
        <v/>
      </c>
      <c r="X691" t="str">
        <f t="shared" si="22"/>
        <v/>
      </c>
      <c r="Y691" s="341">
        <f>IF('General price list'!$AB693="",0,'General price list'!$AB693)</f>
        <v>0</v>
      </c>
      <c r="Z691" s="365" t="str">
        <f>IFERROR(X691*VLOOKUP(C691,'General price list'!C:I,7,FALSE),"")</f>
        <v/>
      </c>
      <c r="AA691" s="805" t="str">
        <f>IF(X691&lt;&gt;"",VLOOKUP(C691,'General price list'!C693:AN1666,MATCH("HM",Tabulka1[[#Headers],[KOD]:[NEQ]],0),FALSE),"")</f>
        <v/>
      </c>
    </row>
    <row r="692" spans="1:27">
      <c r="A692">
        <f>COUNTIF($W$22:W692,1)</f>
        <v>0</v>
      </c>
      <c r="B692">
        <v>692</v>
      </c>
      <c r="C692" s="340" t="str">
        <f>Tabulka1[[#This Row],[KOD]]</f>
        <v>C1503BPF/C</v>
      </c>
      <c r="W692" s="804" t="str">
        <f t="shared" si="21"/>
        <v/>
      </c>
      <c r="X692" t="str">
        <f t="shared" si="22"/>
        <v/>
      </c>
      <c r="Y692" s="341">
        <f>IF('General price list'!$AB694="",0,'General price list'!$AB694)</f>
        <v>0</v>
      </c>
      <c r="Z692" s="365" t="str">
        <f>IFERROR(X692*VLOOKUP(C692,'General price list'!C:I,7,FALSE),"")</f>
        <v/>
      </c>
      <c r="AA692" s="805" t="str">
        <f>IF(X692&lt;&gt;"",VLOOKUP(C692,'General price list'!C694:AN1667,MATCH("HM",Tabulka1[[#Headers],[KOD]:[NEQ]],0),FALSE),"")</f>
        <v/>
      </c>
    </row>
    <row r="693" spans="1:27">
      <c r="A693">
        <f>COUNTIF($W$22:W693,1)</f>
        <v>0</v>
      </c>
      <c r="B693">
        <v>693</v>
      </c>
      <c r="C693" s="340" t="str">
        <f>Tabulka1[[#This Row],[KOD]]</f>
        <v>C1923XMF/C</v>
      </c>
      <c r="W693" s="804" t="str">
        <f t="shared" si="21"/>
        <v/>
      </c>
      <c r="X693" t="str">
        <f t="shared" si="22"/>
        <v/>
      </c>
      <c r="Y693" s="341">
        <f>IF('General price list'!$AB695="",0,'General price list'!$AB695)</f>
        <v>0</v>
      </c>
      <c r="Z693" s="365" t="str">
        <f>IFERROR(X693*VLOOKUP(C693,'General price list'!C:I,7,FALSE),"")</f>
        <v/>
      </c>
      <c r="AA693" s="805" t="str">
        <f>IF(X693&lt;&gt;"",VLOOKUP(C693,'General price list'!C695:AN1668,MATCH("HM",Tabulka1[[#Headers],[KOD]:[NEQ]],0),FALSE),"")</f>
        <v/>
      </c>
    </row>
    <row r="694" spans="1:27">
      <c r="A694">
        <f>COUNTIF($W$22:W694,1)</f>
        <v>0</v>
      </c>
      <c r="B694">
        <v>694</v>
      </c>
      <c r="C694" s="340" t="str">
        <f>Tabulka1[[#This Row],[KOD]]</f>
        <v>C2003BP/C</v>
      </c>
      <c r="W694" s="804" t="str">
        <f t="shared" si="21"/>
        <v/>
      </c>
      <c r="X694" t="str">
        <f t="shared" si="22"/>
        <v/>
      </c>
      <c r="Y694" s="341">
        <f>IF('General price list'!$AB696="",0,'General price list'!$AB696)</f>
        <v>0</v>
      </c>
      <c r="Z694" s="365" t="str">
        <f>IFERROR(X694*VLOOKUP(C694,'General price list'!C:I,7,FALSE),"")</f>
        <v/>
      </c>
      <c r="AA694" s="805" t="str">
        <f>IF(X694&lt;&gt;"",VLOOKUP(C694,'General price list'!C696:AN1669,MATCH("HM",Tabulka1[[#Headers],[KOD]:[NEQ]],0),FALSE),"")</f>
        <v/>
      </c>
    </row>
    <row r="695" spans="1:27">
      <c r="A695">
        <f>COUNTIF($W$22:W695,1)</f>
        <v>0</v>
      </c>
      <c r="B695">
        <v>695</v>
      </c>
      <c r="C695" s="340" t="str">
        <f>Tabulka1[[#This Row],[KOD]]</f>
        <v>C2003U/C</v>
      </c>
      <c r="W695" s="804" t="str">
        <f t="shared" si="21"/>
        <v/>
      </c>
      <c r="X695" t="str">
        <f t="shared" si="22"/>
        <v/>
      </c>
      <c r="Y695" s="341">
        <f>IF('General price list'!$AB697="",0,'General price list'!$AB697)</f>
        <v>0</v>
      </c>
      <c r="Z695" s="365" t="str">
        <f>IFERROR(X695*VLOOKUP(C695,'General price list'!C:I,7,FALSE),"")</f>
        <v/>
      </c>
      <c r="AA695" s="805" t="str">
        <f>IF(X695&lt;&gt;"",VLOOKUP(C695,'General price list'!C697:AN1670,MATCH("HM",Tabulka1[[#Headers],[KOD]:[NEQ]],0),FALSE),"")</f>
        <v/>
      </c>
    </row>
    <row r="696" spans="1:27">
      <c r="A696">
        <f>COUNTIF($W$22:W696,1)</f>
        <v>0</v>
      </c>
      <c r="B696">
        <v>696</v>
      </c>
      <c r="C696" s="340" t="str">
        <f>Tabulka1[[#This Row],[KOD]]</f>
        <v>C2003F/C</v>
      </c>
      <c r="W696" s="804" t="str">
        <f t="shared" si="21"/>
        <v/>
      </c>
      <c r="X696" t="str">
        <f t="shared" si="22"/>
        <v/>
      </c>
      <c r="Y696" s="341">
        <f>IF('General price list'!$AB698="",0,'General price list'!$AB698)</f>
        <v>0</v>
      </c>
      <c r="Z696" s="365" t="str">
        <f>IFERROR(X696*VLOOKUP(C696,'General price list'!C:I,7,FALSE),"")</f>
        <v/>
      </c>
      <c r="AA696" s="805" t="str">
        <f>IF(X696&lt;&gt;"",VLOOKUP(C696,'General price list'!C698:AN1671,MATCH("HM",Tabulka1[[#Headers],[KOD]:[NEQ]],0),FALSE),"")</f>
        <v/>
      </c>
    </row>
    <row r="697" spans="1:27">
      <c r="A697">
        <f>COUNTIF($W$22:W697,1)</f>
        <v>0</v>
      </c>
      <c r="B697">
        <v>697</v>
      </c>
      <c r="C697" s="340" t="str">
        <f>Tabulka1[[#This Row],[KOD]]</f>
        <v>C2003SIG/C</v>
      </c>
      <c r="W697" s="804" t="str">
        <f t="shared" si="21"/>
        <v/>
      </c>
      <c r="X697" t="str">
        <f t="shared" si="22"/>
        <v/>
      </c>
      <c r="Y697" s="341">
        <f>IF('General price list'!$AB699="",0,'General price list'!$AB699)</f>
        <v>0</v>
      </c>
      <c r="Z697" s="365" t="str">
        <f>IFERROR(X697*VLOOKUP(C697,'General price list'!C:I,7,FALSE),"")</f>
        <v/>
      </c>
      <c r="AA697" s="805" t="str">
        <f>IF(X697&lt;&gt;"",VLOOKUP(C697,'General price list'!C699:AN1672,MATCH("HM",Tabulka1[[#Headers],[KOD]:[NEQ]],0),FALSE),"")</f>
        <v/>
      </c>
    </row>
    <row r="698" spans="1:27">
      <c r="A698">
        <f>COUNTIF($W$22:W698,1)</f>
        <v>0</v>
      </c>
      <c r="B698">
        <v>698</v>
      </c>
      <c r="C698" s="340" t="str">
        <f>Tabulka1[[#This Row],[KOD]]</f>
        <v>C2563XMF/C</v>
      </c>
      <c r="W698" s="804" t="str">
        <f t="shared" si="21"/>
        <v/>
      </c>
      <c r="X698" t="str">
        <f t="shared" si="22"/>
        <v/>
      </c>
      <c r="Y698" s="341">
        <f>IF('General price list'!$AB700="",0,'General price list'!$AB700)</f>
        <v>0</v>
      </c>
      <c r="Z698" s="365" t="str">
        <f>IFERROR(X698*VLOOKUP(C698,'General price list'!C:I,7,FALSE),"")</f>
        <v/>
      </c>
      <c r="AA698" s="805" t="str">
        <f>IF(X698&lt;&gt;"",VLOOKUP(C698,'General price list'!C700:AN1673,MATCH("HM",Tabulka1[[#Headers],[KOD]:[NEQ]],0),FALSE),"")</f>
        <v/>
      </c>
    </row>
    <row r="699" spans="1:27">
      <c r="A699">
        <f>COUNTIF($W$22:W699,1)</f>
        <v>0</v>
      </c>
      <c r="B699">
        <v>699</v>
      </c>
      <c r="C699" s="340">
        <f>Tabulka1[[#This Row],[KOD]]</f>
        <v>0</v>
      </c>
      <c r="W699" s="804" t="str">
        <f t="shared" si="21"/>
        <v/>
      </c>
      <c r="X699" t="str">
        <f t="shared" si="22"/>
        <v/>
      </c>
      <c r="Y699" s="341">
        <f>IF('General price list'!$AB701="",0,'General price list'!$AB701)</f>
        <v>0</v>
      </c>
      <c r="Z699" s="365" t="str">
        <f>IFERROR(X699*VLOOKUP(C699,'General price list'!C:I,7,FALSE),"")</f>
        <v/>
      </c>
      <c r="AA699" s="805" t="str">
        <f>IF(X699&lt;&gt;"",VLOOKUP(C699,'General price list'!C701:AN1674,MATCH("HM",Tabulka1[[#Headers],[KOD]:[NEQ]],0),FALSE),"")</f>
        <v/>
      </c>
    </row>
    <row r="700" spans="1:27">
      <c r="A700">
        <f>COUNTIF($W$22:W700,1)</f>
        <v>0</v>
      </c>
      <c r="B700">
        <v>700</v>
      </c>
      <c r="C700" s="340" t="str">
        <f>Tabulka1[[#This Row],[KOD]]</f>
        <v>C165DU14</v>
      </c>
      <c r="W700" s="804" t="str">
        <f t="shared" si="21"/>
        <v/>
      </c>
      <c r="X700" t="str">
        <f t="shared" si="22"/>
        <v/>
      </c>
      <c r="Y700" s="341">
        <f>IF('General price list'!$AB702="",0,'General price list'!$AB702)</f>
        <v>0</v>
      </c>
      <c r="Z700" s="365" t="str">
        <f>IFERROR(X700*VLOOKUP(C700,'General price list'!C:I,7,FALSE),"")</f>
        <v/>
      </c>
      <c r="AA700" s="805" t="str">
        <f>IF(X700&lt;&gt;"",VLOOKUP(C700,'General price list'!C702:AN1675,MATCH("HM",Tabulka1[[#Headers],[KOD]:[NEQ]],0),FALSE),"")</f>
        <v/>
      </c>
    </row>
    <row r="701" spans="1:27">
      <c r="A701">
        <f>COUNTIF($W$22:W701,1)</f>
        <v>0</v>
      </c>
      <c r="B701">
        <v>701</v>
      </c>
      <c r="C701" s="340" t="str">
        <f>Tabulka1[[#This Row],[KOD]]</f>
        <v>C165NO14</v>
      </c>
      <c r="W701" s="804" t="str">
        <f t="shared" si="21"/>
        <v/>
      </c>
      <c r="X701" t="str">
        <f t="shared" si="22"/>
        <v/>
      </c>
      <c r="Y701" s="341">
        <f>IF('General price list'!$AB703="",0,'General price list'!$AB703)</f>
        <v>0</v>
      </c>
      <c r="Z701" s="365" t="str">
        <f>IFERROR(X701*VLOOKUP(C701,'General price list'!C:I,7,FALSE),"")</f>
        <v/>
      </c>
      <c r="AA701" s="805" t="str">
        <f>IF(X701&lt;&gt;"",VLOOKUP(C701,'General price list'!C703:AN1676,MATCH("HM",Tabulka1[[#Headers],[KOD]:[NEQ]],0),FALSE),"")</f>
        <v/>
      </c>
    </row>
    <row r="702" spans="1:27">
      <c r="A702">
        <f>COUNTIF($W$22:W702,1)</f>
        <v>0</v>
      </c>
      <c r="B702">
        <v>702</v>
      </c>
      <c r="C702" s="340">
        <f>Tabulka1[[#This Row],[KOD]]</f>
        <v>0</v>
      </c>
      <c r="W702" s="804" t="str">
        <f t="shared" si="21"/>
        <v/>
      </c>
      <c r="X702" t="str">
        <f t="shared" si="22"/>
        <v/>
      </c>
      <c r="Y702" s="341">
        <f>IF('General price list'!$AB704="",0,'General price list'!$AB704)</f>
        <v>0</v>
      </c>
      <c r="Z702" s="365" t="str">
        <f>IFERROR(X702*VLOOKUP(C702,'General price list'!C:I,7,FALSE),"")</f>
        <v/>
      </c>
      <c r="AA702" s="805" t="str">
        <f>IF(X702&lt;&gt;"",VLOOKUP(C702,'General price list'!C704:AN1677,MATCH("HM",Tabulka1[[#Headers],[KOD]:[NEQ]],0),FALSE),"")</f>
        <v/>
      </c>
    </row>
    <row r="703" spans="1:27">
      <c r="A703">
        <f>COUNTIF($W$22:W703,1)</f>
        <v>0</v>
      </c>
      <c r="B703">
        <v>703</v>
      </c>
      <c r="C703" s="340" t="str">
        <f>Tabulka1[[#This Row],[KOD]]</f>
        <v>C165JA</v>
      </c>
      <c r="W703" s="804" t="str">
        <f t="shared" si="21"/>
        <v/>
      </c>
      <c r="X703" t="str">
        <f t="shared" si="22"/>
        <v/>
      </c>
      <c r="Y703" s="341">
        <f>IF('General price list'!$AB705="",0,'General price list'!$AB705)</f>
        <v>0</v>
      </c>
      <c r="Z703" s="365" t="str">
        <f>IFERROR(X703*VLOOKUP(C703,'General price list'!C:I,7,FALSE),"")</f>
        <v/>
      </c>
      <c r="AA703" s="805" t="str">
        <f>IF(X703&lt;&gt;"",VLOOKUP(C703,'General price list'!C705:AN1678,MATCH("HM",Tabulka1[[#Headers],[KOD]:[NEQ]],0),FALSE),"")</f>
        <v/>
      </c>
    </row>
    <row r="704" spans="1:27">
      <c r="A704">
        <f>COUNTIF($W$22:W704,1)</f>
        <v>0</v>
      </c>
      <c r="B704">
        <v>704</v>
      </c>
      <c r="C704" s="340" t="str">
        <f>Tabulka1[[#This Row],[KOD]]</f>
        <v>C165P</v>
      </c>
      <c r="W704" s="804" t="str">
        <f t="shared" si="21"/>
        <v/>
      </c>
      <c r="X704" t="str">
        <f t="shared" si="22"/>
        <v/>
      </c>
      <c r="Y704" s="341">
        <f>IF('General price list'!$AB706="",0,'General price list'!$AB706)</f>
        <v>0</v>
      </c>
      <c r="Z704" s="365" t="str">
        <f>IFERROR(X704*VLOOKUP(C704,'General price list'!C:I,7,FALSE),"")</f>
        <v/>
      </c>
      <c r="AA704" s="805" t="str">
        <f>IF(X704&lt;&gt;"",VLOOKUP(C704,'General price list'!C706:AN1679,MATCH("HM",Tabulka1[[#Headers],[KOD]:[NEQ]],0),FALSE),"")</f>
        <v/>
      </c>
    </row>
    <row r="705" spans="1:27">
      <c r="A705">
        <f>COUNTIF($W$22:W705,1)</f>
        <v>0</v>
      </c>
      <c r="B705">
        <v>705</v>
      </c>
      <c r="C705" s="340">
        <f>Tabulka1[[#This Row],[KOD]]</f>
        <v>0</v>
      </c>
      <c r="W705" s="804" t="str">
        <f t="shared" si="21"/>
        <v/>
      </c>
      <c r="X705" t="str">
        <f t="shared" si="22"/>
        <v/>
      </c>
      <c r="Y705" s="341">
        <f>IF('General price list'!$AB707="",0,'General price list'!$AB707)</f>
        <v>0</v>
      </c>
      <c r="Z705" s="365" t="str">
        <f>IFERROR(X705*VLOOKUP(C705,'General price list'!C:I,7,FALSE),"")</f>
        <v/>
      </c>
      <c r="AA705" s="805" t="str">
        <f>IF(X705&lt;&gt;"",VLOOKUP(C705,'General price list'!C707:AN1680,MATCH("HM",Tabulka1[[#Headers],[KOD]:[NEQ]],0),FALSE),"")</f>
        <v/>
      </c>
    </row>
    <row r="706" spans="1:27">
      <c r="A706">
        <f>COUNTIF($W$22:W706,1)</f>
        <v>0</v>
      </c>
      <c r="B706">
        <v>706</v>
      </c>
      <c r="C706" s="340" t="str">
        <f>Tabulka1[[#This Row],[KOD]]</f>
        <v>C2545NO</v>
      </c>
      <c r="W706" s="804" t="str">
        <f t="shared" si="21"/>
        <v/>
      </c>
      <c r="X706" t="str">
        <f t="shared" si="22"/>
        <v/>
      </c>
      <c r="Y706" s="341">
        <f>IF('General price list'!$AB708="",0,'General price list'!$AB708)</f>
        <v>0</v>
      </c>
      <c r="Z706" s="365" t="str">
        <f>IFERROR(X706*VLOOKUP(C706,'General price list'!C:I,7,FALSE),"")</f>
        <v/>
      </c>
      <c r="AA706" s="805" t="str">
        <f>IF(X706&lt;&gt;"",VLOOKUP(C706,'General price list'!C708:AN1681,MATCH("HM",Tabulka1[[#Headers],[KOD]:[NEQ]],0),FALSE),"")</f>
        <v/>
      </c>
    </row>
    <row r="707" spans="1:27">
      <c r="A707">
        <f>COUNTIF($W$22:W707,1)</f>
        <v>0</v>
      </c>
      <c r="B707">
        <v>707</v>
      </c>
      <c r="C707" s="340" t="str">
        <f>Tabulka1[[#This Row],[KOD]]</f>
        <v>C2545DI</v>
      </c>
      <c r="W707" s="804" t="str">
        <f t="shared" si="21"/>
        <v/>
      </c>
      <c r="X707" t="str">
        <f t="shared" si="22"/>
        <v/>
      </c>
      <c r="Y707" s="341">
        <f>IF('General price list'!$AB709="",0,'General price list'!$AB709)</f>
        <v>0</v>
      </c>
      <c r="Z707" s="365" t="str">
        <f>IFERROR(X707*VLOOKUP(C707,'General price list'!C:I,7,FALSE),"")</f>
        <v/>
      </c>
      <c r="AA707" s="805" t="str">
        <f>IF(X707&lt;&gt;"",VLOOKUP(C707,'General price list'!C709:AN1682,MATCH("HM",Tabulka1[[#Headers],[KOD]:[NEQ]],0),FALSE),"")</f>
        <v/>
      </c>
    </row>
    <row r="708" spans="1:27">
      <c r="A708">
        <f>COUNTIF($W$22:W708,1)</f>
        <v>0</v>
      </c>
      <c r="B708">
        <v>708</v>
      </c>
      <c r="C708" s="340">
        <f>Tabulka1[[#This Row],[KOD]]</f>
        <v>0</v>
      </c>
      <c r="W708" s="804" t="str">
        <f t="shared" si="21"/>
        <v/>
      </c>
      <c r="X708" t="str">
        <f t="shared" si="22"/>
        <v/>
      </c>
      <c r="Y708" s="341">
        <f>IF('General price list'!$AB710="",0,'General price list'!$AB710)</f>
        <v>0</v>
      </c>
      <c r="Z708" s="365" t="str">
        <f>IFERROR(X708*VLOOKUP(C708,'General price list'!C:I,7,FALSE),"")</f>
        <v/>
      </c>
      <c r="AA708" s="805" t="str">
        <f>IF(X708&lt;&gt;"",VLOOKUP(C708,'General price list'!C710:AN1683,MATCH("HM",Tabulka1[[#Headers],[KOD]:[NEQ]],0),FALSE),"")</f>
        <v/>
      </c>
    </row>
    <row r="709" spans="1:27">
      <c r="A709">
        <f>COUNTIF($W$22:W709,1)</f>
        <v>0</v>
      </c>
      <c r="B709">
        <v>709</v>
      </c>
      <c r="C709" s="340" t="str">
        <f>Tabulka1[[#This Row],[KOD]]</f>
        <v>C255BP</v>
      </c>
      <c r="W709" s="804" t="str">
        <f t="shared" si="21"/>
        <v/>
      </c>
      <c r="X709" t="str">
        <f t="shared" si="22"/>
        <v/>
      </c>
      <c r="Y709" s="341">
        <f>IF('General price list'!$AB711="",0,'General price list'!$AB711)</f>
        <v>0</v>
      </c>
      <c r="Z709" s="365" t="str">
        <f>IFERROR(X709*VLOOKUP(C709,'General price list'!C:I,7,FALSE),"")</f>
        <v/>
      </c>
      <c r="AA709" s="805" t="str">
        <f>IF(X709&lt;&gt;"",VLOOKUP(C709,'General price list'!C711:AN1684,MATCH("HM",Tabulka1[[#Headers],[KOD]:[NEQ]],0),FALSE),"")</f>
        <v/>
      </c>
    </row>
    <row r="710" spans="1:27">
      <c r="A710">
        <f>COUNTIF($W$22:W710,1)</f>
        <v>0</v>
      </c>
      <c r="B710">
        <v>710</v>
      </c>
      <c r="C710" s="340">
        <f>Tabulka1[[#This Row],[KOD]]</f>
        <v>0</v>
      </c>
      <c r="W710" s="804" t="str">
        <f t="shared" si="21"/>
        <v/>
      </c>
      <c r="X710" t="str">
        <f t="shared" si="22"/>
        <v/>
      </c>
      <c r="Y710" s="341">
        <f>IF('General price list'!$AB712="",0,'General price list'!$AB712)</f>
        <v>0</v>
      </c>
      <c r="Z710" s="365" t="str">
        <f>IFERROR(X710*VLOOKUP(C710,'General price list'!C:I,7,FALSE),"")</f>
        <v/>
      </c>
      <c r="AA710" s="805" t="str">
        <f>IF(X710&lt;&gt;"",VLOOKUP(C710,'General price list'!C712:AN1685,MATCH("HM",Tabulka1[[#Headers],[KOD]:[NEQ]],0),FALSE),"")</f>
        <v/>
      </c>
    </row>
    <row r="711" spans="1:27">
      <c r="A711">
        <f>COUNTIF($W$22:W711,1)</f>
        <v>0</v>
      </c>
      <c r="B711">
        <v>711</v>
      </c>
      <c r="C711" s="340" t="str">
        <f>Tabulka1[[#This Row],[KOD]]</f>
        <v>C3545MF</v>
      </c>
      <c r="W711" s="804" t="str">
        <f t="shared" si="21"/>
        <v/>
      </c>
      <c r="X711" t="str">
        <f t="shared" si="22"/>
        <v/>
      </c>
      <c r="Y711" s="341">
        <f>IF('General price list'!$AB713="",0,'General price list'!$AB713)</f>
        <v>0</v>
      </c>
      <c r="Z711" s="365" t="str">
        <f>IFERROR(X711*VLOOKUP(C711,'General price list'!C:I,7,FALSE),"")</f>
        <v/>
      </c>
      <c r="AA711" s="805" t="str">
        <f>IF(X711&lt;&gt;"",VLOOKUP(C711,'General price list'!C713:AN1686,MATCH("HM",Tabulka1[[#Headers],[KOD]:[NEQ]],0),FALSE),"")</f>
        <v/>
      </c>
    </row>
    <row r="712" spans="1:27">
      <c r="A712">
        <f>COUNTIF($W$22:W712,1)</f>
        <v>0</v>
      </c>
      <c r="B712">
        <v>712</v>
      </c>
      <c r="C712" s="340" t="str">
        <f>Tabulka1[[#This Row],[KOD]]</f>
        <v>C3545NO</v>
      </c>
      <c r="W712" s="804" t="str">
        <f t="shared" si="21"/>
        <v/>
      </c>
      <c r="X712" t="str">
        <f t="shared" si="22"/>
        <v/>
      </c>
      <c r="Y712" s="341">
        <f>IF('General price list'!$AB714="",0,'General price list'!$AB714)</f>
        <v>0</v>
      </c>
      <c r="Z712" s="365" t="str">
        <f>IFERROR(X712*VLOOKUP(C712,'General price list'!C:I,7,FALSE),"")</f>
        <v/>
      </c>
      <c r="AA712" s="805" t="str">
        <f>IF(X712&lt;&gt;"",VLOOKUP(C712,'General price list'!C714:AN1687,MATCH("HM",Tabulka1[[#Headers],[KOD]:[NEQ]],0),FALSE),"")</f>
        <v/>
      </c>
    </row>
    <row r="713" spans="1:27">
      <c r="A713">
        <f>COUNTIF($W$22:W713,1)</f>
        <v>0</v>
      </c>
      <c r="B713">
        <v>713</v>
      </c>
      <c r="C713" s="340">
        <f>Tabulka1[[#This Row],[KOD]]</f>
        <v>0</v>
      </c>
      <c r="W713" s="804" t="str">
        <f t="shared" si="21"/>
        <v/>
      </c>
      <c r="X713" t="str">
        <f t="shared" si="22"/>
        <v/>
      </c>
      <c r="Y713" s="341">
        <f>IF('General price list'!$AB715="",0,'General price list'!$AB715)</f>
        <v>0</v>
      </c>
      <c r="Z713" s="365" t="str">
        <f>IFERROR(X713*VLOOKUP(C713,'General price list'!C:I,7,FALSE),"")</f>
        <v/>
      </c>
      <c r="AA713" s="805" t="str">
        <f>IF(X713&lt;&gt;"",VLOOKUP(C713,'General price list'!C715:AN1688,MATCH("HM",Tabulka1[[#Headers],[KOD]:[NEQ]],0),FALSE),"")</f>
        <v/>
      </c>
    </row>
    <row r="714" spans="1:27">
      <c r="A714">
        <f>COUNTIF($W$22:W714,1)</f>
        <v>0</v>
      </c>
      <c r="B714">
        <v>714</v>
      </c>
      <c r="C714" s="340" t="str">
        <f>Tabulka1[[#This Row],[KOD]]</f>
        <v>C3645BA</v>
      </c>
      <c r="W714" s="804" t="str">
        <f t="shared" si="21"/>
        <v/>
      </c>
      <c r="X714" t="str">
        <f t="shared" si="22"/>
        <v/>
      </c>
      <c r="Y714" s="341">
        <f>IF('General price list'!$AB716="",0,'General price list'!$AB716)</f>
        <v>0</v>
      </c>
      <c r="Z714" s="365" t="str">
        <f>IFERROR(X714*VLOOKUP(C714,'General price list'!C:I,7,FALSE),"")</f>
        <v/>
      </c>
      <c r="AA714" s="805" t="str">
        <f>IF(X714&lt;&gt;"",VLOOKUP(C714,'General price list'!C716:AN1689,MATCH("HM",Tabulka1[[#Headers],[KOD]:[NEQ]],0),FALSE),"")</f>
        <v/>
      </c>
    </row>
    <row r="715" spans="1:27">
      <c r="A715">
        <f>COUNTIF($W$22:W715,1)</f>
        <v>0</v>
      </c>
      <c r="B715">
        <v>715</v>
      </c>
      <c r="C715" s="340" t="str">
        <f>Tabulka1[[#This Row],[KOD]]</f>
        <v>C3645SE</v>
      </c>
      <c r="W715" s="804" t="str">
        <f t="shared" si="21"/>
        <v/>
      </c>
      <c r="X715" t="str">
        <f t="shared" si="22"/>
        <v/>
      </c>
      <c r="Y715" s="341">
        <f>IF('General price list'!$AB717="",0,'General price list'!$AB717)</f>
        <v>0</v>
      </c>
      <c r="Z715" s="365" t="str">
        <f>IFERROR(X715*VLOOKUP(C715,'General price list'!C:I,7,FALSE),"")</f>
        <v/>
      </c>
      <c r="AA715" s="805" t="str">
        <f>IF(X715&lt;&gt;"",VLOOKUP(C715,'General price list'!C717:AN1690,MATCH("HM",Tabulka1[[#Headers],[KOD]:[NEQ]],0),FALSE),"")</f>
        <v/>
      </c>
    </row>
    <row r="716" spans="1:27">
      <c r="A716">
        <f>COUNTIF($W$22:W716,1)</f>
        <v>0</v>
      </c>
      <c r="B716">
        <v>716</v>
      </c>
      <c r="C716" s="340">
        <f>Tabulka1[[#This Row],[KOD]]</f>
        <v>0</v>
      </c>
      <c r="W716" s="804" t="str">
        <f t="shared" si="21"/>
        <v/>
      </c>
      <c r="X716" t="str">
        <f t="shared" si="22"/>
        <v/>
      </c>
      <c r="Y716" s="341">
        <f>IF('General price list'!$AB718="",0,'General price list'!$AB718)</f>
        <v>0</v>
      </c>
      <c r="Z716" s="365" t="str">
        <f>IFERROR(X716*VLOOKUP(C716,'General price list'!C:I,7,FALSE),"")</f>
        <v/>
      </c>
      <c r="AA716" s="805" t="str">
        <f>IF(X716&lt;&gt;"",VLOOKUP(C716,'General price list'!C718:AN1691,MATCH("HM",Tabulka1[[#Headers],[KOD]:[NEQ]],0),FALSE),"")</f>
        <v/>
      </c>
    </row>
    <row r="717" spans="1:27">
      <c r="A717">
        <f>COUNTIF($W$22:W717,1)</f>
        <v>0</v>
      </c>
      <c r="B717">
        <v>717</v>
      </c>
      <c r="C717" s="340" t="str">
        <f>Tabulka1[[#This Row],[KOD]]</f>
        <v>C365DU</v>
      </c>
      <c r="W717" s="804" t="str">
        <f t="shared" si="21"/>
        <v/>
      </c>
      <c r="X717" t="str">
        <f t="shared" si="22"/>
        <v/>
      </c>
      <c r="Y717" s="341">
        <f>IF('General price list'!$AB719="",0,'General price list'!$AB719)</f>
        <v>0</v>
      </c>
      <c r="Z717" s="365" t="str">
        <f>IFERROR(X717*VLOOKUP(C717,'General price list'!C:I,7,FALSE),"")</f>
        <v/>
      </c>
      <c r="AA717" s="805" t="str">
        <f>IF(X717&lt;&gt;"",VLOOKUP(C717,'General price list'!C719:AN1692,MATCH("HM",Tabulka1[[#Headers],[KOD]:[NEQ]],0),FALSE),"")</f>
        <v/>
      </c>
    </row>
    <row r="718" spans="1:27">
      <c r="A718">
        <f>COUNTIF($W$22:W718,1)</f>
        <v>0</v>
      </c>
      <c r="B718">
        <v>718</v>
      </c>
      <c r="C718" s="340">
        <f>Tabulka1[[#This Row],[KOD]]</f>
        <v>0</v>
      </c>
      <c r="W718" s="804" t="str">
        <f t="shared" si="21"/>
        <v/>
      </c>
      <c r="X718" t="str">
        <f t="shared" si="22"/>
        <v/>
      </c>
      <c r="Y718" s="341">
        <f>IF('General price list'!$AB720="",0,'General price list'!$AB720)</f>
        <v>0</v>
      </c>
      <c r="Z718" s="365" t="str">
        <f>IFERROR(X718*VLOOKUP(C718,'General price list'!C:I,7,FALSE),"")</f>
        <v/>
      </c>
      <c r="AA718" s="805" t="str">
        <f>IF(X718&lt;&gt;"",VLOOKUP(C718,'General price list'!C720:AN1693,MATCH("HM",Tabulka1[[#Headers],[KOD]:[NEQ]],0),FALSE),"")</f>
        <v/>
      </c>
    </row>
    <row r="719" spans="1:27">
      <c r="A719">
        <f>COUNTIF($W$22:W719,1)</f>
        <v>0</v>
      </c>
      <c r="B719">
        <v>719</v>
      </c>
      <c r="C719" s="340" t="str">
        <f>Tabulka1[[#This Row],[KOD]]</f>
        <v>C505X/C</v>
      </c>
      <c r="W719" s="804" t="str">
        <f t="shared" si="21"/>
        <v/>
      </c>
      <c r="X719" t="str">
        <f t="shared" si="22"/>
        <v/>
      </c>
      <c r="Y719" s="341">
        <f>IF('General price list'!$AB721="",0,'General price list'!$AB721)</f>
        <v>0</v>
      </c>
      <c r="Z719" s="365" t="str">
        <f>IFERROR(X719*VLOOKUP(C719,'General price list'!C:I,7,FALSE),"")</f>
        <v/>
      </c>
      <c r="AA719" s="805" t="str">
        <f>IF(X719&lt;&gt;"",VLOOKUP(C719,'General price list'!C721:AN1694,MATCH("HM",Tabulka1[[#Headers],[KOD]:[NEQ]],0),FALSE),"")</f>
        <v/>
      </c>
    </row>
    <row r="720" spans="1:27">
      <c r="A720">
        <f>COUNTIF($W$22:W720,1)</f>
        <v>0</v>
      </c>
      <c r="B720">
        <v>720</v>
      </c>
      <c r="C720" s="340" t="str">
        <f>Tabulka1[[#This Row],[KOD]]</f>
        <v>C505V/C</v>
      </c>
      <c r="W720" s="804" t="str">
        <f t="shared" si="21"/>
        <v/>
      </c>
      <c r="X720" t="str">
        <f t="shared" si="22"/>
        <v/>
      </c>
      <c r="Y720" s="341">
        <f>IF('General price list'!$AB722="",0,'General price list'!$AB722)</f>
        <v>0</v>
      </c>
      <c r="Z720" s="365" t="str">
        <f>IFERROR(X720*VLOOKUP(C720,'General price list'!C:I,7,FALSE),"")</f>
        <v/>
      </c>
      <c r="AA720" s="805" t="str">
        <f>IF(X720&lt;&gt;"",VLOOKUP(C720,'General price list'!C722:AN1695,MATCH("HM",Tabulka1[[#Headers],[KOD]:[NEQ]],0),FALSE),"")</f>
        <v/>
      </c>
    </row>
    <row r="721" spans="1:27">
      <c r="A721">
        <f>COUNTIF($W$22:W721,1)</f>
        <v>0</v>
      </c>
      <c r="B721">
        <v>721</v>
      </c>
      <c r="C721" s="340" t="str">
        <f>Tabulka1[[#This Row],[KOD]]</f>
        <v>C755R/C</v>
      </c>
      <c r="W721" s="804" t="str">
        <f t="shared" si="21"/>
        <v/>
      </c>
      <c r="X721" t="str">
        <f t="shared" si="22"/>
        <v/>
      </c>
      <c r="Y721" s="341">
        <f>IF('General price list'!$AB723="",0,'General price list'!$AB723)</f>
        <v>0</v>
      </c>
      <c r="Z721" s="365" t="str">
        <f>IFERROR(X721*VLOOKUP(C721,'General price list'!C:I,7,FALSE),"")</f>
        <v/>
      </c>
      <c r="AA721" s="805" t="str">
        <f>IF(X721&lt;&gt;"",VLOOKUP(C721,'General price list'!C723:AN1696,MATCH("HM",Tabulka1[[#Headers],[KOD]:[NEQ]],0),FALSE),"")</f>
        <v/>
      </c>
    </row>
    <row r="722" spans="1:27">
      <c r="A722">
        <f>COUNTIF($W$22:W722,1)</f>
        <v>0</v>
      </c>
      <c r="B722">
        <v>722</v>
      </c>
      <c r="C722" s="340" t="str">
        <f>Tabulka1[[#This Row],[KOD]]</f>
        <v>C10545GI/C</v>
      </c>
      <c r="W722" s="804" t="str">
        <f t="shared" si="21"/>
        <v/>
      </c>
      <c r="X722" t="str">
        <f t="shared" si="22"/>
        <v/>
      </c>
      <c r="Y722" s="341">
        <f>IF('General price list'!$AB724="",0,'General price list'!$AB724)</f>
        <v>0</v>
      </c>
      <c r="Z722" s="365" t="str">
        <f>IFERROR(X722*VLOOKUP(C722,'General price list'!C:I,7,FALSE),"")</f>
        <v/>
      </c>
      <c r="AA722" s="805" t="str">
        <f>IF(X722&lt;&gt;"",VLOOKUP(C722,'General price list'!C724:AN1697,MATCH("HM",Tabulka1[[#Headers],[KOD]:[NEQ]],0),FALSE),"")</f>
        <v/>
      </c>
    </row>
    <row r="723" spans="1:27">
      <c r="A723">
        <f>COUNTIF($W$22:W723,1)</f>
        <v>0</v>
      </c>
      <c r="B723">
        <v>723</v>
      </c>
      <c r="C723" s="340">
        <f>Tabulka1[[#This Row],[KOD]]</f>
        <v>0</v>
      </c>
      <c r="W723" s="804" t="str">
        <f t="shared" si="21"/>
        <v/>
      </c>
      <c r="X723" t="str">
        <f t="shared" si="22"/>
        <v/>
      </c>
      <c r="Y723" s="341">
        <f>IF('General price list'!$AB725="",0,'General price list'!$AB725)</f>
        <v>0</v>
      </c>
      <c r="Z723" s="365" t="str">
        <f>IFERROR(X723*VLOOKUP(C723,'General price list'!C:I,7,FALSE),"")</f>
        <v/>
      </c>
      <c r="AA723" s="805" t="str">
        <f>IF(X723&lt;&gt;"",VLOOKUP(C723,'General price list'!C725:AN1698,MATCH("HM",Tabulka1[[#Headers],[KOD]:[NEQ]],0),FALSE),"")</f>
        <v/>
      </c>
    </row>
    <row r="724" spans="1:27">
      <c r="A724">
        <f>COUNTIF($W$22:W724,1)</f>
        <v>0</v>
      </c>
      <c r="B724">
        <v>724</v>
      </c>
      <c r="C724" s="340" t="str">
        <f>Tabulka1[[#This Row],[KOD]]</f>
        <v>C2505D</v>
      </c>
      <c r="W724" s="804" t="str">
        <f t="shared" si="21"/>
        <v/>
      </c>
      <c r="X724" t="str">
        <f t="shared" si="22"/>
        <v/>
      </c>
      <c r="Y724" s="341">
        <f>IF('General price list'!$AB726="",0,'General price list'!$AB726)</f>
        <v>0</v>
      </c>
      <c r="Z724" s="365" t="str">
        <f>IFERROR(X724*VLOOKUP(C724,'General price list'!C:I,7,FALSE),"")</f>
        <v/>
      </c>
      <c r="AA724" s="805" t="str">
        <f>IF(X724&lt;&gt;"",VLOOKUP(C724,'General price list'!C726:AN1699,MATCH("HM",Tabulka1[[#Headers],[KOD]:[NEQ]],0),FALSE),"")</f>
        <v/>
      </c>
    </row>
    <row r="725" spans="1:27">
      <c r="A725">
        <f>COUNTIF($W$22:W725,1)</f>
        <v>0</v>
      </c>
      <c r="B725">
        <v>725</v>
      </c>
      <c r="C725" s="340">
        <f>Tabulka1[[#This Row],[KOD]]</f>
        <v>0</v>
      </c>
      <c r="W725" s="804" t="str">
        <f t="shared" si="21"/>
        <v/>
      </c>
      <c r="X725" t="str">
        <f t="shared" si="22"/>
        <v/>
      </c>
      <c r="Y725" s="341">
        <f>IF('General price list'!$AB727="",0,'General price list'!$AB727)</f>
        <v>0</v>
      </c>
      <c r="Z725" s="365" t="str">
        <f>IFERROR(X725*VLOOKUP(C725,'General price list'!C:I,7,FALSE),"")</f>
        <v/>
      </c>
      <c r="AA725" s="805" t="str">
        <f>IF(X725&lt;&gt;"",VLOOKUP(C725,'General price list'!C727:AN1700,MATCH("HM",Tabulka1[[#Headers],[KOD]:[NEQ]],0),FALSE),"")</f>
        <v/>
      </c>
    </row>
    <row r="726" spans="1:27">
      <c r="A726">
        <f>COUNTIF($W$22:W726,1)</f>
        <v>0</v>
      </c>
      <c r="B726">
        <v>726</v>
      </c>
      <c r="C726" s="340" t="str">
        <f>Tabulka1[[#This Row],[KOD]]</f>
        <v>C2463B</v>
      </c>
      <c r="W726" s="804" t="str">
        <f t="shared" si="21"/>
        <v/>
      </c>
      <c r="X726" t="str">
        <f t="shared" si="22"/>
        <v/>
      </c>
      <c r="Y726" s="341">
        <f>IF('General price list'!$AB728="",0,'General price list'!$AB728)</f>
        <v>0</v>
      </c>
      <c r="Z726" s="365" t="str">
        <f>IFERROR(X726*VLOOKUP(C726,'General price list'!C:I,7,FALSE),"")</f>
        <v/>
      </c>
      <c r="AA726" s="805" t="str">
        <f>IF(X726&lt;&gt;"",VLOOKUP(C726,'General price list'!C728:AN1701,MATCH("HM",Tabulka1[[#Headers],[KOD]:[NEQ]],0),FALSE),"")</f>
        <v/>
      </c>
    </row>
    <row r="727" spans="1:27">
      <c r="A727">
        <f>COUNTIF($W$22:W727,1)</f>
        <v>0</v>
      </c>
      <c r="B727">
        <v>727</v>
      </c>
      <c r="C727" s="340">
        <f>Tabulka1[[#This Row],[KOD]]</f>
        <v>0</v>
      </c>
      <c r="W727" s="804" t="str">
        <f t="shared" si="21"/>
        <v/>
      </c>
      <c r="X727" t="str">
        <f t="shared" si="22"/>
        <v/>
      </c>
      <c r="Y727" s="341">
        <f>IF('General price list'!$AB729="",0,'General price list'!$AB729)</f>
        <v>0</v>
      </c>
      <c r="Z727" s="365" t="str">
        <f>IFERROR(X727*VLOOKUP(C727,'General price list'!C:I,7,FALSE),"")</f>
        <v/>
      </c>
      <c r="AA727" s="805" t="str">
        <f>IF(X727&lt;&gt;"",VLOOKUP(C727,'General price list'!C729:AN1702,MATCH("HM",Tabulka1[[#Headers],[KOD]:[NEQ]],0),FALSE),"")</f>
        <v/>
      </c>
    </row>
    <row r="728" spans="1:27">
      <c r="A728">
        <f>COUNTIF($W$22:W728,1)</f>
        <v>0</v>
      </c>
      <c r="B728">
        <v>728</v>
      </c>
      <c r="C728" s="340" t="str">
        <f>Tabulka1[[#This Row],[KOD]]</f>
        <v>C2575C</v>
      </c>
      <c r="W728" s="804" t="str">
        <f t="shared" ref="W728:W791" si="23">IF(Y728+1=1,"",1)</f>
        <v/>
      </c>
      <c r="X728" t="str">
        <f t="shared" ref="X728:X791" si="24">IF(OR(A728&lt;$F$20,A728&gt;$F$21),"",IF(Y728=0,"",Y728))</f>
        <v/>
      </c>
      <c r="Y728" s="341">
        <f>IF('General price list'!$AB730="",0,'General price list'!$AB730)</f>
        <v>0</v>
      </c>
      <c r="Z728" s="365" t="str">
        <f>IFERROR(X728*VLOOKUP(C728,'General price list'!C:I,7,FALSE),"")</f>
        <v/>
      </c>
      <c r="AA728" s="805" t="str">
        <f>IF(X728&lt;&gt;"",VLOOKUP(C728,'General price list'!C730:AN1703,MATCH("HM",Tabulka1[[#Headers],[KOD]:[NEQ]],0),FALSE),"")</f>
        <v/>
      </c>
    </row>
    <row r="729" spans="1:27">
      <c r="A729">
        <f>COUNTIF($W$22:W729,1)</f>
        <v>0</v>
      </c>
      <c r="B729">
        <v>729</v>
      </c>
      <c r="C729" s="340">
        <f>Tabulka1[[#This Row],[KOD]]</f>
        <v>0</v>
      </c>
      <c r="W729" s="804" t="str">
        <f t="shared" si="23"/>
        <v/>
      </c>
      <c r="X729" t="str">
        <f t="shared" si="24"/>
        <v/>
      </c>
      <c r="Y729" s="341">
        <f>IF('General price list'!$AB731="",0,'General price list'!$AB731)</f>
        <v>0</v>
      </c>
      <c r="Z729" s="365" t="str">
        <f>IFERROR(X729*VLOOKUP(C729,'General price list'!C:I,7,FALSE),"")</f>
        <v/>
      </c>
      <c r="AA729" s="805" t="str">
        <f>IF(X729&lt;&gt;"",VLOOKUP(C729,'General price list'!C731:AN1704,MATCH("HM",Tabulka1[[#Headers],[KOD]:[NEQ]],0),FALSE),"")</f>
        <v/>
      </c>
    </row>
    <row r="730" spans="1:27">
      <c r="A730">
        <f>COUNTIF($W$22:W730,1)</f>
        <v>0</v>
      </c>
      <c r="B730">
        <v>730</v>
      </c>
      <c r="C730" s="340">
        <f>Tabulka1[[#This Row],[KOD]]</f>
        <v>0</v>
      </c>
      <c r="W730" s="804" t="str">
        <f t="shared" si="23"/>
        <v/>
      </c>
      <c r="X730" t="str">
        <f t="shared" si="24"/>
        <v/>
      </c>
      <c r="Y730" s="341">
        <f>IF('General price list'!$AB732="",0,'General price list'!$AB732)</f>
        <v>0</v>
      </c>
      <c r="Z730" s="365" t="str">
        <f>IFERROR(X730*VLOOKUP(C730,'General price list'!C:I,7,FALSE),"")</f>
        <v/>
      </c>
      <c r="AA730" s="805" t="str">
        <f>IF(X730&lt;&gt;"",VLOOKUP(C730,'General price list'!C732:AN1705,MATCH("HM",Tabulka1[[#Headers],[KOD]:[NEQ]],0),FALSE),"")</f>
        <v/>
      </c>
    </row>
    <row r="731" spans="1:27">
      <c r="A731">
        <f>COUNTIF($W$22:W731,1)</f>
        <v>0</v>
      </c>
      <c r="B731">
        <v>731</v>
      </c>
      <c r="C731" s="340" t="str">
        <f>Tabulka1[[#This Row],[KOD]]</f>
        <v>C39MPT</v>
      </c>
      <c r="W731" s="804" t="str">
        <f t="shared" si="23"/>
        <v/>
      </c>
      <c r="X731" t="str">
        <f t="shared" si="24"/>
        <v/>
      </c>
      <c r="Y731" s="341">
        <f>IF('General price list'!$AB733="",0,'General price list'!$AB733)</f>
        <v>0</v>
      </c>
      <c r="Z731" s="365" t="str">
        <f>IFERROR(X731*VLOOKUP(C731,'General price list'!C:I,7,FALSE),"")</f>
        <v/>
      </c>
      <c r="AA731" s="805" t="str">
        <f>IF(X731&lt;&gt;"",VLOOKUP(C731,'General price list'!C733:AN1706,MATCH("HM",Tabulka1[[#Headers],[KOD]:[NEQ]],0),FALSE),"")</f>
        <v/>
      </c>
    </row>
    <row r="732" spans="1:27">
      <c r="A732">
        <f>COUNTIF($W$22:W732,1)</f>
        <v>0</v>
      </c>
      <c r="B732">
        <v>732</v>
      </c>
      <c r="C732" s="340">
        <f>Tabulka1[[#This Row],[KOD]]</f>
        <v>0</v>
      </c>
      <c r="W732" s="804" t="str">
        <f t="shared" si="23"/>
        <v/>
      </c>
      <c r="X732" t="str">
        <f t="shared" si="24"/>
        <v/>
      </c>
      <c r="Y732" s="341">
        <f>IF('General price list'!$AB734="",0,'General price list'!$AB734)</f>
        <v>0</v>
      </c>
      <c r="Z732" s="365" t="str">
        <f>IFERROR(X732*VLOOKUP(C732,'General price list'!C:I,7,FALSE),"")</f>
        <v/>
      </c>
      <c r="AA732" s="805" t="str">
        <f>IF(X732&lt;&gt;"",VLOOKUP(C732,'General price list'!C734:AN1707,MATCH("HM",Tabulka1[[#Headers],[KOD]:[NEQ]],0),FALSE),"")</f>
        <v/>
      </c>
    </row>
    <row r="733" spans="1:27">
      <c r="A733">
        <f>COUNTIF($W$22:W733,1)</f>
        <v>0</v>
      </c>
      <c r="B733">
        <v>733</v>
      </c>
      <c r="C733" s="340" t="str">
        <f>Tabulka1[[#This Row],[KOD]]</f>
        <v>C46MXP</v>
      </c>
      <c r="W733" s="804" t="str">
        <f t="shared" si="23"/>
        <v/>
      </c>
      <c r="X733" t="str">
        <f t="shared" si="24"/>
        <v/>
      </c>
      <c r="Y733" s="341">
        <f>IF('General price list'!$AB735="",0,'General price list'!$AB735)</f>
        <v>0</v>
      </c>
      <c r="Z733" s="365" t="str">
        <f>IFERROR(X733*VLOOKUP(C733,'General price list'!C:I,7,FALSE),"")</f>
        <v/>
      </c>
      <c r="AA733" s="805" t="str">
        <f>IF(X733&lt;&gt;"",VLOOKUP(C733,'General price list'!C735:AN1708,MATCH("HM",Tabulka1[[#Headers],[KOD]:[NEQ]],0),FALSE),"")</f>
        <v/>
      </c>
    </row>
    <row r="734" spans="1:27">
      <c r="A734">
        <f>COUNTIF($W$22:W734,1)</f>
        <v>0</v>
      </c>
      <c r="B734">
        <v>734</v>
      </c>
      <c r="C734" s="340">
        <f>Tabulka1[[#This Row],[KOD]]</f>
        <v>0</v>
      </c>
      <c r="W734" s="804" t="str">
        <f t="shared" si="23"/>
        <v/>
      </c>
      <c r="X734" t="str">
        <f t="shared" si="24"/>
        <v/>
      </c>
      <c r="Y734" s="341">
        <f>IF('General price list'!$AB736="",0,'General price list'!$AB736)</f>
        <v>0</v>
      </c>
      <c r="Z734" s="365" t="str">
        <f>IFERROR(X734*VLOOKUP(C734,'General price list'!C:I,7,FALSE),"")</f>
        <v/>
      </c>
      <c r="AA734" s="805" t="str">
        <f>IF(X734&lt;&gt;"",VLOOKUP(C734,'General price list'!C736:AN1709,MATCH("HM",Tabulka1[[#Headers],[KOD]:[NEQ]],0),FALSE),"")</f>
        <v/>
      </c>
    </row>
    <row r="735" spans="1:27">
      <c r="A735">
        <f>COUNTIF($W$22:W735,1)</f>
        <v>0</v>
      </c>
      <c r="B735">
        <v>735</v>
      </c>
      <c r="C735" s="340" t="str">
        <f>Tabulka1[[#This Row],[KOD]]</f>
        <v>C48XMF14</v>
      </c>
      <c r="W735" s="804" t="str">
        <f t="shared" si="23"/>
        <v/>
      </c>
      <c r="X735" t="str">
        <f t="shared" si="24"/>
        <v/>
      </c>
      <c r="Y735" s="341">
        <f>IF('General price list'!$AB737="",0,'General price list'!$AB737)</f>
        <v>0</v>
      </c>
      <c r="Z735" s="365" t="str">
        <f>IFERROR(X735*VLOOKUP(C735,'General price list'!C:I,7,FALSE),"")</f>
        <v/>
      </c>
      <c r="AA735" s="805" t="str">
        <f>IF(X735&lt;&gt;"",VLOOKUP(C735,'General price list'!C737:AN1710,MATCH("HM",Tabulka1[[#Headers],[KOD]:[NEQ]],0),FALSE),"")</f>
        <v/>
      </c>
    </row>
    <row r="736" spans="1:27">
      <c r="A736">
        <f>COUNTIF($W$22:W736,1)</f>
        <v>0</v>
      </c>
      <c r="B736">
        <v>736</v>
      </c>
      <c r="C736" s="340">
        <f>Tabulka1[[#This Row],[KOD]]</f>
        <v>0</v>
      </c>
      <c r="W736" s="804" t="str">
        <f t="shared" si="23"/>
        <v/>
      </c>
      <c r="X736" t="str">
        <f t="shared" si="24"/>
        <v/>
      </c>
      <c r="Y736" s="341">
        <f>IF('General price list'!$AB738="",0,'General price list'!$AB738)</f>
        <v>0</v>
      </c>
      <c r="Z736" s="365" t="str">
        <f>IFERROR(X736*VLOOKUP(C736,'General price list'!C:I,7,FALSE),"")</f>
        <v/>
      </c>
      <c r="AA736" s="805" t="str">
        <f>IF(X736&lt;&gt;"",VLOOKUP(C736,'General price list'!C738:AN1711,MATCH("HM",Tabulka1[[#Headers],[KOD]:[NEQ]],0),FALSE),"")</f>
        <v/>
      </c>
    </row>
    <row r="737" spans="1:27">
      <c r="A737">
        <f>COUNTIF($W$22:W737,1)</f>
        <v>0</v>
      </c>
      <c r="B737">
        <v>737</v>
      </c>
      <c r="C737" s="340" t="str">
        <f>Tabulka1[[#This Row],[KOD]]</f>
        <v>C50MO</v>
      </c>
      <c r="W737" s="804" t="str">
        <f t="shared" si="23"/>
        <v/>
      </c>
      <c r="X737" t="str">
        <f t="shared" si="24"/>
        <v/>
      </c>
      <c r="Y737" s="341">
        <f>IF('General price list'!$AB739="",0,'General price list'!$AB739)</f>
        <v>0</v>
      </c>
      <c r="Z737" s="365" t="str">
        <f>IFERROR(X737*VLOOKUP(C737,'General price list'!C:I,7,FALSE),"")</f>
        <v/>
      </c>
      <c r="AA737" s="805" t="str">
        <f>IF(X737&lt;&gt;"",VLOOKUP(C737,'General price list'!C739:AN1712,MATCH("HM",Tabulka1[[#Headers],[KOD]:[NEQ]],0),FALSE),"")</f>
        <v/>
      </c>
    </row>
    <row r="738" spans="1:27">
      <c r="A738">
        <f>COUNTIF($W$22:W738,1)</f>
        <v>0</v>
      </c>
      <c r="B738">
        <v>738</v>
      </c>
      <c r="C738" s="340" t="str">
        <f>Tabulka1[[#This Row],[KOD]]</f>
        <v>C50MCH</v>
      </c>
      <c r="W738" s="804" t="str">
        <f t="shared" si="23"/>
        <v/>
      </c>
      <c r="X738" t="str">
        <f t="shared" si="24"/>
        <v/>
      </c>
      <c r="Y738" s="341">
        <f>IF('General price list'!$AB740="",0,'General price list'!$AB740)</f>
        <v>0</v>
      </c>
      <c r="Z738" s="365" t="str">
        <f>IFERROR(X738*VLOOKUP(C738,'General price list'!C:I,7,FALSE),"")</f>
        <v/>
      </c>
      <c r="AA738" s="805" t="str">
        <f>IF(X738&lt;&gt;"",VLOOKUP(C738,'General price list'!C740:AN1713,MATCH("HM",Tabulka1[[#Headers],[KOD]:[NEQ]],0),FALSE),"")</f>
        <v/>
      </c>
    </row>
    <row r="739" spans="1:27">
      <c r="A739">
        <f>COUNTIF($W$22:W739,1)</f>
        <v>0</v>
      </c>
      <c r="B739">
        <v>739</v>
      </c>
      <c r="C739" s="340">
        <f>Tabulka1[[#This Row],[KOD]]</f>
        <v>0</v>
      </c>
      <c r="W739" s="804" t="str">
        <f t="shared" si="23"/>
        <v/>
      </c>
      <c r="X739" t="str">
        <f t="shared" si="24"/>
        <v/>
      </c>
      <c r="Y739" s="341">
        <f>IF('General price list'!$AB741="",0,'General price list'!$AB741)</f>
        <v>0</v>
      </c>
      <c r="Z739" s="365" t="str">
        <f>IFERROR(X739*VLOOKUP(C739,'General price list'!C:I,7,FALSE),"")</f>
        <v/>
      </c>
      <c r="AA739" s="805" t="str">
        <f>IF(X739&lt;&gt;"",VLOOKUP(C739,'General price list'!C741:AN1714,MATCH("HM",Tabulka1[[#Headers],[KOD]:[NEQ]],0),FALSE),"")</f>
        <v/>
      </c>
    </row>
    <row r="740" spans="1:27">
      <c r="A740">
        <f>COUNTIF($W$22:W740,1)</f>
        <v>0</v>
      </c>
      <c r="B740">
        <v>740</v>
      </c>
      <c r="C740" s="340" t="str">
        <f>Tabulka1[[#This Row],[KOD]]</f>
        <v>C64MT</v>
      </c>
      <c r="W740" s="804" t="str">
        <f t="shared" si="23"/>
        <v/>
      </c>
      <c r="X740" t="str">
        <f t="shared" si="24"/>
        <v/>
      </c>
      <c r="Y740" s="341">
        <f>IF('General price list'!$AB742="",0,'General price list'!$AB742)</f>
        <v>0</v>
      </c>
      <c r="Z740" s="365" t="str">
        <f>IFERROR(X740*VLOOKUP(C740,'General price list'!C:I,7,FALSE),"")</f>
        <v/>
      </c>
      <c r="AA740" s="805" t="str">
        <f>IF(X740&lt;&gt;"",VLOOKUP(C740,'General price list'!C742:AN1715,MATCH("HM",Tabulka1[[#Headers],[KOD]:[NEQ]],0),FALSE),"")</f>
        <v/>
      </c>
    </row>
    <row r="741" spans="1:27">
      <c r="A741">
        <f>COUNTIF($W$22:W741,1)</f>
        <v>0</v>
      </c>
      <c r="B741">
        <v>741</v>
      </c>
      <c r="C741" s="340" t="str">
        <f>Tabulka1[[#This Row],[KOD]]</f>
        <v>C64MP</v>
      </c>
      <c r="W741" s="804" t="str">
        <f t="shared" si="23"/>
        <v/>
      </c>
      <c r="X741" t="str">
        <f t="shared" si="24"/>
        <v/>
      </c>
      <c r="Y741" s="341">
        <f>IF('General price list'!$AB743="",0,'General price list'!$AB743)</f>
        <v>0</v>
      </c>
      <c r="Z741" s="365" t="str">
        <f>IFERROR(X741*VLOOKUP(C741,'General price list'!C:I,7,FALSE),"")</f>
        <v/>
      </c>
      <c r="AA741" s="805" t="str">
        <f>IF(X741&lt;&gt;"",VLOOKUP(C741,'General price list'!C743:AN1716,MATCH("HM",Tabulka1[[#Headers],[KOD]:[NEQ]],0),FALSE),"")</f>
        <v/>
      </c>
    </row>
    <row r="742" spans="1:27">
      <c r="A742">
        <f>COUNTIF($W$22:W742,1)</f>
        <v>0</v>
      </c>
      <c r="B742">
        <v>742</v>
      </c>
      <c r="C742" s="340">
        <f>Tabulka1[[#This Row],[KOD]]</f>
        <v>0</v>
      </c>
      <c r="W742" s="804" t="str">
        <f t="shared" si="23"/>
        <v/>
      </c>
      <c r="X742" t="str">
        <f t="shared" si="24"/>
        <v/>
      </c>
      <c r="Y742" s="341">
        <f>IF('General price list'!$AB744="",0,'General price list'!$AB744)</f>
        <v>0</v>
      </c>
      <c r="Z742" s="365" t="str">
        <f>IFERROR(X742*VLOOKUP(C742,'General price list'!C:I,7,FALSE),"")</f>
        <v/>
      </c>
      <c r="AA742" s="805" t="str">
        <f>IF(X742&lt;&gt;"",VLOOKUP(C742,'General price list'!C744:AN1717,MATCH("HM",Tabulka1[[#Headers],[KOD]:[NEQ]],0),FALSE),"")</f>
        <v/>
      </c>
    </row>
    <row r="743" spans="1:27">
      <c r="A743">
        <f>COUNTIF($W$22:W743,1)</f>
        <v>0</v>
      </c>
      <c r="B743">
        <v>743</v>
      </c>
      <c r="C743" s="340" t="str">
        <f>Tabulka1[[#This Row],[KOD]]</f>
        <v>C68XMPT</v>
      </c>
      <c r="W743" s="804" t="str">
        <f t="shared" si="23"/>
        <v/>
      </c>
      <c r="X743" t="str">
        <f t="shared" si="24"/>
        <v/>
      </c>
      <c r="Y743" s="341">
        <f>IF('General price list'!$AB745="",0,'General price list'!$AB745)</f>
        <v>0</v>
      </c>
      <c r="Z743" s="365" t="str">
        <f>IFERROR(X743*VLOOKUP(C743,'General price list'!C:I,7,FALSE),"")</f>
        <v/>
      </c>
      <c r="AA743" s="805" t="str">
        <f>IF(X743&lt;&gt;"",VLOOKUP(C743,'General price list'!C745:AN1718,MATCH("HM",Tabulka1[[#Headers],[KOD]:[NEQ]],0),FALSE),"")</f>
        <v/>
      </c>
    </row>
    <row r="744" spans="1:27">
      <c r="A744">
        <f>COUNTIF($W$22:W744,1)</f>
        <v>0</v>
      </c>
      <c r="B744">
        <v>744</v>
      </c>
      <c r="C744" s="340">
        <f>Tabulka1[[#This Row],[KOD]]</f>
        <v>0</v>
      </c>
      <c r="W744" s="804" t="str">
        <f t="shared" si="23"/>
        <v/>
      </c>
      <c r="X744" t="str">
        <f t="shared" si="24"/>
        <v/>
      </c>
      <c r="Y744" s="341">
        <f>IF('General price list'!$AB746="",0,'General price list'!$AB746)</f>
        <v>0</v>
      </c>
      <c r="Z744" s="365" t="str">
        <f>IFERROR(X744*VLOOKUP(C744,'General price list'!C:I,7,FALSE),"")</f>
        <v/>
      </c>
      <c r="AA744" s="805" t="str">
        <f>IF(X744&lt;&gt;"",VLOOKUP(C744,'General price list'!C746:AN1719,MATCH("HM",Tabulka1[[#Headers],[KOD]:[NEQ]],0),FALSE),"")</f>
        <v/>
      </c>
    </row>
    <row r="745" spans="1:27">
      <c r="A745">
        <f>COUNTIF($W$22:W745,1)</f>
        <v>0</v>
      </c>
      <c r="B745">
        <v>745</v>
      </c>
      <c r="C745" s="340" t="str">
        <f>Tabulka1[[#This Row],[KOD]]</f>
        <v>C68XMPT14</v>
      </c>
      <c r="W745" s="804" t="str">
        <f t="shared" si="23"/>
        <v/>
      </c>
      <c r="X745" t="str">
        <f t="shared" si="24"/>
        <v/>
      </c>
      <c r="Y745" s="341">
        <f>IF('General price list'!$AB747="",0,'General price list'!$AB747)</f>
        <v>0</v>
      </c>
      <c r="Z745" s="365" t="str">
        <f>IFERROR(X745*VLOOKUP(C745,'General price list'!C:I,7,FALSE),"")</f>
        <v/>
      </c>
      <c r="AA745" s="805" t="str">
        <f>IF(X745&lt;&gt;"",VLOOKUP(C745,'General price list'!C747:AN1720,MATCH("HM",Tabulka1[[#Headers],[KOD]:[NEQ]],0),FALSE),"")</f>
        <v/>
      </c>
    </row>
    <row r="746" spans="1:27">
      <c r="A746">
        <f>COUNTIF($W$22:W746,1)</f>
        <v>0</v>
      </c>
      <c r="B746">
        <v>746</v>
      </c>
      <c r="C746" s="340">
        <f>Tabulka1[[#This Row],[KOD]]</f>
        <v>0</v>
      </c>
      <c r="W746" s="804" t="str">
        <f t="shared" si="23"/>
        <v/>
      </c>
      <c r="X746" t="str">
        <f t="shared" si="24"/>
        <v/>
      </c>
      <c r="Y746" s="341">
        <f>IF('General price list'!$AB748="",0,'General price list'!$AB748)</f>
        <v>0</v>
      </c>
      <c r="Z746" s="365" t="str">
        <f>IFERROR(X746*VLOOKUP(C746,'General price list'!C:I,7,FALSE),"")</f>
        <v/>
      </c>
      <c r="AA746" s="805" t="str">
        <f>IF(X746&lt;&gt;"",VLOOKUP(C746,'General price list'!C748:AN1721,MATCH("HM",Tabulka1[[#Headers],[KOD]:[NEQ]],0),FALSE),"")</f>
        <v/>
      </c>
    </row>
    <row r="747" spans="1:27">
      <c r="A747">
        <f>COUNTIF($W$22:W747,1)</f>
        <v>0</v>
      </c>
      <c r="B747">
        <v>747</v>
      </c>
      <c r="C747" s="340" t="str">
        <f>Tabulka1[[#This Row],[KOD]]</f>
        <v>C77MXR14</v>
      </c>
      <c r="W747" s="804" t="str">
        <f t="shared" si="23"/>
        <v/>
      </c>
      <c r="X747" t="str">
        <f t="shared" si="24"/>
        <v/>
      </c>
      <c r="Y747" s="341">
        <f>IF('General price list'!$AB749="",0,'General price list'!$AB749)</f>
        <v>0</v>
      </c>
      <c r="Z747" s="365" t="str">
        <f>IFERROR(X747*VLOOKUP(C747,'General price list'!C:I,7,FALSE),"")</f>
        <v/>
      </c>
      <c r="AA747" s="805" t="str">
        <f>IF(X747&lt;&gt;"",VLOOKUP(C747,'General price list'!C749:AN1722,MATCH("HM",Tabulka1[[#Headers],[KOD]:[NEQ]],0),FALSE),"")</f>
        <v/>
      </c>
    </row>
    <row r="748" spans="1:27">
      <c r="A748">
        <f>COUNTIF($W$22:W748,1)</f>
        <v>0</v>
      </c>
      <c r="B748">
        <v>748</v>
      </c>
      <c r="C748" s="340">
        <f>Tabulka1[[#This Row],[KOD]]</f>
        <v>0</v>
      </c>
      <c r="W748" s="804" t="str">
        <f t="shared" si="23"/>
        <v/>
      </c>
      <c r="X748" t="str">
        <f t="shared" si="24"/>
        <v/>
      </c>
      <c r="Y748" s="341">
        <f>IF('General price list'!$AB750="",0,'General price list'!$AB750)</f>
        <v>0</v>
      </c>
      <c r="Z748" s="365" t="str">
        <f>IFERROR(X748*VLOOKUP(C748,'General price list'!C:I,7,FALSE),"")</f>
        <v/>
      </c>
      <c r="AA748" s="805" t="str">
        <f>IF(X748&lt;&gt;"",VLOOKUP(C748,'General price list'!C750:AN1723,MATCH("HM",Tabulka1[[#Headers],[KOD]:[NEQ]],0),FALSE),"")</f>
        <v/>
      </c>
    </row>
    <row r="749" spans="1:27">
      <c r="A749">
        <f>COUNTIF($W$22:W749,1)</f>
        <v>0</v>
      </c>
      <c r="B749">
        <v>749</v>
      </c>
      <c r="C749" s="340" t="str">
        <f>Tabulka1[[#This Row],[KOD]]</f>
        <v>C100MXS14</v>
      </c>
      <c r="W749" s="804" t="str">
        <f t="shared" si="23"/>
        <v/>
      </c>
      <c r="X749" t="str">
        <f t="shared" si="24"/>
        <v/>
      </c>
      <c r="Y749" s="341">
        <f>IF('General price list'!$AB751="",0,'General price list'!$AB751)</f>
        <v>0</v>
      </c>
      <c r="Z749" s="365" t="str">
        <f>IFERROR(X749*VLOOKUP(C749,'General price list'!C:I,7,FALSE),"")</f>
        <v/>
      </c>
      <c r="AA749" s="805" t="str">
        <f>IF(X749&lt;&gt;"",VLOOKUP(C749,'General price list'!C751:AN1724,MATCH("HM",Tabulka1[[#Headers],[KOD]:[NEQ]],0),FALSE),"")</f>
        <v/>
      </c>
    </row>
    <row r="750" spans="1:27">
      <c r="A750">
        <f>COUNTIF($W$22:W750,1)</f>
        <v>0</v>
      </c>
      <c r="B750">
        <v>750</v>
      </c>
      <c r="C750" s="340">
        <f>Tabulka1[[#This Row],[KOD]]</f>
        <v>0</v>
      </c>
      <c r="W750" s="804" t="str">
        <f t="shared" si="23"/>
        <v/>
      </c>
      <c r="X750" t="str">
        <f t="shared" si="24"/>
        <v/>
      </c>
      <c r="Y750" s="341">
        <f>IF('General price list'!$AB752="",0,'General price list'!$AB752)</f>
        <v>0</v>
      </c>
      <c r="Z750" s="365" t="str">
        <f>IFERROR(X750*VLOOKUP(C750,'General price list'!C:I,7,FALSE),"")</f>
        <v/>
      </c>
      <c r="AA750" s="805" t="str">
        <f>IF(X750&lt;&gt;"",VLOOKUP(C750,'General price list'!C752:AN1725,MATCH("HM",Tabulka1[[#Headers],[KOD]:[NEQ]],0),FALSE),"")</f>
        <v/>
      </c>
    </row>
    <row r="751" spans="1:27">
      <c r="A751">
        <f>COUNTIF($W$22:W751,1)</f>
        <v>0</v>
      </c>
      <c r="B751">
        <v>751</v>
      </c>
      <c r="C751" s="340" t="str">
        <f>Tabulka1[[#This Row],[KOD]]</f>
        <v>C148MXP14</v>
      </c>
      <c r="W751" s="804" t="str">
        <f t="shared" si="23"/>
        <v/>
      </c>
      <c r="X751" t="str">
        <f t="shared" si="24"/>
        <v/>
      </c>
      <c r="Y751" s="341">
        <f>IF('General price list'!$AB753="",0,'General price list'!$AB753)</f>
        <v>0</v>
      </c>
      <c r="Z751" s="365" t="str">
        <f>IFERROR(X751*VLOOKUP(C751,'General price list'!C:I,7,FALSE),"")</f>
        <v/>
      </c>
      <c r="AA751" s="805" t="str">
        <f>IF(X751&lt;&gt;"",VLOOKUP(C751,'General price list'!C753:AN1726,MATCH("HM",Tabulka1[[#Headers],[KOD]:[NEQ]],0),FALSE),"")</f>
        <v/>
      </c>
    </row>
    <row r="752" spans="1:27">
      <c r="A752">
        <f>COUNTIF($W$22:W752,1)</f>
        <v>0</v>
      </c>
      <c r="B752">
        <v>752</v>
      </c>
      <c r="C752" s="340">
        <f>Tabulka1[[#This Row],[KOD]]</f>
        <v>0</v>
      </c>
      <c r="W752" s="804" t="str">
        <f t="shared" si="23"/>
        <v/>
      </c>
      <c r="X752" t="str">
        <f t="shared" si="24"/>
        <v/>
      </c>
      <c r="Y752" s="341">
        <f>IF('General price list'!$AB754="",0,'General price list'!$AB754)</f>
        <v>0</v>
      </c>
      <c r="Z752" s="365" t="str">
        <f>IFERROR(X752*VLOOKUP(C752,'General price list'!C:I,7,FALSE),"")</f>
        <v/>
      </c>
      <c r="AA752" s="805" t="str">
        <f>IF(X752&lt;&gt;"",VLOOKUP(C752,'General price list'!C754:AN1727,MATCH("HM",Tabulka1[[#Headers],[KOD]:[NEQ]],0),FALSE),"")</f>
        <v/>
      </c>
    </row>
    <row r="753" spans="1:27">
      <c r="A753">
        <f>COUNTIF($W$22:W753,1)</f>
        <v>0</v>
      </c>
      <c r="B753">
        <v>753</v>
      </c>
      <c r="C753" s="340" t="str">
        <f>Tabulka1[[#This Row],[KOD]]</f>
        <v>C165MXV14</v>
      </c>
      <c r="W753" s="804" t="str">
        <f t="shared" si="23"/>
        <v/>
      </c>
      <c r="X753" t="str">
        <f t="shared" si="24"/>
        <v/>
      </c>
      <c r="Y753" s="341">
        <f>IF('General price list'!$AB755="",0,'General price list'!$AB755)</f>
        <v>0</v>
      </c>
      <c r="Z753" s="365" t="str">
        <f>IFERROR(X753*VLOOKUP(C753,'General price list'!C:I,7,FALSE),"")</f>
        <v/>
      </c>
      <c r="AA753" s="805" t="str">
        <f>IF(X753&lt;&gt;"",VLOOKUP(C753,'General price list'!C755:AN1728,MATCH("HM",Tabulka1[[#Headers],[KOD]:[NEQ]],0),FALSE),"")</f>
        <v/>
      </c>
    </row>
    <row r="754" spans="1:27">
      <c r="A754">
        <f>COUNTIF($W$22:W754,1)</f>
        <v>0</v>
      </c>
      <c r="B754">
        <v>754</v>
      </c>
      <c r="C754" s="340">
        <f>Tabulka1[[#This Row],[KOD]]</f>
        <v>0</v>
      </c>
      <c r="W754" s="804" t="str">
        <f t="shared" si="23"/>
        <v/>
      </c>
      <c r="X754" t="str">
        <f t="shared" si="24"/>
        <v/>
      </c>
      <c r="Y754" s="341">
        <f>IF('General price list'!$AB756="",0,'General price list'!$AB756)</f>
        <v>0</v>
      </c>
      <c r="Z754" s="365" t="str">
        <f>IFERROR(X754*VLOOKUP(C754,'General price list'!C:I,7,FALSE),"")</f>
        <v/>
      </c>
      <c r="AA754" s="805" t="str">
        <f>IF(X754&lt;&gt;"",VLOOKUP(C754,'General price list'!C756:AN1729,MATCH("HM",Tabulka1[[#Headers],[KOD]:[NEQ]],0),FALSE),"")</f>
        <v/>
      </c>
    </row>
    <row r="755" spans="1:27">
      <c r="A755">
        <f>COUNTIF($W$22:W755,1)</f>
        <v>0</v>
      </c>
      <c r="B755">
        <v>755</v>
      </c>
      <c r="C755" s="340" t="str">
        <f>Tabulka1[[#This Row],[KOD]]</f>
        <v>C170MXR14</v>
      </c>
      <c r="W755" s="804" t="str">
        <f t="shared" si="23"/>
        <v/>
      </c>
      <c r="X755" t="str">
        <f t="shared" si="24"/>
        <v/>
      </c>
      <c r="Y755" s="341">
        <f>IF('General price list'!$AB757="",0,'General price list'!$AB757)</f>
        <v>0</v>
      </c>
      <c r="Z755" s="365" t="str">
        <f>IFERROR(X755*VLOOKUP(C755,'General price list'!C:I,7,FALSE),"")</f>
        <v/>
      </c>
      <c r="AA755" s="805" t="str">
        <f>IF(X755&lt;&gt;"",VLOOKUP(C755,'General price list'!C757:AN1730,MATCH("HM",Tabulka1[[#Headers],[KOD]:[NEQ]],0),FALSE),"")</f>
        <v/>
      </c>
    </row>
    <row r="756" spans="1:27">
      <c r="A756">
        <f>COUNTIF($W$22:W756,1)</f>
        <v>0</v>
      </c>
      <c r="B756">
        <v>756</v>
      </c>
      <c r="C756" s="340">
        <f>Tabulka1[[#This Row],[KOD]]</f>
        <v>0</v>
      </c>
      <c r="W756" s="804" t="str">
        <f t="shared" si="23"/>
        <v/>
      </c>
      <c r="X756" t="str">
        <f t="shared" si="24"/>
        <v/>
      </c>
      <c r="Y756" s="341">
        <f>IF('General price list'!$AB758="",0,'General price list'!$AB758)</f>
        <v>0</v>
      </c>
      <c r="Z756" s="365" t="str">
        <f>IFERROR(X756*VLOOKUP(C756,'General price list'!C:I,7,FALSE),"")</f>
        <v/>
      </c>
      <c r="AA756" s="805" t="str">
        <f>IF(X756&lt;&gt;"",VLOOKUP(C756,'General price list'!C758:AN1731,MATCH("HM",Tabulka1[[#Headers],[KOD]:[NEQ]],0),FALSE),"")</f>
        <v/>
      </c>
    </row>
    <row r="757" spans="1:27">
      <c r="A757">
        <f>COUNTIF($W$22:W757,1)</f>
        <v>0</v>
      </c>
      <c r="B757">
        <v>757</v>
      </c>
      <c r="C757" s="340">
        <f>Tabulka1[[#This Row],[KOD]]</f>
        <v>0</v>
      </c>
      <c r="W757" s="804" t="str">
        <f t="shared" si="23"/>
        <v/>
      </c>
      <c r="X757" t="str">
        <f t="shared" si="24"/>
        <v/>
      </c>
      <c r="Y757" s="341">
        <f>IF('General price list'!$AB759="",0,'General price list'!$AB759)</f>
        <v>0</v>
      </c>
      <c r="Z757" s="365" t="str">
        <f>IFERROR(X757*VLOOKUP(C757,'General price list'!C:I,7,FALSE),"")</f>
        <v/>
      </c>
      <c r="AA757" s="805" t="str">
        <f>IF(X757&lt;&gt;"",VLOOKUP(C757,'General price list'!C759:AN1732,MATCH("HM",Tabulka1[[#Headers],[KOD]:[NEQ]],0),FALSE),"")</f>
        <v/>
      </c>
    </row>
    <row r="758" spans="1:27">
      <c r="A758">
        <f>COUNTIF($W$22:W758,1)</f>
        <v>0</v>
      </c>
      <c r="B758">
        <v>758</v>
      </c>
      <c r="C758" s="340" t="str">
        <f>Tabulka1[[#This Row],[KOD]]</f>
        <v>C40FMH</v>
      </c>
      <c r="W758" s="804" t="str">
        <f t="shared" si="23"/>
        <v/>
      </c>
      <c r="X758" t="str">
        <f t="shared" si="24"/>
        <v/>
      </c>
      <c r="Y758" s="341">
        <f>IF('General price list'!$AB760="",0,'General price list'!$AB760)</f>
        <v>0</v>
      </c>
      <c r="Z758" s="365" t="str">
        <f>IFERROR(X758*VLOOKUP(C758,'General price list'!C:I,7,FALSE),"")</f>
        <v/>
      </c>
      <c r="AA758" s="805" t="str">
        <f>IF(X758&lt;&gt;"",VLOOKUP(C758,'General price list'!C760:AN1733,MATCH("HM",Tabulka1[[#Headers],[KOD]:[NEQ]],0),FALSE),"")</f>
        <v/>
      </c>
    </row>
    <row r="759" spans="1:27">
      <c r="A759">
        <f>COUNTIF($W$22:W759,1)</f>
        <v>0</v>
      </c>
      <c r="B759">
        <v>759</v>
      </c>
      <c r="C759" s="340">
        <f>Tabulka1[[#This Row],[KOD]]</f>
        <v>0</v>
      </c>
      <c r="W759" s="804" t="str">
        <f t="shared" si="23"/>
        <v/>
      </c>
      <c r="X759" t="str">
        <f t="shared" si="24"/>
        <v/>
      </c>
      <c r="Y759" s="341">
        <f>IF('General price list'!$AB761="",0,'General price list'!$AB761)</f>
        <v>0</v>
      </c>
      <c r="Z759" s="365" t="str">
        <f>IFERROR(X759*VLOOKUP(C759,'General price list'!C:I,7,FALSE),"")</f>
        <v/>
      </c>
      <c r="AA759" s="805" t="str">
        <f>IF(X759&lt;&gt;"",VLOOKUP(C759,'General price list'!C761:AN1734,MATCH("HM",Tabulka1[[#Headers],[KOD]:[NEQ]],0),FALSE),"")</f>
        <v/>
      </c>
    </row>
    <row r="760" spans="1:27">
      <c r="A760">
        <f>COUNTIF($W$22:W760,1)</f>
        <v>0</v>
      </c>
      <c r="B760">
        <v>760</v>
      </c>
      <c r="C760" s="340" t="str">
        <f>Tabulka1[[#This Row],[KOD]]</f>
        <v>C100MPT</v>
      </c>
      <c r="W760" s="804" t="str">
        <f t="shared" si="23"/>
        <v/>
      </c>
      <c r="X760" t="str">
        <f t="shared" si="24"/>
        <v/>
      </c>
      <c r="Y760" s="341">
        <f>IF('General price list'!$AB762="",0,'General price list'!$AB762)</f>
        <v>0</v>
      </c>
      <c r="Z760" s="365" t="str">
        <f>IFERROR(X760*VLOOKUP(C760,'General price list'!C:I,7,FALSE),"")</f>
        <v/>
      </c>
      <c r="AA760" s="805" t="str">
        <f>IF(X760&lt;&gt;"",VLOOKUP(C760,'General price list'!C762:AN1735,MATCH("HM",Tabulka1[[#Headers],[KOD]:[NEQ]],0),FALSE),"")</f>
        <v/>
      </c>
    </row>
    <row r="761" spans="1:27">
      <c r="A761">
        <f>COUNTIF($W$22:W761,1)</f>
        <v>0</v>
      </c>
      <c r="B761">
        <v>761</v>
      </c>
      <c r="C761" s="340" t="str">
        <f>Tabulka1[[#This Row],[KOD]]</f>
        <v>C100MN</v>
      </c>
      <c r="W761" s="804" t="str">
        <f t="shared" si="23"/>
        <v/>
      </c>
      <c r="X761" t="str">
        <f t="shared" si="24"/>
        <v/>
      </c>
      <c r="Y761" s="341">
        <f>IF('General price list'!$AB763="",0,'General price list'!$AB763)</f>
        <v>0</v>
      </c>
      <c r="Z761" s="365" t="str">
        <f>IFERROR(X761*VLOOKUP(C761,'General price list'!C:I,7,FALSE),"")</f>
        <v/>
      </c>
      <c r="AA761" s="805" t="str">
        <f>IF(X761&lt;&gt;"",VLOOKUP(C761,'General price list'!C763:AN1736,MATCH("HM",Tabulka1[[#Headers],[KOD]:[NEQ]],0),FALSE),"")</f>
        <v/>
      </c>
    </row>
    <row r="762" spans="1:27">
      <c r="A762">
        <f>COUNTIF($W$22:W762,1)</f>
        <v>0</v>
      </c>
      <c r="B762">
        <v>762</v>
      </c>
      <c r="C762" s="340">
        <f>Tabulka1[[#This Row],[KOD]]</f>
        <v>0</v>
      </c>
      <c r="W762" s="804" t="str">
        <f t="shared" si="23"/>
        <v/>
      </c>
      <c r="X762" t="str">
        <f t="shared" si="24"/>
        <v/>
      </c>
      <c r="Y762" s="341">
        <f>IF('General price list'!$AB764="",0,'General price list'!$AB764)</f>
        <v>0</v>
      </c>
      <c r="Z762" s="365" t="str">
        <f>IFERROR(X762*VLOOKUP(C762,'General price list'!C:I,7,FALSE),"")</f>
        <v/>
      </c>
      <c r="AA762" s="805" t="str">
        <f>IF(X762&lt;&gt;"",VLOOKUP(C762,'General price list'!C764:AN1737,MATCH("HM",Tabulka1[[#Headers],[KOD]:[NEQ]],0),FALSE),"")</f>
        <v/>
      </c>
    </row>
    <row r="763" spans="1:27">
      <c r="A763">
        <f>COUNTIF($W$22:W763,1)</f>
        <v>0</v>
      </c>
      <c r="B763">
        <v>763</v>
      </c>
      <c r="C763" s="340" t="str">
        <f>Tabulka1[[#This Row],[KOD]]</f>
        <v>C106MH</v>
      </c>
      <c r="W763" s="804" t="str">
        <f t="shared" si="23"/>
        <v/>
      </c>
      <c r="X763" t="str">
        <f t="shared" si="24"/>
        <v/>
      </c>
      <c r="Y763" s="341">
        <f>IF('General price list'!$AB765="",0,'General price list'!$AB765)</f>
        <v>0</v>
      </c>
      <c r="Z763" s="365" t="str">
        <f>IFERROR(X763*VLOOKUP(C763,'General price list'!C:I,7,FALSE),"")</f>
        <v/>
      </c>
      <c r="AA763" s="805" t="str">
        <f>IF(X763&lt;&gt;"",VLOOKUP(C763,'General price list'!C765:AN1738,MATCH("HM",Tabulka1[[#Headers],[KOD]:[NEQ]],0),FALSE),"")</f>
        <v/>
      </c>
    </row>
    <row r="764" spans="1:27">
      <c r="A764">
        <f>COUNTIF($W$22:W764,1)</f>
        <v>0</v>
      </c>
      <c r="B764">
        <v>764</v>
      </c>
      <c r="C764" s="340" t="str">
        <f>Tabulka1[[#This Row],[KOD]]</f>
        <v>C106MB</v>
      </c>
      <c r="W764" s="804" t="str">
        <f t="shared" si="23"/>
        <v/>
      </c>
      <c r="X764" t="str">
        <f t="shared" si="24"/>
        <v/>
      </c>
      <c r="Y764" s="341">
        <f>IF('General price list'!$AB766="",0,'General price list'!$AB766)</f>
        <v>0</v>
      </c>
      <c r="Z764" s="365" t="str">
        <f>IFERROR(X764*VLOOKUP(C764,'General price list'!C:I,7,FALSE),"")</f>
        <v/>
      </c>
      <c r="AA764" s="805" t="str">
        <f>IF(X764&lt;&gt;"",VLOOKUP(C764,'General price list'!C766:AN1739,MATCH("HM",Tabulka1[[#Headers],[KOD]:[NEQ]],0),FALSE),"")</f>
        <v/>
      </c>
    </row>
    <row r="765" spans="1:27">
      <c r="A765">
        <f>COUNTIF($W$22:W765,1)</f>
        <v>0</v>
      </c>
      <c r="B765">
        <v>765</v>
      </c>
      <c r="C765" s="340">
        <f>Tabulka1[[#This Row],[KOD]]</f>
        <v>0</v>
      </c>
      <c r="W765" s="804" t="str">
        <f t="shared" si="23"/>
        <v/>
      </c>
      <c r="X765" t="str">
        <f t="shared" si="24"/>
        <v/>
      </c>
      <c r="Y765" s="341">
        <f>IF('General price list'!$AB767="",0,'General price list'!$AB767)</f>
        <v>0</v>
      </c>
      <c r="Z765" s="365" t="str">
        <f>IFERROR(X765*VLOOKUP(C765,'General price list'!C:I,7,FALSE),"")</f>
        <v/>
      </c>
      <c r="AA765" s="805" t="str">
        <f>IF(X765&lt;&gt;"",VLOOKUP(C765,'General price list'!C767:AN1740,MATCH("HM",Tabulka1[[#Headers],[KOD]:[NEQ]],0),FALSE),"")</f>
        <v/>
      </c>
    </row>
    <row r="766" spans="1:27">
      <c r="A766">
        <f>COUNTIF($W$22:W766,1)</f>
        <v>0</v>
      </c>
      <c r="B766">
        <v>766</v>
      </c>
      <c r="C766" s="340" t="str">
        <f>Tabulka1[[#This Row],[KOD]]</f>
        <v>C109MG</v>
      </c>
      <c r="W766" s="804" t="str">
        <f t="shared" si="23"/>
        <v/>
      </c>
      <c r="X766" t="str">
        <f t="shared" si="24"/>
        <v/>
      </c>
      <c r="Y766" s="341">
        <f>IF('General price list'!$AB768="",0,'General price list'!$AB768)</f>
        <v>0</v>
      </c>
      <c r="Z766" s="365" t="str">
        <f>IFERROR(X766*VLOOKUP(C766,'General price list'!C:I,7,FALSE),"")</f>
        <v/>
      </c>
      <c r="AA766" s="805" t="str">
        <f>IF(X766&lt;&gt;"",VLOOKUP(C766,'General price list'!C768:AN1741,MATCH("HM",Tabulka1[[#Headers],[KOD]:[NEQ]],0),FALSE),"")</f>
        <v/>
      </c>
    </row>
    <row r="767" spans="1:27">
      <c r="A767">
        <f>COUNTIF($W$22:W767,1)</f>
        <v>0</v>
      </c>
      <c r="B767">
        <v>767</v>
      </c>
      <c r="C767" s="340" t="str">
        <f>Tabulka1[[#This Row],[KOD]]</f>
        <v>C109MM</v>
      </c>
      <c r="W767" s="804" t="str">
        <f t="shared" si="23"/>
        <v/>
      </c>
      <c r="X767" t="str">
        <f t="shared" si="24"/>
        <v/>
      </c>
      <c r="Y767" s="341">
        <f>IF('General price list'!$AB769="",0,'General price list'!$AB769)</f>
        <v>0</v>
      </c>
      <c r="Z767" s="365" t="str">
        <f>IFERROR(X767*VLOOKUP(C767,'General price list'!C:I,7,FALSE),"")</f>
        <v/>
      </c>
      <c r="AA767" s="805" t="str">
        <f>IF(X767&lt;&gt;"",VLOOKUP(C767,'General price list'!C769:AN1742,MATCH("HM",Tabulka1[[#Headers],[KOD]:[NEQ]],0),FALSE),"")</f>
        <v/>
      </c>
    </row>
    <row r="768" spans="1:27">
      <c r="A768">
        <f>COUNTIF($W$22:W768,1)</f>
        <v>0</v>
      </c>
      <c r="B768">
        <v>768</v>
      </c>
      <c r="C768" s="340">
        <f>Tabulka1[[#This Row],[KOD]]</f>
        <v>0</v>
      </c>
      <c r="W768" s="804" t="str">
        <f t="shared" si="23"/>
        <v/>
      </c>
      <c r="X768" t="str">
        <f t="shared" si="24"/>
        <v/>
      </c>
      <c r="Y768" s="341">
        <f>IF('General price list'!$AB770="",0,'General price list'!$AB770)</f>
        <v>0</v>
      </c>
      <c r="Z768" s="365" t="str">
        <f>IFERROR(X768*VLOOKUP(C768,'General price list'!C:I,7,FALSE),"")</f>
        <v/>
      </c>
      <c r="AA768" s="805" t="str">
        <f>IF(X768&lt;&gt;"",VLOOKUP(C768,'General price list'!C770:AN1743,MATCH("HM",Tabulka1[[#Headers],[KOD]:[NEQ]],0),FALSE),"")</f>
        <v/>
      </c>
    </row>
    <row r="769" spans="1:27">
      <c r="A769">
        <f>COUNTIF($W$22:W769,1)</f>
        <v>0</v>
      </c>
      <c r="B769">
        <v>769</v>
      </c>
      <c r="C769" s="340" t="str">
        <f>Tabulka1[[#This Row],[KOD]]</f>
        <v>C100MTS/C14</v>
      </c>
      <c r="W769" s="804" t="str">
        <f t="shared" si="23"/>
        <v/>
      </c>
      <c r="X769" t="str">
        <f t="shared" si="24"/>
        <v/>
      </c>
      <c r="Y769" s="341">
        <f>IF('General price list'!$AB771="",0,'General price list'!$AB771)</f>
        <v>0</v>
      </c>
      <c r="Z769" s="365" t="str">
        <f>IFERROR(X769*VLOOKUP(C769,'General price list'!C:I,7,FALSE),"")</f>
        <v/>
      </c>
      <c r="AA769" s="805" t="str">
        <f>IF(X769&lt;&gt;"",VLOOKUP(C769,'General price list'!C771:AN1744,MATCH("HM",Tabulka1[[#Headers],[KOD]:[NEQ]],0),FALSE),"")</f>
        <v/>
      </c>
    </row>
    <row r="770" spans="1:27">
      <c r="A770">
        <f>COUNTIF($W$22:W770,1)</f>
        <v>0</v>
      </c>
      <c r="B770">
        <v>770</v>
      </c>
      <c r="C770" s="340" t="str">
        <f>Tabulka1[[#This Row],[KOD]]</f>
        <v>C100MPT/C14</v>
      </c>
      <c r="W770" s="804" t="str">
        <f t="shared" si="23"/>
        <v/>
      </c>
      <c r="X770" t="str">
        <f t="shared" si="24"/>
        <v/>
      </c>
      <c r="Y770" s="341">
        <f>IF('General price list'!$AB772="",0,'General price list'!$AB772)</f>
        <v>0</v>
      </c>
      <c r="Z770" s="365" t="str">
        <f>IFERROR(X770*VLOOKUP(C770,'General price list'!C:I,7,FALSE),"")</f>
        <v/>
      </c>
      <c r="AA770" s="805" t="str">
        <f>IF(X770&lt;&gt;"",VLOOKUP(C770,'General price list'!C772:AN1745,MATCH("HM",Tabulka1[[#Headers],[KOD]:[NEQ]],0),FALSE),"")</f>
        <v/>
      </c>
    </row>
    <row r="771" spans="1:27">
      <c r="A771">
        <f>COUNTIF($W$22:W771,1)</f>
        <v>0</v>
      </c>
      <c r="B771">
        <v>771</v>
      </c>
      <c r="C771" s="340" t="str">
        <f>Tabulka1[[#This Row],[KOD]]</f>
        <v>C124MXM/C14</v>
      </c>
      <c r="W771" s="804" t="str">
        <f t="shared" si="23"/>
        <v/>
      </c>
      <c r="X771" t="str">
        <f t="shared" si="24"/>
        <v/>
      </c>
      <c r="Y771" s="341">
        <f>IF('General price list'!$AB773="",0,'General price list'!$AB773)</f>
        <v>0</v>
      </c>
      <c r="Z771" s="365" t="str">
        <f>IFERROR(X771*VLOOKUP(C771,'General price list'!C:I,7,FALSE),"")</f>
        <v/>
      </c>
      <c r="AA771" s="805" t="str">
        <f>IF(X771&lt;&gt;"",VLOOKUP(C771,'General price list'!C773:AN1746,MATCH("HM",Tabulka1[[#Headers],[KOD]:[NEQ]],0),FALSE),"")</f>
        <v/>
      </c>
    </row>
    <row r="772" spans="1:27">
      <c r="A772">
        <f>COUNTIF($W$22:W772,1)</f>
        <v>0</v>
      </c>
      <c r="B772">
        <v>772</v>
      </c>
      <c r="C772" s="340" t="str">
        <f>Tabulka1[[#This Row],[KOD]]</f>
        <v>C128MS/C14</v>
      </c>
      <c r="W772" s="804" t="str">
        <f t="shared" si="23"/>
        <v/>
      </c>
      <c r="X772" t="str">
        <f t="shared" si="24"/>
        <v/>
      </c>
      <c r="Y772" s="341">
        <f>IF('General price list'!$AB774="",0,'General price list'!$AB774)</f>
        <v>0</v>
      </c>
      <c r="Z772" s="365" t="str">
        <f>IFERROR(X772*VLOOKUP(C772,'General price list'!C:I,7,FALSE),"")</f>
        <v/>
      </c>
      <c r="AA772" s="805" t="str">
        <f>IF(X772&lt;&gt;"",VLOOKUP(C772,'General price list'!C774:AN1747,MATCH("HM",Tabulka1[[#Headers],[KOD]:[NEQ]],0),FALSE),"")</f>
        <v/>
      </c>
    </row>
    <row r="773" spans="1:27">
      <c r="A773">
        <f>COUNTIF($W$22:W773,1)</f>
        <v>0</v>
      </c>
      <c r="B773">
        <v>773</v>
      </c>
      <c r="C773" s="340" t="str">
        <f>Tabulka1[[#This Row],[KOD]]</f>
        <v>C136XMTS/C14</v>
      </c>
      <c r="W773" s="804" t="str">
        <f t="shared" si="23"/>
        <v/>
      </c>
      <c r="X773" t="str">
        <f t="shared" si="24"/>
        <v/>
      </c>
      <c r="Y773" s="341">
        <f>IF('General price list'!$AB775="",0,'General price list'!$AB775)</f>
        <v>0</v>
      </c>
      <c r="Z773" s="365" t="str">
        <f>IFERROR(X773*VLOOKUP(C773,'General price list'!C:I,7,FALSE),"")</f>
        <v/>
      </c>
      <c r="AA773" s="805" t="str">
        <f>IF(X773&lt;&gt;"",VLOOKUP(C773,'General price list'!C775:AN1748,MATCH("HM",Tabulka1[[#Headers],[KOD]:[NEQ]],0),FALSE),"")</f>
        <v/>
      </c>
    </row>
    <row r="774" spans="1:27">
      <c r="A774">
        <f>COUNTIF($W$22:W774,1)</f>
        <v>0</v>
      </c>
      <c r="B774">
        <v>774</v>
      </c>
      <c r="C774" s="340" t="str">
        <f>Tabulka1[[#This Row],[KOD]]</f>
        <v>C136XMK/C14</v>
      </c>
      <c r="W774" s="804" t="str">
        <f t="shared" si="23"/>
        <v/>
      </c>
      <c r="X774" t="str">
        <f t="shared" si="24"/>
        <v/>
      </c>
      <c r="Y774" s="341">
        <f>IF('General price list'!$AB776="",0,'General price list'!$AB776)</f>
        <v>0</v>
      </c>
      <c r="Z774" s="365" t="str">
        <f>IFERROR(X774*VLOOKUP(C774,'General price list'!C:I,7,FALSE),"")</f>
        <v/>
      </c>
      <c r="AA774" s="805" t="str">
        <f>IF(X774&lt;&gt;"",VLOOKUP(C774,'General price list'!C776:AN1749,MATCH("HM",Tabulka1[[#Headers],[KOD]:[NEQ]],0),FALSE),"")</f>
        <v/>
      </c>
    </row>
    <row r="775" spans="1:27">
      <c r="A775">
        <f>COUNTIF($W$22:W775,1)</f>
        <v>0</v>
      </c>
      <c r="B775">
        <v>775</v>
      </c>
      <c r="C775" s="340" t="str">
        <f>Tabulka1[[#This Row],[KOD]]</f>
        <v>C150MXH/C14</v>
      </c>
      <c r="W775" s="804" t="str">
        <f t="shared" si="23"/>
        <v/>
      </c>
      <c r="X775" t="str">
        <f t="shared" si="24"/>
        <v/>
      </c>
      <c r="Y775" s="341">
        <f>IF('General price list'!$AB777="",0,'General price list'!$AB777)</f>
        <v>0</v>
      </c>
      <c r="Z775" s="365" t="str">
        <f>IFERROR(X775*VLOOKUP(C775,'General price list'!C:I,7,FALSE),"")</f>
        <v/>
      </c>
      <c r="AA775" s="805" t="str">
        <f>IF(X775&lt;&gt;"",VLOOKUP(C775,'General price list'!C777:AN1750,MATCH("HM",Tabulka1[[#Headers],[KOD]:[NEQ]],0),FALSE),"")</f>
        <v/>
      </c>
    </row>
    <row r="776" spans="1:27">
      <c r="A776">
        <f>COUNTIF($W$22:W776,1)</f>
        <v>0</v>
      </c>
      <c r="B776">
        <v>776</v>
      </c>
      <c r="C776" s="340" t="str">
        <f>Tabulka1[[#This Row],[KOD]]</f>
        <v>C154MXB/C14</v>
      </c>
      <c r="W776" s="804" t="str">
        <f t="shared" si="23"/>
        <v/>
      </c>
      <c r="X776" t="str">
        <f t="shared" si="24"/>
        <v/>
      </c>
      <c r="Y776" s="341">
        <f>IF('General price list'!$AB778="",0,'General price list'!$AB778)</f>
        <v>0</v>
      </c>
      <c r="Z776" s="365" t="str">
        <f>IFERROR(X776*VLOOKUP(C776,'General price list'!C:I,7,FALSE),"")</f>
        <v/>
      </c>
      <c r="AA776" s="805" t="str">
        <f>IF(X776&lt;&gt;"",VLOOKUP(C776,'General price list'!C778:AN1751,MATCH("HM",Tabulka1[[#Headers],[KOD]:[NEQ]],0),FALSE),"")</f>
        <v/>
      </c>
    </row>
    <row r="777" spans="1:27">
      <c r="A777">
        <f>COUNTIF($W$22:W777,1)</f>
        <v>0</v>
      </c>
      <c r="B777">
        <v>777</v>
      </c>
      <c r="C777" s="340" t="str">
        <f>Tabulka1[[#This Row],[KOD]]</f>
        <v>C270MXM/C14</v>
      </c>
      <c r="W777" s="804" t="str">
        <f t="shared" si="23"/>
        <v/>
      </c>
      <c r="X777" t="str">
        <f t="shared" si="24"/>
        <v/>
      </c>
      <c r="Y777" s="341">
        <f>IF('General price list'!$AB779="",0,'General price list'!$AB779)</f>
        <v>0</v>
      </c>
      <c r="Z777" s="365" t="str">
        <f>IFERROR(X777*VLOOKUP(C777,'General price list'!C:I,7,FALSE),"")</f>
        <v/>
      </c>
      <c r="AA777" s="805" t="str">
        <f>IF(X777&lt;&gt;"",VLOOKUP(C777,'General price list'!C779:AN1752,MATCH("HM",Tabulka1[[#Headers],[KOD]:[NEQ]],0),FALSE),"")</f>
        <v/>
      </c>
    </row>
    <row r="778" spans="1:27">
      <c r="A778">
        <f>COUNTIF($W$22:W778,1)</f>
        <v>0</v>
      </c>
      <c r="B778">
        <v>778</v>
      </c>
      <c r="C778" s="340" t="str">
        <f>Tabulka1[[#This Row],[KOD]]</f>
        <v>C296MXH/C14</v>
      </c>
      <c r="W778" s="804" t="str">
        <f t="shared" si="23"/>
        <v/>
      </c>
      <c r="X778" t="str">
        <f t="shared" si="24"/>
        <v/>
      </c>
      <c r="Y778" s="341">
        <f>IF('General price list'!$AB780="",0,'General price list'!$AB780)</f>
        <v>0</v>
      </c>
      <c r="Z778" s="365" t="str">
        <f>IFERROR(X778*VLOOKUP(C778,'General price list'!C:I,7,FALSE),"")</f>
        <v/>
      </c>
      <c r="AA778" s="805" t="str">
        <f>IF(X778&lt;&gt;"",VLOOKUP(C778,'General price list'!C780:AN1753,MATCH("HM",Tabulka1[[#Headers],[KOD]:[NEQ]],0),FALSE),"")</f>
        <v/>
      </c>
    </row>
    <row r="779" spans="1:27">
      <c r="A779">
        <f>COUNTIF($W$22:W779,1)</f>
        <v>0</v>
      </c>
      <c r="B779">
        <v>779</v>
      </c>
      <c r="C779" s="340" t="str">
        <f>Tabulka1[[#This Row],[KOD]]</f>
        <v>C330MXR/C14</v>
      </c>
      <c r="W779" s="804" t="str">
        <f t="shared" si="23"/>
        <v/>
      </c>
      <c r="X779" t="str">
        <f t="shared" si="24"/>
        <v/>
      </c>
      <c r="Y779" s="341">
        <f>IF('General price list'!$AB781="",0,'General price list'!$AB781)</f>
        <v>0</v>
      </c>
      <c r="Z779" s="365" t="str">
        <f>IFERROR(X779*VLOOKUP(C779,'General price list'!C:I,7,FALSE),"")</f>
        <v/>
      </c>
      <c r="AA779" s="805" t="str">
        <f>IF(X779&lt;&gt;"",VLOOKUP(C779,'General price list'!C781:AN1754,MATCH("HM",Tabulka1[[#Headers],[KOD]:[NEQ]],0),FALSE),"")</f>
        <v/>
      </c>
    </row>
    <row r="780" spans="1:27">
      <c r="A780">
        <f>COUNTIF($W$22:W780,1)</f>
        <v>0</v>
      </c>
      <c r="B780">
        <v>780</v>
      </c>
      <c r="C780" s="340">
        <f>Tabulka1[[#This Row],[KOD]]</f>
        <v>0</v>
      </c>
      <c r="W780" s="804" t="str">
        <f t="shared" si="23"/>
        <v/>
      </c>
      <c r="X780" t="str">
        <f t="shared" si="24"/>
        <v/>
      </c>
      <c r="Y780" s="341">
        <f>IF('General price list'!$AB782="",0,'General price list'!$AB782)</f>
        <v>0</v>
      </c>
      <c r="Z780" s="365" t="str">
        <f>IFERROR(X780*VLOOKUP(C780,'General price list'!C:I,7,FALSE),"")</f>
        <v/>
      </c>
      <c r="AA780" s="805" t="str">
        <f>IF(X780&lt;&gt;"",VLOOKUP(C780,'General price list'!C782:AN1755,MATCH("HM",Tabulka1[[#Headers],[KOD]:[NEQ]],0),FALSE),"")</f>
        <v/>
      </c>
    </row>
    <row r="781" spans="1:27">
      <c r="A781">
        <f>COUNTIF($W$22:W781,1)</f>
        <v>0</v>
      </c>
      <c r="B781">
        <v>781</v>
      </c>
      <c r="C781" s="340" t="str">
        <f>Tabulka1[[#This Row],[KOD]]</f>
        <v>C150MF/C14</v>
      </c>
      <c r="W781" s="804" t="str">
        <f t="shared" si="23"/>
        <v/>
      </c>
      <c r="X781" t="str">
        <f t="shared" si="24"/>
        <v/>
      </c>
      <c r="Y781" s="341">
        <f>IF('General price list'!$AB783="",0,'General price list'!$AB783)</f>
        <v>0</v>
      </c>
      <c r="Z781" s="365" t="str">
        <f>IFERROR(X781*VLOOKUP(C781,'General price list'!C:I,7,FALSE),"")</f>
        <v/>
      </c>
      <c r="AA781" s="805" t="str">
        <f>IF(X781&lt;&gt;"",VLOOKUP(C781,'General price list'!C783:AN1756,MATCH("HM",Tabulka1[[#Headers],[KOD]:[NEQ]],0),FALSE),"")</f>
        <v/>
      </c>
    </row>
    <row r="782" spans="1:27">
      <c r="A782">
        <f>COUNTIF($W$22:W782,1)</f>
        <v>0</v>
      </c>
      <c r="B782">
        <v>782</v>
      </c>
      <c r="C782" s="340" t="str">
        <f>Tabulka1[[#This Row],[KOD]]</f>
        <v>C200MF/C14</v>
      </c>
      <c r="W782" s="804" t="str">
        <f t="shared" si="23"/>
        <v/>
      </c>
      <c r="X782" t="str">
        <f t="shared" si="24"/>
        <v/>
      </c>
      <c r="Y782" s="341">
        <f>IF('General price list'!$AB784="",0,'General price list'!$AB784)</f>
        <v>0</v>
      </c>
      <c r="Z782" s="365" t="str">
        <f>IFERROR(X782*VLOOKUP(C782,'General price list'!C:I,7,FALSE),"")</f>
        <v/>
      </c>
      <c r="AA782" s="805" t="str">
        <f>IF(X782&lt;&gt;"",VLOOKUP(C782,'General price list'!C784:AN1757,MATCH("HM",Tabulka1[[#Headers],[KOD]:[NEQ]],0),FALSE),"")</f>
        <v/>
      </c>
    </row>
    <row r="783" spans="1:27">
      <c r="A783">
        <f>COUNTIF($W$22:W783,1)</f>
        <v>0</v>
      </c>
      <c r="B783">
        <v>783</v>
      </c>
      <c r="C783" s="340" t="str">
        <f>Tabulka1[[#This Row],[KOD]]</f>
        <v>C204XMPT/C14</v>
      </c>
      <c r="W783" s="804" t="str">
        <f t="shared" si="23"/>
        <v/>
      </c>
      <c r="X783" t="str">
        <f t="shared" si="24"/>
        <v/>
      </c>
      <c r="Y783" s="341">
        <f>IF('General price list'!$AB785="",0,'General price list'!$AB785)</f>
        <v>0</v>
      </c>
      <c r="Z783" s="365" t="str">
        <f>IFERROR(X783*VLOOKUP(C783,'General price list'!C:I,7,FALSE),"")</f>
        <v/>
      </c>
      <c r="AA783" s="805" t="str">
        <f>IF(X783&lt;&gt;"",VLOOKUP(C783,'General price list'!C785:AN1758,MATCH("HM",Tabulka1[[#Headers],[KOD]:[NEQ]],0),FALSE),"")</f>
        <v/>
      </c>
    </row>
    <row r="784" spans="1:27">
      <c r="A784">
        <f>COUNTIF($W$22:W784,1)</f>
        <v>0</v>
      </c>
      <c r="B784">
        <v>784</v>
      </c>
      <c r="C784" s="340" t="str">
        <f>Tabulka1[[#This Row],[KOD]]</f>
        <v>C216XMFS/C14</v>
      </c>
      <c r="W784" s="804" t="str">
        <f t="shared" si="23"/>
        <v/>
      </c>
      <c r="X784" t="str">
        <f t="shared" si="24"/>
        <v/>
      </c>
      <c r="Y784" s="341">
        <f>IF('General price list'!$AB786="",0,'General price list'!$AB786)</f>
        <v>0</v>
      </c>
      <c r="Z784" s="365" t="str">
        <f>IFERROR(X784*VLOOKUP(C784,'General price list'!C:I,7,FALSE),"")</f>
        <v/>
      </c>
      <c r="AA784" s="805" t="str">
        <f>IF(X784&lt;&gt;"",VLOOKUP(C784,'General price list'!C786:AN1759,MATCH("HM",Tabulka1[[#Headers],[KOD]:[NEQ]],0),FALSE),"")</f>
        <v/>
      </c>
    </row>
    <row r="785" spans="1:27">
      <c r="A785">
        <f>COUNTIF($W$22:W785,1)</f>
        <v>0</v>
      </c>
      <c r="B785">
        <v>785</v>
      </c>
      <c r="C785" s="340" t="str">
        <f>Tabulka1[[#This Row],[KOD]]</f>
        <v>C223XMK/C14</v>
      </c>
      <c r="W785" s="804" t="str">
        <f t="shared" si="23"/>
        <v/>
      </c>
      <c r="X785" t="str">
        <f t="shared" si="24"/>
        <v/>
      </c>
      <c r="Y785" s="341">
        <f>IF('General price list'!$AB787="",0,'General price list'!$AB787)</f>
        <v>0</v>
      </c>
      <c r="Z785" s="365" t="str">
        <f>IFERROR(X785*VLOOKUP(C785,'General price list'!C:I,7,FALSE),"")</f>
        <v/>
      </c>
      <c r="AA785" s="805" t="str">
        <f>IF(X785&lt;&gt;"",VLOOKUP(C785,'General price list'!C787:AN1760,MATCH("HM",Tabulka1[[#Headers],[KOD]:[NEQ]],0),FALSE),"")</f>
        <v/>
      </c>
    </row>
    <row r="786" spans="1:27">
      <c r="A786">
        <f>COUNTIF($W$22:W786,1)</f>
        <v>0</v>
      </c>
      <c r="B786">
        <v>786</v>
      </c>
      <c r="C786" s="340" t="str">
        <f>Tabulka1[[#This Row],[KOD]]</f>
        <v>C510MXU/C14</v>
      </c>
      <c r="W786" s="804" t="str">
        <f t="shared" si="23"/>
        <v/>
      </c>
      <c r="X786" t="str">
        <f t="shared" si="24"/>
        <v/>
      </c>
      <c r="Y786" s="341">
        <f>IF('General price list'!$AB788="",0,'General price list'!$AB788)</f>
        <v>0</v>
      </c>
      <c r="Z786" s="365" t="str">
        <f>IFERROR(X786*VLOOKUP(C786,'General price list'!C:I,7,FALSE),"")</f>
        <v/>
      </c>
      <c r="AA786" s="805" t="str">
        <f>IF(X786&lt;&gt;"",VLOOKUP(C786,'General price list'!C788:AN1761,MATCH("HM",Tabulka1[[#Headers],[KOD]:[NEQ]],0),FALSE),"")</f>
        <v/>
      </c>
    </row>
    <row r="787" spans="1:27">
      <c r="A787">
        <f>COUNTIF($W$22:W787,1)</f>
        <v>0</v>
      </c>
      <c r="B787">
        <v>787</v>
      </c>
      <c r="C787" s="340">
        <f>Tabulka1[[#This Row],[KOD]]</f>
        <v>0</v>
      </c>
      <c r="W787" s="804" t="str">
        <f t="shared" si="23"/>
        <v/>
      </c>
      <c r="X787" t="str">
        <f t="shared" si="24"/>
        <v/>
      </c>
      <c r="Y787" s="341">
        <f>IF('General price list'!$AB789="",0,'General price list'!$AB789)</f>
        <v>0</v>
      </c>
      <c r="Z787" s="365" t="str">
        <f>IFERROR(X787*VLOOKUP(C787,'General price list'!C:I,7,FALSE),"")</f>
        <v/>
      </c>
      <c r="AA787" s="805" t="str">
        <f>IF(X787&lt;&gt;"",VLOOKUP(C787,'General price list'!C789:AN1762,MATCH("HM",Tabulka1[[#Headers],[KOD]:[NEQ]],0),FALSE),"")</f>
        <v/>
      </c>
    </row>
    <row r="788" spans="1:27">
      <c r="A788">
        <f>COUNTIF($W$22:W788,1)</f>
        <v>0</v>
      </c>
      <c r="B788">
        <v>788</v>
      </c>
      <c r="C788" s="340" t="str">
        <f>Tabulka1[[#This Row],[KOD]]</f>
        <v>C132XMPT/C</v>
      </c>
      <c r="W788" s="804" t="str">
        <f t="shared" si="23"/>
        <v/>
      </c>
      <c r="X788" t="str">
        <f t="shared" si="24"/>
        <v/>
      </c>
      <c r="Y788" s="341">
        <f>IF('General price list'!$AB790="",0,'General price list'!$AB790)</f>
        <v>0</v>
      </c>
      <c r="Z788" s="365" t="str">
        <f>IFERROR(X788*VLOOKUP(C788,'General price list'!C:I,7,FALSE),"")</f>
        <v/>
      </c>
      <c r="AA788" s="805" t="str">
        <f>IF(X788&lt;&gt;"",VLOOKUP(C788,'General price list'!C790:AN1763,MATCH("HM",Tabulka1[[#Headers],[KOD]:[NEQ]],0),FALSE),"")</f>
        <v/>
      </c>
    </row>
    <row r="789" spans="1:27">
      <c r="A789">
        <f>COUNTIF($W$22:W789,1)</f>
        <v>0</v>
      </c>
      <c r="B789">
        <v>789</v>
      </c>
      <c r="C789" s="340" t="str">
        <f>Tabulka1[[#This Row],[KOD]]</f>
        <v>C150MPT/C</v>
      </c>
      <c r="W789" s="804" t="str">
        <f t="shared" si="23"/>
        <v/>
      </c>
      <c r="X789" t="str">
        <f t="shared" si="24"/>
        <v/>
      </c>
      <c r="Y789" s="341">
        <f>IF('General price list'!$AB791="",0,'General price list'!$AB791)</f>
        <v>0</v>
      </c>
      <c r="Z789" s="365" t="str">
        <f>IFERROR(X789*VLOOKUP(C789,'General price list'!C:I,7,FALSE),"")</f>
        <v/>
      </c>
      <c r="AA789" s="805" t="str">
        <f>IF(X789&lt;&gt;"",VLOOKUP(C789,'General price list'!C791:AN1764,MATCH("HM",Tabulka1[[#Headers],[KOD]:[NEQ]],0),FALSE),"")</f>
        <v/>
      </c>
    </row>
    <row r="790" spans="1:27">
      <c r="A790">
        <f>COUNTIF($W$22:W790,1)</f>
        <v>0</v>
      </c>
      <c r="B790">
        <v>790</v>
      </c>
      <c r="C790" s="340" t="str">
        <f>Tabulka1[[#This Row],[KOD]]</f>
        <v>C150MF/C</v>
      </c>
      <c r="W790" s="804" t="str">
        <f t="shared" si="23"/>
        <v/>
      </c>
      <c r="X790" t="str">
        <f t="shared" si="24"/>
        <v/>
      </c>
      <c r="Y790" s="341">
        <f>IF('General price list'!$AB792="",0,'General price list'!$AB792)</f>
        <v>0</v>
      </c>
      <c r="Z790" s="365" t="str">
        <f>IFERROR(X790*VLOOKUP(C790,'General price list'!C:I,7,FALSE),"")</f>
        <v/>
      </c>
      <c r="AA790" s="805" t="str">
        <f>IF(X790&lt;&gt;"",VLOOKUP(C790,'General price list'!C792:AN1765,MATCH("HM",Tabulka1[[#Headers],[KOD]:[NEQ]],0),FALSE),"")</f>
        <v/>
      </c>
    </row>
    <row r="791" spans="1:27">
      <c r="A791">
        <f>COUNTIF($W$22:W791,1)</f>
        <v>0</v>
      </c>
      <c r="B791">
        <v>791</v>
      </c>
      <c r="C791" s="340" t="str">
        <f>Tabulka1[[#This Row],[KOD]]</f>
        <v>C200MF/C</v>
      </c>
      <c r="W791" s="804" t="str">
        <f t="shared" si="23"/>
        <v/>
      </c>
      <c r="X791" t="str">
        <f t="shared" si="24"/>
        <v/>
      </c>
      <c r="Y791" s="341">
        <f>IF('General price list'!$AB793="",0,'General price list'!$AB793)</f>
        <v>0</v>
      </c>
      <c r="Z791" s="365" t="str">
        <f>IFERROR(X791*VLOOKUP(C791,'General price list'!C:I,7,FALSE),"")</f>
        <v/>
      </c>
      <c r="AA791" s="805" t="str">
        <f>IF(X791&lt;&gt;"",VLOOKUP(C791,'General price list'!C793:AN1766,MATCH("HM",Tabulka1[[#Headers],[KOD]:[NEQ]],0),FALSE),"")</f>
        <v/>
      </c>
    </row>
    <row r="792" spans="1:27">
      <c r="A792">
        <f>COUNTIF($W$22:W792,1)</f>
        <v>0</v>
      </c>
      <c r="B792">
        <v>792</v>
      </c>
      <c r="C792" s="340" t="str">
        <f>Tabulka1[[#This Row],[KOD]]</f>
        <v>C204XMPT/C</v>
      </c>
      <c r="W792" s="804" t="str">
        <f t="shared" ref="W792:W855" si="25">IF(Y792+1=1,"",1)</f>
        <v/>
      </c>
      <c r="X792" t="str">
        <f t="shared" ref="X792:X855" si="26">IF(OR(A792&lt;$F$20,A792&gt;$F$21),"",IF(Y792=0,"",Y792))</f>
        <v/>
      </c>
      <c r="Y792" s="341">
        <f>IF('General price list'!$AB794="",0,'General price list'!$AB794)</f>
        <v>0</v>
      </c>
      <c r="Z792" s="365" t="str">
        <f>IFERROR(X792*VLOOKUP(C792,'General price list'!C:I,7,FALSE),"")</f>
        <v/>
      </c>
      <c r="AA792" s="805" t="str">
        <f>IF(X792&lt;&gt;"",VLOOKUP(C792,'General price list'!C794:AN1767,MATCH("HM",Tabulka1[[#Headers],[KOD]:[NEQ]],0),FALSE),"")</f>
        <v/>
      </c>
    </row>
    <row r="793" spans="1:27">
      <c r="A793">
        <f>COUNTIF($W$22:W793,1)</f>
        <v>0</v>
      </c>
      <c r="B793">
        <v>793</v>
      </c>
      <c r="C793" s="340" t="str">
        <f>Tabulka1[[#This Row],[KOD]]</f>
        <v>C216XMFS/C</v>
      </c>
      <c r="W793" s="804" t="str">
        <f t="shared" si="25"/>
        <v/>
      </c>
      <c r="X793" t="str">
        <f t="shared" si="26"/>
        <v/>
      </c>
      <c r="Y793" s="341">
        <f>IF('General price list'!$AB795="",0,'General price list'!$AB795)</f>
        <v>0</v>
      </c>
      <c r="Z793" s="365" t="str">
        <f>IFERROR(X793*VLOOKUP(C793,'General price list'!C:I,7,FALSE),"")</f>
        <v/>
      </c>
      <c r="AA793" s="805" t="str">
        <f>IF(X793&lt;&gt;"",VLOOKUP(C793,'General price list'!C795:AN1768,MATCH("HM",Tabulka1[[#Headers],[KOD]:[NEQ]],0),FALSE),"")</f>
        <v/>
      </c>
    </row>
    <row r="794" spans="1:27">
      <c r="A794">
        <f>COUNTIF($W$22:W794,1)</f>
        <v>0</v>
      </c>
      <c r="B794">
        <v>794</v>
      </c>
      <c r="C794" s="340" t="str">
        <f>Tabulka1[[#This Row],[KOD]]</f>
        <v>C223XMK/C</v>
      </c>
      <c r="W794" s="804" t="str">
        <f t="shared" si="25"/>
        <v/>
      </c>
      <c r="X794" t="str">
        <f t="shared" si="26"/>
        <v/>
      </c>
      <c r="Y794" s="341">
        <f>IF('General price list'!$AB796="",0,'General price list'!$AB796)</f>
        <v>0</v>
      </c>
      <c r="Z794" s="365" t="str">
        <f>IFERROR(X794*VLOOKUP(C794,'General price list'!C:I,7,FALSE),"")</f>
        <v/>
      </c>
      <c r="AA794" s="805" t="str">
        <f>IF(X794&lt;&gt;"",VLOOKUP(C794,'General price list'!C796:AN1769,MATCH("HM",Tabulka1[[#Headers],[KOD]:[NEQ]],0),FALSE),"")</f>
        <v/>
      </c>
    </row>
    <row r="795" spans="1:27">
      <c r="A795">
        <f>COUNTIF($W$22:W795,1)</f>
        <v>0</v>
      </c>
      <c r="B795">
        <v>795</v>
      </c>
      <c r="C795" s="340" t="str">
        <f>Tabulka1[[#This Row],[KOD]]</f>
        <v>C248MXY/C</v>
      </c>
      <c r="W795" s="804" t="str">
        <f t="shared" si="25"/>
        <v/>
      </c>
      <c r="X795" t="str">
        <f t="shared" si="26"/>
        <v/>
      </c>
      <c r="Y795" s="341">
        <f>IF('General price list'!$AB797="",0,'General price list'!$AB797)</f>
        <v>0</v>
      </c>
      <c r="Z795" s="365" t="str">
        <f>IFERROR(X795*VLOOKUP(C795,'General price list'!C:I,7,FALSE),"")</f>
        <v/>
      </c>
      <c r="AA795" s="805" t="str">
        <f>IF(X795&lt;&gt;"",VLOOKUP(C795,'General price list'!C797:AN1770,MATCH("HM",Tabulka1[[#Headers],[KOD]:[NEQ]],0),FALSE),"")</f>
        <v/>
      </c>
    </row>
    <row r="796" spans="1:27">
      <c r="A796">
        <f>COUNTIF($W$22:W796,1)</f>
        <v>0</v>
      </c>
      <c r="B796">
        <v>796</v>
      </c>
      <c r="C796" s="340" t="str">
        <f>Tabulka1[[#This Row],[KOD]]</f>
        <v>C252MXB/C</v>
      </c>
      <c r="W796" s="804" t="str">
        <f t="shared" si="25"/>
        <v/>
      </c>
      <c r="X796" t="str">
        <f t="shared" si="26"/>
        <v/>
      </c>
      <c r="Y796" s="341">
        <f>IF('General price list'!$AB798="",0,'General price list'!$AB798)</f>
        <v>0</v>
      </c>
      <c r="Z796" s="365" t="str">
        <f>IFERROR(X796*VLOOKUP(C796,'General price list'!C:I,7,FALSE),"")</f>
        <v/>
      </c>
      <c r="AA796" s="805" t="str">
        <f>IF(X796&lt;&gt;"",VLOOKUP(C796,'General price list'!C798:AN1771,MATCH("HM",Tabulka1[[#Headers],[KOD]:[NEQ]],0),FALSE),"")</f>
        <v/>
      </c>
    </row>
    <row r="797" spans="1:27">
      <c r="A797">
        <f>COUNTIF($W$22:W797,1)</f>
        <v>0</v>
      </c>
      <c r="B797">
        <v>797</v>
      </c>
      <c r="C797" s="340" t="str">
        <f>Tabulka1[[#This Row],[KOD]]</f>
        <v>C316MXF/C</v>
      </c>
      <c r="W797" s="804" t="str">
        <f t="shared" si="25"/>
        <v/>
      </c>
      <c r="X797" t="str">
        <f t="shared" si="26"/>
        <v/>
      </c>
      <c r="Y797" s="341">
        <f>IF('General price list'!$AB799="",0,'General price list'!$AB799)</f>
        <v>0</v>
      </c>
      <c r="Z797" s="365" t="str">
        <f>IFERROR(X797*VLOOKUP(C797,'General price list'!C:I,7,FALSE),"")</f>
        <v/>
      </c>
      <c r="AA797" s="805" t="str">
        <f>IF(X797&lt;&gt;"",VLOOKUP(C797,'General price list'!C799:AN1772,MATCH("HM",Tabulka1[[#Headers],[KOD]:[NEQ]],0),FALSE),"")</f>
        <v/>
      </c>
    </row>
    <row r="798" spans="1:27">
      <c r="A798">
        <f>COUNTIF($W$22:W798,1)</f>
        <v>0</v>
      </c>
      <c r="B798">
        <v>798</v>
      </c>
      <c r="C798" s="340" t="str">
        <f>Tabulka1[[#This Row],[KOD]]</f>
        <v>C342MXG/C</v>
      </c>
      <c r="W798" s="804" t="str">
        <f t="shared" si="25"/>
        <v/>
      </c>
      <c r="X798" t="str">
        <f t="shared" si="26"/>
        <v/>
      </c>
      <c r="Y798" s="341">
        <f>IF('General price list'!$AB800="",0,'General price list'!$AB800)</f>
        <v>0</v>
      </c>
      <c r="Z798" s="365" t="str">
        <f>IFERROR(X798*VLOOKUP(C798,'General price list'!C:I,7,FALSE),"")</f>
        <v/>
      </c>
      <c r="AA798" s="805" t="str">
        <f>IF(X798&lt;&gt;"",VLOOKUP(C798,'General price list'!C800:AN1773,MATCH("HM",Tabulka1[[#Headers],[KOD]:[NEQ]],0),FALSE),"")</f>
        <v/>
      </c>
    </row>
    <row r="799" spans="1:27">
      <c r="A799">
        <f>COUNTIF($W$22:W799,1)</f>
        <v>0</v>
      </c>
      <c r="B799">
        <v>799</v>
      </c>
      <c r="C799" s="340" t="str">
        <f>Tabulka1[[#This Row],[KOD]]</f>
        <v>C500MXB/C</v>
      </c>
      <c r="W799" s="804" t="str">
        <f t="shared" si="25"/>
        <v/>
      </c>
      <c r="X799" t="str">
        <f t="shared" si="26"/>
        <v/>
      </c>
      <c r="Y799" s="341">
        <f>IF('General price list'!$AB801="",0,'General price list'!$AB801)</f>
        <v>0</v>
      </c>
      <c r="Z799" s="365" t="str">
        <f>IFERROR(X799*VLOOKUP(C799,'General price list'!C:I,7,FALSE),"")</f>
        <v/>
      </c>
      <c r="AA799" s="805" t="str">
        <f>IF(X799&lt;&gt;"",VLOOKUP(C799,'General price list'!C801:AN1774,MATCH("HM",Tabulka1[[#Headers],[KOD]:[NEQ]],0),FALSE),"")</f>
        <v/>
      </c>
    </row>
    <row r="800" spans="1:27">
      <c r="A800">
        <f>COUNTIF($W$22:W800,1)</f>
        <v>0</v>
      </c>
      <c r="B800">
        <v>800</v>
      </c>
      <c r="C800" s="340">
        <f>Tabulka1[[#This Row],[KOD]]</f>
        <v>0</v>
      </c>
      <c r="W800" s="804" t="str">
        <f t="shared" si="25"/>
        <v/>
      </c>
      <c r="X800" t="str">
        <f t="shared" si="26"/>
        <v/>
      </c>
      <c r="Y800" s="341">
        <f>IF('General price list'!$AB802="",0,'General price list'!$AB802)</f>
        <v>0</v>
      </c>
      <c r="Z800" s="365" t="str">
        <f>IFERROR(X800*VLOOKUP(C800,'General price list'!C:I,7,FALSE),"")</f>
        <v/>
      </c>
      <c r="AA800" s="805" t="str">
        <f>IF(X800&lt;&gt;"",VLOOKUP(C800,'General price list'!C802:AN1775,MATCH("HM",Tabulka1[[#Headers],[KOD]:[NEQ]],0),FALSE),"")</f>
        <v/>
      </c>
    </row>
    <row r="801" spans="1:27">
      <c r="A801">
        <f>COUNTIF($W$22:W801,1)</f>
        <v>0</v>
      </c>
      <c r="B801">
        <v>801</v>
      </c>
      <c r="C801" s="340" t="str">
        <f>Tabulka1[[#This Row],[KOD]]</f>
        <v>C1-C2 C425MXM/C14</v>
      </c>
      <c r="W801" s="804" t="str">
        <f t="shared" si="25"/>
        <v/>
      </c>
      <c r="X801" t="str">
        <f t="shared" si="26"/>
        <v/>
      </c>
      <c r="Y801" s="341">
        <f>IF('General price list'!$AB803="",0,'General price list'!$AB803)</f>
        <v>0</v>
      </c>
      <c r="Z801" s="365" t="str">
        <f>IFERROR(X801*VLOOKUP(C801,'General price list'!C:I,7,FALSE),"")</f>
        <v/>
      </c>
      <c r="AA801" s="805" t="str">
        <f>IF(X801&lt;&gt;"",VLOOKUP(C801,'General price list'!C803:AN1776,MATCH("HM",Tabulka1[[#Headers],[KOD]:[NEQ]],0),FALSE),"")</f>
        <v/>
      </c>
    </row>
    <row r="802" spans="1:27">
      <c r="A802">
        <f>COUNTIF($W$22:W802,1)</f>
        <v>0</v>
      </c>
      <c r="B802">
        <v>802</v>
      </c>
      <c r="C802" s="340" t="str">
        <f>Tabulka1[[#This Row],[KOD]]</f>
        <v>C3-C4 C234MXD/C14</v>
      </c>
      <c r="W802" s="804" t="str">
        <f t="shared" si="25"/>
        <v/>
      </c>
      <c r="X802" t="str">
        <f t="shared" si="26"/>
        <v/>
      </c>
      <c r="Y802" s="341">
        <f>IF('General price list'!$AB804="",0,'General price list'!$AB804)</f>
        <v>0</v>
      </c>
      <c r="Z802" s="365" t="str">
        <f>IFERROR(X802*VLOOKUP(C802,'General price list'!C:I,7,FALSE),"")</f>
        <v/>
      </c>
      <c r="AA802" s="805" t="str">
        <f>IF(X802&lt;&gt;"",VLOOKUP(C802,'General price list'!C804:AN1777,MATCH("HM",Tabulka1[[#Headers],[KOD]:[NEQ]],0),FALSE),"")</f>
        <v/>
      </c>
    </row>
    <row r="803" spans="1:27">
      <c r="A803">
        <f>COUNTIF($W$22:W803,1)</f>
        <v>0</v>
      </c>
      <c r="B803">
        <v>803</v>
      </c>
      <c r="C803" s="340" t="str">
        <f>Tabulka1[[#This Row],[KOD]]</f>
        <v>C5-C6 C303MXN/C14</v>
      </c>
      <c r="W803" s="804" t="str">
        <f t="shared" si="25"/>
        <v/>
      </c>
      <c r="X803" t="str">
        <f t="shared" si="26"/>
        <v/>
      </c>
      <c r="Y803" s="341">
        <f>IF('General price list'!$AB805="",0,'General price list'!$AB805)</f>
        <v>0</v>
      </c>
      <c r="Z803" s="365" t="str">
        <f>IFERROR(X803*VLOOKUP(C803,'General price list'!C:I,7,FALSE),"")</f>
        <v/>
      </c>
      <c r="AA803" s="805" t="str">
        <f>IF(X803&lt;&gt;"",VLOOKUP(C803,'General price list'!C805:AN1778,MATCH("HM",Tabulka1[[#Headers],[KOD]:[NEQ]],0),FALSE),"")</f>
        <v/>
      </c>
    </row>
    <row r="804" spans="1:27">
      <c r="A804">
        <f>COUNTIF($W$22:W804,1)</f>
        <v>0</v>
      </c>
      <c r="B804">
        <v>804</v>
      </c>
      <c r="C804" s="340" t="str">
        <f>Tabulka1[[#This Row],[KOD]]</f>
        <v>C1-C2 C632MXN/C14</v>
      </c>
      <c r="W804" s="804" t="str">
        <f t="shared" si="25"/>
        <v/>
      </c>
      <c r="X804" t="str">
        <f t="shared" si="26"/>
        <v/>
      </c>
      <c r="Y804" s="341">
        <f>IF('General price list'!$AB806="",0,'General price list'!$AB806)</f>
        <v>0</v>
      </c>
      <c r="Z804" s="365" t="str">
        <f>IFERROR(X804*VLOOKUP(C804,'General price list'!C:I,7,FALSE),"")</f>
        <v/>
      </c>
      <c r="AA804" s="805" t="str">
        <f>IF(X804&lt;&gt;"",VLOOKUP(C804,'General price list'!C806:AN1779,MATCH("HM",Tabulka1[[#Headers],[KOD]:[NEQ]],0),FALSE),"")</f>
        <v/>
      </c>
    </row>
    <row r="805" spans="1:27">
      <c r="A805">
        <f>COUNTIF($W$22:W805,1)</f>
        <v>0</v>
      </c>
      <c r="B805">
        <v>805</v>
      </c>
      <c r="C805" s="340">
        <f>Tabulka1[[#This Row],[KOD]]</f>
        <v>0</v>
      </c>
      <c r="W805" s="804" t="str">
        <f t="shared" si="25"/>
        <v/>
      </c>
      <c r="X805" t="str">
        <f t="shared" si="26"/>
        <v/>
      </c>
      <c r="Y805" s="341">
        <f>IF('General price list'!$AB807="",0,'General price list'!$AB807)</f>
        <v>0</v>
      </c>
      <c r="Z805" s="365" t="str">
        <f>IFERROR(X805*VLOOKUP(C805,'General price list'!C:I,7,FALSE),"")</f>
        <v/>
      </c>
      <c r="AA805" s="805" t="str">
        <f>IF(X805&lt;&gt;"",VLOOKUP(C805,'General price list'!C807:AN1780,MATCH("HM",Tabulka1[[#Headers],[KOD]:[NEQ]],0),FALSE),"")</f>
        <v/>
      </c>
    </row>
    <row r="806" spans="1:27">
      <c r="A806">
        <f>COUNTIF($W$22:W806,1)</f>
        <v>0</v>
      </c>
      <c r="B806">
        <v>806</v>
      </c>
      <c r="C806" s="340" t="str">
        <f>Tabulka1[[#This Row],[KOD]]</f>
        <v>C212MF/C</v>
      </c>
      <c r="W806" s="804" t="str">
        <f t="shared" si="25"/>
        <v/>
      </c>
      <c r="X806" t="str">
        <f t="shared" si="26"/>
        <v/>
      </c>
      <c r="Y806" s="341">
        <f>IF('General price list'!$AB808="",0,'General price list'!$AB808)</f>
        <v>0</v>
      </c>
      <c r="Z806" s="365" t="str">
        <f>IFERROR(X806*VLOOKUP(C806,'General price list'!C:I,7,FALSE),"")</f>
        <v/>
      </c>
      <c r="AA806" s="805" t="str">
        <f>IF(X806&lt;&gt;"",VLOOKUP(C806,'General price list'!C808:AN1781,MATCH("HM",Tabulka1[[#Headers],[KOD]:[NEQ]],0),FALSE),"")</f>
        <v/>
      </c>
    </row>
    <row r="807" spans="1:27">
      <c r="A807">
        <f>COUNTIF($W$22:W807,1)</f>
        <v>0</v>
      </c>
      <c r="B807">
        <v>807</v>
      </c>
      <c r="C807" s="340" t="str">
        <f>Tabulka1[[#This Row],[KOD]]</f>
        <v>C219XMPT/C</v>
      </c>
      <c r="W807" s="804" t="str">
        <f t="shared" si="25"/>
        <v/>
      </c>
      <c r="X807" t="str">
        <f t="shared" si="26"/>
        <v/>
      </c>
      <c r="Y807" s="341">
        <f>IF('General price list'!$AB809="",0,'General price list'!$AB809)</f>
        <v>0</v>
      </c>
      <c r="Z807" s="365" t="str">
        <f>IFERROR(X807*VLOOKUP(C807,'General price list'!C:I,7,FALSE),"")</f>
        <v/>
      </c>
      <c r="AA807" s="805" t="str">
        <f>IF(X807&lt;&gt;"",VLOOKUP(C807,'General price list'!C809:AN1782,MATCH("HM",Tabulka1[[#Headers],[KOD]:[NEQ]],0),FALSE),"")</f>
        <v/>
      </c>
    </row>
    <row r="808" spans="1:27">
      <c r="A808">
        <f>COUNTIF($W$22:W808,1)</f>
        <v>0</v>
      </c>
      <c r="B808">
        <v>808</v>
      </c>
      <c r="C808" s="340" t="str">
        <f>Tabulka1[[#This Row],[KOD]]</f>
        <v>C253XMPT/C</v>
      </c>
      <c r="W808" s="804" t="str">
        <f t="shared" si="25"/>
        <v/>
      </c>
      <c r="X808" t="str">
        <f t="shared" si="26"/>
        <v/>
      </c>
      <c r="Y808" s="341">
        <f>IF('General price list'!$AB810="",0,'General price list'!$AB810)</f>
        <v>0</v>
      </c>
      <c r="Z808" s="365" t="str">
        <f>IFERROR(X808*VLOOKUP(C808,'General price list'!C:I,7,FALSE),"")</f>
        <v/>
      </c>
      <c r="AA808" s="805" t="str">
        <f>IF(X808&lt;&gt;"",VLOOKUP(C808,'General price list'!C810:AN1783,MATCH("HM",Tabulka1[[#Headers],[KOD]:[NEQ]],0),FALSE),"")</f>
        <v/>
      </c>
    </row>
    <row r="809" spans="1:27">
      <c r="A809">
        <f>COUNTIF($W$22:W809,1)</f>
        <v>0</v>
      </c>
      <c r="B809">
        <v>809</v>
      </c>
      <c r="C809" s="340" t="str">
        <f>Tabulka1[[#This Row],[KOD]]</f>
        <v>C379XMK/C</v>
      </c>
      <c r="W809" s="804" t="str">
        <f t="shared" si="25"/>
        <v/>
      </c>
      <c r="X809" t="str">
        <f t="shared" si="26"/>
        <v/>
      </c>
      <c r="Y809" s="341">
        <f>IF('General price list'!$AB811="",0,'General price list'!$AB811)</f>
        <v>0</v>
      </c>
      <c r="Z809" s="365" t="str">
        <f>IFERROR(X809*VLOOKUP(C809,'General price list'!C:I,7,FALSE),"")</f>
        <v/>
      </c>
      <c r="AA809" s="805" t="str">
        <f>IF(X809&lt;&gt;"",VLOOKUP(C809,'General price list'!C811:AN1784,MATCH("HM",Tabulka1[[#Headers],[KOD]:[NEQ]],0),FALSE),"")</f>
        <v/>
      </c>
    </row>
    <row r="810" spans="1:27">
      <c r="A810">
        <f>COUNTIF($W$22:W810,1)</f>
        <v>0</v>
      </c>
      <c r="B810">
        <v>810</v>
      </c>
      <c r="C810" s="340">
        <f>Tabulka1[[#This Row],[KOD]]</f>
        <v>0</v>
      </c>
      <c r="W810" s="804" t="str">
        <f t="shared" si="25"/>
        <v/>
      </c>
      <c r="X810" t="str">
        <f t="shared" si="26"/>
        <v/>
      </c>
      <c r="Y810" s="341">
        <f>IF('General price list'!$AB812="",0,'General price list'!$AB812)</f>
        <v>0</v>
      </c>
      <c r="Z810" s="365" t="str">
        <f>IFERROR(X810*VLOOKUP(C810,'General price list'!C:I,7,FALSE),"")</f>
        <v/>
      </c>
      <c r="AA810" s="805" t="str">
        <f>IF(X810&lt;&gt;"",VLOOKUP(C810,'General price list'!C812:AN1785,MATCH("HM",Tabulka1[[#Headers],[KOD]:[NEQ]],0),FALSE),"")</f>
        <v/>
      </c>
    </row>
    <row r="811" spans="1:27">
      <c r="A811">
        <f>COUNTIF($W$22:W811,1)</f>
        <v>0</v>
      </c>
      <c r="B811">
        <v>811</v>
      </c>
      <c r="C811" s="340">
        <f>Tabulka1[[#This Row],[KOD]]</f>
        <v>0</v>
      </c>
      <c r="W811" s="804" t="str">
        <f t="shared" si="25"/>
        <v/>
      </c>
      <c r="X811" t="str">
        <f t="shared" si="26"/>
        <v/>
      </c>
      <c r="Y811" s="341">
        <f>IF('General price list'!$AB813="",0,'General price list'!$AB813)</f>
        <v>0</v>
      </c>
      <c r="Z811" s="365" t="str">
        <f>IFERROR(X811*VLOOKUP(C811,'General price list'!C:I,7,FALSE),"")</f>
        <v/>
      </c>
      <c r="AA811" s="805" t="str">
        <f>IF(X811&lt;&gt;"",VLOOKUP(C811,'General price list'!C813:AN1786,MATCH("HM",Tabulka1[[#Headers],[KOD]:[NEQ]],0),FALSE),"")</f>
        <v/>
      </c>
    </row>
    <row r="812" spans="1:27">
      <c r="A812">
        <f>COUNTIF($W$22:W812,1)</f>
        <v>0</v>
      </c>
      <c r="B812">
        <v>812</v>
      </c>
      <c r="C812" s="340" t="str">
        <f>Tabulka1[[#This Row],[KOD]]</f>
        <v>C23MO</v>
      </c>
      <c r="W812" s="804" t="str">
        <f t="shared" si="25"/>
        <v/>
      </c>
      <c r="X812" t="str">
        <f t="shared" si="26"/>
        <v/>
      </c>
      <c r="Y812" s="341">
        <f>IF('General price list'!$AB814="",0,'General price list'!$AB814)</f>
        <v>0</v>
      </c>
      <c r="Z812" s="365" t="str">
        <f>IFERROR(X812*VLOOKUP(C812,'General price list'!C:I,7,FALSE),"")</f>
        <v/>
      </c>
      <c r="AA812" s="805" t="str">
        <f>IF(X812&lt;&gt;"",VLOOKUP(C812,'General price list'!C814:AN1787,MATCH("HM",Tabulka1[[#Headers],[KOD]:[NEQ]],0),FALSE),"")</f>
        <v/>
      </c>
    </row>
    <row r="813" spans="1:27">
      <c r="A813">
        <f>COUNTIF($W$22:W813,1)</f>
        <v>0</v>
      </c>
      <c r="B813">
        <v>813</v>
      </c>
      <c r="C813" s="340">
        <f>Tabulka1[[#This Row],[KOD]]</f>
        <v>0</v>
      </c>
      <c r="W813" s="804" t="str">
        <f t="shared" si="25"/>
        <v/>
      </c>
      <c r="X813" t="str">
        <f t="shared" si="26"/>
        <v/>
      </c>
      <c r="Y813" s="341">
        <f>IF('General price list'!$AB815="",0,'General price list'!$AB815)</f>
        <v>0</v>
      </c>
      <c r="Z813" s="365" t="str">
        <f>IFERROR(X813*VLOOKUP(C813,'General price list'!C:I,7,FALSE),"")</f>
        <v/>
      </c>
      <c r="AA813" s="805" t="str">
        <f>IF(X813&lt;&gt;"",VLOOKUP(C813,'General price list'!C815:AN1788,MATCH("HM",Tabulka1[[#Headers],[KOD]:[NEQ]],0),FALSE),"")</f>
        <v/>
      </c>
    </row>
    <row r="814" spans="1:27">
      <c r="A814">
        <f>COUNTIF($W$22:W814,1)</f>
        <v>0</v>
      </c>
      <c r="B814">
        <v>814</v>
      </c>
      <c r="C814" s="340" t="str">
        <f>Tabulka1[[#This Row],[KOD]]</f>
        <v>C24MH</v>
      </c>
      <c r="W814" s="804" t="str">
        <f t="shared" si="25"/>
        <v/>
      </c>
      <c r="X814" t="str">
        <f t="shared" si="26"/>
        <v/>
      </c>
      <c r="Y814" s="341">
        <f>IF('General price list'!$AB816="",0,'General price list'!$AB816)</f>
        <v>0</v>
      </c>
      <c r="Z814" s="365" t="str">
        <f>IFERROR(X814*VLOOKUP(C814,'General price list'!C:I,7,FALSE),"")</f>
        <v/>
      </c>
      <c r="AA814" s="805" t="str">
        <f>IF(X814&lt;&gt;"",VLOOKUP(C814,'General price list'!C816:AN1789,MATCH("HM",Tabulka1[[#Headers],[KOD]:[NEQ]],0),FALSE),"")</f>
        <v/>
      </c>
    </row>
    <row r="815" spans="1:27">
      <c r="A815">
        <f>COUNTIF($W$22:W815,1)</f>
        <v>0</v>
      </c>
      <c r="B815">
        <v>815</v>
      </c>
      <c r="C815" s="340">
        <f>Tabulka1[[#This Row],[KOD]]</f>
        <v>0</v>
      </c>
      <c r="W815" s="804" t="str">
        <f t="shared" si="25"/>
        <v/>
      </c>
      <c r="X815" t="str">
        <f t="shared" si="26"/>
        <v/>
      </c>
      <c r="Y815" s="341">
        <f>IF('General price list'!$AB817="",0,'General price list'!$AB817)</f>
        <v>0</v>
      </c>
      <c r="Z815" s="365" t="str">
        <f>IFERROR(X815*VLOOKUP(C815,'General price list'!C:I,7,FALSE),"")</f>
        <v/>
      </c>
      <c r="AA815" s="805" t="str">
        <f>IF(X815&lt;&gt;"",VLOOKUP(C815,'General price list'!C817:AN1790,MATCH("HM",Tabulka1[[#Headers],[KOD]:[NEQ]],0),FALSE),"")</f>
        <v/>
      </c>
    </row>
    <row r="816" spans="1:27">
      <c r="A816">
        <f>COUNTIF($W$22:W816,1)</f>
        <v>0</v>
      </c>
      <c r="B816">
        <v>816</v>
      </c>
      <c r="C816" s="340" t="str">
        <f>Tabulka1[[#This Row],[KOD]]</f>
        <v>C36MH</v>
      </c>
      <c r="W816" s="804" t="str">
        <f t="shared" si="25"/>
        <v/>
      </c>
      <c r="X816" t="str">
        <f t="shared" si="26"/>
        <v/>
      </c>
      <c r="Y816" s="341">
        <f>IF('General price list'!$AB818="",0,'General price list'!$AB818)</f>
        <v>0</v>
      </c>
      <c r="Z816" s="365" t="str">
        <f>IFERROR(X816*VLOOKUP(C816,'General price list'!C:I,7,FALSE),"")</f>
        <v/>
      </c>
      <c r="AA816" s="805" t="str">
        <f>IF(X816&lt;&gt;"",VLOOKUP(C816,'General price list'!C818:AN1791,MATCH("HM",Tabulka1[[#Headers],[KOD]:[NEQ]],0),FALSE),"")</f>
        <v/>
      </c>
    </row>
    <row r="817" spans="1:27">
      <c r="A817">
        <f>COUNTIF($W$22:W817,1)</f>
        <v>0</v>
      </c>
      <c r="B817">
        <v>817</v>
      </c>
      <c r="C817" s="340">
        <f>Tabulka1[[#This Row],[KOD]]</f>
        <v>0</v>
      </c>
      <c r="W817" s="804" t="str">
        <f t="shared" si="25"/>
        <v/>
      </c>
      <c r="X817" t="str">
        <f t="shared" si="26"/>
        <v/>
      </c>
      <c r="Y817" s="341">
        <f>IF('General price list'!$AB819="",0,'General price list'!$AB819)</f>
        <v>0</v>
      </c>
      <c r="Z817" s="365" t="str">
        <f>IFERROR(X817*VLOOKUP(C817,'General price list'!C:I,7,FALSE),"")</f>
        <v/>
      </c>
      <c r="AA817" s="805" t="str">
        <f>IF(X817&lt;&gt;"",VLOOKUP(C817,'General price list'!C819:AN1792,MATCH("HM",Tabulka1[[#Headers],[KOD]:[NEQ]],0),FALSE),"")</f>
        <v/>
      </c>
    </row>
    <row r="818" spans="1:27">
      <c r="A818">
        <f>COUNTIF($W$22:W818,1)</f>
        <v>0</v>
      </c>
      <c r="B818">
        <v>818</v>
      </c>
      <c r="C818" s="340" t="str">
        <f>Tabulka1[[#This Row],[KOD]]</f>
        <v>C42MM</v>
      </c>
      <c r="W818" s="804" t="str">
        <f t="shared" si="25"/>
        <v/>
      </c>
      <c r="X818" t="str">
        <f t="shared" si="26"/>
        <v/>
      </c>
      <c r="Y818" s="341">
        <f>IF('General price list'!$AB820="",0,'General price list'!$AB820)</f>
        <v>0</v>
      </c>
      <c r="Z818" s="365" t="str">
        <f>IFERROR(X818*VLOOKUP(C818,'General price list'!C:I,7,FALSE),"")</f>
        <v/>
      </c>
      <c r="AA818" s="805" t="str">
        <f>IF(X818&lt;&gt;"",VLOOKUP(C818,'General price list'!C820:AN1793,MATCH("HM",Tabulka1[[#Headers],[KOD]:[NEQ]],0),FALSE),"")</f>
        <v/>
      </c>
    </row>
    <row r="819" spans="1:27">
      <c r="A819">
        <f>COUNTIF($W$22:W819,1)</f>
        <v>0</v>
      </c>
      <c r="B819">
        <v>819</v>
      </c>
      <c r="C819" s="340">
        <f>Tabulka1[[#This Row],[KOD]]</f>
        <v>0</v>
      </c>
      <c r="W819" s="804" t="str">
        <f t="shared" si="25"/>
        <v/>
      </c>
      <c r="X819" t="str">
        <f t="shared" si="26"/>
        <v/>
      </c>
      <c r="Y819" s="341">
        <f>IF('General price list'!$AB821="",0,'General price list'!$AB821)</f>
        <v>0</v>
      </c>
      <c r="Z819" s="365" t="str">
        <f>IFERROR(X819*VLOOKUP(C819,'General price list'!C:I,7,FALSE),"")</f>
        <v/>
      </c>
      <c r="AA819" s="805" t="str">
        <f>IF(X819&lt;&gt;"",VLOOKUP(C819,'General price list'!C821:AN1794,MATCH("HM",Tabulka1[[#Headers],[KOD]:[NEQ]],0),FALSE),"")</f>
        <v/>
      </c>
    </row>
    <row r="820" spans="1:27">
      <c r="A820">
        <f>COUNTIF($W$22:W820,1)</f>
        <v>0</v>
      </c>
      <c r="B820">
        <v>820</v>
      </c>
      <c r="C820" s="340" t="str">
        <f>Tabulka1[[#This Row],[KOD]]</f>
        <v>C47MB</v>
      </c>
      <c r="W820" s="804" t="str">
        <f t="shared" si="25"/>
        <v/>
      </c>
      <c r="X820" t="str">
        <f t="shared" si="26"/>
        <v/>
      </c>
      <c r="Y820" s="341">
        <f>IF('General price list'!$AB822="",0,'General price list'!$AB822)</f>
        <v>0</v>
      </c>
      <c r="Z820" s="365" t="str">
        <f>IFERROR(X820*VLOOKUP(C820,'General price list'!C:I,7,FALSE),"")</f>
        <v/>
      </c>
      <c r="AA820" s="805" t="str">
        <f>IF(X820&lt;&gt;"",VLOOKUP(C820,'General price list'!C822:AN1795,MATCH("HM",Tabulka1[[#Headers],[KOD]:[NEQ]],0),FALSE),"")</f>
        <v/>
      </c>
    </row>
    <row r="821" spans="1:27">
      <c r="A821">
        <f>COUNTIF($W$22:W821,1)</f>
        <v>0</v>
      </c>
      <c r="B821">
        <v>821</v>
      </c>
      <c r="C821" s="340" t="str">
        <f>Tabulka1[[#This Row],[KOD]]</f>
        <v>C47XMT</v>
      </c>
      <c r="W821" s="804" t="str">
        <f t="shared" si="25"/>
        <v/>
      </c>
      <c r="X821" t="str">
        <f t="shared" si="26"/>
        <v/>
      </c>
      <c r="Y821" s="341">
        <f>IF('General price list'!$AB823="",0,'General price list'!$AB823)</f>
        <v>0</v>
      </c>
      <c r="Z821" s="365" t="str">
        <f>IFERROR(X821*VLOOKUP(C821,'General price list'!C:I,7,FALSE),"")</f>
        <v/>
      </c>
      <c r="AA821" s="805" t="str">
        <f>IF(X821&lt;&gt;"",VLOOKUP(C821,'General price list'!C823:AN1796,MATCH("HM",Tabulka1[[#Headers],[KOD]:[NEQ]],0),FALSE),"")</f>
        <v/>
      </c>
    </row>
    <row r="822" spans="1:27">
      <c r="A822">
        <f>COUNTIF($W$22:W822,1)</f>
        <v>0</v>
      </c>
      <c r="B822">
        <v>822</v>
      </c>
      <c r="C822" s="340">
        <f>Tabulka1[[#This Row],[KOD]]</f>
        <v>0</v>
      </c>
      <c r="W822" s="804" t="str">
        <f t="shared" si="25"/>
        <v/>
      </c>
      <c r="X822" t="str">
        <f t="shared" si="26"/>
        <v/>
      </c>
      <c r="Y822" s="341">
        <f>IF('General price list'!$AB824="",0,'General price list'!$AB824)</f>
        <v>0</v>
      </c>
      <c r="Z822" s="365" t="str">
        <f>IFERROR(X822*VLOOKUP(C822,'General price list'!C:I,7,FALSE),"")</f>
        <v/>
      </c>
      <c r="AA822" s="805" t="str">
        <f>IF(X822&lt;&gt;"",VLOOKUP(C822,'General price list'!C824:AN1797,MATCH("HM",Tabulka1[[#Headers],[KOD]:[NEQ]],0),FALSE),"")</f>
        <v/>
      </c>
    </row>
    <row r="823" spans="1:27">
      <c r="A823">
        <f>COUNTIF($W$22:W823,1)</f>
        <v>0</v>
      </c>
      <c r="B823">
        <v>823</v>
      </c>
      <c r="C823" s="340" t="str">
        <f>Tabulka1[[#This Row],[KOD]]</f>
        <v>C63MM</v>
      </c>
      <c r="W823" s="804" t="str">
        <f t="shared" si="25"/>
        <v/>
      </c>
      <c r="X823" t="str">
        <f t="shared" si="26"/>
        <v/>
      </c>
      <c r="Y823" s="341">
        <f>IF('General price list'!$AB825="",0,'General price list'!$AB825)</f>
        <v>0</v>
      </c>
      <c r="Z823" s="365" t="str">
        <f>IFERROR(X823*VLOOKUP(C823,'General price list'!C:I,7,FALSE),"")</f>
        <v/>
      </c>
      <c r="AA823" s="805" t="str">
        <f>IF(X823&lt;&gt;"",VLOOKUP(C823,'General price list'!C825:AN1798,MATCH("HM",Tabulka1[[#Headers],[KOD]:[NEQ]],0),FALSE),"")</f>
        <v/>
      </c>
    </row>
    <row r="824" spans="1:27">
      <c r="A824">
        <f>COUNTIF($W$22:W824,1)</f>
        <v>0</v>
      </c>
      <c r="B824">
        <v>824</v>
      </c>
      <c r="C824" s="340">
        <f>Tabulka1[[#This Row],[KOD]]</f>
        <v>0</v>
      </c>
      <c r="W824" s="804" t="str">
        <f t="shared" si="25"/>
        <v/>
      </c>
      <c r="X824" t="str">
        <f t="shared" si="26"/>
        <v/>
      </c>
      <c r="Y824" s="341">
        <f>IF('General price list'!$AB826="",0,'General price list'!$AB826)</f>
        <v>0</v>
      </c>
      <c r="Z824" s="365" t="str">
        <f>IFERROR(X824*VLOOKUP(C824,'General price list'!C:I,7,FALSE),"")</f>
        <v/>
      </c>
      <c r="AA824" s="805" t="str">
        <f>IF(X824&lt;&gt;"",VLOOKUP(C824,'General price list'!C826:AN1799,MATCH("HM",Tabulka1[[#Headers],[KOD]:[NEQ]],0),FALSE),"")</f>
        <v/>
      </c>
    </row>
    <row r="825" spans="1:27">
      <c r="A825">
        <f>COUNTIF($W$22:W825,1)</f>
        <v>0</v>
      </c>
      <c r="B825">
        <v>825</v>
      </c>
      <c r="C825" s="340" t="str">
        <f>Tabulka1[[#This Row],[KOD]]</f>
        <v>C66SMMO</v>
      </c>
      <c r="W825" s="804" t="str">
        <f t="shared" si="25"/>
        <v/>
      </c>
      <c r="X825" t="str">
        <f t="shared" si="26"/>
        <v/>
      </c>
      <c r="Y825" s="341">
        <f>IF('General price list'!$AB827="",0,'General price list'!$AB827)</f>
        <v>0</v>
      </c>
      <c r="Z825" s="365" t="str">
        <f>IFERROR(X825*VLOOKUP(C825,'General price list'!C:I,7,FALSE),"")</f>
        <v/>
      </c>
      <c r="AA825" s="805" t="str">
        <f>IF(X825&lt;&gt;"",VLOOKUP(C825,'General price list'!C827:AN1800,MATCH("HM",Tabulka1[[#Headers],[KOD]:[NEQ]],0),FALSE),"")</f>
        <v/>
      </c>
    </row>
    <row r="826" spans="1:27">
      <c r="A826">
        <f>COUNTIF($W$22:W826,1)</f>
        <v>0</v>
      </c>
      <c r="B826">
        <v>826</v>
      </c>
      <c r="C826" s="340">
        <f>Tabulka1[[#This Row],[KOD]]</f>
        <v>0</v>
      </c>
      <c r="W826" s="804" t="str">
        <f t="shared" si="25"/>
        <v/>
      </c>
      <c r="X826" t="str">
        <f t="shared" si="26"/>
        <v/>
      </c>
      <c r="Y826" s="341">
        <f>IF('General price list'!$AB828="",0,'General price list'!$AB828)</f>
        <v>0</v>
      </c>
      <c r="Z826" s="365" t="str">
        <f>IFERROR(X826*VLOOKUP(C826,'General price list'!C:I,7,FALSE),"")</f>
        <v/>
      </c>
      <c r="AA826" s="805" t="str">
        <f>IF(X826&lt;&gt;"",VLOOKUP(C826,'General price list'!C828:AN1801,MATCH("HM",Tabulka1[[#Headers],[KOD]:[NEQ]],0),FALSE),"")</f>
        <v/>
      </c>
    </row>
    <row r="827" spans="1:27">
      <c r="A827">
        <f>COUNTIF($W$22:W827,1)</f>
        <v>0</v>
      </c>
      <c r="B827">
        <v>827</v>
      </c>
      <c r="C827" s="340" t="str">
        <f>Tabulka1[[#This Row],[KOD]]</f>
        <v>C84M12F/C</v>
      </c>
      <c r="W827" s="804" t="str">
        <f t="shared" si="25"/>
        <v/>
      </c>
      <c r="X827" t="str">
        <f t="shared" si="26"/>
        <v/>
      </c>
      <c r="Y827" s="341">
        <f>IF('General price list'!$AB829="",0,'General price list'!$AB829)</f>
        <v>0</v>
      </c>
      <c r="Z827" s="365" t="str">
        <f>IFERROR(X827*VLOOKUP(C827,'General price list'!C:I,7,FALSE),"")</f>
        <v/>
      </c>
      <c r="AA827" s="805" t="str">
        <f>IF(X827&lt;&gt;"",VLOOKUP(C827,'General price list'!C829:AN1802,MATCH("HM",Tabulka1[[#Headers],[KOD]:[NEQ]],0),FALSE),"")</f>
        <v/>
      </c>
    </row>
    <row r="828" spans="1:27">
      <c r="A828">
        <f>COUNTIF($W$22:W828,1)</f>
        <v>0</v>
      </c>
      <c r="B828">
        <v>828</v>
      </c>
      <c r="C828" s="340" t="str">
        <f>Tabulka1[[#This Row],[KOD]]</f>
        <v>C84MC/C</v>
      </c>
      <c r="W828" s="804" t="str">
        <f t="shared" si="25"/>
        <v/>
      </c>
      <c r="X828" t="str">
        <f t="shared" si="26"/>
        <v/>
      </c>
      <c r="Y828" s="341">
        <f>IF('General price list'!$AB830="",0,'General price list'!$AB830)</f>
        <v>0</v>
      </c>
      <c r="Z828" s="365" t="str">
        <f>IFERROR(X828*VLOOKUP(C828,'General price list'!C:I,7,FALSE),"")</f>
        <v/>
      </c>
      <c r="AA828" s="805" t="str">
        <f>IF(X828&lt;&gt;"",VLOOKUP(C828,'General price list'!C830:AN1803,MATCH("HM",Tabulka1[[#Headers],[KOD]:[NEQ]],0),FALSE),"")</f>
        <v/>
      </c>
    </row>
    <row r="829" spans="1:27">
      <c r="A829">
        <f>COUNTIF($W$22:W829,1)</f>
        <v>0</v>
      </c>
      <c r="B829">
        <v>829</v>
      </c>
      <c r="C829" s="340" t="str">
        <f>Tabulka1[[#This Row],[KOD]]</f>
        <v>C175MSIG/C</v>
      </c>
      <c r="W829" s="804" t="str">
        <f t="shared" si="25"/>
        <v/>
      </c>
      <c r="X829" t="str">
        <f t="shared" si="26"/>
        <v/>
      </c>
      <c r="Y829" s="341">
        <f>IF('General price list'!$AB831="",0,'General price list'!$AB831)</f>
        <v>0</v>
      </c>
      <c r="Z829" s="365" t="str">
        <f>IFERROR(X829*VLOOKUP(C829,'General price list'!C:I,7,FALSE),"")</f>
        <v/>
      </c>
      <c r="AA829" s="805" t="str">
        <f>IF(X829&lt;&gt;"",VLOOKUP(C829,'General price list'!C831:AN1804,MATCH("HM",Tabulka1[[#Headers],[KOD]:[NEQ]],0),FALSE),"")</f>
        <v/>
      </c>
    </row>
    <row r="830" spans="1:27">
      <c r="A830">
        <f>COUNTIF($W$22:W830,1)</f>
        <v>0</v>
      </c>
      <c r="B830">
        <v>830</v>
      </c>
      <c r="C830" s="340" t="str">
        <f>Tabulka1[[#This Row],[KOD]]</f>
        <v>C222MNPT/C</v>
      </c>
      <c r="W830" s="804" t="str">
        <f t="shared" si="25"/>
        <v/>
      </c>
      <c r="X830" t="str">
        <f t="shared" si="26"/>
        <v/>
      </c>
      <c r="Y830" s="341">
        <f>IF('General price list'!$AB832="",0,'General price list'!$AB832)</f>
        <v>0</v>
      </c>
      <c r="Z830" s="365" t="str">
        <f>IFERROR(X830*VLOOKUP(C830,'General price list'!C:I,7,FALSE),"")</f>
        <v/>
      </c>
      <c r="AA830" s="805" t="str">
        <f>IF(X830&lt;&gt;"",VLOOKUP(C830,'General price list'!C832:AN1805,MATCH("HM",Tabulka1[[#Headers],[KOD]:[NEQ]],0),FALSE),"")</f>
        <v/>
      </c>
    </row>
    <row r="831" spans="1:27">
      <c r="A831">
        <f>COUNTIF($W$22:W831,1)</f>
        <v>0</v>
      </c>
      <c r="B831">
        <v>831</v>
      </c>
      <c r="C831" s="340" t="str">
        <f>Tabulka1[[#This Row],[KOD]]</f>
        <v>C222MF/C</v>
      </c>
      <c r="W831" s="804" t="str">
        <f t="shared" si="25"/>
        <v/>
      </c>
      <c r="X831" t="str">
        <f t="shared" si="26"/>
        <v/>
      </c>
      <c r="Y831" s="341">
        <f>IF('General price list'!$AB833="",0,'General price list'!$AB833)</f>
        <v>0</v>
      </c>
      <c r="Z831" s="365" t="str">
        <f>IFERROR(X831*VLOOKUP(C831,'General price list'!C:I,7,FALSE),"")</f>
        <v/>
      </c>
      <c r="AA831" s="805" t="str">
        <f>IF(X831&lt;&gt;"",VLOOKUP(C831,'General price list'!C833:AN1806,MATCH("HM",Tabulka1[[#Headers],[KOD]:[NEQ]],0),FALSE),"")</f>
        <v/>
      </c>
    </row>
    <row r="832" spans="1:27">
      <c r="A832">
        <f>COUNTIF($W$22:W832,1)</f>
        <v>0</v>
      </c>
      <c r="B832">
        <v>832</v>
      </c>
      <c r="C832" s="340">
        <f>Tabulka1[[#This Row],[KOD]]</f>
        <v>0</v>
      </c>
      <c r="W832" s="804" t="str">
        <f t="shared" si="25"/>
        <v/>
      </c>
      <c r="X832" t="str">
        <f t="shared" si="26"/>
        <v/>
      </c>
      <c r="Y832" s="341">
        <f>IF('General price list'!$AB834="",0,'General price list'!$AB834)</f>
        <v>0</v>
      </c>
      <c r="Z832" s="365" t="str">
        <f>IFERROR(X832*VLOOKUP(C832,'General price list'!C:I,7,FALSE),"")</f>
        <v/>
      </c>
      <c r="AA832" s="805" t="str">
        <f>IF(X832&lt;&gt;"",VLOOKUP(C832,'General price list'!C834:AN1807,MATCH("HM",Tabulka1[[#Headers],[KOD]:[NEQ]],0),FALSE),"")</f>
        <v/>
      </c>
    </row>
    <row r="833" spans="1:27">
      <c r="A833">
        <f>COUNTIF($W$22:W833,1)</f>
        <v>0</v>
      </c>
      <c r="B833">
        <v>833</v>
      </c>
      <c r="C833" s="340" t="str">
        <f>Tabulka1[[#This Row],[KOD]]</f>
        <v>C96MB</v>
      </c>
      <c r="W833" s="804" t="str">
        <f t="shared" si="25"/>
        <v/>
      </c>
      <c r="X833" t="str">
        <f t="shared" si="26"/>
        <v/>
      </c>
      <c r="Y833" s="341">
        <f>IF('General price list'!$AB835="",0,'General price list'!$AB835)</f>
        <v>0</v>
      </c>
      <c r="Z833" s="365" t="str">
        <f>IFERROR(X833*VLOOKUP(C833,'General price list'!C:I,7,FALSE),"")</f>
        <v/>
      </c>
      <c r="AA833" s="805" t="str">
        <f>IF(X833&lt;&gt;"",VLOOKUP(C833,'General price list'!C835:AN1808,MATCH("HM",Tabulka1[[#Headers],[KOD]:[NEQ]],0),FALSE),"")</f>
        <v/>
      </c>
    </row>
    <row r="834" spans="1:27">
      <c r="A834">
        <f>COUNTIF($W$22:W834,1)</f>
        <v>0</v>
      </c>
      <c r="B834">
        <v>834</v>
      </c>
      <c r="C834" s="340" t="str">
        <f>Tabulka1[[#This Row],[KOD]]</f>
        <v>C304MK</v>
      </c>
      <c r="W834" s="804" t="str">
        <f t="shared" si="25"/>
        <v/>
      </c>
      <c r="X834" t="str">
        <f t="shared" si="26"/>
        <v/>
      </c>
      <c r="Y834" s="341">
        <f>IF('General price list'!$AB836="",0,'General price list'!$AB836)</f>
        <v>0</v>
      </c>
      <c r="Z834" s="365" t="str">
        <f>IFERROR(X834*VLOOKUP(C834,'General price list'!C:I,7,FALSE),"")</f>
        <v/>
      </c>
      <c r="AA834" s="805" t="str">
        <f>IF(X834&lt;&gt;"",VLOOKUP(C834,'General price list'!C836:AN1809,MATCH("HM",Tabulka1[[#Headers],[KOD]:[NEQ]],0),FALSE),"")</f>
        <v/>
      </c>
    </row>
    <row r="835" spans="1:27">
      <c r="A835">
        <f>COUNTIF($W$22:W835,1)</f>
        <v>0</v>
      </c>
      <c r="B835">
        <v>835</v>
      </c>
      <c r="C835" s="340">
        <f>Tabulka1[[#This Row],[KOD]]</f>
        <v>0</v>
      </c>
      <c r="W835" s="804" t="str">
        <f t="shared" si="25"/>
        <v/>
      </c>
      <c r="X835" t="str">
        <f t="shared" si="26"/>
        <v/>
      </c>
      <c r="Y835" s="341">
        <f>IF('General price list'!$AB837="",0,'General price list'!$AB837)</f>
        <v>0</v>
      </c>
      <c r="Z835" s="365" t="str">
        <f>IFERROR(X835*VLOOKUP(C835,'General price list'!C:I,7,FALSE),"")</f>
        <v/>
      </c>
      <c r="AA835" s="805" t="str">
        <f>IF(X835&lt;&gt;"",VLOOKUP(C835,'General price list'!C837:AN1810,MATCH("HM",Tabulka1[[#Headers],[KOD]:[NEQ]],0),FALSE),"")</f>
        <v/>
      </c>
    </row>
    <row r="836" spans="1:27">
      <c r="A836">
        <f>COUNTIF($W$22:W836,1)</f>
        <v>0</v>
      </c>
      <c r="B836">
        <v>836</v>
      </c>
      <c r="C836" s="340" t="str">
        <f>Tabulka1[[#This Row],[KOD]]</f>
        <v>HF26001s</v>
      </c>
      <c r="W836" s="804" t="str">
        <f t="shared" si="25"/>
        <v/>
      </c>
      <c r="X836" t="str">
        <f t="shared" si="26"/>
        <v/>
      </c>
      <c r="Y836" s="341">
        <f>IF('General price list'!$AB838="",0,'General price list'!$AB838)</f>
        <v>0</v>
      </c>
      <c r="Z836" s="365" t="str">
        <f>IFERROR(X836*VLOOKUP(C836,'General price list'!C:I,7,FALSE),"")</f>
        <v/>
      </c>
      <c r="AA836" s="805" t="str">
        <f>IF(X836&lt;&gt;"",VLOOKUP(C836,'General price list'!C838:AN1811,MATCH("HM",Tabulka1[[#Headers],[KOD]:[NEQ]],0),FALSE),"")</f>
        <v/>
      </c>
    </row>
    <row r="837" spans="1:27">
      <c r="A837">
        <f>COUNTIF($W$22:W837,1)</f>
        <v>0</v>
      </c>
      <c r="B837">
        <v>837</v>
      </c>
      <c r="C837" s="340" t="str">
        <f>Tabulka1[[#This Row],[KOD]]</f>
        <v>HF26009s</v>
      </c>
      <c r="W837" s="804" t="str">
        <f t="shared" si="25"/>
        <v/>
      </c>
      <c r="X837" t="str">
        <f t="shared" si="26"/>
        <v/>
      </c>
      <c r="Y837" s="341">
        <f>IF('General price list'!$AB839="",0,'General price list'!$AB839)</f>
        <v>0</v>
      </c>
      <c r="Z837" s="365" t="str">
        <f>IFERROR(X837*VLOOKUP(C837,'General price list'!C:I,7,FALSE),"")</f>
        <v/>
      </c>
      <c r="AA837" s="805" t="str">
        <f>IF(X837&lt;&gt;"",VLOOKUP(C837,'General price list'!C839:AN1812,MATCH("HM",Tabulka1[[#Headers],[KOD]:[NEQ]],0),FALSE),"")</f>
        <v/>
      </c>
    </row>
    <row r="838" spans="1:27">
      <c r="A838">
        <f>COUNTIF($W$22:W838,1)</f>
        <v>0</v>
      </c>
      <c r="B838">
        <v>838</v>
      </c>
      <c r="C838" s="340" t="str">
        <f>Tabulka1[[#This Row],[KOD]]</f>
        <v>HF26012</v>
      </c>
      <c r="W838" s="804" t="str">
        <f t="shared" si="25"/>
        <v/>
      </c>
      <c r="X838" t="str">
        <f t="shared" si="26"/>
        <v/>
      </c>
      <c r="Y838" s="341">
        <f>IF('General price list'!$AB840="",0,'General price list'!$AB840)</f>
        <v>0</v>
      </c>
      <c r="Z838" s="365" t="str">
        <f>IFERROR(X838*VLOOKUP(C838,'General price list'!C:I,7,FALSE),"")</f>
        <v/>
      </c>
      <c r="AA838" s="805" t="str">
        <f>IF(X838&lt;&gt;"",VLOOKUP(C838,'General price list'!C840:AN1813,MATCH("HM",Tabulka1[[#Headers],[KOD]:[NEQ]],0),FALSE),"")</f>
        <v/>
      </c>
    </row>
    <row r="839" spans="1:27">
      <c r="A839">
        <f>COUNTIF($W$22:W839,1)</f>
        <v>0</v>
      </c>
      <c r="B839">
        <v>839</v>
      </c>
      <c r="C839" s="340" t="str">
        <f>Tabulka1[[#This Row],[KOD]]</f>
        <v>HF26015</v>
      </c>
      <c r="W839" s="804" t="str">
        <f t="shared" si="25"/>
        <v/>
      </c>
      <c r="X839" t="str">
        <f t="shared" si="26"/>
        <v/>
      </c>
      <c r="Y839" s="341">
        <f>IF('General price list'!$AB841="",0,'General price list'!$AB841)</f>
        <v>0</v>
      </c>
      <c r="Z839" s="365" t="str">
        <f>IFERROR(X839*VLOOKUP(C839,'General price list'!C:I,7,FALSE),"")</f>
        <v/>
      </c>
      <c r="AA839" s="805" t="str">
        <f>IF(X839&lt;&gt;"",VLOOKUP(C839,'General price list'!C841:AN1814,MATCH("HM",Tabulka1[[#Headers],[KOD]:[NEQ]],0),FALSE),"")</f>
        <v/>
      </c>
    </row>
    <row r="840" spans="1:27">
      <c r="A840">
        <f>COUNTIF($W$22:W840,1)</f>
        <v>0</v>
      </c>
      <c r="B840">
        <v>840</v>
      </c>
      <c r="C840" s="340" t="str">
        <f>Tabulka1[[#This Row],[KOD]]</f>
        <v>HF26016s</v>
      </c>
      <c r="W840" s="804" t="str">
        <f t="shared" si="25"/>
        <v/>
      </c>
      <c r="X840" t="str">
        <f t="shared" si="26"/>
        <v/>
      </c>
      <c r="Y840" s="341">
        <f>IF('General price list'!$AB842="",0,'General price list'!$AB842)</f>
        <v>0</v>
      </c>
      <c r="Z840" s="365" t="str">
        <f>IFERROR(X840*VLOOKUP(C840,'General price list'!C:I,7,FALSE),"")</f>
        <v/>
      </c>
      <c r="AA840" s="805" t="str">
        <f>IF(X840&lt;&gt;"",VLOOKUP(C840,'General price list'!C842:AN1815,MATCH("HM",Tabulka1[[#Headers],[KOD]:[NEQ]],0),FALSE),"")</f>
        <v/>
      </c>
    </row>
    <row r="841" spans="1:27">
      <c r="A841">
        <f>COUNTIF($W$22:W841,1)</f>
        <v>0</v>
      </c>
      <c r="B841">
        <v>841</v>
      </c>
      <c r="C841" s="340" t="str">
        <f>Tabulka1[[#This Row],[KOD]]</f>
        <v>HF2387S</v>
      </c>
      <c r="W841" s="804" t="str">
        <f t="shared" si="25"/>
        <v/>
      </c>
      <c r="X841" t="str">
        <f t="shared" si="26"/>
        <v/>
      </c>
      <c r="Y841" s="341">
        <f>IF('General price list'!$AB843="",0,'General price list'!$AB843)</f>
        <v>0</v>
      </c>
      <c r="Z841" s="365" t="str">
        <f>IFERROR(X841*VLOOKUP(C841,'General price list'!C:I,7,FALSE),"")</f>
        <v/>
      </c>
      <c r="AA841" s="805" t="str">
        <f>IF(X841&lt;&gt;"",VLOOKUP(C841,'General price list'!C843:AN1816,MATCH("HM",Tabulka1[[#Headers],[KOD]:[NEQ]],0),FALSE),"")</f>
        <v/>
      </c>
    </row>
    <row r="842" spans="1:27">
      <c r="A842">
        <f>COUNTIF($W$22:W842,1)</f>
        <v>0</v>
      </c>
      <c r="B842">
        <v>842</v>
      </c>
      <c r="C842" s="340" t="str">
        <f>Tabulka1[[#This Row],[KOD]]</f>
        <v>HF24090Qs</v>
      </c>
      <c r="W842" s="804" t="str">
        <f t="shared" si="25"/>
        <v/>
      </c>
      <c r="X842" t="str">
        <f t="shared" si="26"/>
        <v/>
      </c>
      <c r="Y842" s="341">
        <f>IF('General price list'!$AB844="",0,'General price list'!$AB844)</f>
        <v>0</v>
      </c>
      <c r="Z842" s="365" t="str">
        <f>IFERROR(X842*VLOOKUP(C842,'General price list'!C:I,7,FALSE),"")</f>
        <v/>
      </c>
      <c r="AA842" s="805" t="str">
        <f>IF(X842&lt;&gt;"",VLOOKUP(C842,'General price list'!C844:AN1817,MATCH("HM",Tabulka1[[#Headers],[KOD]:[NEQ]],0),FALSE),"")</f>
        <v/>
      </c>
    </row>
    <row r="843" spans="1:27">
      <c r="A843">
        <f>COUNTIF($W$22:W843,1)</f>
        <v>0</v>
      </c>
      <c r="B843">
        <v>843</v>
      </c>
      <c r="C843" s="340" t="str">
        <f>Tabulka1[[#This Row],[KOD]]</f>
        <v>HF2244</v>
      </c>
      <c r="W843" s="804" t="str">
        <f t="shared" si="25"/>
        <v/>
      </c>
      <c r="X843" t="str">
        <f t="shared" si="26"/>
        <v/>
      </c>
      <c r="Y843" s="341">
        <f>IF('General price list'!$AB845="",0,'General price list'!$AB845)</f>
        <v>0</v>
      </c>
      <c r="Z843" s="365" t="str">
        <f>IFERROR(X843*VLOOKUP(C843,'General price list'!C:I,7,FALSE),"")</f>
        <v/>
      </c>
      <c r="AA843" s="805" t="str">
        <f>IF(X843&lt;&gt;"",VLOOKUP(C843,'General price list'!C845:AN1818,MATCH("HM",Tabulka1[[#Headers],[KOD]:[NEQ]],0),FALSE),"")</f>
        <v/>
      </c>
    </row>
    <row r="844" spans="1:27">
      <c r="A844">
        <f>COUNTIF($W$22:W844,1)</f>
        <v>0</v>
      </c>
      <c r="B844">
        <v>844</v>
      </c>
      <c r="C844" s="340" t="str">
        <f>Tabulka1[[#This Row],[KOD]]</f>
        <v>HF2243</v>
      </c>
      <c r="W844" s="804" t="str">
        <f t="shared" si="25"/>
        <v/>
      </c>
      <c r="X844" t="str">
        <f t="shared" si="26"/>
        <v/>
      </c>
      <c r="Y844" s="341">
        <f>IF('General price list'!$AB846="",0,'General price list'!$AB846)</f>
        <v>0</v>
      </c>
      <c r="Z844" s="365" t="str">
        <f>IFERROR(X844*VLOOKUP(C844,'General price list'!C:I,7,FALSE),"")</f>
        <v/>
      </c>
      <c r="AA844" s="805" t="str">
        <f>IF(X844&lt;&gt;"",VLOOKUP(C844,'General price list'!C846:AN1819,MATCH("HM",Tabulka1[[#Headers],[KOD]:[NEQ]],0),FALSE),"")</f>
        <v/>
      </c>
    </row>
    <row r="845" spans="1:27">
      <c r="A845">
        <f>COUNTIF($W$22:W845,1)</f>
        <v>0</v>
      </c>
      <c r="B845">
        <v>845</v>
      </c>
      <c r="C845" s="340">
        <f>Tabulka1[[#This Row],[KOD]]</f>
        <v>0</v>
      </c>
      <c r="W845" s="804" t="str">
        <f t="shared" si="25"/>
        <v/>
      </c>
      <c r="X845" t="str">
        <f t="shared" si="26"/>
        <v/>
      </c>
      <c r="Y845" s="341">
        <f>IF('General price list'!$AB847="",0,'General price list'!$AB847)</f>
        <v>0</v>
      </c>
      <c r="Z845" s="365" t="str">
        <f>IFERROR(X845*VLOOKUP(C845,'General price list'!C:I,7,FALSE),"")</f>
        <v/>
      </c>
      <c r="AA845" s="805" t="str">
        <f>IF(X845&lt;&gt;"",VLOOKUP(C845,'General price list'!C847:AN1820,MATCH("HM",Tabulka1[[#Headers],[KOD]:[NEQ]],0),FALSE),"")</f>
        <v/>
      </c>
    </row>
    <row r="846" spans="1:27">
      <c r="A846">
        <f>COUNTIF($W$22:W846,1)</f>
        <v>0</v>
      </c>
      <c r="B846">
        <v>846</v>
      </c>
      <c r="C846" s="340" t="str">
        <f>Tabulka1[[#This Row],[KOD]]</f>
        <v>HF-45-2309s</v>
      </c>
      <c r="W846" s="804" t="str">
        <f t="shared" si="25"/>
        <v/>
      </c>
      <c r="X846" t="str">
        <f t="shared" si="26"/>
        <v/>
      </c>
      <c r="Y846" s="341">
        <f>IF('General price list'!$AB848="",0,'General price list'!$AB848)</f>
        <v>0</v>
      </c>
      <c r="Z846" s="365" t="str">
        <f>IFERROR(X846*VLOOKUP(C846,'General price list'!C:I,7,FALSE),"")</f>
        <v/>
      </c>
      <c r="AA846" s="805" t="str">
        <f>IF(X846&lt;&gt;"",VLOOKUP(C846,'General price list'!C848:AN1821,MATCH("HM",Tabulka1[[#Headers],[KOD]:[NEQ]],0),FALSE),"")</f>
        <v/>
      </c>
    </row>
    <row r="847" spans="1:27">
      <c r="A847">
        <f>COUNTIF($W$22:W847,1)</f>
        <v>0</v>
      </c>
      <c r="B847">
        <v>847</v>
      </c>
      <c r="C847" s="340" t="str">
        <f>Tabulka1[[#This Row],[KOD]]</f>
        <v>HF-51-2227s</v>
      </c>
      <c r="W847" s="804" t="str">
        <f t="shared" si="25"/>
        <v/>
      </c>
      <c r="X847" t="str">
        <f t="shared" si="26"/>
        <v/>
      </c>
      <c r="Y847" s="341">
        <f>IF('General price list'!$AB849="",0,'General price list'!$AB849)</f>
        <v>0</v>
      </c>
      <c r="Z847" s="365" t="str">
        <f>IFERROR(X847*VLOOKUP(C847,'General price list'!C:I,7,FALSE),"")</f>
        <v/>
      </c>
      <c r="AA847" s="805" t="str">
        <f>IF(X847&lt;&gt;"",VLOOKUP(C847,'General price list'!C849:AN1822,MATCH("HM",Tabulka1[[#Headers],[KOD]:[NEQ]],0),FALSE),"")</f>
        <v/>
      </c>
    </row>
    <row r="848" spans="1:27">
      <c r="A848">
        <f>COUNTIF($W$22:W848,1)</f>
        <v>0</v>
      </c>
      <c r="B848">
        <v>848</v>
      </c>
      <c r="C848" s="340" t="str">
        <f>Tabulka1[[#This Row],[KOD]]</f>
        <v>RK-66-2502</v>
      </c>
      <c r="W848" s="804" t="str">
        <f t="shared" si="25"/>
        <v/>
      </c>
      <c r="X848" t="str">
        <f t="shared" si="26"/>
        <v/>
      </c>
      <c r="Y848" s="341">
        <f>IF('General price list'!$AB850="",0,'General price list'!$AB850)</f>
        <v>0</v>
      </c>
      <c r="Z848" s="365" t="str">
        <f>IFERROR(X848*VLOOKUP(C848,'General price list'!C:I,7,FALSE),"")</f>
        <v/>
      </c>
      <c r="AA848" s="805" t="str">
        <f>IF(X848&lt;&gt;"",VLOOKUP(C848,'General price list'!C850:AN1823,MATCH("HM",Tabulka1[[#Headers],[KOD]:[NEQ]],0),FALSE),"")</f>
        <v/>
      </c>
    </row>
    <row r="849" spans="1:27">
      <c r="A849">
        <f>COUNTIF($W$22:W849,1)</f>
        <v>0</v>
      </c>
      <c r="B849">
        <v>849</v>
      </c>
      <c r="C849" s="340" t="str">
        <f>Tabulka1[[#This Row],[KOD]]</f>
        <v>HF-75-2310s</v>
      </c>
      <c r="W849" s="804" t="str">
        <f t="shared" si="25"/>
        <v/>
      </c>
      <c r="X849" t="str">
        <f t="shared" si="26"/>
        <v/>
      </c>
      <c r="Y849" s="341">
        <f>IF('General price list'!$AB851="",0,'General price list'!$AB851)</f>
        <v>0</v>
      </c>
      <c r="Z849" s="365" t="str">
        <f>IFERROR(X849*VLOOKUP(C849,'General price list'!C:I,7,FALSE),"")</f>
        <v/>
      </c>
      <c r="AA849" s="805" t="str">
        <f>IF(X849&lt;&gt;"",VLOOKUP(C849,'General price list'!C851:AN1824,MATCH("HM",Tabulka1[[#Headers],[KOD]:[NEQ]],0),FALSE),"")</f>
        <v/>
      </c>
    </row>
    <row r="850" spans="1:27">
      <c r="A850">
        <f>COUNTIF($W$22:W850,1)</f>
        <v>0</v>
      </c>
      <c r="B850">
        <v>850</v>
      </c>
      <c r="C850" s="340" t="str">
        <f>Tabulka1[[#This Row],[KOD]]</f>
        <v>HF-108-2603s</v>
      </c>
      <c r="W850" s="804" t="str">
        <f t="shared" si="25"/>
        <v/>
      </c>
      <c r="X850" t="str">
        <f t="shared" si="26"/>
        <v/>
      </c>
      <c r="Y850" s="341">
        <f>IF('General price list'!$AB852="",0,'General price list'!$AB852)</f>
        <v>0</v>
      </c>
      <c r="Z850" s="365" t="str">
        <f>IFERROR(X850*VLOOKUP(C850,'General price list'!C:I,7,FALSE),"")</f>
        <v/>
      </c>
      <c r="AA850" s="805" t="str">
        <f>IF(X850&lt;&gt;"",VLOOKUP(C850,'General price list'!C852:AN1825,MATCH("HM",Tabulka1[[#Headers],[KOD]:[NEQ]],0),FALSE),"")</f>
        <v/>
      </c>
    </row>
    <row r="851" spans="1:27">
      <c r="A851">
        <f>COUNTIF($W$22:W851,1)</f>
        <v>0</v>
      </c>
      <c r="B851">
        <v>851</v>
      </c>
      <c r="C851" s="340" t="str">
        <f>Tabulka1[[#This Row],[KOD]]</f>
        <v>HF-144-2605</v>
      </c>
      <c r="W851" s="804" t="str">
        <f t="shared" si="25"/>
        <v/>
      </c>
      <c r="X851" t="str">
        <f t="shared" si="26"/>
        <v/>
      </c>
      <c r="Y851" s="341">
        <f>IF('General price list'!$AB853="",0,'General price list'!$AB853)</f>
        <v>0</v>
      </c>
      <c r="Z851" s="365" t="str">
        <f>IFERROR(X851*VLOOKUP(C851,'General price list'!C:I,7,FALSE),"")</f>
        <v/>
      </c>
      <c r="AA851" s="805" t="str">
        <f>IF(X851&lt;&gt;"",VLOOKUP(C851,'General price list'!C853:AN1826,MATCH("HM",Tabulka1[[#Headers],[KOD]:[NEQ]],0),FALSE),"")</f>
        <v/>
      </c>
    </row>
    <row r="852" spans="1:27">
      <c r="A852">
        <f>COUNTIF($W$22:W852,1)</f>
        <v>0</v>
      </c>
      <c r="B852">
        <v>852</v>
      </c>
      <c r="C852" s="340" t="str">
        <f>Tabulka1[[#This Row],[KOD]]</f>
        <v>HF-75-2608s</v>
      </c>
      <c r="W852" s="804" t="str">
        <f t="shared" si="25"/>
        <v/>
      </c>
      <c r="X852" t="str">
        <f t="shared" si="26"/>
        <v/>
      </c>
      <c r="Y852" s="341">
        <f>IF('General price list'!$AB854="",0,'General price list'!$AB854)</f>
        <v>0</v>
      </c>
      <c r="Z852" s="365" t="str">
        <f>IFERROR(X852*VLOOKUP(C852,'General price list'!C:I,7,FALSE),"")</f>
        <v/>
      </c>
      <c r="AA852" s="805" t="str">
        <f>IF(X852&lt;&gt;"",VLOOKUP(C852,'General price list'!C854:AN1827,MATCH("HM",Tabulka1[[#Headers],[KOD]:[NEQ]],0),FALSE),"")</f>
        <v/>
      </c>
    </row>
    <row r="853" spans="1:27">
      <c r="A853">
        <f>COUNTIF($W$22:W853,1)</f>
        <v>0</v>
      </c>
      <c r="B853">
        <v>853</v>
      </c>
      <c r="C853" s="340" t="str">
        <f>Tabulka1[[#This Row],[KOD]]</f>
        <v>RK-98-2555</v>
      </c>
      <c r="W853" s="804" t="str">
        <f t="shared" si="25"/>
        <v/>
      </c>
      <c r="X853" t="str">
        <f t="shared" si="26"/>
        <v/>
      </c>
      <c r="Y853" s="341">
        <f>IF('General price list'!$AB855="",0,'General price list'!$AB855)</f>
        <v>0</v>
      </c>
      <c r="Z853" s="365" t="str">
        <f>IFERROR(X853*VLOOKUP(C853,'General price list'!C:I,7,FALSE),"")</f>
        <v/>
      </c>
      <c r="AA853" s="805" t="str">
        <f>IF(X853&lt;&gt;"",VLOOKUP(C853,'General price list'!C855:AN1828,MATCH("HM",Tabulka1[[#Headers],[KOD]:[NEQ]],0),FALSE),"")</f>
        <v/>
      </c>
    </row>
    <row r="854" spans="1:27">
      <c r="A854">
        <f>COUNTIF($W$22:W854,1)</f>
        <v>0</v>
      </c>
      <c r="B854">
        <v>854</v>
      </c>
      <c r="C854" s="340" t="str">
        <f>Tabulka1[[#This Row],[KOD]]</f>
        <v>HF-96-2362s</v>
      </c>
      <c r="W854" s="804" t="str">
        <f t="shared" si="25"/>
        <v/>
      </c>
      <c r="X854" t="str">
        <f t="shared" si="26"/>
        <v/>
      </c>
      <c r="Y854" s="341">
        <f>IF('General price list'!$AB856="",0,'General price list'!$AB856)</f>
        <v>0</v>
      </c>
      <c r="Z854" s="365" t="str">
        <f>IFERROR(X854*VLOOKUP(C854,'General price list'!C:I,7,FALSE),"")</f>
        <v/>
      </c>
      <c r="AA854" s="805" t="str">
        <f>IF(X854&lt;&gt;"",VLOOKUP(C854,'General price list'!C856:AN1829,MATCH("HM",Tabulka1[[#Headers],[KOD]:[NEQ]],0),FALSE),"")</f>
        <v/>
      </c>
    </row>
    <row r="855" spans="1:27">
      <c r="A855">
        <f>COUNTIF($W$22:W855,1)</f>
        <v>0</v>
      </c>
      <c r="B855">
        <v>855</v>
      </c>
      <c r="C855" s="340" t="str">
        <f>Tabulka1[[#This Row],[KOD]]</f>
        <v>HF-102-2214</v>
      </c>
      <c r="W855" s="804" t="str">
        <f t="shared" si="25"/>
        <v/>
      </c>
      <c r="X855" t="str">
        <f t="shared" si="26"/>
        <v/>
      </c>
      <c r="Y855" s="341">
        <f>IF('General price list'!$AB857="",0,'General price list'!$AB857)</f>
        <v>0</v>
      </c>
      <c r="Z855" s="365" t="str">
        <f>IFERROR(X855*VLOOKUP(C855,'General price list'!C:I,7,FALSE),"")</f>
        <v/>
      </c>
      <c r="AA855" s="805" t="str">
        <f>IF(X855&lt;&gt;"",VLOOKUP(C855,'General price list'!C857:AN1830,MATCH("HM",Tabulka1[[#Headers],[KOD]:[NEQ]],0),FALSE),"")</f>
        <v/>
      </c>
    </row>
    <row r="856" spans="1:27">
      <c r="A856">
        <f>COUNTIF($W$22:W856,1)</f>
        <v>0</v>
      </c>
      <c r="B856">
        <v>856</v>
      </c>
      <c r="C856" s="340" t="str">
        <f>Tabulka1[[#This Row],[KOD]]</f>
        <v>HF-101-2216</v>
      </c>
      <c r="W856" s="804" t="str">
        <f t="shared" ref="W856:W919" si="27">IF(Y856+1=1,"",1)</f>
        <v/>
      </c>
      <c r="X856" t="str">
        <f t="shared" ref="X856:X919" si="28">IF(OR(A856&lt;$F$20,A856&gt;$F$21),"",IF(Y856=0,"",Y856))</f>
        <v/>
      </c>
      <c r="Y856" s="341">
        <f>IF('General price list'!$AB858="",0,'General price list'!$AB858)</f>
        <v>0</v>
      </c>
      <c r="Z856" s="365" t="str">
        <f>IFERROR(X856*VLOOKUP(C856,'General price list'!C:I,7,FALSE),"")</f>
        <v/>
      </c>
      <c r="AA856" s="805" t="str">
        <f>IF(X856&lt;&gt;"",VLOOKUP(C856,'General price list'!C858:AN1831,MATCH("HM",Tabulka1[[#Headers],[KOD]:[NEQ]],0),FALSE),"")</f>
        <v/>
      </c>
    </row>
    <row r="857" spans="1:27">
      <c r="A857">
        <f>COUNTIF($W$22:W857,1)</f>
        <v>0</v>
      </c>
      <c r="B857">
        <v>857</v>
      </c>
      <c r="C857" s="340" t="str">
        <f>Tabulka1[[#This Row],[KOD]]</f>
        <v>HF-108-2315</v>
      </c>
      <c r="W857" s="804" t="str">
        <f t="shared" si="27"/>
        <v/>
      </c>
      <c r="X857" t="str">
        <f t="shared" si="28"/>
        <v/>
      </c>
      <c r="Y857" s="341">
        <f>IF('General price list'!$AB859="",0,'General price list'!$AB859)</f>
        <v>0</v>
      </c>
      <c r="Z857" s="365" t="str">
        <f>IFERROR(X857*VLOOKUP(C857,'General price list'!C:I,7,FALSE),"")</f>
        <v/>
      </c>
      <c r="AA857" s="805" t="str">
        <f>IF(X857&lt;&gt;"",VLOOKUP(C857,'General price list'!C859:AN1832,MATCH("HM",Tabulka1[[#Headers],[KOD]:[NEQ]],0),FALSE),"")</f>
        <v/>
      </c>
    </row>
    <row r="858" spans="1:27">
      <c r="A858">
        <f>COUNTIF($W$22:W858,1)</f>
        <v>0</v>
      </c>
      <c r="B858">
        <v>858</v>
      </c>
      <c r="C858" s="340" t="str">
        <f>Tabulka1[[#This Row],[KOD]]</f>
        <v>HF-83-2207P</v>
      </c>
      <c r="W858" s="804" t="str">
        <f t="shared" si="27"/>
        <v/>
      </c>
      <c r="X858" t="str">
        <f t="shared" si="28"/>
        <v/>
      </c>
      <c r="Y858" s="341">
        <f>IF('General price list'!$AB860="",0,'General price list'!$AB860)</f>
        <v>0</v>
      </c>
      <c r="Z858" s="365" t="str">
        <f>IFERROR(X858*VLOOKUP(C858,'General price list'!C:I,7,FALSE),"")</f>
        <v/>
      </c>
      <c r="AA858" s="805" t="str">
        <f>IF(X858&lt;&gt;"",VLOOKUP(C858,'General price list'!C860:AN1833,MATCH("HM",Tabulka1[[#Headers],[KOD]:[NEQ]],0),FALSE),"")</f>
        <v/>
      </c>
    </row>
    <row r="859" spans="1:27">
      <c r="A859">
        <f>COUNTIF($W$22:W859,1)</f>
        <v>0</v>
      </c>
      <c r="B859">
        <v>859</v>
      </c>
      <c r="C859" s="340" t="str">
        <f>Tabulka1[[#This Row],[KOD]]</f>
        <v>HF-98-2212</v>
      </c>
      <c r="W859" s="804" t="str">
        <f t="shared" si="27"/>
        <v/>
      </c>
      <c r="X859" t="str">
        <f t="shared" si="28"/>
        <v/>
      </c>
      <c r="Y859" s="341">
        <f>IF('General price list'!$AB861="",0,'General price list'!$AB861)</f>
        <v>0</v>
      </c>
      <c r="Z859" s="365" t="str">
        <f>IFERROR(X859*VLOOKUP(C859,'General price list'!C:I,7,FALSE),"")</f>
        <v/>
      </c>
      <c r="AA859" s="805" t="str">
        <f>IF(X859&lt;&gt;"",VLOOKUP(C859,'General price list'!C861:AN1834,MATCH("HM",Tabulka1[[#Headers],[KOD]:[NEQ]],0),FALSE),"")</f>
        <v/>
      </c>
    </row>
    <row r="860" spans="1:27">
      <c r="A860">
        <f>COUNTIF($W$22:W860,1)</f>
        <v>0</v>
      </c>
      <c r="B860">
        <v>860</v>
      </c>
      <c r="C860" s="340" t="str">
        <f>Tabulka1[[#This Row],[KOD]]</f>
        <v>HF-127-2411s</v>
      </c>
      <c r="W860" s="804" t="str">
        <f t="shared" si="27"/>
        <v/>
      </c>
      <c r="X860" t="str">
        <f t="shared" si="28"/>
        <v/>
      </c>
      <c r="Y860" s="341">
        <f>IF('General price list'!$AB862="",0,'General price list'!$AB862)</f>
        <v>0</v>
      </c>
      <c r="Z860" s="365" t="str">
        <f>IFERROR(X860*VLOOKUP(C860,'General price list'!C:I,7,FALSE),"")</f>
        <v/>
      </c>
      <c r="AA860" s="805" t="str">
        <f>IF(X860&lt;&gt;"",VLOOKUP(C860,'General price list'!C862:AN1835,MATCH("HM",Tabulka1[[#Headers],[KOD]:[NEQ]],0),FALSE),"")</f>
        <v/>
      </c>
    </row>
    <row r="861" spans="1:27">
      <c r="A861">
        <f>COUNTIF($W$22:W861,1)</f>
        <v>0</v>
      </c>
      <c r="B861">
        <v>861</v>
      </c>
      <c r="C861" s="340" t="str">
        <f>Tabulka1[[#This Row],[KOD]]</f>
        <v>HF-142-2211</v>
      </c>
      <c r="W861" s="804" t="str">
        <f t="shared" si="27"/>
        <v/>
      </c>
      <c r="X861" t="str">
        <f t="shared" si="28"/>
        <v/>
      </c>
      <c r="Y861" s="341">
        <f>IF('General price list'!$AB863="",0,'General price list'!$AB863)</f>
        <v>0</v>
      </c>
      <c r="Z861" s="365" t="str">
        <f>IFERROR(X861*VLOOKUP(C861,'General price list'!C:I,7,FALSE),"")</f>
        <v/>
      </c>
      <c r="AA861" s="805" t="str">
        <f>IF(X861&lt;&gt;"",VLOOKUP(C861,'General price list'!C863:AN1836,MATCH("HM",Tabulka1[[#Headers],[KOD]:[NEQ]],0),FALSE),"")</f>
        <v/>
      </c>
    </row>
    <row r="862" spans="1:27">
      <c r="A862">
        <f>COUNTIF($W$22:W862,1)</f>
        <v>0</v>
      </c>
      <c r="B862">
        <v>862</v>
      </c>
      <c r="C862" s="340" t="str">
        <f>Tabulka1[[#This Row],[KOD]]</f>
        <v>HF-148-2217</v>
      </c>
      <c r="W862" s="804" t="str">
        <f t="shared" si="27"/>
        <v/>
      </c>
      <c r="X862" t="str">
        <f t="shared" si="28"/>
        <v/>
      </c>
      <c r="Y862" s="341">
        <f>IF('General price list'!$AB864="",0,'General price list'!$AB864)</f>
        <v>0</v>
      </c>
      <c r="Z862" s="365" t="str">
        <f>IFERROR(X862*VLOOKUP(C862,'General price list'!C:I,7,FALSE),"")</f>
        <v/>
      </c>
      <c r="AA862" s="805" t="str">
        <f>IF(X862&lt;&gt;"",VLOOKUP(C862,'General price list'!C864:AN1837,MATCH("HM",Tabulka1[[#Headers],[KOD]:[NEQ]],0),FALSE),"")</f>
        <v/>
      </c>
    </row>
    <row r="863" spans="1:27">
      <c r="A863">
        <f>COUNTIF($W$22:W863,1)</f>
        <v>0</v>
      </c>
      <c r="B863">
        <v>863</v>
      </c>
      <c r="C863" s="340" t="str">
        <f>Tabulka1[[#This Row],[KOD]]</f>
        <v>RKD-24018</v>
      </c>
      <c r="W863" s="804" t="str">
        <f t="shared" si="27"/>
        <v/>
      </c>
      <c r="X863" t="str">
        <f t="shared" si="28"/>
        <v/>
      </c>
      <c r="Y863" s="341">
        <f>IF('General price list'!$AB865="",0,'General price list'!$AB865)</f>
        <v>0</v>
      </c>
      <c r="Z863" s="365" t="str">
        <f>IFERROR(X863*VLOOKUP(C863,'General price list'!C:I,7,FALSE),"")</f>
        <v/>
      </c>
      <c r="AA863" s="805" t="str">
        <f>IF(X863&lt;&gt;"",VLOOKUP(C863,'General price list'!C865:AN1838,MATCH("HM",Tabulka1[[#Headers],[KOD]:[NEQ]],0),FALSE),"")</f>
        <v/>
      </c>
    </row>
    <row r="864" spans="1:27">
      <c r="A864">
        <f>COUNTIF($W$22:W864,1)</f>
        <v>0</v>
      </c>
      <c r="B864">
        <v>864</v>
      </c>
      <c r="C864" s="340" t="str">
        <f>Tabulka1[[#This Row],[KOD]]</f>
        <v>RKD-24019</v>
      </c>
      <c r="W864" s="804" t="str">
        <f t="shared" si="27"/>
        <v/>
      </c>
      <c r="X864" t="str">
        <f t="shared" si="28"/>
        <v/>
      </c>
      <c r="Y864" s="341">
        <f>IF('General price list'!$AB866="",0,'General price list'!$AB866)</f>
        <v>0</v>
      </c>
      <c r="Z864" s="365" t="str">
        <f>IFERROR(X864*VLOOKUP(C864,'General price list'!C:I,7,FALSE),"")</f>
        <v/>
      </c>
      <c r="AA864" s="805" t="str">
        <f>IF(X864&lt;&gt;"",VLOOKUP(C864,'General price list'!C866:AN1839,MATCH("HM",Tabulka1[[#Headers],[KOD]:[NEQ]],0),FALSE),"")</f>
        <v/>
      </c>
    </row>
    <row r="865" spans="1:27">
      <c r="A865">
        <f>COUNTIF($W$22:W865,1)</f>
        <v>0</v>
      </c>
      <c r="B865">
        <v>865</v>
      </c>
      <c r="C865" s="340">
        <f>Tabulka1[[#This Row],[KOD]]</f>
        <v>0</v>
      </c>
      <c r="W865" s="804" t="str">
        <f t="shared" si="27"/>
        <v/>
      </c>
      <c r="X865" t="str">
        <f t="shared" si="28"/>
        <v/>
      </c>
      <c r="Y865" s="341">
        <f>IF('General price list'!$AB867="",0,'General price list'!$AB867)</f>
        <v>0</v>
      </c>
      <c r="Z865" s="365" t="str">
        <f>IFERROR(X865*VLOOKUP(C865,'General price list'!C:I,7,FALSE),"")</f>
        <v/>
      </c>
      <c r="AA865" s="805" t="str">
        <f>IF(X865&lt;&gt;"",VLOOKUP(C865,'General price list'!C867:AN1840,MATCH("HM",Tabulka1[[#Headers],[KOD]:[NEQ]],0),FALSE),"")</f>
        <v/>
      </c>
    </row>
    <row r="866" spans="1:27">
      <c r="A866">
        <f>COUNTIF($W$22:W866,1)</f>
        <v>0</v>
      </c>
      <c r="B866">
        <v>866</v>
      </c>
      <c r="C866" s="340" t="str">
        <f>Tabulka1[[#This Row],[KOD]]</f>
        <v>HF-90-2402-HF-90-2403</v>
      </c>
      <c r="W866" s="804" t="str">
        <f t="shared" si="27"/>
        <v/>
      </c>
      <c r="X866" t="str">
        <f t="shared" si="28"/>
        <v/>
      </c>
      <c r="Y866" s="341">
        <f>IF('General price list'!$AB868="",0,'General price list'!$AB868)</f>
        <v>0</v>
      </c>
      <c r="Z866" s="365" t="str">
        <f>IFERROR(X866*VLOOKUP(C866,'General price list'!C:I,7,FALSE),"")</f>
        <v/>
      </c>
      <c r="AA866" s="805" t="str">
        <f>IF(X866&lt;&gt;"",VLOOKUP(C866,'General price list'!C868:AN1841,MATCH("HM",Tabulka1[[#Headers],[KOD]:[NEQ]],0),FALSE),"")</f>
        <v/>
      </c>
    </row>
    <row r="867" spans="1:27">
      <c r="A867">
        <f>COUNTIF($W$22:W867,1)</f>
        <v>0</v>
      </c>
      <c r="B867">
        <v>867</v>
      </c>
      <c r="C867" s="340" t="str">
        <f>Tabulka1[[#This Row],[KOD]]</f>
        <v>HF-129-2223A-HF-114-2224</v>
      </c>
      <c r="W867" s="804" t="str">
        <f t="shared" si="27"/>
        <v/>
      </c>
      <c r="X867" t="str">
        <f t="shared" si="28"/>
        <v/>
      </c>
      <c r="Y867" s="341">
        <f>IF('General price list'!$AB869="",0,'General price list'!$AB869)</f>
        <v>0</v>
      </c>
      <c r="Z867" s="365" t="str">
        <f>IFERROR(X867*VLOOKUP(C867,'General price list'!C:I,7,FALSE),"")</f>
        <v/>
      </c>
      <c r="AA867" s="805" t="str">
        <f>IF(X867&lt;&gt;"",VLOOKUP(C867,'General price list'!C869:AN1842,MATCH("HM",Tabulka1[[#Headers],[KOD]:[NEQ]],0),FALSE),"")</f>
        <v/>
      </c>
    </row>
    <row r="868" spans="1:27">
      <c r="A868">
        <f>COUNTIF($W$22:W868,1)</f>
        <v>0</v>
      </c>
      <c r="B868">
        <v>868</v>
      </c>
      <c r="C868" s="340" t="str">
        <f>Tabulka1[[#This Row],[KOD]]</f>
        <v>HF-90-2218-HF-90-2219</v>
      </c>
      <c r="W868" s="804" t="str">
        <f t="shared" si="27"/>
        <v/>
      </c>
      <c r="X868" t="str">
        <f t="shared" si="28"/>
        <v/>
      </c>
      <c r="Y868" s="341">
        <f>IF('General price list'!$AB870="",0,'General price list'!$AB870)</f>
        <v>0</v>
      </c>
      <c r="Z868" s="365" t="str">
        <f>IFERROR(X868*VLOOKUP(C868,'General price list'!C:I,7,FALSE),"")</f>
        <v/>
      </c>
      <c r="AA868" s="805" t="str">
        <f>IF(X868&lt;&gt;"",VLOOKUP(C868,'General price list'!C870:AN1843,MATCH("HM",Tabulka1[[#Headers],[KOD]:[NEQ]],0),FALSE),"")</f>
        <v/>
      </c>
    </row>
    <row r="869" spans="1:27">
      <c r="A869">
        <f>COUNTIF($W$22:W869,1)</f>
        <v>0</v>
      </c>
      <c r="B869">
        <v>869</v>
      </c>
      <c r="C869" s="340" t="str">
        <f>Tabulka1[[#This Row],[KOD]]</f>
        <v>HF-78-2423-HF-78-2424</v>
      </c>
      <c r="W869" s="804" t="str">
        <f t="shared" si="27"/>
        <v/>
      </c>
      <c r="X869" t="str">
        <f t="shared" si="28"/>
        <v/>
      </c>
      <c r="Y869" s="341">
        <f>IF('General price list'!$AB871="",0,'General price list'!$AB871)</f>
        <v>0</v>
      </c>
      <c r="Z869" s="365" t="str">
        <f>IFERROR(X869*VLOOKUP(C869,'General price list'!C:I,7,FALSE),"")</f>
        <v/>
      </c>
      <c r="AA869" s="805" t="str">
        <f>IF(X869&lt;&gt;"",VLOOKUP(C869,'General price list'!C871:AN1844,MATCH("HM",Tabulka1[[#Headers],[KOD]:[NEQ]],0),FALSE),"")</f>
        <v/>
      </c>
    </row>
    <row r="870" spans="1:27">
      <c r="A870">
        <f>COUNTIF($W$22:W870,1)</f>
        <v>0</v>
      </c>
      <c r="B870">
        <v>870</v>
      </c>
      <c r="C870" s="340" t="str">
        <f>Tabulka1[[#This Row],[KOD]]</f>
        <v>HF-80-2366s  HF-80-2367s</v>
      </c>
      <c r="W870" s="804" t="str">
        <f t="shared" si="27"/>
        <v/>
      </c>
      <c r="X870" t="str">
        <f t="shared" si="28"/>
        <v/>
      </c>
      <c r="Y870" s="341">
        <f>IF('General price list'!$AB872="",0,'General price list'!$AB872)</f>
        <v>0</v>
      </c>
      <c r="Z870" s="365" t="str">
        <f>IFERROR(X870*VLOOKUP(C870,'General price list'!C:I,7,FALSE),"")</f>
        <v/>
      </c>
      <c r="AA870" s="805" t="str">
        <f>IF(X870&lt;&gt;"",VLOOKUP(C870,'General price list'!C872:AN1845,MATCH("HM",Tabulka1[[#Headers],[KOD]:[NEQ]],0),FALSE),"")</f>
        <v/>
      </c>
    </row>
    <row r="871" spans="1:27">
      <c r="A871">
        <f>COUNTIF($W$22:W871,1)</f>
        <v>0</v>
      </c>
      <c r="B871">
        <v>871</v>
      </c>
      <c r="C871" s="340" t="str">
        <f>Tabulka1[[#This Row],[KOD]]</f>
        <v>RK-92-2565 RK-96-2566</v>
      </c>
      <c r="W871" s="804" t="str">
        <f t="shared" si="27"/>
        <v/>
      </c>
      <c r="X871" t="str">
        <f t="shared" si="28"/>
        <v/>
      </c>
      <c r="Y871" s="341">
        <f>IF('General price list'!$AB873="",0,'General price list'!$AB873)</f>
        <v>0</v>
      </c>
      <c r="Z871" s="365" t="str">
        <f>IFERROR(X871*VLOOKUP(C871,'General price list'!C:I,7,FALSE),"")</f>
        <v/>
      </c>
      <c r="AA871" s="805" t="str">
        <f>IF(X871&lt;&gt;"",VLOOKUP(C871,'General price list'!C873:AN1846,MATCH("HM",Tabulka1[[#Headers],[KOD]:[NEQ]],0),FALSE),"")</f>
        <v/>
      </c>
    </row>
    <row r="872" spans="1:27">
      <c r="A872">
        <f>COUNTIF($W$22:W872,1)</f>
        <v>0</v>
      </c>
      <c r="B872">
        <v>872</v>
      </c>
      <c r="C872" s="340" t="str">
        <f>Tabulka1[[#This Row],[KOD]]</f>
        <v>HF-96-2418-HF-96-2419</v>
      </c>
      <c r="W872" s="804" t="str">
        <f t="shared" si="27"/>
        <v/>
      </c>
      <c r="X872" t="str">
        <f t="shared" si="28"/>
        <v/>
      </c>
      <c r="Y872" s="341">
        <f>IF('General price list'!$AB874="",0,'General price list'!$AB874)</f>
        <v>0</v>
      </c>
      <c r="Z872" s="365" t="str">
        <f>IFERROR(X872*VLOOKUP(C872,'General price list'!C:I,7,FALSE),"")</f>
        <v/>
      </c>
      <c r="AA872" s="805" t="str">
        <f>IF(X872&lt;&gt;"",VLOOKUP(C872,'General price list'!C874:AN1847,MATCH("HM",Tabulka1[[#Headers],[KOD]:[NEQ]],0),FALSE),"")</f>
        <v/>
      </c>
    </row>
    <row r="873" spans="1:27">
      <c r="A873">
        <f>COUNTIF($W$22:W873,1)</f>
        <v>0</v>
      </c>
      <c r="B873">
        <v>873</v>
      </c>
      <c r="C873" s="340" t="str">
        <f>Tabulka1[[#This Row],[KOD]]</f>
        <v>HF-88-2487-HF-116-2488</v>
      </c>
      <c r="W873" s="804" t="str">
        <f t="shared" si="27"/>
        <v/>
      </c>
      <c r="X873" t="str">
        <f t="shared" si="28"/>
        <v/>
      </c>
      <c r="Y873" s="341">
        <f>IF('General price list'!$AB875="",0,'General price list'!$AB875)</f>
        <v>0</v>
      </c>
      <c r="Z873" s="365" t="str">
        <f>IFERROR(X873*VLOOKUP(C873,'General price list'!C:I,7,FALSE),"")</f>
        <v/>
      </c>
      <c r="AA873" s="805" t="str">
        <f>IF(X873&lt;&gt;"",VLOOKUP(C873,'General price list'!C875:AN1848,MATCH("HM",Tabulka1[[#Headers],[KOD]:[NEQ]],0),FALSE),"")</f>
        <v/>
      </c>
    </row>
    <row r="874" spans="1:27">
      <c r="A874">
        <f>COUNTIF($W$22:W874,1)</f>
        <v>0</v>
      </c>
      <c r="B874">
        <v>874</v>
      </c>
      <c r="C874" s="340" t="str">
        <f>Tabulka1[[#This Row],[KOD]]</f>
        <v>HF-98-24103-HF-96-24104-HF-98-24105-HF-100-24106</v>
      </c>
      <c r="W874" s="804" t="str">
        <f t="shared" si="27"/>
        <v/>
      </c>
      <c r="X874" t="str">
        <f t="shared" si="28"/>
        <v/>
      </c>
      <c r="Y874" s="341">
        <f>IF('General price list'!$AB876="",0,'General price list'!$AB876)</f>
        <v>0</v>
      </c>
      <c r="Z874" s="365" t="str">
        <f>IFERROR(X874*VLOOKUP(C874,'General price list'!C:I,7,FALSE),"")</f>
        <v/>
      </c>
      <c r="AA874" s="805" t="str">
        <f>IF(X874&lt;&gt;"",VLOOKUP(C874,'General price list'!C876:AN1849,MATCH("HM",Tabulka1[[#Headers],[KOD]:[NEQ]],0),FALSE),"")</f>
        <v/>
      </c>
    </row>
    <row r="875" spans="1:27">
      <c r="A875">
        <f>COUNTIF($W$22:W875,1)</f>
        <v>0</v>
      </c>
      <c r="B875">
        <v>875</v>
      </c>
      <c r="C875" s="340">
        <f>Tabulka1[[#This Row],[KOD]]</f>
        <v>0</v>
      </c>
      <c r="W875" s="804" t="str">
        <f t="shared" si="27"/>
        <v/>
      </c>
      <c r="X875" t="str">
        <f t="shared" si="28"/>
        <v/>
      </c>
      <c r="Y875" s="341">
        <f>IF('General price list'!$AB877="",0,'General price list'!$AB877)</f>
        <v>0</v>
      </c>
      <c r="Z875" s="365" t="str">
        <f>IFERROR(X875*VLOOKUP(C875,'General price list'!C:I,7,FALSE),"")</f>
        <v/>
      </c>
      <c r="AA875" s="805" t="str">
        <f>IF(X875&lt;&gt;"",VLOOKUP(C875,'General price list'!C877:AN1850,MATCH("HM",Tabulka1[[#Headers],[KOD]:[NEQ]],0),FALSE),"")</f>
        <v/>
      </c>
    </row>
    <row r="876" spans="1:27">
      <c r="A876">
        <f>COUNTIF($W$22:W876,1)</f>
        <v>0</v>
      </c>
      <c r="B876">
        <v>876</v>
      </c>
      <c r="C876" s="340" t="str">
        <f>Tabulka1[[#This Row],[KOD]]</f>
        <v>CX1352X2</v>
      </c>
      <c r="W876" s="804" t="str">
        <f t="shared" si="27"/>
        <v/>
      </c>
      <c r="X876" t="str">
        <f t="shared" si="28"/>
        <v/>
      </c>
      <c r="Y876" s="341">
        <f>IF('General price list'!$AB878="",0,'General price list'!$AB878)</f>
        <v>0</v>
      </c>
      <c r="Z876" s="365" t="str">
        <f>IFERROR(X876*VLOOKUP(C876,'General price list'!C:I,7,FALSE),"")</f>
        <v/>
      </c>
      <c r="AA876" s="805" t="str">
        <f>IF(X876&lt;&gt;"",VLOOKUP(C876,'General price list'!C878:AN1851,MATCH("HM",Tabulka1[[#Headers],[KOD]:[NEQ]],0),FALSE),"")</f>
        <v/>
      </c>
    </row>
    <row r="877" spans="1:27">
      <c r="A877">
        <f>COUNTIF($W$22:W877,1)</f>
        <v>0</v>
      </c>
      <c r="B877">
        <v>877</v>
      </c>
      <c r="C877" s="340" t="str">
        <f>Tabulka1[[#This Row],[KOD]]</f>
        <v>CF1352X6</v>
      </c>
      <c r="W877" s="804" t="str">
        <f t="shared" si="27"/>
        <v/>
      </c>
      <c r="X877" t="str">
        <f t="shared" si="28"/>
        <v/>
      </c>
      <c r="Y877" s="341">
        <f>IF('General price list'!$AB879="",0,'General price list'!$AB879)</f>
        <v>0</v>
      </c>
      <c r="Z877" s="365" t="str">
        <f>IFERROR(X877*VLOOKUP(C877,'General price list'!C:I,7,FALSE),"")</f>
        <v/>
      </c>
      <c r="AA877" s="805" t="str">
        <f>IF(X877&lt;&gt;"",VLOOKUP(C877,'General price list'!C879:AN1852,MATCH("HM",Tabulka1[[#Headers],[KOD]:[NEQ]],0),FALSE),"")</f>
        <v/>
      </c>
    </row>
    <row r="878" spans="1:27">
      <c r="A878">
        <f>COUNTIF($W$22:W878,1)</f>
        <v>0</v>
      </c>
      <c r="B878">
        <v>878</v>
      </c>
      <c r="C878" s="340" t="str">
        <f>Tabulka1[[#This Row],[KOD]]</f>
        <v>CS1352X9</v>
      </c>
      <c r="W878" s="804" t="str">
        <f t="shared" si="27"/>
        <v/>
      </c>
      <c r="X878" t="str">
        <f t="shared" si="28"/>
        <v/>
      </c>
      <c r="Y878" s="341">
        <f>IF('General price list'!$AB880="",0,'General price list'!$AB880)</f>
        <v>0</v>
      </c>
      <c r="Z878" s="365" t="str">
        <f>IFERROR(X878*VLOOKUP(C878,'General price list'!C:I,7,FALSE),"")</f>
        <v/>
      </c>
      <c r="AA878" s="805" t="str">
        <f>IF(X878&lt;&gt;"",VLOOKUP(C878,'General price list'!C880:AN1853,MATCH("HM",Tabulka1[[#Headers],[KOD]:[NEQ]],0),FALSE),"")</f>
        <v/>
      </c>
    </row>
    <row r="879" spans="1:27">
      <c r="A879">
        <f>COUNTIF($W$22:W879,1)</f>
        <v>0</v>
      </c>
      <c r="B879">
        <v>879</v>
      </c>
      <c r="C879" s="340" t="str">
        <f>Tabulka1[[#This Row],[KOD]]</f>
        <v>CS1352X10</v>
      </c>
      <c r="W879" s="804" t="str">
        <f t="shared" si="27"/>
        <v/>
      </c>
      <c r="X879" t="str">
        <f t="shared" si="28"/>
        <v/>
      </c>
      <c r="Y879" s="341">
        <f>IF('General price list'!$AB881="",0,'General price list'!$AB881)</f>
        <v>0</v>
      </c>
      <c r="Z879" s="365" t="str">
        <f>IFERROR(X879*VLOOKUP(C879,'General price list'!C:I,7,FALSE),"")</f>
        <v/>
      </c>
      <c r="AA879" s="805" t="str">
        <f>IF(X879&lt;&gt;"",VLOOKUP(C879,'General price list'!C881:AN1854,MATCH("HM",Tabulka1[[#Headers],[KOD]:[NEQ]],0),FALSE),"")</f>
        <v/>
      </c>
    </row>
    <row r="880" spans="1:27">
      <c r="A880">
        <f>COUNTIF($W$22:W880,1)</f>
        <v>0</v>
      </c>
      <c r="B880">
        <v>880</v>
      </c>
      <c r="C880" s="340" t="str">
        <f>Tabulka1[[#This Row],[KOD]]</f>
        <v>CX1352X11</v>
      </c>
      <c r="W880" s="804" t="str">
        <f t="shared" si="27"/>
        <v/>
      </c>
      <c r="X880" t="str">
        <f t="shared" si="28"/>
        <v/>
      </c>
      <c r="Y880" s="341">
        <f>IF('General price list'!$AB882="",0,'General price list'!$AB882)</f>
        <v>0</v>
      </c>
      <c r="Z880" s="365" t="str">
        <f>IFERROR(X880*VLOOKUP(C880,'General price list'!C:I,7,FALSE),"")</f>
        <v/>
      </c>
      <c r="AA880" s="805" t="str">
        <f>IF(X880&lt;&gt;"",VLOOKUP(C880,'General price list'!C882:AN1855,MATCH("HM",Tabulka1[[#Headers],[KOD]:[NEQ]],0),FALSE),"")</f>
        <v/>
      </c>
    </row>
    <row r="881" spans="1:27">
      <c r="A881">
        <f>COUNTIF($W$22:W881,1)</f>
        <v>0</v>
      </c>
      <c r="B881">
        <v>881</v>
      </c>
      <c r="C881" s="340" t="str">
        <f>Tabulka1[[#This Row],[KOD]]</f>
        <v>CS1352X14</v>
      </c>
      <c r="W881" s="804" t="str">
        <f t="shared" si="27"/>
        <v/>
      </c>
      <c r="X881" t="str">
        <f t="shared" si="28"/>
        <v/>
      </c>
      <c r="Y881" s="341">
        <f>IF('General price list'!$AB883="",0,'General price list'!$AB883)</f>
        <v>0</v>
      </c>
      <c r="Z881" s="365" t="str">
        <f>IFERROR(X881*VLOOKUP(C881,'General price list'!C:I,7,FALSE),"")</f>
        <v/>
      </c>
      <c r="AA881" s="805" t="str">
        <f>IF(X881&lt;&gt;"",VLOOKUP(C881,'General price list'!C883:AN1856,MATCH("HM",Tabulka1[[#Headers],[KOD]:[NEQ]],0),FALSE),"")</f>
        <v/>
      </c>
    </row>
    <row r="882" spans="1:27">
      <c r="A882">
        <f>COUNTIF($W$22:W882,1)</f>
        <v>0</v>
      </c>
      <c r="B882">
        <v>882</v>
      </c>
      <c r="C882" s="340">
        <f>Tabulka1[[#This Row],[KOD]]</f>
        <v>0</v>
      </c>
      <c r="W882" s="804" t="str">
        <f t="shared" si="27"/>
        <v/>
      </c>
      <c r="X882" t="str">
        <f t="shared" si="28"/>
        <v/>
      </c>
      <c r="Y882" s="341">
        <f>IF('General price list'!$AB884="",0,'General price list'!$AB884)</f>
        <v>0</v>
      </c>
      <c r="Z882" s="365" t="str">
        <f>IFERROR(X882*VLOOKUP(C882,'General price list'!C:I,7,FALSE),"")</f>
        <v/>
      </c>
      <c r="AA882" s="805" t="str">
        <f>IF(X882&lt;&gt;"",VLOOKUP(C882,'General price list'!C884:AN1857,MATCH("HM",Tabulka1[[#Headers],[KOD]:[NEQ]],0),FALSE),"")</f>
        <v/>
      </c>
    </row>
    <row r="883" spans="1:27">
      <c r="A883">
        <f>COUNTIF($W$22:W883,1)</f>
        <v>0</v>
      </c>
      <c r="B883">
        <v>883</v>
      </c>
      <c r="C883" s="340" t="str">
        <f>Tabulka1[[#This Row],[KOD]]</f>
        <v>C253CH</v>
      </c>
      <c r="W883" s="804" t="str">
        <f t="shared" si="27"/>
        <v/>
      </c>
      <c r="X883" t="str">
        <f t="shared" si="28"/>
        <v/>
      </c>
      <c r="Y883" s="341">
        <f>IF('General price list'!$AB885="",0,'General price list'!$AB885)</f>
        <v>0</v>
      </c>
      <c r="Z883" s="365" t="str">
        <f>IFERROR(X883*VLOOKUP(C883,'General price list'!C:I,7,FALSE),"")</f>
        <v/>
      </c>
      <c r="AA883" s="805" t="str">
        <f>IF(X883&lt;&gt;"",VLOOKUP(C883,'General price list'!C885:AN1858,MATCH("HM",Tabulka1[[#Headers],[KOD]:[NEQ]],0),FALSE),"")</f>
        <v/>
      </c>
    </row>
    <row r="884" spans="1:27">
      <c r="A884">
        <f>COUNTIF($W$22:W884,1)</f>
        <v>0</v>
      </c>
      <c r="B884">
        <v>884</v>
      </c>
      <c r="C884" s="340" t="str">
        <f>Tabulka1[[#This Row],[KOD]]</f>
        <v>C253O</v>
      </c>
      <c r="W884" s="804" t="str">
        <f t="shared" si="27"/>
        <v/>
      </c>
      <c r="X884" t="str">
        <f t="shared" si="28"/>
        <v/>
      </c>
      <c r="Y884" s="341">
        <f>IF('General price list'!$AB886="",0,'General price list'!$AB886)</f>
        <v>0</v>
      </c>
      <c r="Z884" s="365" t="str">
        <f>IFERROR(X884*VLOOKUP(C884,'General price list'!C:I,7,FALSE),"")</f>
        <v/>
      </c>
      <c r="AA884" s="805" t="str">
        <f>IF(X884&lt;&gt;"",VLOOKUP(C884,'General price list'!C886:AN1859,MATCH("HM",Tabulka1[[#Headers],[KOD]:[NEQ]],0),FALSE),"")</f>
        <v/>
      </c>
    </row>
    <row r="885" spans="1:27">
      <c r="A885">
        <f>COUNTIF($W$22:W885,1)</f>
        <v>0</v>
      </c>
      <c r="B885">
        <v>885</v>
      </c>
      <c r="C885" s="340">
        <f>Tabulka1[[#This Row],[KOD]]</f>
        <v>0</v>
      </c>
      <c r="W885" s="804" t="str">
        <f t="shared" si="27"/>
        <v/>
      </c>
      <c r="X885" t="str">
        <f t="shared" si="28"/>
        <v/>
      </c>
      <c r="Y885" s="341">
        <f>IF('General price list'!$AB887="",0,'General price list'!$AB887)</f>
        <v>0</v>
      </c>
      <c r="Z885" s="365" t="str">
        <f>IFERROR(X885*VLOOKUP(C885,'General price list'!C:I,7,FALSE),"")</f>
        <v/>
      </c>
      <c r="AA885" s="805" t="str">
        <f>IF(X885&lt;&gt;"",VLOOKUP(C885,'General price list'!C887:AN1860,MATCH("HM",Tabulka1[[#Headers],[KOD]:[NEQ]],0),FALSE),"")</f>
        <v/>
      </c>
    </row>
    <row r="886" spans="1:27">
      <c r="A886">
        <f>COUNTIF($W$22:W886,1)</f>
        <v>0</v>
      </c>
      <c r="B886">
        <v>886</v>
      </c>
      <c r="C886" s="340" t="str">
        <f>Tabulka1[[#This Row],[KOD]]</f>
        <v>CF503X3</v>
      </c>
      <c r="W886" s="804" t="str">
        <f t="shared" si="27"/>
        <v/>
      </c>
      <c r="X886" t="str">
        <f t="shared" si="28"/>
        <v/>
      </c>
      <c r="Y886" s="341">
        <f>IF('General price list'!$AB888="",0,'General price list'!$AB888)</f>
        <v>0</v>
      </c>
      <c r="Z886" s="365" t="str">
        <f>IFERROR(X886*VLOOKUP(C886,'General price list'!C:I,7,FALSE),"")</f>
        <v/>
      </c>
      <c r="AA886" s="805" t="str">
        <f>IF(X886&lt;&gt;"",VLOOKUP(C886,'General price list'!C888:AN1861,MATCH("HM",Tabulka1[[#Headers],[KOD]:[NEQ]],0),FALSE),"")</f>
        <v/>
      </c>
    </row>
    <row r="887" spans="1:27">
      <c r="A887">
        <f>COUNTIF($W$22:W887,1)</f>
        <v>0</v>
      </c>
      <c r="B887">
        <v>887</v>
      </c>
      <c r="C887" s="340" t="str">
        <f>Tabulka1[[#This Row],[KOD]]</f>
        <v>CF503X4</v>
      </c>
      <c r="W887" s="804" t="str">
        <f t="shared" si="27"/>
        <v/>
      </c>
      <c r="X887" t="str">
        <f t="shared" si="28"/>
        <v/>
      </c>
      <c r="Y887" s="341">
        <f>IF('General price list'!$AB889="",0,'General price list'!$AB889)</f>
        <v>0</v>
      </c>
      <c r="Z887" s="365" t="str">
        <f>IFERROR(X887*VLOOKUP(C887,'General price list'!C:I,7,FALSE),"")</f>
        <v/>
      </c>
      <c r="AA887" s="805" t="str">
        <f>IF(X887&lt;&gt;"",VLOOKUP(C887,'General price list'!C889:AN1862,MATCH("HM",Tabulka1[[#Headers],[KOD]:[NEQ]],0),FALSE),"")</f>
        <v/>
      </c>
    </row>
    <row r="888" spans="1:27">
      <c r="A888">
        <f>COUNTIF($W$22:W888,1)</f>
        <v>0</v>
      </c>
      <c r="B888">
        <v>888</v>
      </c>
      <c r="C888" s="340" t="str">
        <f>Tabulka1[[#This Row],[KOD]]</f>
        <v>CF503X5</v>
      </c>
      <c r="W888" s="804" t="str">
        <f t="shared" si="27"/>
        <v/>
      </c>
      <c r="X888" t="str">
        <f t="shared" si="28"/>
        <v/>
      </c>
      <c r="Y888" s="341">
        <f>IF('General price list'!$AB890="",0,'General price list'!$AB890)</f>
        <v>0</v>
      </c>
      <c r="Z888" s="365" t="str">
        <f>IFERROR(X888*VLOOKUP(C888,'General price list'!C:I,7,FALSE),"")</f>
        <v/>
      </c>
      <c r="AA888" s="805" t="str">
        <f>IF(X888&lt;&gt;"",VLOOKUP(C888,'General price list'!C890:AN1863,MATCH("HM",Tabulka1[[#Headers],[KOD]:[NEQ]],0),FALSE),"")</f>
        <v/>
      </c>
    </row>
    <row r="889" spans="1:27">
      <c r="A889">
        <f>COUNTIF($W$22:W889,1)</f>
        <v>0</v>
      </c>
      <c r="B889">
        <v>889</v>
      </c>
      <c r="C889" s="340" t="str">
        <f>Tabulka1[[#This Row],[KOD]]</f>
        <v>CF503X7</v>
      </c>
      <c r="W889" s="804" t="str">
        <f t="shared" si="27"/>
        <v/>
      </c>
      <c r="X889" t="str">
        <f t="shared" si="28"/>
        <v/>
      </c>
      <c r="Y889" s="341">
        <f>IF('General price list'!$AB891="",0,'General price list'!$AB891)</f>
        <v>0</v>
      </c>
      <c r="Z889" s="365" t="str">
        <f>IFERROR(X889*VLOOKUP(C889,'General price list'!C:I,7,FALSE),"")</f>
        <v/>
      </c>
      <c r="AA889" s="805" t="str">
        <f>IF(X889&lt;&gt;"",VLOOKUP(C889,'General price list'!C891:AN1864,MATCH("HM",Tabulka1[[#Headers],[KOD]:[NEQ]],0),FALSE),"")</f>
        <v/>
      </c>
    </row>
    <row r="890" spans="1:27">
      <c r="A890">
        <f>COUNTIF($W$22:W890,1)</f>
        <v>0</v>
      </c>
      <c r="B890">
        <v>890</v>
      </c>
      <c r="C890" s="340" t="str">
        <f>Tabulka1[[#This Row],[KOD]]</f>
        <v>CF503X8</v>
      </c>
      <c r="W890" s="804" t="str">
        <f t="shared" si="27"/>
        <v/>
      </c>
      <c r="X890" t="str">
        <f t="shared" si="28"/>
        <v/>
      </c>
      <c r="Y890" s="341">
        <f>IF('General price list'!$AB892="",0,'General price list'!$AB892)</f>
        <v>0</v>
      </c>
      <c r="Z890" s="365" t="str">
        <f>IFERROR(X890*VLOOKUP(C890,'General price list'!C:I,7,FALSE),"")</f>
        <v/>
      </c>
      <c r="AA890" s="805" t="str">
        <f>IF(X890&lt;&gt;"",VLOOKUP(C890,'General price list'!C892:AN1865,MATCH("HM",Tabulka1[[#Headers],[KOD]:[NEQ]],0),FALSE),"")</f>
        <v/>
      </c>
    </row>
    <row r="891" spans="1:27">
      <c r="A891">
        <f>COUNTIF($W$22:W891,1)</f>
        <v>0</v>
      </c>
      <c r="B891">
        <v>891</v>
      </c>
      <c r="C891" s="340" t="str">
        <f>Tabulka1[[#This Row],[KOD]]</f>
        <v>CF503X12</v>
      </c>
      <c r="W891" s="804" t="str">
        <f t="shared" si="27"/>
        <v/>
      </c>
      <c r="X891" t="str">
        <f t="shared" si="28"/>
        <v/>
      </c>
      <c r="Y891" s="341">
        <f>IF('General price list'!$AB893="",0,'General price list'!$AB893)</f>
        <v>0</v>
      </c>
      <c r="Z891" s="365" t="str">
        <f>IFERROR(X891*VLOOKUP(C891,'General price list'!C:I,7,FALSE),"")</f>
        <v/>
      </c>
      <c r="AA891" s="805" t="str">
        <f>IF(X891&lt;&gt;"",VLOOKUP(C891,'General price list'!C893:AN1866,MATCH("HM",Tabulka1[[#Headers],[KOD]:[NEQ]],0),FALSE),"")</f>
        <v/>
      </c>
    </row>
    <row r="892" spans="1:27">
      <c r="A892">
        <f>COUNTIF($W$22:W892,1)</f>
        <v>0</v>
      </c>
      <c r="B892">
        <v>892</v>
      </c>
      <c r="C892" s="340" t="str">
        <f>Tabulka1[[#This Row],[KOD]]</f>
        <v>CF503X14</v>
      </c>
      <c r="W892" s="804" t="str">
        <f t="shared" si="27"/>
        <v/>
      </c>
      <c r="X892" t="str">
        <f t="shared" si="28"/>
        <v/>
      </c>
      <c r="Y892" s="341">
        <f>IF('General price list'!$AB894="",0,'General price list'!$AB894)</f>
        <v>0</v>
      </c>
      <c r="Z892" s="365" t="str">
        <f>IFERROR(X892*VLOOKUP(C892,'General price list'!C:I,7,FALSE),"")</f>
        <v/>
      </c>
      <c r="AA892" s="805" t="str">
        <f>IF(X892&lt;&gt;"",VLOOKUP(C892,'General price list'!C894:AN1867,MATCH("HM",Tabulka1[[#Headers],[KOD]:[NEQ]],0),FALSE),"")</f>
        <v/>
      </c>
    </row>
    <row r="893" spans="1:27" s="20" customFormat="1">
      <c r="A893">
        <f>COUNTIF($W$22:W893,1)</f>
        <v>0</v>
      </c>
      <c r="B893" s="20">
        <v>893</v>
      </c>
      <c r="C893" s="339" t="str">
        <f>Tabulka1[[#This Row],[KOD]]</f>
        <v>CF503X15</v>
      </c>
      <c r="W893" s="804" t="str">
        <f t="shared" si="27"/>
        <v/>
      </c>
      <c r="X893" t="str">
        <f t="shared" si="28"/>
        <v/>
      </c>
      <c r="Y893" s="341">
        <f>IF('General price list'!$AB895="",0,'General price list'!$AB895)</f>
        <v>0</v>
      </c>
      <c r="Z893" s="365" t="str">
        <f>IFERROR(X893*VLOOKUP(C893,'General price list'!C:I,7,FALSE),"")</f>
        <v/>
      </c>
      <c r="AA893" s="805" t="str">
        <f>IF(X893&lt;&gt;"",VLOOKUP(C893,'General price list'!C895:AN1868,MATCH("HM",Tabulka1[[#Headers],[KOD]:[NEQ]],0),FALSE),"")</f>
        <v/>
      </c>
    </row>
    <row r="894" spans="1:27">
      <c r="A894">
        <f>COUNTIF($W$22:W894,1)</f>
        <v>0</v>
      </c>
      <c r="B894">
        <v>894</v>
      </c>
      <c r="C894" s="340" t="str">
        <f>Tabulka1[[#This Row],[KOD]]</f>
        <v>CF503X17</v>
      </c>
      <c r="W894" s="804" t="str">
        <f t="shared" si="27"/>
        <v/>
      </c>
      <c r="X894" t="str">
        <f t="shared" si="28"/>
        <v/>
      </c>
      <c r="Y894" s="341">
        <f>IF('General price list'!$AB896="",0,'General price list'!$AB896)</f>
        <v>0</v>
      </c>
      <c r="Z894" s="365" t="str">
        <f>IFERROR(X894*VLOOKUP(C894,'General price list'!C:I,7,FALSE),"")</f>
        <v/>
      </c>
      <c r="AA894" s="805" t="str">
        <f>IF(X894&lt;&gt;"",VLOOKUP(C894,'General price list'!C896:AN1869,MATCH("HM",Tabulka1[[#Headers],[KOD]:[NEQ]],0),FALSE),"")</f>
        <v/>
      </c>
    </row>
    <row r="895" spans="1:27">
      <c r="A895">
        <f>COUNTIF($W$22:W895,1)</f>
        <v>0</v>
      </c>
      <c r="B895">
        <v>895</v>
      </c>
      <c r="C895" s="340" t="str">
        <f>Tabulka1[[#This Row],[KOD]]</f>
        <v>CF503X29</v>
      </c>
      <c r="W895" s="804" t="str">
        <f t="shared" si="27"/>
        <v/>
      </c>
      <c r="X895" t="str">
        <f t="shared" si="28"/>
        <v/>
      </c>
      <c r="Y895" s="341">
        <f>IF('General price list'!$AB897="",0,'General price list'!$AB897)</f>
        <v>0</v>
      </c>
      <c r="Z895" s="365" t="str">
        <f>IFERROR(X895*VLOOKUP(C895,'General price list'!C:I,7,FALSE),"")</f>
        <v/>
      </c>
      <c r="AA895" s="805" t="str">
        <f>IF(X895&lt;&gt;"",VLOOKUP(C895,'General price list'!C897:AN1870,MATCH("HM",Tabulka1[[#Headers],[KOD]:[NEQ]],0),FALSE),"")</f>
        <v/>
      </c>
    </row>
    <row r="896" spans="1:27">
      <c r="A896">
        <f>COUNTIF($W$22:W896,1)</f>
        <v>0</v>
      </c>
      <c r="B896">
        <v>896</v>
      </c>
      <c r="C896" s="340" t="str">
        <f>Tabulka1[[#This Row],[KOD]]</f>
        <v>CF503X48</v>
      </c>
      <c r="W896" s="804" t="str">
        <f t="shared" si="27"/>
        <v/>
      </c>
      <c r="X896" t="str">
        <f t="shared" si="28"/>
        <v/>
      </c>
      <c r="Y896" s="341">
        <f>IF('General price list'!$AB898="",0,'General price list'!$AB898)</f>
        <v>0</v>
      </c>
      <c r="Z896" s="365" t="str">
        <f>IFERROR(X896*VLOOKUP(C896,'General price list'!C:I,7,FALSE),"")</f>
        <v/>
      </c>
      <c r="AA896" s="805" t="str">
        <f>IF(X896&lt;&gt;"",VLOOKUP(C896,'General price list'!C898:AN1871,MATCH("HM",Tabulka1[[#Headers],[KOD]:[NEQ]],0),FALSE),"")</f>
        <v/>
      </c>
    </row>
    <row r="897" spans="1:27">
      <c r="A897">
        <f>COUNTIF($W$22:W897,1)</f>
        <v>0</v>
      </c>
      <c r="B897">
        <v>897</v>
      </c>
      <c r="C897" s="340" t="str">
        <f>Tabulka1[[#This Row],[KOD]]</f>
        <v>CF503X54</v>
      </c>
      <c r="W897" s="804" t="str">
        <f t="shared" si="27"/>
        <v/>
      </c>
      <c r="X897" t="str">
        <f t="shared" si="28"/>
        <v/>
      </c>
      <c r="Y897" s="341">
        <f>IF('General price list'!$AB899="",0,'General price list'!$AB899)</f>
        <v>0</v>
      </c>
      <c r="Z897" s="365" t="str">
        <f>IFERROR(X897*VLOOKUP(C897,'General price list'!C:I,7,FALSE),"")</f>
        <v/>
      </c>
      <c r="AA897" s="805" t="str">
        <f>IF(X897&lt;&gt;"",VLOOKUP(C897,'General price list'!C899:AN1872,MATCH("HM",Tabulka1[[#Headers],[KOD]:[NEQ]],0),FALSE),"")</f>
        <v/>
      </c>
    </row>
    <row r="898" spans="1:27">
      <c r="A898">
        <f>COUNTIF($W$22:W898,1)</f>
        <v>0</v>
      </c>
      <c r="B898">
        <v>898</v>
      </c>
      <c r="C898" s="340">
        <f>Tabulka1[[#This Row],[KOD]]</f>
        <v>0</v>
      </c>
      <c r="W898" s="804" t="str">
        <f t="shared" si="27"/>
        <v/>
      </c>
      <c r="X898" t="str">
        <f t="shared" si="28"/>
        <v/>
      </c>
      <c r="Y898" s="341">
        <f>IF('General price list'!$AB900="",0,'General price list'!$AB900)</f>
        <v>0</v>
      </c>
      <c r="Z898" s="365" t="str">
        <f>IFERROR(X898*VLOOKUP(C898,'General price list'!C:I,7,FALSE),"")</f>
        <v/>
      </c>
      <c r="AA898" s="805" t="str">
        <f>IF(X898&lt;&gt;"",VLOOKUP(C898,'General price list'!C900:AN1873,MATCH("HM",Tabulka1[[#Headers],[KOD]:[NEQ]],0),FALSE),"")</f>
        <v/>
      </c>
    </row>
    <row r="899" spans="1:27">
      <c r="A899">
        <f>COUNTIF($W$22:W899,1)</f>
        <v>0</v>
      </c>
      <c r="B899">
        <v>899</v>
      </c>
      <c r="C899" s="340" t="str">
        <f>Tabulka1[[#This Row],[KOD]]</f>
        <v>CS503X8</v>
      </c>
      <c r="W899" s="804" t="str">
        <f t="shared" si="27"/>
        <v/>
      </c>
      <c r="X899" t="str">
        <f t="shared" si="28"/>
        <v/>
      </c>
      <c r="Y899" s="341">
        <f>IF('General price list'!$AB901="",0,'General price list'!$AB901)</f>
        <v>0</v>
      </c>
      <c r="Z899" s="365" t="str">
        <f>IFERROR(X899*VLOOKUP(C899,'General price list'!C:I,7,FALSE),"")</f>
        <v/>
      </c>
      <c r="AA899" s="805" t="str">
        <f>IF(X899&lt;&gt;"",VLOOKUP(C899,'General price list'!C901:AN1874,MATCH("HM",Tabulka1[[#Headers],[KOD]:[NEQ]],0),FALSE),"")</f>
        <v/>
      </c>
    </row>
    <row r="900" spans="1:27">
      <c r="A900">
        <f>COUNTIF($W$22:W900,1)</f>
        <v>0</v>
      </c>
      <c r="B900">
        <v>900</v>
      </c>
      <c r="C900" s="340" t="str">
        <f>Tabulka1[[#This Row],[KOD]]</f>
        <v>CS503X9</v>
      </c>
      <c r="W900" s="804" t="str">
        <f t="shared" si="27"/>
        <v/>
      </c>
      <c r="X900" t="str">
        <f t="shared" si="28"/>
        <v/>
      </c>
      <c r="Y900" s="341">
        <f>IF('General price list'!$AB902="",0,'General price list'!$AB902)</f>
        <v>0</v>
      </c>
      <c r="Z900" s="365" t="str">
        <f>IFERROR(X900*VLOOKUP(C900,'General price list'!C:I,7,FALSE),"")</f>
        <v/>
      </c>
      <c r="AA900" s="805" t="str">
        <f>IF(X900&lt;&gt;"",VLOOKUP(C900,'General price list'!C902:AN1875,MATCH("HM",Tabulka1[[#Headers],[KOD]:[NEQ]],0),FALSE),"")</f>
        <v/>
      </c>
    </row>
    <row r="901" spans="1:27">
      <c r="A901">
        <f>COUNTIF($W$22:W901,1)</f>
        <v>0</v>
      </c>
      <c r="B901">
        <v>901</v>
      </c>
      <c r="C901" s="340" t="str">
        <f>Tabulka1[[#This Row],[KOD]]</f>
        <v>CS503X11</v>
      </c>
      <c r="W901" s="804" t="str">
        <f t="shared" si="27"/>
        <v/>
      </c>
      <c r="X901" t="str">
        <f t="shared" si="28"/>
        <v/>
      </c>
      <c r="Y901" s="341">
        <f>IF('General price list'!$AB903="",0,'General price list'!$AB903)</f>
        <v>0</v>
      </c>
      <c r="Z901" s="365" t="str">
        <f>IFERROR(X901*VLOOKUP(C901,'General price list'!C:I,7,FALSE),"")</f>
        <v/>
      </c>
      <c r="AA901" s="805" t="str">
        <f>IF(X901&lt;&gt;"",VLOOKUP(C901,'General price list'!C903:AN1876,MATCH("HM",Tabulka1[[#Headers],[KOD]:[NEQ]],0),FALSE),"")</f>
        <v/>
      </c>
    </row>
    <row r="902" spans="1:27">
      <c r="A902">
        <f>COUNTIF($W$22:W902,1)</f>
        <v>0</v>
      </c>
      <c r="B902">
        <v>902</v>
      </c>
      <c r="C902" s="340" t="str">
        <f>Tabulka1[[#This Row],[KOD]]</f>
        <v>CS503X14</v>
      </c>
      <c r="W902" s="804" t="str">
        <f t="shared" si="27"/>
        <v/>
      </c>
      <c r="X902" t="str">
        <f t="shared" si="28"/>
        <v/>
      </c>
      <c r="Y902" s="341">
        <f>IF('General price list'!$AB904="",0,'General price list'!$AB904)</f>
        <v>0</v>
      </c>
      <c r="Z902" s="365" t="str">
        <f>IFERROR(X902*VLOOKUP(C902,'General price list'!C:I,7,FALSE),"")</f>
        <v/>
      </c>
      <c r="AA902" s="805" t="str">
        <f>IF(X902&lt;&gt;"",VLOOKUP(C902,'General price list'!C904:AN1877,MATCH("HM",Tabulka1[[#Headers],[KOD]:[NEQ]],0),FALSE),"")</f>
        <v/>
      </c>
    </row>
    <row r="903" spans="1:27">
      <c r="A903">
        <f>COUNTIF($W$22:W903,1)</f>
        <v>0</v>
      </c>
      <c r="B903">
        <v>903</v>
      </c>
      <c r="C903" s="340" t="str">
        <f>Tabulka1[[#This Row],[KOD]]</f>
        <v>CS503X15</v>
      </c>
      <c r="W903" s="804" t="str">
        <f t="shared" si="27"/>
        <v/>
      </c>
      <c r="X903" t="str">
        <f t="shared" si="28"/>
        <v/>
      </c>
      <c r="Y903" s="341">
        <f>IF('General price list'!$AB905="",0,'General price list'!$AB905)</f>
        <v>0</v>
      </c>
      <c r="Z903" s="365" t="str">
        <f>IFERROR(X903*VLOOKUP(C903,'General price list'!C:I,7,FALSE),"")</f>
        <v/>
      </c>
      <c r="AA903" s="805" t="str">
        <f>IF(X903&lt;&gt;"",VLOOKUP(C903,'General price list'!C905:AN1878,MATCH("HM",Tabulka1[[#Headers],[KOD]:[NEQ]],0),FALSE),"")</f>
        <v/>
      </c>
    </row>
    <row r="904" spans="1:27">
      <c r="A904">
        <f>COUNTIF($W$22:W904,1)</f>
        <v>0</v>
      </c>
      <c r="B904">
        <v>904</v>
      </c>
      <c r="C904" s="340" t="str">
        <f>Tabulka1[[#This Row],[KOD]]</f>
        <v>CS503X19</v>
      </c>
      <c r="W904" s="804" t="str">
        <f t="shared" si="27"/>
        <v/>
      </c>
      <c r="X904" t="str">
        <f t="shared" si="28"/>
        <v/>
      </c>
      <c r="Y904" s="341">
        <f>IF('General price list'!$AB906="",0,'General price list'!$AB906)</f>
        <v>0</v>
      </c>
      <c r="Z904" s="365" t="str">
        <f>IFERROR(X904*VLOOKUP(C904,'General price list'!C:I,7,FALSE),"")</f>
        <v/>
      </c>
      <c r="AA904" s="805" t="str">
        <f>IF(X904&lt;&gt;"",VLOOKUP(C904,'General price list'!C906:AN1879,MATCH("HM",Tabulka1[[#Headers],[KOD]:[NEQ]],0),FALSE),"")</f>
        <v/>
      </c>
    </row>
    <row r="905" spans="1:27">
      <c r="A905">
        <f>COUNTIF($W$22:W905,1)</f>
        <v>0</v>
      </c>
      <c r="B905">
        <v>905</v>
      </c>
      <c r="C905" s="340" t="str">
        <f>Tabulka1[[#This Row],[KOD]]</f>
        <v>CS503X26</v>
      </c>
      <c r="W905" s="804" t="str">
        <f t="shared" si="27"/>
        <v/>
      </c>
      <c r="X905" t="str">
        <f t="shared" si="28"/>
        <v/>
      </c>
      <c r="Y905" s="341">
        <f>IF('General price list'!$AB907="",0,'General price list'!$AB907)</f>
        <v>0</v>
      </c>
      <c r="Z905" s="365" t="str">
        <f>IFERROR(X905*VLOOKUP(C905,'General price list'!C:I,7,FALSE),"")</f>
        <v/>
      </c>
      <c r="AA905" s="805" t="str">
        <f>IF(X905&lt;&gt;"",VLOOKUP(C905,'General price list'!C907:AN1880,MATCH("HM",Tabulka1[[#Headers],[KOD]:[NEQ]],0),FALSE),"")</f>
        <v/>
      </c>
    </row>
    <row r="906" spans="1:27">
      <c r="A906">
        <f>COUNTIF($W$22:W906,1)</f>
        <v>0</v>
      </c>
      <c r="B906">
        <v>906</v>
      </c>
      <c r="C906" s="340" t="str">
        <f>Tabulka1[[#This Row],[KOD]]</f>
        <v>CS503X33</v>
      </c>
      <c r="W906" s="804" t="str">
        <f t="shared" si="27"/>
        <v/>
      </c>
      <c r="X906" t="str">
        <f t="shared" si="28"/>
        <v/>
      </c>
      <c r="Y906" s="341">
        <f>IF('General price list'!$AB908="",0,'General price list'!$AB908)</f>
        <v>0</v>
      </c>
      <c r="Z906" s="365" t="str">
        <f>IFERROR(X906*VLOOKUP(C906,'General price list'!C:I,7,FALSE),"")</f>
        <v/>
      </c>
      <c r="AA906" s="805" t="str">
        <f>IF(X906&lt;&gt;"",VLOOKUP(C906,'General price list'!C908:AN1881,MATCH("HM",Tabulka1[[#Headers],[KOD]:[NEQ]],0),FALSE),"")</f>
        <v/>
      </c>
    </row>
    <row r="907" spans="1:27">
      <c r="A907">
        <f>COUNTIF($W$22:W907,1)</f>
        <v>0</v>
      </c>
      <c r="B907">
        <v>907</v>
      </c>
      <c r="C907" s="340" t="str">
        <f>Tabulka1[[#This Row],[KOD]]</f>
        <v>CS503X38</v>
      </c>
      <c r="W907" s="804" t="str">
        <f t="shared" si="27"/>
        <v/>
      </c>
      <c r="X907" t="str">
        <f t="shared" si="28"/>
        <v/>
      </c>
      <c r="Y907" s="341">
        <f>IF('General price list'!$AB909="",0,'General price list'!$AB909)</f>
        <v>0</v>
      </c>
      <c r="Z907" s="365" t="str">
        <f>IFERROR(X907*VLOOKUP(C907,'General price list'!C:I,7,FALSE),"")</f>
        <v/>
      </c>
      <c r="AA907" s="805" t="str">
        <f>IF(X907&lt;&gt;"",VLOOKUP(C907,'General price list'!C909:AN1882,MATCH("HM",Tabulka1[[#Headers],[KOD]:[NEQ]],0),FALSE),"")</f>
        <v/>
      </c>
    </row>
    <row r="908" spans="1:27">
      <c r="A908">
        <f>COUNTIF($W$22:W908,1)</f>
        <v>0</v>
      </c>
      <c r="B908">
        <v>908</v>
      </c>
      <c r="C908" s="340">
        <f>Tabulka1[[#This Row],[KOD]]</f>
        <v>0</v>
      </c>
      <c r="W908" s="804" t="str">
        <f t="shared" si="27"/>
        <v/>
      </c>
      <c r="X908" t="str">
        <f t="shared" si="28"/>
        <v/>
      </c>
      <c r="Y908" s="341">
        <f>IF('General price list'!$AB910="",0,'General price list'!$AB910)</f>
        <v>0</v>
      </c>
      <c r="Z908" s="365" t="str">
        <f>IFERROR(X908*VLOOKUP(C908,'General price list'!C:I,7,FALSE),"")</f>
        <v/>
      </c>
      <c r="AA908" s="805" t="str">
        <f>IF(X908&lt;&gt;"",VLOOKUP(C908,'General price list'!C910:AN1883,MATCH("HM",Tabulka1[[#Headers],[KOD]:[NEQ]],0),FALSE),"")</f>
        <v/>
      </c>
    </row>
    <row r="909" spans="1:27">
      <c r="A909">
        <f>COUNTIF($W$22:W909,1)</f>
        <v>0</v>
      </c>
      <c r="B909">
        <v>909</v>
      </c>
      <c r="C909" s="340" t="str">
        <f>Tabulka1[[#This Row],[KOD]]</f>
        <v>S2M</v>
      </c>
      <c r="W909" s="804" t="str">
        <f t="shared" si="27"/>
        <v/>
      </c>
      <c r="X909" t="str">
        <f t="shared" si="28"/>
        <v/>
      </c>
      <c r="Y909" s="341">
        <f>IF('General price list'!$AB911="",0,'General price list'!$AB911)</f>
        <v>0</v>
      </c>
      <c r="Z909" s="365" t="str">
        <f>IFERROR(X909*VLOOKUP(C909,'General price list'!C:I,7,FALSE),"")</f>
        <v/>
      </c>
      <c r="AA909" s="805" t="str">
        <f>IF(X909&lt;&gt;"",VLOOKUP(C909,'General price list'!C911:AN1884,MATCH("HM",Tabulka1[[#Headers],[KOD]:[NEQ]],0),FALSE),"")</f>
        <v/>
      </c>
    </row>
    <row r="910" spans="1:27">
      <c r="A910">
        <f>COUNTIF($W$22:W910,1)</f>
        <v>0</v>
      </c>
      <c r="B910">
        <v>910</v>
      </c>
      <c r="C910" s="340">
        <f>Tabulka1[[#This Row],[KOD]]</f>
        <v>0</v>
      </c>
      <c r="W910" s="804" t="str">
        <f t="shared" si="27"/>
        <v/>
      </c>
      <c r="X910" t="str">
        <f t="shared" si="28"/>
        <v/>
      </c>
      <c r="Y910" s="341">
        <f>IF('General price list'!$AB912="",0,'General price list'!$AB912)</f>
        <v>0</v>
      </c>
      <c r="Z910" s="365" t="str">
        <f>IFERROR(X910*VLOOKUP(C910,'General price list'!C:I,7,FALSE),"")</f>
        <v/>
      </c>
      <c r="AA910" s="805" t="str">
        <f>IF(X910&lt;&gt;"",VLOOKUP(C910,'General price list'!C912:AN1885,MATCH("HM",Tabulka1[[#Headers],[KOD]:[NEQ]],0),FALSE),"")</f>
        <v/>
      </c>
    </row>
    <row r="911" spans="1:27">
      <c r="A911">
        <f>COUNTIF($W$22:W911,1)</f>
        <v>0</v>
      </c>
      <c r="B911">
        <v>911</v>
      </c>
      <c r="C911" s="340" t="str">
        <f>Tabulka1[[#This Row],[KOD]]</f>
        <v>S3F/P</v>
      </c>
      <c r="W911" s="804" t="str">
        <f t="shared" si="27"/>
        <v/>
      </c>
      <c r="X911" t="str">
        <f t="shared" si="28"/>
        <v/>
      </c>
      <c r="Y911" s="341">
        <f>IF('General price list'!$AB913="",0,'General price list'!$AB913)</f>
        <v>0</v>
      </c>
      <c r="Z911" s="365" t="str">
        <f>IFERROR(X911*VLOOKUP(C911,'General price list'!C:I,7,FALSE),"")</f>
        <v/>
      </c>
      <c r="AA911" s="805" t="str">
        <f>IF(X911&lt;&gt;"",VLOOKUP(C911,'General price list'!C913:AN1886,MATCH("HM",Tabulka1[[#Headers],[KOD]:[NEQ]],0),FALSE),"")</f>
        <v/>
      </c>
    </row>
    <row r="912" spans="1:27">
      <c r="A912">
        <f>COUNTIF($W$22:W912,1)</f>
        <v>0</v>
      </c>
      <c r="B912">
        <v>912</v>
      </c>
      <c r="C912" s="340" t="str">
        <f>Tabulka1[[#This Row],[KOD]]</f>
        <v>S3IA/P</v>
      </c>
      <c r="W912" s="804" t="str">
        <f t="shared" si="27"/>
        <v/>
      </c>
      <c r="X912" t="str">
        <f t="shared" si="28"/>
        <v/>
      </c>
      <c r="Y912" s="341">
        <f>IF('General price list'!$AB914="",0,'General price list'!$AB914)</f>
        <v>0</v>
      </c>
      <c r="Z912" s="365" t="str">
        <f>IFERROR(X912*VLOOKUP(C912,'General price list'!C:I,7,FALSE),"")</f>
        <v/>
      </c>
      <c r="AA912" s="805" t="str">
        <f>IF(X912&lt;&gt;"",VLOOKUP(C912,'General price list'!C914:AN1887,MATCH("HM",Tabulka1[[#Headers],[KOD]:[NEQ]],0),FALSE),"")</f>
        <v/>
      </c>
    </row>
    <row r="913" spans="1:27">
      <c r="A913">
        <f>COUNTIF($W$22:W913,1)</f>
        <v>0</v>
      </c>
      <c r="B913">
        <v>913</v>
      </c>
      <c r="C913" s="340" t="str">
        <f>Tabulka1[[#This Row],[KOD]]</f>
        <v>S3J/P</v>
      </c>
      <c r="W913" s="804" t="str">
        <f t="shared" si="27"/>
        <v/>
      </c>
      <c r="X913" t="str">
        <f t="shared" si="28"/>
        <v/>
      </c>
      <c r="Y913" s="341">
        <f>IF('General price list'!$AB915="",0,'General price list'!$AB915)</f>
        <v>0</v>
      </c>
      <c r="Z913" s="365" t="str">
        <f>IFERROR(X913*VLOOKUP(C913,'General price list'!C:I,7,FALSE),"")</f>
        <v/>
      </c>
      <c r="AA913" s="805" t="str">
        <f>IF(X913&lt;&gt;"",VLOOKUP(C913,'General price list'!C915:AN1888,MATCH("HM",Tabulka1[[#Headers],[KOD]:[NEQ]],0),FALSE),"")</f>
        <v/>
      </c>
    </row>
    <row r="914" spans="1:27">
      <c r="A914">
        <f>COUNTIF($W$22:W914,1)</f>
        <v>0</v>
      </c>
      <c r="B914">
        <v>914</v>
      </c>
      <c r="C914" s="340" t="str">
        <f>Tabulka1[[#This Row],[KOD]]</f>
        <v>S3S/P</v>
      </c>
      <c r="W914" s="804" t="str">
        <f t="shared" si="27"/>
        <v/>
      </c>
      <c r="X914" t="str">
        <f t="shared" si="28"/>
        <v/>
      </c>
      <c r="Y914" s="341">
        <f>IF('General price list'!$AB916="",0,'General price list'!$AB916)</f>
        <v>0</v>
      </c>
      <c r="Z914" s="365" t="str">
        <f>IFERROR(X914*VLOOKUP(C914,'General price list'!C:I,7,FALSE),"")</f>
        <v/>
      </c>
      <c r="AA914" s="805" t="str">
        <f>IF(X914&lt;&gt;"",VLOOKUP(C914,'General price list'!C916:AN1889,MATCH("HM",Tabulka1[[#Headers],[KOD]:[NEQ]],0),FALSE),"")</f>
        <v/>
      </c>
    </row>
    <row r="915" spans="1:27">
      <c r="A915">
        <f>COUNTIF($W$22:W915,1)</f>
        <v>0</v>
      </c>
      <c r="B915">
        <v>915</v>
      </c>
      <c r="C915" s="340" t="str">
        <f>Tabulka1[[#This Row],[KOD]]</f>
        <v>S3T</v>
      </c>
      <c r="W915" s="804" t="str">
        <f t="shared" si="27"/>
        <v/>
      </c>
      <c r="X915" t="str">
        <f t="shared" si="28"/>
        <v/>
      </c>
      <c r="Y915" s="341">
        <f>IF('General price list'!$AB917="",0,'General price list'!$AB917)</f>
        <v>0</v>
      </c>
      <c r="Z915" s="365" t="str">
        <f>IFERROR(X915*VLOOKUP(C915,'General price list'!C:I,7,FALSE),"")</f>
        <v/>
      </c>
      <c r="AA915" s="805" t="str">
        <f>IF(X915&lt;&gt;"",VLOOKUP(C915,'General price list'!C917:AN1890,MATCH("HM",Tabulka1[[#Headers],[KOD]:[NEQ]],0),FALSE),"")</f>
        <v/>
      </c>
    </row>
    <row r="916" spans="1:27">
      <c r="A916">
        <f>COUNTIF($W$22:W916,1)</f>
        <v>0</v>
      </c>
      <c r="B916">
        <v>916</v>
      </c>
      <c r="C916" s="340" t="str">
        <f>Tabulka1[[#This Row],[KOD]]</f>
        <v>S3M/P</v>
      </c>
      <c r="W916" s="804" t="str">
        <f t="shared" si="27"/>
        <v/>
      </c>
      <c r="X916" t="str">
        <f t="shared" si="28"/>
        <v/>
      </c>
      <c r="Y916" s="341">
        <f>IF('General price list'!$AB918="",0,'General price list'!$AB918)</f>
        <v>0</v>
      </c>
      <c r="Z916" s="365" t="str">
        <f>IFERROR(X916*VLOOKUP(C916,'General price list'!C:I,7,FALSE),"")</f>
        <v/>
      </c>
      <c r="AA916" s="805" t="str">
        <f>IF(X916&lt;&gt;"",VLOOKUP(C916,'General price list'!C918:AN1891,MATCH("HM",Tabulka1[[#Headers],[KOD]:[NEQ]],0),FALSE),"")</f>
        <v/>
      </c>
    </row>
    <row r="917" spans="1:27">
      <c r="A917">
        <f>COUNTIF($W$22:W917,1)</f>
        <v>0</v>
      </c>
      <c r="B917">
        <v>917</v>
      </c>
      <c r="C917" s="340">
        <f>Tabulka1[[#This Row],[KOD]]</f>
        <v>0</v>
      </c>
      <c r="W917" s="804" t="str">
        <f t="shared" si="27"/>
        <v/>
      </c>
      <c r="X917" t="str">
        <f t="shared" si="28"/>
        <v/>
      </c>
      <c r="Y917" s="341">
        <f>IF('General price list'!$AB919="",0,'General price list'!$AB919)</f>
        <v>0</v>
      </c>
      <c r="Z917" s="365" t="str">
        <f>IFERROR(X917*VLOOKUP(C917,'General price list'!C:I,7,FALSE),"")</f>
        <v/>
      </c>
      <c r="AA917" s="805" t="str">
        <f>IF(X917&lt;&gt;"",VLOOKUP(C917,'General price list'!C919:AN1892,MATCH("HM",Tabulka1[[#Headers],[KOD]:[NEQ]],0),FALSE),"")</f>
        <v/>
      </c>
    </row>
    <row r="918" spans="1:27">
      <c r="A918">
        <f>COUNTIF($W$22:W918,1)</f>
        <v>0</v>
      </c>
      <c r="B918">
        <v>918</v>
      </c>
      <c r="C918" s="340" t="str">
        <f>Tabulka1[[#This Row],[KOD]]</f>
        <v>S4T</v>
      </c>
      <c r="W918" s="804" t="str">
        <f t="shared" si="27"/>
        <v/>
      </c>
      <c r="X918" t="str">
        <f t="shared" si="28"/>
        <v/>
      </c>
      <c r="Y918" s="341">
        <f>IF('General price list'!$AB920="",0,'General price list'!$AB920)</f>
        <v>0</v>
      </c>
      <c r="Z918" s="365" t="str">
        <f>IFERROR(X918*VLOOKUP(C918,'General price list'!C:I,7,FALSE),"")</f>
        <v/>
      </c>
      <c r="AA918" s="805" t="str">
        <f>IF(X918&lt;&gt;"",VLOOKUP(C918,'General price list'!C920:AN1893,MATCH("HM",Tabulka1[[#Headers],[KOD]:[NEQ]],0),FALSE),"")</f>
        <v/>
      </c>
    </row>
    <row r="919" spans="1:27">
      <c r="A919">
        <f>COUNTIF($W$22:W919,1)</f>
        <v>0</v>
      </c>
      <c r="B919">
        <v>919</v>
      </c>
      <c r="C919" s="340">
        <f>Tabulka1[[#This Row],[KOD]]</f>
        <v>0</v>
      </c>
      <c r="W919" s="804" t="str">
        <f t="shared" si="27"/>
        <v/>
      </c>
      <c r="X919" t="str">
        <f t="shared" si="28"/>
        <v/>
      </c>
      <c r="Y919" s="341">
        <f>IF('General price list'!$AB921="",0,'General price list'!$AB921)</f>
        <v>0</v>
      </c>
      <c r="Z919" s="365" t="str">
        <f>IFERROR(X919*VLOOKUP(C919,'General price list'!C:I,7,FALSE),"")</f>
        <v/>
      </c>
      <c r="AA919" s="805" t="str">
        <f>IF(X919&lt;&gt;"",VLOOKUP(C919,'General price list'!C921:AN1894,MATCH("HM",Tabulka1[[#Headers],[KOD]:[NEQ]],0),FALSE),"")</f>
        <v/>
      </c>
    </row>
    <row r="920" spans="1:27">
      <c r="A920">
        <f>COUNTIF($W$22:W920,1)</f>
        <v>0</v>
      </c>
      <c r="B920">
        <v>920</v>
      </c>
      <c r="C920" s="340" t="str">
        <f>Tabulka1[[#This Row],[KOD]]</f>
        <v>S4C/P</v>
      </c>
      <c r="W920" s="804" t="str">
        <f t="shared" ref="W920:W981" si="29">IF(Y920+1=1,"",1)</f>
        <v/>
      </c>
      <c r="X920" t="str">
        <f t="shared" ref="X920:X981" si="30">IF(OR(A920&lt;$F$20,A920&gt;$F$21),"",IF(Y920=0,"",Y920))</f>
        <v/>
      </c>
      <c r="Y920" s="341">
        <f>IF('General price list'!$AB922="",0,'General price list'!$AB922)</f>
        <v>0</v>
      </c>
      <c r="Z920" s="365" t="str">
        <f>IFERROR(X920*VLOOKUP(C920,'General price list'!C:I,7,FALSE),"")</f>
        <v/>
      </c>
      <c r="AA920" s="805" t="str">
        <f>IF(X920&lt;&gt;"",VLOOKUP(C920,'General price list'!C922:AN1895,MATCH("HM",Tabulka1[[#Headers],[KOD]:[NEQ]],0),FALSE),"")</f>
        <v/>
      </c>
    </row>
    <row r="921" spans="1:27">
      <c r="A921">
        <f>COUNTIF($W$22:W921,1)</f>
        <v>0</v>
      </c>
      <c r="B921">
        <v>921</v>
      </c>
      <c r="C921" s="340" t="str">
        <f>Tabulka1[[#This Row],[KOD]]</f>
        <v>S4J/P</v>
      </c>
      <c r="W921" s="804" t="str">
        <f t="shared" si="29"/>
        <v/>
      </c>
      <c r="X921" t="str">
        <f t="shared" si="30"/>
        <v/>
      </c>
      <c r="Y921" s="341">
        <f>IF('General price list'!$AB923="",0,'General price list'!$AB923)</f>
        <v>0</v>
      </c>
      <c r="Z921" s="365" t="str">
        <f>IFERROR(X921*VLOOKUP(C921,'General price list'!C:I,7,FALSE),"")</f>
        <v/>
      </c>
      <c r="AA921" s="805" t="str">
        <f>IF(X921&lt;&gt;"",VLOOKUP(C921,'General price list'!C923:AN1896,MATCH("HM",Tabulka1[[#Headers],[KOD]:[NEQ]],0),FALSE),"")</f>
        <v/>
      </c>
    </row>
    <row r="922" spans="1:27">
      <c r="A922">
        <f>COUNTIF($W$22:W922,1)</f>
        <v>0</v>
      </c>
      <c r="B922">
        <v>922</v>
      </c>
      <c r="C922" s="340" t="str">
        <f>Tabulka1[[#This Row],[KOD]]</f>
        <v>S4K/P</v>
      </c>
      <c r="W922" s="804" t="str">
        <f t="shared" si="29"/>
        <v/>
      </c>
      <c r="X922" t="str">
        <f t="shared" si="30"/>
        <v/>
      </c>
      <c r="Y922" s="341">
        <f>IF('General price list'!$AB924="",0,'General price list'!$AB924)</f>
        <v>0</v>
      </c>
      <c r="Z922" s="365" t="str">
        <f>IFERROR(X922*VLOOKUP(C922,'General price list'!C:I,7,FALSE),"")</f>
        <v/>
      </c>
      <c r="AA922" s="805" t="str">
        <f>IF(X922&lt;&gt;"",VLOOKUP(C922,'General price list'!C924:AN1897,MATCH("HM",Tabulka1[[#Headers],[KOD]:[NEQ]],0),FALSE),"")</f>
        <v/>
      </c>
    </row>
    <row r="923" spans="1:27">
      <c r="A923">
        <f>COUNTIF($W$22:W923,1)</f>
        <v>0</v>
      </c>
      <c r="B923">
        <v>923</v>
      </c>
      <c r="C923" s="340" t="str">
        <f>Tabulka1[[#This Row],[KOD]]</f>
        <v>S4L/P</v>
      </c>
      <c r="W923" s="804" t="str">
        <f t="shared" si="29"/>
        <v/>
      </c>
      <c r="X923" t="str">
        <f t="shared" si="30"/>
        <v/>
      </c>
      <c r="Y923" s="341">
        <f>IF('General price list'!$AB925="",0,'General price list'!$AB925)</f>
        <v>0</v>
      </c>
      <c r="Z923" s="365" t="str">
        <f>IFERROR(X923*VLOOKUP(C923,'General price list'!C:I,7,FALSE),"")</f>
        <v/>
      </c>
      <c r="AA923" s="805" t="str">
        <f>IF(X923&lt;&gt;"",VLOOKUP(C923,'General price list'!C925:AN1898,MATCH("HM",Tabulka1[[#Headers],[KOD]:[NEQ]],0),FALSE),"")</f>
        <v/>
      </c>
    </row>
    <row r="924" spans="1:27">
      <c r="A924">
        <f>COUNTIF($W$22:W924,1)</f>
        <v>0</v>
      </c>
      <c r="B924">
        <v>924</v>
      </c>
      <c r="C924" s="340" t="str">
        <f>Tabulka1[[#This Row],[KOD]]</f>
        <v>S4NA/P</v>
      </c>
      <c r="W924" s="804" t="str">
        <f t="shared" si="29"/>
        <v/>
      </c>
      <c r="X924" t="str">
        <f t="shared" si="30"/>
        <v/>
      </c>
      <c r="Y924" s="341">
        <f>IF('General price list'!$AB926="",0,'General price list'!$AB926)</f>
        <v>0</v>
      </c>
      <c r="Z924" s="365" t="str">
        <f>IFERROR(X924*VLOOKUP(C924,'General price list'!C:I,7,FALSE),"")</f>
        <v/>
      </c>
      <c r="AA924" s="805" t="str">
        <f>IF(X924&lt;&gt;"",VLOOKUP(C924,'General price list'!C926:AN1899,MATCH("HM",Tabulka1[[#Headers],[KOD]:[NEQ]],0),FALSE),"")</f>
        <v/>
      </c>
    </row>
    <row r="925" spans="1:27">
      <c r="A925">
        <f>COUNTIF($W$22:W925,1)</f>
        <v>0</v>
      </c>
      <c r="B925">
        <v>925</v>
      </c>
      <c r="C925" s="340" t="str">
        <f>Tabulka1[[#This Row],[KOD]]</f>
        <v>S4O/P</v>
      </c>
      <c r="W925" s="804" t="str">
        <f t="shared" si="29"/>
        <v/>
      </c>
      <c r="X925" t="str">
        <f t="shared" si="30"/>
        <v/>
      </c>
      <c r="Y925" s="341">
        <f>IF('General price list'!$AB927="",0,'General price list'!$AB927)</f>
        <v>0</v>
      </c>
      <c r="Z925" s="365" t="str">
        <f>IFERROR(X925*VLOOKUP(C925,'General price list'!C:I,7,FALSE),"")</f>
        <v/>
      </c>
      <c r="AA925" s="805" t="str">
        <f>IF(X925&lt;&gt;"",VLOOKUP(C925,'General price list'!C927:AN1900,MATCH("HM",Tabulka1[[#Headers],[KOD]:[NEQ]],0),FALSE),"")</f>
        <v/>
      </c>
    </row>
    <row r="926" spans="1:27">
      <c r="A926">
        <f>COUNTIF($W$22:W926,1)</f>
        <v>0</v>
      </c>
      <c r="B926">
        <v>926</v>
      </c>
      <c r="C926" s="340" t="str">
        <f>Tabulka1[[#This Row],[KOD]]</f>
        <v>S4P/P</v>
      </c>
      <c r="W926" s="804" t="str">
        <f t="shared" si="29"/>
        <v/>
      </c>
      <c r="X926" t="str">
        <f t="shared" si="30"/>
        <v/>
      </c>
      <c r="Y926" s="341">
        <f>IF('General price list'!$AB928="",0,'General price list'!$AB928)</f>
        <v>0</v>
      </c>
      <c r="Z926" s="365" t="str">
        <f>IFERROR(X926*VLOOKUP(C926,'General price list'!C:I,7,FALSE),"")</f>
        <v/>
      </c>
      <c r="AA926" s="805" t="str">
        <f>IF(X926&lt;&gt;"",VLOOKUP(C926,'General price list'!C928:AN1901,MATCH("HM",Tabulka1[[#Headers],[KOD]:[NEQ]],0),FALSE),"")</f>
        <v/>
      </c>
    </row>
    <row r="927" spans="1:27">
      <c r="A927">
        <f>COUNTIF($W$22:W927,1)</f>
        <v>0</v>
      </c>
      <c r="B927">
        <v>927</v>
      </c>
      <c r="C927" s="340" t="str">
        <f>Tabulka1[[#This Row],[KOD]]</f>
        <v>S4Q/P</v>
      </c>
      <c r="W927" s="804" t="str">
        <f t="shared" si="29"/>
        <v/>
      </c>
      <c r="X927" t="str">
        <f t="shared" si="30"/>
        <v/>
      </c>
      <c r="Y927" s="341">
        <f>IF('General price list'!$AB929="",0,'General price list'!$AB929)</f>
        <v>0</v>
      </c>
      <c r="Z927" s="365" t="str">
        <f>IFERROR(X927*VLOOKUP(C927,'General price list'!C:I,7,FALSE),"")</f>
        <v/>
      </c>
      <c r="AA927" s="805" t="str">
        <f>IF(X927&lt;&gt;"",VLOOKUP(C927,'General price list'!C929:AN1902,MATCH("HM",Tabulka1[[#Headers],[KOD]:[NEQ]],0),FALSE),"")</f>
        <v/>
      </c>
    </row>
    <row r="928" spans="1:27">
      <c r="A928">
        <f>COUNTIF($W$22:W928,1)</f>
        <v>0</v>
      </c>
      <c r="B928">
        <v>928</v>
      </c>
      <c r="C928" s="340" t="str">
        <f>Tabulka1[[#This Row],[KOD]]</f>
        <v>S4S/P</v>
      </c>
      <c r="W928" s="804" t="str">
        <f t="shared" si="29"/>
        <v/>
      </c>
      <c r="X928" t="str">
        <f t="shared" si="30"/>
        <v/>
      </c>
      <c r="Y928" s="341">
        <f>IF('General price list'!$AB930="",0,'General price list'!$AB930)</f>
        <v>0</v>
      </c>
      <c r="Z928" s="365" t="str">
        <f>IFERROR(X928*VLOOKUP(C928,'General price list'!C:I,7,FALSE),"")</f>
        <v/>
      </c>
      <c r="AA928" s="805" t="str">
        <f>IF(X928&lt;&gt;"",VLOOKUP(C928,'General price list'!C930:AN1903,MATCH("HM",Tabulka1[[#Headers],[KOD]:[NEQ]],0),FALSE),"")</f>
        <v/>
      </c>
    </row>
    <row r="929" spans="1:27">
      <c r="A929">
        <f>COUNTIF($W$22:W929,1)</f>
        <v>0</v>
      </c>
      <c r="B929">
        <v>929</v>
      </c>
      <c r="C929" s="340" t="str">
        <f>Tabulka1[[#This Row],[KOD]]</f>
        <v>S4W/P</v>
      </c>
      <c r="W929" s="804" t="str">
        <f t="shared" si="29"/>
        <v/>
      </c>
      <c r="X929" t="str">
        <f t="shared" si="30"/>
        <v/>
      </c>
      <c r="Y929" s="341">
        <f>IF('General price list'!$AB931="",0,'General price list'!$AB931)</f>
        <v>0</v>
      </c>
      <c r="Z929" s="365" t="str">
        <f>IFERROR(X929*VLOOKUP(C929,'General price list'!C:I,7,FALSE),"")</f>
        <v/>
      </c>
      <c r="AA929" s="805" t="str">
        <f>IF(X929&lt;&gt;"",VLOOKUP(C929,'General price list'!C931:AN1904,MATCH("HM",Tabulka1[[#Headers],[KOD]:[NEQ]],0),FALSE),"")</f>
        <v/>
      </c>
    </row>
    <row r="930" spans="1:27">
      <c r="A930">
        <f>COUNTIF($W$22:W930,1)</f>
        <v>0</v>
      </c>
      <c r="B930">
        <v>930</v>
      </c>
      <c r="C930" s="340" t="str">
        <f>Tabulka1[[#This Row],[KOD]]</f>
        <v>S4Z5/P</v>
      </c>
      <c r="W930" s="804" t="str">
        <f t="shared" si="29"/>
        <v/>
      </c>
      <c r="X930" t="str">
        <f t="shared" si="30"/>
        <v/>
      </c>
      <c r="Y930" s="341">
        <f>IF('General price list'!$AB932="",0,'General price list'!$AB932)</f>
        <v>0</v>
      </c>
      <c r="Z930" s="365" t="str">
        <f>IFERROR(X930*VLOOKUP(C930,'General price list'!C:I,7,FALSE),"")</f>
        <v/>
      </c>
      <c r="AA930" s="805" t="str">
        <f>IF(X930&lt;&gt;"",VLOOKUP(C930,'General price list'!C932:AN1905,MATCH("HM",Tabulka1[[#Headers],[KOD]:[NEQ]],0),FALSE),"")</f>
        <v/>
      </c>
    </row>
    <row r="931" spans="1:27">
      <c r="A931">
        <f>COUNTIF($W$22:W931,1)</f>
        <v>0</v>
      </c>
      <c r="B931">
        <v>931</v>
      </c>
      <c r="C931" s="340" t="str">
        <f>Tabulka1[[#This Row],[KOD]]</f>
        <v>S4Z6/P</v>
      </c>
      <c r="W931" s="804" t="str">
        <f t="shared" si="29"/>
        <v/>
      </c>
      <c r="X931" t="str">
        <f t="shared" si="30"/>
        <v/>
      </c>
      <c r="Y931" s="341">
        <f>IF('General price list'!$AB933="",0,'General price list'!$AB933)</f>
        <v>0</v>
      </c>
      <c r="Z931" s="365" t="str">
        <f>IFERROR(X931*VLOOKUP(C931,'General price list'!C:I,7,FALSE),"")</f>
        <v/>
      </c>
      <c r="AA931" s="805" t="str">
        <f>IF(X931&lt;&gt;"",VLOOKUP(C931,'General price list'!C933:AN1906,MATCH("HM",Tabulka1[[#Headers],[KOD]:[NEQ]],0),FALSE),"")</f>
        <v/>
      </c>
    </row>
    <row r="932" spans="1:27">
      <c r="A932">
        <f>COUNTIF($W$22:W932,1)</f>
        <v>0</v>
      </c>
      <c r="B932">
        <v>932</v>
      </c>
      <c r="C932" s="340" t="str">
        <f>Tabulka1[[#This Row],[KOD]]</f>
        <v>S4Z8/P</v>
      </c>
      <c r="W932" s="804" t="str">
        <f t="shared" si="29"/>
        <v/>
      </c>
      <c r="X932" t="str">
        <f t="shared" si="30"/>
        <v/>
      </c>
      <c r="Y932" s="341">
        <f>IF('General price list'!$AB934="",0,'General price list'!$AB934)</f>
        <v>0</v>
      </c>
      <c r="Z932" s="365" t="str">
        <f>IFERROR(X932*VLOOKUP(C932,'General price list'!C:I,7,FALSE),"")</f>
        <v/>
      </c>
      <c r="AA932" s="805" t="str">
        <f>IF(X932&lt;&gt;"",VLOOKUP(C932,'General price list'!C934:AN1907,MATCH("HM",Tabulka1[[#Headers],[KOD]:[NEQ]],0),FALSE),"")</f>
        <v/>
      </c>
    </row>
    <row r="933" spans="1:27">
      <c r="A933">
        <f>COUNTIF($W$22:W933,1)</f>
        <v>0</v>
      </c>
      <c r="B933">
        <v>933</v>
      </c>
      <c r="C933" s="340" t="str">
        <f>Tabulka1[[#This Row],[KOD]]</f>
        <v>S4Z11/P</v>
      </c>
      <c r="W933" s="804" t="str">
        <f t="shared" si="29"/>
        <v/>
      </c>
      <c r="X933" t="str">
        <f t="shared" si="30"/>
        <v/>
      </c>
      <c r="Y933" s="341">
        <f>IF('General price list'!$AB935="",0,'General price list'!$AB935)</f>
        <v>0</v>
      </c>
      <c r="Z933" s="365" t="str">
        <f>IFERROR(X933*VLOOKUP(C933,'General price list'!C:I,7,FALSE),"")</f>
        <v/>
      </c>
      <c r="AA933" s="805" t="str">
        <f>IF(X933&lt;&gt;"",VLOOKUP(C933,'General price list'!C935:AN1908,MATCH("HM",Tabulka1[[#Headers],[KOD]:[NEQ]],0),FALSE),"")</f>
        <v/>
      </c>
    </row>
    <row r="934" spans="1:27">
      <c r="A934">
        <f>COUNTIF($W$22:W934,1)</f>
        <v>0</v>
      </c>
      <c r="B934">
        <v>934</v>
      </c>
      <c r="C934" s="340" t="str">
        <f>Tabulka1[[#This Row],[KOD]]</f>
        <v>S4M/P</v>
      </c>
      <c r="W934" s="804" t="str">
        <f t="shared" si="29"/>
        <v/>
      </c>
      <c r="X934" t="str">
        <f t="shared" si="30"/>
        <v/>
      </c>
      <c r="Y934" s="341">
        <f>IF('General price list'!$AB936="",0,'General price list'!$AB936)</f>
        <v>0</v>
      </c>
      <c r="Z934" s="365" t="str">
        <f>IFERROR(X934*VLOOKUP(C934,'General price list'!C:I,7,FALSE),"")</f>
        <v/>
      </c>
      <c r="AA934" s="805" t="str">
        <f>IF(X934&lt;&gt;"",VLOOKUP(C934,'General price list'!C936:AN1909,MATCH("HM",Tabulka1[[#Headers],[KOD]:[NEQ]],0),FALSE),"")</f>
        <v/>
      </c>
    </row>
    <row r="935" spans="1:27">
      <c r="A935">
        <f>COUNTIF($W$22:W935,1)</f>
        <v>0</v>
      </c>
      <c r="B935">
        <v>935</v>
      </c>
      <c r="C935" s="340">
        <f>Tabulka1[[#This Row],[KOD]]</f>
        <v>0</v>
      </c>
      <c r="W935" s="804" t="str">
        <f t="shared" si="29"/>
        <v/>
      </c>
      <c r="X935" t="str">
        <f t="shared" si="30"/>
        <v/>
      </c>
      <c r="Y935" s="341">
        <f>IF('General price list'!$AB937="",0,'General price list'!$AB937)</f>
        <v>0</v>
      </c>
      <c r="Z935" s="365" t="str">
        <f>IFERROR(X935*VLOOKUP(C935,'General price list'!C:I,7,FALSE),"")</f>
        <v/>
      </c>
      <c r="AA935" s="805" t="str">
        <f>IF(X935&lt;&gt;"",VLOOKUP(C935,'General price list'!C937:AN1910,MATCH("HM",Tabulka1[[#Headers],[KOD]:[NEQ]],0),FALSE),"")</f>
        <v/>
      </c>
    </row>
    <row r="936" spans="1:27">
      <c r="A936">
        <f>COUNTIF($W$22:W936,1)</f>
        <v>0</v>
      </c>
      <c r="B936">
        <v>936</v>
      </c>
      <c r="C936" s="340" t="str">
        <f>Tabulka1[[#This Row],[KOD]]</f>
        <v>S5E/P</v>
      </c>
      <c r="W936" s="804" t="str">
        <f t="shared" si="29"/>
        <v/>
      </c>
      <c r="X936" t="str">
        <f t="shared" si="30"/>
        <v/>
      </c>
      <c r="Y936" s="341">
        <f>IF('General price list'!$AB938="",0,'General price list'!$AB938)</f>
        <v>0</v>
      </c>
      <c r="Z936" s="365" t="str">
        <f>IFERROR(X936*VLOOKUP(C936,'General price list'!C:I,7,FALSE),"")</f>
        <v/>
      </c>
      <c r="AA936" s="805" t="str">
        <f>IF(X936&lt;&gt;"",VLOOKUP(C936,'General price list'!C938:AN1911,MATCH("HM",Tabulka1[[#Headers],[KOD]:[NEQ]],0),FALSE),"")</f>
        <v/>
      </c>
    </row>
    <row r="937" spans="1:27">
      <c r="A937">
        <f>COUNTIF($W$22:W937,1)</f>
        <v>0</v>
      </c>
      <c r="B937">
        <v>937</v>
      </c>
      <c r="C937" s="340" t="str">
        <f>Tabulka1[[#This Row],[KOD]]</f>
        <v>S5F/P</v>
      </c>
      <c r="W937" s="804" t="str">
        <f t="shared" si="29"/>
        <v/>
      </c>
      <c r="X937" t="str">
        <f t="shared" si="30"/>
        <v/>
      </c>
      <c r="Y937" s="341">
        <f>IF('General price list'!$AB939="",0,'General price list'!$AB939)</f>
        <v>0</v>
      </c>
      <c r="Z937" s="365" t="str">
        <f>IFERROR(X937*VLOOKUP(C937,'General price list'!C:I,7,FALSE),"")</f>
        <v/>
      </c>
      <c r="AA937" s="805" t="str">
        <f>IF(X937&lt;&gt;"",VLOOKUP(C937,'General price list'!C939:AN1912,MATCH("HM",Tabulka1[[#Headers],[KOD]:[NEQ]],0),FALSE),"")</f>
        <v/>
      </c>
    </row>
    <row r="938" spans="1:27">
      <c r="A938">
        <f>COUNTIF($W$22:W938,1)</f>
        <v>0</v>
      </c>
      <c r="B938">
        <v>938</v>
      </c>
      <c r="C938" s="340" t="str">
        <f>Tabulka1[[#This Row],[KOD]]</f>
        <v>S5K/P</v>
      </c>
      <c r="W938" s="804" t="str">
        <f t="shared" si="29"/>
        <v/>
      </c>
      <c r="X938" t="str">
        <f t="shared" si="30"/>
        <v/>
      </c>
      <c r="Y938" s="341">
        <f>IF('General price list'!$AB940="",0,'General price list'!$AB940)</f>
        <v>0</v>
      </c>
      <c r="Z938" s="365" t="str">
        <f>IFERROR(X938*VLOOKUP(C938,'General price list'!C:I,7,FALSE),"")</f>
        <v/>
      </c>
      <c r="AA938" s="805" t="str">
        <f>IF(X938&lt;&gt;"",VLOOKUP(C938,'General price list'!C940:AN1913,MATCH("HM",Tabulka1[[#Headers],[KOD]:[NEQ]],0),FALSE),"")</f>
        <v/>
      </c>
    </row>
    <row r="939" spans="1:27">
      <c r="A939">
        <f>COUNTIF($W$22:W939,1)</f>
        <v>0</v>
      </c>
      <c r="B939">
        <v>939</v>
      </c>
      <c r="C939" s="340" t="str">
        <f>Tabulka1[[#This Row],[KOD]]</f>
        <v>S5M/P</v>
      </c>
      <c r="W939" s="804" t="str">
        <f t="shared" si="29"/>
        <v/>
      </c>
      <c r="X939" t="str">
        <f t="shared" si="30"/>
        <v/>
      </c>
      <c r="Y939" s="341">
        <f>IF('General price list'!$AB941="",0,'General price list'!$AB941)</f>
        <v>0</v>
      </c>
      <c r="Z939" s="365" t="str">
        <f>IFERROR(X939*VLOOKUP(C939,'General price list'!C:I,7,FALSE),"")</f>
        <v/>
      </c>
      <c r="AA939" s="805" t="str">
        <f>IF(X939&lt;&gt;"",VLOOKUP(C939,'General price list'!C941:AN1914,MATCH("HM",Tabulka1[[#Headers],[KOD]:[NEQ]],0),FALSE),"")</f>
        <v/>
      </c>
    </row>
    <row r="940" spans="1:27">
      <c r="A940">
        <f>COUNTIF($W$22:W940,1)</f>
        <v>0</v>
      </c>
      <c r="B940">
        <v>940</v>
      </c>
      <c r="C940" s="340">
        <f>Tabulka1[[#This Row],[KOD]]</f>
        <v>0</v>
      </c>
      <c r="W940" s="804" t="str">
        <f t="shared" si="29"/>
        <v/>
      </c>
      <c r="X940" t="str">
        <f t="shared" si="30"/>
        <v/>
      </c>
      <c r="Y940" s="341">
        <f>IF('General price list'!$AB942="",0,'General price list'!$AB942)</f>
        <v>0</v>
      </c>
      <c r="Z940" s="365" t="str">
        <f>IFERROR(X940*VLOOKUP(C940,'General price list'!C:I,7,FALSE),"")</f>
        <v/>
      </c>
      <c r="AA940" s="805" t="str">
        <f>IF(X940&lt;&gt;"",VLOOKUP(C940,'General price list'!C942:AN1915,MATCH("HM",Tabulka1[[#Headers],[KOD]:[NEQ]],0),FALSE),"")</f>
        <v/>
      </c>
    </row>
    <row r="941" spans="1:27">
      <c r="A941">
        <f>COUNTIF($W$22:W941,1)</f>
        <v>0</v>
      </c>
      <c r="B941">
        <v>941</v>
      </c>
      <c r="C941" s="340" t="str">
        <f>Tabulka1[[#This Row],[KOD]]</f>
        <v>S6M</v>
      </c>
      <c r="W941" s="804" t="str">
        <f t="shared" si="29"/>
        <v/>
      </c>
      <c r="X941" t="str">
        <f t="shared" si="30"/>
        <v/>
      </c>
      <c r="Y941" s="341">
        <f>IF('General price list'!$AB943="",0,'General price list'!$AB943)</f>
        <v>0</v>
      </c>
      <c r="Z941" s="365" t="str">
        <f>IFERROR(X941*VLOOKUP(C941,'General price list'!C:I,7,FALSE),"")</f>
        <v/>
      </c>
      <c r="AA941" s="805" t="str">
        <f>IF(X941&lt;&gt;"",VLOOKUP(C941,'General price list'!C943:AN1916,MATCH("HM",Tabulka1[[#Headers],[KOD]:[NEQ]],0),FALSE),"")</f>
        <v/>
      </c>
    </row>
    <row r="942" spans="1:27">
      <c r="A942">
        <f>COUNTIF($W$22:W942,1)</f>
        <v>0</v>
      </c>
      <c r="B942">
        <v>942</v>
      </c>
      <c r="C942" s="340">
        <f>Tabulka1[[#This Row],[KOD]]</f>
        <v>0</v>
      </c>
      <c r="W942" s="804" t="str">
        <f t="shared" si="29"/>
        <v/>
      </c>
      <c r="X942" t="str">
        <f t="shared" si="30"/>
        <v/>
      </c>
      <c r="Y942" s="341">
        <f>IF('General price list'!$AB944="",0,'General price list'!$AB944)</f>
        <v>0</v>
      </c>
      <c r="Z942" s="365" t="str">
        <f>IFERROR(X942*VLOOKUP(C942,'General price list'!C:I,7,FALSE),"")</f>
        <v/>
      </c>
      <c r="AA942" s="805" t="str">
        <f>IF(X942&lt;&gt;"",VLOOKUP(C942,'General price list'!C944:AN1917,MATCH("HM",Tabulka1[[#Headers],[KOD]:[NEQ]],0),FALSE),"")</f>
        <v/>
      </c>
    </row>
    <row r="943" spans="1:27">
      <c r="A943">
        <f>COUNTIF($W$22:W943,1)</f>
        <v>0</v>
      </c>
      <c r="B943">
        <v>943</v>
      </c>
      <c r="C943" s="340" t="str">
        <f>Tabulka1[[#This Row],[KOD]]</f>
        <v>S6F/P(9)</v>
      </c>
      <c r="W943" s="804" t="str">
        <f t="shared" si="29"/>
        <v/>
      </c>
      <c r="X943" t="str">
        <f t="shared" si="30"/>
        <v/>
      </c>
      <c r="Y943" s="341">
        <f>IF('General price list'!$AB945="",0,'General price list'!$AB945)</f>
        <v>0</v>
      </c>
      <c r="Z943" s="365" t="str">
        <f>IFERROR(X943*VLOOKUP(C943,'General price list'!C:I,7,FALSE),"")</f>
        <v/>
      </c>
      <c r="AA943" s="805" t="str">
        <f>IF(X943&lt;&gt;"",VLOOKUP(C943,'General price list'!C945:AN1918,MATCH("HM",Tabulka1[[#Headers],[KOD]:[NEQ]],0),FALSE),"")</f>
        <v/>
      </c>
    </row>
    <row r="944" spans="1:27">
      <c r="A944">
        <f>COUNTIF($W$22:W944,1)</f>
        <v>0</v>
      </c>
      <c r="B944">
        <v>944</v>
      </c>
      <c r="C944" s="340" t="str">
        <f>Tabulka1[[#This Row],[KOD]]</f>
        <v>S6I/P(9)</v>
      </c>
      <c r="W944" s="804" t="str">
        <f t="shared" si="29"/>
        <v/>
      </c>
      <c r="X944" t="str">
        <f t="shared" si="30"/>
        <v/>
      </c>
      <c r="Y944" s="341">
        <f>IF('General price list'!$AB946="",0,'General price list'!$AB946)</f>
        <v>0</v>
      </c>
      <c r="Z944" s="365" t="str">
        <f>IFERROR(X944*VLOOKUP(C944,'General price list'!C:I,7,FALSE),"")</f>
        <v/>
      </c>
      <c r="AA944" s="805" t="str">
        <f>IF(X944&lt;&gt;"",VLOOKUP(C944,'General price list'!C946:AN1919,MATCH("HM",Tabulka1[[#Headers],[KOD]:[NEQ]],0),FALSE),"")</f>
        <v/>
      </c>
    </row>
    <row r="945" spans="1:27">
      <c r="A945">
        <f>COUNTIF($W$22:W945,1)</f>
        <v>0</v>
      </c>
      <c r="B945">
        <v>945</v>
      </c>
      <c r="C945" s="340" t="str">
        <f>Tabulka1[[#This Row],[KOD]]</f>
        <v>S6R/P(9)</v>
      </c>
      <c r="W945" s="804" t="str">
        <f t="shared" si="29"/>
        <v/>
      </c>
      <c r="X945" t="str">
        <f t="shared" si="30"/>
        <v/>
      </c>
      <c r="Y945" s="341">
        <f>IF('General price list'!$AB947="",0,'General price list'!$AB947)</f>
        <v>0</v>
      </c>
      <c r="Z945" s="365" t="str">
        <f>IFERROR(X945*VLOOKUP(C945,'General price list'!C:I,7,FALSE),"")</f>
        <v/>
      </c>
      <c r="AA945" s="805" t="str">
        <f>IF(X945&lt;&gt;"",VLOOKUP(C945,'General price list'!C947:AN1920,MATCH("HM",Tabulka1[[#Headers],[KOD]:[NEQ]],0),FALSE),"")</f>
        <v/>
      </c>
    </row>
    <row r="946" spans="1:27">
      <c r="A946">
        <f>COUNTIF($W$22:W946,1)</f>
        <v>0</v>
      </c>
      <c r="B946">
        <v>946</v>
      </c>
      <c r="C946" s="340" t="str">
        <f>Tabulka1[[#This Row],[KOD]]</f>
        <v>S6Z3/P(9)</v>
      </c>
      <c r="W946" s="804" t="str">
        <f t="shared" si="29"/>
        <v/>
      </c>
      <c r="X946" t="str">
        <f t="shared" si="30"/>
        <v/>
      </c>
      <c r="Y946" s="341">
        <f>IF('General price list'!$AB948="",0,'General price list'!$AB948)</f>
        <v>0</v>
      </c>
      <c r="Z946" s="365" t="str">
        <f>IFERROR(X946*VLOOKUP(C946,'General price list'!C:I,7,FALSE),"")</f>
        <v/>
      </c>
      <c r="AA946" s="805" t="str">
        <f>IF(X946&lt;&gt;"",VLOOKUP(C946,'General price list'!C948:AN1921,MATCH("HM",Tabulka1[[#Headers],[KOD]:[NEQ]],0),FALSE),"")</f>
        <v/>
      </c>
    </row>
    <row r="947" spans="1:27">
      <c r="A947">
        <f>COUNTIF($W$22:W947,1)</f>
        <v>0</v>
      </c>
      <c r="B947">
        <v>947</v>
      </c>
      <c r="C947" s="340">
        <f>Tabulka1[[#This Row],[KOD]]</f>
        <v>0</v>
      </c>
      <c r="W947" s="804" t="str">
        <f t="shared" si="29"/>
        <v/>
      </c>
      <c r="X947" t="str">
        <f t="shared" si="30"/>
        <v/>
      </c>
      <c r="Y947" s="341">
        <f>IF('General price list'!$AB949="",0,'General price list'!$AB949)</f>
        <v>0</v>
      </c>
      <c r="Z947" s="365" t="str">
        <f>IFERROR(X947*VLOOKUP(C947,'General price list'!C:I,7,FALSE),"")</f>
        <v/>
      </c>
      <c r="AA947" s="805" t="str">
        <f>IF(X947&lt;&gt;"",VLOOKUP(C947,'General price list'!C949:AN1922,MATCH("HM",Tabulka1[[#Headers],[KOD]:[NEQ]],0),FALSE),"")</f>
        <v/>
      </c>
    </row>
    <row r="948" spans="1:27">
      <c r="A948">
        <f>COUNTIF($W$22:W948,1)</f>
        <v>0</v>
      </c>
      <c r="B948">
        <v>948</v>
      </c>
      <c r="C948" s="340" t="str">
        <f>Tabulka1[[#This Row],[KOD]]</f>
        <v>RKD-S03-01</v>
      </c>
      <c r="W948" s="804" t="str">
        <f t="shared" si="29"/>
        <v/>
      </c>
      <c r="X948" t="str">
        <f t="shared" si="30"/>
        <v/>
      </c>
      <c r="Y948" s="341">
        <f>IF('General price list'!$AB950="",0,'General price list'!$AB950)</f>
        <v>0</v>
      </c>
      <c r="Z948" s="365" t="str">
        <f>IFERROR(X948*VLOOKUP(C948,'General price list'!C:I,7,FALSE),"")</f>
        <v/>
      </c>
      <c r="AA948" s="805" t="str">
        <f>IF(X948&lt;&gt;"",VLOOKUP(C948,'General price list'!C950:AN1923,MATCH("HM",Tabulka1[[#Headers],[KOD]:[NEQ]],0),FALSE),"")</f>
        <v/>
      </c>
    </row>
    <row r="949" spans="1:27">
      <c r="A949">
        <f>COUNTIF($W$22:W949,1)</f>
        <v>0</v>
      </c>
      <c r="B949">
        <v>949</v>
      </c>
      <c r="C949" s="340" t="str">
        <f>Tabulka1[[#This Row],[KOD]]</f>
        <v>RKD-S03-02</v>
      </c>
      <c r="W949" s="804" t="str">
        <f t="shared" si="29"/>
        <v/>
      </c>
      <c r="X949" t="str">
        <f t="shared" si="30"/>
        <v/>
      </c>
      <c r="Y949" s="341">
        <f>IF('General price list'!$AB951="",0,'General price list'!$AB951)</f>
        <v>0</v>
      </c>
      <c r="Z949" s="365" t="str">
        <f>IFERROR(X949*VLOOKUP(C949,'General price list'!C:I,7,FALSE),"")</f>
        <v/>
      </c>
      <c r="AA949" s="805" t="str">
        <f>IF(X949&lt;&gt;"",VLOOKUP(C949,'General price list'!C951:AN1924,MATCH("HM",Tabulka1[[#Headers],[KOD]:[NEQ]],0),FALSE),"")</f>
        <v/>
      </c>
    </row>
    <row r="950" spans="1:27">
      <c r="A950">
        <f>COUNTIF($W$22:W950,1)</f>
        <v>0</v>
      </c>
      <c r="B950">
        <v>950</v>
      </c>
      <c r="C950" s="340" t="str">
        <f>Tabulka1[[#This Row],[KOD]]</f>
        <v>RKD-S03-03</v>
      </c>
      <c r="W950" s="804" t="str">
        <f t="shared" si="29"/>
        <v/>
      </c>
      <c r="X950" t="str">
        <f t="shared" si="30"/>
        <v/>
      </c>
      <c r="Y950" s="341">
        <f>IF('General price list'!$AB952="",0,'General price list'!$AB952)</f>
        <v>0</v>
      </c>
      <c r="Z950" s="365" t="str">
        <f>IFERROR(X950*VLOOKUP(C950,'General price list'!C:I,7,FALSE),"")</f>
        <v/>
      </c>
      <c r="AA950" s="805" t="str">
        <f>IF(X950&lt;&gt;"",VLOOKUP(C950,'General price list'!C952:AN1925,MATCH("HM",Tabulka1[[#Headers],[KOD]:[NEQ]],0),FALSE),"")</f>
        <v/>
      </c>
    </row>
    <row r="951" spans="1:27">
      <c r="A951">
        <f>COUNTIF($W$22:W951,1)</f>
        <v>0</v>
      </c>
      <c r="B951">
        <v>951</v>
      </c>
      <c r="C951" s="340" t="str">
        <f>Tabulka1[[#This Row],[KOD]]</f>
        <v>RKD-S04-01</v>
      </c>
      <c r="W951" s="804" t="str">
        <f t="shared" si="29"/>
        <v/>
      </c>
      <c r="X951" t="str">
        <f t="shared" si="30"/>
        <v/>
      </c>
      <c r="Y951" s="341">
        <f>IF('General price list'!$AB953="",0,'General price list'!$AB953)</f>
        <v>0</v>
      </c>
      <c r="Z951" s="365" t="str">
        <f>IFERROR(X951*VLOOKUP(C951,'General price list'!C:I,7,FALSE),"")</f>
        <v/>
      </c>
      <c r="AA951" s="805" t="str">
        <f>IF(X951&lt;&gt;"",VLOOKUP(C951,'General price list'!C953:AN1926,MATCH("HM",Tabulka1[[#Headers],[KOD]:[NEQ]],0),FALSE),"")</f>
        <v/>
      </c>
    </row>
    <row r="952" spans="1:27">
      <c r="A952">
        <f>COUNTIF($W$22:W952,1)</f>
        <v>0</v>
      </c>
      <c r="B952">
        <v>952</v>
      </c>
      <c r="C952" s="340" t="str">
        <f>Tabulka1[[#This Row],[KOD]]</f>
        <v>RKD-S04-04</v>
      </c>
      <c r="W952" s="804" t="str">
        <f t="shared" si="29"/>
        <v/>
      </c>
      <c r="X952" t="str">
        <f t="shared" si="30"/>
        <v/>
      </c>
      <c r="Y952" s="341">
        <f>IF('General price list'!$AB954="",0,'General price list'!$AB954)</f>
        <v>0</v>
      </c>
      <c r="Z952" s="365" t="str">
        <f>IFERROR(X952*VLOOKUP(C952,'General price list'!C:I,7,FALSE),"")</f>
        <v/>
      </c>
      <c r="AA952" s="805" t="str">
        <f>IF(X952&lt;&gt;"",VLOOKUP(C952,'General price list'!C954:AN1927,MATCH("HM",Tabulka1[[#Headers],[KOD]:[NEQ]],0),FALSE),"")</f>
        <v/>
      </c>
    </row>
    <row r="953" spans="1:27">
      <c r="A953">
        <f>COUNTIF($W$22:W953,1)</f>
        <v>0</v>
      </c>
      <c r="B953">
        <v>953</v>
      </c>
      <c r="C953" s="340" t="str">
        <f>Tabulka1[[#This Row],[KOD]]</f>
        <v>RKD-S05-01</v>
      </c>
      <c r="W953" s="804" t="str">
        <f t="shared" si="29"/>
        <v/>
      </c>
      <c r="X953" t="str">
        <f t="shared" si="30"/>
        <v/>
      </c>
      <c r="Y953" s="341">
        <f>IF('General price list'!$AB955="",0,'General price list'!$AB955)</f>
        <v>0</v>
      </c>
      <c r="Z953" s="365" t="str">
        <f>IFERROR(X953*VLOOKUP(C953,'General price list'!C:I,7,FALSE),"")</f>
        <v/>
      </c>
      <c r="AA953" s="805" t="str">
        <f>IF(X953&lt;&gt;"",VLOOKUP(C953,'General price list'!C955:AN1928,MATCH("HM",Tabulka1[[#Headers],[KOD]:[NEQ]],0),FALSE),"")</f>
        <v/>
      </c>
    </row>
    <row r="954" spans="1:27">
      <c r="A954">
        <f>COUNTIF($W$22:W954,1)</f>
        <v>0</v>
      </c>
      <c r="B954">
        <v>954</v>
      </c>
      <c r="C954" s="340" t="str">
        <f>Tabulka1[[#This Row],[KOD]]</f>
        <v>RKD-S05-02</v>
      </c>
      <c r="W954" s="804" t="str">
        <f t="shared" si="29"/>
        <v/>
      </c>
      <c r="X954" t="str">
        <f t="shared" si="30"/>
        <v/>
      </c>
      <c r="Y954" s="341">
        <f>IF('General price list'!$AB956="",0,'General price list'!$AB956)</f>
        <v>0</v>
      </c>
      <c r="Z954" s="365" t="str">
        <f>IFERROR(X954*VLOOKUP(C954,'General price list'!C:I,7,FALSE),"")</f>
        <v/>
      </c>
      <c r="AA954" s="805" t="str">
        <f>IF(X954&lt;&gt;"",VLOOKUP(C954,'General price list'!C956:AN1929,MATCH("HM",Tabulka1[[#Headers],[KOD]:[NEQ]],0),FALSE),"")</f>
        <v/>
      </c>
    </row>
    <row r="955" spans="1:27">
      <c r="A955">
        <f>COUNTIF($W$22:W955,1)</f>
        <v>0</v>
      </c>
      <c r="B955">
        <v>955</v>
      </c>
      <c r="C955" s="340" t="str">
        <f>Tabulka1[[#This Row],[KOD]]</f>
        <v>RKD-S05-03</v>
      </c>
      <c r="W955" s="804" t="str">
        <f t="shared" si="29"/>
        <v/>
      </c>
      <c r="X955" t="str">
        <f t="shared" si="30"/>
        <v/>
      </c>
      <c r="Y955" s="341">
        <f>IF('General price list'!$AB957="",0,'General price list'!$AB957)</f>
        <v>0</v>
      </c>
      <c r="Z955" s="365" t="str">
        <f>IFERROR(X955*VLOOKUP(C955,'General price list'!C:I,7,FALSE),"")</f>
        <v/>
      </c>
      <c r="AA955" s="805" t="str">
        <f>IF(X955&lt;&gt;"",VLOOKUP(C955,'General price list'!C957:AN1930,MATCH("HM",Tabulka1[[#Headers],[KOD]:[NEQ]],0),FALSE),"")</f>
        <v/>
      </c>
    </row>
    <row r="956" spans="1:27">
      <c r="A956">
        <f>COUNTIF($W$22:W956,1)</f>
        <v>0</v>
      </c>
      <c r="B956">
        <v>956</v>
      </c>
      <c r="C956" s="340" t="str">
        <f>Tabulka1[[#This Row],[KOD]]</f>
        <v>RKD-S05-04</v>
      </c>
      <c r="W956" s="804" t="str">
        <f t="shared" si="29"/>
        <v/>
      </c>
      <c r="X956" t="str">
        <f t="shared" si="30"/>
        <v/>
      </c>
      <c r="Y956" s="341">
        <f>IF('General price list'!$AB958="",0,'General price list'!$AB958)</f>
        <v>0</v>
      </c>
      <c r="Z956" s="365" t="str">
        <f>IFERROR(X956*VLOOKUP(C956,'General price list'!C:I,7,FALSE),"")</f>
        <v/>
      </c>
      <c r="AA956" s="805" t="str">
        <f>IF(X956&lt;&gt;"",VLOOKUP(C956,'General price list'!C958:AN1931,MATCH("HM",Tabulka1[[#Headers],[KOD]:[NEQ]],0),FALSE),"")</f>
        <v/>
      </c>
    </row>
    <row r="957" spans="1:27">
      <c r="A957">
        <f>COUNTIF($W$22:W957,1)</f>
        <v>0</v>
      </c>
      <c r="B957">
        <v>957</v>
      </c>
      <c r="C957" s="340" t="str">
        <f>Tabulka1[[#This Row],[KOD]]</f>
        <v>RKD-S05-05</v>
      </c>
      <c r="W957" s="804" t="str">
        <f t="shared" si="29"/>
        <v/>
      </c>
      <c r="X957" t="str">
        <f t="shared" si="30"/>
        <v/>
      </c>
      <c r="Y957" s="341">
        <f>IF('General price list'!$AB959="",0,'General price list'!$AB959)</f>
        <v>0</v>
      </c>
      <c r="Z957" s="365" t="str">
        <f>IFERROR(X957*VLOOKUP(C957,'General price list'!C:I,7,FALSE),"")</f>
        <v/>
      </c>
      <c r="AA957" s="805" t="str">
        <f>IF(X957&lt;&gt;"",VLOOKUP(C957,'General price list'!C959:AN1932,MATCH("HM",Tabulka1[[#Headers],[KOD]:[NEQ]],0),FALSE),"")</f>
        <v/>
      </c>
    </row>
    <row r="958" spans="1:27">
      <c r="A958">
        <f>COUNTIF($W$22:W958,1)</f>
        <v>0</v>
      </c>
      <c r="B958">
        <v>958</v>
      </c>
      <c r="C958" s="340" t="str">
        <f>Tabulka1[[#This Row],[KOD]]</f>
        <v>RKD-S05-09</v>
      </c>
      <c r="W958" s="804" t="str">
        <f t="shared" si="29"/>
        <v/>
      </c>
      <c r="X958" t="str">
        <f t="shared" si="30"/>
        <v/>
      </c>
      <c r="Y958" s="341">
        <f>IF('General price list'!$AB960="",0,'General price list'!$AB960)</f>
        <v>0</v>
      </c>
      <c r="Z958" s="365" t="str">
        <f>IFERROR(X958*VLOOKUP(C958,'General price list'!C:I,7,FALSE),"")</f>
        <v/>
      </c>
      <c r="AA958" s="805" t="str">
        <f>IF(X958&lt;&gt;"",VLOOKUP(C958,'General price list'!C960:AN1933,MATCH("HM",Tabulka1[[#Headers],[KOD]:[NEQ]],0),FALSE),"")</f>
        <v/>
      </c>
    </row>
    <row r="959" spans="1:27">
      <c r="A959">
        <f>COUNTIF($W$22:W959,1)</f>
        <v>0</v>
      </c>
      <c r="B959">
        <v>959</v>
      </c>
      <c r="C959" s="340" t="str">
        <f>Tabulka1[[#This Row],[KOD]]</f>
        <v>RKD-S05-11</v>
      </c>
      <c r="W959" s="804" t="str">
        <f t="shared" si="29"/>
        <v/>
      </c>
      <c r="X959" t="str">
        <f t="shared" si="30"/>
        <v/>
      </c>
      <c r="Y959" s="341">
        <f>IF('General price list'!$AB961="",0,'General price list'!$AB961)</f>
        <v>0</v>
      </c>
      <c r="Z959" s="365" t="str">
        <f>IFERROR(X959*VLOOKUP(C959,'General price list'!C:I,7,FALSE),"")</f>
        <v/>
      </c>
      <c r="AA959" s="805" t="str">
        <f>IF(X959&lt;&gt;"",VLOOKUP(C959,'General price list'!C961:AN1934,MATCH("HM",Tabulka1[[#Headers],[KOD]:[NEQ]],0),FALSE),"")</f>
        <v/>
      </c>
    </row>
    <row r="960" spans="1:27">
      <c r="A960">
        <f>COUNTIF($W$22:W960,1)</f>
        <v>0</v>
      </c>
      <c r="B960">
        <v>960</v>
      </c>
      <c r="C960" s="340" t="str">
        <f>Tabulka1[[#This Row],[KOD]]</f>
        <v>RKD-S05-12</v>
      </c>
      <c r="W960" s="804" t="str">
        <f t="shared" si="29"/>
        <v/>
      </c>
      <c r="X960" t="str">
        <f t="shared" si="30"/>
        <v/>
      </c>
      <c r="Y960" s="341">
        <f>IF('General price list'!$AB962="",0,'General price list'!$AB962)</f>
        <v>0</v>
      </c>
      <c r="Z960" s="365" t="str">
        <f>IFERROR(X960*VLOOKUP(C960,'General price list'!C:I,7,FALSE),"")</f>
        <v/>
      </c>
      <c r="AA960" s="805" t="str">
        <f>IF(X960&lt;&gt;"",VLOOKUP(C960,'General price list'!C962:AN1935,MATCH("HM",Tabulka1[[#Headers],[KOD]:[NEQ]],0),FALSE),"")</f>
        <v/>
      </c>
    </row>
    <row r="961" spans="1:27">
      <c r="A961">
        <f>COUNTIF($W$22:W961,1)</f>
        <v>0</v>
      </c>
      <c r="B961">
        <v>961</v>
      </c>
      <c r="C961" s="340" t="str">
        <f>Tabulka1[[#This Row],[KOD]]</f>
        <v>RKD-S06-01</v>
      </c>
      <c r="W961" s="804" t="str">
        <f t="shared" si="29"/>
        <v/>
      </c>
      <c r="X961" t="str">
        <f t="shared" si="30"/>
        <v/>
      </c>
      <c r="Y961" s="341">
        <f>IF('General price list'!$AB963="",0,'General price list'!$AB963)</f>
        <v>0</v>
      </c>
      <c r="Z961" s="365" t="str">
        <f>IFERROR(X961*VLOOKUP(C961,'General price list'!C:I,7,FALSE),"")</f>
        <v/>
      </c>
      <c r="AA961" s="805" t="str">
        <f>IF(X961&lt;&gt;"",VLOOKUP(C961,'General price list'!C963:AN1936,MATCH("HM",Tabulka1[[#Headers],[KOD]:[NEQ]],0),FALSE),"")</f>
        <v/>
      </c>
    </row>
    <row r="962" spans="1:27">
      <c r="A962">
        <f>COUNTIF($W$22:W962,1)</f>
        <v>0</v>
      </c>
      <c r="B962">
        <v>962</v>
      </c>
      <c r="C962" s="340" t="str">
        <f>Tabulka1[[#This Row],[KOD]]</f>
        <v>RKD-S06-02</v>
      </c>
      <c r="W962" s="804" t="str">
        <f t="shared" si="29"/>
        <v/>
      </c>
      <c r="X962" t="str">
        <f t="shared" si="30"/>
        <v/>
      </c>
      <c r="Y962" s="341">
        <f>IF('General price list'!$AB964="",0,'General price list'!$AB964)</f>
        <v>0</v>
      </c>
      <c r="Z962" s="365" t="str">
        <f>IFERROR(X962*VLOOKUP(C962,'General price list'!C:I,7,FALSE),"")</f>
        <v/>
      </c>
      <c r="AA962" s="805" t="str">
        <f>IF(X962&lt;&gt;"",VLOOKUP(C962,'General price list'!C964:AN1937,MATCH("HM",Tabulka1[[#Headers],[KOD]:[NEQ]],0),FALSE),"")</f>
        <v/>
      </c>
    </row>
    <row r="963" spans="1:27">
      <c r="A963">
        <f>COUNTIF($W$22:W963,1)</f>
        <v>0</v>
      </c>
      <c r="B963">
        <v>963</v>
      </c>
      <c r="C963" s="340" t="str">
        <f>Tabulka1[[#This Row],[KOD]]</f>
        <v>RKD-S06-03</v>
      </c>
      <c r="W963" s="804" t="str">
        <f t="shared" si="29"/>
        <v/>
      </c>
      <c r="X963" t="str">
        <f t="shared" si="30"/>
        <v/>
      </c>
      <c r="Y963" s="341">
        <f>IF('General price list'!$AB965="",0,'General price list'!$AB965)</f>
        <v>0</v>
      </c>
      <c r="Z963" s="365" t="str">
        <f>IFERROR(X963*VLOOKUP(C963,'General price list'!C:I,7,FALSE),"")</f>
        <v/>
      </c>
      <c r="AA963" s="805" t="str">
        <f>IF(X963&lt;&gt;"",VLOOKUP(C963,'General price list'!C965:AN1938,MATCH("HM",Tabulka1[[#Headers],[KOD]:[NEQ]],0),FALSE),"")</f>
        <v/>
      </c>
    </row>
    <row r="964" spans="1:27">
      <c r="A964">
        <f>COUNTIF($W$22:W964,1)</f>
        <v>0</v>
      </c>
      <c r="B964">
        <v>964</v>
      </c>
      <c r="C964" s="340" t="str">
        <f>Tabulka1[[#This Row],[KOD]]</f>
        <v>RKD-S06-04</v>
      </c>
      <c r="W964" s="804" t="str">
        <f t="shared" si="29"/>
        <v/>
      </c>
      <c r="X964" t="str">
        <f t="shared" si="30"/>
        <v/>
      </c>
      <c r="Y964" s="341">
        <f>IF('General price list'!$AB966="",0,'General price list'!$AB966)</f>
        <v>0</v>
      </c>
      <c r="Z964" s="365" t="str">
        <f>IFERROR(X964*VLOOKUP(C964,'General price list'!C:I,7,FALSE),"")</f>
        <v/>
      </c>
      <c r="AA964" s="805" t="str">
        <f>IF(X964&lt;&gt;"",VLOOKUP(C964,'General price list'!C966:AN1939,MATCH("HM",Tabulka1[[#Headers],[KOD]:[NEQ]],0),FALSE),"")</f>
        <v/>
      </c>
    </row>
    <row r="965" spans="1:27">
      <c r="A965">
        <f>COUNTIF($W$22:W965,1)</f>
        <v>0</v>
      </c>
      <c r="B965">
        <v>965</v>
      </c>
      <c r="C965" s="340" t="str">
        <f>Tabulka1[[#This Row],[KOD]]</f>
        <v>RKD-S06-05</v>
      </c>
      <c r="W965" s="804" t="str">
        <f t="shared" si="29"/>
        <v/>
      </c>
      <c r="X965" t="str">
        <f t="shared" si="30"/>
        <v/>
      </c>
      <c r="Y965" s="341">
        <f>IF('General price list'!$AB967="",0,'General price list'!$AB967)</f>
        <v>0</v>
      </c>
      <c r="Z965" s="365" t="str">
        <f>IFERROR(X965*VLOOKUP(C965,'General price list'!C:I,7,FALSE),"")</f>
        <v/>
      </c>
      <c r="AA965" s="805" t="str">
        <f>IF(X965&lt;&gt;"",VLOOKUP(C965,'General price list'!C967:AN1940,MATCH("HM",Tabulka1[[#Headers],[KOD]:[NEQ]],0),FALSE),"")</f>
        <v/>
      </c>
    </row>
    <row r="966" spans="1:27">
      <c r="A966">
        <f>COUNTIF($W$22:W966,1)</f>
        <v>0</v>
      </c>
      <c r="B966">
        <v>966</v>
      </c>
      <c r="C966" s="340" t="str">
        <f>Tabulka1[[#This Row],[KOD]]</f>
        <v>RKD-S06-07</v>
      </c>
      <c r="W966" s="804" t="str">
        <f t="shared" si="29"/>
        <v/>
      </c>
      <c r="X966" t="str">
        <f t="shared" si="30"/>
        <v/>
      </c>
      <c r="Y966" s="341">
        <f>IF('General price list'!$AB968="",0,'General price list'!$AB968)</f>
        <v>0</v>
      </c>
      <c r="Z966" s="365" t="str">
        <f>IFERROR(X966*VLOOKUP(C966,'General price list'!C:I,7,FALSE),"")</f>
        <v/>
      </c>
      <c r="AA966" s="805" t="str">
        <f>IF(X966&lt;&gt;"",VLOOKUP(C966,'General price list'!C968:AN1941,MATCH("HM",Tabulka1[[#Headers],[KOD]:[NEQ]],0),FALSE),"")</f>
        <v/>
      </c>
    </row>
    <row r="967" spans="1:27">
      <c r="A967">
        <f>COUNTIF($W$22:W967,1)</f>
        <v>0</v>
      </c>
      <c r="B967">
        <v>967</v>
      </c>
      <c r="C967" s="340">
        <f>Tabulka1[[#This Row],[KOD]]</f>
        <v>0</v>
      </c>
      <c r="W967" s="804" t="str">
        <f t="shared" si="29"/>
        <v/>
      </c>
      <c r="X967" t="str">
        <f t="shared" si="30"/>
        <v/>
      </c>
      <c r="Y967" s="341">
        <f>IF('General price list'!$AB969="",0,'General price list'!$AB969)</f>
        <v>0</v>
      </c>
      <c r="Z967" s="365" t="str">
        <f>IFERROR(X967*VLOOKUP(C967,'General price list'!C:I,7,FALSE),"")</f>
        <v/>
      </c>
      <c r="AA967" s="805" t="str">
        <f>IF(X967&lt;&gt;"",VLOOKUP(C967,'General price list'!C969:AN1942,MATCH("HM",Tabulka1[[#Headers],[KOD]:[NEQ]],0),FALSE),"")</f>
        <v/>
      </c>
    </row>
    <row r="968" spans="1:27">
      <c r="A968">
        <f>COUNTIF($W$22:W968,1)</f>
        <v>0</v>
      </c>
      <c r="B968">
        <v>968</v>
      </c>
      <c r="C968" s="340" t="str">
        <f>Tabulka1[[#This Row],[KOD]]</f>
        <v>M2</v>
      </c>
      <c r="W968" s="804" t="str">
        <f t="shared" si="29"/>
        <v/>
      </c>
      <c r="X968" t="str">
        <f t="shared" si="30"/>
        <v/>
      </c>
      <c r="Y968" s="341">
        <f>IF('General price list'!$AB970="",0,'General price list'!$AB970)</f>
        <v>0</v>
      </c>
      <c r="Z968" s="365" t="str">
        <f>IFERROR(X968*VLOOKUP(C968,'General price list'!C:I,7,FALSE),"")</f>
        <v/>
      </c>
      <c r="AA968" s="805" t="str">
        <f>IF(X968&lt;&gt;"",VLOOKUP(C968,'General price list'!C970:AN1943,MATCH("HM",Tabulka1[[#Headers],[KOD]:[NEQ]],0),FALSE),"")</f>
        <v/>
      </c>
    </row>
    <row r="969" spans="1:27">
      <c r="A969">
        <f>COUNTIF($W$22:W969,1)</f>
        <v>0</v>
      </c>
      <c r="B969">
        <v>969</v>
      </c>
      <c r="C969" s="340" t="str">
        <f>Tabulka1[[#This Row],[KOD]]</f>
        <v>M3</v>
      </c>
      <c r="W969" s="804" t="str">
        <f t="shared" si="29"/>
        <v/>
      </c>
      <c r="X969" t="str">
        <f t="shared" si="30"/>
        <v/>
      </c>
      <c r="Y969" s="341">
        <f>IF('General price list'!$AB971="",0,'General price list'!$AB971)</f>
        <v>0</v>
      </c>
      <c r="Z969" s="365" t="str">
        <f>IFERROR(X969*VLOOKUP(C969,'General price list'!C:I,7,FALSE),"")</f>
        <v/>
      </c>
      <c r="AA969" s="805" t="str">
        <f>IF(X969&lt;&gt;"",VLOOKUP(C969,'General price list'!C971:AN1944,MATCH("HM",Tabulka1[[#Headers],[KOD]:[NEQ]],0),FALSE),"")</f>
        <v/>
      </c>
    </row>
    <row r="970" spans="1:27">
      <c r="A970">
        <f>COUNTIF($W$22:W970,1)</f>
        <v>0</v>
      </c>
      <c r="B970">
        <v>970</v>
      </c>
      <c r="C970" s="340" t="str">
        <f>Tabulka1[[#This Row],[KOD]]</f>
        <v>M4</v>
      </c>
      <c r="W970" s="804" t="str">
        <f t="shared" si="29"/>
        <v/>
      </c>
      <c r="X970" t="str">
        <f t="shared" si="30"/>
        <v/>
      </c>
      <c r="Y970" s="341">
        <f>IF('General price list'!$AB972="",0,'General price list'!$AB972)</f>
        <v>0</v>
      </c>
      <c r="Z970" s="365" t="str">
        <f>IFERROR(X970*VLOOKUP(C970,'General price list'!C:I,7,FALSE),"")</f>
        <v/>
      </c>
      <c r="AA970" s="805" t="str">
        <f>IF(X970&lt;&gt;"",VLOOKUP(C970,'General price list'!C972:AN1945,MATCH("HM",Tabulka1[[#Headers],[KOD]:[NEQ]],0),FALSE),"")</f>
        <v/>
      </c>
    </row>
    <row r="971" spans="1:27">
      <c r="A971">
        <f>COUNTIF($W$22:W971,1)</f>
        <v>0</v>
      </c>
      <c r="B971">
        <v>971</v>
      </c>
      <c r="C971" s="340" t="str">
        <f>Tabulka1[[#This Row],[KOD]]</f>
        <v>M5</v>
      </c>
      <c r="W971" s="804" t="str">
        <f t="shared" si="29"/>
        <v/>
      </c>
      <c r="X971" t="str">
        <f t="shared" si="30"/>
        <v/>
      </c>
      <c r="Y971" s="341">
        <f>IF('General price list'!$AB973="",0,'General price list'!$AB973)</f>
        <v>0</v>
      </c>
      <c r="Z971" s="365" t="str">
        <f>IFERROR(X971*VLOOKUP(C971,'General price list'!C:I,7,FALSE),"")</f>
        <v/>
      </c>
      <c r="AA971" s="805" t="str">
        <f>IF(X971&lt;&gt;"",VLOOKUP(C971,'General price list'!C973:AN1946,MATCH("HM",Tabulka1[[#Headers],[KOD]:[NEQ]],0),FALSE),"")</f>
        <v/>
      </c>
    </row>
    <row r="972" spans="1:27">
      <c r="A972">
        <f>COUNTIF($W$22:W972,1)</f>
        <v>0</v>
      </c>
      <c r="B972">
        <v>972</v>
      </c>
      <c r="C972" s="340" t="str">
        <f>Tabulka1[[#This Row],[KOD]]</f>
        <v>M6</v>
      </c>
      <c r="W972" s="804" t="str">
        <f t="shared" si="29"/>
        <v/>
      </c>
      <c r="X972" t="str">
        <f t="shared" si="30"/>
        <v/>
      </c>
      <c r="Y972" s="341">
        <f>IF('General price list'!$AB974="",0,'General price list'!$AB974)</f>
        <v>0</v>
      </c>
      <c r="Z972" s="365" t="str">
        <f>IFERROR(X972*VLOOKUP(C972,'General price list'!C:I,7,FALSE),"")</f>
        <v/>
      </c>
      <c r="AA972" s="805" t="str">
        <f>IF(X972&lt;&gt;"",VLOOKUP(C972,'General price list'!C974:AN1947,MATCH("HM",Tabulka1[[#Headers],[KOD]:[NEQ]],0),FALSE),"")</f>
        <v/>
      </c>
    </row>
    <row r="973" spans="1:27">
      <c r="A973">
        <f>COUNTIF($W$22:W973,1)</f>
        <v>0</v>
      </c>
      <c r="B973">
        <v>973</v>
      </c>
      <c r="C973" s="340">
        <f>Tabulka1[[#This Row],[KOD]]</f>
        <v>0</v>
      </c>
      <c r="W973" s="804" t="str">
        <f t="shared" si="29"/>
        <v/>
      </c>
      <c r="X973" t="str">
        <f t="shared" si="30"/>
        <v/>
      </c>
      <c r="Y973" s="341">
        <f>IF('General price list'!$AB975="",0,'General price list'!$AB975)</f>
        <v>0</v>
      </c>
      <c r="Z973" s="365" t="str">
        <f>IFERROR(X973*VLOOKUP(C973,'General price list'!C:I,7,FALSE),"")</f>
        <v/>
      </c>
      <c r="AA973" s="805" t="str">
        <f>IF(X973&lt;&gt;"",VLOOKUP(C973,'General price list'!C975:AN1948,MATCH("HM",Tabulka1[[#Headers],[KOD]:[NEQ]],0),FALSE),"")</f>
        <v/>
      </c>
    </row>
    <row r="974" spans="1:27">
      <c r="A974">
        <f>COUNTIF($W$22:W974,1)</f>
        <v>0</v>
      </c>
      <c r="B974">
        <v>974</v>
      </c>
      <c r="C974" s="340" t="str">
        <f>Tabulka1[[#This Row],[KOD]]</f>
        <v>IF220A</v>
      </c>
      <c r="W974" s="804" t="str">
        <f t="shared" si="29"/>
        <v/>
      </c>
      <c r="X974" t="str">
        <f t="shared" si="30"/>
        <v/>
      </c>
      <c r="Y974" s="341">
        <f>IF('General price list'!$AB976="",0,'General price list'!$AB976)</f>
        <v>0</v>
      </c>
      <c r="Z974" s="365" t="str">
        <f>IFERROR(X974*VLOOKUP(C974,'General price list'!C:I,7,FALSE),"")</f>
        <v/>
      </c>
      <c r="AA974" s="805" t="str">
        <f>IF(X974&lt;&gt;"",VLOOKUP(C974,'General price list'!C976:AN1949,MATCH("HM",Tabulka1[[#Headers],[KOD]:[NEQ]],0),FALSE),"")</f>
        <v/>
      </c>
    </row>
    <row r="975" spans="1:27">
      <c r="A975">
        <f>COUNTIF($W$22:W975,1)</f>
        <v>0</v>
      </c>
      <c r="B975">
        <v>975</v>
      </c>
      <c r="C975" s="340" t="str">
        <f>Tabulka1[[#This Row],[KOD]]</f>
        <v>IF3MA</v>
      </c>
      <c r="W975" s="804" t="str">
        <f t="shared" si="29"/>
        <v/>
      </c>
      <c r="X975" t="str">
        <f t="shared" si="30"/>
        <v/>
      </c>
      <c r="Y975" s="341">
        <f>IF('General price list'!$AB977="",0,'General price list'!$AB977)</f>
        <v>0</v>
      </c>
      <c r="Z975" s="365" t="str">
        <f>IFERROR(X975*VLOOKUP(C975,'General price list'!C:I,7,FALSE),"")</f>
        <v/>
      </c>
      <c r="AA975" s="805" t="str">
        <f>IF(X975&lt;&gt;"",VLOOKUP(C975,'General price list'!C977:AN1950,MATCH("HM",Tabulka1[[#Headers],[KOD]:[NEQ]],0),FALSE),"")</f>
        <v/>
      </c>
    </row>
    <row r="976" spans="1:27">
      <c r="A976">
        <f>COUNTIF($W$22:W976,1)</f>
        <v>0</v>
      </c>
      <c r="B976">
        <v>976</v>
      </c>
      <c r="C976" s="340" t="str">
        <f>Tabulka1[[#This Row],[KOD]]</f>
        <v>IF560B</v>
      </c>
      <c r="W976" s="804" t="str">
        <f t="shared" si="29"/>
        <v/>
      </c>
      <c r="X976" t="str">
        <f t="shared" si="30"/>
        <v/>
      </c>
      <c r="Y976" s="341">
        <f>IF('General price list'!$AB978="",0,'General price list'!$AB978)</f>
        <v>0</v>
      </c>
      <c r="Z976" s="365" t="str">
        <f>IFERROR(X976*VLOOKUP(C976,'General price list'!C:I,7,FALSE),"")</f>
        <v/>
      </c>
      <c r="AA976" s="805" t="str">
        <f>IF(X976&lt;&gt;"",VLOOKUP(C976,'General price list'!C978:AN1951,MATCH("HM",Tabulka1[[#Headers],[KOD]:[NEQ]],0),FALSE),"")</f>
        <v/>
      </c>
    </row>
    <row r="977" spans="1:27">
      <c r="A977">
        <f>COUNTIF($W$22:W977,1)</f>
        <v>0</v>
      </c>
      <c r="B977">
        <v>977</v>
      </c>
      <c r="C977" s="340">
        <f>Tabulka1[[#This Row],[KOD]]</f>
        <v>0</v>
      </c>
      <c r="W977" s="804" t="str">
        <f t="shared" si="29"/>
        <v/>
      </c>
      <c r="X977" t="str">
        <f t="shared" si="30"/>
        <v/>
      </c>
      <c r="Y977" s="341">
        <f>IF('General price list'!$AB979="",0,'General price list'!$AB979)</f>
        <v>0</v>
      </c>
      <c r="Z977" s="365" t="str">
        <f>IFERROR(X977*VLOOKUP(C977,'General price list'!C:I,7,FALSE),"")</f>
        <v/>
      </c>
      <c r="AA977" s="805" t="str">
        <f>IF(X977&lt;&gt;"",VLOOKUP(C977,'General price list'!C979:AN1952,MATCH("HM",Tabulka1[[#Headers],[KOD]:[NEQ]],0),FALSE),"")</f>
        <v/>
      </c>
    </row>
    <row r="978" spans="1:27">
      <c r="A978">
        <f>COUNTIF($W$22:W978,1)</f>
        <v>0</v>
      </c>
      <c r="B978">
        <v>978</v>
      </c>
      <c r="C978" s="340" t="str">
        <f>Tabulka1[[#This Row],[KOD]]</f>
        <v>EP03M</v>
      </c>
      <c r="W978" s="804" t="str">
        <f t="shared" si="29"/>
        <v/>
      </c>
      <c r="X978" t="str">
        <f t="shared" si="30"/>
        <v/>
      </c>
      <c r="Y978" s="341">
        <f>IF('General price list'!$AB980="",0,'General price list'!$AB980)</f>
        <v>0</v>
      </c>
      <c r="Z978" s="365" t="str">
        <f>IFERROR(X978*VLOOKUP(C978,'General price list'!C:I,7,FALSE),"")</f>
        <v/>
      </c>
      <c r="AA978" s="805" t="str">
        <f>IF(X978&lt;&gt;"",VLOOKUP(C978,'General price list'!C980:AN1953,MATCH("HM",Tabulka1[[#Headers],[KOD]:[NEQ]],0),FALSE),"")</f>
        <v/>
      </c>
    </row>
    <row r="979" spans="1:27">
      <c r="A979">
        <f>COUNTIF($W$22:W979,1)</f>
        <v>0</v>
      </c>
      <c r="B979">
        <v>979</v>
      </c>
      <c r="C979" s="340" t="str">
        <f>Tabulka1[[#This Row],[KOD]]</f>
        <v>EP1M</v>
      </c>
      <c r="W979" s="804" t="str">
        <f t="shared" si="29"/>
        <v/>
      </c>
      <c r="X979" t="str">
        <f t="shared" si="30"/>
        <v/>
      </c>
      <c r="Y979" s="341">
        <f>IF('General price list'!$AB981="",0,'General price list'!$AB981)</f>
        <v>0</v>
      </c>
      <c r="Z979" s="365" t="str">
        <f>IFERROR(X979*VLOOKUP(C979,'General price list'!C:I,7,FALSE),"")</f>
        <v/>
      </c>
      <c r="AA979" s="805" t="str">
        <f>IF(X979&lt;&gt;"",VLOOKUP(C979,'General price list'!C981:AN1954,MATCH("HM",Tabulka1[[#Headers],[KOD]:[NEQ]],0),FALSE),"")</f>
        <v/>
      </c>
    </row>
    <row r="980" spans="1:27">
      <c r="A980">
        <f>COUNTIF($W$22:W980,1)</f>
        <v>0</v>
      </c>
      <c r="B980">
        <v>980</v>
      </c>
      <c r="C980" s="340" t="str">
        <f>Tabulka1[[#This Row],[KOD]]</f>
        <v>EP2M</v>
      </c>
      <c r="W980" s="804" t="str">
        <f t="shared" si="29"/>
        <v/>
      </c>
      <c r="X980" t="str">
        <f t="shared" si="30"/>
        <v/>
      </c>
      <c r="Y980" s="341">
        <f>IF('General price list'!$AB982="",0,'General price list'!$AB982)</f>
        <v>0</v>
      </c>
      <c r="Z980" s="365" t="str">
        <f>IFERROR(X980*VLOOKUP(C980,'General price list'!C:I,7,FALSE),"")</f>
        <v/>
      </c>
      <c r="AA980" s="805" t="str">
        <f>IF(X980&lt;&gt;"",VLOOKUP(C980,'General price list'!C982:AN1955,MATCH("HM",Tabulka1[[#Headers],[KOD]:[NEQ]],0),FALSE),"")</f>
        <v/>
      </c>
    </row>
    <row r="981" spans="1:27">
      <c r="A981">
        <f>COUNTIF($W$22:W981,1)</f>
        <v>0</v>
      </c>
      <c r="B981">
        <v>981</v>
      </c>
      <c r="C981" s="340" t="str">
        <f>Tabulka1[[#This Row],[KOD]]</f>
        <v>EP3M</v>
      </c>
      <c r="W981" s="804" t="str">
        <f t="shared" si="29"/>
        <v/>
      </c>
      <c r="X981" t="str">
        <f t="shared" si="30"/>
        <v/>
      </c>
      <c r="Y981" s="341">
        <f>IF('General price list'!$AB983="",0,'General price list'!$AB983)</f>
        <v>0</v>
      </c>
      <c r="Z981" s="365" t="str">
        <f>IFERROR(X981*VLOOKUP(C981,'General price list'!C:I,7,FALSE),"")</f>
        <v/>
      </c>
      <c r="AA981" s="805" t="str">
        <f>IF(X981&lt;&gt;"",VLOOKUP(C981,'General price list'!C983:AN1956,MATCH("HM",Tabulka1[[#Headers],[KOD]:[NEQ]],0),FALSE),"")</f>
        <v/>
      </c>
    </row>
  </sheetData>
  <autoFilter ref="X18:X981" xr:uid="{81F66A6B-4FD0-4D9A-BC03-3B170E82DF9D}"/>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27291-F974-4AB4-9CA6-FE13E3B422DE}">
  <dimension ref="A15:AA981"/>
  <sheetViews>
    <sheetView topLeftCell="A941" workbookViewId="0">
      <selection activeCell="N968" sqref="N968"/>
    </sheetView>
  </sheetViews>
  <sheetFormatPr defaultRowHeight="15"/>
  <cols>
    <col min="3" max="3" width="9.140625" style="340"/>
    <col min="5" max="5" width="13.7109375" customWidth="1"/>
    <col min="6" max="6" width="11.140625" customWidth="1"/>
    <col min="25" max="25" width="9.140625" style="341"/>
  </cols>
  <sheetData>
    <row r="15" spans="22:23">
      <c r="V15" s="356" t="s">
        <v>11097</v>
      </c>
      <c r="W15" s="365">
        <f>SUM(Z:Z)</f>
        <v>0</v>
      </c>
    </row>
    <row r="16" spans="22:23">
      <c r="V16" s="356" t="s">
        <v>11098</v>
      </c>
      <c r="W16" s="365">
        <f>SUM(AA:AA)</f>
        <v>0</v>
      </c>
    </row>
    <row r="17" spans="1:27">
      <c r="C17" s="351"/>
      <c r="D17" s="352" t="s">
        <v>11066</v>
      </c>
      <c r="E17" s="347" t="str">
        <f>VLOOKUP($G$20,A:C,3,FALSE)&amp;", ř."&amp;VLOOKUP($G$20,A:C,2,FALSE)&amp;" - "&amp;VLOOKUP($W$20,A:C,3,FALSE)&amp;", ř."&amp;VLOOKUP($W$20,A:C,2,FALSE)</f>
        <v>BK1P(1), ř.23 - BK1P(1), ř.23</v>
      </c>
      <c r="F17" s="347"/>
      <c r="G17" s="347"/>
    </row>
    <row r="18" spans="1:27">
      <c r="C18" s="354">
        <v>1</v>
      </c>
      <c r="D18" s="343">
        <v>2</v>
      </c>
      <c r="E18" s="343">
        <v>3</v>
      </c>
      <c r="F18" s="343">
        <v>4</v>
      </c>
      <c r="G18" s="344">
        <v>5</v>
      </c>
    </row>
    <row r="19" spans="1:27">
      <c r="C19" s="355" t="str">
        <f>'Část (1)'!C19</f>
        <v>0 - -1</v>
      </c>
      <c r="D19" s="1" t="str">
        <f>'Část (1)'!D19</f>
        <v>0 - -1</v>
      </c>
      <c r="E19" s="1" t="str">
        <f>'Část (1)'!E19</f>
        <v>0 - -1</v>
      </c>
      <c r="F19" s="1" t="str">
        <f>'Část (1)'!F19</f>
        <v>0 - -1</v>
      </c>
      <c r="G19" s="345" t="str">
        <f>'Část (1)'!G19</f>
        <v>0 - 0</v>
      </c>
      <c r="X19" s="1" t="s">
        <v>11068</v>
      </c>
    </row>
    <row r="20" spans="1:27">
      <c r="C20" s="340">
        <f>'Část (1)'!C20</f>
        <v>0</v>
      </c>
      <c r="D20">
        <f>'Část (1)'!D20</f>
        <v>0</v>
      </c>
      <c r="E20">
        <f>'Část (1)'!E20</f>
        <v>0</v>
      </c>
      <c r="F20">
        <f>'Část (1)'!F20</f>
        <v>0</v>
      </c>
      <c r="G20" s="345">
        <f>'Část (1)'!G20</f>
        <v>0</v>
      </c>
      <c r="V20" t="s">
        <v>11062</v>
      </c>
      <c r="W20">
        <f>SUM(W22:W981)</f>
        <v>0</v>
      </c>
      <c r="X20" s="1" t="s">
        <v>9303</v>
      </c>
    </row>
    <row r="21" spans="1:27" s="20" customFormat="1">
      <c r="C21" s="339">
        <f>'Část (1)'!C21</f>
        <v>-1</v>
      </c>
      <c r="D21" s="20">
        <f>'Část (1)'!D21</f>
        <v>-1</v>
      </c>
      <c r="E21" s="20">
        <f>'Část (1)'!E21</f>
        <v>-1</v>
      </c>
      <c r="F21" s="20">
        <f>'Část (1)'!F21</f>
        <v>-1</v>
      </c>
      <c r="G21" s="346">
        <f>'Část (1)'!G21</f>
        <v>0</v>
      </c>
      <c r="V21" s="20" t="s">
        <v>11063</v>
      </c>
      <c r="W21" s="20">
        <f>ROUND(W20/5,0)</f>
        <v>0</v>
      </c>
      <c r="X21" s="342" t="s">
        <v>11069</v>
      </c>
      <c r="Y21" s="89"/>
      <c r="Z21" s="20" t="s">
        <v>11095</v>
      </c>
      <c r="AA21" s="20" t="s">
        <v>11096</v>
      </c>
    </row>
    <row r="22" spans="1:27">
      <c r="A22" t="str">
        <f>W22</f>
        <v/>
      </c>
      <c r="B22">
        <v>22</v>
      </c>
      <c r="C22" s="340" t="str">
        <f>Tabulka1[[#This Row],[KOD]]</f>
        <v>BK1P</v>
      </c>
      <c r="W22" t="str">
        <f>IF(Y22+1=1,"",1)</f>
        <v/>
      </c>
      <c r="Y22" s="341">
        <f>IF('General price list'!$AB22="",0,'General price list'!$AB22)</f>
        <v>0</v>
      </c>
      <c r="Z22" s="365">
        <f>IFERROR(X22*VLOOKUP(C22,'General price list'!C:I,7,FALSE),"")</f>
        <v>0</v>
      </c>
      <c r="AA22" s="365" t="str">
        <f>IF(X22&lt;&gt;"",VLOOKUP(C22,'General price list'!C22:AN997,MATCH("HM",Tabulka1[[#Headers],[KOD]:[NEQ]],0),FALSE),"")</f>
        <v/>
      </c>
    </row>
    <row r="23" spans="1:27">
      <c r="A23">
        <f>COUNTIF($W$22:W23,1)</f>
        <v>0</v>
      </c>
      <c r="B23">
        <v>23</v>
      </c>
      <c r="C23" s="340" t="str">
        <f>Tabulka1[[#This Row],[KOD]]</f>
        <v>BK1P(1)</v>
      </c>
      <c r="W23" t="str">
        <f t="shared" ref="W23" si="0">IF(Y23+1=1,"",1)</f>
        <v/>
      </c>
      <c r="X23" t="str">
        <f>IF(OR(A23&lt;$G$20,A23&gt;$G$21),"",IF(Y23=0,"",Y23))</f>
        <v/>
      </c>
      <c r="Y23" s="341">
        <f>IF('General price list'!$AB23="",0,'General price list'!$AB23)</f>
        <v>0</v>
      </c>
      <c r="Z23" s="365" t="str">
        <f>IFERROR(X23*VLOOKUP(C23,'General price list'!C:I,7,FALSE),"")</f>
        <v/>
      </c>
      <c r="AA23" s="365" t="str">
        <f>IF(X23&lt;&gt;"",VLOOKUP(C23,'General price list'!C23:AN998,MATCH("HM",Tabulka1[[#Headers],[KOD]:[NEQ]],0),FALSE),"")</f>
        <v/>
      </c>
    </row>
    <row r="24" spans="1:27">
      <c r="A24">
        <f>COUNTIF($W$22:W24,1)</f>
        <v>0</v>
      </c>
      <c r="B24">
        <v>24</v>
      </c>
      <c r="C24" s="340" t="str">
        <f>Tabulka1[[#This Row],[KOD]]</f>
        <v>BK2V</v>
      </c>
      <c r="W24" s="804" t="str">
        <f t="shared" ref="W24" si="1">IF(Y24+1=1,"",1)</f>
        <v/>
      </c>
      <c r="X24" t="str">
        <f t="shared" ref="X24" si="2">IF(OR(A24&lt;$G$20,A24&gt;$G$21),"",IF(Y24=0,"",Y24))</f>
        <v/>
      </c>
      <c r="Y24" s="341">
        <f>IF('General price list'!$AB24="",0,'General price list'!$AB24)</f>
        <v>0</v>
      </c>
      <c r="Z24" s="365" t="str">
        <f>IFERROR(X24*VLOOKUP(C24,'General price list'!C:I,7,FALSE),"")</f>
        <v/>
      </c>
      <c r="AA24" s="805" t="str">
        <f>IF(X24&lt;&gt;"",VLOOKUP(C24,'General price list'!C24:AN999,MATCH("HM",Tabulka1[[#Headers],[KOD]:[NEQ]],0),FALSE),"")</f>
        <v/>
      </c>
    </row>
    <row r="25" spans="1:27">
      <c r="A25">
        <f>COUNTIF($W$22:W25,1)</f>
        <v>0</v>
      </c>
      <c r="B25">
        <v>25</v>
      </c>
      <c r="C25" s="340" t="str">
        <f>Tabulka1[[#This Row],[KOD]]</f>
        <v>S5DU14</v>
      </c>
      <c r="W25" s="804" t="str">
        <f t="shared" ref="W25:W88" si="3">IF(Y25+1=1,"",1)</f>
        <v/>
      </c>
      <c r="X25" t="str">
        <f t="shared" ref="X25:X88" si="4">IF(OR(A25&lt;$G$20,A25&gt;$G$21),"",IF(Y25=0,"",Y25))</f>
        <v/>
      </c>
      <c r="Y25" s="341">
        <f>IF('General price list'!$AB25="",0,'General price list'!$AB25)</f>
        <v>0</v>
      </c>
      <c r="Z25" s="365" t="str">
        <f>IFERROR(X25*VLOOKUP(C25,'General price list'!C:I,7,FALSE),"")</f>
        <v/>
      </c>
      <c r="AA25" s="805" t="str">
        <f>IF(X25&lt;&gt;"",VLOOKUP(C25,'General price list'!C25:AN1000,MATCH("HM",Tabulka1[[#Headers],[KOD]:[NEQ]],0),FALSE),"")</f>
        <v/>
      </c>
    </row>
    <row r="26" spans="1:27">
      <c r="A26">
        <f>COUNTIF($W$22:W26,1)</f>
        <v>0</v>
      </c>
      <c r="B26">
        <v>26</v>
      </c>
      <c r="C26" s="340" t="str">
        <f>Tabulka1[[#This Row],[KOD]]</f>
        <v>R5DU14</v>
      </c>
      <c r="W26" s="804" t="str">
        <f t="shared" si="3"/>
        <v/>
      </c>
      <c r="X26" t="str">
        <f t="shared" si="4"/>
        <v/>
      </c>
      <c r="Y26" s="341">
        <f>IF('General price list'!$AB26="",0,'General price list'!$AB26)</f>
        <v>0</v>
      </c>
      <c r="Z26" s="365" t="str">
        <f>IFERROR(X26*VLOOKUP(C26,'General price list'!C:I,7,FALSE),"")</f>
        <v/>
      </c>
      <c r="AA26" s="805" t="str">
        <f>IF(X26&lt;&gt;"",VLOOKUP(C26,'General price list'!C26:AN1001,MATCH("HM",Tabulka1[[#Headers],[KOD]:[NEQ]],0),FALSE),"")</f>
        <v/>
      </c>
    </row>
    <row r="27" spans="1:27">
      <c r="A27">
        <f>COUNTIF($W$22:W27,1)</f>
        <v>0</v>
      </c>
      <c r="B27">
        <v>27</v>
      </c>
      <c r="C27" s="340" t="str">
        <f>Tabulka1[[#This Row],[KOD]]</f>
        <v>C5DU14</v>
      </c>
      <c r="W27" s="804" t="str">
        <f t="shared" si="3"/>
        <v/>
      </c>
      <c r="X27" t="str">
        <f t="shared" si="4"/>
        <v/>
      </c>
      <c r="Y27" s="341">
        <f>IF('General price list'!$AB27="",0,'General price list'!$AB27)</f>
        <v>0</v>
      </c>
      <c r="Z27" s="365" t="str">
        <f>IFERROR(X27*VLOOKUP(C27,'General price list'!C:I,7,FALSE),"")</f>
        <v/>
      </c>
      <c r="AA27" s="805" t="str">
        <f>IF(X27&lt;&gt;"",VLOOKUP(C27,'General price list'!C27:AN1002,MATCH("HM",Tabulka1[[#Headers],[KOD]:[NEQ]],0),FALSE),"")</f>
        <v/>
      </c>
    </row>
    <row r="28" spans="1:27">
      <c r="A28">
        <f>COUNTIF($W$22:W28,1)</f>
        <v>0</v>
      </c>
      <c r="B28">
        <v>28</v>
      </c>
      <c r="C28" s="340" t="str">
        <f>Tabulka1[[#This Row],[KOD]]</f>
        <v>DP1CB</v>
      </c>
      <c r="W28" s="804" t="str">
        <f t="shared" si="3"/>
        <v/>
      </c>
      <c r="X28" t="str">
        <f t="shared" si="4"/>
        <v/>
      </c>
      <c r="Y28" s="341">
        <f>IF('General price list'!$AB28="",0,'General price list'!$AB28)</f>
        <v>0</v>
      </c>
      <c r="Z28" s="365" t="str">
        <f>IFERROR(X28*VLOOKUP(C28,'General price list'!C:I,7,FALSE),"")</f>
        <v/>
      </c>
      <c r="AA28" s="805" t="str">
        <f>IF(X28&lt;&gt;"",VLOOKUP(C28,'General price list'!C28:AN1003,MATCH("HM",Tabulka1[[#Headers],[KOD]:[NEQ]],0),FALSE),"")</f>
        <v/>
      </c>
    </row>
    <row r="29" spans="1:27">
      <c r="A29">
        <f>COUNTIF($W$22:W29,1)</f>
        <v>0</v>
      </c>
      <c r="B29">
        <v>29</v>
      </c>
      <c r="C29" s="340" t="str">
        <f>Tabulka1[[#This Row],[KOD]]</f>
        <v>DP1CB(1)</v>
      </c>
      <c r="W29" s="804" t="str">
        <f t="shared" si="3"/>
        <v/>
      </c>
      <c r="X29" t="str">
        <f t="shared" si="4"/>
        <v/>
      </c>
      <c r="Y29" s="341">
        <f>IF('General price list'!$AB29="",0,'General price list'!$AB29)</f>
        <v>0</v>
      </c>
      <c r="Z29" s="365" t="str">
        <f>IFERROR(X29*VLOOKUP(C29,'General price list'!C:I,7,FALSE),"")</f>
        <v/>
      </c>
      <c r="AA29" s="805" t="str">
        <f>IF(X29&lt;&gt;"",VLOOKUP(C29,'General price list'!C29:AN1004,MATCH("HM",Tabulka1[[#Headers],[KOD]:[NEQ]],0),FALSE),"")</f>
        <v/>
      </c>
    </row>
    <row r="30" spans="1:27">
      <c r="A30">
        <f>COUNTIF($W$22:W30,1)</f>
        <v>0</v>
      </c>
      <c r="B30">
        <v>30</v>
      </c>
      <c r="C30" s="340" t="str">
        <f>Tabulka1[[#This Row],[KOD]]</f>
        <v>DP2CB</v>
      </c>
      <c r="W30" s="804" t="str">
        <f t="shared" si="3"/>
        <v/>
      </c>
      <c r="X30" t="str">
        <f t="shared" si="4"/>
        <v/>
      </c>
      <c r="Y30" s="341">
        <f>IF('General price list'!$AB30="",0,'General price list'!$AB30)</f>
        <v>0</v>
      </c>
      <c r="Z30" s="365" t="str">
        <f>IFERROR(X30*VLOOKUP(C30,'General price list'!C:I,7,FALSE),"")</f>
        <v/>
      </c>
      <c r="AA30" s="805" t="str">
        <f>IF(X30&lt;&gt;"",VLOOKUP(C30,'General price list'!C30:AN1005,MATCH("HM",Tabulka1[[#Headers],[KOD]:[NEQ]],0),FALSE),"")</f>
        <v/>
      </c>
    </row>
    <row r="31" spans="1:27">
      <c r="A31">
        <f>COUNTIF($W$22:W31,1)</f>
        <v>0</v>
      </c>
      <c r="B31">
        <v>31</v>
      </c>
      <c r="C31" s="340" t="str">
        <f>Tabulka1[[#This Row],[KOD]]</f>
        <v>DP2CB(1)</v>
      </c>
      <c r="W31" s="804" t="str">
        <f t="shared" si="3"/>
        <v/>
      </c>
      <c r="X31" t="str">
        <f t="shared" si="4"/>
        <v/>
      </c>
      <c r="Y31" s="341">
        <f>IF('General price list'!$AB31="",0,'General price list'!$AB31)</f>
        <v>0</v>
      </c>
      <c r="Z31" s="365" t="str">
        <f>IFERROR(X31*VLOOKUP(C31,'General price list'!C:I,7,FALSE),"")</f>
        <v/>
      </c>
      <c r="AA31" s="805" t="str">
        <f>IF(X31&lt;&gt;"",VLOOKUP(C31,'General price list'!C31:AN1006,MATCH("HM",Tabulka1[[#Headers],[KOD]:[NEQ]],0),FALSE),"")</f>
        <v/>
      </c>
    </row>
    <row r="32" spans="1:27">
      <c r="A32">
        <f>COUNTIF($W$22:W32,1)</f>
        <v>0</v>
      </c>
      <c r="B32">
        <v>32</v>
      </c>
      <c r="C32" s="340" t="str">
        <f>Tabulka1[[#This Row],[KOD]]</f>
        <v>DP1M</v>
      </c>
      <c r="W32" s="804" t="str">
        <f t="shared" si="3"/>
        <v/>
      </c>
      <c r="X32" t="str">
        <f t="shared" si="4"/>
        <v/>
      </c>
      <c r="Y32" s="341">
        <f>IF('General price list'!$AB32="",0,'General price list'!$AB32)</f>
        <v>0</v>
      </c>
      <c r="Z32" s="365" t="str">
        <f>IFERROR(X32*VLOOKUP(C32,'General price list'!C:I,7,FALSE),"")</f>
        <v/>
      </c>
      <c r="AA32" s="805" t="str">
        <f>IF(X32&lt;&gt;"",VLOOKUP(C32,'General price list'!C32:AN1007,MATCH("HM",Tabulka1[[#Headers],[KOD]:[NEQ]],0),FALSE),"")</f>
        <v/>
      </c>
    </row>
    <row r="33" spans="1:27">
      <c r="A33">
        <f>COUNTIF($W$22:W33,1)</f>
        <v>0</v>
      </c>
      <c r="B33">
        <v>33</v>
      </c>
      <c r="C33" s="340" t="str">
        <f>Tabulka1[[#This Row],[KOD]]</f>
        <v>DP1M(1)</v>
      </c>
      <c r="W33" s="804" t="str">
        <f t="shared" si="3"/>
        <v/>
      </c>
      <c r="X33" t="str">
        <f t="shared" si="4"/>
        <v/>
      </c>
      <c r="Y33" s="341">
        <f>IF('General price list'!$AB33="",0,'General price list'!$AB33)</f>
        <v>0</v>
      </c>
      <c r="Z33" s="365" t="str">
        <f>IFERROR(X33*VLOOKUP(C33,'General price list'!C:I,7,FALSE),"")</f>
        <v/>
      </c>
      <c r="AA33" s="805" t="str">
        <f>IF(X33&lt;&gt;"",VLOOKUP(C33,'General price list'!C33:AN1008,MATCH("HM",Tabulka1[[#Headers],[KOD]:[NEQ]],0),FALSE),"")</f>
        <v/>
      </c>
    </row>
    <row r="34" spans="1:27">
      <c r="A34">
        <f>COUNTIF($W$22:W34,1)</f>
        <v>0</v>
      </c>
      <c r="B34">
        <v>34</v>
      </c>
      <c r="C34" s="340" t="str">
        <f>Tabulka1[[#This Row],[KOD]]</f>
        <v>DP1Z20</v>
      </c>
      <c r="W34" s="804" t="str">
        <f t="shared" si="3"/>
        <v/>
      </c>
      <c r="X34" t="str">
        <f t="shared" si="4"/>
        <v/>
      </c>
      <c r="Y34" s="341">
        <f>IF('General price list'!$AB34="",0,'General price list'!$AB34)</f>
        <v>0</v>
      </c>
      <c r="Z34" s="365" t="str">
        <f>IFERROR(X34*VLOOKUP(C34,'General price list'!C:I,7,FALSE),"")</f>
        <v/>
      </c>
      <c r="AA34" s="805" t="str">
        <f>IF(X34&lt;&gt;"",VLOOKUP(C34,'General price list'!C34:AN1009,MATCH("HM",Tabulka1[[#Headers],[KOD]:[NEQ]],0),FALSE),"")</f>
        <v/>
      </c>
    </row>
    <row r="35" spans="1:27">
      <c r="A35">
        <f>COUNTIF($W$22:W35,1)</f>
        <v>0</v>
      </c>
      <c r="B35">
        <v>35</v>
      </c>
      <c r="C35" s="340" t="str">
        <f>Tabulka1[[#This Row],[KOD]]</f>
        <v>DP1Z20(1)</v>
      </c>
      <c r="W35" s="804" t="str">
        <f t="shared" si="3"/>
        <v/>
      </c>
      <c r="X35" t="str">
        <f t="shared" si="4"/>
        <v/>
      </c>
      <c r="Y35" s="341">
        <f>IF('General price list'!$AB35="",0,'General price list'!$AB35)</f>
        <v>0</v>
      </c>
      <c r="Z35" s="365" t="str">
        <f>IFERROR(X35*VLOOKUP(C35,'General price list'!C:I,7,FALSE),"")</f>
        <v/>
      </c>
      <c r="AA35" s="805" t="str">
        <f>IF(X35&lt;&gt;"",VLOOKUP(C35,'General price list'!C35:AN1010,MATCH("HM",Tabulka1[[#Headers],[KOD]:[NEQ]],0),FALSE),"")</f>
        <v/>
      </c>
    </row>
    <row r="36" spans="1:27">
      <c r="A36">
        <f>COUNTIF($W$22:W36,1)</f>
        <v>0</v>
      </c>
      <c r="B36">
        <v>36</v>
      </c>
      <c r="C36" s="340" t="str">
        <f>Tabulka1[[#This Row],[KOD]]</f>
        <v>CDK1</v>
      </c>
      <c r="W36" s="804" t="str">
        <f t="shared" si="3"/>
        <v/>
      </c>
      <c r="X36" t="str">
        <f t="shared" si="4"/>
        <v/>
      </c>
      <c r="Y36" s="341">
        <f>IF('General price list'!$AB36="",0,'General price list'!$AB36)</f>
        <v>0</v>
      </c>
      <c r="Z36" s="365" t="str">
        <f>IFERROR(X36*VLOOKUP(C36,'General price list'!C:I,7,FALSE),"")</f>
        <v/>
      </c>
      <c r="AA36" s="805" t="str">
        <f>IF(X36&lt;&gt;"",VLOOKUP(C36,'General price list'!C36:AN1011,MATCH("HM",Tabulka1[[#Headers],[KOD]:[NEQ]],0),FALSE),"")</f>
        <v/>
      </c>
    </row>
    <row r="37" spans="1:27">
      <c r="A37">
        <f>COUNTIF($W$22:W37,1)</f>
        <v>0</v>
      </c>
      <c r="B37">
        <v>37</v>
      </c>
      <c r="C37" s="340" t="str">
        <f>Tabulka1[[#This Row],[KOD]]</f>
        <v>CDK1(1)</v>
      </c>
      <c r="W37" s="804" t="str">
        <f t="shared" si="3"/>
        <v/>
      </c>
      <c r="X37" t="str">
        <f t="shared" si="4"/>
        <v/>
      </c>
      <c r="Y37" s="341">
        <f>IF('General price list'!$AB37="",0,'General price list'!$AB37)</f>
        <v>0</v>
      </c>
      <c r="Z37" s="365" t="str">
        <f>IFERROR(X37*VLOOKUP(C37,'General price list'!C:I,7,FALSE),"")</f>
        <v/>
      </c>
      <c r="AA37" s="805" t="str">
        <f>IF(X37&lt;&gt;"",VLOOKUP(C37,'General price list'!C37:AN1012,MATCH("HM",Tabulka1[[#Headers],[KOD]:[NEQ]],0),FALSE),"")</f>
        <v/>
      </c>
    </row>
    <row r="38" spans="1:27">
      <c r="A38">
        <f>COUNTIF($W$22:W38,1)</f>
        <v>0</v>
      </c>
      <c r="B38">
        <v>38</v>
      </c>
      <c r="C38" s="340" t="str">
        <f>Tabulka1[[#This Row],[KOD]]</f>
        <v>DP1BP</v>
      </c>
      <c r="W38" s="804" t="str">
        <f t="shared" si="3"/>
        <v/>
      </c>
      <c r="X38" t="str">
        <f t="shared" si="4"/>
        <v/>
      </c>
      <c r="Y38" s="341">
        <f>IF('General price list'!$AB38="",0,'General price list'!$AB38)</f>
        <v>0</v>
      </c>
      <c r="Z38" s="365" t="str">
        <f>IFERROR(X38*VLOOKUP(C38,'General price list'!C:I,7,FALSE),"")</f>
        <v/>
      </c>
      <c r="AA38" s="805" t="str">
        <f>IF(X38&lt;&gt;"",VLOOKUP(C38,'General price list'!C38:AN1013,MATCH("HM",Tabulka1[[#Headers],[KOD]:[NEQ]],0),FALSE),"")</f>
        <v/>
      </c>
    </row>
    <row r="39" spans="1:27">
      <c r="A39">
        <f>COUNTIF($W$22:W39,1)</f>
        <v>0</v>
      </c>
      <c r="B39">
        <v>39</v>
      </c>
      <c r="C39" s="340">
        <f>Tabulka1[[#This Row],[KOD]]</f>
        <v>0</v>
      </c>
      <c r="W39" s="804" t="str">
        <f t="shared" si="3"/>
        <v/>
      </c>
      <c r="X39" t="str">
        <f t="shared" si="4"/>
        <v/>
      </c>
      <c r="Y39" s="341">
        <f>IF('General price list'!$AB39="",0,'General price list'!$AB39)</f>
        <v>0</v>
      </c>
      <c r="Z39" s="365" t="str">
        <f>IFERROR(X39*VLOOKUP(C39,'General price list'!C:I,7,FALSE),"")</f>
        <v/>
      </c>
      <c r="AA39" s="805" t="str">
        <f>IF(X39&lt;&gt;"",VLOOKUP(C39,'General price list'!C39:AN1014,MATCH("HM",Tabulka1[[#Headers],[KOD]:[NEQ]],0),FALSE),"")</f>
        <v/>
      </c>
    </row>
    <row r="40" spans="1:27">
      <c r="A40">
        <f>COUNTIF($W$22:W40,1)</f>
        <v>0</v>
      </c>
      <c r="B40">
        <v>40</v>
      </c>
      <c r="C40" s="340" t="str">
        <f>Tabulka1[[#This Row],[KOD]]</f>
        <v>DP1T</v>
      </c>
      <c r="W40" s="804" t="str">
        <f t="shared" si="3"/>
        <v/>
      </c>
      <c r="X40" t="str">
        <f t="shared" si="4"/>
        <v/>
      </c>
      <c r="Y40" s="341">
        <f>IF('General price list'!$AB40="",0,'General price list'!$AB40)</f>
        <v>0</v>
      </c>
      <c r="Z40" s="365" t="str">
        <f>IFERROR(X40*VLOOKUP(C40,'General price list'!C:I,7,FALSE),"")</f>
        <v/>
      </c>
      <c r="AA40" s="805" t="str">
        <f>IF(X40&lt;&gt;"",VLOOKUP(C40,'General price list'!C40:AN1015,MATCH("HM",Tabulka1[[#Headers],[KOD]:[NEQ]],0),FALSE),"")</f>
        <v/>
      </c>
    </row>
    <row r="41" spans="1:27">
      <c r="A41">
        <f>COUNTIF($W$22:W41,1)</f>
        <v>0</v>
      </c>
      <c r="B41">
        <v>41</v>
      </c>
      <c r="C41" s="340" t="str">
        <f>Tabulka1[[#This Row],[KOD]]</f>
        <v>DP1R</v>
      </c>
      <c r="W41" s="804" t="str">
        <f t="shared" si="3"/>
        <v/>
      </c>
      <c r="X41" t="str">
        <f t="shared" si="4"/>
        <v/>
      </c>
      <c r="Y41" s="341">
        <f>IF('General price list'!$AB41="",0,'General price list'!$AB41)</f>
        <v>0</v>
      </c>
      <c r="Z41" s="365" t="str">
        <f>IFERROR(X41*VLOOKUP(C41,'General price list'!C:I,7,FALSE),"")</f>
        <v/>
      </c>
      <c r="AA41" s="805" t="str">
        <f>IF(X41&lt;&gt;"",VLOOKUP(C41,'General price list'!C41:AN1016,MATCH("HM",Tabulka1[[#Headers],[KOD]:[NEQ]],0),FALSE),"")</f>
        <v/>
      </c>
    </row>
    <row r="42" spans="1:27">
      <c r="A42">
        <f>COUNTIF($W$22:W42,1)</f>
        <v>0</v>
      </c>
      <c r="B42">
        <v>42</v>
      </c>
      <c r="C42" s="340" t="str">
        <f>Tabulka1[[#This Row],[KOD]]</f>
        <v>DP1VR</v>
      </c>
      <c r="W42" s="804" t="str">
        <f t="shared" si="3"/>
        <v/>
      </c>
      <c r="X42" t="str">
        <f t="shared" si="4"/>
        <v/>
      </c>
      <c r="Y42" s="341">
        <f>IF('General price list'!$AB42="",0,'General price list'!$AB42)</f>
        <v>0</v>
      </c>
      <c r="Z42" s="365" t="str">
        <f>IFERROR(X42*VLOOKUP(C42,'General price list'!C:I,7,FALSE),"")</f>
        <v/>
      </c>
      <c r="AA42" s="805" t="str">
        <f>IF(X42&lt;&gt;"",VLOOKUP(C42,'General price list'!C42:AN1017,MATCH("HM",Tabulka1[[#Headers],[KOD]:[NEQ]],0),FALSE),"")</f>
        <v/>
      </c>
    </row>
    <row r="43" spans="1:27">
      <c r="A43">
        <f>COUNTIF($W$22:W43,1)</f>
        <v>0</v>
      </c>
      <c r="B43">
        <v>43</v>
      </c>
      <c r="C43" s="340" t="str">
        <f>Tabulka1[[#This Row],[KOD]]</f>
        <v>DP1EM</v>
      </c>
      <c r="W43" s="804" t="str">
        <f t="shared" si="3"/>
        <v/>
      </c>
      <c r="X43" t="str">
        <f t="shared" si="4"/>
        <v/>
      </c>
      <c r="Y43" s="341">
        <f>IF('General price list'!$AB43="",0,'General price list'!$AB43)</f>
        <v>0</v>
      </c>
      <c r="Z43" s="365" t="str">
        <f>IFERROR(X43*VLOOKUP(C43,'General price list'!C:I,7,FALSE),"")</f>
        <v/>
      </c>
      <c r="AA43" s="805" t="str">
        <f>IF(X43&lt;&gt;"",VLOOKUP(C43,'General price list'!C43:AN1018,MATCH("HM",Tabulka1[[#Headers],[KOD]:[NEQ]],0),FALSE),"")</f>
        <v/>
      </c>
    </row>
    <row r="44" spans="1:27">
      <c r="A44">
        <f>COUNTIF($W$22:W44,1)</f>
        <v>0</v>
      </c>
      <c r="B44">
        <v>44</v>
      </c>
      <c r="C44" s="340" t="str">
        <f>Tabulka1[[#This Row],[KOD]]</f>
        <v>DP1SW</v>
      </c>
      <c r="W44" s="804" t="str">
        <f t="shared" si="3"/>
        <v/>
      </c>
      <c r="X44" t="str">
        <f t="shared" si="4"/>
        <v/>
      </c>
      <c r="Y44" s="341">
        <f>IF('General price list'!$AB44="",0,'General price list'!$AB44)</f>
        <v>0</v>
      </c>
      <c r="Z44" s="365" t="str">
        <f>IFERROR(X44*VLOOKUP(C44,'General price list'!C:I,7,FALSE),"")</f>
        <v/>
      </c>
      <c r="AA44" s="805" t="str">
        <f>IF(X44&lt;&gt;"",VLOOKUP(C44,'General price list'!C44:AN1019,MATCH("HM",Tabulka1[[#Headers],[KOD]:[NEQ]],0),FALSE),"")</f>
        <v/>
      </c>
    </row>
    <row r="45" spans="1:27">
      <c r="A45">
        <f>COUNTIF($W$22:W45,1)</f>
        <v>0</v>
      </c>
      <c r="B45">
        <v>45</v>
      </c>
      <c r="C45" s="340">
        <f>Tabulka1[[#This Row],[KOD]]</f>
        <v>0</v>
      </c>
      <c r="W45" s="804" t="str">
        <f t="shared" si="3"/>
        <v/>
      </c>
      <c r="X45" t="str">
        <f t="shared" si="4"/>
        <v/>
      </c>
      <c r="Y45" s="341">
        <f>IF('General price list'!$AB45="",0,'General price list'!$AB45)</f>
        <v>0</v>
      </c>
      <c r="Z45" s="365" t="str">
        <f>IFERROR(X45*VLOOKUP(C45,'General price list'!C:I,7,FALSE),"")</f>
        <v/>
      </c>
      <c r="AA45" s="805" t="str">
        <f>IF(X45&lt;&gt;"",VLOOKUP(C45,'General price list'!C45:AN1020,MATCH("HM",Tabulka1[[#Headers],[KOD]:[NEQ]],0),FALSE),"")</f>
        <v/>
      </c>
    </row>
    <row r="46" spans="1:27">
      <c r="A46">
        <f>COUNTIF($W$22:W46,1)</f>
        <v>0</v>
      </c>
      <c r="B46">
        <v>46</v>
      </c>
      <c r="C46" s="340" t="str">
        <f>Tabulka1[[#This Row],[KOD]]</f>
        <v>DP1FR</v>
      </c>
      <c r="W46" s="804" t="str">
        <f t="shared" si="3"/>
        <v/>
      </c>
      <c r="X46" t="str">
        <f t="shared" si="4"/>
        <v/>
      </c>
      <c r="Y46" s="341">
        <f>IF('General price list'!$AB46="",0,'General price list'!$AB46)</f>
        <v>0</v>
      </c>
      <c r="Z46" s="365" t="str">
        <f>IFERROR(X46*VLOOKUP(C46,'General price list'!C:I,7,FALSE),"")</f>
        <v/>
      </c>
      <c r="AA46" s="805" t="str">
        <f>IF(X46&lt;&gt;"",VLOOKUP(C46,'General price list'!C46:AN1021,MATCH("HM",Tabulka1[[#Headers],[KOD]:[NEQ]],0),FALSE),"")</f>
        <v/>
      </c>
    </row>
    <row r="47" spans="1:27">
      <c r="A47">
        <f>COUNTIF($W$22:W47,1)</f>
        <v>0</v>
      </c>
      <c r="B47">
        <v>47</v>
      </c>
      <c r="C47" s="340" t="str">
        <f>Tabulka1[[#This Row],[KOD]]</f>
        <v>DP1FM</v>
      </c>
      <c r="W47" s="804" t="str">
        <f t="shared" si="3"/>
        <v/>
      </c>
      <c r="X47" t="str">
        <f t="shared" si="4"/>
        <v/>
      </c>
      <c r="Y47" s="341">
        <f>IF('General price list'!$AB47="",0,'General price list'!$AB47)</f>
        <v>0</v>
      </c>
      <c r="Z47" s="365" t="str">
        <f>IFERROR(X47*VLOOKUP(C47,'General price list'!C:I,7,FALSE),"")</f>
        <v/>
      </c>
      <c r="AA47" s="805" t="str">
        <f>IF(X47&lt;&gt;"",VLOOKUP(C47,'General price list'!C47:AN1022,MATCH("HM",Tabulka1[[#Headers],[KOD]:[NEQ]],0),FALSE),"")</f>
        <v/>
      </c>
    </row>
    <row r="48" spans="1:27">
      <c r="A48">
        <f>COUNTIF($W$22:W48,1)</f>
        <v>0</v>
      </c>
      <c r="B48">
        <v>48</v>
      </c>
      <c r="C48" s="340" t="str">
        <f>Tabulka1[[#This Row],[KOD]]</f>
        <v>DP1FV</v>
      </c>
      <c r="W48" s="804" t="str">
        <f t="shared" si="3"/>
        <v/>
      </c>
      <c r="X48" t="str">
        <f t="shared" si="4"/>
        <v/>
      </c>
      <c r="Y48" s="341">
        <f>IF('General price list'!$AB48="",0,'General price list'!$AB48)</f>
        <v>0</v>
      </c>
      <c r="Z48" s="365" t="str">
        <f>IFERROR(X48*VLOOKUP(C48,'General price list'!C:I,7,FALSE),"")</f>
        <v/>
      </c>
      <c r="AA48" s="805" t="str">
        <f>IF(X48&lt;&gt;"",VLOOKUP(C48,'General price list'!C48:AN1023,MATCH("HM",Tabulka1[[#Headers],[KOD]:[NEQ]],0),FALSE),"")</f>
        <v/>
      </c>
    </row>
    <row r="49" spans="1:27">
      <c r="A49">
        <f>COUNTIF($W$22:W49,1)</f>
        <v>0</v>
      </c>
      <c r="B49">
        <v>49</v>
      </c>
      <c r="C49" s="340" t="str">
        <f>Tabulka1[[#This Row],[KOD]]</f>
        <v>DP1FD</v>
      </c>
      <c r="W49" s="804" t="str">
        <f t="shared" si="3"/>
        <v/>
      </c>
      <c r="X49" t="str">
        <f t="shared" si="4"/>
        <v/>
      </c>
      <c r="Y49" s="341">
        <f>IF('General price list'!$AB49="",0,'General price list'!$AB49)</f>
        <v>0</v>
      </c>
      <c r="Z49" s="365" t="str">
        <f>IFERROR(X49*VLOOKUP(C49,'General price list'!C:I,7,FALSE),"")</f>
        <v/>
      </c>
      <c r="AA49" s="805" t="str">
        <f>IF(X49&lt;&gt;"",VLOOKUP(C49,'General price list'!C49:AN1024,MATCH("HM",Tabulka1[[#Headers],[KOD]:[NEQ]],0),FALSE),"")</f>
        <v/>
      </c>
    </row>
    <row r="50" spans="1:27">
      <c r="A50">
        <f>COUNTIF($W$22:W50,1)</f>
        <v>0</v>
      </c>
      <c r="B50">
        <v>50</v>
      </c>
      <c r="C50" s="340" t="str">
        <f>Tabulka1[[#This Row],[KOD]]</f>
        <v>F1DB</v>
      </c>
      <c r="W50" s="804" t="str">
        <f t="shared" si="3"/>
        <v/>
      </c>
      <c r="X50" t="str">
        <f t="shared" si="4"/>
        <v/>
      </c>
      <c r="Y50" s="341">
        <f>IF('General price list'!$AB51="",0,'General price list'!$AB51)</f>
        <v>0</v>
      </c>
      <c r="Z50" s="365" t="str">
        <f>IFERROR(X50*VLOOKUP(C50,'General price list'!C:I,7,FALSE),"")</f>
        <v/>
      </c>
      <c r="AA50" s="805" t="str">
        <f>IF(X50&lt;&gt;"",VLOOKUP(C50,'General price list'!C51:AN1025,MATCH("HM",Tabulka1[[#Headers],[KOD]:[NEQ]],0),FALSE),"")</f>
        <v/>
      </c>
    </row>
    <row r="51" spans="1:27">
      <c r="A51">
        <f>COUNTIF($W$22:W51,1)</f>
        <v>0</v>
      </c>
      <c r="B51">
        <v>51</v>
      </c>
      <c r="C51" s="340" t="str">
        <f>Tabulka1[[#This Row],[KOD]]</f>
        <v>F19MF1</v>
      </c>
      <c r="W51" s="804" t="str">
        <f t="shared" si="3"/>
        <v/>
      </c>
      <c r="X51" t="str">
        <f t="shared" si="4"/>
        <v/>
      </c>
      <c r="Y51" s="341">
        <f>IF('General price list'!$AB52="",0,'General price list'!$AB52)</f>
        <v>0</v>
      </c>
      <c r="Z51" s="365" t="str">
        <f>IFERROR(X51*VLOOKUP(C51,'General price list'!C:I,7,FALSE),"")</f>
        <v/>
      </c>
      <c r="AA51" s="805" t="str">
        <f>IF(X51&lt;&gt;"",VLOOKUP(C51,'General price list'!C52:AN1026,MATCH("HM",Tabulka1[[#Headers],[KOD]:[NEQ]],0),FALSE),"")</f>
        <v/>
      </c>
    </row>
    <row r="52" spans="1:27">
      <c r="A52">
        <f>COUNTIF($W$22:W52,1)</f>
        <v>0</v>
      </c>
      <c r="B52">
        <v>52</v>
      </c>
      <c r="C52" s="340" t="str">
        <f>Tabulka1[[#This Row],[KOD]]</f>
        <v>BP30S</v>
      </c>
      <c r="W52" s="804" t="str">
        <f t="shared" si="3"/>
        <v/>
      </c>
      <c r="X52" t="str">
        <f t="shared" si="4"/>
        <v/>
      </c>
      <c r="Y52" s="341">
        <f>IF('General price list'!$AB53="",0,'General price list'!$AB53)</f>
        <v>0</v>
      </c>
      <c r="Z52" s="365" t="str">
        <f>IFERROR(X52*VLOOKUP(C52,'General price list'!C:I,7,FALSE),"")</f>
        <v/>
      </c>
      <c r="AA52" s="805" t="str">
        <f>IF(X52&lt;&gt;"",VLOOKUP(C52,'General price list'!C53:AN1027,MATCH("HM",Tabulka1[[#Headers],[KOD]:[NEQ]],0),FALSE),"")</f>
        <v/>
      </c>
    </row>
    <row r="53" spans="1:27">
      <c r="A53">
        <f>COUNTIF($W$22:W53,1)</f>
        <v>0</v>
      </c>
      <c r="B53">
        <v>53</v>
      </c>
      <c r="C53" s="340" t="str">
        <f>Tabulka1[[#This Row],[KOD]]</f>
        <v>CST12S</v>
      </c>
      <c r="W53" s="804" t="str">
        <f t="shared" si="3"/>
        <v/>
      </c>
      <c r="X53" t="str">
        <f t="shared" si="4"/>
        <v/>
      </c>
      <c r="Y53" s="341">
        <f>IF('General price list'!$AB54="",0,'General price list'!$AB54)</f>
        <v>0</v>
      </c>
      <c r="Z53" s="365" t="str">
        <f>IFERROR(X53*VLOOKUP(C53,'General price list'!C:I,7,FALSE),"")</f>
        <v/>
      </c>
      <c r="AA53" s="805" t="str">
        <f>IF(X53&lt;&gt;"",VLOOKUP(C53,'General price list'!C54:AN1028,MATCH("HM",Tabulka1[[#Headers],[KOD]:[NEQ]],0),FALSE),"")</f>
        <v/>
      </c>
    </row>
    <row r="54" spans="1:27">
      <c r="A54">
        <f>COUNTIF($W$22:W54,1)</f>
        <v>0</v>
      </c>
      <c r="B54">
        <v>54</v>
      </c>
      <c r="C54" s="340" t="str">
        <f>Tabulka1[[#This Row],[KOD]]</f>
        <v>CST40S</v>
      </c>
      <c r="W54" s="804" t="str">
        <f t="shared" si="3"/>
        <v/>
      </c>
      <c r="X54" t="str">
        <f t="shared" si="4"/>
        <v/>
      </c>
      <c r="Y54" s="341">
        <f>IF('General price list'!$AB55="",0,'General price list'!$AB55)</f>
        <v>0</v>
      </c>
      <c r="Z54" s="365" t="str">
        <f>IFERROR(X54*VLOOKUP(C54,'General price list'!C:I,7,FALSE),"")</f>
        <v/>
      </c>
      <c r="AA54" s="805" t="str">
        <f>IF(X54&lt;&gt;"",VLOOKUP(C54,'General price list'!C55:AN1029,MATCH("HM",Tabulka1[[#Headers],[KOD]:[NEQ]],0),FALSE),"")</f>
        <v/>
      </c>
    </row>
    <row r="55" spans="1:27">
      <c r="A55">
        <f>COUNTIF($W$22:W55,1)</f>
        <v>0</v>
      </c>
      <c r="B55">
        <v>55</v>
      </c>
      <c r="C55" s="340">
        <f>Tabulka1[[#This Row],[KOD]]</f>
        <v>0</v>
      </c>
      <c r="W55" s="804" t="str">
        <f t="shared" si="3"/>
        <v/>
      </c>
      <c r="X55" t="str">
        <f t="shared" si="4"/>
        <v/>
      </c>
      <c r="Y55" s="341">
        <f>IF('General price list'!$AB56="",0,'General price list'!$AB56)</f>
        <v>0</v>
      </c>
      <c r="Z55" s="365" t="str">
        <f>IFERROR(X55*VLOOKUP(C55,'General price list'!C:I,7,FALSE),"")</f>
        <v/>
      </c>
      <c r="AA55" s="805" t="str">
        <f>IF(X55&lt;&gt;"",VLOOKUP(C55,'General price list'!C56:AN1030,MATCH("HM",Tabulka1[[#Headers],[KOD]:[NEQ]],0),FALSE),"")</f>
        <v/>
      </c>
    </row>
    <row r="56" spans="1:27">
      <c r="A56">
        <f>COUNTIF($W$22:W56,1)</f>
        <v>0</v>
      </c>
      <c r="B56">
        <v>56</v>
      </c>
      <c r="C56" s="340" t="str">
        <f>Tabulka1[[#This Row],[KOD]]</f>
        <v>DP1TA</v>
      </c>
      <c r="W56" s="804" t="str">
        <f t="shared" si="3"/>
        <v/>
      </c>
      <c r="X56" t="str">
        <f t="shared" si="4"/>
        <v/>
      </c>
      <c r="Y56" s="341">
        <f>IF('General price list'!$AB57="",0,'General price list'!$AB57)</f>
        <v>0</v>
      </c>
      <c r="Z56" s="365" t="str">
        <f>IFERROR(X56*VLOOKUP(C56,'General price list'!C:I,7,FALSE),"")</f>
        <v/>
      </c>
      <c r="AA56" s="805" t="str">
        <f>IF(X56&lt;&gt;"",VLOOKUP(C56,'General price list'!C57:AN1031,MATCH("HM",Tabulka1[[#Headers],[KOD]:[NEQ]],0),FALSE),"")</f>
        <v/>
      </c>
    </row>
    <row r="57" spans="1:27">
      <c r="A57">
        <f>COUNTIF($W$22:W57,1)</f>
        <v>0</v>
      </c>
      <c r="B57">
        <v>57</v>
      </c>
      <c r="C57" s="340" t="str">
        <f>Tabulka1[[#This Row],[KOD]]</f>
        <v>DP1TA(1)</v>
      </c>
      <c r="W57" s="804" t="str">
        <f t="shared" si="3"/>
        <v/>
      </c>
      <c r="X57" t="str">
        <f t="shared" si="4"/>
        <v/>
      </c>
      <c r="Y57" s="341">
        <f>IF('General price list'!$AB58="",0,'General price list'!$AB58)</f>
        <v>0</v>
      </c>
      <c r="Z57" s="365" t="str">
        <f>IFERROR(X57*VLOOKUP(C57,'General price list'!C:I,7,FALSE),"")</f>
        <v/>
      </c>
      <c r="AA57" s="805" t="str">
        <f>IF(X57&lt;&gt;"",VLOOKUP(C57,'General price list'!C58:AN1032,MATCH("HM",Tabulka1[[#Headers],[KOD]:[NEQ]],0),FALSE),"")</f>
        <v/>
      </c>
    </row>
    <row r="58" spans="1:27">
      <c r="A58">
        <f>COUNTIF($W$22:W58,1)</f>
        <v>0</v>
      </c>
      <c r="B58">
        <v>58</v>
      </c>
      <c r="C58" s="340" t="str">
        <f>Tabulka1[[#This Row],[KOD]]</f>
        <v>DP1BS(1)</v>
      </c>
      <c r="W58" s="804" t="str">
        <f t="shared" si="3"/>
        <v/>
      </c>
      <c r="X58" t="str">
        <f t="shared" si="4"/>
        <v/>
      </c>
      <c r="Y58" s="341">
        <f>IF('General price list'!$AB59="",0,'General price list'!$AB59)</f>
        <v>0</v>
      </c>
      <c r="Z58" s="365" t="str">
        <f>IFERROR(X58*VLOOKUP(C58,'General price list'!C:I,7,FALSE),"")</f>
        <v/>
      </c>
      <c r="AA58" s="805" t="str">
        <f>IF(X58&lt;&gt;"",VLOOKUP(C58,'General price list'!C59:AN1033,MATCH("HM",Tabulka1[[#Headers],[KOD]:[NEQ]],0),FALSE),"")</f>
        <v/>
      </c>
    </row>
    <row r="59" spans="1:27">
      <c r="A59">
        <f>COUNTIF($W$22:W59,1)</f>
        <v>0</v>
      </c>
      <c r="B59">
        <v>59</v>
      </c>
      <c r="C59" s="340" t="str">
        <f>Tabulka1[[#This Row],[KOD]]</f>
        <v>DP1P</v>
      </c>
      <c r="W59" s="804" t="str">
        <f t="shared" si="3"/>
        <v/>
      </c>
      <c r="X59" t="str">
        <f t="shared" si="4"/>
        <v/>
      </c>
      <c r="Y59" s="341">
        <f>IF('General price list'!$AB60="",0,'General price list'!$AB60)</f>
        <v>0</v>
      </c>
      <c r="Z59" s="365" t="str">
        <f>IFERROR(X59*VLOOKUP(C59,'General price list'!C:I,7,FALSE),"")</f>
        <v/>
      </c>
      <c r="AA59" s="805" t="str">
        <f>IF(X59&lt;&gt;"",VLOOKUP(C59,'General price list'!C60:AN1034,MATCH("HM",Tabulka1[[#Headers],[KOD]:[NEQ]],0),FALSE),"")</f>
        <v/>
      </c>
    </row>
    <row r="60" spans="1:27">
      <c r="A60">
        <f>COUNTIF($W$22:W60,1)</f>
        <v>0</v>
      </c>
      <c r="B60">
        <v>60</v>
      </c>
      <c r="C60" s="340" t="str">
        <f>Tabulka1[[#This Row],[KOD]]</f>
        <v>DP2W</v>
      </c>
      <c r="W60" s="804" t="str">
        <f t="shared" si="3"/>
        <v/>
      </c>
      <c r="X60" t="str">
        <f t="shared" si="4"/>
        <v/>
      </c>
      <c r="Y60" s="341">
        <f>IF('General price list'!$AB61="",0,'General price list'!$AB61)</f>
        <v>0</v>
      </c>
      <c r="Z60" s="365" t="str">
        <f>IFERROR(X60*VLOOKUP(C60,'General price list'!C:I,7,FALSE),"")</f>
        <v/>
      </c>
      <c r="AA60" s="805" t="str">
        <f>IF(X60&lt;&gt;"",VLOOKUP(C60,'General price list'!C61:AN1035,MATCH("HM",Tabulka1[[#Headers],[KOD]:[NEQ]],0),FALSE),"")</f>
        <v/>
      </c>
    </row>
    <row r="61" spans="1:27">
      <c r="A61">
        <f>COUNTIF($W$22:W61,1)</f>
        <v>0</v>
      </c>
      <c r="B61">
        <v>61</v>
      </c>
      <c r="C61" s="340" t="str">
        <f>Tabulka1[[#This Row],[KOD]]</f>
        <v>S12S</v>
      </c>
      <c r="W61" s="804" t="str">
        <f t="shared" si="3"/>
        <v/>
      </c>
      <c r="X61" t="str">
        <f t="shared" si="4"/>
        <v/>
      </c>
      <c r="Y61" s="341">
        <f>IF('General price list'!$AB62="",0,'General price list'!$AB62)</f>
        <v>0</v>
      </c>
      <c r="Z61" s="365" t="str">
        <f>IFERROR(X61*VLOOKUP(C61,'General price list'!C:I,7,FALSE),"")</f>
        <v/>
      </c>
      <c r="AA61" s="805" t="str">
        <f>IF(X61&lt;&gt;"",VLOOKUP(C61,'General price list'!C62:AN1036,MATCH("HM",Tabulka1[[#Headers],[KOD]:[NEQ]],0),FALSE),"")</f>
        <v/>
      </c>
    </row>
    <row r="62" spans="1:27">
      <c r="A62">
        <f>COUNTIF($W$22:W62,1)</f>
        <v>0</v>
      </c>
      <c r="B62">
        <v>62</v>
      </c>
      <c r="C62" s="340" t="str">
        <f>Tabulka1[[#This Row],[KOD]]</f>
        <v>S12S(1)</v>
      </c>
      <c r="W62" s="804" t="str">
        <f t="shared" si="3"/>
        <v/>
      </c>
      <c r="X62" t="str">
        <f t="shared" si="4"/>
        <v/>
      </c>
      <c r="Y62" s="341">
        <f>IF('General price list'!$AB63="",0,'General price list'!$AB63)</f>
        <v>0</v>
      </c>
      <c r="Z62" s="365" t="str">
        <f>IFERROR(X62*VLOOKUP(C62,'General price list'!C:I,7,FALSE),"")</f>
        <v/>
      </c>
      <c r="AA62" s="805" t="str">
        <f>IF(X62&lt;&gt;"",VLOOKUP(C62,'General price list'!C63:AN1037,MATCH("HM",Tabulka1[[#Headers],[KOD]:[NEQ]],0),FALSE),"")</f>
        <v/>
      </c>
    </row>
    <row r="63" spans="1:27">
      <c r="A63">
        <f>COUNTIF($W$22:W63,1)</f>
        <v>0</v>
      </c>
      <c r="B63">
        <v>63</v>
      </c>
      <c r="C63" s="340">
        <f>Tabulka1[[#This Row],[KOD]]</f>
        <v>0</v>
      </c>
      <c r="W63" s="804" t="str">
        <f t="shared" si="3"/>
        <v/>
      </c>
      <c r="X63" t="str">
        <f t="shared" si="4"/>
        <v/>
      </c>
      <c r="Y63" s="341">
        <f>IF('General price list'!$AB65="",0,'General price list'!$AB65)</f>
        <v>0</v>
      </c>
      <c r="Z63" s="365" t="str">
        <f>IFERROR(X63*VLOOKUP(C63,'General price list'!C:I,7,FALSE),"")</f>
        <v/>
      </c>
      <c r="AA63" s="805" t="str">
        <f>IF(X63&lt;&gt;"",VLOOKUP(C63,'General price list'!C65:AN1038,MATCH("HM",Tabulka1[[#Headers],[KOD]:[NEQ]],0),FALSE),"")</f>
        <v/>
      </c>
    </row>
    <row r="64" spans="1:27">
      <c r="A64">
        <f>COUNTIF($W$22:W64,1)</f>
        <v>0</v>
      </c>
      <c r="B64">
        <v>64</v>
      </c>
      <c r="C64" s="340" t="str">
        <f>Tabulka1[[#This Row],[KOD]]</f>
        <v>CB1DB</v>
      </c>
      <c r="W64" s="804" t="str">
        <f t="shared" si="3"/>
        <v/>
      </c>
      <c r="X64" t="str">
        <f t="shared" si="4"/>
        <v/>
      </c>
      <c r="Y64" s="341">
        <f>IF('General price list'!$AB66="",0,'General price list'!$AB66)</f>
        <v>0</v>
      </c>
      <c r="Z64" s="365" t="str">
        <f>IFERROR(X64*VLOOKUP(C64,'General price list'!C:I,7,FALSE),"")</f>
        <v/>
      </c>
      <c r="AA64" s="805" t="str">
        <f>IF(X64&lt;&gt;"",VLOOKUP(C64,'General price list'!C66:AN1039,MATCH("HM",Tabulka1[[#Headers],[KOD]:[NEQ]],0),FALSE),"")</f>
        <v/>
      </c>
    </row>
    <row r="65" spans="1:27">
      <c r="A65">
        <f>COUNTIF($W$22:W65,1)</f>
        <v>0</v>
      </c>
      <c r="B65">
        <v>65</v>
      </c>
      <c r="C65" s="340" t="str">
        <f>Tabulka1[[#This Row],[KOD]]</f>
        <v>DP1VC</v>
      </c>
      <c r="W65" s="804" t="str">
        <f t="shared" si="3"/>
        <v/>
      </c>
      <c r="X65" t="str">
        <f t="shared" si="4"/>
        <v/>
      </c>
      <c r="Y65" s="341">
        <f>IF('General price list'!$AB67="",0,'General price list'!$AB67)</f>
        <v>0</v>
      </c>
      <c r="Z65" s="365" t="str">
        <f>IFERROR(X65*VLOOKUP(C65,'General price list'!C:I,7,FALSE),"")</f>
        <v/>
      </c>
      <c r="AA65" s="805" t="str">
        <f>IF(X65&lt;&gt;"",VLOOKUP(C65,'General price list'!C67:AN1040,MATCH("HM",Tabulka1[[#Headers],[KOD]:[NEQ]],0),FALSE),"")</f>
        <v/>
      </c>
    </row>
    <row r="66" spans="1:27">
      <c r="A66">
        <f>COUNTIF($W$22:W66,1)</f>
        <v>0</v>
      </c>
      <c r="B66">
        <v>66</v>
      </c>
      <c r="C66" s="340" t="str">
        <f>Tabulka1[[#This Row],[KOD]]</f>
        <v>LM0SW</v>
      </c>
      <c r="W66" s="804" t="str">
        <f t="shared" si="3"/>
        <v/>
      </c>
      <c r="X66" t="str">
        <f t="shared" si="4"/>
        <v/>
      </c>
      <c r="Y66" s="341">
        <f>IF('General price list'!$AB68="",0,'General price list'!$AB68)</f>
        <v>0</v>
      </c>
      <c r="Z66" s="365" t="str">
        <f>IFERROR(X66*VLOOKUP(C66,'General price list'!C:I,7,FALSE),"")</f>
        <v/>
      </c>
      <c r="AA66" s="805" t="str">
        <f>IF(X66&lt;&gt;"",VLOOKUP(C66,'General price list'!C68:AN1041,MATCH("HM",Tabulka1[[#Headers],[KOD]:[NEQ]],0),FALSE),"")</f>
        <v/>
      </c>
    </row>
    <row r="67" spans="1:27">
      <c r="A67">
        <f>COUNTIF($W$22:W67,1)</f>
        <v>0</v>
      </c>
      <c r="B67">
        <v>67</v>
      </c>
      <c r="C67" s="340" t="str">
        <f>Tabulka1[[#This Row],[KOD]]</f>
        <v>LM1O</v>
      </c>
      <c r="W67" s="804" t="str">
        <f t="shared" si="3"/>
        <v/>
      </c>
      <c r="X67" t="str">
        <f t="shared" si="4"/>
        <v/>
      </c>
      <c r="Y67" s="341">
        <f>IF('General price list'!$AB69="",0,'General price list'!$AB69)</f>
        <v>0</v>
      </c>
      <c r="Z67" s="365" t="str">
        <f>IFERROR(X67*VLOOKUP(C67,'General price list'!C:I,7,FALSE),"")</f>
        <v/>
      </c>
      <c r="AA67" s="805" t="str">
        <f>IF(X67&lt;&gt;"",VLOOKUP(C67,'General price list'!C69:AN1042,MATCH("HM",Tabulka1[[#Headers],[KOD]:[NEQ]],0),FALSE),"")</f>
        <v/>
      </c>
    </row>
    <row r="68" spans="1:27">
      <c r="A68">
        <f>COUNTIF($W$22:W68,1)</f>
        <v>0</v>
      </c>
      <c r="B68">
        <v>68</v>
      </c>
      <c r="C68" s="340" t="str">
        <f>Tabulka1[[#This Row],[KOD]]</f>
        <v>LM2C</v>
      </c>
      <c r="W68" s="804" t="str">
        <f t="shared" si="3"/>
        <v/>
      </c>
      <c r="X68" t="str">
        <f t="shared" si="4"/>
        <v/>
      </c>
      <c r="Y68" s="341">
        <f>IF('General price list'!$AB70="",0,'General price list'!$AB70)</f>
        <v>0</v>
      </c>
      <c r="Z68" s="365" t="str">
        <f>IFERROR(X68*VLOOKUP(C68,'General price list'!C:I,7,FALSE),"")</f>
        <v/>
      </c>
      <c r="AA68" s="805" t="str">
        <f>IF(X68&lt;&gt;"",VLOOKUP(C68,'General price list'!C70:AN1043,MATCH("HM",Tabulka1[[#Headers],[KOD]:[NEQ]],0),FALSE),"")</f>
        <v/>
      </c>
    </row>
    <row r="69" spans="1:27">
      <c r="A69">
        <f>COUNTIF($W$22:W69,1)</f>
        <v>0</v>
      </c>
      <c r="B69">
        <v>69</v>
      </c>
      <c r="C69" s="340" t="str">
        <f>Tabulka1[[#This Row],[KOD]]</f>
        <v>LM2V</v>
      </c>
      <c r="W69" s="804" t="str">
        <f t="shared" si="3"/>
        <v/>
      </c>
      <c r="X69" t="str">
        <f t="shared" si="4"/>
        <v/>
      </c>
      <c r="Y69" s="341">
        <f>IF('General price list'!$AB71="",0,'General price list'!$AB71)</f>
        <v>0</v>
      </c>
      <c r="Z69" s="365" t="str">
        <f>IFERROR(X69*VLOOKUP(C69,'General price list'!C:I,7,FALSE),"")</f>
        <v/>
      </c>
      <c r="AA69" s="805" t="str">
        <f>IF(X69&lt;&gt;"",VLOOKUP(C69,'General price list'!C71:AN1044,MATCH("HM",Tabulka1[[#Headers],[KOD]:[NEQ]],0),FALSE),"")</f>
        <v/>
      </c>
    </row>
    <row r="70" spans="1:27">
      <c r="A70">
        <f>COUNTIF($W$22:W70,1)</f>
        <v>0</v>
      </c>
      <c r="B70">
        <v>70</v>
      </c>
      <c r="C70" s="340" t="str">
        <f>Tabulka1[[#This Row],[KOD]]</f>
        <v>LM3T</v>
      </c>
      <c r="W70" s="804" t="str">
        <f t="shared" si="3"/>
        <v/>
      </c>
      <c r="X70" t="str">
        <f t="shared" si="4"/>
        <v/>
      </c>
      <c r="Y70" s="341">
        <f>IF('General price list'!$AB72="",0,'General price list'!$AB72)</f>
        <v>0</v>
      </c>
      <c r="Z70" s="365" t="str">
        <f>IFERROR(X70*VLOOKUP(C70,'General price list'!C:I,7,FALSE),"")</f>
        <v/>
      </c>
      <c r="AA70" s="805" t="str">
        <f>IF(X70&lt;&gt;"",VLOOKUP(C70,'General price list'!C72:AN1045,MATCH("HM",Tabulka1[[#Headers],[KOD]:[NEQ]],0),FALSE),"")</f>
        <v/>
      </c>
    </row>
    <row r="71" spans="1:27">
      <c r="A71">
        <f>COUNTIF($W$22:W71,1)</f>
        <v>0</v>
      </c>
      <c r="B71">
        <v>71</v>
      </c>
      <c r="C71" s="340" t="str">
        <f>Tabulka1[[#This Row],[KOD]]</f>
        <v>LM4O</v>
      </c>
      <c r="W71" s="804" t="str">
        <f t="shared" si="3"/>
        <v/>
      </c>
      <c r="X71" t="str">
        <f t="shared" si="4"/>
        <v/>
      </c>
      <c r="Y71" s="341">
        <f>IF('General price list'!$AB73="",0,'General price list'!$AB73)</f>
        <v>0</v>
      </c>
      <c r="Z71" s="365" t="str">
        <f>IFERROR(X71*VLOOKUP(C71,'General price list'!C:I,7,FALSE),"")</f>
        <v/>
      </c>
      <c r="AA71" s="805" t="str">
        <f>IF(X71&lt;&gt;"",VLOOKUP(C71,'General price list'!C73:AN1046,MATCH("HM",Tabulka1[[#Headers],[KOD]:[NEQ]],0),FALSE),"")</f>
        <v/>
      </c>
    </row>
    <row r="72" spans="1:27">
      <c r="A72">
        <f>COUNTIF($W$22:W72,1)</f>
        <v>0</v>
      </c>
      <c r="B72">
        <v>72</v>
      </c>
      <c r="C72" s="340" t="str">
        <f>Tabulka1[[#This Row],[KOD]]</f>
        <v>LM5W</v>
      </c>
      <c r="W72" s="804" t="str">
        <f t="shared" si="3"/>
        <v/>
      </c>
      <c r="X72" t="str">
        <f t="shared" si="4"/>
        <v/>
      </c>
      <c r="Y72" s="341">
        <f>IF('General price list'!$AB74="",0,'General price list'!$AB74)</f>
        <v>0</v>
      </c>
      <c r="Z72" s="365" t="str">
        <f>IFERROR(X72*VLOOKUP(C72,'General price list'!C:I,7,FALSE),"")</f>
        <v/>
      </c>
      <c r="AA72" s="805" t="str">
        <f>IF(X72&lt;&gt;"",VLOOKUP(C72,'General price list'!C74:AN1047,MATCH("HM",Tabulka1[[#Headers],[KOD]:[NEQ]],0),FALSE),"")</f>
        <v/>
      </c>
    </row>
    <row r="73" spans="1:27">
      <c r="A73">
        <f>COUNTIF($W$22:W73,1)</f>
        <v>0</v>
      </c>
      <c r="B73">
        <v>73</v>
      </c>
      <c r="C73" s="340" t="str">
        <f>Tabulka1[[#This Row],[KOD]]</f>
        <v>LM6M</v>
      </c>
      <c r="W73" s="804" t="str">
        <f t="shared" si="3"/>
        <v/>
      </c>
      <c r="X73" t="str">
        <f t="shared" si="4"/>
        <v/>
      </c>
      <c r="Y73" s="341">
        <f>IF('General price list'!$AB75="",0,'General price list'!$AB75)</f>
        <v>0</v>
      </c>
      <c r="Z73" s="365" t="str">
        <f>IFERROR(X73*VLOOKUP(C73,'General price list'!C:I,7,FALSE),"")</f>
        <v/>
      </c>
      <c r="AA73" s="805" t="str">
        <f>IF(X73&lt;&gt;"",VLOOKUP(C73,'General price list'!C75:AN1048,MATCH("HM",Tabulka1[[#Headers],[KOD]:[NEQ]],0),FALSE),"")</f>
        <v/>
      </c>
    </row>
    <row r="74" spans="1:27">
      <c r="A74">
        <f>COUNTIF($W$22:W74,1)</f>
        <v>0</v>
      </c>
      <c r="B74">
        <v>74</v>
      </c>
      <c r="C74" s="340" t="str">
        <f>Tabulka1[[#This Row],[KOD]]</f>
        <v>LM7S</v>
      </c>
      <c r="W74" s="804" t="str">
        <f t="shared" si="3"/>
        <v/>
      </c>
      <c r="X74" t="str">
        <f t="shared" si="4"/>
        <v/>
      </c>
      <c r="Y74" s="341">
        <f>IF('General price list'!$AB76="",0,'General price list'!$AB76)</f>
        <v>0</v>
      </c>
      <c r="Z74" s="365" t="str">
        <f>IFERROR(X74*VLOOKUP(C74,'General price list'!C:I,7,FALSE),"")</f>
        <v/>
      </c>
      <c r="AA74" s="805" t="str">
        <f>IF(X74&lt;&gt;"",VLOOKUP(C74,'General price list'!C76:AN1049,MATCH("HM",Tabulka1[[#Headers],[KOD]:[NEQ]],0),FALSE),"")</f>
        <v/>
      </c>
    </row>
    <row r="75" spans="1:27">
      <c r="A75">
        <f>COUNTIF($W$22:W75,1)</f>
        <v>0</v>
      </c>
      <c r="B75">
        <v>75</v>
      </c>
      <c r="C75" s="340" t="str">
        <f>Tabulka1[[#This Row],[KOD]]</f>
        <v>LM8SA</v>
      </c>
      <c r="W75" s="804" t="str">
        <f t="shared" si="3"/>
        <v/>
      </c>
      <c r="X75" t="str">
        <f t="shared" si="4"/>
        <v/>
      </c>
      <c r="Y75" s="341">
        <f>IF('General price list'!$AB77="",0,'General price list'!$AB77)</f>
        <v>0</v>
      </c>
      <c r="Z75" s="365" t="str">
        <f>IFERROR(X75*VLOOKUP(C75,'General price list'!C:I,7,FALSE),"")</f>
        <v/>
      </c>
      <c r="AA75" s="805" t="str">
        <f>IF(X75&lt;&gt;"",VLOOKUP(C75,'General price list'!C77:AN1050,MATCH("HM",Tabulka1[[#Headers],[KOD]:[NEQ]],0),FALSE),"")</f>
        <v/>
      </c>
    </row>
    <row r="76" spans="1:27">
      <c r="A76">
        <f>COUNTIF($W$22:W76,1)</f>
        <v>0</v>
      </c>
      <c r="B76">
        <v>76</v>
      </c>
      <c r="C76" s="340" t="str">
        <f>Tabulka1[[#This Row],[KOD]]</f>
        <v>SU45B</v>
      </c>
      <c r="W76" s="804" t="str">
        <f t="shared" si="3"/>
        <v/>
      </c>
      <c r="X76" t="str">
        <f t="shared" si="4"/>
        <v/>
      </c>
      <c r="Y76" s="341">
        <f>IF('General price list'!$AB78="",0,'General price list'!$AB78)</f>
        <v>0</v>
      </c>
      <c r="Z76" s="365" t="str">
        <f>IFERROR(X76*VLOOKUP(C76,'General price list'!C:I,7,FALSE),"")</f>
        <v/>
      </c>
      <c r="AA76" s="805" t="str">
        <f>IF(X76&lt;&gt;"",VLOOKUP(C76,'General price list'!C78:AN1051,MATCH("HM",Tabulka1[[#Headers],[KOD]:[NEQ]],0),FALSE),"")</f>
        <v/>
      </c>
    </row>
    <row r="77" spans="1:27">
      <c r="A77">
        <f>COUNTIF($W$22:W77,1)</f>
        <v>0</v>
      </c>
      <c r="B77">
        <v>77</v>
      </c>
      <c r="C77" s="340" t="str">
        <f>Tabulka1[[#This Row],[KOD]]</f>
        <v>RD8</v>
      </c>
      <c r="W77" s="804" t="str">
        <f t="shared" si="3"/>
        <v/>
      </c>
      <c r="X77" t="str">
        <f t="shared" si="4"/>
        <v/>
      </c>
      <c r="Y77" s="341">
        <f>IF('General price list'!$AB79="",0,'General price list'!$AB79)</f>
        <v>0</v>
      </c>
      <c r="Z77" s="365" t="str">
        <f>IFERROR(X77*VLOOKUP(C77,'General price list'!C:I,7,FALSE),"")</f>
        <v/>
      </c>
      <c r="AA77" s="805" t="str">
        <f>IF(X77&lt;&gt;"",VLOOKUP(C77,'General price list'!C79:AN1052,MATCH("HM",Tabulka1[[#Headers],[KOD]:[NEQ]],0),FALSE),"")</f>
        <v/>
      </c>
    </row>
    <row r="78" spans="1:27">
      <c r="A78">
        <f>COUNTIF($W$22:W78,1)</f>
        <v>0</v>
      </c>
      <c r="B78">
        <v>78</v>
      </c>
      <c r="C78" s="340">
        <f>Tabulka1[[#This Row],[KOD]]</f>
        <v>0</v>
      </c>
      <c r="W78" s="804" t="str">
        <f t="shared" si="3"/>
        <v/>
      </c>
      <c r="X78" t="str">
        <f t="shared" si="4"/>
        <v/>
      </c>
      <c r="Y78" s="341">
        <f>IF('General price list'!$AB80="",0,'General price list'!$AB80)</f>
        <v>0</v>
      </c>
      <c r="Z78" s="365" t="str">
        <f>IFERROR(X78*VLOOKUP(C78,'General price list'!C:I,7,FALSE),"")</f>
        <v/>
      </c>
      <c r="AA78" s="805" t="str">
        <f>IF(X78&lt;&gt;"",VLOOKUP(C78,'General price list'!C80:AN1053,MATCH("HM",Tabulka1[[#Headers],[KOD]:[NEQ]],0),FALSE),"")</f>
        <v/>
      </c>
    </row>
    <row r="79" spans="1:27">
      <c r="A79">
        <f>COUNTIF($W$22:W79,1)</f>
        <v>0</v>
      </c>
      <c r="B79">
        <v>79</v>
      </c>
      <c r="C79" s="340" t="str">
        <f>Tabulka1[[#This Row],[KOD]]</f>
        <v>DS1</v>
      </c>
      <c r="W79" s="804" t="str">
        <f t="shared" si="3"/>
        <v/>
      </c>
      <c r="X79" t="str">
        <f t="shared" si="4"/>
        <v/>
      </c>
      <c r="Y79" s="341">
        <f>IF('General price list'!$AB81="",0,'General price list'!$AB81)</f>
        <v>0</v>
      </c>
      <c r="Z79" s="365" t="str">
        <f>IFERROR(X79*VLOOKUP(C79,'General price list'!C:I,7,FALSE),"")</f>
        <v/>
      </c>
      <c r="AA79" s="805" t="str">
        <f>IF(X79&lt;&gt;"",VLOOKUP(C79,'General price list'!C81:AN1054,MATCH("HM",Tabulka1[[#Headers],[KOD]:[NEQ]],0),FALSE),"")</f>
        <v/>
      </c>
    </row>
    <row r="80" spans="1:27">
      <c r="A80">
        <f>COUNTIF($W$22:W80,1)</f>
        <v>0</v>
      </c>
      <c r="B80">
        <v>80</v>
      </c>
      <c r="C80" s="340" t="str">
        <f>Tabulka1[[#This Row],[KOD]]</f>
        <v>RB1</v>
      </c>
      <c r="W80" s="804" t="str">
        <f t="shared" si="3"/>
        <v/>
      </c>
      <c r="X80" t="str">
        <f t="shared" si="4"/>
        <v/>
      </c>
      <c r="Y80" s="341">
        <f>IF('General price list'!$AB82="",0,'General price list'!$AB82)</f>
        <v>0</v>
      </c>
      <c r="Z80" s="365" t="str">
        <f>IFERROR(X80*VLOOKUP(C80,'General price list'!C:I,7,FALSE),"")</f>
        <v/>
      </c>
      <c r="AA80" s="805" t="str">
        <f>IF(X80&lt;&gt;"",VLOOKUP(C80,'General price list'!C82:AN1055,MATCH("HM",Tabulka1[[#Headers],[KOD]:[NEQ]],0),FALSE),"")</f>
        <v/>
      </c>
    </row>
    <row r="81" spans="1:27">
      <c r="A81">
        <f>COUNTIF($W$22:W81,1)</f>
        <v>0</v>
      </c>
      <c r="B81">
        <v>81</v>
      </c>
      <c r="C81" s="340" t="str">
        <f>Tabulka1[[#This Row],[KOD]]</f>
        <v>FPS1</v>
      </c>
      <c r="W81" s="804" t="str">
        <f t="shared" si="3"/>
        <v/>
      </c>
      <c r="X81" t="str">
        <f t="shared" si="4"/>
        <v/>
      </c>
      <c r="Y81" s="341">
        <f>IF('General price list'!$AB83="",0,'General price list'!$AB83)</f>
        <v>0</v>
      </c>
      <c r="Z81" s="365" t="str">
        <f>IFERROR(X81*VLOOKUP(C81,'General price list'!C:I,7,FALSE),"")</f>
        <v/>
      </c>
      <c r="AA81" s="805" t="str">
        <f>IF(X81&lt;&gt;"",VLOOKUP(C81,'General price list'!C83:AN1056,MATCH("HM",Tabulka1[[#Headers],[KOD]:[NEQ]],0),FALSE),"")</f>
        <v/>
      </c>
    </row>
    <row r="82" spans="1:27">
      <c r="A82">
        <f>COUNTIF($W$22:W82,1)</f>
        <v>0</v>
      </c>
      <c r="B82">
        <v>82</v>
      </c>
      <c r="C82" s="340">
        <f>Tabulka1[[#This Row],[KOD]]</f>
        <v>0</v>
      </c>
      <c r="W82" s="804" t="str">
        <f t="shared" si="3"/>
        <v/>
      </c>
      <c r="X82" t="str">
        <f t="shared" si="4"/>
        <v/>
      </c>
      <c r="Y82" s="341">
        <f>IF('General price list'!$AB84="",0,'General price list'!$AB84)</f>
        <v>0</v>
      </c>
      <c r="Z82" s="365" t="str">
        <f>IFERROR(X82*VLOOKUP(C82,'General price list'!C:I,7,FALSE),"")</f>
        <v/>
      </c>
      <c r="AA82" s="805" t="str">
        <f>IF(X82&lt;&gt;"",VLOOKUP(C82,'General price list'!C84:AN1057,MATCH("HM",Tabulka1[[#Headers],[KOD]:[NEQ]],0),FALSE),"")</f>
        <v/>
      </c>
    </row>
    <row r="83" spans="1:27">
      <c r="A83">
        <f>COUNTIF($W$22:W83,1)</f>
        <v>0</v>
      </c>
      <c r="B83">
        <v>83</v>
      </c>
      <c r="C83" s="340" t="str">
        <f>Tabulka1[[#This Row],[KOD]]</f>
        <v>VP90</v>
      </c>
      <c r="W83" s="804" t="str">
        <f t="shared" si="3"/>
        <v/>
      </c>
      <c r="X83" t="str">
        <f t="shared" si="4"/>
        <v/>
      </c>
      <c r="Y83" s="341">
        <f>IF('General price list'!$AB85="",0,'General price list'!$AB85)</f>
        <v>0</v>
      </c>
      <c r="Z83" s="365" t="str">
        <f>IFERROR(X83*VLOOKUP(C83,'General price list'!C:I,7,FALSE),"")</f>
        <v/>
      </c>
      <c r="AA83" s="805" t="str">
        <f>IF(X83&lt;&gt;"",VLOOKUP(C83,'General price list'!C85:AN1058,MATCH("HM",Tabulka1[[#Headers],[KOD]:[NEQ]],0),FALSE),"")</f>
        <v/>
      </c>
    </row>
    <row r="84" spans="1:27">
      <c r="A84">
        <f>COUNTIF($W$22:W84,1)</f>
        <v>0</v>
      </c>
      <c r="B84">
        <v>84</v>
      </c>
      <c r="C84" s="340" t="str">
        <f>Tabulka1[[#This Row],[KOD]]</f>
        <v>VP70</v>
      </c>
      <c r="W84" s="804" t="str">
        <f t="shared" si="3"/>
        <v/>
      </c>
      <c r="X84" t="str">
        <f t="shared" si="4"/>
        <v/>
      </c>
      <c r="Y84" s="341">
        <f>IF('General price list'!$AB86="",0,'General price list'!$AB86)</f>
        <v>0</v>
      </c>
      <c r="Z84" s="365" t="str">
        <f>IFERROR(X84*VLOOKUP(C84,'General price list'!C:I,7,FALSE),"")</f>
        <v/>
      </c>
      <c r="AA84" s="805" t="str">
        <f>IF(X84&lt;&gt;"",VLOOKUP(C84,'General price list'!C86:AN1059,MATCH("HM",Tabulka1[[#Headers],[KOD]:[NEQ]],0),FALSE),"")</f>
        <v/>
      </c>
    </row>
    <row r="85" spans="1:27">
      <c r="A85">
        <f>COUNTIF($W$22:W85,1)</f>
        <v>0</v>
      </c>
      <c r="B85">
        <v>85</v>
      </c>
      <c r="C85" s="340" t="str">
        <f>Tabulka1[[#This Row],[KOD]]</f>
        <v>VP70W</v>
      </c>
      <c r="W85" s="804" t="str">
        <f t="shared" si="3"/>
        <v/>
      </c>
      <c r="X85" t="str">
        <f t="shared" si="4"/>
        <v/>
      </c>
      <c r="Y85" s="341">
        <f>IF('General price list'!$AB87="",0,'General price list'!$AB87)</f>
        <v>0</v>
      </c>
      <c r="Z85" s="365" t="str">
        <f>IFERROR(X85*VLOOKUP(C85,'General price list'!C:I,7,FALSE),"")</f>
        <v/>
      </c>
      <c r="AA85" s="805" t="str">
        <f>IF(X85&lt;&gt;"",VLOOKUP(C85,'General price list'!C87:AN1060,MATCH("HM",Tabulka1[[#Headers],[KOD]:[NEQ]],0),FALSE),"")</f>
        <v/>
      </c>
    </row>
    <row r="86" spans="1:27">
      <c r="A86">
        <f>COUNTIF($W$22:W86,1)</f>
        <v>0</v>
      </c>
      <c r="B86">
        <v>86</v>
      </c>
      <c r="C86" s="340" t="str">
        <f>Tabulka1[[#This Row],[KOD]]</f>
        <v>VP40</v>
      </c>
      <c r="W86" s="804" t="str">
        <f t="shared" si="3"/>
        <v/>
      </c>
      <c r="X86" t="str">
        <f t="shared" si="4"/>
        <v/>
      </c>
      <c r="Y86" s="341">
        <f>IF('General price list'!$AB88="",0,'General price list'!$AB88)</f>
        <v>0</v>
      </c>
      <c r="Z86" s="365" t="str">
        <f>IFERROR(X86*VLOOKUP(C86,'General price list'!C:I,7,FALSE),"")</f>
        <v/>
      </c>
      <c r="AA86" s="805" t="str">
        <f>IF(X86&lt;&gt;"",VLOOKUP(C86,'General price list'!C88:AN1061,MATCH("HM",Tabulka1[[#Headers],[KOD]:[NEQ]],0),FALSE),"")</f>
        <v/>
      </c>
    </row>
    <row r="87" spans="1:27">
      <c r="A87">
        <f>COUNTIF($W$22:W87,1)</f>
        <v>0</v>
      </c>
      <c r="B87">
        <v>87</v>
      </c>
      <c r="C87" s="340" t="str">
        <f>Tabulka1[[#This Row],[KOD]]</f>
        <v>VP40/20</v>
      </c>
      <c r="W87" s="804" t="str">
        <f t="shared" si="3"/>
        <v/>
      </c>
      <c r="X87" t="str">
        <f t="shared" si="4"/>
        <v/>
      </c>
      <c r="Y87" s="341">
        <f>IF('General price list'!$AB89="",0,'General price list'!$AB89)</f>
        <v>0</v>
      </c>
      <c r="Z87" s="365" t="str">
        <f>IFERROR(X87*VLOOKUP(C87,'General price list'!C:I,7,FALSE),"")</f>
        <v/>
      </c>
      <c r="AA87" s="805" t="str">
        <f>IF(X87&lt;&gt;"",VLOOKUP(C87,'General price list'!C89:AN1062,MATCH("HM",Tabulka1[[#Headers],[KOD]:[NEQ]],0),FALSE),"")</f>
        <v/>
      </c>
    </row>
    <row r="88" spans="1:27">
      <c r="A88">
        <f>COUNTIF($W$22:W88,1)</f>
        <v>0</v>
      </c>
      <c r="B88">
        <v>88</v>
      </c>
      <c r="C88" s="340" t="str">
        <f>Tabulka1[[#This Row],[KOD]]</f>
        <v>VP40W</v>
      </c>
      <c r="W88" s="804" t="str">
        <f t="shared" si="3"/>
        <v/>
      </c>
      <c r="X88" t="str">
        <f t="shared" si="4"/>
        <v/>
      </c>
      <c r="Y88" s="341">
        <f>IF('General price list'!$AB90="",0,'General price list'!$AB90)</f>
        <v>0</v>
      </c>
      <c r="Z88" s="365" t="str">
        <f>IFERROR(X88*VLOOKUP(C88,'General price list'!C:I,7,FALSE),"")</f>
        <v/>
      </c>
      <c r="AA88" s="805" t="str">
        <f>IF(X88&lt;&gt;"",VLOOKUP(C88,'General price list'!C90:AN1063,MATCH("HM",Tabulka1[[#Headers],[KOD]:[NEQ]],0),FALSE),"")</f>
        <v/>
      </c>
    </row>
    <row r="89" spans="1:27">
      <c r="A89">
        <f>COUNTIF($W$22:W89,1)</f>
        <v>0</v>
      </c>
      <c r="B89">
        <v>89</v>
      </c>
      <c r="C89" s="340" t="str">
        <f>Tabulka1[[#This Row],[KOD]]</f>
        <v>VP28</v>
      </c>
      <c r="W89" s="804" t="str">
        <f t="shared" ref="W89:W152" si="5">IF(Y89+1=1,"",1)</f>
        <v/>
      </c>
      <c r="X89" t="str">
        <f t="shared" ref="X89:X152" si="6">IF(OR(A89&lt;$G$20,A89&gt;$G$21),"",IF(Y89=0,"",Y89))</f>
        <v/>
      </c>
      <c r="Y89" s="341">
        <f>IF('General price list'!$AB91="",0,'General price list'!$AB91)</f>
        <v>0</v>
      </c>
      <c r="Z89" s="365" t="str">
        <f>IFERROR(X89*VLOOKUP(C89,'General price list'!C:I,7,FALSE),"")</f>
        <v/>
      </c>
      <c r="AA89" s="805" t="str">
        <f>IF(X89&lt;&gt;"",VLOOKUP(C89,'General price list'!C91:AN1064,MATCH("HM",Tabulka1[[#Headers],[KOD]:[NEQ]],0),FALSE),"")</f>
        <v/>
      </c>
    </row>
    <row r="90" spans="1:27">
      <c r="A90">
        <f>COUNTIF($W$22:W90,1)</f>
        <v>0</v>
      </c>
      <c r="B90">
        <v>90</v>
      </c>
      <c r="C90" s="340" t="str">
        <f>Tabulka1[[#This Row],[KOD]]</f>
        <v>VP16A</v>
      </c>
      <c r="W90" s="804" t="str">
        <f t="shared" si="5"/>
        <v/>
      </c>
      <c r="X90" t="str">
        <f t="shared" si="6"/>
        <v/>
      </c>
      <c r="Y90" s="341">
        <f>IF('General price list'!$AB92="",0,'General price list'!$AB92)</f>
        <v>0</v>
      </c>
      <c r="Z90" s="365" t="str">
        <f>IFERROR(X90*VLOOKUP(C90,'General price list'!C:I,7,FALSE),"")</f>
        <v/>
      </c>
      <c r="AA90" s="805" t="str">
        <f>IF(X90&lt;&gt;"",VLOOKUP(C90,'General price list'!C92:AN1065,MATCH("HM",Tabulka1[[#Headers],[KOD]:[NEQ]],0),FALSE),"")</f>
        <v/>
      </c>
    </row>
    <row r="91" spans="1:27">
      <c r="A91">
        <f>COUNTIF($W$22:W91,1)</f>
        <v>0</v>
      </c>
      <c r="B91">
        <v>91</v>
      </c>
      <c r="C91" s="340" t="str">
        <f>Tabulka1[[#This Row],[KOD]]</f>
        <v>VP16A(1)</v>
      </c>
      <c r="W91" s="804" t="str">
        <f t="shared" si="5"/>
        <v/>
      </c>
      <c r="X91" t="str">
        <f t="shared" si="6"/>
        <v/>
      </c>
      <c r="Y91" s="341">
        <f>IF('General price list'!$AB93="",0,'General price list'!$AB93)</f>
        <v>0</v>
      </c>
      <c r="Z91" s="365" t="str">
        <f>IFERROR(X91*VLOOKUP(C91,'General price list'!C:I,7,FALSE),"")</f>
        <v/>
      </c>
      <c r="AA91" s="805" t="str">
        <f>IF(X91&lt;&gt;"",VLOOKUP(C91,'General price list'!C93:AN1066,MATCH("HM",Tabulka1[[#Headers],[KOD]:[NEQ]],0),FALSE),"")</f>
        <v/>
      </c>
    </row>
    <row r="92" spans="1:27">
      <c r="A92">
        <f>COUNTIF($W$22:W92,1)</f>
        <v>0</v>
      </c>
      <c r="B92">
        <v>92</v>
      </c>
      <c r="C92" s="340">
        <f>Tabulka1[[#This Row],[KOD]]</f>
        <v>0</v>
      </c>
      <c r="W92" s="804" t="str">
        <f t="shared" si="5"/>
        <v/>
      </c>
      <c r="X92" t="str">
        <f t="shared" si="6"/>
        <v/>
      </c>
      <c r="Y92" s="341">
        <f>IF('General price list'!$AB94="",0,'General price list'!$AB94)</f>
        <v>0</v>
      </c>
      <c r="Z92" s="365" t="str">
        <f>IFERROR(X92*VLOOKUP(C92,'General price list'!C:I,7,FALSE),"")</f>
        <v/>
      </c>
      <c r="AA92" s="805" t="str">
        <f>IF(X92&lt;&gt;"",VLOOKUP(C92,'General price list'!C94:AN1067,MATCH("HM",Tabulka1[[#Headers],[KOD]:[NEQ]],0),FALSE),"")</f>
        <v/>
      </c>
    </row>
    <row r="93" spans="1:27">
      <c r="A93">
        <f>COUNTIF($W$22:W93,1)</f>
        <v>0</v>
      </c>
      <c r="B93">
        <v>93</v>
      </c>
      <c r="C93" s="340" t="str">
        <f>Tabulka1[[#This Row],[KOD]]</f>
        <v>VP28N</v>
      </c>
      <c r="W93" s="804" t="str">
        <f t="shared" si="5"/>
        <v/>
      </c>
      <c r="X93" t="str">
        <f t="shared" si="6"/>
        <v/>
      </c>
      <c r="Y93" s="341">
        <f>IF('General price list'!$AB95="",0,'General price list'!$AB95)</f>
        <v>0</v>
      </c>
      <c r="Z93" s="365" t="str">
        <f>IFERROR(X93*VLOOKUP(C93,'General price list'!C:I,7,FALSE),"")</f>
        <v/>
      </c>
      <c r="AA93" s="805" t="str">
        <f>IF(X93&lt;&gt;"",VLOOKUP(C93,'General price list'!C95:AN1068,MATCH("HM",Tabulka1[[#Headers],[KOD]:[NEQ]],0),FALSE),"")</f>
        <v/>
      </c>
    </row>
    <row r="94" spans="1:27">
      <c r="A94">
        <f>COUNTIF($W$22:W94,1)</f>
        <v>0</v>
      </c>
      <c r="B94">
        <v>94</v>
      </c>
      <c r="C94" s="340" t="str">
        <f>Tabulka1[[#This Row],[KOD]]</f>
        <v>VP40N</v>
      </c>
      <c r="W94" s="804" t="str">
        <f t="shared" si="5"/>
        <v/>
      </c>
      <c r="X94" t="str">
        <f t="shared" si="6"/>
        <v/>
      </c>
      <c r="Y94" s="341">
        <f>IF('General price list'!$AB96="",0,'General price list'!$AB96)</f>
        <v>0</v>
      </c>
      <c r="Z94" s="365" t="str">
        <f>IFERROR(X94*VLOOKUP(C94,'General price list'!C:I,7,FALSE),"")</f>
        <v/>
      </c>
      <c r="AA94" s="805" t="str">
        <f>IF(X94&lt;&gt;"",VLOOKUP(C94,'General price list'!C96:AN1069,MATCH("HM",Tabulka1[[#Headers],[KOD]:[NEQ]],0),FALSE),"")</f>
        <v/>
      </c>
    </row>
    <row r="95" spans="1:27">
      <c r="A95">
        <f>COUNTIF($W$22:W95,1)</f>
        <v>0</v>
      </c>
      <c r="B95">
        <v>95</v>
      </c>
      <c r="C95" s="340" t="str">
        <f>Tabulka1[[#This Row],[KOD]]</f>
        <v>VP12MIX</v>
      </c>
      <c r="W95" s="804" t="str">
        <f t="shared" si="5"/>
        <v/>
      </c>
      <c r="X95" t="str">
        <f t="shared" si="6"/>
        <v/>
      </c>
      <c r="Y95" s="341">
        <f>IF('General price list'!$AB97="",0,'General price list'!$AB97)</f>
        <v>0</v>
      </c>
      <c r="Z95" s="365" t="str">
        <f>IFERROR(X95*VLOOKUP(C95,'General price list'!C:I,7,FALSE),"")</f>
        <v/>
      </c>
      <c r="AA95" s="805" t="str">
        <f>IF(X95&lt;&gt;"",VLOOKUP(C95,'General price list'!C97:AN1070,MATCH("HM",Tabulka1[[#Headers],[KOD]:[NEQ]],0),FALSE),"")</f>
        <v/>
      </c>
    </row>
    <row r="96" spans="1:27">
      <c r="A96">
        <f>COUNTIF($W$22:W96,1)</f>
        <v>0</v>
      </c>
      <c r="B96">
        <v>96</v>
      </c>
      <c r="C96" s="340" t="str">
        <f>Tabulka1[[#This Row],[KOD]]</f>
        <v>SPRS1E</v>
      </c>
      <c r="W96" s="804" t="str">
        <f t="shared" si="5"/>
        <v/>
      </c>
      <c r="X96" t="str">
        <f t="shared" si="6"/>
        <v/>
      </c>
      <c r="Y96" s="341">
        <f>IF('General price list'!$AB98="",0,'General price list'!$AB98)</f>
        <v>0</v>
      </c>
      <c r="Z96" s="365" t="str">
        <f>IFERROR(X96*VLOOKUP(C96,'General price list'!C:I,7,FALSE),"")</f>
        <v/>
      </c>
      <c r="AA96" s="805" t="str">
        <f>IF(X96&lt;&gt;"",VLOOKUP(C96,'General price list'!C98:AN1071,MATCH("HM",Tabulka1[[#Headers],[KOD]:[NEQ]],0),FALSE),"")</f>
        <v/>
      </c>
    </row>
    <row r="97" spans="1:27">
      <c r="A97">
        <f>COUNTIF($W$22:W97,1)</f>
        <v>0</v>
      </c>
      <c r="B97">
        <v>97</v>
      </c>
      <c r="C97" s="340">
        <f>Tabulka1[[#This Row],[KOD]]</f>
        <v>0</v>
      </c>
      <c r="W97" s="804" t="str">
        <f t="shared" si="5"/>
        <v/>
      </c>
      <c r="X97" t="str">
        <f t="shared" si="6"/>
        <v/>
      </c>
      <c r="Y97" s="341">
        <f>IF('General price list'!$AB99="",0,'General price list'!$AB99)</f>
        <v>0</v>
      </c>
      <c r="Z97" s="365" t="str">
        <f>IFERROR(X97*VLOOKUP(C97,'General price list'!C:I,7,FALSE),"")</f>
        <v/>
      </c>
      <c r="AA97" s="805" t="str">
        <f>IF(X97&lt;&gt;"",VLOOKUP(C97,'General price list'!C99:AN1072,MATCH("HM",Tabulka1[[#Headers],[KOD]:[NEQ]],0),FALSE),"")</f>
        <v/>
      </c>
    </row>
    <row r="98" spans="1:27">
      <c r="A98">
        <f>COUNTIF($W$22:W98,1)</f>
        <v>0</v>
      </c>
      <c r="B98">
        <v>98</v>
      </c>
      <c r="C98" s="340" t="str">
        <f>Tabulka1[[#This Row],[KOD]]</f>
        <v>D1D</v>
      </c>
      <c r="W98" s="804" t="str">
        <f t="shared" si="5"/>
        <v/>
      </c>
      <c r="X98" t="str">
        <f t="shared" si="6"/>
        <v/>
      </c>
      <c r="Y98" s="341">
        <f>IF('General price list'!$AB100="",0,'General price list'!$AB100)</f>
        <v>0</v>
      </c>
      <c r="Z98" s="365" t="str">
        <f>IFERROR(X98*VLOOKUP(C98,'General price list'!C:I,7,FALSE),"")</f>
        <v/>
      </c>
      <c r="AA98" s="805" t="str">
        <f>IF(X98&lt;&gt;"",VLOOKUP(C98,'General price list'!C100:AN1073,MATCH("HM",Tabulka1[[#Headers],[KOD]:[NEQ]],0),FALSE),"")</f>
        <v/>
      </c>
    </row>
    <row r="99" spans="1:27">
      <c r="A99">
        <f>COUNTIF($W$22:W99,1)</f>
        <v>0</v>
      </c>
      <c r="B99">
        <v>99</v>
      </c>
      <c r="C99" s="340" t="str">
        <f>Tabulka1[[#This Row],[KOD]]</f>
        <v>D1M</v>
      </c>
      <c r="W99" s="804" t="str">
        <f t="shared" si="5"/>
        <v/>
      </c>
      <c r="X99" t="str">
        <f t="shared" si="6"/>
        <v/>
      </c>
      <c r="Y99" s="341">
        <f>IF('General price list'!$AB101="",0,'General price list'!$AB101)</f>
        <v>0</v>
      </c>
      <c r="Z99" s="365" t="str">
        <f>IFERROR(X99*VLOOKUP(C99,'General price list'!C:I,7,FALSE),"")</f>
        <v/>
      </c>
      <c r="AA99" s="805" t="str">
        <f>IF(X99&lt;&gt;"",VLOOKUP(C99,'General price list'!C101:AN1074,MATCH("HM",Tabulka1[[#Headers],[KOD]:[NEQ]],0),FALSE),"")</f>
        <v/>
      </c>
    </row>
    <row r="100" spans="1:27">
      <c r="A100">
        <f>COUNTIF($W$22:W100,1)</f>
        <v>0</v>
      </c>
      <c r="B100">
        <v>100</v>
      </c>
      <c r="C100" s="340" t="str">
        <f>Tabulka1[[#This Row],[KOD]]</f>
        <v>D2C</v>
      </c>
      <c r="W100" s="804" t="str">
        <f t="shared" si="5"/>
        <v/>
      </c>
      <c r="X100" t="str">
        <f t="shared" si="6"/>
        <v/>
      </c>
      <c r="Y100" s="341">
        <f>IF('General price list'!$AB102="",0,'General price list'!$AB102)</f>
        <v>0</v>
      </c>
      <c r="Z100" s="365" t="str">
        <f>IFERROR(X100*VLOOKUP(C100,'General price list'!C:I,7,FALSE),"")</f>
        <v/>
      </c>
      <c r="AA100" s="805" t="str">
        <f>IF(X100&lt;&gt;"",VLOOKUP(C100,'General price list'!C102:AN1075,MATCH("HM",Tabulka1[[#Headers],[KOD]:[NEQ]],0),FALSE),"")</f>
        <v/>
      </c>
    </row>
    <row r="101" spans="1:27">
      <c r="A101">
        <f>COUNTIF($W$22:W101,1)</f>
        <v>0</v>
      </c>
      <c r="B101">
        <v>101</v>
      </c>
      <c r="C101" s="340" t="str">
        <f>Tabulka1[[#This Row],[KOD]]</f>
        <v>D2CN(1)</v>
      </c>
      <c r="W101" s="804" t="str">
        <f t="shared" si="5"/>
        <v/>
      </c>
      <c r="X101" t="str">
        <f t="shared" si="6"/>
        <v/>
      </c>
      <c r="Y101" s="341">
        <f>IF('General price list'!$AB103="",0,'General price list'!$AB103)</f>
        <v>0</v>
      </c>
      <c r="Z101" s="365" t="str">
        <f>IFERROR(X101*VLOOKUP(C101,'General price list'!C:I,7,FALSE),"")</f>
        <v/>
      </c>
      <c r="AA101" s="805" t="str">
        <f>IF(X101&lt;&gt;"",VLOOKUP(C101,'General price list'!C103:AN1076,MATCH("HM",Tabulka1[[#Headers],[KOD]:[NEQ]],0),FALSE),"")</f>
        <v/>
      </c>
    </row>
    <row r="102" spans="1:27">
      <c r="A102">
        <f>COUNTIF($W$22:W102,1)</f>
        <v>0</v>
      </c>
      <c r="B102">
        <v>102</v>
      </c>
      <c r="C102" s="340" t="str">
        <f>Tabulka1[[#This Row],[KOD]]</f>
        <v>D3SK</v>
      </c>
      <c r="W102" s="804" t="str">
        <f t="shared" si="5"/>
        <v/>
      </c>
      <c r="X102" t="str">
        <f t="shared" si="6"/>
        <v/>
      </c>
      <c r="Y102" s="341">
        <f>IF('General price list'!$AB104="",0,'General price list'!$AB104)</f>
        <v>0</v>
      </c>
      <c r="Z102" s="365" t="str">
        <f>IFERROR(X102*VLOOKUP(C102,'General price list'!C:I,7,FALSE),"")</f>
        <v/>
      </c>
      <c r="AA102" s="805" t="str">
        <f>IF(X102&lt;&gt;"",VLOOKUP(C102,'General price list'!C104:AN1077,MATCH("HM",Tabulka1[[#Headers],[KOD]:[NEQ]],0),FALSE),"")</f>
        <v/>
      </c>
    </row>
    <row r="103" spans="1:27">
      <c r="A103">
        <f>COUNTIF($W$22:W103,1)</f>
        <v>0</v>
      </c>
      <c r="B103">
        <v>103</v>
      </c>
      <c r="C103" s="340" t="str">
        <f>Tabulka1[[#This Row],[KOD]]</f>
        <v>RDG1B</v>
      </c>
      <c r="W103" s="804" t="str">
        <f t="shared" si="5"/>
        <v/>
      </c>
      <c r="X103" t="str">
        <f t="shared" si="6"/>
        <v/>
      </c>
      <c r="Y103" s="341">
        <f>IF('General price list'!$AB105="",0,'General price list'!$AB105)</f>
        <v>0</v>
      </c>
      <c r="Z103" s="365" t="str">
        <f>IFERROR(X103*VLOOKUP(C103,'General price list'!C:I,7,FALSE),"")</f>
        <v/>
      </c>
      <c r="AA103" s="805" t="str">
        <f>IF(X103&lt;&gt;"",VLOOKUP(C103,'General price list'!C105:AN1078,MATCH("HM",Tabulka1[[#Headers],[KOD]:[NEQ]],0),FALSE),"")</f>
        <v/>
      </c>
    </row>
    <row r="104" spans="1:27">
      <c r="A104">
        <f>COUNTIF($W$22:W104,1)</f>
        <v>0</v>
      </c>
      <c r="B104">
        <v>104</v>
      </c>
      <c r="C104" s="340" t="str">
        <f>Tabulka1[[#This Row],[KOD]]</f>
        <v>RDG1C</v>
      </c>
      <c r="W104" s="804" t="str">
        <f t="shared" si="5"/>
        <v/>
      </c>
      <c r="X104" t="str">
        <f t="shared" si="6"/>
        <v/>
      </c>
      <c r="Y104" s="341">
        <f>IF('General price list'!$AB106="",0,'General price list'!$AB106)</f>
        <v>0</v>
      </c>
      <c r="Z104" s="365" t="str">
        <f>IFERROR(X104*VLOOKUP(C104,'General price list'!C:I,7,FALSE),"")</f>
        <v/>
      </c>
      <c r="AA104" s="805" t="str">
        <f>IF(X104&lt;&gt;"",VLOOKUP(C104,'General price list'!C106:AN1079,MATCH("HM",Tabulka1[[#Headers],[KOD]:[NEQ]],0),FALSE),"")</f>
        <v/>
      </c>
    </row>
    <row r="105" spans="1:27">
      <c r="A105">
        <f>COUNTIF($W$22:W105,1)</f>
        <v>0</v>
      </c>
      <c r="B105">
        <v>105</v>
      </c>
      <c r="C105" s="340" t="str">
        <f>Tabulka1[[#This Row],[KOD]]</f>
        <v>RDG1M</v>
      </c>
      <c r="W105" s="804" t="str">
        <f t="shared" si="5"/>
        <v/>
      </c>
      <c r="X105" t="str">
        <f t="shared" si="6"/>
        <v/>
      </c>
      <c r="Y105" s="341">
        <f>IF('General price list'!$AB107="",0,'General price list'!$AB107)</f>
        <v>0</v>
      </c>
      <c r="Z105" s="365" t="str">
        <f>IFERROR(X105*VLOOKUP(C105,'General price list'!C:I,7,FALSE),"")</f>
        <v/>
      </c>
      <c r="AA105" s="805" t="str">
        <f>IF(X105&lt;&gt;"",VLOOKUP(C105,'General price list'!C107:AN1080,MATCH("HM",Tabulka1[[#Headers],[KOD]:[NEQ]],0),FALSE),"")</f>
        <v/>
      </c>
    </row>
    <row r="106" spans="1:27">
      <c r="A106">
        <f>COUNTIF($W$22:W106,1)</f>
        <v>0</v>
      </c>
      <c r="B106">
        <v>106</v>
      </c>
      <c r="C106" s="340" t="str">
        <f>Tabulka1[[#This Row],[KOD]]</f>
        <v>RDG1ZL</v>
      </c>
      <c r="W106" s="804" t="str">
        <f t="shared" si="5"/>
        <v/>
      </c>
      <c r="X106" t="str">
        <f t="shared" si="6"/>
        <v/>
      </c>
      <c r="Y106" s="341">
        <f>IF('General price list'!$AB108="",0,'General price list'!$AB108)</f>
        <v>0</v>
      </c>
      <c r="Z106" s="365" t="str">
        <f>IFERROR(X106*VLOOKUP(C106,'General price list'!C:I,7,FALSE),"")</f>
        <v/>
      </c>
      <c r="AA106" s="805" t="str">
        <f>IF(X106&lt;&gt;"",VLOOKUP(C106,'General price list'!C108:AN1081,MATCH("HM",Tabulka1[[#Headers],[KOD]:[NEQ]],0),FALSE),"")</f>
        <v/>
      </c>
    </row>
    <row r="107" spans="1:27">
      <c r="A107">
        <f>COUNTIF($W$22:W107,1)</f>
        <v>0</v>
      </c>
      <c r="B107">
        <v>107</v>
      </c>
      <c r="C107" s="340" t="str">
        <f>Tabulka1[[#This Row],[KOD]]</f>
        <v>RDG1ZL(1)</v>
      </c>
      <c r="W107" s="804" t="str">
        <f t="shared" si="5"/>
        <v/>
      </c>
      <c r="X107" t="str">
        <f t="shared" si="6"/>
        <v/>
      </c>
      <c r="Y107" s="341">
        <f>IF('General price list'!$AB109="",0,'General price list'!$AB109)</f>
        <v>0</v>
      </c>
      <c r="Z107" s="365" t="str">
        <f>IFERROR(X107*VLOOKUP(C107,'General price list'!C:I,7,FALSE),"")</f>
        <v/>
      </c>
      <c r="AA107" s="805" t="str">
        <f>IF(X107&lt;&gt;"",VLOOKUP(C107,'General price list'!C109:AN1082,MATCH("HM",Tabulka1[[#Headers],[KOD]:[NEQ]],0),FALSE),"")</f>
        <v/>
      </c>
    </row>
    <row r="108" spans="1:27">
      <c r="A108">
        <f>COUNTIF($W$22:W108,1)</f>
        <v>0</v>
      </c>
      <c r="B108">
        <v>108</v>
      </c>
      <c r="C108" s="340" t="str">
        <f>Tabulka1[[#This Row],[KOD]]</f>
        <v>RDG1ZE</v>
      </c>
      <c r="W108" s="804" t="str">
        <f t="shared" si="5"/>
        <v/>
      </c>
      <c r="X108" t="str">
        <f t="shared" si="6"/>
        <v/>
      </c>
      <c r="Y108" s="341">
        <f>IF('General price list'!$AB110="",0,'General price list'!$AB110)</f>
        <v>0</v>
      </c>
      <c r="Z108" s="365" t="str">
        <f>IFERROR(X108*VLOOKUP(C108,'General price list'!C:I,7,FALSE),"")</f>
        <v/>
      </c>
      <c r="AA108" s="805" t="str">
        <f>IF(X108&lt;&gt;"",VLOOKUP(C108,'General price list'!C110:AN1083,MATCH("HM",Tabulka1[[#Headers],[KOD]:[NEQ]],0),FALSE),"")</f>
        <v/>
      </c>
    </row>
    <row r="109" spans="1:27">
      <c r="A109">
        <f>COUNTIF($W$22:W109,1)</f>
        <v>0</v>
      </c>
      <c r="B109">
        <v>109</v>
      </c>
      <c r="C109" s="340" t="str">
        <f>Tabulka1[[#This Row],[KOD]]</f>
        <v>RDG2B</v>
      </c>
      <c r="W109" s="804" t="str">
        <f t="shared" si="5"/>
        <v/>
      </c>
      <c r="X109" t="str">
        <f t="shared" si="6"/>
        <v/>
      </c>
      <c r="Y109" s="341">
        <f>IF('General price list'!$AB111="",0,'General price list'!$AB111)</f>
        <v>0</v>
      </c>
      <c r="Z109" s="365" t="str">
        <f>IFERROR(X109*VLOOKUP(C109,'General price list'!C:I,7,FALSE),"")</f>
        <v/>
      </c>
      <c r="AA109" s="805" t="str">
        <f>IF(X109&lt;&gt;"",VLOOKUP(C109,'General price list'!C111:AN1084,MATCH("HM",Tabulka1[[#Headers],[KOD]:[NEQ]],0),FALSE),"")</f>
        <v/>
      </c>
    </row>
    <row r="110" spans="1:27">
      <c r="A110">
        <f>COUNTIF($W$22:W110,1)</f>
        <v>0</v>
      </c>
      <c r="B110">
        <v>110</v>
      </c>
      <c r="C110" s="340" t="str">
        <f>Tabulka1[[#This Row],[KOD]]</f>
        <v>RDG2C</v>
      </c>
      <c r="W110" s="804" t="str">
        <f t="shared" si="5"/>
        <v/>
      </c>
      <c r="X110" t="str">
        <f t="shared" si="6"/>
        <v/>
      </c>
      <c r="Y110" s="341">
        <f>IF('General price list'!$AB112="",0,'General price list'!$AB112)</f>
        <v>0</v>
      </c>
      <c r="Z110" s="365" t="str">
        <f>IFERROR(X110*VLOOKUP(C110,'General price list'!C:I,7,FALSE),"")</f>
        <v/>
      </c>
      <c r="AA110" s="805" t="str">
        <f>IF(X110&lt;&gt;"",VLOOKUP(C110,'General price list'!C112:AN1085,MATCH("HM",Tabulka1[[#Headers],[KOD]:[NEQ]],0),FALSE),"")</f>
        <v/>
      </c>
    </row>
    <row r="111" spans="1:27">
      <c r="A111">
        <f>COUNTIF($W$22:W111,1)</f>
        <v>0</v>
      </c>
      <c r="B111">
        <v>111</v>
      </c>
      <c r="C111" s="340" t="str">
        <f>Tabulka1[[#This Row],[KOD]]</f>
        <v>RDG2M</v>
      </c>
      <c r="W111" s="804" t="str">
        <f t="shared" si="5"/>
        <v/>
      </c>
      <c r="X111" t="str">
        <f t="shared" si="6"/>
        <v/>
      </c>
      <c r="Y111" s="341">
        <f>IF('General price list'!$AB113="",0,'General price list'!$AB113)</f>
        <v>0</v>
      </c>
      <c r="Z111" s="365" t="str">
        <f>IFERROR(X111*VLOOKUP(C111,'General price list'!C:I,7,FALSE),"")</f>
        <v/>
      </c>
      <c r="AA111" s="805" t="str">
        <f>IF(X111&lt;&gt;"",VLOOKUP(C111,'General price list'!C113:AN1086,MATCH("HM",Tabulka1[[#Headers],[KOD]:[NEQ]],0),FALSE),"")</f>
        <v/>
      </c>
    </row>
    <row r="112" spans="1:27">
      <c r="A112">
        <f>COUNTIF($W$22:W112,1)</f>
        <v>0</v>
      </c>
      <c r="B112">
        <v>112</v>
      </c>
      <c r="C112" s="340">
        <f>Tabulka1[[#This Row],[KOD]]</f>
        <v>0</v>
      </c>
      <c r="W112" s="804" t="str">
        <f t="shared" si="5"/>
        <v/>
      </c>
      <c r="X112" t="str">
        <f t="shared" si="6"/>
        <v/>
      </c>
      <c r="Y112" s="341">
        <f>IF('General price list'!$AB114="",0,'General price list'!$AB114)</f>
        <v>0</v>
      </c>
      <c r="Z112" s="365" t="str">
        <f>IFERROR(X112*VLOOKUP(C112,'General price list'!C:I,7,FALSE),"")</f>
        <v/>
      </c>
      <c r="AA112" s="805" t="str">
        <f>IF(X112&lt;&gt;"",VLOOKUP(C112,'General price list'!C114:AN1087,MATCH("HM",Tabulka1[[#Headers],[KOD]:[NEQ]],0),FALSE),"")</f>
        <v/>
      </c>
    </row>
    <row r="113" spans="1:27">
      <c r="A113">
        <f>COUNTIF($W$22:W113,1)</f>
        <v>0</v>
      </c>
      <c r="B113">
        <v>113</v>
      </c>
      <c r="C113" s="340" t="str">
        <f>Tabulka1[[#This Row],[KOD]]</f>
        <v>RDG60B(SH)</v>
      </c>
      <c r="W113" s="804" t="str">
        <f t="shared" si="5"/>
        <v/>
      </c>
      <c r="X113" t="str">
        <f t="shared" si="6"/>
        <v/>
      </c>
      <c r="Y113" s="341">
        <f>IF('General price list'!$AB115="",0,'General price list'!$AB115)</f>
        <v>0</v>
      </c>
      <c r="Z113" s="365" t="str">
        <f>IFERROR(X113*VLOOKUP(C113,'General price list'!C:I,7,FALSE),"")</f>
        <v/>
      </c>
      <c r="AA113" s="805" t="str">
        <f>IF(X113&lt;&gt;"",VLOOKUP(C113,'General price list'!C115:AN1088,MATCH("HM",Tabulka1[[#Headers],[KOD]:[NEQ]],0),FALSE),"")</f>
        <v/>
      </c>
    </row>
    <row r="114" spans="1:27">
      <c r="A114">
        <f>COUNTIF($W$22:W114,1)</f>
        <v>0</v>
      </c>
      <c r="B114">
        <v>114</v>
      </c>
      <c r="C114" s="340" t="str">
        <f>Tabulka1[[#This Row],[KOD]]</f>
        <v>RDG60ZL(SH)</v>
      </c>
      <c r="W114" s="804" t="str">
        <f t="shared" si="5"/>
        <v/>
      </c>
      <c r="X114" t="str">
        <f t="shared" si="6"/>
        <v/>
      </c>
      <c r="Y114" s="341">
        <f>IF('General price list'!$AB116="",0,'General price list'!$AB116)</f>
        <v>0</v>
      </c>
      <c r="Z114" s="365" t="str">
        <f>IFERROR(X114*VLOOKUP(C114,'General price list'!C:I,7,FALSE),"")</f>
        <v/>
      </c>
      <c r="AA114" s="805" t="str">
        <f>IF(X114&lt;&gt;"",VLOOKUP(C114,'General price list'!C116:AN1089,MATCH("HM",Tabulka1[[#Headers],[KOD]:[NEQ]],0),FALSE),"")</f>
        <v/>
      </c>
    </row>
    <row r="115" spans="1:27">
      <c r="A115">
        <f>COUNTIF($W$22:W115,1)</f>
        <v>0</v>
      </c>
      <c r="B115">
        <v>115</v>
      </c>
      <c r="C115" s="340" t="str">
        <f>Tabulka1[[#This Row],[KOD]]</f>
        <v>RDG60R(SH)</v>
      </c>
      <c r="W115" s="804" t="str">
        <f t="shared" si="5"/>
        <v/>
      </c>
      <c r="X115" t="str">
        <f t="shared" si="6"/>
        <v/>
      </c>
      <c r="Y115" s="341">
        <f>IF('General price list'!$AB117="",0,'General price list'!$AB117)</f>
        <v>0</v>
      </c>
      <c r="Z115" s="365" t="str">
        <f>IFERROR(X115*VLOOKUP(C115,'General price list'!C:I,7,FALSE),"")</f>
        <v/>
      </c>
      <c r="AA115" s="805" t="str">
        <f>IF(X115&lt;&gt;"",VLOOKUP(C115,'General price list'!C117:AN1090,MATCH("HM",Tabulka1[[#Headers],[KOD]:[NEQ]],0),FALSE),"")</f>
        <v/>
      </c>
    </row>
    <row r="116" spans="1:27">
      <c r="A116">
        <f>COUNTIF($W$22:W116,1)</f>
        <v>0</v>
      </c>
      <c r="B116">
        <v>116</v>
      </c>
      <c r="C116" s="340" t="str">
        <f>Tabulka1[[#This Row],[KOD]]</f>
        <v>RDG60ZEOCER(SH)</v>
      </c>
      <c r="W116" s="804" t="str">
        <f t="shared" si="5"/>
        <v/>
      </c>
      <c r="X116" t="str">
        <f t="shared" si="6"/>
        <v/>
      </c>
      <c r="Y116" s="341">
        <f>IF('General price list'!$AB118="",0,'General price list'!$AB118)</f>
        <v>0</v>
      </c>
      <c r="Z116" s="365" t="str">
        <f>IFERROR(X116*VLOOKUP(C116,'General price list'!C:I,7,FALSE),"")</f>
        <v/>
      </c>
      <c r="AA116" s="805" t="str">
        <f>IF(X116&lt;&gt;"",VLOOKUP(C116,'General price list'!C118:AN1091,MATCH("HM",Tabulka1[[#Headers],[KOD]:[NEQ]],0),FALSE),"")</f>
        <v/>
      </c>
    </row>
    <row r="117" spans="1:27">
      <c r="A117">
        <f>COUNTIF($W$22:W117,1)</f>
        <v>0</v>
      </c>
      <c r="B117">
        <v>117</v>
      </c>
      <c r="C117" s="340">
        <f>Tabulka1[[#This Row],[KOD]]</f>
        <v>0</v>
      </c>
      <c r="W117" s="804" t="str">
        <f t="shared" si="5"/>
        <v/>
      </c>
      <c r="X117" t="str">
        <f t="shared" si="6"/>
        <v/>
      </c>
      <c r="Y117" s="341">
        <f>IF('General price list'!$AB119="",0,'General price list'!$AB119)</f>
        <v>0</v>
      </c>
      <c r="Z117" s="365" t="str">
        <f>IFERROR(X117*VLOOKUP(C117,'General price list'!C:I,7,FALSE),"")</f>
        <v/>
      </c>
      <c r="AA117" s="805" t="str">
        <f>IF(X117&lt;&gt;"",VLOOKUP(C117,'General price list'!C119:AN1092,MATCH("HM",Tabulka1[[#Headers],[KOD]:[NEQ]],0),FALSE),"")</f>
        <v/>
      </c>
    </row>
    <row r="118" spans="1:27">
      <c r="A118">
        <f>COUNTIF($W$22:W118,1)</f>
        <v>0</v>
      </c>
      <c r="B118">
        <v>118</v>
      </c>
      <c r="C118" s="340" t="str">
        <f>Tabulka1[[#This Row],[KOD]]</f>
        <v>RDG1ZL-P</v>
      </c>
      <c r="W118" s="804" t="str">
        <f t="shared" si="5"/>
        <v/>
      </c>
      <c r="X118" t="str">
        <f t="shared" si="6"/>
        <v/>
      </c>
      <c r="Y118" s="341">
        <f>IF('General price list'!$AB120="",0,'General price list'!$AB120)</f>
        <v>0</v>
      </c>
      <c r="Z118" s="365" t="str">
        <f>IFERROR(X118*VLOOKUP(C118,'General price list'!C:I,7,FALSE),"")</f>
        <v/>
      </c>
      <c r="AA118" s="805" t="str">
        <f>IF(X118&lt;&gt;"",VLOOKUP(C118,'General price list'!C120:AN1093,MATCH("HM",Tabulka1[[#Headers],[KOD]:[NEQ]],0),FALSE),"")</f>
        <v/>
      </c>
    </row>
    <row r="119" spans="1:27">
      <c r="A119">
        <f>COUNTIF($W$22:W119,1)</f>
        <v>0</v>
      </c>
      <c r="B119">
        <v>119</v>
      </c>
      <c r="C119" s="340" t="str">
        <f>Tabulka1[[#This Row],[KOD]]</f>
        <v>RDG1ZL-P(1)</v>
      </c>
      <c r="W119" s="804" t="str">
        <f t="shared" si="5"/>
        <v/>
      </c>
      <c r="X119" t="str">
        <f t="shared" si="6"/>
        <v/>
      </c>
      <c r="Y119" s="341">
        <f>IF('General price list'!$AB121="",0,'General price list'!$AB121)</f>
        <v>0</v>
      </c>
      <c r="Z119" s="365" t="str">
        <f>IFERROR(X119*VLOOKUP(C119,'General price list'!C:I,7,FALSE),"")</f>
        <v/>
      </c>
      <c r="AA119" s="805" t="str">
        <f>IF(X119&lt;&gt;"",VLOOKUP(C119,'General price list'!C121:AN1094,MATCH("HM",Tabulka1[[#Headers],[KOD]:[NEQ]],0),FALSE),"")</f>
        <v/>
      </c>
    </row>
    <row r="120" spans="1:27">
      <c r="A120">
        <f>COUNTIF($W$22:W120,1)</f>
        <v>0</v>
      </c>
      <c r="B120">
        <v>120</v>
      </c>
      <c r="C120" s="340" t="str">
        <f>Tabulka1[[#This Row],[KOD]]</f>
        <v>RDG1O-P</v>
      </c>
      <c r="W120" s="804" t="str">
        <f t="shared" si="5"/>
        <v/>
      </c>
      <c r="X120" t="str">
        <f t="shared" si="6"/>
        <v/>
      </c>
      <c r="Y120" s="341">
        <f>IF('General price list'!$AB122="",0,'General price list'!$AB122)</f>
        <v>0</v>
      </c>
      <c r="Z120" s="365" t="str">
        <f>IFERROR(X120*VLOOKUP(C120,'General price list'!C:I,7,FALSE),"")</f>
        <v/>
      </c>
      <c r="AA120" s="805" t="str">
        <f>IF(X120&lt;&gt;"",VLOOKUP(C120,'General price list'!C122:AN1095,MATCH("HM",Tabulka1[[#Headers],[KOD]:[NEQ]],0),FALSE),"")</f>
        <v/>
      </c>
    </row>
    <row r="121" spans="1:27">
      <c r="A121">
        <f>COUNTIF($W$22:W121,1)</f>
        <v>0</v>
      </c>
      <c r="B121">
        <v>121</v>
      </c>
      <c r="C121" s="340" t="str">
        <f>Tabulka1[[#This Row],[KOD]]</f>
        <v>RDG1O-P(1)</v>
      </c>
      <c r="W121" s="804" t="str">
        <f t="shared" si="5"/>
        <v/>
      </c>
      <c r="X121" t="str">
        <f t="shared" si="6"/>
        <v/>
      </c>
      <c r="Y121" s="341">
        <f>IF('General price list'!$AB123="",0,'General price list'!$AB123)</f>
        <v>0</v>
      </c>
      <c r="Z121" s="365" t="str">
        <f>IFERROR(X121*VLOOKUP(C121,'General price list'!C:I,7,FALSE),"")</f>
        <v/>
      </c>
      <c r="AA121" s="805" t="str">
        <f>IF(X121&lt;&gt;"",VLOOKUP(C121,'General price list'!C123:AN1096,MATCH("HM",Tabulka1[[#Headers],[KOD]:[NEQ]],0),FALSE),"")</f>
        <v/>
      </c>
    </row>
    <row r="122" spans="1:27">
      <c r="A122">
        <f>COUNTIF($W$22:W122,1)</f>
        <v>0</v>
      </c>
      <c r="B122">
        <v>122</v>
      </c>
      <c r="C122" s="340">
        <f>Tabulka1[[#This Row],[KOD]]</f>
        <v>0</v>
      </c>
      <c r="W122" s="804" t="str">
        <f t="shared" si="5"/>
        <v/>
      </c>
      <c r="X122" t="str">
        <f t="shared" si="6"/>
        <v/>
      </c>
      <c r="Y122" s="341">
        <f>IF('General price list'!$AB124="",0,'General price list'!$AB124)</f>
        <v>0</v>
      </c>
      <c r="Z122" s="365" t="str">
        <f>IFERROR(X122*VLOOKUP(C122,'General price list'!C:I,7,FALSE),"")</f>
        <v/>
      </c>
      <c r="AA122" s="805" t="str">
        <f>IF(X122&lt;&gt;"",VLOOKUP(C122,'General price list'!C124:AN1097,MATCH("HM",Tabulka1[[#Headers],[KOD]:[NEQ]],0),FALSE),"")</f>
        <v/>
      </c>
    </row>
    <row r="123" spans="1:27">
      <c r="A123">
        <f>COUNTIF($W$22:W123,1)</f>
        <v>0</v>
      </c>
      <c r="B123">
        <v>123</v>
      </c>
      <c r="C123" s="340" t="str">
        <f>Tabulka1[[#This Row],[KOD]]</f>
        <v>RDP60M</v>
      </c>
      <c r="W123" s="804" t="str">
        <f t="shared" si="5"/>
        <v/>
      </c>
      <c r="X123" t="str">
        <f t="shared" si="6"/>
        <v/>
      </c>
      <c r="Y123" s="341">
        <f>IF('General price list'!$AB125="",0,'General price list'!$AB125)</f>
        <v>0</v>
      </c>
      <c r="Z123" s="365" t="str">
        <f>IFERROR(X123*VLOOKUP(C123,'General price list'!C:I,7,FALSE),"")</f>
        <v/>
      </c>
      <c r="AA123" s="805" t="str">
        <f>IF(X123&lt;&gt;"",VLOOKUP(C123,'General price list'!C125:AN1098,MATCH("HM",Tabulka1[[#Headers],[KOD]:[NEQ]],0),FALSE),"")</f>
        <v/>
      </c>
    </row>
    <row r="124" spans="1:27">
      <c r="A124">
        <f>COUNTIF($W$22:W124,1)</f>
        <v>0</v>
      </c>
      <c r="B124">
        <v>124</v>
      </c>
      <c r="C124" s="340" t="str">
        <f>Tabulka1[[#This Row],[KOD]]</f>
        <v>HDP60B</v>
      </c>
      <c r="W124" s="804" t="str">
        <f t="shared" si="5"/>
        <v/>
      </c>
      <c r="X124" t="str">
        <f t="shared" si="6"/>
        <v/>
      </c>
      <c r="Y124" s="341">
        <f>IF('General price list'!$AB126="",0,'General price list'!$AB126)</f>
        <v>0</v>
      </c>
      <c r="Z124" s="365" t="str">
        <f>IFERROR(X124*VLOOKUP(C124,'General price list'!C:I,7,FALSE),"")</f>
        <v/>
      </c>
      <c r="AA124" s="805" t="str">
        <f>IF(X124&lt;&gt;"",VLOOKUP(C124,'General price list'!C126:AN1099,MATCH("HM",Tabulka1[[#Headers],[KOD]:[NEQ]],0),FALSE),"")</f>
        <v/>
      </c>
    </row>
    <row r="125" spans="1:27">
      <c r="A125">
        <f>COUNTIF($W$22:W125,1)</f>
        <v>0</v>
      </c>
      <c r="B125">
        <v>125</v>
      </c>
      <c r="C125" s="340" t="str">
        <f>Tabulka1[[#This Row],[KOD]]</f>
        <v>HDP60C</v>
      </c>
      <c r="W125" s="804" t="str">
        <f t="shared" si="5"/>
        <v/>
      </c>
      <c r="X125" t="str">
        <f t="shared" si="6"/>
        <v/>
      </c>
      <c r="Y125" s="341">
        <f>IF('General price list'!$AB127="",0,'General price list'!$AB127)</f>
        <v>0</v>
      </c>
      <c r="Z125" s="365" t="str">
        <f>IFERROR(X125*VLOOKUP(C125,'General price list'!C:I,7,FALSE),"")</f>
        <v/>
      </c>
      <c r="AA125" s="805" t="str">
        <f>IF(X125&lt;&gt;"",VLOOKUP(C125,'General price list'!C127:AN1100,MATCH("HM",Tabulka1[[#Headers],[KOD]:[NEQ]],0),FALSE),"")</f>
        <v/>
      </c>
    </row>
    <row r="126" spans="1:27">
      <c r="A126">
        <f>COUNTIF($W$22:W126,1)</f>
        <v>0</v>
      </c>
      <c r="B126">
        <v>126</v>
      </c>
      <c r="C126" s="340" t="str">
        <f>Tabulka1[[#This Row],[KOD]]</f>
        <v>HDP60M</v>
      </c>
      <c r="W126" s="804" t="str">
        <f t="shared" si="5"/>
        <v/>
      </c>
      <c r="X126" t="str">
        <f t="shared" si="6"/>
        <v/>
      </c>
      <c r="Y126" s="341">
        <f>IF('General price list'!$AB128="",0,'General price list'!$AB128)</f>
        <v>0</v>
      </c>
      <c r="Z126" s="365" t="str">
        <f>IFERROR(X126*VLOOKUP(C126,'General price list'!C:I,7,FALSE),"")</f>
        <v/>
      </c>
      <c r="AA126" s="805" t="str">
        <f>IF(X126&lt;&gt;"",VLOOKUP(C126,'General price list'!C128:AN1101,MATCH("HM",Tabulka1[[#Headers],[KOD]:[NEQ]],0),FALSE),"")</f>
        <v/>
      </c>
    </row>
    <row r="127" spans="1:27">
      <c r="A127">
        <f>COUNTIF($W$22:W127,1)</f>
        <v>0</v>
      </c>
      <c r="B127">
        <v>127</v>
      </c>
      <c r="C127" s="340" t="str">
        <f>Tabulka1[[#This Row],[KOD]]</f>
        <v>HDP60ZE</v>
      </c>
      <c r="W127" s="804" t="str">
        <f t="shared" si="5"/>
        <v/>
      </c>
      <c r="X127" t="str">
        <f t="shared" si="6"/>
        <v/>
      </c>
      <c r="Y127" s="341">
        <f>IF('General price list'!$AB129="",0,'General price list'!$AB129)</f>
        <v>0</v>
      </c>
      <c r="Z127" s="365" t="str">
        <f>IFERROR(X127*VLOOKUP(C127,'General price list'!C:I,7,FALSE),"")</f>
        <v/>
      </c>
      <c r="AA127" s="805" t="str">
        <f>IF(X127&lt;&gt;"",VLOOKUP(C127,'General price list'!C129:AN1102,MATCH("HM",Tabulka1[[#Headers],[KOD]:[NEQ]],0),FALSE),"")</f>
        <v/>
      </c>
    </row>
    <row r="128" spans="1:27">
      <c r="A128">
        <f>COUNTIF($W$22:W128,1)</f>
        <v>0</v>
      </c>
      <c r="B128">
        <v>128</v>
      </c>
      <c r="C128" s="340">
        <f>Tabulka1[[#This Row],[KOD]]</f>
        <v>0</v>
      </c>
      <c r="W128" s="804" t="str">
        <f t="shared" si="5"/>
        <v/>
      </c>
      <c r="X128" t="str">
        <f t="shared" si="6"/>
        <v/>
      </c>
      <c r="Y128" s="341">
        <f>IF('General price list'!$AB130="",0,'General price list'!$AB130)</f>
        <v>0</v>
      </c>
      <c r="Z128" s="365" t="str">
        <f>IFERROR(X128*VLOOKUP(C128,'General price list'!C:I,7,FALSE),"")</f>
        <v/>
      </c>
      <c r="AA128" s="805" t="str">
        <f>IF(X128&lt;&gt;"",VLOOKUP(C128,'General price list'!C130:AN1103,MATCH("HM",Tabulka1[[#Headers],[KOD]:[NEQ]],0),FALSE),"")</f>
        <v/>
      </c>
    </row>
    <row r="129" spans="1:27">
      <c r="A129">
        <f>COUNTIF($W$22:W129,1)</f>
        <v>0</v>
      </c>
      <c r="B129">
        <v>129</v>
      </c>
      <c r="C129" s="340" t="str">
        <f>Tabulka1[[#This Row],[KOD]]</f>
        <v>P40C25</v>
      </c>
      <c r="W129" s="804" t="str">
        <f t="shared" si="5"/>
        <v/>
      </c>
      <c r="X129" t="str">
        <f t="shared" si="6"/>
        <v/>
      </c>
      <c r="Y129" s="341">
        <f>IF('General price list'!$AB131="",0,'General price list'!$AB131)</f>
        <v>0</v>
      </c>
      <c r="Z129" s="365" t="str">
        <f>IFERROR(X129*VLOOKUP(C129,'General price list'!C:I,7,FALSE),"")</f>
        <v/>
      </c>
      <c r="AA129" s="805" t="str">
        <f>IF(X129&lt;&gt;"",VLOOKUP(C129,'General price list'!C131:AN1104,MATCH("HM",Tabulka1[[#Headers],[KOD]:[NEQ]],0),FALSE),"")</f>
        <v/>
      </c>
    </row>
    <row r="130" spans="1:27">
      <c r="A130">
        <f>COUNTIF($W$22:W130,1)</f>
        <v>0</v>
      </c>
      <c r="B130">
        <v>130</v>
      </c>
      <c r="C130" s="340" t="str">
        <f>Tabulka1[[#This Row],[KOD]]</f>
        <v>P40Z25</v>
      </c>
      <c r="W130" s="804" t="str">
        <f t="shared" si="5"/>
        <v/>
      </c>
      <c r="X130" t="str">
        <f t="shared" si="6"/>
        <v/>
      </c>
      <c r="Y130" s="341">
        <f>IF('General price list'!$AB132="",0,'General price list'!$AB132)</f>
        <v>0</v>
      </c>
      <c r="Z130" s="365" t="str">
        <f>IFERROR(X130*VLOOKUP(C130,'General price list'!C:I,7,FALSE),"")</f>
        <v/>
      </c>
      <c r="AA130" s="805" t="str">
        <f>IF(X130&lt;&gt;"",VLOOKUP(C130,'General price list'!C132:AN1105,MATCH("HM",Tabulka1[[#Headers],[KOD]:[NEQ]],0),FALSE),"")</f>
        <v/>
      </c>
    </row>
    <row r="131" spans="1:27">
      <c r="A131">
        <f>COUNTIF($W$22:W131,1)</f>
        <v>0</v>
      </c>
      <c r="B131">
        <v>131</v>
      </c>
      <c r="C131" s="340" t="str">
        <f>Tabulka1[[#This Row],[KOD]]</f>
        <v>P40B25</v>
      </c>
      <c r="W131" s="804" t="str">
        <f t="shared" si="5"/>
        <v/>
      </c>
      <c r="X131" t="str">
        <f t="shared" si="6"/>
        <v/>
      </c>
      <c r="Y131" s="341">
        <f>IF('General price list'!$AB133="",0,'General price list'!$AB133)</f>
        <v>0</v>
      </c>
      <c r="Z131" s="365" t="str">
        <f>IFERROR(X131*VLOOKUP(C131,'General price list'!C:I,7,FALSE),"")</f>
        <v/>
      </c>
      <c r="AA131" s="805" t="str">
        <f>IF(X131&lt;&gt;"",VLOOKUP(C131,'General price list'!C133:AN1106,MATCH("HM",Tabulka1[[#Headers],[KOD]:[NEQ]],0),FALSE),"")</f>
        <v/>
      </c>
    </row>
    <row r="132" spans="1:27">
      <c r="A132">
        <f>COUNTIF($W$22:W132,1)</f>
        <v>0</v>
      </c>
      <c r="B132">
        <v>132</v>
      </c>
      <c r="C132" s="340" t="str">
        <f>Tabulka1[[#This Row],[KOD]]</f>
        <v>P40MO25</v>
      </c>
      <c r="W132" s="804" t="str">
        <f t="shared" si="5"/>
        <v/>
      </c>
      <c r="X132" t="str">
        <f t="shared" si="6"/>
        <v/>
      </c>
      <c r="Y132" s="341">
        <f>IF('General price list'!$AB134="",0,'General price list'!$AB134)</f>
        <v>0</v>
      </c>
      <c r="Z132" s="365" t="str">
        <f>IFERROR(X132*VLOOKUP(C132,'General price list'!C:I,7,FALSE),"")</f>
        <v/>
      </c>
      <c r="AA132" s="805" t="str">
        <f>IF(X132&lt;&gt;"",VLOOKUP(C132,'General price list'!C134:AN1107,MATCH("HM",Tabulka1[[#Headers],[KOD]:[NEQ]],0),FALSE),"")</f>
        <v/>
      </c>
    </row>
    <row r="133" spans="1:27">
      <c r="A133">
        <f>COUNTIF($W$22:W133,1)</f>
        <v>0</v>
      </c>
      <c r="B133">
        <v>133</v>
      </c>
      <c r="C133" s="340" t="str">
        <f>Tabulka1[[#This Row],[KOD]]</f>
        <v>SP60S</v>
      </c>
      <c r="W133" s="804" t="str">
        <f t="shared" si="5"/>
        <v/>
      </c>
      <c r="X133" t="str">
        <f t="shared" si="6"/>
        <v/>
      </c>
      <c r="Y133" s="341">
        <f>IF('General price list'!$AB135="",0,'General price list'!$AB135)</f>
        <v>0</v>
      </c>
      <c r="Z133" s="365" t="str">
        <f>IFERROR(X133*VLOOKUP(C133,'General price list'!C:I,7,FALSE),"")</f>
        <v/>
      </c>
      <c r="AA133" s="805" t="str">
        <f>IF(X133&lt;&gt;"",VLOOKUP(C133,'General price list'!C135:AN1108,MATCH("HM",Tabulka1[[#Headers],[KOD]:[NEQ]],0),FALSE),"")</f>
        <v/>
      </c>
    </row>
    <row r="134" spans="1:27">
      <c r="A134">
        <f>COUNTIF($W$22:W134,1)</f>
        <v>0</v>
      </c>
      <c r="B134">
        <v>134</v>
      </c>
      <c r="C134" s="340" t="str">
        <f>Tabulka1[[#This Row],[KOD]]</f>
        <v>BP60S</v>
      </c>
      <c r="W134" s="804" t="str">
        <f t="shared" si="5"/>
        <v/>
      </c>
      <c r="X134" t="str">
        <f t="shared" si="6"/>
        <v/>
      </c>
      <c r="Y134" s="341">
        <f>IF('General price list'!$AB136="",0,'General price list'!$AB136)</f>
        <v>0</v>
      </c>
      <c r="Z134" s="365" t="str">
        <f>IFERROR(X134*VLOOKUP(C134,'General price list'!C:I,7,FALSE),"")</f>
        <v/>
      </c>
      <c r="AA134" s="805" t="str">
        <f>IF(X134&lt;&gt;"",VLOOKUP(C134,'General price list'!C136:AN1109,MATCH("HM",Tabulka1[[#Headers],[KOD]:[NEQ]],0),FALSE),"")</f>
        <v/>
      </c>
    </row>
    <row r="135" spans="1:27">
      <c r="A135">
        <f>COUNTIF($W$22:W135,1)</f>
        <v>0</v>
      </c>
      <c r="B135">
        <v>135</v>
      </c>
      <c r="C135" s="340">
        <f>Tabulka1[[#This Row],[KOD]]</f>
        <v>0</v>
      </c>
      <c r="W135" s="804" t="str">
        <f t="shared" si="5"/>
        <v/>
      </c>
      <c r="X135" t="str">
        <f t="shared" si="6"/>
        <v/>
      </c>
      <c r="Y135" s="341">
        <f>IF('General price list'!$AB137="",0,'General price list'!$AB137)</f>
        <v>0</v>
      </c>
      <c r="Z135" s="365" t="str">
        <f>IFERROR(X135*VLOOKUP(C135,'General price list'!C:I,7,FALSE),"")</f>
        <v/>
      </c>
      <c r="AA135" s="805" t="str">
        <f>IF(X135&lt;&gt;"",VLOOKUP(C135,'General price list'!C137:AN1110,MATCH("HM",Tabulka1[[#Headers],[KOD]:[NEQ]],0),FALSE),"")</f>
        <v/>
      </c>
    </row>
    <row r="136" spans="1:27">
      <c r="A136">
        <f>COUNTIF($W$22:W136,1)</f>
        <v>0</v>
      </c>
      <c r="B136">
        <v>136</v>
      </c>
      <c r="C136" s="340" t="str">
        <f>Tabulka1[[#This Row],[KOD]]</f>
        <v>S90S</v>
      </c>
      <c r="W136" s="804" t="str">
        <f t="shared" si="5"/>
        <v/>
      </c>
      <c r="X136" t="str">
        <f t="shared" si="6"/>
        <v/>
      </c>
      <c r="Y136" s="341">
        <f>IF('General price list'!$AB138="",0,'General price list'!$AB138)</f>
        <v>0</v>
      </c>
      <c r="Z136" s="365" t="str">
        <f>IFERROR(X136*VLOOKUP(C136,'General price list'!C:I,7,FALSE),"")</f>
        <v/>
      </c>
      <c r="AA136" s="805" t="str">
        <f>IF(X136&lt;&gt;"",VLOOKUP(C136,'General price list'!C138:AN1111,MATCH("HM",Tabulka1[[#Headers],[KOD]:[NEQ]],0),FALSE),"")</f>
        <v/>
      </c>
    </row>
    <row r="137" spans="1:27">
      <c r="A137">
        <f>COUNTIF($W$22:W137,1)</f>
        <v>0</v>
      </c>
      <c r="B137">
        <v>137</v>
      </c>
      <c r="C137" s="340" t="str">
        <f>Tabulka1[[#This Row],[KOD]]</f>
        <v>S60S</v>
      </c>
      <c r="W137" s="804" t="str">
        <f t="shared" si="5"/>
        <v/>
      </c>
      <c r="X137" t="str">
        <f t="shared" si="6"/>
        <v/>
      </c>
      <c r="Y137" s="341">
        <f>IF('General price list'!$AB139="",0,'General price list'!$AB139)</f>
        <v>0</v>
      </c>
      <c r="Z137" s="365" t="str">
        <f>IFERROR(X137*VLOOKUP(C137,'General price list'!C:I,7,FALSE),"")</f>
        <v/>
      </c>
      <c r="AA137" s="805" t="str">
        <f>IF(X137&lt;&gt;"",VLOOKUP(C137,'General price list'!C139:AN1112,MATCH("HM",Tabulka1[[#Headers],[KOD]:[NEQ]],0),FALSE),"")</f>
        <v/>
      </c>
    </row>
    <row r="138" spans="1:27">
      <c r="A138">
        <f>COUNTIF($W$22:W138,1)</f>
        <v>0</v>
      </c>
      <c r="B138">
        <v>138</v>
      </c>
      <c r="C138" s="340">
        <f>Tabulka1[[#This Row],[KOD]]</f>
        <v>0</v>
      </c>
      <c r="W138" s="804" t="str">
        <f t="shared" si="5"/>
        <v/>
      </c>
      <c r="X138" t="str">
        <f t="shared" si="6"/>
        <v/>
      </c>
      <c r="Y138" s="341">
        <f>IF('General price list'!$AB140="",0,'General price list'!$AB140)</f>
        <v>0</v>
      </c>
      <c r="Z138" s="365" t="str">
        <f>IFERROR(X138*VLOOKUP(C138,'General price list'!C:I,7,FALSE),"")</f>
        <v/>
      </c>
      <c r="AA138" s="805" t="str">
        <f>IF(X138&lt;&gt;"",VLOOKUP(C138,'General price list'!C140:AN1113,MATCH("HM",Tabulka1[[#Headers],[KOD]:[NEQ]],0),FALSE),"")</f>
        <v/>
      </c>
    </row>
    <row r="139" spans="1:27">
      <c r="A139">
        <f>COUNTIF($W$22:W139,1)</f>
        <v>0</v>
      </c>
      <c r="B139">
        <v>139</v>
      </c>
      <c r="C139" s="340" t="str">
        <f>Tabulka1[[#This Row],[KOD]]</f>
        <v>F1M</v>
      </c>
      <c r="W139" s="804" t="str">
        <f t="shared" si="5"/>
        <v/>
      </c>
      <c r="X139" t="str">
        <f t="shared" si="6"/>
        <v/>
      </c>
      <c r="Y139" s="341">
        <f>IF('General price list'!$AB141="",0,'General price list'!$AB141)</f>
        <v>0</v>
      </c>
      <c r="Z139" s="365" t="str">
        <f>IFERROR(X139*VLOOKUP(C139,'General price list'!C:I,7,FALSE),"")</f>
        <v/>
      </c>
      <c r="AA139" s="805" t="str">
        <f>IF(X139&lt;&gt;"",VLOOKUP(C139,'General price list'!C141:AN1114,MATCH("HM",Tabulka1[[#Headers],[KOD]:[NEQ]],0),FALSE),"")</f>
        <v/>
      </c>
    </row>
    <row r="140" spans="1:27">
      <c r="A140">
        <f>COUNTIF($W$22:W140,1)</f>
        <v>0</v>
      </c>
      <c r="B140">
        <v>140</v>
      </c>
      <c r="C140" s="340" t="str">
        <f>Tabulka1[[#This Row],[KOD]]</f>
        <v>F2M</v>
      </c>
      <c r="W140" s="804" t="str">
        <f t="shared" si="5"/>
        <v/>
      </c>
      <c r="X140" t="str">
        <f t="shared" si="6"/>
        <v/>
      </c>
      <c r="Y140" s="341">
        <f>IF('General price list'!$AB142="",0,'General price list'!$AB142)</f>
        <v>0</v>
      </c>
      <c r="Z140" s="365" t="str">
        <f>IFERROR(X140*VLOOKUP(C140,'General price list'!C:I,7,FALSE),"")</f>
        <v/>
      </c>
      <c r="AA140" s="805" t="str">
        <f>IF(X140&lt;&gt;"",VLOOKUP(C140,'General price list'!C142:AN1115,MATCH("HM",Tabulka1[[#Headers],[KOD]:[NEQ]],0),FALSE),"")</f>
        <v/>
      </c>
    </row>
    <row r="141" spans="1:27">
      <c r="A141">
        <f>COUNTIF($W$22:W141,1)</f>
        <v>0</v>
      </c>
      <c r="B141">
        <v>141</v>
      </c>
      <c r="C141" s="340" t="str">
        <f>Tabulka1[[#This Row],[KOD]]</f>
        <v>F3CC</v>
      </c>
      <c r="W141" s="804" t="str">
        <f t="shared" si="5"/>
        <v/>
      </c>
      <c r="X141" t="str">
        <f t="shared" si="6"/>
        <v/>
      </c>
      <c r="Y141" s="341">
        <f>IF('General price list'!$AB143="",0,'General price list'!$AB143)</f>
        <v>0</v>
      </c>
      <c r="Z141" s="365" t="str">
        <f>IFERROR(X141*VLOOKUP(C141,'General price list'!C:I,7,FALSE),"")</f>
        <v/>
      </c>
      <c r="AA141" s="805" t="str">
        <f>IF(X141&lt;&gt;"",VLOOKUP(C141,'General price list'!C143:AN1116,MATCH("HM",Tabulka1[[#Headers],[KOD]:[NEQ]],0),FALSE),"")</f>
        <v/>
      </c>
    </row>
    <row r="142" spans="1:27">
      <c r="A142">
        <f>COUNTIF($W$22:W142,1)</f>
        <v>0</v>
      </c>
      <c r="B142">
        <v>142</v>
      </c>
      <c r="C142" s="340" t="str">
        <f>Tabulka1[[#This Row],[KOD]]</f>
        <v>F6K</v>
      </c>
      <c r="W142" s="804" t="str">
        <f t="shared" si="5"/>
        <v/>
      </c>
      <c r="X142" t="str">
        <f t="shared" si="6"/>
        <v/>
      </c>
      <c r="Y142" s="341">
        <f>IF('General price list'!$AB144="",0,'General price list'!$AB144)</f>
        <v>0</v>
      </c>
      <c r="Z142" s="365" t="str">
        <f>IFERROR(X142*VLOOKUP(C142,'General price list'!C:I,7,FALSE),"")</f>
        <v/>
      </c>
      <c r="AA142" s="805" t="str">
        <f>IF(X142&lt;&gt;"",VLOOKUP(C142,'General price list'!C144:AN1117,MATCH("HM",Tabulka1[[#Headers],[KOD]:[NEQ]],0),FALSE),"")</f>
        <v/>
      </c>
    </row>
    <row r="143" spans="1:27">
      <c r="A143">
        <f>COUNTIF($W$22:W143,1)</f>
        <v>0</v>
      </c>
      <c r="B143">
        <v>143</v>
      </c>
      <c r="C143" s="340" t="str">
        <f>Tabulka1[[#This Row],[KOD]]</f>
        <v>F16CS</v>
      </c>
      <c r="W143" s="804" t="str">
        <f t="shared" si="5"/>
        <v/>
      </c>
      <c r="X143" t="str">
        <f t="shared" si="6"/>
        <v/>
      </c>
      <c r="Y143" s="341">
        <f>IF('General price list'!$AB145="",0,'General price list'!$AB145)</f>
        <v>0</v>
      </c>
      <c r="Z143" s="365" t="str">
        <f>IFERROR(X143*VLOOKUP(C143,'General price list'!C:I,7,FALSE),"")</f>
        <v/>
      </c>
      <c r="AA143" s="805" t="str">
        <f>IF(X143&lt;&gt;"",VLOOKUP(C143,'General price list'!C145:AN1118,MATCH("HM",Tabulka1[[#Headers],[KOD]:[NEQ]],0),FALSE),"")</f>
        <v/>
      </c>
    </row>
    <row r="144" spans="1:27">
      <c r="A144">
        <f>COUNTIF($W$22:W144,1)</f>
        <v>0</v>
      </c>
      <c r="B144">
        <v>144</v>
      </c>
      <c r="C144" s="340" t="str">
        <f>Tabulka1[[#This Row],[KOD]]</f>
        <v>F8B</v>
      </c>
      <c r="W144" s="804" t="str">
        <f t="shared" si="5"/>
        <v/>
      </c>
      <c r="X144" t="str">
        <f t="shared" si="6"/>
        <v/>
      </c>
      <c r="Y144" s="341">
        <f>IF('General price list'!$AB146="",0,'General price list'!$AB146)</f>
        <v>0</v>
      </c>
      <c r="Z144" s="365" t="str">
        <f>IFERROR(X144*VLOOKUP(C144,'General price list'!C:I,7,FALSE),"")</f>
        <v/>
      </c>
      <c r="AA144" s="805" t="str">
        <f>IF(X144&lt;&gt;"",VLOOKUP(C144,'General price list'!C146:AN1119,MATCH("HM",Tabulka1[[#Headers],[KOD]:[NEQ]],0),FALSE),"")</f>
        <v/>
      </c>
    </row>
    <row r="145" spans="1:27">
      <c r="A145">
        <f>COUNTIF($W$22:W145,1)</f>
        <v>0</v>
      </c>
      <c r="B145">
        <v>145</v>
      </c>
      <c r="C145" s="340" t="str">
        <f>Tabulka1[[#This Row],[KOD]]</f>
        <v>F10E</v>
      </c>
      <c r="W145" s="804" t="str">
        <f t="shared" si="5"/>
        <v/>
      </c>
      <c r="X145" t="str">
        <f t="shared" si="6"/>
        <v/>
      </c>
      <c r="Y145" s="341">
        <f>IF('General price list'!$AB147="",0,'General price list'!$AB147)</f>
        <v>0</v>
      </c>
      <c r="Z145" s="365" t="str">
        <f>IFERROR(X145*VLOOKUP(C145,'General price list'!C:I,7,FALSE),"")</f>
        <v/>
      </c>
      <c r="AA145" s="805" t="str">
        <f>IF(X145&lt;&gt;"",VLOOKUP(C145,'General price list'!C147:AN1120,MATCH("HM",Tabulka1[[#Headers],[KOD]:[NEQ]],0),FALSE),"")</f>
        <v/>
      </c>
    </row>
    <row r="146" spans="1:27">
      <c r="A146">
        <f>COUNTIF($W$22:W146,1)</f>
        <v>0</v>
      </c>
      <c r="B146">
        <v>146</v>
      </c>
      <c r="C146" s="340" t="str">
        <f>Tabulka1[[#This Row],[KOD]]</f>
        <v>F11M</v>
      </c>
      <c r="W146" s="804" t="str">
        <f t="shared" si="5"/>
        <v/>
      </c>
      <c r="X146" t="str">
        <f t="shared" si="6"/>
        <v/>
      </c>
      <c r="Y146" s="341">
        <f>IF('General price list'!$AB148="",0,'General price list'!$AB148)</f>
        <v>0</v>
      </c>
      <c r="Z146" s="365" t="str">
        <f>IFERROR(X146*VLOOKUP(C146,'General price list'!C:I,7,FALSE),"")</f>
        <v/>
      </c>
      <c r="AA146" s="805" t="str">
        <f>IF(X146&lt;&gt;"",VLOOKUP(C146,'General price list'!C148:AN1121,MATCH("HM",Tabulka1[[#Headers],[KOD]:[NEQ]],0),FALSE),"")</f>
        <v/>
      </c>
    </row>
    <row r="147" spans="1:27">
      <c r="A147">
        <f>COUNTIF($W$22:W147,1)</f>
        <v>0</v>
      </c>
      <c r="B147">
        <v>147</v>
      </c>
      <c r="C147" s="340" t="str">
        <f>Tabulka1[[#This Row],[KOD]]</f>
        <v>F14R</v>
      </c>
      <c r="W147" s="804" t="str">
        <f t="shared" si="5"/>
        <v/>
      </c>
      <c r="X147" t="str">
        <f t="shared" si="6"/>
        <v/>
      </c>
      <c r="Y147" s="341">
        <f>IF('General price list'!$AB149="",0,'General price list'!$AB149)</f>
        <v>0</v>
      </c>
      <c r="Z147" s="365" t="str">
        <f>IFERROR(X147*VLOOKUP(C147,'General price list'!C:I,7,FALSE),"")</f>
        <v/>
      </c>
      <c r="AA147" s="805" t="str">
        <f>IF(X147&lt;&gt;"",VLOOKUP(C147,'General price list'!C149:AN1122,MATCH("HM",Tabulka1[[#Headers],[KOD]:[NEQ]],0),FALSE),"")</f>
        <v/>
      </c>
    </row>
    <row r="148" spans="1:27">
      <c r="A148">
        <f>COUNTIF($W$22:W148,1)</f>
        <v>0</v>
      </c>
      <c r="B148">
        <v>148</v>
      </c>
      <c r="C148" s="340" t="str">
        <f>Tabulka1[[#This Row],[KOD]]</f>
        <v>F14R F</v>
      </c>
      <c r="W148" s="804" t="str">
        <f t="shared" si="5"/>
        <v/>
      </c>
      <c r="X148" t="str">
        <f t="shared" si="6"/>
        <v/>
      </c>
      <c r="Y148" s="341">
        <f>IF('General price list'!$AB150="",0,'General price list'!$AB150)</f>
        <v>0</v>
      </c>
      <c r="Z148" s="365" t="str">
        <f>IFERROR(X148*VLOOKUP(C148,'General price list'!C:I,7,FALSE),"")</f>
        <v/>
      </c>
      <c r="AA148" s="805" t="str">
        <f>IF(X148&lt;&gt;"",VLOOKUP(C148,'General price list'!C150:AN1123,MATCH("HM",Tabulka1[[#Headers],[KOD]:[NEQ]],0),FALSE),"")</f>
        <v/>
      </c>
    </row>
    <row r="149" spans="1:27">
      <c r="A149">
        <f>COUNTIF($W$22:W149,1)</f>
        <v>0</v>
      </c>
      <c r="B149">
        <v>149</v>
      </c>
      <c r="C149" s="340" t="str">
        <f>Tabulka1[[#This Row],[KOD]]</f>
        <v>F17S</v>
      </c>
      <c r="W149" s="804" t="str">
        <f t="shared" si="5"/>
        <v/>
      </c>
      <c r="X149" t="str">
        <f t="shared" si="6"/>
        <v/>
      </c>
      <c r="Y149" s="341">
        <f>IF('General price list'!$AB151="",0,'General price list'!$AB151)</f>
        <v>0</v>
      </c>
      <c r="Z149" s="365" t="str">
        <f>IFERROR(X149*VLOOKUP(C149,'General price list'!C:I,7,FALSE),"")</f>
        <v/>
      </c>
      <c r="AA149" s="805" t="str">
        <f>IF(X149&lt;&gt;"",VLOOKUP(C149,'General price list'!C151:AN1124,MATCH("HM",Tabulka1[[#Headers],[KOD]:[NEQ]],0),FALSE),"")</f>
        <v/>
      </c>
    </row>
    <row r="150" spans="1:27">
      <c r="A150">
        <f>COUNTIF($W$22:W150,1)</f>
        <v>0</v>
      </c>
      <c r="B150">
        <v>150</v>
      </c>
      <c r="C150" s="340" t="str">
        <f>Tabulka1[[#This Row],[KOD]]</f>
        <v>F18NB</v>
      </c>
      <c r="W150" s="804" t="str">
        <f t="shared" si="5"/>
        <v/>
      </c>
      <c r="X150" t="str">
        <f t="shared" si="6"/>
        <v/>
      </c>
      <c r="Y150" s="341">
        <f>IF('General price list'!$AB152="",0,'General price list'!$AB152)</f>
        <v>0</v>
      </c>
      <c r="Z150" s="365" t="str">
        <f>IFERROR(X150*VLOOKUP(C150,'General price list'!C:I,7,FALSE),"")</f>
        <v/>
      </c>
      <c r="AA150" s="805" t="str">
        <f>IF(X150&lt;&gt;"",VLOOKUP(C150,'General price list'!C152:AN1125,MATCH("HM",Tabulka1[[#Headers],[KOD]:[NEQ]],0),FALSE),"")</f>
        <v/>
      </c>
    </row>
    <row r="151" spans="1:27">
      <c r="A151">
        <f>COUNTIF($W$22:W151,1)</f>
        <v>0</v>
      </c>
      <c r="B151">
        <v>151</v>
      </c>
      <c r="C151" s="340" t="str">
        <f>Tabulka1[[#This Row],[KOD]]</f>
        <v>F216M</v>
      </c>
      <c r="W151" s="804" t="str">
        <f t="shared" si="5"/>
        <v/>
      </c>
      <c r="X151" t="str">
        <f t="shared" si="6"/>
        <v/>
      </c>
      <c r="Y151" s="341">
        <f>IF('General price list'!$AB153="",0,'General price list'!$AB153)</f>
        <v>0</v>
      </c>
      <c r="Z151" s="365" t="str">
        <f>IFERROR(X151*VLOOKUP(C151,'General price list'!C:I,7,FALSE),"")</f>
        <v/>
      </c>
      <c r="AA151" s="805" t="str">
        <f>IF(X151&lt;&gt;"",VLOOKUP(C151,'General price list'!C153:AN1126,MATCH("HM",Tabulka1[[#Headers],[KOD]:[NEQ]],0),FALSE),"")</f>
        <v/>
      </c>
    </row>
    <row r="152" spans="1:27">
      <c r="A152">
        <f>COUNTIF($W$22:W152,1)</f>
        <v>0</v>
      </c>
      <c r="B152">
        <v>152</v>
      </c>
      <c r="C152" s="340" t="str">
        <f>Tabulka1[[#This Row],[KOD]]</f>
        <v>RK25002F</v>
      </c>
      <c r="W152" s="804" t="str">
        <f t="shared" si="5"/>
        <v/>
      </c>
      <c r="X152" t="str">
        <f t="shared" si="6"/>
        <v/>
      </c>
      <c r="Y152" s="341">
        <f>IF('General price list'!$AB154="",0,'General price list'!$AB154)</f>
        <v>0</v>
      </c>
      <c r="Z152" s="365" t="str">
        <f>IFERROR(X152*VLOOKUP(C152,'General price list'!C:I,7,FALSE),"")</f>
        <v/>
      </c>
      <c r="AA152" s="805" t="str">
        <f>IF(X152&lt;&gt;"",VLOOKUP(C152,'General price list'!C154:AN1127,MATCH("HM",Tabulka1[[#Headers],[KOD]:[NEQ]],0),FALSE),"")</f>
        <v/>
      </c>
    </row>
    <row r="153" spans="1:27">
      <c r="A153">
        <f>COUNTIF($W$22:W153,1)</f>
        <v>0</v>
      </c>
      <c r="B153">
        <v>153</v>
      </c>
      <c r="C153" s="340">
        <f>Tabulka1[[#This Row],[KOD]]</f>
        <v>0</v>
      </c>
      <c r="W153" s="804" t="str">
        <f t="shared" ref="W153:W216" si="7">IF(Y153+1=1,"",1)</f>
        <v/>
      </c>
      <c r="X153" t="str">
        <f t="shared" ref="X153:X216" si="8">IF(OR(A153&lt;$G$20,A153&gt;$G$21),"",IF(Y153=0,"",Y153))</f>
        <v/>
      </c>
      <c r="Y153" s="341">
        <f>IF('General price list'!$AB155="",0,'General price list'!$AB155)</f>
        <v>0</v>
      </c>
      <c r="Z153" s="365" t="str">
        <f>IFERROR(X153*VLOOKUP(C153,'General price list'!C:I,7,FALSE),"")</f>
        <v/>
      </c>
      <c r="AA153" s="805" t="str">
        <f>IF(X153&lt;&gt;"",VLOOKUP(C153,'General price list'!C155:AN1128,MATCH("HM",Tabulka1[[#Headers],[KOD]:[NEQ]],0),FALSE),"")</f>
        <v/>
      </c>
    </row>
    <row r="154" spans="1:27">
      <c r="A154">
        <f>COUNTIF($W$22:W154,1)</f>
        <v>0</v>
      </c>
      <c r="B154">
        <v>154</v>
      </c>
      <c r="C154" s="340" t="str">
        <f>Tabulka1[[#This Row],[KOD]]</f>
        <v>F100C</v>
      </c>
      <c r="W154" s="804" t="str">
        <f t="shared" si="7"/>
        <v/>
      </c>
      <c r="X154" t="str">
        <f t="shared" si="8"/>
        <v/>
      </c>
      <c r="Y154" s="341">
        <f>IF('General price list'!$AB156="",0,'General price list'!$AB156)</f>
        <v>0</v>
      </c>
      <c r="Z154" s="365" t="str">
        <f>IFERROR(X154*VLOOKUP(C154,'General price list'!C:I,7,FALSE),"")</f>
        <v/>
      </c>
      <c r="AA154" s="805" t="str">
        <f>IF(X154&lt;&gt;"",VLOOKUP(C154,'General price list'!C156:AN1129,MATCH("HM",Tabulka1[[#Headers],[KOD]:[NEQ]],0),FALSE),"")</f>
        <v/>
      </c>
    </row>
    <row r="155" spans="1:27">
      <c r="A155">
        <f>COUNTIF($W$22:W155,1)</f>
        <v>0</v>
      </c>
      <c r="B155">
        <v>155</v>
      </c>
      <c r="C155" s="340" t="str">
        <f>Tabulka1[[#This Row],[KOD]]</f>
        <v>F100DC</v>
      </c>
      <c r="W155" s="804" t="str">
        <f t="shared" si="7"/>
        <v/>
      </c>
      <c r="X155" t="str">
        <f t="shared" si="8"/>
        <v/>
      </c>
      <c r="Y155" s="341">
        <f>IF('General price list'!$AB157="",0,'General price list'!$AB157)</f>
        <v>0</v>
      </c>
      <c r="Z155" s="365" t="str">
        <f>IFERROR(X155*VLOOKUP(C155,'General price list'!C:I,7,FALSE),"")</f>
        <v/>
      </c>
      <c r="AA155" s="805" t="str">
        <f>IF(X155&lt;&gt;"",VLOOKUP(C155,'General price list'!C157:AN1130,MATCH("HM",Tabulka1[[#Headers],[KOD]:[NEQ]],0),FALSE),"")</f>
        <v/>
      </c>
    </row>
    <row r="156" spans="1:27">
      <c r="A156">
        <f>COUNTIF($W$22:W156,1)</f>
        <v>0</v>
      </c>
      <c r="B156">
        <v>156</v>
      </c>
      <c r="C156" s="340" t="str">
        <f>Tabulka1[[#This Row],[KOD]]</f>
        <v>F250SC</v>
      </c>
      <c r="W156" s="804" t="str">
        <f t="shared" si="7"/>
        <v/>
      </c>
      <c r="X156" t="str">
        <f t="shared" si="8"/>
        <v/>
      </c>
      <c r="Y156" s="341">
        <f>IF('General price list'!$AB158="",0,'General price list'!$AB158)</f>
        <v>0</v>
      </c>
      <c r="Z156" s="365" t="str">
        <f>IFERROR(X156*VLOOKUP(C156,'General price list'!C:I,7,FALSE),"")</f>
        <v/>
      </c>
      <c r="AA156" s="805" t="str">
        <f>IF(X156&lt;&gt;"",VLOOKUP(C156,'General price list'!C158:AN1131,MATCH("HM",Tabulka1[[#Headers],[KOD]:[NEQ]],0),FALSE),"")</f>
        <v/>
      </c>
    </row>
    <row r="157" spans="1:27">
      <c r="A157">
        <f>COUNTIF($W$22:W157,1)</f>
        <v>0</v>
      </c>
      <c r="B157">
        <v>157</v>
      </c>
      <c r="C157" s="340" t="str">
        <f>Tabulka1[[#This Row],[KOD]]</f>
        <v>F250C</v>
      </c>
      <c r="W157" s="804" t="str">
        <f t="shared" si="7"/>
        <v/>
      </c>
      <c r="X157" t="str">
        <f t="shared" si="8"/>
        <v/>
      </c>
      <c r="Y157" s="341">
        <f>IF('General price list'!$AB159="",0,'General price list'!$AB159)</f>
        <v>0</v>
      </c>
      <c r="Z157" s="365" t="str">
        <f>IFERROR(X157*VLOOKUP(C157,'General price list'!C:I,7,FALSE),"")</f>
        <v/>
      </c>
      <c r="AA157" s="805" t="str">
        <f>IF(X157&lt;&gt;"",VLOOKUP(C157,'General price list'!C159:AN1132,MATCH("HM",Tabulka1[[#Headers],[KOD]:[NEQ]],0),FALSE),"")</f>
        <v/>
      </c>
    </row>
    <row r="158" spans="1:27">
      <c r="A158">
        <f>COUNTIF($W$22:W158,1)</f>
        <v>0</v>
      </c>
      <c r="B158">
        <v>158</v>
      </c>
      <c r="C158" s="340" t="str">
        <f>Tabulka1[[#This Row],[KOD]]</f>
        <v>F500SIG</v>
      </c>
      <c r="W158" s="804" t="str">
        <f t="shared" si="7"/>
        <v/>
      </c>
      <c r="X158" t="str">
        <f t="shared" si="8"/>
        <v/>
      </c>
      <c r="Y158" s="341">
        <f>IF('General price list'!$AB160="",0,'General price list'!$AB160)</f>
        <v>0</v>
      </c>
      <c r="Z158" s="365" t="str">
        <f>IFERROR(X158*VLOOKUP(C158,'General price list'!C:I,7,FALSE),"")</f>
        <v/>
      </c>
      <c r="AA158" s="805" t="str">
        <f>IF(X158&lt;&gt;"",VLOOKUP(C158,'General price list'!C160:AN1133,MATCH("HM",Tabulka1[[#Headers],[KOD]:[NEQ]],0),FALSE),"")</f>
        <v/>
      </c>
    </row>
    <row r="159" spans="1:27">
      <c r="A159">
        <f>COUNTIF($W$22:W159,1)</f>
        <v>0</v>
      </c>
      <c r="B159">
        <v>159</v>
      </c>
      <c r="C159" s="340" t="str">
        <f>Tabulka1[[#This Row],[KOD]]</f>
        <v>F500SS</v>
      </c>
      <c r="W159" s="804" t="str">
        <f t="shared" si="7"/>
        <v/>
      </c>
      <c r="X159" t="str">
        <f t="shared" si="8"/>
        <v/>
      </c>
      <c r="Y159" s="341">
        <f>IF('General price list'!$AB161="",0,'General price list'!$AB161)</f>
        <v>0</v>
      </c>
      <c r="Z159" s="365" t="str">
        <f>IFERROR(X159*VLOOKUP(C159,'General price list'!C:I,7,FALSE),"")</f>
        <v/>
      </c>
      <c r="AA159" s="805" t="str">
        <f>IF(X159&lt;&gt;"",VLOOKUP(C159,'General price list'!C161:AN1134,MATCH("HM",Tabulka1[[#Headers],[KOD]:[NEQ]],0),FALSE),"")</f>
        <v/>
      </c>
    </row>
    <row r="160" spans="1:27">
      <c r="A160">
        <f>COUNTIF($W$22:W160,1)</f>
        <v>0</v>
      </c>
      <c r="B160">
        <v>160</v>
      </c>
      <c r="C160" s="340" t="str">
        <f>Tabulka1[[#This Row],[KOD]]</f>
        <v>F500C</v>
      </c>
      <c r="W160" s="804" t="str">
        <f t="shared" si="7"/>
        <v/>
      </c>
      <c r="X160" t="str">
        <f t="shared" si="8"/>
        <v/>
      </c>
      <c r="Y160" s="341">
        <f>IF('General price list'!$AB162="",0,'General price list'!$AB162)</f>
        <v>0</v>
      </c>
      <c r="Z160" s="365" t="str">
        <f>IFERROR(X160*VLOOKUP(C160,'General price list'!C:I,7,FALSE),"")</f>
        <v/>
      </c>
      <c r="AA160" s="805" t="str">
        <f>IF(X160&lt;&gt;"",VLOOKUP(C160,'General price list'!C162:AN1135,MATCH("HM",Tabulka1[[#Headers],[KOD]:[NEQ]],0),FALSE),"")</f>
        <v/>
      </c>
    </row>
    <row r="161" spans="1:27">
      <c r="A161">
        <f>COUNTIF($W$22:W161,1)</f>
        <v>0</v>
      </c>
      <c r="B161">
        <v>161</v>
      </c>
      <c r="C161" s="340" t="str">
        <f>Tabulka1[[#This Row],[KOD]]</f>
        <v>F1000SS</v>
      </c>
      <c r="W161" s="804" t="str">
        <f t="shared" si="7"/>
        <v/>
      </c>
      <c r="X161" t="str">
        <f t="shared" si="8"/>
        <v/>
      </c>
      <c r="Y161" s="341">
        <f>IF('General price list'!$AB163="",0,'General price list'!$AB163)</f>
        <v>0</v>
      </c>
      <c r="Z161" s="365" t="str">
        <f>IFERROR(X161*VLOOKUP(C161,'General price list'!C:I,7,FALSE),"")</f>
        <v/>
      </c>
      <c r="AA161" s="805" t="str">
        <f>IF(X161&lt;&gt;"",VLOOKUP(C161,'General price list'!C163:AN1136,MATCH("HM",Tabulka1[[#Headers],[KOD]:[NEQ]],0),FALSE),"")</f>
        <v/>
      </c>
    </row>
    <row r="162" spans="1:27">
      <c r="A162">
        <f>COUNTIF($W$22:W162,1)</f>
        <v>0</v>
      </c>
      <c r="B162">
        <v>162</v>
      </c>
      <c r="C162" s="340" t="str">
        <f>Tabulka1[[#This Row],[KOD]]</f>
        <v>F1500C</v>
      </c>
      <c r="W162" s="804" t="str">
        <f t="shared" si="7"/>
        <v/>
      </c>
      <c r="X162" t="str">
        <f t="shared" si="8"/>
        <v/>
      </c>
      <c r="Y162" s="341">
        <f>IF('General price list'!$AB164="",0,'General price list'!$AB164)</f>
        <v>0</v>
      </c>
      <c r="Z162" s="365" t="str">
        <f>IFERROR(X162*VLOOKUP(C162,'General price list'!C:I,7,FALSE),"")</f>
        <v/>
      </c>
      <c r="AA162" s="805" t="str">
        <f>IF(X162&lt;&gt;"",VLOOKUP(C162,'General price list'!C164:AN1137,MATCH("HM",Tabulka1[[#Headers],[KOD]:[NEQ]],0),FALSE),"")</f>
        <v/>
      </c>
    </row>
    <row r="163" spans="1:27">
      <c r="A163">
        <f>COUNTIF($W$22:W163,1)</f>
        <v>0</v>
      </c>
      <c r="B163">
        <v>163</v>
      </c>
      <c r="C163" s="340">
        <f>Tabulka1[[#This Row],[KOD]]</f>
        <v>0</v>
      </c>
      <c r="W163" s="804" t="str">
        <f t="shared" si="7"/>
        <v/>
      </c>
      <c r="X163" t="str">
        <f t="shared" si="8"/>
        <v/>
      </c>
      <c r="Y163" s="341">
        <f>IF('General price list'!$AB165="",0,'General price list'!$AB165)</f>
        <v>0</v>
      </c>
      <c r="Z163" s="365" t="str">
        <f>IFERROR(X163*VLOOKUP(C163,'General price list'!C:I,7,FALSE),"")</f>
        <v/>
      </c>
      <c r="AA163" s="805" t="str">
        <f>IF(X163&lt;&gt;"",VLOOKUP(C163,'General price list'!C165:AN1138,MATCH("HM",Tabulka1[[#Headers],[KOD]:[NEQ]],0),FALSE),"")</f>
        <v/>
      </c>
    </row>
    <row r="164" spans="1:27">
      <c r="A164">
        <f>COUNTIF($W$22:W164,1)</f>
        <v>0</v>
      </c>
      <c r="B164">
        <v>164</v>
      </c>
      <c r="C164" s="340" t="str">
        <f>Tabulka1[[#This Row],[KOD]]</f>
        <v>F3N</v>
      </c>
      <c r="W164" s="804" t="str">
        <f t="shared" si="7"/>
        <v/>
      </c>
      <c r="X164" t="str">
        <f t="shared" si="8"/>
        <v/>
      </c>
      <c r="Y164" s="341">
        <f>IF('General price list'!$AB166="",0,'General price list'!$AB166)</f>
        <v>0</v>
      </c>
      <c r="Z164" s="365" t="str">
        <f>IFERROR(X164*VLOOKUP(C164,'General price list'!C:I,7,FALSE),"")</f>
        <v/>
      </c>
      <c r="AA164" s="805" t="str">
        <f>IF(X164&lt;&gt;"",VLOOKUP(C164,'General price list'!C166:AN1139,MATCH("HM",Tabulka1[[#Headers],[KOD]:[NEQ]],0),FALSE),"")</f>
        <v/>
      </c>
    </row>
    <row r="165" spans="1:27">
      <c r="A165">
        <f>COUNTIF($W$22:W165,1)</f>
        <v>0</v>
      </c>
      <c r="B165">
        <v>165</v>
      </c>
      <c r="C165" s="340" t="str">
        <f>Tabulka1[[#This Row],[KOD]]</f>
        <v>DF10CM</v>
      </c>
      <c r="W165" s="804" t="str">
        <f t="shared" si="7"/>
        <v/>
      </c>
      <c r="X165" t="str">
        <f t="shared" si="8"/>
        <v/>
      </c>
      <c r="Y165" s="341">
        <f>IF('General price list'!$AB167="",0,'General price list'!$AB167)</f>
        <v>0</v>
      </c>
      <c r="Z165" s="365" t="str">
        <f>IFERROR(X165*VLOOKUP(C165,'General price list'!C:I,7,FALSE),"")</f>
        <v/>
      </c>
      <c r="AA165" s="805" t="str">
        <f>IF(X165&lt;&gt;"",VLOOKUP(C165,'General price list'!C167:AN1140,MATCH("HM",Tabulka1[[#Headers],[KOD]:[NEQ]],0),FALSE),"")</f>
        <v/>
      </c>
    </row>
    <row r="166" spans="1:27">
      <c r="A166">
        <f>COUNTIF($W$22:W166,1)</f>
        <v>0</v>
      </c>
      <c r="B166">
        <v>166</v>
      </c>
      <c r="C166" s="340" t="str">
        <f>Tabulka1[[#This Row],[KOD]]</f>
        <v>DF20CM</v>
      </c>
      <c r="W166" s="804" t="str">
        <f t="shared" si="7"/>
        <v/>
      </c>
      <c r="X166" t="str">
        <f t="shared" si="8"/>
        <v/>
      </c>
      <c r="Y166" s="341">
        <f>IF('General price list'!$AB168="",0,'General price list'!$AB168)</f>
        <v>0</v>
      </c>
      <c r="Z166" s="365" t="str">
        <f>IFERROR(X166*VLOOKUP(C166,'General price list'!C:I,7,FALSE),"")</f>
        <v/>
      </c>
      <c r="AA166" s="805" t="str">
        <f>IF(X166&lt;&gt;"",VLOOKUP(C166,'General price list'!C168:AN1141,MATCH("HM",Tabulka1[[#Headers],[KOD]:[NEQ]],0),FALSE),"")</f>
        <v/>
      </c>
    </row>
    <row r="167" spans="1:27">
      <c r="A167">
        <f>COUNTIF($W$22:W167,1)</f>
        <v>0</v>
      </c>
      <c r="B167">
        <v>167</v>
      </c>
      <c r="C167" s="340" t="str">
        <f>Tabulka1[[#This Row],[KOD]]</f>
        <v>DF30CM</v>
      </c>
      <c r="W167" s="804" t="str">
        <f t="shared" si="7"/>
        <v/>
      </c>
      <c r="X167" t="str">
        <f t="shared" si="8"/>
        <v/>
      </c>
      <c r="Y167" s="341">
        <f>IF('General price list'!$AB169="",0,'General price list'!$AB169)</f>
        <v>0</v>
      </c>
      <c r="Z167" s="365" t="str">
        <f>IFERROR(X167*VLOOKUP(C167,'General price list'!C:I,7,FALSE),"")</f>
        <v/>
      </c>
      <c r="AA167" s="805" t="str">
        <f>IF(X167&lt;&gt;"",VLOOKUP(C167,'General price list'!C169:AN1142,MATCH("HM",Tabulka1[[#Headers],[KOD]:[NEQ]],0),FALSE),"")</f>
        <v/>
      </c>
    </row>
    <row r="168" spans="1:27">
      <c r="A168">
        <f>COUNTIF($W$22:W168,1)</f>
        <v>0</v>
      </c>
      <c r="B168">
        <v>168</v>
      </c>
      <c r="C168" s="340">
        <f>Tabulka1[[#This Row],[KOD]]</f>
        <v>0</v>
      </c>
      <c r="W168" s="804" t="str">
        <f t="shared" si="7"/>
        <v/>
      </c>
      <c r="X168" t="str">
        <f t="shared" si="8"/>
        <v/>
      </c>
      <c r="Y168" s="341">
        <f>IF('General price list'!$AB170="",0,'General price list'!$AB170)</f>
        <v>0</v>
      </c>
      <c r="Z168" s="365" t="str">
        <f>IFERROR(X168*VLOOKUP(C168,'General price list'!C:I,7,FALSE),"")</f>
        <v/>
      </c>
      <c r="AA168" s="805" t="str">
        <f>IF(X168&lt;&gt;"",VLOOKUP(C168,'General price list'!C170:AN1143,MATCH("HM",Tabulka1[[#Headers],[KOD]:[NEQ]],0),FALSE),"")</f>
        <v/>
      </c>
    </row>
    <row r="169" spans="1:27">
      <c r="A169">
        <f>COUNTIF($W$22:W169,1)</f>
        <v>0</v>
      </c>
      <c r="B169">
        <v>169</v>
      </c>
      <c r="C169" s="340" t="str">
        <f>Tabulka1[[#This Row],[KOD]]</f>
        <v>CON80P</v>
      </c>
      <c r="W169" s="804" t="str">
        <f t="shared" si="7"/>
        <v/>
      </c>
      <c r="X169" t="str">
        <f t="shared" si="8"/>
        <v/>
      </c>
      <c r="Y169" s="341">
        <f>IF('General price list'!$AB171="",0,'General price list'!$AB171)</f>
        <v>0</v>
      </c>
      <c r="Z169" s="365" t="str">
        <f>IFERROR(X169*VLOOKUP(C169,'General price list'!C:I,7,FALSE),"")</f>
        <v/>
      </c>
      <c r="AA169" s="805" t="str">
        <f>IF(X169&lt;&gt;"",VLOOKUP(C169,'General price list'!C171:AN1144,MATCH("HM",Tabulka1[[#Headers],[KOD]:[NEQ]],0),FALSE),"")</f>
        <v/>
      </c>
    </row>
    <row r="170" spans="1:27">
      <c r="A170">
        <f>COUNTIF($W$22:W170,1)</f>
        <v>0</v>
      </c>
      <c r="B170">
        <v>170</v>
      </c>
      <c r="C170" s="340">
        <f>Tabulka1[[#This Row],[KOD]]</f>
        <v>0</v>
      </c>
      <c r="W170" s="804" t="str">
        <f t="shared" si="7"/>
        <v/>
      </c>
      <c r="X170" t="str">
        <f t="shared" si="8"/>
        <v/>
      </c>
      <c r="Y170" s="341">
        <f>IF('General price list'!$AB172="",0,'General price list'!$AB172)</f>
        <v>0</v>
      </c>
      <c r="Z170" s="365" t="str">
        <f>IFERROR(X170*VLOOKUP(C170,'General price list'!C:I,7,FALSE),"")</f>
        <v/>
      </c>
      <c r="AA170" s="805" t="str">
        <f>IF(X170&lt;&gt;"",VLOOKUP(C170,'General price list'!C172:AN1145,MATCH("HM",Tabulka1[[#Headers],[KOD]:[NEQ]],0),FALSE),"")</f>
        <v/>
      </c>
    </row>
    <row r="171" spans="1:27">
      <c r="A171">
        <f>COUNTIF($W$22:W171,1)</f>
        <v>0</v>
      </c>
      <c r="B171">
        <v>171</v>
      </c>
      <c r="C171" s="340" t="str">
        <f>Tabulka1[[#This Row],[KOD]]</f>
        <v>R4420B</v>
      </c>
      <c r="W171" s="804" t="str">
        <f t="shared" si="7"/>
        <v/>
      </c>
      <c r="X171" t="str">
        <f t="shared" si="8"/>
        <v/>
      </c>
      <c r="Y171" s="341">
        <f>IF('General price list'!$AB173="",0,'General price list'!$AB173)</f>
        <v>0</v>
      </c>
      <c r="Z171" s="365" t="str">
        <f>IFERROR(X171*VLOOKUP(C171,'General price list'!C:I,7,FALSE),"")</f>
        <v/>
      </c>
      <c r="AA171" s="805" t="str">
        <f>IF(X171&lt;&gt;"",VLOOKUP(C171,'General price list'!C173:AN1146,MATCH("HM",Tabulka1[[#Headers],[KOD]:[NEQ]],0),FALSE),"")</f>
        <v/>
      </c>
    </row>
    <row r="172" spans="1:27">
      <c r="A172">
        <f>COUNTIF($W$22:W172,1)</f>
        <v>0</v>
      </c>
      <c r="B172">
        <v>172</v>
      </c>
      <c r="C172" s="340" t="str">
        <f>Tabulka1[[#This Row],[KOD]]</f>
        <v>R7040C</v>
      </c>
      <c r="W172" s="804" t="str">
        <f t="shared" si="7"/>
        <v/>
      </c>
      <c r="X172" t="str">
        <f t="shared" si="8"/>
        <v/>
      </c>
      <c r="Y172" s="341">
        <f>IF('General price list'!$AB174="",0,'General price list'!$AB174)</f>
        <v>0</v>
      </c>
      <c r="Z172" s="365" t="str">
        <f>IFERROR(X172*VLOOKUP(C172,'General price list'!C:I,7,FALSE),"")</f>
        <v/>
      </c>
      <c r="AA172" s="805" t="str">
        <f>IF(X172&lt;&gt;"",VLOOKUP(C172,'General price list'!C174:AN1147,MATCH("HM",Tabulka1[[#Headers],[KOD]:[NEQ]],0),FALSE),"")</f>
        <v/>
      </c>
    </row>
    <row r="173" spans="1:27">
      <c r="A173">
        <f>COUNTIF($W$22:W173,1)</f>
        <v>0</v>
      </c>
      <c r="B173">
        <v>173</v>
      </c>
      <c r="C173" s="340">
        <f>Tabulka1[[#This Row],[KOD]]</f>
        <v>0</v>
      </c>
      <c r="W173" s="804" t="str">
        <f t="shared" si="7"/>
        <v/>
      </c>
      <c r="X173" t="str">
        <f t="shared" si="8"/>
        <v/>
      </c>
      <c r="Y173" s="341">
        <f>IF('General price list'!$AB175="",0,'General price list'!$AB175)</f>
        <v>0</v>
      </c>
      <c r="Z173" s="365" t="str">
        <f>IFERROR(X173*VLOOKUP(C173,'General price list'!C:I,7,FALSE),"")</f>
        <v/>
      </c>
      <c r="AA173" s="805" t="str">
        <f>IF(X173&lt;&gt;"",VLOOKUP(C173,'General price list'!C175:AN1148,MATCH("HM",Tabulka1[[#Headers],[KOD]:[NEQ]],0),FALSE),"")</f>
        <v/>
      </c>
    </row>
    <row r="174" spans="1:27">
      <c r="A174">
        <f>COUNTIF($W$22:W174,1)</f>
        <v>0</v>
      </c>
      <c r="B174">
        <v>174</v>
      </c>
      <c r="C174" s="340" t="str">
        <f>Tabulka1[[#This Row],[KOD]]</f>
        <v>R5410B</v>
      </c>
      <c r="W174" s="804" t="str">
        <f t="shared" si="7"/>
        <v/>
      </c>
      <c r="X174" t="str">
        <f t="shared" si="8"/>
        <v/>
      </c>
      <c r="Y174" s="341">
        <f>IF('General price list'!$AB176="",0,'General price list'!$AB176)</f>
        <v>0</v>
      </c>
      <c r="Z174" s="365" t="str">
        <f>IFERROR(X174*VLOOKUP(C174,'General price list'!C:I,7,FALSE),"")</f>
        <v/>
      </c>
      <c r="AA174" s="805" t="str">
        <f>IF(X174&lt;&gt;"",VLOOKUP(C174,'General price list'!C176:AN1149,MATCH("HM",Tabulka1[[#Headers],[KOD]:[NEQ]],0),FALSE),"")</f>
        <v/>
      </c>
    </row>
    <row r="175" spans="1:27">
      <c r="A175">
        <f>COUNTIF($W$22:W175,1)</f>
        <v>0</v>
      </c>
      <c r="B175">
        <v>175</v>
      </c>
      <c r="C175" s="340" t="str">
        <f>Tabulka1[[#This Row],[KOD]]</f>
        <v>R5420K</v>
      </c>
      <c r="W175" s="804" t="str">
        <f t="shared" si="7"/>
        <v/>
      </c>
      <c r="X175" t="str">
        <f t="shared" si="8"/>
        <v/>
      </c>
      <c r="Y175" s="341">
        <f>IF('General price list'!$AB177="",0,'General price list'!$AB177)</f>
        <v>0</v>
      </c>
      <c r="Z175" s="365" t="str">
        <f>IFERROR(X175*VLOOKUP(C175,'General price list'!C:I,7,FALSE),"")</f>
        <v/>
      </c>
      <c r="AA175" s="805" t="str">
        <f>IF(X175&lt;&gt;"",VLOOKUP(C175,'General price list'!C177:AN1150,MATCH("HM",Tabulka1[[#Headers],[KOD]:[NEQ]],0),FALSE),"")</f>
        <v/>
      </c>
    </row>
    <row r="176" spans="1:27">
      <c r="A176">
        <f>COUNTIF($W$22:W176,1)</f>
        <v>0</v>
      </c>
      <c r="B176">
        <v>176</v>
      </c>
      <c r="C176" s="340" t="str">
        <f>Tabulka1[[#This Row],[KOD]]</f>
        <v>R7020K</v>
      </c>
      <c r="W176" s="804" t="str">
        <f t="shared" si="7"/>
        <v/>
      </c>
      <c r="X176" t="str">
        <f t="shared" si="8"/>
        <v/>
      </c>
      <c r="Y176" s="341">
        <f>IF('General price list'!$AB178="",0,'General price list'!$AB178)</f>
        <v>0</v>
      </c>
      <c r="Z176" s="365" t="str">
        <f>IFERROR(X176*VLOOKUP(C176,'General price list'!C:I,7,FALSE),"")</f>
        <v/>
      </c>
      <c r="AA176" s="805" t="str">
        <f>IF(X176&lt;&gt;"",VLOOKUP(C176,'General price list'!C178:AN1151,MATCH("HM",Tabulka1[[#Headers],[KOD]:[NEQ]],0),FALSE),"")</f>
        <v/>
      </c>
    </row>
    <row r="177" spans="1:27">
      <c r="A177">
        <f>COUNTIF($W$22:W177,1)</f>
        <v>0</v>
      </c>
      <c r="B177">
        <v>177</v>
      </c>
      <c r="C177" s="340" t="str">
        <f>Tabulka1[[#This Row],[KOD]]</f>
        <v>R6020B</v>
      </c>
      <c r="W177" s="804" t="str">
        <f t="shared" si="7"/>
        <v/>
      </c>
      <c r="X177" t="str">
        <f t="shared" si="8"/>
        <v/>
      </c>
      <c r="Y177" s="341">
        <f>IF('General price list'!$AB179="",0,'General price list'!$AB179)</f>
        <v>0</v>
      </c>
      <c r="Z177" s="365" t="str">
        <f>IFERROR(X177*VLOOKUP(C177,'General price list'!C:I,7,FALSE),"")</f>
        <v/>
      </c>
      <c r="AA177" s="805" t="str">
        <f>IF(X177&lt;&gt;"",VLOOKUP(C177,'General price list'!C179:AN1152,MATCH("HM",Tabulka1[[#Headers],[KOD]:[NEQ]],0),FALSE),"")</f>
        <v/>
      </c>
    </row>
    <row r="178" spans="1:27">
      <c r="A178">
        <f>COUNTIF($W$22:W178,1)</f>
        <v>0</v>
      </c>
      <c r="B178">
        <v>178</v>
      </c>
      <c r="C178" s="340" t="str">
        <f>Tabulka1[[#This Row],[KOD]]</f>
        <v>R6520BK/2</v>
      </c>
      <c r="W178" s="804" t="str">
        <f t="shared" si="7"/>
        <v/>
      </c>
      <c r="X178" t="str">
        <f t="shared" si="8"/>
        <v/>
      </c>
      <c r="Y178" s="341">
        <f>IF('General price list'!$AB180="",0,'General price list'!$AB180)</f>
        <v>0</v>
      </c>
      <c r="Z178" s="365" t="str">
        <f>IFERROR(X178*VLOOKUP(C178,'General price list'!C:I,7,FALSE),"")</f>
        <v/>
      </c>
      <c r="AA178" s="805" t="str">
        <f>IF(X178&lt;&gt;"",VLOOKUP(C178,'General price list'!C180:AN1153,MATCH("HM",Tabulka1[[#Headers],[KOD]:[NEQ]],0),FALSE),"")</f>
        <v/>
      </c>
    </row>
    <row r="179" spans="1:27">
      <c r="A179">
        <f>COUNTIF($W$22:W179,1)</f>
        <v>0</v>
      </c>
      <c r="B179">
        <v>179</v>
      </c>
      <c r="C179" s="340" t="str">
        <f>Tabulka1[[#This Row],[KOD]]</f>
        <v>R6020M</v>
      </c>
      <c r="W179" s="804" t="str">
        <f t="shared" si="7"/>
        <v/>
      </c>
      <c r="X179" t="str">
        <f t="shared" si="8"/>
        <v/>
      </c>
      <c r="Y179" s="341">
        <f>IF('General price list'!$AB181="",0,'General price list'!$AB181)</f>
        <v>0</v>
      </c>
      <c r="Z179" s="365" t="str">
        <f>IFERROR(X179*VLOOKUP(C179,'General price list'!C:I,7,FALSE),"")</f>
        <v/>
      </c>
      <c r="AA179" s="805" t="str">
        <f>IF(X179&lt;&gt;"",VLOOKUP(C179,'General price list'!C181:AN1154,MATCH("HM",Tabulka1[[#Headers],[KOD]:[NEQ]],0),FALSE),"")</f>
        <v/>
      </c>
    </row>
    <row r="180" spans="1:27">
      <c r="A180">
        <f>COUNTIF($W$22:W180,1)</f>
        <v>0</v>
      </c>
      <c r="B180">
        <v>180</v>
      </c>
      <c r="C180" s="340" t="str">
        <f>Tabulka1[[#This Row],[KOD]]</f>
        <v>R7020M</v>
      </c>
      <c r="W180" s="804" t="str">
        <f t="shared" si="7"/>
        <v/>
      </c>
      <c r="X180" t="str">
        <f t="shared" si="8"/>
        <v/>
      </c>
      <c r="Y180" s="341">
        <f>IF('General price list'!$AB182="",0,'General price list'!$AB182)</f>
        <v>0</v>
      </c>
      <c r="Z180" s="365" t="str">
        <f>IFERROR(X180*VLOOKUP(C180,'General price list'!C:I,7,FALSE),"")</f>
        <v/>
      </c>
      <c r="AA180" s="805" t="str">
        <f>IF(X180&lt;&gt;"",VLOOKUP(C180,'General price list'!C182:AN1155,MATCH("HM",Tabulka1[[#Headers],[KOD]:[NEQ]],0),FALSE),"")</f>
        <v/>
      </c>
    </row>
    <row r="181" spans="1:27">
      <c r="A181">
        <f>COUNTIF($W$22:W181,1)</f>
        <v>0</v>
      </c>
      <c r="B181">
        <v>181</v>
      </c>
      <c r="C181" s="340">
        <f>Tabulka1[[#This Row],[KOD]]</f>
        <v>0</v>
      </c>
      <c r="W181" s="804" t="str">
        <f t="shared" si="7"/>
        <v/>
      </c>
      <c r="X181" t="str">
        <f t="shared" si="8"/>
        <v/>
      </c>
      <c r="Y181" s="341">
        <f>IF('General price list'!$AB183="",0,'General price list'!$AB183)</f>
        <v>0</v>
      </c>
      <c r="Z181" s="365" t="str">
        <f>IFERROR(X181*VLOOKUP(C181,'General price list'!C:I,7,FALSE),"")</f>
        <v/>
      </c>
      <c r="AA181" s="805" t="str">
        <f>IF(X181&lt;&gt;"",VLOOKUP(C181,'General price list'!C183:AN1156,MATCH("HM",Tabulka1[[#Headers],[KOD]:[NEQ]],0),FALSE),"")</f>
        <v/>
      </c>
    </row>
    <row r="182" spans="1:27">
      <c r="A182">
        <f>COUNTIF($W$22:W182,1)</f>
        <v>0</v>
      </c>
      <c r="B182">
        <v>182</v>
      </c>
      <c r="C182" s="340" t="str">
        <f>Tabulka1[[#This Row],[KOD]]</f>
        <v>R60508E</v>
      </c>
      <c r="W182" s="804" t="str">
        <f t="shared" si="7"/>
        <v/>
      </c>
      <c r="X182" t="str">
        <f t="shared" si="8"/>
        <v/>
      </c>
      <c r="Y182" s="341">
        <f>IF('General price list'!$AB184="",0,'General price list'!$AB184)</f>
        <v>0</v>
      </c>
      <c r="Z182" s="365" t="str">
        <f>IFERROR(X182*VLOOKUP(C182,'General price list'!C:I,7,FALSE),"")</f>
        <v/>
      </c>
      <c r="AA182" s="805" t="str">
        <f>IF(X182&lt;&gt;"",VLOOKUP(C182,'General price list'!C184:AN1157,MATCH("HM",Tabulka1[[#Headers],[KOD]:[NEQ]],0),FALSE),"")</f>
        <v/>
      </c>
    </row>
    <row r="183" spans="1:27">
      <c r="A183">
        <f>COUNTIF($W$22:W183,1)</f>
        <v>0</v>
      </c>
      <c r="B183">
        <v>183</v>
      </c>
      <c r="C183" s="340" t="str">
        <f>Tabulka1[[#This Row],[KOD]]</f>
        <v>R6508S</v>
      </c>
      <c r="W183" s="804" t="str">
        <f t="shared" si="7"/>
        <v/>
      </c>
      <c r="X183" t="str">
        <f t="shared" si="8"/>
        <v/>
      </c>
      <c r="Y183" s="341">
        <f>IF('General price list'!$AB185="",0,'General price list'!$AB185)</f>
        <v>0</v>
      </c>
      <c r="Z183" s="365" t="str">
        <f>IFERROR(X183*VLOOKUP(C183,'General price list'!C:I,7,FALSE),"")</f>
        <v/>
      </c>
      <c r="AA183" s="805" t="str">
        <f>IF(X183&lt;&gt;"",VLOOKUP(C183,'General price list'!C185:AN1158,MATCH("HM",Tabulka1[[#Headers],[KOD]:[NEQ]],0),FALSE),"")</f>
        <v/>
      </c>
    </row>
    <row r="184" spans="1:27">
      <c r="A184">
        <f>COUNTIF($W$22:W184,1)</f>
        <v>0</v>
      </c>
      <c r="B184">
        <v>184</v>
      </c>
      <c r="C184" s="340" t="str">
        <f>Tabulka1[[#This Row],[KOD]]</f>
        <v>R75508SIG</v>
      </c>
      <c r="W184" s="804" t="str">
        <f t="shared" si="7"/>
        <v/>
      </c>
      <c r="X184" t="str">
        <f t="shared" si="8"/>
        <v/>
      </c>
      <c r="Y184" s="341">
        <f>IF('General price list'!$AB186="",0,'General price list'!$AB186)</f>
        <v>0</v>
      </c>
      <c r="Z184" s="365" t="str">
        <f>IFERROR(X184*VLOOKUP(C184,'General price list'!C:I,7,FALSE),"")</f>
        <v/>
      </c>
      <c r="AA184" s="805" t="str">
        <f>IF(X184&lt;&gt;"",VLOOKUP(C184,'General price list'!C186:AN1159,MATCH("HM",Tabulka1[[#Headers],[KOD]:[NEQ]],0),FALSE),"")</f>
        <v/>
      </c>
    </row>
    <row r="185" spans="1:27">
      <c r="A185">
        <f>COUNTIF($W$22:W185,1)</f>
        <v>0</v>
      </c>
      <c r="B185">
        <v>185</v>
      </c>
      <c r="C185" s="340">
        <f>Tabulka1[[#This Row],[KOD]]</f>
        <v>0</v>
      </c>
      <c r="W185" s="804" t="str">
        <f t="shared" si="7"/>
        <v/>
      </c>
      <c r="X185" t="str">
        <f t="shared" si="8"/>
        <v/>
      </c>
      <c r="Y185" s="341">
        <f>IF('General price list'!$AB187="",0,'General price list'!$AB187)</f>
        <v>0</v>
      </c>
      <c r="Z185" s="365" t="str">
        <f>IFERROR(X185*VLOOKUP(C185,'General price list'!C:I,7,FALSE),"")</f>
        <v/>
      </c>
      <c r="AA185" s="805" t="str">
        <f>IF(X185&lt;&gt;"",VLOOKUP(C185,'General price list'!C187:AN1160,MATCH("HM",Tabulka1[[#Headers],[KOD]:[NEQ]],0),FALSE),"")</f>
        <v/>
      </c>
    </row>
    <row r="186" spans="1:27">
      <c r="A186">
        <f>COUNTIF($W$22:W186,1)</f>
        <v>0</v>
      </c>
      <c r="B186">
        <v>186</v>
      </c>
      <c r="C186" s="340" t="str">
        <f>Tabulka1[[#This Row],[KOD]]</f>
        <v>R5808D</v>
      </c>
      <c r="W186" s="804" t="str">
        <f t="shared" si="7"/>
        <v/>
      </c>
      <c r="X186" t="str">
        <f t="shared" si="8"/>
        <v/>
      </c>
      <c r="Y186" s="341">
        <f>IF('General price list'!$AB188="",0,'General price list'!$AB188)</f>
        <v>0</v>
      </c>
      <c r="Z186" s="365" t="str">
        <f>IFERROR(X186*VLOOKUP(C186,'General price list'!C:I,7,FALSE),"")</f>
        <v/>
      </c>
      <c r="AA186" s="805" t="str">
        <f>IF(X186&lt;&gt;"",VLOOKUP(C186,'General price list'!C188:AN1161,MATCH("HM",Tabulka1[[#Headers],[KOD]:[NEQ]],0),FALSE),"")</f>
        <v/>
      </c>
    </row>
    <row r="187" spans="1:27">
      <c r="A187">
        <f>COUNTIF($W$22:W187,1)</f>
        <v>0</v>
      </c>
      <c r="B187">
        <v>187</v>
      </c>
      <c r="C187" s="340" t="str">
        <f>Tabulka1[[#This Row],[KOD]]</f>
        <v>R6008E</v>
      </c>
      <c r="W187" s="804" t="str">
        <f t="shared" si="7"/>
        <v/>
      </c>
      <c r="X187" t="str">
        <f t="shared" si="8"/>
        <v/>
      </c>
      <c r="Y187" s="341">
        <f>IF('General price list'!$AB189="",0,'General price list'!$AB189)</f>
        <v>0</v>
      </c>
      <c r="Z187" s="365" t="str">
        <f>IFERROR(X187*VLOOKUP(C187,'General price list'!C:I,7,FALSE),"")</f>
        <v/>
      </c>
      <c r="AA187" s="805" t="str">
        <f>IF(X187&lt;&gt;"",VLOOKUP(C187,'General price list'!C189:AN1162,MATCH("HM",Tabulka1[[#Headers],[KOD]:[NEQ]],0),FALSE),"")</f>
        <v/>
      </c>
    </row>
    <row r="188" spans="1:27">
      <c r="A188">
        <f>COUNTIF($W$22:W188,1)</f>
        <v>0</v>
      </c>
      <c r="B188">
        <v>188</v>
      </c>
      <c r="C188" s="340" t="str">
        <f>Tabulka1[[#This Row],[KOD]]</f>
        <v>R6008M</v>
      </c>
      <c r="W188" s="804" t="str">
        <f t="shared" si="7"/>
        <v/>
      </c>
      <c r="X188" t="str">
        <f t="shared" si="8"/>
        <v/>
      </c>
      <c r="Y188" s="341">
        <f>IF('General price list'!$AB190="",0,'General price list'!$AB190)</f>
        <v>0</v>
      </c>
      <c r="Z188" s="365" t="str">
        <f>IFERROR(X188*VLOOKUP(C188,'General price list'!C:I,7,FALSE),"")</f>
        <v/>
      </c>
      <c r="AA188" s="805" t="str">
        <f>IF(X188&lt;&gt;"",VLOOKUP(C188,'General price list'!C190:AN1163,MATCH("HM",Tabulka1[[#Headers],[KOD]:[NEQ]],0),FALSE),"")</f>
        <v/>
      </c>
    </row>
    <row r="189" spans="1:27">
      <c r="A189">
        <f>COUNTIF($W$22:W189,1)</f>
        <v>0</v>
      </c>
      <c r="B189">
        <v>189</v>
      </c>
      <c r="C189" s="340" t="str">
        <f>Tabulka1[[#This Row],[KOD]]</f>
        <v>R7508E</v>
      </c>
      <c r="W189" s="804" t="str">
        <f t="shared" si="7"/>
        <v/>
      </c>
      <c r="X189" t="str">
        <f t="shared" si="8"/>
        <v/>
      </c>
      <c r="Y189" s="341">
        <f>IF('General price list'!$AB191="",0,'General price list'!$AB191)</f>
        <v>0</v>
      </c>
      <c r="Z189" s="365" t="str">
        <f>IFERROR(X189*VLOOKUP(C189,'General price list'!C:I,7,FALSE),"")</f>
        <v/>
      </c>
      <c r="AA189" s="805" t="str">
        <f>IF(X189&lt;&gt;"",VLOOKUP(C189,'General price list'!C191:AN1164,MATCH("HM",Tabulka1[[#Headers],[KOD]:[NEQ]],0),FALSE),"")</f>
        <v/>
      </c>
    </row>
    <row r="190" spans="1:27">
      <c r="A190">
        <f>COUNTIF($W$22:W190,1)</f>
        <v>0</v>
      </c>
      <c r="B190">
        <v>190</v>
      </c>
      <c r="C190" s="340" t="str">
        <f>Tabulka1[[#This Row],[KOD]]</f>
        <v>R7508SIG</v>
      </c>
      <c r="W190" s="804" t="str">
        <f t="shared" si="7"/>
        <v/>
      </c>
      <c r="X190" t="str">
        <f t="shared" si="8"/>
        <v/>
      </c>
      <c r="Y190" s="341">
        <f>IF('General price list'!$AB192="",0,'General price list'!$AB192)</f>
        <v>0</v>
      </c>
      <c r="Z190" s="365" t="str">
        <f>IFERROR(X190*VLOOKUP(C190,'General price list'!C:I,7,FALSE),"")</f>
        <v/>
      </c>
      <c r="AA190" s="805" t="str">
        <f>IF(X190&lt;&gt;"",VLOOKUP(C190,'General price list'!C192:AN1165,MATCH("HM",Tabulka1[[#Headers],[KOD]:[NEQ]],0),FALSE),"")</f>
        <v/>
      </c>
    </row>
    <row r="191" spans="1:27">
      <c r="A191">
        <f>COUNTIF($W$22:W191,1)</f>
        <v>0</v>
      </c>
      <c r="B191">
        <v>191</v>
      </c>
      <c r="C191" s="340">
        <f>Tabulka1[[#This Row],[KOD]]</f>
        <v>0</v>
      </c>
      <c r="W191" s="804" t="str">
        <f t="shared" si="7"/>
        <v/>
      </c>
      <c r="X191" t="str">
        <f t="shared" si="8"/>
        <v/>
      </c>
      <c r="Y191" s="341">
        <f>IF('General price list'!$AB193="",0,'General price list'!$AB193)</f>
        <v>0</v>
      </c>
      <c r="Z191" s="365" t="str">
        <f>IFERROR(X191*VLOOKUP(C191,'General price list'!C:I,7,FALSE),"")</f>
        <v/>
      </c>
      <c r="AA191" s="805" t="str">
        <f>IF(X191&lt;&gt;"",VLOOKUP(C191,'General price list'!C193:AN1166,MATCH("HM",Tabulka1[[#Headers],[KOD]:[NEQ]],0),FALSE),"")</f>
        <v/>
      </c>
    </row>
    <row r="192" spans="1:27">
      <c r="A192">
        <f>COUNTIF($W$22:W192,1)</f>
        <v>0</v>
      </c>
      <c r="B192">
        <v>192</v>
      </c>
      <c r="C192" s="340" t="str">
        <f>Tabulka1[[#This Row],[KOD]]</f>
        <v>R7538S</v>
      </c>
      <c r="W192" s="804" t="str">
        <f t="shared" si="7"/>
        <v/>
      </c>
      <c r="X192" t="str">
        <f t="shared" si="8"/>
        <v/>
      </c>
      <c r="Y192" s="341">
        <f>IF('General price list'!$AB194="",0,'General price list'!$AB194)</f>
        <v>0</v>
      </c>
      <c r="Z192" s="365" t="str">
        <f>IFERROR(X192*VLOOKUP(C192,'General price list'!C:I,7,FALSE),"")</f>
        <v/>
      </c>
      <c r="AA192" s="805" t="str">
        <f>IF(X192&lt;&gt;"",VLOOKUP(C192,'General price list'!C194:AN1167,MATCH("HM",Tabulka1[[#Headers],[KOD]:[NEQ]],0),FALSE),"")</f>
        <v/>
      </c>
    </row>
    <row r="193" spans="1:27">
      <c r="A193">
        <f>COUNTIF($W$22:W193,1)</f>
        <v>0</v>
      </c>
      <c r="B193">
        <v>193</v>
      </c>
      <c r="C193" s="340" t="str">
        <f>Tabulka1[[#This Row],[KOD]]</f>
        <v>R7538I</v>
      </c>
      <c r="W193" s="804" t="str">
        <f t="shared" si="7"/>
        <v/>
      </c>
      <c r="X193" t="str">
        <f t="shared" si="8"/>
        <v/>
      </c>
      <c r="Y193" s="341">
        <f>IF('General price list'!$AB195="",0,'General price list'!$AB195)</f>
        <v>0</v>
      </c>
      <c r="Z193" s="365" t="str">
        <f>IFERROR(X193*VLOOKUP(C193,'General price list'!C:I,7,FALSE),"")</f>
        <v/>
      </c>
      <c r="AA193" s="805" t="str">
        <f>IF(X193&lt;&gt;"",VLOOKUP(C193,'General price list'!C195:AN1168,MATCH("HM",Tabulka1[[#Headers],[KOD]:[NEQ]],0),FALSE),"")</f>
        <v/>
      </c>
    </row>
    <row r="194" spans="1:27">
      <c r="A194">
        <f>COUNTIF($W$22:W194,1)</f>
        <v>0</v>
      </c>
      <c r="B194">
        <v>194</v>
      </c>
      <c r="C194" s="340">
        <f>Tabulka1[[#This Row],[KOD]]</f>
        <v>0</v>
      </c>
      <c r="W194" s="804" t="str">
        <f t="shared" si="7"/>
        <v/>
      </c>
      <c r="X194" t="str">
        <f t="shared" si="8"/>
        <v/>
      </c>
      <c r="Y194" s="341">
        <f>IF('General price list'!$AB196="",0,'General price list'!$AB196)</f>
        <v>0</v>
      </c>
      <c r="Z194" s="365" t="str">
        <f>IFERROR(X194*VLOOKUP(C194,'General price list'!C:I,7,FALSE),"")</f>
        <v/>
      </c>
      <c r="AA194" s="805" t="str">
        <f>IF(X194&lt;&gt;"",VLOOKUP(C194,'General price list'!C196:AN1169,MATCH("HM",Tabulka1[[#Headers],[KOD]:[NEQ]],0),FALSE),"")</f>
        <v/>
      </c>
    </row>
    <row r="195" spans="1:27">
      <c r="A195">
        <f>COUNTIF($W$22:W195,1)</f>
        <v>0</v>
      </c>
      <c r="B195">
        <v>195</v>
      </c>
      <c r="C195" s="340" t="str">
        <f>Tabulka1[[#This Row],[KOD]]</f>
        <v>GAT300</v>
      </c>
      <c r="W195" s="804" t="str">
        <f t="shared" si="7"/>
        <v/>
      </c>
      <c r="X195" t="str">
        <f t="shared" si="8"/>
        <v/>
      </c>
      <c r="Y195" s="341">
        <f>IF('General price list'!$AB197="",0,'General price list'!$AB197)</f>
        <v>0</v>
      </c>
      <c r="Z195" s="365" t="str">
        <f>IFERROR(X195*VLOOKUP(C195,'General price list'!C:I,7,FALSE),"")</f>
        <v/>
      </c>
      <c r="AA195" s="805" t="str">
        <f>IF(X195&lt;&gt;"",VLOOKUP(C195,'General price list'!C197:AN1170,MATCH("HM",Tabulka1[[#Headers],[KOD]:[NEQ]],0),FALSE),"")</f>
        <v/>
      </c>
    </row>
    <row r="196" spans="1:27">
      <c r="A196">
        <f>COUNTIF($W$22:W196,1)</f>
        <v>0</v>
      </c>
      <c r="B196">
        <v>196</v>
      </c>
      <c r="C196" s="340" t="str">
        <f>Tabulka1[[#This Row],[KOD]]</f>
        <v>R100M</v>
      </c>
      <c r="W196" s="804" t="str">
        <f t="shared" si="7"/>
        <v/>
      </c>
      <c r="X196" t="str">
        <f t="shared" si="8"/>
        <v/>
      </c>
      <c r="Y196" s="341">
        <f>IF('General price list'!$AB198="",0,'General price list'!$AB198)</f>
        <v>0</v>
      </c>
      <c r="Z196" s="365" t="str">
        <f>IFERROR(X196*VLOOKUP(C196,'General price list'!C:I,7,FALSE),"")</f>
        <v/>
      </c>
      <c r="AA196" s="805" t="str">
        <f>IF(X196&lt;&gt;"",VLOOKUP(C196,'General price list'!C198:AN1171,MATCH("HM",Tabulka1[[#Headers],[KOD]:[NEQ]],0),FALSE),"")</f>
        <v/>
      </c>
    </row>
    <row r="197" spans="1:27">
      <c r="A197">
        <f>COUNTIF($W$22:W197,1)</f>
        <v>0</v>
      </c>
      <c r="B197">
        <v>197</v>
      </c>
      <c r="C197" s="340">
        <f>Tabulka1[[#This Row],[KOD]]</f>
        <v>0</v>
      </c>
      <c r="W197" s="804" t="str">
        <f t="shared" si="7"/>
        <v/>
      </c>
      <c r="X197" t="str">
        <f t="shared" si="8"/>
        <v/>
      </c>
      <c r="Y197" s="341">
        <f>IF('General price list'!$AB199="",0,'General price list'!$AB199)</f>
        <v>0</v>
      </c>
      <c r="Z197" s="365" t="str">
        <f>IFERROR(X197*VLOOKUP(C197,'General price list'!C:I,7,FALSE),"")</f>
        <v/>
      </c>
      <c r="AA197" s="805" t="str">
        <f>IF(X197&lt;&gt;"",VLOOKUP(C197,'General price list'!C199:AN1172,MATCH("HM",Tabulka1[[#Headers],[KOD]:[NEQ]],0),FALSE),"")</f>
        <v/>
      </c>
    </row>
    <row r="198" spans="1:27">
      <c r="A198">
        <f>COUNTIF($W$22:W198,1)</f>
        <v>0</v>
      </c>
      <c r="B198">
        <v>198</v>
      </c>
      <c r="C198" s="340" t="str">
        <f>Tabulka1[[#This Row],[KOD]]</f>
        <v>SS14D</v>
      </c>
      <c r="W198" s="804" t="str">
        <f t="shared" si="7"/>
        <v/>
      </c>
      <c r="X198" t="str">
        <f t="shared" si="8"/>
        <v/>
      </c>
      <c r="Y198" s="341">
        <f>IF('General price list'!$AB200="",0,'General price list'!$AB200)</f>
        <v>0</v>
      </c>
      <c r="Z198" s="365" t="str">
        <f>IFERROR(X198*VLOOKUP(C198,'General price list'!C:I,7,FALSE),"")</f>
        <v/>
      </c>
      <c r="AA198" s="805" t="str">
        <f>IF(X198&lt;&gt;"",VLOOKUP(C198,'General price list'!C200:AN1173,MATCH("HM",Tabulka1[[#Headers],[KOD]:[NEQ]],0),FALSE),"")</f>
        <v/>
      </c>
    </row>
    <row r="199" spans="1:27">
      <c r="A199">
        <f>COUNTIF($W$22:W199,1)</f>
        <v>0</v>
      </c>
      <c r="B199">
        <v>199</v>
      </c>
      <c r="C199" s="340" t="str">
        <f>Tabulka1[[#This Row],[KOD]]</f>
        <v>SS20D</v>
      </c>
      <c r="W199" s="804" t="str">
        <f t="shared" si="7"/>
        <v/>
      </c>
      <c r="X199" t="str">
        <f t="shared" si="8"/>
        <v/>
      </c>
      <c r="Y199" s="341">
        <f>IF('General price list'!$AB201="",0,'General price list'!$AB201)</f>
        <v>0</v>
      </c>
      <c r="Z199" s="365" t="str">
        <f>IFERROR(X199*VLOOKUP(C199,'General price list'!C:I,7,FALSE),"")</f>
        <v/>
      </c>
      <c r="AA199" s="805" t="str">
        <f>IF(X199&lt;&gt;"",VLOOKUP(C199,'General price list'!C201:AN1174,MATCH("HM",Tabulka1[[#Headers],[KOD]:[NEQ]],0),FALSE),"")</f>
        <v/>
      </c>
    </row>
    <row r="200" spans="1:27">
      <c r="A200">
        <f>COUNTIF($W$22:W200,1)</f>
        <v>0</v>
      </c>
      <c r="B200">
        <v>200</v>
      </c>
      <c r="C200" s="340" t="str">
        <f>Tabulka1[[#This Row],[KOD]]</f>
        <v>SS20SIG14</v>
      </c>
      <c r="W200" s="804" t="str">
        <f t="shared" si="7"/>
        <v/>
      </c>
      <c r="X200" t="str">
        <f t="shared" si="8"/>
        <v/>
      </c>
      <c r="Y200" s="341">
        <f>IF('General price list'!$AB202="",0,'General price list'!$AB202)</f>
        <v>0</v>
      </c>
      <c r="Z200" s="365" t="str">
        <f>IFERROR(X200*VLOOKUP(C200,'General price list'!C:I,7,FALSE),"")</f>
        <v/>
      </c>
      <c r="AA200" s="805" t="str">
        <f>IF(X200&lt;&gt;"",VLOOKUP(C200,'General price list'!C202:AN1175,MATCH("HM",Tabulka1[[#Headers],[KOD]:[NEQ]],0),FALSE),"")</f>
        <v/>
      </c>
    </row>
    <row r="201" spans="1:27">
      <c r="A201">
        <f>COUNTIF($W$22:W201,1)</f>
        <v>0</v>
      </c>
      <c r="B201">
        <v>201</v>
      </c>
      <c r="C201" s="340" t="str">
        <f>Tabulka1[[#This Row],[KOD]]</f>
        <v>SS25SC</v>
      </c>
      <c r="W201" s="804" t="str">
        <f t="shared" si="7"/>
        <v/>
      </c>
      <c r="X201" t="str">
        <f t="shared" si="8"/>
        <v/>
      </c>
      <c r="Y201" s="341">
        <f>IF('General price list'!$AB203="",0,'General price list'!$AB203)</f>
        <v>0</v>
      </c>
      <c r="Z201" s="365" t="str">
        <f>IFERROR(X201*VLOOKUP(C201,'General price list'!C:I,7,FALSE),"")</f>
        <v/>
      </c>
      <c r="AA201" s="805" t="str">
        <f>IF(X201&lt;&gt;"",VLOOKUP(C201,'General price list'!C203:AN1176,MATCH("HM",Tabulka1[[#Headers],[KOD]:[NEQ]],0),FALSE),"")</f>
        <v/>
      </c>
    </row>
    <row r="202" spans="1:27">
      <c r="A202">
        <f>COUNTIF($W$22:W202,1)</f>
        <v>0</v>
      </c>
      <c r="B202">
        <v>202</v>
      </c>
      <c r="C202" s="340" t="str">
        <f>Tabulka1[[#This Row],[KOD]]</f>
        <v>SS25SIG14</v>
      </c>
      <c r="W202" s="804" t="str">
        <f t="shared" si="7"/>
        <v/>
      </c>
      <c r="X202" t="str">
        <f t="shared" si="8"/>
        <v/>
      </c>
      <c r="Y202" s="341">
        <f>IF('General price list'!$AB204="",0,'General price list'!$AB204)</f>
        <v>0</v>
      </c>
      <c r="Z202" s="365" t="str">
        <f>IFERROR(X202*VLOOKUP(C202,'General price list'!C:I,7,FALSE),"")</f>
        <v/>
      </c>
      <c r="AA202" s="805" t="str">
        <f>IF(X202&lt;&gt;"",VLOOKUP(C202,'General price list'!C204:AN1177,MATCH("HM",Tabulka1[[#Headers],[KOD]:[NEQ]],0),FALSE),"")</f>
        <v/>
      </c>
    </row>
    <row r="203" spans="1:27">
      <c r="A203">
        <f>COUNTIF($W$22:W203,1)</f>
        <v>0</v>
      </c>
      <c r="B203">
        <v>203</v>
      </c>
      <c r="C203" s="340" t="str">
        <f>Tabulka1[[#This Row],[KOD]]</f>
        <v>SS25DU14</v>
      </c>
      <c r="W203" s="804" t="str">
        <f t="shared" si="7"/>
        <v/>
      </c>
      <c r="X203" t="str">
        <f t="shared" si="8"/>
        <v/>
      </c>
      <c r="Y203" s="341">
        <f>IF('General price list'!$AB205="",0,'General price list'!$AB205)</f>
        <v>0</v>
      </c>
      <c r="Z203" s="365" t="str">
        <f>IFERROR(X203*VLOOKUP(C203,'General price list'!C:I,7,FALSE),"")</f>
        <v/>
      </c>
      <c r="AA203" s="805" t="str">
        <f>IF(X203&lt;&gt;"",VLOOKUP(C203,'General price list'!C205:AN1178,MATCH("HM",Tabulka1[[#Headers],[KOD]:[NEQ]],0),FALSE),"")</f>
        <v/>
      </c>
    </row>
    <row r="204" spans="1:27">
      <c r="A204">
        <f>COUNTIF($W$22:W204,1)</f>
        <v>0</v>
      </c>
      <c r="B204">
        <v>204</v>
      </c>
      <c r="C204" s="340" t="str">
        <f>Tabulka1[[#This Row],[KOD]]</f>
        <v>SS30A14</v>
      </c>
      <c r="W204" s="804" t="str">
        <f t="shared" si="7"/>
        <v/>
      </c>
      <c r="X204" t="str">
        <f t="shared" si="8"/>
        <v/>
      </c>
      <c r="Y204" s="341">
        <f>IF('General price list'!$AB206="",0,'General price list'!$AB206)</f>
        <v>0</v>
      </c>
      <c r="Z204" s="365" t="str">
        <f>IFERROR(X204*VLOOKUP(C204,'General price list'!C:I,7,FALSE),"")</f>
        <v/>
      </c>
      <c r="AA204" s="805" t="str">
        <f>IF(X204&lt;&gt;"",VLOOKUP(C204,'General price list'!C206:AN1179,MATCH("HM",Tabulka1[[#Headers],[KOD]:[NEQ]],0),FALSE),"")</f>
        <v/>
      </c>
    </row>
    <row r="205" spans="1:27">
      <c r="A205">
        <f>COUNTIF($W$22:W205,1)</f>
        <v>0</v>
      </c>
      <c r="B205">
        <v>205</v>
      </c>
      <c r="C205" s="340" t="str">
        <f>Tabulka1[[#This Row],[KOD]]</f>
        <v>SS30SIGF2</v>
      </c>
      <c r="W205" s="804" t="str">
        <f t="shared" si="7"/>
        <v/>
      </c>
      <c r="X205" t="str">
        <f t="shared" si="8"/>
        <v/>
      </c>
      <c r="Y205" s="341">
        <f>IF('General price list'!$AB207="",0,'General price list'!$AB207)</f>
        <v>0</v>
      </c>
      <c r="Z205" s="365" t="str">
        <f>IFERROR(X205*VLOOKUP(C205,'General price list'!C:I,7,FALSE),"")</f>
        <v/>
      </c>
      <c r="AA205" s="805" t="str">
        <f>IF(X205&lt;&gt;"",VLOOKUP(C205,'General price list'!C207:AN1180,MATCH("HM",Tabulka1[[#Headers],[KOD]:[NEQ]],0),FALSE),"")</f>
        <v/>
      </c>
    </row>
    <row r="206" spans="1:27">
      <c r="A206">
        <f>COUNTIF($W$22:W206,1)</f>
        <v>0</v>
      </c>
      <c r="B206">
        <v>206</v>
      </c>
      <c r="C206" s="340">
        <f>Tabulka1[[#This Row],[KOD]]</f>
        <v>0</v>
      </c>
      <c r="W206" s="804" t="str">
        <f t="shared" si="7"/>
        <v/>
      </c>
      <c r="X206" t="str">
        <f t="shared" si="8"/>
        <v/>
      </c>
      <c r="Y206" s="341">
        <f>IF('General price list'!$AB208="",0,'General price list'!$AB208)</f>
        <v>0</v>
      </c>
      <c r="Z206" s="365" t="str">
        <f>IFERROR(X206*VLOOKUP(C206,'General price list'!C:I,7,FALSE),"")</f>
        <v/>
      </c>
      <c r="AA206" s="805" t="str">
        <f>IF(X206&lt;&gt;"",VLOOKUP(C206,'General price list'!C208:AN1181,MATCH("HM",Tabulka1[[#Headers],[KOD]:[NEQ]],0),FALSE),"")</f>
        <v/>
      </c>
    </row>
    <row r="207" spans="1:27">
      <c r="A207">
        <f>COUNTIF($W$22:W207,1)</f>
        <v>0</v>
      </c>
      <c r="B207">
        <v>207</v>
      </c>
      <c r="C207" s="340" t="str">
        <f>Tabulka1[[#This Row],[KOD]]</f>
        <v>SS30D</v>
      </c>
      <c r="W207" s="804" t="str">
        <f t="shared" si="7"/>
        <v/>
      </c>
      <c r="X207" t="str">
        <f t="shared" si="8"/>
        <v/>
      </c>
      <c r="Y207" s="341">
        <f>IF('General price list'!$AB209="",0,'General price list'!$AB209)</f>
        <v>0</v>
      </c>
      <c r="Z207" s="365" t="str">
        <f>IFERROR(X207*VLOOKUP(C207,'General price list'!C:I,7,FALSE),"")</f>
        <v/>
      </c>
      <c r="AA207" s="805" t="str">
        <f>IF(X207&lt;&gt;"",VLOOKUP(C207,'General price list'!C209:AN1182,MATCH("HM",Tabulka1[[#Headers],[KOD]:[NEQ]],0),FALSE),"")</f>
        <v/>
      </c>
    </row>
    <row r="208" spans="1:27">
      <c r="A208">
        <f>COUNTIF($W$22:W208,1)</f>
        <v>0</v>
      </c>
      <c r="B208">
        <v>208</v>
      </c>
      <c r="C208" s="340" t="str">
        <f>Tabulka1[[#This Row],[KOD]]</f>
        <v>SS30A</v>
      </c>
      <c r="W208" s="804" t="str">
        <f t="shared" si="7"/>
        <v/>
      </c>
      <c r="X208" t="str">
        <f t="shared" si="8"/>
        <v/>
      </c>
      <c r="Y208" s="341">
        <f>IF('General price list'!$AB210="",0,'General price list'!$AB210)</f>
        <v>0</v>
      </c>
      <c r="Z208" s="365" t="str">
        <f>IFERROR(X208*VLOOKUP(C208,'General price list'!C:I,7,FALSE),"")</f>
        <v/>
      </c>
      <c r="AA208" s="805" t="str">
        <f>IF(X208&lt;&gt;"",VLOOKUP(C208,'General price list'!C210:AN1183,MATCH("HM",Tabulka1[[#Headers],[KOD]:[NEQ]],0),FALSE),"")</f>
        <v/>
      </c>
    </row>
    <row r="209" spans="1:27">
      <c r="A209">
        <f>COUNTIF($W$22:W209,1)</f>
        <v>0</v>
      </c>
      <c r="B209">
        <v>209</v>
      </c>
      <c r="C209" s="340" t="str">
        <f>Tabulka1[[#This Row],[KOD]]</f>
        <v>SS37K</v>
      </c>
      <c r="W209" s="804" t="str">
        <f t="shared" si="7"/>
        <v/>
      </c>
      <c r="X209" t="str">
        <f t="shared" si="8"/>
        <v/>
      </c>
      <c r="Y209" s="341">
        <f>IF('General price list'!$AB211="",0,'General price list'!$AB211)</f>
        <v>0</v>
      </c>
      <c r="Z209" s="365" t="str">
        <f>IFERROR(X209*VLOOKUP(C209,'General price list'!C:I,7,FALSE),"")</f>
        <v/>
      </c>
      <c r="AA209" s="805" t="str">
        <f>IF(X209&lt;&gt;"",VLOOKUP(C209,'General price list'!C211:AN1184,MATCH("HM",Tabulka1[[#Headers],[KOD]:[NEQ]],0),FALSE),"")</f>
        <v/>
      </c>
    </row>
    <row r="210" spans="1:27">
      <c r="A210">
        <f>COUNTIF($W$22:W210,1)</f>
        <v>0</v>
      </c>
      <c r="B210">
        <v>210</v>
      </c>
      <c r="C210" s="340" t="str">
        <f>Tabulka1[[#This Row],[KOD]]</f>
        <v>SS50K</v>
      </c>
      <c r="W210" s="804" t="str">
        <f t="shared" si="7"/>
        <v/>
      </c>
      <c r="X210" t="str">
        <f t="shared" si="8"/>
        <v/>
      </c>
      <c r="Y210" s="341">
        <f>IF('General price list'!$AB212="",0,'General price list'!$AB212)</f>
        <v>0</v>
      </c>
      <c r="Z210" s="365" t="str">
        <f>IFERROR(X210*VLOOKUP(C210,'General price list'!C:I,7,FALSE),"")</f>
        <v/>
      </c>
      <c r="AA210" s="805" t="str">
        <f>IF(X210&lt;&gt;"",VLOOKUP(C210,'General price list'!C212:AN1185,MATCH("HM",Tabulka1[[#Headers],[KOD]:[NEQ]],0),FALSE),"")</f>
        <v/>
      </c>
    </row>
    <row r="211" spans="1:27">
      <c r="A211">
        <f>COUNTIF($W$22:W211,1)</f>
        <v>0</v>
      </c>
      <c r="B211">
        <v>211</v>
      </c>
      <c r="C211" s="340">
        <f>Tabulka1[[#This Row],[KOD]]</f>
        <v>0</v>
      </c>
      <c r="W211" s="804" t="str">
        <f t="shared" si="7"/>
        <v/>
      </c>
      <c r="X211" t="str">
        <f t="shared" si="8"/>
        <v/>
      </c>
      <c r="Y211" s="341">
        <f>IF('General price list'!$AB213="",0,'General price list'!$AB213)</f>
        <v>0</v>
      </c>
      <c r="Z211" s="365" t="str">
        <f>IFERROR(X211*VLOOKUP(C211,'General price list'!C:I,7,FALSE),"")</f>
        <v/>
      </c>
      <c r="AA211" s="805" t="str">
        <f>IF(X211&lt;&gt;"",VLOOKUP(C211,'General price list'!C213:AN1186,MATCH("HM",Tabulka1[[#Headers],[KOD]:[NEQ]],0),FALSE),"")</f>
        <v/>
      </c>
    </row>
    <row r="212" spans="1:27">
      <c r="A212">
        <f>COUNTIF($W$22:W212,1)</f>
        <v>0</v>
      </c>
      <c r="B212">
        <v>212</v>
      </c>
      <c r="C212" s="340" t="str">
        <f>Tabulka1[[#This Row],[KOD]]</f>
        <v>SS50NO14</v>
      </c>
      <c r="W212" s="804" t="str">
        <f t="shared" si="7"/>
        <v/>
      </c>
      <c r="X212" t="str">
        <f t="shared" si="8"/>
        <v/>
      </c>
      <c r="Y212" s="341">
        <f>IF('General price list'!$AB214="",0,'General price list'!$AB214)</f>
        <v>0</v>
      </c>
      <c r="Z212" s="365" t="str">
        <f>IFERROR(X212*VLOOKUP(C212,'General price list'!C:I,7,FALSE),"")</f>
        <v/>
      </c>
      <c r="AA212" s="805" t="str">
        <f>IF(X212&lt;&gt;"",VLOOKUP(C212,'General price list'!C214:AN1187,MATCH("HM",Tabulka1[[#Headers],[KOD]:[NEQ]],0),FALSE),"")</f>
        <v/>
      </c>
    </row>
    <row r="213" spans="1:27">
      <c r="A213">
        <f>COUNTIF($W$22:W213,1)</f>
        <v>0</v>
      </c>
      <c r="B213">
        <v>213</v>
      </c>
      <c r="C213" s="340" t="str">
        <f>Tabulka1[[#This Row],[KOD]]</f>
        <v>SS50DU14</v>
      </c>
      <c r="W213" s="804" t="str">
        <f t="shared" si="7"/>
        <v/>
      </c>
      <c r="X213" t="str">
        <f t="shared" si="8"/>
        <v/>
      </c>
      <c r="Y213" s="341">
        <f>IF('General price list'!$AB215="",0,'General price list'!$AB215)</f>
        <v>0</v>
      </c>
      <c r="Z213" s="365" t="str">
        <f>IFERROR(X213*VLOOKUP(C213,'General price list'!C:I,7,FALSE),"")</f>
        <v/>
      </c>
      <c r="AA213" s="805" t="str">
        <f>IF(X213&lt;&gt;"",VLOOKUP(C213,'General price list'!C215:AN1188,MATCH("HM",Tabulka1[[#Headers],[KOD]:[NEQ]],0),FALSE),"")</f>
        <v/>
      </c>
    </row>
    <row r="214" spans="1:27">
      <c r="A214">
        <f>COUNTIF($W$22:W214,1)</f>
        <v>0</v>
      </c>
      <c r="B214">
        <v>214</v>
      </c>
      <c r="C214" s="340">
        <f>Tabulka1[[#This Row],[KOD]]</f>
        <v>0</v>
      </c>
      <c r="W214" s="804" t="str">
        <f t="shared" si="7"/>
        <v/>
      </c>
      <c r="X214" t="str">
        <f t="shared" si="8"/>
        <v/>
      </c>
      <c r="Y214" s="341">
        <f>IF('General price list'!$AB216="",0,'General price list'!$AB216)</f>
        <v>0</v>
      </c>
      <c r="Z214" s="365" t="str">
        <f>IFERROR(X214*VLOOKUP(C214,'General price list'!C:I,7,FALSE),"")</f>
        <v/>
      </c>
      <c r="AA214" s="805" t="str">
        <f>IF(X214&lt;&gt;"",VLOOKUP(C214,'General price list'!C216:AN1189,MATCH("HM",Tabulka1[[#Headers],[KOD]:[NEQ]],0),FALSE),"")</f>
        <v/>
      </c>
    </row>
    <row r="215" spans="1:27">
      <c r="A215">
        <f>COUNTIF($W$22:W215,1)</f>
        <v>0</v>
      </c>
      <c r="B215">
        <v>215</v>
      </c>
      <c r="C215" s="340" t="str">
        <f>Tabulka1[[#This Row],[KOD]]</f>
        <v>C320D</v>
      </c>
      <c r="W215" s="804" t="str">
        <f t="shared" si="7"/>
        <v/>
      </c>
      <c r="X215" t="str">
        <f t="shared" si="8"/>
        <v/>
      </c>
      <c r="Y215" s="341">
        <f>IF('General price list'!$AB217="",0,'General price list'!$AB217)</f>
        <v>0</v>
      </c>
      <c r="Z215" s="365" t="str">
        <f>IFERROR(X215*VLOOKUP(C215,'General price list'!C:I,7,FALSE),"")</f>
        <v/>
      </c>
      <c r="AA215" s="805" t="str">
        <f>IF(X215&lt;&gt;"",VLOOKUP(C215,'General price list'!C217:AN1190,MATCH("HM",Tabulka1[[#Headers],[KOD]:[NEQ]],0),FALSE),"")</f>
        <v/>
      </c>
    </row>
    <row r="216" spans="1:27">
      <c r="A216">
        <f>COUNTIF($W$22:W216,1)</f>
        <v>0</v>
      </c>
      <c r="B216">
        <v>216</v>
      </c>
      <c r="C216" s="340" t="str">
        <f>Tabulka1[[#This Row],[KOD]]</f>
        <v>C320B</v>
      </c>
      <c r="W216" s="804" t="str">
        <f t="shared" si="7"/>
        <v/>
      </c>
      <c r="X216" t="str">
        <f t="shared" si="8"/>
        <v/>
      </c>
      <c r="Y216" s="341">
        <f>IF('General price list'!$AB218="",0,'General price list'!$AB218)</f>
        <v>0</v>
      </c>
      <c r="Z216" s="365" t="str">
        <f>IFERROR(X216*VLOOKUP(C216,'General price list'!C:I,7,FALSE),"")</f>
        <v/>
      </c>
      <c r="AA216" s="805" t="str">
        <f>IF(X216&lt;&gt;"",VLOOKUP(C216,'General price list'!C218:AN1191,MATCH("HM",Tabulka1[[#Headers],[KOD]:[NEQ]],0),FALSE),"")</f>
        <v/>
      </c>
    </row>
    <row r="217" spans="1:27">
      <c r="A217">
        <f>COUNTIF($W$22:W217,1)</f>
        <v>0</v>
      </c>
      <c r="B217">
        <v>217</v>
      </c>
      <c r="C217" s="340" t="str">
        <f>Tabulka1[[#This Row],[KOD]]</f>
        <v>C320X14</v>
      </c>
      <c r="W217" s="804" t="str">
        <f t="shared" ref="W217:W280" si="9">IF(Y217+1=1,"",1)</f>
        <v/>
      </c>
      <c r="X217" t="str">
        <f t="shared" ref="X217:X280" si="10">IF(OR(A217&lt;$G$20,A217&gt;$G$21),"",IF(Y217=0,"",Y217))</f>
        <v/>
      </c>
      <c r="Y217" s="341">
        <f>IF('General price list'!$AB219="",0,'General price list'!$AB219)</f>
        <v>0</v>
      </c>
      <c r="Z217" s="365" t="str">
        <f>IFERROR(X217*VLOOKUP(C217,'General price list'!C:I,7,FALSE),"")</f>
        <v/>
      </c>
      <c r="AA217" s="805" t="str">
        <f>IF(X217&lt;&gt;"",VLOOKUP(C217,'General price list'!C219:AN1192,MATCH("HM",Tabulka1[[#Headers],[KOD]:[NEQ]],0),FALSE),"")</f>
        <v/>
      </c>
    </row>
    <row r="218" spans="1:27">
      <c r="A218">
        <f>COUNTIF($W$22:W218,1)</f>
        <v>0</v>
      </c>
      <c r="B218">
        <v>218</v>
      </c>
      <c r="C218" s="340">
        <f>Tabulka1[[#This Row],[KOD]]</f>
        <v>0</v>
      </c>
      <c r="W218" s="804" t="str">
        <f t="shared" si="9"/>
        <v/>
      </c>
      <c r="X218" t="str">
        <f t="shared" si="10"/>
        <v/>
      </c>
      <c r="Y218" s="341">
        <f>IF('General price list'!$AB220="",0,'General price list'!$AB220)</f>
        <v>0</v>
      </c>
      <c r="Z218" s="365" t="str">
        <f>IFERROR(X218*VLOOKUP(C218,'General price list'!C:I,7,FALSE),"")</f>
        <v/>
      </c>
      <c r="AA218" s="805" t="str">
        <f>IF(X218&lt;&gt;"",VLOOKUP(C218,'General price list'!C220:AN1193,MATCH("HM",Tabulka1[[#Headers],[KOD]:[NEQ]],0),FALSE),"")</f>
        <v/>
      </c>
    </row>
    <row r="219" spans="1:27">
      <c r="A219">
        <f>COUNTIF($W$22:W219,1)</f>
        <v>0</v>
      </c>
      <c r="B219">
        <v>219</v>
      </c>
      <c r="C219" s="340" t="str">
        <f>Tabulka1[[#This Row],[KOD]]</f>
        <v>C330D</v>
      </c>
      <c r="W219" s="804" t="str">
        <f t="shared" si="9"/>
        <v/>
      </c>
      <c r="X219" t="str">
        <f t="shared" si="10"/>
        <v/>
      </c>
      <c r="Y219" s="341">
        <f>IF('General price list'!$AB221="",0,'General price list'!$AB221)</f>
        <v>0</v>
      </c>
      <c r="Z219" s="365" t="str">
        <f>IFERROR(X219*VLOOKUP(C219,'General price list'!C:I,7,FALSE),"")</f>
        <v/>
      </c>
      <c r="AA219" s="805" t="str">
        <f>IF(X219&lt;&gt;"",VLOOKUP(C219,'General price list'!C221:AN1194,MATCH("HM",Tabulka1[[#Headers],[KOD]:[NEQ]],0),FALSE),"")</f>
        <v/>
      </c>
    </row>
    <row r="220" spans="1:27">
      <c r="A220">
        <f>COUNTIF($W$22:W220,1)</f>
        <v>0</v>
      </c>
      <c r="B220">
        <v>220</v>
      </c>
      <c r="C220" s="340" t="str">
        <f>Tabulka1[[#This Row],[KOD]]</f>
        <v>C330B</v>
      </c>
      <c r="W220" s="804" t="str">
        <f t="shared" si="9"/>
        <v/>
      </c>
      <c r="X220" t="str">
        <f t="shared" si="10"/>
        <v/>
      </c>
      <c r="Y220" s="341">
        <f>IF('General price list'!$AB222="",0,'General price list'!$AB222)</f>
        <v>0</v>
      </c>
      <c r="Z220" s="365" t="str">
        <f>IFERROR(X220*VLOOKUP(C220,'General price list'!C:I,7,FALSE),"")</f>
        <v/>
      </c>
      <c r="AA220" s="805" t="str">
        <f>IF(X220&lt;&gt;"",VLOOKUP(C220,'General price list'!C222:AN1195,MATCH("HM",Tabulka1[[#Headers],[KOD]:[NEQ]],0),FALSE),"")</f>
        <v/>
      </c>
    </row>
    <row r="221" spans="1:27">
      <c r="A221">
        <f>COUNTIF($W$22:W221,1)</f>
        <v>0</v>
      </c>
      <c r="B221">
        <v>221</v>
      </c>
      <c r="C221" s="340">
        <f>Tabulka1[[#This Row],[KOD]]</f>
        <v>0</v>
      </c>
      <c r="W221" s="804" t="str">
        <f t="shared" si="9"/>
        <v/>
      </c>
      <c r="X221" t="str">
        <f t="shared" si="10"/>
        <v/>
      </c>
      <c r="Y221" s="341">
        <f>IF('General price list'!$AB223="",0,'General price list'!$AB223)</f>
        <v>0</v>
      </c>
      <c r="Z221" s="365" t="str">
        <f>IFERROR(X221*VLOOKUP(C221,'General price list'!C:I,7,FALSE),"")</f>
        <v/>
      </c>
      <c r="AA221" s="805" t="str">
        <f>IF(X221&lt;&gt;"",VLOOKUP(C221,'General price list'!C223:AN1196,MATCH("HM",Tabulka1[[#Headers],[KOD]:[NEQ]],0),FALSE),"")</f>
        <v/>
      </c>
    </row>
    <row r="222" spans="1:27">
      <c r="A222">
        <f>COUNTIF($W$22:W222,1)</f>
        <v>0</v>
      </c>
      <c r="B222">
        <v>222</v>
      </c>
      <c r="C222" s="340" t="str">
        <f>Tabulka1[[#This Row],[KOD]]</f>
        <v>CS2BB</v>
      </c>
      <c r="W222" s="804" t="str">
        <f t="shared" si="9"/>
        <v/>
      </c>
      <c r="X222" t="str">
        <f t="shared" si="10"/>
        <v/>
      </c>
      <c r="Y222" s="341">
        <f>IF('General price list'!$AB224="",0,'General price list'!$AB224)</f>
        <v>0</v>
      </c>
      <c r="Z222" s="365" t="str">
        <f>IFERROR(X222*VLOOKUP(C222,'General price list'!C:I,7,FALSE),"")</f>
        <v/>
      </c>
      <c r="AA222" s="805" t="str">
        <f>IF(X222&lt;&gt;"",VLOOKUP(C222,'General price list'!C224:AN1197,MATCH("HM",Tabulka1[[#Headers],[KOD]:[NEQ]],0),FALSE),"")</f>
        <v/>
      </c>
    </row>
    <row r="223" spans="1:27">
      <c r="A223">
        <f>COUNTIF($W$22:W223,1)</f>
        <v>0</v>
      </c>
      <c r="B223">
        <v>223</v>
      </c>
      <c r="C223" s="340">
        <f>Tabulka1[[#This Row],[KOD]]</f>
        <v>0</v>
      </c>
      <c r="W223" s="804" t="str">
        <f t="shared" si="9"/>
        <v/>
      </c>
      <c r="X223" t="str">
        <f t="shared" si="10"/>
        <v/>
      </c>
      <c r="Y223" s="341">
        <f>IF('General price list'!$AB225="",0,'General price list'!$AB225)</f>
        <v>0</v>
      </c>
      <c r="Z223" s="365" t="str">
        <f>IFERROR(X223*VLOOKUP(C223,'General price list'!C:I,7,FALSE),"")</f>
        <v/>
      </c>
      <c r="AA223" s="805" t="str">
        <f>IF(X223&lt;&gt;"",VLOOKUP(C223,'General price list'!C225:AN1198,MATCH("HM",Tabulka1[[#Headers],[KOD]:[NEQ]],0),FALSE),"")</f>
        <v/>
      </c>
    </row>
    <row r="224" spans="1:27">
      <c r="A224">
        <f>COUNTIF($W$22:W224,1)</f>
        <v>0</v>
      </c>
      <c r="B224">
        <v>224</v>
      </c>
      <c r="C224" s="340" t="str">
        <f>Tabulka1[[#This Row],[KOD]]</f>
        <v>K0203BP</v>
      </c>
      <c r="W224" s="804" t="str">
        <f t="shared" si="9"/>
        <v/>
      </c>
      <c r="X224" t="str">
        <f t="shared" si="10"/>
        <v/>
      </c>
      <c r="Y224" s="341">
        <f>IF('General price list'!$AB226="",0,'General price list'!$AB226)</f>
        <v>0</v>
      </c>
      <c r="Z224" s="365" t="str">
        <f>IFERROR(X224*VLOOKUP(C224,'General price list'!C:I,7,FALSE),"")</f>
        <v/>
      </c>
      <c r="AA224" s="805" t="str">
        <f>IF(X224&lt;&gt;"",VLOOKUP(C224,'General price list'!C226:AN1199,MATCH("HM",Tabulka1[[#Headers],[KOD]:[NEQ]],0),FALSE),"")</f>
        <v/>
      </c>
    </row>
    <row r="225" spans="1:27">
      <c r="A225">
        <f>COUNTIF($W$22:W225,1)</f>
        <v>0</v>
      </c>
      <c r="B225">
        <v>225</v>
      </c>
      <c r="C225" s="340" t="str">
        <f>Tabulka1[[#This Row],[KOD]]</f>
        <v>P05DSP1</v>
      </c>
      <c r="W225" s="804" t="str">
        <f t="shared" si="9"/>
        <v/>
      </c>
      <c r="X225" t="str">
        <f t="shared" si="10"/>
        <v/>
      </c>
      <c r="Y225" s="341">
        <f>IF('General price list'!$AB227="",0,'General price list'!$AB227)</f>
        <v>0</v>
      </c>
      <c r="Z225" s="365" t="str">
        <f>IFERROR(X225*VLOOKUP(C225,'General price list'!C:I,7,FALSE),"")</f>
        <v/>
      </c>
      <c r="AA225" s="805" t="str">
        <f>IF(X225&lt;&gt;"",VLOOKUP(C225,'General price list'!C227:AN1200,MATCH("HM",Tabulka1[[#Headers],[KOD]:[NEQ]],0),FALSE),"")</f>
        <v/>
      </c>
    </row>
    <row r="226" spans="1:27">
      <c r="A226">
        <f>COUNTIF($W$22:W226,1)</f>
        <v>0</v>
      </c>
      <c r="B226">
        <v>226</v>
      </c>
      <c r="C226" s="340" t="str">
        <f>Tabulka1[[#This Row],[KOD]]</f>
        <v>P10D20SP1</v>
      </c>
      <c r="W226" s="804" t="str">
        <f t="shared" si="9"/>
        <v/>
      </c>
      <c r="X226" t="str">
        <f t="shared" si="10"/>
        <v/>
      </c>
      <c r="Y226" s="341">
        <f>IF('General price list'!$AB228="",0,'General price list'!$AB228)</f>
        <v>0</v>
      </c>
      <c r="Z226" s="365" t="str">
        <f>IFERROR(X226*VLOOKUP(C226,'General price list'!C:I,7,FALSE),"")</f>
        <v/>
      </c>
      <c r="AA226" s="805" t="str">
        <f>IF(X226&lt;&gt;"",VLOOKUP(C226,'General price list'!C228:AN1201,MATCH("HM",Tabulka1[[#Headers],[KOD]:[NEQ]],0),FALSE),"")</f>
        <v/>
      </c>
    </row>
    <row r="227" spans="1:27">
      <c r="A227">
        <f>COUNTIF($W$22:W227,1)</f>
        <v>0</v>
      </c>
      <c r="B227">
        <v>227</v>
      </c>
      <c r="C227" s="340">
        <f>Tabulka1[[#This Row],[KOD]]</f>
        <v>0</v>
      </c>
      <c r="W227" s="804" t="str">
        <f t="shared" si="9"/>
        <v/>
      </c>
      <c r="X227" t="str">
        <f t="shared" si="10"/>
        <v/>
      </c>
      <c r="Y227" s="341">
        <f>IF('General price list'!$AB229="",0,'General price list'!$AB229)</f>
        <v>0</v>
      </c>
      <c r="Z227" s="365" t="str">
        <f>IFERROR(X227*VLOOKUP(C227,'General price list'!C:I,7,FALSE),"")</f>
        <v/>
      </c>
      <c r="AA227" s="805" t="str">
        <f>IF(X227&lt;&gt;"",VLOOKUP(C227,'General price list'!C229:AN1202,MATCH("HM",Tabulka1[[#Headers],[KOD]:[NEQ]],0),FALSE),"")</f>
        <v/>
      </c>
    </row>
    <row r="228" spans="1:27">
      <c r="A228">
        <f>COUNTIF($W$22:W228,1)</f>
        <v>0</v>
      </c>
      <c r="B228">
        <v>228</v>
      </c>
      <c r="C228" s="340" t="str">
        <f>Tabulka1[[#This Row],[KOD]]</f>
        <v>P1D</v>
      </c>
      <c r="W228" s="804" t="str">
        <f t="shared" si="9"/>
        <v/>
      </c>
      <c r="X228" t="str">
        <f t="shared" si="10"/>
        <v/>
      </c>
      <c r="Y228" s="341">
        <f>IF('General price list'!$AB230="",0,'General price list'!$AB230)</f>
        <v>0</v>
      </c>
      <c r="Z228" s="365" t="str">
        <f>IFERROR(X228*VLOOKUP(C228,'General price list'!C:I,7,FALSE),"")</f>
        <v/>
      </c>
      <c r="AA228" s="805" t="str">
        <f>IF(X228&lt;&gt;"",VLOOKUP(C228,'General price list'!C230:AN1203,MATCH("HM",Tabulka1[[#Headers],[KOD]:[NEQ]],0),FALSE),"")</f>
        <v/>
      </c>
    </row>
    <row r="229" spans="1:27">
      <c r="A229">
        <f>COUNTIF($W$22:W229,1)</f>
        <v>0</v>
      </c>
      <c r="B229">
        <v>229</v>
      </c>
      <c r="C229" s="340" t="str">
        <f>Tabulka1[[#This Row],[KOD]]</f>
        <v>P2D</v>
      </c>
      <c r="W229" s="804" t="str">
        <f t="shared" si="9"/>
        <v/>
      </c>
      <c r="X229" t="str">
        <f t="shared" si="10"/>
        <v/>
      </c>
      <c r="Y229" s="341">
        <f>IF('General price list'!$AB231="",0,'General price list'!$AB231)</f>
        <v>0</v>
      </c>
      <c r="Z229" s="365" t="str">
        <f>IFERROR(X229*VLOOKUP(C229,'General price list'!C:I,7,FALSE),"")</f>
        <v/>
      </c>
      <c r="AA229" s="805" t="str">
        <f>IF(X229&lt;&gt;"",VLOOKUP(C229,'General price list'!C231:AN1204,MATCH("HM",Tabulka1[[#Headers],[KOD]:[NEQ]],0),FALSE),"")</f>
        <v/>
      </c>
    </row>
    <row r="230" spans="1:27">
      <c r="A230">
        <f>COUNTIF($W$22:W230,1)</f>
        <v>0</v>
      </c>
      <c r="B230">
        <v>230</v>
      </c>
      <c r="C230" s="340" t="str">
        <f>Tabulka1[[#This Row],[KOD]]</f>
        <v>K0203K</v>
      </c>
      <c r="W230" s="804" t="str">
        <f t="shared" si="9"/>
        <v/>
      </c>
      <c r="X230" t="str">
        <f t="shared" si="10"/>
        <v/>
      </c>
      <c r="Y230" s="341">
        <f>IF('General price list'!$AB232="",0,'General price list'!$AB232)</f>
        <v>0</v>
      </c>
      <c r="Z230" s="365" t="str">
        <f>IFERROR(X230*VLOOKUP(C230,'General price list'!C:I,7,FALSE),"")</f>
        <v/>
      </c>
      <c r="AA230" s="805" t="str">
        <f>IF(X230&lt;&gt;"",VLOOKUP(C230,'General price list'!C232:AN1205,MATCH("HM",Tabulka1[[#Headers],[KOD]:[NEQ]],0),FALSE),"")</f>
        <v/>
      </c>
    </row>
    <row r="231" spans="1:27">
      <c r="A231">
        <f>COUNTIF($W$22:W231,1)</f>
        <v>0</v>
      </c>
      <c r="B231">
        <v>231</v>
      </c>
      <c r="C231" s="340" t="str">
        <f>Tabulka1[[#This Row],[KOD]]</f>
        <v>K0203KB</v>
      </c>
      <c r="W231" s="804" t="str">
        <f t="shared" si="9"/>
        <v/>
      </c>
      <c r="X231" t="str">
        <f t="shared" si="10"/>
        <v/>
      </c>
      <c r="Y231" s="341">
        <f>IF('General price list'!$AB233="",0,'General price list'!$AB233)</f>
        <v>0</v>
      </c>
      <c r="Z231" s="365" t="str">
        <f>IFERROR(X231*VLOOKUP(C231,'General price list'!C:I,7,FALSE),"")</f>
        <v/>
      </c>
      <c r="AA231" s="805" t="str">
        <f>IF(X231&lt;&gt;"",VLOOKUP(C231,'General price list'!C233:AN1206,MATCH("HM",Tabulka1[[#Headers],[KOD]:[NEQ]],0),FALSE),"")</f>
        <v/>
      </c>
    </row>
    <row r="232" spans="1:27">
      <c r="A232">
        <f>COUNTIF($W$22:W232,1)</f>
        <v>0</v>
      </c>
      <c r="B232">
        <v>232</v>
      </c>
      <c r="C232" s="340" t="str">
        <f>Tabulka1[[#This Row],[KOD]]</f>
        <v>P05D</v>
      </c>
      <c r="W232" s="804" t="str">
        <f t="shared" si="9"/>
        <v/>
      </c>
      <c r="X232" t="str">
        <f t="shared" si="10"/>
        <v/>
      </c>
      <c r="Y232" s="341">
        <f>IF('General price list'!$AB234="",0,'General price list'!$AB234)</f>
        <v>0</v>
      </c>
      <c r="Z232" s="365" t="str">
        <f>IFERROR(X232*VLOOKUP(C232,'General price list'!C:I,7,FALSE),"")</f>
        <v/>
      </c>
      <c r="AA232" s="805" t="str">
        <f>IF(X232&lt;&gt;"",VLOOKUP(C232,'General price list'!C234:AN1207,MATCH("HM",Tabulka1[[#Headers],[KOD]:[NEQ]],0),FALSE),"")</f>
        <v/>
      </c>
    </row>
    <row r="233" spans="1:27">
      <c r="A233">
        <f>COUNTIF($W$22:W233,1)</f>
        <v>0</v>
      </c>
      <c r="B233">
        <v>233</v>
      </c>
      <c r="C233" s="340" t="str">
        <f>Tabulka1[[#This Row],[KOD]]</f>
        <v>PSF2D</v>
      </c>
      <c r="W233" s="804" t="str">
        <f t="shared" si="9"/>
        <v/>
      </c>
      <c r="X233" t="str">
        <f t="shared" si="10"/>
        <v/>
      </c>
      <c r="Y233" s="341">
        <f>IF('General price list'!$AB235="",0,'General price list'!$AB235)</f>
        <v>0</v>
      </c>
      <c r="Z233" s="365" t="str">
        <f>IFERROR(X233*VLOOKUP(C233,'General price list'!C:I,7,FALSE),"")</f>
        <v/>
      </c>
      <c r="AA233" s="805" t="str">
        <f>IF(X233&lt;&gt;"",VLOOKUP(C233,'General price list'!C235:AN1208,MATCH("HM",Tabulka1[[#Headers],[KOD]:[NEQ]],0),FALSE),"")</f>
        <v/>
      </c>
    </row>
    <row r="234" spans="1:27">
      <c r="A234">
        <f>COUNTIF($W$22:W234,1)</f>
        <v>0</v>
      </c>
      <c r="B234">
        <v>234</v>
      </c>
      <c r="C234" s="340">
        <f>Tabulka1[[#This Row],[KOD]]</f>
        <v>0</v>
      </c>
      <c r="W234" s="804" t="str">
        <f t="shared" si="9"/>
        <v/>
      </c>
      <c r="X234" t="str">
        <f t="shared" si="10"/>
        <v/>
      </c>
      <c r="Y234" s="341">
        <f>IF('General price list'!$AB236="",0,'General price list'!$AB236)</f>
        <v>0</v>
      </c>
      <c r="Z234" s="365" t="str">
        <f>IFERROR(X234*VLOOKUP(C234,'General price list'!C:I,7,FALSE),"")</f>
        <v/>
      </c>
      <c r="AA234" s="805" t="str">
        <f>IF(X234&lt;&gt;"",VLOOKUP(C234,'General price list'!C236:AN1209,MATCH("HM",Tabulka1[[#Headers],[KOD]:[NEQ]],0),FALSE),"")</f>
        <v/>
      </c>
    </row>
    <row r="235" spans="1:27">
      <c r="A235">
        <f>COUNTIF($W$22:W235,1)</f>
        <v>0</v>
      </c>
      <c r="B235">
        <v>235</v>
      </c>
      <c r="C235" s="340" t="str">
        <f>Tabulka1[[#This Row],[KOD]]</f>
        <v>PBDF2</v>
      </c>
      <c r="W235" s="804" t="str">
        <f t="shared" si="9"/>
        <v/>
      </c>
      <c r="X235" t="str">
        <f t="shared" si="10"/>
        <v/>
      </c>
      <c r="Y235" s="341">
        <f>IF('General price list'!$AB237="",0,'General price list'!$AB237)</f>
        <v>0</v>
      </c>
      <c r="Z235" s="365" t="str">
        <f>IFERROR(X235*VLOOKUP(C235,'General price list'!C:I,7,FALSE),"")</f>
        <v/>
      </c>
      <c r="AA235" s="805" t="str">
        <f>IF(X235&lt;&gt;"",VLOOKUP(C235,'General price list'!C237:AN1210,MATCH("HM",Tabulka1[[#Headers],[KOD]:[NEQ]],0),FALSE),"")</f>
        <v/>
      </c>
    </row>
    <row r="236" spans="1:27">
      <c r="A236">
        <f>COUNTIF($W$22:W236,1)</f>
        <v>0</v>
      </c>
      <c r="B236">
        <v>236</v>
      </c>
      <c r="C236" s="340" t="str">
        <f>Tabulka1[[#This Row],[KOD]]</f>
        <v>PBF2D</v>
      </c>
      <c r="W236" s="804" t="str">
        <f t="shared" si="9"/>
        <v/>
      </c>
      <c r="X236" t="str">
        <f t="shared" si="10"/>
        <v/>
      </c>
      <c r="Y236" s="341">
        <f>IF('General price list'!$AB238="",0,'General price list'!$AB238)</f>
        <v>0</v>
      </c>
      <c r="Z236" s="365" t="str">
        <f>IFERROR(X236*VLOOKUP(C236,'General price list'!C:I,7,FALSE),"")</f>
        <v/>
      </c>
      <c r="AA236" s="805" t="str">
        <f>IF(X236&lt;&gt;"",VLOOKUP(C236,'General price list'!C238:AN1211,MATCH("HM",Tabulka1[[#Headers],[KOD]:[NEQ]],0),FALSE),"")</f>
        <v/>
      </c>
    </row>
    <row r="237" spans="1:27">
      <c r="A237">
        <f>COUNTIF($W$22:W237,1)</f>
        <v>0</v>
      </c>
      <c r="B237">
        <v>237</v>
      </c>
      <c r="C237" s="340" t="str">
        <f>Tabulka1[[#This Row],[KOD]]</f>
        <v>PB120D</v>
      </c>
      <c r="W237" s="804" t="str">
        <f t="shared" si="9"/>
        <v/>
      </c>
      <c r="X237" t="str">
        <f t="shared" si="10"/>
        <v/>
      </c>
      <c r="Y237" s="341">
        <f>IF('General price list'!$AB239="",0,'General price list'!$AB239)</f>
        <v>0</v>
      </c>
      <c r="Z237" s="365" t="str">
        <f>IFERROR(X237*VLOOKUP(C237,'General price list'!C:I,7,FALSE),"")</f>
        <v/>
      </c>
      <c r="AA237" s="805" t="str">
        <f>IF(X237&lt;&gt;"",VLOOKUP(C237,'General price list'!C239:AN1212,MATCH("HM",Tabulka1[[#Headers],[KOD]:[NEQ]],0),FALSE),"")</f>
        <v/>
      </c>
    </row>
    <row r="238" spans="1:27">
      <c r="A238">
        <f>COUNTIF($W$22:W238,1)</f>
        <v>0</v>
      </c>
      <c r="B238">
        <v>238</v>
      </c>
      <c r="C238" s="340">
        <f>Tabulka1[[#This Row],[KOD]]</f>
        <v>0</v>
      </c>
      <c r="W238" s="804" t="str">
        <f t="shared" si="9"/>
        <v/>
      </c>
      <c r="X238" t="str">
        <f t="shared" si="10"/>
        <v/>
      </c>
      <c r="Y238" s="341">
        <f>IF('General price list'!$AB240="",0,'General price list'!$AB240)</f>
        <v>0</v>
      </c>
      <c r="Z238" s="365" t="str">
        <f>IFERROR(X238*VLOOKUP(C238,'General price list'!C:I,7,FALSE),"")</f>
        <v/>
      </c>
      <c r="AA238" s="805" t="str">
        <f>IF(X238&lt;&gt;"",VLOOKUP(C238,'General price list'!C240:AN1213,MATCH("HM",Tabulka1[[#Headers],[KOD]:[NEQ]],0),FALSE),"")</f>
        <v/>
      </c>
    </row>
    <row r="239" spans="1:27">
      <c r="A239">
        <f>COUNTIF($W$22:W239,1)</f>
        <v>0</v>
      </c>
      <c r="B239">
        <v>239</v>
      </c>
      <c r="C239" s="340" t="str">
        <f>Tabulka1[[#This Row],[KOD]]</f>
        <v>P6A14F3</v>
      </c>
      <c r="W239" s="804" t="str">
        <f t="shared" si="9"/>
        <v/>
      </c>
      <c r="X239" t="str">
        <f t="shared" si="10"/>
        <v/>
      </c>
      <c r="Y239" s="341">
        <f>IF('General price list'!$AB241="",0,'General price list'!$AB241)</f>
        <v>0</v>
      </c>
      <c r="Z239" s="365" t="str">
        <f>IFERROR(X239*VLOOKUP(C239,'General price list'!C:I,7,FALSE),"")</f>
        <v/>
      </c>
      <c r="AA239" s="805" t="str">
        <f>IF(X239&lt;&gt;"",VLOOKUP(C239,'General price list'!C241:AN1214,MATCH("HM",Tabulka1[[#Headers],[KOD]:[NEQ]],0),FALSE),"")</f>
        <v/>
      </c>
    </row>
    <row r="240" spans="1:27">
      <c r="A240">
        <f>COUNTIF($W$22:W240,1)</f>
        <v>0</v>
      </c>
      <c r="B240">
        <v>240</v>
      </c>
      <c r="C240" s="340" t="str">
        <f>Tabulka1[[#This Row],[KOD]]</f>
        <v>P7A14</v>
      </c>
      <c r="W240" s="804" t="str">
        <f t="shared" si="9"/>
        <v/>
      </c>
      <c r="X240" t="str">
        <f t="shared" si="10"/>
        <v/>
      </c>
      <c r="Y240" s="341">
        <f>IF('General price list'!$AB242="",0,'General price list'!$AB242)</f>
        <v>0</v>
      </c>
      <c r="Z240" s="365" t="str">
        <f>IFERROR(X240*VLOOKUP(C240,'General price list'!C:I,7,FALSE),"")</f>
        <v/>
      </c>
      <c r="AA240" s="805" t="str">
        <f>IF(X240&lt;&gt;"",VLOOKUP(C240,'General price list'!C242:AN1215,MATCH("HM",Tabulka1[[#Headers],[KOD]:[NEQ]],0),FALSE),"")</f>
        <v/>
      </c>
    </row>
    <row r="241" spans="1:27">
      <c r="A241">
        <f>COUNTIF($W$22:W241,1)</f>
        <v>0</v>
      </c>
      <c r="B241">
        <v>241</v>
      </c>
      <c r="C241" s="340" t="str">
        <f>Tabulka1[[#This Row],[KOD]]</f>
        <v>P4B</v>
      </c>
      <c r="W241" s="804" t="str">
        <f t="shared" si="9"/>
        <v/>
      </c>
      <c r="X241" t="str">
        <f t="shared" si="10"/>
        <v/>
      </c>
      <c r="Y241" s="341">
        <f>IF('General price list'!$AB243="",0,'General price list'!$AB243)</f>
        <v>0</v>
      </c>
      <c r="Z241" s="365" t="str">
        <f>IFERROR(X241*VLOOKUP(C241,'General price list'!C:I,7,FALSE),"")</f>
        <v/>
      </c>
      <c r="AA241" s="805" t="str">
        <f>IF(X241&lt;&gt;"",VLOOKUP(C241,'General price list'!C243:AN1216,MATCH("HM",Tabulka1[[#Headers],[KOD]:[NEQ]],0),FALSE),"")</f>
        <v/>
      </c>
    </row>
    <row r="242" spans="1:27">
      <c r="A242">
        <f>COUNTIF($W$22:W242,1)</f>
        <v>0</v>
      </c>
      <c r="B242">
        <v>242</v>
      </c>
      <c r="C242" s="340" t="str">
        <f>Tabulka1[[#This Row],[KOD]]</f>
        <v>P5DU13</v>
      </c>
      <c r="W242" s="804" t="str">
        <f t="shared" si="9"/>
        <v/>
      </c>
      <c r="X242" t="str">
        <f t="shared" si="10"/>
        <v/>
      </c>
      <c r="Y242" s="341">
        <f>IF('General price list'!$AB244="",0,'General price list'!$AB244)</f>
        <v>0</v>
      </c>
      <c r="Z242" s="365" t="str">
        <f>IFERROR(X242*VLOOKUP(C242,'General price list'!C:I,7,FALSE),"")</f>
        <v/>
      </c>
      <c r="AA242" s="805" t="str">
        <f>IF(X242&lt;&gt;"",VLOOKUP(C242,'General price list'!C244:AN1217,MATCH("HM",Tabulka1[[#Headers],[KOD]:[NEQ]],0),FALSE),"")</f>
        <v/>
      </c>
    </row>
    <row r="243" spans="1:27">
      <c r="A243">
        <f>COUNTIF($W$22:W243,1)</f>
        <v>0</v>
      </c>
      <c r="B243">
        <v>243</v>
      </c>
      <c r="C243" s="340" t="str">
        <f>Tabulka1[[#This Row],[KOD]]</f>
        <v>P5DU13(M)</v>
      </c>
      <c r="W243" s="804" t="str">
        <f t="shared" si="9"/>
        <v/>
      </c>
      <c r="X243" t="str">
        <f t="shared" si="10"/>
        <v/>
      </c>
      <c r="Y243" s="341">
        <f>IF('General price list'!$AB245="",0,'General price list'!$AB245)</f>
        <v>0</v>
      </c>
      <c r="Z243" s="365" t="str">
        <f>IFERROR(X243*VLOOKUP(C243,'General price list'!C:I,7,FALSE),"")</f>
        <v/>
      </c>
      <c r="AA243" s="805" t="str">
        <f>IF(X243&lt;&gt;"",VLOOKUP(C243,'General price list'!C245:AN1218,MATCH("HM",Tabulka1[[#Headers],[KOD]:[NEQ]],0),FALSE),"")</f>
        <v/>
      </c>
    </row>
    <row r="244" spans="1:27">
      <c r="A244">
        <f>COUNTIF($W$22:W244,1)</f>
        <v>0</v>
      </c>
      <c r="B244">
        <v>244</v>
      </c>
      <c r="C244" s="340" t="str">
        <f>Tabulka1[[#This Row],[KOD]]</f>
        <v>P5DU</v>
      </c>
      <c r="W244" s="804" t="str">
        <f t="shared" si="9"/>
        <v/>
      </c>
      <c r="X244" t="str">
        <f t="shared" si="10"/>
        <v/>
      </c>
      <c r="Y244" s="341">
        <f>IF('General price list'!$AB246="",0,'General price list'!$AB246)</f>
        <v>0</v>
      </c>
      <c r="Z244" s="365" t="str">
        <f>IFERROR(X244*VLOOKUP(C244,'General price list'!C:I,7,FALSE),"")</f>
        <v/>
      </c>
      <c r="AA244" s="805" t="str">
        <f>IF(X244&lt;&gt;"",VLOOKUP(C244,'General price list'!C246:AN1219,MATCH("HM",Tabulka1[[#Headers],[KOD]:[NEQ]],0),FALSE),"")</f>
        <v/>
      </c>
    </row>
    <row r="245" spans="1:27">
      <c r="A245">
        <f>COUNTIF($W$22:W245,1)</f>
        <v>0</v>
      </c>
      <c r="B245">
        <v>245</v>
      </c>
      <c r="C245" s="340" t="str">
        <f>Tabulka1[[#This Row],[KOD]]</f>
        <v>P5A13</v>
      </c>
      <c r="W245" s="804" t="str">
        <f t="shared" si="9"/>
        <v/>
      </c>
      <c r="X245" t="str">
        <f t="shared" si="10"/>
        <v/>
      </c>
      <c r="Y245" s="341">
        <f>IF('General price list'!$AB247="",0,'General price list'!$AB247)</f>
        <v>0</v>
      </c>
      <c r="Z245" s="365" t="str">
        <f>IFERROR(X245*VLOOKUP(C245,'General price list'!C:I,7,FALSE),"")</f>
        <v/>
      </c>
      <c r="AA245" s="805" t="str">
        <f>IF(X245&lt;&gt;"",VLOOKUP(C245,'General price list'!C247:AN1220,MATCH("HM",Tabulka1[[#Headers],[KOD]:[NEQ]],0),FALSE),"")</f>
        <v/>
      </c>
    </row>
    <row r="246" spans="1:27">
      <c r="A246">
        <f>COUNTIF($W$22:W246,1)</f>
        <v>0</v>
      </c>
      <c r="B246">
        <v>246</v>
      </c>
      <c r="C246" s="340" t="str">
        <f>Tabulka1[[#This Row],[KOD]]</f>
        <v>P5D13</v>
      </c>
      <c r="W246" s="804" t="str">
        <f t="shared" si="9"/>
        <v/>
      </c>
      <c r="X246" t="str">
        <f t="shared" si="10"/>
        <v/>
      </c>
      <c r="Y246" s="341">
        <f>IF('General price list'!$AB248="",0,'General price list'!$AB248)</f>
        <v>0</v>
      </c>
      <c r="Z246" s="365" t="str">
        <f>IFERROR(X246*VLOOKUP(C246,'General price list'!C:I,7,FALSE),"")</f>
        <v/>
      </c>
      <c r="AA246" s="805" t="str">
        <f>IF(X246&lt;&gt;"",VLOOKUP(C246,'General price list'!C248:AN1221,MATCH("HM",Tabulka1[[#Headers],[KOD]:[NEQ]],0),FALSE),"")</f>
        <v/>
      </c>
    </row>
    <row r="247" spans="1:27">
      <c r="A247">
        <f>COUNTIF($W$22:W247,1)</f>
        <v>0</v>
      </c>
      <c r="B247">
        <v>247</v>
      </c>
      <c r="C247" s="340" t="str">
        <f>Tabulka1[[#This Row],[KOD]]</f>
        <v>P5D13(W)</v>
      </c>
      <c r="W247" s="804" t="str">
        <f t="shared" si="9"/>
        <v/>
      </c>
      <c r="X247" t="str">
        <f t="shared" si="10"/>
        <v/>
      </c>
      <c r="Y247" s="341">
        <f>IF('General price list'!$AB249="",0,'General price list'!$AB249)</f>
        <v>0</v>
      </c>
      <c r="Z247" s="365" t="str">
        <f>IFERROR(X247*VLOOKUP(C247,'General price list'!C:I,7,FALSE),"")</f>
        <v/>
      </c>
      <c r="AA247" s="805" t="str">
        <f>IF(X247&lt;&gt;"",VLOOKUP(C247,'General price list'!C249:AN1222,MATCH("HM",Tabulka1[[#Headers],[KOD]:[NEQ]],0),FALSE),"")</f>
        <v/>
      </c>
    </row>
    <row r="248" spans="1:27">
      <c r="A248">
        <f>COUNTIF($W$22:W248,1)</f>
        <v>0</v>
      </c>
      <c r="B248">
        <v>248</v>
      </c>
      <c r="C248" s="340" t="str">
        <f>Tabulka1[[#This Row],[KOD]]</f>
        <v>P6A13(G)F3</v>
      </c>
      <c r="W248" s="804" t="str">
        <f t="shared" si="9"/>
        <v/>
      </c>
      <c r="X248" t="str">
        <f t="shared" si="10"/>
        <v/>
      </c>
      <c r="Y248" s="341">
        <f>IF('General price list'!$AB250="",0,'General price list'!$AB250)</f>
        <v>0</v>
      </c>
      <c r="Z248" s="365" t="str">
        <f>IFERROR(X248*VLOOKUP(C248,'General price list'!C:I,7,FALSE),"")</f>
        <v/>
      </c>
      <c r="AA248" s="805" t="str">
        <f>IF(X248&lt;&gt;"",VLOOKUP(C248,'General price list'!C250:AN1223,MATCH("HM",Tabulka1[[#Headers],[KOD]:[NEQ]],0),FALSE),"")</f>
        <v/>
      </c>
    </row>
    <row r="249" spans="1:27">
      <c r="A249">
        <f>COUNTIF($W$22:W249,1)</f>
        <v>0</v>
      </c>
      <c r="B249">
        <v>249</v>
      </c>
      <c r="C249" s="340" t="str">
        <f>Tabulka1[[#This Row],[KOD]]</f>
        <v>P6A13(R)F3</v>
      </c>
      <c r="W249" s="804" t="str">
        <f t="shared" si="9"/>
        <v/>
      </c>
      <c r="X249" t="str">
        <f t="shared" si="10"/>
        <v/>
      </c>
      <c r="Y249" s="341">
        <f>IF('General price list'!$AB251="",0,'General price list'!$AB251)</f>
        <v>0</v>
      </c>
      <c r="Z249" s="365" t="str">
        <f>IFERROR(X249*VLOOKUP(C249,'General price list'!C:I,7,FALSE),"")</f>
        <v/>
      </c>
      <c r="AA249" s="805" t="str">
        <f>IF(X249&lt;&gt;"",VLOOKUP(C249,'General price list'!C251:AN1224,MATCH("HM",Tabulka1[[#Headers],[KOD]:[NEQ]],0),FALSE),"")</f>
        <v/>
      </c>
    </row>
    <row r="250" spans="1:27">
      <c r="A250">
        <f>COUNTIF($W$22:W250,1)</f>
        <v>0</v>
      </c>
      <c r="B250">
        <v>250</v>
      </c>
      <c r="C250" s="340">
        <f>Tabulka1[[#This Row],[KOD]]</f>
        <v>0</v>
      </c>
      <c r="W250" s="804" t="str">
        <f t="shared" si="9"/>
        <v/>
      </c>
      <c r="X250" t="str">
        <f t="shared" si="10"/>
        <v/>
      </c>
      <c r="Y250" s="341">
        <f>IF('General price list'!$AB252="",0,'General price list'!$AB252)</f>
        <v>0</v>
      </c>
      <c r="Z250" s="365" t="str">
        <f>IFERROR(X250*VLOOKUP(C250,'General price list'!C:I,7,FALSE),"")</f>
        <v/>
      </c>
      <c r="AA250" s="805" t="str">
        <f>IF(X250&lt;&gt;"",VLOOKUP(C250,'General price list'!C252:AN1225,MATCH("HM",Tabulka1[[#Headers],[KOD]:[NEQ]],0),FALSE),"")</f>
        <v/>
      </c>
    </row>
    <row r="251" spans="1:27">
      <c r="A251">
        <f>COUNTIF($W$22:W251,1)</f>
        <v>0</v>
      </c>
      <c r="B251">
        <v>251</v>
      </c>
      <c r="C251" s="340" t="str">
        <f>Tabulka1[[#This Row],[KOD]]</f>
        <v>P066D20P1</v>
      </c>
      <c r="W251" s="804" t="str">
        <f t="shared" si="9"/>
        <v/>
      </c>
      <c r="X251" t="str">
        <f t="shared" si="10"/>
        <v/>
      </c>
      <c r="Y251" s="341">
        <f>IF('General price list'!$AB253="",0,'General price list'!$AB253)</f>
        <v>0</v>
      </c>
      <c r="Z251" s="365" t="str">
        <f>IFERROR(X251*VLOOKUP(C251,'General price list'!C:I,7,FALSE),"")</f>
        <v/>
      </c>
      <c r="AA251" s="805" t="str">
        <f>IF(X251&lt;&gt;"",VLOOKUP(C251,'General price list'!C253:AN1226,MATCH("HM",Tabulka1[[#Headers],[KOD]:[NEQ]],0),FALSE),"")</f>
        <v/>
      </c>
    </row>
    <row r="252" spans="1:27">
      <c r="A252">
        <f>COUNTIF($W$22:W252,1)</f>
        <v>0</v>
      </c>
      <c r="B252">
        <v>252</v>
      </c>
      <c r="C252" s="340" t="str">
        <f>Tabulka1[[#This Row],[KOD]]</f>
        <v>P5DU13(1)</v>
      </c>
      <c r="W252" s="804" t="str">
        <f t="shared" si="9"/>
        <v/>
      </c>
      <c r="X252" t="str">
        <f t="shared" si="10"/>
        <v/>
      </c>
      <c r="Y252" s="341">
        <f>IF('General price list'!$AB254="",0,'General price list'!$AB254)</f>
        <v>0</v>
      </c>
      <c r="Z252" s="365" t="str">
        <f>IFERROR(X252*VLOOKUP(C252,'General price list'!C:I,7,FALSE),"")</f>
        <v/>
      </c>
      <c r="AA252" s="805" t="str">
        <f>IF(X252&lt;&gt;"",VLOOKUP(C252,'General price list'!C254:AN1227,MATCH("HM",Tabulka1[[#Headers],[KOD]:[NEQ]],0),FALSE),"")</f>
        <v/>
      </c>
    </row>
    <row r="253" spans="1:27">
      <c r="A253">
        <f>COUNTIF($W$22:W253,1)</f>
        <v>0</v>
      </c>
      <c r="B253">
        <v>253</v>
      </c>
      <c r="C253" s="340" t="str">
        <f>Tabulka1[[#This Row],[KOD]]</f>
        <v>P2GP1</v>
      </c>
      <c r="W253" s="804" t="str">
        <f t="shared" si="9"/>
        <v/>
      </c>
      <c r="X253" t="str">
        <f t="shared" si="10"/>
        <v/>
      </c>
      <c r="Y253" s="341">
        <f>IF('General price list'!$AB255="",0,'General price list'!$AB255)</f>
        <v>0</v>
      </c>
      <c r="Z253" s="365" t="str">
        <f>IFERROR(X253*VLOOKUP(C253,'General price list'!C:I,7,FALSE),"")</f>
        <v/>
      </c>
      <c r="AA253" s="805" t="str">
        <f>IF(X253&lt;&gt;"",VLOOKUP(C253,'General price list'!C255:AN1228,MATCH("HM",Tabulka1[[#Headers],[KOD]:[NEQ]],0),FALSE),"")</f>
        <v/>
      </c>
    </row>
    <row r="254" spans="1:27">
      <c r="A254">
        <f>COUNTIF($W$22:W254,1)</f>
        <v>0</v>
      </c>
      <c r="B254">
        <v>254</v>
      </c>
      <c r="C254" s="340">
        <f>Tabulka1[[#This Row],[KOD]]</f>
        <v>0</v>
      </c>
      <c r="W254" s="804" t="str">
        <f t="shared" si="9"/>
        <v/>
      </c>
      <c r="X254" t="str">
        <f t="shared" si="10"/>
        <v/>
      </c>
      <c r="Y254" s="341">
        <f>IF('General price list'!$AB256="",0,'General price list'!$AB256)</f>
        <v>0</v>
      </c>
      <c r="Z254" s="365" t="str">
        <f>IFERROR(X254*VLOOKUP(C254,'General price list'!C:I,7,FALSE),"")</f>
        <v/>
      </c>
      <c r="AA254" s="805" t="str">
        <f>IF(X254&lt;&gt;"",VLOOKUP(C254,'General price list'!C256:AN1229,MATCH("HM",Tabulka1[[#Headers],[KOD]:[NEQ]],0),FALSE),"")</f>
        <v/>
      </c>
    </row>
    <row r="255" spans="1:27">
      <c r="A255">
        <f>COUNTIF($W$22:W255,1)</f>
        <v>0</v>
      </c>
      <c r="B255">
        <v>255</v>
      </c>
      <c r="C255" s="340" t="str">
        <f>Tabulka1[[#This Row],[KOD]]</f>
        <v>P6AE</v>
      </c>
      <c r="W255" s="804" t="str">
        <f t="shared" si="9"/>
        <v/>
      </c>
      <c r="X255" t="str">
        <f t="shared" si="10"/>
        <v/>
      </c>
      <c r="Y255" s="341">
        <f>IF('General price list'!$AB257="",0,'General price list'!$AB257)</f>
        <v>0</v>
      </c>
      <c r="Z255" s="365" t="str">
        <f>IFERROR(X255*VLOOKUP(C255,'General price list'!C:I,7,FALSE),"")</f>
        <v/>
      </c>
      <c r="AA255" s="805" t="str">
        <f>IF(X255&lt;&gt;"",VLOOKUP(C255,'General price list'!C257:AN1230,MATCH("HM",Tabulka1[[#Headers],[KOD]:[NEQ]],0),FALSE),"")</f>
        <v/>
      </c>
    </row>
    <row r="256" spans="1:27">
      <c r="A256">
        <f>COUNTIF($W$22:W256,1)</f>
        <v>0</v>
      </c>
      <c r="B256">
        <v>256</v>
      </c>
      <c r="C256" s="340" t="str">
        <f>Tabulka1[[#This Row],[KOD]]</f>
        <v>P30D</v>
      </c>
      <c r="W256" s="804" t="str">
        <f t="shared" si="9"/>
        <v/>
      </c>
      <c r="X256" t="str">
        <f t="shared" si="10"/>
        <v/>
      </c>
      <c r="Y256" s="341">
        <f>IF('General price list'!$AB258="",0,'General price list'!$AB258)</f>
        <v>0</v>
      </c>
      <c r="Z256" s="365" t="str">
        <f>IFERROR(X256*VLOOKUP(C256,'General price list'!C:I,7,FALSE),"")</f>
        <v/>
      </c>
      <c r="AA256" s="805" t="str">
        <f>IF(X256&lt;&gt;"",VLOOKUP(C256,'General price list'!C258:AN1231,MATCH("HM",Tabulka1[[#Headers],[KOD]:[NEQ]],0),FALSE),"")</f>
        <v/>
      </c>
    </row>
    <row r="257" spans="1:27">
      <c r="A257">
        <f>COUNTIF($W$22:W257,1)</f>
        <v>0</v>
      </c>
      <c r="B257">
        <v>257</v>
      </c>
      <c r="C257" s="340" t="str">
        <f>Tabulka1[[#This Row],[KOD]]</f>
        <v>P50D</v>
      </c>
      <c r="W257" s="804" t="str">
        <f t="shared" si="9"/>
        <v/>
      </c>
      <c r="X257" t="str">
        <f t="shared" si="10"/>
        <v/>
      </c>
      <c r="Y257" s="341">
        <f>IF('General price list'!$AB259="",0,'General price list'!$AB259)</f>
        <v>0</v>
      </c>
      <c r="Z257" s="365" t="str">
        <f>IFERROR(X257*VLOOKUP(C257,'General price list'!C:I,7,FALSE),"")</f>
        <v/>
      </c>
      <c r="AA257" s="805" t="str">
        <f>IF(X257&lt;&gt;"",VLOOKUP(C257,'General price list'!C259:AN1232,MATCH("HM",Tabulka1[[#Headers],[KOD]:[NEQ]],0),FALSE),"")</f>
        <v/>
      </c>
    </row>
    <row r="258" spans="1:27">
      <c r="A258">
        <f>COUNTIF($W$22:W258,1)</f>
        <v>0</v>
      </c>
      <c r="B258">
        <v>258</v>
      </c>
      <c r="C258" s="340" t="str">
        <f>Tabulka1[[#This Row],[KOD]]</f>
        <v>P170</v>
      </c>
      <c r="W258" s="804" t="str">
        <f t="shared" si="9"/>
        <v/>
      </c>
      <c r="X258" t="str">
        <f t="shared" si="10"/>
        <v/>
      </c>
      <c r="Y258" s="341">
        <f>IF('General price list'!$AB260="",0,'General price list'!$AB260)</f>
        <v>0</v>
      </c>
      <c r="Z258" s="365" t="str">
        <f>IFERROR(X258*VLOOKUP(C258,'General price list'!C:I,7,FALSE),"")</f>
        <v/>
      </c>
      <c r="AA258" s="805" t="str">
        <f>IF(X258&lt;&gt;"",VLOOKUP(C258,'General price list'!C260:AN1233,MATCH("HM",Tabulka1[[#Headers],[KOD]:[NEQ]],0),FALSE),"")</f>
        <v/>
      </c>
    </row>
    <row r="259" spans="1:27">
      <c r="A259">
        <f>COUNTIF($W$22:W259,1)</f>
        <v>0</v>
      </c>
      <c r="B259">
        <v>259</v>
      </c>
      <c r="C259" s="340">
        <f>Tabulka1[[#This Row],[KOD]]</f>
        <v>0</v>
      </c>
      <c r="W259" s="804" t="str">
        <f t="shared" si="9"/>
        <v/>
      </c>
      <c r="X259" t="str">
        <f t="shared" si="10"/>
        <v/>
      </c>
      <c r="Y259" s="341">
        <f>IF('General price list'!$AB261="",0,'General price list'!$AB261)</f>
        <v>0</v>
      </c>
      <c r="Z259" s="365" t="str">
        <f>IFERROR(X259*VLOOKUP(C259,'General price list'!C:I,7,FALSE),"")</f>
        <v/>
      </c>
      <c r="AA259" s="805" t="str">
        <f>IF(X259&lt;&gt;"",VLOOKUP(C259,'General price list'!C261:AN1234,MATCH("HM",Tabulka1[[#Headers],[KOD]:[NEQ]],0),FALSE),"")</f>
        <v/>
      </c>
    </row>
    <row r="260" spans="1:27">
      <c r="A260">
        <f>COUNTIF($W$22:W260,1)</f>
        <v>0</v>
      </c>
      <c r="B260">
        <v>260</v>
      </c>
      <c r="C260" s="340" t="str">
        <f>Tabulka1[[#This Row],[KOD]]</f>
        <v>EB15</v>
      </c>
      <c r="W260" s="804" t="str">
        <f t="shared" si="9"/>
        <v/>
      </c>
      <c r="X260" t="str">
        <f t="shared" si="10"/>
        <v/>
      </c>
      <c r="Y260" s="341">
        <f>IF('General price list'!$AB262="",0,'General price list'!$AB262)</f>
        <v>0</v>
      </c>
      <c r="Z260" s="365" t="str">
        <f>IFERROR(X260*VLOOKUP(C260,'General price list'!C:I,7,FALSE),"")</f>
        <v/>
      </c>
      <c r="AA260" s="805" t="str">
        <f>IF(X260&lt;&gt;"",VLOOKUP(C260,'General price list'!C262:AN1235,MATCH("HM",Tabulka1[[#Headers],[KOD]:[NEQ]],0),FALSE),"")</f>
        <v/>
      </c>
    </row>
    <row r="261" spans="1:27">
      <c r="A261">
        <f>COUNTIF($W$22:W261,1)</f>
        <v>0</v>
      </c>
      <c r="B261">
        <v>261</v>
      </c>
      <c r="C261" s="340" t="str">
        <f>Tabulka1[[#This Row],[KOD]]</f>
        <v>EB9</v>
      </c>
      <c r="W261" s="804" t="str">
        <f t="shared" si="9"/>
        <v/>
      </c>
      <c r="X261" t="str">
        <f t="shared" si="10"/>
        <v/>
      </c>
      <c r="Y261" s="341">
        <f>IF('General price list'!$AB263="",0,'General price list'!$AB263)</f>
        <v>0</v>
      </c>
      <c r="Z261" s="365" t="str">
        <f>IFERROR(X261*VLOOKUP(C261,'General price list'!C:I,7,FALSE),"")</f>
        <v/>
      </c>
      <c r="AA261" s="805" t="str">
        <f>IF(X261&lt;&gt;"",VLOOKUP(C261,'General price list'!C263:AN1236,MATCH("HM",Tabulka1[[#Headers],[KOD]:[NEQ]],0),FALSE),"")</f>
        <v/>
      </c>
    </row>
    <row r="262" spans="1:27">
      <c r="A262">
        <f>COUNTIF($W$22:W262,1)</f>
        <v>0</v>
      </c>
      <c r="B262">
        <v>262</v>
      </c>
      <c r="C262" s="340" t="str">
        <f>Tabulka1[[#This Row],[KOD]]</f>
        <v>K20K</v>
      </c>
      <c r="W262" s="804" t="str">
        <f t="shared" si="9"/>
        <v/>
      </c>
      <c r="X262" t="str">
        <f t="shared" si="10"/>
        <v/>
      </c>
      <c r="Y262" s="341">
        <f>IF('General price list'!$AB264="",0,'General price list'!$AB264)</f>
        <v>0</v>
      </c>
      <c r="Z262" s="365" t="str">
        <f>IFERROR(X262*VLOOKUP(C262,'General price list'!C:I,7,FALSE),"")</f>
        <v/>
      </c>
      <c r="AA262" s="805" t="str">
        <f>IF(X262&lt;&gt;"",VLOOKUP(C262,'General price list'!C264:AN1237,MATCH("HM",Tabulka1[[#Headers],[KOD]:[NEQ]],0),FALSE),"")</f>
        <v/>
      </c>
    </row>
    <row r="263" spans="1:27">
      <c r="A263">
        <f>COUNTIF($W$22:W263,1)</f>
        <v>0</v>
      </c>
      <c r="B263">
        <v>263</v>
      </c>
      <c r="C263" s="340" t="str">
        <f>Tabulka1[[#This Row],[KOD]]</f>
        <v>K60K</v>
      </c>
      <c r="W263" s="804" t="str">
        <f t="shared" si="9"/>
        <v/>
      </c>
      <c r="X263" t="str">
        <f t="shared" si="10"/>
        <v/>
      </c>
      <c r="Y263" s="341">
        <f>IF('General price list'!$AB265="",0,'General price list'!$AB265)</f>
        <v>0</v>
      </c>
      <c r="Z263" s="365" t="str">
        <f>IFERROR(X263*VLOOKUP(C263,'General price list'!C:I,7,FALSE),"")</f>
        <v/>
      </c>
      <c r="AA263" s="805" t="str">
        <f>IF(X263&lt;&gt;"",VLOOKUP(C263,'General price list'!C265:AN1238,MATCH("HM",Tabulka1[[#Headers],[KOD]:[NEQ]],0),FALSE),"")</f>
        <v/>
      </c>
    </row>
    <row r="264" spans="1:27">
      <c r="A264">
        <f>COUNTIF($W$22:W264,1)</f>
        <v>0</v>
      </c>
      <c r="B264">
        <v>264</v>
      </c>
      <c r="C264" s="340" t="str">
        <f>Tabulka1[[#This Row],[KOD]]</f>
        <v>K01M</v>
      </c>
      <c r="W264" s="804" t="str">
        <f t="shared" si="9"/>
        <v/>
      </c>
      <c r="X264" t="str">
        <f t="shared" si="10"/>
        <v/>
      </c>
      <c r="Y264" s="341">
        <f>IF('General price list'!$AB266="",0,'General price list'!$AB266)</f>
        <v>0</v>
      </c>
      <c r="Z264" s="365" t="str">
        <f>IFERROR(X264*VLOOKUP(C264,'General price list'!C:I,7,FALSE),"")</f>
        <v/>
      </c>
      <c r="AA264" s="805" t="str">
        <f>IF(X264&lt;&gt;"",VLOOKUP(C264,'General price list'!C266:AN1239,MATCH("HM",Tabulka1[[#Headers],[KOD]:[NEQ]],0),FALSE),"")</f>
        <v/>
      </c>
    </row>
    <row r="265" spans="1:27">
      <c r="A265">
        <f>COUNTIF($W$22:W265,1)</f>
        <v>0</v>
      </c>
      <c r="B265">
        <v>265</v>
      </c>
      <c r="C265" s="340" t="str">
        <f>Tabulka1[[#This Row],[KOD]]</f>
        <v>K100R</v>
      </c>
      <c r="W265" s="804" t="str">
        <f t="shared" si="9"/>
        <v/>
      </c>
      <c r="X265" t="str">
        <f t="shared" si="10"/>
        <v/>
      </c>
      <c r="Y265" s="341">
        <f>IF('General price list'!$AB267="",0,'General price list'!$AB267)</f>
        <v>0</v>
      </c>
      <c r="Z265" s="365" t="str">
        <f>IFERROR(X265*VLOOKUP(C265,'General price list'!C:I,7,FALSE),"")</f>
        <v/>
      </c>
      <c r="AA265" s="805" t="str">
        <f>IF(X265&lt;&gt;"",VLOOKUP(C265,'General price list'!C267:AN1240,MATCH("HM",Tabulka1[[#Headers],[KOD]:[NEQ]],0),FALSE),"")</f>
        <v/>
      </c>
    </row>
    <row r="266" spans="1:27">
      <c r="A266">
        <f>COUNTIF($W$22:W266,1)</f>
        <v>0</v>
      </c>
      <c r="B266">
        <v>266</v>
      </c>
      <c r="C266" s="340" t="str">
        <f>Tabulka1[[#This Row],[KOD]]</f>
        <v>K200R</v>
      </c>
      <c r="W266" s="804" t="str">
        <f t="shared" si="9"/>
        <v/>
      </c>
      <c r="X266" t="str">
        <f t="shared" si="10"/>
        <v/>
      </c>
      <c r="Y266" s="341">
        <f>IF('General price list'!$AB268="",0,'General price list'!$AB268)</f>
        <v>0</v>
      </c>
      <c r="Z266" s="365" t="str">
        <f>IFERROR(X266*VLOOKUP(C266,'General price list'!C:I,7,FALSE),"")</f>
        <v/>
      </c>
      <c r="AA266" s="805" t="str">
        <f>IF(X266&lt;&gt;"",VLOOKUP(C266,'General price list'!C268:AN1241,MATCH("HM",Tabulka1[[#Headers],[KOD]:[NEQ]],0),FALSE),"")</f>
        <v/>
      </c>
    </row>
    <row r="267" spans="1:27">
      <c r="A267">
        <f>COUNTIF($W$22:W267,1)</f>
        <v>0</v>
      </c>
      <c r="B267">
        <v>267</v>
      </c>
      <c r="C267" s="340" t="str">
        <f>Tabulka1[[#This Row],[KOD]]</f>
        <v>K500R</v>
      </c>
      <c r="W267" s="804" t="str">
        <f t="shared" si="9"/>
        <v/>
      </c>
      <c r="X267" t="str">
        <f t="shared" si="10"/>
        <v/>
      </c>
      <c r="Y267" s="341">
        <f>IF('General price list'!$AB269="",0,'General price list'!$AB269)</f>
        <v>0</v>
      </c>
      <c r="Z267" s="365" t="str">
        <f>IFERROR(X267*VLOOKUP(C267,'General price list'!C:I,7,FALSE),"")</f>
        <v/>
      </c>
      <c r="AA267" s="805" t="str">
        <f>IF(X267&lt;&gt;"",VLOOKUP(C267,'General price list'!C269:AN1242,MATCH("HM",Tabulka1[[#Headers],[KOD]:[NEQ]],0),FALSE),"")</f>
        <v/>
      </c>
    </row>
    <row r="268" spans="1:27">
      <c r="A268">
        <f>COUNTIF($W$22:W268,1)</f>
        <v>0</v>
      </c>
      <c r="B268">
        <v>268</v>
      </c>
      <c r="C268" s="340" t="str">
        <f>Tabulka1[[#This Row],[KOD]]</f>
        <v>K1000R</v>
      </c>
      <c r="W268" s="804" t="str">
        <f t="shared" si="9"/>
        <v/>
      </c>
      <c r="X268" t="str">
        <f t="shared" si="10"/>
        <v/>
      </c>
      <c r="Y268" s="341">
        <f>IF('General price list'!$AB270="",0,'General price list'!$AB270)</f>
        <v>0</v>
      </c>
      <c r="Z268" s="365" t="str">
        <f>IFERROR(X268*VLOOKUP(C268,'General price list'!C:I,7,FALSE),"")</f>
        <v/>
      </c>
      <c r="AA268" s="805" t="str">
        <f>IF(X268&lt;&gt;"",VLOOKUP(C268,'General price list'!C270:AN1243,MATCH("HM",Tabulka1[[#Headers],[KOD]:[NEQ]],0),FALSE),"")</f>
        <v/>
      </c>
    </row>
    <row r="269" spans="1:27">
      <c r="A269">
        <f>COUNTIF($W$22:W269,1)</f>
        <v>0</v>
      </c>
      <c r="B269">
        <v>269</v>
      </c>
      <c r="C269" s="340" t="str">
        <f>Tabulka1[[#This Row],[KOD]]</f>
        <v>K1969R</v>
      </c>
      <c r="W269" s="804" t="str">
        <f t="shared" si="9"/>
        <v/>
      </c>
      <c r="X269" t="str">
        <f t="shared" si="10"/>
        <v/>
      </c>
      <c r="Y269" s="341">
        <f>IF('General price list'!$AB271="",0,'General price list'!$AB271)</f>
        <v>0</v>
      </c>
      <c r="Z269" s="365" t="str">
        <f>IFERROR(X269*VLOOKUP(C269,'General price list'!C:I,7,FALSE),"")</f>
        <v/>
      </c>
      <c r="AA269" s="805" t="str">
        <f>IF(X269&lt;&gt;"",VLOOKUP(C269,'General price list'!C271:AN1244,MATCH("HM",Tabulka1[[#Headers],[KOD]:[NEQ]],0),FALSE),"")</f>
        <v/>
      </c>
    </row>
    <row r="270" spans="1:27">
      <c r="A270">
        <f>COUNTIF($W$22:W270,1)</f>
        <v>0</v>
      </c>
      <c r="B270">
        <v>270</v>
      </c>
      <c r="C270" s="340" t="str">
        <f>Tabulka1[[#This Row],[KOD]]</f>
        <v>K10M</v>
      </c>
      <c r="W270" s="804" t="str">
        <f t="shared" si="9"/>
        <v/>
      </c>
      <c r="X270" t="str">
        <f t="shared" si="10"/>
        <v/>
      </c>
      <c r="Y270" s="341">
        <f>IF('General price list'!$AB272="",0,'General price list'!$AB272)</f>
        <v>0</v>
      </c>
      <c r="Z270" s="365" t="str">
        <f>IFERROR(X270*VLOOKUP(C270,'General price list'!C:I,7,FALSE),"")</f>
        <v/>
      </c>
      <c r="AA270" s="805" t="str">
        <f>IF(X270&lt;&gt;"",VLOOKUP(C270,'General price list'!C272:AN1245,MATCH("HM",Tabulka1[[#Headers],[KOD]:[NEQ]],0),FALSE),"")</f>
        <v/>
      </c>
    </row>
    <row r="271" spans="1:27">
      <c r="A271">
        <f>COUNTIF($W$22:W271,1)</f>
        <v>0</v>
      </c>
      <c r="B271">
        <v>271</v>
      </c>
      <c r="C271" s="340" t="str">
        <f>Tabulka1[[#This Row],[KOD]]</f>
        <v>DBB1E</v>
      </c>
      <c r="W271" s="804" t="str">
        <f t="shared" si="9"/>
        <v/>
      </c>
      <c r="X271" t="str">
        <f t="shared" si="10"/>
        <v/>
      </c>
      <c r="Y271" s="341">
        <f>IF('General price list'!$AB273="",0,'General price list'!$AB273)</f>
        <v>0</v>
      </c>
      <c r="Z271" s="365" t="str">
        <f>IFERROR(X271*VLOOKUP(C271,'General price list'!C:I,7,FALSE),"")</f>
        <v/>
      </c>
      <c r="AA271" s="805" t="str">
        <f>IF(X271&lt;&gt;"",VLOOKUP(C271,'General price list'!C273:AN1246,MATCH("HM",Tabulka1[[#Headers],[KOD]:[NEQ]],0),FALSE),"")</f>
        <v/>
      </c>
    </row>
    <row r="272" spans="1:27">
      <c r="A272">
        <f>COUNTIF($W$22:W272,1)</f>
        <v>0</v>
      </c>
      <c r="B272">
        <v>272</v>
      </c>
      <c r="C272" s="340">
        <f>Tabulka1[[#This Row],[KOD]]</f>
        <v>0</v>
      </c>
      <c r="W272" s="804" t="str">
        <f t="shared" si="9"/>
        <v/>
      </c>
      <c r="X272" t="str">
        <f t="shared" si="10"/>
        <v/>
      </c>
      <c r="Y272" s="341">
        <f>IF('General price list'!$AB274="",0,'General price list'!$AB274)</f>
        <v>0</v>
      </c>
      <c r="Z272" s="365" t="str">
        <f>IFERROR(X272*VLOOKUP(C272,'General price list'!C:I,7,FALSE),"")</f>
        <v/>
      </c>
      <c r="AA272" s="805" t="str">
        <f>IF(X272&lt;&gt;"",VLOOKUP(C272,'General price list'!C274:AN1247,MATCH("HM",Tabulka1[[#Headers],[KOD]:[NEQ]],0),FALSE),"")</f>
        <v/>
      </c>
    </row>
    <row r="273" spans="1:27">
      <c r="A273">
        <f>COUNTIF($W$22:W273,1)</f>
        <v>0</v>
      </c>
      <c r="B273">
        <v>273</v>
      </c>
      <c r="C273" s="340" t="str">
        <f>Tabulka1[[#This Row],[KOD]]</f>
        <v>RS1</v>
      </c>
      <c r="W273" s="804" t="str">
        <f t="shared" si="9"/>
        <v/>
      </c>
      <c r="X273" t="str">
        <f t="shared" si="10"/>
        <v/>
      </c>
      <c r="Y273" s="341">
        <f>IF('General price list'!$AB275="",0,'General price list'!$AB275)</f>
        <v>0</v>
      </c>
      <c r="Z273" s="365" t="str">
        <f>IFERROR(X273*VLOOKUP(C273,'General price list'!C:I,7,FALSE),"")</f>
        <v/>
      </c>
      <c r="AA273" s="805" t="str">
        <f>IF(X273&lt;&gt;"",VLOOKUP(C273,'General price list'!C275:AN1248,MATCH("HM",Tabulka1[[#Headers],[KOD]:[NEQ]],0),FALSE),"")</f>
        <v/>
      </c>
    </row>
    <row r="274" spans="1:27">
      <c r="A274">
        <f>COUNTIF($W$22:W274,1)</f>
        <v>0</v>
      </c>
      <c r="B274">
        <v>274</v>
      </c>
      <c r="C274" s="340" t="str">
        <f>Tabulka1[[#This Row],[KOD]]</f>
        <v>RS6P</v>
      </c>
      <c r="W274" s="804" t="str">
        <f t="shared" si="9"/>
        <v/>
      </c>
      <c r="X274" t="str">
        <f t="shared" si="10"/>
        <v/>
      </c>
      <c r="Y274" s="341">
        <f>IF('General price list'!$AB276="",0,'General price list'!$AB276)</f>
        <v>0</v>
      </c>
      <c r="Z274" s="365" t="str">
        <f>IFERROR(X274*VLOOKUP(C274,'General price list'!C:I,7,FALSE),"")</f>
        <v/>
      </c>
      <c r="AA274" s="805" t="str">
        <f>IF(X274&lt;&gt;"",VLOOKUP(C274,'General price list'!C276:AN1249,MATCH("HM",Tabulka1[[#Headers],[KOD]:[NEQ]],0),FALSE),"")</f>
        <v/>
      </c>
    </row>
    <row r="275" spans="1:27">
      <c r="A275">
        <f>COUNTIF($W$22:W275,1)</f>
        <v>0</v>
      </c>
      <c r="B275">
        <v>275</v>
      </c>
      <c r="C275" s="340" t="str">
        <f>Tabulka1[[#This Row],[KOD]]</f>
        <v>RS6O</v>
      </c>
      <c r="W275" s="804" t="str">
        <f t="shared" si="9"/>
        <v/>
      </c>
      <c r="X275" t="str">
        <f t="shared" si="10"/>
        <v/>
      </c>
      <c r="Y275" s="341">
        <f>IF('General price list'!$AB277="",0,'General price list'!$AB277)</f>
        <v>0</v>
      </c>
      <c r="Z275" s="365" t="str">
        <f>IFERROR(X275*VLOOKUP(C275,'General price list'!C:I,7,FALSE),"")</f>
        <v/>
      </c>
      <c r="AA275" s="805" t="str">
        <f>IF(X275&lt;&gt;"",VLOOKUP(C275,'General price list'!C277:AN1250,MATCH("HM",Tabulka1[[#Headers],[KOD]:[NEQ]],0),FALSE),"")</f>
        <v/>
      </c>
    </row>
    <row r="276" spans="1:27">
      <c r="A276">
        <f>COUNTIF($W$22:W276,1)</f>
        <v>0</v>
      </c>
      <c r="B276">
        <v>276</v>
      </c>
      <c r="C276" s="340" t="str">
        <f>Tabulka1[[#This Row],[KOD]]</f>
        <v>RS6S</v>
      </c>
      <c r="W276" s="804" t="str">
        <f t="shared" si="9"/>
        <v/>
      </c>
      <c r="X276" t="str">
        <f t="shared" si="10"/>
        <v/>
      </c>
      <c r="Y276" s="341">
        <f>IF('General price list'!$AB278="",0,'General price list'!$AB278)</f>
        <v>0</v>
      </c>
      <c r="Z276" s="365" t="str">
        <f>IFERROR(X276*VLOOKUP(C276,'General price list'!C:I,7,FALSE),"")</f>
        <v/>
      </c>
      <c r="AA276" s="805" t="str">
        <f>IF(X276&lt;&gt;"",VLOOKUP(C276,'General price list'!C278:AN1251,MATCH("HM",Tabulka1[[#Headers],[KOD]:[NEQ]],0),FALSE),"")</f>
        <v/>
      </c>
    </row>
    <row r="277" spans="1:27">
      <c r="A277">
        <f>COUNTIF($W$22:W277,1)</f>
        <v>0</v>
      </c>
      <c r="B277">
        <v>277</v>
      </c>
      <c r="C277" s="340" t="str">
        <f>Tabulka1[[#This Row],[KOD]]</f>
        <v>RS6SM</v>
      </c>
      <c r="W277" s="804" t="str">
        <f t="shared" si="9"/>
        <v/>
      </c>
      <c r="X277" t="str">
        <f t="shared" si="10"/>
        <v/>
      </c>
      <c r="Y277" s="341">
        <f>IF('General price list'!$AB279="",0,'General price list'!$AB279)</f>
        <v>0</v>
      </c>
      <c r="Z277" s="365" t="str">
        <f>IFERROR(X277*VLOOKUP(C277,'General price list'!C:I,7,FALSE),"")</f>
        <v/>
      </c>
      <c r="AA277" s="805" t="str">
        <f>IF(X277&lt;&gt;"",VLOOKUP(C277,'General price list'!C279:AN1252,MATCH("HM",Tabulka1[[#Headers],[KOD]:[NEQ]],0),FALSE),"")</f>
        <v/>
      </c>
    </row>
    <row r="278" spans="1:27">
      <c r="A278">
        <f>COUNTIF($W$22:W278,1)</f>
        <v>0</v>
      </c>
      <c r="B278">
        <v>278</v>
      </c>
      <c r="C278" s="340" t="str">
        <f>Tabulka1[[#This Row],[KOD]]</f>
        <v>R12T1</v>
      </c>
      <c r="W278" s="804" t="str">
        <f t="shared" si="9"/>
        <v/>
      </c>
      <c r="X278" t="str">
        <f t="shared" si="10"/>
        <v/>
      </c>
      <c r="Y278" s="341">
        <f>IF('General price list'!$AB280="",0,'General price list'!$AB280)</f>
        <v>0</v>
      </c>
      <c r="Z278" s="365" t="str">
        <f>IFERROR(X278*VLOOKUP(C278,'General price list'!C:I,7,FALSE),"")</f>
        <v/>
      </c>
      <c r="AA278" s="805" t="str">
        <f>IF(X278&lt;&gt;"",VLOOKUP(C278,'General price list'!C280:AN1253,MATCH("HM",Tabulka1[[#Headers],[KOD]:[NEQ]],0),FALSE),"")</f>
        <v/>
      </c>
    </row>
    <row r="279" spans="1:27">
      <c r="A279">
        <f>COUNTIF($W$22:W279,1)</f>
        <v>0</v>
      </c>
      <c r="B279">
        <v>279</v>
      </c>
      <c r="C279" s="340" t="str">
        <f>Tabulka1[[#This Row],[KOD]]</f>
        <v>R12T3</v>
      </c>
      <c r="W279" s="804" t="str">
        <f t="shared" si="9"/>
        <v/>
      </c>
      <c r="X279" t="str">
        <f t="shared" si="10"/>
        <v/>
      </c>
      <c r="Y279" s="341">
        <f>IF('General price list'!$AB281="",0,'General price list'!$AB281)</f>
        <v>0</v>
      </c>
      <c r="Z279" s="365" t="str">
        <f>IFERROR(X279*VLOOKUP(C279,'General price list'!C:I,7,FALSE),"")</f>
        <v/>
      </c>
      <c r="AA279" s="805" t="str">
        <f>IF(X279&lt;&gt;"",VLOOKUP(C279,'General price list'!C281:AN1254,MATCH("HM",Tabulka1[[#Headers],[KOD]:[NEQ]],0),FALSE),"")</f>
        <v/>
      </c>
    </row>
    <row r="280" spans="1:27">
      <c r="A280">
        <f>COUNTIF($W$22:W280,1)</f>
        <v>0</v>
      </c>
      <c r="B280">
        <v>280</v>
      </c>
      <c r="C280" s="340" t="str">
        <f>Tabulka1[[#This Row],[KOD]]</f>
        <v>RSD6</v>
      </c>
      <c r="W280" s="804" t="str">
        <f t="shared" si="9"/>
        <v/>
      </c>
      <c r="X280" t="str">
        <f t="shared" si="10"/>
        <v/>
      </c>
      <c r="Y280" s="341">
        <f>IF('General price list'!$AB282="",0,'General price list'!$AB282)</f>
        <v>0</v>
      </c>
      <c r="Z280" s="365" t="str">
        <f>IFERROR(X280*VLOOKUP(C280,'General price list'!C:I,7,FALSE),"")</f>
        <v/>
      </c>
      <c r="AA280" s="805" t="str">
        <f>IF(X280&lt;&gt;"",VLOOKUP(C280,'General price list'!C282:AN1255,MATCH("HM",Tabulka1[[#Headers],[KOD]:[NEQ]],0),FALSE),"")</f>
        <v/>
      </c>
    </row>
    <row r="281" spans="1:27">
      <c r="A281">
        <f>COUNTIF($W$22:W281,1)</f>
        <v>0</v>
      </c>
      <c r="B281">
        <v>281</v>
      </c>
      <c r="C281" s="340" t="str">
        <f>Tabulka1[[#This Row],[KOD]]</f>
        <v>RS6XS</v>
      </c>
      <c r="W281" s="804" t="str">
        <f t="shared" ref="W281:W344" si="11">IF(Y281+1=1,"",1)</f>
        <v/>
      </c>
      <c r="X281" t="str">
        <f t="shared" ref="X281:X344" si="12">IF(OR(A281&lt;$G$20,A281&gt;$G$21),"",IF(Y281=0,"",Y281))</f>
        <v/>
      </c>
      <c r="Y281" s="341">
        <f>IF('General price list'!$AB283="",0,'General price list'!$AB283)</f>
        <v>0</v>
      </c>
      <c r="Z281" s="365" t="str">
        <f>IFERROR(X281*VLOOKUP(C281,'General price list'!C:I,7,FALSE),"")</f>
        <v/>
      </c>
      <c r="AA281" s="805" t="str">
        <f>IF(X281&lt;&gt;"",VLOOKUP(C281,'General price list'!C283:AN1256,MATCH("HM",Tabulka1[[#Headers],[KOD]:[NEQ]],0),FALSE),"")</f>
        <v/>
      </c>
    </row>
    <row r="282" spans="1:27">
      <c r="A282">
        <f>COUNTIF($W$22:W282,1)</f>
        <v>0</v>
      </c>
      <c r="B282">
        <v>282</v>
      </c>
      <c r="C282" s="340" t="str">
        <f>Tabulka1[[#This Row],[KOD]]</f>
        <v>RS5DU</v>
      </c>
      <c r="W282" s="804" t="str">
        <f t="shared" si="11"/>
        <v/>
      </c>
      <c r="X282" t="str">
        <f t="shared" si="12"/>
        <v/>
      </c>
      <c r="Y282" s="341">
        <f>IF('General price list'!$AB284="",0,'General price list'!$AB284)</f>
        <v>0</v>
      </c>
      <c r="Z282" s="365" t="str">
        <f>IFERROR(X282*VLOOKUP(C282,'General price list'!C:I,7,FALSE),"")</f>
        <v/>
      </c>
      <c r="AA282" s="805" t="str">
        <f>IF(X282&lt;&gt;"",VLOOKUP(C282,'General price list'!C284:AN1257,MATCH("HM",Tabulka1[[#Headers],[KOD]:[NEQ]],0),FALSE),"")</f>
        <v/>
      </c>
    </row>
    <row r="283" spans="1:27">
      <c r="A283">
        <f>COUNTIF($W$22:W283,1)</f>
        <v>0</v>
      </c>
      <c r="B283">
        <v>283</v>
      </c>
      <c r="C283" s="340" t="str">
        <f>Tabulka1[[#This Row],[KOD]]</f>
        <v>HF24733RK</v>
      </c>
      <c r="W283" s="804" t="str">
        <f t="shared" si="11"/>
        <v/>
      </c>
      <c r="X283" t="str">
        <f t="shared" si="12"/>
        <v/>
      </c>
      <c r="Y283" s="341">
        <f>IF('General price list'!$AB285="",0,'General price list'!$AB285)</f>
        <v>0</v>
      </c>
      <c r="Z283" s="365" t="str">
        <f>IFERROR(X283*VLOOKUP(C283,'General price list'!C:I,7,FALSE),"")</f>
        <v/>
      </c>
      <c r="AA283" s="805" t="str">
        <f>IF(X283&lt;&gt;"",VLOOKUP(C283,'General price list'!C285:AN1258,MATCH("HM",Tabulka1[[#Headers],[KOD]:[NEQ]],0),FALSE),"")</f>
        <v/>
      </c>
    </row>
    <row r="284" spans="1:27">
      <c r="A284">
        <f>COUNTIF($W$22:W284,1)</f>
        <v>0</v>
      </c>
      <c r="B284">
        <v>284</v>
      </c>
      <c r="C284" s="340" t="str">
        <f>Tabulka1[[#This Row],[KOD]]</f>
        <v>RS4H14</v>
      </c>
      <c r="W284" s="804" t="str">
        <f t="shared" si="11"/>
        <v/>
      </c>
      <c r="X284" t="str">
        <f t="shared" si="12"/>
        <v/>
      </c>
      <c r="Y284" s="341">
        <f>IF('General price list'!$AB286="",0,'General price list'!$AB286)</f>
        <v>0</v>
      </c>
      <c r="Z284" s="365" t="str">
        <f>IFERROR(X284*VLOOKUP(C284,'General price list'!C:I,7,FALSE),"")</f>
        <v/>
      </c>
      <c r="AA284" s="805" t="str">
        <f>IF(X284&lt;&gt;"",VLOOKUP(C284,'General price list'!C286:AN1259,MATCH("HM",Tabulka1[[#Headers],[KOD]:[NEQ]],0),FALSE),"")</f>
        <v/>
      </c>
    </row>
    <row r="285" spans="1:27">
      <c r="A285">
        <f>COUNTIF($W$22:W285,1)</f>
        <v>0</v>
      </c>
      <c r="B285">
        <v>285</v>
      </c>
      <c r="C285" s="340" t="str">
        <f>Tabulka1[[#This Row],[KOD]]</f>
        <v>RS7MD14</v>
      </c>
      <c r="W285" s="804" t="str">
        <f t="shared" si="11"/>
        <v/>
      </c>
      <c r="X285" t="str">
        <f t="shared" si="12"/>
        <v/>
      </c>
      <c r="Y285" s="341">
        <f>IF('General price list'!$AB287="",0,'General price list'!$AB287)</f>
        <v>0</v>
      </c>
      <c r="Z285" s="365" t="str">
        <f>IFERROR(X285*VLOOKUP(C285,'General price list'!C:I,7,FALSE),"")</f>
        <v/>
      </c>
      <c r="AA285" s="805" t="str">
        <f>IF(X285&lt;&gt;"",VLOOKUP(C285,'General price list'!C287:AN1260,MATCH("HM",Tabulka1[[#Headers],[KOD]:[NEQ]],0),FALSE),"")</f>
        <v/>
      </c>
    </row>
    <row r="286" spans="1:27">
      <c r="A286">
        <f>COUNTIF($W$22:W286,1)</f>
        <v>0</v>
      </c>
      <c r="B286">
        <v>286</v>
      </c>
      <c r="C286" s="340" t="str">
        <f>Tabulka1[[#This Row],[KOD]]</f>
        <v>RS7T14</v>
      </c>
      <c r="W286" s="804" t="str">
        <f t="shared" si="11"/>
        <v/>
      </c>
      <c r="X286" t="str">
        <f t="shared" si="12"/>
        <v/>
      </c>
      <c r="Y286" s="341">
        <f>IF('General price list'!$AB288="",0,'General price list'!$AB288)</f>
        <v>0</v>
      </c>
      <c r="Z286" s="365" t="str">
        <f>IFERROR(X286*VLOOKUP(C286,'General price list'!C:I,7,FALSE),"")</f>
        <v/>
      </c>
      <c r="AA286" s="805" t="str">
        <f>IF(X286&lt;&gt;"",VLOOKUP(C286,'General price list'!C288:AN1261,MATCH("HM",Tabulka1[[#Headers],[KOD]:[NEQ]],0),FALSE),"")</f>
        <v/>
      </c>
    </row>
    <row r="287" spans="1:27">
      <c r="A287">
        <f>COUNTIF($W$22:W287,1)</f>
        <v>0</v>
      </c>
      <c r="B287">
        <v>287</v>
      </c>
      <c r="C287" s="340" t="str">
        <f>Tabulka1[[#This Row],[KOD]]</f>
        <v>RS9T14</v>
      </c>
      <c r="W287" s="804" t="str">
        <f t="shared" si="11"/>
        <v/>
      </c>
      <c r="X287" t="str">
        <f t="shared" si="12"/>
        <v/>
      </c>
      <c r="Y287" s="341">
        <f>IF('General price list'!$AB289="",0,'General price list'!$AB289)</f>
        <v>0</v>
      </c>
      <c r="Z287" s="365" t="str">
        <f>IFERROR(X287*VLOOKUP(C287,'General price list'!C:I,7,FALSE),"")</f>
        <v/>
      </c>
      <c r="AA287" s="805" t="str">
        <f>IF(X287&lt;&gt;"",VLOOKUP(C287,'General price list'!C289:AN1262,MATCH("HM",Tabulka1[[#Headers],[KOD]:[NEQ]],0),FALSE),"")</f>
        <v/>
      </c>
    </row>
    <row r="288" spans="1:27">
      <c r="A288">
        <f>COUNTIF($W$22:W288,1)</f>
        <v>0</v>
      </c>
      <c r="B288">
        <v>288</v>
      </c>
      <c r="C288" s="340" t="str">
        <f>Tabulka1[[#This Row],[KOD]]</f>
        <v>RS9P14</v>
      </c>
      <c r="W288" s="804" t="str">
        <f t="shared" si="11"/>
        <v/>
      </c>
      <c r="X288" t="str">
        <f t="shared" si="12"/>
        <v/>
      </c>
      <c r="Y288" s="341">
        <f>IF('General price list'!$AB290="",0,'General price list'!$AB290)</f>
        <v>0</v>
      </c>
      <c r="Z288" s="365" t="str">
        <f>IFERROR(X288*VLOOKUP(C288,'General price list'!C:I,7,FALSE),"")</f>
        <v/>
      </c>
      <c r="AA288" s="805" t="str">
        <f>IF(X288&lt;&gt;"",VLOOKUP(C288,'General price list'!C290:AN1263,MATCH("HM",Tabulka1[[#Headers],[KOD]:[NEQ]],0),FALSE),"")</f>
        <v/>
      </c>
    </row>
    <row r="289" spans="1:27">
      <c r="A289">
        <f>COUNTIF($W$22:W289,1)</f>
        <v>0</v>
      </c>
      <c r="B289">
        <v>289</v>
      </c>
      <c r="C289" s="340" t="str">
        <f>Tabulka1[[#This Row],[KOD]]</f>
        <v>RS11HF2</v>
      </c>
      <c r="W289" s="804" t="str">
        <f t="shared" si="11"/>
        <v/>
      </c>
      <c r="X289" t="str">
        <f t="shared" si="12"/>
        <v/>
      </c>
      <c r="Y289" s="341">
        <f>IF('General price list'!$AB291="",0,'General price list'!$AB291)</f>
        <v>0</v>
      </c>
      <c r="Z289" s="365" t="str">
        <f>IFERROR(X289*VLOOKUP(C289,'General price list'!C:I,7,FALSE),"")</f>
        <v/>
      </c>
      <c r="AA289" s="805" t="str">
        <f>IF(X289&lt;&gt;"",VLOOKUP(C289,'General price list'!C291:AN1264,MATCH("HM",Tabulka1[[#Headers],[KOD]:[NEQ]],0),FALSE),"")</f>
        <v/>
      </c>
    </row>
    <row r="290" spans="1:27">
      <c r="A290">
        <f>COUNTIF($W$22:W290,1)</f>
        <v>0</v>
      </c>
      <c r="B290">
        <v>290</v>
      </c>
      <c r="C290" s="340" t="str">
        <f>Tabulka1[[#This Row],[KOD]]</f>
        <v>SP3CF2</v>
      </c>
      <c r="W290" s="804" t="str">
        <f t="shared" si="11"/>
        <v/>
      </c>
      <c r="X290" t="str">
        <f t="shared" si="12"/>
        <v/>
      </c>
      <c r="Y290" s="341">
        <f>IF('General price list'!$AB292="",0,'General price list'!$AB292)</f>
        <v>0</v>
      </c>
      <c r="Z290" s="365" t="str">
        <f>IFERROR(X290*VLOOKUP(C290,'General price list'!C:I,7,FALSE),"")</f>
        <v/>
      </c>
      <c r="AA290" s="805" t="str">
        <f>IF(X290&lt;&gt;"",VLOOKUP(C290,'General price list'!C292:AN1265,MATCH("HM",Tabulka1[[#Headers],[KOD]:[NEQ]],0),FALSE),"")</f>
        <v/>
      </c>
    </row>
    <row r="291" spans="1:27">
      <c r="A291">
        <f>COUNTIF($W$22:W291,1)</f>
        <v>0</v>
      </c>
      <c r="B291">
        <v>291</v>
      </c>
      <c r="C291" s="340" t="str">
        <f>Tabulka1[[#This Row],[KOD]]</f>
        <v>RS18TF2</v>
      </c>
      <c r="W291" s="804" t="str">
        <f t="shared" si="11"/>
        <v/>
      </c>
      <c r="X291" t="str">
        <f t="shared" si="12"/>
        <v/>
      </c>
      <c r="Y291" s="341">
        <f>IF('General price list'!$AB293="",0,'General price list'!$AB293)</f>
        <v>0</v>
      </c>
      <c r="Z291" s="365" t="str">
        <f>IFERROR(X291*VLOOKUP(C291,'General price list'!C:I,7,FALSE),"")</f>
        <v/>
      </c>
      <c r="AA291" s="805" t="str">
        <f>IF(X291&lt;&gt;"",VLOOKUP(C291,'General price list'!C293:AN1266,MATCH("HM",Tabulka1[[#Headers],[KOD]:[NEQ]],0),FALSE),"")</f>
        <v/>
      </c>
    </row>
    <row r="292" spans="1:27">
      <c r="A292">
        <f>COUNTIF($W$22:W292,1)</f>
        <v>0</v>
      </c>
      <c r="B292">
        <v>292</v>
      </c>
      <c r="C292" s="340" t="str">
        <f>Tabulka1[[#This Row],[KOD]]</f>
        <v>RS18SF2</v>
      </c>
      <c r="W292" s="804" t="str">
        <f t="shared" si="11"/>
        <v/>
      </c>
      <c r="X292" t="str">
        <f t="shared" si="12"/>
        <v/>
      </c>
      <c r="Y292" s="341">
        <f>IF('General price list'!$AB294="",0,'General price list'!$AB294)</f>
        <v>0</v>
      </c>
      <c r="Z292" s="365" t="str">
        <f>IFERROR(X292*VLOOKUP(C292,'General price list'!C:I,7,FALSE),"")</f>
        <v/>
      </c>
      <c r="AA292" s="805" t="str">
        <f>IF(X292&lt;&gt;"",VLOOKUP(C292,'General price list'!C294:AN1267,MATCH("HM",Tabulka1[[#Headers],[KOD]:[NEQ]],0),FALSE),"")</f>
        <v/>
      </c>
    </row>
    <row r="293" spans="1:27">
      <c r="A293">
        <f>COUNTIF($W$22:W293,1)</f>
        <v>0</v>
      </c>
      <c r="B293">
        <v>293</v>
      </c>
      <c r="C293" s="340" t="str">
        <f>Tabulka1[[#This Row],[KOD]]</f>
        <v>RS21Z14</v>
      </c>
      <c r="W293" s="804" t="str">
        <f t="shared" si="11"/>
        <v/>
      </c>
      <c r="X293" t="str">
        <f t="shared" si="12"/>
        <v/>
      </c>
      <c r="Y293" s="341">
        <f>IF('General price list'!$AB295="",0,'General price list'!$AB295)</f>
        <v>0</v>
      </c>
      <c r="Z293" s="365" t="str">
        <f>IFERROR(X293*VLOOKUP(C293,'General price list'!C:I,7,FALSE),"")</f>
        <v/>
      </c>
      <c r="AA293" s="805" t="str">
        <f>IF(X293&lt;&gt;"",VLOOKUP(C293,'General price list'!C295:AN1268,MATCH("HM",Tabulka1[[#Headers],[KOD]:[NEQ]],0),FALSE),"")</f>
        <v/>
      </c>
    </row>
    <row r="294" spans="1:27">
      <c r="A294">
        <f>COUNTIF($W$22:W294,1)</f>
        <v>0</v>
      </c>
      <c r="B294">
        <v>294</v>
      </c>
      <c r="C294" s="340" t="str">
        <f>Tabulka1[[#This Row],[KOD]]</f>
        <v>RS33R14</v>
      </c>
      <c r="W294" s="804" t="str">
        <f t="shared" si="11"/>
        <v/>
      </c>
      <c r="X294" t="str">
        <f t="shared" si="12"/>
        <v/>
      </c>
      <c r="Y294" s="341">
        <f>IF('General price list'!$AB296="",0,'General price list'!$AB296)</f>
        <v>0</v>
      </c>
      <c r="Z294" s="365" t="str">
        <f>IFERROR(X294*VLOOKUP(C294,'General price list'!C:I,7,FALSE),"")</f>
        <v/>
      </c>
      <c r="AA294" s="805" t="str">
        <f>IF(X294&lt;&gt;"",VLOOKUP(C294,'General price list'!C296:AN1269,MATCH("HM",Tabulka1[[#Headers],[KOD]:[NEQ]],0),FALSE),"")</f>
        <v/>
      </c>
    </row>
    <row r="295" spans="1:27">
      <c r="A295">
        <f>COUNTIF($W$22:W295,1)</f>
        <v>0</v>
      </c>
      <c r="B295">
        <v>295</v>
      </c>
      <c r="C295" s="340" t="str">
        <f>Tabulka1[[#This Row],[KOD]]</f>
        <v>RSSF2</v>
      </c>
      <c r="W295" s="804" t="str">
        <f t="shared" si="11"/>
        <v/>
      </c>
      <c r="X295" t="str">
        <f t="shared" si="12"/>
        <v/>
      </c>
      <c r="Y295" s="341">
        <f>IF('General price list'!$AB297="",0,'General price list'!$AB297)</f>
        <v>0</v>
      </c>
      <c r="Z295" s="365" t="str">
        <f>IFERROR(X295*VLOOKUP(C295,'General price list'!C:I,7,FALSE),"")</f>
        <v/>
      </c>
      <c r="AA295" s="805" t="str">
        <f>IF(X295&lt;&gt;"",VLOOKUP(C295,'General price list'!C297:AN1270,MATCH("HM",Tabulka1[[#Headers],[KOD]:[NEQ]],0),FALSE),"")</f>
        <v/>
      </c>
    </row>
    <row r="296" spans="1:27">
      <c r="A296">
        <f>COUNTIF($W$22:W296,1)</f>
        <v>0</v>
      </c>
      <c r="B296">
        <v>296</v>
      </c>
      <c r="C296" s="340" t="str">
        <f>Tabulka1[[#This Row],[KOD]]</f>
        <v>RSS75</v>
      </c>
      <c r="W296" s="804" t="str">
        <f t="shared" si="11"/>
        <v/>
      </c>
      <c r="X296" t="str">
        <f t="shared" si="12"/>
        <v/>
      </c>
      <c r="Y296" s="341">
        <f>IF('General price list'!$AB298="",0,'General price list'!$AB298)</f>
        <v>0</v>
      </c>
      <c r="Z296" s="365" t="str">
        <f>IFERROR(X296*VLOOKUP(C296,'General price list'!C:I,7,FALSE),"")</f>
        <v/>
      </c>
      <c r="AA296" s="805" t="str">
        <f>IF(X296&lt;&gt;"",VLOOKUP(C296,'General price list'!C298:AN1271,MATCH("HM",Tabulka1[[#Headers],[KOD]:[NEQ]],0),FALSE),"")</f>
        <v/>
      </c>
    </row>
    <row r="297" spans="1:27">
      <c r="A297">
        <f>COUNTIF($W$22:W297,1)</f>
        <v>0</v>
      </c>
      <c r="B297">
        <v>297</v>
      </c>
      <c r="C297" s="340">
        <f>Tabulka1[[#This Row],[KOD]]</f>
        <v>0</v>
      </c>
      <c r="W297" s="804" t="str">
        <f t="shared" si="11"/>
        <v/>
      </c>
      <c r="X297" t="str">
        <f t="shared" si="12"/>
        <v/>
      </c>
      <c r="Y297" s="341">
        <f>IF('General price list'!$AB299="",0,'General price list'!$AB299)</f>
        <v>0</v>
      </c>
      <c r="Z297" s="365" t="str">
        <f>IFERROR(X297*VLOOKUP(C297,'General price list'!C:I,7,FALSE),"")</f>
        <v/>
      </c>
      <c r="AA297" s="805" t="str">
        <f>IF(X297&lt;&gt;"",VLOOKUP(C297,'General price list'!C299:AN1272,MATCH("HM",Tabulka1[[#Headers],[KOD]:[NEQ]],0),FALSE),"")</f>
        <v/>
      </c>
    </row>
    <row r="298" spans="1:27">
      <c r="A298">
        <f>COUNTIF($W$22:W298,1)</f>
        <v>0</v>
      </c>
      <c r="B298">
        <v>298</v>
      </c>
      <c r="C298" s="340" t="str">
        <f>Tabulka1[[#This Row],[KOD]]</f>
        <v>RS4D</v>
      </c>
      <c r="W298" s="804" t="str">
        <f t="shared" si="11"/>
        <v/>
      </c>
      <c r="X298" t="str">
        <f t="shared" si="12"/>
        <v/>
      </c>
      <c r="Y298" s="341">
        <f>IF('General price list'!$AB300="",0,'General price list'!$AB300)</f>
        <v>0</v>
      </c>
      <c r="Z298" s="365" t="str">
        <f>IFERROR(X298*VLOOKUP(C298,'General price list'!C:I,7,FALSE),"")</f>
        <v/>
      </c>
      <c r="AA298" s="805" t="str">
        <f>IF(X298&lt;&gt;"",VLOOKUP(C298,'General price list'!C300:AN1273,MATCH("HM",Tabulka1[[#Headers],[KOD]:[NEQ]],0),FALSE),"")</f>
        <v/>
      </c>
    </row>
    <row r="299" spans="1:27">
      <c r="A299">
        <f>COUNTIF($W$22:W299,1)</f>
        <v>0</v>
      </c>
      <c r="B299">
        <v>299</v>
      </c>
      <c r="C299" s="340" t="str">
        <f>Tabulka1[[#This Row],[KOD]]</f>
        <v>SP3C</v>
      </c>
      <c r="W299" s="804" t="str">
        <f t="shared" si="11"/>
        <v/>
      </c>
      <c r="X299" t="str">
        <f t="shared" si="12"/>
        <v/>
      </c>
      <c r="Y299" s="341">
        <f>IF('General price list'!$AB301="",0,'General price list'!$AB301)</f>
        <v>0</v>
      </c>
      <c r="Z299" s="365" t="str">
        <f>IFERROR(X299*VLOOKUP(C299,'General price list'!C:I,7,FALSE),"")</f>
        <v/>
      </c>
      <c r="AA299" s="805" t="str">
        <f>IF(X299&lt;&gt;"",VLOOKUP(C299,'General price list'!C301:AN1274,MATCH("HM",Tabulka1[[#Headers],[KOD]:[NEQ]],0),FALSE),"")</f>
        <v/>
      </c>
    </row>
    <row r="300" spans="1:27">
      <c r="A300">
        <f>COUNTIF($W$22:W300,1)</f>
        <v>0</v>
      </c>
      <c r="B300">
        <v>300</v>
      </c>
      <c r="C300" s="340" t="str">
        <f>Tabulka1[[#This Row],[KOD]]</f>
        <v>RS18T</v>
      </c>
      <c r="W300" s="804" t="str">
        <f t="shared" si="11"/>
        <v/>
      </c>
      <c r="X300" t="str">
        <f t="shared" si="12"/>
        <v/>
      </c>
      <c r="Y300" s="341">
        <f>IF('General price list'!$AB302="",0,'General price list'!$AB302)</f>
        <v>0</v>
      </c>
      <c r="Z300" s="365" t="str">
        <f>IFERROR(X300*VLOOKUP(C300,'General price list'!C:I,7,FALSE),"")</f>
        <v/>
      </c>
      <c r="AA300" s="805" t="str">
        <f>IF(X300&lt;&gt;"",VLOOKUP(C300,'General price list'!C302:AN1275,MATCH("HM",Tabulka1[[#Headers],[KOD]:[NEQ]],0),FALSE),"")</f>
        <v/>
      </c>
    </row>
    <row r="301" spans="1:27">
      <c r="A301">
        <f>COUNTIF($W$22:W301,1)</f>
        <v>0</v>
      </c>
      <c r="B301">
        <v>301</v>
      </c>
      <c r="C301" s="340" t="str">
        <f>Tabulka1[[#This Row],[KOD]]</f>
        <v>RS18S</v>
      </c>
      <c r="W301" s="804" t="str">
        <f t="shared" si="11"/>
        <v/>
      </c>
      <c r="X301" t="str">
        <f t="shared" si="12"/>
        <v/>
      </c>
      <c r="Y301" s="341">
        <f>IF('General price list'!$AB303="",0,'General price list'!$AB303)</f>
        <v>0</v>
      </c>
      <c r="Z301" s="365" t="str">
        <f>IFERROR(X301*VLOOKUP(C301,'General price list'!C:I,7,FALSE),"")</f>
        <v/>
      </c>
      <c r="AA301" s="805" t="str">
        <f>IF(X301&lt;&gt;"",VLOOKUP(C301,'General price list'!C303:AN1276,MATCH("HM",Tabulka1[[#Headers],[KOD]:[NEQ]],0),FALSE),"")</f>
        <v/>
      </c>
    </row>
    <row r="302" spans="1:27">
      <c r="A302">
        <f>COUNTIF($W$22:W302,1)</f>
        <v>0</v>
      </c>
      <c r="B302">
        <v>302</v>
      </c>
      <c r="C302" s="340" t="str">
        <f>Tabulka1[[#This Row],[KOD]]</f>
        <v>RS33R</v>
      </c>
      <c r="W302" s="804" t="str">
        <f t="shared" si="11"/>
        <v/>
      </c>
      <c r="X302" t="str">
        <f t="shared" si="12"/>
        <v/>
      </c>
      <c r="Y302" s="341">
        <f>IF('General price list'!$AB304="",0,'General price list'!$AB304)</f>
        <v>0</v>
      </c>
      <c r="Z302" s="365" t="str">
        <f>IFERROR(X302*VLOOKUP(C302,'General price list'!C:I,7,FALSE),"")</f>
        <v/>
      </c>
      <c r="AA302" s="805" t="str">
        <f>IF(X302&lt;&gt;"",VLOOKUP(C302,'General price list'!C304:AN1277,MATCH("HM",Tabulka1[[#Headers],[KOD]:[NEQ]],0),FALSE),"")</f>
        <v/>
      </c>
    </row>
    <row r="303" spans="1:27">
      <c r="A303">
        <f>COUNTIF($W$22:W303,1)</f>
        <v>0</v>
      </c>
      <c r="B303">
        <v>303</v>
      </c>
      <c r="C303" s="340" t="str">
        <f>Tabulka1[[#This Row],[KOD]]</f>
        <v>RSS100</v>
      </c>
      <c r="W303" s="804" t="str">
        <f t="shared" si="11"/>
        <v/>
      </c>
      <c r="X303" t="str">
        <f t="shared" si="12"/>
        <v/>
      </c>
      <c r="Y303" s="341">
        <f>IF('General price list'!$AB305="",0,'General price list'!$AB305)</f>
        <v>0</v>
      </c>
      <c r="Z303" s="365" t="str">
        <f>IFERROR(X303*VLOOKUP(C303,'General price list'!C:I,7,FALSE),"")</f>
        <v/>
      </c>
      <c r="AA303" s="805" t="str">
        <f>IF(X303&lt;&gt;"",VLOOKUP(C303,'General price list'!C305:AN1278,MATCH("HM",Tabulka1[[#Headers],[KOD]:[NEQ]],0),FALSE),"")</f>
        <v/>
      </c>
    </row>
    <row r="304" spans="1:27">
      <c r="A304">
        <f>COUNTIF($W$22:W304,1)</f>
        <v>0</v>
      </c>
      <c r="B304">
        <v>304</v>
      </c>
      <c r="C304" s="340" t="str">
        <f>Tabulka1[[#This Row],[KOD]]</f>
        <v>R170B</v>
      </c>
      <c r="W304" s="804" t="str">
        <f t="shared" si="11"/>
        <v/>
      </c>
      <c r="X304" t="str">
        <f t="shared" si="12"/>
        <v/>
      </c>
      <c r="Y304" s="341">
        <f>IF('General price list'!$AB306="",0,'General price list'!$AB306)</f>
        <v>0</v>
      </c>
      <c r="Z304" s="365" t="str">
        <f>IFERROR(X304*VLOOKUP(C304,'General price list'!C:I,7,FALSE),"")</f>
        <v/>
      </c>
      <c r="AA304" s="805" t="str">
        <f>IF(X304&lt;&gt;"",VLOOKUP(C304,'General price list'!C306:AN1279,MATCH("HM",Tabulka1[[#Headers],[KOD]:[NEQ]],0),FALSE),"")</f>
        <v/>
      </c>
    </row>
    <row r="305" spans="1:27">
      <c r="A305">
        <f>COUNTIF($W$22:W305,1)</f>
        <v>0</v>
      </c>
      <c r="B305">
        <v>305</v>
      </c>
      <c r="C305" s="340" t="str">
        <f>Tabulka1[[#This Row],[KOD]]</f>
        <v>R170X</v>
      </c>
      <c r="W305" s="804" t="str">
        <f t="shared" si="11"/>
        <v/>
      </c>
      <c r="X305" t="str">
        <f t="shared" si="12"/>
        <v/>
      </c>
      <c r="Y305" s="341">
        <f>IF('General price list'!$AB307="",0,'General price list'!$AB307)</f>
        <v>0</v>
      </c>
      <c r="Z305" s="365" t="str">
        <f>IFERROR(X305*VLOOKUP(C305,'General price list'!C:I,7,FALSE),"")</f>
        <v/>
      </c>
      <c r="AA305" s="805" t="str">
        <f>IF(X305&lt;&gt;"",VLOOKUP(C305,'General price list'!C307:AN1280,MATCH("HM",Tabulka1[[#Headers],[KOD]:[NEQ]],0),FALSE),"")</f>
        <v/>
      </c>
    </row>
    <row r="306" spans="1:27">
      <c r="A306">
        <f>COUNTIF($W$22:W306,1)</f>
        <v>0</v>
      </c>
      <c r="B306">
        <v>306</v>
      </c>
      <c r="C306" s="340" t="str">
        <f>Tabulka1[[#This Row],[KOD]]</f>
        <v>R170M</v>
      </c>
      <c r="W306" s="804" t="str">
        <f t="shared" si="11"/>
        <v/>
      </c>
      <c r="X306" t="str">
        <f t="shared" si="12"/>
        <v/>
      </c>
      <c r="Y306" s="341">
        <f>IF('General price list'!$AB308="",0,'General price list'!$AB308)</f>
        <v>0</v>
      </c>
      <c r="Z306" s="365" t="str">
        <f>IFERROR(X306*VLOOKUP(C306,'General price list'!C:I,7,FALSE),"")</f>
        <v/>
      </c>
      <c r="AA306" s="805" t="str">
        <f>IF(X306&lt;&gt;"",VLOOKUP(C306,'General price list'!C308:AN1281,MATCH("HM",Tabulka1[[#Headers],[KOD]:[NEQ]],0),FALSE),"")</f>
        <v/>
      </c>
    </row>
    <row r="307" spans="1:27">
      <c r="A307">
        <f>COUNTIF($W$22:W307,1)</f>
        <v>0</v>
      </c>
      <c r="B307">
        <v>307</v>
      </c>
      <c r="C307" s="340" t="str">
        <f>Tabulka1[[#This Row],[KOD]]</f>
        <v>RSSF3</v>
      </c>
      <c r="W307" s="804" t="str">
        <f t="shared" si="11"/>
        <v/>
      </c>
      <c r="X307" t="str">
        <f t="shared" si="12"/>
        <v/>
      </c>
      <c r="Y307" s="341">
        <f>IF('General price list'!$AB309="",0,'General price list'!$AB309)</f>
        <v>0</v>
      </c>
      <c r="Z307" s="365" t="str">
        <f>IFERROR(X307*VLOOKUP(C307,'General price list'!C:I,7,FALSE),"")</f>
        <v/>
      </c>
      <c r="AA307" s="805" t="str">
        <f>IF(X307&lt;&gt;"",VLOOKUP(C307,'General price list'!C309:AN1282,MATCH("HM",Tabulka1[[#Headers],[KOD]:[NEQ]],0),FALSE),"")</f>
        <v/>
      </c>
    </row>
    <row r="308" spans="1:27">
      <c r="A308">
        <f>COUNTIF($W$22:W308,1)</f>
        <v>0</v>
      </c>
      <c r="B308">
        <v>308</v>
      </c>
      <c r="C308" s="340">
        <f>Tabulka1[[#This Row],[KOD]]</f>
        <v>0</v>
      </c>
      <c r="W308" s="804" t="str">
        <f t="shared" si="11"/>
        <v/>
      </c>
      <c r="X308" t="str">
        <f t="shared" si="12"/>
        <v/>
      </c>
      <c r="Y308" s="341">
        <f>IF('General price list'!$AB310="",0,'General price list'!$AB310)</f>
        <v>0</v>
      </c>
      <c r="Z308" s="365" t="str">
        <f>IFERROR(X308*VLOOKUP(C308,'General price list'!C:I,7,FALSE),"")</f>
        <v/>
      </c>
      <c r="AA308" s="805" t="str">
        <f>IF(X308&lt;&gt;"",VLOOKUP(C308,'General price list'!C310:AN1283,MATCH("HM",Tabulka1[[#Headers],[KOD]:[NEQ]],0),FALSE),"")</f>
        <v/>
      </c>
    </row>
    <row r="309" spans="1:27">
      <c r="A309">
        <f>COUNTIF($W$22:W309,1)</f>
        <v>0</v>
      </c>
      <c r="B309">
        <v>309</v>
      </c>
      <c r="C309" s="340" t="str">
        <f>Tabulka1[[#This Row],[KOD]]</f>
        <v>TIDB1L</v>
      </c>
      <c r="W309" s="804" t="str">
        <f t="shared" si="11"/>
        <v/>
      </c>
      <c r="X309" t="str">
        <f t="shared" si="12"/>
        <v/>
      </c>
      <c r="Y309" s="341">
        <f>IF('General price list'!$AB311="",0,'General price list'!$AB311)</f>
        <v>0</v>
      </c>
      <c r="Z309" s="365" t="str">
        <f>IFERROR(X309*VLOOKUP(C309,'General price list'!C:I,7,FALSE),"")</f>
        <v/>
      </c>
      <c r="AA309" s="805" t="str">
        <f>IF(X309&lt;&gt;"",VLOOKUP(C309,'General price list'!C311:AN1284,MATCH("HM",Tabulka1[[#Headers],[KOD]:[NEQ]],0),FALSE),"")</f>
        <v/>
      </c>
    </row>
    <row r="310" spans="1:27">
      <c r="A310">
        <f>COUNTIF($W$22:W310,1)</f>
        <v>0</v>
      </c>
      <c r="B310">
        <v>310</v>
      </c>
      <c r="C310" s="340" t="str">
        <f>Tabulka1[[#This Row],[KOD]]</f>
        <v>TPD1L</v>
      </c>
      <c r="W310" s="804" t="str">
        <f t="shared" si="11"/>
        <v/>
      </c>
      <c r="X310" t="str">
        <f t="shared" si="12"/>
        <v/>
      </c>
      <c r="Y310" s="341">
        <f>IF('General price list'!$AB312="",0,'General price list'!$AB312)</f>
        <v>0</v>
      </c>
      <c r="Z310" s="365" t="str">
        <f>IFERROR(X310*VLOOKUP(C310,'General price list'!C:I,7,FALSE),"")</f>
        <v/>
      </c>
      <c r="AA310" s="805" t="str">
        <f>IF(X310&lt;&gt;"",VLOOKUP(C310,'General price list'!C312:AN1285,MATCH("HM",Tabulka1[[#Headers],[KOD]:[NEQ]],0),FALSE),"")</f>
        <v/>
      </c>
    </row>
    <row r="311" spans="1:27">
      <c r="A311">
        <f>COUNTIF($W$22:W311,1)</f>
        <v>0</v>
      </c>
      <c r="B311">
        <v>311</v>
      </c>
      <c r="C311" s="340" t="str">
        <f>Tabulka1[[#This Row],[KOD]]</f>
        <v>TPD1XL</v>
      </c>
      <c r="W311" s="804" t="str">
        <f t="shared" si="11"/>
        <v/>
      </c>
      <c r="X311" t="str">
        <f t="shared" si="12"/>
        <v/>
      </c>
      <c r="Y311" s="341">
        <f>IF('General price list'!$AB313="",0,'General price list'!$AB313)</f>
        <v>0</v>
      </c>
      <c r="Z311" s="365" t="str">
        <f>IFERROR(X311*VLOOKUP(C311,'General price list'!C:I,7,FALSE),"")</f>
        <v/>
      </c>
      <c r="AA311" s="805" t="str">
        <f>IF(X311&lt;&gt;"",VLOOKUP(C311,'General price list'!C313:AN1286,MATCH("HM",Tabulka1[[#Headers],[KOD]:[NEQ]],0),FALSE),"")</f>
        <v/>
      </c>
    </row>
    <row r="312" spans="1:27">
      <c r="A312">
        <f>COUNTIF($W$22:W312,1)</f>
        <v>0</v>
      </c>
      <c r="B312">
        <v>312</v>
      </c>
      <c r="C312" s="340" t="str">
        <f>Tabulka1[[#This Row],[KOD]]</f>
        <v>BD1XXL</v>
      </c>
      <c r="W312" s="804" t="str">
        <f t="shared" si="11"/>
        <v/>
      </c>
      <c r="X312" t="str">
        <f t="shared" si="12"/>
        <v/>
      </c>
      <c r="Y312" s="341">
        <f>IF('General price list'!$AB314="",0,'General price list'!$AB314)</f>
        <v>0</v>
      </c>
      <c r="Z312" s="365" t="str">
        <f>IFERROR(X312*VLOOKUP(C312,'General price list'!C:I,7,FALSE),"")</f>
        <v/>
      </c>
      <c r="AA312" s="805" t="str">
        <f>IF(X312&lt;&gt;"",VLOOKUP(C312,'General price list'!C314:AN1287,MATCH("HM",Tabulka1[[#Headers],[KOD]:[NEQ]],0),FALSE),"")</f>
        <v/>
      </c>
    </row>
    <row r="313" spans="1:27">
      <c r="A313">
        <f>COUNTIF($W$22:W313,1)</f>
        <v>0</v>
      </c>
      <c r="B313">
        <v>313</v>
      </c>
      <c r="C313" s="340">
        <f>Tabulka1[[#This Row],[KOD]]</f>
        <v>0</v>
      </c>
      <c r="W313" s="804" t="str">
        <f t="shared" si="11"/>
        <v/>
      </c>
      <c r="X313" t="str">
        <f t="shared" si="12"/>
        <v/>
      </c>
      <c r="Y313" s="341">
        <f>IF('General price list'!$AB315="",0,'General price list'!$AB315)</f>
        <v>0</v>
      </c>
      <c r="Z313" s="365" t="str">
        <f>IFERROR(X313*VLOOKUP(C313,'General price list'!C:I,7,FALSE),"")</f>
        <v/>
      </c>
      <c r="AA313" s="805" t="str">
        <f>IF(X313&lt;&gt;"",VLOOKUP(C313,'General price list'!C315:AN1288,MATCH("HM",Tabulka1[[#Headers],[KOD]:[NEQ]],0),FALSE),"")</f>
        <v/>
      </c>
    </row>
    <row r="314" spans="1:27">
      <c r="A314">
        <f>COUNTIF($W$22:W314,1)</f>
        <v>0</v>
      </c>
      <c r="B314">
        <v>314</v>
      </c>
      <c r="C314" s="340" t="str">
        <f>Tabulka1[[#This Row],[KOD]]</f>
        <v>TDLE1M</v>
      </c>
      <c r="W314" s="804" t="str">
        <f t="shared" si="11"/>
        <v/>
      </c>
      <c r="X314" t="str">
        <f t="shared" si="12"/>
        <v/>
      </c>
      <c r="Y314" s="341">
        <f>IF('General price list'!$AB316="",0,'General price list'!$AB316)</f>
        <v>0</v>
      </c>
      <c r="Z314" s="365" t="str">
        <f>IFERROR(X314*VLOOKUP(C314,'General price list'!C:I,7,FALSE),"")</f>
        <v/>
      </c>
      <c r="AA314" s="805" t="str">
        <f>IF(X314&lt;&gt;"",VLOOKUP(C314,'General price list'!C316:AN1289,MATCH("HM",Tabulka1[[#Headers],[KOD]:[NEQ]],0),FALSE),"")</f>
        <v/>
      </c>
    </row>
    <row r="315" spans="1:27">
      <c r="A315">
        <f>COUNTIF($W$22:W315,1)</f>
        <v>0</v>
      </c>
      <c r="B315">
        <v>315</v>
      </c>
      <c r="C315" s="340" t="str">
        <f>Tabulka1[[#This Row],[KOD]]</f>
        <v>TDLE1L</v>
      </c>
      <c r="W315" s="804" t="str">
        <f t="shared" si="11"/>
        <v/>
      </c>
      <c r="X315" t="str">
        <f t="shared" si="12"/>
        <v/>
      </c>
      <c r="Y315" s="341">
        <f>IF('General price list'!$AB317="",0,'General price list'!$AB317)</f>
        <v>0</v>
      </c>
      <c r="Z315" s="365" t="str">
        <f>IFERROR(X315*VLOOKUP(C315,'General price list'!C:I,7,FALSE),"")</f>
        <v/>
      </c>
      <c r="AA315" s="805" t="str">
        <f>IF(X315&lt;&gt;"",VLOOKUP(C315,'General price list'!C317:AN1290,MATCH("HM",Tabulka1[[#Headers],[KOD]:[NEQ]],0),FALSE),"")</f>
        <v/>
      </c>
    </row>
    <row r="316" spans="1:27">
      <c r="A316">
        <f>COUNTIF($W$22:W316,1)</f>
        <v>0</v>
      </c>
      <c r="B316">
        <v>316</v>
      </c>
      <c r="C316" s="340" t="str">
        <f>Tabulka1[[#This Row],[KOD]]</f>
        <v>TDLE1XL</v>
      </c>
      <c r="W316" s="804" t="str">
        <f t="shared" si="11"/>
        <v/>
      </c>
      <c r="X316" t="str">
        <f t="shared" si="12"/>
        <v/>
      </c>
      <c r="Y316" s="341">
        <f>IF('General price list'!$AB318="",0,'General price list'!$AB318)</f>
        <v>0</v>
      </c>
      <c r="Z316" s="365" t="str">
        <f>IFERROR(X316*VLOOKUP(C316,'General price list'!C:I,7,FALSE),"")</f>
        <v/>
      </c>
      <c r="AA316" s="805" t="str">
        <f>IF(X316&lt;&gt;"",VLOOKUP(C316,'General price list'!C318:AN1291,MATCH("HM",Tabulka1[[#Headers],[KOD]:[NEQ]],0),FALSE),"")</f>
        <v/>
      </c>
    </row>
    <row r="317" spans="1:27">
      <c r="A317">
        <f>COUNTIF($W$22:W317,1)</f>
        <v>0</v>
      </c>
      <c r="B317">
        <v>317</v>
      </c>
      <c r="C317" s="340" t="str">
        <f>Tabulka1[[#This Row],[KOD]]</f>
        <v>TDLE1XXL</v>
      </c>
      <c r="W317" s="804" t="str">
        <f t="shared" si="11"/>
        <v/>
      </c>
      <c r="X317" t="str">
        <f t="shared" si="12"/>
        <v/>
      </c>
      <c r="Y317" s="341">
        <f>IF('General price list'!$AB319="",0,'General price list'!$AB319)</f>
        <v>0</v>
      </c>
      <c r="Z317" s="365" t="str">
        <f>IFERROR(X317*VLOOKUP(C317,'General price list'!C:I,7,FALSE),"")</f>
        <v/>
      </c>
      <c r="AA317" s="805" t="str">
        <f>IF(X317&lt;&gt;"",VLOOKUP(C317,'General price list'!C319:AN1292,MATCH("HM",Tabulka1[[#Headers],[KOD]:[NEQ]],0),FALSE),"")</f>
        <v/>
      </c>
    </row>
    <row r="318" spans="1:27">
      <c r="A318">
        <f>COUNTIF($W$22:W318,1)</f>
        <v>0</v>
      </c>
      <c r="B318">
        <v>318</v>
      </c>
      <c r="C318" s="340">
        <f>Tabulka1[[#This Row],[KOD]]</f>
        <v>0</v>
      </c>
      <c r="W318" s="804" t="str">
        <f t="shared" si="11"/>
        <v/>
      </c>
      <c r="X318" t="str">
        <f t="shared" si="12"/>
        <v/>
      </c>
      <c r="Y318" s="341">
        <f>IF('General price list'!$AB320="",0,'General price list'!$AB320)</f>
        <v>0</v>
      </c>
      <c r="Z318" s="365" t="str">
        <f>IFERROR(X318*VLOOKUP(C318,'General price list'!C:I,7,FALSE),"")</f>
        <v/>
      </c>
      <c r="AA318" s="805" t="str">
        <f>IF(X318&lt;&gt;"",VLOOKUP(C318,'General price list'!C320:AN1293,MATCH("HM",Tabulka1[[#Headers],[KOD]:[NEQ]],0),FALSE),"")</f>
        <v/>
      </c>
    </row>
    <row r="319" spans="1:27">
      <c r="A319">
        <f>COUNTIF($W$22:W319,1)</f>
        <v>0</v>
      </c>
      <c r="B319">
        <v>319</v>
      </c>
      <c r="C319" s="340" t="str">
        <f>Tabulka1[[#This Row],[KOD]]</f>
        <v>TPDLE1M</v>
      </c>
      <c r="W319" s="804" t="str">
        <f t="shared" si="11"/>
        <v/>
      </c>
      <c r="X319" t="str">
        <f t="shared" si="12"/>
        <v/>
      </c>
      <c r="Y319" s="341">
        <f>IF('General price list'!$AB321="",0,'General price list'!$AB321)</f>
        <v>0</v>
      </c>
      <c r="Z319" s="365" t="str">
        <f>IFERROR(X319*VLOOKUP(C319,'General price list'!C:I,7,FALSE),"")</f>
        <v/>
      </c>
      <c r="AA319" s="805" t="str">
        <f>IF(X319&lt;&gt;"",VLOOKUP(C319,'General price list'!C321:AN1294,MATCH("HM",Tabulka1[[#Headers],[KOD]:[NEQ]],0),FALSE),"")</f>
        <v/>
      </c>
    </row>
    <row r="320" spans="1:27">
      <c r="A320">
        <f>COUNTIF($W$22:W320,1)</f>
        <v>0</v>
      </c>
      <c r="B320">
        <v>320</v>
      </c>
      <c r="C320" s="340" t="str">
        <f>Tabulka1[[#This Row],[KOD]]</f>
        <v>TPDLE1L</v>
      </c>
      <c r="W320" s="804" t="str">
        <f t="shared" si="11"/>
        <v/>
      </c>
      <c r="X320" t="str">
        <f t="shared" si="12"/>
        <v/>
      </c>
      <c r="Y320" s="341">
        <f>IF('General price list'!$AB322="",0,'General price list'!$AB322)</f>
        <v>0</v>
      </c>
      <c r="Z320" s="365" t="str">
        <f>IFERROR(X320*VLOOKUP(C320,'General price list'!C:I,7,FALSE),"")</f>
        <v/>
      </c>
      <c r="AA320" s="805" t="str">
        <f>IF(X320&lt;&gt;"",VLOOKUP(C320,'General price list'!C322:AN1295,MATCH("HM",Tabulka1[[#Headers],[KOD]:[NEQ]],0),FALSE),"")</f>
        <v/>
      </c>
    </row>
    <row r="321" spans="1:27">
      <c r="A321">
        <f>COUNTIF($W$22:W321,1)</f>
        <v>0</v>
      </c>
      <c r="B321">
        <v>321</v>
      </c>
      <c r="C321" s="340" t="str">
        <f>Tabulka1[[#This Row],[KOD]]</f>
        <v>TPDLE1XL</v>
      </c>
      <c r="W321" s="804" t="str">
        <f t="shared" si="11"/>
        <v/>
      </c>
      <c r="X321" t="str">
        <f t="shared" si="12"/>
        <v/>
      </c>
      <c r="Y321" s="341">
        <f>IF('General price list'!$AB323="",0,'General price list'!$AB323)</f>
        <v>0</v>
      </c>
      <c r="Z321" s="365" t="str">
        <f>IFERROR(X321*VLOOKUP(C321,'General price list'!C:I,7,FALSE),"")</f>
        <v/>
      </c>
      <c r="AA321" s="805" t="str">
        <f>IF(X321&lt;&gt;"",VLOOKUP(C321,'General price list'!C323:AN1296,MATCH("HM",Tabulka1[[#Headers],[KOD]:[NEQ]],0),FALSE),"")</f>
        <v/>
      </c>
    </row>
    <row r="322" spans="1:27">
      <c r="A322">
        <f>COUNTIF($W$22:W322,1)</f>
        <v>0</v>
      </c>
      <c r="B322">
        <v>322</v>
      </c>
      <c r="C322" s="340" t="str">
        <f>Tabulka1[[#This Row],[KOD]]</f>
        <v>TPDLE1XXL</v>
      </c>
      <c r="W322" s="804" t="str">
        <f t="shared" si="11"/>
        <v/>
      </c>
      <c r="X322" t="str">
        <f t="shared" si="12"/>
        <v/>
      </c>
      <c r="Y322" s="341">
        <f>IF('General price list'!$AB324="",0,'General price list'!$AB324)</f>
        <v>0</v>
      </c>
      <c r="Z322" s="365" t="str">
        <f>IFERROR(X322*VLOOKUP(C322,'General price list'!C:I,7,FALSE),"")</f>
        <v/>
      </c>
      <c r="AA322" s="805" t="str">
        <f>IF(X322&lt;&gt;"",VLOOKUP(C322,'General price list'!C324:AN1297,MATCH("HM",Tabulka1[[#Headers],[KOD]:[NEQ]],0),FALSE),"")</f>
        <v/>
      </c>
    </row>
    <row r="323" spans="1:27">
      <c r="A323">
        <f>COUNTIF($W$22:W323,1)</f>
        <v>0</v>
      </c>
      <c r="B323">
        <v>323</v>
      </c>
      <c r="C323" s="340">
        <f>Tabulka1[[#This Row],[KOD]]</f>
        <v>0</v>
      </c>
      <c r="W323" s="804" t="str">
        <f t="shared" si="11"/>
        <v/>
      </c>
      <c r="X323" t="str">
        <f t="shared" si="12"/>
        <v/>
      </c>
      <c r="Y323" s="341">
        <f>IF('General price list'!$AB325="",0,'General price list'!$AB325)</f>
        <v>0</v>
      </c>
      <c r="Z323" s="365" t="str">
        <f>IFERROR(X323*VLOOKUP(C323,'General price list'!C:I,7,FALSE),"")</f>
        <v/>
      </c>
      <c r="AA323" s="805" t="str">
        <f>IF(X323&lt;&gt;"",VLOOKUP(C323,'General price list'!C325:AN1298,MATCH("HM",Tabulka1[[#Headers],[KOD]:[NEQ]],0),FALSE),"")</f>
        <v/>
      </c>
    </row>
    <row r="324" spans="1:27">
      <c r="A324">
        <f>COUNTIF($W$22:W324,1)</f>
        <v>0</v>
      </c>
      <c r="B324">
        <v>324</v>
      </c>
      <c r="C324" s="340" t="str">
        <f>Tabulka1[[#This Row],[KOD]]</f>
        <v>VDLE1M</v>
      </c>
      <c r="W324" s="804" t="str">
        <f t="shared" si="11"/>
        <v/>
      </c>
      <c r="X324" t="str">
        <f t="shared" si="12"/>
        <v/>
      </c>
      <c r="Y324" s="341">
        <f>IF('General price list'!$AB326="",0,'General price list'!$AB326)</f>
        <v>0</v>
      </c>
      <c r="Z324" s="365" t="str">
        <f>IFERROR(X324*VLOOKUP(C324,'General price list'!C:I,7,FALSE),"")</f>
        <v/>
      </c>
      <c r="AA324" s="805" t="str">
        <f>IF(X324&lt;&gt;"",VLOOKUP(C324,'General price list'!C326:AN1299,MATCH("HM",Tabulka1[[#Headers],[KOD]:[NEQ]],0),FALSE),"")</f>
        <v/>
      </c>
    </row>
    <row r="325" spans="1:27">
      <c r="A325">
        <f>COUNTIF($W$22:W325,1)</f>
        <v>0</v>
      </c>
      <c r="B325">
        <v>325</v>
      </c>
      <c r="C325" s="340" t="str">
        <f>Tabulka1[[#This Row],[KOD]]</f>
        <v>VDLE1L</v>
      </c>
      <c r="W325" s="804" t="str">
        <f t="shared" si="11"/>
        <v/>
      </c>
      <c r="X325" t="str">
        <f t="shared" si="12"/>
        <v/>
      </c>
      <c r="Y325" s="341">
        <f>IF('General price list'!$AB327="",0,'General price list'!$AB327)</f>
        <v>0</v>
      </c>
      <c r="Z325" s="365" t="str">
        <f>IFERROR(X325*VLOOKUP(C325,'General price list'!C:I,7,FALSE),"")</f>
        <v/>
      </c>
      <c r="AA325" s="805" t="str">
        <f>IF(X325&lt;&gt;"",VLOOKUP(C325,'General price list'!C327:AN1300,MATCH("HM",Tabulka1[[#Headers],[KOD]:[NEQ]],0),FALSE),"")</f>
        <v/>
      </c>
    </row>
    <row r="326" spans="1:27">
      <c r="A326">
        <f>COUNTIF($W$22:W326,1)</f>
        <v>0</v>
      </c>
      <c r="B326">
        <v>326</v>
      </c>
      <c r="C326" s="340" t="str">
        <f>Tabulka1[[#This Row],[KOD]]</f>
        <v>VDLE1XL</v>
      </c>
      <c r="W326" s="804" t="str">
        <f t="shared" si="11"/>
        <v/>
      </c>
      <c r="X326" t="str">
        <f t="shared" si="12"/>
        <v/>
      </c>
      <c r="Y326" s="341">
        <f>IF('General price list'!$AB328="",0,'General price list'!$AB328)</f>
        <v>0</v>
      </c>
      <c r="Z326" s="365" t="str">
        <f>IFERROR(X326*VLOOKUP(C326,'General price list'!C:I,7,FALSE),"")</f>
        <v/>
      </c>
      <c r="AA326" s="805" t="str">
        <f>IF(X326&lt;&gt;"",VLOOKUP(C326,'General price list'!C328:AN1301,MATCH("HM",Tabulka1[[#Headers],[KOD]:[NEQ]],0),FALSE),"")</f>
        <v/>
      </c>
    </row>
    <row r="327" spans="1:27">
      <c r="A327">
        <f>COUNTIF($W$22:W327,1)</f>
        <v>0</v>
      </c>
      <c r="B327">
        <v>327</v>
      </c>
      <c r="C327" s="340" t="str">
        <f>Tabulka1[[#This Row],[KOD]]</f>
        <v>VDLE1XXL</v>
      </c>
      <c r="W327" s="804" t="str">
        <f t="shared" si="11"/>
        <v/>
      </c>
      <c r="X327" t="str">
        <f t="shared" si="12"/>
        <v/>
      </c>
      <c r="Y327" s="341">
        <f>IF('General price list'!$AB329="",0,'General price list'!$AB329)</f>
        <v>0</v>
      </c>
      <c r="Z327" s="365" t="str">
        <f>IFERROR(X327*VLOOKUP(C327,'General price list'!C:I,7,FALSE),"")</f>
        <v/>
      </c>
      <c r="AA327" s="805" t="str">
        <f>IF(X327&lt;&gt;"",VLOOKUP(C327,'General price list'!C329:AN1302,MATCH("HM",Tabulka1[[#Headers],[KOD]:[NEQ]],0),FALSE),"")</f>
        <v/>
      </c>
    </row>
    <row r="328" spans="1:27">
      <c r="A328">
        <f>COUNTIF($W$22:W328,1)</f>
        <v>0</v>
      </c>
      <c r="B328">
        <v>328</v>
      </c>
      <c r="C328" s="340">
        <f>Tabulka1[[#This Row],[KOD]]</f>
        <v>0</v>
      </c>
      <c r="W328" s="804" t="str">
        <f t="shared" si="11"/>
        <v/>
      </c>
      <c r="X328" t="str">
        <f t="shared" si="12"/>
        <v/>
      </c>
      <c r="Y328" s="341">
        <f>IF('General price list'!$AB330="",0,'General price list'!$AB330)</f>
        <v>0</v>
      </c>
      <c r="Z328" s="365" t="str">
        <f>IFERROR(X328*VLOOKUP(C328,'General price list'!C:I,7,FALSE),"")</f>
        <v/>
      </c>
      <c r="AA328" s="805" t="str">
        <f>IF(X328&lt;&gt;"",VLOOKUP(C328,'General price list'!C330:AN1303,MATCH("HM",Tabulka1[[#Headers],[KOD]:[NEQ]],0),FALSE),"")</f>
        <v/>
      </c>
    </row>
    <row r="329" spans="1:27">
      <c r="A329">
        <f>COUNTIF($W$22:W329,1)</f>
        <v>0</v>
      </c>
      <c r="B329">
        <v>329</v>
      </c>
      <c r="C329" s="340" t="str">
        <f>Tabulka1[[#This Row],[KOD]]</f>
        <v>BDLE1M</v>
      </c>
      <c r="W329" s="804" t="str">
        <f t="shared" si="11"/>
        <v/>
      </c>
      <c r="X329" t="str">
        <f t="shared" si="12"/>
        <v/>
      </c>
      <c r="Y329" s="341">
        <f>IF('General price list'!$AB331="",0,'General price list'!$AB331)</f>
        <v>0</v>
      </c>
      <c r="Z329" s="365" t="str">
        <f>IFERROR(X329*VLOOKUP(C329,'General price list'!C:I,7,FALSE),"")</f>
        <v/>
      </c>
      <c r="AA329" s="805" t="str">
        <f>IF(X329&lt;&gt;"",VLOOKUP(C329,'General price list'!C331:AN1304,MATCH("HM",Tabulka1[[#Headers],[KOD]:[NEQ]],0),FALSE),"")</f>
        <v/>
      </c>
    </row>
    <row r="330" spans="1:27">
      <c r="A330">
        <f>COUNTIF($W$22:W330,1)</f>
        <v>0</v>
      </c>
      <c r="B330">
        <v>330</v>
      </c>
      <c r="C330" s="340" t="str">
        <f>Tabulka1[[#This Row],[KOD]]</f>
        <v>BDLE1L</v>
      </c>
      <c r="W330" s="804" t="str">
        <f t="shared" si="11"/>
        <v/>
      </c>
      <c r="X330" t="str">
        <f t="shared" si="12"/>
        <v/>
      </c>
      <c r="Y330" s="341">
        <f>IF('General price list'!$AB332="",0,'General price list'!$AB332)</f>
        <v>0</v>
      </c>
      <c r="Z330" s="365" t="str">
        <f>IFERROR(X330*VLOOKUP(C330,'General price list'!C:I,7,FALSE),"")</f>
        <v/>
      </c>
      <c r="AA330" s="805" t="str">
        <f>IF(X330&lt;&gt;"",VLOOKUP(C330,'General price list'!C332:AN1305,MATCH("HM",Tabulka1[[#Headers],[KOD]:[NEQ]],0),FALSE),"")</f>
        <v/>
      </c>
    </row>
    <row r="331" spans="1:27">
      <c r="A331">
        <f>COUNTIF($W$22:W331,1)</f>
        <v>0</v>
      </c>
      <c r="B331">
        <v>331</v>
      </c>
      <c r="C331" s="340" t="str">
        <f>Tabulka1[[#This Row],[KOD]]</f>
        <v>BDLE1XL</v>
      </c>
      <c r="W331" s="804" t="str">
        <f t="shared" si="11"/>
        <v/>
      </c>
      <c r="X331" t="str">
        <f t="shared" si="12"/>
        <v/>
      </c>
      <c r="Y331" s="341">
        <f>IF('General price list'!$AB333="",0,'General price list'!$AB333)</f>
        <v>0</v>
      </c>
      <c r="Z331" s="365" t="str">
        <f>IFERROR(X331*VLOOKUP(C331,'General price list'!C:I,7,FALSE),"")</f>
        <v/>
      </c>
      <c r="AA331" s="805" t="str">
        <f>IF(X331&lt;&gt;"",VLOOKUP(C331,'General price list'!C333:AN1306,MATCH("HM",Tabulka1[[#Headers],[KOD]:[NEQ]],0),FALSE),"")</f>
        <v/>
      </c>
    </row>
    <row r="332" spans="1:27">
      <c r="A332">
        <f>COUNTIF($W$22:W332,1)</f>
        <v>0</v>
      </c>
      <c r="B332">
        <v>332</v>
      </c>
      <c r="C332" s="340" t="str">
        <f>Tabulka1[[#This Row],[KOD]]</f>
        <v>BDLE1XXL</v>
      </c>
      <c r="W332" s="804" t="str">
        <f t="shared" si="11"/>
        <v/>
      </c>
      <c r="X332" t="str">
        <f t="shared" si="12"/>
        <v/>
      </c>
      <c r="Y332" s="341">
        <f>IF('General price list'!$AB334="",0,'General price list'!$AB334)</f>
        <v>0</v>
      </c>
      <c r="Z332" s="365" t="str">
        <f>IFERROR(X332*VLOOKUP(C332,'General price list'!C:I,7,FALSE),"")</f>
        <v/>
      </c>
      <c r="AA332" s="805" t="str">
        <f>IF(X332&lt;&gt;"",VLOOKUP(C332,'General price list'!C334:AN1307,MATCH("HM",Tabulka1[[#Headers],[KOD]:[NEQ]],0),FALSE),"")</f>
        <v/>
      </c>
    </row>
    <row r="333" spans="1:27">
      <c r="A333">
        <f>COUNTIF($W$22:W333,1)</f>
        <v>0</v>
      </c>
      <c r="B333">
        <v>333</v>
      </c>
      <c r="C333" s="340">
        <f>Tabulka1[[#This Row],[KOD]]</f>
        <v>0</v>
      </c>
      <c r="W333" s="804" t="str">
        <f t="shared" si="11"/>
        <v/>
      </c>
      <c r="X333" t="str">
        <f t="shared" si="12"/>
        <v/>
      </c>
      <c r="Y333" s="341">
        <f>IF('General price list'!$AB335="",0,'General price list'!$AB335)</f>
        <v>0</v>
      </c>
      <c r="Z333" s="365" t="str">
        <f>IFERROR(X333*VLOOKUP(C333,'General price list'!C:I,7,FALSE),"")</f>
        <v/>
      </c>
      <c r="AA333" s="805" t="str">
        <f>IF(X333&lt;&gt;"",VLOOKUP(C333,'General price list'!C335:AN1308,MATCH("HM",Tabulka1[[#Headers],[KOD]:[NEQ]],0),FALSE),"")</f>
        <v/>
      </c>
    </row>
    <row r="334" spans="1:27">
      <c r="A334">
        <f>COUNTIF($W$22:W334,1)</f>
        <v>0</v>
      </c>
      <c r="B334">
        <v>334</v>
      </c>
      <c r="C334" s="340" t="str">
        <f>Tabulka1[[#This Row],[KOD]]</f>
        <v>MDLE1M</v>
      </c>
      <c r="W334" s="804" t="str">
        <f t="shared" si="11"/>
        <v/>
      </c>
      <c r="X334" t="str">
        <f t="shared" si="12"/>
        <v/>
      </c>
      <c r="Y334" s="341">
        <f>IF('General price list'!$AB336="",0,'General price list'!$AB336)</f>
        <v>0</v>
      </c>
      <c r="Z334" s="365" t="str">
        <f>IFERROR(X334*VLOOKUP(C334,'General price list'!C:I,7,FALSE),"")</f>
        <v/>
      </c>
      <c r="AA334" s="805" t="str">
        <f>IF(X334&lt;&gt;"",VLOOKUP(C334,'General price list'!C336:AN1309,MATCH("HM",Tabulka1[[#Headers],[KOD]:[NEQ]],0),FALSE),"")</f>
        <v/>
      </c>
    </row>
    <row r="335" spans="1:27">
      <c r="A335">
        <f>COUNTIF($W$22:W335,1)</f>
        <v>0</v>
      </c>
      <c r="B335">
        <v>335</v>
      </c>
      <c r="C335" s="340" t="str">
        <f>Tabulka1[[#This Row],[KOD]]</f>
        <v>MDLE1L</v>
      </c>
      <c r="W335" s="804" t="str">
        <f t="shared" si="11"/>
        <v/>
      </c>
      <c r="X335" t="str">
        <f t="shared" si="12"/>
        <v/>
      </c>
      <c r="Y335" s="341">
        <f>IF('General price list'!$AB337="",0,'General price list'!$AB337)</f>
        <v>0</v>
      </c>
      <c r="Z335" s="365" t="str">
        <f>IFERROR(X335*VLOOKUP(C335,'General price list'!C:I,7,FALSE),"")</f>
        <v/>
      </c>
      <c r="AA335" s="805" t="str">
        <f>IF(X335&lt;&gt;"",VLOOKUP(C335,'General price list'!C337:AN1310,MATCH("HM",Tabulka1[[#Headers],[KOD]:[NEQ]],0),FALSE),"")</f>
        <v/>
      </c>
    </row>
    <row r="336" spans="1:27">
      <c r="A336">
        <f>COUNTIF($W$22:W336,1)</f>
        <v>0</v>
      </c>
      <c r="B336">
        <v>336</v>
      </c>
      <c r="C336" s="340" t="str">
        <f>Tabulka1[[#This Row],[KOD]]</f>
        <v>MDLE1XL</v>
      </c>
      <c r="W336" s="804" t="str">
        <f t="shared" si="11"/>
        <v/>
      </c>
      <c r="X336" t="str">
        <f t="shared" si="12"/>
        <v/>
      </c>
      <c r="Y336" s="341">
        <f>IF('General price list'!$AB338="",0,'General price list'!$AB338)</f>
        <v>0</v>
      </c>
      <c r="Z336" s="365" t="str">
        <f>IFERROR(X336*VLOOKUP(C336,'General price list'!C:I,7,FALSE),"")</f>
        <v/>
      </c>
      <c r="AA336" s="805" t="str">
        <f>IF(X336&lt;&gt;"",VLOOKUP(C336,'General price list'!C338:AN1311,MATCH("HM",Tabulka1[[#Headers],[KOD]:[NEQ]],0),FALSE),"")</f>
        <v/>
      </c>
    </row>
    <row r="337" spans="1:27">
      <c r="A337">
        <f>COUNTIF($W$22:W337,1)</f>
        <v>0</v>
      </c>
      <c r="B337">
        <v>337</v>
      </c>
      <c r="C337" s="340" t="str">
        <f>Tabulka1[[#This Row],[KOD]]</f>
        <v>MDLE1XXL</v>
      </c>
      <c r="W337" s="804" t="str">
        <f t="shared" si="11"/>
        <v/>
      </c>
      <c r="X337" t="str">
        <f t="shared" si="12"/>
        <v/>
      </c>
      <c r="Y337" s="341">
        <f>IF('General price list'!$AB339="",0,'General price list'!$AB339)</f>
        <v>0</v>
      </c>
      <c r="Z337" s="365" t="str">
        <f>IFERROR(X337*VLOOKUP(C337,'General price list'!C:I,7,FALSE),"")</f>
        <v/>
      </c>
      <c r="AA337" s="805" t="str">
        <f>IF(X337&lt;&gt;"",VLOOKUP(C337,'General price list'!C339:AN1312,MATCH("HM",Tabulka1[[#Headers],[KOD]:[NEQ]],0),FALSE),"")</f>
        <v/>
      </c>
    </row>
    <row r="338" spans="1:27">
      <c r="A338">
        <f>COUNTIF($W$22:W338,1)</f>
        <v>0</v>
      </c>
      <c r="B338">
        <v>338</v>
      </c>
      <c r="C338" s="340">
        <f>Tabulka1[[#This Row],[KOD]]</f>
        <v>0</v>
      </c>
      <c r="W338" s="804" t="str">
        <f t="shared" si="11"/>
        <v/>
      </c>
      <c r="X338" t="str">
        <f t="shared" si="12"/>
        <v/>
      </c>
      <c r="Y338" s="341">
        <f>IF('General price list'!$AB340="",0,'General price list'!$AB340)</f>
        <v>0</v>
      </c>
      <c r="Z338" s="365" t="str">
        <f>IFERROR(X338*VLOOKUP(C338,'General price list'!C:I,7,FALSE),"")</f>
        <v/>
      </c>
      <c r="AA338" s="805" t="str">
        <f>IF(X338&lt;&gt;"",VLOOKUP(C338,'General price list'!C340:AN1313,MATCH("HM",Tabulka1[[#Headers],[KOD]:[NEQ]],0),FALSE),"")</f>
        <v/>
      </c>
    </row>
    <row r="339" spans="1:27">
      <c r="A339">
        <f>COUNTIF($W$22:W339,1)</f>
        <v>0</v>
      </c>
      <c r="B339">
        <v>339</v>
      </c>
      <c r="C339" s="340" t="str">
        <f>Tabulka1[[#This Row],[KOD]]</f>
        <v>MDLEZ1M</v>
      </c>
      <c r="W339" s="804" t="str">
        <f t="shared" si="11"/>
        <v/>
      </c>
      <c r="X339" t="str">
        <f t="shared" si="12"/>
        <v/>
      </c>
      <c r="Y339" s="341">
        <f>IF('General price list'!$AB341="",0,'General price list'!$AB341)</f>
        <v>0</v>
      </c>
      <c r="Z339" s="365" t="str">
        <f>IFERROR(X339*VLOOKUP(C339,'General price list'!C:I,7,FALSE),"")</f>
        <v/>
      </c>
      <c r="AA339" s="805" t="str">
        <f>IF(X339&lt;&gt;"",VLOOKUP(C339,'General price list'!C341:AN1314,MATCH("HM",Tabulka1[[#Headers],[KOD]:[NEQ]],0),FALSE),"")</f>
        <v/>
      </c>
    </row>
    <row r="340" spans="1:27">
      <c r="A340">
        <f>COUNTIF($W$22:W340,1)</f>
        <v>0</v>
      </c>
      <c r="B340">
        <v>340</v>
      </c>
      <c r="C340" s="340" t="str">
        <f>Tabulka1[[#This Row],[KOD]]</f>
        <v>MDLEZ1L</v>
      </c>
      <c r="W340" s="804" t="str">
        <f t="shared" si="11"/>
        <v/>
      </c>
      <c r="X340" t="str">
        <f t="shared" si="12"/>
        <v/>
      </c>
      <c r="Y340" s="341">
        <f>IF('General price list'!$AB342="",0,'General price list'!$AB342)</f>
        <v>0</v>
      </c>
      <c r="Z340" s="365" t="str">
        <f>IFERROR(X340*VLOOKUP(C340,'General price list'!C:I,7,FALSE),"")</f>
        <v/>
      </c>
      <c r="AA340" s="805" t="str">
        <f>IF(X340&lt;&gt;"",VLOOKUP(C340,'General price list'!C342:AN1315,MATCH("HM",Tabulka1[[#Headers],[KOD]:[NEQ]],0),FALSE),"")</f>
        <v/>
      </c>
    </row>
    <row r="341" spans="1:27">
      <c r="A341">
        <f>COUNTIF($W$22:W341,1)</f>
        <v>0</v>
      </c>
      <c r="B341">
        <v>341</v>
      </c>
      <c r="C341" s="340" t="str">
        <f>Tabulka1[[#This Row],[KOD]]</f>
        <v>MDLEZ1XL</v>
      </c>
      <c r="W341" s="804" t="str">
        <f t="shared" si="11"/>
        <v/>
      </c>
      <c r="X341" t="str">
        <f t="shared" si="12"/>
        <v/>
      </c>
      <c r="Y341" s="341">
        <f>IF('General price list'!$AB343="",0,'General price list'!$AB343)</f>
        <v>0</v>
      </c>
      <c r="Z341" s="365" t="str">
        <f>IFERROR(X341*VLOOKUP(C341,'General price list'!C:I,7,FALSE),"")</f>
        <v/>
      </c>
      <c r="AA341" s="805" t="str">
        <f>IF(X341&lt;&gt;"",VLOOKUP(C341,'General price list'!C343:AN1316,MATCH("HM",Tabulka1[[#Headers],[KOD]:[NEQ]],0),FALSE),"")</f>
        <v/>
      </c>
    </row>
    <row r="342" spans="1:27">
      <c r="A342">
        <f>COUNTIF($W$22:W342,1)</f>
        <v>0</v>
      </c>
      <c r="B342">
        <v>342</v>
      </c>
      <c r="C342" s="340" t="str">
        <f>Tabulka1[[#This Row],[KOD]]</f>
        <v>MDLEZ1XXL</v>
      </c>
      <c r="W342" s="804" t="str">
        <f t="shared" si="11"/>
        <v/>
      </c>
      <c r="X342" t="str">
        <f t="shared" si="12"/>
        <v/>
      </c>
      <c r="Y342" s="341">
        <f>IF('General price list'!$AB344="",0,'General price list'!$AB344)</f>
        <v>0</v>
      </c>
      <c r="Z342" s="365" t="str">
        <f>IFERROR(X342*VLOOKUP(C342,'General price list'!C:I,7,FALSE),"")</f>
        <v/>
      </c>
      <c r="AA342" s="805" t="str">
        <f>IF(X342&lt;&gt;"",VLOOKUP(C342,'General price list'!C344:AN1317,MATCH("HM",Tabulka1[[#Headers],[KOD]:[NEQ]],0),FALSE),"")</f>
        <v/>
      </c>
    </row>
    <row r="343" spans="1:27">
      <c r="A343">
        <f>COUNTIF($W$22:W343,1)</f>
        <v>0</v>
      </c>
      <c r="B343">
        <v>343</v>
      </c>
      <c r="C343" s="340">
        <f>Tabulka1[[#This Row],[KOD]]</f>
        <v>0</v>
      </c>
      <c r="W343" s="804" t="str">
        <f t="shared" si="11"/>
        <v/>
      </c>
      <c r="X343" t="str">
        <f t="shared" si="12"/>
        <v/>
      </c>
      <c r="Y343" s="341">
        <f>IF('General price list'!$AB345="",0,'General price list'!$AB345)</f>
        <v>0</v>
      </c>
      <c r="Z343" s="365" t="str">
        <f>IFERROR(X343*VLOOKUP(C343,'General price list'!C:I,7,FALSE),"")</f>
        <v/>
      </c>
      <c r="AA343" s="805" t="str">
        <f>IF(X343&lt;&gt;"",VLOOKUP(C343,'General price list'!C345:AN1318,MATCH("HM",Tabulka1[[#Headers],[KOD]:[NEQ]],0),FALSE),"")</f>
        <v/>
      </c>
    </row>
    <row r="344" spans="1:27">
      <c r="A344">
        <f>COUNTIF($W$22:W344,1)</f>
        <v>0</v>
      </c>
      <c r="B344">
        <v>344</v>
      </c>
      <c r="C344" s="340" t="str">
        <f>Tabulka1[[#This Row],[KOD]]</f>
        <v>KDLE1</v>
      </c>
      <c r="W344" s="804" t="str">
        <f t="shared" si="11"/>
        <v/>
      </c>
      <c r="X344" t="str">
        <f t="shared" si="12"/>
        <v/>
      </c>
      <c r="Y344" s="341">
        <f>IF('General price list'!$AB346="",0,'General price list'!$AB346)</f>
        <v>0</v>
      </c>
      <c r="Z344" s="365" t="str">
        <f>IFERROR(X344*VLOOKUP(C344,'General price list'!C:I,7,FALSE),"")</f>
        <v/>
      </c>
      <c r="AA344" s="805" t="str">
        <f>IF(X344&lt;&gt;"",VLOOKUP(C344,'General price list'!C346:AN1319,MATCH("HM",Tabulka1[[#Headers],[KOD]:[NEQ]],0),FALSE),"")</f>
        <v/>
      </c>
    </row>
    <row r="345" spans="1:27">
      <c r="A345">
        <f>COUNTIF($W$22:W345,1)</f>
        <v>0</v>
      </c>
      <c r="B345">
        <v>345</v>
      </c>
      <c r="C345" s="340" t="str">
        <f>Tabulka1[[#This Row],[KOD]]</f>
        <v>CDLE1</v>
      </c>
      <c r="W345" s="804" t="str">
        <f t="shared" ref="W345:W408" si="13">IF(Y345+1=1,"",1)</f>
        <v/>
      </c>
      <c r="X345" t="str">
        <f t="shared" ref="X345:X408" si="14">IF(OR(A345&lt;$G$20,A345&gt;$G$21),"",IF(Y345=0,"",Y345))</f>
        <v/>
      </c>
      <c r="Y345" s="341">
        <f>IF('General price list'!$AB347="",0,'General price list'!$AB347)</f>
        <v>0</v>
      </c>
      <c r="Z345" s="365" t="str">
        <f>IFERROR(X345*VLOOKUP(C345,'General price list'!C:I,7,FALSE),"")</f>
        <v/>
      </c>
      <c r="AA345" s="805" t="str">
        <f>IF(X345&lt;&gt;"",VLOOKUP(C345,'General price list'!C347:AN1320,MATCH("HM",Tabulka1[[#Headers],[KOD]:[NEQ]],0),FALSE),"")</f>
        <v/>
      </c>
    </row>
    <row r="346" spans="1:27">
      <c r="A346">
        <f>COUNTIF($W$22:W346,1)</f>
        <v>0</v>
      </c>
      <c r="B346">
        <v>346</v>
      </c>
      <c r="C346" s="340">
        <f>Tabulka1[[#This Row],[KOD]]</f>
        <v>0</v>
      </c>
      <c r="W346" s="804" t="str">
        <f t="shared" si="13"/>
        <v/>
      </c>
      <c r="X346" t="str">
        <f t="shared" si="14"/>
        <v/>
      </c>
      <c r="Y346" s="341">
        <f>IF('General price list'!$AB348="",0,'General price list'!$AB348)</f>
        <v>0</v>
      </c>
      <c r="Z346" s="365" t="str">
        <f>IFERROR(X346*VLOOKUP(C346,'General price list'!C:I,7,FALSE),"")</f>
        <v/>
      </c>
      <c r="AA346" s="805" t="str">
        <f>IF(X346&lt;&gt;"",VLOOKUP(C346,'General price list'!C348:AN1321,MATCH("HM",Tabulka1[[#Headers],[KOD]:[NEQ]],0),FALSE),"")</f>
        <v/>
      </c>
    </row>
    <row r="347" spans="1:27">
      <c r="A347">
        <f>COUNTIF($W$22:W347,1)</f>
        <v>0</v>
      </c>
      <c r="B347">
        <v>347</v>
      </c>
      <c r="C347" s="340" t="str">
        <f>Tabulka1[[#This Row],[KOD]]</f>
        <v>N1</v>
      </c>
      <c r="W347" s="804" t="str">
        <f t="shared" si="13"/>
        <v/>
      </c>
      <c r="X347" t="str">
        <f t="shared" si="14"/>
        <v/>
      </c>
      <c r="Y347" s="341">
        <f>IF('General price list'!$AB349="",0,'General price list'!$AB349)</f>
        <v>0</v>
      </c>
      <c r="Z347" s="365" t="str">
        <f>IFERROR(X347*VLOOKUP(C347,'General price list'!C:I,7,FALSE),"")</f>
        <v/>
      </c>
      <c r="AA347" s="805" t="str">
        <f>IF(X347&lt;&gt;"",VLOOKUP(C347,'General price list'!C349:AN1322,MATCH("HM",Tabulka1[[#Headers],[KOD]:[NEQ]],0),FALSE),"")</f>
        <v/>
      </c>
    </row>
    <row r="348" spans="1:27">
      <c r="A348">
        <f>COUNTIF($W$22:W348,1)</f>
        <v>0</v>
      </c>
      <c r="B348">
        <v>348</v>
      </c>
      <c r="C348" s="340" t="str">
        <f>Tabulka1[[#This Row],[KOD]]</f>
        <v>RUN1</v>
      </c>
      <c r="W348" s="804" t="str">
        <f t="shared" si="13"/>
        <v/>
      </c>
      <c r="X348" t="str">
        <f t="shared" si="14"/>
        <v/>
      </c>
      <c r="Y348" s="341">
        <f>IF('General price list'!$AB350="",0,'General price list'!$AB350)</f>
        <v>0</v>
      </c>
      <c r="Z348" s="365" t="str">
        <f>IFERROR(X348*VLOOKUP(C348,'General price list'!C:I,7,FALSE),"")</f>
        <v/>
      </c>
      <c r="AA348" s="805" t="str">
        <f>IF(X348&lt;&gt;"",VLOOKUP(C348,'General price list'!C350:AN1323,MATCH("HM",Tabulka1[[#Headers],[KOD]:[NEQ]],0),FALSE),"")</f>
        <v/>
      </c>
    </row>
    <row r="349" spans="1:27">
      <c r="A349">
        <f>COUNTIF($W$22:W349,1)</f>
        <v>0</v>
      </c>
      <c r="B349">
        <v>349</v>
      </c>
      <c r="C349" s="340" t="str">
        <f>Tabulka1[[#This Row],[KOD]]</f>
        <v>RT1DU</v>
      </c>
      <c r="W349" s="804" t="str">
        <f t="shared" si="13"/>
        <v/>
      </c>
      <c r="X349" t="str">
        <f t="shared" si="14"/>
        <v/>
      </c>
      <c r="Y349" s="341">
        <f>IF('General price list'!$AB351="",0,'General price list'!$AB351)</f>
        <v>0</v>
      </c>
      <c r="Z349" s="365" t="str">
        <f>IFERROR(X349*VLOOKUP(C349,'General price list'!C:I,7,FALSE),"")</f>
        <v/>
      </c>
      <c r="AA349" s="805" t="str">
        <f>IF(X349&lt;&gt;"",VLOOKUP(C349,'General price list'!C351:AN1324,MATCH("HM",Tabulka1[[#Headers],[KOD]:[NEQ]],0),FALSE),"")</f>
        <v/>
      </c>
    </row>
    <row r="350" spans="1:27">
      <c r="A350">
        <f>COUNTIF($W$22:W350,1)</f>
        <v>0</v>
      </c>
      <c r="B350">
        <v>350</v>
      </c>
      <c r="C350" s="340" t="str">
        <f>Tabulka1[[#This Row],[KOD]]</f>
        <v>PL1DU</v>
      </c>
      <c r="W350" s="804" t="str">
        <f t="shared" si="13"/>
        <v/>
      </c>
      <c r="X350" t="str">
        <f t="shared" si="14"/>
        <v/>
      </c>
      <c r="Y350" s="341">
        <f>IF('General price list'!$AB352="",0,'General price list'!$AB352)</f>
        <v>0</v>
      </c>
      <c r="Z350" s="365" t="str">
        <f>IFERROR(X350*VLOOKUP(C350,'General price list'!C:I,7,FALSE),"")</f>
        <v/>
      </c>
      <c r="AA350" s="805" t="str">
        <f>IF(X350&lt;&gt;"",VLOOKUP(C350,'General price list'!C352:AN1325,MATCH("HM",Tabulka1[[#Headers],[KOD]:[NEQ]],0),FALSE),"")</f>
        <v/>
      </c>
    </row>
    <row r="351" spans="1:27">
      <c r="A351">
        <f>COUNTIF($W$22:W351,1)</f>
        <v>0</v>
      </c>
      <c r="B351">
        <v>351</v>
      </c>
      <c r="C351" s="340" t="str">
        <f>Tabulka1[[#This Row],[KOD]]</f>
        <v>ZD1</v>
      </c>
      <c r="W351" s="804" t="str">
        <f t="shared" si="13"/>
        <v/>
      </c>
      <c r="X351" t="str">
        <f t="shared" si="14"/>
        <v/>
      </c>
      <c r="Y351" s="341">
        <f>IF('General price list'!$AB353="",0,'General price list'!$AB353)</f>
        <v>0</v>
      </c>
      <c r="Z351" s="365" t="str">
        <f>IFERROR(X351*VLOOKUP(C351,'General price list'!C:I,7,FALSE),"")</f>
        <v/>
      </c>
      <c r="AA351" s="805" t="str">
        <f>IF(X351&lt;&gt;"",VLOOKUP(C351,'General price list'!C353:AN1326,MATCH("HM",Tabulka1[[#Headers],[KOD]:[NEQ]],0),FALSE),"")</f>
        <v/>
      </c>
    </row>
    <row r="352" spans="1:27">
      <c r="A352">
        <f>COUNTIF($W$22:W352,1)</f>
        <v>0</v>
      </c>
      <c r="B352">
        <v>352</v>
      </c>
      <c r="C352" s="340" t="str">
        <f>Tabulka1[[#This Row],[KOD]]</f>
        <v>UZD2</v>
      </c>
      <c r="W352" s="804" t="str">
        <f t="shared" si="13"/>
        <v/>
      </c>
      <c r="X352" t="str">
        <f t="shared" si="14"/>
        <v/>
      </c>
      <c r="Y352" s="341">
        <f>IF('General price list'!$AB354="",0,'General price list'!$AB354)</f>
        <v>0</v>
      </c>
      <c r="Z352" s="365" t="str">
        <f>IFERROR(X352*VLOOKUP(C352,'General price list'!C:I,7,FALSE),"")</f>
        <v/>
      </c>
      <c r="AA352" s="805" t="str">
        <f>IF(X352&lt;&gt;"",VLOOKUP(C352,'General price list'!C354:AN1327,MATCH("HM",Tabulka1[[#Headers],[KOD]:[NEQ]],0),FALSE),"")</f>
        <v/>
      </c>
    </row>
    <row r="353" spans="1:27">
      <c r="A353">
        <f>COUNTIF($W$22:W353,1)</f>
        <v>0</v>
      </c>
      <c r="B353">
        <v>353</v>
      </c>
      <c r="C353" s="340" t="str">
        <f>Tabulka1[[#This Row],[KOD]]</f>
        <v>ND1</v>
      </c>
      <c r="W353" s="804" t="str">
        <f t="shared" si="13"/>
        <v/>
      </c>
      <c r="X353" t="str">
        <f t="shared" si="14"/>
        <v/>
      </c>
      <c r="Y353" s="341">
        <f>IF('General price list'!$AB355="",0,'General price list'!$AB355)</f>
        <v>0</v>
      </c>
      <c r="Z353" s="365" t="str">
        <f>IFERROR(X353*VLOOKUP(C353,'General price list'!C:I,7,FALSE),"")</f>
        <v/>
      </c>
      <c r="AA353" s="805" t="str">
        <f>IF(X353&lt;&gt;"",VLOOKUP(C353,'General price list'!C355:AN1328,MATCH("HM",Tabulka1[[#Headers],[KOD]:[NEQ]],0),FALSE),"")</f>
        <v/>
      </c>
    </row>
    <row r="354" spans="1:27">
      <c r="A354">
        <f>COUNTIF($W$22:W354,1)</f>
        <v>0</v>
      </c>
      <c r="B354">
        <v>354</v>
      </c>
      <c r="C354" s="340" t="str">
        <f>Tabulka1[[#This Row],[KOD]]</f>
        <v>T2</v>
      </c>
      <c r="W354" s="804" t="str">
        <f t="shared" si="13"/>
        <v/>
      </c>
      <c r="X354" t="str">
        <f t="shared" si="14"/>
        <v/>
      </c>
      <c r="Y354" s="341">
        <f>IF('General price list'!$AB356="",0,'General price list'!$AB356)</f>
        <v>0</v>
      </c>
      <c r="Z354" s="365" t="str">
        <f>IFERROR(X354*VLOOKUP(C354,'General price list'!C:I,7,FALSE),"")</f>
        <v/>
      </c>
      <c r="AA354" s="805" t="str">
        <f>IF(X354&lt;&gt;"",VLOOKUP(C354,'General price list'!C356:AN1329,MATCH("HM",Tabulka1[[#Headers],[KOD]:[NEQ]],0),FALSE),"")</f>
        <v/>
      </c>
    </row>
    <row r="355" spans="1:27">
      <c r="A355">
        <f>COUNTIF($W$22:W355,1)</f>
        <v>0</v>
      </c>
      <c r="B355">
        <v>355</v>
      </c>
      <c r="C355" s="340" t="str">
        <f>Tabulka1[[#This Row],[KOD]]</f>
        <v>KK2025</v>
      </c>
      <c r="W355" s="804" t="str">
        <f t="shared" si="13"/>
        <v/>
      </c>
      <c r="X355" t="str">
        <f t="shared" si="14"/>
        <v/>
      </c>
      <c r="Y355" s="341">
        <f>IF('General price list'!$AB357="",0,'General price list'!$AB357)</f>
        <v>0</v>
      </c>
      <c r="Z355" s="365" t="str">
        <f>IFERROR(X355*VLOOKUP(C355,'General price list'!C:I,7,FALSE),"")</f>
        <v/>
      </c>
      <c r="AA355" s="805" t="str">
        <f>IF(X355&lt;&gt;"",VLOOKUP(C355,'General price list'!C357:AN1330,MATCH("HM",Tabulka1[[#Headers],[KOD]:[NEQ]],0),FALSE),"")</f>
        <v/>
      </c>
    </row>
    <row r="356" spans="1:27">
      <c r="A356">
        <f>COUNTIF($W$22:W356,1)</f>
        <v>0</v>
      </c>
      <c r="B356">
        <v>356</v>
      </c>
      <c r="C356" s="340" t="str">
        <f>Tabulka1[[#This Row],[KOD]]</f>
        <v>HD1</v>
      </c>
      <c r="W356" s="804" t="str">
        <f t="shared" si="13"/>
        <v/>
      </c>
      <c r="X356" t="str">
        <f t="shared" si="14"/>
        <v/>
      </c>
      <c r="Y356" s="341">
        <f>IF('General price list'!$AB358="",0,'General price list'!$AB358)</f>
        <v>0</v>
      </c>
      <c r="Z356" s="365" t="str">
        <f>IFERROR(X356*VLOOKUP(C356,'General price list'!C:I,7,FALSE),"")</f>
        <v/>
      </c>
      <c r="AA356" s="805" t="str">
        <f>IF(X356&lt;&gt;"",VLOOKUP(C356,'General price list'!C358:AN1331,MATCH("HM",Tabulka1[[#Headers],[KOD]:[NEQ]],0),FALSE),"")</f>
        <v/>
      </c>
    </row>
    <row r="357" spans="1:27">
      <c r="A357">
        <f>COUNTIF($W$22:W357,1)</f>
        <v>0</v>
      </c>
      <c r="B357">
        <v>357</v>
      </c>
      <c r="C357" s="340" t="str">
        <f>Tabulka1[[#This Row],[KOD]]</f>
        <v>PPMD1</v>
      </c>
      <c r="W357" s="804" t="str">
        <f t="shared" si="13"/>
        <v/>
      </c>
      <c r="X357" t="str">
        <f t="shared" si="14"/>
        <v/>
      </c>
      <c r="Y357" s="341">
        <f>IF('General price list'!$AB359="",0,'General price list'!$AB359)</f>
        <v>0</v>
      </c>
      <c r="Z357" s="365" t="str">
        <f>IFERROR(X357*VLOOKUP(C357,'General price list'!C:I,7,FALSE),"")</f>
        <v/>
      </c>
      <c r="AA357" s="805" t="str">
        <f>IF(X357&lt;&gt;"",VLOOKUP(C357,'General price list'!C359:AN1332,MATCH("HM",Tabulka1[[#Headers],[KOD]:[NEQ]],0),FALSE),"")</f>
        <v/>
      </c>
    </row>
    <row r="358" spans="1:27">
      <c r="A358">
        <f>COUNTIF($W$22:W358,1)</f>
        <v>0</v>
      </c>
      <c r="B358">
        <v>358</v>
      </c>
      <c r="C358" s="340" t="str">
        <f>Tabulka1[[#This Row],[KOD]]</f>
        <v>DD1</v>
      </c>
      <c r="W358" s="804" t="str">
        <f t="shared" si="13"/>
        <v/>
      </c>
      <c r="X358" t="str">
        <f t="shared" si="14"/>
        <v/>
      </c>
      <c r="Y358" s="341">
        <f>IF('General price list'!$AB360="",0,'General price list'!$AB360)</f>
        <v>0</v>
      </c>
      <c r="Z358" s="365" t="str">
        <f>IFERROR(X358*VLOOKUP(C358,'General price list'!C:I,7,FALSE),"")</f>
        <v/>
      </c>
      <c r="AA358" s="805" t="str">
        <f>IF(X358&lt;&gt;"",VLOOKUP(C358,'General price list'!C360:AN1333,MATCH("HM",Tabulka1[[#Headers],[KOD]:[NEQ]],0),FALSE),"")</f>
        <v/>
      </c>
    </row>
    <row r="359" spans="1:27">
      <c r="A359">
        <f>COUNTIF($W$22:W359,1)</f>
        <v>0</v>
      </c>
      <c r="B359">
        <v>359</v>
      </c>
      <c r="C359" s="340" t="str">
        <f>Tabulka1[[#This Row],[KOD]]</f>
        <v>KKD1</v>
      </c>
      <c r="W359" s="804" t="str">
        <f t="shared" si="13"/>
        <v/>
      </c>
      <c r="X359" t="str">
        <f t="shared" si="14"/>
        <v/>
      </c>
      <c r="Y359" s="341">
        <f>IF('General price list'!$AB361="",0,'General price list'!$AB361)</f>
        <v>0</v>
      </c>
      <c r="Z359" s="365" t="str">
        <f>IFERROR(X359*VLOOKUP(C359,'General price list'!C:I,7,FALSE),"")</f>
        <v/>
      </c>
      <c r="AA359" s="805" t="str">
        <f>IF(X359&lt;&gt;"",VLOOKUP(C359,'General price list'!C361:AN1334,MATCH("HM",Tabulka1[[#Headers],[KOD]:[NEQ]],0),FALSE),"")</f>
        <v/>
      </c>
    </row>
    <row r="360" spans="1:27">
      <c r="A360">
        <f>COUNTIF($W$22:W360,1)</f>
        <v>0</v>
      </c>
      <c r="B360">
        <v>360</v>
      </c>
      <c r="C360" s="340" t="str">
        <f>Tabulka1[[#This Row],[KOD]]</f>
        <v>LO1DU</v>
      </c>
      <c r="W360" s="804" t="str">
        <f t="shared" si="13"/>
        <v/>
      </c>
      <c r="X360" t="str">
        <f t="shared" si="14"/>
        <v/>
      </c>
      <c r="Y360" s="341">
        <f>IF('General price list'!$AB362="",0,'General price list'!$AB362)</f>
        <v>0</v>
      </c>
      <c r="Z360" s="365" t="str">
        <f>IFERROR(X360*VLOOKUP(C360,'General price list'!C:I,7,FALSE),"")</f>
        <v/>
      </c>
      <c r="AA360" s="805" t="str">
        <f>IF(X360&lt;&gt;"",VLOOKUP(C360,'General price list'!C362:AN1335,MATCH("HM",Tabulka1[[#Headers],[KOD]:[NEQ]],0),FALSE),"")</f>
        <v/>
      </c>
    </row>
    <row r="361" spans="1:27">
      <c r="A361">
        <f>COUNTIF($W$22:W361,1)</f>
        <v>0</v>
      </c>
      <c r="B361">
        <v>361</v>
      </c>
      <c r="C361" s="340">
        <f>Tabulka1[[#This Row],[KOD]]</f>
        <v>0</v>
      </c>
      <c r="W361" s="804" t="str">
        <f t="shared" si="13"/>
        <v/>
      </c>
      <c r="X361" t="str">
        <f t="shared" si="14"/>
        <v/>
      </c>
      <c r="Y361" s="341">
        <f>IF('General price list'!$AB363="",0,'General price list'!$AB363)</f>
        <v>0</v>
      </c>
      <c r="Z361" s="365" t="str">
        <f>IFERROR(X361*VLOOKUP(C361,'General price list'!C:I,7,FALSE),"")</f>
        <v/>
      </c>
      <c r="AA361" s="805" t="str">
        <f>IF(X361&lt;&gt;"",VLOOKUP(C361,'General price list'!C363:AN1336,MATCH("HM",Tabulka1[[#Headers],[KOD]:[NEQ]],0),FALSE),"")</f>
        <v/>
      </c>
    </row>
    <row r="362" spans="1:27">
      <c r="A362">
        <f>COUNTIF($W$22:W362,1)</f>
        <v>0</v>
      </c>
      <c r="B362">
        <v>362</v>
      </c>
      <c r="C362" s="340" t="str">
        <f>Tabulka1[[#This Row],[KOD]]</f>
        <v>OZ4</v>
      </c>
      <c r="W362" s="804" t="str">
        <f t="shared" si="13"/>
        <v/>
      </c>
      <c r="X362" t="str">
        <f t="shared" si="14"/>
        <v/>
      </c>
      <c r="Y362" s="341">
        <f>IF('General price list'!$AB364="",0,'General price list'!$AB364)</f>
        <v>0</v>
      </c>
      <c r="Z362" s="365" t="str">
        <f>IFERROR(X362*VLOOKUP(C362,'General price list'!C:I,7,FALSE),"")</f>
        <v/>
      </c>
      <c r="AA362" s="805" t="str">
        <f>IF(X362&lt;&gt;"",VLOOKUP(C362,'General price list'!C364:AN1337,MATCH("HM",Tabulka1[[#Headers],[KOD]:[NEQ]],0),FALSE),"")</f>
        <v/>
      </c>
    </row>
    <row r="363" spans="1:27">
      <c r="A363">
        <f>COUNTIF($W$22:W363,1)</f>
        <v>0</v>
      </c>
      <c r="B363">
        <v>363</v>
      </c>
      <c r="C363" s="340" t="str">
        <f>Tabulka1[[#This Row],[KOD]]</f>
        <v>ZS5M</v>
      </c>
      <c r="W363" s="804" t="str">
        <f t="shared" si="13"/>
        <v/>
      </c>
      <c r="X363" t="str">
        <f t="shared" si="14"/>
        <v/>
      </c>
      <c r="Y363" s="341">
        <f>IF('General price list'!$AB365="",0,'General price list'!$AB365)</f>
        <v>0</v>
      </c>
      <c r="Z363" s="365" t="str">
        <f>IFERROR(X363*VLOOKUP(C363,'General price list'!C:I,7,FALSE),"")</f>
        <v/>
      </c>
      <c r="AA363" s="805" t="str">
        <f>IF(X363&lt;&gt;"",VLOOKUP(C363,'General price list'!C365:AN1338,MATCH("HM",Tabulka1[[#Headers],[KOD]:[NEQ]],0),FALSE),"")</f>
        <v/>
      </c>
    </row>
    <row r="364" spans="1:27">
      <c r="A364">
        <f>COUNTIF($W$22:W364,1)</f>
        <v>0</v>
      </c>
      <c r="B364">
        <v>364</v>
      </c>
      <c r="C364" s="340">
        <f>Tabulka1[[#This Row],[KOD]]</f>
        <v>0</v>
      </c>
      <c r="W364" s="804" t="str">
        <f t="shared" si="13"/>
        <v/>
      </c>
      <c r="X364" t="str">
        <f t="shared" si="14"/>
        <v/>
      </c>
      <c r="Y364" s="341">
        <f>IF('General price list'!$AB366="",0,'General price list'!$AB366)</f>
        <v>0</v>
      </c>
      <c r="Z364" s="365" t="str">
        <f>IFERROR(X364*VLOOKUP(C364,'General price list'!C:I,7,FALSE),"")</f>
        <v/>
      </c>
      <c r="AA364" s="805" t="str">
        <f>IF(X364&lt;&gt;"",VLOOKUP(C364,'General price list'!C366:AN1339,MATCH("HM",Tabulka1[[#Headers],[KOD]:[NEQ]],0),FALSE),"")</f>
        <v/>
      </c>
    </row>
    <row r="365" spans="1:27">
      <c r="A365">
        <f>COUNTIF($W$22:W365,1)</f>
        <v>0</v>
      </c>
      <c r="B365">
        <v>365</v>
      </c>
      <c r="C365" s="340" t="str">
        <f>Tabulka1[[#This Row],[KOD]]</f>
        <v>C2508R</v>
      </c>
      <c r="W365" s="804" t="str">
        <f t="shared" si="13"/>
        <v/>
      </c>
      <c r="X365" t="str">
        <f t="shared" si="14"/>
        <v/>
      </c>
      <c r="Y365" s="341">
        <f>IF('General price list'!$AB367="",0,'General price list'!$AB367)</f>
        <v>0</v>
      </c>
      <c r="Z365" s="365" t="str">
        <f>IFERROR(X365*VLOOKUP(C365,'General price list'!C:I,7,FALSE),"")</f>
        <v/>
      </c>
      <c r="AA365" s="805" t="str">
        <f>IF(X365&lt;&gt;"",VLOOKUP(C365,'General price list'!C367:AN1340,MATCH("HM",Tabulka1[[#Headers],[KOD]:[NEQ]],0),FALSE),"")</f>
        <v/>
      </c>
    </row>
    <row r="366" spans="1:27">
      <c r="A366">
        <f>COUNTIF($W$22:W366,1)</f>
        <v>0</v>
      </c>
      <c r="B366">
        <v>366</v>
      </c>
      <c r="C366" s="340" t="str">
        <f>Tabulka1[[#This Row],[KOD]]</f>
        <v>C10008R</v>
      </c>
      <c r="W366" s="804" t="str">
        <f t="shared" si="13"/>
        <v/>
      </c>
      <c r="X366" t="str">
        <f t="shared" si="14"/>
        <v/>
      </c>
      <c r="Y366" s="341">
        <f>IF('General price list'!$AB368="",0,'General price list'!$AB368)</f>
        <v>0</v>
      </c>
      <c r="Z366" s="365" t="str">
        <f>IFERROR(X366*VLOOKUP(C366,'General price list'!C:I,7,FALSE),"")</f>
        <v/>
      </c>
      <c r="AA366" s="805" t="str">
        <f>IF(X366&lt;&gt;"",VLOOKUP(C366,'General price list'!C368:AN1341,MATCH("HM",Tabulka1[[#Headers],[KOD]:[NEQ]],0),FALSE),"")</f>
        <v/>
      </c>
    </row>
    <row r="367" spans="1:27">
      <c r="A367">
        <f>COUNTIF($W$22:W367,1)</f>
        <v>0</v>
      </c>
      <c r="B367">
        <v>367</v>
      </c>
      <c r="C367" s="340">
        <f>Tabulka1[[#This Row],[KOD]]</f>
        <v>0</v>
      </c>
      <c r="W367" s="804" t="str">
        <f t="shared" si="13"/>
        <v/>
      </c>
      <c r="X367" t="str">
        <f t="shared" si="14"/>
        <v/>
      </c>
      <c r="Y367" s="341">
        <f>IF('General price list'!$AB369="",0,'General price list'!$AB369)</f>
        <v>0</v>
      </c>
      <c r="Z367" s="365" t="str">
        <f>IFERROR(X367*VLOOKUP(C367,'General price list'!C:I,7,FALSE),"")</f>
        <v/>
      </c>
      <c r="AA367" s="805" t="str">
        <f>IF(X367&lt;&gt;"",VLOOKUP(C367,'General price list'!C369:AN1342,MATCH("HM",Tabulka1[[#Headers],[KOD]:[NEQ]],0),FALSE),"")</f>
        <v/>
      </c>
    </row>
    <row r="368" spans="1:27">
      <c r="A368">
        <f>COUNTIF($W$22:W368,1)</f>
        <v>0</v>
      </c>
      <c r="B368">
        <v>368</v>
      </c>
      <c r="C368" s="340" t="str">
        <f>Tabulka1[[#This Row],[KOD]]</f>
        <v>C1008CC</v>
      </c>
      <c r="W368" s="804" t="str">
        <f t="shared" si="13"/>
        <v/>
      </c>
      <c r="X368" t="str">
        <f t="shared" si="14"/>
        <v/>
      </c>
      <c r="Y368" s="341">
        <f>IF('General price list'!$AB370="",0,'General price list'!$AB370)</f>
        <v>0</v>
      </c>
      <c r="Z368" s="365" t="str">
        <f>IFERROR(X368*VLOOKUP(C368,'General price list'!C:I,7,FALSE),"")</f>
        <v/>
      </c>
      <c r="AA368" s="805" t="str">
        <f>IF(X368&lt;&gt;"",VLOOKUP(C368,'General price list'!C370:AN1343,MATCH("HM",Tabulka1[[#Headers],[KOD]:[NEQ]],0),FALSE),"")</f>
        <v/>
      </c>
    </row>
    <row r="369" spans="1:27">
      <c r="A369">
        <f>COUNTIF($W$22:W369,1)</f>
        <v>0</v>
      </c>
      <c r="B369">
        <v>369</v>
      </c>
      <c r="C369" s="340">
        <f>Tabulka1[[#This Row],[KOD]]</f>
        <v>0</v>
      </c>
      <c r="W369" s="804" t="str">
        <f t="shared" si="13"/>
        <v/>
      </c>
      <c r="X369" t="str">
        <f t="shared" si="14"/>
        <v/>
      </c>
      <c r="Y369" s="341">
        <f>IF('General price list'!$AB371="",0,'General price list'!$AB371)</f>
        <v>0</v>
      </c>
      <c r="Z369" s="365" t="str">
        <f>IFERROR(X369*VLOOKUP(C369,'General price list'!C:I,7,FALSE),"")</f>
        <v/>
      </c>
      <c r="AA369" s="805" t="str">
        <f>IF(X369&lt;&gt;"",VLOOKUP(C369,'General price list'!C371:AN1344,MATCH("HM",Tabulka1[[#Headers],[KOD]:[NEQ]],0),FALSE),"")</f>
        <v/>
      </c>
    </row>
    <row r="370" spans="1:27">
      <c r="A370">
        <f>COUNTIF($W$22:W370,1)</f>
        <v>0</v>
      </c>
      <c r="B370">
        <v>370</v>
      </c>
      <c r="C370" s="340" t="str">
        <f>Tabulka1[[#This Row],[KOD]]</f>
        <v>C1614E14</v>
      </c>
      <c r="W370" s="804" t="str">
        <f t="shared" si="13"/>
        <v/>
      </c>
      <c r="X370" t="str">
        <f t="shared" si="14"/>
        <v/>
      </c>
      <c r="Y370" s="341">
        <f>IF('General price list'!$AB372="",0,'General price list'!$AB372)</f>
        <v>0</v>
      </c>
      <c r="Z370" s="365" t="str">
        <f>IFERROR(X370*VLOOKUP(C370,'General price list'!C:I,7,FALSE),"")</f>
        <v/>
      </c>
      <c r="AA370" s="805" t="str">
        <f>IF(X370&lt;&gt;"",VLOOKUP(C370,'General price list'!C372:AN1345,MATCH("HM",Tabulka1[[#Headers],[KOD]:[NEQ]],0),FALSE),"")</f>
        <v/>
      </c>
    </row>
    <row r="371" spans="1:27">
      <c r="A371">
        <f>COUNTIF($W$22:W371,1)</f>
        <v>0</v>
      </c>
      <c r="B371">
        <v>371</v>
      </c>
      <c r="C371" s="340">
        <f>Tabulka1[[#This Row],[KOD]]</f>
        <v>0</v>
      </c>
      <c r="W371" s="804" t="str">
        <f t="shared" si="13"/>
        <v/>
      </c>
      <c r="X371" t="str">
        <f t="shared" si="14"/>
        <v/>
      </c>
      <c r="Y371" s="341">
        <f>IF('General price list'!$AB373="",0,'General price list'!$AB373)</f>
        <v>0</v>
      </c>
      <c r="Z371" s="365" t="str">
        <f>IFERROR(X371*VLOOKUP(C371,'General price list'!C:I,7,FALSE),"")</f>
        <v/>
      </c>
      <c r="AA371" s="805" t="str">
        <f>IF(X371&lt;&gt;"",VLOOKUP(C371,'General price list'!C373:AN1346,MATCH("HM",Tabulka1[[#Headers],[KOD]:[NEQ]],0),FALSE),"")</f>
        <v/>
      </c>
    </row>
    <row r="372" spans="1:27">
      <c r="A372">
        <f>COUNTIF($W$22:W372,1)</f>
        <v>0</v>
      </c>
      <c r="B372">
        <v>372</v>
      </c>
      <c r="C372" s="340" t="str">
        <f>Tabulka1[[#This Row],[KOD]]</f>
        <v>C3614B14</v>
      </c>
      <c r="W372" s="804" t="str">
        <f t="shared" si="13"/>
        <v/>
      </c>
      <c r="X372" t="str">
        <f t="shared" si="14"/>
        <v/>
      </c>
      <c r="Y372" s="341">
        <f>IF('General price list'!$AB374="",0,'General price list'!$AB374)</f>
        <v>0</v>
      </c>
      <c r="Z372" s="365" t="str">
        <f>IFERROR(X372*VLOOKUP(C372,'General price list'!C:I,7,FALSE),"")</f>
        <v/>
      </c>
      <c r="AA372" s="805" t="str">
        <f>IF(X372&lt;&gt;"",VLOOKUP(C372,'General price list'!C374:AN1347,MATCH("HM",Tabulka1[[#Headers],[KOD]:[NEQ]],0),FALSE),"")</f>
        <v/>
      </c>
    </row>
    <row r="373" spans="1:27">
      <c r="A373">
        <f>COUNTIF($W$22:W373,1)</f>
        <v>0</v>
      </c>
      <c r="B373">
        <v>373</v>
      </c>
      <c r="C373" s="340">
        <f>Tabulka1[[#This Row],[KOD]]</f>
        <v>0</v>
      </c>
      <c r="W373" s="804" t="str">
        <f t="shared" si="13"/>
        <v/>
      </c>
      <c r="X373" t="str">
        <f t="shared" si="14"/>
        <v/>
      </c>
      <c r="Y373" s="341">
        <f>IF('General price list'!$AB375="",0,'General price list'!$AB375)</f>
        <v>0</v>
      </c>
      <c r="Z373" s="365" t="str">
        <f>IFERROR(X373*VLOOKUP(C373,'General price list'!C:I,7,FALSE),"")</f>
        <v/>
      </c>
      <c r="AA373" s="805" t="str">
        <f>IF(X373&lt;&gt;"",VLOOKUP(C373,'General price list'!C375:AN1348,MATCH("HM",Tabulka1[[#Headers],[KOD]:[NEQ]],0),FALSE),"")</f>
        <v/>
      </c>
    </row>
    <row r="374" spans="1:27">
      <c r="A374">
        <f>COUNTIF($W$22:W374,1)</f>
        <v>0</v>
      </c>
      <c r="B374">
        <v>374</v>
      </c>
      <c r="C374" s="340" t="str">
        <f>Tabulka1[[#This Row],[KOD]]</f>
        <v>C6414C14</v>
      </c>
      <c r="W374" s="804" t="str">
        <f t="shared" si="13"/>
        <v/>
      </c>
      <c r="X374" t="str">
        <f t="shared" si="14"/>
        <v/>
      </c>
      <c r="Y374" s="341">
        <f>IF('General price list'!$AB376="",0,'General price list'!$AB376)</f>
        <v>0</v>
      </c>
      <c r="Z374" s="365" t="str">
        <f>IFERROR(X374*VLOOKUP(C374,'General price list'!C:I,7,FALSE),"")</f>
        <v/>
      </c>
      <c r="AA374" s="805" t="str">
        <f>IF(X374&lt;&gt;"",VLOOKUP(C374,'General price list'!C376:AN1349,MATCH("HM",Tabulka1[[#Headers],[KOD]:[NEQ]],0),FALSE),"")</f>
        <v/>
      </c>
    </row>
    <row r="375" spans="1:27">
      <c r="A375">
        <f>COUNTIF($W$22:W375,1)</f>
        <v>0</v>
      </c>
      <c r="B375">
        <v>375</v>
      </c>
      <c r="C375" s="340">
        <f>Tabulka1[[#This Row],[KOD]]</f>
        <v>0</v>
      </c>
      <c r="W375" s="804" t="str">
        <f t="shared" si="13"/>
        <v/>
      </c>
      <c r="X375" t="str">
        <f t="shared" si="14"/>
        <v/>
      </c>
      <c r="Y375" s="341">
        <f>IF('General price list'!$AB377="",0,'General price list'!$AB377)</f>
        <v>0</v>
      </c>
      <c r="Z375" s="365" t="str">
        <f>IFERROR(X375*VLOOKUP(C375,'General price list'!C:I,7,FALSE),"")</f>
        <v/>
      </c>
      <c r="AA375" s="805" t="str">
        <f>IF(X375&lt;&gt;"",VLOOKUP(C375,'General price list'!C377:AN1350,MATCH("HM",Tabulka1[[#Headers],[KOD]:[NEQ]],0),FALSE),"")</f>
        <v/>
      </c>
    </row>
    <row r="376" spans="1:27">
      <c r="A376">
        <f>COUNTIF($W$22:W376,1)</f>
        <v>0</v>
      </c>
      <c r="B376">
        <v>376</v>
      </c>
      <c r="C376" s="340" t="str">
        <f>Tabulka1[[#This Row],[KOD]]</f>
        <v>C10014A</v>
      </c>
      <c r="W376" s="804" t="str">
        <f t="shared" si="13"/>
        <v/>
      </c>
      <c r="X376" t="str">
        <f t="shared" si="14"/>
        <v/>
      </c>
      <c r="Y376" s="341">
        <f>IF('General price list'!$AB378="",0,'General price list'!$AB378)</f>
        <v>0</v>
      </c>
      <c r="Z376" s="365" t="str">
        <f>IFERROR(X376*VLOOKUP(C376,'General price list'!C:I,7,FALSE),"")</f>
        <v/>
      </c>
      <c r="AA376" s="805" t="str">
        <f>IF(X376&lt;&gt;"",VLOOKUP(C376,'General price list'!C378:AN1351,MATCH("HM",Tabulka1[[#Headers],[KOD]:[NEQ]],0),FALSE),"")</f>
        <v/>
      </c>
    </row>
    <row r="377" spans="1:27">
      <c r="A377">
        <f>COUNTIF($W$22:W377,1)</f>
        <v>0</v>
      </c>
      <c r="B377">
        <v>377</v>
      </c>
      <c r="C377" s="340">
        <f>Tabulka1[[#This Row],[KOD]]</f>
        <v>0</v>
      </c>
      <c r="W377" s="804" t="str">
        <f t="shared" si="13"/>
        <v/>
      </c>
      <c r="X377" t="str">
        <f t="shared" si="14"/>
        <v/>
      </c>
      <c r="Y377" s="341">
        <f>IF('General price list'!$AB379="",0,'General price list'!$AB379)</f>
        <v>0</v>
      </c>
      <c r="Z377" s="365" t="str">
        <f>IFERROR(X377*VLOOKUP(C377,'General price list'!C:I,7,FALSE),"")</f>
        <v/>
      </c>
      <c r="AA377" s="805" t="str">
        <f>IF(X377&lt;&gt;"",VLOOKUP(C377,'General price list'!C379:AN1352,MATCH("HM",Tabulka1[[#Headers],[KOD]:[NEQ]],0),FALSE),"")</f>
        <v/>
      </c>
    </row>
    <row r="378" spans="1:27">
      <c r="A378">
        <f>COUNTIF($W$22:W378,1)</f>
        <v>0</v>
      </c>
      <c r="B378">
        <v>378</v>
      </c>
      <c r="C378" s="340" t="str">
        <f>Tabulka1[[#This Row],[KOD]]</f>
        <v>C20014F14</v>
      </c>
      <c r="W378" s="804" t="str">
        <f t="shared" si="13"/>
        <v/>
      </c>
      <c r="X378" t="str">
        <f t="shared" si="14"/>
        <v/>
      </c>
      <c r="Y378" s="341">
        <f>IF('General price list'!$AB380="",0,'General price list'!$AB380)</f>
        <v>0</v>
      </c>
      <c r="Z378" s="365" t="str">
        <f>IFERROR(X378*VLOOKUP(C378,'General price list'!C:I,7,FALSE),"")</f>
        <v/>
      </c>
      <c r="AA378" s="805" t="str">
        <f>IF(X378&lt;&gt;"",VLOOKUP(C378,'General price list'!C380:AN1353,MATCH("HM",Tabulka1[[#Headers],[KOD]:[NEQ]],0),FALSE),"")</f>
        <v/>
      </c>
    </row>
    <row r="379" spans="1:27">
      <c r="A379">
        <f>COUNTIF($W$22:W379,1)</f>
        <v>0</v>
      </c>
      <c r="B379">
        <v>379</v>
      </c>
      <c r="C379" s="340">
        <f>Tabulka1[[#This Row],[KOD]]</f>
        <v>0</v>
      </c>
      <c r="W379" s="804" t="str">
        <f t="shared" si="13"/>
        <v/>
      </c>
      <c r="X379" t="str">
        <f t="shared" si="14"/>
        <v/>
      </c>
      <c r="Y379" s="341">
        <f>IF('General price list'!$AB381="",0,'General price list'!$AB381)</f>
        <v>0</v>
      </c>
      <c r="Z379" s="365" t="str">
        <f>IFERROR(X379*VLOOKUP(C379,'General price list'!C:I,7,FALSE),"")</f>
        <v/>
      </c>
      <c r="AA379" s="805" t="str">
        <f>IF(X379&lt;&gt;"",VLOOKUP(C379,'General price list'!C381:AN1354,MATCH("HM",Tabulka1[[#Headers],[KOD]:[NEQ]],0),FALSE),"")</f>
        <v/>
      </c>
    </row>
    <row r="380" spans="1:27">
      <c r="A380">
        <f>COUNTIF($W$22:W380,1)</f>
        <v>0</v>
      </c>
      <c r="B380">
        <v>380</v>
      </c>
      <c r="C380" s="340" t="str">
        <f>Tabulka1[[#This Row],[KOD]]</f>
        <v>C40014W/C14</v>
      </c>
      <c r="W380" s="804" t="str">
        <f t="shared" si="13"/>
        <v/>
      </c>
      <c r="X380" t="str">
        <f t="shared" si="14"/>
        <v/>
      </c>
      <c r="Y380" s="341">
        <f>IF('General price list'!$AB382="",0,'General price list'!$AB382)</f>
        <v>0</v>
      </c>
      <c r="Z380" s="365" t="str">
        <f>IFERROR(X380*VLOOKUP(C380,'General price list'!C:I,7,FALSE),"")</f>
        <v/>
      </c>
      <c r="AA380" s="805" t="str">
        <f>IF(X380&lt;&gt;"",VLOOKUP(C380,'General price list'!C382:AN1355,MATCH("HM",Tabulka1[[#Headers],[KOD]:[NEQ]],0),FALSE),"")</f>
        <v/>
      </c>
    </row>
    <row r="381" spans="1:27">
      <c r="A381">
        <f>COUNTIF($W$22:W381,1)</f>
        <v>0</v>
      </c>
      <c r="B381">
        <v>381</v>
      </c>
      <c r="C381" s="340">
        <f>Tabulka1[[#This Row],[KOD]]</f>
        <v>0</v>
      </c>
      <c r="W381" s="804" t="str">
        <f t="shared" si="13"/>
        <v/>
      </c>
      <c r="X381" t="str">
        <f t="shared" si="14"/>
        <v/>
      </c>
      <c r="Y381" s="341">
        <f>IF('General price list'!$AB383="",0,'General price list'!$AB383)</f>
        <v>0</v>
      </c>
      <c r="Z381" s="365" t="str">
        <f>IFERROR(X381*VLOOKUP(C381,'General price list'!C:I,7,FALSE),"")</f>
        <v/>
      </c>
      <c r="AA381" s="805" t="str">
        <f>IF(X381&lt;&gt;"",VLOOKUP(C381,'General price list'!C383:AN1356,MATCH("HM",Tabulka1[[#Headers],[KOD]:[NEQ]],0),FALSE),"")</f>
        <v/>
      </c>
    </row>
    <row r="382" spans="1:27">
      <c r="A382">
        <f>COUNTIF($W$22:W382,1)</f>
        <v>0</v>
      </c>
      <c r="B382">
        <v>382</v>
      </c>
      <c r="C382" s="340" t="str">
        <f>Tabulka1[[#This Row],[KOD]]</f>
        <v>C20814XPR14</v>
      </c>
      <c r="W382" s="804" t="str">
        <f t="shared" si="13"/>
        <v/>
      </c>
      <c r="X382" t="str">
        <f t="shared" si="14"/>
        <v/>
      </c>
      <c r="Y382" s="341">
        <f>IF('General price list'!$AB384="",0,'General price list'!$AB384)</f>
        <v>0</v>
      </c>
      <c r="Z382" s="365" t="str">
        <f>IFERROR(X382*VLOOKUP(C382,'General price list'!C:I,7,FALSE),"")</f>
        <v/>
      </c>
      <c r="AA382" s="805" t="str">
        <f>IF(X382&lt;&gt;"",VLOOKUP(C382,'General price list'!C384:AN1357,MATCH("HM",Tabulka1[[#Headers],[KOD]:[NEQ]],0),FALSE),"")</f>
        <v/>
      </c>
    </row>
    <row r="383" spans="1:27">
      <c r="A383">
        <f>COUNTIF($W$22:W383,1)</f>
        <v>0</v>
      </c>
      <c r="B383">
        <v>383</v>
      </c>
      <c r="C383" s="340">
        <f>Tabulka1[[#This Row],[KOD]]</f>
        <v>0</v>
      </c>
      <c r="W383" s="804" t="str">
        <f t="shared" si="13"/>
        <v/>
      </c>
      <c r="X383" t="str">
        <f t="shared" si="14"/>
        <v/>
      </c>
      <c r="Y383" s="341">
        <f>IF('General price list'!$AB385="",0,'General price list'!$AB385)</f>
        <v>0</v>
      </c>
      <c r="Z383" s="365" t="str">
        <f>IFERROR(X383*VLOOKUP(C383,'General price list'!C:I,7,FALSE),"")</f>
        <v/>
      </c>
      <c r="AA383" s="805" t="str">
        <f>IF(X383&lt;&gt;"",VLOOKUP(C383,'General price list'!C385:AN1358,MATCH("HM",Tabulka1[[#Headers],[KOD]:[NEQ]],0),FALSE),"")</f>
        <v/>
      </c>
    </row>
    <row r="384" spans="1:27">
      <c r="A384">
        <f>COUNTIF($W$22:W384,1)</f>
        <v>0</v>
      </c>
      <c r="B384">
        <v>384</v>
      </c>
      <c r="C384" s="340" t="str">
        <f>Tabulka1[[#This Row],[KOD]]</f>
        <v>C9016XC14</v>
      </c>
      <c r="W384" s="804" t="str">
        <f t="shared" si="13"/>
        <v/>
      </c>
      <c r="X384" t="str">
        <f t="shared" si="14"/>
        <v/>
      </c>
      <c r="Y384" s="341">
        <f>IF('General price list'!$AB386="",0,'General price list'!$AB386)</f>
        <v>0</v>
      </c>
      <c r="Z384" s="365" t="str">
        <f>IFERROR(X384*VLOOKUP(C384,'General price list'!C:I,7,FALSE),"")</f>
        <v/>
      </c>
      <c r="AA384" s="805" t="str">
        <f>IF(X384&lt;&gt;"",VLOOKUP(C384,'General price list'!C386:AN1359,MATCH("HM",Tabulka1[[#Headers],[KOD]:[NEQ]],0),FALSE),"")</f>
        <v/>
      </c>
    </row>
    <row r="385" spans="1:27">
      <c r="A385">
        <f>COUNTIF($W$22:W385,1)</f>
        <v>0</v>
      </c>
      <c r="B385">
        <v>385</v>
      </c>
      <c r="C385" s="340">
        <f>Tabulka1[[#This Row],[KOD]]</f>
        <v>0</v>
      </c>
      <c r="W385" s="804" t="str">
        <f t="shared" si="13"/>
        <v/>
      </c>
      <c r="X385" t="str">
        <f t="shared" si="14"/>
        <v/>
      </c>
      <c r="Y385" s="341">
        <f>IF('General price list'!$AB387="",0,'General price list'!$AB387)</f>
        <v>0</v>
      </c>
      <c r="Z385" s="365" t="str">
        <f>IFERROR(X385*VLOOKUP(C385,'General price list'!C:I,7,FALSE),"")</f>
        <v/>
      </c>
      <c r="AA385" s="805" t="str">
        <f>IF(X385&lt;&gt;"",VLOOKUP(C385,'General price list'!C387:AN1360,MATCH("HM",Tabulka1[[#Headers],[KOD]:[NEQ]],0),FALSE),"")</f>
        <v/>
      </c>
    </row>
    <row r="386" spans="1:27">
      <c r="A386">
        <f>COUNTIF($W$22:W386,1)</f>
        <v>0</v>
      </c>
      <c r="B386">
        <v>386</v>
      </c>
      <c r="C386" s="340" t="str">
        <f>Tabulka1[[#This Row],[KOD]]</f>
        <v>C16016XP14</v>
      </c>
      <c r="W386" s="804" t="str">
        <f t="shared" si="13"/>
        <v/>
      </c>
      <c r="X386" t="str">
        <f t="shared" si="14"/>
        <v/>
      </c>
      <c r="Y386" s="341">
        <f>IF('General price list'!$AB388="",0,'General price list'!$AB388)</f>
        <v>0</v>
      </c>
      <c r="Z386" s="365" t="str">
        <f>IFERROR(X386*VLOOKUP(C386,'General price list'!C:I,7,FALSE),"")</f>
        <v/>
      </c>
      <c r="AA386" s="805" t="str">
        <f>IF(X386&lt;&gt;"",VLOOKUP(C386,'General price list'!C388:AN1361,MATCH("HM",Tabulka1[[#Headers],[KOD]:[NEQ]],0),FALSE),"")</f>
        <v/>
      </c>
    </row>
    <row r="387" spans="1:27">
      <c r="A387">
        <f>COUNTIF($W$22:W387,1)</f>
        <v>0</v>
      </c>
      <c r="B387">
        <v>387</v>
      </c>
      <c r="C387" s="340">
        <f>Tabulka1[[#This Row],[KOD]]</f>
        <v>0</v>
      </c>
      <c r="W387" s="804" t="str">
        <f t="shared" si="13"/>
        <v/>
      </c>
      <c r="X387" t="str">
        <f t="shared" si="14"/>
        <v/>
      </c>
      <c r="Y387" s="341">
        <f>IF('General price list'!$AB389="",0,'General price list'!$AB389)</f>
        <v>0</v>
      </c>
      <c r="Z387" s="365" t="str">
        <f>IFERROR(X387*VLOOKUP(C387,'General price list'!C:I,7,FALSE),"")</f>
        <v/>
      </c>
      <c r="AA387" s="805" t="str">
        <f>IF(X387&lt;&gt;"",VLOOKUP(C387,'General price list'!C389:AN1362,MATCH("HM",Tabulka1[[#Headers],[KOD]:[NEQ]],0),FALSE),"")</f>
        <v/>
      </c>
    </row>
    <row r="388" spans="1:27">
      <c r="A388">
        <f>COUNTIF($W$22:W388,1)</f>
        <v>0</v>
      </c>
      <c r="B388">
        <v>388</v>
      </c>
      <c r="C388" s="340" t="str">
        <f>Tabulka1[[#This Row],[KOD]]</f>
        <v>C27016XG/C14</v>
      </c>
      <c r="W388" s="804" t="str">
        <f t="shared" si="13"/>
        <v/>
      </c>
      <c r="X388" t="str">
        <f t="shared" si="14"/>
        <v/>
      </c>
      <c r="Y388" s="341">
        <f>IF('General price list'!$AB390="",0,'General price list'!$AB390)</f>
        <v>0</v>
      </c>
      <c r="Z388" s="365" t="str">
        <f>IFERROR(X388*VLOOKUP(C388,'General price list'!C:I,7,FALSE),"")</f>
        <v/>
      </c>
      <c r="AA388" s="805" t="str">
        <f>IF(X388&lt;&gt;"",VLOOKUP(C388,'General price list'!C390:AN1363,MATCH("HM",Tabulka1[[#Headers],[KOD]:[NEQ]],0),FALSE),"")</f>
        <v/>
      </c>
    </row>
    <row r="389" spans="1:27">
      <c r="A389">
        <f>COUNTIF($W$22:W389,1)</f>
        <v>0</v>
      </c>
      <c r="B389">
        <v>389</v>
      </c>
      <c r="C389" s="340" t="str">
        <f>Tabulka1[[#This Row],[KOD]]</f>
        <v>C32016XB/C14</v>
      </c>
      <c r="W389" s="804" t="str">
        <f t="shared" si="13"/>
        <v/>
      </c>
      <c r="X389" t="str">
        <f t="shared" si="14"/>
        <v/>
      </c>
      <c r="Y389" s="341">
        <f>IF('General price list'!$AB391="",0,'General price list'!$AB391)</f>
        <v>0</v>
      </c>
      <c r="Z389" s="365" t="str">
        <f>IFERROR(X389*VLOOKUP(C389,'General price list'!C:I,7,FALSE),"")</f>
        <v/>
      </c>
      <c r="AA389" s="805" t="str">
        <f>IF(X389&lt;&gt;"",VLOOKUP(C389,'General price list'!C391:AN1364,MATCH("HM",Tabulka1[[#Headers],[KOD]:[NEQ]],0),FALSE),"")</f>
        <v/>
      </c>
    </row>
    <row r="390" spans="1:27">
      <c r="A390">
        <f>COUNTIF($W$22:W390,1)</f>
        <v>0</v>
      </c>
      <c r="B390">
        <v>390</v>
      </c>
      <c r="C390" s="340">
        <f>Tabulka1[[#This Row],[KOD]]</f>
        <v>0</v>
      </c>
      <c r="W390" s="804" t="str">
        <f t="shared" si="13"/>
        <v/>
      </c>
      <c r="X390" t="str">
        <f t="shared" si="14"/>
        <v/>
      </c>
      <c r="Y390" s="341">
        <f>IF('General price list'!$AB392="",0,'General price list'!$AB392)</f>
        <v>0</v>
      </c>
      <c r="Z390" s="365" t="str">
        <f>IFERROR(X390*VLOOKUP(C390,'General price list'!C:I,7,FALSE),"")</f>
        <v/>
      </c>
      <c r="AA390" s="805" t="str">
        <f>IF(X390&lt;&gt;"",VLOOKUP(C390,'General price list'!C392:AN1365,MATCH("HM",Tabulka1[[#Headers],[KOD]:[NEQ]],0),FALSE),"")</f>
        <v/>
      </c>
    </row>
    <row r="391" spans="1:27">
      <c r="A391">
        <f>COUNTIF($W$22:W391,1)</f>
        <v>0</v>
      </c>
      <c r="B391">
        <v>391</v>
      </c>
      <c r="C391" s="340" t="str">
        <f>Tabulka1[[#This Row],[KOD]]</f>
        <v>C63MXS14</v>
      </c>
      <c r="W391" s="804" t="str">
        <f t="shared" si="13"/>
        <v/>
      </c>
      <c r="X391" t="str">
        <f t="shared" si="14"/>
        <v/>
      </c>
      <c r="Y391" s="341">
        <f>IF('General price list'!$AB393="",0,'General price list'!$AB393)</f>
        <v>0</v>
      </c>
      <c r="Z391" s="365" t="str">
        <f>IFERROR(X391*VLOOKUP(C391,'General price list'!C:I,7,FALSE),"")</f>
        <v/>
      </c>
      <c r="AA391" s="805" t="str">
        <f>IF(X391&lt;&gt;"",VLOOKUP(C391,'General price list'!C393:AN1366,MATCH("HM",Tabulka1[[#Headers],[KOD]:[NEQ]],0),FALSE),"")</f>
        <v/>
      </c>
    </row>
    <row r="392" spans="1:27">
      <c r="A392">
        <f>COUNTIF($W$22:W392,1)</f>
        <v>0</v>
      </c>
      <c r="B392">
        <v>392</v>
      </c>
      <c r="C392" s="340">
        <f>Tabulka1[[#This Row],[KOD]]</f>
        <v>0</v>
      </c>
      <c r="W392" s="804" t="str">
        <f t="shared" si="13"/>
        <v/>
      </c>
      <c r="X392" t="str">
        <f t="shared" si="14"/>
        <v/>
      </c>
      <c r="Y392" s="341">
        <f>IF('General price list'!$AB394="",0,'General price list'!$AB394)</f>
        <v>0</v>
      </c>
      <c r="Z392" s="365" t="str">
        <f>IFERROR(X392*VLOOKUP(C392,'General price list'!C:I,7,FALSE),"")</f>
        <v/>
      </c>
      <c r="AA392" s="805" t="str">
        <f>IF(X392&lt;&gt;"",VLOOKUP(C392,'General price list'!C394:AN1367,MATCH("HM",Tabulka1[[#Headers],[KOD]:[NEQ]],0),FALSE),"")</f>
        <v/>
      </c>
    </row>
    <row r="393" spans="1:27">
      <c r="A393">
        <f>COUNTIF($W$22:W393,1)</f>
        <v>0</v>
      </c>
      <c r="B393">
        <v>393</v>
      </c>
      <c r="C393" s="340" t="str">
        <f>Tabulka1[[#This Row],[KOD]]</f>
        <v>C920L</v>
      </c>
      <c r="W393" s="804" t="str">
        <f t="shared" si="13"/>
        <v/>
      </c>
      <c r="X393" t="str">
        <f t="shared" si="14"/>
        <v/>
      </c>
      <c r="Y393" s="341">
        <f>IF('General price list'!$AB395="",0,'General price list'!$AB395)</f>
        <v>0</v>
      </c>
      <c r="Z393" s="365" t="str">
        <f>IFERROR(X393*VLOOKUP(C393,'General price list'!C:I,7,FALSE),"")</f>
        <v/>
      </c>
      <c r="AA393" s="805" t="str">
        <f>IF(X393&lt;&gt;"",VLOOKUP(C393,'General price list'!C395:AN1368,MATCH("HM",Tabulka1[[#Headers],[KOD]:[NEQ]],0),FALSE),"")</f>
        <v/>
      </c>
    </row>
    <row r="394" spans="1:27">
      <c r="A394">
        <f>COUNTIF($W$22:W394,1)</f>
        <v>0</v>
      </c>
      <c r="B394">
        <v>394</v>
      </c>
      <c r="C394" s="340" t="str">
        <f>Tabulka1[[#This Row],[KOD]]</f>
        <v>C920M</v>
      </c>
      <c r="W394" s="804" t="str">
        <f t="shared" si="13"/>
        <v/>
      </c>
      <c r="X394" t="str">
        <f t="shared" si="14"/>
        <v/>
      </c>
      <c r="Y394" s="341">
        <f>IF('General price list'!$AB396="",0,'General price list'!$AB396)</f>
        <v>0</v>
      </c>
      <c r="Z394" s="365" t="str">
        <f>IFERROR(X394*VLOOKUP(C394,'General price list'!C:I,7,FALSE),"")</f>
        <v/>
      </c>
      <c r="AA394" s="805" t="str">
        <f>IF(X394&lt;&gt;"",VLOOKUP(C394,'General price list'!C396:AN1369,MATCH("HM",Tabulka1[[#Headers],[KOD]:[NEQ]],0),FALSE),"")</f>
        <v/>
      </c>
    </row>
    <row r="395" spans="1:27">
      <c r="A395">
        <f>COUNTIF($W$22:W395,1)</f>
        <v>0</v>
      </c>
      <c r="B395">
        <v>395</v>
      </c>
      <c r="C395" s="340">
        <f>Tabulka1[[#This Row],[KOD]]</f>
        <v>0</v>
      </c>
      <c r="W395" s="804" t="str">
        <f t="shared" si="13"/>
        <v/>
      </c>
      <c r="X395" t="str">
        <f t="shared" si="14"/>
        <v/>
      </c>
      <c r="Y395" s="341">
        <f>IF('General price list'!$AB397="",0,'General price list'!$AB397)</f>
        <v>0</v>
      </c>
      <c r="Z395" s="365" t="str">
        <f>IFERROR(X395*VLOOKUP(C395,'General price list'!C:I,7,FALSE),"")</f>
        <v/>
      </c>
      <c r="AA395" s="805" t="str">
        <f>IF(X395&lt;&gt;"",VLOOKUP(C395,'General price list'!C397:AN1370,MATCH("HM",Tabulka1[[#Headers],[KOD]:[NEQ]],0),FALSE),"")</f>
        <v/>
      </c>
    </row>
    <row r="396" spans="1:27">
      <c r="A396">
        <f>COUNTIF($W$22:W396,1)</f>
        <v>0</v>
      </c>
      <c r="B396">
        <v>396</v>
      </c>
      <c r="C396" s="340" t="str">
        <f>Tabulka1[[#This Row],[KOD]]</f>
        <v>C1620DU</v>
      </c>
      <c r="W396" s="804" t="str">
        <f t="shared" si="13"/>
        <v/>
      </c>
      <c r="X396" t="str">
        <f t="shared" si="14"/>
        <v/>
      </c>
      <c r="Y396" s="341">
        <f>IF('General price list'!$AB398="",0,'General price list'!$AB398)</f>
        <v>0</v>
      </c>
      <c r="Z396" s="365" t="str">
        <f>IFERROR(X396*VLOOKUP(C396,'General price list'!C:I,7,FALSE),"")</f>
        <v/>
      </c>
      <c r="AA396" s="805" t="str">
        <f>IF(X396&lt;&gt;"",VLOOKUP(C396,'General price list'!C398:AN1371,MATCH("HM",Tabulka1[[#Headers],[KOD]:[NEQ]],0),FALSE),"")</f>
        <v/>
      </c>
    </row>
    <row r="397" spans="1:27">
      <c r="A397">
        <f>COUNTIF($W$22:W397,1)</f>
        <v>0</v>
      </c>
      <c r="B397">
        <v>397</v>
      </c>
      <c r="C397" s="340" t="str">
        <f>Tabulka1[[#This Row],[KOD]]</f>
        <v>C1620DU(5)</v>
      </c>
      <c r="W397" s="804" t="str">
        <f t="shared" si="13"/>
        <v/>
      </c>
      <c r="X397" t="str">
        <f t="shared" si="14"/>
        <v/>
      </c>
      <c r="Y397" s="341">
        <f>IF('General price list'!$AB399="",0,'General price list'!$AB399)</f>
        <v>0</v>
      </c>
      <c r="Z397" s="365" t="str">
        <f>IFERROR(X397*VLOOKUP(C397,'General price list'!C:I,7,FALSE),"")</f>
        <v/>
      </c>
      <c r="AA397" s="805" t="str">
        <f>IF(X397&lt;&gt;"",VLOOKUP(C397,'General price list'!C399:AN1372,MATCH("HM",Tabulka1[[#Headers],[KOD]:[NEQ]],0),FALSE),"")</f>
        <v/>
      </c>
    </row>
    <row r="398" spans="1:27">
      <c r="A398">
        <f>COUNTIF($W$22:W398,1)</f>
        <v>0</v>
      </c>
      <c r="B398">
        <v>398</v>
      </c>
      <c r="C398" s="340" t="str">
        <f>Tabulka1[[#This Row],[KOD]]</f>
        <v>C1620BPF</v>
      </c>
      <c r="W398" s="804" t="str">
        <f t="shared" si="13"/>
        <v/>
      </c>
      <c r="X398" t="str">
        <f t="shared" si="14"/>
        <v/>
      </c>
      <c r="Y398" s="341">
        <f>IF('General price list'!$AB400="",0,'General price list'!$AB400)</f>
        <v>0</v>
      </c>
      <c r="Z398" s="365" t="str">
        <f>IFERROR(X398*VLOOKUP(C398,'General price list'!C:I,7,FALSE),"")</f>
        <v/>
      </c>
      <c r="AA398" s="805" t="str">
        <f>IF(X398&lt;&gt;"",VLOOKUP(C398,'General price list'!C400:AN1373,MATCH("HM",Tabulka1[[#Headers],[KOD]:[NEQ]],0),FALSE),"")</f>
        <v/>
      </c>
    </row>
    <row r="399" spans="1:27">
      <c r="A399">
        <f>COUNTIF($W$22:W399,1)</f>
        <v>0</v>
      </c>
      <c r="B399">
        <v>399</v>
      </c>
      <c r="C399" s="340" t="str">
        <f>Tabulka1[[#This Row],[KOD]]</f>
        <v>C1620H</v>
      </c>
      <c r="W399" s="804" t="str">
        <f t="shared" si="13"/>
        <v/>
      </c>
      <c r="X399" t="str">
        <f t="shared" si="14"/>
        <v/>
      </c>
      <c r="Y399" s="341">
        <f>IF('General price list'!$AB401="",0,'General price list'!$AB401)</f>
        <v>0</v>
      </c>
      <c r="Z399" s="365" t="str">
        <f>IFERROR(X399*VLOOKUP(C399,'General price list'!C:I,7,FALSE),"")</f>
        <v/>
      </c>
      <c r="AA399" s="805" t="str">
        <f>IF(X399&lt;&gt;"",VLOOKUP(C399,'General price list'!C401:AN1374,MATCH("HM",Tabulka1[[#Headers],[KOD]:[NEQ]],0),FALSE),"")</f>
        <v/>
      </c>
    </row>
    <row r="400" spans="1:27">
      <c r="A400">
        <f>COUNTIF($W$22:W400,1)</f>
        <v>0</v>
      </c>
      <c r="B400">
        <v>400</v>
      </c>
      <c r="C400" s="340" t="str">
        <f>Tabulka1[[#This Row],[KOD]]</f>
        <v>C1620N</v>
      </c>
      <c r="W400" s="804" t="str">
        <f t="shared" si="13"/>
        <v/>
      </c>
      <c r="X400" t="str">
        <f t="shared" si="14"/>
        <v/>
      </c>
      <c r="Y400" s="341">
        <f>IF('General price list'!$AB402="",0,'General price list'!$AB402)</f>
        <v>0</v>
      </c>
      <c r="Z400" s="365" t="str">
        <f>IFERROR(X400*VLOOKUP(C400,'General price list'!C:I,7,FALSE),"")</f>
        <v/>
      </c>
      <c r="AA400" s="805" t="str">
        <f>IF(X400&lt;&gt;"",VLOOKUP(C400,'General price list'!C402:AN1375,MATCH("HM",Tabulka1[[#Headers],[KOD]:[NEQ]],0),FALSE),"")</f>
        <v/>
      </c>
    </row>
    <row r="401" spans="1:27">
      <c r="A401">
        <f>COUNTIF($W$22:W401,1)</f>
        <v>0</v>
      </c>
      <c r="B401">
        <v>401</v>
      </c>
      <c r="C401" s="340" t="str">
        <f>Tabulka1[[#This Row],[KOD]]</f>
        <v>C1620F</v>
      </c>
      <c r="W401" s="804" t="str">
        <f t="shared" si="13"/>
        <v/>
      </c>
      <c r="X401" t="str">
        <f t="shared" si="14"/>
        <v/>
      </c>
      <c r="Y401" s="341">
        <f>IF('General price list'!$AB403="",0,'General price list'!$AB403)</f>
        <v>0</v>
      </c>
      <c r="Z401" s="365" t="str">
        <f>IFERROR(X401*VLOOKUP(C401,'General price list'!C:I,7,FALSE),"")</f>
        <v/>
      </c>
      <c r="AA401" s="805" t="str">
        <f>IF(X401&lt;&gt;"",VLOOKUP(C401,'General price list'!C403:AN1376,MATCH("HM",Tabulka1[[#Headers],[KOD]:[NEQ]],0),FALSE),"")</f>
        <v/>
      </c>
    </row>
    <row r="402" spans="1:27">
      <c r="A402">
        <f>COUNTIF($W$22:W402,1)</f>
        <v>0</v>
      </c>
      <c r="B402">
        <v>402</v>
      </c>
      <c r="C402" s="340">
        <f>Tabulka1[[#This Row],[KOD]]</f>
        <v>0</v>
      </c>
      <c r="W402" s="804" t="str">
        <f t="shared" si="13"/>
        <v/>
      </c>
      <c r="X402" t="str">
        <f t="shared" si="14"/>
        <v/>
      </c>
      <c r="Y402" s="341">
        <f>IF('General price list'!$AB404="",0,'General price list'!$AB404)</f>
        <v>0</v>
      </c>
      <c r="Z402" s="365" t="str">
        <f>IFERROR(X402*VLOOKUP(C402,'General price list'!C:I,7,FALSE),"")</f>
        <v/>
      </c>
      <c r="AA402" s="805" t="str">
        <f>IF(X402&lt;&gt;"",VLOOKUP(C402,'General price list'!C404:AN1377,MATCH("HM",Tabulka1[[#Headers],[KOD]:[NEQ]],0),FALSE),"")</f>
        <v/>
      </c>
    </row>
    <row r="403" spans="1:27">
      <c r="A403">
        <f>COUNTIF($W$22:W403,1)</f>
        <v>0</v>
      </c>
      <c r="B403">
        <v>403</v>
      </c>
      <c r="C403" s="340" t="str">
        <f>Tabulka1[[#This Row],[KOD]]</f>
        <v>C1620H14</v>
      </c>
      <c r="W403" s="804" t="str">
        <f t="shared" si="13"/>
        <v/>
      </c>
      <c r="X403" t="str">
        <f t="shared" si="14"/>
        <v/>
      </c>
      <c r="Y403" s="341">
        <f>IF('General price list'!$AB405="",0,'General price list'!$AB405)</f>
        <v>0</v>
      </c>
      <c r="Z403" s="365" t="str">
        <f>IFERROR(X403*VLOOKUP(C403,'General price list'!C:I,7,FALSE),"")</f>
        <v/>
      </c>
      <c r="AA403" s="805" t="str">
        <f>IF(X403&lt;&gt;"",VLOOKUP(C403,'General price list'!C405:AN1378,MATCH("HM",Tabulka1[[#Headers],[KOD]:[NEQ]],0),FALSE),"")</f>
        <v/>
      </c>
    </row>
    <row r="404" spans="1:27">
      <c r="A404">
        <f>COUNTIF($W$22:W404,1)</f>
        <v>0</v>
      </c>
      <c r="B404">
        <v>404</v>
      </c>
      <c r="C404" s="340" t="str">
        <f>Tabulka1[[#This Row],[KOD]]</f>
        <v>C1620F14</v>
      </c>
      <c r="W404" s="804" t="str">
        <f t="shared" si="13"/>
        <v/>
      </c>
      <c r="X404" t="str">
        <f t="shared" si="14"/>
        <v/>
      </c>
      <c r="Y404" s="341">
        <f>IF('General price list'!$AB406="",0,'General price list'!$AB406)</f>
        <v>0</v>
      </c>
      <c r="Z404" s="365" t="str">
        <f>IFERROR(X404*VLOOKUP(C404,'General price list'!C:I,7,FALSE),"")</f>
        <v/>
      </c>
      <c r="AA404" s="805" t="str">
        <f>IF(X404&lt;&gt;"",VLOOKUP(C404,'General price list'!C406:AN1379,MATCH("HM",Tabulka1[[#Headers],[KOD]:[NEQ]],0),FALSE),"")</f>
        <v/>
      </c>
    </row>
    <row r="405" spans="1:27">
      <c r="A405">
        <f>COUNTIF($W$22:W405,1)</f>
        <v>0</v>
      </c>
      <c r="B405">
        <v>405</v>
      </c>
      <c r="C405" s="340">
        <f>Tabulka1[[#This Row],[KOD]]</f>
        <v>0</v>
      </c>
      <c r="W405" s="804" t="str">
        <f t="shared" si="13"/>
        <v/>
      </c>
      <c r="X405" t="str">
        <f t="shared" si="14"/>
        <v/>
      </c>
      <c r="Y405" s="341">
        <f>IF('General price list'!$AB407="",0,'General price list'!$AB407)</f>
        <v>0</v>
      </c>
      <c r="Z405" s="365" t="str">
        <f>IFERROR(X405*VLOOKUP(C405,'General price list'!C:I,7,FALSE),"")</f>
        <v/>
      </c>
      <c r="AA405" s="805" t="str">
        <f>IF(X405&lt;&gt;"",VLOOKUP(C405,'General price list'!C407:AN1380,MATCH("HM",Tabulka1[[#Headers],[KOD]:[NEQ]],0),FALSE),"")</f>
        <v/>
      </c>
    </row>
    <row r="406" spans="1:27">
      <c r="A406">
        <f>COUNTIF($W$22:W406,1)</f>
        <v>0</v>
      </c>
      <c r="B406">
        <v>406</v>
      </c>
      <c r="C406" s="340" t="str">
        <f>Tabulka1[[#This Row],[KOD]]</f>
        <v>CX1620D</v>
      </c>
      <c r="W406" s="804" t="str">
        <f t="shared" si="13"/>
        <v/>
      </c>
      <c r="X406" t="str">
        <f t="shared" si="14"/>
        <v/>
      </c>
      <c r="Y406" s="341">
        <f>IF('General price list'!$AB408="",0,'General price list'!$AB408)</f>
        <v>0</v>
      </c>
      <c r="Z406" s="365" t="str">
        <f>IFERROR(X406*VLOOKUP(C406,'General price list'!C:I,7,FALSE),"")</f>
        <v/>
      </c>
      <c r="AA406" s="805" t="str">
        <f>IF(X406&lt;&gt;"",VLOOKUP(C406,'General price list'!C408:AN1381,MATCH("HM",Tabulka1[[#Headers],[KOD]:[NEQ]],0),FALSE),"")</f>
        <v/>
      </c>
    </row>
    <row r="407" spans="1:27">
      <c r="A407">
        <f>COUNTIF($W$22:W407,1)</f>
        <v>0</v>
      </c>
      <c r="B407">
        <v>407</v>
      </c>
      <c r="C407" s="340" t="str">
        <f>Tabulka1[[#This Row],[KOD]]</f>
        <v>CX1620X</v>
      </c>
      <c r="W407" s="804" t="str">
        <f t="shared" si="13"/>
        <v/>
      </c>
      <c r="X407" t="str">
        <f t="shared" si="14"/>
        <v/>
      </c>
      <c r="Y407" s="341">
        <f>IF('General price list'!$AB409="",0,'General price list'!$AB409)</f>
        <v>0</v>
      </c>
      <c r="Z407" s="365" t="str">
        <f>IFERROR(X407*VLOOKUP(C407,'General price list'!C:I,7,FALSE),"")</f>
        <v/>
      </c>
      <c r="AA407" s="805" t="str">
        <f>IF(X407&lt;&gt;"",VLOOKUP(C407,'General price list'!C409:AN1382,MATCH("HM",Tabulka1[[#Headers],[KOD]:[NEQ]],0),FALSE),"")</f>
        <v/>
      </c>
    </row>
    <row r="408" spans="1:27">
      <c r="A408">
        <f>COUNTIF($W$22:W408,1)</f>
        <v>0</v>
      </c>
      <c r="B408">
        <v>408</v>
      </c>
      <c r="C408" s="340">
        <f>Tabulka1[[#This Row],[KOD]]</f>
        <v>0</v>
      </c>
      <c r="W408" s="804" t="str">
        <f t="shared" si="13"/>
        <v/>
      </c>
      <c r="X408" t="str">
        <f t="shared" si="14"/>
        <v/>
      </c>
      <c r="Y408" s="341">
        <f>IF('General price list'!$AB410="",0,'General price list'!$AB410)</f>
        <v>0</v>
      </c>
      <c r="Z408" s="365" t="str">
        <f>IFERROR(X408*VLOOKUP(C408,'General price list'!C:I,7,FALSE),"")</f>
        <v/>
      </c>
      <c r="AA408" s="805" t="str">
        <f>IF(X408&lt;&gt;"",VLOOKUP(C408,'General price list'!C410:AN1383,MATCH("HM",Tabulka1[[#Headers],[KOD]:[NEQ]],0),FALSE),"")</f>
        <v/>
      </c>
    </row>
    <row r="409" spans="1:27">
      <c r="A409">
        <f>COUNTIF($W$22:W409,1)</f>
        <v>0</v>
      </c>
      <c r="B409">
        <v>409</v>
      </c>
      <c r="C409" s="340" t="str">
        <f>Tabulka1[[#This Row],[KOD]]</f>
        <v>C2520BP</v>
      </c>
      <c r="W409" s="804" t="str">
        <f t="shared" ref="W409:W472" si="15">IF(Y409+1=1,"",1)</f>
        <v/>
      </c>
      <c r="X409" t="str">
        <f t="shared" ref="X409:X472" si="16">IF(OR(A409&lt;$G$20,A409&gt;$G$21),"",IF(Y409=0,"",Y409))</f>
        <v/>
      </c>
      <c r="Y409" s="341">
        <f>IF('General price list'!$AB411="",0,'General price list'!$AB411)</f>
        <v>0</v>
      </c>
      <c r="Z409" s="365" t="str">
        <f>IFERROR(X409*VLOOKUP(C409,'General price list'!C:I,7,FALSE),"")</f>
        <v/>
      </c>
      <c r="AA409" s="805" t="str">
        <f>IF(X409&lt;&gt;"",VLOOKUP(C409,'General price list'!C411:AN1384,MATCH("HM",Tabulka1[[#Headers],[KOD]:[NEQ]],0),FALSE),"")</f>
        <v/>
      </c>
    </row>
    <row r="410" spans="1:27">
      <c r="A410">
        <f>COUNTIF($W$22:W410,1)</f>
        <v>0</v>
      </c>
      <c r="B410">
        <v>410</v>
      </c>
      <c r="C410" s="340" t="str">
        <f>Tabulka1[[#This Row],[KOD]]</f>
        <v>C2520SIG</v>
      </c>
      <c r="W410" s="804" t="str">
        <f t="shared" si="15"/>
        <v/>
      </c>
      <c r="X410" t="str">
        <f t="shared" si="16"/>
        <v/>
      </c>
      <c r="Y410" s="341">
        <f>IF('General price list'!$AB412="",0,'General price list'!$AB412)</f>
        <v>0</v>
      </c>
      <c r="Z410" s="365" t="str">
        <f>IFERROR(X410*VLOOKUP(C410,'General price list'!C:I,7,FALSE),"")</f>
        <v/>
      </c>
      <c r="AA410" s="805" t="str">
        <f>IF(X410&lt;&gt;"",VLOOKUP(C410,'General price list'!C412:AN1385,MATCH("HM",Tabulka1[[#Headers],[KOD]:[NEQ]],0),FALSE),"")</f>
        <v/>
      </c>
    </row>
    <row r="411" spans="1:27">
      <c r="A411">
        <f>COUNTIF($W$22:W411,1)</f>
        <v>0</v>
      </c>
      <c r="B411">
        <v>411</v>
      </c>
      <c r="C411" s="340" t="str">
        <f>Tabulka1[[#This Row],[KOD]]</f>
        <v>C2520Z</v>
      </c>
      <c r="W411" s="804" t="str">
        <f t="shared" si="15"/>
        <v/>
      </c>
      <c r="X411" t="str">
        <f t="shared" si="16"/>
        <v/>
      </c>
      <c r="Y411" s="341">
        <f>IF('General price list'!$AB413="",0,'General price list'!$AB413)</f>
        <v>0</v>
      </c>
      <c r="Z411" s="365" t="str">
        <f>IFERROR(X411*VLOOKUP(C411,'General price list'!C:I,7,FALSE),"")</f>
        <v/>
      </c>
      <c r="AA411" s="805" t="str">
        <f>IF(X411&lt;&gt;"",VLOOKUP(C411,'General price list'!C413:AN1386,MATCH("HM",Tabulka1[[#Headers],[KOD]:[NEQ]],0),FALSE),"")</f>
        <v/>
      </c>
    </row>
    <row r="412" spans="1:27">
      <c r="A412">
        <f>COUNTIF($W$22:W412,1)</f>
        <v>0</v>
      </c>
      <c r="B412">
        <v>412</v>
      </c>
      <c r="C412" s="340" t="str">
        <f>Tabulka1[[#This Row],[KOD]]</f>
        <v>C2520DI</v>
      </c>
      <c r="W412" s="804" t="str">
        <f t="shared" si="15"/>
        <v/>
      </c>
      <c r="X412" t="str">
        <f t="shared" si="16"/>
        <v/>
      </c>
      <c r="Y412" s="341">
        <f>IF('General price list'!$AB414="",0,'General price list'!$AB414)</f>
        <v>0</v>
      </c>
      <c r="Z412" s="365" t="str">
        <f>IFERROR(X412*VLOOKUP(C412,'General price list'!C:I,7,FALSE),"")</f>
        <v/>
      </c>
      <c r="AA412" s="805" t="str">
        <f>IF(X412&lt;&gt;"",VLOOKUP(C412,'General price list'!C414:AN1387,MATCH("HM",Tabulka1[[#Headers],[KOD]:[NEQ]],0),FALSE),"")</f>
        <v/>
      </c>
    </row>
    <row r="413" spans="1:27">
      <c r="A413">
        <f>COUNTIF($W$22:W413,1)</f>
        <v>0</v>
      </c>
      <c r="B413">
        <v>413</v>
      </c>
      <c r="C413" s="340" t="str">
        <f>Tabulka1[[#This Row],[KOD]]</f>
        <v>C2520T</v>
      </c>
      <c r="W413" s="804" t="str">
        <f t="shared" si="15"/>
        <v/>
      </c>
      <c r="X413" t="str">
        <f t="shared" si="16"/>
        <v/>
      </c>
      <c r="Y413" s="341">
        <f>IF('General price list'!$AB415="",0,'General price list'!$AB415)</f>
        <v>0</v>
      </c>
      <c r="Z413" s="365" t="str">
        <f>IFERROR(X413*VLOOKUP(C413,'General price list'!C:I,7,FALSE),"")</f>
        <v/>
      </c>
      <c r="AA413" s="805" t="str">
        <f>IF(X413&lt;&gt;"",VLOOKUP(C413,'General price list'!C415:AN1388,MATCH("HM",Tabulka1[[#Headers],[KOD]:[NEQ]],0),FALSE),"")</f>
        <v/>
      </c>
    </row>
    <row r="414" spans="1:27">
      <c r="A414">
        <f>COUNTIF($W$22:W414,1)</f>
        <v>0</v>
      </c>
      <c r="B414">
        <v>414</v>
      </c>
      <c r="C414" s="340" t="str">
        <f>Tabulka1[[#This Row],[KOD]]</f>
        <v>C2520SE</v>
      </c>
      <c r="W414" s="804" t="str">
        <f t="shared" si="15"/>
        <v/>
      </c>
      <c r="X414" t="str">
        <f t="shared" si="16"/>
        <v/>
      </c>
      <c r="Y414" s="341">
        <f>IF('General price list'!$AB416="",0,'General price list'!$AB416)</f>
        <v>0</v>
      </c>
      <c r="Z414" s="365" t="str">
        <f>IFERROR(X414*VLOOKUP(C414,'General price list'!C:I,7,FALSE),"")</f>
        <v/>
      </c>
      <c r="AA414" s="805" t="str">
        <f>IF(X414&lt;&gt;"",VLOOKUP(C414,'General price list'!C416:AN1389,MATCH("HM",Tabulka1[[#Headers],[KOD]:[NEQ]],0),FALSE),"")</f>
        <v/>
      </c>
    </row>
    <row r="415" spans="1:27">
      <c r="A415">
        <f>COUNTIF($W$22:W415,1)</f>
        <v>0</v>
      </c>
      <c r="B415">
        <v>415</v>
      </c>
      <c r="C415" s="340" t="str">
        <f>Tabulka1[[#This Row],[KOD]]</f>
        <v>C2520ST</v>
      </c>
      <c r="W415" s="804" t="str">
        <f t="shared" si="15"/>
        <v/>
      </c>
      <c r="X415" t="str">
        <f t="shared" si="16"/>
        <v/>
      </c>
      <c r="Y415" s="341">
        <f>IF('General price list'!$AB417="",0,'General price list'!$AB417)</f>
        <v>0</v>
      </c>
      <c r="Z415" s="365" t="str">
        <f>IFERROR(X415*VLOOKUP(C415,'General price list'!C:I,7,FALSE),"")</f>
        <v/>
      </c>
      <c r="AA415" s="805" t="str">
        <f>IF(X415&lt;&gt;"",VLOOKUP(C415,'General price list'!C417:AN1390,MATCH("HM",Tabulka1[[#Headers],[KOD]:[NEQ]],0),FALSE),"")</f>
        <v/>
      </c>
    </row>
    <row r="416" spans="1:27">
      <c r="A416">
        <f>COUNTIF($W$22:W416,1)</f>
        <v>0</v>
      </c>
      <c r="B416">
        <v>416</v>
      </c>
      <c r="C416" s="340" t="str">
        <f>Tabulka1[[#This Row],[KOD]]</f>
        <v>C2520SL</v>
      </c>
      <c r="W416" s="804" t="str">
        <f t="shared" si="15"/>
        <v/>
      </c>
      <c r="X416" t="str">
        <f t="shared" si="16"/>
        <v/>
      </c>
      <c r="Y416" s="341">
        <f>IF('General price list'!$AB418="",0,'General price list'!$AB418)</f>
        <v>0</v>
      </c>
      <c r="Z416" s="365" t="str">
        <f>IFERROR(X416*VLOOKUP(C416,'General price list'!C:I,7,FALSE),"")</f>
        <v/>
      </c>
      <c r="AA416" s="805" t="str">
        <f>IF(X416&lt;&gt;"",VLOOKUP(C416,'General price list'!C418:AN1391,MATCH("HM",Tabulka1[[#Headers],[KOD]:[NEQ]],0),FALSE),"")</f>
        <v/>
      </c>
    </row>
    <row r="417" spans="1:27">
      <c r="A417">
        <f>COUNTIF($W$22:W417,1)</f>
        <v>0</v>
      </c>
      <c r="B417">
        <v>417</v>
      </c>
      <c r="C417" s="340" t="str">
        <f>Tabulka1[[#This Row],[KOD]]</f>
        <v>C2520R</v>
      </c>
      <c r="W417" s="804" t="str">
        <f t="shared" si="15"/>
        <v/>
      </c>
      <c r="X417" t="str">
        <f t="shared" si="16"/>
        <v/>
      </c>
      <c r="Y417" s="341">
        <f>IF('General price list'!$AB419="",0,'General price list'!$AB419)</f>
        <v>0</v>
      </c>
      <c r="Z417" s="365" t="str">
        <f>IFERROR(X417*VLOOKUP(C417,'General price list'!C:I,7,FALSE),"")</f>
        <v/>
      </c>
      <c r="AA417" s="805" t="str">
        <f>IF(X417&lt;&gt;"",VLOOKUP(C417,'General price list'!C419:AN1392,MATCH("HM",Tabulka1[[#Headers],[KOD]:[NEQ]],0),FALSE),"")</f>
        <v/>
      </c>
    </row>
    <row r="418" spans="1:27">
      <c r="A418">
        <f>COUNTIF($W$22:W418,1)</f>
        <v>0</v>
      </c>
      <c r="B418">
        <v>418</v>
      </c>
      <c r="C418" s="340" t="str">
        <f>Tabulka1[[#This Row],[KOD]]</f>
        <v>C2520VI</v>
      </c>
      <c r="W418" s="804" t="str">
        <f t="shared" si="15"/>
        <v/>
      </c>
      <c r="X418" t="str">
        <f t="shared" si="16"/>
        <v/>
      </c>
      <c r="Y418" s="341">
        <f>IF('General price list'!$AB420="",0,'General price list'!$AB420)</f>
        <v>0</v>
      </c>
      <c r="Z418" s="365" t="str">
        <f>IFERROR(X418*VLOOKUP(C418,'General price list'!C:I,7,FALSE),"")</f>
        <v/>
      </c>
      <c r="AA418" s="805" t="str">
        <f>IF(X418&lt;&gt;"",VLOOKUP(C418,'General price list'!C420:AN1393,MATCH("HM",Tabulka1[[#Headers],[KOD]:[NEQ]],0),FALSE),"")</f>
        <v/>
      </c>
    </row>
    <row r="419" spans="1:27">
      <c r="A419">
        <f>COUNTIF($W$22:W419,1)</f>
        <v>0</v>
      </c>
      <c r="B419">
        <v>419</v>
      </c>
      <c r="C419" s="340">
        <f>Tabulka1[[#This Row],[KOD]]</f>
        <v>0</v>
      </c>
      <c r="W419" s="804" t="str">
        <f t="shared" si="15"/>
        <v/>
      </c>
      <c r="X419" t="str">
        <f t="shared" si="16"/>
        <v/>
      </c>
      <c r="Y419" s="341">
        <f>IF('General price list'!$AB421="",0,'General price list'!$AB421)</f>
        <v>0</v>
      </c>
      <c r="Z419" s="365" t="str">
        <f>IFERROR(X419*VLOOKUP(C419,'General price list'!C:I,7,FALSE),"")</f>
        <v/>
      </c>
      <c r="AA419" s="805" t="str">
        <f>IF(X419&lt;&gt;"",VLOOKUP(C419,'General price list'!C421:AN1394,MATCH("HM",Tabulka1[[#Headers],[KOD]:[NEQ]],0),FALSE),"")</f>
        <v/>
      </c>
    </row>
    <row r="420" spans="1:27">
      <c r="A420">
        <f>COUNTIF($W$22:W420,1)</f>
        <v>0</v>
      </c>
      <c r="B420">
        <v>420</v>
      </c>
      <c r="C420" s="340" t="str">
        <f>Tabulka1[[#This Row],[KOD]]</f>
        <v>C2520DI14</v>
      </c>
      <c r="W420" s="804" t="str">
        <f t="shared" si="15"/>
        <v/>
      </c>
      <c r="X420" t="str">
        <f t="shared" si="16"/>
        <v/>
      </c>
      <c r="Y420" s="341">
        <f>IF('General price list'!$AB422="",0,'General price list'!$AB422)</f>
        <v>0</v>
      </c>
      <c r="Z420" s="365" t="str">
        <f>IFERROR(X420*VLOOKUP(C420,'General price list'!C:I,7,FALSE),"")</f>
        <v/>
      </c>
      <c r="AA420" s="805" t="str">
        <f>IF(X420&lt;&gt;"",VLOOKUP(C420,'General price list'!C422:AN1395,MATCH("HM",Tabulka1[[#Headers],[KOD]:[NEQ]],0),FALSE),"")</f>
        <v/>
      </c>
    </row>
    <row r="421" spans="1:27">
      <c r="A421">
        <f>COUNTIF($W$22:W421,1)</f>
        <v>0</v>
      </c>
      <c r="B421">
        <v>421</v>
      </c>
      <c r="C421" s="340" t="str">
        <f>Tabulka1[[#This Row],[KOD]]</f>
        <v>C2520T14</v>
      </c>
      <c r="W421" s="804" t="str">
        <f t="shared" si="15"/>
        <v/>
      </c>
      <c r="X421" t="str">
        <f t="shared" si="16"/>
        <v/>
      </c>
      <c r="Y421" s="341">
        <f>IF('General price list'!$AB423="",0,'General price list'!$AB423)</f>
        <v>0</v>
      </c>
      <c r="Z421" s="365" t="str">
        <f>IFERROR(X421*VLOOKUP(C421,'General price list'!C:I,7,FALSE),"")</f>
        <v/>
      </c>
      <c r="AA421" s="805" t="str">
        <f>IF(X421&lt;&gt;"",VLOOKUP(C421,'General price list'!C423:AN1396,MATCH("HM",Tabulka1[[#Headers],[KOD]:[NEQ]],0),FALSE),"")</f>
        <v/>
      </c>
    </row>
    <row r="422" spans="1:27">
      <c r="A422">
        <f>COUNTIF($W$22:W422,1)</f>
        <v>0</v>
      </c>
      <c r="B422">
        <v>422</v>
      </c>
      <c r="C422" s="340" t="str">
        <f>Tabulka1[[#This Row],[KOD]]</f>
        <v>C2520SE14</v>
      </c>
      <c r="W422" s="804" t="str">
        <f t="shared" si="15"/>
        <v/>
      </c>
      <c r="X422" t="str">
        <f t="shared" si="16"/>
        <v/>
      </c>
      <c r="Y422" s="341">
        <f>IF('General price list'!$AB424="",0,'General price list'!$AB424)</f>
        <v>0</v>
      </c>
      <c r="Z422" s="365" t="str">
        <f>IFERROR(X422*VLOOKUP(C422,'General price list'!C:I,7,FALSE),"")</f>
        <v/>
      </c>
      <c r="AA422" s="805" t="str">
        <f>IF(X422&lt;&gt;"",VLOOKUP(C422,'General price list'!C424:AN1397,MATCH("HM",Tabulka1[[#Headers],[KOD]:[NEQ]],0),FALSE),"")</f>
        <v/>
      </c>
    </row>
    <row r="423" spans="1:27">
      <c r="A423">
        <f>COUNTIF($W$22:W423,1)</f>
        <v>0</v>
      </c>
      <c r="B423">
        <v>423</v>
      </c>
      <c r="C423" s="340">
        <f>Tabulka1[[#This Row],[KOD]]</f>
        <v>0</v>
      </c>
      <c r="W423" s="804" t="str">
        <f t="shared" si="15"/>
        <v/>
      </c>
      <c r="X423" t="str">
        <f t="shared" si="16"/>
        <v/>
      </c>
      <c r="Y423" s="341">
        <f>IF('General price list'!$AB425="",0,'General price list'!$AB425)</f>
        <v>0</v>
      </c>
      <c r="Z423" s="365" t="str">
        <f>IFERROR(X423*VLOOKUP(C423,'General price list'!C:I,7,FALSE),"")</f>
        <v/>
      </c>
      <c r="AA423" s="805" t="str">
        <f>IF(X423&lt;&gt;"",VLOOKUP(C423,'General price list'!C425:AN1398,MATCH("HM",Tabulka1[[#Headers],[KOD]:[NEQ]],0),FALSE),"")</f>
        <v/>
      </c>
    </row>
    <row r="424" spans="1:27">
      <c r="A424">
        <f>COUNTIF($W$22:W424,1)</f>
        <v>0</v>
      </c>
      <c r="B424">
        <v>424</v>
      </c>
      <c r="C424" s="340" t="str">
        <f>Tabulka1[[#This Row],[KOD]]</f>
        <v>C3620V</v>
      </c>
      <c r="W424" s="804" t="str">
        <f t="shared" si="15"/>
        <v/>
      </c>
      <c r="X424" t="str">
        <f t="shared" si="16"/>
        <v/>
      </c>
      <c r="Y424" s="341">
        <f>IF('General price list'!$AB426="",0,'General price list'!$AB426)</f>
        <v>0</v>
      </c>
      <c r="Z424" s="365" t="str">
        <f>IFERROR(X424*VLOOKUP(C424,'General price list'!C:I,7,FALSE),"")</f>
        <v/>
      </c>
      <c r="AA424" s="805" t="str">
        <f>IF(X424&lt;&gt;"",VLOOKUP(C424,'General price list'!C426:AN1399,MATCH("HM",Tabulka1[[#Headers],[KOD]:[NEQ]],0),FALSE),"")</f>
        <v/>
      </c>
    </row>
    <row r="425" spans="1:27">
      <c r="A425">
        <f>COUNTIF($W$22:W425,1)</f>
        <v>0</v>
      </c>
      <c r="B425">
        <v>425</v>
      </c>
      <c r="C425" s="340">
        <f>Tabulka1[[#This Row],[KOD]]</f>
        <v>0</v>
      </c>
      <c r="W425" s="804" t="str">
        <f t="shared" si="15"/>
        <v/>
      </c>
      <c r="X425" t="str">
        <f t="shared" si="16"/>
        <v/>
      </c>
      <c r="Y425" s="341">
        <f>IF('General price list'!$AB427="",0,'General price list'!$AB427)</f>
        <v>0</v>
      </c>
      <c r="Z425" s="365" t="str">
        <f>IFERROR(X425*VLOOKUP(C425,'General price list'!C:I,7,FALSE),"")</f>
        <v/>
      </c>
      <c r="AA425" s="805" t="str">
        <f>IF(X425&lt;&gt;"",VLOOKUP(C425,'General price list'!C427:AN1400,MATCH("HM",Tabulka1[[#Headers],[KOD]:[NEQ]],0),FALSE),"")</f>
        <v/>
      </c>
    </row>
    <row r="426" spans="1:27">
      <c r="A426">
        <f>COUNTIF($W$22:W426,1)</f>
        <v>0</v>
      </c>
      <c r="B426">
        <v>426</v>
      </c>
      <c r="C426" s="340" t="str">
        <f>Tabulka1[[#This Row],[KOD]]</f>
        <v>C3620N14</v>
      </c>
      <c r="W426" s="804" t="str">
        <f t="shared" si="15"/>
        <v/>
      </c>
      <c r="X426" t="str">
        <f t="shared" si="16"/>
        <v/>
      </c>
      <c r="Y426" s="341">
        <f>IF('General price list'!$AB428="",0,'General price list'!$AB428)</f>
        <v>0</v>
      </c>
      <c r="Z426" s="365" t="str">
        <f>IFERROR(X426*VLOOKUP(C426,'General price list'!C:I,7,FALSE),"")</f>
        <v/>
      </c>
      <c r="AA426" s="805" t="str">
        <f>IF(X426&lt;&gt;"",VLOOKUP(C426,'General price list'!C428:AN1401,MATCH("HM",Tabulka1[[#Headers],[KOD]:[NEQ]],0),FALSE),"")</f>
        <v/>
      </c>
    </row>
    <row r="427" spans="1:27">
      <c r="A427">
        <f>COUNTIF($W$22:W427,1)</f>
        <v>0</v>
      </c>
      <c r="B427">
        <v>427</v>
      </c>
      <c r="C427" s="340" t="str">
        <f>Tabulka1[[#This Row],[KOD]]</f>
        <v>C3620NO14</v>
      </c>
      <c r="W427" s="804" t="str">
        <f t="shared" si="15"/>
        <v/>
      </c>
      <c r="X427" t="str">
        <f t="shared" si="16"/>
        <v/>
      </c>
      <c r="Y427" s="341">
        <f>IF('General price list'!$AB429="",0,'General price list'!$AB429)</f>
        <v>0</v>
      </c>
      <c r="Z427" s="365" t="str">
        <f>IFERROR(X427*VLOOKUP(C427,'General price list'!C:I,7,FALSE),"")</f>
        <v/>
      </c>
      <c r="AA427" s="805" t="str">
        <f>IF(X427&lt;&gt;"",VLOOKUP(C427,'General price list'!C429:AN1402,MATCH("HM",Tabulka1[[#Headers],[KOD]:[NEQ]],0),FALSE),"")</f>
        <v/>
      </c>
    </row>
    <row r="428" spans="1:27">
      <c r="A428">
        <f>COUNTIF($W$22:W428,1)</f>
        <v>0</v>
      </c>
      <c r="B428">
        <v>428</v>
      </c>
      <c r="C428" s="340">
        <f>Tabulka1[[#This Row],[KOD]]</f>
        <v>0</v>
      </c>
      <c r="W428" s="804" t="str">
        <f t="shared" si="15"/>
        <v/>
      </c>
      <c r="X428" t="str">
        <f t="shared" si="16"/>
        <v/>
      </c>
      <c r="Y428" s="341">
        <f>IF('General price list'!$AB430="",0,'General price list'!$AB430)</f>
        <v>0</v>
      </c>
      <c r="Z428" s="365" t="str">
        <f>IFERROR(X428*VLOOKUP(C428,'General price list'!C:I,7,FALSE),"")</f>
        <v/>
      </c>
      <c r="AA428" s="805" t="str">
        <f>IF(X428&lt;&gt;"",VLOOKUP(C428,'General price list'!C430:AN1403,MATCH("HM",Tabulka1[[#Headers],[KOD]:[NEQ]],0),FALSE),"")</f>
        <v/>
      </c>
    </row>
    <row r="429" spans="1:27">
      <c r="A429">
        <f>COUNTIF($W$22:W429,1)</f>
        <v>0</v>
      </c>
      <c r="B429">
        <v>429</v>
      </c>
      <c r="C429" s="340" t="str">
        <f>Tabulka1[[#This Row],[KOD]]</f>
        <v>C4920BPF</v>
      </c>
      <c r="W429" s="804" t="str">
        <f t="shared" si="15"/>
        <v/>
      </c>
      <c r="X429" t="str">
        <f t="shared" si="16"/>
        <v/>
      </c>
      <c r="Y429" s="341">
        <f>IF('General price list'!$AB431="",0,'General price list'!$AB431)</f>
        <v>0</v>
      </c>
      <c r="Z429" s="365" t="str">
        <f>IFERROR(X429*VLOOKUP(C429,'General price list'!C:I,7,FALSE),"")</f>
        <v/>
      </c>
      <c r="AA429" s="805" t="str">
        <f>IF(X429&lt;&gt;"",VLOOKUP(C429,'General price list'!C431:AN1404,MATCH("HM",Tabulka1[[#Headers],[KOD]:[NEQ]],0),FALSE),"")</f>
        <v/>
      </c>
    </row>
    <row r="430" spans="1:27">
      <c r="A430">
        <f>COUNTIF($W$22:W430,1)</f>
        <v>0</v>
      </c>
      <c r="B430">
        <v>430</v>
      </c>
      <c r="C430" s="340" t="str">
        <f>Tabulka1[[#This Row],[KOD]]</f>
        <v>C4920SIG</v>
      </c>
      <c r="W430" s="804" t="str">
        <f t="shared" si="15"/>
        <v/>
      </c>
      <c r="X430" t="str">
        <f t="shared" si="16"/>
        <v/>
      </c>
      <c r="Y430" s="341">
        <f>IF('General price list'!$AB432="",0,'General price list'!$AB432)</f>
        <v>0</v>
      </c>
      <c r="Z430" s="365" t="str">
        <f>IFERROR(X430*VLOOKUP(C430,'General price list'!C:I,7,FALSE),"")</f>
        <v/>
      </c>
      <c r="AA430" s="805" t="str">
        <f>IF(X430&lt;&gt;"",VLOOKUP(C430,'General price list'!C432:AN1405,MATCH("HM",Tabulka1[[#Headers],[KOD]:[NEQ]],0),FALSE),"")</f>
        <v/>
      </c>
    </row>
    <row r="431" spans="1:27">
      <c r="A431">
        <f>COUNTIF($W$22:W431,1)</f>
        <v>0</v>
      </c>
      <c r="B431">
        <v>431</v>
      </c>
      <c r="C431" s="340" t="str">
        <f>Tabulka1[[#This Row],[KOD]]</f>
        <v>C4920DR</v>
      </c>
      <c r="W431" s="804" t="str">
        <f t="shared" si="15"/>
        <v/>
      </c>
      <c r="X431" t="str">
        <f t="shared" si="16"/>
        <v/>
      </c>
      <c r="Y431" s="341">
        <f>IF('General price list'!$AB433="",0,'General price list'!$AB433)</f>
        <v>0</v>
      </c>
      <c r="Z431" s="365" t="str">
        <f>IFERROR(X431*VLOOKUP(C431,'General price list'!C:I,7,FALSE),"")</f>
        <v/>
      </c>
      <c r="AA431" s="805" t="str">
        <f>IF(X431&lt;&gt;"",VLOOKUP(C431,'General price list'!C433:AN1406,MATCH("HM",Tabulka1[[#Headers],[KOD]:[NEQ]],0),FALSE),"")</f>
        <v/>
      </c>
    </row>
    <row r="432" spans="1:27">
      <c r="A432">
        <f>COUNTIF($W$22:W432,1)</f>
        <v>0</v>
      </c>
      <c r="B432">
        <v>432</v>
      </c>
      <c r="C432" s="340" t="str">
        <f>Tabulka1[[#This Row],[KOD]]</f>
        <v>C4920K</v>
      </c>
      <c r="W432" s="804" t="str">
        <f t="shared" si="15"/>
        <v/>
      </c>
      <c r="X432" t="str">
        <f t="shared" si="16"/>
        <v/>
      </c>
      <c r="Y432" s="341">
        <f>IF('General price list'!$AB434="",0,'General price list'!$AB434)</f>
        <v>0</v>
      </c>
      <c r="Z432" s="365" t="str">
        <f>IFERROR(X432*VLOOKUP(C432,'General price list'!C:I,7,FALSE),"")</f>
        <v/>
      </c>
      <c r="AA432" s="805" t="str">
        <f>IF(X432&lt;&gt;"",VLOOKUP(C432,'General price list'!C434:AN1407,MATCH("HM",Tabulka1[[#Headers],[KOD]:[NEQ]],0),FALSE),"")</f>
        <v/>
      </c>
    </row>
    <row r="433" spans="1:27">
      <c r="A433">
        <f>COUNTIF($W$22:W433,1)</f>
        <v>0</v>
      </c>
      <c r="B433">
        <v>433</v>
      </c>
      <c r="C433" s="340" t="str">
        <f>Tabulka1[[#This Row],[KOD]]</f>
        <v>C4920S</v>
      </c>
      <c r="W433" s="804" t="str">
        <f t="shared" si="15"/>
        <v/>
      </c>
      <c r="X433" t="str">
        <f t="shared" si="16"/>
        <v/>
      </c>
      <c r="Y433" s="341">
        <f>IF('General price list'!$AB435="",0,'General price list'!$AB435)</f>
        <v>0</v>
      </c>
      <c r="Z433" s="365" t="str">
        <f>IFERROR(X433*VLOOKUP(C433,'General price list'!C:I,7,FALSE),"")</f>
        <v/>
      </c>
      <c r="AA433" s="805" t="str">
        <f>IF(X433&lt;&gt;"",VLOOKUP(C433,'General price list'!C435:AN1408,MATCH("HM",Tabulka1[[#Headers],[KOD]:[NEQ]],0),FALSE),"")</f>
        <v/>
      </c>
    </row>
    <row r="434" spans="1:27">
      <c r="A434">
        <f>COUNTIF($W$22:W434,1)</f>
        <v>0</v>
      </c>
      <c r="B434">
        <v>434</v>
      </c>
      <c r="C434" s="340">
        <f>Tabulka1[[#This Row],[KOD]]</f>
        <v>0</v>
      </c>
      <c r="W434" s="804" t="str">
        <f t="shared" si="15"/>
        <v/>
      </c>
      <c r="X434" t="str">
        <f t="shared" si="16"/>
        <v/>
      </c>
      <c r="Y434" s="341">
        <f>IF('General price list'!$AB436="",0,'General price list'!$AB436)</f>
        <v>0</v>
      </c>
      <c r="Z434" s="365" t="str">
        <f>IFERROR(X434*VLOOKUP(C434,'General price list'!C:I,7,FALSE),"")</f>
        <v/>
      </c>
      <c r="AA434" s="805" t="str">
        <f>IF(X434&lt;&gt;"",VLOOKUP(C434,'General price list'!C436:AN1409,MATCH("HM",Tabulka1[[#Headers],[KOD]:[NEQ]],0),FALSE),"")</f>
        <v/>
      </c>
    </row>
    <row r="435" spans="1:27">
      <c r="A435">
        <f>COUNTIF($W$22:W435,1)</f>
        <v>0</v>
      </c>
      <c r="B435">
        <v>435</v>
      </c>
      <c r="C435" s="340" t="str">
        <f>Tabulka1[[#This Row],[KOD]]</f>
        <v>C4920DR14</v>
      </c>
      <c r="W435" s="804" t="str">
        <f t="shared" si="15"/>
        <v/>
      </c>
      <c r="X435" t="str">
        <f t="shared" si="16"/>
        <v/>
      </c>
      <c r="Y435" s="341">
        <f>IF('General price list'!$AB437="",0,'General price list'!$AB437)</f>
        <v>0</v>
      </c>
      <c r="Z435" s="365" t="str">
        <f>IFERROR(X435*VLOOKUP(C435,'General price list'!C:I,7,FALSE),"")</f>
        <v/>
      </c>
      <c r="AA435" s="805" t="str">
        <f>IF(X435&lt;&gt;"",VLOOKUP(C435,'General price list'!C437:AN1410,MATCH("HM",Tabulka1[[#Headers],[KOD]:[NEQ]],0),FALSE),"")</f>
        <v/>
      </c>
    </row>
    <row r="436" spans="1:27">
      <c r="A436">
        <f>COUNTIF($W$22:W436,1)</f>
        <v>0</v>
      </c>
      <c r="B436">
        <v>436</v>
      </c>
      <c r="C436" s="340" t="str">
        <f>Tabulka1[[#This Row],[KOD]]</f>
        <v>C4920S14</v>
      </c>
      <c r="W436" s="804" t="str">
        <f t="shared" si="15"/>
        <v/>
      </c>
      <c r="X436" t="str">
        <f t="shared" si="16"/>
        <v/>
      </c>
      <c r="Y436" s="341">
        <f>IF('General price list'!$AB438="",0,'General price list'!$AB438)</f>
        <v>0</v>
      </c>
      <c r="Z436" s="365" t="str">
        <f>IFERROR(X436*VLOOKUP(C436,'General price list'!C:I,7,FALSE),"")</f>
        <v/>
      </c>
      <c r="AA436" s="805" t="str">
        <f>IF(X436&lt;&gt;"",VLOOKUP(C436,'General price list'!C438:AN1411,MATCH("HM",Tabulka1[[#Headers],[KOD]:[NEQ]],0),FALSE),"")</f>
        <v/>
      </c>
    </row>
    <row r="437" spans="1:27">
      <c r="A437">
        <f>COUNTIF($W$22:W437,1)</f>
        <v>0</v>
      </c>
      <c r="B437">
        <v>437</v>
      </c>
      <c r="C437" s="340">
        <f>Tabulka1[[#This Row],[KOD]]</f>
        <v>0</v>
      </c>
      <c r="W437" s="804" t="str">
        <f t="shared" si="15"/>
        <v/>
      </c>
      <c r="X437" t="str">
        <f t="shared" si="16"/>
        <v/>
      </c>
      <c r="Y437" s="341">
        <f>IF('General price list'!$AB439="",0,'General price list'!$AB439)</f>
        <v>0</v>
      </c>
      <c r="Z437" s="365" t="str">
        <f>IFERROR(X437*VLOOKUP(C437,'General price list'!C:I,7,FALSE),"")</f>
        <v/>
      </c>
      <c r="AA437" s="805" t="str">
        <f>IF(X437&lt;&gt;"",VLOOKUP(C437,'General price list'!C439:AN1412,MATCH("HM",Tabulka1[[#Headers],[KOD]:[NEQ]],0),FALSE),"")</f>
        <v/>
      </c>
    </row>
    <row r="438" spans="1:27">
      <c r="A438">
        <f>COUNTIF($W$22:W438,1)</f>
        <v>0</v>
      </c>
      <c r="B438">
        <v>438</v>
      </c>
      <c r="C438" s="340" t="str">
        <f>Tabulka1[[#This Row],[KOD]]</f>
        <v>CF4920G</v>
      </c>
      <c r="W438" s="804" t="str">
        <f t="shared" si="15"/>
        <v/>
      </c>
      <c r="X438" t="str">
        <f t="shared" si="16"/>
        <v/>
      </c>
      <c r="Y438" s="341">
        <f>IF('General price list'!$AB440="",0,'General price list'!$AB440)</f>
        <v>0</v>
      </c>
      <c r="Z438" s="365" t="str">
        <f>IFERROR(X438*VLOOKUP(C438,'General price list'!C:I,7,FALSE),"")</f>
        <v/>
      </c>
      <c r="AA438" s="805" t="str">
        <f>IF(X438&lt;&gt;"",VLOOKUP(C438,'General price list'!C440:AN1413,MATCH("HM",Tabulka1[[#Headers],[KOD]:[NEQ]],0),FALSE),"")</f>
        <v/>
      </c>
    </row>
    <row r="439" spans="1:27">
      <c r="A439">
        <f>COUNTIF($W$22:W439,1)</f>
        <v>0</v>
      </c>
      <c r="B439">
        <v>439</v>
      </c>
      <c r="C439" s="340" t="str">
        <f>Tabulka1[[#This Row],[KOD]]</f>
        <v>CF4920J</v>
      </c>
      <c r="W439" s="804" t="str">
        <f t="shared" si="15"/>
        <v/>
      </c>
      <c r="X439" t="str">
        <f t="shared" si="16"/>
        <v/>
      </c>
      <c r="Y439" s="341">
        <f>IF('General price list'!$AB441="",0,'General price list'!$AB441)</f>
        <v>0</v>
      </c>
      <c r="Z439" s="365" t="str">
        <f>IFERROR(X439*VLOOKUP(C439,'General price list'!C:I,7,FALSE),"")</f>
        <v/>
      </c>
      <c r="AA439" s="805" t="str">
        <f>IF(X439&lt;&gt;"",VLOOKUP(C439,'General price list'!C441:AN1414,MATCH("HM",Tabulka1[[#Headers],[KOD]:[NEQ]],0),FALSE),"")</f>
        <v/>
      </c>
    </row>
    <row r="440" spans="1:27">
      <c r="A440">
        <f>COUNTIF($W$22:W440,1)</f>
        <v>0</v>
      </c>
      <c r="B440">
        <v>440</v>
      </c>
      <c r="C440" s="340" t="str">
        <f>Tabulka1[[#This Row],[KOD]]</f>
        <v>CF4920A</v>
      </c>
      <c r="W440" s="804" t="str">
        <f t="shared" si="15"/>
        <v/>
      </c>
      <c r="X440" t="str">
        <f t="shared" si="16"/>
        <v/>
      </c>
      <c r="Y440" s="341">
        <f>IF('General price list'!$AB442="",0,'General price list'!$AB442)</f>
        <v>0</v>
      </c>
      <c r="Z440" s="365" t="str">
        <f>IFERROR(X440*VLOOKUP(C440,'General price list'!C:I,7,FALSE),"")</f>
        <v/>
      </c>
      <c r="AA440" s="805" t="str">
        <f>IF(X440&lt;&gt;"",VLOOKUP(C440,'General price list'!C442:AN1415,MATCH("HM",Tabulka1[[#Headers],[KOD]:[NEQ]],0),FALSE),"")</f>
        <v/>
      </c>
    </row>
    <row r="441" spans="1:27">
      <c r="A441">
        <f>COUNTIF($W$22:W441,1)</f>
        <v>0</v>
      </c>
      <c r="B441">
        <v>441</v>
      </c>
      <c r="C441" s="340">
        <f>Tabulka1[[#This Row],[KOD]]</f>
        <v>0</v>
      </c>
      <c r="W441" s="804" t="str">
        <f t="shared" si="15"/>
        <v/>
      </c>
      <c r="X441" t="str">
        <f t="shared" si="16"/>
        <v/>
      </c>
      <c r="Y441" s="341">
        <f>IF('General price list'!$AB443="",0,'General price list'!$AB443)</f>
        <v>0</v>
      </c>
      <c r="Z441" s="365" t="str">
        <f>IFERROR(X441*VLOOKUP(C441,'General price list'!C:I,7,FALSE),"")</f>
        <v/>
      </c>
      <c r="AA441" s="805" t="str">
        <f>IF(X441&lt;&gt;"",VLOOKUP(C441,'General price list'!C443:AN1416,MATCH("HM",Tabulka1[[#Headers],[KOD]:[NEQ]],0),FALSE),"")</f>
        <v/>
      </c>
    </row>
    <row r="442" spans="1:27">
      <c r="A442">
        <f>COUNTIF($W$22:W442,1)</f>
        <v>0</v>
      </c>
      <c r="B442">
        <v>442</v>
      </c>
      <c r="C442" s="340" t="str">
        <f>Tabulka1[[#This Row],[KOD]]</f>
        <v>CF4920G14</v>
      </c>
      <c r="W442" s="804" t="str">
        <f t="shared" si="15"/>
        <v/>
      </c>
      <c r="X442" t="str">
        <f t="shared" si="16"/>
        <v/>
      </c>
      <c r="Y442" s="341">
        <f>IF('General price list'!$AB444="",0,'General price list'!$AB444)</f>
        <v>0</v>
      </c>
      <c r="Z442" s="365" t="str">
        <f>IFERROR(X442*VLOOKUP(C442,'General price list'!C:I,7,FALSE),"")</f>
        <v/>
      </c>
      <c r="AA442" s="805" t="str">
        <f>IF(X442&lt;&gt;"",VLOOKUP(C442,'General price list'!C444:AN1417,MATCH("HM",Tabulka1[[#Headers],[KOD]:[NEQ]],0),FALSE),"")</f>
        <v/>
      </c>
    </row>
    <row r="443" spans="1:27">
      <c r="A443">
        <f>COUNTIF($W$22:W443,1)</f>
        <v>0</v>
      </c>
      <c r="B443">
        <v>443</v>
      </c>
      <c r="C443" s="340">
        <f>Tabulka1[[#This Row],[KOD]]</f>
        <v>0</v>
      </c>
      <c r="W443" s="804" t="str">
        <f t="shared" si="15"/>
        <v/>
      </c>
      <c r="X443" t="str">
        <f t="shared" si="16"/>
        <v/>
      </c>
      <c r="Y443" s="341">
        <f>IF('General price list'!$AB445="",0,'General price list'!$AB445)</f>
        <v>0</v>
      </c>
      <c r="Z443" s="365" t="str">
        <f>IFERROR(X443*VLOOKUP(C443,'General price list'!C:I,7,FALSE),"")</f>
        <v/>
      </c>
      <c r="AA443" s="805" t="str">
        <f>IF(X443&lt;&gt;"",VLOOKUP(C443,'General price list'!C445:AN1418,MATCH("HM",Tabulka1[[#Headers],[KOD]:[NEQ]],0),FALSE),"")</f>
        <v/>
      </c>
    </row>
    <row r="444" spans="1:27">
      <c r="A444">
        <f>COUNTIF($W$22:W444,1)</f>
        <v>0</v>
      </c>
      <c r="B444">
        <v>444</v>
      </c>
      <c r="C444" s="340" t="str">
        <f>Tabulka1[[#This Row],[KOD]]</f>
        <v>C6420BPW</v>
      </c>
      <c r="W444" s="804" t="str">
        <f t="shared" si="15"/>
        <v/>
      </c>
      <c r="X444" t="str">
        <f t="shared" si="16"/>
        <v/>
      </c>
      <c r="Y444" s="341">
        <f>IF('General price list'!$AB446="",0,'General price list'!$AB446)</f>
        <v>0</v>
      </c>
      <c r="Z444" s="365" t="str">
        <f>IFERROR(X444*VLOOKUP(C444,'General price list'!C:I,7,FALSE),"")</f>
        <v/>
      </c>
      <c r="AA444" s="805" t="str">
        <f>IF(X444&lt;&gt;"",VLOOKUP(C444,'General price list'!C446:AN1419,MATCH("HM",Tabulka1[[#Headers],[KOD]:[NEQ]],0),FALSE),"")</f>
        <v/>
      </c>
    </row>
    <row r="445" spans="1:27">
      <c r="A445">
        <f>COUNTIF($W$22:W445,1)</f>
        <v>0</v>
      </c>
      <c r="B445">
        <v>445</v>
      </c>
      <c r="C445" s="340" t="str">
        <f>Tabulka1[[#This Row],[KOD]]</f>
        <v>C6420B</v>
      </c>
      <c r="W445" s="804" t="str">
        <f t="shared" si="15"/>
        <v/>
      </c>
      <c r="X445" t="str">
        <f t="shared" si="16"/>
        <v/>
      </c>
      <c r="Y445" s="341">
        <f>IF('General price list'!$AB447="",0,'General price list'!$AB447)</f>
        <v>0</v>
      </c>
      <c r="Z445" s="365" t="str">
        <f>IFERROR(X445*VLOOKUP(C445,'General price list'!C:I,7,FALSE),"")</f>
        <v/>
      </c>
      <c r="AA445" s="805" t="str">
        <f>IF(X445&lt;&gt;"",VLOOKUP(C445,'General price list'!C447:AN1420,MATCH("HM",Tabulka1[[#Headers],[KOD]:[NEQ]],0),FALSE),"")</f>
        <v/>
      </c>
    </row>
    <row r="446" spans="1:27">
      <c r="A446">
        <f>COUNTIF($W$22:W446,1)</f>
        <v>0</v>
      </c>
      <c r="B446">
        <v>446</v>
      </c>
      <c r="C446" s="340" t="str">
        <f>Tabulka1[[#This Row],[KOD]]</f>
        <v>C6420G</v>
      </c>
      <c r="W446" s="804" t="str">
        <f t="shared" si="15"/>
        <v/>
      </c>
      <c r="X446" t="str">
        <f t="shared" si="16"/>
        <v/>
      </c>
      <c r="Y446" s="341">
        <f>IF('General price list'!$AB448="",0,'General price list'!$AB448)</f>
        <v>0</v>
      </c>
      <c r="Z446" s="365" t="str">
        <f>IFERROR(X446*VLOOKUP(C446,'General price list'!C:I,7,FALSE),"")</f>
        <v/>
      </c>
      <c r="AA446" s="805" t="str">
        <f>IF(X446&lt;&gt;"",VLOOKUP(C446,'General price list'!C448:AN1421,MATCH("HM",Tabulka1[[#Headers],[KOD]:[NEQ]],0),FALSE),"")</f>
        <v/>
      </c>
    </row>
    <row r="447" spans="1:27">
      <c r="A447">
        <f>COUNTIF($W$22:W447,1)</f>
        <v>0</v>
      </c>
      <c r="B447">
        <v>447</v>
      </c>
      <c r="C447" s="340" t="str">
        <f>Tabulka1[[#This Row],[KOD]]</f>
        <v>C6420D</v>
      </c>
      <c r="W447" s="804" t="str">
        <f t="shared" si="15"/>
        <v/>
      </c>
      <c r="X447" t="str">
        <f t="shared" si="16"/>
        <v/>
      </c>
      <c r="Y447" s="341">
        <f>IF('General price list'!$AB449="",0,'General price list'!$AB449)</f>
        <v>0</v>
      </c>
      <c r="Z447" s="365" t="str">
        <f>IFERROR(X447*VLOOKUP(C447,'General price list'!C:I,7,FALSE),"")</f>
        <v/>
      </c>
      <c r="AA447" s="805" t="str">
        <f>IF(X447&lt;&gt;"",VLOOKUP(C447,'General price list'!C449:AN1422,MATCH("HM",Tabulka1[[#Headers],[KOD]:[NEQ]],0),FALSE),"")</f>
        <v/>
      </c>
    </row>
    <row r="448" spans="1:27">
      <c r="A448">
        <f>COUNTIF($W$22:W448,1)</f>
        <v>0</v>
      </c>
      <c r="B448">
        <v>448</v>
      </c>
      <c r="C448" s="340">
        <f>Tabulka1[[#This Row],[KOD]]</f>
        <v>0</v>
      </c>
      <c r="W448" s="804" t="str">
        <f t="shared" si="15"/>
        <v/>
      </c>
      <c r="X448" t="str">
        <f t="shared" si="16"/>
        <v/>
      </c>
      <c r="Y448" s="341">
        <f>IF('General price list'!$AB450="",0,'General price list'!$AB450)</f>
        <v>0</v>
      </c>
      <c r="Z448" s="365" t="str">
        <f>IFERROR(X448*VLOOKUP(C448,'General price list'!C:I,7,FALSE),"")</f>
        <v/>
      </c>
      <c r="AA448" s="805" t="str">
        <f>IF(X448&lt;&gt;"",VLOOKUP(C448,'General price list'!C450:AN1423,MATCH("HM",Tabulka1[[#Headers],[KOD]:[NEQ]],0),FALSE),"")</f>
        <v/>
      </c>
    </row>
    <row r="449" spans="1:27">
      <c r="A449">
        <f>COUNTIF($W$22:W449,1)</f>
        <v>0</v>
      </c>
      <c r="B449">
        <v>449</v>
      </c>
      <c r="C449" s="340" t="str">
        <f>Tabulka1[[#This Row],[KOD]]</f>
        <v>C6420D14</v>
      </c>
      <c r="W449" s="804" t="str">
        <f t="shared" si="15"/>
        <v/>
      </c>
      <c r="X449" t="str">
        <f t="shared" si="16"/>
        <v/>
      </c>
      <c r="Y449" s="341">
        <f>IF('General price list'!$AB451="",0,'General price list'!$AB451)</f>
        <v>0</v>
      </c>
      <c r="Z449" s="365" t="str">
        <f>IFERROR(X449*VLOOKUP(C449,'General price list'!C:I,7,FALSE),"")</f>
        <v/>
      </c>
      <c r="AA449" s="805" t="str">
        <f>IF(X449&lt;&gt;"",VLOOKUP(C449,'General price list'!C451:AN1424,MATCH("HM",Tabulka1[[#Headers],[KOD]:[NEQ]],0),FALSE),"")</f>
        <v/>
      </c>
    </row>
    <row r="450" spans="1:27">
      <c r="A450">
        <f>COUNTIF($W$22:W450,1)</f>
        <v>0</v>
      </c>
      <c r="B450">
        <v>450</v>
      </c>
      <c r="C450" s="340">
        <f>Tabulka1[[#This Row],[KOD]]</f>
        <v>0</v>
      </c>
      <c r="W450" s="804" t="str">
        <f t="shared" si="15"/>
        <v/>
      </c>
      <c r="X450" t="str">
        <f t="shared" si="16"/>
        <v/>
      </c>
      <c r="Y450" s="341">
        <f>IF('General price list'!$AB452="",0,'General price list'!$AB452)</f>
        <v>0</v>
      </c>
      <c r="Z450" s="365" t="str">
        <f>IFERROR(X450*VLOOKUP(C450,'General price list'!C:I,7,FALSE),"")</f>
        <v/>
      </c>
      <c r="AA450" s="805" t="str">
        <f>IF(X450&lt;&gt;"",VLOOKUP(C450,'General price list'!C452:AN1425,MATCH("HM",Tabulka1[[#Headers],[KOD]:[NEQ]],0),FALSE),"")</f>
        <v/>
      </c>
    </row>
    <row r="451" spans="1:27">
      <c r="A451">
        <f>COUNTIF($W$22:W451,1)</f>
        <v>0</v>
      </c>
      <c r="B451">
        <v>451</v>
      </c>
      <c r="C451" s="340" t="str">
        <f>Tabulka1[[#This Row],[KOD]]</f>
        <v>C6620P</v>
      </c>
      <c r="W451" s="804" t="str">
        <f t="shared" si="15"/>
        <v/>
      </c>
      <c r="X451" t="str">
        <f t="shared" si="16"/>
        <v/>
      </c>
      <c r="Y451" s="341">
        <f>IF('General price list'!$AB453="",0,'General price list'!$AB453)</f>
        <v>0</v>
      </c>
      <c r="Z451" s="365" t="str">
        <f>IFERROR(X451*VLOOKUP(C451,'General price list'!C:I,7,FALSE),"")</f>
        <v/>
      </c>
      <c r="AA451" s="805" t="str">
        <f>IF(X451&lt;&gt;"",VLOOKUP(C451,'General price list'!C453:AN1426,MATCH("HM",Tabulka1[[#Headers],[KOD]:[NEQ]],0),FALSE),"")</f>
        <v/>
      </c>
    </row>
    <row r="452" spans="1:27">
      <c r="A452">
        <f>COUNTIF($W$22:W452,1)</f>
        <v>0</v>
      </c>
      <c r="B452">
        <v>452</v>
      </c>
      <c r="C452" s="340" t="str">
        <f>Tabulka1[[#This Row],[KOD]]</f>
        <v>C6620L</v>
      </c>
      <c r="W452" s="804" t="str">
        <f t="shared" si="15"/>
        <v/>
      </c>
      <c r="X452" t="str">
        <f t="shared" si="16"/>
        <v/>
      </c>
      <c r="Y452" s="341">
        <f>IF('General price list'!$AB454="",0,'General price list'!$AB454)</f>
        <v>0</v>
      </c>
      <c r="Z452" s="365" t="str">
        <f>IFERROR(X452*VLOOKUP(C452,'General price list'!C:I,7,FALSE),"")</f>
        <v/>
      </c>
      <c r="AA452" s="805" t="str">
        <f>IF(X452&lt;&gt;"",VLOOKUP(C452,'General price list'!C454:AN1427,MATCH("HM",Tabulka1[[#Headers],[KOD]:[NEQ]],0),FALSE),"")</f>
        <v/>
      </c>
    </row>
    <row r="453" spans="1:27">
      <c r="A453">
        <f>COUNTIF($W$22:W453,1)</f>
        <v>0</v>
      </c>
      <c r="B453">
        <v>453</v>
      </c>
      <c r="C453" s="340">
        <f>Tabulka1[[#This Row],[KOD]]</f>
        <v>0</v>
      </c>
      <c r="W453" s="804" t="str">
        <f t="shared" si="15"/>
        <v/>
      </c>
      <c r="X453" t="str">
        <f t="shared" si="16"/>
        <v/>
      </c>
      <c r="Y453" s="341">
        <f>IF('General price list'!$AB455="",0,'General price list'!$AB455)</f>
        <v>0</v>
      </c>
      <c r="Z453" s="365" t="str">
        <f>IFERROR(X453*VLOOKUP(C453,'General price list'!C:I,7,FALSE),"")</f>
        <v/>
      </c>
      <c r="AA453" s="805" t="str">
        <f>IF(X453&lt;&gt;"",VLOOKUP(C453,'General price list'!C455:AN1428,MATCH("HM",Tabulka1[[#Headers],[KOD]:[NEQ]],0),FALSE),"")</f>
        <v/>
      </c>
    </row>
    <row r="454" spans="1:27">
      <c r="A454">
        <f>COUNTIF($W$22:W454,1)</f>
        <v>0</v>
      </c>
      <c r="B454">
        <v>454</v>
      </c>
      <c r="C454" s="340" t="str">
        <f>Tabulka1[[#This Row],[KOD]]</f>
        <v>C6620P14</v>
      </c>
      <c r="W454" s="804" t="str">
        <f t="shared" si="15"/>
        <v/>
      </c>
      <c r="X454" t="str">
        <f t="shared" si="16"/>
        <v/>
      </c>
      <c r="Y454" s="341">
        <f>IF('General price list'!$AB456="",0,'General price list'!$AB456)</f>
        <v>0</v>
      </c>
      <c r="Z454" s="365" t="str">
        <f>IFERROR(X454*VLOOKUP(C454,'General price list'!C:I,7,FALSE),"")</f>
        <v/>
      </c>
      <c r="AA454" s="805" t="str">
        <f>IF(X454&lt;&gt;"",VLOOKUP(C454,'General price list'!C456:AN1429,MATCH("HM",Tabulka1[[#Headers],[KOD]:[NEQ]],0),FALSE),"")</f>
        <v/>
      </c>
    </row>
    <row r="455" spans="1:27">
      <c r="A455">
        <f>COUNTIF($W$22:W455,1)</f>
        <v>0</v>
      </c>
      <c r="B455">
        <v>455</v>
      </c>
      <c r="C455" s="340">
        <f>Tabulka1[[#This Row],[KOD]]</f>
        <v>0</v>
      </c>
      <c r="W455" s="804" t="str">
        <f t="shared" si="15"/>
        <v/>
      </c>
      <c r="X455" t="str">
        <f t="shared" si="16"/>
        <v/>
      </c>
      <c r="Y455" s="341">
        <f>IF('General price list'!$AB457="",0,'General price list'!$AB457)</f>
        <v>0</v>
      </c>
      <c r="Z455" s="365" t="str">
        <f>IFERROR(X455*VLOOKUP(C455,'General price list'!C:I,7,FALSE),"")</f>
        <v/>
      </c>
      <c r="AA455" s="805" t="str">
        <f>IF(X455&lt;&gt;"",VLOOKUP(C455,'General price list'!C457:AN1430,MATCH("HM",Tabulka1[[#Headers],[KOD]:[NEQ]],0),FALSE),"")</f>
        <v/>
      </c>
    </row>
    <row r="456" spans="1:27">
      <c r="A456">
        <f>COUNTIF($W$22:W456,1)</f>
        <v>0</v>
      </c>
      <c r="B456">
        <v>456</v>
      </c>
      <c r="C456" s="340" t="str">
        <f>Tabulka1[[#This Row],[KOD]]</f>
        <v>C9020SIG</v>
      </c>
      <c r="W456" s="804" t="str">
        <f t="shared" si="15"/>
        <v/>
      </c>
      <c r="X456" t="str">
        <f t="shared" si="16"/>
        <v/>
      </c>
      <c r="Y456" s="341">
        <f>IF('General price list'!$AB458="",0,'General price list'!$AB458)</f>
        <v>0</v>
      </c>
      <c r="Z456" s="365" t="str">
        <f>IFERROR(X456*VLOOKUP(C456,'General price list'!C:I,7,FALSE),"")</f>
        <v/>
      </c>
      <c r="AA456" s="805" t="str">
        <f>IF(X456&lt;&gt;"",VLOOKUP(C456,'General price list'!C458:AN1431,MATCH("HM",Tabulka1[[#Headers],[KOD]:[NEQ]],0),FALSE),"")</f>
        <v/>
      </c>
    </row>
    <row r="457" spans="1:27">
      <c r="A457">
        <f>COUNTIF($W$22:W457,1)</f>
        <v>0</v>
      </c>
      <c r="B457">
        <v>457</v>
      </c>
      <c r="C457" s="340" t="str">
        <f>Tabulka1[[#This Row],[KOD]]</f>
        <v>C9020V</v>
      </c>
      <c r="W457" s="804" t="str">
        <f t="shared" si="15"/>
        <v/>
      </c>
      <c r="X457" t="str">
        <f t="shared" si="16"/>
        <v/>
      </c>
      <c r="Y457" s="341">
        <f>IF('General price list'!$AB459="",0,'General price list'!$AB459)</f>
        <v>0</v>
      </c>
      <c r="Z457" s="365" t="str">
        <f>IFERROR(X457*VLOOKUP(C457,'General price list'!C:I,7,FALSE),"")</f>
        <v/>
      </c>
      <c r="AA457" s="805" t="str">
        <f>IF(X457&lt;&gt;"",VLOOKUP(C457,'General price list'!C459:AN1432,MATCH("HM",Tabulka1[[#Headers],[KOD]:[NEQ]],0),FALSE),"")</f>
        <v/>
      </c>
    </row>
    <row r="458" spans="1:27">
      <c r="A458">
        <f>COUNTIF($W$22:W458,1)</f>
        <v>0</v>
      </c>
      <c r="B458">
        <v>458</v>
      </c>
      <c r="C458" s="340" t="str">
        <f>Tabulka1[[#This Row],[KOD]]</f>
        <v>C9020X</v>
      </c>
      <c r="W458" s="804" t="str">
        <f t="shared" si="15"/>
        <v/>
      </c>
      <c r="X458" t="str">
        <f t="shared" si="16"/>
        <v/>
      </c>
      <c r="Y458" s="341">
        <f>IF('General price list'!$AB460="",0,'General price list'!$AB460)</f>
        <v>0</v>
      </c>
      <c r="Z458" s="365" t="str">
        <f>IFERROR(X458*VLOOKUP(C458,'General price list'!C:I,7,FALSE),"")</f>
        <v/>
      </c>
      <c r="AA458" s="805" t="str">
        <f>IF(X458&lt;&gt;"",VLOOKUP(C458,'General price list'!C460:AN1433,MATCH("HM",Tabulka1[[#Headers],[KOD]:[NEQ]],0),FALSE),"")</f>
        <v/>
      </c>
    </row>
    <row r="459" spans="1:27">
      <c r="A459">
        <f>COUNTIF($W$22:W459,1)</f>
        <v>0</v>
      </c>
      <c r="B459">
        <v>459</v>
      </c>
      <c r="C459" s="340">
        <f>Tabulka1[[#This Row],[KOD]]</f>
        <v>0</v>
      </c>
      <c r="W459" s="804" t="str">
        <f t="shared" si="15"/>
        <v/>
      </c>
      <c r="X459" t="str">
        <f t="shared" si="16"/>
        <v/>
      </c>
      <c r="Y459" s="341">
        <f>IF('General price list'!$AB461="",0,'General price list'!$AB461)</f>
        <v>0</v>
      </c>
      <c r="Z459" s="365" t="str">
        <f>IFERROR(X459*VLOOKUP(C459,'General price list'!C:I,7,FALSE),"")</f>
        <v/>
      </c>
      <c r="AA459" s="805" t="str">
        <f>IF(X459&lt;&gt;"",VLOOKUP(C459,'General price list'!C461:AN1434,MATCH("HM",Tabulka1[[#Headers],[KOD]:[NEQ]],0),FALSE),"")</f>
        <v/>
      </c>
    </row>
    <row r="460" spans="1:27">
      <c r="A460">
        <f>COUNTIF($W$22:W460,1)</f>
        <v>0</v>
      </c>
      <c r="B460">
        <v>460</v>
      </c>
      <c r="C460" s="340" t="str">
        <f>Tabulka1[[#This Row],[KOD]]</f>
        <v>C10020BP14</v>
      </c>
      <c r="W460" s="804" t="str">
        <f t="shared" si="15"/>
        <v/>
      </c>
      <c r="X460" t="str">
        <f t="shared" si="16"/>
        <v/>
      </c>
      <c r="Y460" s="341">
        <f>IF('General price list'!$AB462="",0,'General price list'!$AB462)</f>
        <v>0</v>
      </c>
      <c r="Z460" s="365" t="str">
        <f>IFERROR(X460*VLOOKUP(C460,'General price list'!C:I,7,FALSE),"")</f>
        <v/>
      </c>
      <c r="AA460" s="805" t="str">
        <f>IF(X460&lt;&gt;"",VLOOKUP(C460,'General price list'!C462:AN1435,MATCH("HM",Tabulka1[[#Headers],[KOD]:[NEQ]],0),FALSE),"")</f>
        <v/>
      </c>
    </row>
    <row r="461" spans="1:27">
      <c r="A461">
        <f>COUNTIF($W$22:W461,1)</f>
        <v>0</v>
      </c>
      <c r="B461">
        <v>461</v>
      </c>
      <c r="C461" s="340" t="str">
        <f>Tabulka1[[#This Row],[KOD]]</f>
        <v>C10020BPS14</v>
      </c>
      <c r="W461" s="804" t="str">
        <f t="shared" si="15"/>
        <v/>
      </c>
      <c r="X461" t="str">
        <f t="shared" si="16"/>
        <v/>
      </c>
      <c r="Y461" s="341">
        <f>IF('General price list'!$AB463="",0,'General price list'!$AB463)</f>
        <v>0</v>
      </c>
      <c r="Z461" s="365" t="str">
        <f>IFERROR(X461*VLOOKUP(C461,'General price list'!C:I,7,FALSE),"")</f>
        <v/>
      </c>
      <c r="AA461" s="805" t="str">
        <f>IF(X461&lt;&gt;"",VLOOKUP(C461,'General price list'!C463:AN1436,MATCH("HM",Tabulka1[[#Headers],[KOD]:[NEQ]],0),FALSE),"")</f>
        <v/>
      </c>
    </row>
    <row r="462" spans="1:27">
      <c r="A462">
        <f>COUNTIF($W$22:W462,1)</f>
        <v>0</v>
      </c>
      <c r="B462">
        <v>462</v>
      </c>
      <c r="C462" s="340" t="str">
        <f>Tabulka1[[#This Row],[KOD]]</f>
        <v>C10020NID14</v>
      </c>
      <c r="W462" s="804" t="str">
        <f t="shared" si="15"/>
        <v/>
      </c>
      <c r="X462" t="str">
        <f t="shared" si="16"/>
        <v/>
      </c>
      <c r="Y462" s="341">
        <f>IF('General price list'!$AB464="",0,'General price list'!$AB464)</f>
        <v>0</v>
      </c>
      <c r="Z462" s="365" t="str">
        <f>IFERROR(X462*VLOOKUP(C462,'General price list'!C:I,7,FALSE),"")</f>
        <v/>
      </c>
      <c r="AA462" s="805" t="str">
        <f>IF(X462&lt;&gt;"",VLOOKUP(C462,'General price list'!C464:AN1437,MATCH("HM",Tabulka1[[#Headers],[KOD]:[NEQ]],0),FALSE),"")</f>
        <v/>
      </c>
    </row>
    <row r="463" spans="1:27">
      <c r="A463">
        <f>COUNTIF($W$22:W463,1)</f>
        <v>0</v>
      </c>
      <c r="B463">
        <v>463</v>
      </c>
      <c r="C463" s="340">
        <f>Tabulka1[[#This Row],[KOD]]</f>
        <v>0</v>
      </c>
      <c r="W463" s="804" t="str">
        <f t="shared" si="15"/>
        <v/>
      </c>
      <c r="X463" t="str">
        <f t="shared" si="16"/>
        <v/>
      </c>
      <c r="Y463" s="341">
        <f>IF('General price list'!$AB465="",0,'General price list'!$AB465)</f>
        <v>0</v>
      </c>
      <c r="Z463" s="365" t="str">
        <f>IFERROR(X463*VLOOKUP(C463,'General price list'!C:I,7,FALSE),"")</f>
        <v/>
      </c>
      <c r="AA463" s="805" t="str">
        <f>IF(X463&lt;&gt;"",VLOOKUP(C463,'General price list'!C465:AN1438,MATCH("HM",Tabulka1[[#Headers],[KOD]:[NEQ]],0),FALSE),"")</f>
        <v/>
      </c>
    </row>
    <row r="464" spans="1:27">
      <c r="A464">
        <f>COUNTIF($W$22:W464,1)</f>
        <v>0</v>
      </c>
      <c r="B464">
        <v>464</v>
      </c>
      <c r="C464" s="340" t="str">
        <f>Tabulka1[[#This Row],[KOD]]</f>
        <v>C10020XBPW14</v>
      </c>
      <c r="W464" s="804" t="str">
        <f t="shared" si="15"/>
        <v/>
      </c>
      <c r="X464" t="str">
        <f t="shared" si="16"/>
        <v/>
      </c>
      <c r="Y464" s="341">
        <f>IF('General price list'!$AB466="",0,'General price list'!$AB466)</f>
        <v>0</v>
      </c>
      <c r="Z464" s="365" t="str">
        <f>IFERROR(X464*VLOOKUP(C464,'General price list'!C:I,7,FALSE),"")</f>
        <v/>
      </c>
      <c r="AA464" s="805" t="str">
        <f>IF(X464&lt;&gt;"",VLOOKUP(C464,'General price list'!C466:AN1439,MATCH("HM",Tabulka1[[#Headers],[KOD]:[NEQ]],0),FALSE),"")</f>
        <v/>
      </c>
    </row>
    <row r="465" spans="1:27">
      <c r="A465">
        <f>COUNTIF($W$22:W465,1)</f>
        <v>0</v>
      </c>
      <c r="B465">
        <v>465</v>
      </c>
      <c r="C465" s="340" t="str">
        <f>Tabulka1[[#This Row],[KOD]]</f>
        <v>C10020XBP14</v>
      </c>
      <c r="W465" s="804" t="str">
        <f t="shared" si="15"/>
        <v/>
      </c>
      <c r="X465" t="str">
        <f t="shared" si="16"/>
        <v/>
      </c>
      <c r="Y465" s="341">
        <f>IF('General price list'!$AB467="",0,'General price list'!$AB467)</f>
        <v>0</v>
      </c>
      <c r="Z465" s="365" t="str">
        <f>IFERROR(X465*VLOOKUP(C465,'General price list'!C:I,7,FALSE),"")</f>
        <v/>
      </c>
      <c r="AA465" s="805" t="str">
        <f>IF(X465&lt;&gt;"",VLOOKUP(C465,'General price list'!C467:AN1440,MATCH("HM",Tabulka1[[#Headers],[KOD]:[NEQ]],0),FALSE),"")</f>
        <v/>
      </c>
    </row>
    <row r="466" spans="1:27">
      <c r="A466">
        <f>COUNTIF($W$22:W466,1)</f>
        <v>0</v>
      </c>
      <c r="B466">
        <v>466</v>
      </c>
      <c r="C466" s="340" t="str">
        <f>Tabulka1[[#This Row],[KOD]]</f>
        <v>C10020XTS14</v>
      </c>
      <c r="W466" s="804" t="str">
        <f t="shared" si="15"/>
        <v/>
      </c>
      <c r="X466" t="str">
        <f t="shared" si="16"/>
        <v/>
      </c>
      <c r="Y466" s="341">
        <f>IF('General price list'!$AB468="",0,'General price list'!$AB468)</f>
        <v>0</v>
      </c>
      <c r="Z466" s="365" t="str">
        <f>IFERROR(X466*VLOOKUP(C466,'General price list'!C:I,7,FALSE),"")</f>
        <v/>
      </c>
      <c r="AA466" s="805" t="str">
        <f>IF(X466&lt;&gt;"",VLOOKUP(C466,'General price list'!C468:AN1441,MATCH("HM",Tabulka1[[#Headers],[KOD]:[NEQ]],0),FALSE),"")</f>
        <v/>
      </c>
    </row>
    <row r="467" spans="1:27">
      <c r="A467">
        <f>COUNTIF($W$22:W467,1)</f>
        <v>0</v>
      </c>
      <c r="B467">
        <v>467</v>
      </c>
      <c r="C467" s="340" t="str">
        <f>Tabulka1[[#This Row],[KOD]]</f>
        <v>C10020XPR14</v>
      </c>
      <c r="W467" s="804" t="str">
        <f t="shared" si="15"/>
        <v/>
      </c>
      <c r="X467" t="str">
        <f t="shared" si="16"/>
        <v/>
      </c>
      <c r="Y467" s="341">
        <f>IF('General price list'!$AB469="",0,'General price list'!$AB469)</f>
        <v>0</v>
      </c>
      <c r="Z467" s="365" t="str">
        <f>IFERROR(X467*VLOOKUP(C467,'General price list'!C:I,7,FALSE),"")</f>
        <v/>
      </c>
      <c r="AA467" s="805" t="str">
        <f>IF(X467&lt;&gt;"",VLOOKUP(C467,'General price list'!C469:AN1442,MATCH("HM",Tabulka1[[#Headers],[KOD]:[NEQ]],0),FALSE),"")</f>
        <v/>
      </c>
    </row>
    <row r="468" spans="1:27">
      <c r="A468">
        <f>COUNTIF($W$22:W468,1)</f>
        <v>0</v>
      </c>
      <c r="B468">
        <v>468</v>
      </c>
      <c r="C468" s="340">
        <f>Tabulka1[[#This Row],[KOD]]</f>
        <v>0</v>
      </c>
      <c r="W468" s="804" t="str">
        <f t="shared" si="15"/>
        <v/>
      </c>
      <c r="X468" t="str">
        <f t="shared" si="16"/>
        <v/>
      </c>
      <c r="Y468" s="341">
        <f>IF('General price list'!$AB470="",0,'General price list'!$AB470)</f>
        <v>0</v>
      </c>
      <c r="Z468" s="365" t="str">
        <f>IFERROR(X468*VLOOKUP(C468,'General price list'!C:I,7,FALSE),"")</f>
        <v/>
      </c>
      <c r="AA468" s="805" t="str">
        <f>IF(X468&lt;&gt;"",VLOOKUP(C468,'General price list'!C470:AN1443,MATCH("HM",Tabulka1[[#Headers],[KOD]:[NEQ]],0),FALSE),"")</f>
        <v/>
      </c>
    </row>
    <row r="469" spans="1:27">
      <c r="A469">
        <f>COUNTIF($W$22:W469,1)</f>
        <v>0</v>
      </c>
      <c r="B469">
        <v>469</v>
      </c>
      <c r="C469" s="340" t="str">
        <f>Tabulka1[[#This Row],[KOD]]</f>
        <v>CF10020P</v>
      </c>
      <c r="W469" s="804" t="str">
        <f t="shared" si="15"/>
        <v/>
      </c>
      <c r="X469" t="str">
        <f t="shared" si="16"/>
        <v/>
      </c>
      <c r="Y469" s="341">
        <f>IF('General price list'!$AB471="",0,'General price list'!$AB471)</f>
        <v>0</v>
      </c>
      <c r="Z469" s="365" t="str">
        <f>IFERROR(X469*VLOOKUP(C469,'General price list'!C:I,7,FALSE),"")</f>
        <v/>
      </c>
      <c r="AA469" s="805" t="str">
        <f>IF(X469&lt;&gt;"",VLOOKUP(C469,'General price list'!C471:AN1444,MATCH("HM",Tabulka1[[#Headers],[KOD]:[NEQ]],0),FALSE),"")</f>
        <v/>
      </c>
    </row>
    <row r="470" spans="1:27">
      <c r="A470">
        <f>COUNTIF($W$22:W470,1)</f>
        <v>0</v>
      </c>
      <c r="B470">
        <v>470</v>
      </c>
      <c r="C470" s="340">
        <f>Tabulka1[[#This Row],[KOD]]</f>
        <v>0</v>
      </c>
      <c r="W470" s="804" t="str">
        <f t="shared" si="15"/>
        <v/>
      </c>
      <c r="X470" t="str">
        <f t="shared" si="16"/>
        <v/>
      </c>
      <c r="Y470" s="341">
        <f>IF('General price list'!$AB472="",0,'General price list'!$AB472)</f>
        <v>0</v>
      </c>
      <c r="Z470" s="365" t="str">
        <f>IFERROR(X470*VLOOKUP(C470,'General price list'!C:I,7,FALSE),"")</f>
        <v/>
      </c>
      <c r="AA470" s="805" t="str">
        <f>IF(X470&lt;&gt;"",VLOOKUP(C470,'General price list'!C472:AN1445,MATCH("HM",Tabulka1[[#Headers],[KOD]:[NEQ]],0),FALSE),"")</f>
        <v/>
      </c>
    </row>
    <row r="471" spans="1:27">
      <c r="A471">
        <f>COUNTIF($W$22:W471,1)</f>
        <v>0</v>
      </c>
      <c r="B471">
        <v>471</v>
      </c>
      <c r="C471" s="340" t="str">
        <f>Tabulka1[[#This Row],[KOD]]</f>
        <v>C13020BP</v>
      </c>
      <c r="W471" s="804" t="str">
        <f t="shared" si="15"/>
        <v/>
      </c>
      <c r="X471" t="str">
        <f t="shared" si="16"/>
        <v/>
      </c>
      <c r="Y471" s="341">
        <f>IF('General price list'!$AB473="",0,'General price list'!$AB473)</f>
        <v>0</v>
      </c>
      <c r="Z471" s="365" t="str">
        <f>IFERROR(X471*VLOOKUP(C471,'General price list'!C:I,7,FALSE),"")</f>
        <v/>
      </c>
      <c r="AA471" s="805" t="str">
        <f>IF(X471&lt;&gt;"",VLOOKUP(C471,'General price list'!C473:AN1446,MATCH("HM",Tabulka1[[#Headers],[KOD]:[NEQ]],0),FALSE),"")</f>
        <v/>
      </c>
    </row>
    <row r="472" spans="1:27">
      <c r="A472">
        <f>COUNTIF($W$22:W472,1)</f>
        <v>0</v>
      </c>
      <c r="B472">
        <v>472</v>
      </c>
      <c r="C472" s="340" t="str">
        <f>Tabulka1[[#This Row],[KOD]]</f>
        <v>C13020M</v>
      </c>
      <c r="W472" s="804" t="str">
        <f t="shared" si="15"/>
        <v/>
      </c>
      <c r="X472" t="str">
        <f t="shared" si="16"/>
        <v/>
      </c>
      <c r="Y472" s="341">
        <f>IF('General price list'!$AB474="",0,'General price list'!$AB474)</f>
        <v>0</v>
      </c>
      <c r="Z472" s="365" t="str">
        <f>IFERROR(X472*VLOOKUP(C472,'General price list'!C:I,7,FALSE),"")</f>
        <v/>
      </c>
      <c r="AA472" s="805" t="str">
        <f>IF(X472&lt;&gt;"",VLOOKUP(C472,'General price list'!C474:AN1447,MATCH("HM",Tabulka1[[#Headers],[KOD]:[NEQ]],0),FALSE),"")</f>
        <v/>
      </c>
    </row>
    <row r="473" spans="1:27">
      <c r="A473">
        <f>COUNTIF($W$22:W473,1)</f>
        <v>0</v>
      </c>
      <c r="B473">
        <v>473</v>
      </c>
      <c r="C473" s="340" t="str">
        <f>Tabulka1[[#This Row],[KOD]]</f>
        <v>C13020B</v>
      </c>
      <c r="W473" s="804" t="str">
        <f t="shared" ref="W473:W536" si="17">IF(Y473+1=1,"",1)</f>
        <v/>
      </c>
      <c r="X473" t="str">
        <f t="shared" ref="X473:X536" si="18">IF(OR(A473&lt;$G$20,A473&gt;$G$21),"",IF(Y473=0,"",Y473))</f>
        <v/>
      </c>
      <c r="Y473" s="341">
        <f>IF('General price list'!$AB475="",0,'General price list'!$AB475)</f>
        <v>0</v>
      </c>
      <c r="Z473" s="365" t="str">
        <f>IFERROR(X473*VLOOKUP(C473,'General price list'!C:I,7,FALSE),"")</f>
        <v/>
      </c>
      <c r="AA473" s="805" t="str">
        <f>IF(X473&lt;&gt;"",VLOOKUP(C473,'General price list'!C475:AN1448,MATCH("HM",Tabulka1[[#Headers],[KOD]:[NEQ]],0),FALSE),"")</f>
        <v/>
      </c>
    </row>
    <row r="474" spans="1:27">
      <c r="A474">
        <f>COUNTIF($W$22:W474,1)</f>
        <v>0</v>
      </c>
      <c r="B474">
        <v>474</v>
      </c>
      <c r="C474" s="340">
        <f>Tabulka1[[#This Row],[KOD]]</f>
        <v>0</v>
      </c>
      <c r="W474" s="804" t="str">
        <f t="shared" si="17"/>
        <v/>
      </c>
      <c r="X474" t="str">
        <f t="shared" si="18"/>
        <v/>
      </c>
      <c r="Y474" s="341">
        <f>IF('General price list'!$AB476="",0,'General price list'!$AB476)</f>
        <v>0</v>
      </c>
      <c r="Z474" s="365" t="str">
        <f>IFERROR(X474*VLOOKUP(C474,'General price list'!C:I,7,FALSE),"")</f>
        <v/>
      </c>
      <c r="AA474" s="805" t="str">
        <f>IF(X474&lt;&gt;"",VLOOKUP(C474,'General price list'!C476:AN1449,MATCH("HM",Tabulka1[[#Headers],[KOD]:[NEQ]],0),FALSE),"")</f>
        <v/>
      </c>
    </row>
    <row r="475" spans="1:27">
      <c r="A475">
        <f>COUNTIF($W$22:W475,1)</f>
        <v>0</v>
      </c>
      <c r="B475">
        <v>475</v>
      </c>
      <c r="C475" s="340" t="str">
        <f>Tabulka1[[#This Row],[KOD]]</f>
        <v>C13420H</v>
      </c>
      <c r="W475" s="804" t="str">
        <f t="shared" si="17"/>
        <v/>
      </c>
      <c r="X475" t="str">
        <f t="shared" si="18"/>
        <v/>
      </c>
      <c r="Y475" s="341">
        <f>IF('General price list'!$AB477="",0,'General price list'!$AB477)</f>
        <v>0</v>
      </c>
      <c r="Z475" s="365" t="str">
        <f>IFERROR(X475*VLOOKUP(C475,'General price list'!C:I,7,FALSE),"")</f>
        <v/>
      </c>
      <c r="AA475" s="805" t="str">
        <f>IF(X475&lt;&gt;"",VLOOKUP(C475,'General price list'!C477:AN1450,MATCH("HM",Tabulka1[[#Headers],[KOD]:[NEQ]],0),FALSE),"")</f>
        <v/>
      </c>
    </row>
    <row r="476" spans="1:27">
      <c r="A476">
        <f>COUNTIF($W$22:W476,1)</f>
        <v>0</v>
      </c>
      <c r="B476">
        <v>476</v>
      </c>
      <c r="C476" s="340">
        <f>Tabulka1[[#This Row],[KOD]]</f>
        <v>0</v>
      </c>
      <c r="W476" s="804" t="str">
        <f t="shared" si="17"/>
        <v/>
      </c>
      <c r="X476" t="str">
        <f t="shared" si="18"/>
        <v/>
      </c>
      <c r="Y476" s="341">
        <f>IF('General price list'!$AB478="",0,'General price list'!$AB478)</f>
        <v>0</v>
      </c>
      <c r="Z476" s="365" t="str">
        <f>IFERROR(X476*VLOOKUP(C476,'General price list'!C:I,7,FALSE),"")</f>
        <v/>
      </c>
      <c r="AA476" s="805" t="str">
        <f>IF(X476&lt;&gt;"",VLOOKUP(C476,'General price list'!C478:AN1451,MATCH("HM",Tabulka1[[#Headers],[KOD]:[NEQ]],0),FALSE),"")</f>
        <v/>
      </c>
    </row>
    <row r="477" spans="1:27">
      <c r="A477">
        <f>COUNTIF($W$22:W477,1)</f>
        <v>0</v>
      </c>
      <c r="B477">
        <v>477</v>
      </c>
      <c r="C477" s="340" t="str">
        <f>Tabulka1[[#This Row],[KOD]]</f>
        <v>C20020BPS</v>
      </c>
      <c r="W477" s="804" t="str">
        <f t="shared" si="17"/>
        <v/>
      </c>
      <c r="X477" t="str">
        <f t="shared" si="18"/>
        <v/>
      </c>
      <c r="Y477" s="341">
        <f>IF('General price list'!$AB479="",0,'General price list'!$AB479)</f>
        <v>0</v>
      </c>
      <c r="Z477" s="365" t="str">
        <f>IFERROR(X477*VLOOKUP(C477,'General price list'!C:I,7,FALSE),"")</f>
        <v/>
      </c>
      <c r="AA477" s="805" t="str">
        <f>IF(X477&lt;&gt;"",VLOOKUP(C477,'General price list'!C479:AN1452,MATCH("HM",Tabulka1[[#Headers],[KOD]:[NEQ]],0),FALSE),"")</f>
        <v/>
      </c>
    </row>
    <row r="478" spans="1:27">
      <c r="A478">
        <f>COUNTIF($W$22:W478,1)</f>
        <v>0</v>
      </c>
      <c r="B478">
        <v>478</v>
      </c>
      <c r="C478" s="340" t="str">
        <f>Tabulka1[[#This Row],[KOD]]</f>
        <v>C20020PR</v>
      </c>
      <c r="W478" s="804" t="str">
        <f t="shared" si="17"/>
        <v/>
      </c>
      <c r="X478" t="str">
        <f t="shared" si="18"/>
        <v/>
      </c>
      <c r="Y478" s="341">
        <f>IF('General price list'!$AB480="",0,'General price list'!$AB480)</f>
        <v>0</v>
      </c>
      <c r="Z478" s="365" t="str">
        <f>IFERROR(X478*VLOOKUP(C478,'General price list'!C:I,7,FALSE),"")</f>
        <v/>
      </c>
      <c r="AA478" s="805" t="str">
        <f>IF(X478&lt;&gt;"",VLOOKUP(C478,'General price list'!C480:AN1453,MATCH("HM",Tabulka1[[#Headers],[KOD]:[NEQ]],0),FALSE),"")</f>
        <v/>
      </c>
    </row>
    <row r="479" spans="1:27">
      <c r="A479">
        <f>COUNTIF($W$22:W479,1)</f>
        <v>0</v>
      </c>
      <c r="B479">
        <v>479</v>
      </c>
      <c r="C479" s="340">
        <f>Tabulka1[[#This Row],[KOD]]</f>
        <v>0</v>
      </c>
      <c r="W479" s="804" t="str">
        <f t="shared" si="17"/>
        <v/>
      </c>
      <c r="X479" t="str">
        <f t="shared" si="18"/>
        <v/>
      </c>
      <c r="Y479" s="341">
        <f>IF('General price list'!$AB481="",0,'General price list'!$AB481)</f>
        <v>0</v>
      </c>
      <c r="Z479" s="365" t="str">
        <f>IFERROR(X479*VLOOKUP(C479,'General price list'!C:I,7,FALSE),"")</f>
        <v/>
      </c>
      <c r="AA479" s="805" t="str">
        <f>IF(X479&lt;&gt;"",VLOOKUP(C479,'General price list'!C481:AN1454,MATCH("HM",Tabulka1[[#Headers],[KOD]:[NEQ]],0),FALSE),"")</f>
        <v/>
      </c>
    </row>
    <row r="480" spans="1:27">
      <c r="A480">
        <f>COUNTIF($W$22:W480,1)</f>
        <v>0</v>
      </c>
      <c r="B480">
        <v>480</v>
      </c>
      <c r="C480" s="340" t="str">
        <f>Tabulka1[[#This Row],[KOD]]</f>
        <v>C20020XBP</v>
      </c>
      <c r="W480" s="804" t="str">
        <f t="shared" si="17"/>
        <v/>
      </c>
      <c r="X480" t="str">
        <f t="shared" si="18"/>
        <v/>
      </c>
      <c r="Y480" s="341">
        <f>IF('General price list'!$AB482="",0,'General price list'!$AB482)</f>
        <v>0</v>
      </c>
      <c r="Z480" s="365" t="str">
        <f>IFERROR(X480*VLOOKUP(C480,'General price list'!C:I,7,FALSE),"")</f>
        <v/>
      </c>
      <c r="AA480" s="805" t="str">
        <f>IF(X480&lt;&gt;"",VLOOKUP(C480,'General price list'!C482:AN1455,MATCH("HM",Tabulka1[[#Headers],[KOD]:[NEQ]],0),FALSE),"")</f>
        <v/>
      </c>
    </row>
    <row r="481" spans="1:27">
      <c r="A481">
        <f>COUNTIF($W$22:W481,1)</f>
        <v>0</v>
      </c>
      <c r="B481">
        <v>481</v>
      </c>
      <c r="C481" s="340" t="str">
        <f>Tabulka1[[#This Row],[KOD]]</f>
        <v>C20020XPR</v>
      </c>
      <c r="W481" s="804" t="str">
        <f t="shared" si="17"/>
        <v/>
      </c>
      <c r="X481" t="str">
        <f t="shared" si="18"/>
        <v/>
      </c>
      <c r="Y481" s="341">
        <f>IF('General price list'!$AB483="",0,'General price list'!$AB483)</f>
        <v>0</v>
      </c>
      <c r="Z481" s="365" t="str">
        <f>IFERROR(X481*VLOOKUP(C481,'General price list'!C:I,7,FALSE),"")</f>
        <v/>
      </c>
      <c r="AA481" s="805" t="str">
        <f>IF(X481&lt;&gt;"",VLOOKUP(C481,'General price list'!C483:AN1456,MATCH("HM",Tabulka1[[#Headers],[KOD]:[NEQ]],0),FALSE),"")</f>
        <v/>
      </c>
    </row>
    <row r="482" spans="1:27">
      <c r="A482">
        <f>COUNTIF($W$22:W482,1)</f>
        <v>0</v>
      </c>
      <c r="B482">
        <v>482</v>
      </c>
      <c r="C482" s="340">
        <f>Tabulka1[[#This Row],[KOD]]</f>
        <v>0</v>
      </c>
      <c r="W482" s="804" t="str">
        <f t="shared" si="17"/>
        <v/>
      </c>
      <c r="X482" t="str">
        <f t="shared" si="18"/>
        <v/>
      </c>
      <c r="Y482" s="341">
        <f>IF('General price list'!$AB484="",0,'General price list'!$AB484)</f>
        <v>0</v>
      </c>
      <c r="Z482" s="365" t="str">
        <f>IFERROR(X482*VLOOKUP(C482,'General price list'!C:I,7,FALSE),"")</f>
        <v/>
      </c>
      <c r="AA482" s="805" t="str">
        <f>IF(X482&lt;&gt;"",VLOOKUP(C482,'General price list'!C484:AN1457,MATCH("HM",Tabulka1[[#Headers],[KOD]:[NEQ]],0),FALSE),"")</f>
        <v/>
      </c>
    </row>
    <row r="483" spans="1:27">
      <c r="A483">
        <f>COUNTIF($W$22:W483,1)</f>
        <v>0</v>
      </c>
      <c r="B483">
        <v>483</v>
      </c>
      <c r="C483" s="340" t="str">
        <f>Tabulka1[[#This Row],[KOD]]</f>
        <v>C12820F/C14</v>
      </c>
      <c r="W483" s="804" t="str">
        <f t="shared" si="17"/>
        <v/>
      </c>
      <c r="X483" t="str">
        <f t="shared" si="18"/>
        <v/>
      </c>
      <c r="Y483" s="341">
        <f>IF('General price list'!$AB485="",0,'General price list'!$AB485)</f>
        <v>0</v>
      </c>
      <c r="Z483" s="365" t="str">
        <f>IFERROR(X483*VLOOKUP(C483,'General price list'!C:I,7,FALSE),"")</f>
        <v/>
      </c>
      <c r="AA483" s="805" t="str">
        <f>IF(X483&lt;&gt;"",VLOOKUP(C483,'General price list'!C485:AN1458,MATCH("HM",Tabulka1[[#Headers],[KOD]:[NEQ]],0),FALSE),"")</f>
        <v/>
      </c>
    </row>
    <row r="484" spans="1:27">
      <c r="A484">
        <f>COUNTIF($W$22:W484,1)</f>
        <v>0</v>
      </c>
      <c r="B484">
        <v>484</v>
      </c>
      <c r="C484" s="340" t="str">
        <f>Tabulka1[[#This Row],[KOD]]</f>
        <v>C13220B/C14</v>
      </c>
      <c r="W484" s="804" t="str">
        <f t="shared" si="17"/>
        <v/>
      </c>
      <c r="X484" t="str">
        <f t="shared" si="18"/>
        <v/>
      </c>
      <c r="Y484" s="341">
        <f>IF('General price list'!$AB486="",0,'General price list'!$AB486)</f>
        <v>0</v>
      </c>
      <c r="Z484" s="365" t="str">
        <f>IFERROR(X484*VLOOKUP(C484,'General price list'!C:I,7,FALSE),"")</f>
        <v/>
      </c>
      <c r="AA484" s="805" t="str">
        <f>IF(X484&lt;&gt;"",VLOOKUP(C484,'General price list'!C486:AN1459,MATCH("HM",Tabulka1[[#Headers],[KOD]:[NEQ]],0),FALSE),"")</f>
        <v/>
      </c>
    </row>
    <row r="485" spans="1:27">
      <c r="A485">
        <f>COUNTIF($W$22:W485,1)</f>
        <v>0</v>
      </c>
      <c r="B485">
        <v>485</v>
      </c>
      <c r="C485" s="340" t="str">
        <f>Tabulka1[[#This Row],[KOD]]</f>
        <v>C13220TS/C14</v>
      </c>
      <c r="W485" s="804" t="str">
        <f t="shared" si="17"/>
        <v/>
      </c>
      <c r="X485" t="str">
        <f t="shared" si="18"/>
        <v/>
      </c>
      <c r="Y485" s="341">
        <f>IF('General price list'!$AB487="",0,'General price list'!$AB487)</f>
        <v>0</v>
      </c>
      <c r="Z485" s="365" t="str">
        <f>IFERROR(X485*VLOOKUP(C485,'General price list'!C:I,7,FALSE),"")</f>
        <v/>
      </c>
      <c r="AA485" s="805" t="str">
        <f>IF(X485&lt;&gt;"",VLOOKUP(C485,'General price list'!C487:AN1460,MATCH("HM",Tabulka1[[#Headers],[KOD]:[NEQ]],0),FALSE),"")</f>
        <v/>
      </c>
    </row>
    <row r="486" spans="1:27">
      <c r="A486">
        <f>COUNTIF($W$22:W486,1)</f>
        <v>0</v>
      </c>
      <c r="B486">
        <v>486</v>
      </c>
      <c r="C486" s="340" t="str">
        <f>Tabulka1[[#This Row],[KOD]]</f>
        <v>C18820XR/C14</v>
      </c>
      <c r="W486" s="804" t="str">
        <f t="shared" si="17"/>
        <v/>
      </c>
      <c r="X486" t="str">
        <f t="shared" si="18"/>
        <v/>
      </c>
      <c r="Y486" s="341">
        <f>IF('General price list'!$AB488="",0,'General price list'!$AB488)</f>
        <v>0</v>
      </c>
      <c r="Z486" s="365" t="str">
        <f>IFERROR(X486*VLOOKUP(C486,'General price list'!C:I,7,FALSE),"")</f>
        <v/>
      </c>
      <c r="AA486" s="805" t="str">
        <f>IF(X486&lt;&gt;"",VLOOKUP(C486,'General price list'!C488:AN1461,MATCH("HM",Tabulka1[[#Headers],[KOD]:[NEQ]],0),FALSE),"")</f>
        <v/>
      </c>
    </row>
    <row r="487" spans="1:27">
      <c r="A487">
        <f>COUNTIF($W$22:W487,1)</f>
        <v>0</v>
      </c>
      <c r="B487">
        <v>487</v>
      </c>
      <c r="C487" s="340" t="str">
        <f>Tabulka1[[#This Row],[KOD]]</f>
        <v>C20020N/C14</v>
      </c>
      <c r="W487" s="804" t="str">
        <f t="shared" si="17"/>
        <v/>
      </c>
      <c r="X487" t="str">
        <f t="shared" si="18"/>
        <v/>
      </c>
      <c r="Y487" s="341">
        <f>IF('General price list'!$AB489="",0,'General price list'!$AB489)</f>
        <v>0</v>
      </c>
      <c r="Z487" s="365" t="str">
        <f>IFERROR(X487*VLOOKUP(C487,'General price list'!C:I,7,FALSE),"")</f>
        <v/>
      </c>
      <c r="AA487" s="805" t="str">
        <f>IF(X487&lt;&gt;"",VLOOKUP(C487,'General price list'!C489:AN1462,MATCH("HM",Tabulka1[[#Headers],[KOD]:[NEQ]],0),FALSE),"")</f>
        <v/>
      </c>
    </row>
    <row r="488" spans="1:27">
      <c r="A488">
        <f>COUNTIF($W$22:W488,1)</f>
        <v>0</v>
      </c>
      <c r="B488">
        <v>488</v>
      </c>
      <c r="C488" s="340" t="str">
        <f>Tabulka1[[#This Row],[KOD]]</f>
        <v>C20020XPR/C14</v>
      </c>
      <c r="W488" s="804" t="str">
        <f t="shared" si="17"/>
        <v/>
      </c>
      <c r="X488" t="str">
        <f t="shared" si="18"/>
        <v/>
      </c>
      <c r="Y488" s="341">
        <f>IF('General price list'!$AB490="",0,'General price list'!$AB490)</f>
        <v>0</v>
      </c>
      <c r="Z488" s="365" t="str">
        <f>IFERROR(X488*VLOOKUP(C488,'General price list'!C:I,7,FALSE),"")</f>
        <v/>
      </c>
      <c r="AA488" s="805" t="str">
        <f>IF(X488&lt;&gt;"",VLOOKUP(C488,'General price list'!C490:AN1463,MATCH("HM",Tabulka1[[#Headers],[KOD]:[NEQ]],0),FALSE),"")</f>
        <v/>
      </c>
    </row>
    <row r="489" spans="1:27">
      <c r="A489">
        <f>COUNTIF($W$22:W489,1)</f>
        <v>0</v>
      </c>
      <c r="B489">
        <v>489</v>
      </c>
      <c r="C489" s="340" t="str">
        <f>Tabulka1[[#This Row],[KOD]]</f>
        <v>C20020XTS/C14</v>
      </c>
      <c r="W489" s="804" t="str">
        <f t="shared" si="17"/>
        <v/>
      </c>
      <c r="X489" t="str">
        <f t="shared" si="18"/>
        <v/>
      </c>
      <c r="Y489" s="341">
        <f>IF('General price list'!$AB491="",0,'General price list'!$AB491)</f>
        <v>0</v>
      </c>
      <c r="Z489" s="365" t="str">
        <f>IFERROR(X489*VLOOKUP(C489,'General price list'!C:I,7,FALSE),"")</f>
        <v/>
      </c>
      <c r="AA489" s="805" t="str">
        <f>IF(X489&lt;&gt;"",VLOOKUP(C489,'General price list'!C491:AN1464,MATCH("HM",Tabulka1[[#Headers],[KOD]:[NEQ]],0),FALSE),"")</f>
        <v/>
      </c>
    </row>
    <row r="490" spans="1:27">
      <c r="A490">
        <f>COUNTIF($W$22:W490,1)</f>
        <v>0</v>
      </c>
      <c r="B490">
        <v>490</v>
      </c>
      <c r="C490" s="340" t="str">
        <f>Tabulka1[[#This Row],[KOD]]</f>
        <v>C19320XR/C14</v>
      </c>
      <c r="W490" s="804" t="str">
        <f t="shared" si="17"/>
        <v/>
      </c>
      <c r="X490" t="str">
        <f t="shared" si="18"/>
        <v/>
      </c>
      <c r="Y490" s="341">
        <f>IF('General price list'!$AB492="",0,'General price list'!$AB492)</f>
        <v>0</v>
      </c>
      <c r="Z490" s="365" t="str">
        <f>IFERROR(X490*VLOOKUP(C490,'General price list'!C:I,7,FALSE),"")</f>
        <v/>
      </c>
      <c r="AA490" s="805" t="str">
        <f>IF(X490&lt;&gt;"",VLOOKUP(C490,'General price list'!C492:AN1465,MATCH("HM",Tabulka1[[#Headers],[KOD]:[NEQ]],0),FALSE),"")</f>
        <v/>
      </c>
    </row>
    <row r="491" spans="1:27">
      <c r="A491">
        <f>COUNTIF($W$22:W491,1)</f>
        <v>0</v>
      </c>
      <c r="B491">
        <v>491</v>
      </c>
      <c r="C491" s="340">
        <f>Tabulka1[[#This Row],[KOD]]</f>
        <v>0</v>
      </c>
      <c r="W491" s="804" t="str">
        <f t="shared" si="17"/>
        <v/>
      </c>
      <c r="X491" t="str">
        <f t="shared" si="18"/>
        <v/>
      </c>
      <c r="Y491" s="341">
        <f>IF('General price list'!$AB493="",0,'General price list'!$AB493)</f>
        <v>0</v>
      </c>
      <c r="Z491" s="365" t="str">
        <f>IFERROR(X491*VLOOKUP(C491,'General price list'!C:I,7,FALSE),"")</f>
        <v/>
      </c>
      <c r="AA491" s="805" t="str">
        <f>IF(X491&lt;&gt;"",VLOOKUP(C491,'General price list'!C493:AN1466,MATCH("HM",Tabulka1[[#Headers],[KOD]:[NEQ]],0),FALSE),"")</f>
        <v/>
      </c>
    </row>
    <row r="492" spans="1:27">
      <c r="A492">
        <f>COUNTIF($W$22:W492,1)</f>
        <v>0</v>
      </c>
      <c r="B492">
        <v>492</v>
      </c>
      <c r="C492" s="340" t="str">
        <f>Tabulka1[[#This Row],[KOD]]</f>
        <v>C19220F/C14</v>
      </c>
      <c r="W492" s="804" t="str">
        <f t="shared" si="17"/>
        <v/>
      </c>
      <c r="X492" t="str">
        <f t="shared" si="18"/>
        <v/>
      </c>
      <c r="Y492" s="341">
        <f>IF('General price list'!$AB494="",0,'General price list'!$AB494)</f>
        <v>0</v>
      </c>
      <c r="Z492" s="365" t="str">
        <f>IFERROR(X492*VLOOKUP(C492,'General price list'!C:I,7,FALSE),"")</f>
        <v/>
      </c>
      <c r="AA492" s="805" t="str">
        <f>IF(X492&lt;&gt;"",VLOOKUP(C492,'General price list'!C494:AN1467,MATCH("HM",Tabulka1[[#Headers],[KOD]:[NEQ]],0),FALSE),"")</f>
        <v/>
      </c>
    </row>
    <row r="493" spans="1:27">
      <c r="A493">
        <f>COUNTIF($W$22:W493,1)</f>
        <v>0</v>
      </c>
      <c r="B493">
        <v>493</v>
      </c>
      <c r="C493" s="340" t="str">
        <f>Tabulka1[[#This Row],[KOD]]</f>
        <v>C25220XFS/C14</v>
      </c>
      <c r="W493" s="804" t="str">
        <f t="shared" si="17"/>
        <v/>
      </c>
      <c r="X493" t="str">
        <f t="shared" si="18"/>
        <v/>
      </c>
      <c r="Y493" s="341">
        <f>IF('General price list'!$AB495="",0,'General price list'!$AB495)</f>
        <v>0</v>
      </c>
      <c r="Z493" s="365" t="str">
        <f>IFERROR(X493*VLOOKUP(C493,'General price list'!C:I,7,FALSE),"")</f>
        <v/>
      </c>
      <c r="AA493" s="805" t="str">
        <f>IF(X493&lt;&gt;"",VLOOKUP(C493,'General price list'!C495:AN1468,MATCH("HM",Tabulka1[[#Headers],[KOD]:[NEQ]],0),FALSE),"")</f>
        <v/>
      </c>
    </row>
    <row r="494" spans="1:27">
      <c r="A494">
        <f>COUNTIF($W$22:W494,1)</f>
        <v>0</v>
      </c>
      <c r="B494">
        <v>494</v>
      </c>
      <c r="C494" s="340" t="str">
        <f>Tabulka1[[#This Row],[KOD]]</f>
        <v>C25620F/C14</v>
      </c>
      <c r="W494" s="804" t="str">
        <f t="shared" si="17"/>
        <v/>
      </c>
      <c r="X494" t="str">
        <f t="shared" si="18"/>
        <v/>
      </c>
      <c r="Y494" s="341">
        <f>IF('General price list'!$AB496="",0,'General price list'!$AB496)</f>
        <v>0</v>
      </c>
      <c r="Z494" s="365" t="str">
        <f>IFERROR(X494*VLOOKUP(C494,'General price list'!C:I,7,FALSE),"")</f>
        <v/>
      </c>
      <c r="AA494" s="805" t="str">
        <f>IF(X494&lt;&gt;"",VLOOKUP(C494,'General price list'!C496:AN1469,MATCH("HM",Tabulka1[[#Headers],[KOD]:[NEQ]],0),FALSE),"")</f>
        <v/>
      </c>
    </row>
    <row r="495" spans="1:27">
      <c r="A495">
        <f>COUNTIF($W$22:W495,1)</f>
        <v>0</v>
      </c>
      <c r="B495">
        <v>495</v>
      </c>
      <c r="C495" s="340" t="str">
        <f>Tabulka1[[#This Row],[KOD]]</f>
        <v>C26420N/C14</v>
      </c>
      <c r="W495" s="804" t="str">
        <f t="shared" si="17"/>
        <v/>
      </c>
      <c r="X495" t="str">
        <f t="shared" si="18"/>
        <v/>
      </c>
      <c r="Y495" s="341">
        <f>IF('General price list'!$AB497="",0,'General price list'!$AB497)</f>
        <v>0</v>
      </c>
      <c r="Z495" s="365" t="str">
        <f>IFERROR(X495*VLOOKUP(C495,'General price list'!C:I,7,FALSE),"")</f>
        <v/>
      </c>
      <c r="AA495" s="805" t="str">
        <f>IF(X495&lt;&gt;"",VLOOKUP(C495,'General price list'!C497:AN1470,MATCH("HM",Tabulka1[[#Headers],[KOD]:[NEQ]],0),FALSE),"")</f>
        <v/>
      </c>
    </row>
    <row r="496" spans="1:27">
      <c r="A496">
        <f>COUNTIF($W$22:W496,1)</f>
        <v>0</v>
      </c>
      <c r="B496">
        <v>496</v>
      </c>
      <c r="C496" s="340" t="str">
        <f>Tabulka1[[#This Row],[KOD]]</f>
        <v>C30020R/C14</v>
      </c>
      <c r="W496" s="804" t="str">
        <f t="shared" si="17"/>
        <v/>
      </c>
      <c r="X496" t="str">
        <f t="shared" si="18"/>
        <v/>
      </c>
      <c r="Y496" s="341">
        <f>IF('General price list'!$AB498="",0,'General price list'!$AB498)</f>
        <v>0</v>
      </c>
      <c r="Z496" s="365" t="str">
        <f>IFERROR(X496*VLOOKUP(C496,'General price list'!C:I,7,FALSE),"")</f>
        <v/>
      </c>
      <c r="AA496" s="805" t="str">
        <f>IF(X496&lt;&gt;"",VLOOKUP(C496,'General price list'!C498:AN1471,MATCH("HM",Tabulka1[[#Headers],[KOD]:[NEQ]],0),FALSE),"")</f>
        <v/>
      </c>
    </row>
    <row r="497" spans="1:27">
      <c r="A497">
        <f>COUNTIF($W$22:W497,1)</f>
        <v>0</v>
      </c>
      <c r="B497">
        <v>497</v>
      </c>
      <c r="C497" s="340" t="str">
        <f>Tabulka1[[#This Row],[KOD]]</f>
        <v>C40020B/C14</v>
      </c>
      <c r="W497" s="804" t="str">
        <f t="shared" si="17"/>
        <v/>
      </c>
      <c r="X497" t="str">
        <f t="shared" si="18"/>
        <v/>
      </c>
      <c r="Y497" s="341">
        <f>IF('General price list'!$AB499="",0,'General price list'!$AB499)</f>
        <v>0</v>
      </c>
      <c r="Z497" s="365" t="str">
        <f>IFERROR(X497*VLOOKUP(C497,'General price list'!C:I,7,FALSE),"")</f>
        <v/>
      </c>
      <c r="AA497" s="805" t="str">
        <f>IF(X497&lt;&gt;"",VLOOKUP(C497,'General price list'!C499:AN1472,MATCH("HM",Tabulka1[[#Headers],[KOD]:[NEQ]],0),FALSE),"")</f>
        <v/>
      </c>
    </row>
    <row r="498" spans="1:27">
      <c r="A498">
        <f>COUNTIF($W$22:W498,1)</f>
        <v>0</v>
      </c>
      <c r="B498">
        <v>498</v>
      </c>
      <c r="C498" s="340" t="str">
        <f>Tabulka1[[#This Row],[KOD]]</f>
        <v>C40020XPR/C14</v>
      </c>
      <c r="W498" s="804" t="str">
        <f t="shared" si="17"/>
        <v/>
      </c>
      <c r="X498" t="str">
        <f t="shared" si="18"/>
        <v/>
      </c>
      <c r="Y498" s="341">
        <f>IF('General price list'!$AB500="",0,'General price list'!$AB500)</f>
        <v>0</v>
      </c>
      <c r="Z498" s="365" t="str">
        <f>IFERROR(X498*VLOOKUP(C498,'General price list'!C:I,7,FALSE),"")</f>
        <v/>
      </c>
      <c r="AA498" s="805" t="str">
        <f>IF(X498&lt;&gt;"",VLOOKUP(C498,'General price list'!C500:AN1473,MATCH("HM",Tabulka1[[#Headers],[KOD]:[NEQ]],0),FALSE),"")</f>
        <v/>
      </c>
    </row>
    <row r="499" spans="1:27">
      <c r="A499">
        <f>COUNTIF($W$22:W499,1)</f>
        <v>0</v>
      </c>
      <c r="B499">
        <v>499</v>
      </c>
      <c r="C499" s="340" t="str">
        <f>Tabulka1[[#This Row],[KOD]]</f>
        <v>C1-C2 C51220I/C14</v>
      </c>
      <c r="W499" s="804" t="str">
        <f t="shared" si="17"/>
        <v/>
      </c>
      <c r="X499" t="str">
        <f t="shared" si="18"/>
        <v/>
      </c>
      <c r="Y499" s="341">
        <f>IF('General price list'!$AB501="",0,'General price list'!$AB501)</f>
        <v>0</v>
      </c>
      <c r="Z499" s="365" t="str">
        <f>IFERROR(X499*VLOOKUP(C499,'General price list'!C:I,7,FALSE),"")</f>
        <v/>
      </c>
      <c r="AA499" s="805" t="str">
        <f>IF(X499&lt;&gt;"",VLOOKUP(C499,'General price list'!C501:AN1474,MATCH("HM",Tabulka1[[#Headers],[KOD]:[NEQ]],0),FALSE),"")</f>
        <v/>
      </c>
    </row>
    <row r="500" spans="1:27">
      <c r="A500">
        <f>COUNTIF($W$22:W500,1)</f>
        <v>0</v>
      </c>
      <c r="B500">
        <v>500</v>
      </c>
      <c r="C500" s="340" t="str">
        <f>Tabulka1[[#This Row],[KOD]]</f>
        <v>C1-C2 C65620XH/C14</v>
      </c>
      <c r="W500" s="804" t="str">
        <f t="shared" si="17"/>
        <v/>
      </c>
      <c r="X500" t="str">
        <f t="shared" si="18"/>
        <v/>
      </c>
      <c r="Y500" s="341">
        <f>IF('General price list'!$AB502="",0,'General price list'!$AB502)</f>
        <v>0</v>
      </c>
      <c r="Z500" s="365" t="str">
        <f>IFERROR(X500*VLOOKUP(C500,'General price list'!C:I,7,FALSE),"")</f>
        <v/>
      </c>
      <c r="AA500" s="805" t="str">
        <f>IF(X500&lt;&gt;"",VLOOKUP(C500,'General price list'!C502:AN1475,MATCH("HM",Tabulka1[[#Headers],[KOD]:[NEQ]],0),FALSE),"")</f>
        <v/>
      </c>
    </row>
    <row r="501" spans="1:27">
      <c r="A501">
        <f>COUNTIF($W$22:W501,1)</f>
        <v>0</v>
      </c>
      <c r="B501">
        <v>501</v>
      </c>
      <c r="C501" s="340" t="str">
        <f>Tabulka1[[#This Row],[KOD]]</f>
        <v>C1-C2 C80020S/C14</v>
      </c>
      <c r="W501" s="804" t="str">
        <f t="shared" si="17"/>
        <v/>
      </c>
      <c r="X501" t="str">
        <f t="shared" si="18"/>
        <v/>
      </c>
      <c r="Y501" s="341">
        <f>IF('General price list'!$AB503="",0,'General price list'!$AB503)</f>
        <v>0</v>
      </c>
      <c r="Z501" s="365" t="str">
        <f>IFERROR(X501*VLOOKUP(C501,'General price list'!C:I,7,FALSE),"")</f>
        <v/>
      </c>
      <c r="AA501" s="805" t="str">
        <f>IF(X501&lt;&gt;"",VLOOKUP(C501,'General price list'!C503:AN1476,MATCH("HM",Tabulka1[[#Headers],[KOD]:[NEQ]],0),FALSE),"")</f>
        <v/>
      </c>
    </row>
    <row r="502" spans="1:27">
      <c r="A502">
        <f>COUNTIF($W$22:W502,1)</f>
        <v>0</v>
      </c>
      <c r="B502">
        <v>502</v>
      </c>
      <c r="C502" s="340">
        <f>Tabulka1[[#This Row],[KOD]]</f>
        <v>0</v>
      </c>
      <c r="W502" s="804" t="str">
        <f t="shared" si="17"/>
        <v/>
      </c>
      <c r="X502" t="str">
        <f t="shared" si="18"/>
        <v/>
      </c>
      <c r="Y502" s="341">
        <f>IF('General price list'!$AB504="",0,'General price list'!$AB504)</f>
        <v>0</v>
      </c>
      <c r="Z502" s="365" t="str">
        <f>IFERROR(X502*VLOOKUP(C502,'General price list'!C:I,7,FALSE),"")</f>
        <v/>
      </c>
      <c r="AA502" s="805" t="str">
        <f>IF(X502&lt;&gt;"",VLOOKUP(C502,'General price list'!C504:AN1477,MATCH("HM",Tabulka1[[#Headers],[KOD]:[NEQ]],0),FALSE),"")</f>
        <v/>
      </c>
    </row>
    <row r="503" spans="1:27">
      <c r="A503">
        <f>COUNTIF($W$22:W503,1)</f>
        <v>0</v>
      </c>
      <c r="B503">
        <v>503</v>
      </c>
      <c r="C503" s="340" t="str">
        <f>Tabulka1[[#This Row],[KOD]]</f>
        <v>C6420DU/C</v>
      </c>
      <c r="W503" s="804" t="str">
        <f t="shared" si="17"/>
        <v/>
      </c>
      <c r="X503" t="str">
        <f t="shared" si="18"/>
        <v/>
      </c>
      <c r="Y503" s="341">
        <f>IF('General price list'!$AB505="",0,'General price list'!$AB505)</f>
        <v>0</v>
      </c>
      <c r="Z503" s="365" t="str">
        <f>IFERROR(X503*VLOOKUP(C503,'General price list'!C:I,7,FALSE),"")</f>
        <v/>
      </c>
      <c r="AA503" s="805" t="str">
        <f>IF(X503&lt;&gt;"",VLOOKUP(C503,'General price list'!C505:AN1478,MATCH("HM",Tabulka1[[#Headers],[KOD]:[NEQ]],0),FALSE),"")</f>
        <v/>
      </c>
    </row>
    <row r="504" spans="1:27">
      <c r="A504">
        <f>COUNTIF($W$22:W504,1)</f>
        <v>0</v>
      </c>
      <c r="B504">
        <v>504</v>
      </c>
      <c r="C504" s="340" t="str">
        <f>Tabulka1[[#This Row],[KOD]]</f>
        <v>C12820F/C</v>
      </c>
      <c r="W504" s="804" t="str">
        <f t="shared" si="17"/>
        <v/>
      </c>
      <c r="X504" t="str">
        <f t="shared" si="18"/>
        <v/>
      </c>
      <c r="Y504" s="341">
        <f>IF('General price list'!$AB506="",0,'General price list'!$AB506)</f>
        <v>0</v>
      </c>
      <c r="Z504" s="365" t="str">
        <f>IFERROR(X504*VLOOKUP(C504,'General price list'!C:I,7,FALSE),"")</f>
        <v/>
      </c>
      <c r="AA504" s="805" t="str">
        <f>IF(X504&lt;&gt;"",VLOOKUP(C504,'General price list'!C506:AN1479,MATCH("HM",Tabulka1[[#Headers],[KOD]:[NEQ]],0),FALSE),"")</f>
        <v/>
      </c>
    </row>
    <row r="505" spans="1:27">
      <c r="A505">
        <f>COUNTIF($W$22:W505,1)</f>
        <v>0</v>
      </c>
      <c r="B505">
        <v>505</v>
      </c>
      <c r="C505" s="340" t="str">
        <f>Tabulka1[[#This Row],[KOD]]</f>
        <v>C13220B/C</v>
      </c>
      <c r="W505" s="804" t="str">
        <f t="shared" si="17"/>
        <v/>
      </c>
      <c r="X505" t="str">
        <f t="shared" si="18"/>
        <v/>
      </c>
      <c r="Y505" s="341">
        <f>IF('General price list'!$AB507="",0,'General price list'!$AB507)</f>
        <v>0</v>
      </c>
      <c r="Z505" s="365" t="str">
        <f>IFERROR(X505*VLOOKUP(C505,'General price list'!C:I,7,FALSE),"")</f>
        <v/>
      </c>
      <c r="AA505" s="805" t="str">
        <f>IF(X505&lt;&gt;"",VLOOKUP(C505,'General price list'!C507:AN1480,MATCH("HM",Tabulka1[[#Headers],[KOD]:[NEQ]],0),FALSE),"")</f>
        <v/>
      </c>
    </row>
    <row r="506" spans="1:27">
      <c r="A506">
        <f>COUNTIF($W$22:W506,1)</f>
        <v>0</v>
      </c>
      <c r="B506">
        <v>506</v>
      </c>
      <c r="C506" s="340" t="str">
        <f>Tabulka1[[#This Row],[KOD]]</f>
        <v>C19220F/C</v>
      </c>
      <c r="W506" s="804" t="str">
        <f t="shared" si="17"/>
        <v/>
      </c>
      <c r="X506" t="str">
        <f t="shared" si="18"/>
        <v/>
      </c>
      <c r="Y506" s="341">
        <f>IF('General price list'!$AB508="",0,'General price list'!$AB508)</f>
        <v>0</v>
      </c>
      <c r="Z506" s="365" t="str">
        <f>IFERROR(X506*VLOOKUP(C506,'General price list'!C:I,7,FALSE),"")</f>
        <v/>
      </c>
      <c r="AA506" s="805" t="str">
        <f>IF(X506&lt;&gt;"",VLOOKUP(C506,'General price list'!C508:AN1481,MATCH("HM",Tabulka1[[#Headers],[KOD]:[NEQ]],0),FALSE),"")</f>
        <v/>
      </c>
    </row>
    <row r="507" spans="1:27">
      <c r="A507">
        <f>COUNTIF($W$22:W507,1)</f>
        <v>0</v>
      </c>
      <c r="B507">
        <v>507</v>
      </c>
      <c r="C507" s="340" t="str">
        <f>Tabulka1[[#This Row],[KOD]]</f>
        <v>C25220XFS/C</v>
      </c>
      <c r="W507" s="804" t="str">
        <f t="shared" si="17"/>
        <v/>
      </c>
      <c r="X507" t="str">
        <f t="shared" si="18"/>
        <v/>
      </c>
      <c r="Y507" s="341">
        <f>IF('General price list'!$AB509="",0,'General price list'!$AB509)</f>
        <v>0</v>
      </c>
      <c r="Z507" s="365" t="str">
        <f>IFERROR(X507*VLOOKUP(C507,'General price list'!C:I,7,FALSE),"")</f>
        <v/>
      </c>
      <c r="AA507" s="805" t="str">
        <f>IF(X507&lt;&gt;"",VLOOKUP(C507,'General price list'!C509:AN1482,MATCH("HM",Tabulka1[[#Headers],[KOD]:[NEQ]],0),FALSE),"")</f>
        <v/>
      </c>
    </row>
    <row r="508" spans="1:27">
      <c r="A508">
        <f>COUNTIF($W$22:W508,1)</f>
        <v>0</v>
      </c>
      <c r="B508">
        <v>508</v>
      </c>
      <c r="C508" s="340" t="str">
        <f>Tabulka1[[#This Row],[KOD]]</f>
        <v>C25620NID/C</v>
      </c>
      <c r="W508" s="804" t="str">
        <f t="shared" si="17"/>
        <v/>
      </c>
      <c r="X508" t="str">
        <f t="shared" si="18"/>
        <v/>
      </c>
      <c r="Y508" s="341">
        <f>IF('General price list'!$AB510="",0,'General price list'!$AB510)</f>
        <v>0</v>
      </c>
      <c r="Z508" s="365" t="str">
        <f>IFERROR(X508*VLOOKUP(C508,'General price list'!C:I,7,FALSE),"")</f>
        <v/>
      </c>
      <c r="AA508" s="805" t="str">
        <f>IF(X508&lt;&gt;"",VLOOKUP(C508,'General price list'!C510:AN1483,MATCH("HM",Tabulka1[[#Headers],[KOD]:[NEQ]],0),FALSE),"")</f>
        <v/>
      </c>
    </row>
    <row r="509" spans="1:27">
      <c r="A509">
        <f>COUNTIF($W$22:W509,1)</f>
        <v>0</v>
      </c>
      <c r="B509">
        <v>509</v>
      </c>
      <c r="C509" s="340" t="str">
        <f>Tabulka1[[#This Row],[KOD]]</f>
        <v>C25620F/C</v>
      </c>
      <c r="W509" s="804" t="str">
        <f t="shared" si="17"/>
        <v/>
      </c>
      <c r="X509" t="str">
        <f t="shared" si="18"/>
        <v/>
      </c>
      <c r="Y509" s="341">
        <f>IF('General price list'!$AB511="",0,'General price list'!$AB511)</f>
        <v>0</v>
      </c>
      <c r="Z509" s="365" t="str">
        <f>IFERROR(X509*VLOOKUP(C509,'General price list'!C:I,7,FALSE),"")</f>
        <v/>
      </c>
      <c r="AA509" s="805" t="str">
        <f>IF(X509&lt;&gt;"",VLOOKUP(C509,'General price list'!C511:AN1484,MATCH("HM",Tabulka1[[#Headers],[KOD]:[NEQ]],0),FALSE),"")</f>
        <v/>
      </c>
    </row>
    <row r="510" spans="1:27">
      <c r="A510">
        <f>COUNTIF($W$22:W510,1)</f>
        <v>0</v>
      </c>
      <c r="B510">
        <v>510</v>
      </c>
      <c r="C510" s="340" t="str">
        <f>Tabulka1[[#This Row],[KOD]]</f>
        <v>C26420N/C</v>
      </c>
      <c r="W510" s="804" t="str">
        <f t="shared" si="17"/>
        <v/>
      </c>
      <c r="X510" t="str">
        <f t="shared" si="18"/>
        <v/>
      </c>
      <c r="Y510" s="341">
        <f>IF('General price list'!$AB512="",0,'General price list'!$AB512)</f>
        <v>0</v>
      </c>
      <c r="Z510" s="365" t="str">
        <f>IFERROR(X510*VLOOKUP(C510,'General price list'!C:I,7,FALSE),"")</f>
        <v/>
      </c>
      <c r="AA510" s="805" t="str">
        <f>IF(X510&lt;&gt;"",VLOOKUP(C510,'General price list'!C512:AN1485,MATCH("HM",Tabulka1[[#Headers],[KOD]:[NEQ]],0),FALSE),"")</f>
        <v/>
      </c>
    </row>
    <row r="511" spans="1:27">
      <c r="A511">
        <f>COUNTIF($W$22:W511,1)</f>
        <v>0</v>
      </c>
      <c r="B511">
        <v>511</v>
      </c>
      <c r="C511" s="340" t="str">
        <f>Tabulka1[[#This Row],[KOD]]</f>
        <v>C32820XM/C</v>
      </c>
      <c r="W511" s="804" t="str">
        <f t="shared" si="17"/>
        <v/>
      </c>
      <c r="X511" t="str">
        <f t="shared" si="18"/>
        <v/>
      </c>
      <c r="Y511" s="341">
        <f>IF('General price list'!$AB513="",0,'General price list'!$AB513)</f>
        <v>0</v>
      </c>
      <c r="Z511" s="365" t="str">
        <f>IFERROR(X511*VLOOKUP(C511,'General price list'!C:I,7,FALSE),"")</f>
        <v/>
      </c>
      <c r="AA511" s="805" t="str">
        <f>IF(X511&lt;&gt;"",VLOOKUP(C511,'General price list'!C513:AN1486,MATCH("HM",Tabulka1[[#Headers],[KOD]:[NEQ]],0),FALSE),"")</f>
        <v/>
      </c>
    </row>
    <row r="512" spans="1:27">
      <c r="A512">
        <f>COUNTIF($W$22:W512,1)</f>
        <v>0</v>
      </c>
      <c r="B512">
        <v>512</v>
      </c>
      <c r="C512" s="340">
        <f>Tabulka1[[#This Row],[KOD]]</f>
        <v>0</v>
      </c>
      <c r="W512" s="804" t="str">
        <f t="shared" si="17"/>
        <v/>
      </c>
      <c r="X512" t="str">
        <f t="shared" si="18"/>
        <v/>
      </c>
      <c r="Y512" s="341">
        <f>IF('General price list'!$AB514="",0,'General price list'!$AB514)</f>
        <v>0</v>
      </c>
      <c r="Z512" s="365" t="str">
        <f>IFERROR(X512*VLOOKUP(C512,'General price list'!C:I,7,FALSE),"")</f>
        <v/>
      </c>
      <c r="AA512" s="805" t="str">
        <f>IF(X512&lt;&gt;"",VLOOKUP(C512,'General price list'!C514:AN1487,MATCH("HM",Tabulka1[[#Headers],[KOD]:[NEQ]],0),FALSE),"")</f>
        <v/>
      </c>
    </row>
    <row r="513" spans="1:27">
      <c r="A513">
        <f>COUNTIF($W$22:W513,1)</f>
        <v>0</v>
      </c>
      <c r="B513">
        <v>513</v>
      </c>
      <c r="C513" s="340" t="str">
        <f>Tabulka1[[#This Row],[KOD]]</f>
        <v>C18020SIG/C</v>
      </c>
      <c r="W513" s="804" t="str">
        <f t="shared" si="17"/>
        <v/>
      </c>
      <c r="X513" t="str">
        <f t="shared" si="18"/>
        <v/>
      </c>
      <c r="Y513" s="341">
        <f>IF('General price list'!$AB515="",0,'General price list'!$AB515)</f>
        <v>0</v>
      </c>
      <c r="Z513" s="365" t="str">
        <f>IFERROR(X513*VLOOKUP(C513,'General price list'!C:I,7,FALSE),"")</f>
        <v/>
      </c>
      <c r="AA513" s="805" t="str">
        <f>IF(X513&lt;&gt;"",VLOOKUP(C513,'General price list'!C515:AN1488,MATCH("HM",Tabulka1[[#Headers],[KOD]:[NEQ]],0),FALSE),"")</f>
        <v/>
      </c>
    </row>
    <row r="514" spans="1:27">
      <c r="A514">
        <f>COUNTIF($W$22:W514,1)</f>
        <v>0</v>
      </c>
      <c r="B514">
        <v>514</v>
      </c>
      <c r="C514" s="340" t="str">
        <f>Tabulka1[[#This Row],[KOD]]</f>
        <v>C26020F/C</v>
      </c>
      <c r="W514" s="804" t="str">
        <f t="shared" si="17"/>
        <v/>
      </c>
      <c r="X514" t="str">
        <f t="shared" si="18"/>
        <v/>
      </c>
      <c r="Y514" s="341">
        <f>IF('General price list'!$AB516="",0,'General price list'!$AB516)</f>
        <v>0</v>
      </c>
      <c r="Z514" s="365" t="str">
        <f>IFERROR(X514*VLOOKUP(C514,'General price list'!C:I,7,FALSE),"")</f>
        <v/>
      </c>
      <c r="AA514" s="805" t="str">
        <f>IF(X514&lt;&gt;"",VLOOKUP(C514,'General price list'!C516:AN1489,MATCH("HM",Tabulka1[[#Headers],[KOD]:[NEQ]],0),FALSE),"")</f>
        <v/>
      </c>
    </row>
    <row r="515" spans="1:27">
      <c r="A515">
        <f>COUNTIF($W$22:W515,1)</f>
        <v>0</v>
      </c>
      <c r="B515">
        <v>515</v>
      </c>
      <c r="C515" s="340" t="str">
        <f>Tabulka1[[#This Row],[KOD]]</f>
        <v>C26820F/C</v>
      </c>
      <c r="W515" s="804" t="str">
        <f t="shared" si="17"/>
        <v/>
      </c>
      <c r="X515" t="str">
        <f t="shared" si="18"/>
        <v/>
      </c>
      <c r="Y515" s="341">
        <f>IF('General price list'!$AB517="",0,'General price list'!$AB517)</f>
        <v>0</v>
      </c>
      <c r="Z515" s="365" t="str">
        <f>IFERROR(X515*VLOOKUP(C515,'General price list'!C:I,7,FALSE),"")</f>
        <v/>
      </c>
      <c r="AA515" s="805" t="str">
        <f>IF(X515&lt;&gt;"",VLOOKUP(C515,'General price list'!C517:AN1490,MATCH("HM",Tabulka1[[#Headers],[KOD]:[NEQ]],0),FALSE),"")</f>
        <v/>
      </c>
    </row>
    <row r="516" spans="1:27">
      <c r="A516">
        <f>COUNTIF($W$22:W516,1)</f>
        <v>0</v>
      </c>
      <c r="B516">
        <v>516</v>
      </c>
      <c r="C516" s="340" t="str">
        <f>Tabulka1[[#This Row],[KOD]]</f>
        <v>C39020F/C</v>
      </c>
      <c r="W516" s="804" t="str">
        <f t="shared" si="17"/>
        <v/>
      </c>
      <c r="X516" t="str">
        <f t="shared" si="18"/>
        <v/>
      </c>
      <c r="Y516" s="341">
        <f>IF('General price list'!$AB518="",0,'General price list'!$AB518)</f>
        <v>0</v>
      </c>
      <c r="Z516" s="365" t="str">
        <f>IFERROR(X516*VLOOKUP(C516,'General price list'!C:I,7,FALSE),"")</f>
        <v/>
      </c>
      <c r="AA516" s="805" t="str">
        <f>IF(X516&lt;&gt;"",VLOOKUP(C516,'General price list'!C518:AN1491,MATCH("HM",Tabulka1[[#Headers],[KOD]:[NEQ]],0),FALSE),"")</f>
        <v/>
      </c>
    </row>
    <row r="517" spans="1:27">
      <c r="A517">
        <f>COUNTIF($W$22:W517,1)</f>
        <v>0</v>
      </c>
      <c r="B517">
        <v>517</v>
      </c>
      <c r="C517" s="340" t="str">
        <f>Tabulka1[[#This Row],[KOD]]</f>
        <v>C52020F/C</v>
      </c>
      <c r="W517" s="804" t="str">
        <f t="shared" si="17"/>
        <v/>
      </c>
      <c r="X517" t="str">
        <f t="shared" si="18"/>
        <v/>
      </c>
      <c r="Y517" s="341">
        <f>IF('General price list'!$AB519="",0,'General price list'!$AB519)</f>
        <v>0</v>
      </c>
      <c r="Z517" s="365" t="str">
        <f>IFERROR(X517*VLOOKUP(C517,'General price list'!C:I,7,FALSE),"")</f>
        <v/>
      </c>
      <c r="AA517" s="805" t="str">
        <f>IF(X517&lt;&gt;"",VLOOKUP(C517,'General price list'!C519:AN1492,MATCH("HM",Tabulka1[[#Headers],[KOD]:[NEQ]],0),FALSE),"")</f>
        <v/>
      </c>
    </row>
    <row r="518" spans="1:27">
      <c r="A518">
        <f>COUNTIF($W$22:W518,1)</f>
        <v>0</v>
      </c>
      <c r="B518">
        <v>518</v>
      </c>
      <c r="C518" s="340" t="str">
        <f>Tabulka1[[#This Row],[KOD]]</f>
        <v>C53620F/C</v>
      </c>
      <c r="W518" s="804" t="str">
        <f t="shared" si="17"/>
        <v/>
      </c>
      <c r="X518" t="str">
        <f t="shared" si="18"/>
        <v/>
      </c>
      <c r="Y518" s="341">
        <f>IF('General price list'!$AB520="",0,'General price list'!$AB520)</f>
        <v>0</v>
      </c>
      <c r="Z518" s="365" t="str">
        <f>IFERROR(X518*VLOOKUP(C518,'General price list'!C:I,7,FALSE),"")</f>
        <v/>
      </c>
      <c r="AA518" s="805" t="str">
        <f>IF(X518&lt;&gt;"",VLOOKUP(C518,'General price list'!C520:AN1493,MATCH("HM",Tabulka1[[#Headers],[KOD]:[NEQ]],0),FALSE),"")</f>
        <v/>
      </c>
    </row>
    <row r="519" spans="1:27">
      <c r="A519">
        <f>COUNTIF($W$22:W519,1)</f>
        <v>0</v>
      </c>
      <c r="B519">
        <v>519</v>
      </c>
      <c r="C519" s="340" t="str">
        <f>Tabulka1[[#This Row],[KOD]]</f>
        <v>C60020XPR/C</v>
      </c>
      <c r="W519" s="804" t="str">
        <f t="shared" si="17"/>
        <v/>
      </c>
      <c r="X519" t="str">
        <f t="shared" si="18"/>
        <v/>
      </c>
      <c r="Y519" s="341">
        <f>IF('General price list'!$AB521="",0,'General price list'!$AB521)</f>
        <v>0</v>
      </c>
      <c r="Z519" s="365" t="str">
        <f>IFERROR(X519*VLOOKUP(C519,'General price list'!C:I,7,FALSE),"")</f>
        <v/>
      </c>
      <c r="AA519" s="805" t="str">
        <f>IF(X519&lt;&gt;"",VLOOKUP(C519,'General price list'!C521:AN1494,MATCH("HM",Tabulka1[[#Headers],[KOD]:[NEQ]],0),FALSE),"")</f>
        <v/>
      </c>
    </row>
    <row r="520" spans="1:27">
      <c r="A520">
        <f>COUNTIF($W$22:W520,1)</f>
        <v>0</v>
      </c>
      <c r="B520">
        <v>520</v>
      </c>
      <c r="C520" s="340">
        <f>Tabulka1[[#This Row],[KOD]]</f>
        <v>0</v>
      </c>
      <c r="W520" s="804" t="str">
        <f t="shared" si="17"/>
        <v/>
      </c>
      <c r="X520" t="str">
        <f t="shared" si="18"/>
        <v/>
      </c>
      <c r="Y520" s="341">
        <f>IF('General price list'!$AB522="",0,'General price list'!$AB522)</f>
        <v>0</v>
      </c>
      <c r="Z520" s="365" t="str">
        <f>IFERROR(X520*VLOOKUP(C520,'General price list'!C:I,7,FALSE),"")</f>
        <v/>
      </c>
      <c r="AA520" s="805" t="str">
        <f>IF(X520&lt;&gt;"",VLOOKUP(C520,'General price list'!C522:AN1495,MATCH("HM",Tabulka1[[#Headers],[KOD]:[NEQ]],0),FALSE),"")</f>
        <v/>
      </c>
    </row>
    <row r="521" spans="1:27">
      <c r="A521">
        <f>COUNTIF($W$22:W521,1)</f>
        <v>0</v>
      </c>
      <c r="B521">
        <v>521</v>
      </c>
      <c r="C521" s="340" t="str">
        <f>Tabulka1[[#This Row],[KOD]]</f>
        <v>C1625B</v>
      </c>
      <c r="W521" s="804" t="str">
        <f t="shared" si="17"/>
        <v/>
      </c>
      <c r="X521" t="str">
        <f t="shared" si="18"/>
        <v/>
      </c>
      <c r="Y521" s="341">
        <f>IF('General price list'!$AB523="",0,'General price list'!$AB523)</f>
        <v>0</v>
      </c>
      <c r="Z521" s="365" t="str">
        <f>IFERROR(X521*VLOOKUP(C521,'General price list'!C:I,7,FALSE),"")</f>
        <v/>
      </c>
      <c r="AA521" s="805" t="str">
        <f>IF(X521&lt;&gt;"",VLOOKUP(C521,'General price list'!C523:AN1496,MATCH("HM",Tabulka1[[#Headers],[KOD]:[NEQ]],0),FALSE),"")</f>
        <v/>
      </c>
    </row>
    <row r="522" spans="1:27">
      <c r="A522">
        <f>COUNTIF($W$22:W522,1)</f>
        <v>0</v>
      </c>
      <c r="B522">
        <v>522</v>
      </c>
      <c r="C522" s="340" t="str">
        <f>Tabulka1[[#This Row],[KOD]]</f>
        <v>C1625D</v>
      </c>
      <c r="W522" s="804" t="str">
        <f t="shared" si="17"/>
        <v/>
      </c>
      <c r="X522" t="str">
        <f t="shared" si="18"/>
        <v/>
      </c>
      <c r="Y522" s="341">
        <f>IF('General price list'!$AB524="",0,'General price list'!$AB524)</f>
        <v>0</v>
      </c>
      <c r="Z522" s="365" t="str">
        <f>IFERROR(X522*VLOOKUP(C522,'General price list'!C:I,7,FALSE),"")</f>
        <v/>
      </c>
      <c r="AA522" s="805" t="str">
        <f>IF(X522&lt;&gt;"",VLOOKUP(C522,'General price list'!C524:AN1497,MATCH("HM",Tabulka1[[#Headers],[KOD]:[NEQ]],0),FALSE),"")</f>
        <v/>
      </c>
    </row>
    <row r="523" spans="1:27">
      <c r="A523">
        <f>COUNTIF($W$22:W523,1)</f>
        <v>0</v>
      </c>
      <c r="B523">
        <v>523</v>
      </c>
      <c r="C523" s="340" t="str">
        <f>Tabulka1[[#This Row],[KOD]]</f>
        <v>C1625F</v>
      </c>
      <c r="W523" s="804" t="str">
        <f t="shared" si="17"/>
        <v/>
      </c>
      <c r="X523" t="str">
        <f t="shared" si="18"/>
        <v/>
      </c>
      <c r="Y523" s="341">
        <f>IF('General price list'!$AB525="",0,'General price list'!$AB525)</f>
        <v>0</v>
      </c>
      <c r="Z523" s="365" t="str">
        <f>IFERROR(X523*VLOOKUP(C523,'General price list'!C:I,7,FALSE),"")</f>
        <v/>
      </c>
      <c r="AA523" s="805" t="str">
        <f>IF(X523&lt;&gt;"",VLOOKUP(C523,'General price list'!C525:AN1498,MATCH("HM",Tabulka1[[#Headers],[KOD]:[NEQ]],0),FALSE),"")</f>
        <v/>
      </c>
    </row>
    <row r="524" spans="1:27">
      <c r="A524">
        <f>COUNTIF($W$22:W524,1)</f>
        <v>0</v>
      </c>
      <c r="B524">
        <v>524</v>
      </c>
      <c r="C524" s="340" t="str">
        <f>Tabulka1[[#This Row],[KOD]]</f>
        <v>C1625G</v>
      </c>
      <c r="W524" s="804" t="str">
        <f t="shared" si="17"/>
        <v/>
      </c>
      <c r="X524" t="str">
        <f t="shared" si="18"/>
        <v/>
      </c>
      <c r="Y524" s="341">
        <f>IF('General price list'!$AB526="",0,'General price list'!$AB526)</f>
        <v>0</v>
      </c>
      <c r="Z524" s="365" t="str">
        <f>IFERROR(X524*VLOOKUP(C524,'General price list'!C:I,7,FALSE),"")</f>
        <v/>
      </c>
      <c r="AA524" s="805" t="str">
        <f>IF(X524&lt;&gt;"",VLOOKUP(C524,'General price list'!C526:AN1499,MATCH("HM",Tabulka1[[#Headers],[KOD]:[NEQ]],0),FALSE),"")</f>
        <v/>
      </c>
    </row>
    <row r="525" spans="1:27">
      <c r="A525">
        <f>COUNTIF($W$22:W525,1)</f>
        <v>0</v>
      </c>
      <c r="B525">
        <v>525</v>
      </c>
      <c r="C525" s="340">
        <f>Tabulka1[[#This Row],[KOD]]</f>
        <v>0</v>
      </c>
      <c r="W525" s="804" t="str">
        <f t="shared" si="17"/>
        <v/>
      </c>
      <c r="X525" t="str">
        <f t="shared" si="18"/>
        <v/>
      </c>
      <c r="Y525" s="341">
        <f>IF('General price list'!$AB527="",0,'General price list'!$AB527)</f>
        <v>0</v>
      </c>
      <c r="Z525" s="365" t="str">
        <f>IFERROR(X525*VLOOKUP(C525,'General price list'!C:I,7,FALSE),"")</f>
        <v/>
      </c>
      <c r="AA525" s="805" t="str">
        <f>IF(X525&lt;&gt;"",VLOOKUP(C525,'General price list'!C527:AN1500,MATCH("HM",Tabulka1[[#Headers],[KOD]:[NEQ]],0),FALSE),"")</f>
        <v/>
      </c>
    </row>
    <row r="526" spans="1:27">
      <c r="A526">
        <f>COUNTIF($W$22:W526,1)</f>
        <v>0</v>
      </c>
      <c r="B526">
        <v>526</v>
      </c>
      <c r="C526" s="340" t="str">
        <f>Tabulka1[[#This Row],[KOD]]</f>
        <v>C1625DU</v>
      </c>
      <c r="W526" s="804" t="str">
        <f t="shared" si="17"/>
        <v/>
      </c>
      <c r="X526" t="str">
        <f t="shared" si="18"/>
        <v/>
      </c>
      <c r="Y526" s="341">
        <f>IF('General price list'!$AB528="",0,'General price list'!$AB528)</f>
        <v>0</v>
      </c>
      <c r="Z526" s="365" t="str">
        <f>IFERROR(X526*VLOOKUP(C526,'General price list'!C:I,7,FALSE),"")</f>
        <v/>
      </c>
      <c r="AA526" s="805" t="str">
        <f>IF(X526&lt;&gt;"",VLOOKUP(C526,'General price list'!C528:AN1501,MATCH("HM",Tabulka1[[#Headers],[KOD]:[NEQ]],0),FALSE),"")</f>
        <v/>
      </c>
    </row>
    <row r="527" spans="1:27">
      <c r="A527">
        <f>COUNTIF($W$22:W527,1)</f>
        <v>0</v>
      </c>
      <c r="B527">
        <v>527</v>
      </c>
      <c r="C527" s="340" t="str">
        <f>Tabulka1[[#This Row],[KOD]]</f>
        <v>C1625D14</v>
      </c>
      <c r="W527" s="804" t="str">
        <f t="shared" si="17"/>
        <v/>
      </c>
      <c r="X527" t="str">
        <f t="shared" si="18"/>
        <v/>
      </c>
      <c r="Y527" s="341">
        <f>IF('General price list'!$AB529="",0,'General price list'!$AB529)</f>
        <v>0</v>
      </c>
      <c r="Z527" s="365" t="str">
        <f>IFERROR(X527*VLOOKUP(C527,'General price list'!C:I,7,FALSE),"")</f>
        <v/>
      </c>
      <c r="AA527" s="805" t="str">
        <f>IF(X527&lt;&gt;"",VLOOKUP(C527,'General price list'!C529:AN1502,MATCH("HM",Tabulka1[[#Headers],[KOD]:[NEQ]],0),FALSE),"")</f>
        <v/>
      </c>
    </row>
    <row r="528" spans="1:27">
      <c r="A528">
        <f>COUNTIF($W$22:W528,1)</f>
        <v>0</v>
      </c>
      <c r="B528">
        <v>528</v>
      </c>
      <c r="C528" s="340" t="str">
        <f>Tabulka1[[#This Row],[KOD]]</f>
        <v>C1625F14</v>
      </c>
      <c r="W528" s="804" t="str">
        <f t="shared" si="17"/>
        <v/>
      </c>
      <c r="X528" t="str">
        <f t="shared" si="18"/>
        <v/>
      </c>
      <c r="Y528" s="341">
        <f>IF('General price list'!$AB530="",0,'General price list'!$AB530)</f>
        <v>0</v>
      </c>
      <c r="Z528" s="365" t="str">
        <f>IFERROR(X528*VLOOKUP(C528,'General price list'!C:I,7,FALSE),"")</f>
        <v/>
      </c>
      <c r="AA528" s="805" t="str">
        <f>IF(X528&lt;&gt;"",VLOOKUP(C528,'General price list'!C530:AN1503,MATCH("HM",Tabulka1[[#Headers],[KOD]:[NEQ]],0),FALSE),"")</f>
        <v/>
      </c>
    </row>
    <row r="529" spans="1:27">
      <c r="A529">
        <f>COUNTIF($W$22:W529,1)</f>
        <v>0</v>
      </c>
      <c r="B529">
        <v>529</v>
      </c>
      <c r="C529" s="340">
        <f>Tabulka1[[#This Row],[KOD]]</f>
        <v>0</v>
      </c>
      <c r="W529" s="804" t="str">
        <f t="shared" si="17"/>
        <v/>
      </c>
      <c r="X529" t="str">
        <f t="shared" si="18"/>
        <v/>
      </c>
      <c r="Y529" s="341">
        <f>IF('General price list'!$AB531="",0,'General price list'!$AB531)</f>
        <v>0</v>
      </c>
      <c r="Z529" s="365" t="str">
        <f>IFERROR(X529*VLOOKUP(C529,'General price list'!C:I,7,FALSE),"")</f>
        <v/>
      </c>
      <c r="AA529" s="805" t="str">
        <f>IF(X529&lt;&gt;"",VLOOKUP(C529,'General price list'!C531:AN1504,MATCH("HM",Tabulka1[[#Headers],[KOD]:[NEQ]],0),FALSE),"")</f>
        <v/>
      </c>
    </row>
    <row r="530" spans="1:27">
      <c r="A530">
        <f>COUNTIF($W$22:W530,1)</f>
        <v>0</v>
      </c>
      <c r="B530">
        <v>530</v>
      </c>
      <c r="C530" s="340" t="str">
        <f>Tabulka1[[#This Row],[KOD]]</f>
        <v>C2525BPW</v>
      </c>
      <c r="W530" s="804" t="str">
        <f t="shared" si="17"/>
        <v/>
      </c>
      <c r="X530" t="str">
        <f t="shared" si="18"/>
        <v/>
      </c>
      <c r="Y530" s="341">
        <f>IF('General price list'!$AB532="",0,'General price list'!$AB532)</f>
        <v>0</v>
      </c>
      <c r="Z530" s="365" t="str">
        <f>IFERROR(X530*VLOOKUP(C530,'General price list'!C:I,7,FALSE),"")</f>
        <v/>
      </c>
      <c r="AA530" s="805" t="str">
        <f>IF(X530&lt;&gt;"",VLOOKUP(C530,'General price list'!C532:AN1505,MATCH("HM",Tabulka1[[#Headers],[KOD]:[NEQ]],0),FALSE),"")</f>
        <v/>
      </c>
    </row>
    <row r="531" spans="1:27">
      <c r="A531">
        <f>COUNTIF($W$22:W531,1)</f>
        <v>0</v>
      </c>
      <c r="B531">
        <v>531</v>
      </c>
      <c r="C531" s="340" t="str">
        <f>Tabulka1[[#This Row],[KOD]]</f>
        <v>C2525SIG</v>
      </c>
      <c r="W531" s="804" t="str">
        <f t="shared" si="17"/>
        <v/>
      </c>
      <c r="X531" t="str">
        <f t="shared" si="18"/>
        <v/>
      </c>
      <c r="Y531" s="341">
        <f>IF('General price list'!$AB533="",0,'General price list'!$AB533)</f>
        <v>0</v>
      </c>
      <c r="Z531" s="365" t="str">
        <f>IFERROR(X531*VLOOKUP(C531,'General price list'!C:I,7,FALSE),"")</f>
        <v/>
      </c>
      <c r="AA531" s="805" t="str">
        <f>IF(X531&lt;&gt;"",VLOOKUP(C531,'General price list'!C533:AN1506,MATCH("HM",Tabulka1[[#Headers],[KOD]:[NEQ]],0),FALSE),"")</f>
        <v/>
      </c>
    </row>
    <row r="532" spans="1:27">
      <c r="A532">
        <f>COUNTIF($W$22:W532,1)</f>
        <v>0</v>
      </c>
      <c r="B532">
        <v>532</v>
      </c>
      <c r="C532" s="340" t="str">
        <f>Tabulka1[[#This Row],[KOD]]</f>
        <v>C2525DU</v>
      </c>
      <c r="W532" s="804" t="str">
        <f t="shared" si="17"/>
        <v/>
      </c>
      <c r="X532" t="str">
        <f t="shared" si="18"/>
        <v/>
      </c>
      <c r="Y532" s="341">
        <f>IF('General price list'!$AB534="",0,'General price list'!$AB534)</f>
        <v>0</v>
      </c>
      <c r="Z532" s="365" t="str">
        <f>IFERROR(X532*VLOOKUP(C532,'General price list'!C:I,7,FALSE),"")</f>
        <v/>
      </c>
      <c r="AA532" s="805" t="str">
        <f>IF(X532&lt;&gt;"",VLOOKUP(C532,'General price list'!C534:AN1507,MATCH("HM",Tabulka1[[#Headers],[KOD]:[NEQ]],0),FALSE),"")</f>
        <v/>
      </c>
    </row>
    <row r="533" spans="1:27">
      <c r="A533">
        <f>COUNTIF($W$22:W533,1)</f>
        <v>0</v>
      </c>
      <c r="B533">
        <v>533</v>
      </c>
      <c r="C533" s="340" t="str">
        <f>Tabulka1[[#This Row],[KOD]]</f>
        <v>C2525C</v>
      </c>
      <c r="W533" s="804" t="str">
        <f t="shared" si="17"/>
        <v/>
      </c>
      <c r="X533" t="str">
        <f t="shared" si="18"/>
        <v/>
      </c>
      <c r="Y533" s="341">
        <f>IF('General price list'!$AB535="",0,'General price list'!$AB535)</f>
        <v>0</v>
      </c>
      <c r="Z533" s="365" t="str">
        <f>IFERROR(X533*VLOOKUP(C533,'General price list'!C:I,7,FALSE),"")</f>
        <v/>
      </c>
      <c r="AA533" s="805" t="str">
        <f>IF(X533&lt;&gt;"",VLOOKUP(C533,'General price list'!C535:AN1508,MATCH("HM",Tabulka1[[#Headers],[KOD]:[NEQ]],0),FALSE),"")</f>
        <v/>
      </c>
    </row>
    <row r="534" spans="1:27">
      <c r="A534">
        <f>COUNTIF($W$22:W534,1)</f>
        <v>0</v>
      </c>
      <c r="B534">
        <v>534</v>
      </c>
      <c r="C534" s="340" t="str">
        <f>Tabulka1[[#This Row],[KOD]]</f>
        <v>C2525L</v>
      </c>
      <c r="W534" s="804" t="str">
        <f t="shared" si="17"/>
        <v/>
      </c>
      <c r="X534" t="str">
        <f t="shared" si="18"/>
        <v/>
      </c>
      <c r="Y534" s="341">
        <f>IF('General price list'!$AB536="",0,'General price list'!$AB536)</f>
        <v>0</v>
      </c>
      <c r="Z534" s="365" t="str">
        <f>IFERROR(X534*VLOOKUP(C534,'General price list'!C:I,7,FALSE),"")</f>
        <v/>
      </c>
      <c r="AA534" s="805" t="str">
        <f>IF(X534&lt;&gt;"",VLOOKUP(C534,'General price list'!C536:AN1509,MATCH("HM",Tabulka1[[#Headers],[KOD]:[NEQ]],0),FALSE),"")</f>
        <v/>
      </c>
    </row>
    <row r="535" spans="1:27">
      <c r="A535">
        <f>COUNTIF($W$22:W535,1)</f>
        <v>0</v>
      </c>
      <c r="B535">
        <v>535</v>
      </c>
      <c r="C535" s="340">
        <f>Tabulka1[[#This Row],[KOD]]</f>
        <v>0</v>
      </c>
      <c r="W535" s="804" t="str">
        <f t="shared" si="17"/>
        <v/>
      </c>
      <c r="X535" t="str">
        <f t="shared" si="18"/>
        <v/>
      </c>
      <c r="Y535" s="341">
        <f>IF('General price list'!$AB537="",0,'General price list'!$AB537)</f>
        <v>0</v>
      </c>
      <c r="Z535" s="365" t="str">
        <f>IFERROR(X535*VLOOKUP(C535,'General price list'!C:I,7,FALSE),"")</f>
        <v/>
      </c>
      <c r="AA535" s="805" t="str">
        <f>IF(X535&lt;&gt;"",VLOOKUP(C535,'General price list'!C537:AN1510,MATCH("HM",Tabulka1[[#Headers],[KOD]:[NEQ]],0),FALSE),"")</f>
        <v/>
      </c>
    </row>
    <row r="536" spans="1:27">
      <c r="A536">
        <f>COUNTIF($W$22:W536,1)</f>
        <v>0</v>
      </c>
      <c r="B536">
        <v>536</v>
      </c>
      <c r="C536" s="340" t="str">
        <f>Tabulka1[[#This Row],[KOD]]</f>
        <v>C2525SC14</v>
      </c>
      <c r="W536" s="804" t="str">
        <f t="shared" si="17"/>
        <v/>
      </c>
      <c r="X536" t="str">
        <f t="shared" si="18"/>
        <v/>
      </c>
      <c r="Y536" s="341">
        <f>IF('General price list'!$AB538="",0,'General price list'!$AB538)</f>
        <v>0</v>
      </c>
      <c r="Z536" s="365" t="str">
        <f>IFERROR(X536*VLOOKUP(C536,'General price list'!C:I,7,FALSE),"")</f>
        <v/>
      </c>
      <c r="AA536" s="805" t="str">
        <f>IF(X536&lt;&gt;"",VLOOKUP(C536,'General price list'!C538:AN1511,MATCH("HM",Tabulka1[[#Headers],[KOD]:[NEQ]],0),FALSE),"")</f>
        <v/>
      </c>
    </row>
    <row r="537" spans="1:27">
      <c r="A537">
        <f>COUNTIF($W$22:W537,1)</f>
        <v>0</v>
      </c>
      <c r="B537">
        <v>537</v>
      </c>
      <c r="C537" s="340">
        <f>Tabulka1[[#This Row],[KOD]]</f>
        <v>0</v>
      </c>
      <c r="W537" s="804" t="str">
        <f t="shared" ref="W537:W600" si="19">IF(Y537+1=1,"",1)</f>
        <v/>
      </c>
      <c r="X537" t="str">
        <f t="shared" ref="X537:X600" si="20">IF(OR(A537&lt;$G$20,A537&gt;$G$21),"",IF(Y537=0,"",Y537))</f>
        <v/>
      </c>
      <c r="Y537" s="341">
        <f>IF('General price list'!$AB539="",0,'General price list'!$AB539)</f>
        <v>0</v>
      </c>
      <c r="Z537" s="365" t="str">
        <f>IFERROR(X537*VLOOKUP(C537,'General price list'!C:I,7,FALSE),"")</f>
        <v/>
      </c>
      <c r="AA537" s="805" t="str">
        <f>IF(X537&lt;&gt;"",VLOOKUP(C537,'General price list'!C539:AN1512,MATCH("HM",Tabulka1[[#Headers],[KOD]:[NEQ]],0),FALSE),"")</f>
        <v/>
      </c>
    </row>
    <row r="538" spans="1:27">
      <c r="A538">
        <f>COUNTIF($W$22:W538,1)</f>
        <v>0</v>
      </c>
      <c r="B538">
        <v>538</v>
      </c>
      <c r="C538" s="340" t="str">
        <f>Tabulka1[[#This Row],[KOD]]</f>
        <v>CF2525D</v>
      </c>
      <c r="W538" s="804" t="str">
        <f t="shared" si="19"/>
        <v/>
      </c>
      <c r="X538" t="str">
        <f t="shared" si="20"/>
        <v/>
      </c>
      <c r="Y538" s="341">
        <f>IF('General price list'!$AB540="",0,'General price list'!$AB540)</f>
        <v>0</v>
      </c>
      <c r="Z538" s="365" t="str">
        <f>IFERROR(X538*VLOOKUP(C538,'General price list'!C:I,7,FALSE),"")</f>
        <v/>
      </c>
      <c r="AA538" s="805" t="str">
        <f>IF(X538&lt;&gt;"",VLOOKUP(C538,'General price list'!C540:AN1513,MATCH("HM",Tabulka1[[#Headers],[KOD]:[NEQ]],0),FALSE),"")</f>
        <v/>
      </c>
    </row>
    <row r="539" spans="1:27">
      <c r="A539">
        <f>COUNTIF($W$22:W539,1)</f>
        <v>0</v>
      </c>
      <c r="B539">
        <v>539</v>
      </c>
      <c r="C539" s="340" t="str">
        <f>Tabulka1[[#This Row],[KOD]]</f>
        <v>CF2525O</v>
      </c>
      <c r="W539" s="804" t="str">
        <f t="shared" si="19"/>
        <v/>
      </c>
      <c r="X539" t="str">
        <f t="shared" si="20"/>
        <v/>
      </c>
      <c r="Y539" s="341">
        <f>IF('General price list'!$AB541="",0,'General price list'!$AB541)</f>
        <v>0</v>
      </c>
      <c r="Z539" s="365" t="str">
        <f>IFERROR(X539*VLOOKUP(C539,'General price list'!C:I,7,FALSE),"")</f>
        <v/>
      </c>
      <c r="AA539" s="805" t="str">
        <f>IF(X539&lt;&gt;"",VLOOKUP(C539,'General price list'!C541:AN1514,MATCH("HM",Tabulka1[[#Headers],[KOD]:[NEQ]],0),FALSE),"")</f>
        <v/>
      </c>
    </row>
    <row r="540" spans="1:27">
      <c r="A540">
        <f>COUNTIF($W$22:W540,1)</f>
        <v>0</v>
      </c>
      <c r="B540">
        <v>540</v>
      </c>
      <c r="C540" s="340" t="str">
        <f>Tabulka1[[#This Row],[KOD]]</f>
        <v>CF2525S</v>
      </c>
      <c r="W540" s="804" t="str">
        <f t="shared" si="19"/>
        <v/>
      </c>
      <c r="X540" t="str">
        <f t="shared" si="20"/>
        <v/>
      </c>
      <c r="Y540" s="341">
        <f>IF('General price list'!$AB542="",0,'General price list'!$AB542)</f>
        <v>0</v>
      </c>
      <c r="Z540" s="365" t="str">
        <f>IFERROR(X540*VLOOKUP(C540,'General price list'!C:I,7,FALSE),"")</f>
        <v/>
      </c>
      <c r="AA540" s="805" t="str">
        <f>IF(X540&lt;&gt;"",VLOOKUP(C540,'General price list'!C542:AN1515,MATCH("HM",Tabulka1[[#Headers],[KOD]:[NEQ]],0),FALSE),"")</f>
        <v/>
      </c>
    </row>
    <row r="541" spans="1:27">
      <c r="A541">
        <f>COUNTIF($W$22:W541,1)</f>
        <v>0</v>
      </c>
      <c r="B541">
        <v>541</v>
      </c>
      <c r="C541" s="340">
        <f>Tabulka1[[#This Row],[KOD]]</f>
        <v>0</v>
      </c>
      <c r="W541" s="804" t="str">
        <f t="shared" si="19"/>
        <v/>
      </c>
      <c r="X541" t="str">
        <f t="shared" si="20"/>
        <v/>
      </c>
      <c r="Y541" s="341">
        <f>IF('General price list'!$AB543="",0,'General price list'!$AB543)</f>
        <v>0</v>
      </c>
      <c r="Z541" s="365" t="str">
        <f>IFERROR(X541*VLOOKUP(C541,'General price list'!C:I,7,FALSE),"")</f>
        <v/>
      </c>
      <c r="AA541" s="805" t="str">
        <f>IF(X541&lt;&gt;"",VLOOKUP(C541,'General price list'!C543:AN1516,MATCH("HM",Tabulka1[[#Headers],[KOD]:[NEQ]],0),FALSE),"")</f>
        <v/>
      </c>
    </row>
    <row r="542" spans="1:27">
      <c r="A542">
        <f>COUNTIF($W$22:W542,1)</f>
        <v>0</v>
      </c>
      <c r="B542">
        <v>542</v>
      </c>
      <c r="C542" s="340" t="str">
        <f>Tabulka1[[#This Row],[KOD]]</f>
        <v>C3625P</v>
      </c>
      <c r="W542" s="804" t="str">
        <f t="shared" si="19"/>
        <v/>
      </c>
      <c r="X542" t="str">
        <f t="shared" si="20"/>
        <v/>
      </c>
      <c r="Y542" s="341">
        <f>IF('General price list'!$AB544="",0,'General price list'!$AB544)</f>
        <v>0</v>
      </c>
      <c r="Z542" s="365" t="str">
        <f>IFERROR(X542*VLOOKUP(C542,'General price list'!C:I,7,FALSE),"")</f>
        <v/>
      </c>
      <c r="AA542" s="805" t="str">
        <f>IF(X542&lt;&gt;"",VLOOKUP(C542,'General price list'!C544:AN1517,MATCH("HM",Tabulka1[[#Headers],[KOD]:[NEQ]],0),FALSE),"")</f>
        <v/>
      </c>
    </row>
    <row r="543" spans="1:27">
      <c r="A543">
        <f>COUNTIF($W$22:W543,1)</f>
        <v>0</v>
      </c>
      <c r="B543">
        <v>543</v>
      </c>
      <c r="C543" s="340">
        <f>Tabulka1[[#This Row],[KOD]]</f>
        <v>0</v>
      </c>
      <c r="W543" s="804" t="str">
        <f t="shared" si="19"/>
        <v/>
      </c>
      <c r="X543" t="str">
        <f t="shared" si="20"/>
        <v/>
      </c>
      <c r="Y543" s="341">
        <f>IF('General price list'!$AB545="",0,'General price list'!$AB545)</f>
        <v>0</v>
      </c>
      <c r="Z543" s="365" t="str">
        <f>IFERROR(X543*VLOOKUP(C543,'General price list'!C:I,7,FALSE),"")</f>
        <v/>
      </c>
      <c r="AA543" s="805" t="str">
        <f>IF(X543&lt;&gt;"",VLOOKUP(C543,'General price list'!C545:AN1518,MATCH("HM",Tabulka1[[#Headers],[KOD]:[NEQ]],0),FALSE),"")</f>
        <v/>
      </c>
    </row>
    <row r="544" spans="1:27">
      <c r="A544">
        <f>COUNTIF($W$22:W544,1)</f>
        <v>0</v>
      </c>
      <c r="B544">
        <v>544</v>
      </c>
      <c r="C544" s="340" t="str">
        <f>Tabulka1[[#This Row],[KOD]]</f>
        <v>C3625P14</v>
      </c>
      <c r="W544" s="804" t="str">
        <f t="shared" si="19"/>
        <v/>
      </c>
      <c r="X544" t="str">
        <f t="shared" si="20"/>
        <v/>
      </c>
      <c r="Y544" s="341">
        <f>IF('General price list'!$AB546="",0,'General price list'!$AB546)</f>
        <v>0</v>
      </c>
      <c r="Z544" s="365" t="str">
        <f>IFERROR(X544*VLOOKUP(C544,'General price list'!C:I,7,FALSE),"")</f>
        <v/>
      </c>
      <c r="AA544" s="805" t="str">
        <f>IF(X544&lt;&gt;"",VLOOKUP(C544,'General price list'!C546:AN1519,MATCH("HM",Tabulka1[[#Headers],[KOD]:[NEQ]],0),FALSE),"")</f>
        <v/>
      </c>
    </row>
    <row r="545" spans="1:27">
      <c r="A545">
        <f>COUNTIF($W$22:W545,1)</f>
        <v>0</v>
      </c>
      <c r="B545">
        <v>545</v>
      </c>
      <c r="C545" s="340">
        <f>Tabulka1[[#This Row],[KOD]]</f>
        <v>0</v>
      </c>
      <c r="W545" s="804" t="str">
        <f t="shared" si="19"/>
        <v/>
      </c>
      <c r="X545" t="str">
        <f t="shared" si="20"/>
        <v/>
      </c>
      <c r="Y545" s="341">
        <f>IF('General price list'!$AB547="",0,'General price list'!$AB547)</f>
        <v>0</v>
      </c>
      <c r="Z545" s="365" t="str">
        <f>IFERROR(X545*VLOOKUP(C545,'General price list'!C:I,7,FALSE),"")</f>
        <v/>
      </c>
      <c r="AA545" s="805" t="str">
        <f>IF(X545&lt;&gt;"",VLOOKUP(C545,'General price list'!C547:AN1520,MATCH("HM",Tabulka1[[#Headers],[KOD]:[NEQ]],0),FALSE),"")</f>
        <v/>
      </c>
    </row>
    <row r="546" spans="1:27">
      <c r="A546">
        <f>COUNTIF($W$22:W546,1)</f>
        <v>0</v>
      </c>
      <c r="B546">
        <v>546</v>
      </c>
      <c r="C546" s="340" t="str">
        <f>Tabulka1[[#This Row],[KOD]]</f>
        <v>C4825MP</v>
      </c>
      <c r="W546" s="804" t="str">
        <f t="shared" si="19"/>
        <v/>
      </c>
      <c r="X546" t="str">
        <f t="shared" si="20"/>
        <v/>
      </c>
      <c r="Y546" s="341">
        <f>IF('General price list'!$AB548="",0,'General price list'!$AB548)</f>
        <v>0</v>
      </c>
      <c r="Z546" s="365" t="str">
        <f>IFERROR(X546*VLOOKUP(C546,'General price list'!C:I,7,FALSE),"")</f>
        <v/>
      </c>
      <c r="AA546" s="805" t="str">
        <f>IF(X546&lt;&gt;"",VLOOKUP(C546,'General price list'!C548:AN1521,MATCH("HM",Tabulka1[[#Headers],[KOD]:[NEQ]],0),FALSE),"")</f>
        <v/>
      </c>
    </row>
    <row r="547" spans="1:27">
      <c r="A547">
        <f>COUNTIF($W$22:W547,1)</f>
        <v>0</v>
      </c>
      <c r="B547">
        <v>547</v>
      </c>
      <c r="C547" s="340">
        <f>Tabulka1[[#This Row],[KOD]]</f>
        <v>0</v>
      </c>
      <c r="W547" s="804" t="str">
        <f t="shared" si="19"/>
        <v/>
      </c>
      <c r="X547" t="str">
        <f t="shared" si="20"/>
        <v/>
      </c>
      <c r="Y547" s="341">
        <f>IF('General price list'!$AB549="",0,'General price list'!$AB549)</f>
        <v>0</v>
      </c>
      <c r="Z547" s="365" t="str">
        <f>IFERROR(X547*VLOOKUP(C547,'General price list'!C:I,7,FALSE),"")</f>
        <v/>
      </c>
      <c r="AA547" s="805" t="str">
        <f>IF(X547&lt;&gt;"",VLOOKUP(C547,'General price list'!C549:AN1522,MATCH("HM",Tabulka1[[#Headers],[KOD]:[NEQ]],0),FALSE),"")</f>
        <v/>
      </c>
    </row>
    <row r="548" spans="1:27">
      <c r="A548">
        <f>COUNTIF($W$22:W548,1)</f>
        <v>0</v>
      </c>
      <c r="B548">
        <v>548</v>
      </c>
      <c r="C548" s="340" t="str">
        <f>Tabulka1[[#This Row],[KOD]]</f>
        <v>C4925G</v>
      </c>
      <c r="W548" s="804" t="str">
        <f t="shared" si="19"/>
        <v/>
      </c>
      <c r="X548" t="str">
        <f t="shared" si="20"/>
        <v/>
      </c>
      <c r="Y548" s="341">
        <f>IF('General price list'!$AB550="",0,'General price list'!$AB550)</f>
        <v>0</v>
      </c>
      <c r="Z548" s="365" t="str">
        <f>IFERROR(X548*VLOOKUP(C548,'General price list'!C:I,7,FALSE),"")</f>
        <v/>
      </c>
      <c r="AA548" s="805" t="str">
        <f>IF(X548&lt;&gt;"",VLOOKUP(C548,'General price list'!C550:AN1523,MATCH("HM",Tabulka1[[#Headers],[KOD]:[NEQ]],0),FALSE),"")</f>
        <v/>
      </c>
    </row>
    <row r="549" spans="1:27">
      <c r="A549">
        <f>COUNTIF($W$22:W549,1)</f>
        <v>0</v>
      </c>
      <c r="B549">
        <v>549</v>
      </c>
      <c r="C549" s="340" t="str">
        <f>Tabulka1[[#This Row],[KOD]]</f>
        <v>C4925P</v>
      </c>
      <c r="W549" s="804" t="str">
        <f t="shared" si="19"/>
        <v/>
      </c>
      <c r="X549" t="str">
        <f t="shared" si="20"/>
        <v/>
      </c>
      <c r="Y549" s="341">
        <f>IF('General price list'!$AB551="",0,'General price list'!$AB551)</f>
        <v>0</v>
      </c>
      <c r="Z549" s="365" t="str">
        <f>IFERROR(X549*VLOOKUP(C549,'General price list'!C:I,7,FALSE),"")</f>
        <v/>
      </c>
      <c r="AA549" s="805" t="str">
        <f>IF(X549&lt;&gt;"",VLOOKUP(C549,'General price list'!C551:AN1524,MATCH("HM",Tabulka1[[#Headers],[KOD]:[NEQ]],0),FALSE),"")</f>
        <v/>
      </c>
    </row>
    <row r="550" spans="1:27">
      <c r="A550">
        <f>COUNTIF($W$22:W550,1)</f>
        <v>0</v>
      </c>
      <c r="B550">
        <v>550</v>
      </c>
      <c r="C550" s="340" t="str">
        <f>Tabulka1[[#This Row],[KOD]]</f>
        <v>C4925V</v>
      </c>
      <c r="W550" s="804" t="str">
        <f t="shared" si="19"/>
        <v/>
      </c>
      <c r="X550" t="str">
        <f t="shared" si="20"/>
        <v/>
      </c>
      <c r="Y550" s="341">
        <f>IF('General price list'!$AB552="",0,'General price list'!$AB552)</f>
        <v>0</v>
      </c>
      <c r="Z550" s="365" t="str">
        <f>IFERROR(X550*VLOOKUP(C550,'General price list'!C:I,7,FALSE),"")</f>
        <v/>
      </c>
      <c r="AA550" s="805" t="str">
        <f>IF(X550&lt;&gt;"",VLOOKUP(C550,'General price list'!C552:AN1525,MATCH("HM",Tabulka1[[#Headers],[KOD]:[NEQ]],0),FALSE),"")</f>
        <v/>
      </c>
    </row>
    <row r="551" spans="1:27">
      <c r="A551">
        <f>COUNTIF($W$22:W551,1)</f>
        <v>0</v>
      </c>
      <c r="B551">
        <v>551</v>
      </c>
      <c r="C551" s="340">
        <f>Tabulka1[[#This Row],[KOD]]</f>
        <v>0</v>
      </c>
      <c r="W551" s="804" t="str">
        <f t="shared" si="19"/>
        <v/>
      </c>
      <c r="X551" t="str">
        <f t="shared" si="20"/>
        <v/>
      </c>
      <c r="Y551" s="341">
        <f>IF('General price list'!$AB553="",0,'General price list'!$AB553)</f>
        <v>0</v>
      </c>
      <c r="Z551" s="365" t="str">
        <f>IFERROR(X551*VLOOKUP(C551,'General price list'!C:I,7,FALSE),"")</f>
        <v/>
      </c>
      <c r="AA551" s="805" t="str">
        <f>IF(X551&lt;&gt;"",VLOOKUP(C551,'General price list'!C553:AN1526,MATCH("HM",Tabulka1[[#Headers],[KOD]:[NEQ]],0),FALSE),"")</f>
        <v/>
      </c>
    </row>
    <row r="552" spans="1:27">
      <c r="A552">
        <f>COUNTIF($W$22:W552,1)</f>
        <v>0</v>
      </c>
      <c r="B552">
        <v>552</v>
      </c>
      <c r="C552" s="340" t="str">
        <f>Tabulka1[[#This Row],[KOD]]</f>
        <v>C4925BP14</v>
      </c>
      <c r="W552" s="804" t="str">
        <f t="shared" si="19"/>
        <v/>
      </c>
      <c r="X552" t="str">
        <f t="shared" si="20"/>
        <v/>
      </c>
      <c r="Y552" s="341">
        <f>IF('General price list'!$AB554="",0,'General price list'!$AB554)</f>
        <v>0</v>
      </c>
      <c r="Z552" s="365" t="str">
        <f>IFERROR(X552*VLOOKUP(C552,'General price list'!C:I,7,FALSE),"")</f>
        <v/>
      </c>
      <c r="AA552" s="805" t="str">
        <f>IF(X552&lt;&gt;"",VLOOKUP(C552,'General price list'!C554:AN1527,MATCH("HM",Tabulka1[[#Headers],[KOD]:[NEQ]],0),FALSE),"")</f>
        <v/>
      </c>
    </row>
    <row r="553" spans="1:27">
      <c r="A553">
        <f>COUNTIF($W$22:W553,1)</f>
        <v>0</v>
      </c>
      <c r="B553">
        <v>553</v>
      </c>
      <c r="C553" s="340" t="str">
        <f>Tabulka1[[#This Row],[KOD]]</f>
        <v>C4925NO14</v>
      </c>
      <c r="W553" s="804" t="str">
        <f t="shared" si="19"/>
        <v/>
      </c>
      <c r="X553" t="str">
        <f t="shared" si="20"/>
        <v/>
      </c>
      <c r="Y553" s="341">
        <f>IF('General price list'!$AB555="",0,'General price list'!$AB555)</f>
        <v>0</v>
      </c>
      <c r="Z553" s="365" t="str">
        <f>IFERROR(X553*VLOOKUP(C553,'General price list'!C:I,7,FALSE),"")</f>
        <v/>
      </c>
      <c r="AA553" s="805" t="str">
        <f>IF(X553&lt;&gt;"",VLOOKUP(C553,'General price list'!C555:AN1528,MATCH("HM",Tabulka1[[#Headers],[KOD]:[NEQ]],0),FALSE),"")</f>
        <v/>
      </c>
    </row>
    <row r="554" spans="1:27">
      <c r="A554">
        <f>COUNTIF($W$22:W554,1)</f>
        <v>0</v>
      </c>
      <c r="B554">
        <v>554</v>
      </c>
      <c r="C554" s="340" t="str">
        <f>Tabulka1[[#This Row],[KOD]]</f>
        <v>C4925V14</v>
      </c>
      <c r="W554" s="804" t="str">
        <f t="shared" si="19"/>
        <v/>
      </c>
      <c r="X554" t="str">
        <f t="shared" si="20"/>
        <v/>
      </c>
      <c r="Y554" s="341">
        <f>IF('General price list'!$AB556="",0,'General price list'!$AB556)</f>
        <v>0</v>
      </c>
      <c r="Z554" s="365" t="str">
        <f>IFERROR(X554*VLOOKUP(C554,'General price list'!C:I,7,FALSE),"")</f>
        <v/>
      </c>
      <c r="AA554" s="805" t="str">
        <f>IF(X554&lt;&gt;"",VLOOKUP(C554,'General price list'!C556:AN1529,MATCH("HM",Tabulka1[[#Headers],[KOD]:[NEQ]],0),FALSE),"")</f>
        <v/>
      </c>
    </row>
    <row r="555" spans="1:27">
      <c r="A555">
        <f>COUNTIF($W$22:W555,1)</f>
        <v>0</v>
      </c>
      <c r="B555">
        <v>555</v>
      </c>
      <c r="C555" s="340" t="str">
        <f>Tabulka1[[#This Row],[KOD]]</f>
        <v>C4925VS14</v>
      </c>
      <c r="W555" s="804" t="str">
        <f t="shared" si="19"/>
        <v/>
      </c>
      <c r="X555" t="str">
        <f t="shared" si="20"/>
        <v/>
      </c>
      <c r="Y555" s="341">
        <f>IF('General price list'!$AB557="",0,'General price list'!$AB557)</f>
        <v>0</v>
      </c>
      <c r="Z555" s="365" t="str">
        <f>IFERROR(X555*VLOOKUP(C555,'General price list'!C:I,7,FALSE),"")</f>
        <v/>
      </c>
      <c r="AA555" s="805" t="str">
        <f>IF(X555&lt;&gt;"",VLOOKUP(C555,'General price list'!C557:AN1530,MATCH("HM",Tabulka1[[#Headers],[KOD]:[NEQ]],0),FALSE),"")</f>
        <v/>
      </c>
    </row>
    <row r="556" spans="1:27">
      <c r="A556">
        <f>COUNTIF($W$22:W556,1)</f>
        <v>0</v>
      </c>
      <c r="B556">
        <v>556</v>
      </c>
      <c r="C556" s="340">
        <f>Tabulka1[[#This Row],[KOD]]</f>
        <v>0</v>
      </c>
      <c r="W556" s="804" t="str">
        <f t="shared" si="19"/>
        <v/>
      </c>
      <c r="X556" t="str">
        <f t="shared" si="20"/>
        <v/>
      </c>
      <c r="Y556" s="341">
        <f>IF('General price list'!$AB558="",0,'General price list'!$AB558)</f>
        <v>0</v>
      </c>
      <c r="Z556" s="365" t="str">
        <f>IFERROR(X556*VLOOKUP(C556,'General price list'!C:I,7,FALSE),"")</f>
        <v/>
      </c>
      <c r="AA556" s="805" t="str">
        <f>IF(X556&lt;&gt;"",VLOOKUP(C556,'General price list'!C558:AN1531,MATCH("HM",Tabulka1[[#Headers],[KOD]:[NEQ]],0),FALSE),"")</f>
        <v/>
      </c>
    </row>
    <row r="557" spans="1:27">
      <c r="A557">
        <f>COUNTIF($W$22:W557,1)</f>
        <v>0</v>
      </c>
      <c r="B557">
        <v>557</v>
      </c>
      <c r="C557" s="340" t="str">
        <f>Tabulka1[[#This Row],[KOD]]</f>
        <v>C4925SIG</v>
      </c>
      <c r="W557" s="804" t="str">
        <f t="shared" si="19"/>
        <v/>
      </c>
      <c r="X557" t="str">
        <f t="shared" si="20"/>
        <v/>
      </c>
      <c r="Y557" s="341">
        <f>IF('General price list'!$AB559="",0,'General price list'!$AB559)</f>
        <v>0</v>
      </c>
      <c r="Z557" s="365" t="str">
        <f>IFERROR(X557*VLOOKUP(C557,'General price list'!C:I,7,FALSE),"")</f>
        <v/>
      </c>
      <c r="AA557" s="805" t="str">
        <f>IF(X557&lt;&gt;"",VLOOKUP(C557,'General price list'!C559:AN1532,MATCH("HM",Tabulka1[[#Headers],[KOD]:[NEQ]],0),FALSE),"")</f>
        <v/>
      </c>
    </row>
    <row r="558" spans="1:27">
      <c r="A558">
        <f>COUNTIF($W$22:W558,1)</f>
        <v>0</v>
      </c>
      <c r="B558">
        <v>558</v>
      </c>
      <c r="C558" s="340" t="str">
        <f>Tabulka1[[#This Row],[KOD]]</f>
        <v>C4925D</v>
      </c>
      <c r="W558" s="804" t="str">
        <f t="shared" si="19"/>
        <v/>
      </c>
      <c r="X558" t="str">
        <f t="shared" si="20"/>
        <v/>
      </c>
      <c r="Y558" s="341">
        <f>IF('General price list'!$AB560="",0,'General price list'!$AB560)</f>
        <v>0</v>
      </c>
      <c r="Z558" s="365" t="str">
        <f>IFERROR(X558*VLOOKUP(C558,'General price list'!C:I,7,FALSE),"")</f>
        <v/>
      </c>
      <c r="AA558" s="805" t="str">
        <f>IF(X558&lt;&gt;"",VLOOKUP(C558,'General price list'!C560:AN1533,MATCH("HM",Tabulka1[[#Headers],[KOD]:[NEQ]],0),FALSE),"")</f>
        <v/>
      </c>
    </row>
    <row r="559" spans="1:27">
      <c r="A559">
        <f>COUNTIF($W$22:W559,1)</f>
        <v>0</v>
      </c>
      <c r="B559">
        <v>559</v>
      </c>
      <c r="C559" s="340">
        <f>Tabulka1[[#This Row],[KOD]]</f>
        <v>0</v>
      </c>
      <c r="W559" s="804" t="str">
        <f t="shared" si="19"/>
        <v/>
      </c>
      <c r="X559" t="str">
        <f t="shared" si="20"/>
        <v/>
      </c>
      <c r="Y559" s="341">
        <f>IF('General price list'!$AB561="",0,'General price list'!$AB561)</f>
        <v>0</v>
      </c>
      <c r="Z559" s="365" t="str">
        <f>IFERROR(X559*VLOOKUP(C559,'General price list'!C:I,7,FALSE),"")</f>
        <v/>
      </c>
      <c r="AA559" s="805" t="str">
        <f>IF(X559&lt;&gt;"",VLOOKUP(C559,'General price list'!C561:AN1534,MATCH("HM",Tabulka1[[#Headers],[KOD]:[NEQ]],0),FALSE),"")</f>
        <v/>
      </c>
    </row>
    <row r="560" spans="1:27">
      <c r="A560">
        <f>COUNTIF($W$22:W560,1)</f>
        <v>0</v>
      </c>
      <c r="B560">
        <v>560</v>
      </c>
      <c r="C560" s="340" t="str">
        <f>Tabulka1[[#This Row],[KOD]]</f>
        <v>CF4925S14</v>
      </c>
      <c r="W560" s="804" t="str">
        <f t="shared" si="19"/>
        <v/>
      </c>
      <c r="X560" t="str">
        <f t="shared" si="20"/>
        <v/>
      </c>
      <c r="Y560" s="341">
        <f>IF('General price list'!$AB562="",0,'General price list'!$AB562)</f>
        <v>0</v>
      </c>
      <c r="Z560" s="365" t="str">
        <f>IFERROR(X560*VLOOKUP(C560,'General price list'!C:I,7,FALSE),"")</f>
        <v/>
      </c>
      <c r="AA560" s="805" t="str">
        <f>IF(X560&lt;&gt;"",VLOOKUP(C560,'General price list'!C562:AN1535,MATCH("HM",Tabulka1[[#Headers],[KOD]:[NEQ]],0),FALSE),"")</f>
        <v/>
      </c>
    </row>
    <row r="561" spans="1:27">
      <c r="A561">
        <f>COUNTIF($W$22:W561,1)</f>
        <v>0</v>
      </c>
      <c r="B561">
        <v>561</v>
      </c>
      <c r="C561" s="340" t="str">
        <f>Tabulka1[[#This Row],[KOD]]</f>
        <v>CF4925B14</v>
      </c>
      <c r="W561" s="804" t="str">
        <f t="shared" si="19"/>
        <v/>
      </c>
      <c r="X561" t="str">
        <f t="shared" si="20"/>
        <v/>
      </c>
      <c r="Y561" s="341">
        <f>IF('General price list'!$AB563="",0,'General price list'!$AB563)</f>
        <v>0</v>
      </c>
      <c r="Z561" s="365" t="str">
        <f>IFERROR(X561*VLOOKUP(C561,'General price list'!C:I,7,FALSE),"")</f>
        <v/>
      </c>
      <c r="AA561" s="805" t="str">
        <f>IF(X561&lt;&gt;"",VLOOKUP(C561,'General price list'!C563:AN1536,MATCH("HM",Tabulka1[[#Headers],[KOD]:[NEQ]],0),FALSE),"")</f>
        <v/>
      </c>
    </row>
    <row r="562" spans="1:27">
      <c r="A562">
        <f>COUNTIF($W$22:W562,1)</f>
        <v>0</v>
      </c>
      <c r="B562">
        <v>562</v>
      </c>
      <c r="C562" s="340">
        <f>Tabulka1[[#This Row],[KOD]]</f>
        <v>0</v>
      </c>
      <c r="W562" s="804" t="str">
        <f t="shared" si="19"/>
        <v/>
      </c>
      <c r="X562" t="str">
        <f t="shared" si="20"/>
        <v/>
      </c>
      <c r="Y562" s="341">
        <f>IF('General price list'!$AB564="",0,'General price list'!$AB564)</f>
        <v>0</v>
      </c>
      <c r="Z562" s="365" t="str">
        <f>IFERROR(X562*VLOOKUP(C562,'General price list'!C:I,7,FALSE),"")</f>
        <v/>
      </c>
      <c r="AA562" s="805" t="str">
        <f>IF(X562&lt;&gt;"",VLOOKUP(C562,'General price list'!C564:AN1537,MATCH("HM",Tabulka1[[#Headers],[KOD]:[NEQ]],0),FALSE),"")</f>
        <v/>
      </c>
    </row>
    <row r="563" spans="1:27">
      <c r="A563">
        <f>COUNTIF($W$22:W563,1)</f>
        <v>0</v>
      </c>
      <c r="B563">
        <v>563</v>
      </c>
      <c r="C563" s="340" t="str">
        <f>Tabulka1[[#This Row],[KOD]]</f>
        <v>CF4925S</v>
      </c>
      <c r="W563" s="804" t="str">
        <f t="shared" si="19"/>
        <v/>
      </c>
      <c r="X563" t="str">
        <f t="shared" si="20"/>
        <v/>
      </c>
      <c r="Y563" s="341">
        <f>IF('General price list'!$AB565="",0,'General price list'!$AB565)</f>
        <v>0</v>
      </c>
      <c r="Z563" s="365" t="str">
        <f>IFERROR(X563*VLOOKUP(C563,'General price list'!C:I,7,FALSE),"")</f>
        <v/>
      </c>
      <c r="AA563" s="805" t="str">
        <f>IF(X563&lt;&gt;"",VLOOKUP(C563,'General price list'!C565:AN1538,MATCH("HM",Tabulka1[[#Headers],[KOD]:[NEQ]],0),FALSE),"")</f>
        <v/>
      </c>
    </row>
    <row r="564" spans="1:27">
      <c r="A564">
        <f>COUNTIF($W$22:W564,1)</f>
        <v>0</v>
      </c>
      <c r="B564">
        <v>564</v>
      </c>
      <c r="C564" s="340" t="str">
        <f>Tabulka1[[#This Row],[KOD]]</f>
        <v>CF4925D</v>
      </c>
      <c r="W564" s="804" t="str">
        <f t="shared" si="19"/>
        <v/>
      </c>
      <c r="X564" t="str">
        <f t="shared" si="20"/>
        <v/>
      </c>
      <c r="Y564" s="341">
        <f>IF('General price list'!$AB566="",0,'General price list'!$AB566)</f>
        <v>0</v>
      </c>
      <c r="Z564" s="365" t="str">
        <f>IFERROR(X564*VLOOKUP(C564,'General price list'!C:I,7,FALSE),"")</f>
        <v/>
      </c>
      <c r="AA564" s="805" t="str">
        <f>IF(X564&lt;&gt;"",VLOOKUP(C564,'General price list'!C566:AN1539,MATCH("HM",Tabulka1[[#Headers],[KOD]:[NEQ]],0),FALSE),"")</f>
        <v/>
      </c>
    </row>
    <row r="565" spans="1:27">
      <c r="A565">
        <f>COUNTIF($W$22:W565,1)</f>
        <v>0</v>
      </c>
      <c r="B565">
        <v>565</v>
      </c>
      <c r="C565" s="340" t="str">
        <f>Tabulka1[[#This Row],[KOD]]</f>
        <v>CF4925B</v>
      </c>
      <c r="W565" s="804" t="str">
        <f t="shared" si="19"/>
        <v/>
      </c>
      <c r="X565" t="str">
        <f t="shared" si="20"/>
        <v/>
      </c>
      <c r="Y565" s="341">
        <f>IF('General price list'!$AB567="",0,'General price list'!$AB567)</f>
        <v>0</v>
      </c>
      <c r="Z565" s="365" t="str">
        <f>IFERROR(X565*VLOOKUP(C565,'General price list'!C:I,7,FALSE),"")</f>
        <v/>
      </c>
      <c r="AA565" s="805" t="str">
        <f>IF(X565&lt;&gt;"",VLOOKUP(C565,'General price list'!C567:AN1540,MATCH("HM",Tabulka1[[#Headers],[KOD]:[NEQ]],0),FALSE),"")</f>
        <v/>
      </c>
    </row>
    <row r="566" spans="1:27">
      <c r="A566">
        <f>COUNTIF($W$22:W566,1)</f>
        <v>0</v>
      </c>
      <c r="B566">
        <v>566</v>
      </c>
      <c r="C566" s="340">
        <f>Tabulka1[[#This Row],[KOD]]</f>
        <v>0</v>
      </c>
      <c r="W566" s="804" t="str">
        <f t="shared" si="19"/>
        <v/>
      </c>
      <c r="X566" t="str">
        <f t="shared" si="20"/>
        <v/>
      </c>
      <c r="Y566" s="341">
        <f>IF('General price list'!$AB568="",0,'General price list'!$AB568)</f>
        <v>0</v>
      </c>
      <c r="Z566" s="365" t="str">
        <f>IFERROR(X566*VLOOKUP(C566,'General price list'!C:I,7,FALSE),"")</f>
        <v/>
      </c>
      <c r="AA566" s="805" t="str">
        <f>IF(X566&lt;&gt;"",VLOOKUP(C566,'General price list'!C568:AN1541,MATCH("HM",Tabulka1[[#Headers],[KOD]:[NEQ]],0),FALSE),"")</f>
        <v/>
      </c>
    </row>
    <row r="567" spans="1:27">
      <c r="A567">
        <f>COUNTIF($W$22:W567,1)</f>
        <v>0</v>
      </c>
      <c r="B567">
        <v>567</v>
      </c>
      <c r="C567" s="340" t="str">
        <f>Tabulka1[[#This Row],[KOD]]</f>
        <v>C6425XPT</v>
      </c>
      <c r="W567" s="804" t="str">
        <f t="shared" si="19"/>
        <v/>
      </c>
      <c r="X567" t="str">
        <f t="shared" si="20"/>
        <v/>
      </c>
      <c r="Y567" s="341">
        <f>IF('General price list'!$AB569="",0,'General price list'!$AB569)</f>
        <v>0</v>
      </c>
      <c r="Z567" s="365" t="str">
        <f>IFERROR(X567*VLOOKUP(C567,'General price list'!C:I,7,FALSE),"")</f>
        <v/>
      </c>
      <c r="AA567" s="805" t="str">
        <f>IF(X567&lt;&gt;"",VLOOKUP(C567,'General price list'!C569:AN1542,MATCH("HM",Tabulka1[[#Headers],[KOD]:[NEQ]],0),FALSE),"")</f>
        <v/>
      </c>
    </row>
    <row r="568" spans="1:27">
      <c r="A568">
        <f>COUNTIF($W$22:W568,1)</f>
        <v>0</v>
      </c>
      <c r="B568">
        <v>568</v>
      </c>
      <c r="C568" s="340">
        <f>Tabulka1[[#This Row],[KOD]]</f>
        <v>0</v>
      </c>
      <c r="W568" s="804" t="str">
        <f t="shared" si="19"/>
        <v/>
      </c>
      <c r="X568" t="str">
        <f t="shared" si="20"/>
        <v/>
      </c>
      <c r="Y568" s="341">
        <f>IF('General price list'!$AB570="",0,'General price list'!$AB570)</f>
        <v>0</v>
      </c>
      <c r="Z568" s="365" t="str">
        <f>IFERROR(X568*VLOOKUP(C568,'General price list'!C:I,7,FALSE),"")</f>
        <v/>
      </c>
      <c r="AA568" s="805" t="str">
        <f>IF(X568&lt;&gt;"",VLOOKUP(C568,'General price list'!C570:AN1543,MATCH("HM",Tabulka1[[#Headers],[KOD]:[NEQ]],0),FALSE),"")</f>
        <v/>
      </c>
    </row>
    <row r="569" spans="1:27">
      <c r="A569">
        <f>COUNTIF($W$22:W569,1)</f>
        <v>0</v>
      </c>
      <c r="B569">
        <v>569</v>
      </c>
      <c r="C569" s="340" t="str">
        <f>Tabulka1[[#This Row],[KOD]]</f>
        <v>C8825G</v>
      </c>
      <c r="W569" s="804" t="str">
        <f t="shared" si="19"/>
        <v/>
      </c>
      <c r="X569" t="str">
        <f t="shared" si="20"/>
        <v/>
      </c>
      <c r="Y569" s="341">
        <f>IF('General price list'!$AB571="",0,'General price list'!$AB571)</f>
        <v>0</v>
      </c>
      <c r="Z569" s="365" t="str">
        <f>IFERROR(X569*VLOOKUP(C569,'General price list'!C:I,7,FALSE),"")</f>
        <v/>
      </c>
      <c r="AA569" s="805" t="str">
        <f>IF(X569&lt;&gt;"",VLOOKUP(C569,'General price list'!C571:AN1544,MATCH("HM",Tabulka1[[#Headers],[KOD]:[NEQ]],0),FALSE),"")</f>
        <v/>
      </c>
    </row>
    <row r="570" spans="1:27">
      <c r="A570">
        <f>COUNTIF($W$22:W570,1)</f>
        <v>0</v>
      </c>
      <c r="B570">
        <v>570</v>
      </c>
      <c r="C570" s="340" t="str">
        <f>Tabulka1[[#This Row],[KOD]]</f>
        <v>C8825PA</v>
      </c>
      <c r="W570" s="804" t="str">
        <f t="shared" si="19"/>
        <v/>
      </c>
      <c r="X570" t="str">
        <f t="shared" si="20"/>
        <v/>
      </c>
      <c r="Y570" s="341">
        <f>IF('General price list'!$AB572="",0,'General price list'!$AB572)</f>
        <v>0</v>
      </c>
      <c r="Z570" s="365" t="str">
        <f>IFERROR(X570*VLOOKUP(C570,'General price list'!C:I,7,FALSE),"")</f>
        <v/>
      </c>
      <c r="AA570" s="805" t="str">
        <f>IF(X570&lt;&gt;"",VLOOKUP(C570,'General price list'!C572:AN1545,MATCH("HM",Tabulka1[[#Headers],[KOD]:[NEQ]],0),FALSE),"")</f>
        <v/>
      </c>
    </row>
    <row r="571" spans="1:27">
      <c r="A571">
        <f>COUNTIF($W$22:W571,1)</f>
        <v>0</v>
      </c>
      <c r="B571">
        <v>571</v>
      </c>
      <c r="C571" s="340" t="str">
        <f>Tabulka1[[#This Row],[KOD]]</f>
        <v>C8825BR</v>
      </c>
      <c r="W571" s="804" t="str">
        <f t="shared" si="19"/>
        <v/>
      </c>
      <c r="X571" t="str">
        <f t="shared" si="20"/>
        <v/>
      </c>
      <c r="Y571" s="341">
        <f>IF('General price list'!$AB573="",0,'General price list'!$AB573)</f>
        <v>0</v>
      </c>
      <c r="Z571" s="365" t="str">
        <f>IFERROR(X571*VLOOKUP(C571,'General price list'!C:I,7,FALSE),"")</f>
        <v/>
      </c>
      <c r="AA571" s="805" t="str">
        <f>IF(X571&lt;&gt;"",VLOOKUP(C571,'General price list'!C573:AN1546,MATCH("HM",Tabulka1[[#Headers],[KOD]:[NEQ]],0),FALSE),"")</f>
        <v/>
      </c>
    </row>
    <row r="572" spans="1:27">
      <c r="A572">
        <f>COUNTIF($W$22:W572,1)</f>
        <v>0</v>
      </c>
      <c r="B572">
        <v>572</v>
      </c>
      <c r="C572" s="340">
        <f>Tabulka1[[#This Row],[KOD]]</f>
        <v>0</v>
      </c>
      <c r="W572" s="804" t="str">
        <f t="shared" si="19"/>
        <v/>
      </c>
      <c r="X572" t="str">
        <f t="shared" si="20"/>
        <v/>
      </c>
      <c r="Y572" s="341">
        <f>IF('General price list'!$AB574="",0,'General price list'!$AB574)</f>
        <v>0</v>
      </c>
      <c r="Z572" s="365" t="str">
        <f>IFERROR(X572*VLOOKUP(C572,'General price list'!C:I,7,FALSE),"")</f>
        <v/>
      </c>
      <c r="AA572" s="805" t="str">
        <f>IF(X572&lt;&gt;"",VLOOKUP(C572,'General price list'!C574:AN1547,MATCH("HM",Tabulka1[[#Headers],[KOD]:[NEQ]],0),FALSE),"")</f>
        <v/>
      </c>
    </row>
    <row r="573" spans="1:27">
      <c r="A573">
        <f>COUNTIF($W$22:W573,1)</f>
        <v>0</v>
      </c>
      <c r="B573">
        <v>573</v>
      </c>
      <c r="C573" s="340" t="str">
        <f>Tabulka1[[#This Row],[KOD]]</f>
        <v>C10025BPS</v>
      </c>
      <c r="W573" s="804" t="str">
        <f t="shared" si="19"/>
        <v/>
      </c>
      <c r="X573" t="str">
        <f t="shared" si="20"/>
        <v/>
      </c>
      <c r="Y573" s="341">
        <f>IF('General price list'!$AB575="",0,'General price list'!$AB575)</f>
        <v>0</v>
      </c>
      <c r="Z573" s="365" t="str">
        <f>IFERROR(X573*VLOOKUP(C573,'General price list'!C:I,7,FALSE),"")</f>
        <v/>
      </c>
      <c r="AA573" s="805" t="str">
        <f>IF(X573&lt;&gt;"",VLOOKUP(C573,'General price list'!C575:AN1548,MATCH("HM",Tabulka1[[#Headers],[KOD]:[NEQ]],0),FALSE),"")</f>
        <v/>
      </c>
    </row>
    <row r="574" spans="1:27">
      <c r="A574">
        <f>COUNTIF($W$22:W574,1)</f>
        <v>0</v>
      </c>
      <c r="B574">
        <v>574</v>
      </c>
      <c r="C574" s="340" t="str">
        <f>Tabulka1[[#This Row],[KOD]]</f>
        <v>C10025PR1</v>
      </c>
      <c r="W574" s="804" t="str">
        <f t="shared" si="19"/>
        <v/>
      </c>
      <c r="X574" t="str">
        <f t="shared" si="20"/>
        <v/>
      </c>
      <c r="Y574" s="341">
        <f>IF('General price list'!$AB576="",0,'General price list'!$AB576)</f>
        <v>0</v>
      </c>
      <c r="Z574" s="365" t="str">
        <f>IFERROR(X574*VLOOKUP(C574,'General price list'!C:I,7,FALSE),"")</f>
        <v/>
      </c>
      <c r="AA574" s="805" t="str">
        <f>IF(X574&lt;&gt;"",VLOOKUP(C574,'General price list'!C576:AN1549,MATCH("HM",Tabulka1[[#Headers],[KOD]:[NEQ]],0),FALSE),"")</f>
        <v/>
      </c>
    </row>
    <row r="575" spans="1:27">
      <c r="A575">
        <f>COUNTIF($W$22:W575,1)</f>
        <v>0</v>
      </c>
      <c r="B575">
        <v>575</v>
      </c>
      <c r="C575" s="340" t="str">
        <f>Tabulka1[[#This Row],[KOD]]</f>
        <v>C10025I</v>
      </c>
      <c r="W575" s="804" t="str">
        <f t="shared" si="19"/>
        <v/>
      </c>
      <c r="X575" t="str">
        <f t="shared" si="20"/>
        <v/>
      </c>
      <c r="Y575" s="341">
        <f>IF('General price list'!$AB577="",0,'General price list'!$AB577)</f>
        <v>0</v>
      </c>
      <c r="Z575" s="365" t="str">
        <f>IFERROR(X575*VLOOKUP(C575,'General price list'!C:I,7,FALSE),"")</f>
        <v/>
      </c>
      <c r="AA575" s="805" t="str">
        <f>IF(X575&lt;&gt;"",VLOOKUP(C575,'General price list'!C577:AN1550,MATCH("HM",Tabulka1[[#Headers],[KOD]:[NEQ]],0),FALSE),"")</f>
        <v/>
      </c>
    </row>
    <row r="576" spans="1:27">
      <c r="A576">
        <f>COUNTIF($W$22:W576,1)</f>
        <v>0</v>
      </c>
      <c r="B576">
        <v>576</v>
      </c>
      <c r="C576" s="340">
        <f>Tabulka1[[#This Row],[KOD]]</f>
        <v>0</v>
      </c>
      <c r="W576" s="804" t="str">
        <f t="shared" si="19"/>
        <v/>
      </c>
      <c r="X576" t="str">
        <f t="shared" si="20"/>
        <v/>
      </c>
      <c r="Y576" s="341">
        <f>IF('General price list'!$AB578="",0,'General price list'!$AB578)</f>
        <v>0</v>
      </c>
      <c r="Z576" s="365" t="str">
        <f>IFERROR(X576*VLOOKUP(C576,'General price list'!C:I,7,FALSE),"")</f>
        <v/>
      </c>
      <c r="AA576" s="805" t="str">
        <f>IF(X576&lt;&gt;"",VLOOKUP(C576,'General price list'!C578:AN1551,MATCH("HM",Tabulka1[[#Headers],[KOD]:[NEQ]],0),FALSE),"")</f>
        <v/>
      </c>
    </row>
    <row r="577" spans="1:27">
      <c r="A577">
        <f>COUNTIF($W$22:W577,1)</f>
        <v>0</v>
      </c>
      <c r="B577">
        <v>577</v>
      </c>
      <c r="C577" s="340" t="str">
        <f>Tabulka1[[#This Row],[KOD]]</f>
        <v>C6425DU/C14</v>
      </c>
      <c r="W577" s="804" t="str">
        <f t="shared" si="19"/>
        <v/>
      </c>
      <c r="X577" t="str">
        <f t="shared" si="20"/>
        <v/>
      </c>
      <c r="Y577" s="341">
        <f>IF('General price list'!$AB579="",0,'General price list'!$AB579)</f>
        <v>0</v>
      </c>
      <c r="Z577" s="365" t="str">
        <f>IFERROR(X577*VLOOKUP(C577,'General price list'!C:I,7,FALSE),"")</f>
        <v/>
      </c>
      <c r="AA577" s="805" t="str">
        <f>IF(X577&lt;&gt;"",VLOOKUP(C577,'General price list'!C579:AN1552,MATCH("HM",Tabulka1[[#Headers],[KOD]:[NEQ]],0),FALSE),"")</f>
        <v/>
      </c>
    </row>
    <row r="578" spans="1:27">
      <c r="A578">
        <f>COUNTIF($W$22:W578,1)</f>
        <v>0</v>
      </c>
      <c r="B578">
        <v>578</v>
      </c>
      <c r="C578" s="340" t="str">
        <f>Tabulka1[[#This Row],[KOD]]</f>
        <v>C9625MF/C14</v>
      </c>
      <c r="W578" s="804" t="str">
        <f t="shared" si="19"/>
        <v/>
      </c>
      <c r="X578" t="str">
        <f t="shared" si="20"/>
        <v/>
      </c>
      <c r="Y578" s="341">
        <f>IF('General price list'!$AB580="",0,'General price list'!$AB580)</f>
        <v>0</v>
      </c>
      <c r="Z578" s="365" t="str">
        <f>IFERROR(X578*VLOOKUP(C578,'General price list'!C:I,7,FALSE),"")</f>
        <v/>
      </c>
      <c r="AA578" s="805" t="str">
        <f>IF(X578&lt;&gt;"",VLOOKUP(C578,'General price list'!C580:AN1553,MATCH("HM",Tabulka1[[#Headers],[KOD]:[NEQ]],0),FALSE),"")</f>
        <v/>
      </c>
    </row>
    <row r="579" spans="1:27">
      <c r="A579">
        <f>COUNTIF($W$22:W579,1)</f>
        <v>0</v>
      </c>
      <c r="B579">
        <v>579</v>
      </c>
      <c r="C579" s="340" t="str">
        <f>Tabulka1[[#This Row],[KOD]]</f>
        <v>C9825C/C14</v>
      </c>
      <c r="W579" s="804" t="str">
        <f t="shared" si="19"/>
        <v/>
      </c>
      <c r="X579" t="str">
        <f t="shared" si="20"/>
        <v/>
      </c>
      <c r="Y579" s="341">
        <f>IF('General price list'!$AB581="",0,'General price list'!$AB581)</f>
        <v>0</v>
      </c>
      <c r="Z579" s="365" t="str">
        <f>IFERROR(X579*VLOOKUP(C579,'General price list'!C:I,7,FALSE),"")</f>
        <v/>
      </c>
      <c r="AA579" s="805" t="str">
        <f>IF(X579&lt;&gt;"",VLOOKUP(C579,'General price list'!C581:AN1554,MATCH("HM",Tabulka1[[#Headers],[KOD]:[NEQ]],0),FALSE),"")</f>
        <v/>
      </c>
    </row>
    <row r="580" spans="1:27">
      <c r="A580">
        <f>COUNTIF($W$22:W580,1)</f>
        <v>0</v>
      </c>
      <c r="B580">
        <v>580</v>
      </c>
      <c r="C580" s="340" t="str">
        <f>Tabulka1[[#This Row],[KOD]]</f>
        <v>C9825SIG/C14</v>
      </c>
      <c r="W580" s="804" t="str">
        <f t="shared" si="19"/>
        <v/>
      </c>
      <c r="X580" t="str">
        <f t="shared" si="20"/>
        <v/>
      </c>
      <c r="Y580" s="341">
        <f>IF('General price list'!$AB582="",0,'General price list'!$AB582)</f>
        <v>0</v>
      </c>
      <c r="Z580" s="365" t="str">
        <f>IFERROR(X580*VLOOKUP(C580,'General price list'!C:I,7,FALSE),"")</f>
        <v/>
      </c>
      <c r="AA580" s="805" t="str">
        <f>IF(X580&lt;&gt;"",VLOOKUP(C580,'General price list'!C582:AN1555,MATCH("HM",Tabulka1[[#Headers],[KOD]:[NEQ]],0),FALSE),"")</f>
        <v/>
      </c>
    </row>
    <row r="581" spans="1:27">
      <c r="A581">
        <f>COUNTIF($W$22:W581,1)</f>
        <v>0</v>
      </c>
      <c r="B581">
        <v>581</v>
      </c>
      <c r="C581" s="340" t="str">
        <f>Tabulka1[[#This Row],[KOD]]</f>
        <v>C10025BPW/C14</v>
      </c>
      <c r="W581" s="804" t="str">
        <f t="shared" si="19"/>
        <v/>
      </c>
      <c r="X581" t="str">
        <f t="shared" si="20"/>
        <v/>
      </c>
      <c r="Y581" s="341">
        <f>IF('General price list'!$AB583="",0,'General price list'!$AB583)</f>
        <v>0</v>
      </c>
      <c r="Z581" s="365" t="str">
        <f>IFERROR(X581*VLOOKUP(C581,'General price list'!C:I,7,FALSE),"")</f>
        <v/>
      </c>
      <c r="AA581" s="805" t="str">
        <f>IF(X581&lt;&gt;"",VLOOKUP(C581,'General price list'!C583:AN1556,MATCH("HM",Tabulka1[[#Headers],[KOD]:[NEQ]],0),FALSE),"")</f>
        <v/>
      </c>
    </row>
    <row r="582" spans="1:27">
      <c r="A582">
        <f>COUNTIF($W$22:W582,1)</f>
        <v>0</v>
      </c>
      <c r="B582">
        <v>582</v>
      </c>
      <c r="C582" s="340" t="str">
        <f>Tabulka1[[#This Row],[KOD]]</f>
        <v>C14025XFS/C14</v>
      </c>
      <c r="W582" s="804" t="str">
        <f t="shared" si="19"/>
        <v/>
      </c>
      <c r="X582" t="str">
        <f t="shared" si="20"/>
        <v/>
      </c>
      <c r="Y582" s="341">
        <f>IF('General price list'!$AB584="",0,'General price list'!$AB584)</f>
        <v>0</v>
      </c>
      <c r="Z582" s="365" t="str">
        <f>IFERROR(X582*VLOOKUP(C582,'General price list'!C:I,7,FALSE),"")</f>
        <v/>
      </c>
      <c r="AA582" s="805" t="str">
        <f>IF(X582&lt;&gt;"",VLOOKUP(C582,'General price list'!C584:AN1557,MATCH("HM",Tabulka1[[#Headers],[KOD]:[NEQ]],0),FALSE),"")</f>
        <v/>
      </c>
    </row>
    <row r="583" spans="1:27">
      <c r="A583">
        <f>COUNTIF($W$22:W583,1)</f>
        <v>0</v>
      </c>
      <c r="B583">
        <v>583</v>
      </c>
      <c r="C583" s="340" t="str">
        <f>Tabulka1[[#This Row],[KOD]]</f>
        <v>C19225MF/C14</v>
      </c>
      <c r="W583" s="804" t="str">
        <f t="shared" si="19"/>
        <v/>
      </c>
      <c r="X583" t="str">
        <f t="shared" si="20"/>
        <v/>
      </c>
      <c r="Y583" s="341">
        <f>IF('General price list'!$AB585="",0,'General price list'!$AB585)</f>
        <v>0</v>
      </c>
      <c r="Z583" s="365" t="str">
        <f>IFERROR(X583*VLOOKUP(C583,'General price list'!C:I,7,FALSE),"")</f>
        <v/>
      </c>
      <c r="AA583" s="805" t="str">
        <f>IF(X583&lt;&gt;"",VLOOKUP(C583,'General price list'!C585:AN1558,MATCH("HM",Tabulka1[[#Headers],[KOD]:[NEQ]],0),FALSE),"")</f>
        <v/>
      </c>
    </row>
    <row r="584" spans="1:27">
      <c r="A584">
        <f>COUNTIF($W$22:W584,1)</f>
        <v>0</v>
      </c>
      <c r="B584">
        <v>584</v>
      </c>
      <c r="C584" s="340" t="str">
        <f>Tabulka1[[#This Row],[KOD]]</f>
        <v>C19625/C14</v>
      </c>
      <c r="W584" s="804" t="str">
        <f t="shared" si="19"/>
        <v/>
      </c>
      <c r="X584" t="str">
        <f t="shared" si="20"/>
        <v/>
      </c>
      <c r="Y584" s="341">
        <f>IF('General price list'!$AB586="",0,'General price list'!$AB586)</f>
        <v>0</v>
      </c>
      <c r="Z584" s="365" t="str">
        <f>IFERROR(X584*VLOOKUP(C584,'General price list'!C:I,7,FALSE),"")</f>
        <v/>
      </c>
      <c r="AA584" s="805" t="str">
        <f>IF(X584&lt;&gt;"",VLOOKUP(C584,'General price list'!C586:AN1559,MATCH("HM",Tabulka1[[#Headers],[KOD]:[NEQ]],0),FALSE),"")</f>
        <v/>
      </c>
    </row>
    <row r="585" spans="1:27">
      <c r="A585">
        <f>COUNTIF($W$22:W585,1)</f>
        <v>0</v>
      </c>
      <c r="B585">
        <v>585</v>
      </c>
      <c r="C585" s="340" t="str">
        <f>Tabulka1[[#This Row],[KOD]]</f>
        <v>C1-C2 C40025F/C14</v>
      </c>
      <c r="W585" s="804" t="str">
        <f t="shared" si="19"/>
        <v/>
      </c>
      <c r="X585" t="str">
        <f t="shared" si="20"/>
        <v/>
      </c>
      <c r="Y585" s="341">
        <f>IF('General price list'!$AB587="",0,'General price list'!$AB587)</f>
        <v>0</v>
      </c>
      <c r="Z585" s="365" t="str">
        <f>IFERROR(X585*VLOOKUP(C585,'General price list'!C:I,7,FALSE),"")</f>
        <v/>
      </c>
      <c r="AA585" s="805" t="str">
        <f>IF(X585&lt;&gt;"",VLOOKUP(C585,'General price list'!C587:AN1560,MATCH("HM",Tabulka1[[#Headers],[KOD]:[NEQ]],0),FALSE),"")</f>
        <v/>
      </c>
    </row>
    <row r="586" spans="1:27">
      <c r="A586">
        <f>COUNTIF($W$22:W586,1)</f>
        <v>0</v>
      </c>
      <c r="B586">
        <v>586</v>
      </c>
      <c r="C586" s="340">
        <f>Tabulka1[[#This Row],[KOD]]</f>
        <v>0</v>
      </c>
      <c r="W586" s="804" t="str">
        <f t="shared" si="19"/>
        <v/>
      </c>
      <c r="X586" t="str">
        <f t="shared" si="20"/>
        <v/>
      </c>
      <c r="Y586" s="341">
        <f>IF('General price list'!$AB588="",0,'General price list'!$AB588)</f>
        <v>0</v>
      </c>
      <c r="Z586" s="365" t="str">
        <f>IFERROR(X586*VLOOKUP(C586,'General price list'!C:I,7,FALSE),"")</f>
        <v/>
      </c>
      <c r="AA586" s="805" t="str">
        <f>IF(X586&lt;&gt;"",VLOOKUP(C586,'General price list'!C588:AN1561,MATCH("HM",Tabulka1[[#Headers],[KOD]:[NEQ]],0),FALSE),"")</f>
        <v/>
      </c>
    </row>
    <row r="587" spans="1:27">
      <c r="A587">
        <f>COUNTIF($W$22:W587,1)</f>
        <v>0</v>
      </c>
      <c r="B587">
        <v>587</v>
      </c>
      <c r="C587" s="340" t="str">
        <f>Tabulka1[[#This Row],[KOD]]</f>
        <v>C9825C/C</v>
      </c>
      <c r="W587" s="804" t="str">
        <f t="shared" si="19"/>
        <v/>
      </c>
      <c r="X587" t="str">
        <f t="shared" si="20"/>
        <v/>
      </c>
      <c r="Y587" s="341">
        <f>IF('General price list'!$AB589="",0,'General price list'!$AB589)</f>
        <v>0</v>
      </c>
      <c r="Z587" s="365" t="str">
        <f>IFERROR(X587*VLOOKUP(C587,'General price list'!C:I,7,FALSE),"")</f>
        <v/>
      </c>
      <c r="AA587" s="805" t="str">
        <f>IF(X587&lt;&gt;"",VLOOKUP(C587,'General price list'!C589:AN1562,MATCH("HM",Tabulka1[[#Headers],[KOD]:[NEQ]],0),FALSE),"")</f>
        <v/>
      </c>
    </row>
    <row r="588" spans="1:27">
      <c r="A588">
        <f>COUNTIF($W$22:W588,1)</f>
        <v>0</v>
      </c>
      <c r="B588">
        <v>588</v>
      </c>
      <c r="C588" s="340" t="str">
        <f>Tabulka1[[#This Row],[KOD]]</f>
        <v>C10025SIG/C</v>
      </c>
      <c r="W588" s="804" t="str">
        <f t="shared" si="19"/>
        <v/>
      </c>
      <c r="X588" t="str">
        <f t="shared" si="20"/>
        <v/>
      </c>
      <c r="Y588" s="341">
        <f>IF('General price list'!$AB590="",0,'General price list'!$AB590)</f>
        <v>0</v>
      </c>
      <c r="Z588" s="365" t="str">
        <f>IFERROR(X588*VLOOKUP(C588,'General price list'!C:I,7,FALSE),"")</f>
        <v/>
      </c>
      <c r="AA588" s="805" t="str">
        <f>IF(X588&lt;&gt;"",VLOOKUP(C588,'General price list'!C590:AN1563,MATCH("HM",Tabulka1[[#Headers],[KOD]:[NEQ]],0),FALSE),"")</f>
        <v/>
      </c>
    </row>
    <row r="589" spans="1:27">
      <c r="A589">
        <f>COUNTIF($W$22:W589,1)</f>
        <v>0</v>
      </c>
      <c r="B589">
        <v>589</v>
      </c>
      <c r="C589" s="340" t="str">
        <f>Tabulka1[[#This Row],[KOD]]</f>
        <v>C14025XFS/C</v>
      </c>
      <c r="W589" s="804" t="str">
        <f t="shared" si="19"/>
        <v/>
      </c>
      <c r="X589" t="str">
        <f t="shared" si="20"/>
        <v/>
      </c>
      <c r="Y589" s="341">
        <f>IF('General price list'!$AB591="",0,'General price list'!$AB591)</f>
        <v>0</v>
      </c>
      <c r="Z589" s="365" t="str">
        <f>IFERROR(X589*VLOOKUP(C589,'General price list'!C:I,7,FALSE),"")</f>
        <v/>
      </c>
      <c r="AA589" s="805" t="str">
        <f>IF(X589&lt;&gt;"",VLOOKUP(C589,'General price list'!C591:AN1564,MATCH("HM",Tabulka1[[#Headers],[KOD]:[NEQ]],0),FALSE),"")</f>
        <v/>
      </c>
    </row>
    <row r="590" spans="1:27">
      <c r="A590">
        <f>COUNTIF($W$22:W590,1)</f>
        <v>0</v>
      </c>
      <c r="B590">
        <v>590</v>
      </c>
      <c r="C590" s="340" t="str">
        <f>Tabulka1[[#This Row],[KOD]]</f>
        <v>C19625F/C</v>
      </c>
      <c r="W590" s="804" t="str">
        <f t="shared" si="19"/>
        <v/>
      </c>
      <c r="X590" t="str">
        <f t="shared" si="20"/>
        <v/>
      </c>
      <c r="Y590" s="341">
        <f>IF('General price list'!$AB592="",0,'General price list'!$AB592)</f>
        <v>0</v>
      </c>
      <c r="Z590" s="365" t="str">
        <f>IFERROR(X590*VLOOKUP(C590,'General price list'!C:I,7,FALSE),"")</f>
        <v/>
      </c>
      <c r="AA590" s="805" t="str">
        <f>IF(X590&lt;&gt;"",VLOOKUP(C590,'General price list'!C592:AN1565,MATCH("HM",Tabulka1[[#Headers],[KOD]:[NEQ]],0),FALSE),"")</f>
        <v/>
      </c>
    </row>
    <row r="591" spans="1:27">
      <c r="A591">
        <f>COUNTIF($W$22:W591,1)</f>
        <v>0</v>
      </c>
      <c r="B591">
        <v>591</v>
      </c>
      <c r="C591" s="340" t="str">
        <f>Tabulka1[[#This Row],[KOD]]</f>
        <v>C20025I/C</v>
      </c>
      <c r="W591" s="804" t="str">
        <f t="shared" si="19"/>
        <v/>
      </c>
      <c r="X591" t="str">
        <f t="shared" si="20"/>
        <v/>
      </c>
      <c r="Y591" s="341">
        <f>IF('General price list'!$AB593="",0,'General price list'!$AB593)</f>
        <v>0</v>
      </c>
      <c r="Z591" s="365" t="str">
        <f>IFERROR(X591*VLOOKUP(C591,'General price list'!C:I,7,FALSE),"")</f>
        <v/>
      </c>
      <c r="AA591" s="805" t="str">
        <f>IF(X591&lt;&gt;"",VLOOKUP(C591,'General price list'!C593:AN1566,MATCH("HM",Tabulka1[[#Headers],[KOD]:[NEQ]],0),FALSE),"")</f>
        <v/>
      </c>
    </row>
    <row r="592" spans="1:27">
      <c r="A592">
        <f>COUNTIF($W$22:W592,1)</f>
        <v>0</v>
      </c>
      <c r="B592">
        <v>592</v>
      </c>
      <c r="C592" s="340">
        <f>Tabulka1[[#This Row],[KOD]]</f>
        <v>0</v>
      </c>
      <c r="W592" s="804" t="str">
        <f t="shared" si="19"/>
        <v/>
      </c>
      <c r="X592" t="str">
        <f t="shared" si="20"/>
        <v/>
      </c>
      <c r="Y592" s="341">
        <f>IF('General price list'!$AB594="",0,'General price list'!$AB594)</f>
        <v>0</v>
      </c>
      <c r="Z592" s="365" t="str">
        <f>IFERROR(X592*VLOOKUP(C592,'General price list'!C:I,7,FALSE),"")</f>
        <v/>
      </c>
      <c r="AA592" s="805" t="str">
        <f>IF(X592&lt;&gt;"",VLOOKUP(C592,'General price list'!C594:AN1567,MATCH("HM",Tabulka1[[#Headers],[KOD]:[NEQ]],0),FALSE),"")</f>
        <v/>
      </c>
    </row>
    <row r="593" spans="1:27">
      <c r="A593">
        <f>COUNTIF($W$22:W593,1)</f>
        <v>0</v>
      </c>
      <c r="B593">
        <v>593</v>
      </c>
      <c r="C593" s="340" t="str">
        <f>Tabulka1[[#This Row],[KOD]]</f>
        <v>C17825W/C</v>
      </c>
      <c r="W593" s="804" t="str">
        <f t="shared" si="19"/>
        <v/>
      </c>
      <c r="X593" t="str">
        <f t="shared" si="20"/>
        <v/>
      </c>
      <c r="Y593" s="341">
        <f>IF('General price list'!$AB595="",0,'General price list'!$AB595)</f>
        <v>0</v>
      </c>
      <c r="Z593" s="365" t="str">
        <f>IFERROR(X593*VLOOKUP(C593,'General price list'!C:I,7,FALSE),"")</f>
        <v/>
      </c>
      <c r="AA593" s="805" t="str">
        <f>IF(X593&lt;&gt;"",VLOOKUP(C593,'General price list'!C595:AN1568,MATCH("HM",Tabulka1[[#Headers],[KOD]:[NEQ]],0),FALSE),"")</f>
        <v/>
      </c>
    </row>
    <row r="594" spans="1:27">
      <c r="A594">
        <f>COUNTIF($W$22:W594,1)</f>
        <v>0</v>
      </c>
      <c r="B594">
        <v>594</v>
      </c>
      <c r="C594" s="340" t="str">
        <f>Tabulka1[[#This Row],[KOD]]</f>
        <v>C20025F/C</v>
      </c>
      <c r="W594" s="804" t="str">
        <f t="shared" si="19"/>
        <v/>
      </c>
      <c r="X594" t="str">
        <f t="shared" si="20"/>
        <v/>
      </c>
      <c r="Y594" s="341">
        <f>IF('General price list'!$AB596="",0,'General price list'!$AB596)</f>
        <v>0</v>
      </c>
      <c r="Z594" s="365" t="str">
        <f>IFERROR(X594*VLOOKUP(C594,'General price list'!C:I,7,FALSE),"")</f>
        <v/>
      </c>
      <c r="AA594" s="805" t="str">
        <f>IF(X594&lt;&gt;"",VLOOKUP(C594,'General price list'!C596:AN1569,MATCH("HM",Tabulka1[[#Headers],[KOD]:[NEQ]],0),FALSE),"")</f>
        <v/>
      </c>
    </row>
    <row r="595" spans="1:27">
      <c r="A595">
        <f>COUNTIF($W$22:W595,1)</f>
        <v>0</v>
      </c>
      <c r="B595">
        <v>595</v>
      </c>
      <c r="C595" s="340" t="str">
        <f>Tabulka1[[#This Row],[KOD]]</f>
        <v>C30025F/C</v>
      </c>
      <c r="W595" s="804" t="str">
        <f t="shared" si="19"/>
        <v/>
      </c>
      <c r="X595" t="str">
        <f t="shared" si="20"/>
        <v/>
      </c>
      <c r="Y595" s="341">
        <f>IF('General price list'!$AB597="",0,'General price list'!$AB597)</f>
        <v>0</v>
      </c>
      <c r="Z595" s="365" t="str">
        <f>IFERROR(X595*VLOOKUP(C595,'General price list'!C:I,7,FALSE),"")</f>
        <v/>
      </c>
      <c r="AA595" s="805" t="str">
        <f>IF(X595&lt;&gt;"",VLOOKUP(C595,'General price list'!C597:AN1570,MATCH("HM",Tabulka1[[#Headers],[KOD]:[NEQ]],0),FALSE),"")</f>
        <v/>
      </c>
    </row>
    <row r="596" spans="1:27">
      <c r="A596">
        <f>COUNTIF($W$22:W596,1)</f>
        <v>0</v>
      </c>
      <c r="B596">
        <v>596</v>
      </c>
      <c r="C596" s="340" t="str">
        <f>Tabulka1[[#This Row],[KOD]]</f>
        <v>C40025F/C</v>
      </c>
      <c r="W596" s="804" t="str">
        <f t="shared" si="19"/>
        <v/>
      </c>
      <c r="X596" t="str">
        <f t="shared" si="20"/>
        <v/>
      </c>
      <c r="Y596" s="341">
        <f>IF('General price list'!$AB598="",0,'General price list'!$AB598)</f>
        <v>0</v>
      </c>
      <c r="Z596" s="365" t="str">
        <f>IFERROR(X596*VLOOKUP(C596,'General price list'!C:I,7,FALSE),"")</f>
        <v/>
      </c>
      <c r="AA596" s="805" t="str">
        <f>IF(X596&lt;&gt;"",VLOOKUP(C596,'General price list'!C598:AN1571,MATCH("HM",Tabulka1[[#Headers],[KOD]:[NEQ]],0),FALSE),"")</f>
        <v/>
      </c>
    </row>
    <row r="597" spans="1:27">
      <c r="A597">
        <f>COUNTIF($W$22:W597,1)</f>
        <v>0</v>
      </c>
      <c r="B597">
        <v>597</v>
      </c>
      <c r="C597" s="340">
        <f>Tabulka1[[#This Row],[KOD]]</f>
        <v>0</v>
      </c>
      <c r="W597" s="804" t="str">
        <f t="shared" si="19"/>
        <v/>
      </c>
      <c r="X597" t="str">
        <f t="shared" si="20"/>
        <v/>
      </c>
      <c r="Y597" s="341">
        <f>IF('General price list'!$AB599="",0,'General price list'!$AB599)</f>
        <v>0</v>
      </c>
      <c r="Z597" s="365" t="str">
        <f>IFERROR(X597*VLOOKUP(C597,'General price list'!C:I,7,FALSE),"")</f>
        <v/>
      </c>
      <c r="AA597" s="805" t="str">
        <f>IF(X597&lt;&gt;"",VLOOKUP(C597,'General price list'!C599:AN1572,MATCH("HM",Tabulka1[[#Headers],[KOD]:[NEQ]],0),FALSE),"")</f>
        <v/>
      </c>
    </row>
    <row r="598" spans="1:27">
      <c r="A598">
        <f>COUNTIF($W$22:W598,1)</f>
        <v>0</v>
      </c>
      <c r="B598">
        <v>598</v>
      </c>
      <c r="C598" s="340" t="str">
        <f>Tabulka1[[#This Row],[KOD]]</f>
        <v>C163BP</v>
      </c>
      <c r="W598" s="804" t="str">
        <f t="shared" si="19"/>
        <v/>
      </c>
      <c r="X598" t="str">
        <f t="shared" si="20"/>
        <v/>
      </c>
      <c r="Y598" s="341">
        <f>IF('General price list'!$AB600="",0,'General price list'!$AB600)</f>
        <v>0</v>
      </c>
      <c r="Z598" s="365" t="str">
        <f>IFERROR(X598*VLOOKUP(C598,'General price list'!C:I,7,FALSE),"")</f>
        <v/>
      </c>
      <c r="AA598" s="805" t="str">
        <f>IF(X598&lt;&gt;"",VLOOKUP(C598,'General price list'!C600:AN1573,MATCH("HM",Tabulka1[[#Headers],[KOD]:[NEQ]],0),FALSE),"")</f>
        <v/>
      </c>
    </row>
    <row r="599" spans="1:27">
      <c r="A599">
        <f>COUNTIF($W$22:W599,1)</f>
        <v>0</v>
      </c>
      <c r="B599">
        <v>599</v>
      </c>
      <c r="C599" s="340" t="str">
        <f>Tabulka1[[#This Row],[KOD]]</f>
        <v>C163SIG</v>
      </c>
      <c r="W599" s="804" t="str">
        <f t="shared" si="19"/>
        <v/>
      </c>
      <c r="X599" t="str">
        <f t="shared" si="20"/>
        <v/>
      </c>
      <c r="Y599" s="341">
        <f>IF('General price list'!$AB601="",0,'General price list'!$AB601)</f>
        <v>0</v>
      </c>
      <c r="Z599" s="365" t="str">
        <f>IFERROR(X599*VLOOKUP(C599,'General price list'!C:I,7,FALSE),"")</f>
        <v/>
      </c>
      <c r="AA599" s="805" t="str">
        <f>IF(X599&lt;&gt;"",VLOOKUP(C599,'General price list'!C601:AN1574,MATCH("HM",Tabulka1[[#Headers],[KOD]:[NEQ]],0),FALSE),"")</f>
        <v/>
      </c>
    </row>
    <row r="600" spans="1:27">
      <c r="A600">
        <f>COUNTIF($W$22:W600,1)</f>
        <v>0</v>
      </c>
      <c r="B600">
        <v>600</v>
      </c>
      <c r="C600" s="340" t="str">
        <f>Tabulka1[[#This Row],[KOD]]</f>
        <v>C163A</v>
      </c>
      <c r="W600" s="804" t="str">
        <f t="shared" si="19"/>
        <v/>
      </c>
      <c r="X600" t="str">
        <f t="shared" si="20"/>
        <v/>
      </c>
      <c r="Y600" s="341">
        <f>IF('General price list'!$AB602="",0,'General price list'!$AB602)</f>
        <v>0</v>
      </c>
      <c r="Z600" s="365" t="str">
        <f>IFERROR(X600*VLOOKUP(C600,'General price list'!C:I,7,FALSE),"")</f>
        <v/>
      </c>
      <c r="AA600" s="805" t="str">
        <f>IF(X600&lt;&gt;"",VLOOKUP(C600,'General price list'!C602:AN1575,MATCH("HM",Tabulka1[[#Headers],[KOD]:[NEQ]],0),FALSE),"")</f>
        <v/>
      </c>
    </row>
    <row r="601" spans="1:27">
      <c r="A601">
        <f>COUNTIF($W$22:W601,1)</f>
        <v>0</v>
      </c>
      <c r="B601">
        <v>601</v>
      </c>
      <c r="C601" s="340" t="str">
        <f>Tabulka1[[#This Row],[KOD]]</f>
        <v>C163B</v>
      </c>
      <c r="W601" s="804" t="str">
        <f t="shared" ref="W601:W664" si="21">IF(Y601+1=1,"",1)</f>
        <v/>
      </c>
      <c r="X601" t="str">
        <f t="shared" ref="X601:X664" si="22">IF(OR(A601&lt;$G$20,A601&gt;$G$21),"",IF(Y601=0,"",Y601))</f>
        <v/>
      </c>
      <c r="Y601" s="341">
        <f>IF('General price list'!$AB603="",0,'General price list'!$AB603)</f>
        <v>0</v>
      </c>
      <c r="Z601" s="365" t="str">
        <f>IFERROR(X601*VLOOKUP(C601,'General price list'!C:I,7,FALSE),"")</f>
        <v/>
      </c>
      <c r="AA601" s="805" t="str">
        <f>IF(X601&lt;&gt;"",VLOOKUP(C601,'General price list'!C603:AN1576,MATCH("HM",Tabulka1[[#Headers],[KOD]:[NEQ]],0),FALSE),"")</f>
        <v/>
      </c>
    </row>
    <row r="602" spans="1:27">
      <c r="A602">
        <f>COUNTIF($W$22:W602,1)</f>
        <v>0</v>
      </c>
      <c r="B602">
        <v>602</v>
      </c>
      <c r="C602" s="340" t="str">
        <f>Tabulka1[[#This Row],[KOD]]</f>
        <v>C163L</v>
      </c>
      <c r="W602" s="804" t="str">
        <f t="shared" si="21"/>
        <v/>
      </c>
      <c r="X602" t="str">
        <f t="shared" si="22"/>
        <v/>
      </c>
      <c r="Y602" s="341">
        <f>IF('General price list'!$AB604="",0,'General price list'!$AB604)</f>
        <v>0</v>
      </c>
      <c r="Z602" s="365" t="str">
        <f>IFERROR(X602*VLOOKUP(C602,'General price list'!C:I,7,FALSE),"")</f>
        <v/>
      </c>
      <c r="AA602" s="805" t="str">
        <f>IF(X602&lt;&gt;"",VLOOKUP(C602,'General price list'!C604:AN1577,MATCH("HM",Tabulka1[[#Headers],[KOD]:[NEQ]],0),FALSE),"")</f>
        <v/>
      </c>
    </row>
    <row r="603" spans="1:27">
      <c r="A603">
        <f>COUNTIF($W$22:W603,1)</f>
        <v>0</v>
      </c>
      <c r="B603">
        <v>603</v>
      </c>
      <c r="C603" s="340" t="str">
        <f>Tabulka1[[#This Row],[KOD]]</f>
        <v>C163E</v>
      </c>
      <c r="W603" s="804" t="str">
        <f t="shared" si="21"/>
        <v/>
      </c>
      <c r="X603" t="str">
        <f t="shared" si="22"/>
        <v/>
      </c>
      <c r="Y603" s="341">
        <f>IF('General price list'!$AB605="",0,'General price list'!$AB605)</f>
        <v>0</v>
      </c>
      <c r="Z603" s="365" t="str">
        <f>IFERROR(X603*VLOOKUP(C603,'General price list'!C:I,7,FALSE),"")</f>
        <v/>
      </c>
      <c r="AA603" s="805" t="str">
        <f>IF(X603&lt;&gt;"",VLOOKUP(C603,'General price list'!C605:AN1578,MATCH("HM",Tabulka1[[#Headers],[KOD]:[NEQ]],0),FALSE),"")</f>
        <v/>
      </c>
    </row>
    <row r="604" spans="1:27">
      <c r="A604">
        <f>COUNTIF($W$22:W604,1)</f>
        <v>0</v>
      </c>
      <c r="B604">
        <v>604</v>
      </c>
      <c r="C604" s="340" t="str">
        <f>Tabulka1[[#This Row],[KOD]]</f>
        <v>C163K</v>
      </c>
      <c r="W604" s="804" t="str">
        <f t="shared" si="21"/>
        <v/>
      </c>
      <c r="X604" t="str">
        <f t="shared" si="22"/>
        <v/>
      </c>
      <c r="Y604" s="341">
        <f>IF('General price list'!$AB606="",0,'General price list'!$AB606)</f>
        <v>0</v>
      </c>
      <c r="Z604" s="365" t="str">
        <f>IFERROR(X604*VLOOKUP(C604,'General price list'!C:I,7,FALSE),"")</f>
        <v/>
      </c>
      <c r="AA604" s="805" t="str">
        <f>IF(X604&lt;&gt;"",VLOOKUP(C604,'General price list'!C606:AN1579,MATCH("HM",Tabulka1[[#Headers],[KOD]:[NEQ]],0),FALSE),"")</f>
        <v/>
      </c>
    </row>
    <row r="605" spans="1:27">
      <c r="A605">
        <f>COUNTIF($W$22:W605,1)</f>
        <v>0</v>
      </c>
      <c r="B605">
        <v>605</v>
      </c>
      <c r="C605" s="340">
        <f>Tabulka1[[#This Row],[KOD]]</f>
        <v>0</v>
      </c>
      <c r="W605" s="804" t="str">
        <f t="shared" si="21"/>
        <v/>
      </c>
      <c r="X605" t="str">
        <f t="shared" si="22"/>
        <v/>
      </c>
      <c r="Y605" s="341">
        <f>IF('General price list'!$AB607="",0,'General price list'!$AB607)</f>
        <v>0</v>
      </c>
      <c r="Z605" s="365" t="str">
        <f>IFERROR(X605*VLOOKUP(C605,'General price list'!C:I,7,FALSE),"")</f>
        <v/>
      </c>
      <c r="AA605" s="805" t="str">
        <f>IF(X605&lt;&gt;"",VLOOKUP(C605,'General price list'!C607:AN1580,MATCH("HM",Tabulka1[[#Headers],[KOD]:[NEQ]],0),FALSE),"")</f>
        <v/>
      </c>
    </row>
    <row r="606" spans="1:27">
      <c r="A606">
        <f>COUNTIF($W$22:W606,1)</f>
        <v>0</v>
      </c>
      <c r="B606">
        <v>606</v>
      </c>
      <c r="C606" s="340" t="str">
        <f>Tabulka1[[#This Row],[KOD]]</f>
        <v>C163A14</v>
      </c>
      <c r="W606" s="804" t="str">
        <f t="shared" si="21"/>
        <v/>
      </c>
      <c r="X606" t="str">
        <f t="shared" si="22"/>
        <v/>
      </c>
      <c r="Y606" s="341">
        <f>IF('General price list'!$AB608="",0,'General price list'!$AB608)</f>
        <v>0</v>
      </c>
      <c r="Z606" s="365" t="str">
        <f>IFERROR(X606*VLOOKUP(C606,'General price list'!C:I,7,FALSE),"")</f>
        <v/>
      </c>
      <c r="AA606" s="805" t="str">
        <f>IF(X606&lt;&gt;"",VLOOKUP(C606,'General price list'!C608:AN1581,MATCH("HM",Tabulka1[[#Headers],[KOD]:[NEQ]],0),FALSE),"")</f>
        <v/>
      </c>
    </row>
    <row r="607" spans="1:27">
      <c r="A607">
        <f>COUNTIF($W$22:W607,1)</f>
        <v>0</v>
      </c>
      <c r="B607">
        <v>607</v>
      </c>
      <c r="C607" s="340">
        <f>Tabulka1[[#This Row],[KOD]]</f>
        <v>0</v>
      </c>
      <c r="W607" s="804" t="str">
        <f t="shared" si="21"/>
        <v/>
      </c>
      <c r="X607" t="str">
        <f t="shared" si="22"/>
        <v/>
      </c>
      <c r="Y607" s="341">
        <f>IF('General price list'!$AB609="",0,'General price list'!$AB609)</f>
        <v>0</v>
      </c>
      <c r="Z607" s="365" t="str">
        <f>IFERROR(X607*VLOOKUP(C607,'General price list'!C:I,7,FALSE),"")</f>
        <v/>
      </c>
      <c r="AA607" s="805" t="str">
        <f>IF(X607&lt;&gt;"",VLOOKUP(C607,'General price list'!C609:AN1582,MATCH("HM",Tabulka1[[#Headers],[KOD]:[NEQ]],0),FALSE),"")</f>
        <v/>
      </c>
    </row>
    <row r="608" spans="1:27">
      <c r="A608">
        <f>COUNTIF($W$22:W608,1)</f>
        <v>0</v>
      </c>
      <c r="B608">
        <v>608</v>
      </c>
      <c r="C608" s="340" t="str">
        <f>Tabulka1[[#This Row],[KOD]]</f>
        <v>C193BP</v>
      </c>
      <c r="W608" s="804" t="str">
        <f t="shared" si="21"/>
        <v/>
      </c>
      <c r="X608" t="str">
        <f t="shared" si="22"/>
        <v/>
      </c>
      <c r="Y608" s="341">
        <f>IF('General price list'!$AB610="",0,'General price list'!$AB610)</f>
        <v>0</v>
      </c>
      <c r="Z608" s="365" t="str">
        <f>IFERROR(X608*VLOOKUP(C608,'General price list'!C:I,7,FALSE),"")</f>
        <v/>
      </c>
      <c r="AA608" s="805" t="str">
        <f>IF(X608&lt;&gt;"",VLOOKUP(C608,'General price list'!C610:AN1583,MATCH("HM",Tabulka1[[#Headers],[KOD]:[NEQ]],0),FALSE),"")</f>
        <v/>
      </c>
    </row>
    <row r="609" spans="1:27">
      <c r="A609">
        <f>COUNTIF($W$22:W609,1)</f>
        <v>0</v>
      </c>
      <c r="B609">
        <v>609</v>
      </c>
      <c r="C609" s="340" t="str">
        <f>Tabulka1[[#This Row],[KOD]]</f>
        <v>C193C</v>
      </c>
      <c r="W609" s="804" t="str">
        <f t="shared" si="21"/>
        <v/>
      </c>
      <c r="X609" t="str">
        <f t="shared" si="22"/>
        <v/>
      </c>
      <c r="Y609" s="341">
        <f>IF('General price list'!$AB611="",0,'General price list'!$AB611)</f>
        <v>0</v>
      </c>
      <c r="Z609" s="365" t="str">
        <f>IFERROR(X609*VLOOKUP(C609,'General price list'!C:I,7,FALSE),"")</f>
        <v/>
      </c>
      <c r="AA609" s="805" t="str">
        <f>IF(X609&lt;&gt;"",VLOOKUP(C609,'General price list'!C611:AN1584,MATCH("HM",Tabulka1[[#Headers],[KOD]:[NEQ]],0),FALSE),"")</f>
        <v/>
      </c>
    </row>
    <row r="610" spans="1:27">
      <c r="A610">
        <f>COUNTIF($W$22:W610,1)</f>
        <v>0</v>
      </c>
      <c r="B610">
        <v>610</v>
      </c>
      <c r="C610" s="340" t="str">
        <f>Tabulka1[[#This Row],[KOD]]</f>
        <v>C193D</v>
      </c>
      <c r="W610" s="804" t="str">
        <f t="shared" si="21"/>
        <v/>
      </c>
      <c r="X610" t="str">
        <f t="shared" si="22"/>
        <v/>
      </c>
      <c r="Y610" s="341">
        <f>IF('General price list'!$AB612="",0,'General price list'!$AB612)</f>
        <v>0</v>
      </c>
      <c r="Z610" s="365" t="str">
        <f>IFERROR(X610*VLOOKUP(C610,'General price list'!C:I,7,FALSE),"")</f>
        <v/>
      </c>
      <c r="AA610" s="805" t="str">
        <f>IF(X610&lt;&gt;"",VLOOKUP(C610,'General price list'!C612:AN1585,MATCH("HM",Tabulka1[[#Headers],[KOD]:[NEQ]],0),FALSE),"")</f>
        <v/>
      </c>
    </row>
    <row r="611" spans="1:27">
      <c r="A611">
        <f>COUNTIF($W$22:W611,1)</f>
        <v>0</v>
      </c>
      <c r="B611">
        <v>611</v>
      </c>
      <c r="C611" s="340" t="str">
        <f>Tabulka1[[#This Row],[KOD]]</f>
        <v>C193J</v>
      </c>
      <c r="W611" s="804" t="str">
        <f t="shared" si="21"/>
        <v/>
      </c>
      <c r="X611" t="str">
        <f t="shared" si="22"/>
        <v/>
      </c>
      <c r="Y611" s="341">
        <f>IF('General price list'!$AB613="",0,'General price list'!$AB613)</f>
        <v>0</v>
      </c>
      <c r="Z611" s="365" t="str">
        <f>IFERROR(X611*VLOOKUP(C611,'General price list'!C:I,7,FALSE),"")</f>
        <v/>
      </c>
      <c r="AA611" s="805" t="str">
        <f>IF(X611&lt;&gt;"",VLOOKUP(C611,'General price list'!C613:AN1586,MATCH("HM",Tabulka1[[#Headers],[KOD]:[NEQ]],0),FALSE),"")</f>
        <v/>
      </c>
    </row>
    <row r="612" spans="1:27">
      <c r="A612">
        <f>COUNTIF($W$22:W612,1)</f>
        <v>0</v>
      </c>
      <c r="B612">
        <v>612</v>
      </c>
      <c r="C612" s="340" t="str">
        <f>Tabulka1[[#This Row],[KOD]]</f>
        <v>C193I</v>
      </c>
      <c r="W612" s="804" t="str">
        <f t="shared" si="21"/>
        <v/>
      </c>
      <c r="X612" t="str">
        <f t="shared" si="22"/>
        <v/>
      </c>
      <c r="Y612" s="341">
        <f>IF('General price list'!$AB614="",0,'General price list'!$AB614)</f>
        <v>0</v>
      </c>
      <c r="Z612" s="365" t="str">
        <f>IFERROR(X612*VLOOKUP(C612,'General price list'!C:I,7,FALSE),"")</f>
        <v/>
      </c>
      <c r="AA612" s="805" t="str">
        <f>IF(X612&lt;&gt;"",VLOOKUP(C612,'General price list'!C614:AN1587,MATCH("HM",Tabulka1[[#Headers],[KOD]:[NEQ]],0),FALSE),"")</f>
        <v/>
      </c>
    </row>
    <row r="613" spans="1:27">
      <c r="A613">
        <f>COUNTIF($W$22:W613,1)</f>
        <v>0</v>
      </c>
      <c r="B613">
        <v>613</v>
      </c>
      <c r="C613" s="340">
        <f>Tabulka1[[#This Row],[KOD]]</f>
        <v>0</v>
      </c>
      <c r="W613" s="804" t="str">
        <f t="shared" si="21"/>
        <v/>
      </c>
      <c r="X613" t="str">
        <f t="shared" si="22"/>
        <v/>
      </c>
      <c r="Y613" s="341">
        <f>IF('General price list'!$AB615="",0,'General price list'!$AB615)</f>
        <v>0</v>
      </c>
      <c r="Z613" s="365" t="str">
        <f>IFERROR(X613*VLOOKUP(C613,'General price list'!C:I,7,FALSE),"")</f>
        <v/>
      </c>
      <c r="AA613" s="805" t="str">
        <f>IF(X613&lt;&gt;"",VLOOKUP(C613,'General price list'!C615:AN1588,MATCH("HM",Tabulka1[[#Headers],[KOD]:[NEQ]],0),FALSE),"")</f>
        <v/>
      </c>
    </row>
    <row r="614" spans="1:27">
      <c r="A614">
        <f>COUNTIF($W$22:W614,1)</f>
        <v>0</v>
      </c>
      <c r="B614">
        <v>614</v>
      </c>
      <c r="C614" s="340" t="str">
        <f>Tabulka1[[#This Row],[KOD]]</f>
        <v>C253SIG</v>
      </c>
      <c r="W614" s="804" t="str">
        <f t="shared" si="21"/>
        <v/>
      </c>
      <c r="X614" t="str">
        <f t="shared" si="22"/>
        <v/>
      </c>
      <c r="Y614" s="341">
        <f>IF('General price list'!$AB616="",0,'General price list'!$AB616)</f>
        <v>0</v>
      </c>
      <c r="Z614" s="365" t="str">
        <f>IFERROR(X614*VLOOKUP(C614,'General price list'!C:I,7,FALSE),"")</f>
        <v/>
      </c>
      <c r="AA614" s="805" t="str">
        <f>IF(X614&lt;&gt;"",VLOOKUP(C614,'General price list'!C616:AN1589,MATCH("HM",Tabulka1[[#Headers],[KOD]:[NEQ]],0),FALSE),"")</f>
        <v/>
      </c>
    </row>
    <row r="615" spans="1:27">
      <c r="A615">
        <f>COUNTIF($W$22:W615,1)</f>
        <v>0</v>
      </c>
      <c r="B615">
        <v>615</v>
      </c>
      <c r="C615" s="340" t="str">
        <f>Tabulka1[[#This Row],[KOD]]</f>
        <v>C253SIG B</v>
      </c>
      <c r="W615" s="804" t="str">
        <f t="shared" si="21"/>
        <v/>
      </c>
      <c r="X615" t="str">
        <f t="shared" si="22"/>
        <v/>
      </c>
      <c r="Y615" s="341">
        <f>IF('General price list'!$AB617="",0,'General price list'!$AB617)</f>
        <v>0</v>
      </c>
      <c r="Z615" s="365" t="str">
        <f>IFERROR(X615*VLOOKUP(C615,'General price list'!C:I,7,FALSE),"")</f>
        <v/>
      </c>
      <c r="AA615" s="805" t="str">
        <f>IF(X615&lt;&gt;"",VLOOKUP(C615,'General price list'!C617:AN1590,MATCH("HM",Tabulka1[[#Headers],[KOD]:[NEQ]],0),FALSE),"")</f>
        <v/>
      </c>
    </row>
    <row r="616" spans="1:27">
      <c r="A616">
        <f>COUNTIF($W$22:W616,1)</f>
        <v>0</v>
      </c>
      <c r="B616">
        <v>616</v>
      </c>
      <c r="C616" s="340" t="str">
        <f>Tabulka1[[#This Row],[KOD]]</f>
        <v>C253FR</v>
      </c>
      <c r="W616" s="804" t="str">
        <f t="shared" si="21"/>
        <v/>
      </c>
      <c r="X616" t="str">
        <f t="shared" si="22"/>
        <v/>
      </c>
      <c r="Y616" s="341">
        <f>IF('General price list'!$AB618="",0,'General price list'!$AB618)</f>
        <v>0</v>
      </c>
      <c r="Z616" s="365" t="str">
        <f>IFERROR(X616*VLOOKUP(C616,'General price list'!C:I,7,FALSE),"")</f>
        <v/>
      </c>
      <c r="AA616" s="805" t="str">
        <f>IF(X616&lt;&gt;"",VLOOKUP(C616,'General price list'!C618:AN1591,MATCH("HM",Tabulka1[[#Headers],[KOD]:[NEQ]],0),FALSE),"")</f>
        <v/>
      </c>
    </row>
    <row r="617" spans="1:27">
      <c r="A617">
        <f>COUNTIF($W$22:W617,1)</f>
        <v>0</v>
      </c>
      <c r="B617">
        <v>617</v>
      </c>
      <c r="C617" s="340" t="str">
        <f>Tabulka1[[#This Row],[KOD]]</f>
        <v>C253MY</v>
      </c>
      <c r="W617" s="804" t="str">
        <f t="shared" si="21"/>
        <v/>
      </c>
      <c r="X617" t="str">
        <f t="shared" si="22"/>
        <v/>
      </c>
      <c r="Y617" s="341">
        <f>IF('General price list'!$AB619="",0,'General price list'!$AB619)</f>
        <v>0</v>
      </c>
      <c r="Z617" s="365" t="str">
        <f>IFERROR(X617*VLOOKUP(C617,'General price list'!C:I,7,FALSE),"")</f>
        <v/>
      </c>
      <c r="AA617" s="805" t="str">
        <f>IF(X617&lt;&gt;"",VLOOKUP(C617,'General price list'!C619:AN1592,MATCH("HM",Tabulka1[[#Headers],[KOD]:[NEQ]],0),FALSE),"")</f>
        <v/>
      </c>
    </row>
    <row r="618" spans="1:27">
      <c r="A618">
        <f>COUNTIF($W$22:W618,1)</f>
        <v>0</v>
      </c>
      <c r="B618">
        <v>618</v>
      </c>
      <c r="C618" s="340" t="str">
        <f>Tabulka1[[#This Row],[KOD]]</f>
        <v>C253DU</v>
      </c>
      <c r="W618" s="804" t="str">
        <f t="shared" si="21"/>
        <v/>
      </c>
      <c r="X618" t="str">
        <f t="shared" si="22"/>
        <v/>
      </c>
      <c r="Y618" s="341">
        <f>IF('General price list'!$AB620="",0,'General price list'!$AB620)</f>
        <v>0</v>
      </c>
      <c r="Z618" s="365" t="str">
        <f>IFERROR(X618*VLOOKUP(C618,'General price list'!C:I,7,FALSE),"")</f>
        <v/>
      </c>
      <c r="AA618" s="805" t="str">
        <f>IF(X618&lt;&gt;"",VLOOKUP(C618,'General price list'!C620:AN1593,MATCH("HM",Tabulka1[[#Headers],[KOD]:[NEQ]],0),FALSE),"")</f>
        <v/>
      </c>
    </row>
    <row r="619" spans="1:27">
      <c r="A619">
        <f>COUNTIF($W$22:W619,1)</f>
        <v>0</v>
      </c>
      <c r="B619">
        <v>619</v>
      </c>
      <c r="C619" s="340">
        <f>Tabulka1[[#This Row],[KOD]]</f>
        <v>0</v>
      </c>
      <c r="W619" s="804" t="str">
        <f t="shared" si="21"/>
        <v/>
      </c>
      <c r="X619" t="str">
        <f t="shared" si="22"/>
        <v/>
      </c>
      <c r="Y619" s="341">
        <f>IF('General price list'!$AB621="",0,'General price list'!$AB621)</f>
        <v>0</v>
      </c>
      <c r="Z619" s="365" t="str">
        <f>IFERROR(X619*VLOOKUP(C619,'General price list'!C:I,7,FALSE),"")</f>
        <v/>
      </c>
      <c r="AA619" s="805" t="str">
        <f>IF(X619&lt;&gt;"",VLOOKUP(C619,'General price list'!C621:AN1594,MATCH("HM",Tabulka1[[#Headers],[KOD]:[NEQ]],0),FALSE),"")</f>
        <v/>
      </c>
    </row>
    <row r="620" spans="1:27">
      <c r="A620">
        <f>COUNTIF($W$22:W620,1)</f>
        <v>0</v>
      </c>
      <c r="B620">
        <v>620</v>
      </c>
      <c r="C620" s="340" t="str">
        <f>Tabulka1[[#This Row],[KOD]]</f>
        <v>C253BP14</v>
      </c>
      <c r="W620" s="804" t="str">
        <f t="shared" si="21"/>
        <v/>
      </c>
      <c r="X620" t="str">
        <f t="shared" si="22"/>
        <v/>
      </c>
      <c r="Y620" s="341">
        <f>IF('General price list'!$AB622="",0,'General price list'!$AB622)</f>
        <v>0</v>
      </c>
      <c r="Z620" s="365" t="str">
        <f>IFERROR(X620*VLOOKUP(C620,'General price list'!C:I,7,FALSE),"")</f>
        <v/>
      </c>
      <c r="AA620" s="805" t="str">
        <f>IF(X620&lt;&gt;"",VLOOKUP(C620,'General price list'!C622:AN1595,MATCH("HM",Tabulka1[[#Headers],[KOD]:[NEQ]],0),FALSE),"")</f>
        <v/>
      </c>
    </row>
    <row r="621" spans="1:27">
      <c r="A621">
        <f>COUNTIF($W$22:W621,1)</f>
        <v>0</v>
      </c>
      <c r="B621">
        <v>621</v>
      </c>
      <c r="C621" s="340" t="str">
        <f>Tabulka1[[#This Row],[KOD]]</f>
        <v>C253NO14</v>
      </c>
      <c r="W621" s="804" t="str">
        <f t="shared" si="21"/>
        <v/>
      </c>
      <c r="X621" t="str">
        <f t="shared" si="22"/>
        <v/>
      </c>
      <c r="Y621" s="341">
        <f>IF('General price list'!$AB623="",0,'General price list'!$AB623)</f>
        <v>0</v>
      </c>
      <c r="Z621" s="365" t="str">
        <f>IFERROR(X621*VLOOKUP(C621,'General price list'!C:I,7,FALSE),"")</f>
        <v/>
      </c>
      <c r="AA621" s="805" t="str">
        <f>IF(X621&lt;&gt;"",VLOOKUP(C621,'General price list'!C623:AN1596,MATCH("HM",Tabulka1[[#Headers],[KOD]:[NEQ]],0),FALSE),"")</f>
        <v/>
      </c>
    </row>
    <row r="622" spans="1:27">
      <c r="A622">
        <f>COUNTIF($W$22:W622,1)</f>
        <v>0</v>
      </c>
      <c r="B622">
        <v>622</v>
      </c>
      <c r="C622" s="340" t="str">
        <f>Tabulka1[[#This Row],[KOD]]</f>
        <v>C253B14</v>
      </c>
      <c r="W622" s="804" t="str">
        <f t="shared" si="21"/>
        <v/>
      </c>
      <c r="X622" t="str">
        <f t="shared" si="22"/>
        <v/>
      </c>
      <c r="Y622" s="341">
        <f>IF('General price list'!$AB624="",0,'General price list'!$AB624)</f>
        <v>0</v>
      </c>
      <c r="Z622" s="365" t="str">
        <f>IFERROR(X622*VLOOKUP(C622,'General price list'!C:I,7,FALSE),"")</f>
        <v/>
      </c>
      <c r="AA622" s="805" t="str">
        <f>IF(X622&lt;&gt;"",VLOOKUP(C622,'General price list'!C624:AN1597,MATCH("HM",Tabulka1[[#Headers],[KOD]:[NEQ]],0),FALSE),"")</f>
        <v/>
      </c>
    </row>
    <row r="623" spans="1:27">
      <c r="A623">
        <f>COUNTIF($W$22:W623,1)</f>
        <v>0</v>
      </c>
      <c r="B623">
        <v>623</v>
      </c>
      <c r="C623" s="340" t="str">
        <f>Tabulka1[[#This Row],[KOD]]</f>
        <v>C253TH14</v>
      </c>
      <c r="W623" s="804" t="str">
        <f t="shared" si="21"/>
        <v/>
      </c>
      <c r="X623" t="str">
        <f t="shared" si="22"/>
        <v/>
      </c>
      <c r="Y623" s="341">
        <f>IF('General price list'!$AB625="",0,'General price list'!$AB625)</f>
        <v>0</v>
      </c>
      <c r="Z623" s="365" t="str">
        <f>IFERROR(X623*VLOOKUP(C623,'General price list'!C:I,7,FALSE),"")</f>
        <v/>
      </c>
      <c r="AA623" s="805" t="str">
        <f>IF(X623&lt;&gt;"",VLOOKUP(C623,'General price list'!C625:AN1598,MATCH("HM",Tabulka1[[#Headers],[KOD]:[NEQ]],0),FALSE),"")</f>
        <v/>
      </c>
    </row>
    <row r="624" spans="1:27">
      <c r="A624">
        <f>COUNTIF($W$22:W624,1)</f>
        <v>0</v>
      </c>
      <c r="B624">
        <v>624</v>
      </c>
      <c r="C624" s="340" t="str">
        <f>Tabulka1[[#This Row],[KOD]]</f>
        <v>C253E14</v>
      </c>
      <c r="W624" s="804" t="str">
        <f t="shared" si="21"/>
        <v/>
      </c>
      <c r="X624" t="str">
        <f t="shared" si="22"/>
        <v/>
      </c>
      <c r="Y624" s="341">
        <f>IF('General price list'!$AB626="",0,'General price list'!$AB626)</f>
        <v>0</v>
      </c>
      <c r="Z624" s="365" t="str">
        <f>IFERROR(X624*VLOOKUP(C624,'General price list'!C:I,7,FALSE),"")</f>
        <v/>
      </c>
      <c r="AA624" s="805" t="str">
        <f>IF(X624&lt;&gt;"",VLOOKUP(C624,'General price list'!C626:AN1599,MATCH("HM",Tabulka1[[#Headers],[KOD]:[NEQ]],0),FALSE),"")</f>
        <v/>
      </c>
    </row>
    <row r="625" spans="1:27">
      <c r="A625">
        <f>COUNTIF($W$22:W625,1)</f>
        <v>0</v>
      </c>
      <c r="B625">
        <v>625</v>
      </c>
      <c r="C625" s="340">
        <f>Tabulka1[[#This Row],[KOD]]</f>
        <v>0</v>
      </c>
      <c r="W625" s="804" t="str">
        <f t="shared" si="21"/>
        <v/>
      </c>
      <c r="X625" t="str">
        <f t="shared" si="22"/>
        <v/>
      </c>
      <c r="Y625" s="341">
        <f>IF('General price list'!$AB627="",0,'General price list'!$AB627)</f>
        <v>0</v>
      </c>
      <c r="Z625" s="365" t="str">
        <f>IFERROR(X625*VLOOKUP(C625,'General price list'!C:I,7,FALSE),"")</f>
        <v/>
      </c>
      <c r="AA625" s="805" t="str">
        <f>IF(X625&lt;&gt;"",VLOOKUP(C625,'General price list'!C627:AN1600,MATCH("HM",Tabulka1[[#Headers],[KOD]:[NEQ]],0),FALSE),"")</f>
        <v/>
      </c>
    </row>
    <row r="626" spans="1:27">
      <c r="A626">
        <f>COUNTIF($W$22:W626,1)</f>
        <v>0</v>
      </c>
      <c r="B626">
        <v>626</v>
      </c>
      <c r="C626" s="340" t="str">
        <f>Tabulka1[[#This Row],[KOD]]</f>
        <v>C253F14</v>
      </c>
      <c r="W626" s="804" t="str">
        <f t="shared" si="21"/>
        <v/>
      </c>
      <c r="X626" t="str">
        <f t="shared" si="22"/>
        <v/>
      </c>
      <c r="Y626" s="341">
        <f>IF('General price list'!$AB628="",0,'General price list'!$AB628)</f>
        <v>0</v>
      </c>
      <c r="Z626" s="365" t="str">
        <f>IFERROR(X626*VLOOKUP(C626,'General price list'!C:I,7,FALSE),"")</f>
        <v/>
      </c>
      <c r="AA626" s="805" t="str">
        <f>IF(X626&lt;&gt;"",VLOOKUP(C626,'General price list'!C628:AN1601,MATCH("HM",Tabulka1[[#Headers],[KOD]:[NEQ]],0),FALSE),"")</f>
        <v/>
      </c>
    </row>
    <row r="627" spans="1:27">
      <c r="A627">
        <f>COUNTIF($W$22:W627,1)</f>
        <v>0</v>
      </c>
      <c r="B627">
        <v>627</v>
      </c>
      <c r="C627" s="340">
        <f>Tabulka1[[#This Row],[KOD]]</f>
        <v>0</v>
      </c>
      <c r="W627" s="804" t="str">
        <f t="shared" si="21"/>
        <v/>
      </c>
      <c r="X627" t="str">
        <f t="shared" si="22"/>
        <v/>
      </c>
      <c r="Y627" s="341">
        <f>IF('General price list'!$AB629="",0,'General price list'!$AB629)</f>
        <v>0</v>
      </c>
      <c r="Z627" s="365" t="str">
        <f>IFERROR(X627*VLOOKUP(C627,'General price list'!C:I,7,FALSE),"")</f>
        <v/>
      </c>
      <c r="AA627" s="805" t="str">
        <f>IF(X627&lt;&gt;"",VLOOKUP(C627,'General price list'!C629:AN1602,MATCH("HM",Tabulka1[[#Headers],[KOD]:[NEQ]],0),FALSE),"")</f>
        <v/>
      </c>
    </row>
    <row r="628" spans="1:27">
      <c r="A628">
        <f>COUNTIF($W$22:W628,1)</f>
        <v>0</v>
      </c>
      <c r="B628">
        <v>628</v>
      </c>
      <c r="C628" s="340" t="str">
        <f>Tabulka1[[#This Row],[KOD]]</f>
        <v>CF253R14</v>
      </c>
      <c r="W628" s="804" t="str">
        <f t="shared" si="21"/>
        <v/>
      </c>
      <c r="X628" t="str">
        <f t="shared" si="22"/>
        <v/>
      </c>
      <c r="Y628" s="341">
        <f>IF('General price list'!$AB630="",0,'General price list'!$AB630)</f>
        <v>0</v>
      </c>
      <c r="Z628" s="365" t="str">
        <f>IFERROR(X628*VLOOKUP(C628,'General price list'!C:I,7,FALSE),"")</f>
        <v/>
      </c>
      <c r="AA628" s="805" t="str">
        <f>IF(X628&lt;&gt;"",VLOOKUP(C628,'General price list'!C630:AN1603,MATCH("HM",Tabulka1[[#Headers],[KOD]:[NEQ]],0),FALSE),"")</f>
        <v/>
      </c>
    </row>
    <row r="629" spans="1:27">
      <c r="A629">
        <f>COUNTIF($W$22:W629,1)</f>
        <v>0</v>
      </c>
      <c r="B629">
        <v>629</v>
      </c>
      <c r="C629" s="340" t="str">
        <f>Tabulka1[[#This Row],[KOD]]</f>
        <v>CF253D14</v>
      </c>
      <c r="W629" s="804" t="str">
        <f t="shared" si="21"/>
        <v/>
      </c>
      <c r="X629" t="str">
        <f t="shared" si="22"/>
        <v/>
      </c>
      <c r="Y629" s="341">
        <f>IF('General price list'!$AB631="",0,'General price list'!$AB631)</f>
        <v>0</v>
      </c>
      <c r="Z629" s="365" t="str">
        <f>IFERROR(X629*VLOOKUP(C629,'General price list'!C:I,7,FALSE),"")</f>
        <v/>
      </c>
      <c r="AA629" s="805" t="str">
        <f>IF(X629&lt;&gt;"",VLOOKUP(C629,'General price list'!C631:AN1604,MATCH("HM",Tabulka1[[#Headers],[KOD]:[NEQ]],0),FALSE),"")</f>
        <v/>
      </c>
    </row>
    <row r="630" spans="1:27">
      <c r="A630">
        <f>COUNTIF($W$22:W630,1)</f>
        <v>0</v>
      </c>
      <c r="B630">
        <v>630</v>
      </c>
      <c r="C630" s="340" t="str">
        <f>Tabulka1[[#This Row],[KOD]]</f>
        <v>CF253K14</v>
      </c>
      <c r="W630" s="804" t="str">
        <f t="shared" si="21"/>
        <v/>
      </c>
      <c r="X630" t="str">
        <f t="shared" si="22"/>
        <v/>
      </c>
      <c r="Y630" s="341">
        <f>IF('General price list'!$AB632="",0,'General price list'!$AB632)</f>
        <v>0</v>
      </c>
      <c r="Z630" s="365" t="str">
        <f>IFERROR(X630*VLOOKUP(C630,'General price list'!C:I,7,FALSE),"")</f>
        <v/>
      </c>
      <c r="AA630" s="805" t="str">
        <f>IF(X630&lt;&gt;"",VLOOKUP(C630,'General price list'!C632:AN1605,MATCH("HM",Tabulka1[[#Headers],[KOD]:[NEQ]],0),FALSE),"")</f>
        <v/>
      </c>
    </row>
    <row r="631" spans="1:27">
      <c r="A631">
        <f>COUNTIF($W$22:W631,1)</f>
        <v>0</v>
      </c>
      <c r="B631">
        <v>631</v>
      </c>
      <c r="C631" s="340">
        <f>Tabulka1[[#This Row],[KOD]]</f>
        <v>0</v>
      </c>
      <c r="W631" s="804" t="str">
        <f t="shared" si="21"/>
        <v/>
      </c>
      <c r="X631" t="str">
        <f t="shared" si="22"/>
        <v/>
      </c>
      <c r="Y631" s="341">
        <f>IF('General price list'!$AB633="",0,'General price list'!$AB633)</f>
        <v>0</v>
      </c>
      <c r="Z631" s="365" t="str">
        <f>IFERROR(X631*VLOOKUP(C631,'General price list'!C:I,7,FALSE),"")</f>
        <v/>
      </c>
      <c r="AA631" s="805" t="str">
        <f>IF(X631&lt;&gt;"",VLOOKUP(C631,'General price list'!C633:AN1606,MATCH("HM",Tabulka1[[#Headers],[KOD]:[NEQ]],0),FALSE),"")</f>
        <v/>
      </c>
    </row>
    <row r="632" spans="1:27">
      <c r="A632">
        <f>COUNTIF($W$22:W632,1)</f>
        <v>0</v>
      </c>
      <c r="B632">
        <v>632</v>
      </c>
      <c r="C632" s="340" t="str">
        <f>Tabulka1[[#This Row],[KOD]]</f>
        <v>C363PL</v>
      </c>
      <c r="W632" s="804" t="str">
        <f t="shared" si="21"/>
        <v/>
      </c>
      <c r="X632" t="str">
        <f t="shared" si="22"/>
        <v/>
      </c>
      <c r="Y632" s="341">
        <f>IF('General price list'!$AB634="",0,'General price list'!$AB634)</f>
        <v>0</v>
      </c>
      <c r="Z632" s="365" t="str">
        <f>IFERROR(X632*VLOOKUP(C632,'General price list'!C:I,7,FALSE),"")</f>
        <v/>
      </c>
      <c r="AA632" s="805" t="str">
        <f>IF(X632&lt;&gt;"",VLOOKUP(C632,'General price list'!C634:AN1607,MATCH("HM",Tabulka1[[#Headers],[KOD]:[NEQ]],0),FALSE),"")</f>
        <v/>
      </c>
    </row>
    <row r="633" spans="1:27">
      <c r="A633">
        <f>COUNTIF($W$22:W633,1)</f>
        <v>0</v>
      </c>
      <c r="B633">
        <v>633</v>
      </c>
      <c r="C633" s="340" t="str">
        <f>Tabulka1[[#This Row],[KOD]]</f>
        <v>C363PA</v>
      </c>
      <c r="W633" s="804" t="str">
        <f t="shared" si="21"/>
        <v/>
      </c>
      <c r="X633" t="str">
        <f t="shared" si="22"/>
        <v/>
      </c>
      <c r="Y633" s="341">
        <f>IF('General price list'!$AB635="",0,'General price list'!$AB635)</f>
        <v>0</v>
      </c>
      <c r="Z633" s="365" t="str">
        <f>IFERROR(X633*VLOOKUP(C633,'General price list'!C:I,7,FALSE),"")</f>
        <v/>
      </c>
      <c r="AA633" s="805" t="str">
        <f>IF(X633&lt;&gt;"",VLOOKUP(C633,'General price list'!C635:AN1608,MATCH("HM",Tabulka1[[#Headers],[KOD]:[NEQ]],0),FALSE),"")</f>
        <v/>
      </c>
    </row>
    <row r="634" spans="1:27">
      <c r="A634">
        <f>COUNTIF($W$22:W634,1)</f>
        <v>0</v>
      </c>
      <c r="B634">
        <v>634</v>
      </c>
      <c r="C634" s="340" t="str">
        <f>Tabulka1[[#This Row],[KOD]]</f>
        <v>C363DR</v>
      </c>
      <c r="W634" s="804" t="str">
        <f t="shared" si="21"/>
        <v/>
      </c>
      <c r="X634" t="str">
        <f t="shared" si="22"/>
        <v/>
      </c>
      <c r="Y634" s="341">
        <f>IF('General price list'!$AB636="",0,'General price list'!$AB636)</f>
        <v>0</v>
      </c>
      <c r="Z634" s="365" t="str">
        <f>IFERROR(X634*VLOOKUP(C634,'General price list'!C:I,7,FALSE),"")</f>
        <v/>
      </c>
      <c r="AA634" s="805" t="str">
        <f>IF(X634&lt;&gt;"",VLOOKUP(C634,'General price list'!C636:AN1609,MATCH("HM",Tabulka1[[#Headers],[KOD]:[NEQ]],0),FALSE),"")</f>
        <v/>
      </c>
    </row>
    <row r="635" spans="1:27">
      <c r="A635">
        <f>COUNTIF($W$22:W635,1)</f>
        <v>0</v>
      </c>
      <c r="B635">
        <v>635</v>
      </c>
      <c r="C635" s="340">
        <f>Tabulka1[[#This Row],[KOD]]</f>
        <v>0</v>
      </c>
      <c r="W635" s="804" t="str">
        <f t="shared" si="21"/>
        <v/>
      </c>
      <c r="X635" t="str">
        <f t="shared" si="22"/>
        <v/>
      </c>
      <c r="Y635" s="341">
        <f>IF('General price list'!$AB637="",0,'General price list'!$AB637)</f>
        <v>0</v>
      </c>
      <c r="Z635" s="365" t="str">
        <f>IFERROR(X635*VLOOKUP(C635,'General price list'!C:I,7,FALSE),"")</f>
        <v/>
      </c>
      <c r="AA635" s="805" t="str">
        <f>IF(X635&lt;&gt;"",VLOOKUP(C635,'General price list'!C637:AN1610,MATCH("HM",Tabulka1[[#Headers],[KOD]:[NEQ]],0),FALSE),"")</f>
        <v/>
      </c>
    </row>
    <row r="636" spans="1:27">
      <c r="A636">
        <f>COUNTIF($W$22:W636,1)</f>
        <v>0</v>
      </c>
      <c r="B636">
        <v>636</v>
      </c>
      <c r="C636" s="340" t="str">
        <f>Tabulka1[[#This Row],[KOD]]</f>
        <v>CF363S</v>
      </c>
      <c r="W636" s="804" t="str">
        <f t="shared" si="21"/>
        <v/>
      </c>
      <c r="X636" t="str">
        <f t="shared" si="22"/>
        <v/>
      </c>
      <c r="Y636" s="341">
        <f>IF('General price list'!$AB638="",0,'General price list'!$AB638)</f>
        <v>0</v>
      </c>
      <c r="Z636" s="365" t="str">
        <f>IFERROR(X636*VLOOKUP(C636,'General price list'!C:I,7,FALSE),"")</f>
        <v/>
      </c>
      <c r="AA636" s="805" t="str">
        <f>IF(X636&lt;&gt;"",VLOOKUP(C636,'General price list'!C638:AN1611,MATCH("HM",Tabulka1[[#Headers],[KOD]:[NEQ]],0),FALSE),"")</f>
        <v/>
      </c>
    </row>
    <row r="637" spans="1:27">
      <c r="A637">
        <f>COUNTIF($W$22:W637,1)</f>
        <v>0</v>
      </c>
      <c r="B637">
        <v>637</v>
      </c>
      <c r="C637" s="340">
        <f>Tabulka1[[#This Row],[KOD]]</f>
        <v>0</v>
      </c>
      <c r="W637" s="804" t="str">
        <f t="shared" si="21"/>
        <v/>
      </c>
      <c r="X637" t="str">
        <f t="shared" si="22"/>
        <v/>
      </c>
      <c r="Y637" s="341">
        <f>IF('General price list'!$AB639="",0,'General price list'!$AB639)</f>
        <v>0</v>
      </c>
      <c r="Z637" s="365" t="str">
        <f>IFERROR(X637*VLOOKUP(C637,'General price list'!C:I,7,FALSE),"")</f>
        <v/>
      </c>
      <c r="AA637" s="805" t="str">
        <f>IF(X637&lt;&gt;"",VLOOKUP(C637,'General price list'!C639:AN1612,MATCH("HM",Tabulka1[[#Headers],[KOD]:[NEQ]],0),FALSE),"")</f>
        <v/>
      </c>
    </row>
    <row r="638" spans="1:27">
      <c r="A638">
        <f>COUNTIF($W$22:W638,1)</f>
        <v>0</v>
      </c>
      <c r="B638">
        <v>638</v>
      </c>
      <c r="C638" s="340" t="str">
        <f>Tabulka1[[#This Row],[KOD]]</f>
        <v>C493BPS</v>
      </c>
      <c r="W638" s="804" t="str">
        <f t="shared" si="21"/>
        <v/>
      </c>
      <c r="X638" t="str">
        <f t="shared" si="22"/>
        <v/>
      </c>
      <c r="Y638" s="341">
        <f>IF('General price list'!$AB640="",0,'General price list'!$AB640)</f>
        <v>0</v>
      </c>
      <c r="Z638" s="365" t="str">
        <f>IFERROR(X638*VLOOKUP(C638,'General price list'!C:I,7,FALSE),"")</f>
        <v/>
      </c>
      <c r="AA638" s="805" t="str">
        <f>IF(X638&lt;&gt;"",VLOOKUP(C638,'General price list'!C640:AN1613,MATCH("HM",Tabulka1[[#Headers],[KOD]:[NEQ]],0),FALSE),"")</f>
        <v/>
      </c>
    </row>
    <row r="639" spans="1:27">
      <c r="A639">
        <f>COUNTIF($W$22:W639,1)</f>
        <v>0</v>
      </c>
      <c r="B639">
        <v>639</v>
      </c>
      <c r="C639" s="340" t="str">
        <f>Tabulka1[[#This Row],[KOD]]</f>
        <v>C493PR</v>
      </c>
      <c r="W639" s="804" t="str">
        <f t="shared" si="21"/>
        <v/>
      </c>
      <c r="X639" t="str">
        <f t="shared" si="22"/>
        <v/>
      </c>
      <c r="Y639" s="341">
        <f>IF('General price list'!$AB641="",0,'General price list'!$AB641)</f>
        <v>0</v>
      </c>
      <c r="Z639" s="365" t="str">
        <f>IFERROR(X639*VLOOKUP(C639,'General price list'!C:I,7,FALSE),"")</f>
        <v/>
      </c>
      <c r="AA639" s="805" t="str">
        <f>IF(X639&lt;&gt;"",VLOOKUP(C639,'General price list'!C641:AN1614,MATCH("HM",Tabulka1[[#Headers],[KOD]:[NEQ]],0),FALSE),"")</f>
        <v/>
      </c>
    </row>
    <row r="640" spans="1:27">
      <c r="A640">
        <f>COUNTIF($W$22:W640,1)</f>
        <v>0</v>
      </c>
      <c r="B640">
        <v>640</v>
      </c>
      <c r="C640" s="340" t="str">
        <f>Tabulka1[[#This Row],[KOD]]</f>
        <v>C493RU</v>
      </c>
      <c r="W640" s="804" t="str">
        <f t="shared" si="21"/>
        <v/>
      </c>
      <c r="X640" t="str">
        <f t="shared" si="22"/>
        <v/>
      </c>
      <c r="Y640" s="341">
        <f>IF('General price list'!$AB642="",0,'General price list'!$AB642)</f>
        <v>0</v>
      </c>
      <c r="Z640" s="365" t="str">
        <f>IFERROR(X640*VLOOKUP(C640,'General price list'!C:I,7,FALSE),"")</f>
        <v/>
      </c>
      <c r="AA640" s="805" t="str">
        <f>IF(X640&lt;&gt;"",VLOOKUP(C640,'General price list'!C642:AN1615,MATCH("HM",Tabulka1[[#Headers],[KOD]:[NEQ]],0),FALSE),"")</f>
        <v/>
      </c>
    </row>
    <row r="641" spans="1:27">
      <c r="A641">
        <f>COUNTIF($W$22:W641,1)</f>
        <v>0</v>
      </c>
      <c r="B641">
        <v>641</v>
      </c>
      <c r="C641" s="340" t="str">
        <f>Tabulka1[[#This Row],[KOD]]</f>
        <v>C493MA</v>
      </c>
      <c r="W641" s="804" t="str">
        <f t="shared" si="21"/>
        <v/>
      </c>
      <c r="X641" t="str">
        <f t="shared" si="22"/>
        <v/>
      </c>
      <c r="Y641" s="341">
        <f>IF('General price list'!$AB643="",0,'General price list'!$AB643)</f>
        <v>0</v>
      </c>
      <c r="Z641" s="365" t="str">
        <f>IFERROR(X641*VLOOKUP(C641,'General price list'!C:I,7,FALSE),"")</f>
        <v/>
      </c>
      <c r="AA641" s="805" t="str">
        <f>IF(X641&lt;&gt;"",VLOOKUP(C641,'General price list'!C643:AN1616,MATCH("HM",Tabulka1[[#Headers],[KOD]:[NEQ]],0),FALSE),"")</f>
        <v/>
      </c>
    </row>
    <row r="642" spans="1:27">
      <c r="A642">
        <f>COUNTIF($W$22:W642,1)</f>
        <v>0</v>
      </c>
      <c r="B642">
        <v>642</v>
      </c>
      <c r="C642" s="340" t="str">
        <f>Tabulka1[[#This Row],[KOD]]</f>
        <v>C493LI</v>
      </c>
      <c r="W642" s="804" t="str">
        <f t="shared" si="21"/>
        <v/>
      </c>
      <c r="X642" t="str">
        <f t="shared" si="22"/>
        <v/>
      </c>
      <c r="Y642" s="341">
        <f>IF('General price list'!$AB644="",0,'General price list'!$AB644)</f>
        <v>0</v>
      </c>
      <c r="Z642" s="365" t="str">
        <f>IFERROR(X642*VLOOKUP(C642,'General price list'!C:I,7,FALSE),"")</f>
        <v/>
      </c>
      <c r="AA642" s="805" t="str">
        <f>IF(X642&lt;&gt;"",VLOOKUP(C642,'General price list'!C644:AN1617,MATCH("HM",Tabulka1[[#Headers],[KOD]:[NEQ]],0),FALSE),"")</f>
        <v/>
      </c>
    </row>
    <row r="643" spans="1:27">
      <c r="A643">
        <f>COUNTIF($W$22:W643,1)</f>
        <v>0</v>
      </c>
      <c r="B643">
        <v>643</v>
      </c>
      <c r="C643" s="340" t="str">
        <f>Tabulka1[[#This Row],[KOD]]</f>
        <v>C493DU</v>
      </c>
      <c r="W643" s="804" t="str">
        <f t="shared" si="21"/>
        <v/>
      </c>
      <c r="X643" t="str">
        <f t="shared" si="22"/>
        <v/>
      </c>
      <c r="Y643" s="341">
        <f>IF('General price list'!$AB645="",0,'General price list'!$AB645)</f>
        <v>0</v>
      </c>
      <c r="Z643" s="365" t="str">
        <f>IFERROR(X643*VLOOKUP(C643,'General price list'!C:I,7,FALSE),"")</f>
        <v/>
      </c>
      <c r="AA643" s="805" t="str">
        <f>IF(X643&lt;&gt;"",VLOOKUP(C643,'General price list'!C645:AN1618,MATCH("HM",Tabulka1[[#Headers],[KOD]:[NEQ]],0),FALSE),"")</f>
        <v/>
      </c>
    </row>
    <row r="644" spans="1:27">
      <c r="A644">
        <f>COUNTIF($W$22:W644,1)</f>
        <v>0</v>
      </c>
      <c r="B644">
        <v>644</v>
      </c>
      <c r="C644" s="340" t="str">
        <f>Tabulka1[[#This Row],[KOD]]</f>
        <v>C493SW</v>
      </c>
      <c r="W644" s="804" t="str">
        <f t="shared" si="21"/>
        <v/>
      </c>
      <c r="X644" t="str">
        <f t="shared" si="22"/>
        <v/>
      </c>
      <c r="Y644" s="341">
        <f>IF('General price list'!$AB646="",0,'General price list'!$AB646)</f>
        <v>0</v>
      </c>
      <c r="Z644" s="365" t="str">
        <f>IFERROR(X644*VLOOKUP(C644,'General price list'!C:I,7,FALSE),"")</f>
        <v/>
      </c>
      <c r="AA644" s="805" t="str">
        <f>IF(X644&lt;&gt;"",VLOOKUP(C644,'General price list'!C646:AN1619,MATCH("HM",Tabulka1[[#Headers],[KOD]:[NEQ]],0),FALSE),"")</f>
        <v/>
      </c>
    </row>
    <row r="645" spans="1:27">
      <c r="A645">
        <f>COUNTIF($W$22:W645,1)</f>
        <v>0</v>
      </c>
      <c r="B645">
        <v>645</v>
      </c>
      <c r="C645" s="340" t="str">
        <f>Tabulka1[[#This Row],[KOD]]</f>
        <v>C493GH</v>
      </c>
      <c r="W645" s="804" t="str">
        <f t="shared" si="21"/>
        <v/>
      </c>
      <c r="X645" t="str">
        <f t="shared" si="22"/>
        <v/>
      </c>
      <c r="Y645" s="341">
        <f>IF('General price list'!$AB647="",0,'General price list'!$AB647)</f>
        <v>0</v>
      </c>
      <c r="Z645" s="365" t="str">
        <f>IFERROR(X645*VLOOKUP(C645,'General price list'!C:I,7,FALSE),"")</f>
        <v/>
      </c>
      <c r="AA645" s="805" t="str">
        <f>IF(X645&lt;&gt;"",VLOOKUP(C645,'General price list'!C647:AN1620,MATCH("HM",Tabulka1[[#Headers],[KOD]:[NEQ]],0),FALSE),"")</f>
        <v/>
      </c>
    </row>
    <row r="646" spans="1:27">
      <c r="A646">
        <f>COUNTIF($W$22:W646,1)</f>
        <v>0</v>
      </c>
      <c r="B646">
        <v>646</v>
      </c>
      <c r="C646" s="340" t="str">
        <f>Tabulka1[[#This Row],[KOD]]</f>
        <v>C493RG</v>
      </c>
      <c r="W646" s="804" t="str">
        <f t="shared" si="21"/>
        <v/>
      </c>
      <c r="X646" t="str">
        <f t="shared" si="22"/>
        <v/>
      </c>
      <c r="Y646" s="341">
        <f>IF('General price list'!$AB648="",0,'General price list'!$AB648)</f>
        <v>0</v>
      </c>
      <c r="Z646" s="365" t="str">
        <f>IFERROR(X646*VLOOKUP(C646,'General price list'!C:I,7,FALSE),"")</f>
        <v/>
      </c>
      <c r="AA646" s="805" t="str">
        <f>IF(X646&lt;&gt;"",VLOOKUP(C646,'General price list'!C648:AN1621,MATCH("HM",Tabulka1[[#Headers],[KOD]:[NEQ]],0),FALSE),"")</f>
        <v/>
      </c>
    </row>
    <row r="647" spans="1:27">
      <c r="A647">
        <f>COUNTIF($W$22:W647,1)</f>
        <v>0</v>
      </c>
      <c r="B647">
        <v>647</v>
      </c>
      <c r="C647" s="340" t="str">
        <f>Tabulka1[[#This Row],[KOD]]</f>
        <v>C493BW</v>
      </c>
      <c r="W647" s="804" t="str">
        <f t="shared" si="21"/>
        <v/>
      </c>
      <c r="X647" t="str">
        <f t="shared" si="22"/>
        <v/>
      </c>
      <c r="Y647" s="341">
        <f>IF('General price list'!$AB649="",0,'General price list'!$AB649)</f>
        <v>0</v>
      </c>
      <c r="Z647" s="365" t="str">
        <f>IFERROR(X647*VLOOKUP(C647,'General price list'!C:I,7,FALSE),"")</f>
        <v/>
      </c>
      <c r="AA647" s="805" t="str">
        <f>IF(X647&lt;&gt;"",VLOOKUP(C647,'General price list'!C649:AN1622,MATCH("HM",Tabulka1[[#Headers],[KOD]:[NEQ]],0),FALSE),"")</f>
        <v/>
      </c>
    </row>
    <row r="648" spans="1:27">
      <c r="A648">
        <f>COUNTIF($W$22:W648,1)</f>
        <v>0</v>
      </c>
      <c r="B648">
        <v>648</v>
      </c>
      <c r="C648" s="340">
        <f>Tabulka1[[#This Row],[KOD]]</f>
        <v>0</v>
      </c>
      <c r="W648" s="804" t="str">
        <f t="shared" si="21"/>
        <v/>
      </c>
      <c r="X648" t="str">
        <f t="shared" si="22"/>
        <v/>
      </c>
      <c r="Y648" s="341">
        <f>IF('General price list'!$AB650="",0,'General price list'!$AB650)</f>
        <v>0</v>
      </c>
      <c r="Z648" s="365" t="str">
        <f>IFERROR(X648*VLOOKUP(C648,'General price list'!C:I,7,FALSE),"")</f>
        <v/>
      </c>
      <c r="AA648" s="805" t="str">
        <f>IF(X648&lt;&gt;"",VLOOKUP(C648,'General price list'!C650:AN1623,MATCH("HM",Tabulka1[[#Headers],[KOD]:[NEQ]],0),FALSE),"")</f>
        <v/>
      </c>
    </row>
    <row r="649" spans="1:27">
      <c r="A649">
        <f>COUNTIF($W$22:W649,1)</f>
        <v>0</v>
      </c>
      <c r="B649">
        <v>649</v>
      </c>
      <c r="C649" s="340" t="str">
        <f>Tabulka1[[#This Row],[KOD]]</f>
        <v>CF493ST</v>
      </c>
      <c r="W649" s="804" t="str">
        <f t="shared" si="21"/>
        <v/>
      </c>
      <c r="X649" t="str">
        <f t="shared" si="22"/>
        <v/>
      </c>
      <c r="Y649" s="341">
        <f>IF('General price list'!$AB651="",0,'General price list'!$AB651)</f>
        <v>0</v>
      </c>
      <c r="Z649" s="365" t="str">
        <f>IFERROR(X649*VLOOKUP(C649,'General price list'!C:I,7,FALSE),"")</f>
        <v/>
      </c>
      <c r="AA649" s="805" t="str">
        <f>IF(X649&lt;&gt;"",VLOOKUP(C649,'General price list'!C651:AN1624,MATCH("HM",Tabulka1[[#Headers],[KOD]:[NEQ]],0),FALSE),"")</f>
        <v/>
      </c>
    </row>
    <row r="650" spans="1:27">
      <c r="A650">
        <f>COUNTIF($W$22:W650,1)</f>
        <v>0</v>
      </c>
      <c r="B650">
        <v>650</v>
      </c>
      <c r="C650" s="340" t="str">
        <f>Tabulka1[[#This Row],[KOD]]</f>
        <v>CF493SA</v>
      </c>
      <c r="W650" s="804" t="str">
        <f t="shared" si="21"/>
        <v/>
      </c>
      <c r="X650" t="str">
        <f t="shared" si="22"/>
        <v/>
      </c>
      <c r="Y650" s="341">
        <f>IF('General price list'!$AB652="",0,'General price list'!$AB652)</f>
        <v>0</v>
      </c>
      <c r="Z650" s="365" t="str">
        <f>IFERROR(X650*VLOOKUP(C650,'General price list'!C:I,7,FALSE),"")</f>
        <v/>
      </c>
      <c r="AA650" s="805" t="str">
        <f>IF(X650&lt;&gt;"",VLOOKUP(C650,'General price list'!C652:AN1625,MATCH("HM",Tabulka1[[#Headers],[KOD]:[NEQ]],0),FALSE),"")</f>
        <v/>
      </c>
    </row>
    <row r="651" spans="1:27">
      <c r="A651">
        <f>COUNTIF($W$22:W651,1)</f>
        <v>0</v>
      </c>
      <c r="B651">
        <v>651</v>
      </c>
      <c r="C651" s="340" t="str">
        <f>Tabulka1[[#This Row],[KOD]]</f>
        <v>CF493W</v>
      </c>
      <c r="W651" s="804" t="str">
        <f t="shared" si="21"/>
        <v/>
      </c>
      <c r="X651" t="str">
        <f t="shared" si="22"/>
        <v/>
      </c>
      <c r="Y651" s="341">
        <f>IF('General price list'!$AB653="",0,'General price list'!$AB653)</f>
        <v>0</v>
      </c>
      <c r="Z651" s="365" t="str">
        <f>IFERROR(X651*VLOOKUP(C651,'General price list'!C:I,7,FALSE),"")</f>
        <v/>
      </c>
      <c r="AA651" s="805" t="str">
        <f>IF(X651&lt;&gt;"",VLOOKUP(C651,'General price list'!C653:AN1626,MATCH("HM",Tabulka1[[#Headers],[KOD]:[NEQ]],0),FALSE),"")</f>
        <v/>
      </c>
    </row>
    <row r="652" spans="1:27">
      <c r="A652">
        <f>COUNTIF($W$22:W652,1)</f>
        <v>0</v>
      </c>
      <c r="B652">
        <v>652</v>
      </c>
      <c r="C652" s="340" t="str">
        <f>Tabulka1[[#This Row],[KOD]]</f>
        <v>CF493ME</v>
      </c>
      <c r="W652" s="804" t="str">
        <f t="shared" si="21"/>
        <v/>
      </c>
      <c r="X652" t="str">
        <f t="shared" si="22"/>
        <v/>
      </c>
      <c r="Y652" s="341">
        <f>IF('General price list'!$AB654="",0,'General price list'!$AB654)</f>
        <v>0</v>
      </c>
      <c r="Z652" s="365" t="str">
        <f>IFERROR(X652*VLOOKUP(C652,'General price list'!C:I,7,FALSE),"")</f>
        <v/>
      </c>
      <c r="AA652" s="805" t="str">
        <f>IF(X652&lt;&gt;"",VLOOKUP(C652,'General price list'!C654:AN1627,MATCH("HM",Tabulka1[[#Headers],[KOD]:[NEQ]],0),FALSE),"")</f>
        <v/>
      </c>
    </row>
    <row r="653" spans="1:27">
      <c r="A653">
        <f>COUNTIF($W$22:W653,1)</f>
        <v>0</v>
      </c>
      <c r="B653">
        <v>653</v>
      </c>
      <c r="C653" s="340">
        <f>Tabulka1[[#This Row],[KOD]]</f>
        <v>0</v>
      </c>
      <c r="W653" s="804" t="str">
        <f t="shared" si="21"/>
        <v/>
      </c>
      <c r="X653" t="str">
        <f t="shared" si="22"/>
        <v/>
      </c>
      <c r="Y653" s="341">
        <f>IF('General price list'!$AB655="",0,'General price list'!$AB655)</f>
        <v>0</v>
      </c>
      <c r="Z653" s="365" t="str">
        <f>IFERROR(X653*VLOOKUP(C653,'General price list'!C:I,7,FALSE),"")</f>
        <v/>
      </c>
      <c r="AA653" s="805" t="str">
        <f>IF(X653&lt;&gt;"",VLOOKUP(C653,'General price list'!C655:AN1628,MATCH("HM",Tabulka1[[#Headers],[KOD]:[NEQ]],0),FALSE),"")</f>
        <v/>
      </c>
    </row>
    <row r="654" spans="1:27">
      <c r="A654">
        <f>COUNTIF($W$22:W654,1)</f>
        <v>0</v>
      </c>
      <c r="B654">
        <v>654</v>
      </c>
      <c r="C654" s="340" t="str">
        <f>Tabulka1[[#This Row],[KOD]]</f>
        <v>C503SIGA</v>
      </c>
      <c r="W654" s="804" t="str">
        <f t="shared" si="21"/>
        <v/>
      </c>
      <c r="X654" t="str">
        <f t="shared" si="22"/>
        <v/>
      </c>
      <c r="Y654" s="341">
        <f>IF('General price list'!$AB656="",0,'General price list'!$AB656)</f>
        <v>0</v>
      </c>
      <c r="Z654" s="365" t="str">
        <f>IFERROR(X654*VLOOKUP(C654,'General price list'!C:I,7,FALSE),"")</f>
        <v/>
      </c>
      <c r="AA654" s="805" t="str">
        <f>IF(X654&lt;&gt;"",VLOOKUP(C654,'General price list'!C656:AN1629,MATCH("HM",Tabulka1[[#Headers],[KOD]:[NEQ]],0),FALSE),"")</f>
        <v/>
      </c>
    </row>
    <row r="655" spans="1:27">
      <c r="A655">
        <f>COUNTIF($W$22:W655,1)</f>
        <v>0</v>
      </c>
      <c r="B655">
        <v>655</v>
      </c>
      <c r="C655" s="340" t="str">
        <f>Tabulka1[[#This Row],[KOD]]</f>
        <v>C503RA</v>
      </c>
      <c r="W655" s="804" t="str">
        <f t="shared" si="21"/>
        <v/>
      </c>
      <c r="X655" t="str">
        <f t="shared" si="22"/>
        <v/>
      </c>
      <c r="Y655" s="341">
        <f>IF('General price list'!$AB657="",0,'General price list'!$AB657)</f>
        <v>0</v>
      </c>
      <c r="Z655" s="365" t="str">
        <f>IFERROR(X655*VLOOKUP(C655,'General price list'!C:I,7,FALSE),"")</f>
        <v/>
      </c>
      <c r="AA655" s="805" t="str">
        <f>IF(X655&lt;&gt;"",VLOOKUP(C655,'General price list'!C657:AN1630,MATCH("HM",Tabulka1[[#Headers],[KOD]:[NEQ]],0),FALSE),"")</f>
        <v/>
      </c>
    </row>
    <row r="656" spans="1:27">
      <c r="A656">
        <f>COUNTIF($W$22:W656,1)</f>
        <v>0</v>
      </c>
      <c r="B656">
        <v>656</v>
      </c>
      <c r="C656" s="340" t="str">
        <f>Tabulka1[[#This Row],[KOD]]</f>
        <v>C503RO</v>
      </c>
      <c r="W656" s="804" t="str">
        <f t="shared" si="21"/>
        <v/>
      </c>
      <c r="X656" t="str">
        <f t="shared" si="22"/>
        <v/>
      </c>
      <c r="Y656" s="341">
        <f>IF('General price list'!$AB658="",0,'General price list'!$AB658)</f>
        <v>0</v>
      </c>
      <c r="Z656" s="365" t="str">
        <f>IFERROR(X656*VLOOKUP(C656,'General price list'!C:I,7,FALSE),"")</f>
        <v/>
      </c>
      <c r="AA656" s="805" t="str">
        <f>IF(X656&lt;&gt;"",VLOOKUP(C656,'General price list'!C658:AN1631,MATCH("HM",Tabulka1[[#Headers],[KOD]:[NEQ]],0),FALSE),"")</f>
        <v/>
      </c>
    </row>
    <row r="657" spans="1:27">
      <c r="A657">
        <f>COUNTIF($W$22:W657,1)</f>
        <v>0</v>
      </c>
      <c r="B657">
        <v>657</v>
      </c>
      <c r="C657" s="340" t="str">
        <f>Tabulka1[[#This Row],[KOD]]</f>
        <v>C503BI</v>
      </c>
      <c r="W657" s="804" t="str">
        <f t="shared" si="21"/>
        <v/>
      </c>
      <c r="X657" t="str">
        <f t="shared" si="22"/>
        <v/>
      </c>
      <c r="Y657" s="341">
        <f>IF('General price list'!$AB659="",0,'General price list'!$AB659)</f>
        <v>0</v>
      </c>
      <c r="Z657" s="365" t="str">
        <f>IFERROR(X657*VLOOKUP(C657,'General price list'!C:I,7,FALSE),"")</f>
        <v/>
      </c>
      <c r="AA657" s="805" t="str">
        <f>IF(X657&lt;&gt;"",VLOOKUP(C657,'General price list'!C659:AN1632,MATCH("HM",Tabulka1[[#Headers],[KOD]:[NEQ]],0),FALSE),"")</f>
        <v/>
      </c>
    </row>
    <row r="658" spans="1:27">
      <c r="A658">
        <f>COUNTIF($W$22:W658,1)</f>
        <v>0</v>
      </c>
      <c r="B658">
        <v>658</v>
      </c>
      <c r="C658" s="340">
        <f>Tabulka1[[#This Row],[KOD]]</f>
        <v>0</v>
      </c>
      <c r="W658" s="804" t="str">
        <f t="shared" si="21"/>
        <v/>
      </c>
      <c r="X658" t="str">
        <f t="shared" si="22"/>
        <v/>
      </c>
      <c r="Y658" s="341">
        <f>IF('General price list'!$AB660="",0,'General price list'!$AB660)</f>
        <v>0</v>
      </c>
      <c r="Z658" s="365" t="str">
        <f>IFERROR(X658*VLOOKUP(C658,'General price list'!C:I,7,FALSE),"")</f>
        <v/>
      </c>
      <c r="AA658" s="805" t="str">
        <f>IF(X658&lt;&gt;"",VLOOKUP(C658,'General price list'!C660:AN1633,MATCH("HM",Tabulka1[[#Headers],[KOD]:[NEQ]],0),FALSE),"")</f>
        <v/>
      </c>
    </row>
    <row r="659" spans="1:27">
      <c r="A659">
        <f>COUNTIF($W$22:W659,1)</f>
        <v>0</v>
      </c>
      <c r="B659">
        <v>659</v>
      </c>
      <c r="C659" s="340" t="str">
        <f>Tabulka1[[#This Row],[KOD]]</f>
        <v>C643BI</v>
      </c>
      <c r="W659" s="804" t="str">
        <f t="shared" si="21"/>
        <v/>
      </c>
      <c r="X659" t="str">
        <f t="shared" si="22"/>
        <v/>
      </c>
      <c r="Y659" s="341">
        <f>IF('General price list'!$AB661="",0,'General price list'!$AB661)</f>
        <v>0</v>
      </c>
      <c r="Z659" s="365" t="str">
        <f>IFERROR(X659*VLOOKUP(C659,'General price list'!C:I,7,FALSE),"")</f>
        <v/>
      </c>
      <c r="AA659" s="805" t="str">
        <f>IF(X659&lt;&gt;"",VLOOKUP(C659,'General price list'!C661:AN1634,MATCH("HM",Tabulka1[[#Headers],[KOD]:[NEQ]],0),FALSE),"")</f>
        <v/>
      </c>
    </row>
    <row r="660" spans="1:27">
      <c r="A660">
        <f>COUNTIF($W$22:W660,1)</f>
        <v>0</v>
      </c>
      <c r="B660">
        <v>660</v>
      </c>
      <c r="C660" s="340" t="str">
        <f>Tabulka1[[#This Row],[KOD]]</f>
        <v>C643H</v>
      </c>
      <c r="W660" s="804" t="str">
        <f t="shared" si="21"/>
        <v/>
      </c>
      <c r="X660" t="str">
        <f t="shared" si="22"/>
        <v/>
      </c>
      <c r="Y660" s="341">
        <f>IF('General price list'!$AB662="",0,'General price list'!$AB662)</f>
        <v>0</v>
      </c>
      <c r="Z660" s="365" t="str">
        <f>IFERROR(X660*VLOOKUP(C660,'General price list'!C:I,7,FALSE),"")</f>
        <v/>
      </c>
      <c r="AA660" s="805" t="str">
        <f>IF(X660&lt;&gt;"",VLOOKUP(C660,'General price list'!C662:AN1635,MATCH("HM",Tabulka1[[#Headers],[KOD]:[NEQ]],0),FALSE),"")</f>
        <v/>
      </c>
    </row>
    <row r="661" spans="1:27">
      <c r="A661">
        <f>COUNTIF($W$22:W661,1)</f>
        <v>0</v>
      </c>
      <c r="B661">
        <v>661</v>
      </c>
      <c r="C661" s="340">
        <f>Tabulka1[[#This Row],[KOD]]</f>
        <v>0</v>
      </c>
      <c r="W661" s="804" t="str">
        <f t="shared" si="21"/>
        <v/>
      </c>
      <c r="X661" t="str">
        <f t="shared" si="22"/>
        <v/>
      </c>
      <c r="Y661" s="341">
        <f>IF('General price list'!$AB663="",0,'General price list'!$AB663)</f>
        <v>0</v>
      </c>
      <c r="Z661" s="365" t="str">
        <f>IFERROR(X661*VLOOKUP(C661,'General price list'!C:I,7,FALSE),"")</f>
        <v/>
      </c>
      <c r="AA661" s="805" t="str">
        <f>IF(X661&lt;&gt;"",VLOOKUP(C661,'General price list'!C663:AN1636,MATCH("HM",Tabulka1[[#Headers],[KOD]:[NEQ]],0),FALSE),"")</f>
        <v/>
      </c>
    </row>
    <row r="662" spans="1:27">
      <c r="A662">
        <f>COUNTIF($W$22:W662,1)</f>
        <v>0</v>
      </c>
      <c r="B662">
        <v>662</v>
      </c>
      <c r="C662" s="340" t="str">
        <f>Tabulka1[[#This Row],[KOD]]</f>
        <v>CF643M</v>
      </c>
      <c r="W662" s="804" t="str">
        <f t="shared" si="21"/>
        <v/>
      </c>
      <c r="X662" t="str">
        <f t="shared" si="22"/>
        <v/>
      </c>
      <c r="Y662" s="341">
        <f>IF('General price list'!$AB664="",0,'General price list'!$AB664)</f>
        <v>0</v>
      </c>
      <c r="Z662" s="365" t="str">
        <f>IFERROR(X662*VLOOKUP(C662,'General price list'!C:I,7,FALSE),"")</f>
        <v/>
      </c>
      <c r="AA662" s="805" t="str">
        <f>IF(X662&lt;&gt;"",VLOOKUP(C662,'General price list'!C664:AN1637,MATCH("HM",Tabulka1[[#Headers],[KOD]:[NEQ]],0),FALSE),"")</f>
        <v/>
      </c>
    </row>
    <row r="663" spans="1:27">
      <c r="A663">
        <f>COUNTIF($W$22:W663,1)</f>
        <v>0</v>
      </c>
      <c r="B663">
        <v>663</v>
      </c>
      <c r="C663" s="340" t="str">
        <f>Tabulka1[[#This Row],[KOD]]</f>
        <v>CF643T</v>
      </c>
      <c r="W663" s="804" t="str">
        <f t="shared" si="21"/>
        <v/>
      </c>
      <c r="X663" t="str">
        <f t="shared" si="22"/>
        <v/>
      </c>
      <c r="Y663" s="341">
        <f>IF('General price list'!$AB665="",0,'General price list'!$AB665)</f>
        <v>0</v>
      </c>
      <c r="Z663" s="365" t="str">
        <f>IFERROR(X663*VLOOKUP(C663,'General price list'!C:I,7,FALSE),"")</f>
        <v/>
      </c>
      <c r="AA663" s="805" t="str">
        <f>IF(X663&lt;&gt;"",VLOOKUP(C663,'General price list'!C665:AN1638,MATCH("HM",Tabulka1[[#Headers],[KOD]:[NEQ]],0),FALSE),"")</f>
        <v/>
      </c>
    </row>
    <row r="664" spans="1:27">
      <c r="A664">
        <f>COUNTIF($W$22:W664,1)</f>
        <v>0</v>
      </c>
      <c r="B664">
        <v>664</v>
      </c>
      <c r="C664" s="340">
        <f>Tabulka1[[#This Row],[KOD]]</f>
        <v>0</v>
      </c>
      <c r="W664" s="804" t="str">
        <f t="shared" si="21"/>
        <v/>
      </c>
      <c r="X664" t="str">
        <f t="shared" si="22"/>
        <v/>
      </c>
      <c r="Y664" s="341">
        <f>IF('General price list'!$AB666="",0,'General price list'!$AB666)</f>
        <v>0</v>
      </c>
      <c r="Z664" s="365" t="str">
        <f>IFERROR(X664*VLOOKUP(C664,'General price list'!C:I,7,FALSE),"")</f>
        <v/>
      </c>
      <c r="AA664" s="805" t="str">
        <f>IF(X664&lt;&gt;"",VLOOKUP(C664,'General price list'!C666:AN1639,MATCH("HM",Tabulka1[[#Headers],[KOD]:[NEQ]],0),FALSE),"")</f>
        <v/>
      </c>
    </row>
    <row r="665" spans="1:27">
      <c r="A665">
        <f>COUNTIF($W$22:W665,1)</f>
        <v>0</v>
      </c>
      <c r="B665">
        <v>665</v>
      </c>
      <c r="C665" s="340" t="str">
        <f>Tabulka1[[#This Row],[KOD]]</f>
        <v>C643XMO</v>
      </c>
      <c r="W665" s="804" t="str">
        <f t="shared" ref="W665:W728" si="23">IF(Y665+1=1,"",1)</f>
        <v/>
      </c>
      <c r="X665" t="str">
        <f t="shared" ref="X665:X728" si="24">IF(OR(A665&lt;$G$20,A665&gt;$G$21),"",IF(Y665=0,"",Y665))</f>
        <v/>
      </c>
      <c r="Y665" s="341">
        <f>IF('General price list'!$AB667="",0,'General price list'!$AB667)</f>
        <v>0</v>
      </c>
      <c r="Z665" s="365" t="str">
        <f>IFERROR(X665*VLOOKUP(C665,'General price list'!C:I,7,FALSE),"")</f>
        <v/>
      </c>
      <c r="AA665" s="805" t="str">
        <f>IF(X665&lt;&gt;"",VLOOKUP(C665,'General price list'!C667:AN1640,MATCH("HM",Tabulka1[[#Headers],[KOD]:[NEQ]],0),FALSE),"")</f>
        <v/>
      </c>
    </row>
    <row r="666" spans="1:27">
      <c r="A666">
        <f>COUNTIF($W$22:W666,1)</f>
        <v>0</v>
      </c>
      <c r="B666">
        <v>666</v>
      </c>
      <c r="C666" s="340" t="str">
        <f>Tabulka1[[#This Row],[KOD]]</f>
        <v>C643XMS</v>
      </c>
      <c r="W666" s="804" t="str">
        <f t="shared" si="23"/>
        <v/>
      </c>
      <c r="X666" t="str">
        <f t="shared" si="24"/>
        <v/>
      </c>
      <c r="Y666" s="341">
        <f>IF('General price list'!$AB668="",0,'General price list'!$AB668)</f>
        <v>0</v>
      </c>
      <c r="Z666" s="365" t="str">
        <f>IFERROR(X666*VLOOKUP(C666,'General price list'!C:I,7,FALSE),"")</f>
        <v/>
      </c>
      <c r="AA666" s="805" t="str">
        <f>IF(X666&lt;&gt;"",VLOOKUP(C666,'General price list'!C668:AN1641,MATCH("HM",Tabulka1[[#Headers],[KOD]:[NEQ]],0),FALSE),"")</f>
        <v/>
      </c>
    </row>
    <row r="667" spans="1:27">
      <c r="A667">
        <f>COUNTIF($W$22:W667,1)</f>
        <v>0</v>
      </c>
      <c r="B667">
        <v>667</v>
      </c>
      <c r="C667" s="340">
        <f>Tabulka1[[#This Row],[KOD]]</f>
        <v>0</v>
      </c>
      <c r="W667" s="804" t="str">
        <f t="shared" si="23"/>
        <v/>
      </c>
      <c r="X667" t="str">
        <f t="shared" si="24"/>
        <v/>
      </c>
      <c r="Y667" s="341">
        <f>IF('General price list'!$AB669="",0,'General price list'!$AB669)</f>
        <v>0</v>
      </c>
      <c r="Z667" s="365" t="str">
        <f>IFERROR(X667*VLOOKUP(C667,'General price list'!C:I,7,FALSE),"")</f>
        <v/>
      </c>
      <c r="AA667" s="805" t="str">
        <f>IF(X667&lt;&gt;"",VLOOKUP(C667,'General price list'!C669:AN1642,MATCH("HM",Tabulka1[[#Headers],[KOD]:[NEQ]],0),FALSE),"")</f>
        <v/>
      </c>
    </row>
    <row r="668" spans="1:27">
      <c r="A668">
        <f>COUNTIF($W$22:W668,1)</f>
        <v>0</v>
      </c>
      <c r="B668">
        <v>668</v>
      </c>
      <c r="C668" s="340" t="str">
        <f>Tabulka1[[#This Row],[KOD]]</f>
        <v>C503BW/C14</v>
      </c>
      <c r="W668" s="804" t="str">
        <f t="shared" si="23"/>
        <v/>
      </c>
      <c r="X668" t="str">
        <f t="shared" si="24"/>
        <v/>
      </c>
      <c r="Y668" s="341">
        <f>IF('General price list'!$AB670="",0,'General price list'!$AB670)</f>
        <v>0</v>
      </c>
      <c r="Z668" s="365" t="str">
        <f>IFERROR(X668*VLOOKUP(C668,'General price list'!C:I,7,FALSE),"")</f>
        <v/>
      </c>
      <c r="AA668" s="805" t="str">
        <f>IF(X668&lt;&gt;"",VLOOKUP(C668,'General price list'!C670:AN1643,MATCH("HM",Tabulka1[[#Headers],[KOD]:[NEQ]],0),FALSE),"")</f>
        <v/>
      </c>
    </row>
    <row r="669" spans="1:27">
      <c r="A669">
        <f>COUNTIF($W$22:W669,1)</f>
        <v>0</v>
      </c>
      <c r="B669">
        <v>669</v>
      </c>
      <c r="C669" s="340" t="str">
        <f>Tabulka1[[#This Row],[KOD]]</f>
        <v>C503TS/C14</v>
      </c>
      <c r="W669" s="804" t="str">
        <f t="shared" si="23"/>
        <v/>
      </c>
      <c r="X669" t="str">
        <f t="shared" si="24"/>
        <v/>
      </c>
      <c r="Y669" s="341">
        <f>IF('General price list'!$AB671="",0,'General price list'!$AB671)</f>
        <v>0</v>
      </c>
      <c r="Z669" s="365" t="str">
        <f>IFERROR(X669*VLOOKUP(C669,'General price list'!C:I,7,FALSE),"")</f>
        <v/>
      </c>
      <c r="AA669" s="805" t="str">
        <f>IF(X669&lt;&gt;"",VLOOKUP(C669,'General price list'!C671:AN1644,MATCH("HM",Tabulka1[[#Headers],[KOD]:[NEQ]],0),FALSE),"")</f>
        <v/>
      </c>
    </row>
    <row r="670" spans="1:27">
      <c r="A670">
        <f>COUNTIF($W$22:W670,1)</f>
        <v>0</v>
      </c>
      <c r="B670">
        <v>670</v>
      </c>
      <c r="C670" s="340" t="str">
        <f>Tabulka1[[#This Row],[KOD]]</f>
        <v>C503RO/C14</v>
      </c>
      <c r="W670" s="804" t="str">
        <f t="shared" si="23"/>
        <v/>
      </c>
      <c r="X670" t="str">
        <f t="shared" si="24"/>
        <v/>
      </c>
      <c r="Y670" s="341">
        <f>IF('General price list'!$AB672="",0,'General price list'!$AB672)</f>
        <v>0</v>
      </c>
      <c r="Z670" s="365" t="str">
        <f>IFERROR(X670*VLOOKUP(C670,'General price list'!C:I,7,FALSE),"")</f>
        <v/>
      </c>
      <c r="AA670" s="805" t="str">
        <f>IF(X670&lt;&gt;"",VLOOKUP(C670,'General price list'!C672:AN1645,MATCH("HM",Tabulka1[[#Headers],[KOD]:[NEQ]],0),FALSE),"")</f>
        <v/>
      </c>
    </row>
    <row r="671" spans="1:27">
      <c r="A671">
        <f>COUNTIF($W$22:W671,1)</f>
        <v>0</v>
      </c>
      <c r="B671">
        <v>671</v>
      </c>
      <c r="C671" s="340" t="str">
        <f>Tabulka1[[#This Row],[KOD]]</f>
        <v>C503F/C14</v>
      </c>
      <c r="W671" s="804" t="str">
        <f t="shared" si="23"/>
        <v/>
      </c>
      <c r="X671" t="str">
        <f t="shared" si="24"/>
        <v/>
      </c>
      <c r="Y671" s="341">
        <f>IF('General price list'!$AB673="",0,'General price list'!$AB673)</f>
        <v>0</v>
      </c>
      <c r="Z671" s="365" t="str">
        <f>IFERROR(X671*VLOOKUP(C671,'General price list'!C:I,7,FALSE),"")</f>
        <v/>
      </c>
      <c r="AA671" s="805" t="str">
        <f>IF(X671&lt;&gt;"",VLOOKUP(C671,'General price list'!C673:AN1646,MATCH("HM",Tabulka1[[#Headers],[KOD]:[NEQ]],0),FALSE),"")</f>
        <v/>
      </c>
    </row>
    <row r="672" spans="1:27">
      <c r="A672">
        <f>COUNTIF($W$22:W672,1)</f>
        <v>0</v>
      </c>
      <c r="B672">
        <v>672</v>
      </c>
      <c r="C672" s="340" t="str">
        <f>Tabulka1[[#This Row],[KOD]]</f>
        <v>C503SIG/C14</v>
      </c>
      <c r="W672" s="804" t="str">
        <f t="shared" si="23"/>
        <v/>
      </c>
      <c r="X672" t="str">
        <f t="shared" si="24"/>
        <v/>
      </c>
      <c r="Y672" s="341">
        <f>IF('General price list'!$AB674="",0,'General price list'!$AB674)</f>
        <v>0</v>
      </c>
      <c r="Z672" s="365" t="str">
        <f>IFERROR(X672*VLOOKUP(C672,'General price list'!C:I,7,FALSE),"")</f>
        <v/>
      </c>
      <c r="AA672" s="805" t="str">
        <f>IF(X672&lt;&gt;"",VLOOKUP(C672,'General price list'!C674:AN1647,MATCH("HM",Tabulka1[[#Headers],[KOD]:[NEQ]],0),FALSE),"")</f>
        <v/>
      </c>
    </row>
    <row r="673" spans="1:27">
      <c r="A673">
        <f>COUNTIF($W$22:W673,1)</f>
        <v>0</v>
      </c>
      <c r="B673">
        <v>673</v>
      </c>
      <c r="C673" s="340" t="str">
        <f>Tabulka1[[#This Row],[KOD]]</f>
        <v>C1003F/C14</v>
      </c>
      <c r="W673" s="804" t="str">
        <f t="shared" si="23"/>
        <v/>
      </c>
      <c r="X673" t="str">
        <f t="shared" si="24"/>
        <v/>
      </c>
      <c r="Y673" s="341">
        <f>IF('General price list'!$AB675="",0,'General price list'!$AB675)</f>
        <v>0</v>
      </c>
      <c r="Z673" s="365" t="str">
        <f>IFERROR(X673*VLOOKUP(C673,'General price list'!C:I,7,FALSE),"")</f>
        <v/>
      </c>
      <c r="AA673" s="805" t="str">
        <f>IF(X673&lt;&gt;"",VLOOKUP(C673,'General price list'!C675:AN1648,MATCH("HM",Tabulka1[[#Headers],[KOD]:[NEQ]],0),FALSE),"")</f>
        <v/>
      </c>
    </row>
    <row r="674" spans="1:27">
      <c r="A674">
        <f>COUNTIF($W$22:W674,1)</f>
        <v>0</v>
      </c>
      <c r="B674">
        <v>674</v>
      </c>
      <c r="C674" s="340" t="str">
        <f>Tabulka1[[#This Row],[KOD]]</f>
        <v>C1003VS/C14</v>
      </c>
      <c r="W674" s="804" t="str">
        <f t="shared" si="23"/>
        <v/>
      </c>
      <c r="X674" t="str">
        <f t="shared" si="24"/>
        <v/>
      </c>
      <c r="Y674" s="341">
        <f>IF('General price list'!$AB676="",0,'General price list'!$AB676)</f>
        <v>0</v>
      </c>
      <c r="Z674" s="365" t="str">
        <f>IFERROR(X674*VLOOKUP(C674,'General price list'!C:I,7,FALSE),"")</f>
        <v/>
      </c>
      <c r="AA674" s="805" t="str">
        <f>IF(X674&lt;&gt;"",VLOOKUP(C674,'General price list'!C676:AN1649,MATCH("HM",Tabulka1[[#Headers],[KOD]:[NEQ]],0),FALSE),"")</f>
        <v/>
      </c>
    </row>
    <row r="675" spans="1:27">
      <c r="A675">
        <f>COUNTIF($W$22:W675,1)</f>
        <v>0</v>
      </c>
      <c r="B675">
        <v>675</v>
      </c>
      <c r="C675" s="340" t="str">
        <f>Tabulka1[[#This Row],[KOD]]</f>
        <v>C1003CY/C</v>
      </c>
      <c r="W675" s="804" t="str">
        <f t="shared" si="23"/>
        <v/>
      </c>
      <c r="X675" t="str">
        <f t="shared" si="24"/>
        <v/>
      </c>
      <c r="Y675" s="341">
        <f>IF('General price list'!$AB677="",0,'General price list'!$AB677)</f>
        <v>0</v>
      </c>
      <c r="Z675" s="365" t="str">
        <f>IFERROR(X675*VLOOKUP(C675,'General price list'!C:I,7,FALSE),"")</f>
        <v/>
      </c>
      <c r="AA675" s="805" t="str">
        <f>IF(X675&lt;&gt;"",VLOOKUP(C675,'General price list'!C677:AN1650,MATCH("HM",Tabulka1[[#Headers],[KOD]:[NEQ]],0),FALSE),"")</f>
        <v/>
      </c>
    </row>
    <row r="676" spans="1:27">
      <c r="A676">
        <f>COUNTIF($W$22:W676,1)</f>
        <v>0</v>
      </c>
      <c r="B676">
        <v>676</v>
      </c>
      <c r="C676" s="340" t="str">
        <f>Tabulka1[[#This Row],[KOD]]</f>
        <v>C10030XF/C14</v>
      </c>
      <c r="W676" s="804" t="str">
        <f t="shared" si="23"/>
        <v/>
      </c>
      <c r="X676" t="str">
        <f t="shared" si="24"/>
        <v/>
      </c>
      <c r="Y676" s="341">
        <f>IF('General price list'!$AB678="",0,'General price list'!$AB678)</f>
        <v>0</v>
      </c>
      <c r="Z676" s="365" t="str">
        <f>IFERROR(X676*VLOOKUP(C676,'General price list'!C:I,7,FALSE),"")</f>
        <v/>
      </c>
      <c r="AA676" s="805" t="str">
        <f>IF(X676&lt;&gt;"",VLOOKUP(C676,'General price list'!C678:AN1651,MATCH("HM",Tabulka1[[#Headers],[KOD]:[NEQ]],0),FALSE),"")</f>
        <v/>
      </c>
    </row>
    <row r="677" spans="1:27">
      <c r="A677">
        <f>COUNTIF($W$22:W677,1)</f>
        <v>0</v>
      </c>
      <c r="B677">
        <v>677</v>
      </c>
      <c r="C677" s="340" t="str">
        <f>Tabulka1[[#This Row],[KOD]]</f>
        <v>C1163MB/C14</v>
      </c>
      <c r="W677" s="804" t="str">
        <f t="shared" si="23"/>
        <v/>
      </c>
      <c r="X677" t="str">
        <f t="shared" si="24"/>
        <v/>
      </c>
      <c r="Y677" s="341">
        <f>IF('General price list'!$AB679="",0,'General price list'!$AB679)</f>
        <v>0</v>
      </c>
      <c r="Z677" s="365" t="str">
        <f>IFERROR(X677*VLOOKUP(C677,'General price list'!C:I,7,FALSE),"")</f>
        <v/>
      </c>
      <c r="AA677" s="805" t="str">
        <f>IF(X677&lt;&gt;"",VLOOKUP(C677,'General price list'!C679:AN1652,MATCH("HM",Tabulka1[[#Headers],[KOD]:[NEQ]],0),FALSE),"")</f>
        <v/>
      </c>
    </row>
    <row r="678" spans="1:27">
      <c r="A678">
        <f>COUNTIF($W$22:W678,1)</f>
        <v>0</v>
      </c>
      <c r="B678">
        <v>678</v>
      </c>
      <c r="C678" s="340" t="str">
        <f>Tabulka1[[#This Row],[KOD]]</f>
        <v>C12230XPT/C14</v>
      </c>
      <c r="W678" s="804" t="str">
        <f t="shared" si="23"/>
        <v/>
      </c>
      <c r="X678" t="str">
        <f t="shared" si="24"/>
        <v/>
      </c>
      <c r="Y678" s="341">
        <f>IF('General price list'!$AB680="",0,'General price list'!$AB680)</f>
        <v>0</v>
      </c>
      <c r="Z678" s="365" t="str">
        <f>IFERROR(X678*VLOOKUP(C678,'General price list'!C:I,7,FALSE),"")</f>
        <v/>
      </c>
      <c r="AA678" s="805" t="str">
        <f>IF(X678&lt;&gt;"",VLOOKUP(C678,'General price list'!C680:AN1653,MATCH("HM",Tabulka1[[#Headers],[KOD]:[NEQ]],0),FALSE),"")</f>
        <v/>
      </c>
    </row>
    <row r="679" spans="1:27">
      <c r="A679">
        <f>COUNTIF($W$22:W679,1)</f>
        <v>0</v>
      </c>
      <c r="B679">
        <v>679</v>
      </c>
      <c r="C679" s="340">
        <f>Tabulka1[[#This Row],[KOD]]</f>
        <v>0</v>
      </c>
      <c r="W679" s="804" t="str">
        <f t="shared" si="23"/>
        <v/>
      </c>
      <c r="X679" t="str">
        <f t="shared" si="24"/>
        <v/>
      </c>
      <c r="Y679" s="341">
        <f>IF('General price list'!$AB681="",0,'General price list'!$AB681)</f>
        <v>0</v>
      </c>
      <c r="Z679" s="365" t="str">
        <f>IFERROR(X679*VLOOKUP(C679,'General price list'!C:I,7,FALSE),"")</f>
        <v/>
      </c>
      <c r="AA679" s="805" t="str">
        <f>IF(X679&lt;&gt;"",VLOOKUP(C679,'General price list'!C681:AN1654,MATCH("HM",Tabulka1[[#Headers],[KOD]:[NEQ]],0),FALSE),"")</f>
        <v/>
      </c>
    </row>
    <row r="680" spans="1:27">
      <c r="A680">
        <f>COUNTIF($W$22:W680,1)</f>
        <v>0</v>
      </c>
      <c r="B680">
        <v>680</v>
      </c>
      <c r="C680" s="340" t="str">
        <f>Tabulka1[[#This Row],[KOD]]</f>
        <v>C1-C2 C1503X/C14</v>
      </c>
      <c r="W680" s="804" t="str">
        <f t="shared" si="23"/>
        <v/>
      </c>
      <c r="X680" t="str">
        <f t="shared" si="24"/>
        <v/>
      </c>
      <c r="Y680" s="341">
        <f>IF('General price list'!$AB682="",0,'General price list'!$AB682)</f>
        <v>0</v>
      </c>
      <c r="Z680" s="365" t="str">
        <f>IFERROR(X680*VLOOKUP(C680,'General price list'!C:I,7,FALSE),"")</f>
        <v/>
      </c>
      <c r="AA680" s="805" t="str">
        <f>IF(X680&lt;&gt;"",VLOOKUP(C680,'General price list'!C682:AN1655,MATCH("HM",Tabulka1[[#Headers],[KOD]:[NEQ]],0),FALSE),"")</f>
        <v/>
      </c>
    </row>
    <row r="681" spans="1:27">
      <c r="A681">
        <f>COUNTIF($W$22:W681,1)</f>
        <v>0</v>
      </c>
      <c r="B681">
        <v>681</v>
      </c>
      <c r="C681" s="340" t="str">
        <f>Tabulka1[[#This Row],[KOD]]</f>
        <v>C1-C2 C2003U/C14</v>
      </c>
      <c r="W681" s="804" t="str">
        <f t="shared" si="23"/>
        <v/>
      </c>
      <c r="X681" t="str">
        <f t="shared" si="24"/>
        <v/>
      </c>
      <c r="Y681" s="341">
        <f>IF('General price list'!$AB683="",0,'General price list'!$AB683)</f>
        <v>0</v>
      </c>
      <c r="Z681" s="365" t="str">
        <f>IFERROR(X681*VLOOKUP(C681,'General price list'!C:I,7,FALSE),"")</f>
        <v/>
      </c>
      <c r="AA681" s="805" t="str">
        <f>IF(X681&lt;&gt;"",VLOOKUP(C681,'General price list'!C683:AN1656,MATCH("HM",Tabulka1[[#Headers],[KOD]:[NEQ]],0),FALSE),"")</f>
        <v/>
      </c>
    </row>
    <row r="682" spans="1:27">
      <c r="A682">
        <f>COUNTIF($W$22:W682,1)</f>
        <v>0</v>
      </c>
      <c r="B682">
        <v>682</v>
      </c>
      <c r="C682" s="340">
        <f>Tabulka1[[#This Row],[KOD]]</f>
        <v>0</v>
      </c>
      <c r="W682" s="804" t="str">
        <f t="shared" si="23"/>
        <v/>
      </c>
      <c r="X682" t="str">
        <f t="shared" si="24"/>
        <v/>
      </c>
      <c r="Y682" s="341">
        <f>IF('General price list'!$AB684="",0,'General price list'!$AB684)</f>
        <v>0</v>
      </c>
      <c r="Z682" s="365" t="str">
        <f>IFERROR(X682*VLOOKUP(C682,'General price list'!C:I,7,FALSE),"")</f>
        <v/>
      </c>
      <c r="AA682" s="805" t="str">
        <f>IF(X682&lt;&gt;"",VLOOKUP(C682,'General price list'!C684:AN1657,MATCH("HM",Tabulka1[[#Headers],[KOD]:[NEQ]],0),FALSE),"")</f>
        <v/>
      </c>
    </row>
    <row r="683" spans="1:27">
      <c r="A683">
        <f>COUNTIF($W$22:W683,1)</f>
        <v>0</v>
      </c>
      <c r="B683">
        <v>683</v>
      </c>
      <c r="C683" s="340" t="str">
        <f>Tabulka1[[#This Row],[KOD]]</f>
        <v>C1003BP/C</v>
      </c>
      <c r="W683" s="804" t="str">
        <f t="shared" si="23"/>
        <v/>
      </c>
      <c r="X683" t="str">
        <f t="shared" si="24"/>
        <v/>
      </c>
      <c r="Y683" s="341">
        <f>IF('General price list'!$AB685="",0,'General price list'!$AB685)</f>
        <v>0</v>
      </c>
      <c r="Z683" s="365" t="str">
        <f>IFERROR(X683*VLOOKUP(C683,'General price list'!C:I,7,FALSE),"")</f>
        <v/>
      </c>
      <c r="AA683" s="805" t="str">
        <f>IF(X683&lt;&gt;"",VLOOKUP(C683,'General price list'!C685:AN1658,MATCH("HM",Tabulka1[[#Headers],[KOD]:[NEQ]],0),FALSE),"")</f>
        <v/>
      </c>
    </row>
    <row r="684" spans="1:27">
      <c r="A684">
        <f>COUNTIF($W$22:W684,1)</f>
        <v>0</v>
      </c>
      <c r="B684">
        <v>684</v>
      </c>
      <c r="C684" s="340" t="str">
        <f>Tabulka1[[#This Row],[KOD]]</f>
        <v>C1003BPS/C</v>
      </c>
      <c r="W684" s="804" t="str">
        <f t="shared" si="23"/>
        <v/>
      </c>
      <c r="X684" t="str">
        <f t="shared" si="24"/>
        <v/>
      </c>
      <c r="Y684" s="341">
        <f>IF('General price list'!$AB686="",0,'General price list'!$AB686)</f>
        <v>0</v>
      </c>
      <c r="Z684" s="365" t="str">
        <f>IFERROR(X684*VLOOKUP(C684,'General price list'!C:I,7,FALSE),"")</f>
        <v/>
      </c>
      <c r="AA684" s="805" t="str">
        <f>IF(X684&lt;&gt;"",VLOOKUP(C684,'General price list'!C686:AN1659,MATCH("HM",Tabulka1[[#Headers],[KOD]:[NEQ]],0),FALSE),"")</f>
        <v/>
      </c>
    </row>
    <row r="685" spans="1:27">
      <c r="A685">
        <f>COUNTIF($W$22:W685,1)</f>
        <v>0</v>
      </c>
      <c r="B685">
        <v>685</v>
      </c>
      <c r="C685" s="340" t="str">
        <f>Tabulka1[[#This Row],[KOD]]</f>
        <v>C1003BB/C</v>
      </c>
      <c r="W685" s="804" t="str">
        <f t="shared" si="23"/>
        <v/>
      </c>
      <c r="X685" t="str">
        <f t="shared" si="24"/>
        <v/>
      </c>
      <c r="Y685" s="341">
        <f>IF('General price list'!$AB687="",0,'General price list'!$AB687)</f>
        <v>0</v>
      </c>
      <c r="Z685" s="365" t="str">
        <f>IFERROR(X685*VLOOKUP(C685,'General price list'!C:I,7,FALSE),"")</f>
        <v/>
      </c>
      <c r="AA685" s="805" t="str">
        <f>IF(X685&lt;&gt;"",VLOOKUP(C685,'General price list'!C687:AN1660,MATCH("HM",Tabulka1[[#Headers],[KOD]:[NEQ]],0),FALSE),"")</f>
        <v/>
      </c>
    </row>
    <row r="686" spans="1:27">
      <c r="A686">
        <f>COUNTIF($W$22:W686,1)</f>
        <v>0</v>
      </c>
      <c r="B686">
        <v>686</v>
      </c>
      <c r="C686" s="340" t="str">
        <f>Tabulka1[[#This Row],[KOD]]</f>
        <v>C1003F/C</v>
      </c>
      <c r="W686" s="804" t="str">
        <f t="shared" si="23"/>
        <v/>
      </c>
      <c r="X686" t="str">
        <f t="shared" si="24"/>
        <v/>
      </c>
      <c r="Y686" s="341">
        <f>IF('General price list'!$AB688="",0,'General price list'!$AB688)</f>
        <v>0</v>
      </c>
      <c r="Z686" s="365" t="str">
        <f>IFERROR(X686*VLOOKUP(C686,'General price list'!C:I,7,FALSE),"")</f>
        <v/>
      </c>
      <c r="AA686" s="805" t="str">
        <f>IF(X686&lt;&gt;"",VLOOKUP(C686,'General price list'!C688:AN1661,MATCH("HM",Tabulka1[[#Headers],[KOD]:[NEQ]],0),FALSE),"")</f>
        <v/>
      </c>
    </row>
    <row r="687" spans="1:27">
      <c r="A687">
        <f>COUNTIF($W$22:W687,1)</f>
        <v>0</v>
      </c>
      <c r="B687">
        <v>687</v>
      </c>
      <c r="C687" s="340" t="str">
        <f>Tabulka1[[#This Row],[KOD]]</f>
        <v>C1003SIG/C</v>
      </c>
      <c r="W687" s="804" t="str">
        <f t="shared" si="23"/>
        <v/>
      </c>
      <c r="X687" t="str">
        <f t="shared" si="24"/>
        <v/>
      </c>
      <c r="Y687" s="341">
        <f>IF('General price list'!$AB689="",0,'General price list'!$AB689)</f>
        <v>0</v>
      </c>
      <c r="Z687" s="365" t="str">
        <f>IFERROR(X687*VLOOKUP(C687,'General price list'!C:I,7,FALSE),"")</f>
        <v/>
      </c>
      <c r="AA687" s="805" t="str">
        <f>IF(X687&lt;&gt;"",VLOOKUP(C687,'General price list'!C689:AN1662,MATCH("HM",Tabulka1[[#Headers],[KOD]:[NEQ]],0),FALSE),"")</f>
        <v/>
      </c>
    </row>
    <row r="688" spans="1:27">
      <c r="A688">
        <f>COUNTIF($W$22:W688,1)</f>
        <v>0</v>
      </c>
      <c r="B688">
        <v>688</v>
      </c>
      <c r="C688" s="340" t="str">
        <f>Tabulka1[[#This Row],[KOD]]</f>
        <v>C1003VS/C</v>
      </c>
      <c r="W688" s="804" t="str">
        <f t="shared" si="23"/>
        <v/>
      </c>
      <c r="X688" t="str">
        <f t="shared" si="24"/>
        <v/>
      </c>
      <c r="Y688" s="341">
        <f>IF('General price list'!$AB690="",0,'General price list'!$AB690)</f>
        <v>0</v>
      </c>
      <c r="Z688" s="365" t="str">
        <f>IFERROR(X688*VLOOKUP(C688,'General price list'!C:I,7,FALSE),"")</f>
        <v/>
      </c>
      <c r="AA688" s="805" t="str">
        <f>IF(X688&lt;&gt;"",VLOOKUP(C688,'General price list'!C690:AN1663,MATCH("HM",Tabulka1[[#Headers],[KOD]:[NEQ]],0),FALSE),"")</f>
        <v/>
      </c>
    </row>
    <row r="689" spans="1:27">
      <c r="A689">
        <f>COUNTIF($W$22:W689,1)</f>
        <v>0</v>
      </c>
      <c r="B689">
        <v>689</v>
      </c>
      <c r="C689" s="340" t="str">
        <f>Tabulka1[[#This Row],[KOD]]</f>
        <v>C128XMPT/C</v>
      </c>
      <c r="W689" s="804" t="str">
        <f t="shared" si="23"/>
        <v/>
      </c>
      <c r="X689" t="str">
        <f t="shared" si="24"/>
        <v/>
      </c>
      <c r="Y689" s="341">
        <f>IF('General price list'!$AB691="",0,'General price list'!$AB691)</f>
        <v>0</v>
      </c>
      <c r="Z689" s="365" t="str">
        <f>IFERROR(X689*VLOOKUP(C689,'General price list'!C:I,7,FALSE),"")</f>
        <v/>
      </c>
      <c r="AA689" s="805" t="str">
        <f>IF(X689&lt;&gt;"",VLOOKUP(C689,'General price list'!C691:AN1664,MATCH("HM",Tabulka1[[#Headers],[KOD]:[NEQ]],0),FALSE),"")</f>
        <v/>
      </c>
    </row>
    <row r="690" spans="1:27">
      <c r="A690">
        <f>COUNTIF($W$22:W690,1)</f>
        <v>0</v>
      </c>
      <c r="B690">
        <v>690</v>
      </c>
      <c r="C690" s="340" t="str">
        <f>Tabulka1[[#This Row],[KOD]]</f>
        <v>C128XMB/C</v>
      </c>
      <c r="W690" s="804" t="str">
        <f t="shared" si="23"/>
        <v/>
      </c>
      <c r="X690" t="str">
        <f t="shared" si="24"/>
        <v/>
      </c>
      <c r="Y690" s="341">
        <f>IF('General price list'!$AB692="",0,'General price list'!$AB692)</f>
        <v>0</v>
      </c>
      <c r="Z690" s="365" t="str">
        <f>IFERROR(X690*VLOOKUP(C690,'General price list'!C:I,7,FALSE),"")</f>
        <v/>
      </c>
      <c r="AA690" s="805" t="str">
        <f>IF(X690&lt;&gt;"",VLOOKUP(C690,'General price list'!C692:AN1665,MATCH("HM",Tabulka1[[#Headers],[KOD]:[NEQ]],0),FALSE),"")</f>
        <v/>
      </c>
    </row>
    <row r="691" spans="1:27">
      <c r="A691">
        <f>COUNTIF($W$22:W691,1)</f>
        <v>0</v>
      </c>
      <c r="B691">
        <v>691</v>
      </c>
      <c r="C691" s="340" t="str">
        <f>Tabulka1[[#This Row],[KOD]]</f>
        <v>C1503X/C</v>
      </c>
      <c r="W691" s="804" t="str">
        <f t="shared" si="23"/>
        <v/>
      </c>
      <c r="X691" t="str">
        <f t="shared" si="24"/>
        <v/>
      </c>
      <c r="Y691" s="341">
        <f>IF('General price list'!$AB693="",0,'General price list'!$AB693)</f>
        <v>0</v>
      </c>
      <c r="Z691" s="365" t="str">
        <f>IFERROR(X691*VLOOKUP(C691,'General price list'!C:I,7,FALSE),"")</f>
        <v/>
      </c>
      <c r="AA691" s="805" t="str">
        <f>IF(X691&lt;&gt;"",VLOOKUP(C691,'General price list'!C693:AN1666,MATCH("HM",Tabulka1[[#Headers],[KOD]:[NEQ]],0),FALSE),"")</f>
        <v/>
      </c>
    </row>
    <row r="692" spans="1:27">
      <c r="A692">
        <f>COUNTIF($W$22:W692,1)</f>
        <v>0</v>
      </c>
      <c r="B692">
        <v>692</v>
      </c>
      <c r="C692" s="340" t="str">
        <f>Tabulka1[[#This Row],[KOD]]</f>
        <v>C1503BPF/C</v>
      </c>
      <c r="W692" s="804" t="str">
        <f t="shared" si="23"/>
        <v/>
      </c>
      <c r="X692" t="str">
        <f t="shared" si="24"/>
        <v/>
      </c>
      <c r="Y692" s="341">
        <f>IF('General price list'!$AB694="",0,'General price list'!$AB694)</f>
        <v>0</v>
      </c>
      <c r="Z692" s="365" t="str">
        <f>IFERROR(X692*VLOOKUP(C692,'General price list'!C:I,7,FALSE),"")</f>
        <v/>
      </c>
      <c r="AA692" s="805" t="str">
        <f>IF(X692&lt;&gt;"",VLOOKUP(C692,'General price list'!C694:AN1667,MATCH("HM",Tabulka1[[#Headers],[KOD]:[NEQ]],0),FALSE),"")</f>
        <v/>
      </c>
    </row>
    <row r="693" spans="1:27">
      <c r="A693">
        <f>COUNTIF($W$22:W693,1)</f>
        <v>0</v>
      </c>
      <c r="B693">
        <v>693</v>
      </c>
      <c r="C693" s="340" t="str">
        <f>Tabulka1[[#This Row],[KOD]]</f>
        <v>C1923XMF/C</v>
      </c>
      <c r="W693" s="804" t="str">
        <f t="shared" si="23"/>
        <v/>
      </c>
      <c r="X693" t="str">
        <f t="shared" si="24"/>
        <v/>
      </c>
      <c r="Y693" s="341">
        <f>IF('General price list'!$AB695="",0,'General price list'!$AB695)</f>
        <v>0</v>
      </c>
      <c r="Z693" s="365" t="str">
        <f>IFERROR(X693*VLOOKUP(C693,'General price list'!C:I,7,FALSE),"")</f>
        <v/>
      </c>
      <c r="AA693" s="805" t="str">
        <f>IF(X693&lt;&gt;"",VLOOKUP(C693,'General price list'!C695:AN1668,MATCH("HM",Tabulka1[[#Headers],[KOD]:[NEQ]],0),FALSE),"")</f>
        <v/>
      </c>
    </row>
    <row r="694" spans="1:27">
      <c r="A694">
        <f>COUNTIF($W$22:W694,1)</f>
        <v>0</v>
      </c>
      <c r="B694">
        <v>694</v>
      </c>
      <c r="C694" s="340" t="str">
        <f>Tabulka1[[#This Row],[KOD]]</f>
        <v>C2003BP/C</v>
      </c>
      <c r="W694" s="804" t="str">
        <f t="shared" si="23"/>
        <v/>
      </c>
      <c r="X694" t="str">
        <f t="shared" si="24"/>
        <v/>
      </c>
      <c r="Y694" s="341">
        <f>IF('General price list'!$AB696="",0,'General price list'!$AB696)</f>
        <v>0</v>
      </c>
      <c r="Z694" s="365" t="str">
        <f>IFERROR(X694*VLOOKUP(C694,'General price list'!C:I,7,FALSE),"")</f>
        <v/>
      </c>
      <c r="AA694" s="805" t="str">
        <f>IF(X694&lt;&gt;"",VLOOKUP(C694,'General price list'!C696:AN1669,MATCH("HM",Tabulka1[[#Headers],[KOD]:[NEQ]],0),FALSE),"")</f>
        <v/>
      </c>
    </row>
    <row r="695" spans="1:27">
      <c r="A695">
        <f>COUNTIF($W$22:W695,1)</f>
        <v>0</v>
      </c>
      <c r="B695">
        <v>695</v>
      </c>
      <c r="C695" s="340" t="str">
        <f>Tabulka1[[#This Row],[KOD]]</f>
        <v>C2003U/C</v>
      </c>
      <c r="W695" s="804" t="str">
        <f t="shared" si="23"/>
        <v/>
      </c>
      <c r="X695" t="str">
        <f t="shared" si="24"/>
        <v/>
      </c>
      <c r="Y695" s="341">
        <f>IF('General price list'!$AB697="",0,'General price list'!$AB697)</f>
        <v>0</v>
      </c>
      <c r="Z695" s="365" t="str">
        <f>IFERROR(X695*VLOOKUP(C695,'General price list'!C:I,7,FALSE),"")</f>
        <v/>
      </c>
      <c r="AA695" s="805" t="str">
        <f>IF(X695&lt;&gt;"",VLOOKUP(C695,'General price list'!C697:AN1670,MATCH("HM",Tabulka1[[#Headers],[KOD]:[NEQ]],0),FALSE),"")</f>
        <v/>
      </c>
    </row>
    <row r="696" spans="1:27">
      <c r="A696">
        <f>COUNTIF($W$22:W696,1)</f>
        <v>0</v>
      </c>
      <c r="B696">
        <v>696</v>
      </c>
      <c r="C696" s="340" t="str">
        <f>Tabulka1[[#This Row],[KOD]]</f>
        <v>C2003F/C</v>
      </c>
      <c r="W696" s="804" t="str">
        <f t="shared" si="23"/>
        <v/>
      </c>
      <c r="X696" t="str">
        <f t="shared" si="24"/>
        <v/>
      </c>
      <c r="Y696" s="341">
        <f>IF('General price list'!$AB698="",0,'General price list'!$AB698)</f>
        <v>0</v>
      </c>
      <c r="Z696" s="365" t="str">
        <f>IFERROR(X696*VLOOKUP(C696,'General price list'!C:I,7,FALSE),"")</f>
        <v/>
      </c>
      <c r="AA696" s="805" t="str">
        <f>IF(X696&lt;&gt;"",VLOOKUP(C696,'General price list'!C698:AN1671,MATCH("HM",Tabulka1[[#Headers],[KOD]:[NEQ]],0),FALSE),"")</f>
        <v/>
      </c>
    </row>
    <row r="697" spans="1:27">
      <c r="A697">
        <f>COUNTIF($W$22:W697,1)</f>
        <v>0</v>
      </c>
      <c r="B697">
        <v>697</v>
      </c>
      <c r="C697" s="340" t="str">
        <f>Tabulka1[[#This Row],[KOD]]</f>
        <v>C2003SIG/C</v>
      </c>
      <c r="W697" s="804" t="str">
        <f t="shared" si="23"/>
        <v/>
      </c>
      <c r="X697" t="str">
        <f t="shared" si="24"/>
        <v/>
      </c>
      <c r="Y697" s="341">
        <f>IF('General price list'!$AB699="",0,'General price list'!$AB699)</f>
        <v>0</v>
      </c>
      <c r="Z697" s="365" t="str">
        <f>IFERROR(X697*VLOOKUP(C697,'General price list'!C:I,7,FALSE),"")</f>
        <v/>
      </c>
      <c r="AA697" s="805" t="str">
        <f>IF(X697&lt;&gt;"",VLOOKUP(C697,'General price list'!C699:AN1672,MATCH("HM",Tabulka1[[#Headers],[KOD]:[NEQ]],0),FALSE),"")</f>
        <v/>
      </c>
    </row>
    <row r="698" spans="1:27">
      <c r="A698">
        <f>COUNTIF($W$22:W698,1)</f>
        <v>0</v>
      </c>
      <c r="B698">
        <v>698</v>
      </c>
      <c r="C698" s="340" t="str">
        <f>Tabulka1[[#This Row],[KOD]]</f>
        <v>C2563XMF/C</v>
      </c>
      <c r="W698" s="804" t="str">
        <f t="shared" si="23"/>
        <v/>
      </c>
      <c r="X698" t="str">
        <f t="shared" si="24"/>
        <v/>
      </c>
      <c r="Y698" s="341">
        <f>IF('General price list'!$AB700="",0,'General price list'!$AB700)</f>
        <v>0</v>
      </c>
      <c r="Z698" s="365" t="str">
        <f>IFERROR(X698*VLOOKUP(C698,'General price list'!C:I,7,FALSE),"")</f>
        <v/>
      </c>
      <c r="AA698" s="805" t="str">
        <f>IF(X698&lt;&gt;"",VLOOKUP(C698,'General price list'!C700:AN1673,MATCH("HM",Tabulka1[[#Headers],[KOD]:[NEQ]],0),FALSE),"")</f>
        <v/>
      </c>
    </row>
    <row r="699" spans="1:27">
      <c r="A699">
        <f>COUNTIF($W$22:W699,1)</f>
        <v>0</v>
      </c>
      <c r="B699">
        <v>699</v>
      </c>
      <c r="C699" s="340">
        <f>Tabulka1[[#This Row],[KOD]]</f>
        <v>0</v>
      </c>
      <c r="W699" s="804" t="str">
        <f t="shared" si="23"/>
        <v/>
      </c>
      <c r="X699" t="str">
        <f t="shared" si="24"/>
        <v/>
      </c>
      <c r="Y699" s="341">
        <f>IF('General price list'!$AB701="",0,'General price list'!$AB701)</f>
        <v>0</v>
      </c>
      <c r="Z699" s="365" t="str">
        <f>IFERROR(X699*VLOOKUP(C699,'General price list'!C:I,7,FALSE),"")</f>
        <v/>
      </c>
      <c r="AA699" s="805" t="str">
        <f>IF(X699&lt;&gt;"",VLOOKUP(C699,'General price list'!C701:AN1674,MATCH("HM",Tabulka1[[#Headers],[KOD]:[NEQ]],0),FALSE),"")</f>
        <v/>
      </c>
    </row>
    <row r="700" spans="1:27">
      <c r="A700">
        <f>COUNTIF($W$22:W700,1)</f>
        <v>0</v>
      </c>
      <c r="B700">
        <v>700</v>
      </c>
      <c r="C700" s="340" t="str">
        <f>Tabulka1[[#This Row],[KOD]]</f>
        <v>C165DU14</v>
      </c>
      <c r="W700" s="804" t="str">
        <f t="shared" si="23"/>
        <v/>
      </c>
      <c r="X700" t="str">
        <f t="shared" si="24"/>
        <v/>
      </c>
      <c r="Y700" s="341">
        <f>IF('General price list'!$AB702="",0,'General price list'!$AB702)</f>
        <v>0</v>
      </c>
      <c r="Z700" s="365" t="str">
        <f>IFERROR(X700*VLOOKUP(C700,'General price list'!C:I,7,FALSE),"")</f>
        <v/>
      </c>
      <c r="AA700" s="805" t="str">
        <f>IF(X700&lt;&gt;"",VLOOKUP(C700,'General price list'!C702:AN1675,MATCH("HM",Tabulka1[[#Headers],[KOD]:[NEQ]],0),FALSE),"")</f>
        <v/>
      </c>
    </row>
    <row r="701" spans="1:27">
      <c r="A701">
        <f>COUNTIF($W$22:W701,1)</f>
        <v>0</v>
      </c>
      <c r="B701">
        <v>701</v>
      </c>
      <c r="C701" s="340" t="str">
        <f>Tabulka1[[#This Row],[KOD]]</f>
        <v>C165NO14</v>
      </c>
      <c r="W701" s="804" t="str">
        <f t="shared" si="23"/>
        <v/>
      </c>
      <c r="X701" t="str">
        <f t="shared" si="24"/>
        <v/>
      </c>
      <c r="Y701" s="341">
        <f>IF('General price list'!$AB703="",0,'General price list'!$AB703)</f>
        <v>0</v>
      </c>
      <c r="Z701" s="365" t="str">
        <f>IFERROR(X701*VLOOKUP(C701,'General price list'!C:I,7,FALSE),"")</f>
        <v/>
      </c>
      <c r="AA701" s="805" t="str">
        <f>IF(X701&lt;&gt;"",VLOOKUP(C701,'General price list'!C703:AN1676,MATCH("HM",Tabulka1[[#Headers],[KOD]:[NEQ]],0),FALSE),"")</f>
        <v/>
      </c>
    </row>
    <row r="702" spans="1:27">
      <c r="A702">
        <f>COUNTIF($W$22:W702,1)</f>
        <v>0</v>
      </c>
      <c r="B702">
        <v>702</v>
      </c>
      <c r="C702" s="340">
        <f>Tabulka1[[#This Row],[KOD]]</f>
        <v>0</v>
      </c>
      <c r="W702" s="804" t="str">
        <f t="shared" si="23"/>
        <v/>
      </c>
      <c r="X702" t="str">
        <f t="shared" si="24"/>
        <v/>
      </c>
      <c r="Y702" s="341">
        <f>IF('General price list'!$AB704="",0,'General price list'!$AB704)</f>
        <v>0</v>
      </c>
      <c r="Z702" s="365" t="str">
        <f>IFERROR(X702*VLOOKUP(C702,'General price list'!C:I,7,FALSE),"")</f>
        <v/>
      </c>
      <c r="AA702" s="805" t="str">
        <f>IF(X702&lt;&gt;"",VLOOKUP(C702,'General price list'!C704:AN1677,MATCH("HM",Tabulka1[[#Headers],[KOD]:[NEQ]],0),FALSE),"")</f>
        <v/>
      </c>
    </row>
    <row r="703" spans="1:27">
      <c r="A703">
        <f>COUNTIF($W$22:W703,1)</f>
        <v>0</v>
      </c>
      <c r="B703">
        <v>703</v>
      </c>
      <c r="C703" s="340" t="str">
        <f>Tabulka1[[#This Row],[KOD]]</f>
        <v>C165JA</v>
      </c>
      <c r="W703" s="804" t="str">
        <f t="shared" si="23"/>
        <v/>
      </c>
      <c r="X703" t="str">
        <f t="shared" si="24"/>
        <v/>
      </c>
      <c r="Y703" s="341">
        <f>IF('General price list'!$AB705="",0,'General price list'!$AB705)</f>
        <v>0</v>
      </c>
      <c r="Z703" s="365" t="str">
        <f>IFERROR(X703*VLOOKUP(C703,'General price list'!C:I,7,FALSE),"")</f>
        <v/>
      </c>
      <c r="AA703" s="805" t="str">
        <f>IF(X703&lt;&gt;"",VLOOKUP(C703,'General price list'!C705:AN1678,MATCH("HM",Tabulka1[[#Headers],[KOD]:[NEQ]],0),FALSE),"")</f>
        <v/>
      </c>
    </row>
    <row r="704" spans="1:27">
      <c r="A704">
        <f>COUNTIF($W$22:W704,1)</f>
        <v>0</v>
      </c>
      <c r="B704">
        <v>704</v>
      </c>
      <c r="C704" s="340" t="str">
        <f>Tabulka1[[#This Row],[KOD]]</f>
        <v>C165P</v>
      </c>
      <c r="W704" s="804" t="str">
        <f t="shared" si="23"/>
        <v/>
      </c>
      <c r="X704" t="str">
        <f t="shared" si="24"/>
        <v/>
      </c>
      <c r="Y704" s="341">
        <f>IF('General price list'!$AB706="",0,'General price list'!$AB706)</f>
        <v>0</v>
      </c>
      <c r="Z704" s="365" t="str">
        <f>IFERROR(X704*VLOOKUP(C704,'General price list'!C:I,7,FALSE),"")</f>
        <v/>
      </c>
      <c r="AA704" s="805" t="str">
        <f>IF(X704&lt;&gt;"",VLOOKUP(C704,'General price list'!C706:AN1679,MATCH("HM",Tabulka1[[#Headers],[KOD]:[NEQ]],0),FALSE),"")</f>
        <v/>
      </c>
    </row>
    <row r="705" spans="1:27">
      <c r="A705">
        <f>COUNTIF($W$22:W705,1)</f>
        <v>0</v>
      </c>
      <c r="B705">
        <v>705</v>
      </c>
      <c r="C705" s="340">
        <f>Tabulka1[[#This Row],[KOD]]</f>
        <v>0</v>
      </c>
      <c r="W705" s="804" t="str">
        <f t="shared" si="23"/>
        <v/>
      </c>
      <c r="X705" t="str">
        <f t="shared" si="24"/>
        <v/>
      </c>
      <c r="Y705" s="341">
        <f>IF('General price list'!$AB707="",0,'General price list'!$AB707)</f>
        <v>0</v>
      </c>
      <c r="Z705" s="365" t="str">
        <f>IFERROR(X705*VLOOKUP(C705,'General price list'!C:I,7,FALSE),"")</f>
        <v/>
      </c>
      <c r="AA705" s="805" t="str">
        <f>IF(X705&lt;&gt;"",VLOOKUP(C705,'General price list'!C707:AN1680,MATCH("HM",Tabulka1[[#Headers],[KOD]:[NEQ]],0),FALSE),"")</f>
        <v/>
      </c>
    </row>
    <row r="706" spans="1:27">
      <c r="A706">
        <f>COUNTIF($W$22:W706,1)</f>
        <v>0</v>
      </c>
      <c r="B706">
        <v>706</v>
      </c>
      <c r="C706" s="340" t="str">
        <f>Tabulka1[[#This Row],[KOD]]</f>
        <v>C2545NO</v>
      </c>
      <c r="W706" s="804" t="str">
        <f t="shared" si="23"/>
        <v/>
      </c>
      <c r="X706" t="str">
        <f t="shared" si="24"/>
        <v/>
      </c>
      <c r="Y706" s="341">
        <f>IF('General price list'!$AB708="",0,'General price list'!$AB708)</f>
        <v>0</v>
      </c>
      <c r="Z706" s="365" t="str">
        <f>IFERROR(X706*VLOOKUP(C706,'General price list'!C:I,7,FALSE),"")</f>
        <v/>
      </c>
      <c r="AA706" s="805" t="str">
        <f>IF(X706&lt;&gt;"",VLOOKUP(C706,'General price list'!C708:AN1681,MATCH("HM",Tabulka1[[#Headers],[KOD]:[NEQ]],0),FALSE),"")</f>
        <v/>
      </c>
    </row>
    <row r="707" spans="1:27">
      <c r="A707">
        <f>COUNTIF($W$22:W707,1)</f>
        <v>0</v>
      </c>
      <c r="B707">
        <v>707</v>
      </c>
      <c r="C707" s="340" t="str">
        <f>Tabulka1[[#This Row],[KOD]]</f>
        <v>C2545DI</v>
      </c>
      <c r="W707" s="804" t="str">
        <f t="shared" si="23"/>
        <v/>
      </c>
      <c r="X707" t="str">
        <f t="shared" si="24"/>
        <v/>
      </c>
      <c r="Y707" s="341">
        <f>IF('General price list'!$AB709="",0,'General price list'!$AB709)</f>
        <v>0</v>
      </c>
      <c r="Z707" s="365" t="str">
        <f>IFERROR(X707*VLOOKUP(C707,'General price list'!C:I,7,FALSE),"")</f>
        <v/>
      </c>
      <c r="AA707" s="805" t="str">
        <f>IF(X707&lt;&gt;"",VLOOKUP(C707,'General price list'!C709:AN1682,MATCH("HM",Tabulka1[[#Headers],[KOD]:[NEQ]],0),FALSE),"")</f>
        <v/>
      </c>
    </row>
    <row r="708" spans="1:27">
      <c r="A708">
        <f>COUNTIF($W$22:W708,1)</f>
        <v>0</v>
      </c>
      <c r="B708">
        <v>708</v>
      </c>
      <c r="C708" s="340">
        <f>Tabulka1[[#This Row],[KOD]]</f>
        <v>0</v>
      </c>
      <c r="W708" s="804" t="str">
        <f t="shared" si="23"/>
        <v/>
      </c>
      <c r="X708" t="str">
        <f t="shared" si="24"/>
        <v/>
      </c>
      <c r="Y708" s="341">
        <f>IF('General price list'!$AB710="",0,'General price list'!$AB710)</f>
        <v>0</v>
      </c>
      <c r="Z708" s="365" t="str">
        <f>IFERROR(X708*VLOOKUP(C708,'General price list'!C:I,7,FALSE),"")</f>
        <v/>
      </c>
      <c r="AA708" s="805" t="str">
        <f>IF(X708&lt;&gt;"",VLOOKUP(C708,'General price list'!C710:AN1683,MATCH("HM",Tabulka1[[#Headers],[KOD]:[NEQ]],0),FALSE),"")</f>
        <v/>
      </c>
    </row>
    <row r="709" spans="1:27">
      <c r="A709">
        <f>COUNTIF($W$22:W709,1)</f>
        <v>0</v>
      </c>
      <c r="B709">
        <v>709</v>
      </c>
      <c r="C709" s="340" t="str">
        <f>Tabulka1[[#This Row],[KOD]]</f>
        <v>C255BP</v>
      </c>
      <c r="W709" s="804" t="str">
        <f t="shared" si="23"/>
        <v/>
      </c>
      <c r="X709" t="str">
        <f t="shared" si="24"/>
        <v/>
      </c>
      <c r="Y709" s="341">
        <f>IF('General price list'!$AB711="",0,'General price list'!$AB711)</f>
        <v>0</v>
      </c>
      <c r="Z709" s="365" t="str">
        <f>IFERROR(X709*VLOOKUP(C709,'General price list'!C:I,7,FALSE),"")</f>
        <v/>
      </c>
      <c r="AA709" s="805" t="str">
        <f>IF(X709&lt;&gt;"",VLOOKUP(C709,'General price list'!C711:AN1684,MATCH("HM",Tabulka1[[#Headers],[KOD]:[NEQ]],0),FALSE),"")</f>
        <v/>
      </c>
    </row>
    <row r="710" spans="1:27">
      <c r="A710">
        <f>COUNTIF($W$22:W710,1)</f>
        <v>0</v>
      </c>
      <c r="B710">
        <v>710</v>
      </c>
      <c r="C710" s="340">
        <f>Tabulka1[[#This Row],[KOD]]</f>
        <v>0</v>
      </c>
      <c r="W710" s="804" t="str">
        <f t="shared" si="23"/>
        <v/>
      </c>
      <c r="X710" t="str">
        <f t="shared" si="24"/>
        <v/>
      </c>
      <c r="Y710" s="341">
        <f>IF('General price list'!$AB712="",0,'General price list'!$AB712)</f>
        <v>0</v>
      </c>
      <c r="Z710" s="365" t="str">
        <f>IFERROR(X710*VLOOKUP(C710,'General price list'!C:I,7,FALSE),"")</f>
        <v/>
      </c>
      <c r="AA710" s="805" t="str">
        <f>IF(X710&lt;&gt;"",VLOOKUP(C710,'General price list'!C712:AN1685,MATCH("HM",Tabulka1[[#Headers],[KOD]:[NEQ]],0),FALSE),"")</f>
        <v/>
      </c>
    </row>
    <row r="711" spans="1:27">
      <c r="A711">
        <f>COUNTIF($W$22:W711,1)</f>
        <v>0</v>
      </c>
      <c r="B711">
        <v>711</v>
      </c>
      <c r="C711" s="340" t="str">
        <f>Tabulka1[[#This Row],[KOD]]</f>
        <v>C3545MF</v>
      </c>
      <c r="W711" s="804" t="str">
        <f t="shared" si="23"/>
        <v/>
      </c>
      <c r="X711" t="str">
        <f t="shared" si="24"/>
        <v/>
      </c>
      <c r="Y711" s="341">
        <f>IF('General price list'!$AB713="",0,'General price list'!$AB713)</f>
        <v>0</v>
      </c>
      <c r="Z711" s="365" t="str">
        <f>IFERROR(X711*VLOOKUP(C711,'General price list'!C:I,7,FALSE),"")</f>
        <v/>
      </c>
      <c r="AA711" s="805" t="str">
        <f>IF(X711&lt;&gt;"",VLOOKUP(C711,'General price list'!C713:AN1686,MATCH("HM",Tabulka1[[#Headers],[KOD]:[NEQ]],0),FALSE),"")</f>
        <v/>
      </c>
    </row>
    <row r="712" spans="1:27">
      <c r="A712">
        <f>COUNTIF($W$22:W712,1)</f>
        <v>0</v>
      </c>
      <c r="B712">
        <v>712</v>
      </c>
      <c r="C712" s="340" t="str">
        <f>Tabulka1[[#This Row],[KOD]]</f>
        <v>C3545NO</v>
      </c>
      <c r="W712" s="804" t="str">
        <f t="shared" si="23"/>
        <v/>
      </c>
      <c r="X712" t="str">
        <f t="shared" si="24"/>
        <v/>
      </c>
      <c r="Y712" s="341">
        <f>IF('General price list'!$AB714="",0,'General price list'!$AB714)</f>
        <v>0</v>
      </c>
      <c r="Z712" s="365" t="str">
        <f>IFERROR(X712*VLOOKUP(C712,'General price list'!C:I,7,FALSE),"")</f>
        <v/>
      </c>
      <c r="AA712" s="805" t="str">
        <f>IF(X712&lt;&gt;"",VLOOKUP(C712,'General price list'!C714:AN1687,MATCH("HM",Tabulka1[[#Headers],[KOD]:[NEQ]],0),FALSE),"")</f>
        <v/>
      </c>
    </row>
    <row r="713" spans="1:27">
      <c r="A713">
        <f>COUNTIF($W$22:W713,1)</f>
        <v>0</v>
      </c>
      <c r="B713">
        <v>713</v>
      </c>
      <c r="C713" s="340">
        <f>Tabulka1[[#This Row],[KOD]]</f>
        <v>0</v>
      </c>
      <c r="W713" s="804" t="str">
        <f t="shared" si="23"/>
        <v/>
      </c>
      <c r="X713" t="str">
        <f t="shared" si="24"/>
        <v/>
      </c>
      <c r="Y713" s="341">
        <f>IF('General price list'!$AB715="",0,'General price list'!$AB715)</f>
        <v>0</v>
      </c>
      <c r="Z713" s="365" t="str">
        <f>IFERROR(X713*VLOOKUP(C713,'General price list'!C:I,7,FALSE),"")</f>
        <v/>
      </c>
      <c r="AA713" s="805" t="str">
        <f>IF(X713&lt;&gt;"",VLOOKUP(C713,'General price list'!C715:AN1688,MATCH("HM",Tabulka1[[#Headers],[KOD]:[NEQ]],0),FALSE),"")</f>
        <v/>
      </c>
    </row>
    <row r="714" spans="1:27">
      <c r="A714">
        <f>COUNTIF($W$22:W714,1)</f>
        <v>0</v>
      </c>
      <c r="B714">
        <v>714</v>
      </c>
      <c r="C714" s="340" t="str">
        <f>Tabulka1[[#This Row],[KOD]]</f>
        <v>C3645BA</v>
      </c>
      <c r="W714" s="804" t="str">
        <f t="shared" si="23"/>
        <v/>
      </c>
      <c r="X714" t="str">
        <f t="shared" si="24"/>
        <v/>
      </c>
      <c r="Y714" s="341">
        <f>IF('General price list'!$AB716="",0,'General price list'!$AB716)</f>
        <v>0</v>
      </c>
      <c r="Z714" s="365" t="str">
        <f>IFERROR(X714*VLOOKUP(C714,'General price list'!C:I,7,FALSE),"")</f>
        <v/>
      </c>
      <c r="AA714" s="805" t="str">
        <f>IF(X714&lt;&gt;"",VLOOKUP(C714,'General price list'!C716:AN1689,MATCH("HM",Tabulka1[[#Headers],[KOD]:[NEQ]],0),FALSE),"")</f>
        <v/>
      </c>
    </row>
    <row r="715" spans="1:27">
      <c r="A715">
        <f>COUNTIF($W$22:W715,1)</f>
        <v>0</v>
      </c>
      <c r="B715">
        <v>715</v>
      </c>
      <c r="C715" s="340" t="str">
        <f>Tabulka1[[#This Row],[KOD]]</f>
        <v>C3645SE</v>
      </c>
      <c r="W715" s="804" t="str">
        <f t="shared" si="23"/>
        <v/>
      </c>
      <c r="X715" t="str">
        <f t="shared" si="24"/>
        <v/>
      </c>
      <c r="Y715" s="341">
        <f>IF('General price list'!$AB717="",0,'General price list'!$AB717)</f>
        <v>0</v>
      </c>
      <c r="Z715" s="365" t="str">
        <f>IFERROR(X715*VLOOKUP(C715,'General price list'!C:I,7,FALSE),"")</f>
        <v/>
      </c>
      <c r="AA715" s="805" t="str">
        <f>IF(X715&lt;&gt;"",VLOOKUP(C715,'General price list'!C717:AN1690,MATCH("HM",Tabulka1[[#Headers],[KOD]:[NEQ]],0),FALSE),"")</f>
        <v/>
      </c>
    </row>
    <row r="716" spans="1:27">
      <c r="A716">
        <f>COUNTIF($W$22:W716,1)</f>
        <v>0</v>
      </c>
      <c r="B716">
        <v>716</v>
      </c>
      <c r="C716" s="340">
        <f>Tabulka1[[#This Row],[KOD]]</f>
        <v>0</v>
      </c>
      <c r="W716" s="804" t="str">
        <f t="shared" si="23"/>
        <v/>
      </c>
      <c r="X716" t="str">
        <f t="shared" si="24"/>
        <v/>
      </c>
      <c r="Y716" s="341">
        <f>IF('General price list'!$AB718="",0,'General price list'!$AB718)</f>
        <v>0</v>
      </c>
      <c r="Z716" s="365" t="str">
        <f>IFERROR(X716*VLOOKUP(C716,'General price list'!C:I,7,FALSE),"")</f>
        <v/>
      </c>
      <c r="AA716" s="805" t="str">
        <f>IF(X716&lt;&gt;"",VLOOKUP(C716,'General price list'!C718:AN1691,MATCH("HM",Tabulka1[[#Headers],[KOD]:[NEQ]],0),FALSE),"")</f>
        <v/>
      </c>
    </row>
    <row r="717" spans="1:27">
      <c r="A717">
        <f>COUNTIF($W$22:W717,1)</f>
        <v>0</v>
      </c>
      <c r="B717">
        <v>717</v>
      </c>
      <c r="C717" s="340" t="str">
        <f>Tabulka1[[#This Row],[KOD]]</f>
        <v>C365DU</v>
      </c>
      <c r="W717" s="804" t="str">
        <f t="shared" si="23"/>
        <v/>
      </c>
      <c r="X717" t="str">
        <f t="shared" si="24"/>
        <v/>
      </c>
      <c r="Y717" s="341">
        <f>IF('General price list'!$AB719="",0,'General price list'!$AB719)</f>
        <v>0</v>
      </c>
      <c r="Z717" s="365" t="str">
        <f>IFERROR(X717*VLOOKUP(C717,'General price list'!C:I,7,FALSE),"")</f>
        <v/>
      </c>
      <c r="AA717" s="805" t="str">
        <f>IF(X717&lt;&gt;"",VLOOKUP(C717,'General price list'!C719:AN1692,MATCH("HM",Tabulka1[[#Headers],[KOD]:[NEQ]],0),FALSE),"")</f>
        <v/>
      </c>
    </row>
    <row r="718" spans="1:27">
      <c r="A718">
        <f>COUNTIF($W$22:W718,1)</f>
        <v>0</v>
      </c>
      <c r="B718">
        <v>718</v>
      </c>
      <c r="C718" s="340">
        <f>Tabulka1[[#This Row],[KOD]]</f>
        <v>0</v>
      </c>
      <c r="W718" s="804" t="str">
        <f t="shared" si="23"/>
        <v/>
      </c>
      <c r="X718" t="str">
        <f t="shared" si="24"/>
        <v/>
      </c>
      <c r="Y718" s="341">
        <f>IF('General price list'!$AB720="",0,'General price list'!$AB720)</f>
        <v>0</v>
      </c>
      <c r="Z718" s="365" t="str">
        <f>IFERROR(X718*VLOOKUP(C718,'General price list'!C:I,7,FALSE),"")</f>
        <v/>
      </c>
      <c r="AA718" s="805" t="str">
        <f>IF(X718&lt;&gt;"",VLOOKUP(C718,'General price list'!C720:AN1693,MATCH("HM",Tabulka1[[#Headers],[KOD]:[NEQ]],0),FALSE),"")</f>
        <v/>
      </c>
    </row>
    <row r="719" spans="1:27">
      <c r="A719">
        <f>COUNTIF($W$22:W719,1)</f>
        <v>0</v>
      </c>
      <c r="B719">
        <v>719</v>
      </c>
      <c r="C719" s="340" t="str">
        <f>Tabulka1[[#This Row],[KOD]]</f>
        <v>C505X/C</v>
      </c>
      <c r="W719" s="804" t="str">
        <f t="shared" si="23"/>
        <v/>
      </c>
      <c r="X719" t="str">
        <f t="shared" si="24"/>
        <v/>
      </c>
      <c r="Y719" s="341">
        <f>IF('General price list'!$AB721="",0,'General price list'!$AB721)</f>
        <v>0</v>
      </c>
      <c r="Z719" s="365" t="str">
        <f>IFERROR(X719*VLOOKUP(C719,'General price list'!C:I,7,FALSE),"")</f>
        <v/>
      </c>
      <c r="AA719" s="805" t="str">
        <f>IF(X719&lt;&gt;"",VLOOKUP(C719,'General price list'!C721:AN1694,MATCH("HM",Tabulka1[[#Headers],[KOD]:[NEQ]],0),FALSE),"")</f>
        <v/>
      </c>
    </row>
    <row r="720" spans="1:27">
      <c r="A720">
        <f>COUNTIF($W$22:W720,1)</f>
        <v>0</v>
      </c>
      <c r="B720">
        <v>720</v>
      </c>
      <c r="C720" s="340" t="str">
        <f>Tabulka1[[#This Row],[KOD]]</f>
        <v>C505V/C</v>
      </c>
      <c r="W720" s="804" t="str">
        <f t="shared" si="23"/>
        <v/>
      </c>
      <c r="X720" t="str">
        <f t="shared" si="24"/>
        <v/>
      </c>
      <c r="Y720" s="341">
        <f>IF('General price list'!$AB722="",0,'General price list'!$AB722)</f>
        <v>0</v>
      </c>
      <c r="Z720" s="365" t="str">
        <f>IFERROR(X720*VLOOKUP(C720,'General price list'!C:I,7,FALSE),"")</f>
        <v/>
      </c>
      <c r="AA720" s="805" t="str">
        <f>IF(X720&lt;&gt;"",VLOOKUP(C720,'General price list'!C722:AN1695,MATCH("HM",Tabulka1[[#Headers],[KOD]:[NEQ]],0),FALSE),"")</f>
        <v/>
      </c>
    </row>
    <row r="721" spans="1:27">
      <c r="A721">
        <f>COUNTIF($W$22:W721,1)</f>
        <v>0</v>
      </c>
      <c r="B721">
        <v>721</v>
      </c>
      <c r="C721" s="340" t="str">
        <f>Tabulka1[[#This Row],[KOD]]</f>
        <v>C755R/C</v>
      </c>
      <c r="W721" s="804" t="str">
        <f t="shared" si="23"/>
        <v/>
      </c>
      <c r="X721" t="str">
        <f t="shared" si="24"/>
        <v/>
      </c>
      <c r="Y721" s="341">
        <f>IF('General price list'!$AB723="",0,'General price list'!$AB723)</f>
        <v>0</v>
      </c>
      <c r="Z721" s="365" t="str">
        <f>IFERROR(X721*VLOOKUP(C721,'General price list'!C:I,7,FALSE),"")</f>
        <v/>
      </c>
      <c r="AA721" s="805" t="str">
        <f>IF(X721&lt;&gt;"",VLOOKUP(C721,'General price list'!C723:AN1696,MATCH("HM",Tabulka1[[#Headers],[KOD]:[NEQ]],0),FALSE),"")</f>
        <v/>
      </c>
    </row>
    <row r="722" spans="1:27">
      <c r="A722">
        <f>COUNTIF($W$22:W722,1)</f>
        <v>0</v>
      </c>
      <c r="B722">
        <v>722</v>
      </c>
      <c r="C722" s="340" t="str">
        <f>Tabulka1[[#This Row],[KOD]]</f>
        <v>C10545GI/C</v>
      </c>
      <c r="W722" s="804" t="str">
        <f t="shared" si="23"/>
        <v/>
      </c>
      <c r="X722" t="str">
        <f t="shared" si="24"/>
        <v/>
      </c>
      <c r="Y722" s="341">
        <f>IF('General price list'!$AB724="",0,'General price list'!$AB724)</f>
        <v>0</v>
      </c>
      <c r="Z722" s="365" t="str">
        <f>IFERROR(X722*VLOOKUP(C722,'General price list'!C:I,7,FALSE),"")</f>
        <v/>
      </c>
      <c r="AA722" s="805" t="str">
        <f>IF(X722&lt;&gt;"",VLOOKUP(C722,'General price list'!C724:AN1697,MATCH("HM",Tabulka1[[#Headers],[KOD]:[NEQ]],0),FALSE),"")</f>
        <v/>
      </c>
    </row>
    <row r="723" spans="1:27">
      <c r="A723">
        <f>COUNTIF($W$22:W723,1)</f>
        <v>0</v>
      </c>
      <c r="B723">
        <v>723</v>
      </c>
      <c r="C723" s="340">
        <f>Tabulka1[[#This Row],[KOD]]</f>
        <v>0</v>
      </c>
      <c r="W723" s="804" t="str">
        <f t="shared" si="23"/>
        <v/>
      </c>
      <c r="X723" t="str">
        <f t="shared" si="24"/>
        <v/>
      </c>
      <c r="Y723" s="341">
        <f>IF('General price list'!$AB725="",0,'General price list'!$AB725)</f>
        <v>0</v>
      </c>
      <c r="Z723" s="365" t="str">
        <f>IFERROR(X723*VLOOKUP(C723,'General price list'!C:I,7,FALSE),"")</f>
        <v/>
      </c>
      <c r="AA723" s="805" t="str">
        <f>IF(X723&lt;&gt;"",VLOOKUP(C723,'General price list'!C725:AN1698,MATCH("HM",Tabulka1[[#Headers],[KOD]:[NEQ]],0),FALSE),"")</f>
        <v/>
      </c>
    </row>
    <row r="724" spans="1:27">
      <c r="A724">
        <f>COUNTIF($W$22:W724,1)</f>
        <v>0</v>
      </c>
      <c r="B724">
        <v>724</v>
      </c>
      <c r="C724" s="340" t="str">
        <f>Tabulka1[[#This Row],[KOD]]</f>
        <v>C2505D</v>
      </c>
      <c r="W724" s="804" t="str">
        <f t="shared" si="23"/>
        <v/>
      </c>
      <c r="X724" t="str">
        <f t="shared" si="24"/>
        <v/>
      </c>
      <c r="Y724" s="341">
        <f>IF('General price list'!$AB726="",0,'General price list'!$AB726)</f>
        <v>0</v>
      </c>
      <c r="Z724" s="365" t="str">
        <f>IFERROR(X724*VLOOKUP(C724,'General price list'!C:I,7,FALSE),"")</f>
        <v/>
      </c>
      <c r="AA724" s="805" t="str">
        <f>IF(X724&lt;&gt;"",VLOOKUP(C724,'General price list'!C726:AN1699,MATCH("HM",Tabulka1[[#Headers],[KOD]:[NEQ]],0),FALSE),"")</f>
        <v/>
      </c>
    </row>
    <row r="725" spans="1:27">
      <c r="A725">
        <f>COUNTIF($W$22:W725,1)</f>
        <v>0</v>
      </c>
      <c r="B725">
        <v>725</v>
      </c>
      <c r="C725" s="340">
        <f>Tabulka1[[#This Row],[KOD]]</f>
        <v>0</v>
      </c>
      <c r="W725" s="804" t="str">
        <f t="shared" si="23"/>
        <v/>
      </c>
      <c r="X725" t="str">
        <f t="shared" si="24"/>
        <v/>
      </c>
      <c r="Y725" s="341">
        <f>IF('General price list'!$AB727="",0,'General price list'!$AB727)</f>
        <v>0</v>
      </c>
      <c r="Z725" s="365" t="str">
        <f>IFERROR(X725*VLOOKUP(C725,'General price list'!C:I,7,FALSE),"")</f>
        <v/>
      </c>
      <c r="AA725" s="805" t="str">
        <f>IF(X725&lt;&gt;"",VLOOKUP(C725,'General price list'!C727:AN1700,MATCH("HM",Tabulka1[[#Headers],[KOD]:[NEQ]],0),FALSE),"")</f>
        <v/>
      </c>
    </row>
    <row r="726" spans="1:27">
      <c r="A726">
        <f>COUNTIF($W$22:W726,1)</f>
        <v>0</v>
      </c>
      <c r="B726">
        <v>726</v>
      </c>
      <c r="C726" s="340" t="str">
        <f>Tabulka1[[#This Row],[KOD]]</f>
        <v>C2463B</v>
      </c>
      <c r="W726" s="804" t="str">
        <f t="shared" si="23"/>
        <v/>
      </c>
      <c r="X726" t="str">
        <f t="shared" si="24"/>
        <v/>
      </c>
      <c r="Y726" s="341">
        <f>IF('General price list'!$AB728="",0,'General price list'!$AB728)</f>
        <v>0</v>
      </c>
      <c r="Z726" s="365" t="str">
        <f>IFERROR(X726*VLOOKUP(C726,'General price list'!C:I,7,FALSE),"")</f>
        <v/>
      </c>
      <c r="AA726" s="805" t="str">
        <f>IF(X726&lt;&gt;"",VLOOKUP(C726,'General price list'!C728:AN1701,MATCH("HM",Tabulka1[[#Headers],[KOD]:[NEQ]],0),FALSE),"")</f>
        <v/>
      </c>
    </row>
    <row r="727" spans="1:27">
      <c r="A727">
        <f>COUNTIF($W$22:W727,1)</f>
        <v>0</v>
      </c>
      <c r="B727">
        <v>727</v>
      </c>
      <c r="C727" s="340">
        <f>Tabulka1[[#This Row],[KOD]]</f>
        <v>0</v>
      </c>
      <c r="W727" s="804" t="str">
        <f t="shared" si="23"/>
        <v/>
      </c>
      <c r="X727" t="str">
        <f t="shared" si="24"/>
        <v/>
      </c>
      <c r="Y727" s="341">
        <f>IF('General price list'!$AB729="",0,'General price list'!$AB729)</f>
        <v>0</v>
      </c>
      <c r="Z727" s="365" t="str">
        <f>IFERROR(X727*VLOOKUP(C727,'General price list'!C:I,7,FALSE),"")</f>
        <v/>
      </c>
      <c r="AA727" s="805" t="str">
        <f>IF(X727&lt;&gt;"",VLOOKUP(C727,'General price list'!C729:AN1702,MATCH("HM",Tabulka1[[#Headers],[KOD]:[NEQ]],0),FALSE),"")</f>
        <v/>
      </c>
    </row>
    <row r="728" spans="1:27">
      <c r="A728">
        <f>COUNTIF($W$22:W728,1)</f>
        <v>0</v>
      </c>
      <c r="B728">
        <v>728</v>
      </c>
      <c r="C728" s="340" t="str">
        <f>Tabulka1[[#This Row],[KOD]]</f>
        <v>C2575C</v>
      </c>
      <c r="W728" s="804" t="str">
        <f t="shared" si="23"/>
        <v/>
      </c>
      <c r="X728" t="str">
        <f t="shared" si="24"/>
        <v/>
      </c>
      <c r="Y728" s="341">
        <f>IF('General price list'!$AB730="",0,'General price list'!$AB730)</f>
        <v>0</v>
      </c>
      <c r="Z728" s="365" t="str">
        <f>IFERROR(X728*VLOOKUP(C728,'General price list'!C:I,7,FALSE),"")</f>
        <v/>
      </c>
      <c r="AA728" s="805" t="str">
        <f>IF(X728&lt;&gt;"",VLOOKUP(C728,'General price list'!C730:AN1703,MATCH("HM",Tabulka1[[#Headers],[KOD]:[NEQ]],0),FALSE),"")</f>
        <v/>
      </c>
    </row>
    <row r="729" spans="1:27">
      <c r="A729">
        <f>COUNTIF($W$22:W729,1)</f>
        <v>0</v>
      </c>
      <c r="B729">
        <v>729</v>
      </c>
      <c r="C729" s="340">
        <f>Tabulka1[[#This Row],[KOD]]</f>
        <v>0</v>
      </c>
      <c r="W729" s="804" t="str">
        <f t="shared" ref="W729:W792" si="25">IF(Y729+1=1,"",1)</f>
        <v/>
      </c>
      <c r="X729" t="str">
        <f t="shared" ref="X729:X792" si="26">IF(OR(A729&lt;$G$20,A729&gt;$G$21),"",IF(Y729=0,"",Y729))</f>
        <v/>
      </c>
      <c r="Y729" s="341">
        <f>IF('General price list'!$AB731="",0,'General price list'!$AB731)</f>
        <v>0</v>
      </c>
      <c r="Z729" s="365" t="str">
        <f>IFERROR(X729*VLOOKUP(C729,'General price list'!C:I,7,FALSE),"")</f>
        <v/>
      </c>
      <c r="AA729" s="805" t="str">
        <f>IF(X729&lt;&gt;"",VLOOKUP(C729,'General price list'!C731:AN1704,MATCH("HM",Tabulka1[[#Headers],[KOD]:[NEQ]],0),FALSE),"")</f>
        <v/>
      </c>
    </row>
    <row r="730" spans="1:27">
      <c r="A730">
        <f>COUNTIF($W$22:W730,1)</f>
        <v>0</v>
      </c>
      <c r="B730">
        <v>730</v>
      </c>
      <c r="C730" s="340">
        <f>Tabulka1[[#This Row],[KOD]]</f>
        <v>0</v>
      </c>
      <c r="W730" s="804" t="str">
        <f t="shared" si="25"/>
        <v/>
      </c>
      <c r="X730" t="str">
        <f t="shared" si="26"/>
        <v/>
      </c>
      <c r="Y730" s="341">
        <f>IF('General price list'!$AB732="",0,'General price list'!$AB732)</f>
        <v>0</v>
      </c>
      <c r="Z730" s="365" t="str">
        <f>IFERROR(X730*VLOOKUP(C730,'General price list'!C:I,7,FALSE),"")</f>
        <v/>
      </c>
      <c r="AA730" s="805" t="str">
        <f>IF(X730&lt;&gt;"",VLOOKUP(C730,'General price list'!C732:AN1705,MATCH("HM",Tabulka1[[#Headers],[KOD]:[NEQ]],0),FALSE),"")</f>
        <v/>
      </c>
    </row>
    <row r="731" spans="1:27">
      <c r="A731">
        <f>COUNTIF($W$22:W731,1)</f>
        <v>0</v>
      </c>
      <c r="B731">
        <v>731</v>
      </c>
      <c r="C731" s="340" t="str">
        <f>Tabulka1[[#This Row],[KOD]]</f>
        <v>C39MPT</v>
      </c>
      <c r="W731" s="804" t="str">
        <f t="shared" si="25"/>
        <v/>
      </c>
      <c r="X731" t="str">
        <f t="shared" si="26"/>
        <v/>
      </c>
      <c r="Y731" s="341">
        <f>IF('General price list'!$AB733="",0,'General price list'!$AB733)</f>
        <v>0</v>
      </c>
      <c r="Z731" s="365" t="str">
        <f>IFERROR(X731*VLOOKUP(C731,'General price list'!C:I,7,FALSE),"")</f>
        <v/>
      </c>
      <c r="AA731" s="805" t="str">
        <f>IF(X731&lt;&gt;"",VLOOKUP(C731,'General price list'!C733:AN1706,MATCH("HM",Tabulka1[[#Headers],[KOD]:[NEQ]],0),FALSE),"")</f>
        <v/>
      </c>
    </row>
    <row r="732" spans="1:27">
      <c r="A732">
        <f>COUNTIF($W$22:W732,1)</f>
        <v>0</v>
      </c>
      <c r="B732">
        <v>732</v>
      </c>
      <c r="C732" s="340">
        <f>Tabulka1[[#This Row],[KOD]]</f>
        <v>0</v>
      </c>
      <c r="W732" s="804" t="str">
        <f t="shared" si="25"/>
        <v/>
      </c>
      <c r="X732" t="str">
        <f t="shared" si="26"/>
        <v/>
      </c>
      <c r="Y732" s="341">
        <f>IF('General price list'!$AB734="",0,'General price list'!$AB734)</f>
        <v>0</v>
      </c>
      <c r="Z732" s="365" t="str">
        <f>IFERROR(X732*VLOOKUP(C732,'General price list'!C:I,7,FALSE),"")</f>
        <v/>
      </c>
      <c r="AA732" s="805" t="str">
        <f>IF(X732&lt;&gt;"",VLOOKUP(C732,'General price list'!C734:AN1707,MATCH("HM",Tabulka1[[#Headers],[KOD]:[NEQ]],0),FALSE),"")</f>
        <v/>
      </c>
    </row>
    <row r="733" spans="1:27">
      <c r="A733">
        <f>COUNTIF($W$22:W733,1)</f>
        <v>0</v>
      </c>
      <c r="B733">
        <v>733</v>
      </c>
      <c r="C733" s="340" t="str">
        <f>Tabulka1[[#This Row],[KOD]]</f>
        <v>C46MXP</v>
      </c>
      <c r="W733" s="804" t="str">
        <f t="shared" si="25"/>
        <v/>
      </c>
      <c r="X733" t="str">
        <f t="shared" si="26"/>
        <v/>
      </c>
      <c r="Y733" s="341">
        <f>IF('General price list'!$AB735="",0,'General price list'!$AB735)</f>
        <v>0</v>
      </c>
      <c r="Z733" s="365" t="str">
        <f>IFERROR(X733*VLOOKUP(C733,'General price list'!C:I,7,FALSE),"")</f>
        <v/>
      </c>
      <c r="AA733" s="805" t="str">
        <f>IF(X733&lt;&gt;"",VLOOKUP(C733,'General price list'!C735:AN1708,MATCH("HM",Tabulka1[[#Headers],[KOD]:[NEQ]],0),FALSE),"")</f>
        <v/>
      </c>
    </row>
    <row r="734" spans="1:27">
      <c r="A734">
        <f>COUNTIF($W$22:W734,1)</f>
        <v>0</v>
      </c>
      <c r="B734">
        <v>734</v>
      </c>
      <c r="C734" s="340">
        <f>Tabulka1[[#This Row],[KOD]]</f>
        <v>0</v>
      </c>
      <c r="W734" s="804" t="str">
        <f t="shared" si="25"/>
        <v/>
      </c>
      <c r="X734" t="str">
        <f t="shared" si="26"/>
        <v/>
      </c>
      <c r="Y734" s="341">
        <f>IF('General price list'!$AB736="",0,'General price list'!$AB736)</f>
        <v>0</v>
      </c>
      <c r="Z734" s="365" t="str">
        <f>IFERROR(X734*VLOOKUP(C734,'General price list'!C:I,7,FALSE),"")</f>
        <v/>
      </c>
      <c r="AA734" s="805" t="str">
        <f>IF(X734&lt;&gt;"",VLOOKUP(C734,'General price list'!C736:AN1709,MATCH("HM",Tabulka1[[#Headers],[KOD]:[NEQ]],0),FALSE),"")</f>
        <v/>
      </c>
    </row>
    <row r="735" spans="1:27">
      <c r="A735">
        <f>COUNTIF($W$22:W735,1)</f>
        <v>0</v>
      </c>
      <c r="B735">
        <v>735</v>
      </c>
      <c r="C735" s="340" t="str">
        <f>Tabulka1[[#This Row],[KOD]]</f>
        <v>C48XMF14</v>
      </c>
      <c r="W735" s="804" t="str">
        <f t="shared" si="25"/>
        <v/>
      </c>
      <c r="X735" t="str">
        <f t="shared" si="26"/>
        <v/>
      </c>
      <c r="Y735" s="341">
        <f>IF('General price list'!$AB737="",0,'General price list'!$AB737)</f>
        <v>0</v>
      </c>
      <c r="Z735" s="365" t="str">
        <f>IFERROR(X735*VLOOKUP(C735,'General price list'!C:I,7,FALSE),"")</f>
        <v/>
      </c>
      <c r="AA735" s="805" t="str">
        <f>IF(X735&lt;&gt;"",VLOOKUP(C735,'General price list'!C737:AN1710,MATCH("HM",Tabulka1[[#Headers],[KOD]:[NEQ]],0),FALSE),"")</f>
        <v/>
      </c>
    </row>
    <row r="736" spans="1:27">
      <c r="A736">
        <f>COUNTIF($W$22:W736,1)</f>
        <v>0</v>
      </c>
      <c r="B736">
        <v>736</v>
      </c>
      <c r="C736" s="340">
        <f>Tabulka1[[#This Row],[KOD]]</f>
        <v>0</v>
      </c>
      <c r="W736" s="804" t="str">
        <f t="shared" si="25"/>
        <v/>
      </c>
      <c r="X736" t="str">
        <f t="shared" si="26"/>
        <v/>
      </c>
      <c r="Y736" s="341">
        <f>IF('General price list'!$AB738="",0,'General price list'!$AB738)</f>
        <v>0</v>
      </c>
      <c r="Z736" s="365" t="str">
        <f>IFERROR(X736*VLOOKUP(C736,'General price list'!C:I,7,FALSE),"")</f>
        <v/>
      </c>
      <c r="AA736" s="805" t="str">
        <f>IF(X736&lt;&gt;"",VLOOKUP(C736,'General price list'!C738:AN1711,MATCH("HM",Tabulka1[[#Headers],[KOD]:[NEQ]],0),FALSE),"")</f>
        <v/>
      </c>
    </row>
    <row r="737" spans="1:27">
      <c r="A737">
        <f>COUNTIF($W$22:W737,1)</f>
        <v>0</v>
      </c>
      <c r="B737">
        <v>737</v>
      </c>
      <c r="C737" s="340" t="str">
        <f>Tabulka1[[#This Row],[KOD]]</f>
        <v>C50MO</v>
      </c>
      <c r="W737" s="804" t="str">
        <f t="shared" si="25"/>
        <v/>
      </c>
      <c r="X737" t="str">
        <f t="shared" si="26"/>
        <v/>
      </c>
      <c r="Y737" s="341">
        <f>IF('General price list'!$AB739="",0,'General price list'!$AB739)</f>
        <v>0</v>
      </c>
      <c r="Z737" s="365" t="str">
        <f>IFERROR(X737*VLOOKUP(C737,'General price list'!C:I,7,FALSE),"")</f>
        <v/>
      </c>
      <c r="AA737" s="805" t="str">
        <f>IF(X737&lt;&gt;"",VLOOKUP(C737,'General price list'!C739:AN1712,MATCH("HM",Tabulka1[[#Headers],[KOD]:[NEQ]],0),FALSE),"")</f>
        <v/>
      </c>
    </row>
    <row r="738" spans="1:27">
      <c r="A738">
        <f>COUNTIF($W$22:W738,1)</f>
        <v>0</v>
      </c>
      <c r="B738">
        <v>738</v>
      </c>
      <c r="C738" s="340" t="str">
        <f>Tabulka1[[#This Row],[KOD]]</f>
        <v>C50MCH</v>
      </c>
      <c r="W738" s="804" t="str">
        <f t="shared" si="25"/>
        <v/>
      </c>
      <c r="X738" t="str">
        <f t="shared" si="26"/>
        <v/>
      </c>
      <c r="Y738" s="341">
        <f>IF('General price list'!$AB740="",0,'General price list'!$AB740)</f>
        <v>0</v>
      </c>
      <c r="Z738" s="365" t="str">
        <f>IFERROR(X738*VLOOKUP(C738,'General price list'!C:I,7,FALSE),"")</f>
        <v/>
      </c>
      <c r="AA738" s="805" t="str">
        <f>IF(X738&lt;&gt;"",VLOOKUP(C738,'General price list'!C740:AN1713,MATCH("HM",Tabulka1[[#Headers],[KOD]:[NEQ]],0),FALSE),"")</f>
        <v/>
      </c>
    </row>
    <row r="739" spans="1:27">
      <c r="A739">
        <f>COUNTIF($W$22:W739,1)</f>
        <v>0</v>
      </c>
      <c r="B739">
        <v>739</v>
      </c>
      <c r="C739" s="340">
        <f>Tabulka1[[#This Row],[KOD]]</f>
        <v>0</v>
      </c>
      <c r="W739" s="804" t="str">
        <f t="shared" si="25"/>
        <v/>
      </c>
      <c r="X739" t="str">
        <f t="shared" si="26"/>
        <v/>
      </c>
      <c r="Y739" s="341">
        <f>IF('General price list'!$AB741="",0,'General price list'!$AB741)</f>
        <v>0</v>
      </c>
      <c r="Z739" s="365" t="str">
        <f>IFERROR(X739*VLOOKUP(C739,'General price list'!C:I,7,FALSE),"")</f>
        <v/>
      </c>
      <c r="AA739" s="805" t="str">
        <f>IF(X739&lt;&gt;"",VLOOKUP(C739,'General price list'!C741:AN1714,MATCH("HM",Tabulka1[[#Headers],[KOD]:[NEQ]],0),FALSE),"")</f>
        <v/>
      </c>
    </row>
    <row r="740" spans="1:27">
      <c r="A740">
        <f>COUNTIF($W$22:W740,1)</f>
        <v>0</v>
      </c>
      <c r="B740">
        <v>740</v>
      </c>
      <c r="C740" s="340" t="str">
        <f>Tabulka1[[#This Row],[KOD]]</f>
        <v>C64MT</v>
      </c>
      <c r="W740" s="804" t="str">
        <f t="shared" si="25"/>
        <v/>
      </c>
      <c r="X740" t="str">
        <f t="shared" si="26"/>
        <v/>
      </c>
      <c r="Y740" s="341">
        <f>IF('General price list'!$AB742="",0,'General price list'!$AB742)</f>
        <v>0</v>
      </c>
      <c r="Z740" s="365" t="str">
        <f>IFERROR(X740*VLOOKUP(C740,'General price list'!C:I,7,FALSE),"")</f>
        <v/>
      </c>
      <c r="AA740" s="805" t="str">
        <f>IF(X740&lt;&gt;"",VLOOKUP(C740,'General price list'!C742:AN1715,MATCH("HM",Tabulka1[[#Headers],[KOD]:[NEQ]],0),FALSE),"")</f>
        <v/>
      </c>
    </row>
    <row r="741" spans="1:27">
      <c r="A741">
        <f>COUNTIF($W$22:W741,1)</f>
        <v>0</v>
      </c>
      <c r="B741">
        <v>741</v>
      </c>
      <c r="C741" s="340" t="str">
        <f>Tabulka1[[#This Row],[KOD]]</f>
        <v>C64MP</v>
      </c>
      <c r="W741" s="804" t="str">
        <f t="shared" si="25"/>
        <v/>
      </c>
      <c r="X741" t="str">
        <f t="shared" si="26"/>
        <v/>
      </c>
      <c r="Y741" s="341">
        <f>IF('General price list'!$AB743="",0,'General price list'!$AB743)</f>
        <v>0</v>
      </c>
      <c r="Z741" s="365" t="str">
        <f>IFERROR(X741*VLOOKUP(C741,'General price list'!C:I,7,FALSE),"")</f>
        <v/>
      </c>
      <c r="AA741" s="805" t="str">
        <f>IF(X741&lt;&gt;"",VLOOKUP(C741,'General price list'!C743:AN1716,MATCH("HM",Tabulka1[[#Headers],[KOD]:[NEQ]],0),FALSE),"")</f>
        <v/>
      </c>
    </row>
    <row r="742" spans="1:27">
      <c r="A742">
        <f>COUNTIF($W$22:W742,1)</f>
        <v>0</v>
      </c>
      <c r="B742">
        <v>742</v>
      </c>
      <c r="C742" s="340">
        <f>Tabulka1[[#This Row],[KOD]]</f>
        <v>0</v>
      </c>
      <c r="W742" s="804" t="str">
        <f t="shared" si="25"/>
        <v/>
      </c>
      <c r="X742" t="str">
        <f t="shared" si="26"/>
        <v/>
      </c>
      <c r="Y742" s="341">
        <f>IF('General price list'!$AB744="",0,'General price list'!$AB744)</f>
        <v>0</v>
      </c>
      <c r="Z742" s="365" t="str">
        <f>IFERROR(X742*VLOOKUP(C742,'General price list'!C:I,7,FALSE),"")</f>
        <v/>
      </c>
      <c r="AA742" s="805" t="str">
        <f>IF(X742&lt;&gt;"",VLOOKUP(C742,'General price list'!C744:AN1717,MATCH("HM",Tabulka1[[#Headers],[KOD]:[NEQ]],0),FALSE),"")</f>
        <v/>
      </c>
    </row>
    <row r="743" spans="1:27">
      <c r="A743">
        <f>COUNTIF($W$22:W743,1)</f>
        <v>0</v>
      </c>
      <c r="B743">
        <v>743</v>
      </c>
      <c r="C743" s="340" t="str">
        <f>Tabulka1[[#This Row],[KOD]]</f>
        <v>C68XMPT</v>
      </c>
      <c r="W743" s="804" t="str">
        <f t="shared" si="25"/>
        <v/>
      </c>
      <c r="X743" t="str">
        <f t="shared" si="26"/>
        <v/>
      </c>
      <c r="Y743" s="341">
        <f>IF('General price list'!$AB745="",0,'General price list'!$AB745)</f>
        <v>0</v>
      </c>
      <c r="Z743" s="365" t="str">
        <f>IFERROR(X743*VLOOKUP(C743,'General price list'!C:I,7,FALSE),"")</f>
        <v/>
      </c>
      <c r="AA743" s="805" t="str">
        <f>IF(X743&lt;&gt;"",VLOOKUP(C743,'General price list'!C745:AN1718,MATCH("HM",Tabulka1[[#Headers],[KOD]:[NEQ]],0),FALSE),"")</f>
        <v/>
      </c>
    </row>
    <row r="744" spans="1:27">
      <c r="A744">
        <f>COUNTIF($W$22:W744,1)</f>
        <v>0</v>
      </c>
      <c r="B744">
        <v>744</v>
      </c>
      <c r="C744" s="340">
        <f>Tabulka1[[#This Row],[KOD]]</f>
        <v>0</v>
      </c>
      <c r="W744" s="804" t="str">
        <f t="shared" si="25"/>
        <v/>
      </c>
      <c r="X744" t="str">
        <f t="shared" si="26"/>
        <v/>
      </c>
      <c r="Y744" s="341">
        <f>IF('General price list'!$AB746="",0,'General price list'!$AB746)</f>
        <v>0</v>
      </c>
      <c r="Z744" s="365" t="str">
        <f>IFERROR(X744*VLOOKUP(C744,'General price list'!C:I,7,FALSE),"")</f>
        <v/>
      </c>
      <c r="AA744" s="805" t="str">
        <f>IF(X744&lt;&gt;"",VLOOKUP(C744,'General price list'!C746:AN1719,MATCH("HM",Tabulka1[[#Headers],[KOD]:[NEQ]],0),FALSE),"")</f>
        <v/>
      </c>
    </row>
    <row r="745" spans="1:27">
      <c r="A745">
        <f>COUNTIF($W$22:W745,1)</f>
        <v>0</v>
      </c>
      <c r="B745">
        <v>745</v>
      </c>
      <c r="C745" s="340" t="str">
        <f>Tabulka1[[#This Row],[KOD]]</f>
        <v>C68XMPT14</v>
      </c>
      <c r="W745" s="804" t="str">
        <f t="shared" si="25"/>
        <v/>
      </c>
      <c r="X745" t="str">
        <f t="shared" si="26"/>
        <v/>
      </c>
      <c r="Y745" s="341">
        <f>IF('General price list'!$AB747="",0,'General price list'!$AB747)</f>
        <v>0</v>
      </c>
      <c r="Z745" s="365" t="str">
        <f>IFERROR(X745*VLOOKUP(C745,'General price list'!C:I,7,FALSE),"")</f>
        <v/>
      </c>
      <c r="AA745" s="805" t="str">
        <f>IF(X745&lt;&gt;"",VLOOKUP(C745,'General price list'!C747:AN1720,MATCH("HM",Tabulka1[[#Headers],[KOD]:[NEQ]],0),FALSE),"")</f>
        <v/>
      </c>
    </row>
    <row r="746" spans="1:27">
      <c r="A746">
        <f>COUNTIF($W$22:W746,1)</f>
        <v>0</v>
      </c>
      <c r="B746">
        <v>746</v>
      </c>
      <c r="C746" s="340">
        <f>Tabulka1[[#This Row],[KOD]]</f>
        <v>0</v>
      </c>
      <c r="W746" s="804" t="str">
        <f t="shared" si="25"/>
        <v/>
      </c>
      <c r="X746" t="str">
        <f t="shared" si="26"/>
        <v/>
      </c>
      <c r="Y746" s="341">
        <f>IF('General price list'!$AB748="",0,'General price list'!$AB748)</f>
        <v>0</v>
      </c>
      <c r="Z746" s="365" t="str">
        <f>IFERROR(X746*VLOOKUP(C746,'General price list'!C:I,7,FALSE),"")</f>
        <v/>
      </c>
      <c r="AA746" s="805" t="str">
        <f>IF(X746&lt;&gt;"",VLOOKUP(C746,'General price list'!C748:AN1721,MATCH("HM",Tabulka1[[#Headers],[KOD]:[NEQ]],0),FALSE),"")</f>
        <v/>
      </c>
    </row>
    <row r="747" spans="1:27">
      <c r="A747">
        <f>COUNTIF($W$22:W747,1)</f>
        <v>0</v>
      </c>
      <c r="B747">
        <v>747</v>
      </c>
      <c r="C747" s="340" t="str">
        <f>Tabulka1[[#This Row],[KOD]]</f>
        <v>C77MXR14</v>
      </c>
      <c r="W747" s="804" t="str">
        <f t="shared" si="25"/>
        <v/>
      </c>
      <c r="X747" t="str">
        <f t="shared" si="26"/>
        <v/>
      </c>
      <c r="Y747" s="341">
        <f>IF('General price list'!$AB749="",0,'General price list'!$AB749)</f>
        <v>0</v>
      </c>
      <c r="Z747" s="365" t="str">
        <f>IFERROR(X747*VLOOKUP(C747,'General price list'!C:I,7,FALSE),"")</f>
        <v/>
      </c>
      <c r="AA747" s="805" t="str">
        <f>IF(X747&lt;&gt;"",VLOOKUP(C747,'General price list'!C749:AN1722,MATCH("HM",Tabulka1[[#Headers],[KOD]:[NEQ]],0),FALSE),"")</f>
        <v/>
      </c>
    </row>
    <row r="748" spans="1:27">
      <c r="A748">
        <f>COUNTIF($W$22:W748,1)</f>
        <v>0</v>
      </c>
      <c r="B748">
        <v>748</v>
      </c>
      <c r="C748" s="340">
        <f>Tabulka1[[#This Row],[KOD]]</f>
        <v>0</v>
      </c>
      <c r="W748" s="804" t="str">
        <f t="shared" si="25"/>
        <v/>
      </c>
      <c r="X748" t="str">
        <f t="shared" si="26"/>
        <v/>
      </c>
      <c r="Y748" s="341">
        <f>IF('General price list'!$AB750="",0,'General price list'!$AB750)</f>
        <v>0</v>
      </c>
      <c r="Z748" s="365" t="str">
        <f>IFERROR(X748*VLOOKUP(C748,'General price list'!C:I,7,FALSE),"")</f>
        <v/>
      </c>
      <c r="AA748" s="805" t="str">
        <f>IF(X748&lt;&gt;"",VLOOKUP(C748,'General price list'!C750:AN1723,MATCH("HM",Tabulka1[[#Headers],[KOD]:[NEQ]],0),FALSE),"")</f>
        <v/>
      </c>
    </row>
    <row r="749" spans="1:27">
      <c r="A749">
        <f>COUNTIF($W$22:W749,1)</f>
        <v>0</v>
      </c>
      <c r="B749">
        <v>749</v>
      </c>
      <c r="C749" s="340" t="str">
        <f>Tabulka1[[#This Row],[KOD]]</f>
        <v>C100MXS14</v>
      </c>
      <c r="W749" s="804" t="str">
        <f t="shared" si="25"/>
        <v/>
      </c>
      <c r="X749" t="str">
        <f t="shared" si="26"/>
        <v/>
      </c>
      <c r="Y749" s="341">
        <f>IF('General price list'!$AB751="",0,'General price list'!$AB751)</f>
        <v>0</v>
      </c>
      <c r="Z749" s="365" t="str">
        <f>IFERROR(X749*VLOOKUP(C749,'General price list'!C:I,7,FALSE),"")</f>
        <v/>
      </c>
      <c r="AA749" s="805" t="str">
        <f>IF(X749&lt;&gt;"",VLOOKUP(C749,'General price list'!C751:AN1724,MATCH("HM",Tabulka1[[#Headers],[KOD]:[NEQ]],0),FALSE),"")</f>
        <v/>
      </c>
    </row>
    <row r="750" spans="1:27">
      <c r="A750">
        <f>COUNTIF($W$22:W750,1)</f>
        <v>0</v>
      </c>
      <c r="B750">
        <v>750</v>
      </c>
      <c r="C750" s="340">
        <f>Tabulka1[[#This Row],[KOD]]</f>
        <v>0</v>
      </c>
      <c r="W750" s="804" t="str">
        <f t="shared" si="25"/>
        <v/>
      </c>
      <c r="X750" t="str">
        <f t="shared" si="26"/>
        <v/>
      </c>
      <c r="Y750" s="341">
        <f>IF('General price list'!$AB752="",0,'General price list'!$AB752)</f>
        <v>0</v>
      </c>
      <c r="Z750" s="365" t="str">
        <f>IFERROR(X750*VLOOKUP(C750,'General price list'!C:I,7,FALSE),"")</f>
        <v/>
      </c>
      <c r="AA750" s="805" t="str">
        <f>IF(X750&lt;&gt;"",VLOOKUP(C750,'General price list'!C752:AN1725,MATCH("HM",Tabulka1[[#Headers],[KOD]:[NEQ]],0),FALSE),"")</f>
        <v/>
      </c>
    </row>
    <row r="751" spans="1:27">
      <c r="A751">
        <f>COUNTIF($W$22:W751,1)</f>
        <v>0</v>
      </c>
      <c r="B751">
        <v>751</v>
      </c>
      <c r="C751" s="340" t="str">
        <f>Tabulka1[[#This Row],[KOD]]</f>
        <v>C148MXP14</v>
      </c>
      <c r="W751" s="804" t="str">
        <f t="shared" si="25"/>
        <v/>
      </c>
      <c r="X751" t="str">
        <f t="shared" si="26"/>
        <v/>
      </c>
      <c r="Y751" s="341">
        <f>IF('General price list'!$AB753="",0,'General price list'!$AB753)</f>
        <v>0</v>
      </c>
      <c r="Z751" s="365" t="str">
        <f>IFERROR(X751*VLOOKUP(C751,'General price list'!C:I,7,FALSE),"")</f>
        <v/>
      </c>
      <c r="AA751" s="805" t="str">
        <f>IF(X751&lt;&gt;"",VLOOKUP(C751,'General price list'!C753:AN1726,MATCH("HM",Tabulka1[[#Headers],[KOD]:[NEQ]],0),FALSE),"")</f>
        <v/>
      </c>
    </row>
    <row r="752" spans="1:27">
      <c r="A752">
        <f>COUNTIF($W$22:W752,1)</f>
        <v>0</v>
      </c>
      <c r="B752">
        <v>752</v>
      </c>
      <c r="C752" s="340">
        <f>Tabulka1[[#This Row],[KOD]]</f>
        <v>0</v>
      </c>
      <c r="W752" s="804" t="str">
        <f t="shared" si="25"/>
        <v/>
      </c>
      <c r="X752" t="str">
        <f t="shared" si="26"/>
        <v/>
      </c>
      <c r="Y752" s="341">
        <f>IF('General price list'!$AB754="",0,'General price list'!$AB754)</f>
        <v>0</v>
      </c>
      <c r="Z752" s="365" t="str">
        <f>IFERROR(X752*VLOOKUP(C752,'General price list'!C:I,7,FALSE),"")</f>
        <v/>
      </c>
      <c r="AA752" s="805" t="str">
        <f>IF(X752&lt;&gt;"",VLOOKUP(C752,'General price list'!C754:AN1727,MATCH("HM",Tabulka1[[#Headers],[KOD]:[NEQ]],0),FALSE),"")</f>
        <v/>
      </c>
    </row>
    <row r="753" spans="1:27">
      <c r="A753">
        <f>COUNTIF($W$22:W753,1)</f>
        <v>0</v>
      </c>
      <c r="B753">
        <v>753</v>
      </c>
      <c r="C753" s="340" t="str">
        <f>Tabulka1[[#This Row],[KOD]]</f>
        <v>C165MXV14</v>
      </c>
      <c r="W753" s="804" t="str">
        <f t="shared" si="25"/>
        <v/>
      </c>
      <c r="X753" t="str">
        <f t="shared" si="26"/>
        <v/>
      </c>
      <c r="Y753" s="341">
        <f>IF('General price list'!$AB755="",0,'General price list'!$AB755)</f>
        <v>0</v>
      </c>
      <c r="Z753" s="365" t="str">
        <f>IFERROR(X753*VLOOKUP(C753,'General price list'!C:I,7,FALSE),"")</f>
        <v/>
      </c>
      <c r="AA753" s="805" t="str">
        <f>IF(X753&lt;&gt;"",VLOOKUP(C753,'General price list'!C755:AN1728,MATCH("HM",Tabulka1[[#Headers],[KOD]:[NEQ]],0),FALSE),"")</f>
        <v/>
      </c>
    </row>
    <row r="754" spans="1:27">
      <c r="A754">
        <f>COUNTIF($W$22:W754,1)</f>
        <v>0</v>
      </c>
      <c r="B754">
        <v>754</v>
      </c>
      <c r="C754" s="340">
        <f>Tabulka1[[#This Row],[KOD]]</f>
        <v>0</v>
      </c>
      <c r="W754" s="804" t="str">
        <f t="shared" si="25"/>
        <v/>
      </c>
      <c r="X754" t="str">
        <f t="shared" si="26"/>
        <v/>
      </c>
      <c r="Y754" s="341">
        <f>IF('General price list'!$AB756="",0,'General price list'!$AB756)</f>
        <v>0</v>
      </c>
      <c r="Z754" s="365" t="str">
        <f>IFERROR(X754*VLOOKUP(C754,'General price list'!C:I,7,FALSE),"")</f>
        <v/>
      </c>
      <c r="AA754" s="805" t="str">
        <f>IF(X754&lt;&gt;"",VLOOKUP(C754,'General price list'!C756:AN1729,MATCH("HM",Tabulka1[[#Headers],[KOD]:[NEQ]],0),FALSE),"")</f>
        <v/>
      </c>
    </row>
    <row r="755" spans="1:27">
      <c r="A755">
        <f>COUNTIF($W$22:W755,1)</f>
        <v>0</v>
      </c>
      <c r="B755">
        <v>755</v>
      </c>
      <c r="C755" s="340" t="str">
        <f>Tabulka1[[#This Row],[KOD]]</f>
        <v>C170MXR14</v>
      </c>
      <c r="W755" s="804" t="str">
        <f t="shared" si="25"/>
        <v/>
      </c>
      <c r="X755" t="str">
        <f t="shared" si="26"/>
        <v/>
      </c>
      <c r="Y755" s="341">
        <f>IF('General price list'!$AB757="",0,'General price list'!$AB757)</f>
        <v>0</v>
      </c>
      <c r="Z755" s="365" t="str">
        <f>IFERROR(X755*VLOOKUP(C755,'General price list'!C:I,7,FALSE),"")</f>
        <v/>
      </c>
      <c r="AA755" s="805" t="str">
        <f>IF(X755&lt;&gt;"",VLOOKUP(C755,'General price list'!C757:AN1730,MATCH("HM",Tabulka1[[#Headers],[KOD]:[NEQ]],0),FALSE),"")</f>
        <v/>
      </c>
    </row>
    <row r="756" spans="1:27">
      <c r="A756">
        <f>COUNTIF($W$22:W756,1)</f>
        <v>0</v>
      </c>
      <c r="B756">
        <v>756</v>
      </c>
      <c r="C756" s="340">
        <f>Tabulka1[[#This Row],[KOD]]</f>
        <v>0</v>
      </c>
      <c r="W756" s="804" t="str">
        <f t="shared" si="25"/>
        <v/>
      </c>
      <c r="X756" t="str">
        <f t="shared" si="26"/>
        <v/>
      </c>
      <c r="Y756" s="341">
        <f>IF('General price list'!$AB758="",0,'General price list'!$AB758)</f>
        <v>0</v>
      </c>
      <c r="Z756" s="365" t="str">
        <f>IFERROR(X756*VLOOKUP(C756,'General price list'!C:I,7,FALSE),"")</f>
        <v/>
      </c>
      <c r="AA756" s="805" t="str">
        <f>IF(X756&lt;&gt;"",VLOOKUP(C756,'General price list'!C758:AN1731,MATCH("HM",Tabulka1[[#Headers],[KOD]:[NEQ]],0),FALSE),"")</f>
        <v/>
      </c>
    </row>
    <row r="757" spans="1:27">
      <c r="A757">
        <f>COUNTIF($W$22:W757,1)</f>
        <v>0</v>
      </c>
      <c r="B757">
        <v>757</v>
      </c>
      <c r="C757" s="340">
        <f>Tabulka1[[#This Row],[KOD]]</f>
        <v>0</v>
      </c>
      <c r="W757" s="804" t="str">
        <f t="shared" si="25"/>
        <v/>
      </c>
      <c r="X757" t="str">
        <f t="shared" si="26"/>
        <v/>
      </c>
      <c r="Y757" s="341">
        <f>IF('General price list'!$AB759="",0,'General price list'!$AB759)</f>
        <v>0</v>
      </c>
      <c r="Z757" s="365" t="str">
        <f>IFERROR(X757*VLOOKUP(C757,'General price list'!C:I,7,FALSE),"")</f>
        <v/>
      </c>
      <c r="AA757" s="805" t="str">
        <f>IF(X757&lt;&gt;"",VLOOKUP(C757,'General price list'!C759:AN1732,MATCH("HM",Tabulka1[[#Headers],[KOD]:[NEQ]],0),FALSE),"")</f>
        <v/>
      </c>
    </row>
    <row r="758" spans="1:27">
      <c r="A758">
        <f>COUNTIF($W$22:W758,1)</f>
        <v>0</v>
      </c>
      <c r="B758">
        <v>758</v>
      </c>
      <c r="C758" s="340" t="str">
        <f>Tabulka1[[#This Row],[KOD]]</f>
        <v>C40FMH</v>
      </c>
      <c r="W758" s="804" t="str">
        <f t="shared" si="25"/>
        <v/>
      </c>
      <c r="X758" t="str">
        <f t="shared" si="26"/>
        <v/>
      </c>
      <c r="Y758" s="341">
        <f>IF('General price list'!$AB760="",0,'General price list'!$AB760)</f>
        <v>0</v>
      </c>
      <c r="Z758" s="365" t="str">
        <f>IFERROR(X758*VLOOKUP(C758,'General price list'!C:I,7,FALSE),"")</f>
        <v/>
      </c>
      <c r="AA758" s="805" t="str">
        <f>IF(X758&lt;&gt;"",VLOOKUP(C758,'General price list'!C760:AN1733,MATCH("HM",Tabulka1[[#Headers],[KOD]:[NEQ]],0),FALSE),"")</f>
        <v/>
      </c>
    </row>
    <row r="759" spans="1:27">
      <c r="A759">
        <f>COUNTIF($W$22:W759,1)</f>
        <v>0</v>
      </c>
      <c r="B759">
        <v>759</v>
      </c>
      <c r="C759" s="340">
        <f>Tabulka1[[#This Row],[KOD]]</f>
        <v>0</v>
      </c>
      <c r="W759" s="804" t="str">
        <f t="shared" si="25"/>
        <v/>
      </c>
      <c r="X759" t="str">
        <f t="shared" si="26"/>
        <v/>
      </c>
      <c r="Y759" s="341">
        <f>IF('General price list'!$AB761="",0,'General price list'!$AB761)</f>
        <v>0</v>
      </c>
      <c r="Z759" s="365" t="str">
        <f>IFERROR(X759*VLOOKUP(C759,'General price list'!C:I,7,FALSE),"")</f>
        <v/>
      </c>
      <c r="AA759" s="805" t="str">
        <f>IF(X759&lt;&gt;"",VLOOKUP(C759,'General price list'!C761:AN1734,MATCH("HM",Tabulka1[[#Headers],[KOD]:[NEQ]],0),FALSE),"")</f>
        <v/>
      </c>
    </row>
    <row r="760" spans="1:27">
      <c r="A760">
        <f>COUNTIF($W$22:W760,1)</f>
        <v>0</v>
      </c>
      <c r="B760">
        <v>760</v>
      </c>
      <c r="C760" s="340" t="str">
        <f>Tabulka1[[#This Row],[KOD]]</f>
        <v>C100MPT</v>
      </c>
      <c r="W760" s="804" t="str">
        <f t="shared" si="25"/>
        <v/>
      </c>
      <c r="X760" t="str">
        <f t="shared" si="26"/>
        <v/>
      </c>
      <c r="Y760" s="341">
        <f>IF('General price list'!$AB762="",0,'General price list'!$AB762)</f>
        <v>0</v>
      </c>
      <c r="Z760" s="365" t="str">
        <f>IFERROR(X760*VLOOKUP(C760,'General price list'!C:I,7,FALSE),"")</f>
        <v/>
      </c>
      <c r="AA760" s="805" t="str">
        <f>IF(X760&lt;&gt;"",VLOOKUP(C760,'General price list'!C762:AN1735,MATCH("HM",Tabulka1[[#Headers],[KOD]:[NEQ]],0),FALSE),"")</f>
        <v/>
      </c>
    </row>
    <row r="761" spans="1:27">
      <c r="A761">
        <f>COUNTIF($W$22:W761,1)</f>
        <v>0</v>
      </c>
      <c r="B761">
        <v>761</v>
      </c>
      <c r="C761" s="340" t="str">
        <f>Tabulka1[[#This Row],[KOD]]</f>
        <v>C100MN</v>
      </c>
      <c r="W761" s="804" t="str">
        <f t="shared" si="25"/>
        <v/>
      </c>
      <c r="X761" t="str">
        <f t="shared" si="26"/>
        <v/>
      </c>
      <c r="Y761" s="341">
        <f>IF('General price list'!$AB763="",0,'General price list'!$AB763)</f>
        <v>0</v>
      </c>
      <c r="Z761" s="365" t="str">
        <f>IFERROR(X761*VLOOKUP(C761,'General price list'!C:I,7,FALSE),"")</f>
        <v/>
      </c>
      <c r="AA761" s="805" t="str">
        <f>IF(X761&lt;&gt;"",VLOOKUP(C761,'General price list'!C763:AN1736,MATCH("HM",Tabulka1[[#Headers],[KOD]:[NEQ]],0),FALSE),"")</f>
        <v/>
      </c>
    </row>
    <row r="762" spans="1:27">
      <c r="A762">
        <f>COUNTIF($W$22:W762,1)</f>
        <v>0</v>
      </c>
      <c r="B762">
        <v>762</v>
      </c>
      <c r="C762" s="340">
        <f>Tabulka1[[#This Row],[KOD]]</f>
        <v>0</v>
      </c>
      <c r="W762" s="804" t="str">
        <f t="shared" si="25"/>
        <v/>
      </c>
      <c r="X762" t="str">
        <f t="shared" si="26"/>
        <v/>
      </c>
      <c r="Y762" s="341">
        <f>IF('General price list'!$AB764="",0,'General price list'!$AB764)</f>
        <v>0</v>
      </c>
      <c r="Z762" s="365" t="str">
        <f>IFERROR(X762*VLOOKUP(C762,'General price list'!C:I,7,FALSE),"")</f>
        <v/>
      </c>
      <c r="AA762" s="805" t="str">
        <f>IF(X762&lt;&gt;"",VLOOKUP(C762,'General price list'!C764:AN1737,MATCH("HM",Tabulka1[[#Headers],[KOD]:[NEQ]],0),FALSE),"")</f>
        <v/>
      </c>
    </row>
    <row r="763" spans="1:27">
      <c r="A763">
        <f>COUNTIF($W$22:W763,1)</f>
        <v>0</v>
      </c>
      <c r="B763">
        <v>763</v>
      </c>
      <c r="C763" s="340" t="str">
        <f>Tabulka1[[#This Row],[KOD]]</f>
        <v>C106MH</v>
      </c>
      <c r="W763" s="804" t="str">
        <f t="shared" si="25"/>
        <v/>
      </c>
      <c r="X763" t="str">
        <f t="shared" si="26"/>
        <v/>
      </c>
      <c r="Y763" s="341">
        <f>IF('General price list'!$AB765="",0,'General price list'!$AB765)</f>
        <v>0</v>
      </c>
      <c r="Z763" s="365" t="str">
        <f>IFERROR(X763*VLOOKUP(C763,'General price list'!C:I,7,FALSE),"")</f>
        <v/>
      </c>
      <c r="AA763" s="805" t="str">
        <f>IF(X763&lt;&gt;"",VLOOKUP(C763,'General price list'!C765:AN1738,MATCH("HM",Tabulka1[[#Headers],[KOD]:[NEQ]],0),FALSE),"")</f>
        <v/>
      </c>
    </row>
    <row r="764" spans="1:27">
      <c r="A764">
        <f>COUNTIF($W$22:W764,1)</f>
        <v>0</v>
      </c>
      <c r="B764">
        <v>764</v>
      </c>
      <c r="C764" s="340" t="str">
        <f>Tabulka1[[#This Row],[KOD]]</f>
        <v>C106MB</v>
      </c>
      <c r="W764" s="804" t="str">
        <f t="shared" si="25"/>
        <v/>
      </c>
      <c r="X764" t="str">
        <f t="shared" si="26"/>
        <v/>
      </c>
      <c r="Y764" s="341">
        <f>IF('General price list'!$AB766="",0,'General price list'!$AB766)</f>
        <v>0</v>
      </c>
      <c r="Z764" s="365" t="str">
        <f>IFERROR(X764*VLOOKUP(C764,'General price list'!C:I,7,FALSE),"")</f>
        <v/>
      </c>
      <c r="AA764" s="805" t="str">
        <f>IF(X764&lt;&gt;"",VLOOKUP(C764,'General price list'!C766:AN1739,MATCH("HM",Tabulka1[[#Headers],[KOD]:[NEQ]],0),FALSE),"")</f>
        <v/>
      </c>
    </row>
    <row r="765" spans="1:27">
      <c r="A765">
        <f>COUNTIF($W$22:W765,1)</f>
        <v>0</v>
      </c>
      <c r="B765">
        <v>765</v>
      </c>
      <c r="C765" s="340">
        <f>Tabulka1[[#This Row],[KOD]]</f>
        <v>0</v>
      </c>
      <c r="W765" s="804" t="str">
        <f t="shared" si="25"/>
        <v/>
      </c>
      <c r="X765" t="str">
        <f t="shared" si="26"/>
        <v/>
      </c>
      <c r="Y765" s="341">
        <f>IF('General price list'!$AB767="",0,'General price list'!$AB767)</f>
        <v>0</v>
      </c>
      <c r="Z765" s="365" t="str">
        <f>IFERROR(X765*VLOOKUP(C765,'General price list'!C:I,7,FALSE),"")</f>
        <v/>
      </c>
      <c r="AA765" s="805" t="str">
        <f>IF(X765&lt;&gt;"",VLOOKUP(C765,'General price list'!C767:AN1740,MATCH("HM",Tabulka1[[#Headers],[KOD]:[NEQ]],0),FALSE),"")</f>
        <v/>
      </c>
    </row>
    <row r="766" spans="1:27">
      <c r="A766">
        <f>COUNTIF($W$22:W766,1)</f>
        <v>0</v>
      </c>
      <c r="B766">
        <v>766</v>
      </c>
      <c r="C766" s="340" t="str">
        <f>Tabulka1[[#This Row],[KOD]]</f>
        <v>C109MG</v>
      </c>
      <c r="W766" s="804" t="str">
        <f t="shared" si="25"/>
        <v/>
      </c>
      <c r="X766" t="str">
        <f t="shared" si="26"/>
        <v/>
      </c>
      <c r="Y766" s="341">
        <f>IF('General price list'!$AB768="",0,'General price list'!$AB768)</f>
        <v>0</v>
      </c>
      <c r="Z766" s="365" t="str">
        <f>IFERROR(X766*VLOOKUP(C766,'General price list'!C:I,7,FALSE),"")</f>
        <v/>
      </c>
      <c r="AA766" s="805" t="str">
        <f>IF(X766&lt;&gt;"",VLOOKUP(C766,'General price list'!C768:AN1741,MATCH("HM",Tabulka1[[#Headers],[KOD]:[NEQ]],0),FALSE),"")</f>
        <v/>
      </c>
    </row>
    <row r="767" spans="1:27">
      <c r="A767">
        <f>COUNTIF($W$22:W767,1)</f>
        <v>0</v>
      </c>
      <c r="B767">
        <v>767</v>
      </c>
      <c r="C767" s="340" t="str">
        <f>Tabulka1[[#This Row],[KOD]]</f>
        <v>C109MM</v>
      </c>
      <c r="W767" s="804" t="str">
        <f t="shared" si="25"/>
        <v/>
      </c>
      <c r="X767" t="str">
        <f t="shared" si="26"/>
        <v/>
      </c>
      <c r="Y767" s="341">
        <f>IF('General price list'!$AB769="",0,'General price list'!$AB769)</f>
        <v>0</v>
      </c>
      <c r="Z767" s="365" t="str">
        <f>IFERROR(X767*VLOOKUP(C767,'General price list'!C:I,7,FALSE),"")</f>
        <v/>
      </c>
      <c r="AA767" s="805" t="str">
        <f>IF(X767&lt;&gt;"",VLOOKUP(C767,'General price list'!C769:AN1742,MATCH("HM",Tabulka1[[#Headers],[KOD]:[NEQ]],0),FALSE),"")</f>
        <v/>
      </c>
    </row>
    <row r="768" spans="1:27">
      <c r="A768">
        <f>COUNTIF($W$22:W768,1)</f>
        <v>0</v>
      </c>
      <c r="B768">
        <v>768</v>
      </c>
      <c r="C768" s="340">
        <f>Tabulka1[[#This Row],[KOD]]</f>
        <v>0</v>
      </c>
      <c r="W768" s="804" t="str">
        <f t="shared" si="25"/>
        <v/>
      </c>
      <c r="X768" t="str">
        <f t="shared" si="26"/>
        <v/>
      </c>
      <c r="Y768" s="341">
        <f>IF('General price list'!$AB770="",0,'General price list'!$AB770)</f>
        <v>0</v>
      </c>
      <c r="Z768" s="365" t="str">
        <f>IFERROR(X768*VLOOKUP(C768,'General price list'!C:I,7,FALSE),"")</f>
        <v/>
      </c>
      <c r="AA768" s="805" t="str">
        <f>IF(X768&lt;&gt;"",VLOOKUP(C768,'General price list'!C770:AN1743,MATCH("HM",Tabulka1[[#Headers],[KOD]:[NEQ]],0),FALSE),"")</f>
        <v/>
      </c>
    </row>
    <row r="769" spans="1:27">
      <c r="A769">
        <f>COUNTIF($W$22:W769,1)</f>
        <v>0</v>
      </c>
      <c r="B769">
        <v>769</v>
      </c>
      <c r="C769" s="340" t="str">
        <f>Tabulka1[[#This Row],[KOD]]</f>
        <v>C100MTS/C14</v>
      </c>
      <c r="W769" s="804" t="str">
        <f t="shared" si="25"/>
        <v/>
      </c>
      <c r="X769" t="str">
        <f t="shared" si="26"/>
        <v/>
      </c>
      <c r="Y769" s="341">
        <f>IF('General price list'!$AB771="",0,'General price list'!$AB771)</f>
        <v>0</v>
      </c>
      <c r="Z769" s="365" t="str">
        <f>IFERROR(X769*VLOOKUP(C769,'General price list'!C:I,7,FALSE),"")</f>
        <v/>
      </c>
      <c r="AA769" s="805" t="str">
        <f>IF(X769&lt;&gt;"",VLOOKUP(C769,'General price list'!C771:AN1744,MATCH("HM",Tabulka1[[#Headers],[KOD]:[NEQ]],0),FALSE),"")</f>
        <v/>
      </c>
    </row>
    <row r="770" spans="1:27">
      <c r="A770">
        <f>COUNTIF($W$22:W770,1)</f>
        <v>0</v>
      </c>
      <c r="B770">
        <v>770</v>
      </c>
      <c r="C770" s="340" t="str">
        <f>Tabulka1[[#This Row],[KOD]]</f>
        <v>C100MPT/C14</v>
      </c>
      <c r="W770" s="804" t="str">
        <f t="shared" si="25"/>
        <v/>
      </c>
      <c r="X770" t="str">
        <f t="shared" si="26"/>
        <v/>
      </c>
      <c r="Y770" s="341">
        <f>IF('General price list'!$AB772="",0,'General price list'!$AB772)</f>
        <v>0</v>
      </c>
      <c r="Z770" s="365" t="str">
        <f>IFERROR(X770*VLOOKUP(C770,'General price list'!C:I,7,FALSE),"")</f>
        <v/>
      </c>
      <c r="AA770" s="805" t="str">
        <f>IF(X770&lt;&gt;"",VLOOKUP(C770,'General price list'!C772:AN1745,MATCH("HM",Tabulka1[[#Headers],[KOD]:[NEQ]],0),FALSE),"")</f>
        <v/>
      </c>
    </row>
    <row r="771" spans="1:27">
      <c r="A771">
        <f>COUNTIF($W$22:W771,1)</f>
        <v>0</v>
      </c>
      <c r="B771">
        <v>771</v>
      </c>
      <c r="C771" s="340" t="str">
        <f>Tabulka1[[#This Row],[KOD]]</f>
        <v>C124MXM/C14</v>
      </c>
      <c r="W771" s="804" t="str">
        <f t="shared" si="25"/>
        <v/>
      </c>
      <c r="X771" t="str">
        <f t="shared" si="26"/>
        <v/>
      </c>
      <c r="Y771" s="341">
        <f>IF('General price list'!$AB773="",0,'General price list'!$AB773)</f>
        <v>0</v>
      </c>
      <c r="Z771" s="365" t="str">
        <f>IFERROR(X771*VLOOKUP(C771,'General price list'!C:I,7,FALSE),"")</f>
        <v/>
      </c>
      <c r="AA771" s="805" t="str">
        <f>IF(X771&lt;&gt;"",VLOOKUP(C771,'General price list'!C773:AN1746,MATCH("HM",Tabulka1[[#Headers],[KOD]:[NEQ]],0),FALSE),"")</f>
        <v/>
      </c>
    </row>
    <row r="772" spans="1:27">
      <c r="A772">
        <f>COUNTIF($W$22:W772,1)</f>
        <v>0</v>
      </c>
      <c r="B772">
        <v>772</v>
      </c>
      <c r="C772" s="340" t="str">
        <f>Tabulka1[[#This Row],[KOD]]</f>
        <v>C128MS/C14</v>
      </c>
      <c r="W772" s="804" t="str">
        <f t="shared" si="25"/>
        <v/>
      </c>
      <c r="X772" t="str">
        <f t="shared" si="26"/>
        <v/>
      </c>
      <c r="Y772" s="341">
        <f>IF('General price list'!$AB774="",0,'General price list'!$AB774)</f>
        <v>0</v>
      </c>
      <c r="Z772" s="365" t="str">
        <f>IFERROR(X772*VLOOKUP(C772,'General price list'!C:I,7,FALSE),"")</f>
        <v/>
      </c>
      <c r="AA772" s="805" t="str">
        <f>IF(X772&lt;&gt;"",VLOOKUP(C772,'General price list'!C774:AN1747,MATCH("HM",Tabulka1[[#Headers],[KOD]:[NEQ]],0),FALSE),"")</f>
        <v/>
      </c>
    </row>
    <row r="773" spans="1:27">
      <c r="A773">
        <f>COUNTIF($W$22:W773,1)</f>
        <v>0</v>
      </c>
      <c r="B773">
        <v>773</v>
      </c>
      <c r="C773" s="340" t="str">
        <f>Tabulka1[[#This Row],[KOD]]</f>
        <v>C136XMTS/C14</v>
      </c>
      <c r="W773" s="804" t="str">
        <f t="shared" si="25"/>
        <v/>
      </c>
      <c r="X773" t="str">
        <f t="shared" si="26"/>
        <v/>
      </c>
      <c r="Y773" s="341">
        <f>IF('General price list'!$AB775="",0,'General price list'!$AB775)</f>
        <v>0</v>
      </c>
      <c r="Z773" s="365" t="str">
        <f>IFERROR(X773*VLOOKUP(C773,'General price list'!C:I,7,FALSE),"")</f>
        <v/>
      </c>
      <c r="AA773" s="805" t="str">
        <f>IF(X773&lt;&gt;"",VLOOKUP(C773,'General price list'!C775:AN1748,MATCH("HM",Tabulka1[[#Headers],[KOD]:[NEQ]],0),FALSE),"")</f>
        <v/>
      </c>
    </row>
    <row r="774" spans="1:27">
      <c r="A774">
        <f>COUNTIF($W$22:W774,1)</f>
        <v>0</v>
      </c>
      <c r="B774">
        <v>774</v>
      </c>
      <c r="C774" s="340" t="str">
        <f>Tabulka1[[#This Row],[KOD]]</f>
        <v>C136XMK/C14</v>
      </c>
      <c r="W774" s="804" t="str">
        <f t="shared" si="25"/>
        <v/>
      </c>
      <c r="X774" t="str">
        <f t="shared" si="26"/>
        <v/>
      </c>
      <c r="Y774" s="341">
        <f>IF('General price list'!$AB776="",0,'General price list'!$AB776)</f>
        <v>0</v>
      </c>
      <c r="Z774" s="365" t="str">
        <f>IFERROR(X774*VLOOKUP(C774,'General price list'!C:I,7,FALSE),"")</f>
        <v/>
      </c>
      <c r="AA774" s="805" t="str">
        <f>IF(X774&lt;&gt;"",VLOOKUP(C774,'General price list'!C776:AN1749,MATCH("HM",Tabulka1[[#Headers],[KOD]:[NEQ]],0),FALSE),"")</f>
        <v/>
      </c>
    </row>
    <row r="775" spans="1:27">
      <c r="A775">
        <f>COUNTIF($W$22:W775,1)</f>
        <v>0</v>
      </c>
      <c r="B775">
        <v>775</v>
      </c>
      <c r="C775" s="340" t="str">
        <f>Tabulka1[[#This Row],[KOD]]</f>
        <v>C150MXH/C14</v>
      </c>
      <c r="W775" s="804" t="str">
        <f t="shared" si="25"/>
        <v/>
      </c>
      <c r="X775" t="str">
        <f t="shared" si="26"/>
        <v/>
      </c>
      <c r="Y775" s="341">
        <f>IF('General price list'!$AB777="",0,'General price list'!$AB777)</f>
        <v>0</v>
      </c>
      <c r="Z775" s="365" t="str">
        <f>IFERROR(X775*VLOOKUP(C775,'General price list'!C:I,7,FALSE),"")</f>
        <v/>
      </c>
      <c r="AA775" s="805" t="str">
        <f>IF(X775&lt;&gt;"",VLOOKUP(C775,'General price list'!C777:AN1750,MATCH("HM",Tabulka1[[#Headers],[KOD]:[NEQ]],0),FALSE),"")</f>
        <v/>
      </c>
    </row>
    <row r="776" spans="1:27">
      <c r="A776">
        <f>COUNTIF($W$22:W776,1)</f>
        <v>0</v>
      </c>
      <c r="B776">
        <v>776</v>
      </c>
      <c r="C776" s="340" t="str">
        <f>Tabulka1[[#This Row],[KOD]]</f>
        <v>C154MXB/C14</v>
      </c>
      <c r="W776" s="804" t="str">
        <f t="shared" si="25"/>
        <v/>
      </c>
      <c r="X776" t="str">
        <f t="shared" si="26"/>
        <v/>
      </c>
      <c r="Y776" s="341">
        <f>IF('General price list'!$AB778="",0,'General price list'!$AB778)</f>
        <v>0</v>
      </c>
      <c r="Z776" s="365" t="str">
        <f>IFERROR(X776*VLOOKUP(C776,'General price list'!C:I,7,FALSE),"")</f>
        <v/>
      </c>
      <c r="AA776" s="805" t="str">
        <f>IF(X776&lt;&gt;"",VLOOKUP(C776,'General price list'!C778:AN1751,MATCH("HM",Tabulka1[[#Headers],[KOD]:[NEQ]],0),FALSE),"")</f>
        <v/>
      </c>
    </row>
    <row r="777" spans="1:27">
      <c r="A777">
        <f>COUNTIF($W$22:W777,1)</f>
        <v>0</v>
      </c>
      <c r="B777">
        <v>777</v>
      </c>
      <c r="C777" s="340" t="str">
        <f>Tabulka1[[#This Row],[KOD]]</f>
        <v>C270MXM/C14</v>
      </c>
      <c r="W777" s="804" t="str">
        <f t="shared" si="25"/>
        <v/>
      </c>
      <c r="X777" t="str">
        <f t="shared" si="26"/>
        <v/>
      </c>
      <c r="Y777" s="341">
        <f>IF('General price list'!$AB779="",0,'General price list'!$AB779)</f>
        <v>0</v>
      </c>
      <c r="Z777" s="365" t="str">
        <f>IFERROR(X777*VLOOKUP(C777,'General price list'!C:I,7,FALSE),"")</f>
        <v/>
      </c>
      <c r="AA777" s="805" t="str">
        <f>IF(X777&lt;&gt;"",VLOOKUP(C777,'General price list'!C779:AN1752,MATCH("HM",Tabulka1[[#Headers],[KOD]:[NEQ]],0),FALSE),"")</f>
        <v/>
      </c>
    </row>
    <row r="778" spans="1:27">
      <c r="A778">
        <f>COUNTIF($W$22:W778,1)</f>
        <v>0</v>
      </c>
      <c r="B778">
        <v>778</v>
      </c>
      <c r="C778" s="340" t="str">
        <f>Tabulka1[[#This Row],[KOD]]</f>
        <v>C296MXH/C14</v>
      </c>
      <c r="W778" s="804" t="str">
        <f t="shared" si="25"/>
        <v/>
      </c>
      <c r="X778" t="str">
        <f t="shared" si="26"/>
        <v/>
      </c>
      <c r="Y778" s="341">
        <f>IF('General price list'!$AB780="",0,'General price list'!$AB780)</f>
        <v>0</v>
      </c>
      <c r="Z778" s="365" t="str">
        <f>IFERROR(X778*VLOOKUP(C778,'General price list'!C:I,7,FALSE),"")</f>
        <v/>
      </c>
      <c r="AA778" s="805" t="str">
        <f>IF(X778&lt;&gt;"",VLOOKUP(C778,'General price list'!C780:AN1753,MATCH("HM",Tabulka1[[#Headers],[KOD]:[NEQ]],0),FALSE),"")</f>
        <v/>
      </c>
    </row>
    <row r="779" spans="1:27">
      <c r="A779">
        <f>COUNTIF($W$22:W779,1)</f>
        <v>0</v>
      </c>
      <c r="B779">
        <v>779</v>
      </c>
      <c r="C779" s="340" t="str">
        <f>Tabulka1[[#This Row],[KOD]]</f>
        <v>C330MXR/C14</v>
      </c>
      <c r="W779" s="804" t="str">
        <f t="shared" si="25"/>
        <v/>
      </c>
      <c r="X779" t="str">
        <f t="shared" si="26"/>
        <v/>
      </c>
      <c r="Y779" s="341">
        <f>IF('General price list'!$AB781="",0,'General price list'!$AB781)</f>
        <v>0</v>
      </c>
      <c r="Z779" s="365" t="str">
        <f>IFERROR(X779*VLOOKUP(C779,'General price list'!C:I,7,FALSE),"")</f>
        <v/>
      </c>
      <c r="AA779" s="805" t="str">
        <f>IF(X779&lt;&gt;"",VLOOKUP(C779,'General price list'!C781:AN1754,MATCH("HM",Tabulka1[[#Headers],[KOD]:[NEQ]],0),FALSE),"")</f>
        <v/>
      </c>
    </row>
    <row r="780" spans="1:27">
      <c r="A780">
        <f>COUNTIF($W$22:W780,1)</f>
        <v>0</v>
      </c>
      <c r="B780">
        <v>780</v>
      </c>
      <c r="C780" s="340">
        <f>Tabulka1[[#This Row],[KOD]]</f>
        <v>0</v>
      </c>
      <c r="W780" s="804" t="str">
        <f t="shared" si="25"/>
        <v/>
      </c>
      <c r="X780" t="str">
        <f t="shared" si="26"/>
        <v/>
      </c>
      <c r="Y780" s="341">
        <f>IF('General price list'!$AB782="",0,'General price list'!$AB782)</f>
        <v>0</v>
      </c>
      <c r="Z780" s="365" t="str">
        <f>IFERROR(X780*VLOOKUP(C780,'General price list'!C:I,7,FALSE),"")</f>
        <v/>
      </c>
      <c r="AA780" s="805" t="str">
        <f>IF(X780&lt;&gt;"",VLOOKUP(C780,'General price list'!C782:AN1755,MATCH("HM",Tabulka1[[#Headers],[KOD]:[NEQ]],0),FALSE),"")</f>
        <v/>
      </c>
    </row>
    <row r="781" spans="1:27">
      <c r="A781">
        <f>COUNTIF($W$22:W781,1)</f>
        <v>0</v>
      </c>
      <c r="B781">
        <v>781</v>
      </c>
      <c r="C781" s="340" t="str">
        <f>Tabulka1[[#This Row],[KOD]]</f>
        <v>C150MF/C14</v>
      </c>
      <c r="W781" s="804" t="str">
        <f t="shared" si="25"/>
        <v/>
      </c>
      <c r="X781" t="str">
        <f t="shared" si="26"/>
        <v/>
      </c>
      <c r="Y781" s="341">
        <f>IF('General price list'!$AB783="",0,'General price list'!$AB783)</f>
        <v>0</v>
      </c>
      <c r="Z781" s="365" t="str">
        <f>IFERROR(X781*VLOOKUP(C781,'General price list'!C:I,7,FALSE),"")</f>
        <v/>
      </c>
      <c r="AA781" s="805" t="str">
        <f>IF(X781&lt;&gt;"",VLOOKUP(C781,'General price list'!C783:AN1756,MATCH("HM",Tabulka1[[#Headers],[KOD]:[NEQ]],0),FALSE),"")</f>
        <v/>
      </c>
    </row>
    <row r="782" spans="1:27">
      <c r="A782">
        <f>COUNTIF($W$22:W782,1)</f>
        <v>0</v>
      </c>
      <c r="B782">
        <v>782</v>
      </c>
      <c r="C782" s="340" t="str">
        <f>Tabulka1[[#This Row],[KOD]]</f>
        <v>C200MF/C14</v>
      </c>
      <c r="W782" s="804" t="str">
        <f t="shared" si="25"/>
        <v/>
      </c>
      <c r="X782" t="str">
        <f t="shared" si="26"/>
        <v/>
      </c>
      <c r="Y782" s="341">
        <f>IF('General price list'!$AB784="",0,'General price list'!$AB784)</f>
        <v>0</v>
      </c>
      <c r="Z782" s="365" t="str">
        <f>IFERROR(X782*VLOOKUP(C782,'General price list'!C:I,7,FALSE),"")</f>
        <v/>
      </c>
      <c r="AA782" s="805" t="str">
        <f>IF(X782&lt;&gt;"",VLOOKUP(C782,'General price list'!C784:AN1757,MATCH("HM",Tabulka1[[#Headers],[KOD]:[NEQ]],0),FALSE),"")</f>
        <v/>
      </c>
    </row>
    <row r="783" spans="1:27">
      <c r="A783">
        <f>COUNTIF($W$22:W783,1)</f>
        <v>0</v>
      </c>
      <c r="B783">
        <v>783</v>
      </c>
      <c r="C783" s="340" t="str">
        <f>Tabulka1[[#This Row],[KOD]]</f>
        <v>C204XMPT/C14</v>
      </c>
      <c r="W783" s="804" t="str">
        <f t="shared" si="25"/>
        <v/>
      </c>
      <c r="X783" t="str">
        <f t="shared" si="26"/>
        <v/>
      </c>
      <c r="Y783" s="341">
        <f>IF('General price list'!$AB785="",0,'General price list'!$AB785)</f>
        <v>0</v>
      </c>
      <c r="Z783" s="365" t="str">
        <f>IFERROR(X783*VLOOKUP(C783,'General price list'!C:I,7,FALSE),"")</f>
        <v/>
      </c>
      <c r="AA783" s="805" t="str">
        <f>IF(X783&lt;&gt;"",VLOOKUP(C783,'General price list'!C785:AN1758,MATCH("HM",Tabulka1[[#Headers],[KOD]:[NEQ]],0),FALSE),"")</f>
        <v/>
      </c>
    </row>
    <row r="784" spans="1:27">
      <c r="A784">
        <f>COUNTIF($W$22:W784,1)</f>
        <v>0</v>
      </c>
      <c r="B784">
        <v>784</v>
      </c>
      <c r="C784" s="340" t="str">
        <f>Tabulka1[[#This Row],[KOD]]</f>
        <v>C216XMFS/C14</v>
      </c>
      <c r="W784" s="804" t="str">
        <f t="shared" si="25"/>
        <v/>
      </c>
      <c r="X784" t="str">
        <f t="shared" si="26"/>
        <v/>
      </c>
      <c r="Y784" s="341">
        <f>IF('General price list'!$AB786="",0,'General price list'!$AB786)</f>
        <v>0</v>
      </c>
      <c r="Z784" s="365" t="str">
        <f>IFERROR(X784*VLOOKUP(C784,'General price list'!C:I,7,FALSE),"")</f>
        <v/>
      </c>
      <c r="AA784" s="805" t="str">
        <f>IF(X784&lt;&gt;"",VLOOKUP(C784,'General price list'!C786:AN1759,MATCH("HM",Tabulka1[[#Headers],[KOD]:[NEQ]],0),FALSE),"")</f>
        <v/>
      </c>
    </row>
    <row r="785" spans="1:27">
      <c r="A785">
        <f>COUNTIF($W$22:W785,1)</f>
        <v>0</v>
      </c>
      <c r="B785">
        <v>785</v>
      </c>
      <c r="C785" s="340" t="str">
        <f>Tabulka1[[#This Row],[KOD]]</f>
        <v>C223XMK/C14</v>
      </c>
      <c r="W785" s="804" t="str">
        <f t="shared" si="25"/>
        <v/>
      </c>
      <c r="X785" t="str">
        <f t="shared" si="26"/>
        <v/>
      </c>
      <c r="Y785" s="341">
        <f>IF('General price list'!$AB787="",0,'General price list'!$AB787)</f>
        <v>0</v>
      </c>
      <c r="Z785" s="365" t="str">
        <f>IFERROR(X785*VLOOKUP(C785,'General price list'!C:I,7,FALSE),"")</f>
        <v/>
      </c>
      <c r="AA785" s="805" t="str">
        <f>IF(X785&lt;&gt;"",VLOOKUP(C785,'General price list'!C787:AN1760,MATCH("HM",Tabulka1[[#Headers],[KOD]:[NEQ]],0),FALSE),"")</f>
        <v/>
      </c>
    </row>
    <row r="786" spans="1:27">
      <c r="A786">
        <f>COUNTIF($W$22:W786,1)</f>
        <v>0</v>
      </c>
      <c r="B786">
        <v>786</v>
      </c>
      <c r="C786" s="340" t="str">
        <f>Tabulka1[[#This Row],[KOD]]</f>
        <v>C510MXU/C14</v>
      </c>
      <c r="W786" s="804" t="str">
        <f t="shared" si="25"/>
        <v/>
      </c>
      <c r="X786" t="str">
        <f t="shared" si="26"/>
        <v/>
      </c>
      <c r="Y786" s="341">
        <f>IF('General price list'!$AB788="",0,'General price list'!$AB788)</f>
        <v>0</v>
      </c>
      <c r="Z786" s="365" t="str">
        <f>IFERROR(X786*VLOOKUP(C786,'General price list'!C:I,7,FALSE),"")</f>
        <v/>
      </c>
      <c r="AA786" s="805" t="str">
        <f>IF(X786&lt;&gt;"",VLOOKUP(C786,'General price list'!C788:AN1761,MATCH("HM",Tabulka1[[#Headers],[KOD]:[NEQ]],0),FALSE),"")</f>
        <v/>
      </c>
    </row>
    <row r="787" spans="1:27">
      <c r="A787">
        <f>COUNTIF($W$22:W787,1)</f>
        <v>0</v>
      </c>
      <c r="B787">
        <v>787</v>
      </c>
      <c r="C787" s="340">
        <f>Tabulka1[[#This Row],[KOD]]</f>
        <v>0</v>
      </c>
      <c r="W787" s="804" t="str">
        <f t="shared" si="25"/>
        <v/>
      </c>
      <c r="X787" t="str">
        <f t="shared" si="26"/>
        <v/>
      </c>
      <c r="Y787" s="341">
        <f>IF('General price list'!$AB789="",0,'General price list'!$AB789)</f>
        <v>0</v>
      </c>
      <c r="Z787" s="365" t="str">
        <f>IFERROR(X787*VLOOKUP(C787,'General price list'!C:I,7,FALSE),"")</f>
        <v/>
      </c>
      <c r="AA787" s="805" t="str">
        <f>IF(X787&lt;&gt;"",VLOOKUP(C787,'General price list'!C789:AN1762,MATCH("HM",Tabulka1[[#Headers],[KOD]:[NEQ]],0),FALSE),"")</f>
        <v/>
      </c>
    </row>
    <row r="788" spans="1:27">
      <c r="A788">
        <f>COUNTIF($W$22:W788,1)</f>
        <v>0</v>
      </c>
      <c r="B788">
        <v>788</v>
      </c>
      <c r="C788" s="340" t="str">
        <f>Tabulka1[[#This Row],[KOD]]</f>
        <v>C132XMPT/C</v>
      </c>
      <c r="W788" s="804" t="str">
        <f t="shared" si="25"/>
        <v/>
      </c>
      <c r="X788" t="str">
        <f t="shared" si="26"/>
        <v/>
      </c>
      <c r="Y788" s="341">
        <f>IF('General price list'!$AB790="",0,'General price list'!$AB790)</f>
        <v>0</v>
      </c>
      <c r="Z788" s="365" t="str">
        <f>IFERROR(X788*VLOOKUP(C788,'General price list'!C:I,7,FALSE),"")</f>
        <v/>
      </c>
      <c r="AA788" s="805" t="str">
        <f>IF(X788&lt;&gt;"",VLOOKUP(C788,'General price list'!C790:AN1763,MATCH("HM",Tabulka1[[#Headers],[KOD]:[NEQ]],0),FALSE),"")</f>
        <v/>
      </c>
    </row>
    <row r="789" spans="1:27">
      <c r="A789">
        <f>COUNTIF($W$22:W789,1)</f>
        <v>0</v>
      </c>
      <c r="B789">
        <v>789</v>
      </c>
      <c r="C789" s="340" t="str">
        <f>Tabulka1[[#This Row],[KOD]]</f>
        <v>C150MPT/C</v>
      </c>
      <c r="W789" s="804" t="str">
        <f t="shared" si="25"/>
        <v/>
      </c>
      <c r="X789" t="str">
        <f t="shared" si="26"/>
        <v/>
      </c>
      <c r="Y789" s="341">
        <f>IF('General price list'!$AB791="",0,'General price list'!$AB791)</f>
        <v>0</v>
      </c>
      <c r="Z789" s="365" t="str">
        <f>IFERROR(X789*VLOOKUP(C789,'General price list'!C:I,7,FALSE),"")</f>
        <v/>
      </c>
      <c r="AA789" s="805" t="str">
        <f>IF(X789&lt;&gt;"",VLOOKUP(C789,'General price list'!C791:AN1764,MATCH("HM",Tabulka1[[#Headers],[KOD]:[NEQ]],0),FALSE),"")</f>
        <v/>
      </c>
    </row>
    <row r="790" spans="1:27">
      <c r="A790">
        <f>COUNTIF($W$22:W790,1)</f>
        <v>0</v>
      </c>
      <c r="B790">
        <v>790</v>
      </c>
      <c r="C790" s="340" t="str">
        <f>Tabulka1[[#This Row],[KOD]]</f>
        <v>C150MF/C</v>
      </c>
      <c r="W790" s="804" t="str">
        <f t="shared" si="25"/>
        <v/>
      </c>
      <c r="X790" t="str">
        <f t="shared" si="26"/>
        <v/>
      </c>
      <c r="Y790" s="341">
        <f>IF('General price list'!$AB792="",0,'General price list'!$AB792)</f>
        <v>0</v>
      </c>
      <c r="Z790" s="365" t="str">
        <f>IFERROR(X790*VLOOKUP(C790,'General price list'!C:I,7,FALSE),"")</f>
        <v/>
      </c>
      <c r="AA790" s="805" t="str">
        <f>IF(X790&lt;&gt;"",VLOOKUP(C790,'General price list'!C792:AN1765,MATCH("HM",Tabulka1[[#Headers],[KOD]:[NEQ]],0),FALSE),"")</f>
        <v/>
      </c>
    </row>
    <row r="791" spans="1:27">
      <c r="A791">
        <f>COUNTIF($W$22:W791,1)</f>
        <v>0</v>
      </c>
      <c r="B791">
        <v>791</v>
      </c>
      <c r="C791" s="340" t="str">
        <f>Tabulka1[[#This Row],[KOD]]</f>
        <v>C200MF/C</v>
      </c>
      <c r="W791" s="804" t="str">
        <f t="shared" si="25"/>
        <v/>
      </c>
      <c r="X791" t="str">
        <f t="shared" si="26"/>
        <v/>
      </c>
      <c r="Y791" s="341">
        <f>IF('General price list'!$AB793="",0,'General price list'!$AB793)</f>
        <v>0</v>
      </c>
      <c r="Z791" s="365" t="str">
        <f>IFERROR(X791*VLOOKUP(C791,'General price list'!C:I,7,FALSE),"")</f>
        <v/>
      </c>
      <c r="AA791" s="805" t="str">
        <f>IF(X791&lt;&gt;"",VLOOKUP(C791,'General price list'!C793:AN1766,MATCH("HM",Tabulka1[[#Headers],[KOD]:[NEQ]],0),FALSE),"")</f>
        <v/>
      </c>
    </row>
    <row r="792" spans="1:27">
      <c r="A792">
        <f>COUNTIF($W$22:W792,1)</f>
        <v>0</v>
      </c>
      <c r="B792">
        <v>792</v>
      </c>
      <c r="C792" s="340" t="str">
        <f>Tabulka1[[#This Row],[KOD]]</f>
        <v>C204XMPT/C</v>
      </c>
      <c r="W792" s="804" t="str">
        <f t="shared" si="25"/>
        <v/>
      </c>
      <c r="X792" t="str">
        <f t="shared" si="26"/>
        <v/>
      </c>
      <c r="Y792" s="341">
        <f>IF('General price list'!$AB794="",0,'General price list'!$AB794)</f>
        <v>0</v>
      </c>
      <c r="Z792" s="365" t="str">
        <f>IFERROR(X792*VLOOKUP(C792,'General price list'!C:I,7,FALSE),"")</f>
        <v/>
      </c>
      <c r="AA792" s="805" t="str">
        <f>IF(X792&lt;&gt;"",VLOOKUP(C792,'General price list'!C794:AN1767,MATCH("HM",Tabulka1[[#Headers],[KOD]:[NEQ]],0),FALSE),"")</f>
        <v/>
      </c>
    </row>
    <row r="793" spans="1:27">
      <c r="A793">
        <f>COUNTIF($W$22:W793,1)</f>
        <v>0</v>
      </c>
      <c r="B793">
        <v>793</v>
      </c>
      <c r="C793" s="340" t="str">
        <f>Tabulka1[[#This Row],[KOD]]</f>
        <v>C216XMFS/C</v>
      </c>
      <c r="W793" s="804" t="str">
        <f t="shared" ref="W793:W856" si="27">IF(Y793+1=1,"",1)</f>
        <v/>
      </c>
      <c r="X793" t="str">
        <f t="shared" ref="X793:X856" si="28">IF(OR(A793&lt;$G$20,A793&gt;$G$21),"",IF(Y793=0,"",Y793))</f>
        <v/>
      </c>
      <c r="Y793" s="341">
        <f>IF('General price list'!$AB795="",0,'General price list'!$AB795)</f>
        <v>0</v>
      </c>
      <c r="Z793" s="365" t="str">
        <f>IFERROR(X793*VLOOKUP(C793,'General price list'!C:I,7,FALSE),"")</f>
        <v/>
      </c>
      <c r="AA793" s="805" t="str">
        <f>IF(X793&lt;&gt;"",VLOOKUP(C793,'General price list'!C795:AN1768,MATCH("HM",Tabulka1[[#Headers],[KOD]:[NEQ]],0),FALSE),"")</f>
        <v/>
      </c>
    </row>
    <row r="794" spans="1:27">
      <c r="A794">
        <f>COUNTIF($W$22:W794,1)</f>
        <v>0</v>
      </c>
      <c r="B794">
        <v>794</v>
      </c>
      <c r="C794" s="340" t="str">
        <f>Tabulka1[[#This Row],[KOD]]</f>
        <v>C223XMK/C</v>
      </c>
      <c r="W794" s="804" t="str">
        <f t="shared" si="27"/>
        <v/>
      </c>
      <c r="X794" t="str">
        <f t="shared" si="28"/>
        <v/>
      </c>
      <c r="Y794" s="341">
        <f>IF('General price list'!$AB796="",0,'General price list'!$AB796)</f>
        <v>0</v>
      </c>
      <c r="Z794" s="365" t="str">
        <f>IFERROR(X794*VLOOKUP(C794,'General price list'!C:I,7,FALSE),"")</f>
        <v/>
      </c>
      <c r="AA794" s="805" t="str">
        <f>IF(X794&lt;&gt;"",VLOOKUP(C794,'General price list'!C796:AN1769,MATCH("HM",Tabulka1[[#Headers],[KOD]:[NEQ]],0),FALSE),"")</f>
        <v/>
      </c>
    </row>
    <row r="795" spans="1:27">
      <c r="A795">
        <f>COUNTIF($W$22:W795,1)</f>
        <v>0</v>
      </c>
      <c r="B795">
        <v>795</v>
      </c>
      <c r="C795" s="340" t="str">
        <f>Tabulka1[[#This Row],[KOD]]</f>
        <v>C248MXY/C</v>
      </c>
      <c r="W795" s="804" t="str">
        <f t="shared" si="27"/>
        <v/>
      </c>
      <c r="X795" t="str">
        <f t="shared" si="28"/>
        <v/>
      </c>
      <c r="Y795" s="341">
        <f>IF('General price list'!$AB797="",0,'General price list'!$AB797)</f>
        <v>0</v>
      </c>
      <c r="Z795" s="365" t="str">
        <f>IFERROR(X795*VLOOKUP(C795,'General price list'!C:I,7,FALSE),"")</f>
        <v/>
      </c>
      <c r="AA795" s="805" t="str">
        <f>IF(X795&lt;&gt;"",VLOOKUP(C795,'General price list'!C797:AN1770,MATCH("HM",Tabulka1[[#Headers],[KOD]:[NEQ]],0),FALSE),"")</f>
        <v/>
      </c>
    </row>
    <row r="796" spans="1:27">
      <c r="A796">
        <f>COUNTIF($W$22:W796,1)</f>
        <v>0</v>
      </c>
      <c r="B796">
        <v>796</v>
      </c>
      <c r="C796" s="340" t="str">
        <f>Tabulka1[[#This Row],[KOD]]</f>
        <v>C252MXB/C</v>
      </c>
      <c r="W796" s="804" t="str">
        <f t="shared" si="27"/>
        <v/>
      </c>
      <c r="X796" t="str">
        <f t="shared" si="28"/>
        <v/>
      </c>
      <c r="Y796" s="341">
        <f>IF('General price list'!$AB798="",0,'General price list'!$AB798)</f>
        <v>0</v>
      </c>
      <c r="Z796" s="365" t="str">
        <f>IFERROR(X796*VLOOKUP(C796,'General price list'!C:I,7,FALSE),"")</f>
        <v/>
      </c>
      <c r="AA796" s="805" t="str">
        <f>IF(X796&lt;&gt;"",VLOOKUP(C796,'General price list'!C798:AN1771,MATCH("HM",Tabulka1[[#Headers],[KOD]:[NEQ]],0),FALSE),"")</f>
        <v/>
      </c>
    </row>
    <row r="797" spans="1:27">
      <c r="A797">
        <f>COUNTIF($W$22:W797,1)</f>
        <v>0</v>
      </c>
      <c r="B797">
        <v>797</v>
      </c>
      <c r="C797" s="340" t="str">
        <f>Tabulka1[[#This Row],[KOD]]</f>
        <v>C316MXF/C</v>
      </c>
      <c r="W797" s="804" t="str">
        <f t="shared" si="27"/>
        <v/>
      </c>
      <c r="X797" t="str">
        <f t="shared" si="28"/>
        <v/>
      </c>
      <c r="Y797" s="341">
        <f>IF('General price list'!$AB799="",0,'General price list'!$AB799)</f>
        <v>0</v>
      </c>
      <c r="Z797" s="365" t="str">
        <f>IFERROR(X797*VLOOKUP(C797,'General price list'!C:I,7,FALSE),"")</f>
        <v/>
      </c>
      <c r="AA797" s="805" t="str">
        <f>IF(X797&lt;&gt;"",VLOOKUP(C797,'General price list'!C799:AN1772,MATCH("HM",Tabulka1[[#Headers],[KOD]:[NEQ]],0),FALSE),"")</f>
        <v/>
      </c>
    </row>
    <row r="798" spans="1:27">
      <c r="A798">
        <f>COUNTIF($W$22:W798,1)</f>
        <v>0</v>
      </c>
      <c r="B798">
        <v>798</v>
      </c>
      <c r="C798" s="340" t="str">
        <f>Tabulka1[[#This Row],[KOD]]</f>
        <v>C342MXG/C</v>
      </c>
      <c r="W798" s="804" t="str">
        <f t="shared" si="27"/>
        <v/>
      </c>
      <c r="X798" t="str">
        <f t="shared" si="28"/>
        <v/>
      </c>
      <c r="Y798" s="341">
        <f>IF('General price list'!$AB800="",0,'General price list'!$AB800)</f>
        <v>0</v>
      </c>
      <c r="Z798" s="365" t="str">
        <f>IFERROR(X798*VLOOKUP(C798,'General price list'!C:I,7,FALSE),"")</f>
        <v/>
      </c>
      <c r="AA798" s="805" t="str">
        <f>IF(X798&lt;&gt;"",VLOOKUP(C798,'General price list'!C800:AN1773,MATCH("HM",Tabulka1[[#Headers],[KOD]:[NEQ]],0),FALSE),"")</f>
        <v/>
      </c>
    </row>
    <row r="799" spans="1:27">
      <c r="A799">
        <f>COUNTIF($W$22:W799,1)</f>
        <v>0</v>
      </c>
      <c r="B799">
        <v>799</v>
      </c>
      <c r="C799" s="340" t="str">
        <f>Tabulka1[[#This Row],[KOD]]</f>
        <v>C500MXB/C</v>
      </c>
      <c r="W799" s="804" t="str">
        <f t="shared" si="27"/>
        <v/>
      </c>
      <c r="X799" t="str">
        <f t="shared" si="28"/>
        <v/>
      </c>
      <c r="Y799" s="341">
        <f>IF('General price list'!$AB801="",0,'General price list'!$AB801)</f>
        <v>0</v>
      </c>
      <c r="Z799" s="365" t="str">
        <f>IFERROR(X799*VLOOKUP(C799,'General price list'!C:I,7,FALSE),"")</f>
        <v/>
      </c>
      <c r="AA799" s="805" t="str">
        <f>IF(X799&lt;&gt;"",VLOOKUP(C799,'General price list'!C801:AN1774,MATCH("HM",Tabulka1[[#Headers],[KOD]:[NEQ]],0),FALSE),"")</f>
        <v/>
      </c>
    </row>
    <row r="800" spans="1:27">
      <c r="A800">
        <f>COUNTIF($W$22:W800,1)</f>
        <v>0</v>
      </c>
      <c r="B800">
        <v>800</v>
      </c>
      <c r="C800" s="340">
        <f>Tabulka1[[#This Row],[KOD]]</f>
        <v>0</v>
      </c>
      <c r="W800" s="804" t="str">
        <f t="shared" si="27"/>
        <v/>
      </c>
      <c r="X800" t="str">
        <f t="shared" si="28"/>
        <v/>
      </c>
      <c r="Y800" s="341">
        <f>IF('General price list'!$AB802="",0,'General price list'!$AB802)</f>
        <v>0</v>
      </c>
      <c r="Z800" s="365" t="str">
        <f>IFERROR(X800*VLOOKUP(C800,'General price list'!C:I,7,FALSE),"")</f>
        <v/>
      </c>
      <c r="AA800" s="805" t="str">
        <f>IF(X800&lt;&gt;"",VLOOKUP(C800,'General price list'!C802:AN1775,MATCH("HM",Tabulka1[[#Headers],[KOD]:[NEQ]],0),FALSE),"")</f>
        <v/>
      </c>
    </row>
    <row r="801" spans="1:27">
      <c r="A801">
        <f>COUNTIF($W$22:W801,1)</f>
        <v>0</v>
      </c>
      <c r="B801">
        <v>801</v>
      </c>
      <c r="C801" s="340" t="str">
        <f>Tabulka1[[#This Row],[KOD]]</f>
        <v>C1-C2 C425MXM/C14</v>
      </c>
      <c r="W801" s="804" t="str">
        <f t="shared" si="27"/>
        <v/>
      </c>
      <c r="X801" t="str">
        <f t="shared" si="28"/>
        <v/>
      </c>
      <c r="Y801" s="341">
        <f>IF('General price list'!$AB803="",0,'General price list'!$AB803)</f>
        <v>0</v>
      </c>
      <c r="Z801" s="365" t="str">
        <f>IFERROR(X801*VLOOKUP(C801,'General price list'!C:I,7,FALSE),"")</f>
        <v/>
      </c>
      <c r="AA801" s="805" t="str">
        <f>IF(X801&lt;&gt;"",VLOOKUP(C801,'General price list'!C803:AN1776,MATCH("HM",Tabulka1[[#Headers],[KOD]:[NEQ]],0),FALSE),"")</f>
        <v/>
      </c>
    </row>
    <row r="802" spans="1:27">
      <c r="A802">
        <f>COUNTIF($W$22:W802,1)</f>
        <v>0</v>
      </c>
      <c r="B802">
        <v>802</v>
      </c>
      <c r="C802" s="340" t="str">
        <f>Tabulka1[[#This Row],[KOD]]</f>
        <v>C3-C4 C234MXD/C14</v>
      </c>
      <c r="W802" s="804" t="str">
        <f t="shared" si="27"/>
        <v/>
      </c>
      <c r="X802" t="str">
        <f t="shared" si="28"/>
        <v/>
      </c>
      <c r="Y802" s="341">
        <f>IF('General price list'!$AB804="",0,'General price list'!$AB804)</f>
        <v>0</v>
      </c>
      <c r="Z802" s="365" t="str">
        <f>IFERROR(X802*VLOOKUP(C802,'General price list'!C:I,7,FALSE),"")</f>
        <v/>
      </c>
      <c r="AA802" s="805" t="str">
        <f>IF(X802&lt;&gt;"",VLOOKUP(C802,'General price list'!C804:AN1777,MATCH("HM",Tabulka1[[#Headers],[KOD]:[NEQ]],0),FALSE),"")</f>
        <v/>
      </c>
    </row>
    <row r="803" spans="1:27">
      <c r="A803">
        <f>COUNTIF($W$22:W803,1)</f>
        <v>0</v>
      </c>
      <c r="B803">
        <v>803</v>
      </c>
      <c r="C803" s="340" t="str">
        <f>Tabulka1[[#This Row],[KOD]]</f>
        <v>C5-C6 C303MXN/C14</v>
      </c>
      <c r="W803" s="804" t="str">
        <f t="shared" si="27"/>
        <v/>
      </c>
      <c r="X803" t="str">
        <f t="shared" si="28"/>
        <v/>
      </c>
      <c r="Y803" s="341">
        <f>IF('General price list'!$AB805="",0,'General price list'!$AB805)</f>
        <v>0</v>
      </c>
      <c r="Z803" s="365" t="str">
        <f>IFERROR(X803*VLOOKUP(C803,'General price list'!C:I,7,FALSE),"")</f>
        <v/>
      </c>
      <c r="AA803" s="805" t="str">
        <f>IF(X803&lt;&gt;"",VLOOKUP(C803,'General price list'!C805:AN1778,MATCH("HM",Tabulka1[[#Headers],[KOD]:[NEQ]],0),FALSE),"")</f>
        <v/>
      </c>
    </row>
    <row r="804" spans="1:27">
      <c r="A804">
        <f>COUNTIF($W$22:W804,1)</f>
        <v>0</v>
      </c>
      <c r="B804">
        <v>804</v>
      </c>
      <c r="C804" s="340" t="str">
        <f>Tabulka1[[#This Row],[KOD]]</f>
        <v>C1-C2 C632MXN/C14</v>
      </c>
      <c r="W804" s="804" t="str">
        <f t="shared" si="27"/>
        <v/>
      </c>
      <c r="X804" t="str">
        <f t="shared" si="28"/>
        <v/>
      </c>
      <c r="Y804" s="341">
        <f>IF('General price list'!$AB806="",0,'General price list'!$AB806)</f>
        <v>0</v>
      </c>
      <c r="Z804" s="365" t="str">
        <f>IFERROR(X804*VLOOKUP(C804,'General price list'!C:I,7,FALSE),"")</f>
        <v/>
      </c>
      <c r="AA804" s="805" t="str">
        <f>IF(X804&lt;&gt;"",VLOOKUP(C804,'General price list'!C806:AN1779,MATCH("HM",Tabulka1[[#Headers],[KOD]:[NEQ]],0),FALSE),"")</f>
        <v/>
      </c>
    </row>
    <row r="805" spans="1:27">
      <c r="A805">
        <f>COUNTIF($W$22:W805,1)</f>
        <v>0</v>
      </c>
      <c r="B805">
        <v>805</v>
      </c>
      <c r="C805" s="340">
        <f>Tabulka1[[#This Row],[KOD]]</f>
        <v>0</v>
      </c>
      <c r="W805" s="804" t="str">
        <f t="shared" si="27"/>
        <v/>
      </c>
      <c r="X805" t="str">
        <f t="shared" si="28"/>
        <v/>
      </c>
      <c r="Y805" s="341">
        <f>IF('General price list'!$AB807="",0,'General price list'!$AB807)</f>
        <v>0</v>
      </c>
      <c r="Z805" s="365" t="str">
        <f>IFERROR(X805*VLOOKUP(C805,'General price list'!C:I,7,FALSE),"")</f>
        <v/>
      </c>
      <c r="AA805" s="805" t="str">
        <f>IF(X805&lt;&gt;"",VLOOKUP(C805,'General price list'!C807:AN1780,MATCH("HM",Tabulka1[[#Headers],[KOD]:[NEQ]],0),FALSE),"")</f>
        <v/>
      </c>
    </row>
    <row r="806" spans="1:27">
      <c r="A806">
        <f>COUNTIF($W$22:W806,1)</f>
        <v>0</v>
      </c>
      <c r="B806">
        <v>806</v>
      </c>
      <c r="C806" s="340" t="str">
        <f>Tabulka1[[#This Row],[KOD]]</f>
        <v>C212MF/C</v>
      </c>
      <c r="W806" s="804" t="str">
        <f t="shared" si="27"/>
        <v/>
      </c>
      <c r="X806" t="str">
        <f t="shared" si="28"/>
        <v/>
      </c>
      <c r="Y806" s="341">
        <f>IF('General price list'!$AB808="",0,'General price list'!$AB808)</f>
        <v>0</v>
      </c>
      <c r="Z806" s="365" t="str">
        <f>IFERROR(X806*VLOOKUP(C806,'General price list'!C:I,7,FALSE),"")</f>
        <v/>
      </c>
      <c r="AA806" s="805" t="str">
        <f>IF(X806&lt;&gt;"",VLOOKUP(C806,'General price list'!C808:AN1781,MATCH("HM",Tabulka1[[#Headers],[KOD]:[NEQ]],0),FALSE),"")</f>
        <v/>
      </c>
    </row>
    <row r="807" spans="1:27">
      <c r="A807">
        <f>COUNTIF($W$22:W807,1)</f>
        <v>0</v>
      </c>
      <c r="B807">
        <v>807</v>
      </c>
      <c r="C807" s="340" t="str">
        <f>Tabulka1[[#This Row],[KOD]]</f>
        <v>C219XMPT/C</v>
      </c>
      <c r="W807" s="804" t="str">
        <f t="shared" si="27"/>
        <v/>
      </c>
      <c r="X807" t="str">
        <f t="shared" si="28"/>
        <v/>
      </c>
      <c r="Y807" s="341">
        <f>IF('General price list'!$AB809="",0,'General price list'!$AB809)</f>
        <v>0</v>
      </c>
      <c r="Z807" s="365" t="str">
        <f>IFERROR(X807*VLOOKUP(C807,'General price list'!C:I,7,FALSE),"")</f>
        <v/>
      </c>
      <c r="AA807" s="805" t="str">
        <f>IF(X807&lt;&gt;"",VLOOKUP(C807,'General price list'!C809:AN1782,MATCH("HM",Tabulka1[[#Headers],[KOD]:[NEQ]],0),FALSE),"")</f>
        <v/>
      </c>
    </row>
    <row r="808" spans="1:27">
      <c r="A808">
        <f>COUNTIF($W$22:W808,1)</f>
        <v>0</v>
      </c>
      <c r="B808">
        <v>808</v>
      </c>
      <c r="C808" s="340" t="str">
        <f>Tabulka1[[#This Row],[KOD]]</f>
        <v>C253XMPT/C</v>
      </c>
      <c r="W808" s="804" t="str">
        <f t="shared" si="27"/>
        <v/>
      </c>
      <c r="X808" t="str">
        <f t="shared" si="28"/>
        <v/>
      </c>
      <c r="Y808" s="341">
        <f>IF('General price list'!$AB810="",0,'General price list'!$AB810)</f>
        <v>0</v>
      </c>
      <c r="Z808" s="365" t="str">
        <f>IFERROR(X808*VLOOKUP(C808,'General price list'!C:I,7,FALSE),"")</f>
        <v/>
      </c>
      <c r="AA808" s="805" t="str">
        <f>IF(X808&lt;&gt;"",VLOOKUP(C808,'General price list'!C810:AN1783,MATCH("HM",Tabulka1[[#Headers],[KOD]:[NEQ]],0),FALSE),"")</f>
        <v/>
      </c>
    </row>
    <row r="809" spans="1:27">
      <c r="A809">
        <f>COUNTIF($W$22:W809,1)</f>
        <v>0</v>
      </c>
      <c r="B809">
        <v>809</v>
      </c>
      <c r="C809" s="340" t="str">
        <f>Tabulka1[[#This Row],[KOD]]</f>
        <v>C379XMK/C</v>
      </c>
      <c r="W809" s="804" t="str">
        <f t="shared" si="27"/>
        <v/>
      </c>
      <c r="X809" t="str">
        <f t="shared" si="28"/>
        <v/>
      </c>
      <c r="Y809" s="341">
        <f>IF('General price list'!$AB811="",0,'General price list'!$AB811)</f>
        <v>0</v>
      </c>
      <c r="Z809" s="365" t="str">
        <f>IFERROR(X809*VLOOKUP(C809,'General price list'!C:I,7,FALSE),"")</f>
        <v/>
      </c>
      <c r="AA809" s="805" t="str">
        <f>IF(X809&lt;&gt;"",VLOOKUP(C809,'General price list'!C811:AN1784,MATCH("HM",Tabulka1[[#Headers],[KOD]:[NEQ]],0),FALSE),"")</f>
        <v/>
      </c>
    </row>
    <row r="810" spans="1:27">
      <c r="A810">
        <f>COUNTIF($W$22:W810,1)</f>
        <v>0</v>
      </c>
      <c r="B810">
        <v>810</v>
      </c>
      <c r="C810" s="340">
        <f>Tabulka1[[#This Row],[KOD]]</f>
        <v>0</v>
      </c>
      <c r="W810" s="804" t="str">
        <f t="shared" si="27"/>
        <v/>
      </c>
      <c r="X810" t="str">
        <f t="shared" si="28"/>
        <v/>
      </c>
      <c r="Y810" s="341">
        <f>IF('General price list'!$AB812="",0,'General price list'!$AB812)</f>
        <v>0</v>
      </c>
      <c r="Z810" s="365" t="str">
        <f>IFERROR(X810*VLOOKUP(C810,'General price list'!C:I,7,FALSE),"")</f>
        <v/>
      </c>
      <c r="AA810" s="805" t="str">
        <f>IF(X810&lt;&gt;"",VLOOKUP(C810,'General price list'!C812:AN1785,MATCH("HM",Tabulka1[[#Headers],[KOD]:[NEQ]],0),FALSE),"")</f>
        <v/>
      </c>
    </row>
    <row r="811" spans="1:27">
      <c r="A811">
        <f>COUNTIF($W$22:W811,1)</f>
        <v>0</v>
      </c>
      <c r="B811">
        <v>811</v>
      </c>
      <c r="C811" s="340">
        <f>Tabulka1[[#This Row],[KOD]]</f>
        <v>0</v>
      </c>
      <c r="W811" s="804" t="str">
        <f t="shared" si="27"/>
        <v/>
      </c>
      <c r="X811" t="str">
        <f t="shared" si="28"/>
        <v/>
      </c>
      <c r="Y811" s="341">
        <f>IF('General price list'!$AB813="",0,'General price list'!$AB813)</f>
        <v>0</v>
      </c>
      <c r="Z811" s="365" t="str">
        <f>IFERROR(X811*VLOOKUP(C811,'General price list'!C:I,7,FALSE),"")</f>
        <v/>
      </c>
      <c r="AA811" s="805" t="str">
        <f>IF(X811&lt;&gt;"",VLOOKUP(C811,'General price list'!C813:AN1786,MATCH("HM",Tabulka1[[#Headers],[KOD]:[NEQ]],0),FALSE),"")</f>
        <v/>
      </c>
    </row>
    <row r="812" spans="1:27">
      <c r="A812">
        <f>COUNTIF($W$22:W812,1)</f>
        <v>0</v>
      </c>
      <c r="B812">
        <v>812</v>
      </c>
      <c r="C812" s="340" t="str">
        <f>Tabulka1[[#This Row],[KOD]]</f>
        <v>C23MO</v>
      </c>
      <c r="W812" s="804" t="str">
        <f t="shared" si="27"/>
        <v/>
      </c>
      <c r="X812" t="str">
        <f t="shared" si="28"/>
        <v/>
      </c>
      <c r="Y812" s="341">
        <f>IF('General price list'!$AB814="",0,'General price list'!$AB814)</f>
        <v>0</v>
      </c>
      <c r="Z812" s="365" t="str">
        <f>IFERROR(X812*VLOOKUP(C812,'General price list'!C:I,7,FALSE),"")</f>
        <v/>
      </c>
      <c r="AA812" s="805" t="str">
        <f>IF(X812&lt;&gt;"",VLOOKUP(C812,'General price list'!C814:AN1787,MATCH("HM",Tabulka1[[#Headers],[KOD]:[NEQ]],0),FALSE),"")</f>
        <v/>
      </c>
    </row>
    <row r="813" spans="1:27">
      <c r="A813">
        <f>COUNTIF($W$22:W813,1)</f>
        <v>0</v>
      </c>
      <c r="B813">
        <v>813</v>
      </c>
      <c r="C813" s="340">
        <f>Tabulka1[[#This Row],[KOD]]</f>
        <v>0</v>
      </c>
      <c r="W813" s="804" t="str">
        <f t="shared" si="27"/>
        <v/>
      </c>
      <c r="X813" t="str">
        <f t="shared" si="28"/>
        <v/>
      </c>
      <c r="Y813" s="341">
        <f>IF('General price list'!$AB815="",0,'General price list'!$AB815)</f>
        <v>0</v>
      </c>
      <c r="Z813" s="365" t="str">
        <f>IFERROR(X813*VLOOKUP(C813,'General price list'!C:I,7,FALSE),"")</f>
        <v/>
      </c>
      <c r="AA813" s="805" t="str">
        <f>IF(X813&lt;&gt;"",VLOOKUP(C813,'General price list'!C815:AN1788,MATCH("HM",Tabulka1[[#Headers],[KOD]:[NEQ]],0),FALSE),"")</f>
        <v/>
      </c>
    </row>
    <row r="814" spans="1:27">
      <c r="A814">
        <f>COUNTIF($W$22:W814,1)</f>
        <v>0</v>
      </c>
      <c r="B814">
        <v>814</v>
      </c>
      <c r="C814" s="340" t="str">
        <f>Tabulka1[[#This Row],[KOD]]</f>
        <v>C24MH</v>
      </c>
      <c r="W814" s="804" t="str">
        <f t="shared" si="27"/>
        <v/>
      </c>
      <c r="X814" t="str">
        <f t="shared" si="28"/>
        <v/>
      </c>
      <c r="Y814" s="341">
        <f>IF('General price list'!$AB816="",0,'General price list'!$AB816)</f>
        <v>0</v>
      </c>
      <c r="Z814" s="365" t="str">
        <f>IFERROR(X814*VLOOKUP(C814,'General price list'!C:I,7,FALSE),"")</f>
        <v/>
      </c>
      <c r="AA814" s="805" t="str">
        <f>IF(X814&lt;&gt;"",VLOOKUP(C814,'General price list'!C816:AN1789,MATCH("HM",Tabulka1[[#Headers],[KOD]:[NEQ]],0),FALSE),"")</f>
        <v/>
      </c>
    </row>
    <row r="815" spans="1:27">
      <c r="A815">
        <f>COUNTIF($W$22:W815,1)</f>
        <v>0</v>
      </c>
      <c r="B815">
        <v>815</v>
      </c>
      <c r="C815" s="340">
        <f>Tabulka1[[#This Row],[KOD]]</f>
        <v>0</v>
      </c>
      <c r="W815" s="804" t="str">
        <f t="shared" si="27"/>
        <v/>
      </c>
      <c r="X815" t="str">
        <f t="shared" si="28"/>
        <v/>
      </c>
      <c r="Y815" s="341">
        <f>IF('General price list'!$AB817="",0,'General price list'!$AB817)</f>
        <v>0</v>
      </c>
      <c r="Z815" s="365" t="str">
        <f>IFERROR(X815*VLOOKUP(C815,'General price list'!C:I,7,FALSE),"")</f>
        <v/>
      </c>
      <c r="AA815" s="805" t="str">
        <f>IF(X815&lt;&gt;"",VLOOKUP(C815,'General price list'!C817:AN1790,MATCH("HM",Tabulka1[[#Headers],[KOD]:[NEQ]],0),FALSE),"")</f>
        <v/>
      </c>
    </row>
    <row r="816" spans="1:27">
      <c r="A816">
        <f>COUNTIF($W$22:W816,1)</f>
        <v>0</v>
      </c>
      <c r="B816">
        <v>816</v>
      </c>
      <c r="C816" s="340" t="str">
        <f>Tabulka1[[#This Row],[KOD]]</f>
        <v>C36MH</v>
      </c>
      <c r="W816" s="804" t="str">
        <f t="shared" si="27"/>
        <v/>
      </c>
      <c r="X816" t="str">
        <f t="shared" si="28"/>
        <v/>
      </c>
      <c r="Y816" s="341">
        <f>IF('General price list'!$AB818="",0,'General price list'!$AB818)</f>
        <v>0</v>
      </c>
      <c r="Z816" s="365" t="str">
        <f>IFERROR(X816*VLOOKUP(C816,'General price list'!C:I,7,FALSE),"")</f>
        <v/>
      </c>
      <c r="AA816" s="805" t="str">
        <f>IF(X816&lt;&gt;"",VLOOKUP(C816,'General price list'!C818:AN1791,MATCH("HM",Tabulka1[[#Headers],[KOD]:[NEQ]],0),FALSE),"")</f>
        <v/>
      </c>
    </row>
    <row r="817" spans="1:27">
      <c r="A817">
        <f>COUNTIF($W$22:W817,1)</f>
        <v>0</v>
      </c>
      <c r="B817">
        <v>817</v>
      </c>
      <c r="C817" s="340">
        <f>Tabulka1[[#This Row],[KOD]]</f>
        <v>0</v>
      </c>
      <c r="W817" s="804" t="str">
        <f t="shared" si="27"/>
        <v/>
      </c>
      <c r="X817" t="str">
        <f t="shared" si="28"/>
        <v/>
      </c>
      <c r="Y817" s="341">
        <f>IF('General price list'!$AB819="",0,'General price list'!$AB819)</f>
        <v>0</v>
      </c>
      <c r="Z817" s="365" t="str">
        <f>IFERROR(X817*VLOOKUP(C817,'General price list'!C:I,7,FALSE),"")</f>
        <v/>
      </c>
      <c r="AA817" s="805" t="str">
        <f>IF(X817&lt;&gt;"",VLOOKUP(C817,'General price list'!C819:AN1792,MATCH("HM",Tabulka1[[#Headers],[KOD]:[NEQ]],0),FALSE),"")</f>
        <v/>
      </c>
    </row>
    <row r="818" spans="1:27">
      <c r="A818">
        <f>COUNTIF($W$22:W818,1)</f>
        <v>0</v>
      </c>
      <c r="B818">
        <v>818</v>
      </c>
      <c r="C818" s="340" t="str">
        <f>Tabulka1[[#This Row],[KOD]]</f>
        <v>C42MM</v>
      </c>
      <c r="W818" s="804" t="str">
        <f t="shared" si="27"/>
        <v/>
      </c>
      <c r="X818" t="str">
        <f t="shared" si="28"/>
        <v/>
      </c>
      <c r="Y818" s="341">
        <f>IF('General price list'!$AB820="",0,'General price list'!$AB820)</f>
        <v>0</v>
      </c>
      <c r="Z818" s="365" t="str">
        <f>IFERROR(X818*VLOOKUP(C818,'General price list'!C:I,7,FALSE),"")</f>
        <v/>
      </c>
      <c r="AA818" s="805" t="str">
        <f>IF(X818&lt;&gt;"",VLOOKUP(C818,'General price list'!C820:AN1793,MATCH("HM",Tabulka1[[#Headers],[KOD]:[NEQ]],0),FALSE),"")</f>
        <v/>
      </c>
    </row>
    <row r="819" spans="1:27">
      <c r="A819">
        <f>COUNTIF($W$22:W819,1)</f>
        <v>0</v>
      </c>
      <c r="B819">
        <v>819</v>
      </c>
      <c r="C819" s="340">
        <f>Tabulka1[[#This Row],[KOD]]</f>
        <v>0</v>
      </c>
      <c r="W819" s="804" t="str">
        <f t="shared" si="27"/>
        <v/>
      </c>
      <c r="X819" t="str">
        <f t="shared" si="28"/>
        <v/>
      </c>
      <c r="Y819" s="341">
        <f>IF('General price list'!$AB821="",0,'General price list'!$AB821)</f>
        <v>0</v>
      </c>
      <c r="Z819" s="365" t="str">
        <f>IFERROR(X819*VLOOKUP(C819,'General price list'!C:I,7,FALSE),"")</f>
        <v/>
      </c>
      <c r="AA819" s="805" t="str">
        <f>IF(X819&lt;&gt;"",VLOOKUP(C819,'General price list'!C821:AN1794,MATCH("HM",Tabulka1[[#Headers],[KOD]:[NEQ]],0),FALSE),"")</f>
        <v/>
      </c>
    </row>
    <row r="820" spans="1:27">
      <c r="A820">
        <f>COUNTIF($W$22:W820,1)</f>
        <v>0</v>
      </c>
      <c r="B820">
        <v>820</v>
      </c>
      <c r="C820" s="340" t="str">
        <f>Tabulka1[[#This Row],[KOD]]</f>
        <v>C47MB</v>
      </c>
      <c r="W820" s="804" t="str">
        <f t="shared" si="27"/>
        <v/>
      </c>
      <c r="X820" t="str">
        <f t="shared" si="28"/>
        <v/>
      </c>
      <c r="Y820" s="341">
        <f>IF('General price list'!$AB822="",0,'General price list'!$AB822)</f>
        <v>0</v>
      </c>
      <c r="Z820" s="365" t="str">
        <f>IFERROR(X820*VLOOKUP(C820,'General price list'!C:I,7,FALSE),"")</f>
        <v/>
      </c>
      <c r="AA820" s="805" t="str">
        <f>IF(X820&lt;&gt;"",VLOOKUP(C820,'General price list'!C822:AN1795,MATCH("HM",Tabulka1[[#Headers],[KOD]:[NEQ]],0),FALSE),"")</f>
        <v/>
      </c>
    </row>
    <row r="821" spans="1:27">
      <c r="A821">
        <f>COUNTIF($W$22:W821,1)</f>
        <v>0</v>
      </c>
      <c r="B821">
        <v>821</v>
      </c>
      <c r="C821" s="340" t="str">
        <f>Tabulka1[[#This Row],[KOD]]</f>
        <v>C47XMT</v>
      </c>
      <c r="W821" s="804" t="str">
        <f t="shared" si="27"/>
        <v/>
      </c>
      <c r="X821" t="str">
        <f t="shared" si="28"/>
        <v/>
      </c>
      <c r="Y821" s="341">
        <f>IF('General price list'!$AB823="",0,'General price list'!$AB823)</f>
        <v>0</v>
      </c>
      <c r="Z821" s="365" t="str">
        <f>IFERROR(X821*VLOOKUP(C821,'General price list'!C:I,7,FALSE),"")</f>
        <v/>
      </c>
      <c r="AA821" s="805" t="str">
        <f>IF(X821&lt;&gt;"",VLOOKUP(C821,'General price list'!C823:AN1796,MATCH("HM",Tabulka1[[#Headers],[KOD]:[NEQ]],0),FALSE),"")</f>
        <v/>
      </c>
    </row>
    <row r="822" spans="1:27">
      <c r="A822">
        <f>COUNTIF($W$22:W822,1)</f>
        <v>0</v>
      </c>
      <c r="B822">
        <v>822</v>
      </c>
      <c r="C822" s="340">
        <f>Tabulka1[[#This Row],[KOD]]</f>
        <v>0</v>
      </c>
      <c r="W822" s="804" t="str">
        <f t="shared" si="27"/>
        <v/>
      </c>
      <c r="X822" t="str">
        <f t="shared" si="28"/>
        <v/>
      </c>
      <c r="Y822" s="341">
        <f>IF('General price list'!$AB824="",0,'General price list'!$AB824)</f>
        <v>0</v>
      </c>
      <c r="Z822" s="365" t="str">
        <f>IFERROR(X822*VLOOKUP(C822,'General price list'!C:I,7,FALSE),"")</f>
        <v/>
      </c>
      <c r="AA822" s="805" t="str">
        <f>IF(X822&lt;&gt;"",VLOOKUP(C822,'General price list'!C824:AN1797,MATCH("HM",Tabulka1[[#Headers],[KOD]:[NEQ]],0),FALSE),"")</f>
        <v/>
      </c>
    </row>
    <row r="823" spans="1:27">
      <c r="A823">
        <f>COUNTIF($W$22:W823,1)</f>
        <v>0</v>
      </c>
      <c r="B823">
        <v>823</v>
      </c>
      <c r="C823" s="340" t="str">
        <f>Tabulka1[[#This Row],[KOD]]</f>
        <v>C63MM</v>
      </c>
      <c r="W823" s="804" t="str">
        <f t="shared" si="27"/>
        <v/>
      </c>
      <c r="X823" t="str">
        <f t="shared" si="28"/>
        <v/>
      </c>
      <c r="Y823" s="341">
        <f>IF('General price list'!$AB825="",0,'General price list'!$AB825)</f>
        <v>0</v>
      </c>
      <c r="Z823" s="365" t="str">
        <f>IFERROR(X823*VLOOKUP(C823,'General price list'!C:I,7,FALSE),"")</f>
        <v/>
      </c>
      <c r="AA823" s="805" t="str">
        <f>IF(X823&lt;&gt;"",VLOOKUP(C823,'General price list'!C825:AN1798,MATCH("HM",Tabulka1[[#Headers],[KOD]:[NEQ]],0),FALSE),"")</f>
        <v/>
      </c>
    </row>
    <row r="824" spans="1:27">
      <c r="A824">
        <f>COUNTIF($W$22:W824,1)</f>
        <v>0</v>
      </c>
      <c r="B824">
        <v>824</v>
      </c>
      <c r="C824" s="340">
        <f>Tabulka1[[#This Row],[KOD]]</f>
        <v>0</v>
      </c>
      <c r="W824" s="804" t="str">
        <f t="shared" si="27"/>
        <v/>
      </c>
      <c r="X824" t="str">
        <f t="shared" si="28"/>
        <v/>
      </c>
      <c r="Y824" s="341">
        <f>IF('General price list'!$AB826="",0,'General price list'!$AB826)</f>
        <v>0</v>
      </c>
      <c r="Z824" s="365" t="str">
        <f>IFERROR(X824*VLOOKUP(C824,'General price list'!C:I,7,FALSE),"")</f>
        <v/>
      </c>
      <c r="AA824" s="805" t="str">
        <f>IF(X824&lt;&gt;"",VLOOKUP(C824,'General price list'!C826:AN1799,MATCH("HM",Tabulka1[[#Headers],[KOD]:[NEQ]],0),FALSE),"")</f>
        <v/>
      </c>
    </row>
    <row r="825" spans="1:27">
      <c r="A825">
        <f>COUNTIF($W$22:W825,1)</f>
        <v>0</v>
      </c>
      <c r="B825">
        <v>825</v>
      </c>
      <c r="C825" s="340" t="str">
        <f>Tabulka1[[#This Row],[KOD]]</f>
        <v>C66SMMO</v>
      </c>
      <c r="W825" s="804" t="str">
        <f t="shared" si="27"/>
        <v/>
      </c>
      <c r="X825" t="str">
        <f t="shared" si="28"/>
        <v/>
      </c>
      <c r="Y825" s="341">
        <f>IF('General price list'!$AB827="",0,'General price list'!$AB827)</f>
        <v>0</v>
      </c>
      <c r="Z825" s="365" t="str">
        <f>IFERROR(X825*VLOOKUP(C825,'General price list'!C:I,7,FALSE),"")</f>
        <v/>
      </c>
      <c r="AA825" s="805" t="str">
        <f>IF(X825&lt;&gt;"",VLOOKUP(C825,'General price list'!C827:AN1800,MATCH("HM",Tabulka1[[#Headers],[KOD]:[NEQ]],0),FALSE),"")</f>
        <v/>
      </c>
    </row>
    <row r="826" spans="1:27">
      <c r="A826">
        <f>COUNTIF($W$22:W826,1)</f>
        <v>0</v>
      </c>
      <c r="B826">
        <v>826</v>
      </c>
      <c r="C826" s="340">
        <f>Tabulka1[[#This Row],[KOD]]</f>
        <v>0</v>
      </c>
      <c r="W826" s="804" t="str">
        <f t="shared" si="27"/>
        <v/>
      </c>
      <c r="X826" t="str">
        <f t="shared" si="28"/>
        <v/>
      </c>
      <c r="Y826" s="341">
        <f>IF('General price list'!$AB828="",0,'General price list'!$AB828)</f>
        <v>0</v>
      </c>
      <c r="Z826" s="365" t="str">
        <f>IFERROR(X826*VLOOKUP(C826,'General price list'!C:I,7,FALSE),"")</f>
        <v/>
      </c>
      <c r="AA826" s="805" t="str">
        <f>IF(X826&lt;&gt;"",VLOOKUP(C826,'General price list'!C828:AN1801,MATCH("HM",Tabulka1[[#Headers],[KOD]:[NEQ]],0),FALSE),"")</f>
        <v/>
      </c>
    </row>
    <row r="827" spans="1:27">
      <c r="A827">
        <f>COUNTIF($W$22:W827,1)</f>
        <v>0</v>
      </c>
      <c r="B827">
        <v>827</v>
      </c>
      <c r="C827" s="340" t="str">
        <f>Tabulka1[[#This Row],[KOD]]</f>
        <v>C84M12F/C</v>
      </c>
      <c r="W827" s="804" t="str">
        <f t="shared" si="27"/>
        <v/>
      </c>
      <c r="X827" t="str">
        <f t="shared" si="28"/>
        <v/>
      </c>
      <c r="Y827" s="341">
        <f>IF('General price list'!$AB829="",0,'General price list'!$AB829)</f>
        <v>0</v>
      </c>
      <c r="Z827" s="365" t="str">
        <f>IFERROR(X827*VLOOKUP(C827,'General price list'!C:I,7,FALSE),"")</f>
        <v/>
      </c>
      <c r="AA827" s="805" t="str">
        <f>IF(X827&lt;&gt;"",VLOOKUP(C827,'General price list'!C829:AN1802,MATCH("HM",Tabulka1[[#Headers],[KOD]:[NEQ]],0),FALSE),"")</f>
        <v/>
      </c>
    </row>
    <row r="828" spans="1:27">
      <c r="A828">
        <f>COUNTIF($W$22:W828,1)</f>
        <v>0</v>
      </c>
      <c r="B828">
        <v>828</v>
      </c>
      <c r="C828" s="340" t="str">
        <f>Tabulka1[[#This Row],[KOD]]</f>
        <v>C84MC/C</v>
      </c>
      <c r="W828" s="804" t="str">
        <f t="shared" si="27"/>
        <v/>
      </c>
      <c r="X828" t="str">
        <f t="shared" si="28"/>
        <v/>
      </c>
      <c r="Y828" s="341">
        <f>IF('General price list'!$AB830="",0,'General price list'!$AB830)</f>
        <v>0</v>
      </c>
      <c r="Z828" s="365" t="str">
        <f>IFERROR(X828*VLOOKUP(C828,'General price list'!C:I,7,FALSE),"")</f>
        <v/>
      </c>
      <c r="AA828" s="805" t="str">
        <f>IF(X828&lt;&gt;"",VLOOKUP(C828,'General price list'!C830:AN1803,MATCH("HM",Tabulka1[[#Headers],[KOD]:[NEQ]],0),FALSE),"")</f>
        <v/>
      </c>
    </row>
    <row r="829" spans="1:27">
      <c r="A829">
        <f>COUNTIF($W$22:W829,1)</f>
        <v>0</v>
      </c>
      <c r="B829">
        <v>829</v>
      </c>
      <c r="C829" s="340" t="str">
        <f>Tabulka1[[#This Row],[KOD]]</f>
        <v>C175MSIG/C</v>
      </c>
      <c r="W829" s="804" t="str">
        <f t="shared" si="27"/>
        <v/>
      </c>
      <c r="X829" t="str">
        <f t="shared" si="28"/>
        <v/>
      </c>
      <c r="Y829" s="341">
        <f>IF('General price list'!$AB831="",0,'General price list'!$AB831)</f>
        <v>0</v>
      </c>
      <c r="Z829" s="365" t="str">
        <f>IFERROR(X829*VLOOKUP(C829,'General price list'!C:I,7,FALSE),"")</f>
        <v/>
      </c>
      <c r="AA829" s="805" t="str">
        <f>IF(X829&lt;&gt;"",VLOOKUP(C829,'General price list'!C831:AN1804,MATCH("HM",Tabulka1[[#Headers],[KOD]:[NEQ]],0),FALSE),"")</f>
        <v/>
      </c>
    </row>
    <row r="830" spans="1:27">
      <c r="A830">
        <f>COUNTIF($W$22:W830,1)</f>
        <v>0</v>
      </c>
      <c r="B830">
        <v>830</v>
      </c>
      <c r="C830" s="340" t="str">
        <f>Tabulka1[[#This Row],[KOD]]</f>
        <v>C222MNPT/C</v>
      </c>
      <c r="W830" s="804" t="str">
        <f t="shared" si="27"/>
        <v/>
      </c>
      <c r="X830" t="str">
        <f t="shared" si="28"/>
        <v/>
      </c>
      <c r="Y830" s="341">
        <f>IF('General price list'!$AB832="",0,'General price list'!$AB832)</f>
        <v>0</v>
      </c>
      <c r="Z830" s="365" t="str">
        <f>IFERROR(X830*VLOOKUP(C830,'General price list'!C:I,7,FALSE),"")</f>
        <v/>
      </c>
      <c r="AA830" s="805" t="str">
        <f>IF(X830&lt;&gt;"",VLOOKUP(C830,'General price list'!C832:AN1805,MATCH("HM",Tabulka1[[#Headers],[KOD]:[NEQ]],0),FALSE),"")</f>
        <v/>
      </c>
    </row>
    <row r="831" spans="1:27">
      <c r="A831">
        <f>COUNTIF($W$22:W831,1)</f>
        <v>0</v>
      </c>
      <c r="B831">
        <v>831</v>
      </c>
      <c r="C831" s="340" t="str">
        <f>Tabulka1[[#This Row],[KOD]]</f>
        <v>C222MF/C</v>
      </c>
      <c r="W831" s="804" t="str">
        <f t="shared" si="27"/>
        <v/>
      </c>
      <c r="X831" t="str">
        <f t="shared" si="28"/>
        <v/>
      </c>
      <c r="Y831" s="341">
        <f>IF('General price list'!$AB833="",0,'General price list'!$AB833)</f>
        <v>0</v>
      </c>
      <c r="Z831" s="365" t="str">
        <f>IFERROR(X831*VLOOKUP(C831,'General price list'!C:I,7,FALSE),"")</f>
        <v/>
      </c>
      <c r="AA831" s="805" t="str">
        <f>IF(X831&lt;&gt;"",VLOOKUP(C831,'General price list'!C833:AN1806,MATCH("HM",Tabulka1[[#Headers],[KOD]:[NEQ]],0),FALSE),"")</f>
        <v/>
      </c>
    </row>
    <row r="832" spans="1:27">
      <c r="A832">
        <f>COUNTIF($W$22:W832,1)</f>
        <v>0</v>
      </c>
      <c r="B832">
        <v>832</v>
      </c>
      <c r="C832" s="340">
        <f>Tabulka1[[#This Row],[KOD]]</f>
        <v>0</v>
      </c>
      <c r="W832" s="804" t="str">
        <f t="shared" si="27"/>
        <v/>
      </c>
      <c r="X832" t="str">
        <f t="shared" si="28"/>
        <v/>
      </c>
      <c r="Y832" s="341">
        <f>IF('General price list'!$AB834="",0,'General price list'!$AB834)</f>
        <v>0</v>
      </c>
      <c r="Z832" s="365" t="str">
        <f>IFERROR(X832*VLOOKUP(C832,'General price list'!C:I,7,FALSE),"")</f>
        <v/>
      </c>
      <c r="AA832" s="805" t="str">
        <f>IF(X832&lt;&gt;"",VLOOKUP(C832,'General price list'!C834:AN1807,MATCH("HM",Tabulka1[[#Headers],[KOD]:[NEQ]],0),FALSE),"")</f>
        <v/>
      </c>
    </row>
    <row r="833" spans="1:27">
      <c r="A833">
        <f>COUNTIF($W$22:W833,1)</f>
        <v>0</v>
      </c>
      <c r="B833">
        <v>833</v>
      </c>
      <c r="C833" s="340" t="str">
        <f>Tabulka1[[#This Row],[KOD]]</f>
        <v>C96MB</v>
      </c>
      <c r="W833" s="804" t="str">
        <f t="shared" si="27"/>
        <v/>
      </c>
      <c r="X833" t="str">
        <f t="shared" si="28"/>
        <v/>
      </c>
      <c r="Y833" s="341">
        <f>IF('General price list'!$AB835="",0,'General price list'!$AB835)</f>
        <v>0</v>
      </c>
      <c r="Z833" s="365" t="str">
        <f>IFERROR(X833*VLOOKUP(C833,'General price list'!C:I,7,FALSE),"")</f>
        <v/>
      </c>
      <c r="AA833" s="805" t="str">
        <f>IF(X833&lt;&gt;"",VLOOKUP(C833,'General price list'!C835:AN1808,MATCH("HM",Tabulka1[[#Headers],[KOD]:[NEQ]],0),FALSE),"")</f>
        <v/>
      </c>
    </row>
    <row r="834" spans="1:27">
      <c r="A834">
        <f>COUNTIF($W$22:W834,1)</f>
        <v>0</v>
      </c>
      <c r="B834">
        <v>834</v>
      </c>
      <c r="C834" s="340" t="str">
        <f>Tabulka1[[#This Row],[KOD]]</f>
        <v>C304MK</v>
      </c>
      <c r="W834" s="804" t="str">
        <f t="shared" si="27"/>
        <v/>
      </c>
      <c r="X834" t="str">
        <f t="shared" si="28"/>
        <v/>
      </c>
      <c r="Y834" s="341">
        <f>IF('General price list'!$AB836="",0,'General price list'!$AB836)</f>
        <v>0</v>
      </c>
      <c r="Z834" s="365" t="str">
        <f>IFERROR(X834*VLOOKUP(C834,'General price list'!C:I,7,FALSE),"")</f>
        <v/>
      </c>
      <c r="AA834" s="805" t="str">
        <f>IF(X834&lt;&gt;"",VLOOKUP(C834,'General price list'!C836:AN1809,MATCH("HM",Tabulka1[[#Headers],[KOD]:[NEQ]],0),FALSE),"")</f>
        <v/>
      </c>
    </row>
    <row r="835" spans="1:27">
      <c r="A835">
        <f>COUNTIF($W$22:W835,1)</f>
        <v>0</v>
      </c>
      <c r="B835">
        <v>835</v>
      </c>
      <c r="C835" s="340">
        <f>Tabulka1[[#This Row],[KOD]]</f>
        <v>0</v>
      </c>
      <c r="W835" s="804" t="str">
        <f t="shared" si="27"/>
        <v/>
      </c>
      <c r="X835" t="str">
        <f t="shared" si="28"/>
        <v/>
      </c>
      <c r="Y835" s="341">
        <f>IF('General price list'!$AB837="",0,'General price list'!$AB837)</f>
        <v>0</v>
      </c>
      <c r="Z835" s="365" t="str">
        <f>IFERROR(X835*VLOOKUP(C835,'General price list'!C:I,7,FALSE),"")</f>
        <v/>
      </c>
      <c r="AA835" s="805" t="str">
        <f>IF(X835&lt;&gt;"",VLOOKUP(C835,'General price list'!C837:AN1810,MATCH("HM",Tabulka1[[#Headers],[KOD]:[NEQ]],0),FALSE),"")</f>
        <v/>
      </c>
    </row>
    <row r="836" spans="1:27">
      <c r="A836">
        <f>COUNTIF($W$22:W836,1)</f>
        <v>0</v>
      </c>
      <c r="B836">
        <v>836</v>
      </c>
      <c r="C836" s="340" t="str">
        <f>Tabulka1[[#This Row],[KOD]]</f>
        <v>HF26001s</v>
      </c>
      <c r="W836" s="804" t="str">
        <f t="shared" si="27"/>
        <v/>
      </c>
      <c r="X836" t="str">
        <f t="shared" si="28"/>
        <v/>
      </c>
      <c r="Y836" s="341">
        <f>IF('General price list'!$AB838="",0,'General price list'!$AB838)</f>
        <v>0</v>
      </c>
      <c r="Z836" s="365" t="str">
        <f>IFERROR(X836*VLOOKUP(C836,'General price list'!C:I,7,FALSE),"")</f>
        <v/>
      </c>
      <c r="AA836" s="805" t="str">
        <f>IF(X836&lt;&gt;"",VLOOKUP(C836,'General price list'!C838:AN1811,MATCH("HM",Tabulka1[[#Headers],[KOD]:[NEQ]],0),FALSE),"")</f>
        <v/>
      </c>
    </row>
    <row r="837" spans="1:27">
      <c r="A837">
        <f>COUNTIF($W$22:W837,1)</f>
        <v>0</v>
      </c>
      <c r="B837">
        <v>837</v>
      </c>
      <c r="C837" s="340" t="str">
        <f>Tabulka1[[#This Row],[KOD]]</f>
        <v>HF26009s</v>
      </c>
      <c r="W837" s="804" t="str">
        <f t="shared" si="27"/>
        <v/>
      </c>
      <c r="X837" t="str">
        <f t="shared" si="28"/>
        <v/>
      </c>
      <c r="Y837" s="341">
        <f>IF('General price list'!$AB839="",0,'General price list'!$AB839)</f>
        <v>0</v>
      </c>
      <c r="Z837" s="365" t="str">
        <f>IFERROR(X837*VLOOKUP(C837,'General price list'!C:I,7,FALSE),"")</f>
        <v/>
      </c>
      <c r="AA837" s="805" t="str">
        <f>IF(X837&lt;&gt;"",VLOOKUP(C837,'General price list'!C839:AN1812,MATCH("HM",Tabulka1[[#Headers],[KOD]:[NEQ]],0),FALSE),"")</f>
        <v/>
      </c>
    </row>
    <row r="838" spans="1:27">
      <c r="A838">
        <f>COUNTIF($W$22:W838,1)</f>
        <v>0</v>
      </c>
      <c r="B838">
        <v>838</v>
      </c>
      <c r="C838" s="340" t="str">
        <f>Tabulka1[[#This Row],[KOD]]</f>
        <v>HF26012</v>
      </c>
      <c r="W838" s="804" t="str">
        <f t="shared" si="27"/>
        <v/>
      </c>
      <c r="X838" t="str">
        <f t="shared" si="28"/>
        <v/>
      </c>
      <c r="Y838" s="341">
        <f>IF('General price list'!$AB840="",0,'General price list'!$AB840)</f>
        <v>0</v>
      </c>
      <c r="Z838" s="365" t="str">
        <f>IFERROR(X838*VLOOKUP(C838,'General price list'!C:I,7,FALSE),"")</f>
        <v/>
      </c>
      <c r="AA838" s="805" t="str">
        <f>IF(X838&lt;&gt;"",VLOOKUP(C838,'General price list'!C840:AN1813,MATCH("HM",Tabulka1[[#Headers],[KOD]:[NEQ]],0),FALSE),"")</f>
        <v/>
      </c>
    </row>
    <row r="839" spans="1:27">
      <c r="A839">
        <f>COUNTIF($W$22:W839,1)</f>
        <v>0</v>
      </c>
      <c r="B839">
        <v>839</v>
      </c>
      <c r="C839" s="340" t="str">
        <f>Tabulka1[[#This Row],[KOD]]</f>
        <v>HF26015</v>
      </c>
      <c r="W839" s="804" t="str">
        <f t="shared" si="27"/>
        <v/>
      </c>
      <c r="X839" t="str">
        <f t="shared" si="28"/>
        <v/>
      </c>
      <c r="Y839" s="341">
        <f>IF('General price list'!$AB841="",0,'General price list'!$AB841)</f>
        <v>0</v>
      </c>
      <c r="Z839" s="365" t="str">
        <f>IFERROR(X839*VLOOKUP(C839,'General price list'!C:I,7,FALSE),"")</f>
        <v/>
      </c>
      <c r="AA839" s="805" t="str">
        <f>IF(X839&lt;&gt;"",VLOOKUP(C839,'General price list'!C841:AN1814,MATCH("HM",Tabulka1[[#Headers],[KOD]:[NEQ]],0),FALSE),"")</f>
        <v/>
      </c>
    </row>
    <row r="840" spans="1:27">
      <c r="A840">
        <f>COUNTIF($W$22:W840,1)</f>
        <v>0</v>
      </c>
      <c r="B840">
        <v>840</v>
      </c>
      <c r="C840" s="340" t="str">
        <f>Tabulka1[[#This Row],[KOD]]</f>
        <v>HF26016s</v>
      </c>
      <c r="W840" s="804" t="str">
        <f t="shared" si="27"/>
        <v/>
      </c>
      <c r="X840" t="str">
        <f t="shared" si="28"/>
        <v/>
      </c>
      <c r="Y840" s="341">
        <f>IF('General price list'!$AB842="",0,'General price list'!$AB842)</f>
        <v>0</v>
      </c>
      <c r="Z840" s="365" t="str">
        <f>IFERROR(X840*VLOOKUP(C840,'General price list'!C:I,7,FALSE),"")</f>
        <v/>
      </c>
      <c r="AA840" s="805" t="str">
        <f>IF(X840&lt;&gt;"",VLOOKUP(C840,'General price list'!C842:AN1815,MATCH("HM",Tabulka1[[#Headers],[KOD]:[NEQ]],0),FALSE),"")</f>
        <v/>
      </c>
    </row>
    <row r="841" spans="1:27">
      <c r="A841">
        <f>COUNTIF($W$22:W841,1)</f>
        <v>0</v>
      </c>
      <c r="B841">
        <v>841</v>
      </c>
      <c r="C841" s="340" t="str">
        <f>Tabulka1[[#This Row],[KOD]]</f>
        <v>HF2387S</v>
      </c>
      <c r="W841" s="804" t="str">
        <f t="shared" si="27"/>
        <v/>
      </c>
      <c r="X841" t="str">
        <f t="shared" si="28"/>
        <v/>
      </c>
      <c r="Y841" s="341">
        <f>IF('General price list'!$AB843="",0,'General price list'!$AB843)</f>
        <v>0</v>
      </c>
      <c r="Z841" s="365" t="str">
        <f>IFERROR(X841*VLOOKUP(C841,'General price list'!C:I,7,FALSE),"")</f>
        <v/>
      </c>
      <c r="AA841" s="805" t="str">
        <f>IF(X841&lt;&gt;"",VLOOKUP(C841,'General price list'!C843:AN1816,MATCH("HM",Tabulka1[[#Headers],[KOD]:[NEQ]],0),FALSE),"")</f>
        <v/>
      </c>
    </row>
    <row r="842" spans="1:27">
      <c r="A842">
        <f>COUNTIF($W$22:W842,1)</f>
        <v>0</v>
      </c>
      <c r="B842">
        <v>842</v>
      </c>
      <c r="C842" s="340" t="str">
        <f>Tabulka1[[#This Row],[KOD]]</f>
        <v>HF24090Qs</v>
      </c>
      <c r="W842" s="804" t="str">
        <f t="shared" si="27"/>
        <v/>
      </c>
      <c r="X842" t="str">
        <f t="shared" si="28"/>
        <v/>
      </c>
      <c r="Y842" s="341">
        <f>IF('General price list'!$AB844="",0,'General price list'!$AB844)</f>
        <v>0</v>
      </c>
      <c r="Z842" s="365" t="str">
        <f>IFERROR(X842*VLOOKUP(C842,'General price list'!C:I,7,FALSE),"")</f>
        <v/>
      </c>
      <c r="AA842" s="805" t="str">
        <f>IF(X842&lt;&gt;"",VLOOKUP(C842,'General price list'!C844:AN1817,MATCH("HM",Tabulka1[[#Headers],[KOD]:[NEQ]],0),FALSE),"")</f>
        <v/>
      </c>
    </row>
    <row r="843" spans="1:27">
      <c r="A843">
        <f>COUNTIF($W$22:W843,1)</f>
        <v>0</v>
      </c>
      <c r="B843">
        <v>843</v>
      </c>
      <c r="C843" s="340" t="str">
        <f>Tabulka1[[#This Row],[KOD]]</f>
        <v>HF2244</v>
      </c>
      <c r="W843" s="804" t="str">
        <f t="shared" si="27"/>
        <v/>
      </c>
      <c r="X843" t="str">
        <f t="shared" si="28"/>
        <v/>
      </c>
      <c r="Y843" s="341">
        <f>IF('General price list'!$AB845="",0,'General price list'!$AB845)</f>
        <v>0</v>
      </c>
      <c r="Z843" s="365" t="str">
        <f>IFERROR(X843*VLOOKUP(C843,'General price list'!C:I,7,FALSE),"")</f>
        <v/>
      </c>
      <c r="AA843" s="805" t="str">
        <f>IF(X843&lt;&gt;"",VLOOKUP(C843,'General price list'!C845:AN1818,MATCH("HM",Tabulka1[[#Headers],[KOD]:[NEQ]],0),FALSE),"")</f>
        <v/>
      </c>
    </row>
    <row r="844" spans="1:27">
      <c r="A844">
        <f>COUNTIF($W$22:W844,1)</f>
        <v>0</v>
      </c>
      <c r="B844">
        <v>844</v>
      </c>
      <c r="C844" s="340" t="str">
        <f>Tabulka1[[#This Row],[KOD]]</f>
        <v>HF2243</v>
      </c>
      <c r="W844" s="804" t="str">
        <f t="shared" si="27"/>
        <v/>
      </c>
      <c r="X844" t="str">
        <f t="shared" si="28"/>
        <v/>
      </c>
      <c r="Y844" s="341">
        <f>IF('General price list'!$AB846="",0,'General price list'!$AB846)</f>
        <v>0</v>
      </c>
      <c r="Z844" s="365" t="str">
        <f>IFERROR(X844*VLOOKUP(C844,'General price list'!C:I,7,FALSE),"")</f>
        <v/>
      </c>
      <c r="AA844" s="805" t="str">
        <f>IF(X844&lt;&gt;"",VLOOKUP(C844,'General price list'!C846:AN1819,MATCH("HM",Tabulka1[[#Headers],[KOD]:[NEQ]],0),FALSE),"")</f>
        <v/>
      </c>
    </row>
    <row r="845" spans="1:27">
      <c r="A845">
        <f>COUNTIF($W$22:W845,1)</f>
        <v>0</v>
      </c>
      <c r="B845">
        <v>845</v>
      </c>
      <c r="C845" s="340">
        <f>Tabulka1[[#This Row],[KOD]]</f>
        <v>0</v>
      </c>
      <c r="W845" s="804" t="str">
        <f t="shared" si="27"/>
        <v/>
      </c>
      <c r="X845" t="str">
        <f t="shared" si="28"/>
        <v/>
      </c>
      <c r="Y845" s="341">
        <f>IF('General price list'!$AB847="",0,'General price list'!$AB847)</f>
        <v>0</v>
      </c>
      <c r="Z845" s="365" t="str">
        <f>IFERROR(X845*VLOOKUP(C845,'General price list'!C:I,7,FALSE),"")</f>
        <v/>
      </c>
      <c r="AA845" s="805" t="str">
        <f>IF(X845&lt;&gt;"",VLOOKUP(C845,'General price list'!C847:AN1820,MATCH("HM",Tabulka1[[#Headers],[KOD]:[NEQ]],0),FALSE),"")</f>
        <v/>
      </c>
    </row>
    <row r="846" spans="1:27">
      <c r="A846">
        <f>COUNTIF($W$22:W846,1)</f>
        <v>0</v>
      </c>
      <c r="B846">
        <v>846</v>
      </c>
      <c r="C846" s="340" t="str">
        <f>Tabulka1[[#This Row],[KOD]]</f>
        <v>HF-45-2309s</v>
      </c>
      <c r="W846" s="804" t="str">
        <f t="shared" si="27"/>
        <v/>
      </c>
      <c r="X846" t="str">
        <f t="shared" si="28"/>
        <v/>
      </c>
      <c r="Y846" s="341">
        <f>IF('General price list'!$AB848="",0,'General price list'!$AB848)</f>
        <v>0</v>
      </c>
      <c r="Z846" s="365" t="str">
        <f>IFERROR(X846*VLOOKUP(C846,'General price list'!C:I,7,FALSE),"")</f>
        <v/>
      </c>
      <c r="AA846" s="805" t="str">
        <f>IF(X846&lt;&gt;"",VLOOKUP(C846,'General price list'!C848:AN1821,MATCH("HM",Tabulka1[[#Headers],[KOD]:[NEQ]],0),FALSE),"")</f>
        <v/>
      </c>
    </row>
    <row r="847" spans="1:27">
      <c r="A847">
        <f>COUNTIF($W$22:W847,1)</f>
        <v>0</v>
      </c>
      <c r="B847">
        <v>847</v>
      </c>
      <c r="C847" s="340" t="str">
        <f>Tabulka1[[#This Row],[KOD]]</f>
        <v>HF-51-2227s</v>
      </c>
      <c r="W847" s="804" t="str">
        <f t="shared" si="27"/>
        <v/>
      </c>
      <c r="X847" t="str">
        <f t="shared" si="28"/>
        <v/>
      </c>
      <c r="Y847" s="341">
        <f>IF('General price list'!$AB849="",0,'General price list'!$AB849)</f>
        <v>0</v>
      </c>
      <c r="Z847" s="365" t="str">
        <f>IFERROR(X847*VLOOKUP(C847,'General price list'!C:I,7,FALSE),"")</f>
        <v/>
      </c>
      <c r="AA847" s="805" t="str">
        <f>IF(X847&lt;&gt;"",VLOOKUP(C847,'General price list'!C849:AN1822,MATCH("HM",Tabulka1[[#Headers],[KOD]:[NEQ]],0),FALSE),"")</f>
        <v/>
      </c>
    </row>
    <row r="848" spans="1:27">
      <c r="A848">
        <f>COUNTIF($W$22:W848,1)</f>
        <v>0</v>
      </c>
      <c r="B848">
        <v>848</v>
      </c>
      <c r="C848" s="340" t="str">
        <f>Tabulka1[[#This Row],[KOD]]</f>
        <v>RK-66-2502</v>
      </c>
      <c r="W848" s="804" t="str">
        <f t="shared" si="27"/>
        <v/>
      </c>
      <c r="X848" t="str">
        <f t="shared" si="28"/>
        <v/>
      </c>
      <c r="Y848" s="341">
        <f>IF('General price list'!$AB850="",0,'General price list'!$AB850)</f>
        <v>0</v>
      </c>
      <c r="Z848" s="365" t="str">
        <f>IFERROR(X848*VLOOKUP(C848,'General price list'!C:I,7,FALSE),"")</f>
        <v/>
      </c>
      <c r="AA848" s="805" t="str">
        <f>IF(X848&lt;&gt;"",VLOOKUP(C848,'General price list'!C850:AN1823,MATCH("HM",Tabulka1[[#Headers],[KOD]:[NEQ]],0),FALSE),"")</f>
        <v/>
      </c>
    </row>
    <row r="849" spans="1:27">
      <c r="A849">
        <f>COUNTIF($W$22:W849,1)</f>
        <v>0</v>
      </c>
      <c r="B849">
        <v>849</v>
      </c>
      <c r="C849" s="340" t="str">
        <f>Tabulka1[[#This Row],[KOD]]</f>
        <v>HF-75-2310s</v>
      </c>
      <c r="W849" s="804" t="str">
        <f t="shared" si="27"/>
        <v/>
      </c>
      <c r="X849" t="str">
        <f t="shared" si="28"/>
        <v/>
      </c>
      <c r="Y849" s="341">
        <f>IF('General price list'!$AB851="",0,'General price list'!$AB851)</f>
        <v>0</v>
      </c>
      <c r="Z849" s="365" t="str">
        <f>IFERROR(X849*VLOOKUP(C849,'General price list'!C:I,7,FALSE),"")</f>
        <v/>
      </c>
      <c r="AA849" s="805" t="str">
        <f>IF(X849&lt;&gt;"",VLOOKUP(C849,'General price list'!C851:AN1824,MATCH("HM",Tabulka1[[#Headers],[KOD]:[NEQ]],0),FALSE),"")</f>
        <v/>
      </c>
    </row>
    <row r="850" spans="1:27">
      <c r="A850">
        <f>COUNTIF($W$22:W850,1)</f>
        <v>0</v>
      </c>
      <c r="B850">
        <v>850</v>
      </c>
      <c r="C850" s="340" t="str">
        <f>Tabulka1[[#This Row],[KOD]]</f>
        <v>HF-108-2603s</v>
      </c>
      <c r="W850" s="804" t="str">
        <f t="shared" si="27"/>
        <v/>
      </c>
      <c r="X850" t="str">
        <f t="shared" si="28"/>
        <v/>
      </c>
      <c r="Y850" s="341">
        <f>IF('General price list'!$AB852="",0,'General price list'!$AB852)</f>
        <v>0</v>
      </c>
      <c r="Z850" s="365" t="str">
        <f>IFERROR(X850*VLOOKUP(C850,'General price list'!C:I,7,FALSE),"")</f>
        <v/>
      </c>
      <c r="AA850" s="805" t="str">
        <f>IF(X850&lt;&gt;"",VLOOKUP(C850,'General price list'!C852:AN1825,MATCH("HM",Tabulka1[[#Headers],[KOD]:[NEQ]],0),FALSE),"")</f>
        <v/>
      </c>
    </row>
    <row r="851" spans="1:27">
      <c r="A851">
        <f>COUNTIF($W$22:W851,1)</f>
        <v>0</v>
      </c>
      <c r="B851">
        <v>851</v>
      </c>
      <c r="C851" s="340" t="str">
        <f>Tabulka1[[#This Row],[KOD]]</f>
        <v>HF-144-2605</v>
      </c>
      <c r="W851" s="804" t="str">
        <f t="shared" si="27"/>
        <v/>
      </c>
      <c r="X851" t="str">
        <f t="shared" si="28"/>
        <v/>
      </c>
      <c r="Y851" s="341">
        <f>IF('General price list'!$AB853="",0,'General price list'!$AB853)</f>
        <v>0</v>
      </c>
      <c r="Z851" s="365" t="str">
        <f>IFERROR(X851*VLOOKUP(C851,'General price list'!C:I,7,FALSE),"")</f>
        <v/>
      </c>
      <c r="AA851" s="805" t="str">
        <f>IF(X851&lt;&gt;"",VLOOKUP(C851,'General price list'!C853:AN1826,MATCH("HM",Tabulka1[[#Headers],[KOD]:[NEQ]],0),FALSE),"")</f>
        <v/>
      </c>
    </row>
    <row r="852" spans="1:27">
      <c r="A852">
        <f>COUNTIF($W$22:W852,1)</f>
        <v>0</v>
      </c>
      <c r="B852">
        <v>852</v>
      </c>
      <c r="C852" s="340" t="str">
        <f>Tabulka1[[#This Row],[KOD]]</f>
        <v>HF-75-2608s</v>
      </c>
      <c r="W852" s="804" t="str">
        <f t="shared" si="27"/>
        <v/>
      </c>
      <c r="X852" t="str">
        <f t="shared" si="28"/>
        <v/>
      </c>
      <c r="Y852" s="341">
        <f>IF('General price list'!$AB854="",0,'General price list'!$AB854)</f>
        <v>0</v>
      </c>
      <c r="Z852" s="365" t="str">
        <f>IFERROR(X852*VLOOKUP(C852,'General price list'!C:I,7,FALSE),"")</f>
        <v/>
      </c>
      <c r="AA852" s="805" t="str">
        <f>IF(X852&lt;&gt;"",VLOOKUP(C852,'General price list'!C854:AN1827,MATCH("HM",Tabulka1[[#Headers],[KOD]:[NEQ]],0),FALSE),"")</f>
        <v/>
      </c>
    </row>
    <row r="853" spans="1:27">
      <c r="A853">
        <f>COUNTIF($W$22:W853,1)</f>
        <v>0</v>
      </c>
      <c r="B853">
        <v>853</v>
      </c>
      <c r="C853" s="340" t="str">
        <f>Tabulka1[[#This Row],[KOD]]</f>
        <v>RK-98-2555</v>
      </c>
      <c r="W853" s="804" t="str">
        <f t="shared" si="27"/>
        <v/>
      </c>
      <c r="X853" t="str">
        <f t="shared" si="28"/>
        <v/>
      </c>
      <c r="Y853" s="341">
        <f>IF('General price list'!$AB855="",0,'General price list'!$AB855)</f>
        <v>0</v>
      </c>
      <c r="Z853" s="365" t="str">
        <f>IFERROR(X853*VLOOKUP(C853,'General price list'!C:I,7,FALSE),"")</f>
        <v/>
      </c>
      <c r="AA853" s="805" t="str">
        <f>IF(X853&lt;&gt;"",VLOOKUP(C853,'General price list'!C855:AN1828,MATCH("HM",Tabulka1[[#Headers],[KOD]:[NEQ]],0),FALSE),"")</f>
        <v/>
      </c>
    </row>
    <row r="854" spans="1:27">
      <c r="A854">
        <f>COUNTIF($W$22:W854,1)</f>
        <v>0</v>
      </c>
      <c r="B854">
        <v>854</v>
      </c>
      <c r="C854" s="340" t="str">
        <f>Tabulka1[[#This Row],[KOD]]</f>
        <v>HF-96-2362s</v>
      </c>
      <c r="W854" s="804" t="str">
        <f t="shared" si="27"/>
        <v/>
      </c>
      <c r="X854" t="str">
        <f t="shared" si="28"/>
        <v/>
      </c>
      <c r="Y854" s="341">
        <f>IF('General price list'!$AB856="",0,'General price list'!$AB856)</f>
        <v>0</v>
      </c>
      <c r="Z854" s="365" t="str">
        <f>IFERROR(X854*VLOOKUP(C854,'General price list'!C:I,7,FALSE),"")</f>
        <v/>
      </c>
      <c r="AA854" s="805" t="str">
        <f>IF(X854&lt;&gt;"",VLOOKUP(C854,'General price list'!C856:AN1829,MATCH("HM",Tabulka1[[#Headers],[KOD]:[NEQ]],0),FALSE),"")</f>
        <v/>
      </c>
    </row>
    <row r="855" spans="1:27">
      <c r="A855">
        <f>COUNTIF($W$22:W855,1)</f>
        <v>0</v>
      </c>
      <c r="B855">
        <v>855</v>
      </c>
      <c r="C855" s="340" t="str">
        <f>Tabulka1[[#This Row],[KOD]]</f>
        <v>HF-102-2214</v>
      </c>
      <c r="W855" s="804" t="str">
        <f t="shared" si="27"/>
        <v/>
      </c>
      <c r="X855" t="str">
        <f t="shared" si="28"/>
        <v/>
      </c>
      <c r="Y855" s="341">
        <f>IF('General price list'!$AB857="",0,'General price list'!$AB857)</f>
        <v>0</v>
      </c>
      <c r="Z855" s="365" t="str">
        <f>IFERROR(X855*VLOOKUP(C855,'General price list'!C:I,7,FALSE),"")</f>
        <v/>
      </c>
      <c r="AA855" s="805" t="str">
        <f>IF(X855&lt;&gt;"",VLOOKUP(C855,'General price list'!C857:AN1830,MATCH("HM",Tabulka1[[#Headers],[KOD]:[NEQ]],0),FALSE),"")</f>
        <v/>
      </c>
    </row>
    <row r="856" spans="1:27">
      <c r="A856">
        <f>COUNTIF($W$22:W856,1)</f>
        <v>0</v>
      </c>
      <c r="B856">
        <v>856</v>
      </c>
      <c r="C856" s="340" t="str">
        <f>Tabulka1[[#This Row],[KOD]]</f>
        <v>HF-101-2216</v>
      </c>
      <c r="W856" s="804" t="str">
        <f t="shared" si="27"/>
        <v/>
      </c>
      <c r="X856" t="str">
        <f t="shared" si="28"/>
        <v/>
      </c>
      <c r="Y856" s="341">
        <f>IF('General price list'!$AB858="",0,'General price list'!$AB858)</f>
        <v>0</v>
      </c>
      <c r="Z856" s="365" t="str">
        <f>IFERROR(X856*VLOOKUP(C856,'General price list'!C:I,7,FALSE),"")</f>
        <v/>
      </c>
      <c r="AA856" s="805" t="str">
        <f>IF(X856&lt;&gt;"",VLOOKUP(C856,'General price list'!C858:AN1831,MATCH("HM",Tabulka1[[#Headers],[KOD]:[NEQ]],0),FALSE),"")</f>
        <v/>
      </c>
    </row>
    <row r="857" spans="1:27">
      <c r="A857">
        <f>COUNTIF($W$22:W857,1)</f>
        <v>0</v>
      </c>
      <c r="B857">
        <v>857</v>
      </c>
      <c r="C857" s="340" t="str">
        <f>Tabulka1[[#This Row],[KOD]]</f>
        <v>HF-108-2315</v>
      </c>
      <c r="W857" s="804" t="str">
        <f t="shared" ref="W857:W920" si="29">IF(Y857+1=1,"",1)</f>
        <v/>
      </c>
      <c r="X857" t="str">
        <f t="shared" ref="X857:X920" si="30">IF(OR(A857&lt;$G$20,A857&gt;$G$21),"",IF(Y857=0,"",Y857))</f>
        <v/>
      </c>
      <c r="Y857" s="341">
        <f>IF('General price list'!$AB859="",0,'General price list'!$AB859)</f>
        <v>0</v>
      </c>
      <c r="Z857" s="365" t="str">
        <f>IFERROR(X857*VLOOKUP(C857,'General price list'!C:I,7,FALSE),"")</f>
        <v/>
      </c>
      <c r="AA857" s="805" t="str">
        <f>IF(X857&lt;&gt;"",VLOOKUP(C857,'General price list'!C859:AN1832,MATCH("HM",Tabulka1[[#Headers],[KOD]:[NEQ]],0),FALSE),"")</f>
        <v/>
      </c>
    </row>
    <row r="858" spans="1:27">
      <c r="A858">
        <f>COUNTIF($W$22:W858,1)</f>
        <v>0</v>
      </c>
      <c r="B858">
        <v>858</v>
      </c>
      <c r="C858" s="340" t="str">
        <f>Tabulka1[[#This Row],[KOD]]</f>
        <v>HF-83-2207P</v>
      </c>
      <c r="W858" s="804" t="str">
        <f t="shared" si="29"/>
        <v/>
      </c>
      <c r="X858" t="str">
        <f t="shared" si="30"/>
        <v/>
      </c>
      <c r="Y858" s="341">
        <f>IF('General price list'!$AB860="",0,'General price list'!$AB860)</f>
        <v>0</v>
      </c>
      <c r="Z858" s="365" t="str">
        <f>IFERROR(X858*VLOOKUP(C858,'General price list'!C:I,7,FALSE),"")</f>
        <v/>
      </c>
      <c r="AA858" s="805" t="str">
        <f>IF(X858&lt;&gt;"",VLOOKUP(C858,'General price list'!C860:AN1833,MATCH("HM",Tabulka1[[#Headers],[KOD]:[NEQ]],0),FALSE),"")</f>
        <v/>
      </c>
    </row>
    <row r="859" spans="1:27">
      <c r="A859">
        <f>COUNTIF($W$22:W859,1)</f>
        <v>0</v>
      </c>
      <c r="B859">
        <v>859</v>
      </c>
      <c r="C859" s="340" t="str">
        <f>Tabulka1[[#This Row],[KOD]]</f>
        <v>HF-98-2212</v>
      </c>
      <c r="W859" s="804" t="str">
        <f t="shared" si="29"/>
        <v/>
      </c>
      <c r="X859" t="str">
        <f t="shared" si="30"/>
        <v/>
      </c>
      <c r="Y859" s="341">
        <f>IF('General price list'!$AB861="",0,'General price list'!$AB861)</f>
        <v>0</v>
      </c>
      <c r="Z859" s="365" t="str">
        <f>IFERROR(X859*VLOOKUP(C859,'General price list'!C:I,7,FALSE),"")</f>
        <v/>
      </c>
      <c r="AA859" s="805" t="str">
        <f>IF(X859&lt;&gt;"",VLOOKUP(C859,'General price list'!C861:AN1834,MATCH("HM",Tabulka1[[#Headers],[KOD]:[NEQ]],0),FALSE),"")</f>
        <v/>
      </c>
    </row>
    <row r="860" spans="1:27">
      <c r="A860">
        <f>COUNTIF($W$22:W860,1)</f>
        <v>0</v>
      </c>
      <c r="B860">
        <v>860</v>
      </c>
      <c r="C860" s="340" t="str">
        <f>Tabulka1[[#This Row],[KOD]]</f>
        <v>HF-127-2411s</v>
      </c>
      <c r="W860" s="804" t="str">
        <f t="shared" si="29"/>
        <v/>
      </c>
      <c r="X860" t="str">
        <f t="shared" si="30"/>
        <v/>
      </c>
      <c r="Y860" s="341">
        <f>IF('General price list'!$AB862="",0,'General price list'!$AB862)</f>
        <v>0</v>
      </c>
      <c r="Z860" s="365" t="str">
        <f>IFERROR(X860*VLOOKUP(C860,'General price list'!C:I,7,FALSE),"")</f>
        <v/>
      </c>
      <c r="AA860" s="805" t="str">
        <f>IF(X860&lt;&gt;"",VLOOKUP(C860,'General price list'!C862:AN1835,MATCH("HM",Tabulka1[[#Headers],[KOD]:[NEQ]],0),FALSE),"")</f>
        <v/>
      </c>
    </row>
    <row r="861" spans="1:27">
      <c r="A861">
        <f>COUNTIF($W$22:W861,1)</f>
        <v>0</v>
      </c>
      <c r="B861">
        <v>861</v>
      </c>
      <c r="C861" s="340" t="str">
        <f>Tabulka1[[#This Row],[KOD]]</f>
        <v>HF-142-2211</v>
      </c>
      <c r="W861" s="804" t="str">
        <f t="shared" si="29"/>
        <v/>
      </c>
      <c r="X861" t="str">
        <f t="shared" si="30"/>
        <v/>
      </c>
      <c r="Y861" s="341">
        <f>IF('General price list'!$AB863="",0,'General price list'!$AB863)</f>
        <v>0</v>
      </c>
      <c r="Z861" s="365" t="str">
        <f>IFERROR(X861*VLOOKUP(C861,'General price list'!C:I,7,FALSE),"")</f>
        <v/>
      </c>
      <c r="AA861" s="805" t="str">
        <f>IF(X861&lt;&gt;"",VLOOKUP(C861,'General price list'!C863:AN1836,MATCH("HM",Tabulka1[[#Headers],[KOD]:[NEQ]],0),FALSE),"")</f>
        <v/>
      </c>
    </row>
    <row r="862" spans="1:27">
      <c r="A862">
        <f>COUNTIF($W$22:W862,1)</f>
        <v>0</v>
      </c>
      <c r="B862">
        <v>862</v>
      </c>
      <c r="C862" s="340" t="str">
        <f>Tabulka1[[#This Row],[KOD]]</f>
        <v>HF-148-2217</v>
      </c>
      <c r="W862" s="804" t="str">
        <f t="shared" si="29"/>
        <v/>
      </c>
      <c r="X862" t="str">
        <f t="shared" si="30"/>
        <v/>
      </c>
      <c r="Y862" s="341">
        <f>IF('General price list'!$AB864="",0,'General price list'!$AB864)</f>
        <v>0</v>
      </c>
      <c r="Z862" s="365" t="str">
        <f>IFERROR(X862*VLOOKUP(C862,'General price list'!C:I,7,FALSE),"")</f>
        <v/>
      </c>
      <c r="AA862" s="805" t="str">
        <f>IF(X862&lt;&gt;"",VLOOKUP(C862,'General price list'!C864:AN1837,MATCH("HM",Tabulka1[[#Headers],[KOD]:[NEQ]],0),FALSE),"")</f>
        <v/>
      </c>
    </row>
    <row r="863" spans="1:27">
      <c r="A863">
        <f>COUNTIF($W$22:W863,1)</f>
        <v>0</v>
      </c>
      <c r="B863">
        <v>863</v>
      </c>
      <c r="C863" s="340" t="str">
        <f>Tabulka1[[#This Row],[KOD]]</f>
        <v>RKD-24018</v>
      </c>
      <c r="W863" s="804" t="str">
        <f t="shared" si="29"/>
        <v/>
      </c>
      <c r="X863" t="str">
        <f t="shared" si="30"/>
        <v/>
      </c>
      <c r="Y863" s="341">
        <f>IF('General price list'!$AB865="",0,'General price list'!$AB865)</f>
        <v>0</v>
      </c>
      <c r="Z863" s="365" t="str">
        <f>IFERROR(X863*VLOOKUP(C863,'General price list'!C:I,7,FALSE),"")</f>
        <v/>
      </c>
      <c r="AA863" s="805" t="str">
        <f>IF(X863&lt;&gt;"",VLOOKUP(C863,'General price list'!C865:AN1838,MATCH("HM",Tabulka1[[#Headers],[KOD]:[NEQ]],0),FALSE),"")</f>
        <v/>
      </c>
    </row>
    <row r="864" spans="1:27">
      <c r="A864">
        <f>COUNTIF($W$22:W864,1)</f>
        <v>0</v>
      </c>
      <c r="B864">
        <v>864</v>
      </c>
      <c r="C864" s="340" t="str">
        <f>Tabulka1[[#This Row],[KOD]]</f>
        <v>RKD-24019</v>
      </c>
      <c r="W864" s="804" t="str">
        <f t="shared" si="29"/>
        <v/>
      </c>
      <c r="X864" t="str">
        <f t="shared" si="30"/>
        <v/>
      </c>
      <c r="Y864" s="341">
        <f>IF('General price list'!$AB866="",0,'General price list'!$AB866)</f>
        <v>0</v>
      </c>
      <c r="Z864" s="365" t="str">
        <f>IFERROR(X864*VLOOKUP(C864,'General price list'!C:I,7,FALSE),"")</f>
        <v/>
      </c>
      <c r="AA864" s="805" t="str">
        <f>IF(X864&lt;&gt;"",VLOOKUP(C864,'General price list'!C866:AN1839,MATCH("HM",Tabulka1[[#Headers],[KOD]:[NEQ]],0),FALSE),"")</f>
        <v/>
      </c>
    </row>
    <row r="865" spans="1:27">
      <c r="A865">
        <f>COUNTIF($W$22:W865,1)</f>
        <v>0</v>
      </c>
      <c r="B865">
        <v>865</v>
      </c>
      <c r="C865" s="340">
        <f>Tabulka1[[#This Row],[KOD]]</f>
        <v>0</v>
      </c>
      <c r="W865" s="804" t="str">
        <f t="shared" si="29"/>
        <v/>
      </c>
      <c r="X865" t="str">
        <f t="shared" si="30"/>
        <v/>
      </c>
      <c r="Y865" s="341">
        <f>IF('General price list'!$AB867="",0,'General price list'!$AB867)</f>
        <v>0</v>
      </c>
      <c r="Z865" s="365" t="str">
        <f>IFERROR(X865*VLOOKUP(C865,'General price list'!C:I,7,FALSE),"")</f>
        <v/>
      </c>
      <c r="AA865" s="805" t="str">
        <f>IF(X865&lt;&gt;"",VLOOKUP(C865,'General price list'!C867:AN1840,MATCH("HM",Tabulka1[[#Headers],[KOD]:[NEQ]],0),FALSE),"")</f>
        <v/>
      </c>
    </row>
    <row r="866" spans="1:27">
      <c r="A866">
        <f>COUNTIF($W$22:W866,1)</f>
        <v>0</v>
      </c>
      <c r="B866">
        <v>866</v>
      </c>
      <c r="C866" s="340" t="str">
        <f>Tabulka1[[#This Row],[KOD]]</f>
        <v>HF-90-2402-HF-90-2403</v>
      </c>
      <c r="W866" s="804" t="str">
        <f t="shared" si="29"/>
        <v/>
      </c>
      <c r="X866" t="str">
        <f t="shared" si="30"/>
        <v/>
      </c>
      <c r="Y866" s="341">
        <f>IF('General price list'!$AB868="",0,'General price list'!$AB868)</f>
        <v>0</v>
      </c>
      <c r="Z866" s="365" t="str">
        <f>IFERROR(X866*VLOOKUP(C866,'General price list'!C:I,7,FALSE),"")</f>
        <v/>
      </c>
      <c r="AA866" s="805" t="str">
        <f>IF(X866&lt;&gt;"",VLOOKUP(C866,'General price list'!C868:AN1841,MATCH("HM",Tabulka1[[#Headers],[KOD]:[NEQ]],0),FALSE),"")</f>
        <v/>
      </c>
    </row>
    <row r="867" spans="1:27">
      <c r="A867">
        <f>COUNTIF($W$22:W867,1)</f>
        <v>0</v>
      </c>
      <c r="B867">
        <v>867</v>
      </c>
      <c r="C867" s="340" t="str">
        <f>Tabulka1[[#This Row],[KOD]]</f>
        <v>HF-129-2223A-HF-114-2224</v>
      </c>
      <c r="W867" s="804" t="str">
        <f t="shared" si="29"/>
        <v/>
      </c>
      <c r="X867" t="str">
        <f t="shared" si="30"/>
        <v/>
      </c>
      <c r="Y867" s="341">
        <f>IF('General price list'!$AB869="",0,'General price list'!$AB869)</f>
        <v>0</v>
      </c>
      <c r="Z867" s="365" t="str">
        <f>IFERROR(X867*VLOOKUP(C867,'General price list'!C:I,7,FALSE),"")</f>
        <v/>
      </c>
      <c r="AA867" s="805" t="str">
        <f>IF(X867&lt;&gt;"",VLOOKUP(C867,'General price list'!C869:AN1842,MATCH("HM",Tabulka1[[#Headers],[KOD]:[NEQ]],0),FALSE),"")</f>
        <v/>
      </c>
    </row>
    <row r="868" spans="1:27">
      <c r="A868">
        <f>COUNTIF($W$22:W868,1)</f>
        <v>0</v>
      </c>
      <c r="B868">
        <v>868</v>
      </c>
      <c r="C868" s="340" t="str">
        <f>Tabulka1[[#This Row],[KOD]]</f>
        <v>HF-90-2218-HF-90-2219</v>
      </c>
      <c r="W868" s="804" t="str">
        <f t="shared" si="29"/>
        <v/>
      </c>
      <c r="X868" t="str">
        <f t="shared" si="30"/>
        <v/>
      </c>
      <c r="Y868" s="341">
        <f>IF('General price list'!$AB870="",0,'General price list'!$AB870)</f>
        <v>0</v>
      </c>
      <c r="Z868" s="365" t="str">
        <f>IFERROR(X868*VLOOKUP(C868,'General price list'!C:I,7,FALSE),"")</f>
        <v/>
      </c>
      <c r="AA868" s="805" t="str">
        <f>IF(X868&lt;&gt;"",VLOOKUP(C868,'General price list'!C870:AN1843,MATCH("HM",Tabulka1[[#Headers],[KOD]:[NEQ]],0),FALSE),"")</f>
        <v/>
      </c>
    </row>
    <row r="869" spans="1:27">
      <c r="A869">
        <f>COUNTIF($W$22:W869,1)</f>
        <v>0</v>
      </c>
      <c r="B869">
        <v>869</v>
      </c>
      <c r="C869" s="340" t="str">
        <f>Tabulka1[[#This Row],[KOD]]</f>
        <v>HF-78-2423-HF-78-2424</v>
      </c>
      <c r="W869" s="804" t="str">
        <f t="shared" si="29"/>
        <v/>
      </c>
      <c r="X869" t="str">
        <f t="shared" si="30"/>
        <v/>
      </c>
      <c r="Y869" s="341">
        <f>IF('General price list'!$AB871="",0,'General price list'!$AB871)</f>
        <v>0</v>
      </c>
      <c r="Z869" s="365" t="str">
        <f>IFERROR(X869*VLOOKUP(C869,'General price list'!C:I,7,FALSE),"")</f>
        <v/>
      </c>
      <c r="AA869" s="805" t="str">
        <f>IF(X869&lt;&gt;"",VLOOKUP(C869,'General price list'!C871:AN1844,MATCH("HM",Tabulka1[[#Headers],[KOD]:[NEQ]],0),FALSE),"")</f>
        <v/>
      </c>
    </row>
    <row r="870" spans="1:27">
      <c r="A870">
        <f>COUNTIF($W$22:W870,1)</f>
        <v>0</v>
      </c>
      <c r="B870">
        <v>870</v>
      </c>
      <c r="C870" s="340" t="str">
        <f>Tabulka1[[#This Row],[KOD]]</f>
        <v>HF-80-2366s  HF-80-2367s</v>
      </c>
      <c r="W870" s="804" t="str">
        <f t="shared" si="29"/>
        <v/>
      </c>
      <c r="X870" t="str">
        <f t="shared" si="30"/>
        <v/>
      </c>
      <c r="Y870" s="341">
        <f>IF('General price list'!$AB872="",0,'General price list'!$AB872)</f>
        <v>0</v>
      </c>
      <c r="Z870" s="365" t="str">
        <f>IFERROR(X870*VLOOKUP(C870,'General price list'!C:I,7,FALSE),"")</f>
        <v/>
      </c>
      <c r="AA870" s="805" t="str">
        <f>IF(X870&lt;&gt;"",VLOOKUP(C870,'General price list'!C872:AN1845,MATCH("HM",Tabulka1[[#Headers],[KOD]:[NEQ]],0),FALSE),"")</f>
        <v/>
      </c>
    </row>
    <row r="871" spans="1:27">
      <c r="A871">
        <f>COUNTIF($W$22:W871,1)</f>
        <v>0</v>
      </c>
      <c r="B871">
        <v>871</v>
      </c>
      <c r="C871" s="340" t="str">
        <f>Tabulka1[[#This Row],[KOD]]</f>
        <v>RK-92-2565 RK-96-2566</v>
      </c>
      <c r="W871" s="804" t="str">
        <f t="shared" si="29"/>
        <v/>
      </c>
      <c r="X871" t="str">
        <f t="shared" si="30"/>
        <v/>
      </c>
      <c r="Y871" s="341">
        <f>IF('General price list'!$AB873="",0,'General price list'!$AB873)</f>
        <v>0</v>
      </c>
      <c r="Z871" s="365" t="str">
        <f>IFERROR(X871*VLOOKUP(C871,'General price list'!C:I,7,FALSE),"")</f>
        <v/>
      </c>
      <c r="AA871" s="805" t="str">
        <f>IF(X871&lt;&gt;"",VLOOKUP(C871,'General price list'!C873:AN1846,MATCH("HM",Tabulka1[[#Headers],[KOD]:[NEQ]],0),FALSE),"")</f>
        <v/>
      </c>
    </row>
    <row r="872" spans="1:27">
      <c r="A872">
        <f>COUNTIF($W$22:W872,1)</f>
        <v>0</v>
      </c>
      <c r="B872">
        <v>872</v>
      </c>
      <c r="C872" s="340" t="str">
        <f>Tabulka1[[#This Row],[KOD]]</f>
        <v>HF-96-2418-HF-96-2419</v>
      </c>
      <c r="W872" s="804" t="str">
        <f t="shared" si="29"/>
        <v/>
      </c>
      <c r="X872" t="str">
        <f t="shared" si="30"/>
        <v/>
      </c>
      <c r="Y872" s="341">
        <f>IF('General price list'!$AB874="",0,'General price list'!$AB874)</f>
        <v>0</v>
      </c>
      <c r="Z872" s="365" t="str">
        <f>IFERROR(X872*VLOOKUP(C872,'General price list'!C:I,7,FALSE),"")</f>
        <v/>
      </c>
      <c r="AA872" s="805" t="str">
        <f>IF(X872&lt;&gt;"",VLOOKUP(C872,'General price list'!C874:AN1847,MATCH("HM",Tabulka1[[#Headers],[KOD]:[NEQ]],0),FALSE),"")</f>
        <v/>
      </c>
    </row>
    <row r="873" spans="1:27">
      <c r="A873">
        <f>COUNTIF($W$22:W873,1)</f>
        <v>0</v>
      </c>
      <c r="B873">
        <v>873</v>
      </c>
      <c r="C873" s="340" t="str">
        <f>Tabulka1[[#This Row],[KOD]]</f>
        <v>HF-88-2487-HF-116-2488</v>
      </c>
      <c r="W873" s="804" t="str">
        <f t="shared" si="29"/>
        <v/>
      </c>
      <c r="X873" t="str">
        <f t="shared" si="30"/>
        <v/>
      </c>
      <c r="Y873" s="341">
        <f>IF('General price list'!$AB875="",0,'General price list'!$AB875)</f>
        <v>0</v>
      </c>
      <c r="Z873" s="365" t="str">
        <f>IFERROR(X873*VLOOKUP(C873,'General price list'!C:I,7,FALSE),"")</f>
        <v/>
      </c>
      <c r="AA873" s="805" t="str">
        <f>IF(X873&lt;&gt;"",VLOOKUP(C873,'General price list'!C875:AN1848,MATCH("HM",Tabulka1[[#Headers],[KOD]:[NEQ]],0),FALSE),"")</f>
        <v/>
      </c>
    </row>
    <row r="874" spans="1:27">
      <c r="A874">
        <f>COUNTIF($W$22:W874,1)</f>
        <v>0</v>
      </c>
      <c r="B874">
        <v>874</v>
      </c>
      <c r="C874" s="340" t="str">
        <f>Tabulka1[[#This Row],[KOD]]</f>
        <v>HF-98-24103-HF-96-24104-HF-98-24105-HF-100-24106</v>
      </c>
      <c r="W874" s="804" t="str">
        <f t="shared" si="29"/>
        <v/>
      </c>
      <c r="X874" t="str">
        <f t="shared" si="30"/>
        <v/>
      </c>
      <c r="Y874" s="341">
        <f>IF('General price list'!$AB876="",0,'General price list'!$AB876)</f>
        <v>0</v>
      </c>
      <c r="Z874" s="365" t="str">
        <f>IFERROR(X874*VLOOKUP(C874,'General price list'!C:I,7,FALSE),"")</f>
        <v/>
      </c>
      <c r="AA874" s="805" t="str">
        <f>IF(X874&lt;&gt;"",VLOOKUP(C874,'General price list'!C876:AN1849,MATCH("HM",Tabulka1[[#Headers],[KOD]:[NEQ]],0),FALSE),"")</f>
        <v/>
      </c>
    </row>
    <row r="875" spans="1:27">
      <c r="A875">
        <f>COUNTIF($W$22:W875,1)</f>
        <v>0</v>
      </c>
      <c r="B875">
        <v>875</v>
      </c>
      <c r="C875" s="340">
        <f>Tabulka1[[#This Row],[KOD]]</f>
        <v>0</v>
      </c>
      <c r="W875" s="804" t="str">
        <f t="shared" si="29"/>
        <v/>
      </c>
      <c r="X875" t="str">
        <f t="shared" si="30"/>
        <v/>
      </c>
      <c r="Y875" s="341">
        <f>IF('General price list'!$AB877="",0,'General price list'!$AB877)</f>
        <v>0</v>
      </c>
      <c r="Z875" s="365" t="str">
        <f>IFERROR(X875*VLOOKUP(C875,'General price list'!C:I,7,FALSE),"")</f>
        <v/>
      </c>
      <c r="AA875" s="805" t="str">
        <f>IF(X875&lt;&gt;"",VLOOKUP(C875,'General price list'!C877:AN1850,MATCH("HM",Tabulka1[[#Headers],[KOD]:[NEQ]],0),FALSE),"")</f>
        <v/>
      </c>
    </row>
    <row r="876" spans="1:27">
      <c r="A876">
        <f>COUNTIF($W$22:W876,1)</f>
        <v>0</v>
      </c>
      <c r="B876">
        <v>876</v>
      </c>
      <c r="C876" s="340" t="str">
        <f>Tabulka1[[#This Row],[KOD]]</f>
        <v>CX1352X2</v>
      </c>
      <c r="W876" s="804" t="str">
        <f t="shared" si="29"/>
        <v/>
      </c>
      <c r="X876" t="str">
        <f t="shared" si="30"/>
        <v/>
      </c>
      <c r="Y876" s="341">
        <f>IF('General price list'!$AB878="",0,'General price list'!$AB878)</f>
        <v>0</v>
      </c>
      <c r="Z876" s="365" t="str">
        <f>IFERROR(X876*VLOOKUP(C876,'General price list'!C:I,7,FALSE),"")</f>
        <v/>
      </c>
      <c r="AA876" s="805" t="str">
        <f>IF(X876&lt;&gt;"",VLOOKUP(C876,'General price list'!C878:AN1851,MATCH("HM",Tabulka1[[#Headers],[KOD]:[NEQ]],0),FALSE),"")</f>
        <v/>
      </c>
    </row>
    <row r="877" spans="1:27">
      <c r="A877">
        <f>COUNTIF($W$22:W877,1)</f>
        <v>0</v>
      </c>
      <c r="B877">
        <v>877</v>
      </c>
      <c r="C877" s="340" t="str">
        <f>Tabulka1[[#This Row],[KOD]]</f>
        <v>CF1352X6</v>
      </c>
      <c r="W877" s="804" t="str">
        <f t="shared" si="29"/>
        <v/>
      </c>
      <c r="X877" t="str">
        <f t="shared" si="30"/>
        <v/>
      </c>
      <c r="Y877" s="341">
        <f>IF('General price list'!$AB879="",0,'General price list'!$AB879)</f>
        <v>0</v>
      </c>
      <c r="Z877" s="365" t="str">
        <f>IFERROR(X877*VLOOKUP(C877,'General price list'!C:I,7,FALSE),"")</f>
        <v/>
      </c>
      <c r="AA877" s="805" t="str">
        <f>IF(X877&lt;&gt;"",VLOOKUP(C877,'General price list'!C879:AN1852,MATCH("HM",Tabulka1[[#Headers],[KOD]:[NEQ]],0),FALSE),"")</f>
        <v/>
      </c>
    </row>
    <row r="878" spans="1:27">
      <c r="A878">
        <f>COUNTIF($W$22:W878,1)</f>
        <v>0</v>
      </c>
      <c r="B878">
        <v>878</v>
      </c>
      <c r="C878" s="340" t="str">
        <f>Tabulka1[[#This Row],[KOD]]</f>
        <v>CS1352X9</v>
      </c>
      <c r="W878" s="804" t="str">
        <f t="shared" si="29"/>
        <v/>
      </c>
      <c r="X878" t="str">
        <f t="shared" si="30"/>
        <v/>
      </c>
      <c r="Y878" s="341">
        <f>IF('General price list'!$AB880="",0,'General price list'!$AB880)</f>
        <v>0</v>
      </c>
      <c r="Z878" s="365" t="str">
        <f>IFERROR(X878*VLOOKUP(C878,'General price list'!C:I,7,FALSE),"")</f>
        <v/>
      </c>
      <c r="AA878" s="805" t="str">
        <f>IF(X878&lt;&gt;"",VLOOKUP(C878,'General price list'!C880:AN1853,MATCH("HM",Tabulka1[[#Headers],[KOD]:[NEQ]],0),FALSE),"")</f>
        <v/>
      </c>
    </row>
    <row r="879" spans="1:27">
      <c r="A879">
        <f>COUNTIF($W$22:W879,1)</f>
        <v>0</v>
      </c>
      <c r="B879">
        <v>879</v>
      </c>
      <c r="C879" s="340" t="str">
        <f>Tabulka1[[#This Row],[KOD]]</f>
        <v>CS1352X10</v>
      </c>
      <c r="W879" s="804" t="str">
        <f t="shared" si="29"/>
        <v/>
      </c>
      <c r="X879" t="str">
        <f t="shared" si="30"/>
        <v/>
      </c>
      <c r="Y879" s="341">
        <f>IF('General price list'!$AB881="",0,'General price list'!$AB881)</f>
        <v>0</v>
      </c>
      <c r="Z879" s="365" t="str">
        <f>IFERROR(X879*VLOOKUP(C879,'General price list'!C:I,7,FALSE),"")</f>
        <v/>
      </c>
      <c r="AA879" s="805" t="str">
        <f>IF(X879&lt;&gt;"",VLOOKUP(C879,'General price list'!C881:AN1854,MATCH("HM",Tabulka1[[#Headers],[KOD]:[NEQ]],0),FALSE),"")</f>
        <v/>
      </c>
    </row>
    <row r="880" spans="1:27">
      <c r="A880">
        <f>COUNTIF($W$22:W880,1)</f>
        <v>0</v>
      </c>
      <c r="B880">
        <v>880</v>
      </c>
      <c r="C880" s="340" t="str">
        <f>Tabulka1[[#This Row],[KOD]]</f>
        <v>CX1352X11</v>
      </c>
      <c r="W880" s="804" t="str">
        <f t="shared" si="29"/>
        <v/>
      </c>
      <c r="X880" t="str">
        <f t="shared" si="30"/>
        <v/>
      </c>
      <c r="Y880" s="341">
        <f>IF('General price list'!$AB882="",0,'General price list'!$AB882)</f>
        <v>0</v>
      </c>
      <c r="Z880" s="365" t="str">
        <f>IFERROR(X880*VLOOKUP(C880,'General price list'!C:I,7,FALSE),"")</f>
        <v/>
      </c>
      <c r="AA880" s="805" t="str">
        <f>IF(X880&lt;&gt;"",VLOOKUP(C880,'General price list'!C882:AN1855,MATCH("HM",Tabulka1[[#Headers],[KOD]:[NEQ]],0),FALSE),"")</f>
        <v/>
      </c>
    </row>
    <row r="881" spans="1:27">
      <c r="A881">
        <f>COUNTIF($W$22:W881,1)</f>
        <v>0</v>
      </c>
      <c r="B881">
        <v>881</v>
      </c>
      <c r="C881" s="340" t="str">
        <f>Tabulka1[[#This Row],[KOD]]</f>
        <v>CS1352X14</v>
      </c>
      <c r="W881" s="804" t="str">
        <f t="shared" si="29"/>
        <v/>
      </c>
      <c r="X881" t="str">
        <f t="shared" si="30"/>
        <v/>
      </c>
      <c r="Y881" s="341">
        <f>IF('General price list'!$AB883="",0,'General price list'!$AB883)</f>
        <v>0</v>
      </c>
      <c r="Z881" s="365" t="str">
        <f>IFERROR(X881*VLOOKUP(C881,'General price list'!C:I,7,FALSE),"")</f>
        <v/>
      </c>
      <c r="AA881" s="805" t="str">
        <f>IF(X881&lt;&gt;"",VLOOKUP(C881,'General price list'!C883:AN1856,MATCH("HM",Tabulka1[[#Headers],[KOD]:[NEQ]],0),FALSE),"")</f>
        <v/>
      </c>
    </row>
    <row r="882" spans="1:27">
      <c r="A882">
        <f>COUNTIF($W$22:W882,1)</f>
        <v>0</v>
      </c>
      <c r="B882">
        <v>882</v>
      </c>
      <c r="C882" s="340">
        <f>Tabulka1[[#This Row],[KOD]]</f>
        <v>0</v>
      </c>
      <c r="W882" s="804" t="str">
        <f t="shared" si="29"/>
        <v/>
      </c>
      <c r="X882" t="str">
        <f t="shared" si="30"/>
        <v/>
      </c>
      <c r="Y882" s="341">
        <f>IF('General price list'!$AB884="",0,'General price list'!$AB884)</f>
        <v>0</v>
      </c>
      <c r="Z882" s="365" t="str">
        <f>IFERROR(X882*VLOOKUP(C882,'General price list'!C:I,7,FALSE),"")</f>
        <v/>
      </c>
      <c r="AA882" s="805" t="str">
        <f>IF(X882&lt;&gt;"",VLOOKUP(C882,'General price list'!C884:AN1857,MATCH("HM",Tabulka1[[#Headers],[KOD]:[NEQ]],0),FALSE),"")</f>
        <v/>
      </c>
    </row>
    <row r="883" spans="1:27">
      <c r="A883">
        <f>COUNTIF($W$22:W883,1)</f>
        <v>0</v>
      </c>
      <c r="B883">
        <v>883</v>
      </c>
      <c r="C883" s="340" t="str">
        <f>Tabulka1[[#This Row],[KOD]]</f>
        <v>C253CH</v>
      </c>
      <c r="W883" s="804" t="str">
        <f t="shared" si="29"/>
        <v/>
      </c>
      <c r="X883" t="str">
        <f t="shared" si="30"/>
        <v/>
      </c>
      <c r="Y883" s="341">
        <f>IF('General price list'!$AB885="",0,'General price list'!$AB885)</f>
        <v>0</v>
      </c>
      <c r="Z883" s="365" t="str">
        <f>IFERROR(X883*VLOOKUP(C883,'General price list'!C:I,7,FALSE),"")</f>
        <v/>
      </c>
      <c r="AA883" s="805" t="str">
        <f>IF(X883&lt;&gt;"",VLOOKUP(C883,'General price list'!C885:AN1858,MATCH("HM",Tabulka1[[#Headers],[KOD]:[NEQ]],0),FALSE),"")</f>
        <v/>
      </c>
    </row>
    <row r="884" spans="1:27">
      <c r="A884">
        <f>COUNTIF($W$22:W884,1)</f>
        <v>0</v>
      </c>
      <c r="B884">
        <v>884</v>
      </c>
      <c r="C884" s="340" t="str">
        <f>Tabulka1[[#This Row],[KOD]]</f>
        <v>C253O</v>
      </c>
      <c r="W884" s="804" t="str">
        <f t="shared" si="29"/>
        <v/>
      </c>
      <c r="X884" t="str">
        <f t="shared" si="30"/>
        <v/>
      </c>
      <c r="Y884" s="341">
        <f>IF('General price list'!$AB886="",0,'General price list'!$AB886)</f>
        <v>0</v>
      </c>
      <c r="Z884" s="365" t="str">
        <f>IFERROR(X884*VLOOKUP(C884,'General price list'!C:I,7,FALSE),"")</f>
        <v/>
      </c>
      <c r="AA884" s="805" t="str">
        <f>IF(X884&lt;&gt;"",VLOOKUP(C884,'General price list'!C886:AN1859,MATCH("HM",Tabulka1[[#Headers],[KOD]:[NEQ]],0),FALSE),"")</f>
        <v/>
      </c>
    </row>
    <row r="885" spans="1:27">
      <c r="A885">
        <f>COUNTIF($W$22:W885,1)</f>
        <v>0</v>
      </c>
      <c r="B885">
        <v>885</v>
      </c>
      <c r="C885" s="340">
        <f>Tabulka1[[#This Row],[KOD]]</f>
        <v>0</v>
      </c>
      <c r="W885" s="804" t="str">
        <f t="shared" si="29"/>
        <v/>
      </c>
      <c r="X885" t="str">
        <f t="shared" si="30"/>
        <v/>
      </c>
      <c r="Y885" s="341">
        <f>IF('General price list'!$AB887="",0,'General price list'!$AB887)</f>
        <v>0</v>
      </c>
      <c r="Z885" s="365" t="str">
        <f>IFERROR(X885*VLOOKUP(C885,'General price list'!C:I,7,FALSE),"")</f>
        <v/>
      </c>
      <c r="AA885" s="805" t="str">
        <f>IF(X885&lt;&gt;"",VLOOKUP(C885,'General price list'!C887:AN1860,MATCH("HM",Tabulka1[[#Headers],[KOD]:[NEQ]],0),FALSE),"")</f>
        <v/>
      </c>
    </row>
    <row r="886" spans="1:27">
      <c r="A886">
        <f>COUNTIF($W$22:W886,1)</f>
        <v>0</v>
      </c>
      <c r="B886">
        <v>886</v>
      </c>
      <c r="C886" s="340" t="str">
        <f>Tabulka1[[#This Row],[KOD]]</f>
        <v>CF503X3</v>
      </c>
      <c r="W886" s="804" t="str">
        <f t="shared" si="29"/>
        <v/>
      </c>
      <c r="X886" t="str">
        <f t="shared" si="30"/>
        <v/>
      </c>
      <c r="Y886" s="341">
        <f>IF('General price list'!$AB888="",0,'General price list'!$AB888)</f>
        <v>0</v>
      </c>
      <c r="Z886" s="365" t="str">
        <f>IFERROR(X886*VLOOKUP(C886,'General price list'!C:I,7,FALSE),"")</f>
        <v/>
      </c>
      <c r="AA886" s="805" t="str">
        <f>IF(X886&lt;&gt;"",VLOOKUP(C886,'General price list'!C888:AN1861,MATCH("HM",Tabulka1[[#Headers],[KOD]:[NEQ]],0),FALSE),"")</f>
        <v/>
      </c>
    </row>
    <row r="887" spans="1:27">
      <c r="A887">
        <f>COUNTIF($W$22:W887,1)</f>
        <v>0</v>
      </c>
      <c r="B887">
        <v>887</v>
      </c>
      <c r="C887" s="340" t="str">
        <f>Tabulka1[[#This Row],[KOD]]</f>
        <v>CF503X4</v>
      </c>
      <c r="W887" s="804" t="str">
        <f t="shared" si="29"/>
        <v/>
      </c>
      <c r="X887" t="str">
        <f t="shared" si="30"/>
        <v/>
      </c>
      <c r="Y887" s="341">
        <f>IF('General price list'!$AB889="",0,'General price list'!$AB889)</f>
        <v>0</v>
      </c>
      <c r="Z887" s="365" t="str">
        <f>IFERROR(X887*VLOOKUP(C887,'General price list'!C:I,7,FALSE),"")</f>
        <v/>
      </c>
      <c r="AA887" s="805" t="str">
        <f>IF(X887&lt;&gt;"",VLOOKUP(C887,'General price list'!C889:AN1862,MATCH("HM",Tabulka1[[#Headers],[KOD]:[NEQ]],0),FALSE),"")</f>
        <v/>
      </c>
    </row>
    <row r="888" spans="1:27">
      <c r="A888">
        <f>COUNTIF($W$22:W888,1)</f>
        <v>0</v>
      </c>
      <c r="B888">
        <v>888</v>
      </c>
      <c r="C888" s="340" t="str">
        <f>Tabulka1[[#This Row],[KOD]]</f>
        <v>CF503X5</v>
      </c>
      <c r="W888" s="804" t="str">
        <f t="shared" si="29"/>
        <v/>
      </c>
      <c r="X888" t="str">
        <f t="shared" si="30"/>
        <v/>
      </c>
      <c r="Y888" s="341">
        <f>IF('General price list'!$AB890="",0,'General price list'!$AB890)</f>
        <v>0</v>
      </c>
      <c r="Z888" s="365" t="str">
        <f>IFERROR(X888*VLOOKUP(C888,'General price list'!C:I,7,FALSE),"")</f>
        <v/>
      </c>
      <c r="AA888" s="805" t="str">
        <f>IF(X888&lt;&gt;"",VLOOKUP(C888,'General price list'!C890:AN1863,MATCH("HM",Tabulka1[[#Headers],[KOD]:[NEQ]],0),FALSE),"")</f>
        <v/>
      </c>
    </row>
    <row r="889" spans="1:27">
      <c r="A889">
        <f>COUNTIF($W$22:W889,1)</f>
        <v>0</v>
      </c>
      <c r="B889">
        <v>889</v>
      </c>
      <c r="C889" s="340" t="str">
        <f>Tabulka1[[#This Row],[KOD]]</f>
        <v>CF503X7</v>
      </c>
      <c r="W889" s="804" t="str">
        <f t="shared" si="29"/>
        <v/>
      </c>
      <c r="X889" t="str">
        <f t="shared" si="30"/>
        <v/>
      </c>
      <c r="Y889" s="341">
        <f>IF('General price list'!$AB891="",0,'General price list'!$AB891)</f>
        <v>0</v>
      </c>
      <c r="Z889" s="365" t="str">
        <f>IFERROR(X889*VLOOKUP(C889,'General price list'!C:I,7,FALSE),"")</f>
        <v/>
      </c>
      <c r="AA889" s="805" t="str">
        <f>IF(X889&lt;&gt;"",VLOOKUP(C889,'General price list'!C891:AN1864,MATCH("HM",Tabulka1[[#Headers],[KOD]:[NEQ]],0),FALSE),"")</f>
        <v/>
      </c>
    </row>
    <row r="890" spans="1:27">
      <c r="A890">
        <f>COUNTIF($W$22:W890,1)</f>
        <v>0</v>
      </c>
      <c r="B890">
        <v>890</v>
      </c>
      <c r="C890" s="340" t="str">
        <f>Tabulka1[[#This Row],[KOD]]</f>
        <v>CF503X8</v>
      </c>
      <c r="W890" s="804" t="str">
        <f t="shared" si="29"/>
        <v/>
      </c>
      <c r="X890" t="str">
        <f t="shared" si="30"/>
        <v/>
      </c>
      <c r="Y890" s="341">
        <f>IF('General price list'!$AB892="",0,'General price list'!$AB892)</f>
        <v>0</v>
      </c>
      <c r="Z890" s="365" t="str">
        <f>IFERROR(X890*VLOOKUP(C890,'General price list'!C:I,7,FALSE),"")</f>
        <v/>
      </c>
      <c r="AA890" s="805" t="str">
        <f>IF(X890&lt;&gt;"",VLOOKUP(C890,'General price list'!C892:AN1865,MATCH("HM",Tabulka1[[#Headers],[KOD]:[NEQ]],0),FALSE),"")</f>
        <v/>
      </c>
    </row>
    <row r="891" spans="1:27">
      <c r="A891">
        <f>COUNTIF($W$22:W891,1)</f>
        <v>0</v>
      </c>
      <c r="B891">
        <v>891</v>
      </c>
      <c r="C891" s="340" t="str">
        <f>Tabulka1[[#This Row],[KOD]]</f>
        <v>CF503X12</v>
      </c>
      <c r="W891" s="804" t="str">
        <f t="shared" si="29"/>
        <v/>
      </c>
      <c r="X891" t="str">
        <f t="shared" si="30"/>
        <v/>
      </c>
      <c r="Y891" s="341">
        <f>IF('General price list'!$AB893="",0,'General price list'!$AB893)</f>
        <v>0</v>
      </c>
      <c r="Z891" s="365" t="str">
        <f>IFERROR(X891*VLOOKUP(C891,'General price list'!C:I,7,FALSE),"")</f>
        <v/>
      </c>
      <c r="AA891" s="805" t="str">
        <f>IF(X891&lt;&gt;"",VLOOKUP(C891,'General price list'!C893:AN1866,MATCH("HM",Tabulka1[[#Headers],[KOD]:[NEQ]],0),FALSE),"")</f>
        <v/>
      </c>
    </row>
    <row r="892" spans="1:27">
      <c r="A892">
        <f>COUNTIF($W$22:W892,1)</f>
        <v>0</v>
      </c>
      <c r="B892">
        <v>892</v>
      </c>
      <c r="C892" s="340" t="str">
        <f>Tabulka1[[#This Row],[KOD]]</f>
        <v>CF503X14</v>
      </c>
      <c r="W892" s="804" t="str">
        <f t="shared" si="29"/>
        <v/>
      </c>
      <c r="X892" t="str">
        <f t="shared" si="30"/>
        <v/>
      </c>
      <c r="Y892" s="341">
        <f>IF('General price list'!$AB894="",0,'General price list'!$AB894)</f>
        <v>0</v>
      </c>
      <c r="Z892" s="365" t="str">
        <f>IFERROR(X892*VLOOKUP(C892,'General price list'!C:I,7,FALSE),"")</f>
        <v/>
      </c>
      <c r="AA892" s="805" t="str">
        <f>IF(X892&lt;&gt;"",VLOOKUP(C892,'General price list'!C894:AN1867,MATCH("HM",Tabulka1[[#Headers],[KOD]:[NEQ]],0),FALSE),"")</f>
        <v/>
      </c>
    </row>
    <row r="893" spans="1:27" s="20" customFormat="1">
      <c r="A893">
        <f>COUNTIF($W$22:W893,1)</f>
        <v>0</v>
      </c>
      <c r="B893" s="20">
        <v>893</v>
      </c>
      <c r="C893" s="339" t="str">
        <f>Tabulka1[[#This Row],[KOD]]</f>
        <v>CF503X15</v>
      </c>
      <c r="W893" s="804" t="str">
        <f t="shared" si="29"/>
        <v/>
      </c>
      <c r="X893" t="str">
        <f t="shared" si="30"/>
        <v/>
      </c>
      <c r="Y893" s="341">
        <f>IF('General price list'!$AB895="",0,'General price list'!$AB895)</f>
        <v>0</v>
      </c>
      <c r="Z893" s="365" t="str">
        <f>IFERROR(X893*VLOOKUP(C893,'General price list'!C:I,7,FALSE),"")</f>
        <v/>
      </c>
      <c r="AA893" s="805" t="str">
        <f>IF(X893&lt;&gt;"",VLOOKUP(C893,'General price list'!C895:AN1868,MATCH("HM",Tabulka1[[#Headers],[KOD]:[NEQ]],0),FALSE),"")</f>
        <v/>
      </c>
    </row>
    <row r="894" spans="1:27">
      <c r="A894">
        <f>COUNTIF($W$22:W894,1)</f>
        <v>0</v>
      </c>
      <c r="B894">
        <v>894</v>
      </c>
      <c r="C894" s="340" t="str">
        <f>Tabulka1[[#This Row],[KOD]]</f>
        <v>CF503X17</v>
      </c>
      <c r="W894" s="804" t="str">
        <f t="shared" si="29"/>
        <v/>
      </c>
      <c r="X894" t="str">
        <f t="shared" si="30"/>
        <v/>
      </c>
      <c r="Y894" s="341">
        <f>IF('General price list'!$AB896="",0,'General price list'!$AB896)</f>
        <v>0</v>
      </c>
      <c r="Z894" s="365" t="str">
        <f>IFERROR(X894*VLOOKUP(C894,'General price list'!C:I,7,FALSE),"")</f>
        <v/>
      </c>
      <c r="AA894" s="805" t="str">
        <f>IF(X894&lt;&gt;"",VLOOKUP(C894,'General price list'!C896:AN1869,MATCH("HM",Tabulka1[[#Headers],[KOD]:[NEQ]],0),FALSE),"")</f>
        <v/>
      </c>
    </row>
    <row r="895" spans="1:27">
      <c r="A895">
        <f>COUNTIF($W$22:W895,1)</f>
        <v>0</v>
      </c>
      <c r="B895">
        <v>895</v>
      </c>
      <c r="C895" s="340" t="str">
        <f>Tabulka1[[#This Row],[KOD]]</f>
        <v>CF503X29</v>
      </c>
      <c r="W895" s="804" t="str">
        <f t="shared" si="29"/>
        <v/>
      </c>
      <c r="X895" t="str">
        <f t="shared" si="30"/>
        <v/>
      </c>
      <c r="Y895" s="341">
        <f>IF('General price list'!$AB897="",0,'General price list'!$AB897)</f>
        <v>0</v>
      </c>
      <c r="Z895" s="365" t="str">
        <f>IFERROR(X895*VLOOKUP(C895,'General price list'!C:I,7,FALSE),"")</f>
        <v/>
      </c>
      <c r="AA895" s="805" t="str">
        <f>IF(X895&lt;&gt;"",VLOOKUP(C895,'General price list'!C897:AN1870,MATCH("HM",Tabulka1[[#Headers],[KOD]:[NEQ]],0),FALSE),"")</f>
        <v/>
      </c>
    </row>
    <row r="896" spans="1:27">
      <c r="A896">
        <f>COUNTIF($W$22:W896,1)</f>
        <v>0</v>
      </c>
      <c r="B896">
        <v>896</v>
      </c>
      <c r="C896" s="340" t="str">
        <f>Tabulka1[[#This Row],[KOD]]</f>
        <v>CF503X48</v>
      </c>
      <c r="W896" s="804" t="str">
        <f t="shared" si="29"/>
        <v/>
      </c>
      <c r="X896" t="str">
        <f t="shared" si="30"/>
        <v/>
      </c>
      <c r="Y896" s="341">
        <f>IF('General price list'!$AB898="",0,'General price list'!$AB898)</f>
        <v>0</v>
      </c>
      <c r="Z896" s="365" t="str">
        <f>IFERROR(X896*VLOOKUP(C896,'General price list'!C:I,7,FALSE),"")</f>
        <v/>
      </c>
      <c r="AA896" s="805" t="str">
        <f>IF(X896&lt;&gt;"",VLOOKUP(C896,'General price list'!C898:AN1871,MATCH("HM",Tabulka1[[#Headers],[KOD]:[NEQ]],0),FALSE),"")</f>
        <v/>
      </c>
    </row>
    <row r="897" spans="1:27">
      <c r="A897">
        <f>COUNTIF($W$22:W897,1)</f>
        <v>0</v>
      </c>
      <c r="B897">
        <v>897</v>
      </c>
      <c r="C897" s="340" t="str">
        <f>Tabulka1[[#This Row],[KOD]]</f>
        <v>CF503X54</v>
      </c>
      <c r="W897" s="804" t="str">
        <f t="shared" si="29"/>
        <v/>
      </c>
      <c r="X897" t="str">
        <f t="shared" si="30"/>
        <v/>
      </c>
      <c r="Y897" s="341">
        <f>IF('General price list'!$AB899="",0,'General price list'!$AB899)</f>
        <v>0</v>
      </c>
      <c r="Z897" s="365" t="str">
        <f>IFERROR(X897*VLOOKUP(C897,'General price list'!C:I,7,FALSE),"")</f>
        <v/>
      </c>
      <c r="AA897" s="805" t="str">
        <f>IF(X897&lt;&gt;"",VLOOKUP(C897,'General price list'!C899:AN1872,MATCH("HM",Tabulka1[[#Headers],[KOD]:[NEQ]],0),FALSE),"")</f>
        <v/>
      </c>
    </row>
    <row r="898" spans="1:27">
      <c r="A898">
        <f>COUNTIF($W$22:W898,1)</f>
        <v>0</v>
      </c>
      <c r="B898">
        <v>898</v>
      </c>
      <c r="C898" s="340">
        <f>Tabulka1[[#This Row],[KOD]]</f>
        <v>0</v>
      </c>
      <c r="W898" s="804" t="str">
        <f t="shared" si="29"/>
        <v/>
      </c>
      <c r="X898" t="str">
        <f t="shared" si="30"/>
        <v/>
      </c>
      <c r="Y898" s="341">
        <f>IF('General price list'!$AB900="",0,'General price list'!$AB900)</f>
        <v>0</v>
      </c>
      <c r="Z898" s="365" t="str">
        <f>IFERROR(X898*VLOOKUP(C898,'General price list'!C:I,7,FALSE),"")</f>
        <v/>
      </c>
      <c r="AA898" s="805" t="str">
        <f>IF(X898&lt;&gt;"",VLOOKUP(C898,'General price list'!C900:AN1873,MATCH("HM",Tabulka1[[#Headers],[KOD]:[NEQ]],0),FALSE),"")</f>
        <v/>
      </c>
    </row>
    <row r="899" spans="1:27">
      <c r="A899">
        <f>COUNTIF($W$22:W899,1)</f>
        <v>0</v>
      </c>
      <c r="B899">
        <v>899</v>
      </c>
      <c r="C899" s="340" t="str">
        <f>Tabulka1[[#This Row],[KOD]]</f>
        <v>CS503X8</v>
      </c>
      <c r="W899" s="804" t="str">
        <f t="shared" si="29"/>
        <v/>
      </c>
      <c r="X899" t="str">
        <f t="shared" si="30"/>
        <v/>
      </c>
      <c r="Y899" s="341">
        <f>IF('General price list'!$AB901="",0,'General price list'!$AB901)</f>
        <v>0</v>
      </c>
      <c r="Z899" s="365" t="str">
        <f>IFERROR(X899*VLOOKUP(C899,'General price list'!C:I,7,FALSE),"")</f>
        <v/>
      </c>
      <c r="AA899" s="805" t="str">
        <f>IF(X899&lt;&gt;"",VLOOKUP(C899,'General price list'!C901:AN1874,MATCH("HM",Tabulka1[[#Headers],[KOD]:[NEQ]],0),FALSE),"")</f>
        <v/>
      </c>
    </row>
    <row r="900" spans="1:27">
      <c r="A900">
        <f>COUNTIF($W$22:W900,1)</f>
        <v>0</v>
      </c>
      <c r="B900">
        <v>900</v>
      </c>
      <c r="C900" s="340" t="str">
        <f>Tabulka1[[#This Row],[KOD]]</f>
        <v>CS503X9</v>
      </c>
      <c r="W900" s="804" t="str">
        <f t="shared" si="29"/>
        <v/>
      </c>
      <c r="X900" t="str">
        <f t="shared" si="30"/>
        <v/>
      </c>
      <c r="Y900" s="341">
        <f>IF('General price list'!$AB902="",0,'General price list'!$AB902)</f>
        <v>0</v>
      </c>
      <c r="Z900" s="365" t="str">
        <f>IFERROR(X900*VLOOKUP(C900,'General price list'!C:I,7,FALSE),"")</f>
        <v/>
      </c>
      <c r="AA900" s="805" t="str">
        <f>IF(X900&lt;&gt;"",VLOOKUP(C900,'General price list'!C902:AN1875,MATCH("HM",Tabulka1[[#Headers],[KOD]:[NEQ]],0),FALSE),"")</f>
        <v/>
      </c>
    </row>
    <row r="901" spans="1:27">
      <c r="A901">
        <f>COUNTIF($W$22:W901,1)</f>
        <v>0</v>
      </c>
      <c r="B901">
        <v>901</v>
      </c>
      <c r="C901" s="340" t="str">
        <f>Tabulka1[[#This Row],[KOD]]</f>
        <v>CS503X11</v>
      </c>
      <c r="W901" s="804" t="str">
        <f t="shared" si="29"/>
        <v/>
      </c>
      <c r="X901" t="str">
        <f t="shared" si="30"/>
        <v/>
      </c>
      <c r="Y901" s="341">
        <f>IF('General price list'!$AB903="",0,'General price list'!$AB903)</f>
        <v>0</v>
      </c>
      <c r="Z901" s="365" t="str">
        <f>IFERROR(X901*VLOOKUP(C901,'General price list'!C:I,7,FALSE),"")</f>
        <v/>
      </c>
      <c r="AA901" s="805" t="str">
        <f>IF(X901&lt;&gt;"",VLOOKUP(C901,'General price list'!C903:AN1876,MATCH("HM",Tabulka1[[#Headers],[KOD]:[NEQ]],0),FALSE),"")</f>
        <v/>
      </c>
    </row>
    <row r="902" spans="1:27">
      <c r="A902">
        <f>COUNTIF($W$22:W902,1)</f>
        <v>0</v>
      </c>
      <c r="B902">
        <v>902</v>
      </c>
      <c r="C902" s="340" t="str">
        <f>Tabulka1[[#This Row],[KOD]]</f>
        <v>CS503X14</v>
      </c>
      <c r="W902" s="804" t="str">
        <f t="shared" si="29"/>
        <v/>
      </c>
      <c r="X902" t="str">
        <f t="shared" si="30"/>
        <v/>
      </c>
      <c r="Y902" s="341">
        <f>IF('General price list'!$AB904="",0,'General price list'!$AB904)</f>
        <v>0</v>
      </c>
      <c r="Z902" s="365" t="str">
        <f>IFERROR(X902*VLOOKUP(C902,'General price list'!C:I,7,FALSE),"")</f>
        <v/>
      </c>
      <c r="AA902" s="805" t="str">
        <f>IF(X902&lt;&gt;"",VLOOKUP(C902,'General price list'!C904:AN1877,MATCH("HM",Tabulka1[[#Headers],[KOD]:[NEQ]],0),FALSE),"")</f>
        <v/>
      </c>
    </row>
    <row r="903" spans="1:27">
      <c r="A903">
        <f>COUNTIF($W$22:W903,1)</f>
        <v>0</v>
      </c>
      <c r="B903">
        <v>903</v>
      </c>
      <c r="C903" s="340" t="str">
        <f>Tabulka1[[#This Row],[KOD]]</f>
        <v>CS503X15</v>
      </c>
      <c r="W903" s="804" t="str">
        <f t="shared" si="29"/>
        <v/>
      </c>
      <c r="X903" t="str">
        <f t="shared" si="30"/>
        <v/>
      </c>
      <c r="Y903" s="341">
        <f>IF('General price list'!$AB905="",0,'General price list'!$AB905)</f>
        <v>0</v>
      </c>
      <c r="Z903" s="365" t="str">
        <f>IFERROR(X903*VLOOKUP(C903,'General price list'!C:I,7,FALSE),"")</f>
        <v/>
      </c>
      <c r="AA903" s="805" t="str">
        <f>IF(X903&lt;&gt;"",VLOOKUP(C903,'General price list'!C905:AN1878,MATCH("HM",Tabulka1[[#Headers],[KOD]:[NEQ]],0),FALSE),"")</f>
        <v/>
      </c>
    </row>
    <row r="904" spans="1:27">
      <c r="A904">
        <f>COUNTIF($W$22:W904,1)</f>
        <v>0</v>
      </c>
      <c r="B904">
        <v>904</v>
      </c>
      <c r="C904" s="340" t="str">
        <f>Tabulka1[[#This Row],[KOD]]</f>
        <v>CS503X19</v>
      </c>
      <c r="W904" s="804" t="str">
        <f t="shared" si="29"/>
        <v/>
      </c>
      <c r="X904" t="str">
        <f t="shared" si="30"/>
        <v/>
      </c>
      <c r="Y904" s="341">
        <f>IF('General price list'!$AB906="",0,'General price list'!$AB906)</f>
        <v>0</v>
      </c>
      <c r="Z904" s="365" t="str">
        <f>IFERROR(X904*VLOOKUP(C904,'General price list'!C:I,7,FALSE),"")</f>
        <v/>
      </c>
      <c r="AA904" s="805" t="str">
        <f>IF(X904&lt;&gt;"",VLOOKUP(C904,'General price list'!C906:AN1879,MATCH("HM",Tabulka1[[#Headers],[KOD]:[NEQ]],0),FALSE),"")</f>
        <v/>
      </c>
    </row>
    <row r="905" spans="1:27">
      <c r="A905">
        <f>COUNTIF($W$22:W905,1)</f>
        <v>0</v>
      </c>
      <c r="B905">
        <v>905</v>
      </c>
      <c r="C905" s="340" t="str">
        <f>Tabulka1[[#This Row],[KOD]]</f>
        <v>CS503X26</v>
      </c>
      <c r="W905" s="804" t="str">
        <f t="shared" si="29"/>
        <v/>
      </c>
      <c r="X905" t="str">
        <f t="shared" si="30"/>
        <v/>
      </c>
      <c r="Y905" s="341">
        <f>IF('General price list'!$AB907="",0,'General price list'!$AB907)</f>
        <v>0</v>
      </c>
      <c r="Z905" s="365" t="str">
        <f>IFERROR(X905*VLOOKUP(C905,'General price list'!C:I,7,FALSE),"")</f>
        <v/>
      </c>
      <c r="AA905" s="805" t="str">
        <f>IF(X905&lt;&gt;"",VLOOKUP(C905,'General price list'!C907:AN1880,MATCH("HM",Tabulka1[[#Headers],[KOD]:[NEQ]],0),FALSE),"")</f>
        <v/>
      </c>
    </row>
    <row r="906" spans="1:27">
      <c r="A906">
        <f>COUNTIF($W$22:W906,1)</f>
        <v>0</v>
      </c>
      <c r="B906">
        <v>906</v>
      </c>
      <c r="C906" s="340" t="str">
        <f>Tabulka1[[#This Row],[KOD]]</f>
        <v>CS503X33</v>
      </c>
      <c r="W906" s="804" t="str">
        <f t="shared" si="29"/>
        <v/>
      </c>
      <c r="X906" t="str">
        <f t="shared" si="30"/>
        <v/>
      </c>
      <c r="Y906" s="341">
        <f>IF('General price list'!$AB908="",0,'General price list'!$AB908)</f>
        <v>0</v>
      </c>
      <c r="Z906" s="365" t="str">
        <f>IFERROR(X906*VLOOKUP(C906,'General price list'!C:I,7,FALSE),"")</f>
        <v/>
      </c>
      <c r="AA906" s="805" t="str">
        <f>IF(X906&lt;&gt;"",VLOOKUP(C906,'General price list'!C908:AN1881,MATCH("HM",Tabulka1[[#Headers],[KOD]:[NEQ]],0),FALSE),"")</f>
        <v/>
      </c>
    </row>
    <row r="907" spans="1:27">
      <c r="A907">
        <f>COUNTIF($W$22:W907,1)</f>
        <v>0</v>
      </c>
      <c r="B907">
        <v>907</v>
      </c>
      <c r="C907" s="340" t="str">
        <f>Tabulka1[[#This Row],[KOD]]</f>
        <v>CS503X38</v>
      </c>
      <c r="W907" s="804" t="str">
        <f t="shared" si="29"/>
        <v/>
      </c>
      <c r="X907" t="str">
        <f t="shared" si="30"/>
        <v/>
      </c>
      <c r="Y907" s="341">
        <f>IF('General price list'!$AB909="",0,'General price list'!$AB909)</f>
        <v>0</v>
      </c>
      <c r="Z907" s="365" t="str">
        <f>IFERROR(X907*VLOOKUP(C907,'General price list'!C:I,7,FALSE),"")</f>
        <v/>
      </c>
      <c r="AA907" s="805" t="str">
        <f>IF(X907&lt;&gt;"",VLOOKUP(C907,'General price list'!C909:AN1882,MATCH("HM",Tabulka1[[#Headers],[KOD]:[NEQ]],0),FALSE),"")</f>
        <v/>
      </c>
    </row>
    <row r="908" spans="1:27">
      <c r="A908">
        <f>COUNTIF($W$22:W908,1)</f>
        <v>0</v>
      </c>
      <c r="B908">
        <v>908</v>
      </c>
      <c r="C908" s="340">
        <f>Tabulka1[[#This Row],[KOD]]</f>
        <v>0</v>
      </c>
      <c r="W908" s="804" t="str">
        <f t="shared" si="29"/>
        <v/>
      </c>
      <c r="X908" t="str">
        <f t="shared" si="30"/>
        <v/>
      </c>
      <c r="Y908" s="341">
        <f>IF('General price list'!$AB910="",0,'General price list'!$AB910)</f>
        <v>0</v>
      </c>
      <c r="Z908" s="365" t="str">
        <f>IFERROR(X908*VLOOKUP(C908,'General price list'!C:I,7,FALSE),"")</f>
        <v/>
      </c>
      <c r="AA908" s="805" t="str">
        <f>IF(X908&lt;&gt;"",VLOOKUP(C908,'General price list'!C910:AN1883,MATCH("HM",Tabulka1[[#Headers],[KOD]:[NEQ]],0),FALSE),"")</f>
        <v/>
      </c>
    </row>
    <row r="909" spans="1:27">
      <c r="A909">
        <f>COUNTIF($W$22:W909,1)</f>
        <v>0</v>
      </c>
      <c r="B909">
        <v>909</v>
      </c>
      <c r="C909" s="340" t="str">
        <f>Tabulka1[[#This Row],[KOD]]</f>
        <v>S2M</v>
      </c>
      <c r="W909" s="804" t="str">
        <f t="shared" si="29"/>
        <v/>
      </c>
      <c r="X909" t="str">
        <f t="shared" si="30"/>
        <v/>
      </c>
      <c r="Y909" s="341">
        <f>IF('General price list'!$AB911="",0,'General price list'!$AB911)</f>
        <v>0</v>
      </c>
      <c r="Z909" s="365" t="str">
        <f>IFERROR(X909*VLOOKUP(C909,'General price list'!C:I,7,FALSE),"")</f>
        <v/>
      </c>
      <c r="AA909" s="805" t="str">
        <f>IF(X909&lt;&gt;"",VLOOKUP(C909,'General price list'!C911:AN1884,MATCH("HM",Tabulka1[[#Headers],[KOD]:[NEQ]],0),FALSE),"")</f>
        <v/>
      </c>
    </row>
    <row r="910" spans="1:27">
      <c r="A910">
        <f>COUNTIF($W$22:W910,1)</f>
        <v>0</v>
      </c>
      <c r="B910">
        <v>910</v>
      </c>
      <c r="C910" s="340">
        <f>Tabulka1[[#This Row],[KOD]]</f>
        <v>0</v>
      </c>
      <c r="W910" s="804" t="str">
        <f t="shared" si="29"/>
        <v/>
      </c>
      <c r="X910" t="str">
        <f t="shared" si="30"/>
        <v/>
      </c>
      <c r="Y910" s="341">
        <f>IF('General price list'!$AB912="",0,'General price list'!$AB912)</f>
        <v>0</v>
      </c>
      <c r="Z910" s="365" t="str">
        <f>IFERROR(X910*VLOOKUP(C910,'General price list'!C:I,7,FALSE),"")</f>
        <v/>
      </c>
      <c r="AA910" s="805" t="str">
        <f>IF(X910&lt;&gt;"",VLOOKUP(C910,'General price list'!C912:AN1885,MATCH("HM",Tabulka1[[#Headers],[KOD]:[NEQ]],0),FALSE),"")</f>
        <v/>
      </c>
    </row>
    <row r="911" spans="1:27">
      <c r="A911">
        <f>COUNTIF($W$22:W911,1)</f>
        <v>0</v>
      </c>
      <c r="B911">
        <v>911</v>
      </c>
      <c r="C911" s="340" t="str">
        <f>Tabulka1[[#This Row],[KOD]]</f>
        <v>S3F/P</v>
      </c>
      <c r="W911" s="804" t="str">
        <f t="shared" si="29"/>
        <v/>
      </c>
      <c r="X911" t="str">
        <f t="shared" si="30"/>
        <v/>
      </c>
      <c r="Y911" s="341">
        <f>IF('General price list'!$AB913="",0,'General price list'!$AB913)</f>
        <v>0</v>
      </c>
      <c r="Z911" s="365" t="str">
        <f>IFERROR(X911*VLOOKUP(C911,'General price list'!C:I,7,FALSE),"")</f>
        <v/>
      </c>
      <c r="AA911" s="805" t="str">
        <f>IF(X911&lt;&gt;"",VLOOKUP(C911,'General price list'!C913:AN1886,MATCH("HM",Tabulka1[[#Headers],[KOD]:[NEQ]],0),FALSE),"")</f>
        <v/>
      </c>
    </row>
    <row r="912" spans="1:27">
      <c r="A912">
        <f>COUNTIF($W$22:W912,1)</f>
        <v>0</v>
      </c>
      <c r="B912">
        <v>912</v>
      </c>
      <c r="C912" s="340" t="str">
        <f>Tabulka1[[#This Row],[KOD]]</f>
        <v>S3IA/P</v>
      </c>
      <c r="W912" s="804" t="str">
        <f t="shared" si="29"/>
        <v/>
      </c>
      <c r="X912" t="str">
        <f t="shared" si="30"/>
        <v/>
      </c>
      <c r="Y912" s="341">
        <f>IF('General price list'!$AB914="",0,'General price list'!$AB914)</f>
        <v>0</v>
      </c>
      <c r="Z912" s="365" t="str">
        <f>IFERROR(X912*VLOOKUP(C912,'General price list'!C:I,7,FALSE),"")</f>
        <v/>
      </c>
      <c r="AA912" s="805" t="str">
        <f>IF(X912&lt;&gt;"",VLOOKUP(C912,'General price list'!C914:AN1887,MATCH("HM",Tabulka1[[#Headers],[KOD]:[NEQ]],0),FALSE),"")</f>
        <v/>
      </c>
    </row>
    <row r="913" spans="1:27">
      <c r="A913">
        <f>COUNTIF($W$22:W913,1)</f>
        <v>0</v>
      </c>
      <c r="B913">
        <v>913</v>
      </c>
      <c r="C913" s="340" t="str">
        <f>Tabulka1[[#This Row],[KOD]]</f>
        <v>S3J/P</v>
      </c>
      <c r="W913" s="804" t="str">
        <f t="shared" si="29"/>
        <v/>
      </c>
      <c r="X913" t="str">
        <f t="shared" si="30"/>
        <v/>
      </c>
      <c r="Y913" s="341">
        <f>IF('General price list'!$AB915="",0,'General price list'!$AB915)</f>
        <v>0</v>
      </c>
      <c r="Z913" s="365" t="str">
        <f>IFERROR(X913*VLOOKUP(C913,'General price list'!C:I,7,FALSE),"")</f>
        <v/>
      </c>
      <c r="AA913" s="805" t="str">
        <f>IF(X913&lt;&gt;"",VLOOKUP(C913,'General price list'!C915:AN1888,MATCH("HM",Tabulka1[[#Headers],[KOD]:[NEQ]],0),FALSE),"")</f>
        <v/>
      </c>
    </row>
    <row r="914" spans="1:27">
      <c r="A914">
        <f>COUNTIF($W$22:W914,1)</f>
        <v>0</v>
      </c>
      <c r="B914">
        <v>914</v>
      </c>
      <c r="C914" s="340" t="str">
        <f>Tabulka1[[#This Row],[KOD]]</f>
        <v>S3S/P</v>
      </c>
      <c r="W914" s="804" t="str">
        <f t="shared" si="29"/>
        <v/>
      </c>
      <c r="X914" t="str">
        <f t="shared" si="30"/>
        <v/>
      </c>
      <c r="Y914" s="341">
        <f>IF('General price list'!$AB916="",0,'General price list'!$AB916)</f>
        <v>0</v>
      </c>
      <c r="Z914" s="365" t="str">
        <f>IFERROR(X914*VLOOKUP(C914,'General price list'!C:I,7,FALSE),"")</f>
        <v/>
      </c>
      <c r="AA914" s="805" t="str">
        <f>IF(X914&lt;&gt;"",VLOOKUP(C914,'General price list'!C916:AN1889,MATCH("HM",Tabulka1[[#Headers],[KOD]:[NEQ]],0),FALSE),"")</f>
        <v/>
      </c>
    </row>
    <row r="915" spans="1:27">
      <c r="A915">
        <f>COUNTIF($W$22:W915,1)</f>
        <v>0</v>
      </c>
      <c r="B915">
        <v>915</v>
      </c>
      <c r="C915" s="340" t="str">
        <f>Tabulka1[[#This Row],[KOD]]</f>
        <v>S3T</v>
      </c>
      <c r="W915" s="804" t="str">
        <f t="shared" si="29"/>
        <v/>
      </c>
      <c r="X915" t="str">
        <f t="shared" si="30"/>
        <v/>
      </c>
      <c r="Y915" s="341">
        <f>IF('General price list'!$AB917="",0,'General price list'!$AB917)</f>
        <v>0</v>
      </c>
      <c r="Z915" s="365" t="str">
        <f>IFERROR(X915*VLOOKUP(C915,'General price list'!C:I,7,FALSE),"")</f>
        <v/>
      </c>
      <c r="AA915" s="805" t="str">
        <f>IF(X915&lt;&gt;"",VLOOKUP(C915,'General price list'!C917:AN1890,MATCH("HM",Tabulka1[[#Headers],[KOD]:[NEQ]],0),FALSE),"")</f>
        <v/>
      </c>
    </row>
    <row r="916" spans="1:27">
      <c r="A916">
        <f>COUNTIF($W$22:W916,1)</f>
        <v>0</v>
      </c>
      <c r="B916">
        <v>916</v>
      </c>
      <c r="C916" s="340" t="str">
        <f>Tabulka1[[#This Row],[KOD]]</f>
        <v>S3M/P</v>
      </c>
      <c r="W916" s="804" t="str">
        <f t="shared" si="29"/>
        <v/>
      </c>
      <c r="X916" t="str">
        <f t="shared" si="30"/>
        <v/>
      </c>
      <c r="Y916" s="341">
        <f>IF('General price list'!$AB918="",0,'General price list'!$AB918)</f>
        <v>0</v>
      </c>
      <c r="Z916" s="365" t="str">
        <f>IFERROR(X916*VLOOKUP(C916,'General price list'!C:I,7,FALSE),"")</f>
        <v/>
      </c>
      <c r="AA916" s="805" t="str">
        <f>IF(X916&lt;&gt;"",VLOOKUP(C916,'General price list'!C918:AN1891,MATCH("HM",Tabulka1[[#Headers],[KOD]:[NEQ]],0),FALSE),"")</f>
        <v/>
      </c>
    </row>
    <row r="917" spans="1:27">
      <c r="A917">
        <f>COUNTIF($W$22:W917,1)</f>
        <v>0</v>
      </c>
      <c r="B917">
        <v>917</v>
      </c>
      <c r="C917" s="340">
        <f>Tabulka1[[#This Row],[KOD]]</f>
        <v>0</v>
      </c>
      <c r="W917" s="804" t="str">
        <f t="shared" si="29"/>
        <v/>
      </c>
      <c r="X917" t="str">
        <f t="shared" si="30"/>
        <v/>
      </c>
      <c r="Y917" s="341">
        <f>IF('General price list'!$AB919="",0,'General price list'!$AB919)</f>
        <v>0</v>
      </c>
      <c r="Z917" s="365" t="str">
        <f>IFERROR(X917*VLOOKUP(C917,'General price list'!C:I,7,FALSE),"")</f>
        <v/>
      </c>
      <c r="AA917" s="805" t="str">
        <f>IF(X917&lt;&gt;"",VLOOKUP(C917,'General price list'!C919:AN1892,MATCH("HM",Tabulka1[[#Headers],[KOD]:[NEQ]],0),FALSE),"")</f>
        <v/>
      </c>
    </row>
    <row r="918" spans="1:27">
      <c r="A918">
        <f>COUNTIF($W$22:W918,1)</f>
        <v>0</v>
      </c>
      <c r="B918">
        <v>918</v>
      </c>
      <c r="C918" s="340" t="str">
        <f>Tabulka1[[#This Row],[KOD]]</f>
        <v>S4T</v>
      </c>
      <c r="W918" s="804" t="str">
        <f t="shared" si="29"/>
        <v/>
      </c>
      <c r="X918" t="str">
        <f t="shared" si="30"/>
        <v/>
      </c>
      <c r="Y918" s="341">
        <f>IF('General price list'!$AB920="",0,'General price list'!$AB920)</f>
        <v>0</v>
      </c>
      <c r="Z918" s="365" t="str">
        <f>IFERROR(X918*VLOOKUP(C918,'General price list'!C:I,7,FALSE),"")</f>
        <v/>
      </c>
      <c r="AA918" s="805" t="str">
        <f>IF(X918&lt;&gt;"",VLOOKUP(C918,'General price list'!C920:AN1893,MATCH("HM",Tabulka1[[#Headers],[KOD]:[NEQ]],0),FALSE),"")</f>
        <v/>
      </c>
    </row>
    <row r="919" spans="1:27">
      <c r="A919">
        <f>COUNTIF($W$22:W919,1)</f>
        <v>0</v>
      </c>
      <c r="B919">
        <v>919</v>
      </c>
      <c r="C919" s="340">
        <f>Tabulka1[[#This Row],[KOD]]</f>
        <v>0</v>
      </c>
      <c r="W919" s="804" t="str">
        <f t="shared" si="29"/>
        <v/>
      </c>
      <c r="X919" t="str">
        <f t="shared" si="30"/>
        <v/>
      </c>
      <c r="Y919" s="341">
        <f>IF('General price list'!$AB921="",0,'General price list'!$AB921)</f>
        <v>0</v>
      </c>
      <c r="Z919" s="365" t="str">
        <f>IFERROR(X919*VLOOKUP(C919,'General price list'!C:I,7,FALSE),"")</f>
        <v/>
      </c>
      <c r="AA919" s="805" t="str">
        <f>IF(X919&lt;&gt;"",VLOOKUP(C919,'General price list'!C921:AN1894,MATCH("HM",Tabulka1[[#Headers],[KOD]:[NEQ]],0),FALSE),"")</f>
        <v/>
      </c>
    </row>
    <row r="920" spans="1:27">
      <c r="A920">
        <f>COUNTIF($W$22:W920,1)</f>
        <v>0</v>
      </c>
      <c r="B920">
        <v>920</v>
      </c>
      <c r="C920" s="340" t="str">
        <f>Tabulka1[[#This Row],[KOD]]</f>
        <v>S4C/P</v>
      </c>
      <c r="W920" s="804" t="str">
        <f t="shared" si="29"/>
        <v/>
      </c>
      <c r="X920" t="str">
        <f t="shared" si="30"/>
        <v/>
      </c>
      <c r="Y920" s="341">
        <f>IF('General price list'!$AB922="",0,'General price list'!$AB922)</f>
        <v>0</v>
      </c>
      <c r="Z920" s="365" t="str">
        <f>IFERROR(X920*VLOOKUP(C920,'General price list'!C:I,7,FALSE),"")</f>
        <v/>
      </c>
      <c r="AA920" s="805" t="str">
        <f>IF(X920&lt;&gt;"",VLOOKUP(C920,'General price list'!C922:AN1895,MATCH("HM",Tabulka1[[#Headers],[KOD]:[NEQ]],0),FALSE),"")</f>
        <v/>
      </c>
    </row>
    <row r="921" spans="1:27">
      <c r="A921">
        <f>COUNTIF($W$22:W921,1)</f>
        <v>0</v>
      </c>
      <c r="B921">
        <v>921</v>
      </c>
      <c r="C921" s="340" t="str">
        <f>Tabulka1[[#This Row],[KOD]]</f>
        <v>S4J/P</v>
      </c>
      <c r="W921" s="804" t="str">
        <f t="shared" ref="W921:W981" si="31">IF(Y921+1=1,"",1)</f>
        <v/>
      </c>
      <c r="X921" t="str">
        <f t="shared" ref="X921:X981" si="32">IF(OR(A921&lt;$G$20,A921&gt;$G$21),"",IF(Y921=0,"",Y921))</f>
        <v/>
      </c>
      <c r="Y921" s="341">
        <f>IF('General price list'!$AB923="",0,'General price list'!$AB923)</f>
        <v>0</v>
      </c>
      <c r="Z921" s="365" t="str">
        <f>IFERROR(X921*VLOOKUP(C921,'General price list'!C:I,7,FALSE),"")</f>
        <v/>
      </c>
      <c r="AA921" s="805" t="str">
        <f>IF(X921&lt;&gt;"",VLOOKUP(C921,'General price list'!C923:AN1896,MATCH("HM",Tabulka1[[#Headers],[KOD]:[NEQ]],0),FALSE),"")</f>
        <v/>
      </c>
    </row>
    <row r="922" spans="1:27">
      <c r="A922">
        <f>COUNTIF($W$22:W922,1)</f>
        <v>0</v>
      </c>
      <c r="B922">
        <v>922</v>
      </c>
      <c r="C922" s="340" t="str">
        <f>Tabulka1[[#This Row],[KOD]]</f>
        <v>S4K/P</v>
      </c>
      <c r="W922" s="804" t="str">
        <f t="shared" si="31"/>
        <v/>
      </c>
      <c r="X922" t="str">
        <f t="shared" si="32"/>
        <v/>
      </c>
      <c r="Y922" s="341">
        <f>IF('General price list'!$AB924="",0,'General price list'!$AB924)</f>
        <v>0</v>
      </c>
      <c r="Z922" s="365" t="str">
        <f>IFERROR(X922*VLOOKUP(C922,'General price list'!C:I,7,FALSE),"")</f>
        <v/>
      </c>
      <c r="AA922" s="805" t="str">
        <f>IF(X922&lt;&gt;"",VLOOKUP(C922,'General price list'!C924:AN1897,MATCH("HM",Tabulka1[[#Headers],[KOD]:[NEQ]],0),FALSE),"")</f>
        <v/>
      </c>
    </row>
    <row r="923" spans="1:27">
      <c r="A923">
        <f>COUNTIF($W$22:W923,1)</f>
        <v>0</v>
      </c>
      <c r="B923">
        <v>923</v>
      </c>
      <c r="C923" s="340" t="str">
        <f>Tabulka1[[#This Row],[KOD]]</f>
        <v>S4L/P</v>
      </c>
      <c r="W923" s="804" t="str">
        <f t="shared" si="31"/>
        <v/>
      </c>
      <c r="X923" t="str">
        <f t="shared" si="32"/>
        <v/>
      </c>
      <c r="Y923" s="341">
        <f>IF('General price list'!$AB925="",0,'General price list'!$AB925)</f>
        <v>0</v>
      </c>
      <c r="Z923" s="365" t="str">
        <f>IFERROR(X923*VLOOKUP(C923,'General price list'!C:I,7,FALSE),"")</f>
        <v/>
      </c>
      <c r="AA923" s="805" t="str">
        <f>IF(X923&lt;&gt;"",VLOOKUP(C923,'General price list'!C925:AN1898,MATCH("HM",Tabulka1[[#Headers],[KOD]:[NEQ]],0),FALSE),"")</f>
        <v/>
      </c>
    </row>
    <row r="924" spans="1:27">
      <c r="A924">
        <f>COUNTIF($W$22:W924,1)</f>
        <v>0</v>
      </c>
      <c r="B924">
        <v>924</v>
      </c>
      <c r="C924" s="340" t="str">
        <f>Tabulka1[[#This Row],[KOD]]</f>
        <v>S4NA/P</v>
      </c>
      <c r="W924" s="804" t="str">
        <f t="shared" si="31"/>
        <v/>
      </c>
      <c r="X924" t="str">
        <f t="shared" si="32"/>
        <v/>
      </c>
      <c r="Y924" s="341">
        <f>IF('General price list'!$AB926="",0,'General price list'!$AB926)</f>
        <v>0</v>
      </c>
      <c r="Z924" s="365" t="str">
        <f>IFERROR(X924*VLOOKUP(C924,'General price list'!C:I,7,FALSE),"")</f>
        <v/>
      </c>
      <c r="AA924" s="805" t="str">
        <f>IF(X924&lt;&gt;"",VLOOKUP(C924,'General price list'!C926:AN1899,MATCH("HM",Tabulka1[[#Headers],[KOD]:[NEQ]],0),FALSE),"")</f>
        <v/>
      </c>
    </row>
    <row r="925" spans="1:27">
      <c r="A925">
        <f>COUNTIF($W$22:W925,1)</f>
        <v>0</v>
      </c>
      <c r="B925">
        <v>925</v>
      </c>
      <c r="C925" s="340" t="str">
        <f>Tabulka1[[#This Row],[KOD]]</f>
        <v>S4O/P</v>
      </c>
      <c r="W925" s="804" t="str">
        <f t="shared" si="31"/>
        <v/>
      </c>
      <c r="X925" t="str">
        <f t="shared" si="32"/>
        <v/>
      </c>
      <c r="Y925" s="341">
        <f>IF('General price list'!$AB927="",0,'General price list'!$AB927)</f>
        <v>0</v>
      </c>
      <c r="Z925" s="365" t="str">
        <f>IFERROR(X925*VLOOKUP(C925,'General price list'!C:I,7,FALSE),"")</f>
        <v/>
      </c>
      <c r="AA925" s="805" t="str">
        <f>IF(X925&lt;&gt;"",VLOOKUP(C925,'General price list'!C927:AN1900,MATCH("HM",Tabulka1[[#Headers],[KOD]:[NEQ]],0),FALSE),"")</f>
        <v/>
      </c>
    </row>
    <row r="926" spans="1:27">
      <c r="A926">
        <f>COUNTIF($W$22:W926,1)</f>
        <v>0</v>
      </c>
      <c r="B926">
        <v>926</v>
      </c>
      <c r="C926" s="340" t="str">
        <f>Tabulka1[[#This Row],[KOD]]</f>
        <v>S4P/P</v>
      </c>
      <c r="W926" s="804" t="str">
        <f t="shared" si="31"/>
        <v/>
      </c>
      <c r="X926" t="str">
        <f t="shared" si="32"/>
        <v/>
      </c>
      <c r="Y926" s="341">
        <f>IF('General price list'!$AB928="",0,'General price list'!$AB928)</f>
        <v>0</v>
      </c>
      <c r="Z926" s="365" t="str">
        <f>IFERROR(X926*VLOOKUP(C926,'General price list'!C:I,7,FALSE),"")</f>
        <v/>
      </c>
      <c r="AA926" s="805" t="str">
        <f>IF(X926&lt;&gt;"",VLOOKUP(C926,'General price list'!C928:AN1901,MATCH("HM",Tabulka1[[#Headers],[KOD]:[NEQ]],0),FALSE),"")</f>
        <v/>
      </c>
    </row>
    <row r="927" spans="1:27">
      <c r="A927">
        <f>COUNTIF($W$22:W927,1)</f>
        <v>0</v>
      </c>
      <c r="B927">
        <v>927</v>
      </c>
      <c r="C927" s="340" t="str">
        <f>Tabulka1[[#This Row],[KOD]]</f>
        <v>S4Q/P</v>
      </c>
      <c r="W927" s="804" t="str">
        <f t="shared" si="31"/>
        <v/>
      </c>
      <c r="X927" t="str">
        <f t="shared" si="32"/>
        <v/>
      </c>
      <c r="Y927" s="341">
        <f>IF('General price list'!$AB929="",0,'General price list'!$AB929)</f>
        <v>0</v>
      </c>
      <c r="Z927" s="365" t="str">
        <f>IFERROR(X927*VLOOKUP(C927,'General price list'!C:I,7,FALSE),"")</f>
        <v/>
      </c>
      <c r="AA927" s="805" t="str">
        <f>IF(X927&lt;&gt;"",VLOOKUP(C927,'General price list'!C929:AN1902,MATCH("HM",Tabulka1[[#Headers],[KOD]:[NEQ]],0),FALSE),"")</f>
        <v/>
      </c>
    </row>
    <row r="928" spans="1:27">
      <c r="A928">
        <f>COUNTIF($W$22:W928,1)</f>
        <v>0</v>
      </c>
      <c r="B928">
        <v>928</v>
      </c>
      <c r="C928" s="340" t="str">
        <f>Tabulka1[[#This Row],[KOD]]</f>
        <v>S4S/P</v>
      </c>
      <c r="W928" s="804" t="str">
        <f t="shared" si="31"/>
        <v/>
      </c>
      <c r="X928" t="str">
        <f t="shared" si="32"/>
        <v/>
      </c>
      <c r="Y928" s="341">
        <f>IF('General price list'!$AB930="",0,'General price list'!$AB930)</f>
        <v>0</v>
      </c>
      <c r="Z928" s="365" t="str">
        <f>IFERROR(X928*VLOOKUP(C928,'General price list'!C:I,7,FALSE),"")</f>
        <v/>
      </c>
      <c r="AA928" s="805" t="str">
        <f>IF(X928&lt;&gt;"",VLOOKUP(C928,'General price list'!C930:AN1903,MATCH("HM",Tabulka1[[#Headers],[KOD]:[NEQ]],0),FALSE),"")</f>
        <v/>
      </c>
    </row>
    <row r="929" spans="1:27">
      <c r="A929">
        <f>COUNTIF($W$22:W929,1)</f>
        <v>0</v>
      </c>
      <c r="B929">
        <v>929</v>
      </c>
      <c r="C929" s="340" t="str">
        <f>Tabulka1[[#This Row],[KOD]]</f>
        <v>S4W/P</v>
      </c>
      <c r="W929" s="804" t="str">
        <f t="shared" si="31"/>
        <v/>
      </c>
      <c r="X929" t="str">
        <f t="shared" si="32"/>
        <v/>
      </c>
      <c r="Y929" s="341">
        <f>IF('General price list'!$AB931="",0,'General price list'!$AB931)</f>
        <v>0</v>
      </c>
      <c r="Z929" s="365" t="str">
        <f>IFERROR(X929*VLOOKUP(C929,'General price list'!C:I,7,FALSE),"")</f>
        <v/>
      </c>
      <c r="AA929" s="805" t="str">
        <f>IF(X929&lt;&gt;"",VLOOKUP(C929,'General price list'!C931:AN1904,MATCH("HM",Tabulka1[[#Headers],[KOD]:[NEQ]],0),FALSE),"")</f>
        <v/>
      </c>
    </row>
    <row r="930" spans="1:27">
      <c r="A930">
        <f>COUNTIF($W$22:W930,1)</f>
        <v>0</v>
      </c>
      <c r="B930">
        <v>930</v>
      </c>
      <c r="C930" s="340" t="str">
        <f>Tabulka1[[#This Row],[KOD]]</f>
        <v>S4Z5/P</v>
      </c>
      <c r="W930" s="804" t="str">
        <f t="shared" si="31"/>
        <v/>
      </c>
      <c r="X930" t="str">
        <f t="shared" si="32"/>
        <v/>
      </c>
      <c r="Y930" s="341">
        <f>IF('General price list'!$AB932="",0,'General price list'!$AB932)</f>
        <v>0</v>
      </c>
      <c r="Z930" s="365" t="str">
        <f>IFERROR(X930*VLOOKUP(C930,'General price list'!C:I,7,FALSE),"")</f>
        <v/>
      </c>
      <c r="AA930" s="805" t="str">
        <f>IF(X930&lt;&gt;"",VLOOKUP(C930,'General price list'!C932:AN1905,MATCH("HM",Tabulka1[[#Headers],[KOD]:[NEQ]],0),FALSE),"")</f>
        <v/>
      </c>
    </row>
    <row r="931" spans="1:27">
      <c r="A931">
        <f>COUNTIF($W$22:W931,1)</f>
        <v>0</v>
      </c>
      <c r="B931">
        <v>931</v>
      </c>
      <c r="C931" s="340" t="str">
        <f>Tabulka1[[#This Row],[KOD]]</f>
        <v>S4Z6/P</v>
      </c>
      <c r="W931" s="804" t="str">
        <f t="shared" si="31"/>
        <v/>
      </c>
      <c r="X931" t="str">
        <f t="shared" si="32"/>
        <v/>
      </c>
      <c r="Y931" s="341">
        <f>IF('General price list'!$AB933="",0,'General price list'!$AB933)</f>
        <v>0</v>
      </c>
      <c r="Z931" s="365" t="str">
        <f>IFERROR(X931*VLOOKUP(C931,'General price list'!C:I,7,FALSE),"")</f>
        <v/>
      </c>
      <c r="AA931" s="805" t="str">
        <f>IF(X931&lt;&gt;"",VLOOKUP(C931,'General price list'!C933:AN1906,MATCH("HM",Tabulka1[[#Headers],[KOD]:[NEQ]],0),FALSE),"")</f>
        <v/>
      </c>
    </row>
    <row r="932" spans="1:27">
      <c r="A932">
        <f>COUNTIF($W$22:W932,1)</f>
        <v>0</v>
      </c>
      <c r="B932">
        <v>932</v>
      </c>
      <c r="C932" s="340" t="str">
        <f>Tabulka1[[#This Row],[KOD]]</f>
        <v>S4Z8/P</v>
      </c>
      <c r="W932" s="804" t="str">
        <f t="shared" si="31"/>
        <v/>
      </c>
      <c r="X932" t="str">
        <f t="shared" si="32"/>
        <v/>
      </c>
      <c r="Y932" s="341">
        <f>IF('General price list'!$AB934="",0,'General price list'!$AB934)</f>
        <v>0</v>
      </c>
      <c r="Z932" s="365" t="str">
        <f>IFERROR(X932*VLOOKUP(C932,'General price list'!C:I,7,FALSE),"")</f>
        <v/>
      </c>
      <c r="AA932" s="805" t="str">
        <f>IF(X932&lt;&gt;"",VLOOKUP(C932,'General price list'!C934:AN1907,MATCH("HM",Tabulka1[[#Headers],[KOD]:[NEQ]],0),FALSE),"")</f>
        <v/>
      </c>
    </row>
    <row r="933" spans="1:27">
      <c r="A933">
        <f>COUNTIF($W$22:W933,1)</f>
        <v>0</v>
      </c>
      <c r="B933">
        <v>933</v>
      </c>
      <c r="C933" s="340" t="str">
        <f>Tabulka1[[#This Row],[KOD]]</f>
        <v>S4Z11/P</v>
      </c>
      <c r="W933" s="804" t="str">
        <f t="shared" si="31"/>
        <v/>
      </c>
      <c r="X933" t="str">
        <f t="shared" si="32"/>
        <v/>
      </c>
      <c r="Y933" s="341">
        <f>IF('General price list'!$AB935="",0,'General price list'!$AB935)</f>
        <v>0</v>
      </c>
      <c r="Z933" s="365" t="str">
        <f>IFERROR(X933*VLOOKUP(C933,'General price list'!C:I,7,FALSE),"")</f>
        <v/>
      </c>
      <c r="AA933" s="805" t="str">
        <f>IF(X933&lt;&gt;"",VLOOKUP(C933,'General price list'!C935:AN1908,MATCH("HM",Tabulka1[[#Headers],[KOD]:[NEQ]],0),FALSE),"")</f>
        <v/>
      </c>
    </row>
    <row r="934" spans="1:27">
      <c r="A934">
        <f>COUNTIF($W$22:W934,1)</f>
        <v>0</v>
      </c>
      <c r="B934">
        <v>934</v>
      </c>
      <c r="C934" s="340" t="str">
        <f>Tabulka1[[#This Row],[KOD]]</f>
        <v>S4M/P</v>
      </c>
      <c r="W934" s="804" t="str">
        <f t="shared" si="31"/>
        <v/>
      </c>
      <c r="X934" t="str">
        <f t="shared" si="32"/>
        <v/>
      </c>
      <c r="Y934" s="341">
        <f>IF('General price list'!$AB936="",0,'General price list'!$AB936)</f>
        <v>0</v>
      </c>
      <c r="Z934" s="365" t="str">
        <f>IFERROR(X934*VLOOKUP(C934,'General price list'!C:I,7,FALSE),"")</f>
        <v/>
      </c>
      <c r="AA934" s="805" t="str">
        <f>IF(X934&lt;&gt;"",VLOOKUP(C934,'General price list'!C936:AN1909,MATCH("HM",Tabulka1[[#Headers],[KOD]:[NEQ]],0),FALSE),"")</f>
        <v/>
      </c>
    </row>
    <row r="935" spans="1:27">
      <c r="A935">
        <f>COUNTIF($W$22:W935,1)</f>
        <v>0</v>
      </c>
      <c r="B935">
        <v>935</v>
      </c>
      <c r="C935" s="340">
        <f>Tabulka1[[#This Row],[KOD]]</f>
        <v>0</v>
      </c>
      <c r="W935" s="804" t="str">
        <f t="shared" si="31"/>
        <v/>
      </c>
      <c r="X935" t="str">
        <f t="shared" si="32"/>
        <v/>
      </c>
      <c r="Y935" s="341">
        <f>IF('General price list'!$AB937="",0,'General price list'!$AB937)</f>
        <v>0</v>
      </c>
      <c r="Z935" s="365" t="str">
        <f>IFERROR(X935*VLOOKUP(C935,'General price list'!C:I,7,FALSE),"")</f>
        <v/>
      </c>
      <c r="AA935" s="805" t="str">
        <f>IF(X935&lt;&gt;"",VLOOKUP(C935,'General price list'!C937:AN1910,MATCH("HM",Tabulka1[[#Headers],[KOD]:[NEQ]],0),FALSE),"")</f>
        <v/>
      </c>
    </row>
    <row r="936" spans="1:27">
      <c r="A936">
        <f>COUNTIF($W$22:W936,1)</f>
        <v>0</v>
      </c>
      <c r="B936">
        <v>936</v>
      </c>
      <c r="C936" s="340" t="str">
        <f>Tabulka1[[#This Row],[KOD]]</f>
        <v>S5E/P</v>
      </c>
      <c r="W936" s="804" t="str">
        <f t="shared" si="31"/>
        <v/>
      </c>
      <c r="X936" t="str">
        <f t="shared" si="32"/>
        <v/>
      </c>
      <c r="Y936" s="341">
        <f>IF('General price list'!$AB938="",0,'General price list'!$AB938)</f>
        <v>0</v>
      </c>
      <c r="Z936" s="365" t="str">
        <f>IFERROR(X936*VLOOKUP(C936,'General price list'!C:I,7,FALSE),"")</f>
        <v/>
      </c>
      <c r="AA936" s="805" t="str">
        <f>IF(X936&lt;&gt;"",VLOOKUP(C936,'General price list'!C938:AN1911,MATCH("HM",Tabulka1[[#Headers],[KOD]:[NEQ]],0),FALSE),"")</f>
        <v/>
      </c>
    </row>
    <row r="937" spans="1:27">
      <c r="A937">
        <f>COUNTIF($W$22:W937,1)</f>
        <v>0</v>
      </c>
      <c r="B937">
        <v>937</v>
      </c>
      <c r="C937" s="340" t="str">
        <f>Tabulka1[[#This Row],[KOD]]</f>
        <v>S5F/P</v>
      </c>
      <c r="W937" s="804" t="str">
        <f t="shared" si="31"/>
        <v/>
      </c>
      <c r="X937" t="str">
        <f t="shared" si="32"/>
        <v/>
      </c>
      <c r="Y937" s="341">
        <f>IF('General price list'!$AB939="",0,'General price list'!$AB939)</f>
        <v>0</v>
      </c>
      <c r="Z937" s="365" t="str">
        <f>IFERROR(X937*VLOOKUP(C937,'General price list'!C:I,7,FALSE),"")</f>
        <v/>
      </c>
      <c r="AA937" s="805" t="str">
        <f>IF(X937&lt;&gt;"",VLOOKUP(C937,'General price list'!C939:AN1912,MATCH("HM",Tabulka1[[#Headers],[KOD]:[NEQ]],0),FALSE),"")</f>
        <v/>
      </c>
    </row>
    <row r="938" spans="1:27">
      <c r="A938">
        <f>COUNTIF($W$22:W938,1)</f>
        <v>0</v>
      </c>
      <c r="B938">
        <v>938</v>
      </c>
      <c r="C938" s="340" t="str">
        <f>Tabulka1[[#This Row],[KOD]]</f>
        <v>S5K/P</v>
      </c>
      <c r="W938" s="804" t="str">
        <f t="shared" si="31"/>
        <v/>
      </c>
      <c r="X938" t="str">
        <f t="shared" si="32"/>
        <v/>
      </c>
      <c r="Y938" s="341">
        <f>IF('General price list'!$AB940="",0,'General price list'!$AB940)</f>
        <v>0</v>
      </c>
      <c r="Z938" s="365" t="str">
        <f>IFERROR(X938*VLOOKUP(C938,'General price list'!C:I,7,FALSE),"")</f>
        <v/>
      </c>
      <c r="AA938" s="805" t="str">
        <f>IF(X938&lt;&gt;"",VLOOKUP(C938,'General price list'!C940:AN1913,MATCH("HM",Tabulka1[[#Headers],[KOD]:[NEQ]],0),FALSE),"")</f>
        <v/>
      </c>
    </row>
    <row r="939" spans="1:27">
      <c r="A939">
        <f>COUNTIF($W$22:W939,1)</f>
        <v>0</v>
      </c>
      <c r="B939">
        <v>939</v>
      </c>
      <c r="C939" s="340" t="str">
        <f>Tabulka1[[#This Row],[KOD]]</f>
        <v>S5M/P</v>
      </c>
      <c r="W939" s="804" t="str">
        <f t="shared" si="31"/>
        <v/>
      </c>
      <c r="X939" t="str">
        <f t="shared" si="32"/>
        <v/>
      </c>
      <c r="Y939" s="341">
        <f>IF('General price list'!$AB941="",0,'General price list'!$AB941)</f>
        <v>0</v>
      </c>
      <c r="Z939" s="365" t="str">
        <f>IFERROR(X939*VLOOKUP(C939,'General price list'!C:I,7,FALSE),"")</f>
        <v/>
      </c>
      <c r="AA939" s="805" t="str">
        <f>IF(X939&lt;&gt;"",VLOOKUP(C939,'General price list'!C941:AN1914,MATCH("HM",Tabulka1[[#Headers],[KOD]:[NEQ]],0),FALSE),"")</f>
        <v/>
      </c>
    </row>
    <row r="940" spans="1:27">
      <c r="A940">
        <f>COUNTIF($W$22:W940,1)</f>
        <v>0</v>
      </c>
      <c r="B940">
        <v>940</v>
      </c>
      <c r="C940" s="340">
        <f>Tabulka1[[#This Row],[KOD]]</f>
        <v>0</v>
      </c>
      <c r="W940" s="804" t="str">
        <f t="shared" si="31"/>
        <v/>
      </c>
      <c r="X940" t="str">
        <f t="shared" si="32"/>
        <v/>
      </c>
      <c r="Y940" s="341">
        <f>IF('General price list'!$AB942="",0,'General price list'!$AB942)</f>
        <v>0</v>
      </c>
      <c r="Z940" s="365" t="str">
        <f>IFERROR(X940*VLOOKUP(C940,'General price list'!C:I,7,FALSE),"")</f>
        <v/>
      </c>
      <c r="AA940" s="805" t="str">
        <f>IF(X940&lt;&gt;"",VLOOKUP(C940,'General price list'!C942:AN1915,MATCH("HM",Tabulka1[[#Headers],[KOD]:[NEQ]],0),FALSE),"")</f>
        <v/>
      </c>
    </row>
    <row r="941" spans="1:27">
      <c r="A941">
        <f>COUNTIF($W$22:W941,1)</f>
        <v>0</v>
      </c>
      <c r="B941">
        <v>941</v>
      </c>
      <c r="C941" s="340" t="str">
        <f>Tabulka1[[#This Row],[KOD]]</f>
        <v>S6M</v>
      </c>
      <c r="W941" s="804" t="str">
        <f t="shared" si="31"/>
        <v/>
      </c>
      <c r="X941" t="str">
        <f t="shared" si="32"/>
        <v/>
      </c>
      <c r="Y941" s="341">
        <f>IF('General price list'!$AB943="",0,'General price list'!$AB943)</f>
        <v>0</v>
      </c>
      <c r="Z941" s="365" t="str">
        <f>IFERROR(X941*VLOOKUP(C941,'General price list'!C:I,7,FALSE),"")</f>
        <v/>
      </c>
      <c r="AA941" s="805" t="str">
        <f>IF(X941&lt;&gt;"",VLOOKUP(C941,'General price list'!C943:AN1916,MATCH("HM",Tabulka1[[#Headers],[KOD]:[NEQ]],0),FALSE),"")</f>
        <v/>
      </c>
    </row>
    <row r="942" spans="1:27">
      <c r="A942">
        <f>COUNTIF($W$22:W942,1)</f>
        <v>0</v>
      </c>
      <c r="B942">
        <v>942</v>
      </c>
      <c r="C942" s="340">
        <f>Tabulka1[[#This Row],[KOD]]</f>
        <v>0</v>
      </c>
      <c r="W942" s="804" t="str">
        <f t="shared" si="31"/>
        <v/>
      </c>
      <c r="X942" t="str">
        <f t="shared" si="32"/>
        <v/>
      </c>
      <c r="Y942" s="341">
        <f>IF('General price list'!$AB944="",0,'General price list'!$AB944)</f>
        <v>0</v>
      </c>
      <c r="Z942" s="365" t="str">
        <f>IFERROR(X942*VLOOKUP(C942,'General price list'!C:I,7,FALSE),"")</f>
        <v/>
      </c>
      <c r="AA942" s="805" t="str">
        <f>IF(X942&lt;&gt;"",VLOOKUP(C942,'General price list'!C944:AN1917,MATCH("HM",Tabulka1[[#Headers],[KOD]:[NEQ]],0),FALSE),"")</f>
        <v/>
      </c>
    </row>
    <row r="943" spans="1:27">
      <c r="A943">
        <f>COUNTIF($W$22:W943,1)</f>
        <v>0</v>
      </c>
      <c r="B943">
        <v>943</v>
      </c>
      <c r="C943" s="340" t="str">
        <f>Tabulka1[[#This Row],[KOD]]</f>
        <v>S6F/P(9)</v>
      </c>
      <c r="W943" s="804" t="str">
        <f t="shared" si="31"/>
        <v/>
      </c>
      <c r="X943" t="str">
        <f t="shared" si="32"/>
        <v/>
      </c>
      <c r="Y943" s="341">
        <f>IF('General price list'!$AB945="",0,'General price list'!$AB945)</f>
        <v>0</v>
      </c>
      <c r="Z943" s="365" t="str">
        <f>IFERROR(X943*VLOOKUP(C943,'General price list'!C:I,7,FALSE),"")</f>
        <v/>
      </c>
      <c r="AA943" s="805" t="str">
        <f>IF(X943&lt;&gt;"",VLOOKUP(C943,'General price list'!C945:AN1918,MATCH("HM",Tabulka1[[#Headers],[KOD]:[NEQ]],0),FALSE),"")</f>
        <v/>
      </c>
    </row>
    <row r="944" spans="1:27">
      <c r="A944">
        <f>COUNTIF($W$22:W944,1)</f>
        <v>0</v>
      </c>
      <c r="B944">
        <v>944</v>
      </c>
      <c r="C944" s="340" t="str">
        <f>Tabulka1[[#This Row],[KOD]]</f>
        <v>S6I/P(9)</v>
      </c>
      <c r="W944" s="804" t="str">
        <f t="shared" si="31"/>
        <v/>
      </c>
      <c r="X944" t="str">
        <f t="shared" si="32"/>
        <v/>
      </c>
      <c r="Y944" s="341">
        <f>IF('General price list'!$AB946="",0,'General price list'!$AB946)</f>
        <v>0</v>
      </c>
      <c r="Z944" s="365" t="str">
        <f>IFERROR(X944*VLOOKUP(C944,'General price list'!C:I,7,FALSE),"")</f>
        <v/>
      </c>
      <c r="AA944" s="805" t="str">
        <f>IF(X944&lt;&gt;"",VLOOKUP(C944,'General price list'!C946:AN1919,MATCH("HM",Tabulka1[[#Headers],[KOD]:[NEQ]],0),FALSE),"")</f>
        <v/>
      </c>
    </row>
    <row r="945" spans="1:27">
      <c r="A945">
        <f>COUNTIF($W$22:W945,1)</f>
        <v>0</v>
      </c>
      <c r="B945">
        <v>945</v>
      </c>
      <c r="C945" s="340" t="str">
        <f>Tabulka1[[#This Row],[KOD]]</f>
        <v>S6R/P(9)</v>
      </c>
      <c r="W945" s="804" t="str">
        <f t="shared" si="31"/>
        <v/>
      </c>
      <c r="X945" t="str">
        <f t="shared" si="32"/>
        <v/>
      </c>
      <c r="Y945" s="341">
        <f>IF('General price list'!$AB947="",0,'General price list'!$AB947)</f>
        <v>0</v>
      </c>
      <c r="Z945" s="365" t="str">
        <f>IFERROR(X945*VLOOKUP(C945,'General price list'!C:I,7,FALSE),"")</f>
        <v/>
      </c>
      <c r="AA945" s="805" t="str">
        <f>IF(X945&lt;&gt;"",VLOOKUP(C945,'General price list'!C947:AN1920,MATCH("HM",Tabulka1[[#Headers],[KOD]:[NEQ]],0),FALSE),"")</f>
        <v/>
      </c>
    </row>
    <row r="946" spans="1:27">
      <c r="A946">
        <f>COUNTIF($W$22:W946,1)</f>
        <v>0</v>
      </c>
      <c r="B946">
        <v>946</v>
      </c>
      <c r="C946" s="340" t="str">
        <f>Tabulka1[[#This Row],[KOD]]</f>
        <v>S6Z3/P(9)</v>
      </c>
      <c r="W946" s="804" t="str">
        <f t="shared" si="31"/>
        <v/>
      </c>
      <c r="X946" t="str">
        <f t="shared" si="32"/>
        <v/>
      </c>
      <c r="Y946" s="341">
        <f>IF('General price list'!$AB948="",0,'General price list'!$AB948)</f>
        <v>0</v>
      </c>
      <c r="Z946" s="365" t="str">
        <f>IFERROR(X946*VLOOKUP(C946,'General price list'!C:I,7,FALSE),"")</f>
        <v/>
      </c>
      <c r="AA946" s="805" t="str">
        <f>IF(X946&lt;&gt;"",VLOOKUP(C946,'General price list'!C948:AN1921,MATCH("HM",Tabulka1[[#Headers],[KOD]:[NEQ]],0),FALSE),"")</f>
        <v/>
      </c>
    </row>
    <row r="947" spans="1:27">
      <c r="A947">
        <f>COUNTIF($W$22:W947,1)</f>
        <v>0</v>
      </c>
      <c r="B947">
        <v>947</v>
      </c>
      <c r="C947" s="340">
        <f>Tabulka1[[#This Row],[KOD]]</f>
        <v>0</v>
      </c>
      <c r="W947" s="804" t="str">
        <f t="shared" si="31"/>
        <v/>
      </c>
      <c r="X947" t="str">
        <f t="shared" si="32"/>
        <v/>
      </c>
      <c r="Y947" s="341">
        <f>IF('General price list'!$AB949="",0,'General price list'!$AB949)</f>
        <v>0</v>
      </c>
      <c r="Z947" s="365" t="str">
        <f>IFERROR(X947*VLOOKUP(C947,'General price list'!C:I,7,FALSE),"")</f>
        <v/>
      </c>
      <c r="AA947" s="805" t="str">
        <f>IF(X947&lt;&gt;"",VLOOKUP(C947,'General price list'!C949:AN1922,MATCH("HM",Tabulka1[[#Headers],[KOD]:[NEQ]],0),FALSE),"")</f>
        <v/>
      </c>
    </row>
    <row r="948" spans="1:27">
      <c r="A948">
        <f>COUNTIF($W$22:W948,1)</f>
        <v>0</v>
      </c>
      <c r="B948">
        <v>948</v>
      </c>
      <c r="C948" s="340" t="str">
        <f>Tabulka1[[#This Row],[KOD]]</f>
        <v>RKD-S03-01</v>
      </c>
      <c r="W948" s="804" t="str">
        <f t="shared" si="31"/>
        <v/>
      </c>
      <c r="X948" t="str">
        <f t="shared" si="32"/>
        <v/>
      </c>
      <c r="Y948" s="341">
        <f>IF('General price list'!$AB950="",0,'General price list'!$AB950)</f>
        <v>0</v>
      </c>
      <c r="Z948" s="365" t="str">
        <f>IFERROR(X948*VLOOKUP(C948,'General price list'!C:I,7,FALSE),"")</f>
        <v/>
      </c>
      <c r="AA948" s="805" t="str">
        <f>IF(X948&lt;&gt;"",VLOOKUP(C948,'General price list'!C950:AN1923,MATCH("HM",Tabulka1[[#Headers],[KOD]:[NEQ]],0),FALSE),"")</f>
        <v/>
      </c>
    </row>
    <row r="949" spans="1:27">
      <c r="A949">
        <f>COUNTIF($W$22:W949,1)</f>
        <v>0</v>
      </c>
      <c r="B949">
        <v>949</v>
      </c>
      <c r="C949" s="340" t="str">
        <f>Tabulka1[[#This Row],[KOD]]</f>
        <v>RKD-S03-02</v>
      </c>
      <c r="W949" s="804" t="str">
        <f t="shared" si="31"/>
        <v/>
      </c>
      <c r="X949" t="str">
        <f t="shared" si="32"/>
        <v/>
      </c>
      <c r="Y949" s="341">
        <f>IF('General price list'!$AB951="",0,'General price list'!$AB951)</f>
        <v>0</v>
      </c>
      <c r="Z949" s="365" t="str">
        <f>IFERROR(X949*VLOOKUP(C949,'General price list'!C:I,7,FALSE),"")</f>
        <v/>
      </c>
      <c r="AA949" s="805" t="str">
        <f>IF(X949&lt;&gt;"",VLOOKUP(C949,'General price list'!C951:AN1924,MATCH("HM",Tabulka1[[#Headers],[KOD]:[NEQ]],0),FALSE),"")</f>
        <v/>
      </c>
    </row>
    <row r="950" spans="1:27">
      <c r="A950">
        <f>COUNTIF($W$22:W950,1)</f>
        <v>0</v>
      </c>
      <c r="B950">
        <v>950</v>
      </c>
      <c r="C950" s="340" t="str">
        <f>Tabulka1[[#This Row],[KOD]]</f>
        <v>RKD-S03-03</v>
      </c>
      <c r="W950" s="804" t="str">
        <f t="shared" si="31"/>
        <v/>
      </c>
      <c r="X950" t="str">
        <f t="shared" si="32"/>
        <v/>
      </c>
      <c r="Y950" s="341">
        <f>IF('General price list'!$AB952="",0,'General price list'!$AB952)</f>
        <v>0</v>
      </c>
      <c r="Z950" s="365" t="str">
        <f>IFERROR(X950*VLOOKUP(C950,'General price list'!C:I,7,FALSE),"")</f>
        <v/>
      </c>
      <c r="AA950" s="805" t="str">
        <f>IF(X950&lt;&gt;"",VLOOKUP(C950,'General price list'!C952:AN1925,MATCH("HM",Tabulka1[[#Headers],[KOD]:[NEQ]],0),FALSE),"")</f>
        <v/>
      </c>
    </row>
    <row r="951" spans="1:27">
      <c r="A951">
        <f>COUNTIF($W$22:W951,1)</f>
        <v>0</v>
      </c>
      <c r="B951">
        <v>951</v>
      </c>
      <c r="C951" s="340" t="str">
        <f>Tabulka1[[#This Row],[KOD]]</f>
        <v>RKD-S04-01</v>
      </c>
      <c r="W951" s="804" t="str">
        <f t="shared" si="31"/>
        <v/>
      </c>
      <c r="X951" t="str">
        <f t="shared" si="32"/>
        <v/>
      </c>
      <c r="Y951" s="341">
        <f>IF('General price list'!$AB953="",0,'General price list'!$AB953)</f>
        <v>0</v>
      </c>
      <c r="Z951" s="365" t="str">
        <f>IFERROR(X951*VLOOKUP(C951,'General price list'!C:I,7,FALSE),"")</f>
        <v/>
      </c>
      <c r="AA951" s="805" t="str">
        <f>IF(X951&lt;&gt;"",VLOOKUP(C951,'General price list'!C953:AN1926,MATCH("HM",Tabulka1[[#Headers],[KOD]:[NEQ]],0),FALSE),"")</f>
        <v/>
      </c>
    </row>
    <row r="952" spans="1:27">
      <c r="A952">
        <f>COUNTIF($W$22:W952,1)</f>
        <v>0</v>
      </c>
      <c r="B952">
        <v>952</v>
      </c>
      <c r="C952" s="340" t="str">
        <f>Tabulka1[[#This Row],[KOD]]</f>
        <v>RKD-S04-04</v>
      </c>
      <c r="W952" s="804" t="str">
        <f t="shared" si="31"/>
        <v/>
      </c>
      <c r="X952" t="str">
        <f t="shared" si="32"/>
        <v/>
      </c>
      <c r="Y952" s="341">
        <f>IF('General price list'!$AB954="",0,'General price list'!$AB954)</f>
        <v>0</v>
      </c>
      <c r="Z952" s="365" t="str">
        <f>IFERROR(X952*VLOOKUP(C952,'General price list'!C:I,7,FALSE),"")</f>
        <v/>
      </c>
      <c r="AA952" s="805" t="str">
        <f>IF(X952&lt;&gt;"",VLOOKUP(C952,'General price list'!C954:AN1927,MATCH("HM",Tabulka1[[#Headers],[KOD]:[NEQ]],0),FALSE),"")</f>
        <v/>
      </c>
    </row>
    <row r="953" spans="1:27">
      <c r="A953">
        <f>COUNTIF($W$22:W953,1)</f>
        <v>0</v>
      </c>
      <c r="B953">
        <v>953</v>
      </c>
      <c r="C953" s="340" t="str">
        <f>Tabulka1[[#This Row],[KOD]]</f>
        <v>RKD-S05-01</v>
      </c>
      <c r="W953" s="804" t="str">
        <f t="shared" si="31"/>
        <v/>
      </c>
      <c r="X953" t="str">
        <f t="shared" si="32"/>
        <v/>
      </c>
      <c r="Y953" s="341">
        <f>IF('General price list'!$AB955="",0,'General price list'!$AB955)</f>
        <v>0</v>
      </c>
      <c r="Z953" s="365" t="str">
        <f>IFERROR(X953*VLOOKUP(C953,'General price list'!C:I,7,FALSE),"")</f>
        <v/>
      </c>
      <c r="AA953" s="805" t="str">
        <f>IF(X953&lt;&gt;"",VLOOKUP(C953,'General price list'!C955:AN1928,MATCH("HM",Tabulka1[[#Headers],[KOD]:[NEQ]],0),FALSE),"")</f>
        <v/>
      </c>
    </row>
    <row r="954" spans="1:27">
      <c r="A954">
        <f>COUNTIF($W$22:W954,1)</f>
        <v>0</v>
      </c>
      <c r="B954">
        <v>954</v>
      </c>
      <c r="C954" s="340" t="str">
        <f>Tabulka1[[#This Row],[KOD]]</f>
        <v>RKD-S05-02</v>
      </c>
      <c r="W954" s="804" t="str">
        <f t="shared" si="31"/>
        <v/>
      </c>
      <c r="X954" t="str">
        <f t="shared" si="32"/>
        <v/>
      </c>
      <c r="Y954" s="341">
        <f>IF('General price list'!$AB956="",0,'General price list'!$AB956)</f>
        <v>0</v>
      </c>
      <c r="Z954" s="365" t="str">
        <f>IFERROR(X954*VLOOKUP(C954,'General price list'!C:I,7,FALSE),"")</f>
        <v/>
      </c>
      <c r="AA954" s="805" t="str">
        <f>IF(X954&lt;&gt;"",VLOOKUP(C954,'General price list'!C956:AN1929,MATCH("HM",Tabulka1[[#Headers],[KOD]:[NEQ]],0),FALSE),"")</f>
        <v/>
      </c>
    </row>
    <row r="955" spans="1:27">
      <c r="A955">
        <f>COUNTIF($W$22:W955,1)</f>
        <v>0</v>
      </c>
      <c r="B955">
        <v>955</v>
      </c>
      <c r="C955" s="340" t="str">
        <f>Tabulka1[[#This Row],[KOD]]</f>
        <v>RKD-S05-03</v>
      </c>
      <c r="W955" s="804" t="str">
        <f t="shared" si="31"/>
        <v/>
      </c>
      <c r="X955" t="str">
        <f t="shared" si="32"/>
        <v/>
      </c>
      <c r="Y955" s="341">
        <f>IF('General price list'!$AB957="",0,'General price list'!$AB957)</f>
        <v>0</v>
      </c>
      <c r="Z955" s="365" t="str">
        <f>IFERROR(X955*VLOOKUP(C955,'General price list'!C:I,7,FALSE),"")</f>
        <v/>
      </c>
      <c r="AA955" s="805" t="str">
        <f>IF(X955&lt;&gt;"",VLOOKUP(C955,'General price list'!C957:AN1930,MATCH("HM",Tabulka1[[#Headers],[KOD]:[NEQ]],0),FALSE),"")</f>
        <v/>
      </c>
    </row>
    <row r="956" spans="1:27">
      <c r="A956">
        <f>COUNTIF($W$22:W956,1)</f>
        <v>0</v>
      </c>
      <c r="B956">
        <v>956</v>
      </c>
      <c r="C956" s="340" t="str">
        <f>Tabulka1[[#This Row],[KOD]]</f>
        <v>RKD-S05-04</v>
      </c>
      <c r="W956" s="804" t="str">
        <f t="shared" si="31"/>
        <v/>
      </c>
      <c r="X956" t="str">
        <f t="shared" si="32"/>
        <v/>
      </c>
      <c r="Y956" s="341">
        <f>IF('General price list'!$AB958="",0,'General price list'!$AB958)</f>
        <v>0</v>
      </c>
      <c r="Z956" s="365" t="str">
        <f>IFERROR(X956*VLOOKUP(C956,'General price list'!C:I,7,FALSE),"")</f>
        <v/>
      </c>
      <c r="AA956" s="805" t="str">
        <f>IF(X956&lt;&gt;"",VLOOKUP(C956,'General price list'!C958:AN1931,MATCH("HM",Tabulka1[[#Headers],[KOD]:[NEQ]],0),FALSE),"")</f>
        <v/>
      </c>
    </row>
    <row r="957" spans="1:27">
      <c r="A957">
        <f>COUNTIF($W$22:W957,1)</f>
        <v>0</v>
      </c>
      <c r="B957">
        <v>957</v>
      </c>
      <c r="C957" s="340" t="str">
        <f>Tabulka1[[#This Row],[KOD]]</f>
        <v>RKD-S05-05</v>
      </c>
      <c r="W957" s="804" t="str">
        <f t="shared" si="31"/>
        <v/>
      </c>
      <c r="X957" t="str">
        <f t="shared" si="32"/>
        <v/>
      </c>
      <c r="Y957" s="341">
        <f>IF('General price list'!$AB959="",0,'General price list'!$AB959)</f>
        <v>0</v>
      </c>
      <c r="Z957" s="365" t="str">
        <f>IFERROR(X957*VLOOKUP(C957,'General price list'!C:I,7,FALSE),"")</f>
        <v/>
      </c>
      <c r="AA957" s="805" t="str">
        <f>IF(X957&lt;&gt;"",VLOOKUP(C957,'General price list'!C959:AN1932,MATCH("HM",Tabulka1[[#Headers],[KOD]:[NEQ]],0),FALSE),"")</f>
        <v/>
      </c>
    </row>
    <row r="958" spans="1:27">
      <c r="A958">
        <f>COUNTIF($W$22:W958,1)</f>
        <v>0</v>
      </c>
      <c r="B958">
        <v>958</v>
      </c>
      <c r="C958" s="340" t="str">
        <f>Tabulka1[[#This Row],[KOD]]</f>
        <v>RKD-S05-09</v>
      </c>
      <c r="W958" s="804" t="str">
        <f t="shared" si="31"/>
        <v/>
      </c>
      <c r="X958" t="str">
        <f t="shared" si="32"/>
        <v/>
      </c>
      <c r="Y958" s="341">
        <f>IF('General price list'!$AB960="",0,'General price list'!$AB960)</f>
        <v>0</v>
      </c>
      <c r="Z958" s="365" t="str">
        <f>IFERROR(X958*VLOOKUP(C958,'General price list'!C:I,7,FALSE),"")</f>
        <v/>
      </c>
      <c r="AA958" s="805" t="str">
        <f>IF(X958&lt;&gt;"",VLOOKUP(C958,'General price list'!C960:AN1933,MATCH("HM",Tabulka1[[#Headers],[KOD]:[NEQ]],0),FALSE),"")</f>
        <v/>
      </c>
    </row>
    <row r="959" spans="1:27">
      <c r="A959">
        <f>COUNTIF($W$22:W959,1)</f>
        <v>0</v>
      </c>
      <c r="B959">
        <v>959</v>
      </c>
      <c r="C959" s="340" t="str">
        <f>Tabulka1[[#This Row],[KOD]]</f>
        <v>RKD-S05-11</v>
      </c>
      <c r="W959" s="804" t="str">
        <f t="shared" si="31"/>
        <v/>
      </c>
      <c r="X959" t="str">
        <f t="shared" si="32"/>
        <v/>
      </c>
      <c r="Y959" s="341">
        <f>IF('General price list'!$AB961="",0,'General price list'!$AB961)</f>
        <v>0</v>
      </c>
      <c r="Z959" s="365" t="str">
        <f>IFERROR(X959*VLOOKUP(C959,'General price list'!C:I,7,FALSE),"")</f>
        <v/>
      </c>
      <c r="AA959" s="805" t="str">
        <f>IF(X959&lt;&gt;"",VLOOKUP(C959,'General price list'!C961:AN1934,MATCH("HM",Tabulka1[[#Headers],[KOD]:[NEQ]],0),FALSE),"")</f>
        <v/>
      </c>
    </row>
    <row r="960" spans="1:27">
      <c r="A960">
        <f>COUNTIF($W$22:W960,1)</f>
        <v>0</v>
      </c>
      <c r="B960">
        <v>960</v>
      </c>
      <c r="C960" s="340" t="str">
        <f>Tabulka1[[#This Row],[KOD]]</f>
        <v>RKD-S05-12</v>
      </c>
      <c r="W960" s="804" t="str">
        <f t="shared" si="31"/>
        <v/>
      </c>
      <c r="X960" t="str">
        <f t="shared" si="32"/>
        <v/>
      </c>
      <c r="Y960" s="341">
        <f>IF('General price list'!$AB962="",0,'General price list'!$AB962)</f>
        <v>0</v>
      </c>
      <c r="Z960" s="365" t="str">
        <f>IFERROR(X960*VLOOKUP(C960,'General price list'!C:I,7,FALSE),"")</f>
        <v/>
      </c>
      <c r="AA960" s="805" t="str">
        <f>IF(X960&lt;&gt;"",VLOOKUP(C960,'General price list'!C962:AN1935,MATCH("HM",Tabulka1[[#Headers],[KOD]:[NEQ]],0),FALSE),"")</f>
        <v/>
      </c>
    </row>
    <row r="961" spans="1:27">
      <c r="A961">
        <f>COUNTIF($W$22:W961,1)</f>
        <v>0</v>
      </c>
      <c r="B961">
        <v>961</v>
      </c>
      <c r="C961" s="340" t="str">
        <f>Tabulka1[[#This Row],[KOD]]</f>
        <v>RKD-S06-01</v>
      </c>
      <c r="W961" s="804" t="str">
        <f t="shared" si="31"/>
        <v/>
      </c>
      <c r="X961" t="str">
        <f t="shared" si="32"/>
        <v/>
      </c>
      <c r="Y961" s="341">
        <f>IF('General price list'!$AB963="",0,'General price list'!$AB963)</f>
        <v>0</v>
      </c>
      <c r="Z961" s="365" t="str">
        <f>IFERROR(X961*VLOOKUP(C961,'General price list'!C:I,7,FALSE),"")</f>
        <v/>
      </c>
      <c r="AA961" s="805" t="str">
        <f>IF(X961&lt;&gt;"",VLOOKUP(C961,'General price list'!C963:AN1936,MATCH("HM",Tabulka1[[#Headers],[KOD]:[NEQ]],0),FALSE),"")</f>
        <v/>
      </c>
    </row>
    <row r="962" spans="1:27">
      <c r="A962">
        <f>COUNTIF($W$22:W962,1)</f>
        <v>0</v>
      </c>
      <c r="B962">
        <v>962</v>
      </c>
      <c r="C962" s="340" t="str">
        <f>Tabulka1[[#This Row],[KOD]]</f>
        <v>RKD-S06-02</v>
      </c>
      <c r="W962" s="804" t="str">
        <f t="shared" si="31"/>
        <v/>
      </c>
      <c r="X962" t="str">
        <f t="shared" si="32"/>
        <v/>
      </c>
      <c r="Y962" s="341">
        <f>IF('General price list'!$AB964="",0,'General price list'!$AB964)</f>
        <v>0</v>
      </c>
      <c r="Z962" s="365" t="str">
        <f>IFERROR(X962*VLOOKUP(C962,'General price list'!C:I,7,FALSE),"")</f>
        <v/>
      </c>
      <c r="AA962" s="805" t="str">
        <f>IF(X962&lt;&gt;"",VLOOKUP(C962,'General price list'!C964:AN1937,MATCH("HM",Tabulka1[[#Headers],[KOD]:[NEQ]],0),FALSE),"")</f>
        <v/>
      </c>
    </row>
    <row r="963" spans="1:27">
      <c r="A963">
        <f>COUNTIF($W$22:W963,1)</f>
        <v>0</v>
      </c>
      <c r="B963">
        <v>963</v>
      </c>
      <c r="C963" s="340" t="str">
        <f>Tabulka1[[#This Row],[KOD]]</f>
        <v>RKD-S06-03</v>
      </c>
      <c r="W963" s="804" t="str">
        <f t="shared" si="31"/>
        <v/>
      </c>
      <c r="X963" t="str">
        <f t="shared" si="32"/>
        <v/>
      </c>
      <c r="Y963" s="341">
        <f>IF('General price list'!$AB965="",0,'General price list'!$AB965)</f>
        <v>0</v>
      </c>
      <c r="Z963" s="365" t="str">
        <f>IFERROR(X963*VLOOKUP(C963,'General price list'!C:I,7,FALSE),"")</f>
        <v/>
      </c>
      <c r="AA963" s="805" t="str">
        <f>IF(X963&lt;&gt;"",VLOOKUP(C963,'General price list'!C965:AN1938,MATCH("HM",Tabulka1[[#Headers],[KOD]:[NEQ]],0),FALSE),"")</f>
        <v/>
      </c>
    </row>
    <row r="964" spans="1:27">
      <c r="A964">
        <f>COUNTIF($W$22:W964,1)</f>
        <v>0</v>
      </c>
      <c r="B964">
        <v>964</v>
      </c>
      <c r="C964" s="340" t="str">
        <f>Tabulka1[[#This Row],[KOD]]</f>
        <v>RKD-S06-04</v>
      </c>
      <c r="W964" s="804" t="str">
        <f t="shared" si="31"/>
        <v/>
      </c>
      <c r="X964" t="str">
        <f t="shared" si="32"/>
        <v/>
      </c>
      <c r="Y964" s="341">
        <f>IF('General price list'!$AB966="",0,'General price list'!$AB966)</f>
        <v>0</v>
      </c>
      <c r="Z964" s="365" t="str">
        <f>IFERROR(X964*VLOOKUP(C964,'General price list'!C:I,7,FALSE),"")</f>
        <v/>
      </c>
      <c r="AA964" s="805" t="str">
        <f>IF(X964&lt;&gt;"",VLOOKUP(C964,'General price list'!C966:AN1939,MATCH("HM",Tabulka1[[#Headers],[KOD]:[NEQ]],0),FALSE),"")</f>
        <v/>
      </c>
    </row>
    <row r="965" spans="1:27">
      <c r="A965">
        <f>COUNTIF($W$22:W965,1)</f>
        <v>0</v>
      </c>
      <c r="B965">
        <v>965</v>
      </c>
      <c r="C965" s="340" t="str">
        <f>Tabulka1[[#This Row],[KOD]]</f>
        <v>RKD-S06-05</v>
      </c>
      <c r="W965" s="804" t="str">
        <f t="shared" si="31"/>
        <v/>
      </c>
      <c r="X965" t="str">
        <f t="shared" si="32"/>
        <v/>
      </c>
      <c r="Y965" s="341">
        <f>IF('General price list'!$AB967="",0,'General price list'!$AB967)</f>
        <v>0</v>
      </c>
      <c r="Z965" s="365" t="str">
        <f>IFERROR(X965*VLOOKUP(C965,'General price list'!C:I,7,FALSE),"")</f>
        <v/>
      </c>
      <c r="AA965" s="805" t="str">
        <f>IF(X965&lt;&gt;"",VLOOKUP(C965,'General price list'!C967:AN1940,MATCH("HM",Tabulka1[[#Headers],[KOD]:[NEQ]],0),FALSE),"")</f>
        <v/>
      </c>
    </row>
    <row r="966" spans="1:27">
      <c r="A966">
        <f>COUNTIF($W$22:W966,1)</f>
        <v>0</v>
      </c>
      <c r="B966">
        <v>966</v>
      </c>
      <c r="C966" s="340" t="str">
        <f>Tabulka1[[#This Row],[KOD]]</f>
        <v>RKD-S06-07</v>
      </c>
      <c r="W966" s="804" t="str">
        <f t="shared" si="31"/>
        <v/>
      </c>
      <c r="X966" t="str">
        <f t="shared" si="32"/>
        <v/>
      </c>
      <c r="Y966" s="341">
        <f>IF('General price list'!$AB968="",0,'General price list'!$AB968)</f>
        <v>0</v>
      </c>
      <c r="Z966" s="365" t="str">
        <f>IFERROR(X966*VLOOKUP(C966,'General price list'!C:I,7,FALSE),"")</f>
        <v/>
      </c>
      <c r="AA966" s="805" t="str">
        <f>IF(X966&lt;&gt;"",VLOOKUP(C966,'General price list'!C968:AN1941,MATCH("HM",Tabulka1[[#Headers],[KOD]:[NEQ]],0),FALSE),"")</f>
        <v/>
      </c>
    </row>
    <row r="967" spans="1:27">
      <c r="A967">
        <f>COUNTIF($W$22:W967,1)</f>
        <v>0</v>
      </c>
      <c r="B967">
        <v>967</v>
      </c>
      <c r="C967" s="340">
        <f>Tabulka1[[#This Row],[KOD]]</f>
        <v>0</v>
      </c>
      <c r="W967" s="804" t="str">
        <f t="shared" si="31"/>
        <v/>
      </c>
      <c r="X967" t="str">
        <f t="shared" si="32"/>
        <v/>
      </c>
      <c r="Y967" s="341">
        <f>IF('General price list'!$AB969="",0,'General price list'!$AB969)</f>
        <v>0</v>
      </c>
      <c r="Z967" s="365" t="str">
        <f>IFERROR(X967*VLOOKUP(C967,'General price list'!C:I,7,FALSE),"")</f>
        <v/>
      </c>
      <c r="AA967" s="805" t="str">
        <f>IF(X967&lt;&gt;"",VLOOKUP(C967,'General price list'!C969:AN1942,MATCH("HM",Tabulka1[[#Headers],[KOD]:[NEQ]],0),FALSE),"")</f>
        <v/>
      </c>
    </row>
    <row r="968" spans="1:27">
      <c r="A968">
        <f>COUNTIF($W$22:W968,1)</f>
        <v>0</v>
      </c>
      <c r="B968">
        <v>968</v>
      </c>
      <c r="C968" s="340" t="str">
        <f>Tabulka1[[#This Row],[KOD]]</f>
        <v>M2</v>
      </c>
      <c r="W968" s="804" t="str">
        <f t="shared" si="31"/>
        <v/>
      </c>
      <c r="X968" t="str">
        <f t="shared" si="32"/>
        <v/>
      </c>
      <c r="Y968" s="341">
        <f>IF('General price list'!$AB970="",0,'General price list'!$AB970)</f>
        <v>0</v>
      </c>
      <c r="Z968" s="365" t="str">
        <f>IFERROR(X968*VLOOKUP(C968,'General price list'!C:I,7,FALSE),"")</f>
        <v/>
      </c>
      <c r="AA968" s="805" t="str">
        <f>IF(X968&lt;&gt;"",VLOOKUP(C968,'General price list'!C970:AN1943,MATCH("HM",Tabulka1[[#Headers],[KOD]:[NEQ]],0),FALSE),"")</f>
        <v/>
      </c>
    </row>
    <row r="969" spans="1:27">
      <c r="A969">
        <f>COUNTIF($W$22:W969,1)</f>
        <v>0</v>
      </c>
      <c r="B969">
        <v>969</v>
      </c>
      <c r="C969" s="340" t="str">
        <f>Tabulka1[[#This Row],[KOD]]</f>
        <v>M3</v>
      </c>
      <c r="W969" s="804" t="str">
        <f t="shared" si="31"/>
        <v/>
      </c>
      <c r="X969" t="str">
        <f t="shared" si="32"/>
        <v/>
      </c>
      <c r="Y969" s="341">
        <f>IF('General price list'!$AB971="",0,'General price list'!$AB971)</f>
        <v>0</v>
      </c>
      <c r="Z969" s="365" t="str">
        <f>IFERROR(X969*VLOOKUP(C969,'General price list'!C:I,7,FALSE),"")</f>
        <v/>
      </c>
      <c r="AA969" s="805" t="str">
        <f>IF(X969&lt;&gt;"",VLOOKUP(C969,'General price list'!C971:AN1944,MATCH("HM",Tabulka1[[#Headers],[KOD]:[NEQ]],0),FALSE),"")</f>
        <v/>
      </c>
    </row>
    <row r="970" spans="1:27">
      <c r="A970">
        <f>COUNTIF($W$22:W970,1)</f>
        <v>0</v>
      </c>
      <c r="B970">
        <v>970</v>
      </c>
      <c r="C970" s="340" t="str">
        <f>Tabulka1[[#This Row],[KOD]]</f>
        <v>M4</v>
      </c>
      <c r="W970" s="804" t="str">
        <f t="shared" si="31"/>
        <v/>
      </c>
      <c r="X970" t="str">
        <f t="shared" si="32"/>
        <v/>
      </c>
      <c r="Y970" s="341">
        <f>IF('General price list'!$AB972="",0,'General price list'!$AB972)</f>
        <v>0</v>
      </c>
      <c r="Z970" s="365" t="str">
        <f>IFERROR(X970*VLOOKUP(C970,'General price list'!C:I,7,FALSE),"")</f>
        <v/>
      </c>
      <c r="AA970" s="805" t="str">
        <f>IF(X970&lt;&gt;"",VLOOKUP(C970,'General price list'!C972:AN1945,MATCH("HM",Tabulka1[[#Headers],[KOD]:[NEQ]],0),FALSE),"")</f>
        <v/>
      </c>
    </row>
    <row r="971" spans="1:27">
      <c r="A971">
        <f>COUNTIF($W$22:W971,1)</f>
        <v>0</v>
      </c>
      <c r="B971">
        <v>971</v>
      </c>
      <c r="C971" s="340" t="str">
        <f>Tabulka1[[#This Row],[KOD]]</f>
        <v>M5</v>
      </c>
      <c r="W971" s="804" t="str">
        <f t="shared" si="31"/>
        <v/>
      </c>
      <c r="X971" t="str">
        <f t="shared" si="32"/>
        <v/>
      </c>
      <c r="Y971" s="341">
        <f>IF('General price list'!$AB973="",0,'General price list'!$AB973)</f>
        <v>0</v>
      </c>
      <c r="Z971" s="365" t="str">
        <f>IFERROR(X971*VLOOKUP(C971,'General price list'!C:I,7,FALSE),"")</f>
        <v/>
      </c>
      <c r="AA971" s="805" t="str">
        <f>IF(X971&lt;&gt;"",VLOOKUP(C971,'General price list'!C973:AN1946,MATCH("HM",Tabulka1[[#Headers],[KOD]:[NEQ]],0),FALSE),"")</f>
        <v/>
      </c>
    </row>
    <row r="972" spans="1:27">
      <c r="A972">
        <f>COUNTIF($W$22:W972,1)</f>
        <v>0</v>
      </c>
      <c r="B972">
        <v>972</v>
      </c>
      <c r="C972" s="340" t="str">
        <f>Tabulka1[[#This Row],[KOD]]</f>
        <v>M6</v>
      </c>
      <c r="W972" s="804" t="str">
        <f t="shared" si="31"/>
        <v/>
      </c>
      <c r="X972" t="str">
        <f t="shared" si="32"/>
        <v/>
      </c>
      <c r="Y972" s="341">
        <f>IF('General price list'!$AB974="",0,'General price list'!$AB974)</f>
        <v>0</v>
      </c>
      <c r="Z972" s="365" t="str">
        <f>IFERROR(X972*VLOOKUP(C972,'General price list'!C:I,7,FALSE),"")</f>
        <v/>
      </c>
      <c r="AA972" s="805" t="str">
        <f>IF(X972&lt;&gt;"",VLOOKUP(C972,'General price list'!C974:AN1947,MATCH("HM",Tabulka1[[#Headers],[KOD]:[NEQ]],0),FALSE),"")</f>
        <v/>
      </c>
    </row>
    <row r="973" spans="1:27">
      <c r="A973">
        <f>COUNTIF($W$22:W973,1)</f>
        <v>0</v>
      </c>
      <c r="B973">
        <v>973</v>
      </c>
      <c r="C973" s="340">
        <f>Tabulka1[[#This Row],[KOD]]</f>
        <v>0</v>
      </c>
      <c r="W973" s="804" t="str">
        <f t="shared" si="31"/>
        <v/>
      </c>
      <c r="X973" t="str">
        <f t="shared" si="32"/>
        <v/>
      </c>
      <c r="Y973" s="341">
        <f>IF('General price list'!$AB975="",0,'General price list'!$AB975)</f>
        <v>0</v>
      </c>
      <c r="Z973" s="365" t="str">
        <f>IFERROR(X973*VLOOKUP(C973,'General price list'!C:I,7,FALSE),"")</f>
        <v/>
      </c>
      <c r="AA973" s="805" t="str">
        <f>IF(X973&lt;&gt;"",VLOOKUP(C973,'General price list'!C975:AN1948,MATCH("HM",Tabulka1[[#Headers],[KOD]:[NEQ]],0),FALSE),"")</f>
        <v/>
      </c>
    </row>
    <row r="974" spans="1:27">
      <c r="A974">
        <f>COUNTIF($W$22:W974,1)</f>
        <v>0</v>
      </c>
      <c r="B974">
        <v>974</v>
      </c>
      <c r="C974" s="340" t="str">
        <f>Tabulka1[[#This Row],[KOD]]</f>
        <v>IF220A</v>
      </c>
      <c r="W974" s="804" t="str">
        <f t="shared" si="31"/>
        <v/>
      </c>
      <c r="X974" t="str">
        <f t="shared" si="32"/>
        <v/>
      </c>
      <c r="Y974" s="341">
        <f>IF('General price list'!$AB976="",0,'General price list'!$AB976)</f>
        <v>0</v>
      </c>
      <c r="Z974" s="365" t="str">
        <f>IFERROR(X974*VLOOKUP(C974,'General price list'!C:I,7,FALSE),"")</f>
        <v/>
      </c>
      <c r="AA974" s="805" t="str">
        <f>IF(X974&lt;&gt;"",VLOOKUP(C974,'General price list'!C976:AN1949,MATCH("HM",Tabulka1[[#Headers],[KOD]:[NEQ]],0),FALSE),"")</f>
        <v/>
      </c>
    </row>
    <row r="975" spans="1:27">
      <c r="A975">
        <f>COUNTIF($W$22:W975,1)</f>
        <v>0</v>
      </c>
      <c r="B975">
        <v>975</v>
      </c>
      <c r="C975" s="340" t="str">
        <f>Tabulka1[[#This Row],[KOD]]</f>
        <v>IF3MA</v>
      </c>
      <c r="W975" s="804" t="str">
        <f t="shared" si="31"/>
        <v/>
      </c>
      <c r="X975" t="str">
        <f t="shared" si="32"/>
        <v/>
      </c>
      <c r="Y975" s="341">
        <f>IF('General price list'!$AB977="",0,'General price list'!$AB977)</f>
        <v>0</v>
      </c>
      <c r="Z975" s="365" t="str">
        <f>IFERROR(X975*VLOOKUP(C975,'General price list'!C:I,7,FALSE),"")</f>
        <v/>
      </c>
      <c r="AA975" s="805" t="str">
        <f>IF(X975&lt;&gt;"",VLOOKUP(C975,'General price list'!C977:AN1950,MATCH("HM",Tabulka1[[#Headers],[KOD]:[NEQ]],0),FALSE),"")</f>
        <v/>
      </c>
    </row>
    <row r="976" spans="1:27">
      <c r="A976">
        <f>COUNTIF($W$22:W976,1)</f>
        <v>0</v>
      </c>
      <c r="B976">
        <v>976</v>
      </c>
      <c r="C976" s="340" t="str">
        <f>Tabulka1[[#This Row],[KOD]]</f>
        <v>IF560B</v>
      </c>
      <c r="W976" s="804" t="str">
        <f t="shared" si="31"/>
        <v/>
      </c>
      <c r="X976" t="str">
        <f t="shared" si="32"/>
        <v/>
      </c>
      <c r="Y976" s="341">
        <f>IF('General price list'!$AB978="",0,'General price list'!$AB978)</f>
        <v>0</v>
      </c>
      <c r="Z976" s="365" t="str">
        <f>IFERROR(X976*VLOOKUP(C976,'General price list'!C:I,7,FALSE),"")</f>
        <v/>
      </c>
      <c r="AA976" s="805" t="str">
        <f>IF(X976&lt;&gt;"",VLOOKUP(C976,'General price list'!C978:AN1951,MATCH("HM",Tabulka1[[#Headers],[KOD]:[NEQ]],0),FALSE),"")</f>
        <v/>
      </c>
    </row>
    <row r="977" spans="1:27">
      <c r="A977">
        <f>COUNTIF($W$22:W977,1)</f>
        <v>0</v>
      </c>
      <c r="B977">
        <v>977</v>
      </c>
      <c r="C977" s="340">
        <f>Tabulka1[[#This Row],[KOD]]</f>
        <v>0</v>
      </c>
      <c r="W977" s="804" t="str">
        <f t="shared" si="31"/>
        <v/>
      </c>
      <c r="X977" t="str">
        <f t="shared" si="32"/>
        <v/>
      </c>
      <c r="Y977" s="341">
        <f>IF('General price list'!$AB979="",0,'General price list'!$AB979)</f>
        <v>0</v>
      </c>
      <c r="Z977" s="365" t="str">
        <f>IFERROR(X977*VLOOKUP(C977,'General price list'!C:I,7,FALSE),"")</f>
        <v/>
      </c>
      <c r="AA977" s="805" t="str">
        <f>IF(X977&lt;&gt;"",VLOOKUP(C977,'General price list'!C979:AN1952,MATCH("HM",Tabulka1[[#Headers],[KOD]:[NEQ]],0),FALSE),"")</f>
        <v/>
      </c>
    </row>
    <row r="978" spans="1:27">
      <c r="A978">
        <f>COUNTIF($W$22:W978,1)</f>
        <v>0</v>
      </c>
      <c r="B978">
        <v>978</v>
      </c>
      <c r="C978" s="340" t="str">
        <f>Tabulka1[[#This Row],[KOD]]</f>
        <v>EP03M</v>
      </c>
      <c r="W978" s="804" t="str">
        <f t="shared" si="31"/>
        <v/>
      </c>
      <c r="X978" t="str">
        <f t="shared" si="32"/>
        <v/>
      </c>
      <c r="Y978" s="341">
        <f>IF('General price list'!$AB980="",0,'General price list'!$AB980)</f>
        <v>0</v>
      </c>
      <c r="Z978" s="365" t="str">
        <f>IFERROR(X978*VLOOKUP(C978,'General price list'!C:I,7,FALSE),"")</f>
        <v/>
      </c>
      <c r="AA978" s="805" t="str">
        <f>IF(X978&lt;&gt;"",VLOOKUP(C978,'General price list'!C980:AN1953,MATCH("HM",Tabulka1[[#Headers],[KOD]:[NEQ]],0),FALSE),"")</f>
        <v/>
      </c>
    </row>
    <row r="979" spans="1:27">
      <c r="A979">
        <f>COUNTIF($W$22:W979,1)</f>
        <v>0</v>
      </c>
      <c r="B979">
        <v>979</v>
      </c>
      <c r="C979" s="340" t="str">
        <f>Tabulka1[[#This Row],[KOD]]</f>
        <v>EP1M</v>
      </c>
      <c r="W979" s="804" t="str">
        <f t="shared" si="31"/>
        <v/>
      </c>
      <c r="X979" t="str">
        <f t="shared" si="32"/>
        <v/>
      </c>
      <c r="Y979" s="341">
        <f>IF('General price list'!$AB981="",0,'General price list'!$AB981)</f>
        <v>0</v>
      </c>
      <c r="Z979" s="365" t="str">
        <f>IFERROR(X979*VLOOKUP(C979,'General price list'!C:I,7,FALSE),"")</f>
        <v/>
      </c>
      <c r="AA979" s="805" t="str">
        <f>IF(X979&lt;&gt;"",VLOOKUP(C979,'General price list'!C981:AN1954,MATCH("HM",Tabulka1[[#Headers],[KOD]:[NEQ]],0),FALSE),"")</f>
        <v/>
      </c>
    </row>
    <row r="980" spans="1:27">
      <c r="A980">
        <f>COUNTIF($W$22:W980,1)</f>
        <v>0</v>
      </c>
      <c r="B980">
        <v>980</v>
      </c>
      <c r="C980" s="340" t="str">
        <f>Tabulka1[[#This Row],[KOD]]</f>
        <v>EP2M</v>
      </c>
      <c r="W980" s="804" t="str">
        <f t="shared" si="31"/>
        <v/>
      </c>
      <c r="X980" t="str">
        <f t="shared" si="32"/>
        <v/>
      </c>
      <c r="Y980" s="341">
        <f>IF('General price list'!$AB982="",0,'General price list'!$AB982)</f>
        <v>0</v>
      </c>
      <c r="Z980" s="365" t="str">
        <f>IFERROR(X980*VLOOKUP(C980,'General price list'!C:I,7,FALSE),"")</f>
        <v/>
      </c>
      <c r="AA980" s="805" t="str">
        <f>IF(X980&lt;&gt;"",VLOOKUP(C980,'General price list'!C982:AN1955,MATCH("HM",Tabulka1[[#Headers],[KOD]:[NEQ]],0),FALSE),"")</f>
        <v/>
      </c>
    </row>
    <row r="981" spans="1:27">
      <c r="A981">
        <f>COUNTIF($W$22:W981,1)</f>
        <v>0</v>
      </c>
      <c r="B981">
        <v>981</v>
      </c>
      <c r="C981" s="340" t="str">
        <f>Tabulka1[[#This Row],[KOD]]</f>
        <v>EP3M</v>
      </c>
      <c r="W981" s="804" t="str">
        <f t="shared" si="31"/>
        <v/>
      </c>
      <c r="X981" t="str">
        <f t="shared" si="32"/>
        <v/>
      </c>
      <c r="Y981" s="341">
        <f>IF('General price list'!$AB983="",0,'General price list'!$AB983)</f>
        <v>0</v>
      </c>
      <c r="Z981" s="365" t="str">
        <f>IFERROR(X981*VLOOKUP(C981,'General price list'!C:I,7,FALSE),"")</f>
        <v/>
      </c>
      <c r="AA981" s="805" t="str">
        <f>IF(X981&lt;&gt;"",VLOOKUP(C981,'General price list'!C983:AN1956,MATCH("HM",Tabulka1[[#Headers],[KOD]:[NEQ]],0),FALSE),"")</f>
        <v/>
      </c>
    </row>
  </sheetData>
  <autoFilter ref="X18:X981" xr:uid="{49E27291-F974-4AB4-9CA6-FE13E3B422DE}"/>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20234-8B84-49C2-8A34-E3774FFB5A9C}">
  <sheetPr codeName="List1"/>
  <dimension ref="A1:DG87"/>
  <sheetViews>
    <sheetView topLeftCell="AL1" zoomScale="70" zoomScaleNormal="70" workbookViewId="0">
      <selection activeCell="BY48" sqref="BY48"/>
    </sheetView>
  </sheetViews>
  <sheetFormatPr defaultRowHeight="15"/>
  <cols>
    <col min="1" max="1" width="9.140625" style="328"/>
    <col min="3" max="3" width="4.5703125" customWidth="1"/>
    <col min="4" max="4" width="4.140625" customWidth="1"/>
    <col min="5" max="5" width="5.85546875" customWidth="1"/>
    <col min="11" max="11" width="7.5703125" customWidth="1"/>
    <col min="12" max="12" width="9.140625" style="328"/>
    <col min="32" max="32" width="4.7109375" style="328" customWidth="1"/>
    <col min="33" max="33" width="12.28515625" customWidth="1"/>
    <col min="34" max="34" width="8.42578125" customWidth="1"/>
    <col min="35" max="35" width="2.5703125" customWidth="1"/>
    <col min="36" max="36" width="10" style="157" customWidth="1"/>
    <col min="37" max="37" width="5.42578125" style="13" customWidth="1"/>
    <col min="38" max="38" width="7.85546875" style="13" customWidth="1"/>
    <col min="39" max="39" width="4.28515625" style="13" customWidth="1"/>
    <col min="40" max="40" width="2.7109375" style="13" customWidth="1"/>
    <col min="41" max="41" width="9.140625" style="13" customWidth="1"/>
    <col min="42" max="42" width="12.42578125" style="13" customWidth="1"/>
    <col min="43" max="43" width="7.85546875" style="13" customWidth="1"/>
    <col min="44" max="44" width="3.5703125" style="13" customWidth="1"/>
    <col min="45" max="45" width="10.85546875" style="13" customWidth="1"/>
    <col min="46" max="46" width="3.140625" style="13" customWidth="1"/>
    <col min="47" max="47" width="17.5703125" style="13" customWidth="1"/>
    <col min="48" max="48" width="9.140625" style="13"/>
    <col min="49" max="49" width="6.85546875" style="13" customWidth="1"/>
    <col min="50" max="50" width="3.7109375" style="13" customWidth="1"/>
    <col min="51" max="51" width="9.140625" style="13"/>
    <col min="52" max="52" width="9.140625" style="156"/>
    <col min="53" max="53" width="10.28515625" customWidth="1"/>
    <col min="54" max="54" width="0.7109375" customWidth="1"/>
    <col min="61" max="61" width="0.7109375" customWidth="1"/>
    <col min="62" max="62" width="11.85546875" bestFit="1" customWidth="1"/>
    <col min="67" max="67" width="9.140625" style="376"/>
    <col min="72" max="72" width="9.140625" style="394"/>
    <col min="73" max="73" width="12.85546875" customWidth="1"/>
    <col min="75" max="75" width="12.85546875" customWidth="1"/>
    <col min="78" max="78" width="9.140625" style="376"/>
    <col min="79" max="79" width="15.28515625" customWidth="1"/>
    <col min="80" max="80" width="6.5703125" customWidth="1"/>
    <col min="81" max="81" width="15.28515625" customWidth="1"/>
    <col min="82" max="82" width="6.5703125" customWidth="1"/>
    <col min="83" max="83" width="15.28515625" customWidth="1"/>
    <col min="84" max="84" width="6.5703125" customWidth="1"/>
    <col min="85" max="85" width="15.28515625" customWidth="1"/>
    <col min="86" max="86" width="6.5703125" customWidth="1"/>
    <col min="87" max="87" width="9.140625" style="328"/>
    <col min="88" max="88" width="2" customWidth="1"/>
    <col min="93" max="93" width="2" customWidth="1"/>
  </cols>
  <sheetData>
    <row r="1" spans="1:111" ht="15" customHeight="1">
      <c r="A1" s="420"/>
      <c r="B1" s="394"/>
      <c r="C1" s="394"/>
      <c r="D1" s="394"/>
      <c r="E1" s="394"/>
      <c r="F1" s="394"/>
      <c r="G1" s="394"/>
      <c r="H1" s="394"/>
      <c r="I1" s="394"/>
      <c r="J1" s="394"/>
      <c r="K1" s="394"/>
      <c r="L1" s="420"/>
      <c r="M1" s="394"/>
      <c r="N1" s="394"/>
      <c r="O1" s="394"/>
      <c r="P1" s="394"/>
      <c r="Q1" s="394"/>
      <c r="R1" s="394"/>
      <c r="S1" s="394"/>
      <c r="T1" s="394"/>
      <c r="U1" s="394"/>
      <c r="V1" s="394"/>
      <c r="W1" s="394"/>
      <c r="X1" s="394"/>
      <c r="Y1" s="394"/>
      <c r="Z1" s="394"/>
      <c r="AA1" s="394"/>
      <c r="AB1" s="394"/>
      <c r="AC1" s="394"/>
      <c r="AD1" s="394"/>
      <c r="AE1" s="394"/>
      <c r="AF1" s="395"/>
      <c r="AG1" s="325" t="str">
        <f>'General price list'!J1</f>
        <v>Odběr nad</v>
      </c>
      <c r="AH1" s="145" t="str">
        <f>'General price list'!M1</f>
        <v>Sleva v %:</v>
      </c>
      <c r="AI1" s="13"/>
      <c r="BA1" s="13"/>
      <c r="BB1" s="13"/>
      <c r="BQ1" t="s">
        <v>11356</v>
      </c>
      <c r="CD1" t="s">
        <v>11354</v>
      </c>
      <c r="CJ1" s="394"/>
      <c r="CK1" s="394"/>
      <c r="CL1" s="394" t="s">
        <v>11355</v>
      </c>
      <c r="CM1" s="394"/>
      <c r="CN1" s="394"/>
      <c r="CO1" s="394"/>
      <c r="CP1" s="394"/>
      <c r="CQ1" s="394"/>
      <c r="CR1" s="394"/>
      <c r="CS1" s="394"/>
      <c r="CT1" s="394"/>
      <c r="CU1" s="394"/>
      <c r="CV1" s="394"/>
      <c r="CW1" s="394"/>
      <c r="CX1" s="394"/>
      <c r="CY1" s="394"/>
      <c r="CZ1" s="394"/>
      <c r="DA1" s="394"/>
      <c r="DB1" s="394"/>
      <c r="DC1" s="394"/>
      <c r="DD1" s="394"/>
      <c r="DE1" s="394"/>
      <c r="DF1" s="394"/>
      <c r="DG1" s="394"/>
    </row>
    <row r="2" spans="1:111" ht="15" customHeight="1">
      <c r="A2" s="420"/>
      <c r="B2" s="394"/>
      <c r="C2" s="394"/>
      <c r="D2" s="394"/>
      <c r="E2" s="394"/>
      <c r="F2" s="394"/>
      <c r="G2" s="394"/>
      <c r="H2" s="394"/>
      <c r="I2" s="394"/>
      <c r="J2" s="394"/>
      <c r="K2" s="394"/>
      <c r="L2" s="420"/>
      <c r="M2" s="394"/>
      <c r="N2" s="394"/>
      <c r="O2" s="394"/>
      <c r="P2" s="394"/>
      <c r="Q2" s="394"/>
      <c r="R2" s="394"/>
      <c r="S2" s="394"/>
      <c r="T2" s="394"/>
      <c r="U2" s="394"/>
      <c r="V2" s="394"/>
      <c r="W2" s="394"/>
      <c r="X2" s="394"/>
      <c r="Y2" s="394"/>
      <c r="Z2" s="394"/>
      <c r="AA2" s="394"/>
      <c r="AB2" s="394"/>
      <c r="AC2" s="394"/>
      <c r="AD2" s="394"/>
      <c r="AE2" s="394"/>
      <c r="AF2" s="395"/>
      <c r="AG2" s="447">
        <f>IF('General price list'!$W$17='General price list'!$AF$8,AJ2,'General price list'!J2)</f>
        <v>5000</v>
      </c>
      <c r="AH2" s="308" t="str">
        <f>"-"&amp;'General price list'!O2&amp;"%"</f>
        <v>-5%</v>
      </c>
      <c r="AI2" s="116"/>
      <c r="AJ2" s="439" t="s">
        <v>11980</v>
      </c>
      <c r="AK2" s="117"/>
      <c r="AL2" s="117"/>
      <c r="AM2" s="117"/>
      <c r="AN2" s="117"/>
      <c r="BA2" s="13"/>
      <c r="BB2" s="13"/>
      <c r="BD2" s="13"/>
      <c r="BE2" s="13"/>
      <c r="BU2" s="613" t="str">
        <f>AG1</f>
        <v>Odběr nad</v>
      </c>
      <c r="BV2" s="613" t="str">
        <f>AH1</f>
        <v>Sleva v %:</v>
      </c>
      <c r="BW2" s="613" t="str">
        <f>BU2</f>
        <v>Odběr nad</v>
      </c>
      <c r="BX2" s="613" t="str">
        <f>BV2</f>
        <v>Sleva v %:</v>
      </c>
      <c r="CJ2" s="394"/>
      <c r="CK2" s="394"/>
      <c r="CL2" s="394"/>
      <c r="CM2" s="394"/>
      <c r="CN2" s="394"/>
      <c r="CO2" s="394"/>
      <c r="CP2" s="394"/>
      <c r="CQ2" s="394"/>
      <c r="CR2" s="394"/>
      <c r="CS2" s="394"/>
      <c r="CT2" s="394"/>
      <c r="CU2" s="394"/>
      <c r="CV2" s="394"/>
      <c r="CW2" s="394"/>
      <c r="CX2" s="394"/>
      <c r="CY2" s="394"/>
      <c r="CZ2" s="394"/>
      <c r="DA2" s="394"/>
      <c r="DB2" s="394"/>
      <c r="DC2" s="394"/>
      <c r="DD2" s="394"/>
      <c r="DE2" s="394"/>
      <c r="DF2" s="394"/>
      <c r="DG2" s="394"/>
    </row>
    <row r="3" spans="1:111" ht="15" customHeight="1">
      <c r="A3" s="420"/>
      <c r="B3" s="394"/>
      <c r="C3" s="394"/>
      <c r="D3" s="394"/>
      <c r="E3" s="394"/>
      <c r="F3" s="394"/>
      <c r="G3" s="394"/>
      <c r="H3" s="394"/>
      <c r="I3" s="394"/>
      <c r="J3" s="394"/>
      <c r="K3" s="394"/>
      <c r="L3" s="420"/>
      <c r="M3" s="394"/>
      <c r="N3" s="394"/>
      <c r="O3" s="394"/>
      <c r="P3" s="394"/>
      <c r="Q3" s="394"/>
      <c r="R3" s="394"/>
      <c r="S3" s="394"/>
      <c r="T3" s="394"/>
      <c r="U3" s="394"/>
      <c r="V3" s="394"/>
      <c r="W3" s="394"/>
      <c r="X3" s="394"/>
      <c r="Y3" s="394"/>
      <c r="Z3" s="394"/>
      <c r="AA3" s="394"/>
      <c r="AB3" s="394"/>
      <c r="AC3" s="394"/>
      <c r="AD3" s="394"/>
      <c r="AE3" s="394"/>
      <c r="AF3" s="395"/>
      <c r="AG3" s="447">
        <f>IF('General price list'!$W$17='General price list'!$AF$8,AJ3,'General price list'!J3)</f>
        <v>8000</v>
      </c>
      <c r="AH3" s="308" t="str">
        <f>"-"&amp;'General price list'!O3&amp;"%"</f>
        <v>-10%</v>
      </c>
      <c r="AI3" s="116"/>
      <c r="AJ3" s="439" t="s">
        <v>11981</v>
      </c>
      <c r="AK3" s="117"/>
      <c r="AL3" s="117"/>
      <c r="AM3" s="117"/>
      <c r="AN3" s="117"/>
      <c r="AP3" s="173" t="str">
        <f>'General price list'!W17</f>
        <v>čeština</v>
      </c>
      <c r="AQ3" s="173" t="s">
        <v>2766</v>
      </c>
      <c r="BA3" s="13"/>
      <c r="BB3" s="13"/>
      <c r="BD3" s="13"/>
      <c r="BE3" s="113"/>
      <c r="BP3" s="375"/>
      <c r="BU3" s="608">
        <f t="shared" ref="BU3:BU8" si="0">AG2</f>
        <v>5000</v>
      </c>
      <c r="BV3" s="609" t="str">
        <f t="shared" ref="BV3:BV8" si="1">AH2</f>
        <v>-5%</v>
      </c>
      <c r="BW3" s="608">
        <f t="shared" ref="BW3:BX8" si="2">AG8</f>
        <v>150000</v>
      </c>
      <c r="BX3" s="609" t="str">
        <f t="shared" si="2"/>
        <v>-40%</v>
      </c>
      <c r="CH3" s="377"/>
      <c r="CI3" s="378"/>
      <c r="CJ3" s="394"/>
      <c r="CK3" s="394"/>
      <c r="CL3" s="394"/>
      <c r="CM3" s="394"/>
      <c r="CN3" s="394"/>
      <c r="CO3" s="394"/>
      <c r="CP3" s="394"/>
      <c r="CQ3" s="394"/>
      <c r="CR3" s="394"/>
      <c r="CS3" s="394"/>
      <c r="CT3" s="394"/>
      <c r="CU3" s="394"/>
      <c r="CV3" s="394"/>
      <c r="CW3" s="394"/>
      <c r="CX3" s="394"/>
      <c r="CY3" s="394"/>
      <c r="CZ3" s="394"/>
      <c r="DA3" s="394"/>
      <c r="DB3" s="394"/>
      <c r="DC3" s="394"/>
      <c r="DD3" s="394"/>
      <c r="DE3" s="394"/>
      <c r="DF3" s="394"/>
      <c r="DG3" s="394"/>
    </row>
    <row r="4" spans="1:111" ht="15" customHeight="1">
      <c r="A4" s="420"/>
      <c r="B4" s="394" t="s">
        <v>11358</v>
      </c>
      <c r="C4" s="394"/>
      <c r="D4" s="394"/>
      <c r="E4" s="394"/>
      <c r="F4" s="394"/>
      <c r="G4" s="394"/>
      <c r="H4" s="394"/>
      <c r="I4" s="394"/>
      <c r="J4" s="394"/>
      <c r="K4" s="394"/>
      <c r="L4" s="420"/>
      <c r="M4" s="394"/>
      <c r="N4" s="394"/>
      <c r="O4" s="394"/>
      <c r="P4" s="394"/>
      <c r="Q4" s="394"/>
      <c r="R4" s="394"/>
      <c r="S4" s="394"/>
      <c r="T4" s="394"/>
      <c r="U4" s="394"/>
      <c r="V4" s="394"/>
      <c r="W4" s="394"/>
      <c r="X4" s="394"/>
      <c r="Y4" s="394"/>
      <c r="Z4" s="394"/>
      <c r="AA4" s="394"/>
      <c r="AB4" s="394"/>
      <c r="AC4" s="394"/>
      <c r="AD4" s="394"/>
      <c r="AE4" s="394"/>
      <c r="AF4" s="395"/>
      <c r="AG4" s="447">
        <f>IF('General price list'!$W$17='General price list'!$AF$8,AJ4,'General price list'!J4)</f>
        <v>15000</v>
      </c>
      <c r="AH4" s="308" t="str">
        <f>"-"&amp;'General price list'!O4&amp;"%"</f>
        <v>-15%</v>
      </c>
      <c r="AI4" s="118"/>
      <c r="AJ4" s="440" t="s">
        <v>11982</v>
      </c>
      <c r="AK4" s="118"/>
      <c r="AL4" s="118"/>
      <c r="AM4" s="118"/>
      <c r="AN4" s="118"/>
      <c r="BA4" s="13"/>
      <c r="BB4" s="13"/>
      <c r="BD4" s="13"/>
      <c r="BE4" s="113"/>
      <c r="BP4" s="374"/>
      <c r="BU4" s="608">
        <f t="shared" si="0"/>
        <v>8000</v>
      </c>
      <c r="BV4" s="609" t="str">
        <f t="shared" si="1"/>
        <v>-10%</v>
      </c>
      <c r="BW4" s="608">
        <f t="shared" si="2"/>
        <v>250000</v>
      </c>
      <c r="BX4" s="609" t="str">
        <f t="shared" si="2"/>
        <v>-45%</v>
      </c>
      <c r="CA4" s="613" t="str">
        <f>BU2</f>
        <v>Odběr nad</v>
      </c>
      <c r="CB4" s="613" t="str">
        <f>BV2</f>
        <v>Sleva v %:</v>
      </c>
      <c r="CC4" s="613" t="str">
        <f>BW2</f>
        <v>Odběr nad</v>
      </c>
      <c r="CD4" s="613" t="str">
        <f>BX2</f>
        <v>Sleva v %:</v>
      </c>
      <c r="CE4" s="613" t="str">
        <f>CC4</f>
        <v>Odběr nad</v>
      </c>
      <c r="CF4" s="613" t="str">
        <f>CD4</f>
        <v>Sleva v %:</v>
      </c>
      <c r="CG4" s="613" t="str">
        <f>CE4</f>
        <v>Odběr nad</v>
      </c>
      <c r="CH4" s="613" t="str">
        <f>CF4</f>
        <v>Sleva v %:</v>
      </c>
      <c r="CJ4" s="394"/>
      <c r="CK4" s="394"/>
      <c r="CL4" s="394"/>
      <c r="CM4" s="394"/>
      <c r="CN4" s="394"/>
      <c r="CO4" s="394"/>
      <c r="CP4" s="394"/>
      <c r="CQ4" s="394"/>
      <c r="CR4" s="394"/>
      <c r="CS4" s="394"/>
      <c r="CT4" s="394"/>
      <c r="CU4" s="394"/>
      <c r="CV4" s="394"/>
      <c r="CW4" s="394"/>
      <c r="CX4" s="394"/>
      <c r="CY4" s="394"/>
      <c r="CZ4" s="394"/>
      <c r="DA4" s="394"/>
      <c r="DB4" s="394"/>
      <c r="DC4" s="394"/>
      <c r="DD4" s="394"/>
      <c r="DE4" s="394"/>
      <c r="DF4" s="394"/>
      <c r="DG4" s="394"/>
    </row>
    <row r="5" spans="1:111" ht="15" customHeight="1">
      <c r="A5" s="420"/>
      <c r="B5" s="394"/>
      <c r="C5" s="394"/>
      <c r="D5" s="394"/>
      <c r="E5" s="394"/>
      <c r="F5" s="394"/>
      <c r="G5" s="394"/>
      <c r="H5" s="394"/>
      <c r="I5" s="394"/>
      <c r="J5" s="394"/>
      <c r="K5" s="394"/>
      <c r="L5" s="420"/>
      <c r="M5" s="394"/>
      <c r="N5" s="394"/>
      <c r="O5" s="394"/>
      <c r="P5" s="394"/>
      <c r="Q5" s="394"/>
      <c r="R5" s="394"/>
      <c r="S5" s="394"/>
      <c r="T5" s="394"/>
      <c r="U5" s="394"/>
      <c r="V5" s="394"/>
      <c r="W5" s="394"/>
      <c r="X5" s="394"/>
      <c r="Y5" s="394"/>
      <c r="Z5" s="394"/>
      <c r="AA5" s="394"/>
      <c r="AB5" s="394"/>
      <c r="AC5" s="394"/>
      <c r="AD5" s="394"/>
      <c r="AE5" s="394"/>
      <c r="AF5" s="395"/>
      <c r="AG5" s="447">
        <f>IF('General price list'!$W$17='General price list'!$AF$8,AJ5,'General price list'!J5)</f>
        <v>30000</v>
      </c>
      <c r="AH5" s="308" t="str">
        <f>"-"&amp;'General price list'!O5&amp;"%"</f>
        <v>-20%</v>
      </c>
      <c r="AI5" s="13"/>
      <c r="AJ5" s="441" t="s">
        <v>11983</v>
      </c>
      <c r="AP5" s="13" t="str">
        <f>IF($AP$3=$AQ$3,Jazyky_ceník!A88,IFERROR(VLOOKUP(Jazyky_ceník!A88,Jazyky_ceník!A:Q,MATCH($AP$3,Jazyky_ceník!$A$1:$Q$1,0),FALSE),"---------------"))</f>
        <v>Vepsáním vaší slevy do buňky D19 se ceník automaticky přepočítá, případně se sleva vypčte sama podle aktuální objednávky.</v>
      </c>
      <c r="BA5" s="13"/>
      <c r="BB5" s="13"/>
      <c r="BD5" s="13"/>
      <c r="BE5" s="113"/>
      <c r="BU5" s="608">
        <f t="shared" si="0"/>
        <v>15000</v>
      </c>
      <c r="BV5" s="609" t="str">
        <f t="shared" si="1"/>
        <v>-15%</v>
      </c>
      <c r="BW5" s="608">
        <f t="shared" si="2"/>
        <v>400000</v>
      </c>
      <c r="BX5" s="609" t="str">
        <f t="shared" si="2"/>
        <v>-48%</v>
      </c>
      <c r="CA5" s="608">
        <f t="shared" ref="CA5:CB7" si="3">BU3</f>
        <v>5000</v>
      </c>
      <c r="CB5" s="609" t="str">
        <f t="shared" si="3"/>
        <v>-5%</v>
      </c>
      <c r="CC5" s="608">
        <f t="shared" ref="CC5:CD7" si="4">BU6</f>
        <v>30000</v>
      </c>
      <c r="CD5" s="609" t="str">
        <f t="shared" si="4"/>
        <v>-20%</v>
      </c>
      <c r="CE5" s="608">
        <f t="shared" ref="CE5:CF7" si="5">BW3</f>
        <v>150000</v>
      </c>
      <c r="CF5" s="609" t="str">
        <f t="shared" si="5"/>
        <v>-40%</v>
      </c>
      <c r="CG5" s="608">
        <f>BW6</f>
        <v>600000</v>
      </c>
      <c r="CH5" s="609" t="str">
        <f t="shared" ref="CH5:CH7" si="6">BX6</f>
        <v>-49%</v>
      </c>
      <c r="CJ5" s="394"/>
      <c r="CK5" s="394"/>
      <c r="CL5" s="394"/>
      <c r="CM5" s="394"/>
      <c r="CN5" s="394"/>
      <c r="CO5" s="394"/>
      <c r="CP5" s="394"/>
      <c r="CQ5" s="394"/>
      <c r="CR5" s="394"/>
      <c r="CS5" s="394"/>
      <c r="CT5" s="394"/>
      <c r="CU5" s="394"/>
      <c r="CV5" s="394"/>
      <c r="CW5" s="394"/>
      <c r="CX5" s="394"/>
      <c r="CY5" s="394"/>
      <c r="CZ5" s="394"/>
      <c r="DA5" s="394"/>
      <c r="DB5" s="394"/>
      <c r="DC5" s="394"/>
      <c r="DD5" s="394"/>
      <c r="DE5" s="394"/>
      <c r="DF5" s="394"/>
      <c r="DG5" s="394"/>
    </row>
    <row r="6" spans="1:111" ht="15" customHeight="1">
      <c r="A6" s="420"/>
      <c r="B6" s="394"/>
      <c r="C6" s="394"/>
      <c r="D6" s="394"/>
      <c r="E6" s="394"/>
      <c r="F6" s="394"/>
      <c r="G6" s="394"/>
      <c r="H6" s="394"/>
      <c r="I6" s="394"/>
      <c r="J6" s="394"/>
      <c r="K6" s="394"/>
      <c r="L6" s="420"/>
      <c r="M6" s="394"/>
      <c r="N6" s="394"/>
      <c r="O6" s="394"/>
      <c r="P6" s="394"/>
      <c r="Q6" s="394"/>
      <c r="R6" s="394"/>
      <c r="S6" s="394"/>
      <c r="T6" s="394"/>
      <c r="U6" s="394"/>
      <c r="V6" s="394"/>
      <c r="W6" s="394"/>
      <c r="X6" s="394"/>
      <c r="Y6" s="394"/>
      <c r="Z6" s="394"/>
      <c r="AA6" s="394"/>
      <c r="AB6" s="394"/>
      <c r="AC6" s="394"/>
      <c r="AD6" s="394"/>
      <c r="AE6" s="394"/>
      <c r="AF6" s="395"/>
      <c r="AG6" s="447">
        <f>IF('General price list'!$W$17='General price list'!$AF$8,AJ6,'General price list'!J6)</f>
        <v>75000</v>
      </c>
      <c r="AH6" s="308" t="str">
        <f>"-"&amp;'General price list'!O6&amp;"%"</f>
        <v>-25%</v>
      </c>
      <c r="AI6" s="116"/>
      <c r="AJ6" s="439" t="s">
        <v>11984</v>
      </c>
      <c r="AK6" s="116"/>
      <c r="AL6" s="116"/>
      <c r="AM6" s="116"/>
      <c r="AN6" s="116"/>
      <c r="AO6" s="116"/>
      <c r="AP6" s="116"/>
      <c r="AQ6" s="116"/>
      <c r="AR6" s="116"/>
      <c r="AS6" s="116"/>
      <c r="AT6" s="116"/>
      <c r="BA6" s="13"/>
      <c r="BB6" s="13"/>
      <c r="BD6" s="13"/>
      <c r="BE6" s="113"/>
      <c r="BU6" s="608">
        <f t="shared" si="0"/>
        <v>30000</v>
      </c>
      <c r="BV6" s="609" t="str">
        <f t="shared" si="1"/>
        <v>-20%</v>
      </c>
      <c r="BW6" s="608">
        <f t="shared" si="2"/>
        <v>600000</v>
      </c>
      <c r="BX6" s="609" t="str">
        <f t="shared" si="2"/>
        <v>-49%</v>
      </c>
      <c r="CA6" s="608">
        <f t="shared" si="3"/>
        <v>8000</v>
      </c>
      <c r="CB6" s="609" t="str">
        <f t="shared" si="3"/>
        <v>-10%</v>
      </c>
      <c r="CC6" s="608">
        <f t="shared" si="4"/>
        <v>75000</v>
      </c>
      <c r="CD6" s="609" t="str">
        <f t="shared" si="4"/>
        <v>-25%</v>
      </c>
      <c r="CE6" s="608">
        <f t="shared" si="5"/>
        <v>250000</v>
      </c>
      <c r="CF6" s="609" t="str">
        <f t="shared" si="5"/>
        <v>-45%</v>
      </c>
      <c r="CG6" s="608">
        <f t="shared" ref="CG6:CG7" si="7">BW7</f>
        <v>800000</v>
      </c>
      <c r="CH6" s="609" t="str">
        <f t="shared" si="6"/>
        <v>-50%</v>
      </c>
      <c r="CJ6" s="394"/>
      <c r="CK6" s="394"/>
      <c r="CL6" s="394"/>
      <c r="CM6" s="394"/>
      <c r="CN6" s="394"/>
      <c r="CO6" s="394"/>
      <c r="CP6" s="394"/>
      <c r="CQ6" s="394"/>
      <c r="CR6" s="394"/>
      <c r="CS6" s="394"/>
      <c r="CT6" s="394"/>
      <c r="CU6" s="394"/>
      <c r="CV6" s="394"/>
      <c r="CW6" s="394"/>
      <c r="CX6" s="394"/>
      <c r="CY6" s="394"/>
      <c r="CZ6" s="394"/>
      <c r="DA6" s="394"/>
      <c r="DB6" s="394"/>
      <c r="DC6" s="394"/>
      <c r="DD6" s="394"/>
      <c r="DE6" s="394"/>
      <c r="DF6" s="394"/>
      <c r="DG6" s="394"/>
    </row>
    <row r="7" spans="1:111" ht="15" customHeight="1">
      <c r="A7" s="420"/>
      <c r="B7" s="394"/>
      <c r="C7" s="394"/>
      <c r="D7" s="394"/>
      <c r="E7" s="394"/>
      <c r="F7" s="394" t="s">
        <v>11359</v>
      </c>
      <c r="G7" s="394"/>
      <c r="H7" s="394"/>
      <c r="I7" s="394"/>
      <c r="J7" s="394"/>
      <c r="K7" s="394"/>
      <c r="L7" s="420"/>
      <c r="M7" s="394"/>
      <c r="N7" s="394"/>
      <c r="O7" s="394"/>
      <c r="P7" s="394"/>
      <c r="Q7" s="394"/>
      <c r="R7" s="394"/>
      <c r="S7" s="394"/>
      <c r="T7" s="394"/>
      <c r="U7" s="394"/>
      <c r="V7" s="394"/>
      <c r="W7" s="394"/>
      <c r="X7" s="394"/>
      <c r="Y7" s="394"/>
      <c r="Z7" s="394"/>
      <c r="AA7" s="394"/>
      <c r="AB7" s="394"/>
      <c r="AC7" s="394"/>
      <c r="AD7" s="394"/>
      <c r="AE7" s="394"/>
      <c r="AF7" s="395"/>
      <c r="AG7" s="447">
        <f>IF('General price list'!$W$17='General price list'!$AF$8,AJ7,'General price list'!J7)</f>
        <v>120000</v>
      </c>
      <c r="AH7" s="308" t="str">
        <f>"-"&amp;'General price list'!O7&amp;"%"</f>
        <v>-30%</v>
      </c>
      <c r="AI7" s="116"/>
      <c r="AJ7" s="439" t="s">
        <v>11985</v>
      </c>
      <c r="AK7" s="116"/>
      <c r="AL7" s="116"/>
      <c r="AM7" s="116"/>
      <c r="AN7" s="116"/>
      <c r="AO7" s="116"/>
      <c r="AT7" s="316"/>
      <c r="AU7" s="315"/>
      <c r="BA7" s="13"/>
      <c r="BB7" s="13"/>
      <c r="BD7" s="13"/>
      <c r="BE7" s="113"/>
      <c r="BU7" s="608">
        <f t="shared" si="0"/>
        <v>75000</v>
      </c>
      <c r="BV7" s="609" t="str">
        <f t="shared" si="1"/>
        <v>-25%</v>
      </c>
      <c r="BW7" s="608">
        <f t="shared" si="2"/>
        <v>800000</v>
      </c>
      <c r="BX7" s="609" t="str">
        <f t="shared" si="2"/>
        <v>-50%</v>
      </c>
      <c r="CA7" s="608">
        <f t="shared" si="3"/>
        <v>15000</v>
      </c>
      <c r="CB7" s="609" t="str">
        <f t="shared" si="3"/>
        <v>-15%</v>
      </c>
      <c r="CC7" s="608">
        <f t="shared" si="4"/>
        <v>120000</v>
      </c>
      <c r="CD7" s="609" t="str">
        <f t="shared" si="4"/>
        <v>-30%</v>
      </c>
      <c r="CE7" s="608">
        <f t="shared" si="5"/>
        <v>400000</v>
      </c>
      <c r="CF7" s="609" t="str">
        <f t="shared" si="5"/>
        <v>-48%</v>
      </c>
      <c r="CG7" s="608">
        <f t="shared" si="7"/>
        <v>1000000</v>
      </c>
      <c r="CH7" s="609" t="str">
        <f t="shared" si="6"/>
        <v>-52%</v>
      </c>
      <c r="CJ7" s="394"/>
      <c r="CK7" s="394"/>
      <c r="CL7" s="394"/>
      <c r="CM7" s="394"/>
      <c r="CN7" s="394"/>
      <c r="CO7" s="394"/>
      <c r="CP7" s="394"/>
      <c r="CQ7" s="394"/>
      <c r="CR7" s="394"/>
      <c r="CS7" s="394"/>
      <c r="CT7" s="394"/>
      <c r="CU7" s="394"/>
      <c r="CV7" s="394"/>
      <c r="CW7" s="394"/>
      <c r="CX7" s="394"/>
      <c r="CY7" s="394"/>
      <c r="CZ7" s="394"/>
      <c r="DA7" s="394"/>
      <c r="DB7" s="394"/>
      <c r="DC7" s="394"/>
      <c r="DD7" s="394"/>
      <c r="DE7" s="394"/>
      <c r="DF7" s="394"/>
      <c r="DG7" s="394"/>
    </row>
    <row r="8" spans="1:111" ht="15" customHeight="1">
      <c r="A8" s="420"/>
      <c r="B8" s="394"/>
      <c r="C8" s="394"/>
      <c r="D8" s="394"/>
      <c r="E8" s="394"/>
      <c r="F8" s="394"/>
      <c r="G8" s="394"/>
      <c r="H8" s="394"/>
      <c r="I8" s="394"/>
      <c r="J8" s="394"/>
      <c r="K8" s="394"/>
      <c r="L8" s="420"/>
      <c r="M8" s="394"/>
      <c r="N8" s="394"/>
      <c r="O8" s="394"/>
      <c r="P8" s="394"/>
      <c r="Q8" s="394"/>
      <c r="R8" s="394"/>
      <c r="S8" s="394"/>
      <c r="T8" s="394"/>
      <c r="U8" s="394"/>
      <c r="V8" s="394"/>
      <c r="W8" s="394"/>
      <c r="X8" s="394"/>
      <c r="Y8" s="394"/>
      <c r="Z8" s="394"/>
      <c r="AA8" s="394"/>
      <c r="AB8" s="394"/>
      <c r="AC8" s="394"/>
      <c r="AD8" s="394"/>
      <c r="AE8" s="394"/>
      <c r="AF8" s="395"/>
      <c r="AG8" s="447">
        <f>IF('General price list'!$W$17='General price list'!$AF$8,AJ8,'General price list'!J8)</f>
        <v>150000</v>
      </c>
      <c r="AH8" s="308" t="str">
        <f>IF('General price list'!$W$17='General price list'!$AF$8,AK8&amp;"%","-"&amp;'General price list'!O8&amp;"%")</f>
        <v>-40%</v>
      </c>
      <c r="AI8" s="114"/>
      <c r="AJ8" s="442" t="s">
        <v>11986</v>
      </c>
      <c r="AK8" s="444">
        <v>-35</v>
      </c>
      <c r="AL8" s="114"/>
      <c r="AM8" s="114"/>
      <c r="AN8" s="115"/>
      <c r="AO8" s="115"/>
      <c r="AP8" s="115"/>
      <c r="AQ8" s="115"/>
      <c r="AR8" s="159"/>
      <c r="AS8" s="159"/>
      <c r="AT8" s="159"/>
      <c r="BA8" s="13"/>
      <c r="BB8" s="13"/>
      <c r="BD8" s="13"/>
      <c r="BE8" s="113"/>
      <c r="BL8" s="178"/>
      <c r="BU8" s="608">
        <f t="shared" si="0"/>
        <v>120000</v>
      </c>
      <c r="BV8" s="609" t="str">
        <f t="shared" si="1"/>
        <v>-30%</v>
      </c>
      <c r="BW8" s="608">
        <f t="shared" si="2"/>
        <v>1000000</v>
      </c>
      <c r="BX8" s="609" t="str">
        <f t="shared" si="2"/>
        <v>-52%</v>
      </c>
      <c r="CJ8" s="394"/>
      <c r="CK8" s="394"/>
      <c r="CL8" s="394"/>
      <c r="CM8" s="394"/>
      <c r="CN8" s="394"/>
      <c r="CO8" s="394"/>
      <c r="CP8" s="394"/>
      <c r="CQ8" s="394"/>
      <c r="CR8" s="394"/>
      <c r="CS8" s="394"/>
      <c r="CT8" s="394"/>
      <c r="CU8" s="394"/>
      <c r="CV8" s="394"/>
      <c r="CW8" s="394"/>
      <c r="CX8" s="394"/>
      <c r="CY8" s="394"/>
      <c r="CZ8" s="394"/>
      <c r="DA8" s="394"/>
      <c r="DB8" s="394"/>
      <c r="DC8" s="394"/>
      <c r="DD8" s="394"/>
      <c r="DE8" s="394"/>
      <c r="DF8" s="394"/>
      <c r="DG8" s="394"/>
    </row>
    <row r="9" spans="1:111" s="390" customFormat="1" ht="15" customHeight="1">
      <c r="A9" s="421"/>
      <c r="B9" s="396"/>
      <c r="C9" s="396"/>
      <c r="D9" s="396"/>
      <c r="E9" s="396"/>
      <c r="F9" s="396"/>
      <c r="G9" s="396"/>
      <c r="H9" s="396"/>
      <c r="I9" s="396"/>
      <c r="J9" s="396"/>
      <c r="K9" s="396"/>
      <c r="L9" s="421"/>
      <c r="M9" s="396"/>
      <c r="N9" s="396"/>
      <c r="O9" s="396"/>
      <c r="P9" s="396"/>
      <c r="Q9" s="396"/>
      <c r="R9" s="396"/>
      <c r="S9" s="396"/>
      <c r="T9" s="396"/>
      <c r="U9" s="396"/>
      <c r="V9" s="396"/>
      <c r="W9" s="396"/>
      <c r="X9" s="396"/>
      <c r="Y9" s="396"/>
      <c r="Z9" s="396"/>
      <c r="AA9" s="396"/>
      <c r="AB9" s="396"/>
      <c r="AC9" s="396"/>
      <c r="AD9" s="396"/>
      <c r="AE9" s="396"/>
      <c r="AF9" s="397"/>
      <c r="AG9" s="447">
        <f>IF('General price list'!$W$17='General price list'!$AF$8,AJ9,'General price list'!J9)</f>
        <v>250000</v>
      </c>
      <c r="AH9" s="308" t="str">
        <f>IF('General price list'!$W$17='General price list'!$AF$8,AK9&amp;"%","-"&amp;'General price list'!O9&amp;"%")</f>
        <v>-45%</v>
      </c>
      <c r="AI9" s="387"/>
      <c r="AJ9" s="443" t="s">
        <v>11987</v>
      </c>
      <c r="AK9" s="445">
        <v>-40</v>
      </c>
      <c r="AL9" s="387"/>
      <c r="AM9" s="387"/>
      <c r="AN9" s="387"/>
      <c r="AO9" s="387"/>
      <c r="AP9" s="387"/>
      <c r="AQ9" s="387"/>
      <c r="AR9" s="387"/>
      <c r="AS9" s="387"/>
      <c r="AT9" s="387"/>
      <c r="AU9" s="388"/>
      <c r="AV9" s="388"/>
      <c r="AW9" s="388"/>
      <c r="AX9" s="388"/>
      <c r="AY9" s="388"/>
      <c r="AZ9" s="389"/>
      <c r="BA9" s="388"/>
      <c r="BB9" s="388"/>
      <c r="BD9" s="388"/>
      <c r="BE9" s="391"/>
      <c r="BO9" s="392"/>
      <c r="BT9" s="396"/>
      <c r="BU9" s="776"/>
      <c r="BV9" s="776"/>
      <c r="BW9" s="777"/>
      <c r="BX9" s="778"/>
      <c r="BZ9" s="392"/>
      <c r="CI9" s="393"/>
      <c r="CJ9" s="396"/>
      <c r="CK9" s="396"/>
      <c r="CL9" s="396"/>
      <c r="CM9" s="396"/>
      <c r="CN9" s="396"/>
      <c r="CO9" s="396"/>
      <c r="CP9" s="396"/>
      <c r="CQ9" s="396"/>
      <c r="CR9" s="396"/>
      <c r="CS9" s="396"/>
      <c r="CT9" s="396"/>
      <c r="CU9" s="396"/>
      <c r="CV9" s="396"/>
      <c r="CW9" s="396"/>
      <c r="CX9" s="396"/>
      <c r="CY9" s="396"/>
      <c r="CZ9" s="396"/>
      <c r="DA9" s="396"/>
      <c r="DB9" s="396"/>
      <c r="DC9" s="396"/>
      <c r="DD9" s="396"/>
      <c r="DE9" s="396"/>
      <c r="DF9" s="396"/>
      <c r="DG9" s="396"/>
    </row>
    <row r="10" spans="1:111" ht="15" customHeight="1">
      <c r="AF10" s="327"/>
      <c r="AG10" s="447">
        <f>IF('General price list'!$W$17='General price list'!$AF$8,AJ10,'General price list'!J10)</f>
        <v>400000</v>
      </c>
      <c r="AH10" s="308" t="str">
        <f>IF('General price list'!$W$17='General price list'!$AF$8,AK10,"-"&amp;'General price list'!O10&amp;"%")</f>
        <v>-48%</v>
      </c>
      <c r="AI10" s="116"/>
      <c r="AJ10" s="439" t="s">
        <v>11988</v>
      </c>
      <c r="AK10" s="446" t="s">
        <v>1005</v>
      </c>
      <c r="AL10" s="116"/>
      <c r="AM10" s="116"/>
      <c r="AN10" s="116"/>
      <c r="AO10" s="116"/>
      <c r="AP10" s="116"/>
      <c r="AQ10" s="116"/>
      <c r="AR10" s="116"/>
      <c r="AS10" s="116"/>
      <c r="AT10" s="116"/>
      <c r="BA10" s="13"/>
      <c r="BB10" s="13"/>
      <c r="BD10" s="13"/>
      <c r="BE10" s="113"/>
    </row>
    <row r="11" spans="1:111" ht="15" customHeight="1" thickBot="1">
      <c r="AF11" s="327"/>
      <c r="AG11" s="447">
        <f>IF('General price list'!$W$17='General price list'!$AF$8,AJ11,'General price list'!J11)</f>
        <v>600000</v>
      </c>
      <c r="AH11" s="308" t="str">
        <f>IF('General price list'!$W$17='General price list'!$AF$8,AK11,"-"&amp;'General price list'!O11&amp;"%")</f>
        <v>-49%</v>
      </c>
      <c r="AI11" s="116"/>
      <c r="AJ11" s="439" t="s">
        <v>605</v>
      </c>
      <c r="AK11" s="446" t="s">
        <v>605</v>
      </c>
      <c r="AL11" s="116"/>
      <c r="AM11" s="116"/>
      <c r="AN11" s="116"/>
      <c r="AO11" s="116"/>
      <c r="AP11" s="116"/>
      <c r="AQ11" s="116"/>
      <c r="AR11" s="116"/>
      <c r="AS11" s="116"/>
      <c r="AT11" s="116"/>
      <c r="BA11" s="13"/>
      <c r="BB11" s="13"/>
      <c r="BD11" s="13"/>
      <c r="BE11" s="113"/>
    </row>
    <row r="12" spans="1:111" ht="15" customHeight="1">
      <c r="AF12" s="327"/>
      <c r="AG12" s="447">
        <f>IF('General price list'!$W$17='General price list'!$AF$8,AJ12,'General price list'!J12)</f>
        <v>800000</v>
      </c>
      <c r="AH12" s="308" t="str">
        <f>IF('General price list'!$W$17='General price list'!$AF$8,AK12,"-"&amp;'General price list'!O12&amp;"%")</f>
        <v>-50%</v>
      </c>
      <c r="AI12" s="116"/>
      <c r="AJ12" s="439" t="s">
        <v>605</v>
      </c>
      <c r="AK12" s="446" t="s">
        <v>605</v>
      </c>
      <c r="AL12" s="116"/>
      <c r="AM12" s="116"/>
      <c r="AN12" s="116"/>
      <c r="AO12" s="116"/>
      <c r="AP12" s="116"/>
      <c r="AQ12" s="116"/>
      <c r="AR12" s="116"/>
      <c r="AS12" s="116"/>
      <c r="AT12" s="116"/>
      <c r="BA12" s="13"/>
      <c r="BB12" s="13"/>
      <c r="BD12" s="13"/>
      <c r="BE12" s="113"/>
      <c r="CE12" s="610"/>
    </row>
    <row r="13" spans="1:111" ht="15" customHeight="1">
      <c r="AF13" s="327"/>
      <c r="AG13" s="447">
        <f>IF('General price list'!$W$17='General price list'!$AF$8,AJ13,'General price list'!J13)</f>
        <v>1000000</v>
      </c>
      <c r="AH13" s="308" t="str">
        <f>IF('General price list'!$W$17='General price list'!$AF$8,AK13,"-"&amp;'General price list'!O13&amp;"%")</f>
        <v>-52%</v>
      </c>
      <c r="AI13" s="116"/>
      <c r="AJ13" s="439" t="s">
        <v>605</v>
      </c>
      <c r="AK13" s="446" t="s">
        <v>605</v>
      </c>
      <c r="AL13" s="116"/>
      <c r="AM13" s="116"/>
      <c r="AN13" s="116"/>
      <c r="AO13" s="116"/>
      <c r="AP13" s="116"/>
      <c r="AQ13" s="116"/>
      <c r="AR13" s="116"/>
      <c r="AS13" s="116"/>
      <c r="AT13" s="116"/>
      <c r="BA13" s="373"/>
      <c r="BB13" s="13"/>
      <c r="BD13" s="13"/>
      <c r="BE13" s="113"/>
      <c r="CE13" s="611"/>
    </row>
    <row r="14" spans="1:111">
      <c r="AG14" s="447">
        <f>IF('General price list'!$W$17='General price list'!$AF$8,AJ14,'General price list'!J14)</f>
        <v>1500000</v>
      </c>
      <c r="AH14" s="308" t="str">
        <f>IF('General price list'!$W$17='General price list'!$AF$8,AK14,"-"&amp;'General price list'!O14&amp;"%")</f>
        <v>-54%</v>
      </c>
      <c r="AJ14" s="441" t="s">
        <v>605</v>
      </c>
      <c r="AK14" s="448" t="s">
        <v>605</v>
      </c>
      <c r="AQ14" s="13" t="str">
        <f>"i-"&amp;PROPER(IF($AP$3=$AQ$3,"ceník",IFERROR(VLOOKUP("ceník",Jazyky_ceník!A:Q,MATCH(AP3,Jazyky_ceník!A1:Q1,0),FALSE),"---------------")))&amp;" 2024"</f>
        <v>i-Ceník 2024</v>
      </c>
      <c r="AV14" s="14"/>
      <c r="AW14" s="14"/>
      <c r="AX14" s="14"/>
      <c r="AY14" s="14"/>
      <c r="AZ14" s="160"/>
      <c r="BA14" s="558"/>
      <c r="BB14" s="558"/>
      <c r="BC14" s="558"/>
      <c r="BD14" s="558"/>
      <c r="BE14" s="558"/>
      <c r="BF14" s="558"/>
      <c r="BG14" s="558"/>
      <c r="BH14" s="558"/>
      <c r="BI14" s="558"/>
      <c r="BJ14" s="558"/>
      <c r="BK14" s="5"/>
      <c r="BL14" s="5"/>
      <c r="BM14" s="5"/>
      <c r="BN14" s="5"/>
      <c r="BU14" s="190">
        <f>AG13</f>
        <v>1000000</v>
      </c>
      <c r="BV14" s="190" t="str">
        <f>AH13</f>
        <v>-52%</v>
      </c>
      <c r="CE14" s="612"/>
    </row>
    <row r="15" spans="1:111" ht="6.95" customHeight="1">
      <c r="AG15" s="447">
        <f>IF('General price list'!$W$17='General price list'!$AF$8,AJ15,'General price list'!J15)</f>
        <v>3000000</v>
      </c>
      <c r="AH15" s="308" t="str">
        <f>IF('General price list'!$W$17='General price list'!$AF$8,AK15,"-"&amp;'General price list'!O15&amp;"%")</f>
        <v>-55%</v>
      </c>
      <c r="AJ15" s="441" t="s">
        <v>605</v>
      </c>
      <c r="AK15" s="448" t="s">
        <v>605</v>
      </c>
      <c r="AV15" s="14"/>
      <c r="AW15" s="14"/>
      <c r="AX15" s="14"/>
      <c r="AY15" s="14"/>
      <c r="AZ15" s="14"/>
      <c r="BA15" s="558"/>
      <c r="BB15" s="558"/>
      <c r="BC15" s="558"/>
      <c r="BD15" s="558"/>
      <c r="BE15" s="558"/>
      <c r="BF15" s="558"/>
      <c r="BG15" s="558"/>
      <c r="BH15" s="558"/>
      <c r="BI15" s="558"/>
      <c r="BJ15" s="558"/>
      <c r="BK15" s="5"/>
      <c r="BL15" s="5"/>
      <c r="BM15" s="5"/>
      <c r="BN15" s="5"/>
    </row>
    <row r="16" spans="1:111" ht="5.0999999999999996" customHeight="1">
      <c r="AG16" s="326"/>
      <c r="AH16" s="308"/>
      <c r="AV16" s="14"/>
      <c r="AW16" s="14"/>
      <c r="AX16" s="14"/>
      <c r="AY16" s="14"/>
      <c r="AZ16" s="14"/>
      <c r="BA16" s="558"/>
      <c r="BB16" s="606"/>
      <c r="BC16" s="606"/>
      <c r="BD16" s="606"/>
      <c r="BE16" s="606"/>
      <c r="BF16" s="606"/>
      <c r="BG16" s="606"/>
      <c r="BH16" s="606"/>
      <c r="BI16" s="606"/>
      <c r="BJ16" s="558"/>
      <c r="BK16" s="5"/>
      <c r="BL16" s="5"/>
      <c r="BM16" s="5"/>
      <c r="BN16" s="5"/>
    </row>
    <row r="17" spans="1:87" s="21" customFormat="1" ht="12">
      <c r="A17" s="329"/>
      <c r="L17" s="329"/>
      <c r="AF17" s="329"/>
      <c r="AG17" s="326"/>
      <c r="AH17" s="308"/>
      <c r="AJ17" s="158"/>
      <c r="AV17" s="112"/>
      <c r="AW17" s="112"/>
      <c r="AX17" s="112"/>
      <c r="AY17" s="112"/>
      <c r="AZ17" s="112"/>
      <c r="BA17" s="564"/>
      <c r="BB17" s="607"/>
      <c r="BC17" s="923" t="str">
        <f>'General price list'!V6</f>
        <v>SKLADEM</v>
      </c>
      <c r="BD17" s="923"/>
      <c r="BE17" s="922" t="str">
        <f>"  "&amp;'General price list'!W6</f>
        <v xml:space="preserve">  Lze objednat libovolný počet.</v>
      </c>
      <c r="BF17" s="922"/>
      <c r="BG17" s="922"/>
      <c r="BH17" s="922"/>
      <c r="BI17" s="607"/>
      <c r="BJ17" s="564"/>
      <c r="BK17" s="112"/>
      <c r="BL17" s="112"/>
      <c r="BM17" s="112"/>
      <c r="BN17" s="112"/>
      <c r="BO17" s="379"/>
      <c r="BT17" s="398"/>
      <c r="BZ17" s="379"/>
      <c r="CI17" s="329"/>
    </row>
    <row r="18" spans="1:87" s="21" customFormat="1" ht="12">
      <c r="A18" s="329"/>
      <c r="L18" s="329"/>
      <c r="AF18" s="329"/>
      <c r="AJ18" s="158"/>
      <c r="AV18" s="112"/>
      <c r="AW18" s="112"/>
      <c r="AX18" s="112"/>
      <c r="AY18" s="112"/>
      <c r="AZ18" s="112"/>
      <c r="BA18" s="564"/>
      <c r="BB18" s="607"/>
      <c r="BC18" s="923" t="str">
        <f>'General price list'!V7</f>
        <v>POSLEDNÍCH … VK</v>
      </c>
      <c r="BD18" s="923"/>
      <c r="BE18" s="922" t="str">
        <f>"  "&amp;'General price list'!W7</f>
        <v xml:space="preserve">  Lze objednat maximálně toto množství.</v>
      </c>
      <c r="BF18" s="922"/>
      <c r="BG18" s="922"/>
      <c r="BH18" s="922"/>
      <c r="BI18" s="607"/>
      <c r="BJ18" s="564"/>
      <c r="BK18" s="112"/>
      <c r="BL18" s="112"/>
      <c r="BM18" s="112"/>
      <c r="BN18" s="112"/>
      <c r="BO18" s="379"/>
      <c r="BT18" s="398"/>
      <c r="BZ18" s="379"/>
      <c r="CI18" s="329"/>
    </row>
    <row r="19" spans="1:87" s="21" customFormat="1" ht="12">
      <c r="A19" s="329"/>
      <c r="L19" s="329"/>
      <c r="AF19" s="329"/>
      <c r="AJ19" s="158"/>
      <c r="AV19" s="112"/>
      <c r="AW19" s="112"/>
      <c r="AX19" s="112"/>
      <c r="AY19" s="112"/>
      <c r="AZ19" s="112"/>
      <c r="BA19" s="564"/>
      <c r="BB19" s="607"/>
      <c r="BC19" s="923" t="str">
        <f>'General price list'!V5</f>
        <v>DATUM</v>
      </c>
      <c r="BD19" s="923"/>
      <c r="BE19" s="922" t="str">
        <f>"  "&amp;'General price list'!W5</f>
        <v xml:space="preserve">  Termín další dostupnosti zboží</v>
      </c>
      <c r="BF19" s="922"/>
      <c r="BG19" s="922"/>
      <c r="BH19" s="922"/>
      <c r="BI19" s="607"/>
      <c r="BJ19" s="564"/>
      <c r="BK19" s="112"/>
      <c r="BL19" s="112"/>
      <c r="BM19" s="112"/>
      <c r="BN19" s="112"/>
      <c r="BO19" s="379"/>
      <c r="BT19" s="398"/>
      <c r="BZ19" s="379"/>
      <c r="CI19" s="329"/>
    </row>
    <row r="20" spans="1:87" s="21" customFormat="1" ht="12">
      <c r="A20" s="329"/>
      <c r="L20" s="329"/>
      <c r="AF20" s="329"/>
      <c r="AJ20" s="158"/>
      <c r="AV20" s="112"/>
      <c r="AW20" s="112"/>
      <c r="AX20" s="112"/>
      <c r="AY20" s="112"/>
      <c r="AZ20" s="112"/>
      <c r="BA20" s="564"/>
      <c r="BB20" s="607"/>
      <c r="BC20" s="923" t="str">
        <f>'General price list'!V9</f>
        <v>VYPRODÁNO</v>
      </c>
      <c r="BD20" s="923"/>
      <c r="BE20" s="922" t="str">
        <f>"  "&amp;'General price list'!W9</f>
        <v xml:space="preserve">  Nelze v tuto chvíli objednat.</v>
      </c>
      <c r="BF20" s="922"/>
      <c r="BG20" s="922"/>
      <c r="BH20" s="922"/>
      <c r="BI20" s="607"/>
      <c r="BJ20" s="564"/>
      <c r="BK20" s="112"/>
      <c r="BL20" s="112"/>
      <c r="BM20" s="112"/>
      <c r="BN20" s="112"/>
      <c r="BO20" s="379"/>
      <c r="BT20" s="398"/>
      <c r="BZ20" s="379"/>
      <c r="CI20" s="329"/>
    </row>
    <row r="21" spans="1:87" ht="5.0999999999999996" customHeight="1">
      <c r="AH21" s="5"/>
      <c r="AI21" s="5"/>
      <c r="AJ21" s="13"/>
      <c r="AV21" s="14"/>
      <c r="AW21" s="14"/>
      <c r="AX21" s="14"/>
      <c r="AY21" s="14"/>
      <c r="AZ21" s="14"/>
      <c r="BA21" s="558"/>
      <c r="BB21" s="606"/>
      <c r="BC21" s="606"/>
      <c r="BD21" s="606"/>
      <c r="BE21" s="606"/>
      <c r="BF21" s="606"/>
      <c r="BG21" s="606"/>
      <c r="BH21" s="606"/>
      <c r="BI21" s="606"/>
      <c r="BJ21" s="558"/>
      <c r="BK21" s="5"/>
      <c r="BL21" s="5"/>
      <c r="BM21" s="5"/>
      <c r="BN21" s="5"/>
    </row>
    <row r="22" spans="1:87" ht="6.95" customHeight="1">
      <c r="AH22" s="5"/>
      <c r="AI22" s="5"/>
      <c r="AJ22" s="14"/>
      <c r="AV22" s="14"/>
      <c r="AW22" s="14"/>
      <c r="AX22" s="14"/>
      <c r="AY22" s="14"/>
      <c r="AZ22" s="14"/>
      <c r="BA22" s="558"/>
      <c r="BB22" s="558"/>
      <c r="BC22" s="558"/>
      <c r="BD22" s="558"/>
      <c r="BE22" s="558"/>
      <c r="BF22" s="558"/>
      <c r="BG22" s="558"/>
      <c r="BH22" s="558"/>
      <c r="BI22" s="558"/>
      <c r="BJ22" s="558"/>
      <c r="BK22" s="5"/>
      <c r="BL22" s="5"/>
      <c r="BM22" s="5"/>
      <c r="BN22" s="5"/>
    </row>
    <row r="23" spans="1:87" s="20" customFormat="1" ht="7.5" customHeight="1">
      <c r="A23" s="330"/>
      <c r="L23" s="330"/>
      <c r="AF23" s="330"/>
      <c r="AH23" s="5"/>
      <c r="AI23" s="5"/>
      <c r="AJ23" s="14"/>
      <c r="AK23" s="14"/>
      <c r="AL23" s="14"/>
      <c r="AM23" s="14"/>
      <c r="AN23" s="14"/>
      <c r="AO23" s="14"/>
      <c r="AP23" s="14"/>
      <c r="AQ23" s="14"/>
      <c r="AR23" s="14"/>
      <c r="AS23" s="14"/>
      <c r="AT23" s="14"/>
      <c r="AU23" s="14"/>
      <c r="AV23" s="14"/>
      <c r="AW23" s="14"/>
      <c r="AX23" s="14"/>
      <c r="AY23" s="14"/>
      <c r="AZ23" s="161"/>
      <c r="BA23" s="605"/>
      <c r="BB23" s="605"/>
      <c r="BC23" s="605"/>
      <c r="BD23" s="605"/>
      <c r="BE23" s="605"/>
      <c r="BF23" s="605"/>
      <c r="BG23" s="605"/>
      <c r="BH23" s="605"/>
      <c r="BI23" s="605"/>
      <c r="BJ23" s="605"/>
      <c r="BK23" s="155"/>
      <c r="BL23" s="155"/>
      <c r="BM23" s="155"/>
      <c r="BN23" s="155"/>
      <c r="BO23" s="380"/>
      <c r="BT23" s="399"/>
      <c r="BZ23" s="380"/>
      <c r="CH23"/>
      <c r="CI23" s="328"/>
    </row>
    <row r="24" spans="1:87" ht="15" customHeight="1">
      <c r="AH24" s="5"/>
      <c r="AI24" s="5"/>
      <c r="AJ24" s="14"/>
      <c r="AK24" s="14"/>
      <c r="AL24" s="14"/>
      <c r="AM24" s="920" t="str">
        <f>UPPER(IF($AP$3=$AQ$3,"interaktivní",IFERROR(VLOOKUP("interaktivní",Jazyky_ceník!A:Q,MATCH(AP3,Jazyky_ceník!A1:Q1,0),FALSE),"---------------")))</f>
        <v>INTERAKTIVNÍ</v>
      </c>
      <c r="AN24" s="920"/>
      <c r="AO24" s="920"/>
      <c r="AP24" s="920"/>
      <c r="AQ24" s="921" t="str">
        <f>"i-"&amp;PROPER(IF($AP$3=$AQ$3,"ceník",IFERROR(VLOOKUP("ceník",Jazyky_ceník!A:Q,MATCH(AP3,Jazyky_ceník!A1:Q1,0),FALSE),"---------------")))&amp;" 2026"</f>
        <v>i-Ceník 2026</v>
      </c>
      <c r="AR24" s="921"/>
      <c r="AS24" s="921"/>
      <c r="AT24" s="921"/>
      <c r="AU24" s="921"/>
      <c r="AV24" s="14"/>
      <c r="AW24" s="14"/>
      <c r="AX24" s="14"/>
      <c r="AY24" s="14"/>
      <c r="AZ24" s="160"/>
      <c r="BA24" s="5"/>
      <c r="BB24" s="5"/>
      <c r="BC24" s="5"/>
      <c r="BD24" s="5"/>
      <c r="BE24" s="5"/>
      <c r="BF24" s="5"/>
      <c r="BG24" s="5"/>
      <c r="BH24" s="5"/>
      <c r="BI24" s="5"/>
      <c r="BJ24" s="5"/>
      <c r="BK24" s="5"/>
      <c r="BL24" s="5"/>
      <c r="BM24" s="5"/>
      <c r="BN24" s="5"/>
    </row>
    <row r="25" spans="1:87" ht="15" customHeight="1">
      <c r="AH25" s="5"/>
      <c r="AI25" s="5"/>
      <c r="AJ25" s="14"/>
      <c r="AK25" s="14"/>
      <c r="AL25" s="14"/>
      <c r="AM25" s="920"/>
      <c r="AN25" s="920"/>
      <c r="AO25" s="920"/>
      <c r="AP25" s="920"/>
      <c r="AQ25" s="921"/>
      <c r="AR25" s="921"/>
      <c r="AS25" s="921"/>
      <c r="AT25" s="921"/>
      <c r="AU25" s="921"/>
      <c r="AV25" s="14"/>
      <c r="AW25" s="14"/>
      <c r="AX25" s="14"/>
      <c r="BC25" s="915"/>
      <c r="BD25" s="916"/>
    </row>
    <row r="26" spans="1:87" ht="15" customHeight="1">
      <c r="AH26" s="5"/>
      <c r="AI26" s="5"/>
      <c r="AJ26" s="14"/>
      <c r="AK26" s="14"/>
      <c r="AL26" s="14"/>
      <c r="AM26" s="162"/>
      <c r="AN26" s="924" t="str">
        <f>IF($AP$3=$AQ$3,Jazyky_ceník!A94,IFERROR(VLOOKUP(Jazyky_ceník!A94,Jazyky_ceník!A:Q,MATCH($AP$3,Jazyky_ceník!$A$1:$Q$1,0),FALSE),"---------------"))</f>
        <v>Platí: 01.I.2026 - 31.XII.2026</v>
      </c>
      <c r="AO26" s="924"/>
      <c r="AP26" s="924"/>
      <c r="AQ26" s="924"/>
      <c r="AR26" s="924"/>
      <c r="AS26" s="924"/>
      <c r="AT26" s="14"/>
      <c r="AU26" s="14"/>
      <c r="AV26" s="14"/>
      <c r="AW26" s="14"/>
      <c r="AX26" s="14"/>
      <c r="BC26" s="915" t="str">
        <f>'General price list'!V1</f>
        <v>VK</v>
      </c>
      <c r="BD26" s="916"/>
    </row>
    <row r="27" spans="1:87" ht="9" customHeight="1">
      <c r="AI27" s="558"/>
      <c r="AJ27" s="559"/>
      <c r="AK27" s="559"/>
      <c r="AL27" s="559"/>
      <c r="AM27" s="559"/>
      <c r="AN27" s="559"/>
      <c r="AO27" s="559"/>
      <c r="AP27" s="559"/>
      <c r="AQ27" s="559"/>
      <c r="AR27" s="559"/>
      <c r="AS27" s="559"/>
      <c r="AT27" s="559"/>
      <c r="AU27" s="559"/>
      <c r="AV27" s="559"/>
      <c r="AW27" s="559"/>
      <c r="AX27" s="559"/>
      <c r="AY27" s="559"/>
      <c r="BC27" s="915" t="str">
        <f>'General price list'!V2</f>
        <v>POSLEDNÍCH</v>
      </c>
      <c r="BD27" s="916"/>
      <c r="BF27" s="181"/>
      <c r="BG27" s="182"/>
      <c r="BH27" s="182"/>
      <c r="BI27" s="182"/>
      <c r="BJ27" s="182"/>
      <c r="BK27" s="182"/>
      <c r="BL27" s="182"/>
      <c r="BM27" s="182"/>
      <c r="BN27" s="182"/>
      <c r="BO27" s="381"/>
      <c r="BP27" s="182"/>
      <c r="BQ27" s="182"/>
      <c r="BR27" s="13"/>
      <c r="BS27" s="13"/>
      <c r="BT27" s="400"/>
      <c r="BZ27" s="381"/>
      <c r="CA27" s="182"/>
      <c r="CH27" s="13"/>
      <c r="CI27" s="327"/>
    </row>
    <row r="28" spans="1:87" ht="15" customHeight="1">
      <c r="AI28" s="558"/>
      <c r="AJ28" s="908" t="str">
        <f>IF($AP$3=$AQ$3,Jazyky_ceník!$A$97,IFERROR(VLOOKUP(Jazyky_ceník!$A$97,Jazyky_ceník!$A:$Q,MATCH($AP$3,Jazyky_ceník!$A$1:$Q$1,0),FALSE),"---------------"))</f>
        <v>Klásek Trading  s.r.o.</v>
      </c>
      <c r="AK28" s="908"/>
      <c r="AL28" s="908"/>
      <c r="AM28" s="925" t="str">
        <f>IF($AP$3=$AQ$3,Jazyky_ceník!$A$98,IFERROR(VLOOKUP(Jazyky_ceník!$A$98,Jazyky_ceník!$A:$Q,MATCH($AP$3,Jazyky_ceník!$A$1:$Q$1,0),FALSE),"---------------"))</f>
        <v xml:space="preserve"> K Zyfu 1083, Ostrava-Hrabová 720 00</v>
      </c>
      <c r="AN28" s="925"/>
      <c r="AO28" s="925"/>
      <c r="AP28" s="925"/>
      <c r="AQ28" s="925"/>
      <c r="AR28" s="908" t="str">
        <f>IF($AP$3=$AQ$3,Jazyky_ceník!$A$90,IFERROR(VLOOKUP(Jazyky_ceník!$A$90,Jazyky_ceník!$A:$Q,MATCH($AP$3,Jazyky_ceník!$A$1:$Q$1,0),FALSE),"---------------"))</f>
        <v>Česká republika</v>
      </c>
      <c r="AS28" s="908"/>
      <c r="AT28" s="925" t="str">
        <f>IF($AP$3=$AQ$3,Jazyky_ceník!$A$91,IFERROR(VLOOKUP(Jazyky_ceník!$A$91,Jazyky_ceník!$A:$Q,MATCH($AP$3,Jazyky_ceník!$A$1:$Q$1,0),FALSE),"---------------"))</f>
        <v>IČO: 26848643  ○  DIČ: CZ26848643</v>
      </c>
      <c r="AU28" s="925"/>
      <c r="AV28" s="925"/>
      <c r="AW28" s="925"/>
      <c r="AX28" s="925"/>
      <c r="AY28" s="559"/>
      <c r="BC28" s="915" t="str">
        <f>'General price list'!V3</f>
        <v>DOCHÁZÍ</v>
      </c>
      <c r="BD28" s="916"/>
      <c r="BF28" s="187"/>
      <c r="BG28" s="919"/>
      <c r="BH28" s="919"/>
      <c r="BI28" s="919"/>
      <c r="BJ28" s="919"/>
      <c r="BK28" s="919"/>
      <c r="BL28" s="919"/>
      <c r="BM28" s="919"/>
      <c r="BN28" s="919"/>
      <c r="BO28" s="919"/>
      <c r="BP28" s="919"/>
      <c r="BQ28" s="242"/>
      <c r="BR28" s="243"/>
      <c r="BS28" s="243"/>
      <c r="BT28" s="401"/>
      <c r="CA28" s="244"/>
      <c r="CH28" s="382"/>
      <c r="CI28" s="383"/>
    </row>
    <row r="29" spans="1:87" ht="15" customHeight="1">
      <c r="B29" t="s">
        <v>11357</v>
      </c>
      <c r="AI29" s="558"/>
      <c r="AJ29" s="559"/>
      <c r="AK29" s="906" t="str">
        <f>IF($AP$3=$AQ$3,Jazyky_ceník!$A$92,IFERROR(VLOOKUP(Jazyky_ceník!$A$92,Jazyky_ceník!$A:$Q,MATCH($AP$3,Jazyky_ceník!$A$1:$Q$1,0),FALSE),"---------------"))</f>
        <v>kancelář:</v>
      </c>
      <c r="AL29" s="906"/>
      <c r="AM29" s="906"/>
      <c r="AN29" s="907" t="str">
        <f>IF($AP$3=$AQ$3,Jazyky_ceník!$A$95,IFERROR(VLOOKUP(Jazyky_ceník!$A$95,Jazyky_ceník!$A:$Q,MATCH($AP$3,Jazyky_ceník!$A$1:$Q$1,0),FALSE),"---------------"))</f>
        <v>+420 799 999 333</v>
      </c>
      <c r="AO29" s="907"/>
      <c r="AP29" s="907"/>
      <c r="AQ29" s="560" t="s">
        <v>8972</v>
      </c>
      <c r="AR29" s="906" t="str">
        <f>IF($AP$3=$AQ$3,Jazyky_ceník!$A$93,IFERROR(VLOOKUP(Jazyky_ceník!$A$93,Jazyky_ceník!$A:$Q,MATCH($AP$3,Jazyky_ceník!$A$1:$Q$1,0),FALSE),"---------------"))</f>
        <v>sklad:</v>
      </c>
      <c r="AS29" s="906"/>
      <c r="AT29" s="906"/>
      <c r="AU29" s="561" t="str">
        <f>IF($AP$3=$AQ$3,Jazyky_ceník!$A$96,IFERROR(VLOOKUP(Jazyky_ceník!$A$96,Jazyky_ceník!$A:$Q,MATCH($AP$3,Jazyky_ceník!$A$1:$Q$1,0),FALSE),"---------------"))</f>
        <v>+420 799 799 733</v>
      </c>
      <c r="AV29" s="559"/>
      <c r="AW29" s="559"/>
      <c r="AX29" s="559"/>
      <c r="AY29" s="559"/>
      <c r="BC29" s="915" t="str">
        <f>'General price list'!V4</f>
        <v xml:space="preserve">DORAZÍ </v>
      </c>
      <c r="BD29" s="916"/>
      <c r="BF29" s="188"/>
      <c r="BG29" s="919"/>
      <c r="BH29" s="919"/>
      <c r="BI29" s="919"/>
      <c r="BJ29" s="919"/>
      <c r="BK29" s="919"/>
      <c r="BL29" s="919"/>
      <c r="BM29" s="919"/>
      <c r="BN29" s="919"/>
      <c r="BO29" s="919"/>
      <c r="BP29" s="919"/>
      <c r="BQ29" s="189"/>
      <c r="BR29" s="13"/>
      <c r="BS29" s="13"/>
      <c r="BT29" s="400"/>
      <c r="BZ29" s="384"/>
      <c r="CA29" s="244"/>
      <c r="CH29" s="382"/>
      <c r="CI29" s="383"/>
    </row>
    <row r="30" spans="1:87" ht="9" customHeight="1">
      <c r="AI30" s="558"/>
      <c r="AJ30" s="562"/>
      <c r="AK30" s="559"/>
      <c r="AL30" s="559"/>
      <c r="AM30" s="559"/>
      <c r="AN30" s="559"/>
      <c r="AO30" s="559"/>
      <c r="AP30" s="559"/>
      <c r="AQ30" s="563"/>
      <c r="AR30" s="559"/>
      <c r="AS30" s="559"/>
      <c r="AT30" s="559"/>
      <c r="AU30" s="559"/>
      <c r="AV30" s="559"/>
      <c r="AW30" s="559"/>
      <c r="AX30" s="559"/>
      <c r="AY30" s="559"/>
      <c r="BC30" s="915" t="str">
        <f>'General price list'!V5</f>
        <v>DATUM</v>
      </c>
      <c r="BD30" s="916"/>
      <c r="BF30" s="183"/>
      <c r="BG30" s="184"/>
      <c r="BH30" s="185"/>
      <c r="BI30" s="185"/>
      <c r="BJ30" s="185"/>
      <c r="BK30" s="185"/>
      <c r="BL30" s="185"/>
      <c r="BM30" s="185"/>
      <c r="BN30" s="186"/>
      <c r="BO30" s="404"/>
      <c r="BP30" s="185"/>
      <c r="BQ30" s="185"/>
      <c r="BR30" s="13"/>
      <c r="BS30" s="13"/>
      <c r="BT30" s="400"/>
      <c r="BZ30" s="385"/>
      <c r="CA30" s="185"/>
      <c r="CH30" s="13"/>
      <c r="CI30" s="327"/>
    </row>
    <row r="31" spans="1:87" ht="6.75" customHeight="1">
      <c r="AI31" s="558"/>
      <c r="AJ31" s="559"/>
      <c r="AK31" s="559"/>
      <c r="AL31" s="559"/>
      <c r="AM31" s="559"/>
      <c r="AN31" s="559"/>
      <c r="AO31" s="559"/>
      <c r="AP31" s="559"/>
      <c r="AQ31" s="559"/>
      <c r="AR31" s="559"/>
      <c r="AS31" s="559"/>
      <c r="AT31" s="559"/>
      <c r="AU31" s="559"/>
      <c r="AV31" s="559"/>
      <c r="AW31" s="559"/>
      <c r="AX31" s="559"/>
      <c r="AY31" s="559"/>
      <c r="BC31" s="915" t="str">
        <f>'General price list'!V6</f>
        <v>SKLADEM</v>
      </c>
      <c r="BD31" s="916"/>
    </row>
    <row r="32" spans="1:87">
      <c r="AI32" s="558"/>
      <c r="AJ32" s="564"/>
      <c r="AK32" s="564"/>
      <c r="AL32" s="564"/>
      <c r="AM32" s="564"/>
      <c r="AN32" s="564"/>
      <c r="AO32" s="564"/>
      <c r="AP32" s="564"/>
      <c r="AQ32" s="564"/>
      <c r="AR32" s="564"/>
      <c r="AS32" s="564"/>
      <c r="AT32" s="564"/>
      <c r="AU32" s="564"/>
      <c r="AV32" s="564"/>
      <c r="AW32" s="564"/>
      <c r="AX32" s="564"/>
      <c r="AY32" s="559"/>
      <c r="BC32" s="915" t="str">
        <f>'General price list'!V7</f>
        <v>POSLEDNÍCH … VK</v>
      </c>
      <c r="BD32" s="916"/>
    </row>
    <row r="33" spans="1:87">
      <c r="AI33" s="5"/>
      <c r="AJ33" s="112"/>
      <c r="AK33" s="112"/>
      <c r="AL33" s="112"/>
      <c r="AM33" s="112"/>
      <c r="AN33" s="112"/>
      <c r="AO33" s="112"/>
      <c r="AP33" s="112"/>
      <c r="AQ33" s="112"/>
      <c r="AR33" s="112"/>
      <c r="AS33" s="112"/>
      <c r="AT33" s="112"/>
      <c r="AU33" s="112"/>
      <c r="AV33" s="112"/>
      <c r="AW33" s="112"/>
      <c r="AX33" s="112"/>
      <c r="BC33" s="915" t="str">
        <f>'General price list'!V8</f>
        <v>MÉNĚ NEŽ 1 VK!</v>
      </c>
      <c r="BD33" s="916"/>
    </row>
    <row r="34" spans="1:87">
      <c r="AI34" s="5"/>
      <c r="AJ34" s="112"/>
      <c r="AK34" s="112"/>
      <c r="AL34" s="112"/>
      <c r="AM34" s="112"/>
      <c r="AN34" s="112"/>
      <c r="AO34" s="112"/>
      <c r="AP34" s="112"/>
      <c r="AQ34" s="112"/>
      <c r="AR34" s="112"/>
      <c r="AS34" s="112"/>
      <c r="AT34" s="112"/>
      <c r="AU34" s="112"/>
      <c r="AV34" s="112"/>
      <c r="AW34" s="112"/>
      <c r="AX34" s="112"/>
      <c r="BC34" s="915" t="str">
        <f>'General price list'!V9</f>
        <v>VYPRODÁNO</v>
      </c>
      <c r="BD34" s="916"/>
    </row>
    <row r="35" spans="1:87">
      <c r="AI35" s="5"/>
      <c r="AJ35" s="112"/>
      <c r="AK35" s="112"/>
      <c r="AL35" s="112"/>
      <c r="AM35" s="112"/>
      <c r="AN35" s="112"/>
      <c r="AO35" s="112"/>
      <c r="AP35" s="112"/>
      <c r="AQ35" s="112"/>
      <c r="AR35" s="112"/>
      <c r="AS35" s="112"/>
      <c r="AT35" s="112"/>
      <c r="AU35" s="112"/>
      <c r="AV35" s="112"/>
      <c r="AW35" s="112"/>
      <c r="AX35" s="112"/>
      <c r="BC35" s="915" t="str">
        <f>'General price list'!V10</f>
        <v>NELZE OBJEDNAT!</v>
      </c>
      <c r="BD35" s="916"/>
    </row>
    <row r="36" spans="1:87">
      <c r="AH36" s="154"/>
      <c r="AI36" s="5"/>
      <c r="AJ36" s="112"/>
      <c r="AK36" s="112"/>
      <c r="AL36" s="112"/>
      <c r="AM36" s="112"/>
      <c r="AN36" s="112"/>
      <c r="AO36" s="112"/>
      <c r="AP36" s="112"/>
      <c r="AQ36" s="112"/>
      <c r="AR36" s="112"/>
      <c r="AS36" s="112"/>
      <c r="AT36" s="112"/>
      <c r="AU36" s="112"/>
      <c r="AV36" s="112"/>
      <c r="AW36" s="112"/>
      <c r="AX36" s="112"/>
      <c r="BC36" s="915">
        <f>'General price list'!V11</f>
        <v>0</v>
      </c>
      <c r="BD36" s="916"/>
    </row>
    <row r="37" spans="1:87" ht="9" customHeight="1">
      <c r="AH37" s="154"/>
      <c r="AI37" s="5"/>
      <c r="AJ37" s="14"/>
      <c r="AK37" s="14"/>
      <c r="AL37" s="14"/>
      <c r="AM37" s="14"/>
      <c r="AN37" s="14"/>
      <c r="AO37" s="14"/>
      <c r="AP37" s="14"/>
      <c r="AQ37" s="14"/>
      <c r="AR37" s="14"/>
      <c r="AS37" s="14"/>
      <c r="AT37" s="14"/>
      <c r="AU37" s="14"/>
      <c r="AV37" s="14"/>
      <c r="AW37" s="14"/>
      <c r="AX37" s="14"/>
      <c r="AY37" s="172"/>
      <c r="BC37" s="917">
        <f>'General price list'!V12</f>
        <v>0</v>
      </c>
      <c r="BD37" s="918"/>
    </row>
    <row r="38" spans="1:87" s="412" customFormat="1">
      <c r="A38" s="411"/>
      <c r="L38" s="411"/>
      <c r="AF38" s="411"/>
      <c r="AH38" s="413"/>
      <c r="AI38" s="413"/>
      <c r="AJ38" s="414"/>
      <c r="AK38" s="415"/>
      <c r="AL38" s="415"/>
      <c r="AM38" s="415"/>
      <c r="AN38" s="415"/>
      <c r="AO38" s="415"/>
      <c r="AP38" s="415"/>
      <c r="AQ38" s="415"/>
      <c r="AR38" s="415"/>
      <c r="AS38" s="415"/>
      <c r="AT38" s="415"/>
      <c r="AU38" s="415"/>
      <c r="AV38" s="415"/>
      <c r="AW38" s="415"/>
      <c r="AX38" s="416"/>
      <c r="AY38" s="416"/>
      <c r="AZ38" s="417"/>
      <c r="BO38" s="418"/>
      <c r="BT38" s="419"/>
      <c r="BZ38" s="418"/>
      <c r="CI38" s="411"/>
    </row>
    <row r="39" spans="1:87">
      <c r="BJ39" s="13"/>
      <c r="BK39" s="13"/>
      <c r="BL39" s="13"/>
      <c r="BM39" s="13"/>
      <c r="BN39" s="13"/>
      <c r="BO39" s="405"/>
      <c r="BP39" s="14"/>
      <c r="BQ39" s="14"/>
      <c r="BR39" s="14"/>
      <c r="BS39" s="14"/>
      <c r="BT39" s="400"/>
      <c r="BU39" s="14"/>
      <c r="BV39" s="5"/>
      <c r="BW39" s="5"/>
      <c r="BX39" s="5"/>
    </row>
    <row r="40" spans="1:87">
      <c r="BJ40" s="13"/>
      <c r="BK40" s="13"/>
      <c r="BL40" s="13"/>
      <c r="BM40" s="13"/>
      <c r="BN40" s="13"/>
      <c r="BO40" s="405"/>
      <c r="BP40" s="911" t="str">
        <f>UPPER(IF($AP$3=$AQ$3,"interaktivní",IFERROR(VLOOKUP("interaktivní",Jazyky_ceník!A:Q,MATCH(AP3,Jazyky_ceník!A1:Q1,0),FALSE),"---------------")))</f>
        <v>INTERAKTIVNÍ</v>
      </c>
      <c r="BQ40" s="911"/>
      <c r="BR40" s="911"/>
      <c r="BS40" s="911"/>
      <c r="BT40" s="400"/>
      <c r="BU40" s="13"/>
    </row>
    <row r="41" spans="1:87" ht="15.75" thickBot="1">
      <c r="B41" t="s">
        <v>11356</v>
      </c>
      <c r="BJ41" s="13"/>
      <c r="BK41" s="13"/>
      <c r="BL41" s="13"/>
      <c r="BM41" s="13"/>
      <c r="BN41" s="13"/>
      <c r="BO41" s="405"/>
      <c r="BP41" s="911"/>
      <c r="BQ41" s="911"/>
      <c r="BR41" s="911"/>
      <c r="BS41" s="911"/>
      <c r="BT41" s="400"/>
      <c r="BU41" s="13"/>
    </row>
    <row r="42" spans="1:87" ht="15" customHeight="1" thickTop="1" thickBot="1">
      <c r="AQ42" s="317"/>
      <c r="AR42" s="317"/>
      <c r="AS42" s="319"/>
      <c r="AT42" s="319"/>
      <c r="AU42" s="320"/>
      <c r="AV42" s="317"/>
      <c r="AW42" s="317"/>
      <c r="AX42" s="317"/>
      <c r="AY42" s="317"/>
      <c r="AZ42" s="318"/>
      <c r="BJ42" s="13"/>
      <c r="BK42" s="13"/>
      <c r="BL42" s="13"/>
      <c r="BM42" s="13"/>
      <c r="BN42" s="13"/>
      <c r="BO42" s="406"/>
      <c r="BP42" s="911" t="str">
        <f>"i-"&amp;PROPER(IF($AP$3=$AQ$3,"ceník",IFERROR(VLOOKUP("ceník",Jazyky_ceník!A:Q,MATCH(AP3,Jazyky_ceník!A1:Q1,0),FALSE),"---------------")))&amp;" 2026"</f>
        <v>i-Ceník 2026</v>
      </c>
      <c r="BQ42" s="911"/>
      <c r="BR42" s="911"/>
      <c r="BS42" s="911"/>
      <c r="BT42" s="400"/>
      <c r="BU42" s="13"/>
      <c r="BW42" s="5"/>
      <c r="BX42" s="5"/>
    </row>
    <row r="43" spans="1:87" ht="15" customHeight="1" thickTop="1">
      <c r="BJ43" s="13">
        <f>'General price list'!C5</f>
        <v>0</v>
      </c>
      <c r="BK43" s="13"/>
      <c r="BL43" s="13"/>
      <c r="BM43" s="13"/>
      <c r="BN43" s="13"/>
      <c r="BO43" s="407"/>
      <c r="BP43" s="911"/>
      <c r="BQ43" s="911"/>
      <c r="BR43" s="911"/>
      <c r="BS43" s="911"/>
      <c r="BT43" s="400"/>
      <c r="BU43" s="13"/>
      <c r="BW43" s="5"/>
      <c r="BX43" s="5"/>
    </row>
    <row r="44" spans="1:87" ht="22.5" customHeight="1">
      <c r="BJ44" s="13" t="str">
        <f>'General price list'!D6</f>
        <v>kancelář: +420 799 999 333 ○ sklad: +420 799 799 733</v>
      </c>
      <c r="BK44" s="13"/>
      <c r="BL44" s="13"/>
      <c r="BM44" s="13"/>
      <c r="BN44" s="13"/>
      <c r="BO44" s="406"/>
      <c r="BP44" s="912" t="str">
        <f>IF($AP$3=$AQ$3,Jazyky_ceník!A94,IFERROR(VLOOKUP(Jazyky_ceník!A94,Jazyky_ceník!A:Q,MATCH($AP$3,Jazyky_ceník!$A$1:$Q$1,0),FALSE),"---------------"))</f>
        <v>Platí: 01.I.2026 - 31.XII.2026</v>
      </c>
      <c r="BQ44" s="912"/>
      <c r="BR44" s="912"/>
      <c r="BS44" s="912"/>
      <c r="BT44" s="402"/>
      <c r="BU44" s="13"/>
    </row>
    <row r="45" spans="1:87" s="390" customFormat="1">
      <c r="A45" s="393"/>
      <c r="L45" s="393"/>
      <c r="AF45" s="393"/>
      <c r="AJ45" s="408"/>
      <c r="AK45" s="388"/>
      <c r="AL45" s="388"/>
      <c r="AM45" s="388"/>
      <c r="AN45" s="388"/>
      <c r="AO45" s="388"/>
      <c r="AP45" s="388"/>
      <c r="AQ45" s="388"/>
      <c r="AR45" s="388"/>
      <c r="AS45" s="388"/>
      <c r="AT45" s="388"/>
      <c r="AU45" s="388"/>
      <c r="AV45" s="388"/>
      <c r="AW45" s="388"/>
      <c r="AX45" s="388"/>
      <c r="AY45" s="388"/>
      <c r="AZ45" s="389"/>
      <c r="BJ45" s="388"/>
      <c r="BK45" s="388"/>
      <c r="BL45" s="388"/>
      <c r="BM45" s="388"/>
      <c r="BN45" s="388"/>
      <c r="BO45" s="409"/>
      <c r="BP45" s="388"/>
      <c r="BQ45" s="388"/>
      <c r="BR45" s="388"/>
      <c r="BS45" s="388"/>
      <c r="BT45" s="410"/>
      <c r="BU45" s="388"/>
      <c r="BZ45" s="392"/>
      <c r="CI45" s="393"/>
    </row>
    <row r="46" spans="1:87">
      <c r="AK46" s="163"/>
      <c r="AL46" s="21"/>
      <c r="AM46" s="164"/>
      <c r="AN46" s="163"/>
      <c r="AO46" s="21"/>
      <c r="AP46" s="21"/>
      <c r="BJ46" s="13"/>
      <c r="BK46" s="13"/>
      <c r="BL46" s="13"/>
      <c r="BM46" s="13"/>
      <c r="BN46" s="13"/>
      <c r="BO46" s="406"/>
      <c r="BP46" s="13"/>
      <c r="BQ46" s="13"/>
      <c r="BR46" s="13"/>
      <c r="BS46" s="13"/>
      <c r="BT46" s="400"/>
      <c r="BU46" s="13"/>
    </row>
    <row r="47" spans="1:87">
      <c r="AK47" s="165"/>
      <c r="AL47" s="165"/>
      <c r="AM47" s="165"/>
      <c r="AN47" s="165"/>
      <c r="AO47" s="165"/>
      <c r="AP47" s="21"/>
      <c r="BJ47" s="13"/>
      <c r="BK47" s="13"/>
      <c r="BL47" s="13"/>
      <c r="BM47" s="13"/>
      <c r="BN47" s="13"/>
      <c r="BO47" s="406"/>
      <c r="BP47" s="13"/>
      <c r="BQ47" s="13"/>
      <c r="BR47" s="13"/>
      <c r="BS47" s="13"/>
      <c r="BT47" s="400"/>
      <c r="BU47" s="13"/>
    </row>
    <row r="48" spans="1:87">
      <c r="AK48" s="166"/>
      <c r="AL48" s="21"/>
      <c r="AM48" s="21"/>
      <c r="AN48" s="167"/>
      <c r="AO48" s="21"/>
      <c r="AP48" s="21"/>
      <c r="BJ48" s="793"/>
      <c r="BK48" s="793"/>
      <c r="BL48" s="793"/>
      <c r="BM48" s="793"/>
      <c r="BN48" s="13"/>
      <c r="BO48" s="406"/>
      <c r="BP48" s="13"/>
      <c r="BQ48" s="13"/>
      <c r="BR48" s="13"/>
      <c r="BS48" s="13"/>
      <c r="BT48" s="400"/>
      <c r="BU48" s="13"/>
    </row>
    <row r="49" spans="37:102" ht="26.25">
      <c r="AK49" s="168"/>
      <c r="AL49" s="914" t="str">
        <f>'General price list'!D7</f>
        <v>VEŠKERÉ OBJEDNÁVKY ZASÍLEJTE POUZE NA ADRESU:</v>
      </c>
      <c r="AM49" s="914"/>
      <c r="AN49" s="914"/>
      <c r="AO49" s="914"/>
      <c r="AP49" s="914"/>
      <c r="AQ49" s="914"/>
      <c r="AS49" s="180" t="str">
        <f>'General price list'!E8</f>
        <v>info@klasekpyrotechnics.cz</v>
      </c>
      <c r="BJ49" s="793"/>
      <c r="BK49" s="911" t="str">
        <f>LOWER(IF($AP$3=$AQ$3,"nápověda",IFERROR(VLOOKUP("nápověda",Jazyky_ceník!A:Q,MATCH(AP3,Jazyky_ceník!A1:Q1,0),FALSE),"---------------")))</f>
        <v>nápověda</v>
      </c>
      <c r="BL49" s="911"/>
      <c r="BM49" s="794"/>
      <c r="BN49" s="191"/>
      <c r="BO49" s="406"/>
      <c r="BP49" s="13"/>
      <c r="BQ49" s="13"/>
      <c r="BR49" s="13"/>
      <c r="BS49" s="13"/>
      <c r="BT49" s="400"/>
      <c r="BU49" s="13"/>
    </row>
    <row r="50" spans="37:102">
      <c r="AK50" s="21"/>
      <c r="AL50" s="21"/>
      <c r="AM50" s="169"/>
      <c r="AN50" s="163"/>
      <c r="AO50" s="21"/>
      <c r="AP50" s="21"/>
      <c r="BJ50" s="793"/>
      <c r="BK50" s="793"/>
      <c r="BL50" s="793"/>
      <c r="BM50" s="793"/>
      <c r="BN50" s="13"/>
      <c r="BO50" s="406"/>
      <c r="BP50" s="13"/>
      <c r="BQ50" s="13"/>
      <c r="BR50" s="13"/>
      <c r="BS50" s="13"/>
      <c r="BT50" s="400"/>
      <c r="BU50" s="13"/>
    </row>
    <row r="51" spans="37:102">
      <c r="AK51" s="170"/>
      <c r="AL51" s="21"/>
      <c r="AM51" s="164"/>
      <c r="AN51" s="163"/>
      <c r="AO51" s="21"/>
      <c r="AP51" s="21"/>
      <c r="BJ51" s="13"/>
      <c r="BK51" s="13"/>
      <c r="BL51" s="13"/>
      <c r="BM51" s="13"/>
      <c r="BN51" s="13"/>
      <c r="BO51" s="406"/>
      <c r="BP51" s="13"/>
      <c r="BQ51" s="13"/>
      <c r="BR51" s="13"/>
      <c r="BS51" s="13"/>
      <c r="BT51" s="400"/>
      <c r="BU51" s="13"/>
    </row>
    <row r="52" spans="37:102">
      <c r="AK52" s="170"/>
      <c r="AL52" s="21"/>
      <c r="BJ52" s="13"/>
      <c r="BK52" s="13"/>
      <c r="BL52" s="13"/>
      <c r="BM52" s="13"/>
      <c r="BN52" s="13"/>
      <c r="BO52" s="406"/>
      <c r="BP52" s="13"/>
      <c r="BQ52" s="13"/>
      <c r="BR52" s="13"/>
      <c r="BS52" s="13"/>
      <c r="BT52" s="400"/>
      <c r="BU52" s="13"/>
    </row>
    <row r="53" spans="37:102">
      <c r="AK53" s="170"/>
      <c r="AL53" s="21"/>
      <c r="BJ53" s="13"/>
      <c r="BK53" s="13"/>
      <c r="BL53" s="13"/>
      <c r="BM53" s="13"/>
      <c r="BN53" s="13"/>
      <c r="BO53" s="406"/>
      <c r="BP53" s="13"/>
      <c r="BQ53" s="13"/>
      <c r="BR53" s="13"/>
      <c r="BS53" s="13"/>
      <c r="BT53" s="400"/>
      <c r="BU53" s="13"/>
    </row>
    <row r="54" spans="37:102" ht="37.5" customHeight="1">
      <c r="AK54" s="170"/>
      <c r="AL54" s="21"/>
      <c r="AM54" s="164"/>
      <c r="AN54" s="163"/>
      <c r="AO54" s="21"/>
      <c r="AP54" s="21"/>
      <c r="BI54" s="179"/>
      <c r="BQ54" s="15"/>
      <c r="BR54" s="15"/>
      <c r="BS54" s="13"/>
      <c r="BT54" s="400"/>
      <c r="BU54" s="13"/>
    </row>
    <row r="55" spans="37:102">
      <c r="AK55" s="170"/>
      <c r="AL55" s="21"/>
      <c r="AM55" s="164"/>
      <c r="AN55" s="163"/>
      <c r="AO55" s="171"/>
      <c r="AP55" s="21"/>
      <c r="BC55" t="s">
        <v>9101</v>
      </c>
      <c r="BJ55" s="13"/>
      <c r="BK55" s="13"/>
      <c r="BL55" s="13"/>
      <c r="BM55" s="13"/>
      <c r="BN55" s="13"/>
      <c r="BO55" s="406"/>
      <c r="BP55" s="13"/>
      <c r="BQ55" s="13"/>
      <c r="BR55" s="13"/>
      <c r="BS55" s="13"/>
      <c r="BT55" s="400"/>
      <c r="BU55" s="13"/>
      <c r="CI55"/>
    </row>
    <row r="56" spans="37:102">
      <c r="BJ56" s="13"/>
      <c r="BK56" s="13"/>
      <c r="BL56" s="13"/>
      <c r="BM56" s="13"/>
      <c r="BN56" s="13"/>
      <c r="BO56" s="406"/>
      <c r="BP56" s="13"/>
      <c r="BQ56" s="13"/>
      <c r="BR56" s="13"/>
      <c r="BS56" s="13"/>
      <c r="BT56" s="400"/>
      <c r="BU56" s="13"/>
      <c r="CI56"/>
    </row>
    <row r="57" spans="37:102">
      <c r="CI57" s="558"/>
      <c r="CJ57" s="908" t="str">
        <f>IF($AP$3=$AQ$3,Jazyky_ceník!$A$97,IFERROR(VLOOKUP(Jazyky_ceník!$A$97,Jazyky_ceník!$A:$Q,MATCH($AP$3,Jazyky_ceník!$A$1:$Q$1,0),FALSE),"---------------"))</f>
        <v>Klásek Trading  s.r.o.</v>
      </c>
      <c r="CK57" s="908"/>
      <c r="CL57" s="908"/>
      <c r="CM57" s="908"/>
      <c r="CN57" s="908"/>
      <c r="CO57" s="908"/>
    </row>
    <row r="58" spans="37:102">
      <c r="BC58" s="182"/>
      <c r="BD58" s="182"/>
      <c r="BE58" s="182"/>
      <c r="BF58" s="182"/>
      <c r="BG58" s="182"/>
      <c r="BH58" s="182"/>
      <c r="CI58" s="558"/>
      <c r="CJ58" s="908" t="str">
        <f>IF($AP$3=$AQ$3,Jazyky_ceník!$A$98,IFERROR(VLOOKUP(Jazyky_ceník!$A$98,Jazyky_ceník!$A:$Q,MATCH($AP$3,Jazyky_ceník!$A$1:$Q$1,0),FALSE),"---------------"))</f>
        <v xml:space="preserve"> K Zyfu 1083, Ostrava-Hrabová 720 00</v>
      </c>
      <c r="CK58" s="908"/>
      <c r="CL58" s="908"/>
      <c r="CM58" s="908"/>
      <c r="CN58" s="908"/>
      <c r="CO58" s="908"/>
      <c r="CQ58" s="372" t="s">
        <v>8972</v>
      </c>
      <c r="CX58" s="371"/>
    </row>
    <row r="59" spans="37:102">
      <c r="BC59" s="930"/>
      <c r="BD59" s="930"/>
      <c r="BE59" s="930"/>
      <c r="BF59" s="930"/>
      <c r="BG59" s="930"/>
      <c r="BH59" s="930"/>
      <c r="CI59" s="558"/>
      <c r="CJ59" s="908" t="str">
        <f>IF($AP$3=$AQ$3,Jazyky_ceník!$A$90,IFERROR(VLOOKUP(Jazyky_ceník!$A$90,Jazyky_ceník!$A:$Q,MATCH($AP$3,Jazyky_ceník!$A$1:$Q$1,0),FALSE),"---------------"))</f>
        <v>Česká republika</v>
      </c>
      <c r="CK59" s="908"/>
      <c r="CL59" s="908"/>
      <c r="CM59" s="908"/>
      <c r="CN59" s="908"/>
      <c r="CO59" s="908"/>
    </row>
    <row r="60" spans="37:102">
      <c r="BC60" s="930"/>
      <c r="BD60" s="930"/>
      <c r="BE60" s="930"/>
      <c r="BF60" s="930"/>
      <c r="BG60" s="930"/>
      <c r="BH60" s="930"/>
      <c r="CI60" s="558"/>
      <c r="CJ60" s="908" t="str">
        <f>IF($AP$3=$AQ$3,Jazyky_ceník!$A$91,IFERROR(VLOOKUP(Jazyky_ceník!$A$91,Jazyky_ceník!$A:$Q,MATCH($AP$3,Jazyky_ceník!$A$1:$Q$1,0),FALSE),"---------------"))</f>
        <v>IČO: 26848643  ○  DIČ: CZ26848643</v>
      </c>
      <c r="CK60" s="908"/>
      <c r="CL60" s="908"/>
      <c r="CM60" s="908"/>
      <c r="CN60" s="908"/>
      <c r="CO60" s="908"/>
      <c r="CQ60" t="s">
        <v>11348</v>
      </c>
    </row>
    <row r="61" spans="37:102" ht="15" customHeight="1">
      <c r="AX61" s="244"/>
      <c r="BC61" s="931"/>
      <c r="BD61" s="931"/>
      <c r="BE61" s="931"/>
      <c r="BF61" s="931"/>
      <c r="BG61" s="931"/>
      <c r="BH61" s="931"/>
      <c r="CI61" s="558"/>
      <c r="CJ61" s="906" t="str">
        <f>IF($AP$3=$AQ$3,Jazyky_ceník!$A$92,IFERROR(VLOOKUP(Jazyky_ceník!$A$92,Jazyky_ceník!$A:$Q,MATCH($AP$3,Jazyky_ceník!$A$1:$Q$1,0),FALSE),"---------------"))</f>
        <v>kancelář:</v>
      </c>
      <c r="CK61" s="906"/>
      <c r="CL61" s="906"/>
      <c r="CM61" s="907" t="str">
        <f>IF($AP$3=$AQ$3,Jazyky_ceník!$A$95,IFERROR(VLOOKUP(Jazyky_ceník!$A$95,Jazyky_ceník!$A:$Q,MATCH($AP$3,Jazyky_ceník!$A$1:$Q$1,0),FALSE),"---------------"))</f>
        <v>+420 799 999 333</v>
      </c>
      <c r="CN61" s="907"/>
      <c r="CO61" s="907"/>
    </row>
    <row r="62" spans="37:102" ht="15" customHeight="1">
      <c r="BC62" s="931"/>
      <c r="BD62" s="931"/>
      <c r="BE62" s="931"/>
      <c r="BF62" s="931"/>
      <c r="BG62" s="931"/>
      <c r="BH62" s="931"/>
      <c r="CI62" s="558"/>
      <c r="CJ62" s="906" t="str">
        <f>IF($AP$3=$AQ$3,Jazyky_ceník!$A$93,IFERROR(VLOOKUP(Jazyky_ceník!$A$93,Jazyky_ceník!$A:$Q,MATCH($AP$3,Jazyky_ceník!$A$1:$Q$1,0),FALSE),"---------------"))</f>
        <v>sklad:</v>
      </c>
      <c r="CK62" s="906"/>
      <c r="CL62" s="906"/>
      <c r="CM62" s="561" t="str">
        <f>IF($AP$3=$AQ$3,Jazyky_ceník!$A$96,IFERROR(VLOOKUP(Jazyky_ceník!$A$96,Jazyky_ceník!$A:$Q,MATCH($AP$3,Jazyky_ceník!$A$1:$Q$1,0),FALSE),"---------------"))</f>
        <v>+420 799 799 733</v>
      </c>
      <c r="CN62" s="559"/>
      <c r="CO62" s="559"/>
    </row>
    <row r="63" spans="37:102">
      <c r="BC63" s="185"/>
      <c r="BD63" s="185"/>
      <c r="BE63" s="185"/>
      <c r="BF63" s="185"/>
      <c r="BG63" s="185"/>
      <c r="BH63" s="186"/>
      <c r="CI63"/>
    </row>
    <row r="64" spans="37:102" ht="15" customHeight="1">
      <c r="CI64"/>
    </row>
    <row r="65" spans="1:87">
      <c r="CI65"/>
    </row>
    <row r="67" spans="1:87" ht="15" customHeight="1">
      <c r="AR67" s="245" t="e">
        <f>IF($AP$3=$AQ$3,Jazyky_ceník!#REF!,IFERROR(VLOOKUP(Jazyky_ceník!#REF!,Jazyky_ceník!#REF!,MATCH($AP$3,Jazyky_ceník!$A$1:$Q$1,0),FALSE),"---------------"))</f>
        <v>#REF!</v>
      </c>
      <c r="AS67" s="245"/>
      <c r="AT67" s="245"/>
      <c r="AU67" s="245"/>
      <c r="AV67" s="245"/>
      <c r="AW67" s="245"/>
      <c r="BD67" s="1"/>
    </row>
    <row r="68" spans="1:87" ht="15" customHeight="1">
      <c r="AR68" s="245"/>
      <c r="AS68" s="245"/>
      <c r="AT68" s="245"/>
      <c r="AV68" s="245"/>
      <c r="AW68" s="245"/>
    </row>
    <row r="70" spans="1:87">
      <c r="BC70" s="182"/>
      <c r="BD70" s="182"/>
      <c r="BE70" s="182"/>
      <c r="BF70" s="182"/>
      <c r="BG70" s="182"/>
    </row>
    <row r="71" spans="1:87" ht="15" customHeight="1">
      <c r="BC71" s="929" t="str">
        <f>IF($AP$3=$AQ$3,Jazyky_ceník!A115,IFERROR(VLOOKUP(Jazyky_ceník!A115,Jazyky_ceník!A:Q,MATCH($AP$3,Jazyky_ceník!$A$1:$Q$1,0),FALSE),"---------------"))</f>
        <v>Finální součet Vaši objednávky naleznete zde:</v>
      </c>
      <c r="BD71" s="929"/>
      <c r="BE71" s="929"/>
      <c r="BF71" s="929"/>
      <c r="BG71" s="929"/>
    </row>
    <row r="72" spans="1:87" ht="15" customHeight="1">
      <c r="BC72" s="929"/>
      <c r="BD72" s="929"/>
      <c r="BE72" s="929"/>
      <c r="BF72" s="929"/>
      <c r="BG72" s="929"/>
    </row>
    <row r="73" spans="1:87">
      <c r="BC73" s="185"/>
      <c r="BD73" s="185"/>
      <c r="BE73" s="185"/>
      <c r="BF73" s="185"/>
      <c r="BG73" s="185"/>
    </row>
    <row r="74" spans="1:87" s="324" customFormat="1">
      <c r="A74" s="331"/>
      <c r="L74" s="331"/>
      <c r="M74"/>
      <c r="N74"/>
      <c r="O74"/>
      <c r="P74"/>
      <c r="Q74"/>
      <c r="R74"/>
      <c r="AF74" s="331"/>
      <c r="AJ74" s="321"/>
      <c r="AK74" s="322"/>
      <c r="AL74" s="322"/>
      <c r="AM74" s="322"/>
      <c r="AN74" s="322"/>
      <c r="AO74" s="322"/>
      <c r="AP74" s="322"/>
      <c r="AQ74" s="322"/>
      <c r="AR74" s="322"/>
      <c r="AS74" s="322"/>
      <c r="AT74" s="322"/>
      <c r="AU74" s="322"/>
      <c r="AV74" s="322"/>
      <c r="AW74" s="322"/>
      <c r="AX74" s="322"/>
      <c r="AY74" s="322"/>
      <c r="AZ74" s="323"/>
      <c r="BO74" s="386"/>
      <c r="BT74" s="403"/>
      <c r="BZ74" s="386"/>
      <c r="CI74" s="331"/>
    </row>
    <row r="76" spans="1:87">
      <c r="C76" s="556"/>
      <c r="D76" s="556"/>
      <c r="E76" s="913" t="str">
        <f>IF($AP$3=$AQ$3,Jazyky_ceník!A118,IFERROR(VLOOKUP(Jazyky_ceník!A118,Jazyky_ceník!A:Q,MATCH($AP$3,Jazyky_ceník!$A$1:$Q$1,0),FALSE),"---------------"))</f>
        <v xml:space="preserve">Pokud chcete objednávat F4, musíte zatrhnout toto pole: </v>
      </c>
      <c r="F76" s="913"/>
      <c r="G76" s="913"/>
      <c r="H76" s="913"/>
      <c r="I76" s="913"/>
      <c r="J76" s="913"/>
      <c r="K76" s="556"/>
    </row>
    <row r="77" spans="1:87" ht="24" customHeight="1">
      <c r="C77" s="555"/>
      <c r="D77" s="557"/>
      <c r="E77" s="557"/>
      <c r="F77" s="910" t="str">
        <f>UPPER(IF($AP$3=$AQ$3,"ano, mám povolení k nákupu F4",IFERROR(VLOOKUP("ano, mám povolení k nákupu F4",Jazyky_ceník!A:Q,MATCH(AP3,Jazyky_ceník!A1:Q1,0),FALSE),"---------------")))</f>
        <v>ANO, MÁM POVOLENÍ K NÁKUPU F4</v>
      </c>
      <c r="G77" s="910"/>
      <c r="H77" s="910"/>
      <c r="I77" s="910"/>
      <c r="J77" s="557"/>
      <c r="K77" s="555"/>
    </row>
    <row r="78" spans="1:87">
      <c r="C78" s="909" t="str">
        <f>IF($AP$3=$AQ$3,Jazyky_ceník!A117,IFERROR(VLOOKUP(Jazyky_ceník!A117,Jazyky_ceník!A:Q,MATCH($AP$3,Jazyky_ceník!$A$1:$Q$1,0),FALSE),"---------------"))</f>
        <v>Společně se svou objednávkou nám zašlete kopii Vašeho průkazu pro nákup kategorie F4.</v>
      </c>
      <c r="D78" s="909"/>
      <c r="E78" s="909"/>
      <c r="F78" s="909"/>
      <c r="G78" s="909"/>
      <c r="H78" s="909"/>
      <c r="I78" s="909"/>
      <c r="J78" s="909"/>
      <c r="K78" s="909"/>
      <c r="O78" s="368"/>
    </row>
    <row r="81" spans="12:18">
      <c r="R81" s="369"/>
    </row>
    <row r="84" spans="12:18">
      <c r="M84" s="926"/>
      <c r="N84" s="926"/>
      <c r="O84" s="926"/>
      <c r="P84" s="926"/>
    </row>
    <row r="85" spans="12:18">
      <c r="M85" s="370"/>
      <c r="N85" s="927"/>
      <c r="O85" s="928"/>
      <c r="P85" s="928"/>
    </row>
    <row r="87" spans="12:18">
      <c r="L87" s="328" t="s">
        <v>10592</v>
      </c>
    </row>
  </sheetData>
  <mergeCells count="52">
    <mergeCell ref="M84:P84"/>
    <mergeCell ref="N85:P85"/>
    <mergeCell ref="BC71:BG72"/>
    <mergeCell ref="BC59:BH60"/>
    <mergeCell ref="BC61:BH62"/>
    <mergeCell ref="AK29:AM29"/>
    <mergeCell ref="AR29:AT29"/>
    <mergeCell ref="AJ28:AL28"/>
    <mergeCell ref="AM28:AQ28"/>
    <mergeCell ref="AT28:AX28"/>
    <mergeCell ref="AM24:AP25"/>
    <mergeCell ref="AR28:AS28"/>
    <mergeCell ref="AQ24:AU25"/>
    <mergeCell ref="BE17:BH17"/>
    <mergeCell ref="BE20:BH20"/>
    <mergeCell ref="BE19:BH19"/>
    <mergeCell ref="BC17:BD17"/>
    <mergeCell ref="BC20:BD20"/>
    <mergeCell ref="BC19:BD19"/>
    <mergeCell ref="BC18:BD18"/>
    <mergeCell ref="BE18:BH18"/>
    <mergeCell ref="AN26:AS26"/>
    <mergeCell ref="BC25:BD25"/>
    <mergeCell ref="BC26:BD26"/>
    <mergeCell ref="BC27:BD27"/>
    <mergeCell ref="CJ58:CO58"/>
    <mergeCell ref="CJ57:CO57"/>
    <mergeCell ref="BP40:BS41"/>
    <mergeCell ref="AN29:AP29"/>
    <mergeCell ref="BC31:BD31"/>
    <mergeCell ref="BC32:BD32"/>
    <mergeCell ref="BC33:BD33"/>
    <mergeCell ref="BC34:BD34"/>
    <mergeCell ref="BC35:BD35"/>
    <mergeCell ref="BC29:BD29"/>
    <mergeCell ref="BC36:BD36"/>
    <mergeCell ref="BC30:BD30"/>
    <mergeCell ref="BC37:BD37"/>
    <mergeCell ref="BG28:BP29"/>
    <mergeCell ref="BC28:BD28"/>
    <mergeCell ref="C78:K78"/>
    <mergeCell ref="F77:I77"/>
    <mergeCell ref="BK49:BL49"/>
    <mergeCell ref="BP42:BS43"/>
    <mergeCell ref="BP44:BS44"/>
    <mergeCell ref="E76:J76"/>
    <mergeCell ref="AL49:AQ49"/>
    <mergeCell ref="CJ61:CL61"/>
    <mergeCell ref="CM61:CO61"/>
    <mergeCell ref="CJ62:CL62"/>
    <mergeCell ref="CJ60:CO60"/>
    <mergeCell ref="CJ59:CO59"/>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BFFBD-8B7B-4DE3-AB0D-F83E1ACD91E3}">
  <sheetPr codeName="List4">
    <tabColor theme="1"/>
  </sheetPr>
  <dimension ref="A1:P152"/>
  <sheetViews>
    <sheetView workbookViewId="0">
      <pane xSplit="1" ySplit="3" topLeftCell="B87" activePane="bottomRight" state="frozen"/>
      <selection activeCell="BC71" sqref="BC71:BG72"/>
      <selection pane="topRight" activeCell="BC71" sqref="BC71:BG72"/>
      <selection pane="bottomLeft" activeCell="BC71" sqref="BC71:BG72"/>
      <selection pane="bottomRight" activeCell="M104" sqref="M104"/>
    </sheetView>
  </sheetViews>
  <sheetFormatPr defaultColWidth="9.140625" defaultRowHeight="14.45" customHeight="1"/>
  <cols>
    <col min="1" max="1" width="9.140625" style="251"/>
    <col min="2" max="13" width="70.7109375" style="293" customWidth="1"/>
    <col min="14" max="15" width="9.140625" style="251"/>
  </cols>
  <sheetData>
    <row r="1" spans="1:16" ht="15">
      <c r="B1" s="289">
        <v>24</v>
      </c>
      <c r="C1" s="289">
        <v>23</v>
      </c>
      <c r="D1" s="289">
        <v>22</v>
      </c>
      <c r="E1" s="289">
        <v>109</v>
      </c>
      <c r="F1" s="289">
        <v>110</v>
      </c>
      <c r="G1" s="289">
        <v>111</v>
      </c>
      <c r="H1" s="290">
        <v>112</v>
      </c>
      <c r="I1" s="289">
        <v>113</v>
      </c>
      <c r="J1" s="289">
        <v>156</v>
      </c>
      <c r="K1" s="289">
        <v>160</v>
      </c>
      <c r="L1" s="289">
        <v>114</v>
      </c>
      <c r="M1" s="289">
        <v>161</v>
      </c>
    </row>
    <row r="2" spans="1:16" ht="15">
      <c r="B2" s="289" t="s">
        <v>2766</v>
      </c>
      <c r="C2" s="289" t="s">
        <v>2767</v>
      </c>
      <c r="D2" s="289" t="s">
        <v>2768</v>
      </c>
      <c r="E2" s="289" t="s">
        <v>6463</v>
      </c>
      <c r="F2" s="289" t="s">
        <v>6460</v>
      </c>
      <c r="G2" s="289" t="s">
        <v>2769</v>
      </c>
      <c r="H2" s="289" t="s">
        <v>6854</v>
      </c>
      <c r="I2" s="289" t="s">
        <v>7684</v>
      </c>
      <c r="J2" s="289" t="s">
        <v>7685</v>
      </c>
      <c r="K2" s="289" t="s">
        <v>6801</v>
      </c>
      <c r="L2" s="289" t="s">
        <v>2770</v>
      </c>
      <c r="M2" s="289" t="s">
        <v>7683</v>
      </c>
    </row>
    <row r="3" spans="1:16" ht="15">
      <c r="B3" s="291" t="s">
        <v>7688</v>
      </c>
      <c r="C3" s="291" t="s">
        <v>7689</v>
      </c>
      <c r="D3" s="291" t="s">
        <v>7690</v>
      </c>
      <c r="E3" s="291" t="s">
        <v>7691</v>
      </c>
      <c r="F3" s="291" t="s">
        <v>7692</v>
      </c>
      <c r="G3" s="291" t="s">
        <v>6464</v>
      </c>
      <c r="H3" s="291" t="s">
        <v>7693</v>
      </c>
      <c r="I3" s="291" t="s">
        <v>6461</v>
      </c>
      <c r="J3" s="291" t="s">
        <v>7694</v>
      </c>
      <c r="K3" s="291" t="s">
        <v>7695</v>
      </c>
      <c r="L3" s="291" t="s">
        <v>6462</v>
      </c>
      <c r="M3" s="291" t="s">
        <v>7696</v>
      </c>
    </row>
    <row r="4" spans="1:16" ht="15.75">
      <c r="B4" s="289" t="s">
        <v>15</v>
      </c>
      <c r="C4" s="289" t="s">
        <v>6382</v>
      </c>
      <c r="D4" s="289" t="s">
        <v>6381</v>
      </c>
      <c r="E4" s="289" t="s">
        <v>6383</v>
      </c>
      <c r="F4" s="289" t="s">
        <v>6384</v>
      </c>
      <c r="G4" s="289" t="s">
        <v>6385</v>
      </c>
      <c r="H4" s="289" t="s">
        <v>2492</v>
      </c>
      <c r="I4" s="289" t="s">
        <v>6386</v>
      </c>
      <c r="J4" s="289" t="s">
        <v>7686</v>
      </c>
      <c r="K4" s="289" t="s">
        <v>7670</v>
      </c>
      <c r="L4" s="289" t="s">
        <v>6387</v>
      </c>
      <c r="M4" s="289" t="s">
        <v>7687</v>
      </c>
      <c r="P4" s="252"/>
    </row>
    <row r="5" spans="1:16" ht="15.75">
      <c r="A5" s="251">
        <v>1</v>
      </c>
      <c r="B5" s="253" t="s">
        <v>9954</v>
      </c>
      <c r="C5" s="253" t="s">
        <v>10009</v>
      </c>
      <c r="D5" s="253" t="s">
        <v>10056</v>
      </c>
      <c r="E5" s="253" t="s">
        <v>10003</v>
      </c>
      <c r="F5" s="253" t="s">
        <v>9997</v>
      </c>
      <c r="G5" s="253" t="s">
        <v>9991</v>
      </c>
      <c r="H5" s="253" t="s">
        <v>9985</v>
      </c>
      <c r="I5" s="253" t="s">
        <v>9979</v>
      </c>
      <c r="J5" s="292" t="s">
        <v>9955</v>
      </c>
      <c r="K5" s="253" t="s">
        <v>9961</v>
      </c>
      <c r="L5" s="253" t="s">
        <v>9973</v>
      </c>
      <c r="M5" s="253" t="s">
        <v>9967</v>
      </c>
      <c r="P5" s="252"/>
    </row>
    <row r="6" spans="1:16" ht="15.75">
      <c r="A6" s="251">
        <v>2</v>
      </c>
      <c r="B6" s="292" t="s">
        <v>9952</v>
      </c>
      <c r="C6" s="253" t="s">
        <v>10010</v>
      </c>
      <c r="D6" s="253" t="s">
        <v>10051</v>
      </c>
      <c r="E6" s="253" t="s">
        <v>10004</v>
      </c>
      <c r="F6" s="253" t="s">
        <v>9998</v>
      </c>
      <c r="G6" s="253" t="s">
        <v>9992</v>
      </c>
      <c r="H6" s="253" t="s">
        <v>9986</v>
      </c>
      <c r="I6" s="253" t="s">
        <v>9980</v>
      </c>
      <c r="J6" s="292" t="s">
        <v>9956</v>
      </c>
      <c r="K6" s="253" t="s">
        <v>9962</v>
      </c>
      <c r="L6" s="253" t="s">
        <v>9974</v>
      </c>
      <c r="M6" s="253" t="s">
        <v>9968</v>
      </c>
      <c r="P6" s="252"/>
    </row>
    <row r="7" spans="1:16" ht="15.75">
      <c r="A7" s="251">
        <v>3</v>
      </c>
      <c r="B7" s="292" t="s">
        <v>11590</v>
      </c>
      <c r="C7" s="253" t="s">
        <v>10011</v>
      </c>
      <c r="D7" s="253" t="s">
        <v>10052</v>
      </c>
      <c r="E7" s="253" t="s">
        <v>10005</v>
      </c>
      <c r="F7" s="253" t="s">
        <v>9999</v>
      </c>
      <c r="G7" s="253" t="s">
        <v>9993</v>
      </c>
      <c r="H7" s="253" t="s">
        <v>9987</v>
      </c>
      <c r="I7" s="253" t="s">
        <v>9981</v>
      </c>
      <c r="J7" s="292" t="s">
        <v>9957</v>
      </c>
      <c r="K7" s="253" t="s">
        <v>9963</v>
      </c>
      <c r="L7" s="253" t="s">
        <v>9975</v>
      </c>
      <c r="M7" s="253" t="s">
        <v>9969</v>
      </c>
      <c r="P7" s="252"/>
    </row>
    <row r="8" spans="1:16" ht="15.75">
      <c r="A8" s="251">
        <v>4</v>
      </c>
      <c r="B8" s="292" t="s">
        <v>9859</v>
      </c>
      <c r="C8" s="253" t="s">
        <v>10012</v>
      </c>
      <c r="D8" s="253" t="s">
        <v>10053</v>
      </c>
      <c r="E8" s="253" t="s">
        <v>10006</v>
      </c>
      <c r="F8" s="253" t="s">
        <v>10000</v>
      </c>
      <c r="G8" s="253" t="s">
        <v>9994</v>
      </c>
      <c r="H8" s="253" t="s">
        <v>9988</v>
      </c>
      <c r="I8" s="253" t="s">
        <v>9982</v>
      </c>
      <c r="J8" s="292" t="s">
        <v>9958</v>
      </c>
      <c r="K8" s="253" t="s">
        <v>9964</v>
      </c>
      <c r="L8" s="253" t="s">
        <v>9976</v>
      </c>
      <c r="M8" s="253" t="s">
        <v>9970</v>
      </c>
      <c r="P8" s="252"/>
    </row>
    <row r="9" spans="1:16" ht="15.75">
      <c r="A9" s="251">
        <v>5</v>
      </c>
      <c r="B9" s="292" t="s">
        <v>9860</v>
      </c>
      <c r="C9" s="253" t="s">
        <v>10013</v>
      </c>
      <c r="D9" s="253" t="s">
        <v>10054</v>
      </c>
      <c r="E9" s="253" t="s">
        <v>10007</v>
      </c>
      <c r="F9" s="253" t="s">
        <v>10001</v>
      </c>
      <c r="G9" s="253" t="s">
        <v>9995</v>
      </c>
      <c r="H9" s="253" t="s">
        <v>9989</v>
      </c>
      <c r="I9" s="253" t="s">
        <v>9983</v>
      </c>
      <c r="J9" s="292" t="s">
        <v>9959</v>
      </c>
      <c r="K9" s="253" t="s">
        <v>9965</v>
      </c>
      <c r="L9" s="253" t="s">
        <v>9977</v>
      </c>
      <c r="M9" s="253" t="s">
        <v>9971</v>
      </c>
      <c r="P9" s="252"/>
    </row>
    <row r="10" spans="1:16" ht="15.75">
      <c r="A10" s="251">
        <v>6</v>
      </c>
      <c r="B10" s="292" t="s">
        <v>9953</v>
      </c>
      <c r="C10" s="253" t="s">
        <v>10014</v>
      </c>
      <c r="D10" s="253" t="s">
        <v>10055</v>
      </c>
      <c r="E10" s="253" t="s">
        <v>10008</v>
      </c>
      <c r="F10" s="253" t="s">
        <v>10002</v>
      </c>
      <c r="G10" s="253" t="s">
        <v>9996</v>
      </c>
      <c r="H10" s="253" t="s">
        <v>9990</v>
      </c>
      <c r="I10" s="253" t="s">
        <v>9984</v>
      </c>
      <c r="J10" s="292" t="s">
        <v>9960</v>
      </c>
      <c r="K10" s="253" t="s">
        <v>9966</v>
      </c>
      <c r="L10" s="253" t="s">
        <v>9978</v>
      </c>
      <c r="M10" s="253" t="s">
        <v>9972</v>
      </c>
      <c r="P10" s="252"/>
    </row>
    <row r="11" spans="1:16" ht="15.75">
      <c r="A11" s="251">
        <v>7</v>
      </c>
      <c r="B11" s="292" t="s">
        <v>10015</v>
      </c>
      <c r="C11" s="253" t="s">
        <v>10026</v>
      </c>
      <c r="D11" s="253" t="s">
        <v>10025</v>
      </c>
      <c r="E11" s="253" t="s">
        <v>10024</v>
      </c>
      <c r="F11" s="253" t="s">
        <v>10023</v>
      </c>
      <c r="G11" s="253" t="s">
        <v>10022</v>
      </c>
      <c r="H11" s="253" t="s">
        <v>10021</v>
      </c>
      <c r="I11" s="253" t="s">
        <v>10020</v>
      </c>
      <c r="J11" s="253" t="s">
        <v>10019</v>
      </c>
      <c r="K11" s="253" t="s">
        <v>10018</v>
      </c>
      <c r="L11" s="253" t="s">
        <v>10017</v>
      </c>
      <c r="M11" s="253" t="s">
        <v>10016</v>
      </c>
      <c r="P11" s="252"/>
    </row>
    <row r="12" spans="1:16" ht="15">
      <c r="A12" s="251">
        <v>8</v>
      </c>
      <c r="B12" s="293" t="s">
        <v>2115</v>
      </c>
      <c r="C12" s="294" t="s">
        <v>6970</v>
      </c>
      <c r="D12" s="295" t="s">
        <v>2720</v>
      </c>
      <c r="E12" s="293" t="s">
        <v>7041</v>
      </c>
      <c r="F12" s="293" t="s">
        <v>10286</v>
      </c>
      <c r="G12" s="293" t="s">
        <v>8781</v>
      </c>
      <c r="H12" s="293" t="s">
        <v>6971</v>
      </c>
      <c r="I12" s="293" t="s">
        <v>10228</v>
      </c>
      <c r="J12" s="293" t="s">
        <v>10327</v>
      </c>
      <c r="K12" s="293" t="s">
        <v>7082</v>
      </c>
      <c r="L12" s="293" t="s">
        <v>6910</v>
      </c>
      <c r="M12" s="293" t="s">
        <v>8823</v>
      </c>
      <c r="P12">
        <v>1</v>
      </c>
    </row>
    <row r="13" spans="1:16" ht="15">
      <c r="A13" s="251">
        <v>9</v>
      </c>
      <c r="B13" s="293" t="s">
        <v>9395</v>
      </c>
      <c r="C13" s="294" t="s">
        <v>9404</v>
      </c>
      <c r="D13" s="295" t="s">
        <v>9396</v>
      </c>
      <c r="E13" s="293" t="s">
        <v>9403</v>
      </c>
      <c r="F13" s="293" t="s">
        <v>9402</v>
      </c>
      <c r="G13" s="293" t="s">
        <v>9401</v>
      </c>
      <c r="H13" s="293" t="s">
        <v>9400</v>
      </c>
      <c r="I13" s="293" t="s">
        <v>10229</v>
      </c>
      <c r="J13" s="293" t="s">
        <v>10328</v>
      </c>
      <c r="K13" s="293" t="s">
        <v>9399</v>
      </c>
      <c r="L13" s="293" t="s">
        <v>9398</v>
      </c>
      <c r="M13" s="293" t="s">
        <v>9397</v>
      </c>
      <c r="P13">
        <v>2</v>
      </c>
    </row>
    <row r="14" spans="1:16" ht="15">
      <c r="A14" s="251">
        <v>10</v>
      </c>
      <c r="C14" s="294"/>
      <c r="D14" s="295"/>
      <c r="P14">
        <v>3</v>
      </c>
    </row>
    <row r="15" spans="1:16" ht="15">
      <c r="A15" s="251">
        <v>11</v>
      </c>
      <c r="B15" s="293" t="s">
        <v>10037</v>
      </c>
      <c r="C15" s="293" t="s">
        <v>10038</v>
      </c>
      <c r="D15" s="295" t="s">
        <v>10039</v>
      </c>
      <c r="E15" s="293" t="s">
        <v>10040</v>
      </c>
      <c r="F15" s="293" t="s">
        <v>10287</v>
      </c>
      <c r="G15" s="293" t="s">
        <v>10041</v>
      </c>
      <c r="H15" s="293" t="s">
        <v>10042</v>
      </c>
      <c r="I15" s="293" t="s">
        <v>10230</v>
      </c>
      <c r="J15" s="293" t="s">
        <v>10329</v>
      </c>
      <c r="K15" s="293" t="s">
        <v>10043</v>
      </c>
      <c r="L15" s="293" t="s">
        <v>10044</v>
      </c>
      <c r="M15" s="293" t="s">
        <v>9132</v>
      </c>
      <c r="P15">
        <v>4</v>
      </c>
    </row>
    <row r="16" spans="1:16" ht="15">
      <c r="A16" s="251">
        <v>12</v>
      </c>
      <c r="B16" s="293" t="s">
        <v>11593</v>
      </c>
      <c r="C16" s="293" t="s">
        <v>11591</v>
      </c>
      <c r="D16" s="295" t="s">
        <v>11592</v>
      </c>
      <c r="E16" s="293" t="s">
        <v>7042</v>
      </c>
      <c r="F16" s="293" t="s">
        <v>10288</v>
      </c>
      <c r="G16" s="293" t="s">
        <v>8782</v>
      </c>
      <c r="H16" s="293" t="s">
        <v>6972</v>
      </c>
      <c r="I16" s="293" t="s">
        <v>10231</v>
      </c>
      <c r="J16" s="293" t="s">
        <v>10330</v>
      </c>
      <c r="K16" s="293" t="s">
        <v>7083</v>
      </c>
      <c r="L16" s="293" t="s">
        <v>6911</v>
      </c>
      <c r="M16" s="293" t="s">
        <v>8824</v>
      </c>
      <c r="P16">
        <v>5</v>
      </c>
    </row>
    <row r="17" spans="1:16" ht="15">
      <c r="A17" s="251">
        <v>13</v>
      </c>
      <c r="B17" s="293" t="s">
        <v>6912</v>
      </c>
      <c r="C17" s="293" t="s">
        <v>9760</v>
      </c>
      <c r="D17" s="295" t="s">
        <v>8777</v>
      </c>
      <c r="E17" s="293" t="s">
        <v>7043</v>
      </c>
      <c r="F17" s="293" t="s">
        <v>10289</v>
      </c>
      <c r="G17" s="293" t="s">
        <v>8783</v>
      </c>
      <c r="H17" s="293" t="s">
        <v>6973</v>
      </c>
      <c r="I17" s="293" t="s">
        <v>10232</v>
      </c>
      <c r="J17" s="293" t="s">
        <v>10331</v>
      </c>
      <c r="K17" s="293" t="s">
        <v>7084</v>
      </c>
      <c r="L17" s="293" t="s">
        <v>6913</v>
      </c>
      <c r="M17" s="293" t="s">
        <v>8825</v>
      </c>
      <c r="P17">
        <v>6</v>
      </c>
    </row>
    <row r="18" spans="1:16" ht="15">
      <c r="A18" s="251">
        <v>14</v>
      </c>
      <c r="B18" s="293" t="s">
        <v>6914</v>
      </c>
      <c r="C18" s="293" t="s">
        <v>9761</v>
      </c>
      <c r="D18" s="295" t="s">
        <v>8778</v>
      </c>
      <c r="E18" s="293" t="s">
        <v>7044</v>
      </c>
      <c r="F18" s="293" t="s">
        <v>10290</v>
      </c>
      <c r="G18" s="293" t="s">
        <v>8784</v>
      </c>
      <c r="H18" s="293" t="s">
        <v>6974</v>
      </c>
      <c r="I18" s="293" t="s">
        <v>10233</v>
      </c>
      <c r="J18" s="293" t="s">
        <v>10332</v>
      </c>
      <c r="K18" s="293" t="s">
        <v>7085</v>
      </c>
      <c r="L18" s="293" t="s">
        <v>6915</v>
      </c>
      <c r="M18" s="293" t="s">
        <v>8826</v>
      </c>
      <c r="P18">
        <v>7</v>
      </c>
    </row>
    <row r="19" spans="1:16" ht="15">
      <c r="A19" s="251">
        <v>15</v>
      </c>
      <c r="B19" s="293" t="s">
        <v>6916</v>
      </c>
      <c r="C19" s="293" t="s">
        <v>9762</v>
      </c>
      <c r="D19" s="295" t="s">
        <v>8779</v>
      </c>
      <c r="E19" s="293" t="s">
        <v>7045</v>
      </c>
      <c r="F19" s="293" t="s">
        <v>10291</v>
      </c>
      <c r="G19" s="293" t="s">
        <v>8785</v>
      </c>
      <c r="H19" s="293" t="s">
        <v>6975</v>
      </c>
      <c r="I19" s="293" t="s">
        <v>10234</v>
      </c>
      <c r="J19" s="293" t="s">
        <v>10333</v>
      </c>
      <c r="K19" s="293" t="s">
        <v>7086</v>
      </c>
      <c r="L19" s="293" t="s">
        <v>6917</v>
      </c>
      <c r="M19" s="293" t="s">
        <v>8827</v>
      </c>
      <c r="P19">
        <v>8</v>
      </c>
    </row>
    <row r="20" spans="1:16" ht="15">
      <c r="A20" s="251">
        <v>16</v>
      </c>
      <c r="B20" s="293" t="s">
        <v>11594</v>
      </c>
      <c r="C20" s="293" t="s">
        <v>9763</v>
      </c>
      <c r="D20" s="295" t="s">
        <v>8780</v>
      </c>
      <c r="E20" s="293" t="s">
        <v>7046</v>
      </c>
      <c r="F20" s="293" t="s">
        <v>10292</v>
      </c>
      <c r="G20" s="293" t="s">
        <v>8786</v>
      </c>
      <c r="H20" s="293" t="s">
        <v>6976</v>
      </c>
      <c r="I20" s="293" t="s">
        <v>10235</v>
      </c>
      <c r="J20" s="293" t="s">
        <v>10334</v>
      </c>
      <c r="K20" s="293" t="s">
        <v>7087</v>
      </c>
      <c r="L20" s="293" t="s">
        <v>6918</v>
      </c>
      <c r="M20" s="293" t="s">
        <v>8828</v>
      </c>
      <c r="P20">
        <v>9</v>
      </c>
    </row>
    <row r="21" spans="1:16" ht="15">
      <c r="A21" s="251">
        <v>17</v>
      </c>
      <c r="B21" s="293" t="s">
        <v>9559</v>
      </c>
      <c r="C21" s="293" t="s">
        <v>9560</v>
      </c>
      <c r="D21" s="295" t="s">
        <v>9561</v>
      </c>
      <c r="E21" s="293" t="s">
        <v>9562</v>
      </c>
      <c r="F21" s="293" t="s">
        <v>10293</v>
      </c>
      <c r="G21" s="293" t="s">
        <v>9563</v>
      </c>
      <c r="H21" s="293" t="s">
        <v>9564</v>
      </c>
      <c r="I21" s="293" t="s">
        <v>10236</v>
      </c>
      <c r="J21" s="293" t="s">
        <v>10335</v>
      </c>
      <c r="K21" s="293" t="s">
        <v>9565</v>
      </c>
      <c r="L21" s="293" t="s">
        <v>9566</v>
      </c>
      <c r="M21" s="293" t="s">
        <v>9567</v>
      </c>
      <c r="P21">
        <v>10</v>
      </c>
    </row>
    <row r="22" spans="1:16" ht="15">
      <c r="A22" s="251">
        <v>18</v>
      </c>
      <c r="B22" s="293" t="s">
        <v>9405</v>
      </c>
      <c r="C22" s="293" t="s">
        <v>9406</v>
      </c>
      <c r="D22" s="293" t="s">
        <v>9407</v>
      </c>
      <c r="E22" s="293" t="s">
        <v>9408</v>
      </c>
      <c r="F22" s="293" t="s">
        <v>9409</v>
      </c>
      <c r="G22" s="293" t="s">
        <v>9410</v>
      </c>
      <c r="H22" s="293" t="s">
        <v>9411</v>
      </c>
      <c r="I22" s="293" t="s">
        <v>10237</v>
      </c>
      <c r="J22" s="293" t="s">
        <v>10336</v>
      </c>
      <c r="K22" s="293" t="s">
        <v>9412</v>
      </c>
      <c r="L22" s="293" t="s">
        <v>9413</v>
      </c>
      <c r="M22" s="293" t="s">
        <v>9414</v>
      </c>
      <c r="P22">
        <v>11</v>
      </c>
    </row>
    <row r="23" spans="1:16" ht="15">
      <c r="A23" s="251">
        <v>19</v>
      </c>
      <c r="B23" s="293" t="s">
        <v>2579</v>
      </c>
      <c r="C23" s="293" t="s">
        <v>6977</v>
      </c>
      <c r="D23" s="295" t="s">
        <v>2721</v>
      </c>
      <c r="E23" s="293" t="s">
        <v>7047</v>
      </c>
      <c r="F23" s="293" t="s">
        <v>10294</v>
      </c>
      <c r="G23" s="293" t="s">
        <v>8787</v>
      </c>
      <c r="H23" s="293" t="s">
        <v>6978</v>
      </c>
      <c r="I23" s="293" t="s">
        <v>10238</v>
      </c>
      <c r="J23" s="293" t="s">
        <v>10337</v>
      </c>
      <c r="K23" s="293" t="s">
        <v>7088</v>
      </c>
      <c r="L23" s="293" t="s">
        <v>6919</v>
      </c>
      <c r="M23" s="293" t="s">
        <v>8829</v>
      </c>
      <c r="P23">
        <v>12</v>
      </c>
    </row>
    <row r="24" spans="1:16" ht="15">
      <c r="A24" s="251">
        <v>20</v>
      </c>
      <c r="B24" s="293" t="s">
        <v>9791</v>
      </c>
      <c r="C24" s="294" t="s">
        <v>9792</v>
      </c>
      <c r="D24" s="295" t="s">
        <v>9793</v>
      </c>
      <c r="E24" s="293" t="s">
        <v>9794</v>
      </c>
      <c r="F24" s="293" t="s">
        <v>9795</v>
      </c>
      <c r="G24" s="293" t="s">
        <v>9796</v>
      </c>
      <c r="H24" s="293" t="s">
        <v>9797</v>
      </c>
      <c r="I24" s="293" t="s">
        <v>10239</v>
      </c>
      <c r="J24" s="293" t="s">
        <v>10338</v>
      </c>
      <c r="K24" s="293" t="s">
        <v>9798</v>
      </c>
      <c r="L24" s="293" t="s">
        <v>9799</v>
      </c>
      <c r="M24" s="293" t="s">
        <v>9800</v>
      </c>
      <c r="P24">
        <v>13</v>
      </c>
    </row>
    <row r="25" spans="1:16" ht="15">
      <c r="A25" s="251">
        <v>21</v>
      </c>
      <c r="B25" s="293" t="s">
        <v>11595</v>
      </c>
      <c r="C25" s="293" t="s">
        <v>9759</v>
      </c>
      <c r="D25" s="295" t="s">
        <v>2722</v>
      </c>
      <c r="E25" s="293" t="s">
        <v>7048</v>
      </c>
      <c r="F25" s="293" t="s">
        <v>10180</v>
      </c>
      <c r="G25" s="293" t="s">
        <v>8788</v>
      </c>
      <c r="H25" s="293" t="s">
        <v>6979</v>
      </c>
      <c r="I25" s="293" t="s">
        <v>10240</v>
      </c>
      <c r="J25" s="293" t="s">
        <v>10339</v>
      </c>
      <c r="K25" s="293" t="s">
        <v>7089</v>
      </c>
      <c r="L25" s="293" t="s">
        <v>6920</v>
      </c>
      <c r="M25" s="293" t="s">
        <v>8830</v>
      </c>
      <c r="P25">
        <v>14</v>
      </c>
    </row>
    <row r="26" spans="1:16" ht="15">
      <c r="A26" s="251">
        <v>22</v>
      </c>
      <c r="B26" s="293" t="s">
        <v>6921</v>
      </c>
      <c r="C26" s="293" t="s">
        <v>6980</v>
      </c>
      <c r="D26" s="295" t="s">
        <v>2723</v>
      </c>
      <c r="E26" s="293" t="s">
        <v>7049</v>
      </c>
      <c r="F26" s="293" t="s">
        <v>10181</v>
      </c>
      <c r="G26" s="293" t="s">
        <v>8789</v>
      </c>
      <c r="H26" s="293" t="s">
        <v>6981</v>
      </c>
      <c r="I26" s="293" t="s">
        <v>10241</v>
      </c>
      <c r="J26" s="293" t="s">
        <v>10340</v>
      </c>
      <c r="K26" s="293" t="s">
        <v>7090</v>
      </c>
      <c r="L26" s="293" t="s">
        <v>6922</v>
      </c>
      <c r="M26" s="293" t="s">
        <v>8831</v>
      </c>
      <c r="P26">
        <v>15</v>
      </c>
    </row>
    <row r="27" spans="1:16" ht="15">
      <c r="A27" s="251">
        <v>23</v>
      </c>
      <c r="B27" s="293" t="s">
        <v>2116</v>
      </c>
      <c r="C27" s="293" t="s">
        <v>6982</v>
      </c>
      <c r="D27" s="295" t="s">
        <v>2724</v>
      </c>
      <c r="E27" s="293" t="s">
        <v>7050</v>
      </c>
      <c r="F27" s="293" t="s">
        <v>10182</v>
      </c>
      <c r="G27" s="293" t="s">
        <v>8790</v>
      </c>
      <c r="H27" s="293" t="s">
        <v>6983</v>
      </c>
      <c r="I27" s="293" t="s">
        <v>10242</v>
      </c>
      <c r="J27" s="293" t="s">
        <v>10341</v>
      </c>
      <c r="K27" s="293" t="s">
        <v>7091</v>
      </c>
      <c r="L27" s="293" t="s">
        <v>6923</v>
      </c>
      <c r="M27" s="293" t="s">
        <v>8832</v>
      </c>
      <c r="P27">
        <v>16</v>
      </c>
    </row>
    <row r="28" spans="1:16" ht="15">
      <c r="A28" s="251">
        <v>146</v>
      </c>
      <c r="B28" s="293" t="s">
        <v>10455</v>
      </c>
      <c r="C28" s="293" t="s">
        <v>10487</v>
      </c>
      <c r="D28" s="295" t="s">
        <v>10484</v>
      </c>
      <c r="E28" s="293" t="s">
        <v>10481</v>
      </c>
      <c r="F28" s="293" t="s">
        <v>10478</v>
      </c>
      <c r="G28" s="293" t="s">
        <v>10475</v>
      </c>
      <c r="H28" s="293" t="s">
        <v>10457</v>
      </c>
      <c r="I28" s="293" t="s">
        <v>10460</v>
      </c>
      <c r="J28" s="293" t="s">
        <v>10463</v>
      </c>
      <c r="K28" s="293" t="s">
        <v>10466</v>
      </c>
      <c r="L28" s="293" t="s">
        <v>10469</v>
      </c>
      <c r="M28" s="293" t="s">
        <v>10472</v>
      </c>
    </row>
    <row r="29" spans="1:16" ht="15">
      <c r="A29" s="251">
        <v>147</v>
      </c>
      <c r="B29" s="293" t="s">
        <v>10456</v>
      </c>
      <c r="C29" s="293" t="s">
        <v>10488</v>
      </c>
      <c r="D29" s="295" t="s">
        <v>10485</v>
      </c>
      <c r="E29" s="293" t="s">
        <v>10482</v>
      </c>
      <c r="F29" s="293" t="s">
        <v>10479</v>
      </c>
      <c r="G29" s="293" t="s">
        <v>10476</v>
      </c>
      <c r="H29" s="293" t="s">
        <v>10458</v>
      </c>
      <c r="I29" s="293" t="s">
        <v>10461</v>
      </c>
      <c r="J29" s="293" t="s">
        <v>10464</v>
      </c>
      <c r="K29" s="293" t="s">
        <v>10467</v>
      </c>
      <c r="L29" s="293" t="s">
        <v>10470</v>
      </c>
      <c r="M29" s="293" t="s">
        <v>10473</v>
      </c>
    </row>
    <row r="30" spans="1:16" ht="15">
      <c r="A30" s="251">
        <v>148</v>
      </c>
      <c r="B30" s="293" t="s">
        <v>11596</v>
      </c>
      <c r="C30" s="293" t="s">
        <v>10489</v>
      </c>
      <c r="D30" s="295" t="s">
        <v>10486</v>
      </c>
      <c r="E30" s="293" t="s">
        <v>10483</v>
      </c>
      <c r="F30" s="293" t="s">
        <v>10480</v>
      </c>
      <c r="G30" s="293" t="s">
        <v>10477</v>
      </c>
      <c r="H30" s="293" t="s">
        <v>10459</v>
      </c>
      <c r="I30" s="293" t="s">
        <v>10462</v>
      </c>
      <c r="J30" s="293" t="s">
        <v>10465</v>
      </c>
      <c r="K30" s="293" t="s">
        <v>10468</v>
      </c>
      <c r="L30" s="293" t="s">
        <v>10471</v>
      </c>
      <c r="M30" s="293" t="s">
        <v>10474</v>
      </c>
    </row>
    <row r="31" spans="1:16" ht="15">
      <c r="A31" s="251">
        <v>24</v>
      </c>
      <c r="B31" s="293" t="s">
        <v>605</v>
      </c>
      <c r="C31" s="293" t="s">
        <v>9131</v>
      </c>
      <c r="D31" s="295" t="s">
        <v>9131</v>
      </c>
      <c r="E31" s="293" t="s">
        <v>9131</v>
      </c>
      <c r="F31" s="293" t="s">
        <v>9131</v>
      </c>
      <c r="G31" s="293" t="s">
        <v>9131</v>
      </c>
      <c r="H31" s="293" t="s">
        <v>9131</v>
      </c>
      <c r="I31" s="293" t="s">
        <v>605</v>
      </c>
      <c r="J31" s="293" t="s">
        <v>9131</v>
      </c>
      <c r="K31" s="293" t="s">
        <v>9131</v>
      </c>
      <c r="L31" s="293" t="str">
        <f>B31</f>
        <v xml:space="preserve"> </v>
      </c>
      <c r="M31" s="293" t="str">
        <f>B31</f>
        <v xml:space="preserve"> </v>
      </c>
      <c r="P31">
        <v>17</v>
      </c>
    </row>
    <row r="32" spans="1:16" ht="15">
      <c r="A32" s="251">
        <v>25</v>
      </c>
      <c r="B32" s="293" t="s">
        <v>2129</v>
      </c>
      <c r="C32" s="293" t="s">
        <v>10085</v>
      </c>
      <c r="D32" s="295" t="s">
        <v>10057</v>
      </c>
      <c r="E32" s="293" t="s">
        <v>10082</v>
      </c>
      <c r="F32" s="293" t="s">
        <v>10079</v>
      </c>
      <c r="G32" s="293" t="s">
        <v>10063</v>
      </c>
      <c r="H32" s="293" t="s">
        <v>10060</v>
      </c>
      <c r="I32" s="293" t="s">
        <v>10069</v>
      </c>
      <c r="J32" s="293" t="s">
        <v>10070</v>
      </c>
      <c r="K32" s="293" t="s">
        <v>10073</v>
      </c>
      <c r="L32" s="293" t="s">
        <v>10066</v>
      </c>
      <c r="M32" s="293" t="s">
        <v>10076</v>
      </c>
      <c r="P32">
        <v>18</v>
      </c>
    </row>
    <row r="33" spans="1:16" ht="15">
      <c r="A33" s="251">
        <v>26</v>
      </c>
      <c r="B33" s="293" t="s">
        <v>10088</v>
      </c>
      <c r="C33" s="293" t="s">
        <v>10089</v>
      </c>
      <c r="D33" s="295" t="s">
        <v>10090</v>
      </c>
      <c r="E33" s="293" t="s">
        <v>10091</v>
      </c>
      <c r="F33" s="293" t="s">
        <v>10092</v>
      </c>
      <c r="G33" s="293" t="s">
        <v>10093</v>
      </c>
      <c r="H33" s="293" t="s">
        <v>10094</v>
      </c>
      <c r="I33" s="293" t="s">
        <v>10243</v>
      </c>
      <c r="J33" s="293" t="s">
        <v>10095</v>
      </c>
      <c r="K33" s="293" t="s">
        <v>10096</v>
      </c>
      <c r="L33" s="293" t="s">
        <v>10097</v>
      </c>
      <c r="M33" s="293" t="s">
        <v>10098</v>
      </c>
      <c r="P33">
        <v>19</v>
      </c>
    </row>
    <row r="34" spans="1:16" ht="15">
      <c r="A34" s="251">
        <v>27</v>
      </c>
      <c r="B34" s="293" t="s">
        <v>6924</v>
      </c>
      <c r="C34" s="293" t="s">
        <v>10086</v>
      </c>
      <c r="D34" s="295" t="s">
        <v>10058</v>
      </c>
      <c r="E34" s="293" t="s">
        <v>10083</v>
      </c>
      <c r="F34" s="293" t="s">
        <v>10080</v>
      </c>
      <c r="G34" s="293" t="s">
        <v>10064</v>
      </c>
      <c r="H34" s="293" t="s">
        <v>10061</v>
      </c>
      <c r="I34" s="293" t="s">
        <v>10244</v>
      </c>
      <c r="J34" s="293" t="s">
        <v>10071</v>
      </c>
      <c r="K34" s="293" t="s">
        <v>10074</v>
      </c>
      <c r="L34" s="293" t="s">
        <v>10067</v>
      </c>
      <c r="M34" s="293" t="s">
        <v>10077</v>
      </c>
      <c r="P34">
        <v>20</v>
      </c>
    </row>
    <row r="35" spans="1:16" ht="15">
      <c r="A35" s="251">
        <v>28</v>
      </c>
      <c r="B35" s="293" t="s">
        <v>6925</v>
      </c>
      <c r="C35" s="293" t="s">
        <v>10087</v>
      </c>
      <c r="D35" s="295" t="s">
        <v>10059</v>
      </c>
      <c r="E35" s="293" t="s">
        <v>10084</v>
      </c>
      <c r="F35" s="293" t="s">
        <v>10081</v>
      </c>
      <c r="G35" s="293" t="s">
        <v>10065</v>
      </c>
      <c r="H35" s="293" t="s">
        <v>10062</v>
      </c>
      <c r="I35" s="293" t="s">
        <v>10245</v>
      </c>
      <c r="J35" s="293" t="s">
        <v>10072</v>
      </c>
      <c r="K35" s="293" t="s">
        <v>10075</v>
      </c>
      <c r="L35" s="293" t="s">
        <v>10068</v>
      </c>
      <c r="M35" s="293" t="s">
        <v>10078</v>
      </c>
      <c r="P35">
        <v>21</v>
      </c>
    </row>
    <row r="36" spans="1:16" ht="15">
      <c r="A36" s="251">
        <v>29</v>
      </c>
      <c r="B36" s="293" t="s">
        <v>10411</v>
      </c>
      <c r="C36" s="294" t="s">
        <v>10422</v>
      </c>
      <c r="D36" s="295" t="s">
        <v>10412</v>
      </c>
      <c r="E36" s="293" t="s">
        <v>10421</v>
      </c>
      <c r="F36" s="293" t="s">
        <v>10420</v>
      </c>
      <c r="G36" s="293" t="s">
        <v>10419</v>
      </c>
      <c r="H36" s="293" t="s">
        <v>10418</v>
      </c>
      <c r="I36" s="293" t="s">
        <v>10417</v>
      </c>
      <c r="J36" s="293" t="s">
        <v>10413</v>
      </c>
      <c r="K36" s="293" t="s">
        <v>10416</v>
      </c>
      <c r="L36" s="293" t="s">
        <v>10415</v>
      </c>
      <c r="M36" s="293" t="s">
        <v>10414</v>
      </c>
      <c r="P36">
        <v>22</v>
      </c>
    </row>
    <row r="37" spans="1:16" ht="15">
      <c r="A37" s="251">
        <v>30</v>
      </c>
      <c r="B37" s="293" t="s">
        <v>10127</v>
      </c>
      <c r="C37" s="294" t="s">
        <v>10120</v>
      </c>
      <c r="D37" s="295" t="s">
        <v>10128</v>
      </c>
      <c r="E37" s="293" t="s">
        <v>10121</v>
      </c>
      <c r="F37" s="293" t="s">
        <v>10122</v>
      </c>
      <c r="G37" s="293" t="s">
        <v>10129</v>
      </c>
      <c r="H37" s="293" t="s">
        <v>10130</v>
      </c>
      <c r="I37" s="293" t="s">
        <v>10246</v>
      </c>
      <c r="J37" s="293" t="s">
        <v>10123</v>
      </c>
      <c r="K37" s="293" t="s">
        <v>10124</v>
      </c>
      <c r="L37" s="293" t="s">
        <v>10125</v>
      </c>
      <c r="M37" s="293" t="s">
        <v>10126</v>
      </c>
      <c r="P37">
        <v>23</v>
      </c>
    </row>
    <row r="38" spans="1:16" ht="15">
      <c r="A38" s="251">
        <v>31</v>
      </c>
      <c r="B38" s="293" t="s">
        <v>2207</v>
      </c>
      <c r="C38" s="293" t="s">
        <v>10099</v>
      </c>
      <c r="D38" s="295" t="s">
        <v>10118</v>
      </c>
      <c r="E38" s="293" t="s">
        <v>10101</v>
      </c>
      <c r="F38" s="293" t="s">
        <v>10103</v>
      </c>
      <c r="G38" s="293" t="s">
        <v>10114</v>
      </c>
      <c r="H38" s="293" t="s">
        <v>10116</v>
      </c>
      <c r="I38" s="293" t="s">
        <v>10247</v>
      </c>
      <c r="J38" s="293" t="s">
        <v>10112</v>
      </c>
      <c r="K38" s="293" t="s">
        <v>10105</v>
      </c>
      <c r="L38" s="293" t="s">
        <v>10109</v>
      </c>
      <c r="M38" s="293" t="s">
        <v>10107</v>
      </c>
      <c r="P38">
        <v>24</v>
      </c>
    </row>
    <row r="39" spans="1:16" ht="15">
      <c r="A39" s="251">
        <v>32</v>
      </c>
      <c r="B39" s="293" t="s">
        <v>2208</v>
      </c>
      <c r="C39" s="294" t="s">
        <v>10100</v>
      </c>
      <c r="D39" s="295" t="s">
        <v>10119</v>
      </c>
      <c r="E39" s="293" t="s">
        <v>10102</v>
      </c>
      <c r="F39" s="293" t="s">
        <v>10104</v>
      </c>
      <c r="G39" s="293" t="s">
        <v>10115</v>
      </c>
      <c r="H39" s="293" t="s">
        <v>10117</v>
      </c>
      <c r="I39" s="293" t="s">
        <v>10111</v>
      </c>
      <c r="J39" s="293" t="s">
        <v>10113</v>
      </c>
      <c r="K39" s="293" t="s">
        <v>10106</v>
      </c>
      <c r="L39" s="293" t="s">
        <v>10110</v>
      </c>
      <c r="M39" s="293" t="s">
        <v>10108</v>
      </c>
      <c r="P39">
        <v>25</v>
      </c>
    </row>
    <row r="40" spans="1:16" ht="15">
      <c r="A40" s="251">
        <v>33</v>
      </c>
      <c r="B40" s="293" t="s">
        <v>605</v>
      </c>
      <c r="C40" s="294"/>
      <c r="D40" s="295"/>
      <c r="I40" s="293" t="s">
        <v>605</v>
      </c>
      <c r="P40">
        <v>26</v>
      </c>
    </row>
    <row r="41" spans="1:16" ht="15">
      <c r="A41" s="251">
        <v>34</v>
      </c>
      <c r="B41" s="293" t="s">
        <v>6926</v>
      </c>
      <c r="C41" s="293" t="s">
        <v>10285</v>
      </c>
      <c r="D41" s="295" t="s">
        <v>10131</v>
      </c>
      <c r="E41" s="293" t="s">
        <v>10136</v>
      </c>
      <c r="F41" s="293" t="s">
        <v>10135</v>
      </c>
      <c r="G41" s="293" t="s">
        <v>10133</v>
      </c>
      <c r="H41" s="293" t="s">
        <v>10132</v>
      </c>
      <c r="I41" s="293" t="s">
        <v>10248</v>
      </c>
      <c r="J41" s="293" t="s">
        <v>10134</v>
      </c>
      <c r="K41" s="293" t="s">
        <v>10137</v>
      </c>
      <c r="L41" s="293" t="s">
        <v>10138</v>
      </c>
      <c r="M41" s="293" t="s">
        <v>10139</v>
      </c>
      <c r="P41">
        <v>27</v>
      </c>
    </row>
    <row r="42" spans="1:16" ht="15">
      <c r="A42" s="251">
        <v>35</v>
      </c>
      <c r="B42" s="293" t="s">
        <v>605</v>
      </c>
      <c r="D42" s="295"/>
      <c r="I42" s="293" t="s">
        <v>605</v>
      </c>
      <c r="P42">
        <v>28</v>
      </c>
    </row>
    <row r="43" spans="1:16" ht="15">
      <c r="A43" s="251">
        <v>36</v>
      </c>
      <c r="B43" s="293" t="s">
        <v>2126</v>
      </c>
      <c r="C43" s="294" t="s">
        <v>6984</v>
      </c>
      <c r="D43" s="295" t="s">
        <v>2725</v>
      </c>
      <c r="E43" s="293" t="s">
        <v>7051</v>
      </c>
      <c r="F43" s="293" t="s">
        <v>10183</v>
      </c>
      <c r="G43" s="293" t="s">
        <v>8791</v>
      </c>
      <c r="H43" s="293" t="s">
        <v>6985</v>
      </c>
      <c r="I43" s="293" t="s">
        <v>10249</v>
      </c>
      <c r="J43" s="293" t="s">
        <v>10342</v>
      </c>
      <c r="K43" s="293" t="s">
        <v>7092</v>
      </c>
      <c r="L43" s="293" t="s">
        <v>6927</v>
      </c>
      <c r="M43" s="293" t="s">
        <v>8833</v>
      </c>
      <c r="P43">
        <v>29</v>
      </c>
    </row>
    <row r="44" spans="1:16" ht="15">
      <c r="A44" s="251">
        <v>37</v>
      </c>
      <c r="B44" s="293" t="s">
        <v>605</v>
      </c>
      <c r="C44" s="293" t="s">
        <v>9131</v>
      </c>
      <c r="D44" s="295" t="s">
        <v>9131</v>
      </c>
      <c r="E44" s="293" t="s">
        <v>9131</v>
      </c>
      <c r="F44" s="293" t="s">
        <v>9131</v>
      </c>
      <c r="G44" s="293" t="s">
        <v>9131</v>
      </c>
      <c r="H44" s="293" t="s">
        <v>9131</v>
      </c>
      <c r="I44" s="293" t="s">
        <v>605</v>
      </c>
      <c r="J44" s="293" t="s">
        <v>605</v>
      </c>
      <c r="K44" s="293" t="s">
        <v>9131</v>
      </c>
      <c r="L44" s="293" t="str">
        <f>B44</f>
        <v xml:space="preserve"> </v>
      </c>
      <c r="M44" s="293" t="str">
        <f>B44</f>
        <v xml:space="preserve"> </v>
      </c>
      <c r="P44">
        <v>30</v>
      </c>
    </row>
    <row r="45" spans="1:16" ht="15">
      <c r="A45" s="251">
        <v>38</v>
      </c>
      <c r="B45" s="293" t="s">
        <v>6928</v>
      </c>
      <c r="C45" s="294" t="s">
        <v>6986</v>
      </c>
      <c r="D45" s="295" t="s">
        <v>2726</v>
      </c>
      <c r="E45" s="293" t="s">
        <v>7052</v>
      </c>
      <c r="F45" s="293" t="s">
        <v>10184</v>
      </c>
      <c r="G45" s="293" t="s">
        <v>8792</v>
      </c>
      <c r="H45" s="293" t="s">
        <v>6987</v>
      </c>
      <c r="I45" s="293" t="s">
        <v>10250</v>
      </c>
      <c r="J45" s="293" t="s">
        <v>10343</v>
      </c>
      <c r="K45" s="293" t="s">
        <v>7093</v>
      </c>
      <c r="L45" s="293" t="s">
        <v>6929</v>
      </c>
      <c r="M45" s="293" t="s">
        <v>8834</v>
      </c>
      <c r="P45">
        <v>31</v>
      </c>
    </row>
    <row r="46" spans="1:16" ht="15">
      <c r="A46" s="251">
        <v>39</v>
      </c>
      <c r="B46" s="293" t="s">
        <v>6930</v>
      </c>
      <c r="C46" s="294" t="s">
        <v>6988</v>
      </c>
      <c r="D46" s="295" t="s">
        <v>2727</v>
      </c>
      <c r="E46" s="293" t="s">
        <v>7053</v>
      </c>
      <c r="F46" s="293" t="s">
        <v>10185</v>
      </c>
      <c r="G46" s="293" t="s">
        <v>8793</v>
      </c>
      <c r="H46" s="293" t="s">
        <v>6989</v>
      </c>
      <c r="I46" s="293" t="s">
        <v>10251</v>
      </c>
      <c r="J46" s="293" t="s">
        <v>10344</v>
      </c>
      <c r="K46" s="293" t="s">
        <v>7094</v>
      </c>
      <c r="L46" s="293" t="s">
        <v>6931</v>
      </c>
      <c r="M46" s="293" t="s">
        <v>8835</v>
      </c>
      <c r="P46">
        <v>32</v>
      </c>
    </row>
    <row r="47" spans="1:16" ht="15">
      <c r="A47" s="251">
        <v>40</v>
      </c>
      <c r="B47" s="293" t="s">
        <v>11597</v>
      </c>
      <c r="C47" s="293" t="s">
        <v>6990</v>
      </c>
      <c r="D47" s="295" t="s">
        <v>2728</v>
      </c>
      <c r="E47" s="293" t="s">
        <v>7054</v>
      </c>
      <c r="F47" s="293" t="s">
        <v>10186</v>
      </c>
      <c r="G47" s="293" t="s">
        <v>8794</v>
      </c>
      <c r="H47" s="293" t="s">
        <v>6991</v>
      </c>
      <c r="I47" s="293" t="s">
        <v>10252</v>
      </c>
      <c r="J47" s="293" t="s">
        <v>10345</v>
      </c>
      <c r="K47" s="293" t="s">
        <v>7095</v>
      </c>
      <c r="L47" s="293" t="s">
        <v>6932</v>
      </c>
      <c r="M47" s="293" t="s">
        <v>8836</v>
      </c>
      <c r="P47">
        <v>33</v>
      </c>
    </row>
    <row r="48" spans="1:16" ht="15">
      <c r="A48" s="251">
        <v>41</v>
      </c>
      <c r="B48" s="293" t="s">
        <v>605</v>
      </c>
      <c r="C48" s="293" t="s">
        <v>9131</v>
      </c>
      <c r="D48" s="295" t="s">
        <v>9131</v>
      </c>
      <c r="E48" s="293" t="s">
        <v>9131</v>
      </c>
      <c r="F48" s="293" t="s">
        <v>9131</v>
      </c>
      <c r="G48" s="293" t="s">
        <v>9131</v>
      </c>
      <c r="H48" s="293" t="s">
        <v>9131</v>
      </c>
      <c r="I48" s="293" t="s">
        <v>605</v>
      </c>
      <c r="J48" s="293" t="s">
        <v>605</v>
      </c>
      <c r="K48" s="293" t="s">
        <v>9131</v>
      </c>
      <c r="L48" s="293" t="str">
        <f>B48</f>
        <v xml:space="preserve"> </v>
      </c>
      <c r="M48" s="293" t="str">
        <f>B48</f>
        <v xml:space="preserve"> </v>
      </c>
      <c r="P48">
        <v>34</v>
      </c>
    </row>
    <row r="49" spans="1:16" ht="15">
      <c r="A49" s="251">
        <v>42</v>
      </c>
      <c r="B49" s="293" t="s">
        <v>2127</v>
      </c>
      <c r="C49" s="294" t="s">
        <v>6992</v>
      </c>
      <c r="D49" s="295" t="s">
        <v>2729</v>
      </c>
      <c r="E49" s="293" t="s">
        <v>7055</v>
      </c>
      <c r="F49" s="293" t="s">
        <v>10187</v>
      </c>
      <c r="G49" s="293" t="s">
        <v>8795</v>
      </c>
      <c r="H49" s="293" t="s">
        <v>6993</v>
      </c>
      <c r="I49" s="293" t="s">
        <v>10253</v>
      </c>
      <c r="J49" s="293" t="s">
        <v>10346</v>
      </c>
      <c r="K49" s="293" t="s">
        <v>7096</v>
      </c>
      <c r="L49" s="293" t="s">
        <v>6933</v>
      </c>
      <c r="M49" s="293" t="s">
        <v>8837</v>
      </c>
      <c r="P49">
        <v>35</v>
      </c>
    </row>
    <row r="50" spans="1:16" ht="15">
      <c r="A50" s="251">
        <v>43</v>
      </c>
      <c r="B50" s="293" t="s">
        <v>9592</v>
      </c>
      <c r="C50" s="294" t="s">
        <v>9602</v>
      </c>
      <c r="D50" s="293" t="s">
        <v>9601</v>
      </c>
      <c r="E50" s="293" t="s">
        <v>9600</v>
      </c>
      <c r="F50" s="293" t="s">
        <v>9599</v>
      </c>
      <c r="G50" s="293" t="s">
        <v>9598</v>
      </c>
      <c r="H50" s="293" t="s">
        <v>9597</v>
      </c>
      <c r="I50" s="293" t="s">
        <v>10254</v>
      </c>
      <c r="J50" s="293" t="s">
        <v>9596</v>
      </c>
      <c r="K50" s="293" t="s">
        <v>9595</v>
      </c>
      <c r="L50" s="293" t="s">
        <v>9594</v>
      </c>
      <c r="M50" s="293" t="s">
        <v>9593</v>
      </c>
      <c r="P50">
        <v>36</v>
      </c>
    </row>
    <row r="51" spans="1:16" s="250" customFormat="1" ht="15">
      <c r="A51" s="251">
        <v>44</v>
      </c>
      <c r="B51" s="293" t="s">
        <v>2581</v>
      </c>
      <c r="C51" s="293" t="s">
        <v>9662</v>
      </c>
      <c r="D51" s="295" t="s">
        <v>9675</v>
      </c>
      <c r="E51" s="293" t="s">
        <v>9687</v>
      </c>
      <c r="F51" s="293" t="s">
        <v>10188</v>
      </c>
      <c r="G51" s="293" t="s">
        <v>9699</v>
      </c>
      <c r="H51" s="293" t="s">
        <v>9711</v>
      </c>
      <c r="I51" s="293" t="s">
        <v>10255</v>
      </c>
      <c r="J51" s="293" t="s">
        <v>10347</v>
      </c>
      <c r="K51" s="293" t="s">
        <v>9722</v>
      </c>
      <c r="L51" s="293" t="s">
        <v>9733</v>
      </c>
      <c r="M51" s="293" t="s">
        <v>9745</v>
      </c>
      <c r="N51" s="251"/>
      <c r="O51" s="251"/>
      <c r="P51">
        <v>37</v>
      </c>
    </row>
    <row r="52" spans="1:16" s="154" customFormat="1" ht="15">
      <c r="A52" s="251">
        <v>45</v>
      </c>
      <c r="B52" s="293" t="s">
        <v>9417</v>
      </c>
      <c r="C52" s="293" t="s">
        <v>9663</v>
      </c>
      <c r="D52" s="295" t="s">
        <v>9676</v>
      </c>
      <c r="E52" s="293" t="s">
        <v>9688</v>
      </c>
      <c r="F52" s="293" t="s">
        <v>10189</v>
      </c>
      <c r="G52" s="293" t="s">
        <v>9700</v>
      </c>
      <c r="H52" s="293" t="s">
        <v>10295</v>
      </c>
      <c r="I52" s="293" t="s">
        <v>10256</v>
      </c>
      <c r="J52" s="293" t="s">
        <v>10348</v>
      </c>
      <c r="K52" s="293" t="s">
        <v>10398</v>
      </c>
      <c r="L52" s="293" t="s">
        <v>9734</v>
      </c>
      <c r="M52" s="293" t="s">
        <v>9746</v>
      </c>
      <c r="N52" s="251"/>
      <c r="O52" s="251"/>
      <c r="P52">
        <v>38</v>
      </c>
    </row>
    <row r="53" spans="1:16" ht="15">
      <c r="A53" s="251">
        <v>46</v>
      </c>
      <c r="B53" s="293" t="s">
        <v>2580</v>
      </c>
      <c r="C53" s="294" t="s">
        <v>9664</v>
      </c>
      <c r="D53" s="295" t="s">
        <v>9677</v>
      </c>
      <c r="E53" s="293" t="s">
        <v>9689</v>
      </c>
      <c r="F53" s="293" t="s">
        <v>10190</v>
      </c>
      <c r="G53" s="293" t="s">
        <v>9701</v>
      </c>
      <c r="H53" s="293" t="s">
        <v>9712</v>
      </c>
      <c r="I53" s="293" t="s">
        <v>10257</v>
      </c>
      <c r="J53" s="293" t="s">
        <v>10349</v>
      </c>
      <c r="K53" s="293" t="s">
        <v>9723</v>
      </c>
      <c r="L53" s="293" t="s">
        <v>9735</v>
      </c>
      <c r="M53" s="293" t="s">
        <v>9747</v>
      </c>
      <c r="P53">
        <v>39</v>
      </c>
    </row>
    <row r="54" spans="1:16" ht="15">
      <c r="A54" s="251">
        <v>47</v>
      </c>
      <c r="B54" s="293" t="s">
        <v>9764</v>
      </c>
      <c r="C54" s="293" t="s">
        <v>9765</v>
      </c>
      <c r="D54" s="295" t="s">
        <v>9766</v>
      </c>
      <c r="E54" s="293" t="s">
        <v>9767</v>
      </c>
      <c r="F54" s="293" t="s">
        <v>10191</v>
      </c>
      <c r="G54" s="293" t="s">
        <v>9768</v>
      </c>
      <c r="H54" s="293" t="s">
        <v>9769</v>
      </c>
      <c r="I54" s="293" t="s">
        <v>10258</v>
      </c>
      <c r="J54" s="293" t="s">
        <v>10350</v>
      </c>
      <c r="K54" s="293" t="s">
        <v>9770</v>
      </c>
      <c r="L54" s="293" t="s">
        <v>9771</v>
      </c>
      <c r="M54" s="293" t="s">
        <v>9772</v>
      </c>
      <c r="P54">
        <v>40</v>
      </c>
    </row>
    <row r="55" spans="1:16" ht="15">
      <c r="A55" s="251">
        <v>48</v>
      </c>
      <c r="B55" s="293" t="s">
        <v>2582</v>
      </c>
      <c r="C55" s="293" t="s">
        <v>9665</v>
      </c>
      <c r="D55" s="295" t="s">
        <v>9678</v>
      </c>
      <c r="E55" s="293" t="s">
        <v>9690</v>
      </c>
      <c r="F55" s="293" t="s">
        <v>10192</v>
      </c>
      <c r="G55" s="293" t="s">
        <v>9702</v>
      </c>
      <c r="H55" s="293" t="s">
        <v>9713</v>
      </c>
      <c r="I55" s="293" t="s">
        <v>10259</v>
      </c>
      <c r="J55" s="293" t="s">
        <v>10351</v>
      </c>
      <c r="K55" s="293" t="s">
        <v>9724</v>
      </c>
      <c r="L55" s="293" t="s">
        <v>9736</v>
      </c>
      <c r="M55" s="293" t="s">
        <v>9748</v>
      </c>
      <c r="P55">
        <v>41</v>
      </c>
    </row>
    <row r="56" spans="1:16" ht="15">
      <c r="A56" s="251">
        <v>49</v>
      </c>
      <c r="B56" s="293" t="s">
        <v>2128</v>
      </c>
      <c r="C56" s="293" t="s">
        <v>6994</v>
      </c>
      <c r="D56" s="295" t="s">
        <v>2182</v>
      </c>
      <c r="E56" s="293" t="s">
        <v>7056</v>
      </c>
      <c r="F56" s="293" t="s">
        <v>10193</v>
      </c>
      <c r="G56" s="293" t="s">
        <v>8796</v>
      </c>
      <c r="H56" s="293" t="s">
        <v>6995</v>
      </c>
      <c r="I56" s="293" t="s">
        <v>10260</v>
      </c>
      <c r="J56" s="293" t="s">
        <v>10352</v>
      </c>
      <c r="K56" s="293" t="s">
        <v>7097</v>
      </c>
      <c r="L56" s="293" t="s">
        <v>6934</v>
      </c>
      <c r="M56" s="293" t="s">
        <v>9749</v>
      </c>
      <c r="P56">
        <v>42</v>
      </c>
    </row>
    <row r="57" spans="1:16" ht="15">
      <c r="A57" s="251">
        <v>50</v>
      </c>
      <c r="B57" s="293" t="s">
        <v>6935</v>
      </c>
      <c r="C57" s="293" t="s">
        <v>9666</v>
      </c>
      <c r="D57" s="295" t="s">
        <v>9679</v>
      </c>
      <c r="E57" s="293" t="s">
        <v>9691</v>
      </c>
      <c r="F57" s="293" t="s">
        <v>10194</v>
      </c>
      <c r="G57" s="293" t="s">
        <v>9703</v>
      </c>
      <c r="H57" s="293" t="s">
        <v>9714</v>
      </c>
      <c r="I57" s="293" t="s">
        <v>10261</v>
      </c>
      <c r="J57" s="293" t="s">
        <v>10353</v>
      </c>
      <c r="K57" s="293" t="s">
        <v>9725</v>
      </c>
      <c r="L57" s="293" t="s">
        <v>9737</v>
      </c>
      <c r="M57" s="293" t="s">
        <v>9750</v>
      </c>
      <c r="P57">
        <v>43</v>
      </c>
    </row>
    <row r="58" spans="1:16" ht="15">
      <c r="A58" s="251">
        <v>51</v>
      </c>
      <c r="B58" s="293" t="s">
        <v>2583</v>
      </c>
      <c r="C58" s="293" t="s">
        <v>9667</v>
      </c>
      <c r="D58" s="295" t="s">
        <v>9680</v>
      </c>
      <c r="E58" s="293" t="s">
        <v>9692</v>
      </c>
      <c r="F58" s="293" t="s">
        <v>10195</v>
      </c>
      <c r="G58" s="293" t="s">
        <v>9704</v>
      </c>
      <c r="H58" s="293" t="s">
        <v>9715</v>
      </c>
      <c r="I58" s="293" t="s">
        <v>10262</v>
      </c>
      <c r="J58" s="293" t="s">
        <v>10354</v>
      </c>
      <c r="K58" s="293" t="s">
        <v>9726</v>
      </c>
      <c r="L58" s="293" t="s">
        <v>9738</v>
      </c>
      <c r="M58" s="293" t="s">
        <v>9751</v>
      </c>
      <c r="P58">
        <v>44</v>
      </c>
    </row>
    <row r="59" spans="1:16" ht="15">
      <c r="A59" s="251">
        <v>52</v>
      </c>
      <c r="B59" s="293" t="s">
        <v>2584</v>
      </c>
      <c r="C59" s="293" t="s">
        <v>9668</v>
      </c>
      <c r="D59" s="295" t="s">
        <v>9681</v>
      </c>
      <c r="E59" s="293" t="s">
        <v>9693</v>
      </c>
      <c r="F59" s="293" t="s">
        <v>10196</v>
      </c>
      <c r="G59" s="293" t="s">
        <v>9705</v>
      </c>
      <c r="H59" s="293" t="s">
        <v>9716</v>
      </c>
      <c r="I59" s="293" t="s">
        <v>10263</v>
      </c>
      <c r="J59" s="293" t="s">
        <v>10355</v>
      </c>
      <c r="K59" s="293" t="s">
        <v>9727</v>
      </c>
      <c r="L59" s="293" t="s">
        <v>9739</v>
      </c>
      <c r="M59" s="293" t="s">
        <v>9752</v>
      </c>
      <c r="P59">
        <v>45</v>
      </c>
    </row>
    <row r="60" spans="1:16" ht="15">
      <c r="A60" s="251">
        <v>53</v>
      </c>
      <c r="B60" s="293" t="s">
        <v>9603</v>
      </c>
      <c r="C60" s="293" t="s">
        <v>9669</v>
      </c>
      <c r="D60" s="293" t="s">
        <v>10170</v>
      </c>
      <c r="E60" s="293" t="s">
        <v>10171</v>
      </c>
      <c r="F60" s="293" t="s">
        <v>10172</v>
      </c>
      <c r="G60" s="293" t="s">
        <v>10173</v>
      </c>
      <c r="H60" s="293" t="s">
        <v>10174</v>
      </c>
      <c r="I60" s="293" t="s">
        <v>10175</v>
      </c>
      <c r="J60" s="293" t="s">
        <v>10176</v>
      </c>
      <c r="K60" s="293" t="s">
        <v>10177</v>
      </c>
      <c r="L60" s="293" t="s">
        <v>10178</v>
      </c>
      <c r="M60" s="293" t="s">
        <v>10179</v>
      </c>
      <c r="P60">
        <v>46</v>
      </c>
    </row>
    <row r="61" spans="1:16" ht="15">
      <c r="A61" s="251">
        <v>54</v>
      </c>
      <c r="B61" s="293" t="s">
        <v>11598</v>
      </c>
      <c r="C61" s="293" t="s">
        <v>9606</v>
      </c>
      <c r="D61" s="293" t="s">
        <v>9607</v>
      </c>
      <c r="E61" s="293" t="s">
        <v>9608</v>
      </c>
      <c r="F61" s="293" t="s">
        <v>9609</v>
      </c>
      <c r="G61" s="293" t="s">
        <v>9610</v>
      </c>
      <c r="H61" s="293" t="s">
        <v>9611</v>
      </c>
      <c r="I61" s="293" t="s">
        <v>10264</v>
      </c>
      <c r="J61" s="293" t="s">
        <v>9612</v>
      </c>
      <c r="K61" s="293" t="s">
        <v>9613</v>
      </c>
      <c r="L61" s="293" t="s">
        <v>9614</v>
      </c>
      <c r="M61" s="293" t="s">
        <v>9615</v>
      </c>
      <c r="P61">
        <v>47</v>
      </c>
    </row>
    <row r="62" spans="1:16" ht="15">
      <c r="A62" s="251">
        <v>55</v>
      </c>
      <c r="B62" s="293" t="s">
        <v>11372</v>
      </c>
      <c r="C62" s="293" t="s">
        <v>11373</v>
      </c>
      <c r="D62" s="293" t="s">
        <v>11374</v>
      </c>
      <c r="E62" s="293" t="s">
        <v>11375</v>
      </c>
      <c r="F62" s="293" t="s">
        <v>11376</v>
      </c>
      <c r="G62" s="293" t="s">
        <v>11377</v>
      </c>
      <c r="H62" s="293" t="s">
        <v>11378</v>
      </c>
      <c r="I62" s="293" t="s">
        <v>11379</v>
      </c>
      <c r="J62" s="293" t="s">
        <v>11380</v>
      </c>
      <c r="K62" s="293" t="s">
        <v>11381</v>
      </c>
      <c r="L62" s="293" t="s">
        <v>11382</v>
      </c>
      <c r="M62" s="293" t="s">
        <v>11383</v>
      </c>
      <c r="P62">
        <v>48</v>
      </c>
    </row>
    <row r="63" spans="1:16" ht="15">
      <c r="A63" s="251">
        <v>56</v>
      </c>
      <c r="B63" s="293" t="s">
        <v>11611</v>
      </c>
      <c r="C63" s="293" t="s">
        <v>11622</v>
      </c>
      <c r="D63" s="293" t="s">
        <v>11621</v>
      </c>
      <c r="E63" s="293" t="s">
        <v>11620</v>
      </c>
      <c r="F63" s="293" t="s">
        <v>11619</v>
      </c>
      <c r="G63" s="293" t="s">
        <v>11618</v>
      </c>
      <c r="H63" s="293" t="s">
        <v>11617</v>
      </c>
      <c r="I63" s="293" t="s">
        <v>11616</v>
      </c>
      <c r="J63" s="293" t="s">
        <v>11615</v>
      </c>
      <c r="K63" s="293" t="s">
        <v>11612</v>
      </c>
      <c r="L63" s="293" t="s">
        <v>11613</v>
      </c>
      <c r="M63" s="293" t="s">
        <v>11614</v>
      </c>
      <c r="P63">
        <v>49</v>
      </c>
    </row>
    <row r="64" spans="1:16" ht="15">
      <c r="A64" s="251">
        <v>57</v>
      </c>
      <c r="B64" s="293" t="s">
        <v>11599</v>
      </c>
      <c r="C64" s="293" t="s">
        <v>9616</v>
      </c>
      <c r="D64" s="293" t="s">
        <v>9617</v>
      </c>
      <c r="E64" s="293" t="s">
        <v>9618</v>
      </c>
      <c r="F64" s="293" t="s">
        <v>9619</v>
      </c>
      <c r="G64" s="293" t="s">
        <v>9620</v>
      </c>
      <c r="H64" s="293" t="s">
        <v>9621</v>
      </c>
      <c r="I64" s="293" t="s">
        <v>10265</v>
      </c>
      <c r="J64" s="293" t="s">
        <v>10356</v>
      </c>
      <c r="K64" s="293" t="s">
        <v>9622</v>
      </c>
      <c r="L64" s="293" t="s">
        <v>9623</v>
      </c>
      <c r="M64" s="293" t="s">
        <v>9624</v>
      </c>
      <c r="P64">
        <v>50</v>
      </c>
    </row>
    <row r="65" spans="1:16" ht="15">
      <c r="A65" s="251">
        <v>58</v>
      </c>
      <c r="B65" s="293" t="s">
        <v>11360</v>
      </c>
      <c r="C65" s="293" t="s">
        <v>11371</v>
      </c>
      <c r="D65" s="293" t="s">
        <v>11370</v>
      </c>
      <c r="E65" s="293" t="s">
        <v>11369</v>
      </c>
      <c r="F65" s="293" t="s">
        <v>11361</v>
      </c>
      <c r="G65" s="293" t="s">
        <v>11368</v>
      </c>
      <c r="H65" s="293" t="s">
        <v>11367</v>
      </c>
      <c r="I65" s="293" t="s">
        <v>11362</v>
      </c>
      <c r="J65" s="293" t="s">
        <v>11366</v>
      </c>
      <c r="K65" s="293" t="s">
        <v>11365</v>
      </c>
      <c r="L65" s="293" t="s">
        <v>11364</v>
      </c>
      <c r="M65" s="293" t="s">
        <v>11363</v>
      </c>
      <c r="P65">
        <v>51</v>
      </c>
    </row>
    <row r="66" spans="1:16" ht="15">
      <c r="A66" s="251">
        <v>145</v>
      </c>
      <c r="B66" s="293" t="s">
        <v>10046</v>
      </c>
      <c r="C66" s="293" t="s">
        <v>10141</v>
      </c>
      <c r="D66" s="293" t="s">
        <v>10142</v>
      </c>
      <c r="E66" s="293" t="s">
        <v>10143</v>
      </c>
      <c r="F66" s="293" t="s">
        <v>10144</v>
      </c>
      <c r="G66" s="293" t="s">
        <v>10145</v>
      </c>
      <c r="H66" s="293" t="s">
        <v>10146</v>
      </c>
      <c r="I66" s="293" t="s">
        <v>10140</v>
      </c>
      <c r="J66" s="293" t="s">
        <v>10357</v>
      </c>
      <c r="K66" s="293" t="s">
        <v>10147</v>
      </c>
      <c r="L66" s="293" t="s">
        <v>10148</v>
      </c>
      <c r="M66" s="293" t="s">
        <v>10149</v>
      </c>
    </row>
    <row r="67" spans="1:16" ht="15">
      <c r="A67" s="251">
        <v>59</v>
      </c>
      <c r="B67" s="293" t="s">
        <v>9604</v>
      </c>
      <c r="C67" s="293" t="s">
        <v>9625</v>
      </c>
      <c r="D67" s="293" t="s">
        <v>9626</v>
      </c>
      <c r="E67" s="293" t="s">
        <v>9627</v>
      </c>
      <c r="F67" s="293" t="s">
        <v>9628</v>
      </c>
      <c r="G67" s="293" t="s">
        <v>9629</v>
      </c>
      <c r="H67" s="293" t="s">
        <v>9630</v>
      </c>
      <c r="I67" s="293" t="s">
        <v>10266</v>
      </c>
      <c r="J67" s="293" t="s">
        <v>10358</v>
      </c>
      <c r="K67" s="293" t="s">
        <v>9631</v>
      </c>
      <c r="L67" s="293" t="s">
        <v>9632</v>
      </c>
      <c r="M67" s="293" t="s">
        <v>9633</v>
      </c>
      <c r="P67">
        <v>52</v>
      </c>
    </row>
    <row r="68" spans="1:16" ht="15">
      <c r="A68" s="251">
        <v>60</v>
      </c>
      <c r="B68" s="293" t="s">
        <v>9605</v>
      </c>
      <c r="C68" s="293" t="s">
        <v>9634</v>
      </c>
      <c r="D68" s="293" t="s">
        <v>9635</v>
      </c>
      <c r="E68" s="293" t="s">
        <v>9636</v>
      </c>
      <c r="F68" s="293" t="s">
        <v>9637</v>
      </c>
      <c r="G68" s="293" t="s">
        <v>9638</v>
      </c>
      <c r="H68" s="293" t="s">
        <v>9639</v>
      </c>
      <c r="I68" s="293" t="s">
        <v>10267</v>
      </c>
      <c r="J68" s="293" t="s">
        <v>10359</v>
      </c>
      <c r="K68" s="293" t="s">
        <v>9640</v>
      </c>
      <c r="L68" s="293" t="s">
        <v>9641</v>
      </c>
      <c r="M68" s="293" t="s">
        <v>9642</v>
      </c>
      <c r="P68">
        <v>53</v>
      </c>
    </row>
    <row r="69" spans="1:16" ht="15">
      <c r="A69" s="251">
        <v>61</v>
      </c>
      <c r="C69" s="296"/>
      <c r="D69" s="295"/>
      <c r="P69">
        <v>54</v>
      </c>
    </row>
    <row r="70" spans="1:16" ht="15">
      <c r="A70" s="251">
        <v>62</v>
      </c>
      <c r="B70" s="293" t="s">
        <v>2130</v>
      </c>
      <c r="C70" s="293" t="s">
        <v>6996</v>
      </c>
      <c r="D70" s="295" t="s">
        <v>2183</v>
      </c>
      <c r="E70" s="293" t="s">
        <v>7057</v>
      </c>
      <c r="F70" s="293" t="s">
        <v>6936</v>
      </c>
      <c r="G70" s="293" t="s">
        <v>8797</v>
      </c>
      <c r="H70" s="293" t="s">
        <v>2130</v>
      </c>
      <c r="I70" s="293" t="s">
        <v>10268</v>
      </c>
      <c r="J70" s="293" t="s">
        <v>10360</v>
      </c>
      <c r="K70" s="293" t="s">
        <v>7098</v>
      </c>
      <c r="L70" s="293" t="s">
        <v>6936</v>
      </c>
      <c r="M70" s="293" t="s">
        <v>9753</v>
      </c>
      <c r="P70">
        <v>55</v>
      </c>
    </row>
    <row r="71" spans="1:16" ht="15">
      <c r="A71" s="251">
        <v>63</v>
      </c>
      <c r="B71" s="293" t="s">
        <v>10400</v>
      </c>
      <c r="C71" s="293" t="s">
        <v>10045</v>
      </c>
      <c r="D71" s="295" t="s">
        <v>10401</v>
      </c>
      <c r="E71" s="293" t="s">
        <v>10402</v>
      </c>
      <c r="F71" s="293" t="s">
        <v>10403</v>
      </c>
      <c r="G71" s="293" t="s">
        <v>10404</v>
      </c>
      <c r="H71" s="293" t="s">
        <v>10405</v>
      </c>
      <c r="I71" s="293" t="s">
        <v>10406</v>
      </c>
      <c r="J71" s="293" t="s">
        <v>10407</v>
      </c>
      <c r="K71" s="293" t="s">
        <v>10408</v>
      </c>
      <c r="L71" s="293" t="s">
        <v>10409</v>
      </c>
      <c r="M71" s="293" t="s">
        <v>10410</v>
      </c>
      <c r="P71">
        <v>56</v>
      </c>
    </row>
    <row r="72" spans="1:16" ht="15">
      <c r="A72" s="251">
        <v>64</v>
      </c>
      <c r="B72" s="293" t="s">
        <v>9643</v>
      </c>
      <c r="C72" s="293" t="s">
        <v>9670</v>
      </c>
      <c r="D72" s="293" t="s">
        <v>9682</v>
      </c>
      <c r="E72" s="293" t="s">
        <v>9694</v>
      </c>
      <c r="F72" s="293" t="s">
        <v>9252</v>
      </c>
      <c r="G72" s="293" t="s">
        <v>9706</v>
      </c>
      <c r="H72" s="293" t="s">
        <v>9717</v>
      </c>
      <c r="I72" s="293" t="s">
        <v>10269</v>
      </c>
      <c r="J72" s="293" t="s">
        <v>10361</v>
      </c>
      <c r="K72" s="293" t="s">
        <v>9728</v>
      </c>
      <c r="L72" s="293" t="s">
        <v>9740</v>
      </c>
      <c r="M72" s="293" t="s">
        <v>9754</v>
      </c>
      <c r="P72">
        <v>57</v>
      </c>
    </row>
    <row r="73" spans="1:16" ht="15">
      <c r="A73" s="251">
        <v>65</v>
      </c>
      <c r="B73" s="293" t="s">
        <v>9644</v>
      </c>
      <c r="C73" s="293" t="s">
        <v>9671</v>
      </c>
      <c r="D73" s="293" t="s">
        <v>9683</v>
      </c>
      <c r="E73" s="293" t="s">
        <v>9695</v>
      </c>
      <c r="F73" s="293" t="s">
        <v>9251</v>
      </c>
      <c r="G73" s="293" t="s">
        <v>9707</v>
      </c>
      <c r="H73" s="293" t="s">
        <v>9718</v>
      </c>
      <c r="I73" s="293" t="s">
        <v>10270</v>
      </c>
      <c r="J73" s="293" t="s">
        <v>10362</v>
      </c>
      <c r="K73" s="293" t="s">
        <v>9729</v>
      </c>
      <c r="L73" s="293" t="s">
        <v>9741</v>
      </c>
      <c r="M73" s="293" t="s">
        <v>9755</v>
      </c>
      <c r="P73">
        <v>58</v>
      </c>
    </row>
    <row r="74" spans="1:16" ht="15">
      <c r="A74" s="251">
        <v>66</v>
      </c>
      <c r="B74" s="293" t="s">
        <v>9645</v>
      </c>
      <c r="C74" s="293" t="s">
        <v>9672</v>
      </c>
      <c r="D74" s="295" t="s">
        <v>9684</v>
      </c>
      <c r="E74" s="293" t="s">
        <v>9696</v>
      </c>
      <c r="F74" s="293" t="s">
        <v>10197</v>
      </c>
      <c r="G74" s="293" t="s">
        <v>9708</v>
      </c>
      <c r="H74" s="293" t="s">
        <v>9719</v>
      </c>
      <c r="I74" s="293" t="s">
        <v>10271</v>
      </c>
      <c r="J74" s="293" t="s">
        <v>10363</v>
      </c>
      <c r="K74" s="293" t="s">
        <v>9730</v>
      </c>
      <c r="L74" s="293" t="s">
        <v>9742</v>
      </c>
      <c r="M74" s="293" t="s">
        <v>9756</v>
      </c>
      <c r="P74">
        <v>59</v>
      </c>
    </row>
    <row r="75" spans="1:16" ht="15">
      <c r="A75" s="251">
        <v>67</v>
      </c>
      <c r="B75" s="293" t="s">
        <v>11600</v>
      </c>
      <c r="C75" s="293" t="s">
        <v>9673</v>
      </c>
      <c r="D75" s="295" t="s">
        <v>9685</v>
      </c>
      <c r="E75" s="293" t="s">
        <v>9697</v>
      </c>
      <c r="F75" s="293" t="s">
        <v>10198</v>
      </c>
      <c r="G75" s="293" t="s">
        <v>9709</v>
      </c>
      <c r="H75" s="293" t="s">
        <v>9720</v>
      </c>
      <c r="I75" s="293" t="s">
        <v>10272</v>
      </c>
      <c r="J75" s="293" t="s">
        <v>10364</v>
      </c>
      <c r="K75" s="293" t="s">
        <v>9731</v>
      </c>
      <c r="L75" s="293" t="s">
        <v>9743</v>
      </c>
      <c r="M75" s="293" t="s">
        <v>9757</v>
      </c>
      <c r="P75">
        <v>60</v>
      </c>
    </row>
    <row r="76" spans="1:16" ht="15">
      <c r="A76" s="251">
        <v>68</v>
      </c>
      <c r="B76" s="293" t="s">
        <v>9646</v>
      </c>
      <c r="C76" s="293" t="s">
        <v>9674</v>
      </c>
      <c r="D76" s="295" t="s">
        <v>9686</v>
      </c>
      <c r="E76" s="293" t="s">
        <v>9698</v>
      </c>
      <c r="F76" s="293" t="s">
        <v>10199</v>
      </c>
      <c r="G76" s="293" t="s">
        <v>9710</v>
      </c>
      <c r="H76" s="293" t="s">
        <v>9721</v>
      </c>
      <c r="I76" s="293" t="s">
        <v>10273</v>
      </c>
      <c r="J76" s="293" t="s">
        <v>10365</v>
      </c>
      <c r="K76" s="293" t="s">
        <v>9732</v>
      </c>
      <c r="L76" s="293" t="s">
        <v>9744</v>
      </c>
      <c r="M76" s="293" t="s">
        <v>9758</v>
      </c>
      <c r="P76">
        <v>61</v>
      </c>
    </row>
    <row r="77" spans="1:16" ht="15">
      <c r="A77" s="251">
        <v>69</v>
      </c>
      <c r="B77" s="293" t="s">
        <v>9131</v>
      </c>
      <c r="C77" s="293" t="s">
        <v>9131</v>
      </c>
      <c r="D77" s="295" t="s">
        <v>9131</v>
      </c>
      <c r="E77" s="293" t="s">
        <v>9131</v>
      </c>
      <c r="F77" s="293" t="s">
        <v>9131</v>
      </c>
      <c r="G77" s="293" t="s">
        <v>9131</v>
      </c>
      <c r="H77" s="293" t="s">
        <v>9131</v>
      </c>
      <c r="I77" s="293" t="s">
        <v>9131</v>
      </c>
      <c r="J77" s="293" t="s">
        <v>9131</v>
      </c>
      <c r="K77" s="293" t="s">
        <v>9131</v>
      </c>
      <c r="L77" s="293" t="str">
        <f>B77</f>
        <v xml:space="preserve">   </v>
      </c>
      <c r="M77" s="293" t="str">
        <f>B77</f>
        <v xml:space="preserve">   </v>
      </c>
      <c r="P77">
        <v>62</v>
      </c>
    </row>
    <row r="78" spans="1:16" ht="15">
      <c r="A78" s="251">
        <v>70</v>
      </c>
      <c r="B78" s="293" t="s">
        <v>2138</v>
      </c>
      <c r="C78" s="293" t="s">
        <v>6997</v>
      </c>
      <c r="D78" s="295" t="s">
        <v>2748</v>
      </c>
      <c r="E78" s="293" t="s">
        <v>7058</v>
      </c>
      <c r="F78" s="293" t="s">
        <v>10200</v>
      </c>
      <c r="G78" s="293" t="s">
        <v>8798</v>
      </c>
      <c r="H78" s="293" t="s">
        <v>6998</v>
      </c>
      <c r="I78" s="293" t="s">
        <v>10274</v>
      </c>
      <c r="J78" s="293" t="s">
        <v>10366</v>
      </c>
      <c r="K78" s="293" t="s">
        <v>7099</v>
      </c>
      <c r="L78" s="293" t="s">
        <v>6937</v>
      </c>
      <c r="M78" s="293" t="s">
        <v>8838</v>
      </c>
      <c r="P78">
        <v>63</v>
      </c>
    </row>
    <row r="79" spans="1:16" ht="14.45" customHeight="1">
      <c r="A79" s="311">
        <v>71</v>
      </c>
      <c r="B79" s="312" t="s">
        <v>11601</v>
      </c>
      <c r="C79" s="293" t="s">
        <v>10433</v>
      </c>
      <c r="D79" s="293" t="s">
        <v>10435</v>
      </c>
      <c r="E79" s="293" t="s">
        <v>10437</v>
      </c>
      <c r="F79" s="293" t="s">
        <v>10439</v>
      </c>
      <c r="G79" s="293" t="s">
        <v>10441</v>
      </c>
      <c r="H79" s="293" t="s">
        <v>10453</v>
      </c>
      <c r="I79" s="293" t="s">
        <v>10451</v>
      </c>
      <c r="J79" s="293" t="s">
        <v>10449</v>
      </c>
      <c r="K79" s="293" t="s">
        <v>10447</v>
      </c>
      <c r="L79" s="293" t="s">
        <v>10445</v>
      </c>
      <c r="M79" s="293" t="s">
        <v>10443</v>
      </c>
    </row>
    <row r="80" spans="1:16" ht="14.45" customHeight="1">
      <c r="A80" s="311">
        <v>72</v>
      </c>
      <c r="B80" s="312" t="s">
        <v>10432</v>
      </c>
      <c r="C80" s="293" t="s">
        <v>10434</v>
      </c>
      <c r="D80" s="293" t="s">
        <v>10436</v>
      </c>
      <c r="E80" s="293" t="s">
        <v>10438</v>
      </c>
      <c r="F80" s="293" t="s">
        <v>10440</v>
      </c>
      <c r="G80" s="293" t="s">
        <v>10442</v>
      </c>
      <c r="H80" s="293" t="s">
        <v>10454</v>
      </c>
      <c r="I80" s="293" t="s">
        <v>10452</v>
      </c>
      <c r="J80" s="293" t="s">
        <v>10450</v>
      </c>
      <c r="K80" s="293" t="s">
        <v>10448</v>
      </c>
      <c r="L80" s="293" t="s">
        <v>10446</v>
      </c>
      <c r="M80" s="293" t="s">
        <v>10444</v>
      </c>
    </row>
    <row r="81" spans="1:16" ht="15">
      <c r="A81" s="251">
        <v>78</v>
      </c>
      <c r="B81" s="293" t="s">
        <v>11602</v>
      </c>
      <c r="C81" s="293" t="s">
        <v>10150</v>
      </c>
      <c r="D81" s="295" t="s">
        <v>10151</v>
      </c>
      <c r="E81" s="293" t="s">
        <v>10152</v>
      </c>
      <c r="F81" s="293" t="s">
        <v>10153</v>
      </c>
      <c r="G81" s="293" t="s">
        <v>10154</v>
      </c>
      <c r="H81" s="293" t="s">
        <v>10155</v>
      </c>
      <c r="I81" s="293" t="s">
        <v>10156</v>
      </c>
      <c r="J81" s="293" t="s">
        <v>10157</v>
      </c>
      <c r="K81" s="293" t="s">
        <v>10158</v>
      </c>
      <c r="L81" s="293" t="s">
        <v>6938</v>
      </c>
      <c r="M81" s="293" t="s">
        <v>8839</v>
      </c>
      <c r="P81">
        <v>71</v>
      </c>
    </row>
    <row r="82" spans="1:16" ht="15">
      <c r="A82" s="251">
        <v>79</v>
      </c>
      <c r="B82" s="293" t="s">
        <v>11603</v>
      </c>
      <c r="C82" s="293" t="s">
        <v>9253</v>
      </c>
      <c r="D82" s="293" t="s">
        <v>9254</v>
      </c>
      <c r="E82" s="293" t="s">
        <v>9255</v>
      </c>
      <c r="F82" s="293" t="s">
        <v>9256</v>
      </c>
      <c r="G82" s="293" t="s">
        <v>9257</v>
      </c>
      <c r="H82" s="293" t="s">
        <v>9258</v>
      </c>
      <c r="I82" s="293" t="s">
        <v>10275</v>
      </c>
      <c r="J82" s="293" t="s">
        <v>10367</v>
      </c>
      <c r="K82" s="293" t="s">
        <v>9259</v>
      </c>
      <c r="L82" s="293" t="s">
        <v>6939</v>
      </c>
      <c r="M82" s="293" t="s">
        <v>8840</v>
      </c>
      <c r="P82">
        <v>72</v>
      </c>
    </row>
    <row r="83" spans="1:16" ht="15.6" customHeight="1">
      <c r="A83" s="251">
        <v>80</v>
      </c>
      <c r="B83" s="293" t="s">
        <v>605</v>
      </c>
      <c r="C83" s="293" t="s">
        <v>9131</v>
      </c>
      <c r="D83" s="295" t="s">
        <v>9131</v>
      </c>
      <c r="E83" s="293" t="s">
        <v>9131</v>
      </c>
      <c r="F83" s="293" t="s">
        <v>9131</v>
      </c>
      <c r="G83" s="293" t="s">
        <v>9131</v>
      </c>
      <c r="H83" s="293" t="s">
        <v>9131</v>
      </c>
      <c r="I83" s="293" t="s">
        <v>605</v>
      </c>
      <c r="J83" s="293" t="s">
        <v>605</v>
      </c>
      <c r="K83" s="293" t="s">
        <v>9131</v>
      </c>
      <c r="L83" s="293" t="str">
        <f>B83</f>
        <v xml:space="preserve"> </v>
      </c>
      <c r="M83" s="293" t="str">
        <f>B83</f>
        <v xml:space="preserve"> </v>
      </c>
      <c r="P83">
        <v>73</v>
      </c>
    </row>
    <row r="84" spans="1:16" ht="15.6" customHeight="1">
      <c r="A84" s="251">
        <v>81</v>
      </c>
      <c r="B84" s="293" t="s">
        <v>2137</v>
      </c>
      <c r="C84" s="293" t="s">
        <v>6999</v>
      </c>
      <c r="D84" s="295" t="s">
        <v>2184</v>
      </c>
      <c r="E84" s="293" t="s">
        <v>7059</v>
      </c>
      <c r="F84" s="293" t="s">
        <v>10201</v>
      </c>
      <c r="G84" s="293" t="s">
        <v>8799</v>
      </c>
      <c r="H84" s="293" t="s">
        <v>7000</v>
      </c>
      <c r="I84" s="293" t="s">
        <v>10276</v>
      </c>
      <c r="J84" s="293" t="s">
        <v>10368</v>
      </c>
      <c r="K84" s="293" t="s">
        <v>7100</v>
      </c>
      <c r="L84" s="293" t="s">
        <v>6940</v>
      </c>
      <c r="M84" s="293" t="s">
        <v>8841</v>
      </c>
      <c r="P84">
        <v>74</v>
      </c>
    </row>
    <row r="85" spans="1:16" ht="15.6" customHeight="1">
      <c r="A85" s="251">
        <v>82</v>
      </c>
      <c r="B85" s="293" t="s">
        <v>2124</v>
      </c>
      <c r="C85" s="293" t="s">
        <v>7001</v>
      </c>
      <c r="D85" s="295" t="s">
        <v>2730</v>
      </c>
      <c r="E85" s="293" t="s">
        <v>7060</v>
      </c>
      <c r="F85" s="293" t="s">
        <v>10202</v>
      </c>
      <c r="G85" s="293" t="s">
        <v>8800</v>
      </c>
      <c r="H85" s="293" t="s">
        <v>7002</v>
      </c>
      <c r="I85" s="293" t="s">
        <v>10277</v>
      </c>
      <c r="J85" s="293" t="s">
        <v>10369</v>
      </c>
      <c r="K85" s="293" t="s">
        <v>7101</v>
      </c>
      <c r="L85" s="297" t="s">
        <v>6941</v>
      </c>
      <c r="M85" s="293" t="s">
        <v>8842</v>
      </c>
      <c r="P85">
        <v>75</v>
      </c>
    </row>
    <row r="86" spans="1:16" ht="15.6" customHeight="1">
      <c r="A86" s="251">
        <v>83</v>
      </c>
      <c r="B86" s="293" t="s">
        <v>6942</v>
      </c>
      <c r="C86" s="293" t="s">
        <v>7003</v>
      </c>
      <c r="D86" s="295" t="s">
        <v>2731</v>
      </c>
      <c r="E86" s="293" t="s">
        <v>7061</v>
      </c>
      <c r="F86" s="293" t="s">
        <v>10203</v>
      </c>
      <c r="G86" s="293" t="s">
        <v>8801</v>
      </c>
      <c r="H86" s="293" t="s">
        <v>7004</v>
      </c>
      <c r="I86" s="293" t="s">
        <v>10278</v>
      </c>
      <c r="J86" s="293" t="s">
        <v>10370</v>
      </c>
      <c r="K86" s="293" t="s">
        <v>7102</v>
      </c>
      <c r="L86" s="298" t="s">
        <v>6943</v>
      </c>
      <c r="M86" s="293" t="s">
        <v>8843</v>
      </c>
      <c r="P86">
        <v>76</v>
      </c>
    </row>
    <row r="87" spans="1:16" ht="15.6" customHeight="1">
      <c r="A87" s="251">
        <v>84</v>
      </c>
      <c r="B87" s="293" t="s">
        <v>6944</v>
      </c>
      <c r="C87" s="293" t="s">
        <v>7005</v>
      </c>
      <c r="D87" s="295" t="s">
        <v>2732</v>
      </c>
      <c r="E87" s="293" t="s">
        <v>7062</v>
      </c>
      <c r="F87" s="293" t="s">
        <v>10204</v>
      </c>
      <c r="G87" s="293" t="s">
        <v>8802</v>
      </c>
      <c r="H87" s="293" t="s">
        <v>7006</v>
      </c>
      <c r="I87" s="293" t="s">
        <v>10279</v>
      </c>
      <c r="J87" s="293" t="s">
        <v>10371</v>
      </c>
      <c r="K87" s="293" t="s">
        <v>7103</v>
      </c>
      <c r="L87" s="293" t="s">
        <v>6945</v>
      </c>
      <c r="M87" s="293" t="s">
        <v>8844</v>
      </c>
      <c r="P87">
        <v>77</v>
      </c>
    </row>
    <row r="88" spans="1:16" ht="15">
      <c r="A88" s="251">
        <v>85</v>
      </c>
      <c r="B88" s="293" t="s">
        <v>6946</v>
      </c>
      <c r="C88" s="293" t="s">
        <v>7007</v>
      </c>
      <c r="D88" s="295" t="s">
        <v>2733</v>
      </c>
      <c r="E88" s="293" t="s">
        <v>7063</v>
      </c>
      <c r="F88" s="293" t="s">
        <v>10205</v>
      </c>
      <c r="G88" s="293" t="s">
        <v>8803</v>
      </c>
      <c r="H88" s="293" t="s">
        <v>7008</v>
      </c>
      <c r="I88" s="293" t="s">
        <v>10280</v>
      </c>
      <c r="J88" s="293" t="s">
        <v>10372</v>
      </c>
      <c r="K88" s="293" t="s">
        <v>7104</v>
      </c>
      <c r="L88" s="293" t="s">
        <v>6947</v>
      </c>
      <c r="M88" s="293" t="s">
        <v>8845</v>
      </c>
      <c r="P88">
        <v>78</v>
      </c>
    </row>
    <row r="89" spans="1:16" ht="15">
      <c r="A89" s="251">
        <v>86</v>
      </c>
      <c r="B89" s="293" t="s">
        <v>2125</v>
      </c>
      <c r="C89" s="293" t="s">
        <v>7009</v>
      </c>
      <c r="D89" s="295" t="s">
        <v>2734</v>
      </c>
      <c r="E89" s="293" t="s">
        <v>7064</v>
      </c>
      <c r="F89" s="293" t="s">
        <v>10206</v>
      </c>
      <c r="G89" s="293" t="s">
        <v>8804</v>
      </c>
      <c r="H89" s="293" t="s">
        <v>7010</v>
      </c>
      <c r="I89" s="293" t="s">
        <v>10281</v>
      </c>
      <c r="J89" s="293" t="s">
        <v>10373</v>
      </c>
      <c r="K89" s="293" t="s">
        <v>7105</v>
      </c>
      <c r="L89" s="293" t="s">
        <v>6948</v>
      </c>
      <c r="M89" s="293" t="s">
        <v>8846</v>
      </c>
      <c r="P89">
        <v>79</v>
      </c>
    </row>
    <row r="90" spans="1:16" ht="15">
      <c r="A90" s="251">
        <v>87</v>
      </c>
      <c r="B90" s="293" t="s">
        <v>10569</v>
      </c>
      <c r="C90" s="293" t="s">
        <v>10568</v>
      </c>
      <c r="D90" s="295" t="s">
        <v>10567</v>
      </c>
      <c r="E90" s="293" t="s">
        <v>10566</v>
      </c>
      <c r="F90" s="293" t="s">
        <v>10565</v>
      </c>
      <c r="G90" s="293" t="s">
        <v>10564</v>
      </c>
      <c r="H90" s="293" t="s">
        <v>10563</v>
      </c>
      <c r="I90" s="293" t="s">
        <v>10562</v>
      </c>
      <c r="J90" s="293" t="s">
        <v>10561</v>
      </c>
      <c r="K90" s="293" t="s">
        <v>10560</v>
      </c>
      <c r="L90" s="293" t="s">
        <v>6949</v>
      </c>
      <c r="M90" s="293" t="s">
        <v>10559</v>
      </c>
      <c r="P90">
        <v>80</v>
      </c>
    </row>
    <row r="91" spans="1:16" ht="15">
      <c r="A91" s="251">
        <v>88</v>
      </c>
      <c r="B91" s="293" t="s">
        <v>11604</v>
      </c>
      <c r="C91" s="299" t="s">
        <v>9415</v>
      </c>
      <c r="D91" s="295" t="s">
        <v>2735</v>
      </c>
      <c r="E91" s="293" t="s">
        <v>7065</v>
      </c>
      <c r="F91" s="293" t="s">
        <v>10207</v>
      </c>
      <c r="G91" s="293" t="s">
        <v>8805</v>
      </c>
      <c r="H91" s="293" t="s">
        <v>7011</v>
      </c>
      <c r="I91" s="293" t="s">
        <v>10282</v>
      </c>
      <c r="J91" s="293" t="s">
        <v>10374</v>
      </c>
      <c r="K91" s="293" t="s">
        <v>7106</v>
      </c>
      <c r="L91" s="293" t="s">
        <v>6950</v>
      </c>
      <c r="M91" s="293" t="s">
        <v>8847</v>
      </c>
      <c r="P91">
        <v>81</v>
      </c>
    </row>
    <row r="92" spans="1:16" ht="15">
      <c r="A92" s="251">
        <v>89</v>
      </c>
      <c r="B92" s="293" t="s">
        <v>2136</v>
      </c>
      <c r="C92" s="293" t="s">
        <v>7012</v>
      </c>
      <c r="D92" s="295" t="s">
        <v>2736</v>
      </c>
      <c r="E92" s="293" t="s">
        <v>7066</v>
      </c>
      <c r="F92" s="293" t="s">
        <v>10208</v>
      </c>
      <c r="G92" s="293" t="s">
        <v>8806</v>
      </c>
      <c r="H92" s="293" t="s">
        <v>7013</v>
      </c>
      <c r="I92" s="293" t="s">
        <v>10283</v>
      </c>
      <c r="J92" s="293" t="s">
        <v>10375</v>
      </c>
      <c r="K92" s="293" t="s">
        <v>7107</v>
      </c>
      <c r="L92" s="293" t="s">
        <v>6951</v>
      </c>
      <c r="M92" s="293" t="s">
        <v>8848</v>
      </c>
      <c r="P92">
        <v>82</v>
      </c>
    </row>
    <row r="93" spans="1:16" ht="15">
      <c r="A93" s="251">
        <v>149</v>
      </c>
      <c r="B93" s="293" t="s">
        <v>11992</v>
      </c>
      <c r="C93" s="293" t="s">
        <v>11993</v>
      </c>
      <c r="D93" s="295" t="s">
        <v>11991</v>
      </c>
      <c r="E93" s="293" t="s">
        <v>11994</v>
      </c>
      <c r="F93" s="293" t="s">
        <v>11996</v>
      </c>
      <c r="G93" s="293" t="s">
        <v>11997</v>
      </c>
      <c r="H93" s="293" t="s">
        <v>11995</v>
      </c>
      <c r="I93" s="293" t="s">
        <v>11998</v>
      </c>
      <c r="J93" s="293" t="s">
        <v>11999</v>
      </c>
      <c r="K93" s="293" t="s">
        <v>12000</v>
      </c>
      <c r="L93" s="293" t="s">
        <v>12002</v>
      </c>
      <c r="M93" s="293" t="s">
        <v>12001</v>
      </c>
    </row>
    <row r="94" spans="1:16" ht="15">
      <c r="A94" s="251">
        <v>90</v>
      </c>
      <c r="B94" s="293" t="s">
        <v>11605</v>
      </c>
      <c r="C94" s="293" t="s">
        <v>7014</v>
      </c>
      <c r="D94" s="295" t="s">
        <v>2737</v>
      </c>
      <c r="E94" s="293" t="s">
        <v>7067</v>
      </c>
      <c r="F94" s="293" t="s">
        <v>10209</v>
      </c>
      <c r="G94" s="293" t="s">
        <v>8807</v>
      </c>
      <c r="H94" s="293" t="s">
        <v>7015</v>
      </c>
      <c r="I94" s="293" t="s">
        <v>10284</v>
      </c>
      <c r="J94" s="293" t="s">
        <v>10376</v>
      </c>
      <c r="K94" s="293" t="s">
        <v>7108</v>
      </c>
      <c r="L94" s="293" t="s">
        <v>6952</v>
      </c>
      <c r="M94" s="293" t="s">
        <v>8849</v>
      </c>
      <c r="P94">
        <v>83</v>
      </c>
    </row>
    <row r="95" spans="1:16" ht="15">
      <c r="A95" s="251">
        <v>91</v>
      </c>
      <c r="B95" s="293" t="s">
        <v>11606</v>
      </c>
      <c r="C95" s="293" t="s">
        <v>9260</v>
      </c>
      <c r="D95" s="293" t="s">
        <v>9261</v>
      </c>
      <c r="E95" s="293" t="s">
        <v>9269</v>
      </c>
      <c r="F95" s="293" t="s">
        <v>9268</v>
      </c>
      <c r="G95" s="293" t="s">
        <v>9267</v>
      </c>
      <c r="H95" s="293" t="s">
        <v>9264</v>
      </c>
      <c r="I95" s="293" t="s">
        <v>9265</v>
      </c>
      <c r="J95" s="293" t="s">
        <v>10377</v>
      </c>
      <c r="K95" s="293" t="s">
        <v>9266</v>
      </c>
      <c r="L95" s="293" t="s">
        <v>9263</v>
      </c>
      <c r="M95" s="293" t="s">
        <v>9262</v>
      </c>
      <c r="P95">
        <v>84</v>
      </c>
    </row>
    <row r="96" spans="1:16" ht="15">
      <c r="A96" s="251">
        <v>92</v>
      </c>
      <c r="B96" s="293" t="s">
        <v>9270</v>
      </c>
      <c r="C96" s="293" t="s">
        <v>9280</v>
      </c>
      <c r="D96" s="295" t="s">
        <v>9279</v>
      </c>
      <c r="E96" s="293" t="s">
        <v>9271</v>
      </c>
      <c r="F96" s="293" t="s">
        <v>9272</v>
      </c>
      <c r="G96" s="293" t="s">
        <v>9273</v>
      </c>
      <c r="H96" s="293" t="s">
        <v>9274</v>
      </c>
      <c r="I96" s="293" t="s">
        <v>9275</v>
      </c>
      <c r="J96" s="293" t="s">
        <v>10378</v>
      </c>
      <c r="K96" s="293" t="s">
        <v>9276</v>
      </c>
      <c r="L96" s="293" t="s">
        <v>9277</v>
      </c>
      <c r="M96" s="293" t="s">
        <v>9278</v>
      </c>
      <c r="P96">
        <v>85</v>
      </c>
    </row>
    <row r="97" spans="1:16" ht="15">
      <c r="A97" s="251">
        <v>93</v>
      </c>
      <c r="B97" s="293" t="s">
        <v>9249</v>
      </c>
      <c r="C97" s="293" t="s">
        <v>9291</v>
      </c>
      <c r="D97" s="295" t="s">
        <v>9292</v>
      </c>
      <c r="E97" s="293" t="s">
        <v>9293</v>
      </c>
      <c r="F97" s="293" t="s">
        <v>9294</v>
      </c>
      <c r="G97" s="293" t="s">
        <v>9295</v>
      </c>
      <c r="H97" s="293" t="s">
        <v>9296</v>
      </c>
      <c r="I97" s="293" t="s">
        <v>9297</v>
      </c>
      <c r="J97" s="293" t="s">
        <v>10379</v>
      </c>
      <c r="K97" s="293" t="s">
        <v>9298</v>
      </c>
      <c r="L97" s="293" t="s">
        <v>9299</v>
      </c>
      <c r="M97" s="293" t="s">
        <v>9300</v>
      </c>
      <c r="P97">
        <v>86</v>
      </c>
    </row>
    <row r="98" spans="1:16" ht="15">
      <c r="A98" s="251">
        <v>94</v>
      </c>
      <c r="B98" s="293" t="s">
        <v>9250</v>
      </c>
      <c r="C98" s="293" t="s">
        <v>9281</v>
      </c>
      <c r="D98" s="295" t="s">
        <v>9282</v>
      </c>
      <c r="E98" s="293" t="s">
        <v>9290</v>
      </c>
      <c r="F98" s="293" t="s">
        <v>9289</v>
      </c>
      <c r="G98" s="293" t="s">
        <v>9288</v>
      </c>
      <c r="H98" s="293" t="s">
        <v>9287</v>
      </c>
      <c r="I98" s="293" t="s">
        <v>9286</v>
      </c>
      <c r="J98" s="293" t="s">
        <v>10380</v>
      </c>
      <c r="K98" s="293" t="s">
        <v>9285</v>
      </c>
      <c r="L98" s="293" t="s">
        <v>9284</v>
      </c>
      <c r="M98" s="293" t="s">
        <v>9283</v>
      </c>
      <c r="P98">
        <v>87</v>
      </c>
    </row>
    <row r="99" spans="1:16" ht="15">
      <c r="A99" s="251">
        <v>95</v>
      </c>
      <c r="B99" s="293" t="s">
        <v>9801</v>
      </c>
      <c r="C99" s="293" t="s">
        <v>10169</v>
      </c>
      <c r="D99" s="295" t="s">
        <v>10168</v>
      </c>
      <c r="E99" s="293" t="s">
        <v>10167</v>
      </c>
      <c r="F99" s="293" t="s">
        <v>10166</v>
      </c>
      <c r="G99" s="293" t="s">
        <v>10165</v>
      </c>
      <c r="H99" s="293" t="s">
        <v>10164</v>
      </c>
      <c r="I99" s="293" t="s">
        <v>10161</v>
      </c>
      <c r="J99" s="293" t="s">
        <v>10160</v>
      </c>
      <c r="K99" s="293" t="s">
        <v>10159</v>
      </c>
      <c r="L99" s="293" t="s">
        <v>10162</v>
      </c>
      <c r="M99" s="293" t="s">
        <v>10163</v>
      </c>
      <c r="P99">
        <v>88</v>
      </c>
    </row>
    <row r="100" spans="1:16" ht="15">
      <c r="A100" s="251">
        <v>96</v>
      </c>
      <c r="B100" s="293" t="s">
        <v>605</v>
      </c>
      <c r="C100" s="293" t="s">
        <v>9131</v>
      </c>
      <c r="D100" s="295" t="s">
        <v>9131</v>
      </c>
      <c r="E100" s="293" t="s">
        <v>9131</v>
      </c>
      <c r="F100" s="293" t="s">
        <v>9131</v>
      </c>
      <c r="G100" s="293" t="s">
        <v>9131</v>
      </c>
      <c r="H100" s="293" t="s">
        <v>9131</v>
      </c>
      <c r="I100" s="293" t="s">
        <v>9131</v>
      </c>
      <c r="J100" s="293" t="s">
        <v>9131</v>
      </c>
      <c r="K100" s="293" t="s">
        <v>9131</v>
      </c>
      <c r="L100" s="293" t="str">
        <f>B100</f>
        <v xml:space="preserve"> </v>
      </c>
      <c r="M100" s="293" t="str">
        <f>B100</f>
        <v xml:space="preserve"> </v>
      </c>
      <c r="P100">
        <v>89</v>
      </c>
    </row>
    <row r="101" spans="1:16" ht="15">
      <c r="A101" s="251">
        <v>97</v>
      </c>
      <c r="B101" s="293" t="s">
        <v>2117</v>
      </c>
      <c r="C101" s="300" t="s">
        <v>7016</v>
      </c>
      <c r="D101" s="295" t="s">
        <v>2185</v>
      </c>
      <c r="E101" s="293" t="s">
        <v>7068</v>
      </c>
      <c r="F101" s="293" t="s">
        <v>10210</v>
      </c>
      <c r="G101" s="293" t="s">
        <v>8808</v>
      </c>
      <c r="H101" s="293" t="s">
        <v>7017</v>
      </c>
      <c r="I101" s="293" t="s">
        <v>10296</v>
      </c>
      <c r="J101" s="293" t="s">
        <v>10381</v>
      </c>
      <c r="K101" s="293" t="s">
        <v>7109</v>
      </c>
      <c r="L101" s="293" t="s">
        <v>6953</v>
      </c>
      <c r="M101" s="293" t="s">
        <v>8850</v>
      </c>
      <c r="P101">
        <v>90</v>
      </c>
    </row>
    <row r="102" spans="1:16" ht="15">
      <c r="A102" s="251">
        <v>98</v>
      </c>
      <c r="B102" s="293" t="s">
        <v>605</v>
      </c>
      <c r="C102" s="293" t="s">
        <v>9131</v>
      </c>
      <c r="D102" s="295" t="s">
        <v>9131</v>
      </c>
      <c r="E102" s="293" t="s">
        <v>9131</v>
      </c>
      <c r="F102" s="293" t="s">
        <v>605</v>
      </c>
      <c r="G102" s="293" t="s">
        <v>9131</v>
      </c>
      <c r="H102" s="293" t="s">
        <v>9131</v>
      </c>
      <c r="I102" s="293" t="s">
        <v>605</v>
      </c>
      <c r="J102" s="293" t="s">
        <v>605</v>
      </c>
      <c r="K102" s="293" t="s">
        <v>9131</v>
      </c>
      <c r="L102" s="293" t="str">
        <f>B102</f>
        <v xml:space="preserve"> </v>
      </c>
      <c r="M102" s="293" t="str">
        <f>B102</f>
        <v xml:space="preserve"> </v>
      </c>
      <c r="P102">
        <v>91</v>
      </c>
    </row>
    <row r="103" spans="1:16" ht="15">
      <c r="A103" s="251">
        <v>99</v>
      </c>
      <c r="B103" s="293" t="s">
        <v>12901</v>
      </c>
      <c r="C103" s="301" t="s">
        <v>12902</v>
      </c>
      <c r="D103" s="295" t="s">
        <v>12903</v>
      </c>
      <c r="E103" s="293" t="s">
        <v>12904</v>
      </c>
      <c r="F103" s="293" t="s">
        <v>12905</v>
      </c>
      <c r="G103" s="293" t="s">
        <v>12906</v>
      </c>
      <c r="H103" s="293" t="s">
        <v>12907</v>
      </c>
      <c r="I103" s="293" t="s">
        <v>10297</v>
      </c>
      <c r="J103" s="293" t="s">
        <v>12908</v>
      </c>
      <c r="K103" s="293" t="s">
        <v>12909</v>
      </c>
      <c r="L103" s="293" t="s">
        <v>12910</v>
      </c>
      <c r="M103" s="293" t="s">
        <v>12911</v>
      </c>
      <c r="N103" s="255"/>
      <c r="O103" s="255"/>
      <c r="P103">
        <v>92</v>
      </c>
    </row>
    <row r="104" spans="1:16" ht="15">
      <c r="A104" s="251">
        <v>100</v>
      </c>
      <c r="B104" s="293" t="s">
        <v>12912</v>
      </c>
      <c r="C104" t="s">
        <v>12913</v>
      </c>
      <c r="D104" t="s">
        <v>12914</v>
      </c>
      <c r="E104" t="s">
        <v>12915</v>
      </c>
      <c r="F104" t="s">
        <v>12916</v>
      </c>
      <c r="G104" t="s">
        <v>12917</v>
      </c>
      <c r="H104" t="s">
        <v>12918</v>
      </c>
      <c r="I104" t="s">
        <v>12919</v>
      </c>
      <c r="J104" t="s">
        <v>12920</v>
      </c>
      <c r="K104" t="s">
        <v>12921</v>
      </c>
      <c r="L104" t="s">
        <v>12922</v>
      </c>
      <c r="M104" t="s">
        <v>12923</v>
      </c>
      <c r="P104">
        <v>93</v>
      </c>
    </row>
    <row r="105" spans="1:16" ht="15">
      <c r="A105" s="251">
        <v>101</v>
      </c>
      <c r="B105" s="293" t="s">
        <v>11607</v>
      </c>
      <c r="C105" s="300" t="s">
        <v>7018</v>
      </c>
      <c r="D105" s="302" t="s">
        <v>2738</v>
      </c>
      <c r="E105" s="301" t="s">
        <v>7069</v>
      </c>
      <c r="F105" s="293" t="s">
        <v>10211</v>
      </c>
      <c r="G105" s="301" t="s">
        <v>8809</v>
      </c>
      <c r="H105" s="301" t="s">
        <v>7019</v>
      </c>
      <c r="I105" s="301" t="s">
        <v>10298</v>
      </c>
      <c r="J105" s="301" t="s">
        <v>10382</v>
      </c>
      <c r="K105" s="301" t="s">
        <v>7110</v>
      </c>
      <c r="L105" s="293" t="s">
        <v>6954</v>
      </c>
      <c r="M105" s="293" t="s">
        <v>8851</v>
      </c>
      <c r="P105">
        <v>94</v>
      </c>
    </row>
    <row r="106" spans="1:16" ht="15">
      <c r="A106" s="251">
        <v>102</v>
      </c>
      <c r="B106" s="293" t="s">
        <v>605</v>
      </c>
      <c r="C106" s="293" t="s">
        <v>9131</v>
      </c>
      <c r="D106" s="295" t="s">
        <v>9131</v>
      </c>
      <c r="E106" s="293" t="s">
        <v>9131</v>
      </c>
      <c r="F106" s="293" t="s">
        <v>605</v>
      </c>
      <c r="G106" s="293" t="s">
        <v>9131</v>
      </c>
      <c r="H106" s="293" t="s">
        <v>9131</v>
      </c>
      <c r="I106" s="293" t="s">
        <v>605</v>
      </c>
      <c r="J106" s="293" t="s">
        <v>605</v>
      </c>
      <c r="K106" s="293" t="s">
        <v>9131</v>
      </c>
      <c r="L106" s="293" t="str">
        <f>B106</f>
        <v xml:space="preserve"> </v>
      </c>
      <c r="M106" s="293" t="str">
        <f>B106</f>
        <v xml:space="preserve"> </v>
      </c>
      <c r="P106">
        <v>95</v>
      </c>
    </row>
    <row r="107" spans="1:16" s="154" customFormat="1" ht="15">
      <c r="A107" s="311">
        <v>103</v>
      </c>
      <c r="B107" s="431" t="s">
        <v>12793</v>
      </c>
      <c r="C107" s="434" t="s">
        <v>12794</v>
      </c>
      <c r="D107" s="432" t="s">
        <v>12795</v>
      </c>
      <c r="E107" s="433" t="s">
        <v>12796</v>
      </c>
      <c r="F107" s="431" t="s">
        <v>12797</v>
      </c>
      <c r="G107" s="433" t="s">
        <v>12798</v>
      </c>
      <c r="H107" s="431" t="s">
        <v>12799</v>
      </c>
      <c r="I107" s="431" t="s">
        <v>12800</v>
      </c>
      <c r="J107" s="431" t="s">
        <v>12801</v>
      </c>
      <c r="K107" s="431" t="s">
        <v>12802</v>
      </c>
      <c r="L107" s="431" t="s">
        <v>12803</v>
      </c>
      <c r="M107" s="431" t="s">
        <v>12804</v>
      </c>
      <c r="N107" s="311"/>
      <c r="O107" s="311"/>
      <c r="P107" s="154">
        <v>96</v>
      </c>
    </row>
    <row r="108" spans="1:16" ht="15">
      <c r="A108" s="251">
        <v>104</v>
      </c>
      <c r="B108" s="293" t="s">
        <v>9837</v>
      </c>
      <c r="C108" s="300" t="s">
        <v>9857</v>
      </c>
      <c r="D108" s="302" t="s">
        <v>9839</v>
      </c>
      <c r="E108" s="301" t="s">
        <v>9855</v>
      </c>
      <c r="F108" s="293" t="s">
        <v>9853</v>
      </c>
      <c r="G108" s="301" t="s">
        <v>9843</v>
      </c>
      <c r="H108" s="293" t="s">
        <v>9841</v>
      </c>
      <c r="I108" s="48" t="s">
        <v>10299</v>
      </c>
      <c r="J108" s="293" t="s">
        <v>9851</v>
      </c>
      <c r="K108" s="293" t="s">
        <v>9849</v>
      </c>
      <c r="L108" s="293" t="s">
        <v>9847</v>
      </c>
      <c r="M108" s="293" t="s">
        <v>9845</v>
      </c>
      <c r="P108">
        <v>97</v>
      </c>
    </row>
    <row r="109" spans="1:16" ht="15">
      <c r="A109" s="251">
        <v>105</v>
      </c>
      <c r="B109" s="293" t="s">
        <v>9838</v>
      </c>
      <c r="C109" s="300" t="s">
        <v>9858</v>
      </c>
      <c r="D109" s="302" t="s">
        <v>9840</v>
      </c>
      <c r="E109" s="301" t="s">
        <v>9856</v>
      </c>
      <c r="F109" s="293" t="s">
        <v>9854</v>
      </c>
      <c r="G109" s="301" t="s">
        <v>9844</v>
      </c>
      <c r="H109" s="293" t="s">
        <v>9842</v>
      </c>
      <c r="I109" s="293" t="s">
        <v>10300</v>
      </c>
      <c r="J109" s="293" t="s">
        <v>9852</v>
      </c>
      <c r="K109" s="293" t="s">
        <v>9850</v>
      </c>
      <c r="L109" s="293" t="s">
        <v>9848</v>
      </c>
      <c r="M109" s="293" t="s">
        <v>9846</v>
      </c>
      <c r="P109">
        <v>98</v>
      </c>
    </row>
    <row r="110" spans="1:16" ht="15">
      <c r="A110" s="251">
        <v>106</v>
      </c>
      <c r="B110" s="293" t="s">
        <v>605</v>
      </c>
      <c r="C110" s="293" t="s">
        <v>9131</v>
      </c>
      <c r="D110" s="295" t="s">
        <v>9131</v>
      </c>
      <c r="E110" s="293" t="s">
        <v>9131</v>
      </c>
      <c r="F110" s="293" t="s">
        <v>9131</v>
      </c>
      <c r="G110" s="293" t="s">
        <v>9131</v>
      </c>
      <c r="H110" s="293" t="s">
        <v>9131</v>
      </c>
      <c r="I110" s="293" t="s">
        <v>605</v>
      </c>
      <c r="J110" s="293" t="s">
        <v>605</v>
      </c>
      <c r="K110" s="293" t="s">
        <v>9131</v>
      </c>
      <c r="L110" s="293" t="str">
        <f>B110</f>
        <v xml:space="preserve"> </v>
      </c>
      <c r="M110" s="293" t="str">
        <f>B110</f>
        <v xml:space="preserve"> </v>
      </c>
      <c r="P110">
        <v>99</v>
      </c>
    </row>
    <row r="111" spans="1:16" ht="15">
      <c r="A111" s="251">
        <v>107</v>
      </c>
      <c r="B111" s="293" t="s">
        <v>2719</v>
      </c>
      <c r="C111" s="300" t="s">
        <v>7020</v>
      </c>
      <c r="D111" s="302" t="s">
        <v>2739</v>
      </c>
      <c r="E111" s="301" t="s">
        <v>7070</v>
      </c>
      <c r="F111" s="293" t="s">
        <v>10212</v>
      </c>
      <c r="G111" s="301" t="s">
        <v>8810</v>
      </c>
      <c r="H111" s="293" t="s">
        <v>7021</v>
      </c>
      <c r="I111" s="293" t="s">
        <v>10301</v>
      </c>
      <c r="J111" s="293" t="s">
        <v>10383</v>
      </c>
      <c r="K111" s="293" t="s">
        <v>7111</v>
      </c>
      <c r="L111" s="293" t="s">
        <v>6955</v>
      </c>
      <c r="M111" s="293" t="s">
        <v>8852</v>
      </c>
      <c r="P111">
        <v>100</v>
      </c>
    </row>
    <row r="112" spans="1:16" ht="15">
      <c r="A112" s="251">
        <v>108</v>
      </c>
      <c r="B112" s="293" t="s">
        <v>605</v>
      </c>
      <c r="C112" s="293" t="s">
        <v>9131</v>
      </c>
      <c r="D112" s="295" t="s">
        <v>9131</v>
      </c>
      <c r="E112" s="293" t="s">
        <v>9131</v>
      </c>
      <c r="F112" s="293" t="s">
        <v>605</v>
      </c>
      <c r="G112" s="293" t="s">
        <v>9131</v>
      </c>
      <c r="H112" s="293" t="s">
        <v>9131</v>
      </c>
      <c r="I112" s="293" t="s">
        <v>605</v>
      </c>
      <c r="J112" s="293" t="s">
        <v>605</v>
      </c>
      <c r="K112" s="293" t="s">
        <v>9131</v>
      </c>
      <c r="L112" s="293" t="str">
        <f>B112</f>
        <v xml:space="preserve"> </v>
      </c>
      <c r="M112" s="293" t="str">
        <f>B112</f>
        <v xml:space="preserve"> </v>
      </c>
      <c r="P112">
        <v>101</v>
      </c>
    </row>
    <row r="113" spans="1:16" s="154" customFormat="1" ht="15">
      <c r="A113" s="311">
        <v>109</v>
      </c>
      <c r="B113" s="431" t="s">
        <v>12805</v>
      </c>
      <c r="C113" s="434" t="s">
        <v>12806</v>
      </c>
      <c r="D113" s="432" t="s">
        <v>12807</v>
      </c>
      <c r="E113" s="433" t="s">
        <v>12808</v>
      </c>
      <c r="F113" s="431" t="s">
        <v>12825</v>
      </c>
      <c r="G113" s="433" t="s">
        <v>12827</v>
      </c>
      <c r="H113" s="431" t="s">
        <v>12809</v>
      </c>
      <c r="I113" s="431" t="s">
        <v>12823</v>
      </c>
      <c r="J113" s="431" t="s">
        <v>12822</v>
      </c>
      <c r="K113" s="431" t="s">
        <v>12810</v>
      </c>
      <c r="L113" s="431" t="s">
        <v>12811</v>
      </c>
      <c r="M113" s="431" t="s">
        <v>12819</v>
      </c>
      <c r="N113" s="311"/>
      <c r="O113" s="311"/>
      <c r="P113" s="154">
        <v>102</v>
      </c>
    </row>
    <row r="114" spans="1:16" ht="15">
      <c r="A114" s="251">
        <v>110</v>
      </c>
      <c r="B114" s="293" t="s">
        <v>605</v>
      </c>
      <c r="C114" s="293" t="s">
        <v>9131</v>
      </c>
      <c r="D114" s="295" t="s">
        <v>9131</v>
      </c>
      <c r="E114" s="293" t="s">
        <v>9131</v>
      </c>
      <c r="F114" s="293" t="s">
        <v>605</v>
      </c>
      <c r="G114" s="293" t="s">
        <v>9131</v>
      </c>
      <c r="H114" s="293" t="s">
        <v>9131</v>
      </c>
      <c r="I114" s="293" t="s">
        <v>605</v>
      </c>
      <c r="J114" s="293" t="s">
        <v>605</v>
      </c>
      <c r="K114" s="293" t="s">
        <v>9131</v>
      </c>
      <c r="L114" s="293" t="str">
        <f>B114</f>
        <v xml:space="preserve"> </v>
      </c>
      <c r="M114" s="293" t="str">
        <f>B114</f>
        <v xml:space="preserve"> </v>
      </c>
      <c r="P114">
        <v>103</v>
      </c>
    </row>
    <row r="115" spans="1:16" s="154" customFormat="1" ht="15">
      <c r="A115" s="311">
        <v>111</v>
      </c>
      <c r="B115" s="431" t="s">
        <v>12812</v>
      </c>
      <c r="C115" s="431" t="s">
        <v>12813</v>
      </c>
      <c r="D115" s="432" t="s">
        <v>12814</v>
      </c>
      <c r="E115" s="433" t="s">
        <v>12815</v>
      </c>
      <c r="F115" s="431" t="s">
        <v>12826</v>
      </c>
      <c r="G115" s="433" t="s">
        <v>12828</v>
      </c>
      <c r="H115" s="431" t="s">
        <v>12816</v>
      </c>
      <c r="I115" s="431" t="s">
        <v>12824</v>
      </c>
      <c r="J115" s="434" t="s">
        <v>12821</v>
      </c>
      <c r="K115" s="431" t="s">
        <v>12817</v>
      </c>
      <c r="L115" s="431" t="s">
        <v>12818</v>
      </c>
      <c r="M115" s="431" t="s">
        <v>12820</v>
      </c>
      <c r="N115" s="311"/>
      <c r="O115" s="311"/>
      <c r="P115" s="154">
        <v>104</v>
      </c>
    </row>
    <row r="116" spans="1:16" ht="15">
      <c r="A116" s="251">
        <v>112</v>
      </c>
      <c r="B116" s="293" t="s">
        <v>11608</v>
      </c>
      <c r="C116" s="300" t="s">
        <v>7022</v>
      </c>
      <c r="D116" s="295" t="s">
        <v>2740</v>
      </c>
      <c r="E116" s="293" t="s">
        <v>7071</v>
      </c>
      <c r="F116" s="293" t="s">
        <v>10213</v>
      </c>
      <c r="G116" s="293" t="s">
        <v>8811</v>
      </c>
      <c r="H116" s="293" t="s">
        <v>7023</v>
      </c>
      <c r="I116" s="293" t="s">
        <v>10302</v>
      </c>
      <c r="J116" s="293" t="s">
        <v>10384</v>
      </c>
      <c r="K116" s="293" t="s">
        <v>7112</v>
      </c>
      <c r="L116" s="293" t="s">
        <v>6956</v>
      </c>
      <c r="M116" s="293" t="s">
        <v>8853</v>
      </c>
      <c r="N116" s="254"/>
      <c r="O116" s="254"/>
      <c r="P116">
        <v>105</v>
      </c>
    </row>
    <row r="117" spans="1:16" ht="15">
      <c r="A117" s="251">
        <v>113</v>
      </c>
      <c r="B117" s="293" t="s">
        <v>605</v>
      </c>
      <c r="C117" s="293" t="s">
        <v>9131</v>
      </c>
      <c r="D117" s="295" t="s">
        <v>9131</v>
      </c>
      <c r="E117" s="293" t="s">
        <v>9131</v>
      </c>
      <c r="F117" s="293" t="s">
        <v>605</v>
      </c>
      <c r="G117" s="293" t="s">
        <v>9131</v>
      </c>
      <c r="H117" s="293" t="s">
        <v>9131</v>
      </c>
      <c r="I117" s="293" t="s">
        <v>605</v>
      </c>
      <c r="J117" s="293" t="s">
        <v>605</v>
      </c>
      <c r="K117" s="293" t="s">
        <v>9131</v>
      </c>
      <c r="L117" s="293" t="str">
        <f>B117</f>
        <v xml:space="preserve"> </v>
      </c>
      <c r="M117" s="293" t="str">
        <f>B117</f>
        <v xml:space="preserve"> </v>
      </c>
      <c r="P117">
        <v>106</v>
      </c>
    </row>
    <row r="118" spans="1:16" ht="15">
      <c r="A118" s="251">
        <v>114</v>
      </c>
      <c r="B118" s="293" t="s">
        <v>12890</v>
      </c>
      <c r="C118" s="300" t="s">
        <v>12891</v>
      </c>
      <c r="D118" s="295" t="s">
        <v>12892</v>
      </c>
      <c r="E118" s="293" t="s">
        <v>12893</v>
      </c>
      <c r="F118" s="293" t="s">
        <v>12894</v>
      </c>
      <c r="G118" s="293" t="s">
        <v>12895</v>
      </c>
      <c r="H118" s="293" t="s">
        <v>12896</v>
      </c>
      <c r="I118" s="293" t="s">
        <v>10303</v>
      </c>
      <c r="J118" s="293" t="s">
        <v>12897</v>
      </c>
      <c r="K118" s="293" t="s">
        <v>12898</v>
      </c>
      <c r="L118" s="293" t="s">
        <v>12899</v>
      </c>
      <c r="M118" s="293" t="s">
        <v>12900</v>
      </c>
      <c r="N118" s="254"/>
      <c r="O118" s="254"/>
      <c r="P118">
        <v>107</v>
      </c>
    </row>
    <row r="119" spans="1:16" ht="15">
      <c r="A119" s="251">
        <v>115</v>
      </c>
      <c r="B119" s="293" t="s">
        <v>6957</v>
      </c>
      <c r="C119" s="297" t="s">
        <v>2200</v>
      </c>
      <c r="D119" s="297" t="s">
        <v>2200</v>
      </c>
      <c r="E119" s="297" t="s">
        <v>2200</v>
      </c>
      <c r="F119" s="297" t="s">
        <v>2200</v>
      </c>
      <c r="G119" s="297" t="s">
        <v>2200</v>
      </c>
      <c r="H119" s="297" t="s">
        <v>2200</v>
      </c>
      <c r="I119" s="297" t="s">
        <v>10304</v>
      </c>
      <c r="J119" s="297" t="s">
        <v>10214</v>
      </c>
      <c r="K119" s="297" t="s">
        <v>2200</v>
      </c>
      <c r="L119" s="297" t="s">
        <v>2200</v>
      </c>
      <c r="M119" s="297" t="s">
        <v>2200</v>
      </c>
      <c r="P119">
        <v>108</v>
      </c>
    </row>
    <row r="120" spans="1:16" ht="15">
      <c r="A120" s="251">
        <v>116</v>
      </c>
      <c r="B120" s="293" t="s">
        <v>605</v>
      </c>
      <c r="C120" s="293" t="s">
        <v>9131</v>
      </c>
      <c r="D120" s="295" t="s">
        <v>9131</v>
      </c>
      <c r="E120" s="293" t="s">
        <v>9131</v>
      </c>
      <c r="F120" s="293" t="s">
        <v>605</v>
      </c>
      <c r="G120" s="293" t="s">
        <v>9131</v>
      </c>
      <c r="H120" s="293" t="s">
        <v>9131</v>
      </c>
      <c r="I120" s="293" t="s">
        <v>605</v>
      </c>
      <c r="J120" s="293" t="s">
        <v>605</v>
      </c>
      <c r="K120" s="293" t="s">
        <v>9131</v>
      </c>
      <c r="L120" s="293" t="str">
        <f>B120</f>
        <v xml:space="preserve"> </v>
      </c>
      <c r="M120" s="293" t="str">
        <f>B120</f>
        <v xml:space="preserve"> </v>
      </c>
      <c r="P120">
        <v>109</v>
      </c>
    </row>
    <row r="121" spans="1:16" ht="15">
      <c r="A121" s="251">
        <v>117</v>
      </c>
      <c r="B121" s="293" t="s">
        <v>6958</v>
      </c>
      <c r="C121" s="300" t="s">
        <v>2202</v>
      </c>
      <c r="D121" s="295" t="s">
        <v>2202</v>
      </c>
      <c r="E121" s="293" t="s">
        <v>7072</v>
      </c>
      <c r="F121" s="293" t="s">
        <v>10215</v>
      </c>
      <c r="G121" s="293" t="s">
        <v>8812</v>
      </c>
      <c r="H121" s="293" t="s">
        <v>7024</v>
      </c>
      <c r="I121" s="293" t="s">
        <v>10305</v>
      </c>
      <c r="J121" s="293" t="s">
        <v>10385</v>
      </c>
      <c r="K121" s="293" t="s">
        <v>7113</v>
      </c>
      <c r="L121" s="293" t="s">
        <v>6959</v>
      </c>
      <c r="M121" s="293" t="s">
        <v>8854</v>
      </c>
      <c r="P121">
        <v>110</v>
      </c>
    </row>
    <row r="122" spans="1:16" ht="15">
      <c r="A122" s="251">
        <v>118</v>
      </c>
      <c r="B122" s="293" t="s">
        <v>605</v>
      </c>
      <c r="C122" s="293" t="s">
        <v>9131</v>
      </c>
      <c r="D122" s="295" t="s">
        <v>9131</v>
      </c>
      <c r="E122" s="293" t="s">
        <v>9131</v>
      </c>
      <c r="F122" s="293" t="s">
        <v>605</v>
      </c>
      <c r="G122" s="293" t="s">
        <v>9131</v>
      </c>
      <c r="H122" s="293" t="s">
        <v>9131</v>
      </c>
      <c r="I122" s="293" t="s">
        <v>605</v>
      </c>
      <c r="J122" s="293" t="s">
        <v>605</v>
      </c>
      <c r="K122" s="293" t="s">
        <v>9131</v>
      </c>
      <c r="L122" s="293" t="str">
        <f>B122</f>
        <v xml:space="preserve"> </v>
      </c>
      <c r="M122" s="293" t="str">
        <f>B122</f>
        <v xml:space="preserve"> </v>
      </c>
      <c r="P122">
        <v>111</v>
      </c>
    </row>
    <row r="123" spans="1:16" ht="15">
      <c r="A123" s="251">
        <v>119</v>
      </c>
      <c r="B123" s="293" t="s">
        <v>2585</v>
      </c>
      <c r="C123" s="298" t="s">
        <v>9416</v>
      </c>
      <c r="D123" s="295" t="s">
        <v>2203</v>
      </c>
      <c r="E123" s="293" t="s">
        <v>7073</v>
      </c>
      <c r="F123" s="293" t="s">
        <v>10216</v>
      </c>
      <c r="G123" s="293" t="s">
        <v>8813</v>
      </c>
      <c r="H123" s="293" t="s">
        <v>7025</v>
      </c>
      <c r="I123" s="293" t="s">
        <v>10306</v>
      </c>
      <c r="J123" s="293" t="s">
        <v>10386</v>
      </c>
      <c r="K123" s="293" t="s">
        <v>7114</v>
      </c>
      <c r="L123" s="293" t="s">
        <v>6960</v>
      </c>
      <c r="M123" s="293" t="s">
        <v>8855</v>
      </c>
      <c r="P123">
        <v>112</v>
      </c>
    </row>
    <row r="124" spans="1:16" ht="15">
      <c r="A124" s="251">
        <v>120</v>
      </c>
      <c r="B124" s="293" t="s">
        <v>605</v>
      </c>
      <c r="C124" s="293" t="s">
        <v>9131</v>
      </c>
      <c r="D124" s="295" t="s">
        <v>9131</v>
      </c>
      <c r="E124" s="293" t="s">
        <v>9131</v>
      </c>
      <c r="F124" s="293" t="s">
        <v>605</v>
      </c>
      <c r="G124" s="293" t="s">
        <v>9131</v>
      </c>
      <c r="H124" s="293" t="s">
        <v>9131</v>
      </c>
      <c r="I124" s="293" t="s">
        <v>605</v>
      </c>
      <c r="J124" s="293" t="s">
        <v>605</v>
      </c>
      <c r="K124" s="293" t="s">
        <v>9131</v>
      </c>
      <c r="L124" s="293" t="str">
        <f>B124</f>
        <v xml:space="preserve"> </v>
      </c>
      <c r="M124" s="293" t="str">
        <f>B124</f>
        <v xml:space="preserve"> </v>
      </c>
      <c r="P124">
        <v>113</v>
      </c>
    </row>
    <row r="125" spans="1:16" ht="15">
      <c r="A125" s="251">
        <v>121</v>
      </c>
      <c r="B125" s="293" t="s">
        <v>9647</v>
      </c>
      <c r="C125" s="293" t="s">
        <v>9648</v>
      </c>
      <c r="D125" s="295" t="s">
        <v>9648</v>
      </c>
      <c r="E125" s="293" t="s">
        <v>9649</v>
      </c>
      <c r="F125" s="293" t="s">
        <v>10217</v>
      </c>
      <c r="G125" s="293" t="s">
        <v>8814</v>
      </c>
      <c r="H125" s="293" t="s">
        <v>9650</v>
      </c>
      <c r="I125" s="293" t="s">
        <v>10307</v>
      </c>
      <c r="J125" s="293" t="s">
        <v>10387</v>
      </c>
      <c r="K125" s="300" t="s">
        <v>9651</v>
      </c>
      <c r="L125" s="293" t="s">
        <v>6961</v>
      </c>
      <c r="M125" s="293" t="s">
        <v>9652</v>
      </c>
      <c r="P125">
        <v>114</v>
      </c>
    </row>
    <row r="126" spans="1:16" ht="15">
      <c r="A126" s="251">
        <v>122</v>
      </c>
      <c r="B126" s="293" t="s">
        <v>9773</v>
      </c>
      <c r="C126" s="293" t="s">
        <v>9776</v>
      </c>
      <c r="D126" s="295" t="s">
        <v>9775</v>
      </c>
      <c r="E126" s="293" t="s">
        <v>9777</v>
      </c>
      <c r="F126" s="293" t="s">
        <v>10218</v>
      </c>
      <c r="G126" s="293" t="s">
        <v>9778</v>
      </c>
      <c r="H126" s="293" t="s">
        <v>9774</v>
      </c>
      <c r="I126" s="293" t="s">
        <v>10308</v>
      </c>
      <c r="J126" s="293" t="s">
        <v>10388</v>
      </c>
      <c r="K126" s="300" t="s">
        <v>9779</v>
      </c>
      <c r="L126" s="293" t="s">
        <v>9780</v>
      </c>
      <c r="M126" s="293" t="s">
        <v>9781</v>
      </c>
      <c r="P126">
        <v>115</v>
      </c>
    </row>
    <row r="127" spans="1:16" ht="15">
      <c r="A127" s="251">
        <v>123</v>
      </c>
      <c r="B127" s="293" t="s">
        <v>9782</v>
      </c>
      <c r="C127" s="293" t="s">
        <v>9790</v>
      </c>
      <c r="D127" s="295" t="s">
        <v>9789</v>
      </c>
      <c r="E127" s="293" t="s">
        <v>9788</v>
      </c>
      <c r="F127" s="293" t="s">
        <v>10219</v>
      </c>
      <c r="G127" s="293" t="s">
        <v>9787</v>
      </c>
      <c r="H127" s="293" t="s">
        <v>9786</v>
      </c>
      <c r="I127" s="293" t="s">
        <v>10309</v>
      </c>
      <c r="J127" s="293" t="s">
        <v>10389</v>
      </c>
      <c r="K127" s="300" t="s">
        <v>9785</v>
      </c>
      <c r="L127" s="293" t="s">
        <v>9784</v>
      </c>
      <c r="M127" s="293" t="s">
        <v>9783</v>
      </c>
      <c r="P127">
        <v>116</v>
      </c>
    </row>
    <row r="128" spans="1:16" ht="15">
      <c r="A128" s="251">
        <v>124</v>
      </c>
      <c r="B128" s="293" t="s">
        <v>605</v>
      </c>
      <c r="C128" s="293" t="s">
        <v>9131</v>
      </c>
      <c r="D128" s="295" t="s">
        <v>9131</v>
      </c>
      <c r="E128" s="293" t="s">
        <v>9131</v>
      </c>
      <c r="F128" s="293" t="s">
        <v>605</v>
      </c>
      <c r="G128" s="293" t="s">
        <v>9131</v>
      </c>
      <c r="H128" s="293" t="s">
        <v>9131</v>
      </c>
      <c r="I128" s="293" t="s">
        <v>605</v>
      </c>
      <c r="J128" s="293" t="s">
        <v>605</v>
      </c>
      <c r="K128" s="293" t="s">
        <v>9131</v>
      </c>
      <c r="L128" s="293" t="str">
        <f>B128</f>
        <v xml:space="preserve"> </v>
      </c>
      <c r="M128" s="293" t="str">
        <f>B128</f>
        <v xml:space="preserve"> </v>
      </c>
      <c r="P128">
        <v>117</v>
      </c>
    </row>
    <row r="129" spans="1:16" ht="15">
      <c r="A129" s="251">
        <v>125</v>
      </c>
      <c r="B129" s="293" t="s">
        <v>2118</v>
      </c>
      <c r="C129" s="300" t="s">
        <v>2201</v>
      </c>
      <c r="D129" s="295" t="s">
        <v>2201</v>
      </c>
      <c r="E129" s="293" t="s">
        <v>7074</v>
      </c>
      <c r="F129" s="293" t="s">
        <v>10220</v>
      </c>
      <c r="G129" s="293" t="s">
        <v>8815</v>
      </c>
      <c r="H129" s="293" t="s">
        <v>7026</v>
      </c>
      <c r="I129" s="293" t="s">
        <v>10310</v>
      </c>
      <c r="J129" s="293" t="s">
        <v>10390</v>
      </c>
      <c r="K129" s="300" t="s">
        <v>7115</v>
      </c>
      <c r="L129" s="293" t="s">
        <v>6962</v>
      </c>
      <c r="M129" s="293" t="s">
        <v>8856</v>
      </c>
      <c r="P129">
        <v>118</v>
      </c>
    </row>
    <row r="130" spans="1:16" ht="15">
      <c r="A130" s="251">
        <v>126</v>
      </c>
      <c r="B130" s="293" t="s">
        <v>605</v>
      </c>
      <c r="C130" s="300" t="s">
        <v>9131</v>
      </c>
      <c r="D130" s="295" t="s">
        <v>9131</v>
      </c>
      <c r="E130" s="293" t="s">
        <v>9131</v>
      </c>
      <c r="F130" s="293" t="s">
        <v>605</v>
      </c>
      <c r="G130" s="293" t="s">
        <v>9131</v>
      </c>
      <c r="H130" s="293" t="s">
        <v>9131</v>
      </c>
      <c r="I130" s="293" t="s">
        <v>605</v>
      </c>
      <c r="J130" s="293" t="s">
        <v>605</v>
      </c>
      <c r="K130" s="293" t="s">
        <v>9131</v>
      </c>
      <c r="L130" s="293" t="str">
        <f>B130</f>
        <v xml:space="preserve"> </v>
      </c>
      <c r="M130" s="293" t="str">
        <f>B130</f>
        <v xml:space="preserve"> </v>
      </c>
      <c r="N130" s="254"/>
      <c r="O130" s="254"/>
      <c r="P130">
        <v>119</v>
      </c>
    </row>
    <row r="131" spans="1:16" ht="15">
      <c r="A131" s="251">
        <v>127</v>
      </c>
      <c r="B131" s="293" t="s">
        <v>10845</v>
      </c>
      <c r="C131" s="293" t="s">
        <v>10846</v>
      </c>
      <c r="D131" s="295" t="s">
        <v>10847</v>
      </c>
      <c r="E131" s="293" t="s">
        <v>10848</v>
      </c>
      <c r="F131" s="293" t="s">
        <v>10849</v>
      </c>
      <c r="G131" s="293" t="s">
        <v>9654</v>
      </c>
      <c r="H131" s="293" t="s">
        <v>10850</v>
      </c>
      <c r="I131" s="293" t="s">
        <v>10311</v>
      </c>
      <c r="J131" s="293" t="s">
        <v>10851</v>
      </c>
      <c r="K131" s="300" t="s">
        <v>10852</v>
      </c>
      <c r="L131" s="293" t="s">
        <v>10853</v>
      </c>
      <c r="M131" s="293" t="s">
        <v>10854</v>
      </c>
      <c r="P131">
        <v>120</v>
      </c>
    </row>
    <row r="132" spans="1:16" ht="15">
      <c r="A132" s="251">
        <v>128</v>
      </c>
      <c r="B132" s="293" t="s">
        <v>10855</v>
      </c>
      <c r="C132" s="300" t="s">
        <v>10856</v>
      </c>
      <c r="D132" s="295" t="s">
        <v>10857</v>
      </c>
      <c r="E132" s="293" t="s">
        <v>10858</v>
      </c>
      <c r="F132" s="293" t="s">
        <v>10859</v>
      </c>
      <c r="G132" s="293" t="s">
        <v>9655</v>
      </c>
      <c r="H132" s="293" t="s">
        <v>10860</v>
      </c>
      <c r="I132" s="293" t="s">
        <v>10312</v>
      </c>
      <c r="J132" s="293" t="s">
        <v>10861</v>
      </c>
      <c r="K132" s="300" t="s">
        <v>10862</v>
      </c>
      <c r="L132" s="293" t="s">
        <v>10863</v>
      </c>
      <c r="M132" s="293" t="s">
        <v>10864</v>
      </c>
      <c r="P132">
        <v>121</v>
      </c>
    </row>
    <row r="133" spans="1:16" ht="15">
      <c r="A133" s="251">
        <v>129</v>
      </c>
      <c r="B133" s="293" t="s">
        <v>10865</v>
      </c>
      <c r="C133" s="300" t="s">
        <v>10866</v>
      </c>
      <c r="D133" s="295" t="s">
        <v>10867</v>
      </c>
      <c r="E133" s="293" t="s">
        <v>10868</v>
      </c>
      <c r="F133" s="293" t="s">
        <v>10869</v>
      </c>
      <c r="G133" s="293" t="s">
        <v>10870</v>
      </c>
      <c r="H133" s="293" t="s">
        <v>10871</v>
      </c>
      <c r="I133" s="293" t="s">
        <v>10313</v>
      </c>
      <c r="J133" s="293" t="s">
        <v>10872</v>
      </c>
      <c r="K133" s="300" t="s">
        <v>10873</v>
      </c>
      <c r="L133" s="293" t="s">
        <v>10874</v>
      </c>
      <c r="M133" s="293" t="s">
        <v>10875</v>
      </c>
      <c r="P133">
        <v>122</v>
      </c>
    </row>
    <row r="134" spans="1:16" ht="15">
      <c r="A134" s="251">
        <v>130</v>
      </c>
      <c r="B134" s="293" t="s">
        <v>10876</v>
      </c>
      <c r="C134" s="300" t="s">
        <v>10877</v>
      </c>
      <c r="D134" s="295" t="s">
        <v>10878</v>
      </c>
      <c r="E134" s="293" t="s">
        <v>10879</v>
      </c>
      <c r="F134" s="293" t="s">
        <v>10880</v>
      </c>
      <c r="G134" s="293" t="s">
        <v>9656</v>
      </c>
      <c r="H134" s="293" t="s">
        <v>10881</v>
      </c>
      <c r="I134" s="293" t="s">
        <v>10314</v>
      </c>
      <c r="J134" s="293" t="s">
        <v>10882</v>
      </c>
      <c r="K134" s="300" t="s">
        <v>10883</v>
      </c>
      <c r="L134" s="293" t="s">
        <v>10884</v>
      </c>
      <c r="M134" s="293" t="s">
        <v>10885</v>
      </c>
      <c r="P134">
        <v>123</v>
      </c>
    </row>
    <row r="135" spans="1:16" ht="15">
      <c r="A135" s="251">
        <v>131</v>
      </c>
      <c r="B135" s="293" t="s">
        <v>10886</v>
      </c>
      <c r="C135" s="293" t="s">
        <v>10887</v>
      </c>
      <c r="D135" s="295" t="s">
        <v>10888</v>
      </c>
      <c r="E135" s="293" t="s">
        <v>10889</v>
      </c>
      <c r="F135" s="293" t="s">
        <v>10890</v>
      </c>
      <c r="G135" s="293" t="s">
        <v>9657</v>
      </c>
      <c r="H135" s="293" t="s">
        <v>10891</v>
      </c>
      <c r="I135" s="293" t="s">
        <v>10315</v>
      </c>
      <c r="J135" s="293" t="s">
        <v>10892</v>
      </c>
      <c r="K135" s="300" t="s">
        <v>10893</v>
      </c>
      <c r="L135" s="293" t="s">
        <v>10894</v>
      </c>
      <c r="M135" s="293" t="s">
        <v>10895</v>
      </c>
      <c r="P135">
        <v>124</v>
      </c>
    </row>
    <row r="136" spans="1:16" ht="15">
      <c r="A136" s="251">
        <v>132</v>
      </c>
      <c r="B136" s="293" t="s">
        <v>10896</v>
      </c>
      <c r="C136" s="300" t="s">
        <v>10897</v>
      </c>
      <c r="D136" s="295" t="s">
        <v>10898</v>
      </c>
      <c r="E136" s="293" t="s">
        <v>10899</v>
      </c>
      <c r="F136" s="293" t="s">
        <v>10900</v>
      </c>
      <c r="G136" s="293" t="s">
        <v>9658</v>
      </c>
      <c r="H136" s="293" t="s">
        <v>10901</v>
      </c>
      <c r="I136" s="293" t="s">
        <v>10316</v>
      </c>
      <c r="J136" s="293" t="s">
        <v>10902</v>
      </c>
      <c r="K136" s="300" t="s">
        <v>10903</v>
      </c>
      <c r="L136" s="293" t="s">
        <v>10904</v>
      </c>
      <c r="M136" s="293" t="s">
        <v>10905</v>
      </c>
      <c r="P136">
        <v>125</v>
      </c>
    </row>
    <row r="137" spans="1:16" ht="15">
      <c r="A137" s="251">
        <v>133</v>
      </c>
      <c r="B137" s="293" t="s">
        <v>10906</v>
      </c>
      <c r="C137" s="293" t="s">
        <v>10907</v>
      </c>
      <c r="D137" s="295" t="s">
        <v>10908</v>
      </c>
      <c r="E137" s="293" t="s">
        <v>10909</v>
      </c>
      <c r="F137" s="293" t="s">
        <v>10910</v>
      </c>
      <c r="G137" s="293" t="s">
        <v>9659</v>
      </c>
      <c r="H137" s="293" t="s">
        <v>10911</v>
      </c>
      <c r="I137" s="293" t="s">
        <v>10317</v>
      </c>
      <c r="J137" s="293" t="s">
        <v>10912</v>
      </c>
      <c r="K137" s="300" t="s">
        <v>10913</v>
      </c>
      <c r="L137" s="293" t="s">
        <v>10914</v>
      </c>
      <c r="M137" s="293" t="s">
        <v>10915</v>
      </c>
      <c r="P137">
        <v>126</v>
      </c>
    </row>
    <row r="138" spans="1:16" ht="15">
      <c r="A138" s="251">
        <v>134</v>
      </c>
      <c r="B138" s="293" t="s">
        <v>10916</v>
      </c>
      <c r="C138" s="293" t="s">
        <v>10917</v>
      </c>
      <c r="D138" s="295" t="s">
        <v>10918</v>
      </c>
      <c r="E138" s="293" t="s">
        <v>10919</v>
      </c>
      <c r="F138" s="293" t="s">
        <v>10920</v>
      </c>
      <c r="G138" s="293" t="s">
        <v>9660</v>
      </c>
      <c r="H138" s="293" t="s">
        <v>10921</v>
      </c>
      <c r="I138" s="293" t="s">
        <v>10318</v>
      </c>
      <c r="J138" s="293" t="s">
        <v>10922</v>
      </c>
      <c r="K138" s="300" t="s">
        <v>10923</v>
      </c>
      <c r="L138" s="293" t="s">
        <v>10924</v>
      </c>
      <c r="M138" s="293" t="s">
        <v>10925</v>
      </c>
      <c r="P138">
        <v>127</v>
      </c>
    </row>
    <row r="139" spans="1:16" ht="15">
      <c r="A139" s="251">
        <v>135</v>
      </c>
      <c r="B139" s="293" t="s">
        <v>10926</v>
      </c>
      <c r="C139" s="293" t="s">
        <v>10927</v>
      </c>
      <c r="D139" s="295" t="s">
        <v>10928</v>
      </c>
      <c r="E139" s="293" t="s">
        <v>10929</v>
      </c>
      <c r="F139" s="293" t="s">
        <v>10930</v>
      </c>
      <c r="G139" s="293" t="s">
        <v>9661</v>
      </c>
      <c r="H139" s="293" t="s">
        <v>10931</v>
      </c>
      <c r="I139" s="293" t="s">
        <v>10319</v>
      </c>
      <c r="J139" s="293" t="s">
        <v>10932</v>
      </c>
      <c r="K139" s="300" t="s">
        <v>10933</v>
      </c>
      <c r="L139" s="293" t="s">
        <v>10934</v>
      </c>
      <c r="M139" s="293" t="s">
        <v>9653</v>
      </c>
      <c r="P139">
        <v>128</v>
      </c>
    </row>
    <row r="140" spans="1:16" ht="15">
      <c r="A140" s="251">
        <v>136</v>
      </c>
      <c r="B140" s="293" t="s">
        <v>605</v>
      </c>
      <c r="C140" s="293" t="s">
        <v>9131</v>
      </c>
      <c r="D140" s="295" t="s">
        <v>9131</v>
      </c>
      <c r="E140" s="293" t="s">
        <v>9131</v>
      </c>
      <c r="F140" s="293" t="s">
        <v>605</v>
      </c>
      <c r="G140" s="293" t="s">
        <v>9131</v>
      </c>
      <c r="H140" s="293" t="s">
        <v>9131</v>
      </c>
      <c r="I140" s="293" t="s">
        <v>605</v>
      </c>
      <c r="J140" s="293" t="s">
        <v>605</v>
      </c>
      <c r="K140" s="293" t="s">
        <v>9131</v>
      </c>
      <c r="L140" s="293" t="str">
        <f>B140</f>
        <v xml:space="preserve"> </v>
      </c>
      <c r="M140" s="293" t="str">
        <f>B140</f>
        <v xml:space="preserve"> </v>
      </c>
      <c r="P140">
        <v>129</v>
      </c>
    </row>
    <row r="141" spans="1:16" ht="15">
      <c r="A141" s="251">
        <v>137</v>
      </c>
      <c r="B141" s="293" t="str">
        <f>"Celkové shrnutí vaší objednávky najdete na řádku "&amp;MATCH("xxx",'General price list'!A:A,0)&amp;", kde jsou tyto informace:"</f>
        <v>Celkové shrnutí vaší objednávky najdete na řádku 986, kde jsou tyto informace:</v>
      </c>
      <c r="C141" s="293" t="str">
        <f>"For a complete summary of your order, see line "&amp;MATCH("xxx",'General price list'!A:A,0)&amp;" for the following information:"</f>
        <v>For a complete summary of your order, see line 986 for the following information:</v>
      </c>
      <c r="D141" s="293" t="str">
        <f>"Eine vollständige Zusammenfassung Ihrer Bestellung finden Sie in Zeile "&amp;MATCH("xxx",'General price list'!A:A,0)&amp;" für die folgenden Informationen:"</f>
        <v>Eine vollständige Zusammenfassung Ihrer Bestellung finden Sie in Zeile 986 für die folgenden Informationen:</v>
      </c>
      <c r="E141" s="293" t="str">
        <f>"Potpuni sažetak vaše narudžbe potražite u retku "&amp;MATCH("xxx",'General price list'!A:A,0)</f>
        <v>Potpuni sažetak vaše narudžbe potražite u retku 986</v>
      </c>
      <c r="F141" s="293" t="str">
        <f>"Il riepilogo generale del tuo ordine è disponibile alla riga "&amp;MATCH("xxx",'General price list'!A:A,0)&amp;", dove si trovano le seguenti informazioni:"</f>
        <v>Il riepilogo generale del tuo ordine è disponibile alla riga 986, dove si trovano le seguenti informazioni:</v>
      </c>
      <c r="G141" s="293" t="str">
        <f>"Norėdami gauti išsamią užsakymo santrauką, "&amp;MATCH("xxx",'General price list'!A:A,0)&amp;" eilutėje rasite šią informaciją:"</f>
        <v>Norėdami gauti išsamią užsakymo santrauką, 986 eilutėje rasite šią informaciją:</v>
      </c>
      <c r="H141" s="293" t="str">
        <f>"Pełne podsumowanie zamówienia można znaleźć w wierszu "&amp;MATCH("xxx",'General price list'!A:A,0)&amp;" zawierającym następujące informacje:"</f>
        <v>Pełne podsumowanie zamówienia można znaleźć w wierszu 986 zawierającym następujące informacje:</v>
      </c>
      <c r="I141" s="293" t="str">
        <f>"Укупан резиме ваше поруџбине може се наћи на реду "&amp;MATCH("xxx",'General price list'!A:A,0)&amp;", где се налазе следеће информације:"</f>
        <v>Укупан резиме ваше поруџбине може се наћи на реду 986, где се налазе следеће информације:</v>
      </c>
      <c r="J141" s="293" t="str">
        <f>"Jūsu pasūtījuma kopējo kopsavilkumu var atrast "&amp;MATCH("xxx",'General price list'!A:A,0)&amp;". rindā, kur atrodama šāda informācija:"</f>
        <v>Jūsu pasūtījuma kopējo kopsavilkumu var atrast 986. rindā, kur atrodama šāda informācija:</v>
      </c>
      <c r="K141" s="300" t="str">
        <f>"Tellimuse kokkuvõtte saamiseks vaadake realt "&amp;MATCH("xxx",'General price list'!A:A,0)&amp;" järgmist teavet:"</f>
        <v>Tellimuse kokkuvõtte saamiseks vaadake realt 986 järgmist teavet:</v>
      </c>
      <c r="L141" s="293" t="str">
        <f>"Bạn có thể tìm thấy bản tóm tắt đầy đủ về đơn đặt hàng của mình trên dòng "&amp;MATCH("xxx",'General price list'!A:A,0)&amp;", nơi có thông tin sau:"</f>
        <v>Bạn có thể tìm thấy bản tóm tắt đầy đủ về đơn đặt hàng của mình trên dòng 986, nơi có thông tin sau:</v>
      </c>
      <c r="M141" s="293" t="str">
        <f>"VÉGLEGES ÖSSZEFOGLALÁST A RENDELÉSÉRŐL AZ "&amp;MATCH("xxx",'General price list'!A:A,0)&amp;"-ÖS SORBAN TALÁLJA MEG, AHOL A KÖVETKEZŐ INFORMÁCIÓKAT LÁTJA:"</f>
        <v>VÉGLEGES ÖSSZEFOGLALÁST A RENDELÉSÉRŐL AZ 986-ÖS SORBAN TALÁLJA MEG, AHOL A KÖVETKEZŐ INFORMÁCIÓKAT LÁTJA:</v>
      </c>
      <c r="P141">
        <v>130</v>
      </c>
    </row>
    <row r="142" spans="1:16" ht="15">
      <c r="A142" s="251">
        <v>138</v>
      </c>
      <c r="B142" s="293" t="s">
        <v>2119</v>
      </c>
      <c r="C142" s="293" t="s">
        <v>7027</v>
      </c>
      <c r="D142" s="295" t="s">
        <v>2741</v>
      </c>
      <c r="E142" s="293" t="s">
        <v>7075</v>
      </c>
      <c r="F142" s="293" t="s">
        <v>10221</v>
      </c>
      <c r="G142" s="293" t="s">
        <v>8816</v>
      </c>
      <c r="H142" s="293" t="s">
        <v>7028</v>
      </c>
      <c r="I142" s="293" t="s">
        <v>10320</v>
      </c>
      <c r="J142" s="293" t="s">
        <v>10391</v>
      </c>
      <c r="K142" s="300" t="s">
        <v>7116</v>
      </c>
      <c r="L142" s="293" t="s">
        <v>6963</v>
      </c>
      <c r="M142" s="293" t="s">
        <v>8857</v>
      </c>
      <c r="P142">
        <v>131</v>
      </c>
    </row>
    <row r="143" spans="1:16" ht="15">
      <c r="A143" s="251">
        <v>139</v>
      </c>
      <c r="B143" s="293" t="s">
        <v>2120</v>
      </c>
      <c r="C143" s="293" t="s">
        <v>7029</v>
      </c>
      <c r="D143" s="295" t="s">
        <v>2742</v>
      </c>
      <c r="E143" s="293" t="s">
        <v>7076</v>
      </c>
      <c r="F143" s="293" t="s">
        <v>10222</v>
      </c>
      <c r="G143" s="293" t="s">
        <v>8817</v>
      </c>
      <c r="H143" s="293" t="s">
        <v>7030</v>
      </c>
      <c r="I143" s="293" t="s">
        <v>10321</v>
      </c>
      <c r="J143" s="293" t="s">
        <v>10392</v>
      </c>
      <c r="K143" s="300" t="s">
        <v>7117</v>
      </c>
      <c r="L143" s="293" t="s">
        <v>6964</v>
      </c>
      <c r="M143" s="293" t="s">
        <v>8858</v>
      </c>
      <c r="P143">
        <v>132</v>
      </c>
    </row>
    <row r="144" spans="1:16" ht="15">
      <c r="A144" s="251">
        <v>140</v>
      </c>
      <c r="B144" s="293" t="s">
        <v>2121</v>
      </c>
      <c r="C144" s="300" t="s">
        <v>7031</v>
      </c>
      <c r="D144" s="295" t="s">
        <v>2743</v>
      </c>
      <c r="E144" s="293" t="s">
        <v>7077</v>
      </c>
      <c r="F144" s="293" t="s">
        <v>10223</v>
      </c>
      <c r="G144" s="293" t="s">
        <v>8818</v>
      </c>
      <c r="H144" s="293" t="s">
        <v>7032</v>
      </c>
      <c r="I144" s="293" t="s">
        <v>10322</v>
      </c>
      <c r="J144" s="293" t="s">
        <v>10393</v>
      </c>
      <c r="K144" s="303" t="s">
        <v>7118</v>
      </c>
      <c r="L144" s="293" t="s">
        <v>6965</v>
      </c>
      <c r="M144" s="293" t="s">
        <v>8859</v>
      </c>
      <c r="P144">
        <v>133</v>
      </c>
    </row>
    <row r="145" spans="1:16" ht="15">
      <c r="A145" s="251">
        <v>141</v>
      </c>
      <c r="B145" s="293" t="s">
        <v>2122</v>
      </c>
      <c r="C145" s="300" t="s">
        <v>7033</v>
      </c>
      <c r="D145" s="295" t="s">
        <v>2744</v>
      </c>
      <c r="E145" s="293" t="s">
        <v>7078</v>
      </c>
      <c r="F145" s="293" t="s">
        <v>10224</v>
      </c>
      <c r="G145" s="293" t="s">
        <v>8819</v>
      </c>
      <c r="H145" s="293" t="s">
        <v>7034</v>
      </c>
      <c r="I145" s="293" t="s">
        <v>10323</v>
      </c>
      <c r="J145" s="293" t="s">
        <v>10394</v>
      </c>
      <c r="K145" s="303" t="s">
        <v>7119</v>
      </c>
      <c r="L145" s="293" t="s">
        <v>6966</v>
      </c>
      <c r="M145" s="293" t="s">
        <v>8860</v>
      </c>
      <c r="P145">
        <v>134</v>
      </c>
    </row>
    <row r="146" spans="1:16" ht="15">
      <c r="A146" s="251">
        <v>142</v>
      </c>
      <c r="B146" s="293" t="s">
        <v>2123</v>
      </c>
      <c r="C146" s="293" t="s">
        <v>7035</v>
      </c>
      <c r="D146" s="295" t="s">
        <v>2745</v>
      </c>
      <c r="E146" s="293" t="s">
        <v>7079</v>
      </c>
      <c r="F146" s="293" t="s">
        <v>10225</v>
      </c>
      <c r="G146" s="293" t="s">
        <v>8820</v>
      </c>
      <c r="H146" s="293" t="s">
        <v>7036</v>
      </c>
      <c r="I146" s="293" t="s">
        <v>10324</v>
      </c>
      <c r="J146" s="293" t="s">
        <v>10395</v>
      </c>
      <c r="K146" s="303" t="s">
        <v>7120</v>
      </c>
      <c r="L146" s="293" t="s">
        <v>6967</v>
      </c>
      <c r="M146" s="293" t="s">
        <v>8861</v>
      </c>
      <c r="P146">
        <v>135</v>
      </c>
    </row>
    <row r="147" spans="1:16" ht="15">
      <c r="A147" s="251">
        <v>143</v>
      </c>
      <c r="B147" s="293" t="s">
        <v>2586</v>
      </c>
      <c r="C147" s="293" t="s">
        <v>7037</v>
      </c>
      <c r="D147" s="295" t="s">
        <v>2746</v>
      </c>
      <c r="E147" s="293" t="s">
        <v>7080</v>
      </c>
      <c r="F147" s="293" t="s">
        <v>10226</v>
      </c>
      <c r="G147" s="293" t="s">
        <v>8821</v>
      </c>
      <c r="H147" s="293" t="s">
        <v>7038</v>
      </c>
      <c r="I147" s="293" t="s">
        <v>10325</v>
      </c>
      <c r="J147" s="293" t="s">
        <v>10396</v>
      </c>
      <c r="K147" s="303" t="s">
        <v>7121</v>
      </c>
      <c r="L147" s="293" t="s">
        <v>6968</v>
      </c>
      <c r="M147" s="293" t="s">
        <v>8862</v>
      </c>
      <c r="P147">
        <v>136</v>
      </c>
    </row>
    <row r="148" spans="1:16" ht="15">
      <c r="A148" s="251">
        <v>144</v>
      </c>
      <c r="B148" s="293" t="s">
        <v>2587</v>
      </c>
      <c r="C148" s="293" t="s">
        <v>7039</v>
      </c>
      <c r="D148" s="295" t="s">
        <v>2747</v>
      </c>
      <c r="E148" s="293" t="s">
        <v>7081</v>
      </c>
      <c r="F148" s="293" t="s">
        <v>10227</v>
      </c>
      <c r="G148" s="293" t="s">
        <v>8822</v>
      </c>
      <c r="H148" s="293" t="s">
        <v>7040</v>
      </c>
      <c r="I148" s="293" t="s">
        <v>10326</v>
      </c>
      <c r="J148" s="293" t="s">
        <v>10397</v>
      </c>
      <c r="K148" s="303" t="s">
        <v>7122</v>
      </c>
      <c r="L148" s="293" t="s">
        <v>6969</v>
      </c>
      <c r="M148" s="293" t="s">
        <v>8863</v>
      </c>
      <c r="P148">
        <v>137</v>
      </c>
    </row>
    <row r="149" spans="1:16" ht="14.45" customHeight="1">
      <c r="A149" s="251">
        <v>901</v>
      </c>
      <c r="B149" s="293" t="s">
        <v>11125</v>
      </c>
      <c r="C149" s="293" t="s">
        <v>11127</v>
      </c>
      <c r="D149" s="293" t="s">
        <v>11131</v>
      </c>
      <c r="E149" s="293" t="s">
        <v>11135</v>
      </c>
      <c r="F149" s="293" t="s">
        <v>11139</v>
      </c>
      <c r="G149" s="293" t="s">
        <v>11143</v>
      </c>
      <c r="H149" s="293" t="s">
        <v>11147</v>
      </c>
      <c r="I149" s="293" t="s">
        <v>11151</v>
      </c>
      <c r="J149" s="293" t="s">
        <v>11155</v>
      </c>
      <c r="K149" s="293" t="s">
        <v>11159</v>
      </c>
      <c r="L149" s="293" t="s">
        <v>11163</v>
      </c>
      <c r="M149" s="293" t="s">
        <v>11167</v>
      </c>
    </row>
    <row r="150" spans="1:16" ht="14.45" customHeight="1">
      <c r="A150" s="251">
        <v>902</v>
      </c>
      <c r="B150" s="293" t="s">
        <v>11609</v>
      </c>
      <c r="C150" s="293" t="s">
        <v>11128</v>
      </c>
      <c r="D150" s="293" t="s">
        <v>11132</v>
      </c>
      <c r="E150" s="293" t="s">
        <v>11136</v>
      </c>
      <c r="F150" s="293" t="s">
        <v>11140</v>
      </c>
      <c r="G150" s="293" t="s">
        <v>11144</v>
      </c>
      <c r="H150" s="293" t="s">
        <v>11148</v>
      </c>
      <c r="I150" s="293" t="s">
        <v>11152</v>
      </c>
      <c r="J150" s="293" t="s">
        <v>11156</v>
      </c>
      <c r="K150" s="293" t="s">
        <v>11160</v>
      </c>
      <c r="L150" s="293" t="s">
        <v>11164</v>
      </c>
      <c r="M150" s="293" t="s">
        <v>11168</v>
      </c>
    </row>
    <row r="151" spans="1:16" ht="14.45" customHeight="1">
      <c r="A151" s="251">
        <v>903</v>
      </c>
      <c r="B151" s="293" t="s">
        <v>11610</v>
      </c>
      <c r="C151" s="293" t="s">
        <v>11129</v>
      </c>
      <c r="D151" s="293" t="s">
        <v>11133</v>
      </c>
      <c r="E151" s="293" t="s">
        <v>11137</v>
      </c>
      <c r="F151" s="293" t="s">
        <v>11141</v>
      </c>
      <c r="G151" s="293" t="s">
        <v>11145</v>
      </c>
      <c r="H151" s="293" t="s">
        <v>11149</v>
      </c>
      <c r="I151" s="293" t="s">
        <v>11153</v>
      </c>
      <c r="J151" s="293" t="s">
        <v>11157</v>
      </c>
      <c r="K151" s="293" t="s">
        <v>11161</v>
      </c>
      <c r="L151" s="293" t="s">
        <v>11165</v>
      </c>
      <c r="M151" s="293" t="s">
        <v>11169</v>
      </c>
    </row>
    <row r="152" spans="1:16" ht="14.45" customHeight="1">
      <c r="A152" s="251">
        <v>904</v>
      </c>
      <c r="B152" s="293" t="s">
        <v>11126</v>
      </c>
      <c r="C152" s="293" t="s">
        <v>11130</v>
      </c>
      <c r="D152" s="293" t="s">
        <v>11134</v>
      </c>
      <c r="E152" s="293" t="s">
        <v>11138</v>
      </c>
      <c r="F152" s="293" t="s">
        <v>11142</v>
      </c>
      <c r="G152" s="293" t="s">
        <v>11146</v>
      </c>
      <c r="H152" s="293" t="s">
        <v>11150</v>
      </c>
      <c r="I152" s="293" t="s">
        <v>11154</v>
      </c>
      <c r="J152" s="293" t="s">
        <v>11158</v>
      </c>
      <c r="K152" s="293" t="s">
        <v>11162</v>
      </c>
      <c r="L152" s="293" t="s">
        <v>11166</v>
      </c>
      <c r="M152" s="293" t="s">
        <v>11170</v>
      </c>
    </row>
  </sheetData>
  <phoneticPr fontId="70" type="noConversion"/>
  <conditionalFormatting sqref="A1:A1048576">
    <cfRule type="duplicateValues" dxfId="8" priority="1"/>
  </conditionalFormatting>
  <hyperlinks>
    <hyperlink ref="C119" r:id="rId1" xr:uid="{F77C6BEC-2AA0-4CA6-BC98-91D459077664}"/>
    <hyperlink ref="D119:M119" r:id="rId2" display="https://www.kb.cz/en/exchange-rates" xr:uid="{606153B0-93E7-48D9-845C-E801CD99CB20}"/>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D66E-032F-4C64-8519-DFE0D1F8C358}">
  <sheetPr codeName="List5"/>
  <dimension ref="A1:D983"/>
  <sheetViews>
    <sheetView topLeftCell="A644" workbookViewId="0">
      <selection activeCell="A668" sqref="A668"/>
    </sheetView>
  </sheetViews>
  <sheetFormatPr defaultRowHeight="15" customHeight="1"/>
  <cols>
    <col min="1" max="1" width="139.140625" style="798" customWidth="1"/>
    <col min="2" max="2" width="13.28515625" style="798" customWidth="1"/>
    <col min="3" max="3" width="13.7109375" style="798" bestFit="1" customWidth="1"/>
    <col min="4" max="4" width="9.140625" style="798"/>
  </cols>
  <sheetData>
    <row r="1" spans="1:4">
      <c r="A1" s="796"/>
      <c r="B1" s="798" t="s">
        <v>12412</v>
      </c>
      <c r="C1" s="798" t="s">
        <v>12230</v>
      </c>
      <c r="D1" s="798" t="str">
        <f>'General price list'!$W$17</f>
        <v>čeština</v>
      </c>
    </row>
    <row r="2" spans="1:4">
      <c r="A2" s="796"/>
    </row>
    <row r="3" spans="1:4">
      <c r="A3" s="796"/>
    </row>
    <row r="4" spans="1:4">
      <c r="A4" s="796"/>
    </row>
    <row r="5" spans="1:4">
      <c r="A5" s="796"/>
    </row>
    <row r="6" spans="1:4">
      <c r="A6" s="796"/>
    </row>
    <row r="7" spans="1:4">
      <c r="A7" s="796"/>
    </row>
    <row r="8" spans="1:4">
      <c r="A8" s="796"/>
    </row>
    <row r="9" spans="1:4">
      <c r="A9" s="796"/>
    </row>
    <row r="10" spans="1:4">
      <c r="A10" s="796"/>
    </row>
    <row r="11" spans="1:4">
      <c r="A11" s="796"/>
    </row>
    <row r="12" spans="1:4">
      <c r="A12" s="796"/>
    </row>
    <row r="13" spans="1:4">
      <c r="A13" s="796"/>
    </row>
    <row r="14" spans="1:4">
      <c r="A14" s="796"/>
    </row>
    <row r="15" spans="1:4">
      <c r="A15" s="796"/>
    </row>
    <row r="16" spans="1:4">
      <c r="A16" s="796"/>
    </row>
    <row r="17" spans="1:4">
      <c r="A17" s="799"/>
    </row>
    <row r="18" spans="1:4">
      <c r="A18" s="799" t="s">
        <v>9138</v>
      </c>
    </row>
    <row r="19" spans="1:4">
      <c r="A19" s="796" t="s">
        <v>9139</v>
      </c>
      <c r="B19" s="800" t="s">
        <v>15</v>
      </c>
      <c r="C19" s="800"/>
      <c r="D19" s="800"/>
    </row>
    <row r="20" spans="1:4">
      <c r="A20" s="797" t="s">
        <v>9140</v>
      </c>
      <c r="B20" s="801" t="s">
        <v>2766</v>
      </c>
      <c r="C20" s="801"/>
      <c r="D20" s="801"/>
    </row>
    <row r="21" spans="1:4">
      <c r="A21" s="170" t="s">
        <v>13050</v>
      </c>
      <c r="B21" s="798" t="str">
        <f>IF(A21="","",IF('General price list'!$W$17=B20,A21,IFERROR(VLOOKUP(A21,Kategorie!C:N,MATCH('General price list'!$W$17,Kategorie!$C$2:$N$2,0),FALSE),"× Chybí překlad ×")))</f>
        <v>Kat. F1 – Bouchací kuličky a práskající výrobky</v>
      </c>
      <c r="C21" s="798" t="str">
        <f>IF(A21="","",IF(A21="x","×",$B$1&amp;B21))</f>
        <v xml:space="preserve">           Kat. F1 – Bouchací kuličky a práskající výrobky</v>
      </c>
    </row>
    <row r="22" spans="1:4">
      <c r="A22" s="796" t="s">
        <v>20</v>
      </c>
      <c r="B22" s="798" t="str">
        <f>IF(A22="","",IFERROR(VLOOKUP(A22,Kategorie!C:N,MATCH('General price list'!$W$17,Kategorie!$C$2:$N$2,0),FALSE),"× Chybí překlad ×"))</f>
        <v/>
      </c>
      <c r="C22" s="798" t="str">
        <f t="shared" ref="C22:C87" si="0">IF(A22="","",IF(A22="x","×",$B$1&amp;B22))</f>
        <v/>
      </c>
    </row>
    <row r="23" spans="1:4">
      <c r="A23" s="796" t="s">
        <v>20</v>
      </c>
      <c r="B23" s="798" t="str">
        <f>IF(A23="","",IFERROR(VLOOKUP(A23,Kategorie!C:N,MATCH('General price list'!$W$17,Kategorie!$C$2:$N$2,0),FALSE),"× Chybí překlad ×"))</f>
        <v/>
      </c>
      <c r="C23" s="798" t="str">
        <f t="shared" si="0"/>
        <v/>
      </c>
    </row>
    <row r="24" spans="1:4">
      <c r="A24" s="796" t="s">
        <v>20</v>
      </c>
      <c r="B24" s="798" t="str">
        <f>IF(A24="","",IFERROR(VLOOKUP(A24,Kategorie!C:N,MATCH('General price list'!$W$17,Kategorie!$C$2:$N$2,0),FALSE),"× Chybí překlad ×"))</f>
        <v/>
      </c>
      <c r="C24" s="798" t="str">
        <f t="shared" si="0"/>
        <v/>
      </c>
    </row>
    <row r="25" spans="1:4">
      <c r="A25" s="796" t="s">
        <v>20</v>
      </c>
      <c r="B25" s="798" t="str">
        <f>IF(A25="","",IFERROR(VLOOKUP(A25,Kategorie!C:N,MATCH('General price list'!$W$17,Kategorie!$C$2:$N$2,0),FALSE),"× Chybí překlad ×"))</f>
        <v/>
      </c>
      <c r="C25" s="798" t="str">
        <f t="shared" si="0"/>
        <v/>
      </c>
    </row>
    <row r="26" spans="1:4">
      <c r="A26" s="796" t="s">
        <v>20</v>
      </c>
      <c r="B26" s="798" t="str">
        <f>IF(A26="","",IFERROR(VLOOKUP(A26,Kategorie!C:N,MATCH('General price list'!$W$17,Kategorie!$C$2:$N$2,0),FALSE),"× Chybí překlad ×"))</f>
        <v/>
      </c>
      <c r="C26" s="798" t="str">
        <f t="shared" si="0"/>
        <v/>
      </c>
    </row>
    <row r="27" spans="1:4">
      <c r="A27" s="796" t="s">
        <v>20</v>
      </c>
      <c r="B27" s="798" t="str">
        <f>IF(A27="","",IFERROR(VLOOKUP(A27,Kategorie!C:N,MATCH('General price list'!$W$17,Kategorie!$C$2:$N$2,0),FALSE),"× Chybí překlad ×"))</f>
        <v/>
      </c>
      <c r="C27" s="798" t="str">
        <f t="shared" si="0"/>
        <v/>
      </c>
    </row>
    <row r="28" spans="1:4">
      <c r="A28" s="796" t="s">
        <v>20</v>
      </c>
      <c r="B28" s="798" t="str">
        <f>IF(A28="","",IFERROR(VLOOKUP(A28,Kategorie!C:N,MATCH('General price list'!$W$17,Kategorie!$C$2:$N$2,0),FALSE),"× Chybí překlad ×"))</f>
        <v/>
      </c>
      <c r="C28" s="798" t="str">
        <f t="shared" si="0"/>
        <v/>
      </c>
    </row>
    <row r="29" spans="1:4">
      <c r="A29" s="796" t="s">
        <v>20</v>
      </c>
      <c r="B29" s="798" t="str">
        <f>IF(A29="","",IFERROR(VLOOKUP(A29,Kategorie!C:N,MATCH('General price list'!$W$17,Kategorie!$C$2:$N$2,0),FALSE),"× Chybí překlad ×"))</f>
        <v/>
      </c>
      <c r="C29" s="798" t="str">
        <f t="shared" si="0"/>
        <v/>
      </c>
    </row>
    <row r="30" spans="1:4">
      <c r="A30" s="796" t="s">
        <v>10511</v>
      </c>
      <c r="B30" s="798" t="str">
        <f>IF(A30="","",IFERROR(VLOOKUP(A30,Kategorie!C:N,MATCH('General price list'!$W$17,Kategorie!$C$2:$N$2,0),FALSE),"× Chybí překlad ×"))</f>
        <v>× Chybí překlad ×</v>
      </c>
      <c r="C30" s="798" t="str">
        <f t="shared" si="0"/>
        <v>×</v>
      </c>
    </row>
    <row r="31" spans="1:4">
      <c r="A31" s="796" t="s">
        <v>20</v>
      </c>
      <c r="B31" s="798" t="str">
        <f>IF(A31="","",IFERROR(VLOOKUP(A31,Kategorie!C:N,MATCH('General price list'!$W$17,Kategorie!$C$2:$N$2,0),FALSE),"× Chybí překlad ×"))</f>
        <v/>
      </c>
      <c r="C31" s="798" t="str">
        <f t="shared" si="0"/>
        <v/>
      </c>
    </row>
    <row r="32" spans="1:4">
      <c r="A32" s="796" t="s">
        <v>20</v>
      </c>
      <c r="B32" s="798" t="str">
        <f>IF(A32="","",IFERROR(VLOOKUP(A32,Kategorie!C:N,MATCH('General price list'!$W$17,Kategorie!$C$2:$N$2,0),FALSE),"× Chybí překlad ×"))</f>
        <v/>
      </c>
      <c r="C32" s="798" t="str">
        <f t="shared" si="0"/>
        <v/>
      </c>
    </row>
    <row r="33" spans="1:3">
      <c r="A33" s="796" t="s">
        <v>20</v>
      </c>
      <c r="B33" s="798" t="str">
        <f>IF(A33="","",IFERROR(VLOOKUP(A33,Kategorie!C:N,MATCH('General price list'!$W$17,Kategorie!$C$2:$N$2,0),FALSE),"× Chybí překlad ×"))</f>
        <v/>
      </c>
      <c r="C33" s="798" t="str">
        <f t="shared" si="0"/>
        <v/>
      </c>
    </row>
    <row r="34" spans="1:3">
      <c r="A34" s="796" t="s">
        <v>10511</v>
      </c>
      <c r="B34" s="798" t="str">
        <f>IF(A34="","",IFERROR(VLOOKUP(A34,Kategorie!C:N,MATCH('General price list'!$W$17,Kategorie!$C$2:$N$2,0),FALSE),"× Chybí překlad ×"))</f>
        <v>× Chybí překlad ×</v>
      </c>
      <c r="C34" s="798" t="str">
        <f t="shared" si="0"/>
        <v>×</v>
      </c>
    </row>
    <row r="35" spans="1:3">
      <c r="A35" s="796" t="s">
        <v>20</v>
      </c>
      <c r="B35" s="798" t="str">
        <f>IF(A35="","",IFERROR(VLOOKUP(A35,Kategorie!C:N,MATCH('General price list'!$W$17,Kategorie!$C$2:$N$2,0),FALSE),"× Chybí překlad ×"))</f>
        <v/>
      </c>
      <c r="C35" s="798" t="str">
        <f t="shared" si="0"/>
        <v/>
      </c>
    </row>
    <row r="36" spans="1:3">
      <c r="A36" s="796" t="s">
        <v>20</v>
      </c>
      <c r="B36" s="798" t="str">
        <f>IF(A36="","",IFERROR(VLOOKUP(A36,Kategorie!C:N,MATCH('General price list'!$W$17,Kategorie!$C$2:$N$2,0),FALSE),"× Chybí překlad ×"))</f>
        <v/>
      </c>
      <c r="C36" s="798" t="str">
        <f t="shared" si="0"/>
        <v/>
      </c>
    </row>
    <row r="37" spans="1:3">
      <c r="A37" s="796" t="s">
        <v>10511</v>
      </c>
      <c r="B37" s="798" t="str">
        <f>IF(A37="","",IFERROR(VLOOKUP(A37,Kategorie!C:N,MATCH('General price list'!$W$17,Kategorie!$C$2:$N$2,0),FALSE),"× Chybí překlad ×"))</f>
        <v>× Chybí překlad ×</v>
      </c>
      <c r="C37" s="798" t="str">
        <f t="shared" si="0"/>
        <v>×</v>
      </c>
    </row>
    <row r="38" spans="1:3">
      <c r="A38" s="796" t="s">
        <v>20</v>
      </c>
      <c r="B38" s="798" t="str">
        <f>IF(A38="","",IFERROR(VLOOKUP(A38,Kategorie!C:N,MATCH('General price list'!$W$17,Kategorie!$C$2:$N$2,0),FALSE),"× Chybí překlad ×"))</f>
        <v/>
      </c>
      <c r="C38" s="798" t="str">
        <f t="shared" si="0"/>
        <v/>
      </c>
    </row>
    <row r="39" spans="1:3">
      <c r="A39" s="796" t="s">
        <v>13051</v>
      </c>
      <c r="B39" s="798" t="str">
        <f>IF(A39="","",IFERROR(VLOOKUP(A39,Kategorie!C:N,MATCH('General price list'!$W$17,Kategorie!$C$2:$N$2,0),FALSE),"× Chybí překlad ×"))</f>
        <v>Kat. F1 – Rotující výrobky</v>
      </c>
      <c r="C39" s="798" t="str">
        <f t="shared" si="0"/>
        <v xml:space="preserve">           Kat. F1 – Rotující výrobky</v>
      </c>
    </row>
    <row r="40" spans="1:3">
      <c r="A40" s="796" t="s">
        <v>20</v>
      </c>
      <c r="B40" s="798" t="str">
        <f>IF(A40="","",IFERROR(VLOOKUP(A40,Kategorie!C:N,MATCH('General price list'!$W$17,Kategorie!$C$2:$N$2,0),FALSE),"× Chybí překlad ×"))</f>
        <v/>
      </c>
      <c r="C40" s="798" t="str">
        <f t="shared" si="0"/>
        <v/>
      </c>
    </row>
    <row r="41" spans="1:3">
      <c r="A41" s="796" t="s">
        <v>20</v>
      </c>
      <c r="B41" s="798" t="str">
        <f>IF(A41="","",IFERROR(VLOOKUP(A41,Kategorie!C:N,MATCH('General price list'!$W$17,Kategorie!$C$2:$N$2,0),FALSE),"× Chybí překlad ×"))</f>
        <v/>
      </c>
      <c r="C41" s="798" t="str">
        <f t="shared" si="0"/>
        <v/>
      </c>
    </row>
    <row r="42" spans="1:3">
      <c r="A42" s="796" t="s">
        <v>20</v>
      </c>
      <c r="B42" s="798" t="str">
        <f>IF(A42="","",IFERROR(VLOOKUP(A42,Kategorie!C:N,MATCH('General price list'!$W$17,Kategorie!$C$2:$N$2,0),FALSE),"× Chybí překlad ×"))</f>
        <v/>
      </c>
      <c r="C42" s="798" t="str">
        <f t="shared" si="0"/>
        <v/>
      </c>
    </row>
    <row r="43" spans="1:3">
      <c r="A43" s="796" t="s">
        <v>10511</v>
      </c>
      <c r="B43" s="798" t="str">
        <f>IF(A43="","",IFERROR(VLOOKUP(A43,Kategorie!C:N,MATCH('General price list'!$W$17,Kategorie!$C$2:$N$2,0),FALSE),"× Chybí překlad ×"))</f>
        <v>× Chybí překlad ×</v>
      </c>
      <c r="C43" s="798" t="str">
        <f t="shared" si="0"/>
        <v>×</v>
      </c>
    </row>
    <row r="44" spans="1:3">
      <c r="A44" s="796" t="s">
        <v>20</v>
      </c>
      <c r="B44" s="798" t="str">
        <f>IF(A44="","",IFERROR(VLOOKUP(A44,Kategorie!C:N,MATCH('General price list'!$W$17,Kategorie!$C$2:$N$2,0),FALSE),"× Chybí překlad ×"))</f>
        <v/>
      </c>
      <c r="C44" s="798" t="str">
        <f t="shared" si="0"/>
        <v/>
      </c>
    </row>
    <row r="45" spans="1:3">
      <c r="A45" s="796" t="s">
        <v>13052</v>
      </c>
      <c r="B45" s="798" t="str">
        <f>IF(A45="","",IFERROR(VLOOKUP(A45,Kategorie!C:N,MATCH('General price list'!$W$17,Kategorie!$C$2:$N$2,0),FALSE),"× Chybí překlad ×"))</f>
        <v>Kat. F1 – Fontány</v>
      </c>
      <c r="C45" s="798" t="str">
        <f t="shared" si="0"/>
        <v xml:space="preserve">           Kat. F1 – Fontány</v>
      </c>
    </row>
    <row r="46" spans="1:3">
      <c r="A46" s="796" t="s">
        <v>20</v>
      </c>
      <c r="B46" s="798" t="str">
        <f>IF(A46="","",IFERROR(VLOOKUP(A46,Kategorie!C:N,MATCH('General price list'!$W$17,Kategorie!$C$2:$N$2,0),FALSE),"× Chybí překlad ×"))</f>
        <v/>
      </c>
      <c r="C46" s="798" t="str">
        <f t="shared" si="0"/>
        <v/>
      </c>
    </row>
    <row r="47" spans="1:3">
      <c r="A47" s="796" t="s">
        <v>20</v>
      </c>
      <c r="B47" s="798" t="str">
        <f>IF(A47="","",IFERROR(VLOOKUP(A47,Kategorie!C:N,MATCH('General price list'!$W$17,Kategorie!$C$2:$N$2,0),FALSE),"× Chybí překlad ×"))</f>
        <v/>
      </c>
      <c r="C47" s="798" t="str">
        <f t="shared" si="0"/>
        <v/>
      </c>
    </row>
    <row r="48" spans="1:3">
      <c r="A48" s="796" t="s">
        <v>20</v>
      </c>
      <c r="B48" s="798" t="str">
        <f>IF(A48="","",IFERROR(VLOOKUP(A48,Kategorie!C:N,MATCH('General price list'!$W$17,Kategorie!$C$2:$N$2,0),FALSE),"× Chybí překlad ×"))</f>
        <v/>
      </c>
      <c r="C48" s="798" t="str">
        <f t="shared" si="0"/>
        <v/>
      </c>
    </row>
    <row r="49" spans="1:3">
      <c r="A49" s="796" t="s">
        <v>20</v>
      </c>
      <c r="B49" s="798" t="str">
        <f>IF(A49="","",IFERROR(VLOOKUP(A49,Kategorie!C:N,MATCH('General price list'!$W$17,Kategorie!$C$2:$N$2,0),FALSE),"× Chybí překlad ×"))</f>
        <v/>
      </c>
      <c r="C49" s="798" t="str">
        <f t="shared" si="0"/>
        <v/>
      </c>
    </row>
    <row r="50" spans="1:3">
      <c r="A50" s="796"/>
    </row>
    <row r="51" spans="1:3">
      <c r="A51" s="796" t="s">
        <v>20</v>
      </c>
      <c r="B51" s="798" t="str">
        <f>IF(A51="","",IFERROR(VLOOKUP(A51,Kategorie!C:N,MATCH('General price list'!$W$17,Kategorie!$C$2:$N$2,0),FALSE),"× Chybí překlad ×"))</f>
        <v/>
      </c>
      <c r="C51" s="798" t="str">
        <f t="shared" si="0"/>
        <v/>
      </c>
    </row>
    <row r="52" spans="1:3">
      <c r="A52" s="170" t="s">
        <v>10511</v>
      </c>
      <c r="B52" s="798" t="str">
        <f>IF(A52="","",IFERROR(VLOOKUP(A52,Kategorie!C:N,MATCH('General price list'!$W$17,Kategorie!$C$2:$N$2,0),FALSE),"× Chybí překlad ×"))</f>
        <v>× Chybí překlad ×</v>
      </c>
      <c r="C52" s="798" t="str">
        <f t="shared" si="0"/>
        <v>×</v>
      </c>
    </row>
    <row r="53" spans="1:3">
      <c r="A53" s="796" t="s">
        <v>20</v>
      </c>
      <c r="B53" s="798" t="str">
        <f>IF(A53="","",IFERROR(VLOOKUP(A53,Kategorie!C:N,MATCH('General price list'!$W$17,Kategorie!$C$2:$N$2,0),FALSE),"× Chybí překlad ×"))</f>
        <v/>
      </c>
      <c r="C53" s="798" t="str">
        <f t="shared" si="0"/>
        <v/>
      </c>
    </row>
    <row r="54" spans="1:3">
      <c r="A54" s="796" t="s">
        <v>20</v>
      </c>
      <c r="B54" s="798" t="str">
        <f>IF(A54="","",IFERROR(VLOOKUP(A54,Kategorie!C:N,MATCH('General price list'!$W$17,Kategorie!$C$2:$N$2,0),FALSE),"× Chybí překlad ×"))</f>
        <v/>
      </c>
      <c r="C54" s="798" t="str">
        <f t="shared" si="0"/>
        <v/>
      </c>
    </row>
    <row r="55" spans="1:3">
      <c r="A55" s="796" t="s">
        <v>13053</v>
      </c>
      <c r="B55" s="798" t="str">
        <f>IF(A55="","",IFERROR(VLOOKUP(A55,Kategorie!C:N,MATCH('General price list'!$W$17,Kategorie!$C$2:$N$2,0),FALSE),"× Chybí překlad ×"))</f>
        <v>Kat. F1 – Ostatní dětská pyrotechnika</v>
      </c>
      <c r="C55" s="798" t="str">
        <f t="shared" si="0"/>
        <v xml:space="preserve">           Kat. F1 – Ostatní dětská pyrotechnika</v>
      </c>
    </row>
    <row r="56" spans="1:3">
      <c r="A56" s="796" t="s">
        <v>20</v>
      </c>
      <c r="B56" s="798" t="str">
        <f>IF(A56="","",IFERROR(VLOOKUP(A56,Kategorie!C:N,MATCH('General price list'!$W$17,Kategorie!$C$2:$N$2,0),FALSE),"× Chybí překlad ×"))</f>
        <v/>
      </c>
      <c r="C56" s="798" t="str">
        <f t="shared" si="0"/>
        <v/>
      </c>
    </row>
    <row r="57" spans="1:3">
      <c r="A57" s="796" t="s">
        <v>10511</v>
      </c>
      <c r="B57" s="798" t="str">
        <f>IF(A57="","",IFERROR(VLOOKUP(A57,Kategorie!C:N,MATCH('General price list'!$W$17,Kategorie!$C$2:$N$2,0),FALSE),"× Chybí překlad ×"))</f>
        <v>× Chybí překlad ×</v>
      </c>
      <c r="C57" s="798" t="str">
        <f t="shared" si="0"/>
        <v>×</v>
      </c>
    </row>
    <row r="58" spans="1:3">
      <c r="A58" s="796" t="s">
        <v>10511</v>
      </c>
      <c r="B58" s="798" t="str">
        <f>IF(A58="","",IFERROR(VLOOKUP(A58,Kategorie!C:N,MATCH('General price list'!$W$17,Kategorie!$C$2:$N$2,0),FALSE),"× Chybí překlad ×"))</f>
        <v>× Chybí překlad ×</v>
      </c>
      <c r="C58" s="798" t="str">
        <f t="shared" si="0"/>
        <v>×</v>
      </c>
    </row>
    <row r="59" spans="1:3">
      <c r="A59" s="796" t="s">
        <v>20</v>
      </c>
      <c r="B59" s="798" t="str">
        <f>IF(A59="","",IFERROR(VLOOKUP(A59,Kategorie!C:N,MATCH('General price list'!$W$17,Kategorie!$C$2:$N$2,0),FALSE),"× Chybí překlad ×"))</f>
        <v/>
      </c>
      <c r="C59" s="798" t="str">
        <f t="shared" si="0"/>
        <v/>
      </c>
    </row>
    <row r="60" spans="1:3">
      <c r="A60" s="796" t="s">
        <v>20</v>
      </c>
      <c r="B60" s="798" t="str">
        <f>IF(A60="","",IFERROR(VLOOKUP(A60,Kategorie!C:N,MATCH('General price list'!$W$17,Kategorie!$C$2:$N$2,0),FALSE),"× Chybí překlad ×"))</f>
        <v/>
      </c>
      <c r="C60" s="798" t="str">
        <f t="shared" si="0"/>
        <v/>
      </c>
    </row>
    <row r="61" spans="1:3">
      <c r="A61" s="796" t="s">
        <v>20</v>
      </c>
      <c r="B61" s="798" t="str">
        <f>IF(A61="","",IFERROR(VLOOKUP(A61,Kategorie!C:N,MATCH('General price list'!$W$17,Kategorie!$C$2:$N$2,0),FALSE),"× Chybí překlad ×"))</f>
        <v/>
      </c>
      <c r="C61" s="798" t="str">
        <f t="shared" si="0"/>
        <v/>
      </c>
    </row>
    <row r="62" spans="1:3">
      <c r="A62" s="170" t="s">
        <v>20</v>
      </c>
      <c r="B62" s="798" t="str">
        <f>IF(A62="","",IFERROR(VLOOKUP(A62,Kategorie!C:N,MATCH('General price list'!$W$17,Kategorie!$C$2:$N$2,0),FALSE),"× Chybí překlad ×"))</f>
        <v/>
      </c>
      <c r="C62" s="798" t="str">
        <f t="shared" si="0"/>
        <v/>
      </c>
    </row>
    <row r="63" spans="1:3">
      <c r="A63" s="796" t="s">
        <v>6389</v>
      </c>
      <c r="B63" s="798" t="str">
        <f>IF(A63="","",IFERROR(VLOOKUP(A63,Kategorie!C:N,MATCH('General price list'!$W$17,Kategorie!$C$2:$N$2,0),FALSE),"× Chybí překlad ×"))</f>
        <v>Létající předměty</v>
      </c>
      <c r="C63" s="798" t="str">
        <f t="shared" si="0"/>
        <v xml:space="preserve">           Létající předměty</v>
      </c>
    </row>
    <row r="64" spans="1:3">
      <c r="A64" s="796"/>
      <c r="C64" s="798" t="s">
        <v>605</v>
      </c>
    </row>
    <row r="65" spans="1:3">
      <c r="A65" s="796" t="s">
        <v>20</v>
      </c>
      <c r="B65" s="798" t="str">
        <f>IF(A65="","",IFERROR(VLOOKUP(A65,Kategorie!C:N,MATCH('General price list'!$W$17,Kategorie!$C$2:$N$2,0),FALSE),"× Chybí překlad ×"))</f>
        <v/>
      </c>
      <c r="C65" s="798" t="str">
        <f t="shared" si="0"/>
        <v/>
      </c>
    </row>
    <row r="66" spans="1:3">
      <c r="A66" s="796" t="s">
        <v>20</v>
      </c>
      <c r="B66" s="798" t="str">
        <f>IF(A66="","",IFERROR(VLOOKUP(A66,Kategorie!C:N,MATCH('General price list'!$W$17,Kategorie!$C$2:$N$2,0),FALSE),"× Chybí překlad ×"))</f>
        <v/>
      </c>
      <c r="C66" s="798" t="str">
        <f t="shared" si="0"/>
        <v/>
      </c>
    </row>
    <row r="67" spans="1:3">
      <c r="A67" s="796" t="s">
        <v>20</v>
      </c>
      <c r="B67" s="798" t="str">
        <f>IF(A67="","",IFERROR(VLOOKUP(A67,Kategorie!C:N,MATCH('General price list'!$W$17,Kategorie!$C$2:$N$2,0),FALSE),"× Chybí překlad ×"))</f>
        <v/>
      </c>
      <c r="C67" s="798" t="str">
        <f t="shared" si="0"/>
        <v/>
      </c>
    </row>
    <row r="68" spans="1:3">
      <c r="A68" s="796" t="s">
        <v>20</v>
      </c>
      <c r="B68" s="798" t="str">
        <f>IF(A68="","",IFERROR(VLOOKUP(A68,Kategorie!C:N,MATCH('General price list'!$W$17,Kategorie!$C$2:$N$2,0),FALSE),"× Chybí překlad ×"))</f>
        <v/>
      </c>
      <c r="C68" s="798" t="str">
        <f t="shared" si="0"/>
        <v/>
      </c>
    </row>
    <row r="69" spans="1:3">
      <c r="A69" s="796" t="s">
        <v>20</v>
      </c>
      <c r="B69" s="798" t="str">
        <f>IF(A69="","",IFERROR(VLOOKUP(A69,Kategorie!C:N,MATCH('General price list'!$W$17,Kategorie!$C$2:$N$2,0),FALSE),"× Chybí překlad ×"))</f>
        <v/>
      </c>
      <c r="C69" s="798" t="str">
        <f t="shared" si="0"/>
        <v/>
      </c>
    </row>
    <row r="70" spans="1:3">
      <c r="A70" s="796" t="s">
        <v>20</v>
      </c>
      <c r="B70" s="798" t="str">
        <f>IF(A70="","",IFERROR(VLOOKUP(A70,Kategorie!C:N,MATCH('General price list'!$W$17,Kategorie!$C$2:$N$2,0),FALSE),"× Chybí překlad ×"))</f>
        <v/>
      </c>
      <c r="C70" s="798" t="str">
        <f t="shared" si="0"/>
        <v/>
      </c>
    </row>
    <row r="71" spans="1:3">
      <c r="A71" s="796" t="s">
        <v>20</v>
      </c>
      <c r="B71" s="798" t="str">
        <f>IF(A71="","",IFERROR(VLOOKUP(A71,Kategorie!C:N,MATCH('General price list'!$W$17,Kategorie!$C$2:$N$2,0),FALSE),"× Chybí překlad ×"))</f>
        <v/>
      </c>
      <c r="C71" s="798" t="str">
        <f t="shared" si="0"/>
        <v/>
      </c>
    </row>
    <row r="72" spans="1:3">
      <c r="A72" s="170" t="s">
        <v>20</v>
      </c>
      <c r="B72" s="798" t="str">
        <f>IF(A72="","",IFERROR(VLOOKUP(A72,Kategorie!C:N,MATCH('General price list'!$W$17,Kategorie!$C$2:$N$2,0),FALSE),"× Chybí překlad ×"))</f>
        <v/>
      </c>
      <c r="C72" s="798" t="str">
        <f t="shared" si="0"/>
        <v/>
      </c>
    </row>
    <row r="73" spans="1:3">
      <c r="A73" s="796" t="s">
        <v>20</v>
      </c>
      <c r="B73" s="798" t="str">
        <f>IF(A73="","",IFERROR(VLOOKUP(A73,Kategorie!C:N,MATCH('General price list'!$W$17,Kategorie!$C$2:$N$2,0),FALSE),"× Chybí překlad ×"))</f>
        <v/>
      </c>
      <c r="C73" s="798" t="str">
        <f t="shared" si="0"/>
        <v/>
      </c>
    </row>
    <row r="74" spans="1:3">
      <c r="A74" s="796" t="s">
        <v>20</v>
      </c>
      <c r="B74" s="798" t="str">
        <f>IF(A74="","",IFERROR(VLOOKUP(A74,Kategorie!C:N,MATCH('General price list'!$W$17,Kategorie!$C$2:$N$2,0),FALSE),"× Chybí překlad ×"))</f>
        <v/>
      </c>
      <c r="C74" s="798" t="str">
        <f t="shared" si="0"/>
        <v/>
      </c>
    </row>
    <row r="75" spans="1:3">
      <c r="A75" s="796" t="s">
        <v>20</v>
      </c>
      <c r="B75" s="798" t="str">
        <f>IF(A75="","",IFERROR(VLOOKUP(A75,Kategorie!C:N,MATCH('General price list'!$W$17,Kategorie!$C$2:$N$2,0),FALSE),"× Chybí překlad ×"))</f>
        <v/>
      </c>
      <c r="C75" s="798" t="str">
        <f t="shared" si="0"/>
        <v/>
      </c>
    </row>
    <row r="76" spans="1:3">
      <c r="A76" s="170" t="s">
        <v>20</v>
      </c>
      <c r="B76" s="798" t="str">
        <f>IF(A76="","",IFERROR(VLOOKUP(A76,Kategorie!C:N,MATCH('General price list'!$W$17,Kategorie!$C$2:$N$2,0),FALSE),"× Chybí překlad ×"))</f>
        <v/>
      </c>
      <c r="C76" s="798" t="str">
        <f t="shared" si="0"/>
        <v/>
      </c>
    </row>
    <row r="77" spans="1:3">
      <c r="A77" s="796" t="s">
        <v>20</v>
      </c>
      <c r="B77" s="798" t="str">
        <f>IF(A77="","",IFERROR(VLOOKUP(A77,Kategorie!C:N,MATCH('General price list'!$W$17,Kategorie!$C$2:$N$2,0),FALSE),"× Chybí překlad ×"))</f>
        <v/>
      </c>
      <c r="C77" s="798" t="str">
        <f t="shared" si="0"/>
        <v/>
      </c>
    </row>
    <row r="78" spans="1:3">
      <c r="A78" s="796" t="s">
        <v>6392</v>
      </c>
      <c r="B78" s="798" t="str">
        <f>IF(A78="","",IFERROR(VLOOKUP(A78,Kategorie!C:N,MATCH('General price list'!$W$17,Kategorie!$C$2:$N$2,0),FALSE),"× Chybí překlad ×"))</f>
        <v>Rodinná balení</v>
      </c>
      <c r="C78" s="798" t="str">
        <f t="shared" si="0"/>
        <v xml:space="preserve">           Rodinná balení</v>
      </c>
    </row>
    <row r="79" spans="1:3">
      <c r="A79" s="796" t="s">
        <v>20</v>
      </c>
      <c r="B79" s="798" t="str">
        <f>IF(A79="","",IFERROR(VLOOKUP(A79,Kategorie!C:N,MATCH('General price list'!$W$17,Kategorie!$C$2:$N$2,0),FALSE),"× Chybí překlad ×"))</f>
        <v/>
      </c>
      <c r="C79" s="798" t="str">
        <f t="shared" si="0"/>
        <v/>
      </c>
    </row>
    <row r="80" spans="1:3">
      <c r="A80" s="796" t="s">
        <v>20</v>
      </c>
      <c r="B80" s="798" t="str">
        <f>IF(A80="","",IFERROR(VLOOKUP(A80,Kategorie!C:N,MATCH('General price list'!$W$17,Kategorie!$C$2:$N$2,0),FALSE),"× Chybí překlad ×"))</f>
        <v/>
      </c>
      <c r="C80" s="798" t="str">
        <f t="shared" si="0"/>
        <v/>
      </c>
    </row>
    <row r="81" spans="1:3">
      <c r="A81" s="796" t="s">
        <v>20</v>
      </c>
      <c r="B81" s="798" t="str">
        <f>IF(A81="","",IFERROR(VLOOKUP(A81,Kategorie!C:N,MATCH('General price list'!$W$17,Kategorie!$C$2:$N$2,0),FALSE),"× Chybí překlad ×"))</f>
        <v/>
      </c>
      <c r="C81" s="798" t="str">
        <f t="shared" si="0"/>
        <v/>
      </c>
    </row>
    <row r="82" spans="1:3">
      <c r="A82" s="796" t="s">
        <v>6396</v>
      </c>
      <c r="B82" s="798" t="str">
        <f>IF(A82="","",IFERROR(VLOOKUP(A82,Kategorie!C:N,MATCH('General price list'!$W$17,Kategorie!$C$2:$N$2,0),FALSE),"× Chybí překlad ×"))</f>
        <v>Prskavky</v>
      </c>
      <c r="C82" s="798" t="str">
        <f t="shared" si="0"/>
        <v xml:space="preserve">           Prskavky</v>
      </c>
    </row>
    <row r="83" spans="1:3">
      <c r="A83" s="796" t="s">
        <v>20</v>
      </c>
      <c r="B83" s="798" t="str">
        <f>IF(A83="","",IFERROR(VLOOKUP(A83,Kategorie!C:N,MATCH('General price list'!$W$17,Kategorie!$C$2:$N$2,0),FALSE),"× Chybí překlad ×"))</f>
        <v/>
      </c>
      <c r="C83" s="798" t="str">
        <f t="shared" si="0"/>
        <v/>
      </c>
    </row>
    <row r="84" spans="1:3">
      <c r="A84" s="796" t="s">
        <v>20</v>
      </c>
      <c r="B84" s="798" t="str">
        <f>IF(A84="","",IFERROR(VLOOKUP(A84,Kategorie!C:N,MATCH('General price list'!$W$17,Kategorie!$C$2:$N$2,0),FALSE),"× Chybí překlad ×"))</f>
        <v/>
      </c>
      <c r="C84" s="798" t="str">
        <f t="shared" si="0"/>
        <v/>
      </c>
    </row>
    <row r="85" spans="1:3">
      <c r="A85" s="796" t="s">
        <v>20</v>
      </c>
      <c r="B85" s="798" t="str">
        <f>IF(A85="","",IFERROR(VLOOKUP(A85,Kategorie!C:N,MATCH('General price list'!$W$17,Kategorie!$C$2:$N$2,0),FALSE),"× Chybí překlad ×"))</f>
        <v/>
      </c>
      <c r="C85" s="798" t="str">
        <f t="shared" si="0"/>
        <v/>
      </c>
    </row>
    <row r="86" spans="1:3">
      <c r="A86" s="802" t="s">
        <v>20</v>
      </c>
      <c r="B86" s="798" t="str">
        <f>IF(A86="","",IFERROR(VLOOKUP(A86,Kategorie!C:N,MATCH('General price list'!$W$17,Kategorie!$C$2:$N$2,0),FALSE),"× Chybí překlad ×"))</f>
        <v/>
      </c>
      <c r="C86" s="798" t="str">
        <f t="shared" si="0"/>
        <v/>
      </c>
    </row>
    <row r="87" spans="1:3">
      <c r="A87" s="796" t="s">
        <v>10511</v>
      </c>
      <c r="B87" s="798" t="str">
        <f>IF(A87="","",IFERROR(VLOOKUP(A87,Kategorie!C:N,MATCH('General price list'!$W$17,Kategorie!$C$2:$N$2,0),FALSE),"× Chybí překlad ×"))</f>
        <v>× Chybí překlad ×</v>
      </c>
      <c r="C87" s="798" t="str">
        <f t="shared" si="0"/>
        <v>×</v>
      </c>
    </row>
    <row r="88" spans="1:3">
      <c r="A88" s="796" t="s">
        <v>20</v>
      </c>
      <c r="B88" s="798" t="str">
        <f>IF(A88="","",IFERROR(VLOOKUP(A88,Kategorie!C:N,MATCH('General price list'!$W$17,Kategorie!$C$2:$N$2,0),FALSE),"× Chybí překlad ×"))</f>
        <v/>
      </c>
      <c r="C88" s="798" t="str">
        <f t="shared" ref="C88:C151" si="1">IF(A88="","",IF(A88="x","×",$B$1&amp;B88))</f>
        <v/>
      </c>
    </row>
    <row r="89" spans="1:3">
      <c r="A89" s="796" t="s">
        <v>20</v>
      </c>
      <c r="B89" s="798" t="str">
        <f>IF(A89="","",IFERROR(VLOOKUP(A89,Kategorie!C:N,MATCH('General price list'!$W$17,Kategorie!$C$2:$N$2,0),FALSE),"× Chybí překlad ×"))</f>
        <v/>
      </c>
      <c r="C89" s="798" t="str">
        <f t="shared" si="1"/>
        <v/>
      </c>
    </row>
    <row r="90" spans="1:3">
      <c r="A90" s="796" t="s">
        <v>20</v>
      </c>
      <c r="B90" s="798" t="str">
        <f>IF(A90="","",IFERROR(VLOOKUP(A90,Kategorie!C:N,MATCH('General price list'!$W$17,Kategorie!$C$2:$N$2,0),FALSE),"× Chybí překlad ×"))</f>
        <v/>
      </c>
      <c r="C90" s="798" t="str">
        <f t="shared" si="1"/>
        <v/>
      </c>
    </row>
    <row r="91" spans="1:3">
      <c r="A91" s="796" t="s">
        <v>10511</v>
      </c>
      <c r="B91" s="798" t="str">
        <f>IF(A91="","",IFERROR(VLOOKUP(A91,Kategorie!C:N,MATCH('General price list'!$W$17,Kategorie!$C$2:$N$2,0),FALSE),"× Chybí překlad ×"))</f>
        <v>× Chybí překlad ×</v>
      </c>
      <c r="C91" s="798" t="str">
        <f t="shared" si="1"/>
        <v>×</v>
      </c>
    </row>
    <row r="92" spans="1:3">
      <c r="A92" s="796" t="s">
        <v>6399</v>
      </c>
      <c r="B92" s="798" t="str">
        <f>IF(A92="","",IFERROR(VLOOKUP(A92,Kategorie!C:N,MATCH('General price list'!$W$17,Kategorie!$C$2:$N$2,0),FALSE),"× Chybí překlad ×"))</f>
        <v>Prskavky speciální</v>
      </c>
      <c r="C92" s="798" t="str">
        <f t="shared" si="1"/>
        <v xml:space="preserve">           Prskavky speciální</v>
      </c>
    </row>
    <row r="93" spans="1:3">
      <c r="A93" s="796" t="s">
        <v>20</v>
      </c>
      <c r="B93" s="798" t="str">
        <f>IF(A93="","",IFERROR(VLOOKUP(A93,Kategorie!C:N,MATCH('General price list'!$W$17,Kategorie!$C$2:$N$2,0),FALSE),"× Chybí překlad ×"))</f>
        <v/>
      </c>
      <c r="C93" s="798" t="str">
        <f t="shared" si="1"/>
        <v/>
      </c>
    </row>
    <row r="94" spans="1:3">
      <c r="A94" s="796" t="s">
        <v>20</v>
      </c>
      <c r="B94" s="798" t="str">
        <f>IF(A94="","",IFERROR(VLOOKUP(A94,Kategorie!C:N,MATCH('General price list'!$W$17,Kategorie!$C$2:$N$2,0),FALSE),"× Chybí překlad ×"))</f>
        <v/>
      </c>
      <c r="C94" s="798" t="str">
        <f t="shared" si="1"/>
        <v/>
      </c>
    </row>
    <row r="95" spans="1:3">
      <c r="A95" s="802" t="s">
        <v>20</v>
      </c>
      <c r="B95" s="798" t="str">
        <f>IF(A95="","",IFERROR(VLOOKUP(A95,Kategorie!C:N,MATCH('General price list'!$W$17,Kategorie!$C$2:$N$2,0),FALSE),"× Chybí překlad ×"))</f>
        <v/>
      </c>
      <c r="C95" s="798" t="str">
        <f t="shared" si="1"/>
        <v/>
      </c>
    </row>
    <row r="96" spans="1:3">
      <c r="A96" s="796" t="s">
        <v>10511</v>
      </c>
      <c r="B96" s="798" t="str">
        <f>IF(A96="","",IFERROR(VLOOKUP(A96,Kategorie!C:N,MATCH('General price list'!$W$17,Kategorie!$C$2:$N$2,0),FALSE),"× Chybí překlad ×"))</f>
        <v>× Chybí překlad ×</v>
      </c>
      <c r="C96" s="798" t="str">
        <f t="shared" si="1"/>
        <v>×</v>
      </c>
    </row>
    <row r="97" spans="1:3">
      <c r="A97" s="796" t="s">
        <v>6401</v>
      </c>
      <c r="B97" s="798" t="str">
        <f>IF(A97="","",IFERROR(VLOOKUP(A97,Kategorie!C:N,MATCH('General price list'!$W$17,Kategorie!$C$2:$N$2,0),FALSE),"× Chybí překlad ×"))</f>
        <v>Dýmovnice se zápalnou šňůrou</v>
      </c>
      <c r="C97" s="798" t="str">
        <f t="shared" si="1"/>
        <v xml:space="preserve">           Dýmovnice se zápalnou šňůrou</v>
      </c>
    </row>
    <row r="98" spans="1:3">
      <c r="A98" s="796" t="s">
        <v>20</v>
      </c>
      <c r="B98" s="798" t="str">
        <f>IF(A98="","",IFERROR(VLOOKUP(A98,Kategorie!C:N,MATCH('General price list'!$W$17,Kategorie!$C$2:$N$2,0),FALSE),"× Chybí překlad ×"))</f>
        <v/>
      </c>
      <c r="C98" s="798" t="str">
        <f t="shared" si="1"/>
        <v/>
      </c>
    </row>
    <row r="99" spans="1:3">
      <c r="A99" s="796" t="s">
        <v>20</v>
      </c>
      <c r="B99" s="798" t="str">
        <f>IF(A99="","",IFERROR(VLOOKUP(A99,Kategorie!C:N,MATCH('General price list'!$W$17,Kategorie!$C$2:$N$2,0),FALSE),"× Chybí překlad ×"))</f>
        <v/>
      </c>
      <c r="C99" s="798" t="str">
        <f t="shared" si="1"/>
        <v/>
      </c>
    </row>
    <row r="100" spans="1:3">
      <c r="A100" s="796" t="s">
        <v>20</v>
      </c>
      <c r="B100" s="798" t="str">
        <f>IF(A100="","",IFERROR(VLOOKUP(A100,Kategorie!C:N,MATCH('General price list'!$W$17,Kategorie!$C$2:$N$2,0),FALSE),"× Chybí překlad ×"))</f>
        <v/>
      </c>
      <c r="C100" s="798" t="str">
        <f t="shared" si="1"/>
        <v/>
      </c>
    </row>
    <row r="101" spans="1:3">
      <c r="A101" s="796" t="s">
        <v>20</v>
      </c>
      <c r="B101" s="798" t="str">
        <f>IF(A101="","",IFERROR(VLOOKUP(A101,Kategorie!C:N,MATCH('General price list'!$W$17,Kategorie!$C$2:$N$2,0),FALSE),"× Chybí překlad ×"))</f>
        <v/>
      </c>
      <c r="C101" s="798" t="str">
        <f t="shared" si="1"/>
        <v/>
      </c>
    </row>
    <row r="102" spans="1:3">
      <c r="A102" s="796" t="s">
        <v>20</v>
      </c>
      <c r="B102" s="798" t="str">
        <f>IF(A102="","",IFERROR(VLOOKUP(A102,Kategorie!C:N,MATCH('General price list'!$W$17,Kategorie!$C$2:$N$2,0),FALSE),"× Chybí překlad ×"))</f>
        <v/>
      </c>
      <c r="C102" s="798" t="str">
        <f t="shared" si="1"/>
        <v/>
      </c>
    </row>
    <row r="103" spans="1:3">
      <c r="A103" s="796" t="s">
        <v>20</v>
      </c>
      <c r="B103" s="798" t="str">
        <f>IF(A103="","",IFERROR(VLOOKUP(A103,Kategorie!C:N,MATCH('General price list'!$W$17,Kategorie!$C$2:$N$2,0),FALSE),"× Chybí překlad ×"))</f>
        <v/>
      </c>
      <c r="C103" s="798" t="str">
        <f t="shared" si="1"/>
        <v/>
      </c>
    </row>
    <row r="104" spans="1:3">
      <c r="A104" s="796" t="s">
        <v>20</v>
      </c>
      <c r="B104" s="798" t="str">
        <f>IF(A104="","",IFERROR(VLOOKUP(A104,Kategorie!C:N,MATCH('General price list'!$W$17,Kategorie!$C$2:$N$2,0),FALSE),"× Chybí překlad ×"))</f>
        <v/>
      </c>
      <c r="C104" s="798" t="str">
        <f t="shared" si="1"/>
        <v/>
      </c>
    </row>
    <row r="105" spans="1:3">
      <c r="A105" s="796" t="s">
        <v>20</v>
      </c>
      <c r="B105" s="798" t="str">
        <f>IF(A105="","",IFERROR(VLOOKUP(A105,Kategorie!C:N,MATCH('General price list'!$W$17,Kategorie!$C$2:$N$2,0),FALSE),"× Chybí překlad ×"))</f>
        <v/>
      </c>
      <c r="C105" s="798" t="str">
        <f t="shared" si="1"/>
        <v/>
      </c>
    </row>
    <row r="106" spans="1:3">
      <c r="A106" s="796" t="s">
        <v>20</v>
      </c>
      <c r="B106" s="798" t="str">
        <f>IF(A106="","",IFERROR(VLOOKUP(A106,Kategorie!C:N,MATCH('General price list'!$W$17,Kategorie!$C$2:$N$2,0),FALSE),"× Chybí překlad ×"))</f>
        <v/>
      </c>
      <c r="C106" s="798" t="str">
        <f t="shared" si="1"/>
        <v/>
      </c>
    </row>
    <row r="107" spans="1:3">
      <c r="A107" s="796" t="s">
        <v>10511</v>
      </c>
      <c r="B107" s="798" t="str">
        <f>IF(A107="","",IFERROR(VLOOKUP(A107,Kategorie!C:N,MATCH('General price list'!$W$17,Kategorie!$C$2:$N$2,0),FALSE),"× Chybí překlad ×"))</f>
        <v>× Chybí překlad ×</v>
      </c>
      <c r="C107" s="798" t="str">
        <f t="shared" si="1"/>
        <v>×</v>
      </c>
    </row>
    <row r="108" spans="1:3">
      <c r="A108" s="796" t="s">
        <v>20</v>
      </c>
      <c r="B108" s="798" t="str">
        <f>IF(A108="","",IFERROR(VLOOKUP(A108,Kategorie!C:N,MATCH('General price list'!$W$17,Kategorie!$C$2:$N$2,0),FALSE),"× Chybí překlad ×"))</f>
        <v/>
      </c>
      <c r="C108" s="798" t="str">
        <f t="shared" si="1"/>
        <v/>
      </c>
    </row>
    <row r="109" spans="1:3">
      <c r="A109" s="796" t="s">
        <v>20</v>
      </c>
      <c r="B109" s="798" t="str">
        <f>IF(A109="","",IFERROR(VLOOKUP(A109,Kategorie!C:N,MATCH('General price list'!$W$17,Kategorie!$C$2:$N$2,0),FALSE),"× Chybí překlad ×"))</f>
        <v/>
      </c>
      <c r="C109" s="798" t="str">
        <f t="shared" si="1"/>
        <v/>
      </c>
    </row>
    <row r="110" spans="1:3">
      <c r="A110" s="796" t="s">
        <v>20</v>
      </c>
      <c r="B110" s="798" t="str">
        <f>IF(A110="","",IFERROR(VLOOKUP(A110,Kategorie!C:N,MATCH('General price list'!$W$17,Kategorie!$C$2:$N$2,0),FALSE),"× Chybí překlad ×"))</f>
        <v/>
      </c>
      <c r="C110" s="798" t="str">
        <f t="shared" si="1"/>
        <v/>
      </c>
    </row>
    <row r="111" spans="1:3">
      <c r="A111" s="796" t="s">
        <v>20</v>
      </c>
      <c r="B111" s="798" t="str">
        <f>IF(A111="","",IFERROR(VLOOKUP(A111,Kategorie!C:N,MATCH('General price list'!$W$17,Kategorie!$C$2:$N$2,0),FALSE),"× Chybí překlad ×"))</f>
        <v/>
      </c>
      <c r="C111" s="798" t="str">
        <f t="shared" si="1"/>
        <v/>
      </c>
    </row>
    <row r="112" spans="1:3">
      <c r="A112" s="796" t="s">
        <v>6403</v>
      </c>
      <c r="B112" s="798" t="str">
        <f>IF(A112="","",IFERROR(VLOOKUP(A112,Kategorie!C:N,MATCH('General price list'!$W$17,Kategorie!$C$2:$N$2,0),FALSE),"× Chybí překlad ×"))</f>
        <v>Dýmovnice škrtací</v>
      </c>
      <c r="C112" s="798" t="str">
        <f t="shared" si="1"/>
        <v xml:space="preserve">           Dýmovnice škrtací</v>
      </c>
    </row>
    <row r="113" spans="1:3">
      <c r="A113" s="796" t="s">
        <v>10511</v>
      </c>
      <c r="B113" s="798" t="str">
        <f>IF(A113="","",IFERROR(VLOOKUP(A113,Kategorie!C:N,MATCH('General price list'!$W$17,Kategorie!$C$2:$N$2,0),FALSE),"× Chybí překlad ×"))</f>
        <v>× Chybí překlad ×</v>
      </c>
      <c r="C113" s="798" t="str">
        <f t="shared" si="1"/>
        <v>×</v>
      </c>
    </row>
    <row r="114" spans="1:3">
      <c r="A114" s="796" t="s">
        <v>10511</v>
      </c>
      <c r="B114" s="798" t="str">
        <f>IF(A114="","",IFERROR(VLOOKUP(A114,Kategorie!C:N,MATCH('General price list'!$W$17,Kategorie!$C$2:$N$2,0),FALSE),"× Chybí překlad ×"))</f>
        <v>× Chybí překlad ×</v>
      </c>
      <c r="C114" s="798" t="str">
        <f t="shared" si="1"/>
        <v>×</v>
      </c>
    </row>
    <row r="115" spans="1:3">
      <c r="A115" s="802" t="s">
        <v>10511</v>
      </c>
      <c r="B115" s="798" t="str">
        <f>IF(A115="","",IFERROR(VLOOKUP(A115,Kategorie!C:N,MATCH('General price list'!$W$17,Kategorie!$C$2:$N$2,0),FALSE),"× Chybí překlad ×"))</f>
        <v>× Chybí překlad ×</v>
      </c>
      <c r="C115" s="798" t="str">
        <f t="shared" si="1"/>
        <v>×</v>
      </c>
    </row>
    <row r="116" spans="1:3">
      <c r="A116" s="796" t="s">
        <v>10511</v>
      </c>
      <c r="B116" s="798" t="str">
        <f>IF(A116="","",IFERROR(VLOOKUP(A116,Kategorie!C:N,MATCH('General price list'!$W$17,Kategorie!$C$2:$N$2,0),FALSE),"× Chybí překlad ×"))</f>
        <v>× Chybí překlad ×</v>
      </c>
      <c r="C116" s="798" t="str">
        <f t="shared" si="1"/>
        <v>×</v>
      </c>
    </row>
    <row r="117" spans="1:3">
      <c r="A117" s="796" t="s">
        <v>6404</v>
      </c>
      <c r="B117" s="798" t="str">
        <f>IF(A117="","",IFERROR(VLOOKUP(A117,Kategorie!C:N,MATCH('General price list'!$W$17,Kategorie!$C$2:$N$2,0),FALSE),"× Chybí překlad ×"))</f>
        <v>Dýmovnice s pákovou roznětkou</v>
      </c>
      <c r="C117" s="798" t="str">
        <f t="shared" si="1"/>
        <v xml:space="preserve">           Dýmovnice s pákovou roznětkou</v>
      </c>
    </row>
    <row r="118" spans="1:3">
      <c r="A118" s="796" t="s">
        <v>10511</v>
      </c>
      <c r="B118" s="798" t="str">
        <f>IF(A118="","",IFERROR(VLOOKUP(A118,Kategorie!C:N,MATCH('General price list'!$W$17,Kategorie!$C$2:$N$2,0),FALSE),"× Chybí překlad ×"))</f>
        <v>× Chybí překlad ×</v>
      </c>
      <c r="C118" s="798" t="str">
        <f t="shared" si="1"/>
        <v>×</v>
      </c>
    </row>
    <row r="119" spans="1:3">
      <c r="A119" s="796" t="s">
        <v>10511</v>
      </c>
      <c r="B119" s="798" t="str">
        <f>IF(A119="","",IFERROR(VLOOKUP(A119,Kategorie!C:N,MATCH('General price list'!$W$17,Kategorie!$C$2:$N$2,0),FALSE),"× Chybí překlad ×"))</f>
        <v>× Chybí překlad ×</v>
      </c>
      <c r="C119" s="798" t="str">
        <f t="shared" si="1"/>
        <v>×</v>
      </c>
    </row>
    <row r="120" spans="1:3">
      <c r="A120" s="796" t="s">
        <v>10511</v>
      </c>
      <c r="B120" s="798" t="str">
        <f>IF(A120="","",IFERROR(VLOOKUP(A120,Kategorie!C:N,MATCH('General price list'!$W$17,Kategorie!$C$2:$N$2,0),FALSE),"× Chybí překlad ×"))</f>
        <v>× Chybí překlad ×</v>
      </c>
      <c r="C120" s="798" t="str">
        <f t="shared" si="1"/>
        <v>×</v>
      </c>
    </row>
    <row r="121" spans="1:3">
      <c r="A121" s="796" t="s">
        <v>10511</v>
      </c>
      <c r="B121" s="798" t="str">
        <f>IF(A121="","",IFERROR(VLOOKUP(A121,Kategorie!C:N,MATCH('General price list'!$W$17,Kategorie!$C$2:$N$2,0),FALSE),"× Chybí překlad ×"))</f>
        <v>× Chybí překlad ×</v>
      </c>
      <c r="C121" s="798" t="str">
        <f t="shared" si="1"/>
        <v>×</v>
      </c>
    </row>
    <row r="122" spans="1:3">
      <c r="A122" s="796" t="s">
        <v>6406</v>
      </c>
      <c r="B122" s="798" t="str">
        <f>IF(A122="","",IFERROR(VLOOKUP(A122,Kategorie!C:N,MATCH('General price list'!$W$17,Kategorie!$C$2:$N$2,0),FALSE),"× Chybí překlad ×"))</f>
        <v>Dýmové pochodně</v>
      </c>
      <c r="C122" s="798" t="str">
        <f t="shared" si="1"/>
        <v xml:space="preserve">           Dýmové pochodně</v>
      </c>
    </row>
    <row r="123" spans="1:3">
      <c r="A123" s="796" t="s">
        <v>10511</v>
      </c>
      <c r="B123" s="798" t="str">
        <f>IF(A123="","",IFERROR(VLOOKUP(A123,Kategorie!C:N,MATCH('General price list'!$W$17,Kategorie!$C$2:$N$2,0),FALSE),"× Chybí překlad ×"))</f>
        <v>× Chybí překlad ×</v>
      </c>
      <c r="C123" s="798" t="str">
        <f t="shared" si="1"/>
        <v>×</v>
      </c>
    </row>
    <row r="124" spans="1:3">
      <c r="A124" s="796" t="s">
        <v>20</v>
      </c>
      <c r="B124" s="798" t="str">
        <f>IF(A124="","",IFERROR(VLOOKUP(A124,Kategorie!C:N,MATCH('General price list'!$W$17,Kategorie!$C$2:$N$2,0),FALSE),"× Chybí překlad ×"))</f>
        <v/>
      </c>
      <c r="C124" s="798" t="str">
        <f t="shared" si="1"/>
        <v/>
      </c>
    </row>
    <row r="125" spans="1:3">
      <c r="A125" s="796" t="s">
        <v>20</v>
      </c>
      <c r="B125" s="798" t="str">
        <f>IF(A125="","",IFERROR(VLOOKUP(A125,Kategorie!C:N,MATCH('General price list'!$W$17,Kategorie!$C$2:$N$2,0),FALSE),"× Chybí překlad ×"))</f>
        <v/>
      </c>
      <c r="C125" s="798" t="str">
        <f t="shared" si="1"/>
        <v/>
      </c>
    </row>
    <row r="126" spans="1:3">
      <c r="A126" s="796" t="s">
        <v>20</v>
      </c>
      <c r="B126" s="798" t="str">
        <f>IF(A126="","",IFERROR(VLOOKUP(A126,Kategorie!C:N,MATCH('General price list'!$W$17,Kategorie!$C$2:$N$2,0),FALSE),"× Chybí překlad ×"))</f>
        <v/>
      </c>
      <c r="C126" s="798" t="str">
        <f t="shared" si="1"/>
        <v/>
      </c>
    </row>
    <row r="127" spans="1:3">
      <c r="A127" s="796" t="s">
        <v>20</v>
      </c>
      <c r="B127" s="798" t="str">
        <f>IF(A127="","",IFERROR(VLOOKUP(A127,Kategorie!C:N,MATCH('General price list'!$W$17,Kategorie!$C$2:$N$2,0),FALSE),"× Chybí překlad ×"))</f>
        <v/>
      </c>
      <c r="C127" s="798" t="str">
        <f t="shared" si="1"/>
        <v/>
      </c>
    </row>
    <row r="128" spans="1:3">
      <c r="A128" s="796" t="s">
        <v>6410</v>
      </c>
      <c r="B128" s="798" t="str">
        <f>IF(A128="","",IFERROR(VLOOKUP(A128,Kategorie!C:N,MATCH('General price list'!$W$17,Kategorie!$C$2:$N$2,0),FALSE),"× Chybí překlad ×"))</f>
        <v>Pochodně</v>
      </c>
      <c r="C128" s="798" t="str">
        <f t="shared" si="1"/>
        <v xml:space="preserve">           Pochodně</v>
      </c>
    </row>
    <row r="129" spans="1:3">
      <c r="A129" s="796" t="s">
        <v>20</v>
      </c>
      <c r="B129" s="798" t="str">
        <f>IF(A129="","",IFERROR(VLOOKUP(A129,Kategorie!C:N,MATCH('General price list'!$W$17,Kategorie!$C$2:$N$2,0),FALSE),"× Chybí překlad ×"))</f>
        <v/>
      </c>
      <c r="C129" s="798" t="str">
        <f t="shared" si="1"/>
        <v/>
      </c>
    </row>
    <row r="130" spans="1:3">
      <c r="A130" s="796" t="s">
        <v>10511</v>
      </c>
      <c r="B130" s="798" t="str">
        <f>IF(A130="","",IFERROR(VLOOKUP(A130,Kategorie!C:N,MATCH('General price list'!$W$17,Kategorie!$C$2:$N$2,0),FALSE),"× Chybí překlad ×"))</f>
        <v>× Chybí překlad ×</v>
      </c>
      <c r="C130" s="798" t="str">
        <f t="shared" si="1"/>
        <v>×</v>
      </c>
    </row>
    <row r="131" spans="1:3">
      <c r="A131" s="802" t="s">
        <v>10511</v>
      </c>
      <c r="B131" s="798" t="str">
        <f>IF(A131="","",IFERROR(VLOOKUP(A131,Kategorie!C:N,MATCH('General price list'!$W$17,Kategorie!$C$2:$N$2,0),FALSE),"× Chybí překlad ×"))</f>
        <v>× Chybí překlad ×</v>
      </c>
      <c r="C131" s="798" t="str">
        <f t="shared" si="1"/>
        <v>×</v>
      </c>
    </row>
    <row r="132" spans="1:3">
      <c r="A132" s="796" t="s">
        <v>20</v>
      </c>
      <c r="B132" s="798" t="str">
        <f>IF(A132="","",IFERROR(VLOOKUP(A132,Kategorie!C:N,MATCH('General price list'!$W$17,Kategorie!$C$2:$N$2,0),FALSE),"× Chybí překlad ×"))</f>
        <v/>
      </c>
      <c r="C132" s="798" t="str">
        <f t="shared" si="1"/>
        <v/>
      </c>
    </row>
    <row r="133" spans="1:3">
      <c r="A133" s="796" t="s">
        <v>20</v>
      </c>
      <c r="B133" s="798" t="str">
        <f>IF(A133="","",IFERROR(VLOOKUP(A133,Kategorie!C:N,MATCH('General price list'!$W$17,Kategorie!$C$2:$N$2,0),FALSE),"× Chybí překlad ×"))</f>
        <v/>
      </c>
      <c r="C133" s="798" t="str">
        <f t="shared" si="1"/>
        <v/>
      </c>
    </row>
    <row r="134" spans="1:3">
      <c r="A134" s="796" t="s">
        <v>10511</v>
      </c>
      <c r="B134" s="798" t="str">
        <f>IF(A134="","",IFERROR(VLOOKUP(A134,Kategorie!C:N,MATCH('General price list'!$W$17,Kategorie!$C$2:$N$2,0),FALSE),"× Chybí překlad ×"))</f>
        <v>× Chybí překlad ×</v>
      </c>
      <c r="C134" s="798" t="str">
        <f t="shared" si="1"/>
        <v>×</v>
      </c>
    </row>
    <row r="135" spans="1:3">
      <c r="A135" s="796" t="s">
        <v>6415</v>
      </c>
      <c r="B135" s="798" t="str">
        <f>IF(A135="","",IFERROR(VLOOKUP(A135,Kategorie!C:N,MATCH('General price list'!$W$17,Kategorie!$C$2:$N$2,0),FALSE),"× Chybí překlad ×"))</f>
        <v>Stroboskopy</v>
      </c>
      <c r="C135" s="798" t="str">
        <f t="shared" si="1"/>
        <v xml:space="preserve">           Stroboskopy</v>
      </c>
    </row>
    <row r="136" spans="1:3">
      <c r="A136" s="796" t="s">
        <v>20</v>
      </c>
      <c r="B136" s="798" t="str">
        <f>IF(A136="","",IFERROR(VLOOKUP(A136,Kategorie!C:N,MATCH('General price list'!$W$17,Kategorie!$C$2:$N$2,0),FALSE),"× Chybí překlad ×"))</f>
        <v/>
      </c>
      <c r="C136" s="798" t="str">
        <f t="shared" si="1"/>
        <v/>
      </c>
    </row>
    <row r="137" spans="1:3">
      <c r="A137" s="796" t="s">
        <v>20</v>
      </c>
      <c r="B137" s="798" t="str">
        <f>IF(A137="","",IFERROR(VLOOKUP(A137,Kategorie!C:N,MATCH('General price list'!$W$17,Kategorie!$C$2:$N$2,0),FALSE),"× Chybí překlad ×"))</f>
        <v/>
      </c>
      <c r="C137" s="798" t="str">
        <f t="shared" si="1"/>
        <v/>
      </c>
    </row>
    <row r="138" spans="1:3">
      <c r="A138" s="796" t="s">
        <v>6418</v>
      </c>
      <c r="B138" s="798" t="str">
        <f>IF(A138="","",IFERROR(VLOOKUP(A138,Kategorie!C:N,MATCH('General price list'!$W$17,Kategorie!$C$2:$N$2,0),FALSE),"× Chybí překlad ×"))</f>
        <v>Fontány</v>
      </c>
      <c r="C138" s="798" t="str">
        <f t="shared" si="1"/>
        <v xml:space="preserve">           Fontány</v>
      </c>
    </row>
    <row r="139" spans="1:3">
      <c r="A139" s="796" t="s">
        <v>20</v>
      </c>
      <c r="B139" s="798" t="str">
        <f>IF(A139="","",IFERROR(VLOOKUP(A139,Kategorie!C:N,MATCH('General price list'!$W$17,Kategorie!$C$2:$N$2,0),FALSE),"× Chybí překlad ×"))</f>
        <v/>
      </c>
      <c r="C139" s="798" t="str">
        <f t="shared" si="1"/>
        <v/>
      </c>
    </row>
    <row r="140" spans="1:3">
      <c r="A140" s="796" t="s">
        <v>20</v>
      </c>
      <c r="B140" s="798" t="str">
        <f>IF(A140="","",IFERROR(VLOOKUP(A140,Kategorie!C:N,MATCH('General price list'!$W$17,Kategorie!$C$2:$N$2,0),FALSE),"× Chybí překlad ×"))</f>
        <v/>
      </c>
      <c r="C140" s="798" t="str">
        <f t="shared" si="1"/>
        <v/>
      </c>
    </row>
    <row r="141" spans="1:3">
      <c r="A141" s="796" t="s">
        <v>20</v>
      </c>
      <c r="B141" s="798" t="str">
        <f>IF(A141="","",IFERROR(VLOOKUP(A141,Kategorie!C:N,MATCH('General price list'!$W$17,Kategorie!$C$2:$N$2,0),FALSE),"× Chybí překlad ×"))</f>
        <v/>
      </c>
      <c r="C141" s="798" t="str">
        <f t="shared" si="1"/>
        <v/>
      </c>
    </row>
    <row r="142" spans="1:3">
      <c r="A142" s="796" t="s">
        <v>20</v>
      </c>
      <c r="B142" s="798" t="str">
        <f>IF(A142="","",IFERROR(VLOOKUP(A142,Kategorie!C:N,MATCH('General price list'!$W$17,Kategorie!$C$2:$N$2,0),FALSE),"× Chybí překlad ×"))</f>
        <v/>
      </c>
      <c r="C142" s="798" t="str">
        <f t="shared" si="1"/>
        <v/>
      </c>
    </row>
    <row r="143" spans="1:3">
      <c r="A143" s="796" t="s">
        <v>20</v>
      </c>
      <c r="B143" s="798" t="str">
        <f>IF(A143="","",IFERROR(VLOOKUP(A143,Kategorie!C:N,MATCH('General price list'!$W$17,Kategorie!$C$2:$N$2,0),FALSE),"× Chybí překlad ×"))</f>
        <v/>
      </c>
      <c r="C143" s="798" t="str">
        <f t="shared" si="1"/>
        <v/>
      </c>
    </row>
    <row r="144" spans="1:3">
      <c r="A144" s="802" t="s">
        <v>20</v>
      </c>
      <c r="B144" s="798" t="str">
        <f>IF(A144="","",IFERROR(VLOOKUP(A144,Kategorie!C:N,MATCH('General price list'!$W$17,Kategorie!$C$2:$N$2,0),FALSE),"× Chybí překlad ×"))</f>
        <v/>
      </c>
      <c r="C144" s="798" t="str">
        <f t="shared" si="1"/>
        <v/>
      </c>
    </row>
    <row r="145" spans="1:3">
      <c r="A145" s="796" t="s">
        <v>20</v>
      </c>
      <c r="B145" s="798" t="str">
        <f>IF(A145="","",IFERROR(VLOOKUP(A145,Kategorie!C:N,MATCH('General price list'!$W$17,Kategorie!$C$2:$N$2,0),FALSE),"× Chybí překlad ×"))</f>
        <v/>
      </c>
      <c r="C145" s="798" t="str">
        <f t="shared" si="1"/>
        <v/>
      </c>
    </row>
    <row r="146" spans="1:3">
      <c r="A146" s="796" t="s">
        <v>20</v>
      </c>
      <c r="B146" s="798" t="str">
        <f>IF(A146="","",IFERROR(VLOOKUP(A146,Kategorie!C:N,MATCH('General price list'!$W$17,Kategorie!$C$2:$N$2,0),FALSE),"× Chybí překlad ×"))</f>
        <v/>
      </c>
      <c r="C146" s="798" t="str">
        <f t="shared" si="1"/>
        <v/>
      </c>
    </row>
    <row r="147" spans="1:3">
      <c r="A147" s="796" t="s">
        <v>20</v>
      </c>
      <c r="B147" s="798" t="str">
        <f>IF(A147="","",IFERROR(VLOOKUP(A147,Kategorie!C:N,MATCH('General price list'!$W$17,Kategorie!$C$2:$N$2,0),FALSE),"× Chybí překlad ×"))</f>
        <v/>
      </c>
      <c r="C147" s="798" t="str">
        <f t="shared" si="1"/>
        <v/>
      </c>
    </row>
    <row r="148" spans="1:3">
      <c r="A148" s="796" t="s">
        <v>20</v>
      </c>
      <c r="B148" s="798" t="str">
        <f>IF(A148="","",IFERROR(VLOOKUP(A148,Kategorie!C:N,MATCH('General price list'!$W$17,Kategorie!$C$2:$N$2,0),FALSE),"× Chybí překlad ×"))</f>
        <v/>
      </c>
      <c r="C148" s="798" t="str">
        <f t="shared" si="1"/>
        <v/>
      </c>
    </row>
    <row r="149" spans="1:3">
      <c r="A149" s="796" t="s">
        <v>20</v>
      </c>
      <c r="B149" s="798" t="str">
        <f>IF(A149="","",IFERROR(VLOOKUP(A149,Kategorie!C:N,MATCH('General price list'!$W$17,Kategorie!$C$2:$N$2,0),FALSE),"× Chybí překlad ×"))</f>
        <v/>
      </c>
      <c r="C149" s="798" t="str">
        <f t="shared" si="1"/>
        <v/>
      </c>
    </row>
    <row r="150" spans="1:3">
      <c r="A150" s="796" t="s">
        <v>20</v>
      </c>
      <c r="B150" s="798" t="str">
        <f>IF(A150="","",IFERROR(VLOOKUP(A150,Kategorie!C:N,MATCH('General price list'!$W$17,Kategorie!$C$2:$N$2,0),FALSE),"× Chybí překlad ×"))</f>
        <v/>
      </c>
      <c r="C150" s="798" t="str">
        <f t="shared" si="1"/>
        <v/>
      </c>
    </row>
    <row r="151" spans="1:3">
      <c r="A151" s="796" t="s">
        <v>20</v>
      </c>
      <c r="B151" s="798" t="str">
        <f>IF(A151="","",IFERROR(VLOOKUP(A151,Kategorie!C:N,MATCH('General price list'!$W$17,Kategorie!$C$2:$N$2,0),FALSE),"× Chybí překlad ×"))</f>
        <v/>
      </c>
      <c r="C151" s="798" t="str">
        <f t="shared" si="1"/>
        <v/>
      </c>
    </row>
    <row r="152" spans="1:3">
      <c r="A152" s="796" t="s">
        <v>20</v>
      </c>
      <c r="B152" s="798" t="str">
        <f>IF(A152="","",IFERROR(VLOOKUP(A152,Kategorie!C:N,MATCH('General price list'!$W$17,Kategorie!$C$2:$N$2,0),FALSE),"× Chybí překlad ×"))</f>
        <v/>
      </c>
      <c r="C152" s="798" t="str">
        <f t="shared" ref="C152:C215" si="2">IF(A152="","",IF(A152="x","×",$B$1&amp;B152))</f>
        <v/>
      </c>
    </row>
    <row r="153" spans="1:3">
      <c r="A153" s="796" t="s">
        <v>6423</v>
      </c>
      <c r="B153" s="798" t="str">
        <f>IF(A153="","",IFERROR(VLOOKUP(A153,Kategorie!C:N,MATCH('General price list'!$W$17,Kategorie!$C$2:$N$2,0),FALSE),"× Chybí překlad ×"))</f>
        <v>Vulkány</v>
      </c>
      <c r="C153" s="798" t="str">
        <f t="shared" si="2"/>
        <v xml:space="preserve">           Vulkány</v>
      </c>
    </row>
    <row r="154" spans="1:3">
      <c r="A154" s="796" t="s">
        <v>20</v>
      </c>
      <c r="B154" s="798" t="str">
        <f>IF(A154="","",IFERROR(VLOOKUP(A154,Kategorie!C:N,MATCH('General price list'!$W$17,Kategorie!$C$2:$N$2,0),FALSE),"× Chybí překlad ×"))</f>
        <v/>
      </c>
      <c r="C154" s="798" t="str">
        <f t="shared" si="2"/>
        <v/>
      </c>
    </row>
    <row r="155" spans="1:3">
      <c r="A155" s="796" t="s">
        <v>20</v>
      </c>
      <c r="B155" s="798" t="str">
        <f>IF(A155="","",IFERROR(VLOOKUP(A155,Kategorie!C:N,MATCH('General price list'!$W$17,Kategorie!$C$2:$N$2,0),FALSE),"× Chybí překlad ×"))</f>
        <v/>
      </c>
      <c r="C155" s="798" t="str">
        <f t="shared" si="2"/>
        <v/>
      </c>
    </row>
    <row r="156" spans="1:3">
      <c r="A156" s="796" t="s">
        <v>20</v>
      </c>
      <c r="B156" s="798" t="str">
        <f>IF(A156="","",IFERROR(VLOOKUP(A156,Kategorie!C:N,MATCH('General price list'!$W$17,Kategorie!$C$2:$N$2,0),FALSE),"× Chybí překlad ×"))</f>
        <v/>
      </c>
      <c r="C156" s="798" t="str">
        <f t="shared" si="2"/>
        <v/>
      </c>
    </row>
    <row r="157" spans="1:3">
      <c r="A157" s="796" t="s">
        <v>20</v>
      </c>
      <c r="B157" s="798" t="str">
        <f>IF(A157="","",IFERROR(VLOOKUP(A157,Kategorie!C:N,MATCH('General price list'!$W$17,Kategorie!$C$2:$N$2,0),FALSE),"× Chybí překlad ×"))</f>
        <v/>
      </c>
      <c r="C157" s="798" t="str">
        <f t="shared" si="2"/>
        <v/>
      </c>
    </row>
    <row r="158" spans="1:3">
      <c r="A158" s="802" t="s">
        <v>20</v>
      </c>
      <c r="B158" s="798" t="str">
        <f>IF(A158="","",IFERROR(VLOOKUP(A158,Kategorie!C:N,MATCH('General price list'!$W$17,Kategorie!$C$2:$N$2,0),FALSE),"× Chybí překlad ×"))</f>
        <v/>
      </c>
      <c r="C158" s="798" t="str">
        <f t="shared" si="2"/>
        <v/>
      </c>
    </row>
    <row r="159" spans="1:3">
      <c r="A159" s="796" t="s">
        <v>10511</v>
      </c>
      <c r="B159" s="798" t="str">
        <f>IF(A159="","",IFERROR(VLOOKUP(A159,Kategorie!C:N,MATCH('General price list'!$W$17,Kategorie!$C$2:$N$2,0),FALSE),"× Chybí překlad ×"))</f>
        <v>× Chybí překlad ×</v>
      </c>
      <c r="C159" s="798" t="str">
        <f t="shared" si="2"/>
        <v>×</v>
      </c>
    </row>
    <row r="160" spans="1:3">
      <c r="A160" s="796" t="s">
        <v>20</v>
      </c>
      <c r="B160" s="798" t="str">
        <f>IF(A160="","",IFERROR(VLOOKUP(A160,Kategorie!C:N,MATCH('General price list'!$W$17,Kategorie!$C$2:$N$2,0),FALSE),"× Chybí překlad ×"))</f>
        <v/>
      </c>
      <c r="C160" s="798" t="str">
        <f t="shared" si="2"/>
        <v/>
      </c>
    </row>
    <row r="161" spans="1:3">
      <c r="A161" s="796" t="s">
        <v>20</v>
      </c>
      <c r="B161" s="798" t="str">
        <f>IF(A161="","",IFERROR(VLOOKUP(A161,Kategorie!C:N,MATCH('General price list'!$W$17,Kategorie!$C$2:$N$2,0),FALSE),"× Chybí překlad ×"))</f>
        <v/>
      </c>
      <c r="C161" s="798" t="str">
        <f t="shared" si="2"/>
        <v/>
      </c>
    </row>
    <row r="162" spans="1:3">
      <c r="A162" s="796" t="s">
        <v>20</v>
      </c>
      <c r="B162" s="798" t="str">
        <f>IF(A162="","",IFERROR(VLOOKUP(A162,Kategorie!C:N,MATCH('General price list'!$W$17,Kategorie!$C$2:$N$2,0),FALSE),"× Chybí překlad ×"))</f>
        <v/>
      </c>
      <c r="C162" s="798" t="str">
        <f t="shared" si="2"/>
        <v/>
      </c>
    </row>
    <row r="163" spans="1:3">
      <c r="A163" s="796" t="s">
        <v>6427</v>
      </c>
      <c r="B163" s="798" t="str">
        <f>IF(A163="","",IFERROR(VLOOKUP(A163,Kategorie!C:N,MATCH('General price list'!$W$17,Kategorie!$C$2:$N$2,0),FALSE),"× Chybí překlad ×"))</f>
        <v>Interiérové fontány</v>
      </c>
      <c r="C163" s="798" t="str">
        <f t="shared" si="2"/>
        <v xml:space="preserve">           Interiérové fontány</v>
      </c>
    </row>
    <row r="164" spans="1:3">
      <c r="A164" s="796" t="s">
        <v>10511</v>
      </c>
      <c r="B164" s="798" t="str">
        <f>IF(A164="","",IFERROR(VLOOKUP(A164,Kategorie!C:N,MATCH('General price list'!$W$17,Kategorie!$C$2:$N$2,0),FALSE),"× Chybí překlad ×"))</f>
        <v>× Chybí překlad ×</v>
      </c>
      <c r="C164" s="798" t="str">
        <f t="shared" si="2"/>
        <v>×</v>
      </c>
    </row>
    <row r="165" spans="1:3">
      <c r="A165" s="796" t="s">
        <v>20</v>
      </c>
      <c r="B165" s="798" t="str">
        <f>IF(A165="","",IFERROR(VLOOKUP(A165,Kategorie!C:N,MATCH('General price list'!$W$17,Kategorie!$C$2:$N$2,0),FALSE),"× Chybí překlad ×"))</f>
        <v/>
      </c>
      <c r="C165" s="798" t="str">
        <f t="shared" si="2"/>
        <v/>
      </c>
    </row>
    <row r="166" spans="1:3">
      <c r="A166" s="796" t="s">
        <v>20</v>
      </c>
      <c r="B166" s="798" t="str">
        <f>IF(A166="","",IFERROR(VLOOKUP(A166,Kategorie!C:N,MATCH('General price list'!$W$17,Kategorie!$C$2:$N$2,0),FALSE),"× Chybí překlad ×"))</f>
        <v/>
      </c>
      <c r="C166" s="798" t="str">
        <f t="shared" si="2"/>
        <v/>
      </c>
    </row>
    <row r="167" spans="1:3">
      <c r="A167" s="796" t="s">
        <v>20</v>
      </c>
      <c r="B167" s="798" t="str">
        <f>IF(A167="","",IFERROR(VLOOKUP(A167,Kategorie!C:N,MATCH('General price list'!$W$17,Kategorie!$C$2:$N$2,0),FALSE),"× Chybí překlad ×"))</f>
        <v/>
      </c>
      <c r="C167" s="798" t="str">
        <f t="shared" si="2"/>
        <v/>
      </c>
    </row>
    <row r="168" spans="1:3">
      <c r="A168" s="796" t="s">
        <v>13054</v>
      </c>
      <c r="B168" s="798" t="str">
        <f>IF(A168="","",IFERROR(VLOOKUP(A168,Kategorie!C:N,MATCH('General price list'!$W$17,Kategorie!$C$2:$N$2,0),FALSE),"× Chybí překlad ×"))</f>
        <v>Konfety 50 mm</v>
      </c>
      <c r="C168" s="798" t="str">
        <f t="shared" si="2"/>
        <v xml:space="preserve">           Konfety 50 mm</v>
      </c>
    </row>
    <row r="169" spans="1:3">
      <c r="A169" s="796" t="s">
        <v>20</v>
      </c>
      <c r="B169" s="798" t="str">
        <f>IF(A169="","",IFERROR(VLOOKUP(A169,Kategorie!C:N,MATCH('General price list'!$W$17,Kategorie!$C$2:$N$2,0),FALSE),"× Chybí překlad ×"))</f>
        <v/>
      </c>
      <c r="C169" s="798" t="str">
        <f t="shared" si="2"/>
        <v/>
      </c>
    </row>
    <row r="170" spans="1:3">
      <c r="A170" s="796" t="s">
        <v>13055</v>
      </c>
      <c r="B170" s="798" t="str">
        <f>IF(A170="","",IFERROR(VLOOKUP(A170,Kategorie!C:N,MATCH('General price list'!$W$17,Kategorie!$C$2:$N$2,0),FALSE),"× Chybí překlad ×"))</f>
        <v>Římské svíce 7 mm</v>
      </c>
      <c r="C170" s="798" t="str">
        <f t="shared" si="2"/>
        <v xml:space="preserve">           Římské svíce 7 mm</v>
      </c>
    </row>
    <row r="171" spans="1:3">
      <c r="A171" s="796" t="s">
        <v>20</v>
      </c>
      <c r="B171" s="798" t="str">
        <f>IF(A171="","",IFERROR(VLOOKUP(A171,Kategorie!C:N,MATCH('General price list'!$W$17,Kategorie!$C$2:$N$2,0),FALSE),"× Chybí překlad ×"))</f>
        <v/>
      </c>
      <c r="C171" s="798" t="str">
        <f t="shared" si="2"/>
        <v/>
      </c>
    </row>
    <row r="172" spans="1:3">
      <c r="A172" s="796" t="s">
        <v>20</v>
      </c>
      <c r="B172" s="798" t="str">
        <f>IF(A172="","",IFERROR(VLOOKUP(A172,Kategorie!C:N,MATCH('General price list'!$W$17,Kategorie!$C$2:$N$2,0),FALSE),"× Chybí překlad ×"))</f>
        <v/>
      </c>
      <c r="C172" s="798" t="str">
        <f t="shared" si="2"/>
        <v/>
      </c>
    </row>
    <row r="173" spans="1:3">
      <c r="A173" s="796" t="s">
        <v>13056</v>
      </c>
      <c r="B173" s="798" t="str">
        <f>IF(A173="","",IFERROR(VLOOKUP(A173,Kategorie!C:N,MATCH('General price list'!$W$17,Kategorie!$C$2:$N$2,0),FALSE),"× Chybí překlad ×"))</f>
        <v>Římské svíce 10 mm</v>
      </c>
      <c r="C173" s="798" t="str">
        <f t="shared" si="2"/>
        <v xml:space="preserve">           Římské svíce 10 mm</v>
      </c>
    </row>
    <row r="174" spans="1:3">
      <c r="A174" s="796" t="s">
        <v>20</v>
      </c>
      <c r="B174" s="798" t="str">
        <f>IF(A174="","",IFERROR(VLOOKUP(A174,Kategorie!C:N,MATCH('General price list'!$W$17,Kategorie!$C$2:$N$2,0),FALSE),"× Chybí překlad ×"))</f>
        <v/>
      </c>
      <c r="C174" s="798" t="str">
        <f t="shared" si="2"/>
        <v/>
      </c>
    </row>
    <row r="175" spans="1:3">
      <c r="A175" s="802" t="s">
        <v>20</v>
      </c>
      <c r="B175" s="798" t="str">
        <f>IF(A175="","",IFERROR(VLOOKUP(A175,Kategorie!C:N,MATCH('General price list'!$W$17,Kategorie!$C$2:$N$2,0),FALSE),"× Chybí překlad ×"))</f>
        <v/>
      </c>
      <c r="C175" s="798" t="str">
        <f t="shared" si="2"/>
        <v/>
      </c>
    </row>
    <row r="176" spans="1:3">
      <c r="A176" s="796" t="s">
        <v>20</v>
      </c>
      <c r="B176" s="798" t="str">
        <f>IF(A176="","",IFERROR(VLOOKUP(A176,Kategorie!C:N,MATCH('General price list'!$W$17,Kategorie!$C$2:$N$2,0),FALSE),"× Chybí překlad ×"))</f>
        <v/>
      </c>
      <c r="C176" s="798" t="str">
        <f t="shared" si="2"/>
        <v/>
      </c>
    </row>
    <row r="177" spans="1:3">
      <c r="A177" s="796" t="s">
        <v>20</v>
      </c>
      <c r="B177" s="798" t="str">
        <f>IF(A177="","",IFERROR(VLOOKUP(A177,Kategorie!C:N,MATCH('General price list'!$W$17,Kategorie!$C$2:$N$2,0),FALSE),"× Chybí překlad ×"))</f>
        <v/>
      </c>
      <c r="C177" s="798" t="str">
        <f t="shared" si="2"/>
        <v/>
      </c>
    </row>
    <row r="178" spans="1:3">
      <c r="A178" s="796" t="s">
        <v>20</v>
      </c>
      <c r="B178" s="798" t="str">
        <f>IF(A178="","",IFERROR(VLOOKUP(A178,Kategorie!C:N,MATCH('General price list'!$W$17,Kategorie!$C$2:$N$2,0),FALSE),"× Chybí překlad ×"))</f>
        <v/>
      </c>
      <c r="C178" s="798" t="str">
        <f t="shared" si="2"/>
        <v/>
      </c>
    </row>
    <row r="179" spans="1:3">
      <c r="A179" s="796" t="s">
        <v>20</v>
      </c>
      <c r="B179" s="798" t="str">
        <f>IF(A179="","",IFERROR(VLOOKUP(A179,Kategorie!C:N,MATCH('General price list'!$W$17,Kategorie!$C$2:$N$2,0),FALSE),"× Chybí překlad ×"))</f>
        <v/>
      </c>
      <c r="C179" s="798" t="str">
        <f t="shared" si="2"/>
        <v/>
      </c>
    </row>
    <row r="180" spans="1:3">
      <c r="A180" s="796" t="s">
        <v>20</v>
      </c>
      <c r="B180" s="798" t="str">
        <f>IF(A180="","",IFERROR(VLOOKUP(A180,Kategorie!C:N,MATCH('General price list'!$W$17,Kategorie!$C$2:$N$2,0),FALSE),"× Chybí překlad ×"))</f>
        <v/>
      </c>
      <c r="C180" s="798" t="str">
        <f t="shared" si="2"/>
        <v/>
      </c>
    </row>
    <row r="181" spans="1:3">
      <c r="A181" s="796" t="s">
        <v>13057</v>
      </c>
      <c r="B181" s="798" t="str">
        <f>IF(A181="","",IFERROR(VLOOKUP(A181,Kategorie!C:N,MATCH('General price list'!$W$17,Kategorie!$C$2:$N$2,0),FALSE),"× Chybí překlad ×"))</f>
        <v>Římské svíce 20 mm – Kat. F2</v>
      </c>
      <c r="C181" s="798" t="str">
        <f t="shared" si="2"/>
        <v xml:space="preserve">           Římské svíce 20 mm – Kat. F2</v>
      </c>
    </row>
    <row r="182" spans="1:3">
      <c r="A182" s="796" t="s">
        <v>20</v>
      </c>
      <c r="B182" s="798" t="str">
        <f>IF(A182="","",IFERROR(VLOOKUP(A182,Kategorie!C:N,MATCH('General price list'!$W$17,Kategorie!$C$2:$N$2,0),FALSE),"× Chybí překlad ×"))</f>
        <v/>
      </c>
      <c r="C182" s="798" t="str">
        <f t="shared" si="2"/>
        <v/>
      </c>
    </row>
    <row r="183" spans="1:3">
      <c r="A183" s="796" t="s">
        <v>20</v>
      </c>
      <c r="B183" s="798" t="str">
        <f>IF(A183="","",IFERROR(VLOOKUP(A183,Kategorie!C:N,MATCH('General price list'!$W$17,Kategorie!$C$2:$N$2,0),FALSE),"× Chybí překlad ×"))</f>
        <v/>
      </c>
      <c r="C183" s="798" t="str">
        <f t="shared" si="2"/>
        <v/>
      </c>
    </row>
    <row r="184" spans="1:3">
      <c r="A184" s="796" t="s">
        <v>20</v>
      </c>
      <c r="B184" s="798" t="str">
        <f>IF(A184="","",IFERROR(VLOOKUP(A184,Kategorie!C:N,MATCH('General price list'!$W$17,Kategorie!$C$2:$N$2,0),FALSE),"× Chybí překlad ×"))</f>
        <v/>
      </c>
      <c r="C184" s="798" t="str">
        <f t="shared" si="2"/>
        <v/>
      </c>
    </row>
    <row r="185" spans="1:3">
      <c r="A185" s="796" t="s">
        <v>13058</v>
      </c>
      <c r="B185" s="798" t="str">
        <f>IF(A185="","",IFERROR(VLOOKUP(A185,Kategorie!C:N,MATCH('General price list'!$W$17,Kategorie!$C$2:$N$2,0),FALSE),"× Chybí překlad ×"))</f>
        <v>Římské svíce 20 mm – Kat. F3</v>
      </c>
      <c r="C185" s="798" t="str">
        <f t="shared" si="2"/>
        <v xml:space="preserve">           Římské svíce 20 mm – Kat. F3</v>
      </c>
    </row>
    <row r="186" spans="1:3">
      <c r="A186" s="796" t="s">
        <v>20</v>
      </c>
      <c r="B186" s="798" t="str">
        <f>IF(A186="","",IFERROR(VLOOKUP(A186,Kategorie!C:N,MATCH('General price list'!$W$17,Kategorie!$C$2:$N$2,0),FALSE),"× Chybí překlad ×"))</f>
        <v/>
      </c>
      <c r="C186" s="798" t="str">
        <f t="shared" si="2"/>
        <v/>
      </c>
    </row>
    <row r="187" spans="1:3">
      <c r="A187" s="796" t="s">
        <v>20</v>
      </c>
      <c r="B187" s="798" t="str">
        <f>IF(A187="","",IFERROR(VLOOKUP(A187,Kategorie!C:N,MATCH('General price list'!$W$17,Kategorie!$C$2:$N$2,0),FALSE),"× Chybí překlad ×"))</f>
        <v/>
      </c>
      <c r="C187" s="798" t="str">
        <f t="shared" si="2"/>
        <v/>
      </c>
    </row>
    <row r="188" spans="1:3">
      <c r="A188" s="796" t="s">
        <v>10511</v>
      </c>
      <c r="B188" s="798" t="str">
        <f>IF(A188="","",IFERROR(VLOOKUP(A188,Kategorie!C:N,MATCH('General price list'!$W$17,Kategorie!$C$2:$N$2,0),FALSE),"× Chybí překlad ×"))</f>
        <v>× Chybí překlad ×</v>
      </c>
      <c r="C188" s="798" t="str">
        <f t="shared" si="2"/>
        <v>×</v>
      </c>
    </row>
    <row r="189" spans="1:3">
      <c r="A189" s="796" t="s">
        <v>20</v>
      </c>
      <c r="B189" s="798" t="str">
        <f>IF(A189="","",IFERROR(VLOOKUP(A189,Kategorie!C:N,MATCH('General price list'!$W$17,Kategorie!$C$2:$N$2,0),FALSE),"× Chybí překlad ×"))</f>
        <v/>
      </c>
      <c r="C189" s="798" t="str">
        <f t="shared" si="2"/>
        <v/>
      </c>
    </row>
    <row r="190" spans="1:3">
      <c r="A190" s="796" t="s">
        <v>20</v>
      </c>
      <c r="B190" s="798" t="str">
        <f>IF(A190="","",IFERROR(VLOOKUP(A190,Kategorie!C:N,MATCH('General price list'!$W$17,Kategorie!$C$2:$N$2,0),FALSE),"× Chybí překlad ×"))</f>
        <v/>
      </c>
      <c r="C190" s="798" t="str">
        <f t="shared" si="2"/>
        <v/>
      </c>
    </row>
    <row r="191" spans="1:3">
      <c r="A191" s="796" t="s">
        <v>13059</v>
      </c>
      <c r="B191" s="798" t="str">
        <f>IF(A191="","",IFERROR(VLOOKUP(A191,Kategorie!C:N,MATCH('General price list'!$W$17,Kategorie!$C$2:$N$2,0),FALSE),"× Chybí překlad ×"))</f>
        <v>Římské svíce 30 mm</v>
      </c>
      <c r="C191" s="798" t="str">
        <f t="shared" si="2"/>
        <v xml:space="preserve">           Římské svíce 30 mm</v>
      </c>
    </row>
    <row r="192" spans="1:3">
      <c r="A192" s="796" t="s">
        <v>20</v>
      </c>
      <c r="B192" s="798" t="str">
        <f>IF(A192="","",IFERROR(VLOOKUP(A192,Kategorie!C:N,MATCH('General price list'!$W$17,Kategorie!$C$2:$N$2,0),FALSE),"× Chybí překlad ×"))</f>
        <v/>
      </c>
      <c r="C192" s="798" t="str">
        <f t="shared" si="2"/>
        <v/>
      </c>
    </row>
    <row r="193" spans="1:3">
      <c r="A193" s="802" t="s">
        <v>20</v>
      </c>
      <c r="B193" s="798" t="str">
        <f>IF(A193="","",IFERROR(VLOOKUP(A193,Kategorie!C:N,MATCH('General price list'!$W$17,Kategorie!$C$2:$N$2,0),FALSE),"× Chybí překlad ×"))</f>
        <v/>
      </c>
      <c r="C193" s="798" t="str">
        <f t="shared" si="2"/>
        <v/>
      </c>
    </row>
    <row r="194" spans="1:3">
      <c r="A194" s="796" t="s">
        <v>6430</v>
      </c>
      <c r="B194" s="798" t="str">
        <f>IF(A194="","",IFERROR(VLOOKUP(A194,Kategorie!C:N,MATCH('General price list'!$W$17,Kategorie!$C$2:$N$2,0),FALSE),"× Chybí překlad ×"))</f>
        <v>Baterie římských svící</v>
      </c>
      <c r="C194" s="798" t="str">
        <f t="shared" si="2"/>
        <v xml:space="preserve">           Baterie římských svící</v>
      </c>
    </row>
    <row r="195" spans="1:3">
      <c r="A195" s="796" t="s">
        <v>20</v>
      </c>
      <c r="B195" s="798" t="str">
        <f>IF(A195="","",IFERROR(VLOOKUP(A195,Kategorie!C:N,MATCH('General price list'!$W$17,Kategorie!$C$2:$N$2,0),FALSE),"× Chybí překlad ×"))</f>
        <v/>
      </c>
      <c r="C195" s="798" t="str">
        <f t="shared" si="2"/>
        <v/>
      </c>
    </row>
    <row r="196" spans="1:3">
      <c r="A196" s="796" t="s">
        <v>20</v>
      </c>
      <c r="B196" s="798" t="str">
        <f>IF(A196="","",IFERROR(VLOOKUP(A196,Kategorie!C:N,MATCH('General price list'!$W$17,Kategorie!$C$2:$N$2,0),FALSE),"× Chybí překlad ×"))</f>
        <v/>
      </c>
      <c r="C196" s="798" t="str">
        <f t="shared" si="2"/>
        <v/>
      </c>
    </row>
    <row r="197" spans="1:3">
      <c r="A197" s="796" t="s">
        <v>6431</v>
      </c>
      <c r="B197" s="798" t="str">
        <f>IF(A197="","",IFERROR(VLOOKUP(A197,Kategorie!C:N,MATCH('General price list'!$W$17,Kategorie!$C$2:$N$2,0),FALSE),"× Chybí překlad ×"))</f>
        <v>Vystřelovací trubice F2</v>
      </c>
      <c r="C197" s="798" t="str">
        <f t="shared" si="2"/>
        <v xml:space="preserve">           Vystřelovací trubice F2</v>
      </c>
    </row>
    <row r="198" spans="1:3">
      <c r="A198" s="796" t="s">
        <v>20</v>
      </c>
      <c r="B198" s="798" t="str">
        <f>IF(A198="","",IFERROR(VLOOKUP(A198,Kategorie!C:N,MATCH('General price list'!$W$17,Kategorie!$C$2:$N$2,0),FALSE),"× Chybí překlad ×"))</f>
        <v/>
      </c>
      <c r="C198" s="798" t="str">
        <f t="shared" si="2"/>
        <v/>
      </c>
    </row>
    <row r="199" spans="1:3">
      <c r="A199" s="796" t="s">
        <v>20</v>
      </c>
      <c r="B199" s="798" t="str">
        <f>IF(A199="","",IFERROR(VLOOKUP(A199,Kategorie!C:N,MATCH('General price list'!$W$17,Kategorie!$C$2:$N$2,0),FALSE),"× Chybí překlad ×"))</f>
        <v/>
      </c>
      <c r="C199" s="798" t="str">
        <f t="shared" si="2"/>
        <v/>
      </c>
    </row>
    <row r="200" spans="1:3">
      <c r="A200" s="796" t="s">
        <v>20</v>
      </c>
      <c r="B200" s="798" t="str">
        <f>IF(A200="","",IFERROR(VLOOKUP(A200,Kategorie!C:N,MATCH('General price list'!$W$17,Kategorie!$C$2:$N$2,0),FALSE),"× Chybí překlad ×"))</f>
        <v/>
      </c>
      <c r="C200" s="798" t="str">
        <f t="shared" si="2"/>
        <v/>
      </c>
    </row>
    <row r="201" spans="1:3">
      <c r="A201" s="802" t="s">
        <v>20</v>
      </c>
      <c r="B201" s="798" t="str">
        <f>IF(A201="","",IFERROR(VLOOKUP(A201,Kategorie!C:N,MATCH('General price list'!$W$17,Kategorie!$C$2:$N$2,0),FALSE),"× Chybí překlad ×"))</f>
        <v/>
      </c>
      <c r="C201" s="798" t="str">
        <f t="shared" si="2"/>
        <v/>
      </c>
    </row>
    <row r="202" spans="1:3">
      <c r="A202" s="796" t="s">
        <v>20</v>
      </c>
      <c r="B202" s="798" t="str">
        <f>IF(A202="","",IFERROR(VLOOKUP(A202,Kategorie!C:N,MATCH('General price list'!$W$17,Kategorie!$C$2:$N$2,0),FALSE),"× Chybí překlad ×"))</f>
        <v/>
      </c>
      <c r="C202" s="798" t="str">
        <f t="shared" si="2"/>
        <v/>
      </c>
    </row>
    <row r="203" spans="1:3">
      <c r="A203" s="796" t="s">
        <v>20</v>
      </c>
      <c r="B203" s="798" t="str">
        <f>IF(A203="","",IFERROR(VLOOKUP(A203,Kategorie!C:N,MATCH('General price list'!$W$17,Kategorie!$C$2:$N$2,0),FALSE),"× Chybí překlad ×"))</f>
        <v/>
      </c>
      <c r="C203" s="798" t="str">
        <f t="shared" si="2"/>
        <v/>
      </c>
    </row>
    <row r="204" spans="1:3">
      <c r="A204" s="802" t="s">
        <v>20</v>
      </c>
      <c r="B204" s="798" t="str">
        <f>IF(A204="","",IFERROR(VLOOKUP(A204,Kategorie!C:N,MATCH('General price list'!$W$17,Kategorie!$C$2:$N$2,0),FALSE),"× Chybí překlad ×"))</f>
        <v/>
      </c>
      <c r="C204" s="798" t="str">
        <f t="shared" si="2"/>
        <v/>
      </c>
    </row>
    <row r="205" spans="1:3">
      <c r="A205" s="796" t="s">
        <v>20</v>
      </c>
      <c r="B205" s="798" t="str">
        <f>IF(A205="","",IFERROR(VLOOKUP(A205,Kategorie!C:N,MATCH('General price list'!$W$17,Kategorie!$C$2:$N$2,0),FALSE),"× Chybí překlad ×"))</f>
        <v/>
      </c>
      <c r="C205" s="798" t="str">
        <f t="shared" si="2"/>
        <v/>
      </c>
    </row>
    <row r="206" spans="1:3">
      <c r="A206" s="796" t="s">
        <v>6432</v>
      </c>
      <c r="B206" s="798" t="str">
        <f>IF(A206="","",IFERROR(VLOOKUP(A206,Kategorie!C:N,MATCH('General price list'!$W$17,Kategorie!$C$2:$N$2,0),FALSE),"× Chybí překlad ×"))</f>
        <v>Vystřelovací trubice F3</v>
      </c>
      <c r="C206" s="798" t="str">
        <f t="shared" si="2"/>
        <v xml:space="preserve">           Vystřelovací trubice F3</v>
      </c>
    </row>
    <row r="207" spans="1:3">
      <c r="A207" s="796" t="s">
        <v>20</v>
      </c>
      <c r="B207" s="798" t="str">
        <f>IF(A207="","",IFERROR(VLOOKUP(A207,Kategorie!C:N,MATCH('General price list'!$W$17,Kategorie!$C$2:$N$2,0),FALSE),"× Chybí překlad ×"))</f>
        <v/>
      </c>
      <c r="C207" s="798" t="str">
        <f t="shared" si="2"/>
        <v/>
      </c>
    </row>
    <row r="208" spans="1:3">
      <c r="A208" s="796" t="s">
        <v>10511</v>
      </c>
      <c r="B208" s="798" t="str">
        <f>IF(A208="","",IFERROR(VLOOKUP(A208,Kategorie!C:N,MATCH('General price list'!$W$17,Kategorie!$C$2:$N$2,0),FALSE),"× Chybí překlad ×"))</f>
        <v>× Chybí překlad ×</v>
      </c>
      <c r="C208" s="798" t="str">
        <f t="shared" si="2"/>
        <v>×</v>
      </c>
    </row>
    <row r="209" spans="1:3">
      <c r="A209" s="796" t="s">
        <v>20</v>
      </c>
      <c r="B209" s="798" t="str">
        <f>IF(A209="","",IFERROR(VLOOKUP(A209,Kategorie!C:N,MATCH('General price list'!$W$17,Kategorie!$C$2:$N$2,0),FALSE),"× Chybí překlad ×"))</f>
        <v/>
      </c>
      <c r="C209" s="798" t="str">
        <f t="shared" si="2"/>
        <v/>
      </c>
    </row>
    <row r="210" spans="1:3">
      <c r="A210" s="796" t="s">
        <v>20</v>
      </c>
      <c r="B210" s="798" t="str">
        <f>IF(A210="","",IFERROR(VLOOKUP(A210,Kategorie!C:N,MATCH('General price list'!$W$17,Kategorie!$C$2:$N$2,0),FALSE),"× Chybí překlad ×"))</f>
        <v/>
      </c>
      <c r="C210" s="798" t="str">
        <f t="shared" si="2"/>
        <v/>
      </c>
    </row>
    <row r="211" spans="1:3">
      <c r="A211" s="796" t="s">
        <v>12621</v>
      </c>
      <c r="B211" s="798" t="str">
        <f>IF(A211="","",IFERROR(VLOOKUP(A211,Kategorie!C:N,MATCH('General price list'!$W$17,Kategorie!$C$2:$N$2,0),FALSE),"× Chybí překlad ×"))</f>
        <v>Miny F2</v>
      </c>
      <c r="C211" s="798" t="str">
        <f t="shared" si="2"/>
        <v xml:space="preserve">           Miny F2</v>
      </c>
    </row>
    <row r="212" spans="1:3">
      <c r="A212" s="796" t="s">
        <v>20</v>
      </c>
      <c r="B212" s="798" t="str">
        <f>IF(A212="","",IFERROR(VLOOKUP(A212,Kategorie!C:N,MATCH('General price list'!$W$17,Kategorie!$C$2:$N$2,0),FALSE),"× Chybí překlad ×"))</f>
        <v/>
      </c>
      <c r="C212" s="798" t="str">
        <f t="shared" si="2"/>
        <v/>
      </c>
    </row>
    <row r="213" spans="1:3">
      <c r="A213" s="796" t="s">
        <v>20</v>
      </c>
      <c r="B213" s="798" t="str">
        <f>IF(A213="","",IFERROR(VLOOKUP(A213,Kategorie!C:N,MATCH('General price list'!$W$17,Kategorie!$C$2:$N$2,0),FALSE),"× Chybí překlad ×"))</f>
        <v/>
      </c>
      <c r="C213" s="798" t="str">
        <f t="shared" si="2"/>
        <v/>
      </c>
    </row>
    <row r="214" spans="1:3">
      <c r="A214" s="796" t="s">
        <v>13060</v>
      </c>
      <c r="B214" s="798" t="str">
        <f>IF(A214="","",IFERROR(VLOOKUP(A214,Kategorie!C:N,MATCH('General price list'!$W$17,Kategorie!$C$2:$N$2,0),FALSE),"× Chybí překlad ×"))</f>
        <v>Vystřelovací trubice (3 rány), 20 mm moždíř</v>
      </c>
      <c r="C214" s="798" t="str">
        <f t="shared" si="2"/>
        <v xml:space="preserve">           Vystřelovací trubice (3 rány), 20 mm moždíř</v>
      </c>
    </row>
    <row r="215" spans="1:3">
      <c r="A215" s="796" t="s">
        <v>20</v>
      </c>
      <c r="B215" s="798" t="str">
        <f>IF(A215="","",IFERROR(VLOOKUP(A215,Kategorie!C:N,MATCH('General price list'!$W$17,Kategorie!$C$2:$N$2,0),FALSE),"× Chybí překlad ×"))</f>
        <v/>
      </c>
      <c r="C215" s="798" t="str">
        <f t="shared" si="2"/>
        <v/>
      </c>
    </row>
    <row r="216" spans="1:3">
      <c r="A216" s="796" t="s">
        <v>20</v>
      </c>
      <c r="B216" s="798" t="str">
        <f>IF(A216="","",IFERROR(VLOOKUP(A216,Kategorie!C:N,MATCH('General price list'!$W$17,Kategorie!$C$2:$N$2,0),FALSE),"× Chybí překlad ×"))</f>
        <v/>
      </c>
      <c r="C216" s="798" t="str">
        <f t="shared" ref="C216:C260" si="3">IF(A216="","",IF(A216="x","×",$B$1&amp;B216))</f>
        <v/>
      </c>
    </row>
    <row r="217" spans="1:3">
      <c r="A217" s="802" t="s">
        <v>20</v>
      </c>
      <c r="B217" s="798" t="str">
        <f>IF(A217="","",IFERROR(VLOOKUP(A217,Kategorie!C:N,MATCH('General price list'!$W$17,Kategorie!$C$2:$N$2,0),FALSE),"× Chybí překlad ×"))</f>
        <v/>
      </c>
      <c r="C217" s="798" t="str">
        <f t="shared" si="3"/>
        <v/>
      </c>
    </row>
    <row r="218" spans="1:3">
      <c r="A218" s="796" t="s">
        <v>13061</v>
      </c>
      <c r="B218" s="798" t="str">
        <f>IF(A218="","",IFERROR(VLOOKUP(A218,Kategorie!C:N,MATCH('General price list'!$W$17,Kategorie!$C$2:$N$2,0),FALSE),"× Chybí překlad ×"))</f>
        <v>Vystřelovací trubice (3 rány), 30 mm moždíř</v>
      </c>
      <c r="C218" s="798" t="str">
        <f t="shared" si="3"/>
        <v xml:space="preserve">           Vystřelovací trubice (3 rány), 30 mm moždíř</v>
      </c>
    </row>
    <row r="219" spans="1:3">
      <c r="A219" s="796" t="s">
        <v>20</v>
      </c>
      <c r="B219" s="798" t="str">
        <f>IF(A219="","",IFERROR(VLOOKUP(A219,Kategorie!C:N,MATCH('General price list'!$W$17,Kategorie!$C$2:$N$2,0),FALSE),"× Chybí překlad ×"))</f>
        <v/>
      </c>
      <c r="C219" s="798" t="str">
        <f t="shared" si="3"/>
        <v/>
      </c>
    </row>
    <row r="220" spans="1:3">
      <c r="A220" s="796" t="s">
        <v>20</v>
      </c>
      <c r="B220" s="798" t="str">
        <f>IF(A220="","",IFERROR(VLOOKUP(A220,Kategorie!C:N,MATCH('General price list'!$W$17,Kategorie!$C$2:$N$2,0),FALSE),"× Chybí překlad ×"))</f>
        <v/>
      </c>
      <c r="C220" s="798" t="str">
        <f t="shared" si="3"/>
        <v/>
      </c>
    </row>
    <row r="221" spans="1:3">
      <c r="A221" s="796" t="s">
        <v>6433</v>
      </c>
      <c r="B221" s="798" t="str">
        <f>IF(A221="","",IFERROR(VLOOKUP(A221,Kategorie!C:N,MATCH('General price list'!$W$17,Kategorie!$C$2:$N$2,0),FALSE),"× Chybí překlad ×"))</f>
        <v>Sada kulových pum s moždířem</v>
      </c>
      <c r="C221" s="798" t="str">
        <f t="shared" si="3"/>
        <v xml:space="preserve">           Sada kulových pum s moždířem</v>
      </c>
    </row>
    <row r="222" spans="1:3">
      <c r="A222" s="796" t="s">
        <v>20</v>
      </c>
      <c r="B222" s="798" t="str">
        <f>IF(A222="","",IFERROR(VLOOKUP(A222,Kategorie!C:N,MATCH('General price list'!$W$17,Kategorie!$C$2:$N$2,0),FALSE),"× Chybí překlad ×"))</f>
        <v/>
      </c>
      <c r="C222" s="798" t="str">
        <f t="shared" si="3"/>
        <v/>
      </c>
    </row>
    <row r="223" spans="1:3">
      <c r="A223" s="802" t="s">
        <v>6434</v>
      </c>
      <c r="B223" s="798" t="str">
        <f>IF(A223="","",IFERROR(VLOOKUP(A223,Kategorie!C:N,MATCH('General price list'!$W$17,Kategorie!$C$2:$N$2,0),FALSE),"× Chybí překlad ×"))</f>
        <v>Škrtací petardy</v>
      </c>
      <c r="C223" s="798" t="str">
        <f t="shared" si="3"/>
        <v xml:space="preserve">           Škrtací petardy</v>
      </c>
    </row>
    <row r="224" spans="1:3">
      <c r="A224" s="796" t="s">
        <v>20</v>
      </c>
      <c r="B224" s="798" t="str">
        <f>IF(A224="","",IFERROR(VLOOKUP(A224,Kategorie!C:N,MATCH('General price list'!$W$17,Kategorie!$C$2:$N$2,0),FALSE),"× Chybí překlad ×"))</f>
        <v/>
      </c>
      <c r="C224" s="798" t="str">
        <f t="shared" si="3"/>
        <v/>
      </c>
    </row>
    <row r="225" spans="1:3">
      <c r="A225" s="796" t="s">
        <v>20</v>
      </c>
      <c r="B225" s="798" t="str">
        <f>IF(A225="","",IFERROR(VLOOKUP(A225,Kategorie!C:N,MATCH('General price list'!$W$17,Kategorie!$C$2:$N$2,0),FALSE),"× Chybí překlad ×"))</f>
        <v/>
      </c>
      <c r="C225" s="798" t="str">
        <f t="shared" si="3"/>
        <v/>
      </c>
    </row>
    <row r="226" spans="1:3">
      <c r="A226" s="796" t="s">
        <v>20</v>
      </c>
      <c r="B226" s="798" t="str">
        <f>IF(A226="","",IFERROR(VLOOKUP(A226,Kategorie!C:N,MATCH('General price list'!$W$17,Kategorie!$C$2:$N$2,0),FALSE),"× Chybí překlad ×"))</f>
        <v/>
      </c>
      <c r="C226" s="798" t="str">
        <f t="shared" si="3"/>
        <v/>
      </c>
    </row>
    <row r="227" spans="1:3">
      <c r="A227" s="802" t="s">
        <v>6435</v>
      </c>
      <c r="B227" s="798" t="str">
        <f>IF(A227="","",IFERROR(VLOOKUP(A227,Kategorie!C:N,MATCH('General price list'!$W$17,Kategorie!$C$2:$N$2,0),FALSE),"× Chybí překlad ×"))</f>
        <v>Petardy se zápalnou šňůrou F2</v>
      </c>
      <c r="C227" s="798" t="str">
        <f t="shared" si="3"/>
        <v xml:space="preserve">           Petardy se zápalnou šňůrou F2</v>
      </c>
    </row>
    <row r="228" spans="1:3">
      <c r="A228" s="796" t="s">
        <v>20</v>
      </c>
      <c r="B228" s="798" t="str">
        <f>IF(A228="","",IFERROR(VLOOKUP(A228,Kategorie!C:N,MATCH('General price list'!$W$17,Kategorie!$C$2:$N$2,0),FALSE),"× Chybí překlad ×"))</f>
        <v/>
      </c>
      <c r="C228" s="798" t="str">
        <f t="shared" si="3"/>
        <v/>
      </c>
    </row>
    <row r="229" spans="1:3">
      <c r="A229" s="802" t="s">
        <v>20</v>
      </c>
      <c r="B229" s="798" t="str">
        <f>IF(A229="","",IFERROR(VLOOKUP(A229,Kategorie!C:N,MATCH('General price list'!$W$17,Kategorie!$C$2:$N$2,0),FALSE),"× Chybí překlad ×"))</f>
        <v/>
      </c>
      <c r="C229" s="798" t="str">
        <f t="shared" si="3"/>
        <v/>
      </c>
    </row>
    <row r="230" spans="1:3">
      <c r="A230" s="796" t="s">
        <v>20</v>
      </c>
      <c r="B230" s="798" t="str">
        <f>IF(A230="","",IFERROR(VLOOKUP(A230,Kategorie!C:N,MATCH('General price list'!$W$17,Kategorie!$C$2:$N$2,0),FALSE),"× Chybí překlad ×"))</f>
        <v/>
      </c>
      <c r="C230" s="798" t="str">
        <f t="shared" si="3"/>
        <v/>
      </c>
    </row>
    <row r="231" spans="1:3">
      <c r="A231" s="796" t="s">
        <v>20</v>
      </c>
      <c r="B231" s="798" t="str">
        <f>IF(A231="","",IFERROR(VLOOKUP(A231,Kategorie!C:N,MATCH('General price list'!$W$17,Kategorie!$C$2:$N$2,0),FALSE),"× Chybí překlad ×"))</f>
        <v/>
      </c>
      <c r="C231" s="798" t="str">
        <f t="shared" si="3"/>
        <v/>
      </c>
    </row>
    <row r="232" spans="1:3">
      <c r="A232" s="796" t="s">
        <v>20</v>
      </c>
      <c r="B232" s="798" t="str">
        <f>IF(A232="","",IFERROR(VLOOKUP(A232,Kategorie!C:N,MATCH('General price list'!$W$17,Kategorie!$C$2:$N$2,0),FALSE),"× Chybí překlad ×"))</f>
        <v/>
      </c>
      <c r="C232" s="798" t="str">
        <f t="shared" si="3"/>
        <v/>
      </c>
    </row>
    <row r="233" spans="1:3">
      <c r="A233" s="796" t="s">
        <v>20</v>
      </c>
      <c r="B233" s="798" t="str">
        <f>IF(A233="","",IFERROR(VLOOKUP(A233,Kategorie!C:N,MATCH('General price list'!$W$17,Kategorie!$C$2:$N$2,0),FALSE),"× Chybí překlad ×"))</f>
        <v/>
      </c>
      <c r="C233" s="798" t="str">
        <f t="shared" si="3"/>
        <v/>
      </c>
    </row>
    <row r="234" spans="1:3">
      <c r="A234" s="796" t="s">
        <v>13062</v>
      </c>
      <c r="B234" s="798" t="str">
        <f>IF(A234="","",IFERROR(VLOOKUP(A234,Kategorie!C:N,MATCH('General price list'!$W$17,Kategorie!$C$2:$N$2,0),FALSE),"× Chybí překlad ×"))</f>
        <v>Petardy se zápalnou šňůrou F2 (černoprachová)</v>
      </c>
      <c r="C234" s="798" t="str">
        <f t="shared" si="3"/>
        <v xml:space="preserve">           Petardy se zápalnou šňůrou F2 (černoprachová)</v>
      </c>
    </row>
    <row r="235" spans="1:3">
      <c r="A235" s="802" t="s">
        <v>20</v>
      </c>
      <c r="B235" s="798" t="str">
        <f>IF(A235="","",IFERROR(VLOOKUP(A235,Kategorie!C:N,MATCH('General price list'!$W$17,Kategorie!$C$2:$N$2,0),FALSE),"× Chybí překlad ×"))</f>
        <v/>
      </c>
      <c r="C235" s="798" t="str">
        <f t="shared" si="3"/>
        <v/>
      </c>
    </row>
    <row r="236" spans="1:3">
      <c r="A236" s="796" t="s">
        <v>20</v>
      </c>
      <c r="B236" s="798" t="str">
        <f>IF(A236="","",IFERROR(VLOOKUP(A236,Kategorie!C:N,MATCH('General price list'!$W$17,Kategorie!$C$2:$N$2,0),FALSE),"× Chybí překlad ×"))</f>
        <v/>
      </c>
      <c r="C236" s="798" t="str">
        <f t="shared" si="3"/>
        <v/>
      </c>
    </row>
    <row r="237" spans="1:3">
      <c r="A237" s="796" t="s">
        <v>20</v>
      </c>
      <c r="B237" s="798" t="str">
        <f>IF(A237="","",IFERROR(VLOOKUP(A237,Kategorie!C:N,MATCH('General price list'!$W$17,Kategorie!$C$2:$N$2,0),FALSE),"× Chybí překlad ×"))</f>
        <v/>
      </c>
      <c r="C237" s="798" t="str">
        <f t="shared" si="3"/>
        <v/>
      </c>
    </row>
    <row r="238" spans="1:3">
      <c r="A238" s="802" t="s">
        <v>6437</v>
      </c>
      <c r="B238" s="798" t="str">
        <f>IF(A238="","",IFERROR(VLOOKUP(A238,Kategorie!C:N,MATCH('General price list'!$W$17,Kategorie!$C$2:$N$2,0),FALSE),"× Chybí překlad ×"))</f>
        <v>Petardy se zápalnou šňůrou F3</v>
      </c>
      <c r="C238" s="798" t="str">
        <f t="shared" si="3"/>
        <v xml:space="preserve">           Petardy se zápalnou šňůrou F3</v>
      </c>
    </row>
    <row r="239" spans="1:3">
      <c r="A239" s="796" t="s">
        <v>20</v>
      </c>
      <c r="B239" s="798" t="str">
        <f>IF(A239="","",IFERROR(VLOOKUP(A239,Kategorie!C:N,MATCH('General price list'!$W$17,Kategorie!$C$2:$N$2,0),FALSE),"× Chybí překlad ×"))</f>
        <v/>
      </c>
      <c r="C239" s="798" t="str">
        <f t="shared" si="3"/>
        <v/>
      </c>
    </row>
    <row r="240" spans="1:3">
      <c r="A240" s="796" t="s">
        <v>20</v>
      </c>
      <c r="B240" s="798" t="str">
        <f>IF(A240="","",IFERROR(VLOOKUP(A240,Kategorie!C:N,MATCH('General price list'!$W$17,Kategorie!$C$2:$N$2,0),FALSE),"× Chybí překlad ×"))</f>
        <v/>
      </c>
      <c r="C240" s="798" t="str">
        <f t="shared" si="3"/>
        <v/>
      </c>
    </row>
    <row r="241" spans="1:3">
      <c r="A241" s="802" t="s">
        <v>20</v>
      </c>
      <c r="B241" s="798" t="str">
        <f>IF(A241="","",IFERROR(VLOOKUP(A241,Kategorie!C:N,MATCH('General price list'!$W$17,Kategorie!$C$2:$N$2,0),FALSE),"× Chybí překlad ×"))</f>
        <v/>
      </c>
      <c r="C241" s="798" t="str">
        <f t="shared" si="3"/>
        <v/>
      </c>
    </row>
    <row r="242" spans="1:3">
      <c r="A242" s="796" t="s">
        <v>20</v>
      </c>
      <c r="B242" s="798" t="str">
        <f>IF(A242="","",IFERROR(VLOOKUP(A242,Kategorie!C:N,MATCH('General price list'!$W$17,Kategorie!$C$2:$N$2,0),FALSE),"× Chybí překlad ×"))</f>
        <v/>
      </c>
      <c r="C242" s="798" t="str">
        <f t="shared" si="3"/>
        <v/>
      </c>
    </row>
    <row r="243" spans="1:3">
      <c r="A243" s="796" t="s">
        <v>20</v>
      </c>
      <c r="B243" s="798" t="str">
        <f>IF(A243="","",IFERROR(VLOOKUP(A243,Kategorie!C:N,MATCH('General price list'!$W$17,Kategorie!$C$2:$N$2,0),FALSE),"× Chybí překlad ×"))</f>
        <v/>
      </c>
      <c r="C243" s="798" t="str">
        <f t="shared" si="3"/>
        <v/>
      </c>
    </row>
    <row r="244" spans="1:3">
      <c r="A244" s="796" t="s">
        <v>20</v>
      </c>
      <c r="B244" s="798" t="str">
        <f>IF(A244="","",IFERROR(VLOOKUP(A244,Kategorie!C:N,MATCH('General price list'!$W$17,Kategorie!$C$2:$N$2,0),FALSE),"× Chybí překlad ×"))</f>
        <v/>
      </c>
      <c r="C244" s="798" t="str">
        <f t="shared" si="3"/>
        <v/>
      </c>
    </row>
    <row r="245" spans="1:3">
      <c r="A245" s="796" t="s">
        <v>20</v>
      </c>
      <c r="B245" s="798" t="str">
        <f>IF(A245="","",IFERROR(VLOOKUP(A245,Kategorie!C:N,MATCH('General price list'!$W$17,Kategorie!$C$2:$N$2,0),FALSE),"× Chybí překlad ×"))</f>
        <v/>
      </c>
      <c r="C245" s="798" t="str">
        <f t="shared" si="3"/>
        <v/>
      </c>
    </row>
    <row r="246" spans="1:3">
      <c r="A246" s="802" t="s">
        <v>20</v>
      </c>
      <c r="B246" s="798" t="str">
        <f>IF(A246="","",IFERROR(VLOOKUP(A246,Kategorie!C:N,MATCH('General price list'!$W$17,Kategorie!$C$2:$N$2,0),FALSE),"× Chybí překlad ×"))</f>
        <v/>
      </c>
      <c r="C246" s="798" t="str">
        <f t="shared" si="3"/>
        <v/>
      </c>
    </row>
    <row r="247" spans="1:3">
      <c r="A247" s="802" t="s">
        <v>20</v>
      </c>
      <c r="B247" s="798" t="str">
        <f>IF(A247="","",IFERROR(VLOOKUP(A247,Kategorie!C:N,MATCH('General price list'!$W$17,Kategorie!$C$2:$N$2,0),FALSE),"× Chybí překlad ×"))</f>
        <v/>
      </c>
      <c r="C247" s="798" t="str">
        <f t="shared" si="3"/>
        <v/>
      </c>
    </row>
    <row r="248" spans="1:3">
      <c r="A248" s="796" t="s">
        <v>20</v>
      </c>
      <c r="B248" s="798" t="str">
        <f>IF(A248="","",IFERROR(VLOOKUP(A248,Kategorie!C:N,MATCH('General price list'!$W$17,Kategorie!$C$2:$N$2,0),FALSE),"× Chybí překlad ×"))</f>
        <v/>
      </c>
      <c r="C248" s="798" t="str">
        <f t="shared" si="3"/>
        <v/>
      </c>
    </row>
    <row r="249" spans="1:3">
      <c r="A249" s="802" t="s">
        <v>20</v>
      </c>
      <c r="B249" s="798" t="str">
        <f>IF(A249="","",IFERROR(VLOOKUP(A249,Kategorie!C:N,MATCH('General price list'!$W$17,Kategorie!$C$2:$N$2,0),FALSE),"× Chybí překlad ×"))</f>
        <v/>
      </c>
      <c r="C249" s="798" t="str">
        <f t="shared" si="3"/>
        <v/>
      </c>
    </row>
    <row r="250" spans="1:3">
      <c r="A250" s="796" t="s">
        <v>6439</v>
      </c>
      <c r="B250" s="798" t="str">
        <f>IF(A250="","",IFERROR(VLOOKUP(A250,Kategorie!C:N,MATCH('General price list'!$W$17,Kategorie!$C$2:$N$2,0),FALSE),"× Chybí překlad ×"))</f>
        <v>Petardy se zápalnou šňůrou P1</v>
      </c>
      <c r="C250" s="798" t="str">
        <f t="shared" si="3"/>
        <v xml:space="preserve">           Petardy se zápalnou šňůrou P1</v>
      </c>
    </row>
    <row r="251" spans="1:3">
      <c r="A251" s="802" t="s">
        <v>20</v>
      </c>
      <c r="B251" s="798" t="str">
        <f>IF(A251="","",IFERROR(VLOOKUP(A251,Kategorie!C:N,MATCH('General price list'!$W$17,Kategorie!$C$2:$N$2,0),FALSE),"× Chybí překlad ×"))</f>
        <v/>
      </c>
      <c r="C251" s="798" t="str">
        <f t="shared" si="3"/>
        <v/>
      </c>
    </row>
    <row r="252" spans="1:3">
      <c r="A252" s="796" t="s">
        <v>20</v>
      </c>
      <c r="B252" s="798" t="str">
        <f>IF(A252="","",IFERROR(VLOOKUP(A252,Kategorie!C:N,MATCH('General price list'!$W$17,Kategorie!$C$2:$N$2,0),FALSE),"× Chybí překlad ×"))</f>
        <v/>
      </c>
      <c r="C252" s="798" t="str">
        <f t="shared" si="3"/>
        <v/>
      </c>
    </row>
    <row r="253" spans="1:3">
      <c r="A253" s="796" t="s">
        <v>20</v>
      </c>
      <c r="B253" s="798" t="str">
        <f>IF(A253="","",IFERROR(VLOOKUP(A253,Kategorie!C:N,MATCH('General price list'!$W$17,Kategorie!$C$2:$N$2,0),FALSE),"× Chybí překlad ×"))</f>
        <v/>
      </c>
      <c r="C253" s="798" t="str">
        <f t="shared" si="3"/>
        <v/>
      </c>
    </row>
    <row r="254" spans="1:3">
      <c r="A254" s="796" t="s">
        <v>13063</v>
      </c>
      <c r="B254" s="798" t="str">
        <f>IF(A254="","",IFERROR(VLOOKUP(A254,Kategorie!C:N,MATCH('General price list'!$W$17,Kategorie!$C$2:$N$2,0),FALSE),"× Chybí překlad ×"))</f>
        <v>Petardy se zápalnou šňůrou F4 + T2</v>
      </c>
      <c r="C254" s="798" t="str">
        <f t="shared" si="3"/>
        <v xml:space="preserve">           Petardy se zápalnou šňůrou F4 + T2</v>
      </c>
    </row>
    <row r="255" spans="1:3">
      <c r="A255" s="796" t="s">
        <v>20</v>
      </c>
      <c r="B255" s="798" t="str">
        <f>IF(A255="","",IFERROR(VLOOKUP(A255,Kategorie!C:N,MATCH('General price list'!$W$17,Kategorie!$C$2:$N$2,0),FALSE),"× Chybí překlad ×"))</f>
        <v/>
      </c>
      <c r="C255" s="798" t="str">
        <f t="shared" si="3"/>
        <v/>
      </c>
    </row>
    <row r="256" spans="1:3">
      <c r="A256" s="796" t="s">
        <v>20</v>
      </c>
      <c r="B256" s="798" t="str">
        <f>IF(A256="","",IFERROR(VLOOKUP(A256,Kategorie!C:N,MATCH('General price list'!$W$17,Kategorie!$C$2:$N$2,0),FALSE),"× Chybí překlad ×"))</f>
        <v/>
      </c>
      <c r="C256" s="798" t="str">
        <f t="shared" si="3"/>
        <v/>
      </c>
    </row>
    <row r="257" spans="1:3">
      <c r="A257" s="796" t="s">
        <v>20</v>
      </c>
      <c r="B257" s="798" t="str">
        <f>IF(A257="","",IFERROR(VLOOKUP(A257,Kategorie!C:N,MATCH('General price list'!$W$17,Kategorie!$C$2:$N$2,0),FALSE),"× Chybí překlad ×"))</f>
        <v/>
      </c>
      <c r="C257" s="798" t="str">
        <f t="shared" si="3"/>
        <v/>
      </c>
    </row>
    <row r="258" spans="1:3">
      <c r="A258" s="796" t="s">
        <v>20</v>
      </c>
      <c r="B258" s="798" t="str">
        <f>IF(A258="","",IFERROR(VLOOKUP(A258,Kategorie!C:N,MATCH('General price list'!$W$17,Kategorie!$C$2:$N$2,0),FALSE),"× Chybí překlad ×"))</f>
        <v/>
      </c>
      <c r="C258" s="798" t="str">
        <f t="shared" si="3"/>
        <v/>
      </c>
    </row>
    <row r="259" spans="1:3">
      <c r="A259" s="796" t="s">
        <v>6442</v>
      </c>
      <c r="B259" s="798" t="str">
        <f>IF(A259="","",IFERROR(VLOOKUP(A259,Kategorie!C:N,MATCH('General price list'!$W$17,Kategorie!$C$2:$N$2,0),FALSE),"× Chybí překlad ×"))</f>
        <v>Baterie petard</v>
      </c>
      <c r="C259" s="798" t="str">
        <f t="shared" si="3"/>
        <v xml:space="preserve">           Baterie petard</v>
      </c>
    </row>
    <row r="260" spans="1:3">
      <c r="A260" s="796" t="s">
        <v>20</v>
      </c>
      <c r="B260" s="798" t="str">
        <f>IF(A260="","",IFERROR(VLOOKUP(A260,Kategorie!C:N,MATCH('General price list'!$W$17,Kategorie!$C$2:$N$2,0),FALSE),"× Chybí překlad ×"))</f>
        <v/>
      </c>
      <c r="C260" s="798" t="str">
        <f t="shared" si="3"/>
        <v/>
      </c>
    </row>
    <row r="261" spans="1:3">
      <c r="A261" s="796" t="s">
        <v>20</v>
      </c>
      <c r="B261" s="798" t="str">
        <f>IF(A261="","",IFERROR(VLOOKUP(A261,Kategorie!C:N,MATCH('General price list'!$W$17,Kategorie!$C$2:$N$2,0),FALSE),"× Chybí překlad ×"))</f>
        <v/>
      </c>
      <c r="C261" s="798" t="str">
        <f t="shared" ref="C261:C324" si="4">IF(A261="","",IF(A261="x","×",$B$1&amp;B261))</f>
        <v/>
      </c>
    </row>
    <row r="262" spans="1:3">
      <c r="A262" s="802" t="s">
        <v>20</v>
      </c>
      <c r="B262" s="798" t="str">
        <f>IF(A262="","",IFERROR(VLOOKUP(A262,Kategorie!C:N,MATCH('General price list'!$W$17,Kategorie!$C$2:$N$2,0),FALSE),"× Chybí překlad ×"))</f>
        <v/>
      </c>
      <c r="C262" s="798" t="str">
        <f t="shared" si="4"/>
        <v/>
      </c>
    </row>
    <row r="263" spans="1:3">
      <c r="A263" s="796" t="s">
        <v>10511</v>
      </c>
      <c r="B263" s="798" t="str">
        <f>IF(A263="","",IFERROR(VLOOKUP(A263,Kategorie!C:N,MATCH('General price list'!$W$17,Kategorie!$C$2:$N$2,0),FALSE),"× Chybí překlad ×"))</f>
        <v>× Chybí překlad ×</v>
      </c>
      <c r="C263" s="798" t="str">
        <f t="shared" si="4"/>
        <v>×</v>
      </c>
    </row>
    <row r="264" spans="1:3">
      <c r="A264" s="796" t="s">
        <v>20</v>
      </c>
      <c r="B264" s="798" t="str">
        <f>IF(A264="","",IFERROR(VLOOKUP(A264,Kategorie!C:N,MATCH('General price list'!$W$17,Kategorie!$C$2:$N$2,0),FALSE),"× Chybí překlad ×"))</f>
        <v/>
      </c>
      <c r="C264" s="798" t="str">
        <f t="shared" si="4"/>
        <v/>
      </c>
    </row>
    <row r="265" spans="1:3">
      <c r="A265" s="796" t="s">
        <v>20</v>
      </c>
      <c r="B265" s="798" t="str">
        <f>IF(A265="","",IFERROR(VLOOKUP(A265,Kategorie!C:N,MATCH('General price list'!$W$17,Kategorie!$C$2:$N$2,0),FALSE),"× Chybí překlad ×"))</f>
        <v/>
      </c>
      <c r="C265" s="798" t="str">
        <f t="shared" si="4"/>
        <v/>
      </c>
    </row>
    <row r="266" spans="1:3">
      <c r="A266" s="796" t="s">
        <v>20</v>
      </c>
      <c r="B266" s="798" t="str">
        <f>IF(A266="","",IFERROR(VLOOKUP(A266,Kategorie!C:N,MATCH('General price list'!$W$17,Kategorie!$C$2:$N$2,0),FALSE),"× Chybí překlad ×"))</f>
        <v/>
      </c>
      <c r="C266" s="798" t="str">
        <f t="shared" si="4"/>
        <v/>
      </c>
    </row>
    <row r="267" spans="1:3">
      <c r="A267" s="796" t="s">
        <v>20</v>
      </c>
      <c r="B267" s="798" t="str">
        <f>IF(A267="","",IFERROR(VLOOKUP(A267,Kategorie!C:N,MATCH('General price list'!$W$17,Kategorie!$C$2:$N$2,0),FALSE),"× Chybí překlad ×"))</f>
        <v/>
      </c>
      <c r="C267" s="798" t="str">
        <f t="shared" si="4"/>
        <v/>
      </c>
    </row>
    <row r="268" spans="1:3">
      <c r="A268" s="796" t="s">
        <v>20</v>
      </c>
      <c r="B268" s="798" t="str">
        <f>IF(A268="","",IFERROR(VLOOKUP(A268,Kategorie!C:N,MATCH('General price list'!$W$17,Kategorie!$C$2:$N$2,0),FALSE),"× Chybí překlad ×"))</f>
        <v/>
      </c>
      <c r="C268" s="798" t="str">
        <f t="shared" si="4"/>
        <v/>
      </c>
    </row>
    <row r="269" spans="1:3">
      <c r="A269" s="796" t="s">
        <v>20</v>
      </c>
      <c r="B269" s="798" t="str">
        <f>IF(A269="","",IFERROR(VLOOKUP(A269,Kategorie!C:N,MATCH('General price list'!$W$17,Kategorie!$C$2:$N$2,0),FALSE),"× Chybí překlad ×"))</f>
        <v/>
      </c>
      <c r="C269" s="798" t="str">
        <f t="shared" si="4"/>
        <v/>
      </c>
    </row>
    <row r="270" spans="1:3">
      <c r="A270" s="802" t="s">
        <v>20</v>
      </c>
      <c r="B270" s="798" t="str">
        <f>IF(A270="","",IFERROR(VLOOKUP(A270,Kategorie!C:N,MATCH('General price list'!$W$17,Kategorie!$C$2:$N$2,0),FALSE),"× Chybí překlad ×"))</f>
        <v/>
      </c>
      <c r="C270" s="798" t="str">
        <f t="shared" si="4"/>
        <v/>
      </c>
    </row>
    <row r="271" spans="1:3">
      <c r="A271" s="796" t="s">
        <v>20</v>
      </c>
      <c r="B271" s="798" t="str">
        <f>IF(A271="","",IFERROR(VLOOKUP(A271,Kategorie!C:N,MATCH('General price list'!$W$17,Kategorie!$C$2:$N$2,0),FALSE),"× Chybí překlad ×"))</f>
        <v/>
      </c>
      <c r="C271" s="798" t="str">
        <f t="shared" si="4"/>
        <v/>
      </c>
    </row>
    <row r="272" spans="1:3">
      <c r="A272" s="796" t="s">
        <v>12071</v>
      </c>
      <c r="B272" s="798" t="str">
        <f>IF(A272="","",IFERROR(VLOOKUP(A272,Kategorie!C:N,MATCH('General price list'!$W$17,Kategorie!$C$2:$N$2,0),FALSE),"× Chybí překlad ×"))</f>
        <v>Raketové sety F2</v>
      </c>
      <c r="C272" s="798" t="str">
        <f t="shared" si="4"/>
        <v xml:space="preserve">           Raketové sety F2</v>
      </c>
    </row>
    <row r="273" spans="1:3">
      <c r="A273" s="796" t="s">
        <v>20</v>
      </c>
      <c r="B273" s="798" t="str">
        <f>IF(A273="","",IFERROR(VLOOKUP(A273,Kategorie!C:N,MATCH('General price list'!$W$17,Kategorie!$C$2:$N$2,0),FALSE),"× Chybí překlad ×"))</f>
        <v/>
      </c>
      <c r="C273" s="798" t="str">
        <f t="shared" si="4"/>
        <v/>
      </c>
    </row>
    <row r="274" spans="1:3">
      <c r="A274" s="796" t="s">
        <v>20</v>
      </c>
      <c r="B274" s="798" t="str">
        <f>IF(A274="","",IFERROR(VLOOKUP(A274,Kategorie!C:N,MATCH('General price list'!$W$17,Kategorie!$C$2:$N$2,0),FALSE),"× Chybí překlad ×"))</f>
        <v/>
      </c>
      <c r="C274" s="798" t="str">
        <f t="shared" si="4"/>
        <v/>
      </c>
    </row>
    <row r="275" spans="1:3">
      <c r="A275" s="796" t="s">
        <v>20</v>
      </c>
      <c r="B275" s="798" t="str">
        <f>IF(A275="","",IFERROR(VLOOKUP(A275,Kategorie!C:N,MATCH('General price list'!$W$17,Kategorie!$C$2:$N$2,0),FALSE),"× Chybí překlad ×"))</f>
        <v/>
      </c>
      <c r="C275" s="798" t="str">
        <f t="shared" si="4"/>
        <v/>
      </c>
    </row>
    <row r="276" spans="1:3">
      <c r="A276" s="796" t="s">
        <v>20</v>
      </c>
      <c r="B276" s="798" t="str">
        <f>IF(A276="","",IFERROR(VLOOKUP(A276,Kategorie!C:N,MATCH('General price list'!$W$17,Kategorie!$C$2:$N$2,0),FALSE),"× Chybí překlad ×"))</f>
        <v/>
      </c>
      <c r="C276" s="798" t="str">
        <f t="shared" si="4"/>
        <v/>
      </c>
    </row>
    <row r="277" spans="1:3">
      <c r="A277" s="796" t="s">
        <v>20</v>
      </c>
      <c r="B277" s="798" t="str">
        <f>IF(A277="","",IFERROR(VLOOKUP(A277,Kategorie!C:N,MATCH('General price list'!$W$17,Kategorie!$C$2:$N$2,0),FALSE),"× Chybí překlad ×"))</f>
        <v/>
      </c>
      <c r="C277" s="798" t="str">
        <f t="shared" si="4"/>
        <v/>
      </c>
    </row>
    <row r="278" spans="1:3">
      <c r="A278" s="796" t="s">
        <v>20</v>
      </c>
      <c r="B278" s="798" t="str">
        <f>IF(A278="","",IFERROR(VLOOKUP(A278,Kategorie!C:N,MATCH('General price list'!$W$17,Kategorie!$C$2:$N$2,0),FALSE),"× Chybí překlad ×"))</f>
        <v/>
      </c>
      <c r="C278" s="798" t="str">
        <f t="shared" si="4"/>
        <v/>
      </c>
    </row>
    <row r="279" spans="1:3">
      <c r="A279" s="796" t="s">
        <v>20</v>
      </c>
      <c r="B279" s="798" t="str">
        <f>IF(A279="","",IFERROR(VLOOKUP(A279,Kategorie!C:N,MATCH('General price list'!$W$17,Kategorie!$C$2:$N$2,0),FALSE),"× Chybí překlad ×"))</f>
        <v/>
      </c>
      <c r="C279" s="798" t="str">
        <f t="shared" si="4"/>
        <v/>
      </c>
    </row>
    <row r="280" spans="1:3">
      <c r="A280" s="802" t="s">
        <v>20</v>
      </c>
      <c r="B280" s="798" t="str">
        <f>IF(A280="","",IFERROR(VLOOKUP(A280,Kategorie!C:N,MATCH('General price list'!$W$17,Kategorie!$C$2:$N$2,0),FALSE),"× Chybí překlad ×"))</f>
        <v/>
      </c>
      <c r="C280" s="798" t="str">
        <f t="shared" si="4"/>
        <v/>
      </c>
    </row>
    <row r="281" spans="1:3">
      <c r="A281" s="796" t="s">
        <v>20</v>
      </c>
      <c r="B281" s="798" t="str">
        <f>IF(A281="","",IFERROR(VLOOKUP(A281,Kategorie!C:N,MATCH('General price list'!$W$17,Kategorie!$C$2:$N$2,0),FALSE),"× Chybí překlad ×"))</f>
        <v/>
      </c>
      <c r="C281" s="798" t="str">
        <f t="shared" si="4"/>
        <v/>
      </c>
    </row>
    <row r="282" spans="1:3">
      <c r="A282" s="796" t="s">
        <v>20</v>
      </c>
      <c r="B282" s="798" t="str">
        <f>IF(A282="","",IFERROR(VLOOKUP(A282,Kategorie!C:N,MATCH('General price list'!$W$17,Kategorie!$C$2:$N$2,0),FALSE),"× Chybí překlad ×"))</f>
        <v/>
      </c>
      <c r="C282" s="798" t="str">
        <f t="shared" si="4"/>
        <v/>
      </c>
    </row>
    <row r="283" spans="1:3">
      <c r="A283" s="796" t="s">
        <v>20</v>
      </c>
      <c r="B283" s="798" t="str">
        <f>IF(A283="","",IFERROR(VLOOKUP(A283,Kategorie!C:N,MATCH('General price list'!$W$17,Kategorie!$C$2:$N$2,0),FALSE),"× Chybí překlad ×"))</f>
        <v/>
      </c>
      <c r="C283" s="798" t="str">
        <f t="shared" si="4"/>
        <v/>
      </c>
    </row>
    <row r="284" spans="1:3">
      <c r="A284" s="796" t="s">
        <v>20</v>
      </c>
      <c r="B284" s="798" t="str">
        <f>IF(A284="","",IFERROR(VLOOKUP(A284,Kategorie!C:N,MATCH('General price list'!$W$17,Kategorie!$C$2:$N$2,0),FALSE),"× Chybí překlad ×"))</f>
        <v/>
      </c>
      <c r="C284" s="798" t="str">
        <f t="shared" si="4"/>
        <v/>
      </c>
    </row>
    <row r="285" spans="1:3">
      <c r="A285" s="802" t="s">
        <v>20</v>
      </c>
      <c r="B285" s="798" t="str">
        <f>IF(A285="","",IFERROR(VLOOKUP(A285,Kategorie!C:N,MATCH('General price list'!$W$17,Kategorie!$C$2:$N$2,0),FALSE),"× Chybí překlad ×"))</f>
        <v/>
      </c>
      <c r="C285" s="798" t="str">
        <f t="shared" si="4"/>
        <v/>
      </c>
    </row>
    <row r="286" spans="1:3">
      <c r="A286" s="796" t="s">
        <v>20</v>
      </c>
      <c r="B286" s="798" t="str">
        <f>IF(A286="","",IFERROR(VLOOKUP(A286,Kategorie!C:N,MATCH('General price list'!$W$17,Kategorie!$C$2:$N$2,0),FALSE),"× Chybí překlad ×"))</f>
        <v/>
      </c>
      <c r="C286" s="798" t="str">
        <f t="shared" si="4"/>
        <v/>
      </c>
    </row>
    <row r="287" spans="1:3">
      <c r="A287" s="796" t="s">
        <v>20</v>
      </c>
      <c r="B287" s="798" t="str">
        <f>IF(A287="","",IFERROR(VLOOKUP(A287,Kategorie!C:N,MATCH('General price list'!$W$17,Kategorie!$C$2:$N$2,0),FALSE),"× Chybí překlad ×"))</f>
        <v/>
      </c>
      <c r="C287" s="798" t="str">
        <f t="shared" si="4"/>
        <v/>
      </c>
    </row>
    <row r="288" spans="1:3">
      <c r="A288" s="796" t="s">
        <v>20</v>
      </c>
      <c r="B288" s="798" t="str">
        <f>IF(A288="","",IFERROR(VLOOKUP(A288,Kategorie!C:N,MATCH('General price list'!$W$17,Kategorie!$C$2:$N$2,0),FALSE),"× Chybí překlad ×"))</f>
        <v/>
      </c>
      <c r="C288" s="798" t="str">
        <f t="shared" si="4"/>
        <v/>
      </c>
    </row>
    <row r="289" spans="1:3">
      <c r="A289" s="796" t="s">
        <v>20</v>
      </c>
      <c r="B289" s="798" t="str">
        <f>IF(A289="","",IFERROR(VLOOKUP(A289,Kategorie!C:N,MATCH('General price list'!$W$17,Kategorie!$C$2:$N$2,0),FALSE),"× Chybí překlad ×"))</f>
        <v/>
      </c>
      <c r="C289" s="798" t="str">
        <f t="shared" si="4"/>
        <v/>
      </c>
    </row>
    <row r="290" spans="1:3">
      <c r="A290" s="796" t="s">
        <v>20</v>
      </c>
      <c r="B290" s="798" t="str">
        <f>IF(A290="","",IFERROR(VLOOKUP(A290,Kategorie!C:N,MATCH('General price list'!$W$17,Kategorie!$C$2:$N$2,0),FALSE),"× Chybí překlad ×"))</f>
        <v/>
      </c>
      <c r="C290" s="798" t="str">
        <f t="shared" si="4"/>
        <v/>
      </c>
    </row>
    <row r="291" spans="1:3">
      <c r="A291" s="796" t="s">
        <v>20</v>
      </c>
      <c r="B291" s="798" t="str">
        <f>IF(A291="","",IFERROR(VLOOKUP(A291,Kategorie!C:N,MATCH('General price list'!$W$17,Kategorie!$C$2:$N$2,0),FALSE),"× Chybí překlad ×"))</f>
        <v/>
      </c>
      <c r="C291" s="798" t="str">
        <f t="shared" si="4"/>
        <v/>
      </c>
    </row>
    <row r="292" spans="1:3">
      <c r="A292" s="796" t="s">
        <v>20</v>
      </c>
      <c r="B292" s="798" t="str">
        <f>IF(A292="","",IFERROR(VLOOKUP(A292,Kategorie!C:N,MATCH('General price list'!$W$17,Kategorie!$C$2:$N$2,0),FALSE),"× Chybí překlad ×"))</f>
        <v/>
      </c>
      <c r="C292" s="798" t="str">
        <f t="shared" si="4"/>
        <v/>
      </c>
    </row>
    <row r="293" spans="1:3">
      <c r="A293" s="802" t="s">
        <v>20</v>
      </c>
      <c r="B293" s="798" t="str">
        <f>IF(A293="","",IFERROR(VLOOKUP(A293,Kategorie!C:N,MATCH('General price list'!$W$17,Kategorie!$C$2:$N$2,0),FALSE),"× Chybí překlad ×"))</f>
        <v/>
      </c>
      <c r="C293" s="798" t="str">
        <f t="shared" si="4"/>
        <v/>
      </c>
    </row>
    <row r="294" spans="1:3">
      <c r="A294" s="796" t="s">
        <v>20</v>
      </c>
      <c r="B294" s="798" t="str">
        <f>IF(A294="","",IFERROR(VLOOKUP(A294,Kategorie!C:N,MATCH('General price list'!$W$17,Kategorie!$C$2:$N$2,0),FALSE),"× Chybí překlad ×"))</f>
        <v/>
      </c>
      <c r="C294" s="798" t="str">
        <f t="shared" si="4"/>
        <v/>
      </c>
    </row>
    <row r="295" spans="1:3">
      <c r="A295" s="796" t="s">
        <v>20</v>
      </c>
      <c r="B295" s="798" t="str">
        <f>IF(A295="","",IFERROR(VLOOKUP(A295,Kategorie!C:N,MATCH('General price list'!$W$17,Kategorie!$C$2:$N$2,0),FALSE),"× Chybí překlad ×"))</f>
        <v/>
      </c>
      <c r="C295" s="798" t="str">
        <f t="shared" si="4"/>
        <v/>
      </c>
    </row>
    <row r="296" spans="1:3">
      <c r="A296" s="796" t="s">
        <v>20</v>
      </c>
      <c r="B296" s="798" t="str">
        <f>IF(A296="","",IFERROR(VLOOKUP(A296,Kategorie!C:N,MATCH('General price list'!$W$17,Kategorie!$C$2:$N$2,0),FALSE),"× Chybí překlad ×"))</f>
        <v/>
      </c>
      <c r="C296" s="798" t="str">
        <f t="shared" si="4"/>
        <v/>
      </c>
    </row>
    <row r="297" spans="1:3">
      <c r="A297" s="796" t="s">
        <v>12072</v>
      </c>
      <c r="B297" s="798" t="str">
        <f>IF(A297="","",IFERROR(VLOOKUP(A297,Kategorie!C:N,MATCH('General price list'!$W$17,Kategorie!$C$2:$N$2,0),FALSE),"× Chybí překlad ×"))</f>
        <v>Raketové sety F3</v>
      </c>
      <c r="C297" s="798" t="str">
        <f t="shared" si="4"/>
        <v xml:space="preserve">           Raketové sety F3</v>
      </c>
    </row>
    <row r="298" spans="1:3">
      <c r="A298" s="796" t="s">
        <v>20</v>
      </c>
      <c r="B298" s="798" t="str">
        <f>IF(A298="","",IFERROR(VLOOKUP(A298,Kategorie!C:N,MATCH('General price list'!$W$17,Kategorie!$C$2:$N$2,0),FALSE),"× Chybí překlad ×"))</f>
        <v/>
      </c>
      <c r="C298" s="798" t="str">
        <f t="shared" si="4"/>
        <v/>
      </c>
    </row>
    <row r="299" spans="1:3">
      <c r="A299" s="796" t="s">
        <v>10511</v>
      </c>
      <c r="B299" s="798" t="str">
        <f>IF(A299="","",IFERROR(VLOOKUP(A299,Kategorie!C:N,MATCH('General price list'!$W$17,Kategorie!$C$2:$N$2,0),FALSE),"× Chybí překlad ×"))</f>
        <v>× Chybí překlad ×</v>
      </c>
      <c r="C299" s="798" t="str">
        <f t="shared" si="4"/>
        <v>×</v>
      </c>
    </row>
    <row r="300" spans="1:3">
      <c r="A300" s="796" t="s">
        <v>10511</v>
      </c>
      <c r="B300" s="798" t="str">
        <f>IF(A300="","",IFERROR(VLOOKUP(A300,Kategorie!C:N,MATCH('General price list'!$W$17,Kategorie!$C$2:$N$2,0),FALSE),"× Chybí překlad ×"))</f>
        <v>× Chybí překlad ×</v>
      </c>
      <c r="C300" s="798" t="str">
        <f t="shared" si="4"/>
        <v>×</v>
      </c>
    </row>
    <row r="301" spans="1:3">
      <c r="A301" s="796" t="s">
        <v>10511</v>
      </c>
      <c r="B301" s="798" t="str">
        <f>IF(A301="","",IFERROR(VLOOKUP(A301,Kategorie!C:N,MATCH('General price list'!$W$17,Kategorie!$C$2:$N$2,0),FALSE),"× Chybí překlad ×"))</f>
        <v>× Chybí překlad ×</v>
      </c>
      <c r="C301" s="798" t="str">
        <f t="shared" si="4"/>
        <v>×</v>
      </c>
    </row>
    <row r="302" spans="1:3">
      <c r="A302" s="796" t="s">
        <v>10511</v>
      </c>
      <c r="B302" s="798" t="str">
        <f>IF(A302="","",IFERROR(VLOOKUP(A302,Kategorie!C:N,MATCH('General price list'!$W$17,Kategorie!$C$2:$N$2,0),FALSE),"× Chybí překlad ×"))</f>
        <v>× Chybí překlad ×</v>
      </c>
      <c r="C302" s="798" t="str">
        <f t="shared" si="4"/>
        <v>×</v>
      </c>
    </row>
    <row r="303" spans="1:3">
      <c r="A303" s="796" t="s">
        <v>20</v>
      </c>
      <c r="B303" s="798" t="str">
        <f>IF(A303="","",IFERROR(VLOOKUP(A303,Kategorie!C:N,MATCH('General price list'!$W$17,Kategorie!$C$2:$N$2,0),FALSE),"× Chybí překlad ×"))</f>
        <v/>
      </c>
      <c r="C303" s="798" t="str">
        <f t="shared" si="4"/>
        <v/>
      </c>
    </row>
    <row r="304" spans="1:3">
      <c r="A304" s="796" t="s">
        <v>20</v>
      </c>
      <c r="B304" s="798" t="str">
        <f>IF(A304="","",IFERROR(VLOOKUP(A304,Kategorie!C:N,MATCH('General price list'!$W$17,Kategorie!$C$2:$N$2,0),FALSE),"× Chybí překlad ×"))</f>
        <v/>
      </c>
      <c r="C304" s="798" t="str">
        <f t="shared" si="4"/>
        <v/>
      </c>
    </row>
    <row r="305" spans="1:3">
      <c r="A305" s="802" t="s">
        <v>20</v>
      </c>
      <c r="B305" s="798" t="str">
        <f>IF(A305="","",IFERROR(VLOOKUP(A305,Kategorie!C:N,MATCH('General price list'!$W$17,Kategorie!$C$2:$N$2,0),FALSE),"× Chybí překlad ×"))</f>
        <v/>
      </c>
      <c r="C305" s="798" t="str">
        <f t="shared" si="4"/>
        <v/>
      </c>
    </row>
    <row r="306" spans="1:3">
      <c r="A306" s="796" t="s">
        <v>20</v>
      </c>
      <c r="B306" s="798" t="str">
        <f>IF(A306="","",IFERROR(VLOOKUP(A306,Kategorie!C:N,MATCH('General price list'!$W$17,Kategorie!$C$2:$N$2,0),FALSE),"× Chybí překlad ×"))</f>
        <v/>
      </c>
      <c r="C306" s="798" t="str">
        <f t="shared" si="4"/>
        <v/>
      </c>
    </row>
    <row r="307" spans="1:3">
      <c r="A307" s="796" t="s">
        <v>20</v>
      </c>
      <c r="B307" s="798" t="str">
        <f>IF(A307="","",IFERROR(VLOOKUP(A307,Kategorie!C:N,MATCH('General price list'!$W$17,Kategorie!$C$2:$N$2,0),FALSE),"× Chybí překlad ×"))</f>
        <v/>
      </c>
      <c r="C307" s="798" t="str">
        <f t="shared" si="4"/>
        <v/>
      </c>
    </row>
    <row r="308" spans="1:3">
      <c r="A308" s="796" t="s">
        <v>6444</v>
      </c>
      <c r="B308" s="798" t="str">
        <f>IF(A308="","",IFERROR(VLOOKUP(A308,Kategorie!C:N,MATCH('General price list'!$W$17,Kategorie!$C$2:$N$2,0),FALSE),"× Chybí překlad ×"))</f>
        <v>Oblečení</v>
      </c>
      <c r="C308" s="798" t="str">
        <f t="shared" si="4"/>
        <v xml:space="preserve">           Oblečení</v>
      </c>
    </row>
    <row r="309" spans="1:3">
      <c r="A309" s="796" t="s">
        <v>10511</v>
      </c>
      <c r="B309" s="798" t="str">
        <f>IF(A309="","",IFERROR(VLOOKUP(A309,Kategorie!C:N,MATCH('General price list'!$W$17,Kategorie!$C$2:$N$2,0),FALSE),"× Chybí překlad ×"))</f>
        <v>× Chybí překlad ×</v>
      </c>
      <c r="C309" s="798" t="str">
        <f t="shared" si="4"/>
        <v>×</v>
      </c>
    </row>
    <row r="310" spans="1:3">
      <c r="A310" s="796" t="s">
        <v>10511</v>
      </c>
      <c r="B310" s="798" t="str">
        <f>IF(A310="","",IFERROR(VLOOKUP(A310,Kategorie!C:N,MATCH('General price list'!$W$17,Kategorie!$C$2:$N$2,0),FALSE),"× Chybí překlad ×"))</f>
        <v>× Chybí překlad ×</v>
      </c>
      <c r="C310" s="798" t="str">
        <f t="shared" si="4"/>
        <v>×</v>
      </c>
    </row>
    <row r="311" spans="1:3">
      <c r="A311" s="796" t="s">
        <v>10511</v>
      </c>
      <c r="B311" s="798" t="str">
        <f>IF(A311="","",IFERROR(VLOOKUP(A311,Kategorie!C:N,MATCH('General price list'!$W$17,Kategorie!$C$2:$N$2,0),FALSE),"× Chybí překlad ×"))</f>
        <v>× Chybí překlad ×</v>
      </c>
      <c r="C311" s="798" t="str">
        <f t="shared" si="4"/>
        <v>×</v>
      </c>
    </row>
    <row r="312" spans="1:3">
      <c r="A312" s="796" t="s">
        <v>10511</v>
      </c>
      <c r="B312" s="798" t="str">
        <f>IF(A312="","",IFERROR(VLOOKUP(A312,Kategorie!C:N,MATCH('General price list'!$W$17,Kategorie!$C$2:$N$2,0),FALSE),"× Chybí překlad ×"))</f>
        <v>× Chybí překlad ×</v>
      </c>
      <c r="C312" s="798" t="str">
        <f t="shared" si="4"/>
        <v>×</v>
      </c>
    </row>
    <row r="313" spans="1:3">
      <c r="A313" s="796" t="s">
        <v>13064</v>
      </c>
      <c r="B313" s="798" t="str">
        <f>IF(A313="","",IFERROR(VLOOKUP(A313,Kategorie!C:N,MATCH('General price list'!$W$17,Kategorie!$C$2:$N$2,0),FALSE),"× Chybí překlad ×"))</f>
        <v>Oblečení Dumbum – limitovaná edice</v>
      </c>
      <c r="C313" s="798" t="str">
        <f t="shared" si="4"/>
        <v xml:space="preserve">           Oblečení Dumbum – limitovaná edice</v>
      </c>
    </row>
    <row r="314" spans="1:3">
      <c r="A314" s="796" t="s">
        <v>20</v>
      </c>
      <c r="B314" s="798" t="str">
        <f>IF(A314="","",IFERROR(VLOOKUP(A314,Kategorie!C:N,MATCH('General price list'!$W$17,Kategorie!$C$2:$N$2,0),FALSE),"× Chybí překlad ×"))</f>
        <v/>
      </c>
      <c r="C314" s="798" t="str">
        <f t="shared" si="4"/>
        <v/>
      </c>
    </row>
    <row r="315" spans="1:3">
      <c r="A315" s="796" t="s">
        <v>20</v>
      </c>
      <c r="B315" s="798" t="str">
        <f>IF(A315="","",IFERROR(VLOOKUP(A315,Kategorie!C:N,MATCH('General price list'!$W$17,Kategorie!$C$2:$N$2,0),FALSE),"× Chybí překlad ×"))</f>
        <v/>
      </c>
      <c r="C315" s="798" t="str">
        <f t="shared" si="4"/>
        <v/>
      </c>
    </row>
    <row r="316" spans="1:3">
      <c r="A316" s="796" t="s">
        <v>20</v>
      </c>
      <c r="B316" s="798" t="str">
        <f>IF(A316="","",IFERROR(VLOOKUP(A316,Kategorie!C:N,MATCH('General price list'!$W$17,Kategorie!$C$2:$N$2,0),FALSE),"× Chybí překlad ×"))</f>
        <v/>
      </c>
      <c r="C316" s="798" t="str">
        <f t="shared" si="4"/>
        <v/>
      </c>
    </row>
    <row r="317" spans="1:3">
      <c r="A317" s="796" t="s">
        <v>20</v>
      </c>
      <c r="B317" s="798" t="str">
        <f>IF(A317="","",IFERROR(VLOOKUP(A317,Kategorie!C:N,MATCH('General price list'!$W$17,Kategorie!$C$2:$N$2,0),FALSE),"× Chybí překlad ×"))</f>
        <v/>
      </c>
      <c r="C317" s="798" t="str">
        <f t="shared" si="4"/>
        <v/>
      </c>
    </row>
    <row r="318" spans="1:3">
      <c r="A318" s="796" t="s">
        <v>20</v>
      </c>
      <c r="B318" s="798" t="str">
        <f>IF(A318="","",IFERROR(VLOOKUP(A318,Kategorie!C:N,MATCH('General price list'!$W$17,Kategorie!$C$2:$N$2,0),FALSE),"× Chybí překlad ×"))</f>
        <v/>
      </c>
      <c r="C318" s="798" t="str">
        <f t="shared" si="4"/>
        <v/>
      </c>
    </row>
    <row r="319" spans="1:3">
      <c r="A319" s="796" t="s">
        <v>10511</v>
      </c>
      <c r="B319" s="798" t="str">
        <f>IF(A319="","",IFERROR(VLOOKUP(A319,Kategorie!C:N,MATCH('General price list'!$W$17,Kategorie!$C$2:$N$2,0),FALSE),"× Chybí překlad ×"))</f>
        <v>× Chybí překlad ×</v>
      </c>
      <c r="C319" s="798" t="str">
        <f t="shared" si="4"/>
        <v>×</v>
      </c>
    </row>
    <row r="320" spans="1:3">
      <c r="A320" s="796" t="s">
        <v>10511</v>
      </c>
      <c r="B320" s="798" t="str">
        <f>IF(A320="","",IFERROR(VLOOKUP(A320,Kategorie!C:N,MATCH('General price list'!$W$17,Kategorie!$C$2:$N$2,0),FALSE),"× Chybí překlad ×"))</f>
        <v>× Chybí překlad ×</v>
      </c>
      <c r="C320" s="798" t="str">
        <f t="shared" si="4"/>
        <v>×</v>
      </c>
    </row>
    <row r="321" spans="1:3">
      <c r="A321" s="796" t="s">
        <v>10511</v>
      </c>
      <c r="B321" s="798" t="str">
        <f>IF(A321="","",IFERROR(VLOOKUP(A321,Kategorie!C:N,MATCH('General price list'!$W$17,Kategorie!$C$2:$N$2,0),FALSE),"× Chybí překlad ×"))</f>
        <v>× Chybí překlad ×</v>
      </c>
      <c r="C321" s="798" t="str">
        <f t="shared" si="4"/>
        <v>×</v>
      </c>
    </row>
    <row r="322" spans="1:3">
      <c r="A322" s="796" t="s">
        <v>10511</v>
      </c>
      <c r="B322" s="798" t="str">
        <f>IF(A322="","",IFERROR(VLOOKUP(A322,Kategorie!C:N,MATCH('General price list'!$W$17,Kategorie!$C$2:$N$2,0),FALSE),"× Chybí překlad ×"))</f>
        <v>× Chybí překlad ×</v>
      </c>
      <c r="C322" s="798" t="str">
        <f t="shared" si="4"/>
        <v>×</v>
      </c>
    </row>
    <row r="323" spans="1:3">
      <c r="A323" s="802" t="s">
        <v>20</v>
      </c>
      <c r="B323" s="798" t="str">
        <f>IF(A323="","",IFERROR(VLOOKUP(A323,Kategorie!C:N,MATCH('General price list'!$W$17,Kategorie!$C$2:$N$2,0),FALSE),"× Chybí překlad ×"))</f>
        <v/>
      </c>
      <c r="C323" s="798" t="str">
        <f t="shared" si="4"/>
        <v/>
      </c>
    </row>
    <row r="324" spans="1:3">
      <c r="A324" s="796" t="s">
        <v>20</v>
      </c>
      <c r="B324" s="798" t="str">
        <f>IF(A324="","",IFERROR(VLOOKUP(A324,Kategorie!C:N,MATCH('General price list'!$W$17,Kategorie!$C$2:$N$2,0),FALSE),"× Chybí překlad ×"))</f>
        <v/>
      </c>
      <c r="C324" s="798" t="str">
        <f t="shared" si="4"/>
        <v/>
      </c>
    </row>
    <row r="325" spans="1:3">
      <c r="A325" s="796" t="s">
        <v>20</v>
      </c>
      <c r="B325" s="798" t="str">
        <f>IF(A325="","",IFERROR(VLOOKUP(A325,Kategorie!C:N,MATCH('General price list'!$W$17,Kategorie!$C$2:$N$2,0),FALSE),"× Chybí překlad ×"))</f>
        <v/>
      </c>
      <c r="C325" s="798" t="str">
        <f t="shared" ref="C325:C388" si="5">IF(A325="","",IF(A325="x","×",$B$1&amp;B325))</f>
        <v/>
      </c>
    </row>
    <row r="326" spans="1:3">
      <c r="A326" s="796" t="s">
        <v>20</v>
      </c>
      <c r="B326" s="798" t="str">
        <f>IF(A326="","",IFERROR(VLOOKUP(A326,Kategorie!C:N,MATCH('General price list'!$W$17,Kategorie!$C$2:$N$2,0),FALSE),"× Chybí překlad ×"))</f>
        <v/>
      </c>
      <c r="C326" s="798" t="str">
        <f t="shared" si="5"/>
        <v/>
      </c>
    </row>
    <row r="327" spans="1:3">
      <c r="A327" s="796" t="s">
        <v>20</v>
      </c>
      <c r="B327" s="798" t="str">
        <f>IF(A327="","",IFERROR(VLOOKUP(A327,Kategorie!C:N,MATCH('General price list'!$W$17,Kategorie!$C$2:$N$2,0),FALSE),"× Chybí překlad ×"))</f>
        <v/>
      </c>
      <c r="C327" s="798" t="str">
        <f t="shared" si="5"/>
        <v/>
      </c>
    </row>
    <row r="328" spans="1:3">
      <c r="A328" s="796" t="s">
        <v>20</v>
      </c>
      <c r="B328" s="798" t="str">
        <f>IF(A328="","",IFERROR(VLOOKUP(A328,Kategorie!C:N,MATCH('General price list'!$W$17,Kategorie!$C$2:$N$2,0),FALSE),"× Chybí překlad ×"))</f>
        <v/>
      </c>
      <c r="C328" s="798" t="str">
        <f t="shared" si="5"/>
        <v/>
      </c>
    </row>
    <row r="329" spans="1:3">
      <c r="A329" s="796" t="s">
        <v>20</v>
      </c>
      <c r="B329" s="798" t="str">
        <f>IF(A329="","",IFERROR(VLOOKUP(A329,Kategorie!C:N,MATCH('General price list'!$W$17,Kategorie!$C$2:$N$2,0),FALSE),"× Chybí překlad ×"))</f>
        <v/>
      </c>
      <c r="C329" s="798" t="str">
        <f t="shared" si="5"/>
        <v/>
      </c>
    </row>
    <row r="330" spans="1:3">
      <c r="A330" s="796" t="s">
        <v>20</v>
      </c>
      <c r="B330" s="798" t="str">
        <f>IF(A330="","",IFERROR(VLOOKUP(A330,Kategorie!C:N,MATCH('General price list'!$W$17,Kategorie!$C$2:$N$2,0),FALSE),"× Chybí překlad ×"))</f>
        <v/>
      </c>
      <c r="C330" s="798" t="str">
        <f t="shared" si="5"/>
        <v/>
      </c>
    </row>
    <row r="331" spans="1:3">
      <c r="A331" s="796" t="s">
        <v>20</v>
      </c>
      <c r="B331" s="798" t="str">
        <f>IF(A331="","",IFERROR(VLOOKUP(A331,Kategorie!C:N,MATCH('General price list'!$W$17,Kategorie!$C$2:$N$2,0),FALSE),"× Chybí překlad ×"))</f>
        <v/>
      </c>
      <c r="C331" s="798" t="str">
        <f t="shared" si="5"/>
        <v/>
      </c>
    </row>
    <row r="332" spans="1:3">
      <c r="A332" s="796" t="s">
        <v>20</v>
      </c>
      <c r="B332" s="798" t="str">
        <f>IF(A332="","",IFERROR(VLOOKUP(A332,Kategorie!C:N,MATCH('General price list'!$W$17,Kategorie!$C$2:$N$2,0),FALSE),"× Chybí překlad ×"))</f>
        <v/>
      </c>
      <c r="C332" s="798" t="str">
        <f t="shared" si="5"/>
        <v/>
      </c>
    </row>
    <row r="333" spans="1:3">
      <c r="A333" s="796" t="s">
        <v>20</v>
      </c>
      <c r="B333" s="798" t="str">
        <f>IF(A333="","",IFERROR(VLOOKUP(A333,Kategorie!C:N,MATCH('General price list'!$W$17,Kategorie!$C$2:$N$2,0),FALSE),"× Chybí překlad ×"))</f>
        <v/>
      </c>
      <c r="C333" s="798" t="str">
        <f t="shared" si="5"/>
        <v/>
      </c>
    </row>
    <row r="334" spans="1:3">
      <c r="A334" s="796" t="s">
        <v>20</v>
      </c>
      <c r="B334" s="798" t="str">
        <f>IF(A334="","",IFERROR(VLOOKUP(A334,Kategorie!C:N,MATCH('General price list'!$W$17,Kategorie!$C$2:$N$2,0),FALSE),"× Chybí překlad ×"))</f>
        <v/>
      </c>
      <c r="C334" s="798" t="str">
        <f t="shared" si="5"/>
        <v/>
      </c>
    </row>
    <row r="335" spans="1:3">
      <c r="A335" s="796" t="s">
        <v>20</v>
      </c>
      <c r="B335" s="798" t="str">
        <f>IF(A335="","",IFERROR(VLOOKUP(A335,Kategorie!C:N,MATCH('General price list'!$W$17,Kategorie!$C$2:$N$2,0),FALSE),"× Chybí překlad ×"))</f>
        <v/>
      </c>
      <c r="C335" s="798" t="str">
        <f t="shared" si="5"/>
        <v/>
      </c>
    </row>
    <row r="336" spans="1:3">
      <c r="A336" s="796" t="s">
        <v>20</v>
      </c>
      <c r="B336" s="798" t="str">
        <f>IF(A336="","",IFERROR(VLOOKUP(A336,Kategorie!C:N,MATCH('General price list'!$W$17,Kategorie!$C$2:$N$2,0),FALSE),"× Chybí překlad ×"))</f>
        <v/>
      </c>
      <c r="C336" s="798" t="str">
        <f t="shared" si="5"/>
        <v/>
      </c>
    </row>
    <row r="337" spans="1:3">
      <c r="A337" s="796" t="s">
        <v>20</v>
      </c>
      <c r="B337" s="798" t="str">
        <f>IF(A337="","",IFERROR(VLOOKUP(A337,Kategorie!C:N,MATCH('General price list'!$W$17,Kategorie!$C$2:$N$2,0),FALSE),"× Chybí překlad ×"))</f>
        <v/>
      </c>
      <c r="C337" s="798" t="str">
        <f t="shared" si="5"/>
        <v/>
      </c>
    </row>
    <row r="338" spans="1:3">
      <c r="A338" s="802" t="s">
        <v>20</v>
      </c>
      <c r="B338" s="798" t="str">
        <f>IF(A338="","",IFERROR(VLOOKUP(A338,Kategorie!C:N,MATCH('General price list'!$W$17,Kategorie!$C$2:$N$2,0),FALSE),"× Chybí překlad ×"))</f>
        <v/>
      </c>
      <c r="C338" s="798" t="str">
        <f t="shared" si="5"/>
        <v/>
      </c>
    </row>
    <row r="339" spans="1:3">
      <c r="A339" s="796" t="s">
        <v>20</v>
      </c>
      <c r="B339" s="798" t="str">
        <f>IF(A339="","",IFERROR(VLOOKUP(A339,Kategorie!C:N,MATCH('General price list'!$W$17,Kategorie!$C$2:$N$2,0),FALSE),"× Chybí překlad ×"))</f>
        <v/>
      </c>
      <c r="C339" s="798" t="str">
        <f t="shared" si="5"/>
        <v/>
      </c>
    </row>
    <row r="340" spans="1:3">
      <c r="A340" s="796" t="s">
        <v>20</v>
      </c>
      <c r="B340" s="798" t="str">
        <f>IF(A340="","",IFERROR(VLOOKUP(A340,Kategorie!C:N,MATCH('General price list'!$W$17,Kategorie!$C$2:$N$2,0),FALSE),"× Chybí překlad ×"))</f>
        <v/>
      </c>
      <c r="C340" s="798" t="str">
        <f t="shared" si="5"/>
        <v/>
      </c>
    </row>
    <row r="341" spans="1:3">
      <c r="A341" s="796" t="s">
        <v>20</v>
      </c>
      <c r="B341" s="798" t="str">
        <f>IF(A341="","",IFERROR(VLOOKUP(A341,Kategorie!C:N,MATCH('General price list'!$W$17,Kategorie!$C$2:$N$2,0),FALSE),"× Chybí překlad ×"))</f>
        <v/>
      </c>
      <c r="C341" s="798" t="str">
        <f t="shared" si="5"/>
        <v/>
      </c>
    </row>
    <row r="342" spans="1:3">
      <c r="A342" s="796" t="s">
        <v>20</v>
      </c>
      <c r="B342" s="798" t="str">
        <f>IF(A342="","",IFERROR(VLOOKUP(A342,Kategorie!C:N,MATCH('General price list'!$W$17,Kategorie!$C$2:$N$2,0),FALSE),"× Chybí překlad ×"))</f>
        <v/>
      </c>
      <c r="C342" s="798" t="str">
        <f t="shared" si="5"/>
        <v/>
      </c>
    </row>
    <row r="343" spans="1:3">
      <c r="A343" s="796" t="s">
        <v>20</v>
      </c>
      <c r="B343" s="798" t="str">
        <f>IF(A343="","",IFERROR(VLOOKUP(A343,Kategorie!C:N,MATCH('General price list'!$W$17,Kategorie!$C$2:$N$2,0),FALSE),"× Chybí překlad ×"))</f>
        <v/>
      </c>
      <c r="C343" s="798" t="str">
        <f t="shared" si="5"/>
        <v/>
      </c>
    </row>
    <row r="344" spans="1:3">
      <c r="A344" s="796" t="s">
        <v>20</v>
      </c>
      <c r="B344" s="798" t="str">
        <f>IF(A344="","",IFERROR(VLOOKUP(A344,Kategorie!C:N,MATCH('General price list'!$W$17,Kategorie!$C$2:$N$2,0),FALSE),"× Chybí překlad ×"))</f>
        <v/>
      </c>
      <c r="C344" s="798" t="str">
        <f t="shared" si="5"/>
        <v/>
      </c>
    </row>
    <row r="345" spans="1:3">
      <c r="A345" s="796" t="s">
        <v>20</v>
      </c>
      <c r="B345" s="798" t="str">
        <f>IF(A345="","",IFERROR(VLOOKUP(A345,Kategorie!C:N,MATCH('General price list'!$W$17,Kategorie!$C$2:$N$2,0),FALSE),"× Chybí překlad ×"))</f>
        <v/>
      </c>
      <c r="C345" s="798" t="str">
        <f t="shared" si="5"/>
        <v/>
      </c>
    </row>
    <row r="346" spans="1:3">
      <c r="A346" s="796" t="s">
        <v>6449</v>
      </c>
      <c r="B346" s="798" t="str">
        <f>IF(A346="","",IFERROR(VLOOKUP(A346,Kategorie!C:N,MATCH('General price list'!$W$17,Kategorie!$C$2:$N$2,0),FALSE),"× Chybí překlad ×"))</f>
        <v>Reklamní položky</v>
      </c>
      <c r="C346" s="798" t="str">
        <f t="shared" si="5"/>
        <v xml:space="preserve">           Reklamní položky</v>
      </c>
    </row>
    <row r="347" spans="1:3">
      <c r="A347" s="802" t="s">
        <v>20</v>
      </c>
      <c r="B347" s="798" t="str">
        <f>IF(A347="","",IFERROR(VLOOKUP(A347,Kategorie!C:N,MATCH('General price list'!$W$17,Kategorie!$C$2:$N$2,0),FALSE),"× Chybí překlad ×"))</f>
        <v/>
      </c>
      <c r="C347" s="798" t="str">
        <f t="shared" si="5"/>
        <v/>
      </c>
    </row>
    <row r="348" spans="1:3">
      <c r="A348" s="796" t="s">
        <v>10511</v>
      </c>
      <c r="B348" s="798" t="str">
        <f>IF(A348="","",IFERROR(VLOOKUP(A348,Kategorie!C:N,MATCH('General price list'!$W$17,Kategorie!$C$2:$N$2,0),FALSE),"× Chybí překlad ×"))</f>
        <v>× Chybí překlad ×</v>
      </c>
      <c r="C348" s="798" t="str">
        <f t="shared" si="5"/>
        <v>×</v>
      </c>
    </row>
    <row r="349" spans="1:3">
      <c r="A349" s="796" t="s">
        <v>10511</v>
      </c>
      <c r="B349" s="798" t="str">
        <f>IF(A349="","",IFERROR(VLOOKUP(A349,Kategorie!C:N,MATCH('General price list'!$W$17,Kategorie!$C$2:$N$2,0),FALSE),"× Chybí překlad ×"))</f>
        <v>× Chybí překlad ×</v>
      </c>
      <c r="C349" s="798" t="str">
        <f t="shared" si="5"/>
        <v>×</v>
      </c>
    </row>
    <row r="350" spans="1:3">
      <c r="A350" s="796" t="s">
        <v>20</v>
      </c>
      <c r="B350" s="798" t="str">
        <f>IF(A350="","",IFERROR(VLOOKUP(A350,Kategorie!C:N,MATCH('General price list'!$W$17,Kategorie!$C$2:$N$2,0),FALSE),"× Chybí překlad ×"))</f>
        <v/>
      </c>
      <c r="C350" s="798" t="str">
        <f t="shared" si="5"/>
        <v/>
      </c>
    </row>
    <row r="351" spans="1:3">
      <c r="A351" s="796" t="s">
        <v>20</v>
      </c>
      <c r="B351" s="798" t="str">
        <f>IF(A351="","",IFERROR(VLOOKUP(A351,Kategorie!C:N,MATCH('General price list'!$W$17,Kategorie!$C$2:$N$2,0),FALSE),"× Chybí překlad ×"))</f>
        <v/>
      </c>
      <c r="C351" s="798" t="str">
        <f t="shared" si="5"/>
        <v/>
      </c>
    </row>
    <row r="352" spans="1:3">
      <c r="A352" s="796" t="s">
        <v>10511</v>
      </c>
      <c r="B352" s="798" t="str">
        <f>IF(A352="","",IFERROR(VLOOKUP(A352,Kategorie!C:N,MATCH('General price list'!$W$17,Kategorie!$C$2:$N$2,0),FALSE),"× Chybí překlad ×"))</f>
        <v>× Chybí překlad ×</v>
      </c>
      <c r="C352" s="798" t="str">
        <f t="shared" si="5"/>
        <v>×</v>
      </c>
    </row>
    <row r="353" spans="1:3">
      <c r="A353" s="796" t="s">
        <v>20</v>
      </c>
      <c r="B353" s="798" t="str">
        <f>IF(A353="","",IFERROR(VLOOKUP(A353,Kategorie!C:N,MATCH('General price list'!$W$17,Kategorie!$C$2:$N$2,0),FALSE),"× Chybí překlad ×"))</f>
        <v/>
      </c>
      <c r="C353" s="798" t="str">
        <f t="shared" si="5"/>
        <v/>
      </c>
    </row>
    <row r="354" spans="1:3">
      <c r="A354" s="796" t="s">
        <v>10511</v>
      </c>
      <c r="B354" s="798" t="str">
        <f>IF(A354="","",IFERROR(VLOOKUP(A354,Kategorie!C:N,MATCH('General price list'!$W$17,Kategorie!$C$2:$N$2,0),FALSE),"× Chybí překlad ×"))</f>
        <v>× Chybí překlad ×</v>
      </c>
      <c r="C354" s="798" t="str">
        <f t="shared" si="5"/>
        <v>×</v>
      </c>
    </row>
    <row r="355" spans="1:3">
      <c r="A355" s="796" t="s">
        <v>20</v>
      </c>
      <c r="B355" s="798" t="str">
        <f>IF(A355="","",IFERROR(VLOOKUP(A355,Kategorie!C:N,MATCH('General price list'!$W$17,Kategorie!$C$2:$N$2,0),FALSE),"× Chybí překlad ×"))</f>
        <v/>
      </c>
      <c r="C355" s="798" t="str">
        <f t="shared" si="5"/>
        <v/>
      </c>
    </row>
    <row r="356" spans="1:3">
      <c r="A356" s="796" t="s">
        <v>20</v>
      </c>
      <c r="B356" s="798" t="str">
        <f>IF(A356="","",IFERROR(VLOOKUP(A356,Kategorie!C:N,MATCH('General price list'!$W$17,Kategorie!$C$2:$N$2,0),FALSE),"× Chybí překlad ×"))</f>
        <v/>
      </c>
      <c r="C356" s="798" t="str">
        <f t="shared" si="5"/>
        <v/>
      </c>
    </row>
    <row r="357" spans="1:3">
      <c r="A357" s="796" t="s">
        <v>20</v>
      </c>
      <c r="B357" s="798" t="str">
        <f>IF(A357="","",IFERROR(VLOOKUP(A357,Kategorie!C:N,MATCH('General price list'!$W$17,Kategorie!$C$2:$N$2,0),FALSE),"× Chybí překlad ×"))</f>
        <v/>
      </c>
      <c r="C357" s="798" t="str">
        <f t="shared" si="5"/>
        <v/>
      </c>
    </row>
    <row r="358" spans="1:3">
      <c r="A358" s="796" t="s">
        <v>10511</v>
      </c>
      <c r="B358" s="798" t="str">
        <f>IF(A358="","",IFERROR(VLOOKUP(A358,Kategorie!C:N,MATCH('General price list'!$W$17,Kategorie!$C$2:$N$2,0),FALSE),"× Chybí překlad ×"))</f>
        <v>× Chybí překlad ×</v>
      </c>
      <c r="C358" s="798" t="str">
        <f t="shared" si="5"/>
        <v>×</v>
      </c>
    </row>
    <row r="359" spans="1:3">
      <c r="A359" s="796" t="s">
        <v>20</v>
      </c>
      <c r="B359" s="798" t="str">
        <f>IF(A359="","",IFERROR(VLOOKUP(A359,Kategorie!C:N,MATCH('General price list'!$W$17,Kategorie!$C$2:$N$2,0),FALSE),"× Chybí překlad ×"))</f>
        <v/>
      </c>
      <c r="C359" s="798" t="str">
        <f t="shared" si="5"/>
        <v/>
      </c>
    </row>
    <row r="360" spans="1:3">
      <c r="A360" s="796" t="s">
        <v>20</v>
      </c>
      <c r="B360" s="798" t="str">
        <f>IF(A360="","",IFERROR(VLOOKUP(A360,Kategorie!C:N,MATCH('General price list'!$W$17,Kategorie!$C$2:$N$2,0),FALSE),"× Chybí překlad ×"))</f>
        <v/>
      </c>
      <c r="C360" s="798" t="str">
        <f t="shared" si="5"/>
        <v/>
      </c>
    </row>
    <row r="361" spans="1:3">
      <c r="A361" s="796" t="s">
        <v>6453</v>
      </c>
      <c r="B361" s="798" t="str">
        <f>IF(A361="","",IFERROR(VLOOKUP(A361,Kategorie!C:N,MATCH('General price list'!$W$17,Kategorie!$C$2:$N$2,0),FALSE),"× Chybí překlad ×"))</f>
        <v>Ostatní</v>
      </c>
      <c r="C361" s="798" t="str">
        <f t="shared" si="5"/>
        <v xml:space="preserve">           Ostatní</v>
      </c>
    </row>
    <row r="362" spans="1:3">
      <c r="A362" s="796" t="s">
        <v>20</v>
      </c>
      <c r="B362" s="798" t="str">
        <f>IF(A362="","",IFERROR(VLOOKUP(A362,Kategorie!C:N,MATCH('General price list'!$W$17,Kategorie!$C$2:$N$2,0),FALSE),"× Chybí překlad ×"))</f>
        <v/>
      </c>
      <c r="C362" s="798" t="str">
        <f t="shared" si="5"/>
        <v/>
      </c>
    </row>
    <row r="363" spans="1:3">
      <c r="A363" s="796" t="s">
        <v>20</v>
      </c>
      <c r="B363" s="798" t="str">
        <f>IF(A363="","",IFERROR(VLOOKUP(A363,Kategorie!C:N,MATCH('General price list'!$W$17,Kategorie!$C$2:$N$2,0),FALSE),"× Chybí překlad ×"))</f>
        <v/>
      </c>
      <c r="C363" s="798" t="str">
        <f t="shared" si="5"/>
        <v/>
      </c>
    </row>
    <row r="364" spans="1:3">
      <c r="A364" s="796" t="s">
        <v>13065</v>
      </c>
      <c r="B364" s="798" t="str">
        <f>IF(A364="","",IFERROR(VLOOKUP(A364,Kategorie!C:N,MATCH('General price list'!$W$17,Kategorie!$C$2:$N$2,0),FALSE),"× Chybí překlad ×"))</f>
        <v>Baterie raket 25–1000 ran, 8 mm moždíř – 1.4G</v>
      </c>
      <c r="C364" s="798" t="str">
        <f t="shared" si="5"/>
        <v xml:space="preserve">           Baterie raket 25–1000 ran, 8 mm moždíř – 1.4G</v>
      </c>
    </row>
    <row r="365" spans="1:3">
      <c r="A365" s="796" t="s">
        <v>20</v>
      </c>
      <c r="B365" s="798" t="str">
        <f>IF(A365="","",IFERROR(VLOOKUP(A365,Kategorie!C:N,MATCH('General price list'!$W$17,Kategorie!$C$2:$N$2,0),FALSE),"× Chybí překlad ×"))</f>
        <v/>
      </c>
      <c r="C365" s="798" t="str">
        <f t="shared" si="5"/>
        <v/>
      </c>
    </row>
    <row r="366" spans="1:3">
      <c r="A366" s="796" t="s">
        <v>20</v>
      </c>
      <c r="B366" s="798" t="str">
        <f>IF(A366="","",IFERROR(VLOOKUP(A366,Kategorie!C:N,MATCH('General price list'!$W$17,Kategorie!$C$2:$N$2,0),FALSE),"× Chybí překlad ×"))</f>
        <v/>
      </c>
      <c r="C366" s="798" t="str">
        <f t="shared" si="5"/>
        <v/>
      </c>
    </row>
    <row r="367" spans="1:3">
      <c r="A367" s="802" t="s">
        <v>13066</v>
      </c>
      <c r="B367" s="798" t="str">
        <f>IF(A367="","",IFERROR(VLOOKUP(A367,Kategorie!C:N,MATCH('General price list'!$W$17,Kategorie!$C$2:$N$2,0),FALSE),"× Chybí překlad ×"))</f>
        <v>Baterie 100 ran, 8 mm moždíř – 1.4G</v>
      </c>
      <c r="C367" s="798" t="str">
        <f t="shared" si="5"/>
        <v xml:space="preserve">           Baterie 100 ran, 8 mm moždíř – 1.4G</v>
      </c>
    </row>
    <row r="368" spans="1:3">
      <c r="A368" s="796" t="s">
        <v>20</v>
      </c>
      <c r="B368" s="798" t="str">
        <f>IF(A368="","",IFERROR(VLOOKUP(A368,Kategorie!C:N,MATCH('General price list'!$W$17,Kategorie!$C$2:$N$2,0),FALSE),"× Chybí překlad ×"))</f>
        <v/>
      </c>
      <c r="C368" s="798" t="str">
        <f t="shared" si="5"/>
        <v/>
      </c>
    </row>
    <row r="369" spans="1:3">
      <c r="A369" s="796" t="s">
        <v>13067</v>
      </c>
      <c r="B369" s="798" t="str">
        <f>IF(A369="","",IFERROR(VLOOKUP(A369,Kategorie!C:N,MATCH('General price list'!$W$17,Kategorie!$C$2:$N$2,0),FALSE),"× Chybí překlad ×"))</f>
        <v>Baterie 16 ran, 14 mm moždíř – 1.4G</v>
      </c>
      <c r="C369" s="798" t="str">
        <f t="shared" si="5"/>
        <v xml:space="preserve">           Baterie 16 ran, 14 mm moždíř – 1.4G</v>
      </c>
    </row>
    <row r="370" spans="1:3">
      <c r="A370" s="796" t="s">
        <v>20</v>
      </c>
      <c r="B370" s="798" t="str">
        <f>IF(A370="","",IFERROR(VLOOKUP(A370,Kategorie!C:N,MATCH('General price list'!$W$17,Kategorie!$C$2:$N$2,0),FALSE),"× Chybí překlad ×"))</f>
        <v/>
      </c>
      <c r="C370" s="798" t="str">
        <f t="shared" si="5"/>
        <v/>
      </c>
    </row>
    <row r="371" spans="1:3">
      <c r="A371" s="796" t="s">
        <v>13068</v>
      </c>
      <c r="B371" s="798" t="str">
        <f>IF(A371="","",IFERROR(VLOOKUP(A371,Kategorie!C:N,MATCH('General price list'!$W$17,Kategorie!$C$2:$N$2,0),FALSE),"× Chybí překlad ×"))</f>
        <v>Baterie 36 ran, 14 mm moždíř – 1.4G</v>
      </c>
      <c r="C371" s="798" t="str">
        <f t="shared" si="5"/>
        <v xml:space="preserve">           Baterie 36 ran, 14 mm moždíř – 1.4G</v>
      </c>
    </row>
    <row r="372" spans="1:3">
      <c r="A372" s="796" t="s">
        <v>20</v>
      </c>
      <c r="B372" s="798" t="str">
        <f>IF(A372="","",IFERROR(VLOOKUP(A372,Kategorie!C:N,MATCH('General price list'!$W$17,Kategorie!$C$2:$N$2,0),FALSE),"× Chybí překlad ×"))</f>
        <v/>
      </c>
      <c r="C372" s="798" t="str">
        <f t="shared" si="5"/>
        <v/>
      </c>
    </row>
    <row r="373" spans="1:3">
      <c r="A373" s="796" t="s">
        <v>13069</v>
      </c>
      <c r="B373" s="798" t="str">
        <f>IF(A373="","",IFERROR(VLOOKUP(A373,Kategorie!C:N,MATCH('General price list'!$W$17,Kategorie!$C$2:$N$2,0),FALSE),"× Chybí překlad ×"))</f>
        <v>Baterie 64 ran, 14 mm moždíř – 1.4G</v>
      </c>
      <c r="C373" s="798" t="str">
        <f t="shared" si="5"/>
        <v xml:space="preserve">           Baterie 64 ran, 14 mm moždíř – 1.4G</v>
      </c>
    </row>
    <row r="374" spans="1:3">
      <c r="A374" s="796" t="s">
        <v>20</v>
      </c>
      <c r="B374" s="798" t="str">
        <f>IF(A374="","",IFERROR(VLOOKUP(A374,Kategorie!C:N,MATCH('General price list'!$W$17,Kategorie!$C$2:$N$2,0),FALSE),"× Chybí překlad ×"))</f>
        <v/>
      </c>
      <c r="C374" s="798" t="str">
        <f t="shared" si="5"/>
        <v/>
      </c>
    </row>
    <row r="375" spans="1:3">
      <c r="A375" s="796" t="s">
        <v>13070</v>
      </c>
      <c r="B375" s="798" t="str">
        <f>IF(A375="","",IFERROR(VLOOKUP(A375,Kategorie!C:N,MATCH('General price list'!$W$17,Kategorie!$C$2:$N$2,0),FALSE),"× Chybí překlad ×"))</f>
        <v>Baterie 100 ran, 14 mm moždíř – 1.3G</v>
      </c>
      <c r="C375" s="798" t="str">
        <f t="shared" si="5"/>
        <v xml:space="preserve">           Baterie 100 ran, 14 mm moždíř – 1.3G</v>
      </c>
    </row>
    <row r="376" spans="1:3">
      <c r="A376" s="796" t="s">
        <v>20</v>
      </c>
      <c r="B376" s="798" t="str">
        <f>IF(A376="","",IFERROR(VLOOKUP(A376,Kategorie!C:N,MATCH('General price list'!$W$17,Kategorie!$C$2:$N$2,0),FALSE),"× Chybí překlad ×"))</f>
        <v/>
      </c>
      <c r="C376" s="798" t="str">
        <f t="shared" si="5"/>
        <v/>
      </c>
    </row>
    <row r="377" spans="1:3">
      <c r="A377" s="796" t="s">
        <v>13071</v>
      </c>
      <c r="B377" s="798" t="str">
        <f>IF(A377="","",IFERROR(VLOOKUP(A377,Kategorie!C:N,MATCH('General price list'!$W$17,Kategorie!$C$2:$N$2,0),FALSE),"× Chybí překlad ×"))</f>
        <v>Baterie 200 ran, 14 mm moždíř – 1.4G</v>
      </c>
      <c r="C377" s="798" t="str">
        <f t="shared" si="5"/>
        <v xml:space="preserve">           Baterie 200 ran, 14 mm moždíř – 1.4G</v>
      </c>
    </row>
    <row r="378" spans="1:3">
      <c r="A378" s="796" t="s">
        <v>20</v>
      </c>
      <c r="B378" s="798" t="str">
        <f>IF(A378="","",IFERROR(VLOOKUP(A378,Kategorie!C:N,MATCH('General price list'!$W$17,Kategorie!$C$2:$N$2,0),FALSE),"× Chybí překlad ×"))</f>
        <v/>
      </c>
      <c r="C378" s="798" t="str">
        <f t="shared" si="5"/>
        <v/>
      </c>
    </row>
    <row r="379" spans="1:3">
      <c r="A379" s="796" t="s">
        <v>13072</v>
      </c>
      <c r="B379" s="798" t="str">
        <f>IF(A379="","",IFERROR(VLOOKUP(A379,Kategorie!C:N,MATCH('General price list'!$W$17,Kategorie!$C$2:$N$2,0),FALSE),"× Chybí překlad ×"))</f>
        <v>Složený ohňostroj 14 mm – F2 – 1.4G – maximum 1000 g NEC</v>
      </c>
      <c r="C379" s="798" t="str">
        <f t="shared" si="5"/>
        <v xml:space="preserve">           Složený ohňostroj 14 mm – F2 – 1.4G – maximum 1000 g NEC</v>
      </c>
    </row>
    <row r="380" spans="1:3">
      <c r="A380" s="796" t="s">
        <v>20</v>
      </c>
      <c r="B380" s="798" t="str">
        <f>IF(A380="","",IFERROR(VLOOKUP(A380,Kategorie!C:N,MATCH('General price list'!$W$17,Kategorie!$C$2:$N$2,0),FALSE),"× Chybí překlad ×"))</f>
        <v/>
      </c>
      <c r="C380" s="798" t="str">
        <f t="shared" si="5"/>
        <v/>
      </c>
    </row>
    <row r="381" spans="1:3">
      <c r="A381" s="796" t="s">
        <v>13073</v>
      </c>
      <c r="B381" s="798" t="str">
        <f>IF(A381="","",IFERROR(VLOOKUP(A381,Kategorie!C:N,MATCH('General price list'!$W$17,Kategorie!$C$2:$N$2,0),FALSE),"× Chybí překlad ×"))</f>
        <v>Baterie 208 ran, 14 mm rovný + šikmý moždíř – 1.4G</v>
      </c>
      <c r="C381" s="798" t="str">
        <f t="shared" si="5"/>
        <v xml:space="preserve">           Baterie 208 ran, 14 mm rovný + šikmý moždíř – 1.4G</v>
      </c>
    </row>
    <row r="382" spans="1:3">
      <c r="A382" s="796" t="s">
        <v>20</v>
      </c>
      <c r="B382" s="798" t="str">
        <f>IF(A382="","",IFERROR(VLOOKUP(A382,Kategorie!C:N,MATCH('General price list'!$W$17,Kategorie!$C$2:$N$2,0),FALSE),"× Chybí překlad ×"))</f>
        <v/>
      </c>
      <c r="C382" s="798" t="str">
        <f t="shared" si="5"/>
        <v/>
      </c>
    </row>
    <row r="383" spans="1:3">
      <c r="A383" s="796" t="s">
        <v>13074</v>
      </c>
      <c r="B383" s="798" t="str">
        <f>IF(A383="","",IFERROR(VLOOKUP(A383,Kategorie!C:N,MATCH('General price list'!$W$17,Kategorie!$C$2:$N$2,0),FALSE),"× Chybí překlad ×"))</f>
        <v>Baterie 90 ran, 16 mm moždíř (různé úhly moždířů) – 1.4G</v>
      </c>
      <c r="C383" s="798" t="str">
        <f t="shared" si="5"/>
        <v xml:space="preserve">           Baterie 90 ran, 16 mm moždíř (různé úhly moždířů) – 1.4G</v>
      </c>
    </row>
    <row r="384" spans="1:3">
      <c r="A384" s="796" t="s">
        <v>20</v>
      </c>
      <c r="B384" s="798" t="str">
        <f>IF(A384="","",IFERROR(VLOOKUP(A384,Kategorie!C:N,MATCH('General price list'!$W$17,Kategorie!$C$2:$N$2,0),FALSE),"× Chybí překlad ×"))</f>
        <v/>
      </c>
      <c r="C384" s="798" t="str">
        <f t="shared" si="5"/>
        <v/>
      </c>
    </row>
    <row r="385" spans="1:3">
      <c r="A385" s="796" t="s">
        <v>13075</v>
      </c>
      <c r="B385" s="798" t="str">
        <f>IF(A385="","",IFERROR(VLOOKUP(A385,Kategorie!C:N,MATCH('General price list'!$W$17,Kategorie!$C$2:$N$2,0),FALSE),"× Chybí překlad ×"))</f>
        <v>Baterie 160 ran, 16 mm moždíř (různé úhly moždířů) – 1.4G</v>
      </c>
      <c r="C385" s="798" t="str">
        <f t="shared" si="5"/>
        <v xml:space="preserve">           Baterie 160 ran, 16 mm moždíř (různé úhly moždířů) – 1.4G</v>
      </c>
    </row>
    <row r="386" spans="1:3">
      <c r="A386" s="796" t="s">
        <v>20</v>
      </c>
      <c r="B386" s="798" t="str">
        <f>IF(A386="","",IFERROR(VLOOKUP(A386,Kategorie!C:N,MATCH('General price list'!$W$17,Kategorie!$C$2:$N$2,0),FALSE),"× Chybí překlad ×"))</f>
        <v/>
      </c>
      <c r="C386" s="798" t="str">
        <f t="shared" si="5"/>
        <v/>
      </c>
    </row>
    <row r="387" spans="1:3">
      <c r="A387" s="796" t="s">
        <v>13076</v>
      </c>
      <c r="B387" s="798" t="str">
        <f>IF(A387="","",IFERROR(VLOOKUP(A387,Kategorie!C:N,MATCH('General price list'!$W$17,Kategorie!$C$2:$N$2,0),FALSE),"× Chybí překlad ×"))</f>
        <v>Složený ohňostroj 16 mm – F2 – 1.4G – maximum 1000 g NEC</v>
      </c>
      <c r="C387" s="798" t="str">
        <f t="shared" si="5"/>
        <v xml:space="preserve">           Složený ohňostroj 16 mm – F2 – 1.4G – maximum 1000 g NEC</v>
      </c>
    </row>
    <row r="388" spans="1:3">
      <c r="A388" s="796" t="s">
        <v>20</v>
      </c>
      <c r="B388" s="798" t="str">
        <f>IF(A388="","",IFERROR(VLOOKUP(A388,Kategorie!C:N,MATCH('General price list'!$W$17,Kategorie!$C$2:$N$2,0),FALSE),"× Chybí překlad ×"))</f>
        <v/>
      </c>
      <c r="C388" s="798" t="str">
        <f t="shared" si="5"/>
        <v/>
      </c>
    </row>
    <row r="389" spans="1:3">
      <c r="A389" s="796" t="s">
        <v>20</v>
      </c>
      <c r="B389" s="798" t="str">
        <f>IF(A389="","",IFERROR(VLOOKUP(A389,Kategorie!C:N,MATCH('General price list'!$W$17,Kategorie!$C$2:$N$2,0),FALSE),"× Chybí překlad ×"))</f>
        <v/>
      </c>
      <c r="C389" s="798" t="str">
        <f t="shared" ref="C389:C452" si="6">IF(A389="","",IF(A389="x","×",$B$1&amp;B389))</f>
        <v/>
      </c>
    </row>
    <row r="390" spans="1:3">
      <c r="A390" s="802" t="s">
        <v>13077</v>
      </c>
      <c r="B390" s="798" t="str">
        <f>IF(A390="","",IFERROR(VLOOKUP(A390,Kategorie!C:N,MATCH('General price list'!$W$17,Kategorie!$C$2:$N$2,0),FALSE),"× Chybí překlad ×"))</f>
        <v>Baterie 63 ran, 14 mm (30 ran), 16 mm (33 ran)</v>
      </c>
      <c r="C390" s="798" t="str">
        <f t="shared" si="6"/>
        <v xml:space="preserve">           Baterie 63 ran, 14 mm (30 ran), 16 mm (33 ran)</v>
      </c>
    </row>
    <row r="391" spans="1:3">
      <c r="A391" s="796" t="s">
        <v>20</v>
      </c>
      <c r="B391" s="798" t="str">
        <f>IF(A391="","",IFERROR(VLOOKUP(A391,Kategorie!C:N,MATCH('General price list'!$W$17,Kategorie!$C$2:$N$2,0),FALSE),"× Chybí překlad ×"))</f>
        <v/>
      </c>
      <c r="C391" s="798" t="str">
        <f t="shared" si="6"/>
        <v/>
      </c>
    </row>
    <row r="392" spans="1:3">
      <c r="A392" s="796" t="s">
        <v>13078</v>
      </c>
      <c r="B392" s="798" t="str">
        <f>IF(A392="","",IFERROR(VLOOKUP(A392,Kategorie!C:N,MATCH('General price list'!$W$17,Kategorie!$C$2:$N$2,0),FALSE),"× Chybí překlad ×"))</f>
        <v>Baterie 9 ran, 20 mm moždíř – 1.3G</v>
      </c>
      <c r="C392" s="798" t="str">
        <f t="shared" si="6"/>
        <v xml:space="preserve">           Baterie 9 ran, 20 mm moždíř – 1.3G</v>
      </c>
    </row>
    <row r="393" spans="1:3">
      <c r="A393" s="796" t="s">
        <v>20</v>
      </c>
      <c r="B393" s="798" t="str">
        <f>IF(A393="","",IFERROR(VLOOKUP(A393,Kategorie!C:N,MATCH('General price list'!$W$17,Kategorie!$C$2:$N$2,0),FALSE),"× Chybí překlad ×"))</f>
        <v/>
      </c>
      <c r="C393" s="798" t="str">
        <f t="shared" si="6"/>
        <v/>
      </c>
    </row>
    <row r="394" spans="1:3">
      <c r="A394" s="796" t="s">
        <v>20</v>
      </c>
      <c r="B394" s="798" t="str">
        <f>IF(A394="","",IFERROR(VLOOKUP(A394,Kategorie!C:N,MATCH('General price list'!$W$17,Kategorie!$C$2:$N$2,0),FALSE),"× Chybí překlad ×"))</f>
        <v/>
      </c>
      <c r="C394" s="798" t="str">
        <f t="shared" si="6"/>
        <v/>
      </c>
    </row>
    <row r="395" spans="1:3">
      <c r="A395" s="796" t="s">
        <v>13079</v>
      </c>
      <c r="B395" s="798" t="str">
        <f>IF(A395="","",IFERROR(VLOOKUP(A395,Kategorie!C:N,MATCH('General price list'!$W$17,Kategorie!$C$2:$N$2,0),FALSE),"× Chybí překlad ×"))</f>
        <v>Baterie 16 ran, 20 mm moždíř – 1.3G</v>
      </c>
      <c r="C395" s="798" t="str">
        <f t="shared" si="6"/>
        <v xml:space="preserve">           Baterie 16 ran, 20 mm moždíř – 1.3G</v>
      </c>
    </row>
    <row r="396" spans="1:3">
      <c r="A396" s="796" t="s">
        <v>20</v>
      </c>
      <c r="B396" s="798" t="str">
        <f>IF(A396="","",IFERROR(VLOOKUP(A396,Kategorie!C:N,MATCH('General price list'!$W$17,Kategorie!$C$2:$N$2,0),FALSE),"× Chybí překlad ×"))</f>
        <v/>
      </c>
      <c r="C396" s="798" t="str">
        <f t="shared" si="6"/>
        <v/>
      </c>
    </row>
    <row r="397" spans="1:3">
      <c r="A397" s="796" t="s">
        <v>10511</v>
      </c>
      <c r="B397" s="798" t="str">
        <f>IF(A397="","",IFERROR(VLOOKUP(A397,Kategorie!C:N,MATCH('General price list'!$W$17,Kategorie!$C$2:$N$2,0),FALSE),"× Chybí překlad ×"))</f>
        <v>× Chybí překlad ×</v>
      </c>
      <c r="C397" s="798" t="str">
        <f t="shared" si="6"/>
        <v>×</v>
      </c>
    </row>
    <row r="398" spans="1:3">
      <c r="A398" s="796" t="s">
        <v>20</v>
      </c>
      <c r="B398" s="798" t="str">
        <f>IF(A398="","",IFERROR(VLOOKUP(A398,Kategorie!C:N,MATCH('General price list'!$W$17,Kategorie!$C$2:$N$2,0),FALSE),"× Chybí překlad ×"))</f>
        <v/>
      </c>
      <c r="C398" s="798" t="str">
        <f t="shared" si="6"/>
        <v/>
      </c>
    </row>
    <row r="399" spans="1:3">
      <c r="A399" s="796" t="s">
        <v>20</v>
      </c>
      <c r="B399" s="798" t="str">
        <f>IF(A399="","",IFERROR(VLOOKUP(A399,Kategorie!C:N,MATCH('General price list'!$W$17,Kategorie!$C$2:$N$2,0),FALSE),"× Chybí překlad ×"))</f>
        <v/>
      </c>
      <c r="C399" s="798" t="str">
        <f t="shared" si="6"/>
        <v/>
      </c>
    </row>
    <row r="400" spans="1:3">
      <c r="A400" s="796" t="s">
        <v>20</v>
      </c>
      <c r="B400" s="798" t="str">
        <f>IF(A400="","",IFERROR(VLOOKUP(A400,Kategorie!C:N,MATCH('General price list'!$W$17,Kategorie!$C$2:$N$2,0),FALSE),"× Chybí překlad ×"))</f>
        <v/>
      </c>
      <c r="C400" s="798" t="str">
        <f t="shared" si="6"/>
        <v/>
      </c>
    </row>
    <row r="401" spans="1:3">
      <c r="A401" s="796" t="s">
        <v>20</v>
      </c>
      <c r="B401" s="798" t="str">
        <f>IF(A401="","",IFERROR(VLOOKUP(A401,Kategorie!C:N,MATCH('General price list'!$W$17,Kategorie!$C$2:$N$2,0),FALSE),"× Chybí překlad ×"))</f>
        <v/>
      </c>
      <c r="C401" s="798" t="str">
        <f t="shared" si="6"/>
        <v/>
      </c>
    </row>
    <row r="402" spans="1:3">
      <c r="A402" s="796" t="s">
        <v>13080</v>
      </c>
      <c r="B402" s="798" t="str">
        <f>IF(A402="","",IFERROR(VLOOKUP(A402,Kategorie!C:N,MATCH('General price list'!$W$17,Kategorie!$C$2:$N$2,0),FALSE),"× Chybí překlad ×"))</f>
        <v>Baterie 16 ran, 20 mm moždíř – 1.4G</v>
      </c>
      <c r="C402" s="798" t="str">
        <f t="shared" si="6"/>
        <v xml:space="preserve">           Baterie 16 ran, 20 mm moždíř – 1.4G</v>
      </c>
    </row>
    <row r="403" spans="1:3">
      <c r="A403" s="796" t="s">
        <v>20</v>
      </c>
      <c r="B403" s="798" t="str">
        <f>IF(A403="","",IFERROR(VLOOKUP(A403,Kategorie!C:N,MATCH('General price list'!$W$17,Kategorie!$C$2:$N$2,0),FALSE),"× Chybí překlad ×"))</f>
        <v/>
      </c>
      <c r="C403" s="798" t="str">
        <f t="shared" si="6"/>
        <v/>
      </c>
    </row>
    <row r="404" spans="1:3">
      <c r="A404" s="796" t="s">
        <v>20</v>
      </c>
      <c r="B404" s="798" t="str">
        <f>IF(A404="","",IFERROR(VLOOKUP(A404,Kategorie!C:N,MATCH('General price list'!$W$17,Kategorie!$C$2:$N$2,0),FALSE),"× Chybí překlad ×"))</f>
        <v/>
      </c>
      <c r="C404" s="798" t="str">
        <f t="shared" si="6"/>
        <v/>
      </c>
    </row>
    <row r="405" spans="1:3">
      <c r="A405" s="796" t="s">
        <v>13081</v>
      </c>
      <c r="B405" s="798" t="str">
        <f>IF(A405="","",IFERROR(VLOOKUP(A405,Kategorie!C:N,MATCH('General price list'!$W$17,Kategorie!$C$2:$N$2,0),FALSE),"× Chybí překlad ×"))</f>
        <v>Baterie 16 ran, 20 mm šikmý moždíř – 1.3G</v>
      </c>
      <c r="C405" s="798" t="str">
        <f t="shared" si="6"/>
        <v xml:space="preserve">           Baterie 16 ran, 20 mm šikmý moždíř – 1.3G</v>
      </c>
    </row>
    <row r="406" spans="1:3">
      <c r="A406" s="796" t="s">
        <v>20</v>
      </c>
      <c r="B406" s="798" t="str">
        <f>IF(A406="","",IFERROR(VLOOKUP(A406,Kategorie!C:N,MATCH('General price list'!$W$17,Kategorie!$C$2:$N$2,0),FALSE),"× Chybí překlad ×"))</f>
        <v/>
      </c>
      <c r="C406" s="798" t="str">
        <f t="shared" si="6"/>
        <v/>
      </c>
    </row>
    <row r="407" spans="1:3">
      <c r="A407" s="796" t="s">
        <v>20</v>
      </c>
      <c r="B407" s="798" t="str">
        <f>IF(A407="","",IFERROR(VLOOKUP(A407,Kategorie!C:N,MATCH('General price list'!$W$17,Kategorie!$C$2:$N$2,0),FALSE),"× Chybí překlad ×"))</f>
        <v/>
      </c>
      <c r="C407" s="798" t="str">
        <f t="shared" si="6"/>
        <v/>
      </c>
    </row>
    <row r="408" spans="1:3">
      <c r="A408" s="796" t="s">
        <v>13082</v>
      </c>
      <c r="B408" s="798" t="str">
        <f>IF(A408="","",IFERROR(VLOOKUP(A408,Kategorie!C:N,MATCH('General price list'!$W$17,Kategorie!$C$2:$N$2,0),FALSE),"× Chybí překlad ×"))</f>
        <v>Baterie 25 ran, 20 mm moždíř – 1.3G</v>
      </c>
      <c r="C408" s="798" t="str">
        <f t="shared" si="6"/>
        <v xml:space="preserve">           Baterie 25 ran, 20 mm moždíř – 1.3G</v>
      </c>
    </row>
    <row r="409" spans="1:3">
      <c r="A409" s="796" t="s">
        <v>20</v>
      </c>
      <c r="B409" s="798" t="str">
        <f>IF(A409="","",IFERROR(VLOOKUP(A409,Kategorie!C:N,MATCH('General price list'!$W$17,Kategorie!$C$2:$N$2,0),FALSE),"× Chybí překlad ×"))</f>
        <v/>
      </c>
      <c r="C409" s="798" t="str">
        <f t="shared" si="6"/>
        <v/>
      </c>
    </row>
    <row r="410" spans="1:3">
      <c r="A410" s="802" t="s">
        <v>20</v>
      </c>
      <c r="B410" s="798" t="str">
        <f>IF(A410="","",IFERROR(VLOOKUP(A410,Kategorie!C:N,MATCH('General price list'!$W$17,Kategorie!$C$2:$N$2,0),FALSE),"× Chybí překlad ×"))</f>
        <v/>
      </c>
      <c r="C410" s="798" t="str">
        <f t="shared" si="6"/>
        <v/>
      </c>
    </row>
    <row r="411" spans="1:3">
      <c r="A411" s="796" t="s">
        <v>10511</v>
      </c>
      <c r="B411" s="798" t="str">
        <f>IF(A411="","",IFERROR(VLOOKUP(A411,Kategorie!C:N,MATCH('General price list'!$W$17,Kategorie!$C$2:$N$2,0),FALSE),"× Chybí překlad ×"))</f>
        <v>× Chybí překlad ×</v>
      </c>
      <c r="C411" s="798" t="str">
        <f t="shared" si="6"/>
        <v>×</v>
      </c>
    </row>
    <row r="412" spans="1:3">
      <c r="A412" s="796" t="s">
        <v>20</v>
      </c>
      <c r="B412" s="798" t="str">
        <f>IF(A412="","",IFERROR(VLOOKUP(A412,Kategorie!C:N,MATCH('General price list'!$W$17,Kategorie!$C$2:$N$2,0),FALSE),"× Chybí překlad ×"))</f>
        <v/>
      </c>
      <c r="C412" s="798" t="str">
        <f t="shared" si="6"/>
        <v/>
      </c>
    </row>
    <row r="413" spans="1:3">
      <c r="A413" s="796" t="s">
        <v>20</v>
      </c>
      <c r="B413" s="798" t="str">
        <f>IF(A413="","",IFERROR(VLOOKUP(A413,Kategorie!C:N,MATCH('General price list'!$W$17,Kategorie!$C$2:$N$2,0),FALSE),"× Chybí překlad ×"))</f>
        <v/>
      </c>
      <c r="C413" s="798" t="str">
        <f t="shared" si="6"/>
        <v/>
      </c>
    </row>
    <row r="414" spans="1:3">
      <c r="A414" s="796" t="s">
        <v>20</v>
      </c>
      <c r="B414" s="798" t="str">
        <f>IF(A414="","",IFERROR(VLOOKUP(A414,Kategorie!C:N,MATCH('General price list'!$W$17,Kategorie!$C$2:$N$2,0),FALSE),"× Chybí překlad ×"))</f>
        <v/>
      </c>
      <c r="C414" s="798" t="str">
        <f t="shared" si="6"/>
        <v/>
      </c>
    </row>
    <row r="415" spans="1:3">
      <c r="A415" s="796" t="s">
        <v>20</v>
      </c>
      <c r="B415" s="798" t="str">
        <f>IF(A415="","",IFERROR(VLOOKUP(A415,Kategorie!C:N,MATCH('General price list'!$W$17,Kategorie!$C$2:$N$2,0),FALSE),"× Chybí překlad ×"))</f>
        <v/>
      </c>
      <c r="C415" s="798" t="str">
        <f t="shared" si="6"/>
        <v/>
      </c>
    </row>
    <row r="416" spans="1:3">
      <c r="A416" s="796" t="s">
        <v>20</v>
      </c>
      <c r="B416" s="798" t="str">
        <f>IF(A416="","",IFERROR(VLOOKUP(A416,Kategorie!C:N,MATCH('General price list'!$W$17,Kategorie!$C$2:$N$2,0),FALSE),"× Chybí překlad ×"))</f>
        <v/>
      </c>
      <c r="C416" s="798" t="str">
        <f t="shared" si="6"/>
        <v/>
      </c>
    </row>
    <row r="417" spans="1:3">
      <c r="A417" s="796" t="s">
        <v>20</v>
      </c>
      <c r="B417" s="798" t="str">
        <f>IF(A417="","",IFERROR(VLOOKUP(A417,Kategorie!C:N,MATCH('General price list'!$W$17,Kategorie!$C$2:$N$2,0),FALSE),"× Chybí překlad ×"))</f>
        <v/>
      </c>
      <c r="C417" s="798" t="str">
        <f t="shared" si="6"/>
        <v/>
      </c>
    </row>
    <row r="418" spans="1:3">
      <c r="A418" s="796" t="s">
        <v>10511</v>
      </c>
      <c r="B418" s="798" t="str">
        <f>IF(A418="","",IFERROR(VLOOKUP(A418,Kategorie!C:N,MATCH('General price list'!$W$17,Kategorie!$C$2:$N$2,0),FALSE),"× Chybí překlad ×"))</f>
        <v>× Chybí překlad ×</v>
      </c>
      <c r="C418" s="798" t="str">
        <f t="shared" si="6"/>
        <v>×</v>
      </c>
    </row>
    <row r="419" spans="1:3">
      <c r="A419" s="796" t="s">
        <v>13083</v>
      </c>
      <c r="B419" s="798" t="str">
        <f>IF(A419="","",IFERROR(VLOOKUP(A419,Kategorie!C:N,MATCH('General price list'!$W$17,Kategorie!$C$2:$N$2,0),FALSE),"× Chybí překlad ×"))</f>
        <v>Baterie 25 ran, 20 mm moždíř – 1.4G</v>
      </c>
      <c r="C419" s="798" t="str">
        <f t="shared" si="6"/>
        <v xml:space="preserve">           Baterie 25 ran, 20 mm moždíř – 1.4G</v>
      </c>
    </row>
    <row r="420" spans="1:3">
      <c r="A420" s="796" t="s">
        <v>20</v>
      </c>
      <c r="B420" s="798" t="str">
        <f>IF(A420="","",IFERROR(VLOOKUP(A420,Kategorie!C:N,MATCH('General price list'!$W$17,Kategorie!$C$2:$N$2,0),FALSE),"× Chybí překlad ×"))</f>
        <v/>
      </c>
      <c r="C420" s="798" t="str">
        <f t="shared" si="6"/>
        <v/>
      </c>
    </row>
    <row r="421" spans="1:3">
      <c r="A421" s="796" t="s">
        <v>20</v>
      </c>
      <c r="B421" s="798" t="str">
        <f>IF(A421="","",IFERROR(VLOOKUP(A421,Kategorie!C:N,MATCH('General price list'!$W$17,Kategorie!$C$2:$N$2,0),FALSE),"× Chybí překlad ×"))</f>
        <v/>
      </c>
      <c r="C421" s="798" t="str">
        <f t="shared" si="6"/>
        <v/>
      </c>
    </row>
    <row r="422" spans="1:3">
      <c r="A422" s="796" t="s">
        <v>10511</v>
      </c>
      <c r="B422" s="798" t="str">
        <f>IF(A422="","",IFERROR(VLOOKUP(A422,Kategorie!C:N,MATCH('General price list'!$W$17,Kategorie!$C$2:$N$2,0),FALSE),"× Chybí překlad ×"))</f>
        <v>× Chybí překlad ×</v>
      </c>
      <c r="C422" s="798" t="str">
        <f t="shared" si="6"/>
        <v>×</v>
      </c>
    </row>
    <row r="423" spans="1:3">
      <c r="A423" s="796" t="s">
        <v>13084</v>
      </c>
      <c r="B423" s="798" t="str">
        <f>IF(A423="","",IFERROR(VLOOKUP(A423,Kategorie!C:N,MATCH('General price list'!$W$17,Kategorie!$C$2:$N$2,0),FALSE),"× Chybí překlad ×"))</f>
        <v>Baterie 36 ran, 20 mm moždíř – 1.3G</v>
      </c>
      <c r="C423" s="798" t="str">
        <f t="shared" si="6"/>
        <v xml:space="preserve">           Baterie 36 ran, 20 mm moždíř – 1.3G</v>
      </c>
    </row>
    <row r="424" spans="1:3">
      <c r="A424" s="802" t="s">
        <v>20</v>
      </c>
      <c r="B424" s="798" t="str">
        <f>IF(A424="","",IFERROR(VLOOKUP(A424,Kategorie!C:N,MATCH('General price list'!$W$17,Kategorie!$C$2:$N$2,0),FALSE),"× Chybí překlad ×"))</f>
        <v/>
      </c>
      <c r="C424" s="798" t="str">
        <f t="shared" si="6"/>
        <v/>
      </c>
    </row>
    <row r="425" spans="1:3">
      <c r="A425" s="796" t="s">
        <v>13085</v>
      </c>
      <c r="B425" s="798" t="str">
        <f>IF(A425="","",IFERROR(VLOOKUP(A425,Kategorie!C:N,MATCH('General price list'!$W$17,Kategorie!$C$2:$N$2,0),FALSE),"× Chybí překlad ×"))</f>
        <v>Baterie 36 ran, 20 mm moždíř – 1.4G</v>
      </c>
      <c r="C425" s="798" t="str">
        <f t="shared" si="6"/>
        <v xml:space="preserve">           Baterie 36 ran, 20 mm moždíř – 1.4G</v>
      </c>
    </row>
    <row r="426" spans="1:3">
      <c r="A426" s="796" t="s">
        <v>20</v>
      </c>
      <c r="B426" s="798" t="str">
        <f>IF(A426="","",IFERROR(VLOOKUP(A426,Kategorie!C:N,MATCH('General price list'!$W$17,Kategorie!$C$2:$N$2,0),FALSE),"× Chybí překlad ×"))</f>
        <v/>
      </c>
      <c r="C426" s="798" t="str">
        <f t="shared" si="6"/>
        <v/>
      </c>
    </row>
    <row r="427" spans="1:3">
      <c r="A427" s="796" t="s">
        <v>20</v>
      </c>
      <c r="B427" s="798" t="str">
        <f>IF(A427="","",IFERROR(VLOOKUP(A427,Kategorie!C:N,MATCH('General price list'!$W$17,Kategorie!$C$2:$N$2,0),FALSE),"× Chybí překlad ×"))</f>
        <v/>
      </c>
      <c r="C427" s="798" t="str">
        <f t="shared" si="6"/>
        <v/>
      </c>
    </row>
    <row r="428" spans="1:3">
      <c r="A428" s="796" t="s">
        <v>13086</v>
      </c>
      <c r="B428" s="798" t="str">
        <f>IF(A428="","",IFERROR(VLOOKUP(A428,Kategorie!C:N,MATCH('General price list'!$W$17,Kategorie!$C$2:$N$2,0),FALSE),"× Chybí překlad ×"))</f>
        <v>Baterie 49 ran, 20 mm moždíř – 1.3G</v>
      </c>
      <c r="C428" s="798" t="str">
        <f t="shared" si="6"/>
        <v xml:space="preserve">           Baterie 49 ran, 20 mm moždíř – 1.3G</v>
      </c>
    </row>
    <row r="429" spans="1:3">
      <c r="A429" s="802" t="s">
        <v>20</v>
      </c>
      <c r="B429" s="798" t="str">
        <f>IF(A429="","",IFERROR(VLOOKUP(A429,Kategorie!C:N,MATCH('General price list'!$W$17,Kategorie!$C$2:$N$2,0),FALSE),"× Chybí překlad ×"))</f>
        <v/>
      </c>
      <c r="C429" s="798" t="str">
        <f t="shared" si="6"/>
        <v/>
      </c>
    </row>
    <row r="430" spans="1:3">
      <c r="A430" s="796" t="s">
        <v>20</v>
      </c>
      <c r="B430" s="798" t="str">
        <f>IF(A430="","",IFERROR(VLOOKUP(A430,Kategorie!C:N,MATCH('General price list'!$W$17,Kategorie!$C$2:$N$2,0),FALSE),"× Chybí překlad ×"))</f>
        <v/>
      </c>
      <c r="C430" s="798" t="str">
        <f t="shared" si="6"/>
        <v/>
      </c>
    </row>
    <row r="431" spans="1:3">
      <c r="A431" s="802" t="s">
        <v>20</v>
      </c>
      <c r="B431" s="798" t="str">
        <f>IF(A431="","",IFERROR(VLOOKUP(A431,Kategorie!C:N,MATCH('General price list'!$W$17,Kategorie!$C$2:$N$2,0),FALSE),"× Chybí překlad ×"))</f>
        <v/>
      </c>
      <c r="C431" s="798" t="str">
        <f t="shared" si="6"/>
        <v/>
      </c>
    </row>
    <row r="432" spans="1:3">
      <c r="A432" s="796" t="s">
        <v>20</v>
      </c>
      <c r="B432" s="798" t="str">
        <f>IF(A432="","",IFERROR(VLOOKUP(A432,Kategorie!C:N,MATCH('General price list'!$W$17,Kategorie!$C$2:$N$2,0),FALSE),"× Chybí překlad ×"))</f>
        <v/>
      </c>
      <c r="C432" s="798" t="str">
        <f t="shared" si="6"/>
        <v/>
      </c>
    </row>
    <row r="433" spans="1:3">
      <c r="A433" s="802" t="s">
        <v>20</v>
      </c>
      <c r="B433" s="798" t="str">
        <f>IF(A433="","",IFERROR(VLOOKUP(A433,Kategorie!C:N,MATCH('General price list'!$W$17,Kategorie!$C$2:$N$2,0),FALSE),"× Chybí překlad ×"))</f>
        <v/>
      </c>
      <c r="C433" s="798" t="str">
        <f t="shared" si="6"/>
        <v/>
      </c>
    </row>
    <row r="434" spans="1:3">
      <c r="A434" s="796" t="s">
        <v>13087</v>
      </c>
      <c r="B434" s="798" t="str">
        <f>IF(A434="","",IFERROR(VLOOKUP(A434,Kategorie!C:N,MATCH('General price list'!$W$17,Kategorie!$C$2:$N$2,0),FALSE),"× Chybí překlad ×"))</f>
        <v>Baterie 49 ran, 20 mm moždíř – 1.4G</v>
      </c>
      <c r="C434" s="798" t="str">
        <f t="shared" si="6"/>
        <v xml:space="preserve">           Baterie 49 ran, 20 mm moždíř – 1.4G</v>
      </c>
    </row>
    <row r="435" spans="1:3">
      <c r="A435" s="802" t="s">
        <v>20</v>
      </c>
      <c r="B435" s="798" t="str">
        <f>IF(A435="","",IFERROR(VLOOKUP(A435,Kategorie!C:N,MATCH('General price list'!$W$17,Kategorie!$C$2:$N$2,0),FALSE),"× Chybí překlad ×"))</f>
        <v/>
      </c>
      <c r="C435" s="798" t="str">
        <f t="shared" si="6"/>
        <v/>
      </c>
    </row>
    <row r="436" spans="1:3">
      <c r="A436" s="796" t="s">
        <v>20</v>
      </c>
      <c r="B436" s="798" t="str">
        <f>IF(A436="","",IFERROR(VLOOKUP(A436,Kategorie!C:N,MATCH('General price list'!$W$17,Kategorie!$C$2:$N$2,0),FALSE),"× Chybí překlad ×"))</f>
        <v/>
      </c>
      <c r="C436" s="798" t="str">
        <f t="shared" si="6"/>
        <v/>
      </c>
    </row>
    <row r="437" spans="1:3">
      <c r="A437" s="802" t="s">
        <v>13088</v>
      </c>
      <c r="B437" s="798" t="str">
        <f>IF(A437="","",IFERROR(VLOOKUP(A437,Kategorie!C:N,MATCH('General price list'!$W$17,Kategorie!$C$2:$N$2,0),FALSE),"× Chybí překlad ×"))</f>
        <v>Baterie 49 ran, 20 mm šikmý moždíř – 1.3G</v>
      </c>
      <c r="C437" s="798" t="str">
        <f t="shared" si="6"/>
        <v xml:space="preserve">           Baterie 49 ran, 20 mm šikmý moždíř – 1.3G</v>
      </c>
    </row>
    <row r="438" spans="1:3">
      <c r="A438" s="796" t="s">
        <v>20</v>
      </c>
      <c r="B438" s="798" t="str">
        <f>IF(A438="","",IFERROR(VLOOKUP(A438,Kategorie!C:N,MATCH('General price list'!$W$17,Kategorie!$C$2:$N$2,0),FALSE),"× Chybí překlad ×"))</f>
        <v/>
      </c>
      <c r="C438" s="798" t="str">
        <f t="shared" si="6"/>
        <v/>
      </c>
    </row>
    <row r="439" spans="1:3">
      <c r="A439" s="802" t="s">
        <v>20</v>
      </c>
      <c r="B439" s="798" t="str">
        <f>IF(A439="","",IFERROR(VLOOKUP(A439,Kategorie!C:N,MATCH('General price list'!$W$17,Kategorie!$C$2:$N$2,0),FALSE),"× Chybí překlad ×"))</f>
        <v/>
      </c>
      <c r="C439" s="798" t="str">
        <f t="shared" si="6"/>
        <v/>
      </c>
    </row>
    <row r="440" spans="1:3">
      <c r="A440" s="796" t="s">
        <v>20</v>
      </c>
      <c r="B440" s="798" t="str">
        <f>IF(A440="","",IFERROR(VLOOKUP(A440,Kategorie!C:N,MATCH('General price list'!$W$17,Kategorie!$C$2:$N$2,0),FALSE),"× Chybí překlad ×"))</f>
        <v/>
      </c>
      <c r="C440" s="798" t="str">
        <f t="shared" si="6"/>
        <v/>
      </c>
    </row>
    <row r="441" spans="1:3">
      <c r="A441" s="796" t="s">
        <v>13089</v>
      </c>
      <c r="B441" s="798" t="str">
        <f>IF(A441="","",IFERROR(VLOOKUP(A441,Kategorie!C:N,MATCH('General price list'!$W$17,Kategorie!$C$2:$N$2,0),FALSE),"× Chybí překlad ×"))</f>
        <v>Baterie 49 ran, 20 mm šikmý moždíř – 1.4G</v>
      </c>
      <c r="C441" s="798" t="str">
        <f t="shared" si="6"/>
        <v xml:space="preserve">           Baterie 49 ran, 20 mm šikmý moždíř – 1.4G</v>
      </c>
    </row>
    <row r="442" spans="1:3">
      <c r="A442" s="802" t="s">
        <v>20</v>
      </c>
      <c r="B442" s="798" t="str">
        <f>IF(A442="","",IFERROR(VLOOKUP(A442,Kategorie!C:N,MATCH('General price list'!$W$17,Kategorie!$C$2:$N$2,0),FALSE),"× Chybí překlad ×"))</f>
        <v/>
      </c>
      <c r="C442" s="798" t="str">
        <f t="shared" si="6"/>
        <v/>
      </c>
    </row>
    <row r="443" spans="1:3">
      <c r="A443" s="802" t="s">
        <v>13090</v>
      </c>
      <c r="B443" s="798" t="str">
        <f>IF(A443="","",IFERROR(VLOOKUP(A443,Kategorie!C:N,MATCH('General price list'!$W$17,Kategorie!$C$2:$N$2,0),FALSE),"× Chybí překlad ×"))</f>
        <v>Baterie 64 ran, 20 mm moždíř – 1.3G</v>
      </c>
      <c r="C443" s="798" t="str">
        <f t="shared" si="6"/>
        <v xml:space="preserve">           Baterie 64 ran, 20 mm moždíř – 1.3G</v>
      </c>
    </row>
    <row r="444" spans="1:3">
      <c r="A444" s="796" t="s">
        <v>20</v>
      </c>
      <c r="B444" s="798" t="str">
        <f>IF(A444="","",IFERROR(VLOOKUP(A444,Kategorie!C:N,MATCH('General price list'!$W$17,Kategorie!$C$2:$N$2,0),FALSE),"× Chybí překlad ×"))</f>
        <v/>
      </c>
      <c r="C444" s="798" t="str">
        <f t="shared" si="6"/>
        <v/>
      </c>
    </row>
    <row r="445" spans="1:3">
      <c r="A445" s="796" t="s">
        <v>20</v>
      </c>
      <c r="B445" s="798" t="str">
        <f>IF(A445="","",IFERROR(VLOOKUP(A445,Kategorie!C:N,MATCH('General price list'!$W$17,Kategorie!$C$2:$N$2,0),FALSE),"× Chybí překlad ×"))</f>
        <v/>
      </c>
      <c r="C445" s="798" t="str">
        <f t="shared" si="6"/>
        <v/>
      </c>
    </row>
    <row r="446" spans="1:3">
      <c r="A446" s="802" t="s">
        <v>20</v>
      </c>
      <c r="B446" s="798" t="str">
        <f>IF(A446="","",IFERROR(VLOOKUP(A446,Kategorie!C:N,MATCH('General price list'!$W$17,Kategorie!$C$2:$N$2,0),FALSE),"× Chybí překlad ×"))</f>
        <v/>
      </c>
      <c r="C446" s="798" t="str">
        <f t="shared" si="6"/>
        <v/>
      </c>
    </row>
    <row r="447" spans="1:3">
      <c r="A447" s="796" t="s">
        <v>20</v>
      </c>
      <c r="B447" s="798" t="str">
        <f>IF(A447="","",IFERROR(VLOOKUP(A447,Kategorie!C:N,MATCH('General price list'!$W$17,Kategorie!$C$2:$N$2,0),FALSE),"× Chybí překlad ×"))</f>
        <v/>
      </c>
      <c r="C447" s="798" t="str">
        <f t="shared" si="6"/>
        <v/>
      </c>
    </row>
    <row r="448" spans="1:3">
      <c r="A448" s="796" t="s">
        <v>13091</v>
      </c>
      <c r="B448" s="798" t="str">
        <f>IF(A448="","",IFERROR(VLOOKUP(A448,Kategorie!C:N,MATCH('General price list'!$W$17,Kategorie!$C$2:$N$2,0),FALSE),"× Chybí překlad ×"))</f>
        <v>Baterie 64 ran, 20 mm moždíř – 1.4G</v>
      </c>
      <c r="C448" s="798" t="str">
        <f t="shared" si="6"/>
        <v xml:space="preserve">           Baterie 64 ran, 20 mm moždíř – 1.4G</v>
      </c>
    </row>
    <row r="449" spans="1:3">
      <c r="A449" s="796" t="s">
        <v>20</v>
      </c>
      <c r="B449" s="798" t="str">
        <f>IF(A449="","",IFERROR(VLOOKUP(A449,Kategorie!C:N,MATCH('General price list'!$W$17,Kategorie!$C$2:$N$2,0),FALSE),"× Chybí překlad ×"))</f>
        <v/>
      </c>
      <c r="C449" s="798" t="str">
        <f t="shared" si="6"/>
        <v/>
      </c>
    </row>
    <row r="450" spans="1:3">
      <c r="A450" s="802" t="s">
        <v>13092</v>
      </c>
      <c r="B450" s="798" t="str">
        <f>IF(A450="","",IFERROR(VLOOKUP(A450,Kategorie!C:N,MATCH('General price list'!$W$17,Kategorie!$C$2:$N$2,0),FALSE),"× Chybí překlad ×"))</f>
        <v>Baterie 66 ran, 20 mm I + V + W + šikmý moždíř – 1.3G</v>
      </c>
      <c r="C450" s="798" t="str">
        <f t="shared" si="6"/>
        <v xml:space="preserve">           Baterie 66 ran, 20 mm I + V + W + šikmý moždíř – 1.3G</v>
      </c>
    </row>
    <row r="451" spans="1:3">
      <c r="A451" s="796" t="s">
        <v>20</v>
      </c>
      <c r="B451" s="798" t="str">
        <f>IF(A451="","",IFERROR(VLOOKUP(A451,Kategorie!C:N,MATCH('General price list'!$W$17,Kategorie!$C$2:$N$2,0),FALSE),"× Chybí překlad ×"))</f>
        <v/>
      </c>
      <c r="C451" s="798" t="str">
        <f t="shared" si="6"/>
        <v/>
      </c>
    </row>
    <row r="452" spans="1:3">
      <c r="A452" s="796" t="s">
        <v>20</v>
      </c>
      <c r="B452" s="798" t="str">
        <f>IF(A452="","",IFERROR(VLOOKUP(A452,Kategorie!C:N,MATCH('General price list'!$W$17,Kategorie!$C$2:$N$2,0),FALSE),"× Chybí překlad ×"))</f>
        <v/>
      </c>
      <c r="C452" s="798" t="str">
        <f t="shared" si="6"/>
        <v/>
      </c>
    </row>
    <row r="453" spans="1:3">
      <c r="A453" s="796" t="s">
        <v>13093</v>
      </c>
      <c r="B453" s="798" t="str">
        <f>IF(A453="","",IFERROR(VLOOKUP(A453,Kategorie!C:N,MATCH('General price list'!$W$17,Kategorie!$C$2:$N$2,0),FALSE),"× Chybí překlad ×"))</f>
        <v>Baterie 66 ran, 20 mm I + V + W + šikmý moždíř – 1.4G</v>
      </c>
      <c r="C453" s="798" t="str">
        <f t="shared" ref="C453:C516" si="7">IF(A453="","",IF(A453="x","×",$B$1&amp;B453))</f>
        <v xml:space="preserve">           Baterie 66 ran, 20 mm I + V + W + šikmý moždíř – 1.4G</v>
      </c>
    </row>
    <row r="454" spans="1:3">
      <c r="A454" s="796" t="s">
        <v>20</v>
      </c>
      <c r="B454" s="798" t="str">
        <f>IF(A454="","",IFERROR(VLOOKUP(A454,Kategorie!C:N,MATCH('General price list'!$W$17,Kategorie!$C$2:$N$2,0),FALSE),"× Chybí překlad ×"))</f>
        <v/>
      </c>
      <c r="C454" s="798" t="str">
        <f t="shared" si="7"/>
        <v/>
      </c>
    </row>
    <row r="455" spans="1:3">
      <c r="A455" s="796" t="s">
        <v>13094</v>
      </c>
      <c r="B455" s="798" t="str">
        <f>IF(A455="","",IFERROR(VLOOKUP(A455,Kategorie!C:N,MATCH('General price list'!$W$17,Kategorie!$C$2:$N$2,0),FALSE),"× Chybí překlad ×"))</f>
        <v>Baterie 90 ran, 20 mm moždíř – 1.3G</v>
      </c>
      <c r="C455" s="798" t="str">
        <f t="shared" si="7"/>
        <v xml:space="preserve">           Baterie 90 ran, 20 mm moždíř – 1.3G</v>
      </c>
    </row>
    <row r="456" spans="1:3">
      <c r="A456" s="796" t="s">
        <v>20</v>
      </c>
      <c r="B456" s="798" t="str">
        <f>IF(A456="","",IFERROR(VLOOKUP(A456,Kategorie!C:N,MATCH('General price list'!$W$17,Kategorie!$C$2:$N$2,0),FALSE),"× Chybí překlad ×"))</f>
        <v/>
      </c>
      <c r="C456" s="798" t="str">
        <f t="shared" si="7"/>
        <v/>
      </c>
    </row>
    <row r="457" spans="1:3">
      <c r="A457" s="802" t="s">
        <v>20</v>
      </c>
      <c r="B457" s="798" t="str">
        <f>IF(A457="","",IFERROR(VLOOKUP(A457,Kategorie!C:N,MATCH('General price list'!$W$17,Kategorie!$C$2:$N$2,0),FALSE),"× Chybí překlad ×"))</f>
        <v/>
      </c>
      <c r="C457" s="798" t="str">
        <f t="shared" si="7"/>
        <v/>
      </c>
    </row>
    <row r="458" spans="1:3">
      <c r="A458" s="796" t="s">
        <v>20</v>
      </c>
      <c r="B458" s="798" t="str">
        <f>IF(A458="","",IFERROR(VLOOKUP(A458,Kategorie!C:N,MATCH('General price list'!$W$17,Kategorie!$C$2:$N$2,0),FALSE),"× Chybí překlad ×"))</f>
        <v/>
      </c>
      <c r="C458" s="798" t="str">
        <f t="shared" si="7"/>
        <v/>
      </c>
    </row>
    <row r="459" spans="1:3">
      <c r="A459" s="796" t="s">
        <v>13095</v>
      </c>
      <c r="B459" s="798" t="str">
        <f>IF(A459="","",IFERROR(VLOOKUP(A459,Kategorie!C:N,MATCH('General price list'!$W$17,Kategorie!$C$2:$N$2,0),FALSE),"× Chybí překlad ×"))</f>
        <v>Baterie 100 ran, 20 mm moždíř – 1.4G</v>
      </c>
      <c r="C459" s="798" t="str">
        <f t="shared" si="7"/>
        <v xml:space="preserve">           Baterie 100 ran, 20 mm moždíř – 1.4G</v>
      </c>
    </row>
    <row r="460" spans="1:3">
      <c r="A460" s="796" t="s">
        <v>20</v>
      </c>
      <c r="B460" s="798" t="str">
        <f>IF(A460="","",IFERROR(VLOOKUP(A460,Kategorie!C:N,MATCH('General price list'!$W$17,Kategorie!$C$2:$N$2,0),FALSE),"× Chybí překlad ×"))</f>
        <v/>
      </c>
      <c r="C460" s="798" t="str">
        <f t="shared" si="7"/>
        <v/>
      </c>
    </row>
    <row r="461" spans="1:3">
      <c r="A461" s="796" t="s">
        <v>20</v>
      </c>
      <c r="B461" s="798" t="str">
        <f>IF(A461="","",IFERROR(VLOOKUP(A461,Kategorie!C:N,MATCH('General price list'!$W$17,Kategorie!$C$2:$N$2,0),FALSE),"× Chybí překlad ×"))</f>
        <v/>
      </c>
      <c r="C461" s="798" t="str">
        <f t="shared" si="7"/>
        <v/>
      </c>
    </row>
    <row r="462" spans="1:3">
      <c r="A462" s="796" t="s">
        <v>20</v>
      </c>
      <c r="B462" s="798" t="str">
        <f>IF(A462="","",IFERROR(VLOOKUP(A462,Kategorie!C:N,MATCH('General price list'!$W$17,Kategorie!$C$2:$N$2,0),FALSE),"× Chybí překlad ×"))</f>
        <v/>
      </c>
      <c r="C462" s="798" t="str">
        <f t="shared" si="7"/>
        <v/>
      </c>
    </row>
    <row r="463" spans="1:3">
      <c r="A463" s="802" t="s">
        <v>13096</v>
      </c>
      <c r="B463" s="798" t="str">
        <f>IF(A463="","",IFERROR(VLOOKUP(A463,Kategorie!C:N,MATCH('General price list'!$W$17,Kategorie!$C$2:$N$2,0),FALSE),"× Chybí překlad ×"))</f>
        <v>Baterie 100 ran, 20 mm moždíř (všechny směry) – 1.4G</v>
      </c>
      <c r="C463" s="798" t="str">
        <f t="shared" si="7"/>
        <v xml:space="preserve">           Baterie 100 ran, 20 mm moždíř (všechny směry) – 1.4G</v>
      </c>
    </row>
    <row r="464" spans="1:3">
      <c r="A464" s="796" t="s">
        <v>10511</v>
      </c>
      <c r="B464" s="798" t="str">
        <f>IF(A464="","",IFERROR(VLOOKUP(A464,Kategorie!C:N,MATCH('General price list'!$W$17,Kategorie!$C$2:$N$2,0),FALSE),"× Chybí překlad ×"))</f>
        <v>× Chybí překlad ×</v>
      </c>
      <c r="C464" s="798" t="str">
        <f t="shared" si="7"/>
        <v>×</v>
      </c>
    </row>
    <row r="465" spans="1:3">
      <c r="A465" s="796" t="s">
        <v>10511</v>
      </c>
      <c r="B465" s="798" t="str">
        <f>IF(A465="","",IFERROR(VLOOKUP(A465,Kategorie!C:N,MATCH('General price list'!$W$17,Kategorie!$C$2:$N$2,0),FALSE),"× Chybí překlad ×"))</f>
        <v>× Chybí překlad ×</v>
      </c>
      <c r="C465" s="798" t="str">
        <f t="shared" si="7"/>
        <v>×</v>
      </c>
    </row>
    <row r="466" spans="1:3">
      <c r="A466" s="802" t="s">
        <v>10511</v>
      </c>
      <c r="B466" s="798" t="str">
        <f>IF(A466="","",IFERROR(VLOOKUP(A466,Kategorie!C:N,MATCH('General price list'!$W$17,Kategorie!$C$2:$N$2,0),FALSE),"× Chybí překlad ×"))</f>
        <v>× Chybí překlad ×</v>
      </c>
      <c r="C466" s="798" t="str">
        <f t="shared" si="7"/>
        <v>×</v>
      </c>
    </row>
    <row r="467" spans="1:3">
      <c r="A467" s="796" t="s">
        <v>20</v>
      </c>
      <c r="B467" s="798" t="str">
        <f>IF(A467="","",IFERROR(VLOOKUP(A467,Kategorie!C:N,MATCH('General price list'!$W$17,Kategorie!$C$2:$N$2,0),FALSE),"× Chybí překlad ×"))</f>
        <v/>
      </c>
      <c r="C467" s="798" t="str">
        <f t="shared" si="7"/>
        <v/>
      </c>
    </row>
    <row r="468" spans="1:3">
      <c r="A468" s="796" t="s">
        <v>13097</v>
      </c>
      <c r="B468" s="798" t="str">
        <f>IF(A468="","",IFERROR(VLOOKUP(A468,Kategorie!C:N,MATCH('General price list'!$W$17,Kategorie!$C$2:$N$2,0),FALSE),"× Chybí překlad ×"))</f>
        <v>Baterie 100 ran, 20 mm šikmý moždíř – 1.3G</v>
      </c>
      <c r="C468" s="798" t="str">
        <f t="shared" si="7"/>
        <v xml:space="preserve">           Baterie 100 ran, 20 mm šikmý moždíř – 1.3G</v>
      </c>
    </row>
    <row r="469" spans="1:3">
      <c r="A469" s="796" t="s">
        <v>20</v>
      </c>
      <c r="B469" s="798" t="str">
        <f>IF(A469="","",IFERROR(VLOOKUP(A469,Kategorie!C:N,MATCH('General price list'!$W$17,Kategorie!$C$2:$N$2,0),FALSE),"× Chybí překlad ×"))</f>
        <v/>
      </c>
      <c r="C469" s="798" t="str">
        <f t="shared" si="7"/>
        <v/>
      </c>
    </row>
    <row r="470" spans="1:3">
      <c r="A470" s="796" t="s">
        <v>13098</v>
      </c>
      <c r="B470" s="798" t="str">
        <f>IF(A470="","",IFERROR(VLOOKUP(A470,Kategorie!C:N,MATCH('General price list'!$W$17,Kategorie!$C$2:$N$2,0),FALSE),"× Chybí překlad ×"))</f>
        <v>Baterie 130 ran, 20 mm moždíř – 1.3G</v>
      </c>
      <c r="C470" s="798" t="str">
        <f t="shared" si="7"/>
        <v xml:space="preserve">           Baterie 130 ran, 20 mm moždíř – 1.3G</v>
      </c>
    </row>
    <row r="471" spans="1:3">
      <c r="A471" s="796" t="s">
        <v>20</v>
      </c>
      <c r="B471" s="798" t="str">
        <f>IF(A471="","",IFERROR(VLOOKUP(A471,Kategorie!C:N,MATCH('General price list'!$W$17,Kategorie!$C$2:$N$2,0),FALSE),"× Chybí překlad ×"))</f>
        <v/>
      </c>
      <c r="C471" s="798" t="str">
        <f t="shared" si="7"/>
        <v/>
      </c>
    </row>
    <row r="472" spans="1:3">
      <c r="A472" s="796" t="s">
        <v>20</v>
      </c>
      <c r="B472" s="798" t="str">
        <f>IF(A472="","",IFERROR(VLOOKUP(A472,Kategorie!C:N,MATCH('General price list'!$W$17,Kategorie!$C$2:$N$2,0),FALSE),"× Chybí překlad ×"))</f>
        <v/>
      </c>
      <c r="C472" s="798" t="str">
        <f t="shared" si="7"/>
        <v/>
      </c>
    </row>
    <row r="473" spans="1:3">
      <c r="A473" s="796" t="s">
        <v>20</v>
      </c>
      <c r="B473" s="798" t="str">
        <f>IF(A473="","",IFERROR(VLOOKUP(A473,Kategorie!C:N,MATCH('General price list'!$W$17,Kategorie!$C$2:$N$2,0),FALSE),"× Chybí překlad ×"))</f>
        <v/>
      </c>
      <c r="C473" s="798" t="str">
        <f t="shared" si="7"/>
        <v/>
      </c>
    </row>
    <row r="474" spans="1:3">
      <c r="A474" s="802" t="s">
        <v>13099</v>
      </c>
      <c r="B474" s="798" t="str">
        <f>IF(A474="","",IFERROR(VLOOKUP(A474,Kategorie!C:N,MATCH('General price list'!$W$17,Kategorie!$C$2:$N$2,0),FALSE),"× Chybí překlad ×"))</f>
        <v>Baterie 134 ran, 20 mm I + V + W + šikmý moždíř – 1.3G</v>
      </c>
      <c r="C474" s="798" t="str">
        <f t="shared" si="7"/>
        <v xml:space="preserve">           Baterie 134 ran, 20 mm I + V + W + šikmý moždíř – 1.3G</v>
      </c>
    </row>
    <row r="475" spans="1:3">
      <c r="A475" s="796" t="s">
        <v>20</v>
      </c>
      <c r="B475" s="798" t="str">
        <f>IF(A475="","",IFERROR(VLOOKUP(A475,Kategorie!C:N,MATCH('General price list'!$W$17,Kategorie!$C$2:$N$2,0),FALSE),"× Chybí překlad ×"))</f>
        <v/>
      </c>
      <c r="C475" s="798" t="str">
        <f t="shared" si="7"/>
        <v/>
      </c>
    </row>
    <row r="476" spans="1:3">
      <c r="A476" s="796" t="s">
        <v>13100</v>
      </c>
      <c r="B476" s="798" t="str">
        <f>IF(A476="","",IFERROR(VLOOKUP(A476,Kategorie!C:N,MATCH('General price list'!$W$17,Kategorie!$C$2:$N$2,0),FALSE),"× Chybí překlad ×"))</f>
        <v>Baterie 200 ran, 20 mm moždíř – 1.3G</v>
      </c>
      <c r="C476" s="798" t="str">
        <f t="shared" si="7"/>
        <v xml:space="preserve">           Baterie 200 ran, 20 mm moždíř – 1.3G</v>
      </c>
    </row>
    <row r="477" spans="1:3">
      <c r="A477" s="796" t="s">
        <v>20</v>
      </c>
      <c r="B477" s="798" t="str">
        <f>IF(A477="","",IFERROR(VLOOKUP(A477,Kategorie!C:N,MATCH('General price list'!$W$17,Kategorie!$C$2:$N$2,0),FALSE),"× Chybí překlad ×"))</f>
        <v/>
      </c>
      <c r="C477" s="798" t="str">
        <f t="shared" si="7"/>
        <v/>
      </c>
    </row>
    <row r="478" spans="1:3">
      <c r="A478" s="796" t="s">
        <v>20</v>
      </c>
      <c r="B478" s="798" t="str">
        <f>IF(A478="","",IFERROR(VLOOKUP(A478,Kategorie!C:N,MATCH('General price list'!$W$17,Kategorie!$C$2:$N$2,0),FALSE),"× Chybí překlad ×"))</f>
        <v/>
      </c>
      <c r="C478" s="798" t="str">
        <f t="shared" si="7"/>
        <v/>
      </c>
    </row>
    <row r="479" spans="1:3">
      <c r="A479" s="796" t="s">
        <v>13101</v>
      </c>
      <c r="B479" s="798" t="str">
        <f>IF(A479="","",IFERROR(VLOOKUP(A479,Kategorie!C:N,MATCH('General price list'!$W$17,Kategorie!$C$2:$N$2,0),FALSE),"× Chybí překlad ×"))</f>
        <v>Baterie 200 ran, 20 mm moždíř (všechny směry) – 1.3G</v>
      </c>
      <c r="C479" s="798" t="str">
        <f t="shared" si="7"/>
        <v xml:space="preserve">           Baterie 200 ran, 20 mm moždíř (všechny směry) – 1.3G</v>
      </c>
    </row>
    <row r="480" spans="1:3">
      <c r="A480" s="796" t="s">
        <v>10511</v>
      </c>
      <c r="B480" s="798" t="str">
        <f>IF(A480="","",IFERROR(VLOOKUP(A480,Kategorie!C:N,MATCH('General price list'!$W$17,Kategorie!$C$2:$N$2,0),FALSE),"× Chybí překlad ×"))</f>
        <v>× Chybí překlad ×</v>
      </c>
      <c r="C480" s="798" t="str">
        <f t="shared" si="7"/>
        <v>×</v>
      </c>
    </row>
    <row r="481" spans="1:3">
      <c r="A481" s="802" t="s">
        <v>20</v>
      </c>
      <c r="B481" s="798" t="str">
        <f>IF(A481="","",IFERROR(VLOOKUP(A481,Kategorie!C:N,MATCH('General price list'!$W$17,Kategorie!$C$2:$N$2,0),FALSE),"× Chybí překlad ×"))</f>
        <v/>
      </c>
      <c r="C481" s="798" t="str">
        <f t="shared" si="7"/>
        <v/>
      </c>
    </row>
    <row r="482" spans="1:3">
      <c r="A482" s="796" t="s">
        <v>13102</v>
      </c>
      <c r="B482" s="798" t="str">
        <f>IF(A482="","",IFERROR(VLOOKUP(A482,Kategorie!C:N,MATCH('General price list'!$W$17,Kategorie!$C$2:$N$2,0),FALSE),"× Chybí překlad ×"))</f>
        <v>Složený ohňostroj 20 mm – F2 – 1.4G – maximum 1000 g NEC</v>
      </c>
      <c r="C482" s="798" t="str">
        <f t="shared" si="7"/>
        <v xml:space="preserve">           Složený ohňostroj 20 mm – F2 – 1.4G – maximum 1000 g NEC</v>
      </c>
    </row>
    <row r="483" spans="1:3">
      <c r="A483" s="796" t="s">
        <v>20</v>
      </c>
      <c r="B483" s="798" t="str">
        <f>IF(A483="","",IFERROR(VLOOKUP(A483,Kategorie!C:N,MATCH('General price list'!$W$17,Kategorie!$C$2:$N$2,0),FALSE),"× Chybí překlad ×"))</f>
        <v/>
      </c>
      <c r="C483" s="798" t="str">
        <f t="shared" si="7"/>
        <v/>
      </c>
    </row>
    <row r="484" spans="1:3">
      <c r="A484" s="796" t="s">
        <v>20</v>
      </c>
      <c r="B484" s="798" t="str">
        <f>IF(A484="","",IFERROR(VLOOKUP(A484,Kategorie!C:N,MATCH('General price list'!$W$17,Kategorie!$C$2:$N$2,0),FALSE),"× Chybí překlad ×"))</f>
        <v/>
      </c>
      <c r="C484" s="798" t="str">
        <f t="shared" si="7"/>
        <v/>
      </c>
    </row>
    <row r="485" spans="1:3">
      <c r="A485" s="796" t="s">
        <v>10511</v>
      </c>
      <c r="B485" s="798" t="str">
        <f>IF(A485="","",IFERROR(VLOOKUP(A485,Kategorie!C:N,MATCH('General price list'!$W$17,Kategorie!$C$2:$N$2,0),FALSE),"× Chybí překlad ×"))</f>
        <v>× Chybí překlad ×</v>
      </c>
      <c r="C485" s="798" t="str">
        <f t="shared" si="7"/>
        <v>×</v>
      </c>
    </row>
    <row r="486" spans="1:3">
      <c r="A486" s="796" t="s">
        <v>20</v>
      </c>
      <c r="B486" s="798" t="str">
        <f>IF(A486="","",IFERROR(VLOOKUP(A486,Kategorie!C:N,MATCH('General price list'!$W$17,Kategorie!$C$2:$N$2,0),FALSE),"× Chybí překlad ×"))</f>
        <v/>
      </c>
      <c r="C486" s="798" t="str">
        <f t="shared" si="7"/>
        <v/>
      </c>
    </row>
    <row r="487" spans="1:3">
      <c r="A487" s="802" t="s">
        <v>20</v>
      </c>
      <c r="B487" s="798" t="str">
        <f>IF(A487="","",IFERROR(VLOOKUP(A487,Kategorie!C:N,MATCH('General price list'!$W$17,Kategorie!$C$2:$N$2,0),FALSE),"× Chybí překlad ×"))</f>
        <v/>
      </c>
      <c r="C487" s="798" t="str">
        <f t="shared" si="7"/>
        <v/>
      </c>
    </row>
    <row r="488" spans="1:3">
      <c r="A488" s="796" t="s">
        <v>20</v>
      </c>
      <c r="B488" s="798" t="str">
        <f>IF(A488="","",IFERROR(VLOOKUP(A488,Kategorie!C:N,MATCH('General price list'!$W$17,Kategorie!$C$2:$N$2,0),FALSE),"× Chybí překlad ×"))</f>
        <v/>
      </c>
      <c r="C488" s="798" t="str">
        <f t="shared" si="7"/>
        <v/>
      </c>
    </row>
    <row r="489" spans="1:3">
      <c r="A489" s="796" t="s">
        <v>20</v>
      </c>
      <c r="B489" s="798" t="str">
        <f>IF(A489="","",IFERROR(VLOOKUP(A489,Kategorie!C:N,MATCH('General price list'!$W$17,Kategorie!$C$2:$N$2,0),FALSE),"× Chybí překlad ×"))</f>
        <v/>
      </c>
      <c r="C489" s="798" t="str">
        <f t="shared" si="7"/>
        <v/>
      </c>
    </row>
    <row r="490" spans="1:3">
      <c r="A490" s="796" t="s">
        <v>20</v>
      </c>
      <c r="B490" s="798" t="str">
        <f>IF(A490="","",IFERROR(VLOOKUP(A490,Kategorie!C:N,MATCH('General price list'!$W$17,Kategorie!$C$2:$N$2,0),FALSE),"× Chybí překlad ×"))</f>
        <v/>
      </c>
      <c r="C490" s="798" t="str">
        <f t="shared" si="7"/>
        <v/>
      </c>
    </row>
    <row r="491" spans="1:3">
      <c r="A491" s="796" t="s">
        <v>13103</v>
      </c>
      <c r="B491" s="798" t="str">
        <f>IF(A491="","",IFERROR(VLOOKUP(A491,Kategorie!C:N,MATCH('General price list'!$W$17,Kategorie!$C$2:$N$2,0),FALSE),"× Chybí překlad ×"))</f>
        <v>Složený ohňostroj 20 mm – F2 – 1.4G – maximum 2000 g NEC</v>
      </c>
      <c r="C491" s="798" t="str">
        <f t="shared" si="7"/>
        <v xml:space="preserve">           Složený ohňostroj 20 mm – F2 – 1.4G – maximum 2000 g NEC</v>
      </c>
    </row>
    <row r="492" spans="1:3">
      <c r="A492" s="802" t="s">
        <v>20</v>
      </c>
      <c r="B492" s="798" t="str">
        <f>IF(A492="","",IFERROR(VLOOKUP(A492,Kategorie!C:N,MATCH('General price list'!$W$17,Kategorie!$C$2:$N$2,0),FALSE),"× Chybí překlad ×"))</f>
        <v/>
      </c>
      <c r="C492" s="798" t="str">
        <f t="shared" si="7"/>
        <v/>
      </c>
    </row>
    <row r="493" spans="1:3">
      <c r="A493" s="796" t="s">
        <v>20</v>
      </c>
      <c r="B493" s="798" t="str">
        <f>IF(A493="","",IFERROR(VLOOKUP(A493,Kategorie!C:N,MATCH('General price list'!$W$17,Kategorie!$C$2:$N$2,0),FALSE),"× Chybí překlad ×"))</f>
        <v/>
      </c>
      <c r="C493" s="798" t="str">
        <f t="shared" si="7"/>
        <v/>
      </c>
    </row>
    <row r="494" spans="1:3">
      <c r="A494" s="796" t="s">
        <v>20</v>
      </c>
      <c r="B494" s="798" t="str">
        <f>IF(A494="","",IFERROR(VLOOKUP(A494,Kategorie!C:N,MATCH('General price list'!$W$17,Kategorie!$C$2:$N$2,0),FALSE),"× Chybí překlad ×"))</f>
        <v/>
      </c>
      <c r="C494" s="798" t="str">
        <f t="shared" si="7"/>
        <v/>
      </c>
    </row>
    <row r="495" spans="1:3">
      <c r="A495" s="796" t="s">
        <v>20</v>
      </c>
      <c r="B495" s="798" t="str">
        <f>IF(A495="","",IFERROR(VLOOKUP(A495,Kategorie!C:N,MATCH('General price list'!$W$17,Kategorie!$C$2:$N$2,0),FALSE),"× Chybí překlad ×"))</f>
        <v/>
      </c>
      <c r="C495" s="798" t="str">
        <f t="shared" si="7"/>
        <v/>
      </c>
    </row>
    <row r="496" spans="1:3">
      <c r="A496" s="796" t="s">
        <v>20</v>
      </c>
      <c r="B496" s="798" t="str">
        <f>IF(A496="","",IFERROR(VLOOKUP(A496,Kategorie!C:N,MATCH('General price list'!$W$17,Kategorie!$C$2:$N$2,0),FALSE),"× Chybí překlad ×"))</f>
        <v/>
      </c>
      <c r="C496" s="798" t="str">
        <f t="shared" si="7"/>
        <v/>
      </c>
    </row>
    <row r="497" spans="1:3">
      <c r="A497" s="796" t="s">
        <v>20</v>
      </c>
      <c r="B497" s="798" t="str">
        <f>IF(A497="","",IFERROR(VLOOKUP(A497,Kategorie!C:N,MATCH('General price list'!$W$17,Kategorie!$C$2:$N$2,0),FALSE),"× Chybí překlad ×"))</f>
        <v/>
      </c>
      <c r="C497" s="798" t="str">
        <f t="shared" si="7"/>
        <v/>
      </c>
    </row>
    <row r="498" spans="1:3">
      <c r="A498" s="796" t="s">
        <v>20</v>
      </c>
      <c r="B498" s="798" t="str">
        <f>IF(A498="","",IFERROR(VLOOKUP(A498,Kategorie!C:N,MATCH('General price list'!$W$17,Kategorie!$C$2:$N$2,0),FALSE),"× Chybí překlad ×"))</f>
        <v/>
      </c>
      <c r="C498" s="798" t="str">
        <f t="shared" si="7"/>
        <v/>
      </c>
    </row>
    <row r="499" spans="1:3">
      <c r="A499" s="802" t="s">
        <v>20</v>
      </c>
      <c r="B499" s="798" t="str">
        <f>IF(A499="","",IFERROR(VLOOKUP(A499,Kategorie!C:N,MATCH('General price list'!$W$17,Kategorie!$C$2:$N$2,0),FALSE),"× Chybí překlad ×"))</f>
        <v/>
      </c>
      <c r="C499" s="798" t="str">
        <f t="shared" si="7"/>
        <v/>
      </c>
    </row>
    <row r="500" spans="1:3">
      <c r="A500" s="796" t="s">
        <v>20</v>
      </c>
      <c r="B500" s="798" t="str">
        <f>IF(A500="","",IFERROR(VLOOKUP(A500,Kategorie!C:N,MATCH('General price list'!$W$17,Kategorie!$C$2:$N$2,0),FALSE),"× Chybí překlad ×"))</f>
        <v/>
      </c>
      <c r="C500" s="798" t="str">
        <f t="shared" si="7"/>
        <v/>
      </c>
    </row>
    <row r="501" spans="1:3">
      <c r="A501" s="796" t="s">
        <v>20</v>
      </c>
      <c r="B501" s="798" t="str">
        <f>IF(A501="","",IFERROR(VLOOKUP(A501,Kategorie!C:N,MATCH('General price list'!$W$17,Kategorie!$C$2:$N$2,0),FALSE),"× Chybí překlad ×"))</f>
        <v/>
      </c>
      <c r="C501" s="798" t="str">
        <f t="shared" si="7"/>
        <v/>
      </c>
    </row>
    <row r="502" spans="1:3">
      <c r="A502" s="796" t="s">
        <v>13104</v>
      </c>
      <c r="B502" s="798" t="str">
        <f>IF(A502="","",IFERROR(VLOOKUP(A502,Kategorie!C:N,MATCH('General price list'!$W$17,Kategorie!$C$2:$N$2,0),FALSE),"× Chybí překlad ×"))</f>
        <v>Složený ohňostroj 20 mm – F2 – 1.3G</v>
      </c>
      <c r="C502" s="798" t="str">
        <f t="shared" si="7"/>
        <v xml:space="preserve">           Složený ohňostroj 20 mm – F2 – 1.3G</v>
      </c>
    </row>
    <row r="503" spans="1:3">
      <c r="A503" s="796" t="s">
        <v>20</v>
      </c>
      <c r="B503" s="798" t="str">
        <f>IF(A503="","",IFERROR(VLOOKUP(A503,Kategorie!C:N,MATCH('General price list'!$W$17,Kategorie!$C$2:$N$2,0),FALSE),"× Chybí překlad ×"))</f>
        <v/>
      </c>
      <c r="C503" s="798" t="str">
        <f t="shared" si="7"/>
        <v/>
      </c>
    </row>
    <row r="504" spans="1:3">
      <c r="A504" s="796" t="s">
        <v>20</v>
      </c>
      <c r="B504" s="798" t="str">
        <f>IF(A504="","",IFERROR(VLOOKUP(A504,Kategorie!C:N,MATCH('General price list'!$W$17,Kategorie!$C$2:$N$2,0),FALSE),"× Chybí překlad ×"))</f>
        <v/>
      </c>
      <c r="C504" s="798" t="str">
        <f t="shared" si="7"/>
        <v/>
      </c>
    </row>
    <row r="505" spans="1:3">
      <c r="A505" s="802" t="s">
        <v>20</v>
      </c>
      <c r="B505" s="798" t="str">
        <f>IF(A505="","",IFERROR(VLOOKUP(A505,Kategorie!C:N,MATCH('General price list'!$W$17,Kategorie!$C$2:$N$2,0),FALSE),"× Chybí překlad ×"))</f>
        <v/>
      </c>
      <c r="C505" s="798" t="str">
        <f t="shared" si="7"/>
        <v/>
      </c>
    </row>
    <row r="506" spans="1:3">
      <c r="A506" s="796" t="s">
        <v>20</v>
      </c>
      <c r="B506" s="798" t="str">
        <f>IF(A506="","",IFERROR(VLOOKUP(A506,Kategorie!C:N,MATCH('General price list'!$W$17,Kategorie!$C$2:$N$2,0),FALSE),"× Chybí překlad ×"))</f>
        <v/>
      </c>
      <c r="C506" s="798" t="str">
        <f t="shared" si="7"/>
        <v/>
      </c>
    </row>
    <row r="507" spans="1:3">
      <c r="A507" s="796" t="s">
        <v>20</v>
      </c>
      <c r="B507" s="798" t="str">
        <f>IF(A507="","",IFERROR(VLOOKUP(A507,Kategorie!C:N,MATCH('General price list'!$W$17,Kategorie!$C$2:$N$2,0),FALSE),"× Chybí překlad ×"))</f>
        <v/>
      </c>
      <c r="C507" s="798" t="str">
        <f t="shared" si="7"/>
        <v/>
      </c>
    </row>
    <row r="508" spans="1:3">
      <c r="A508" s="796" t="s">
        <v>20</v>
      </c>
      <c r="B508" s="798" t="str">
        <f>IF(A508="","",IFERROR(VLOOKUP(A508,Kategorie!C:N,MATCH('General price list'!$W$17,Kategorie!$C$2:$N$2,0),FALSE),"× Chybí překlad ×"))</f>
        <v/>
      </c>
      <c r="C508" s="798" t="str">
        <f t="shared" si="7"/>
        <v/>
      </c>
    </row>
    <row r="509" spans="1:3">
      <c r="A509" s="802" t="s">
        <v>20</v>
      </c>
      <c r="B509" s="798" t="str">
        <f>IF(A509="","",IFERROR(VLOOKUP(A509,Kategorie!C:N,MATCH('General price list'!$W$17,Kategorie!$C$2:$N$2,0),FALSE),"× Chybí překlad ×"))</f>
        <v/>
      </c>
      <c r="C509" s="798" t="str">
        <f t="shared" si="7"/>
        <v/>
      </c>
    </row>
    <row r="510" spans="1:3">
      <c r="A510" s="796" t="s">
        <v>20</v>
      </c>
      <c r="B510" s="798" t="str">
        <f>IF(A510="","",IFERROR(VLOOKUP(A510,Kategorie!C:N,MATCH('General price list'!$W$17,Kategorie!$C$2:$N$2,0),FALSE),"× Chybí překlad ×"))</f>
        <v/>
      </c>
      <c r="C510" s="798" t="str">
        <f t="shared" si="7"/>
        <v/>
      </c>
    </row>
    <row r="511" spans="1:3">
      <c r="A511" s="796" t="s">
        <v>20</v>
      </c>
      <c r="B511" s="798" t="str">
        <f>IF(A511="","",IFERROR(VLOOKUP(A511,Kategorie!C:N,MATCH('General price list'!$W$17,Kategorie!$C$2:$N$2,0),FALSE),"× Chybí překlad ×"))</f>
        <v/>
      </c>
      <c r="C511" s="798" t="str">
        <f t="shared" si="7"/>
        <v/>
      </c>
    </row>
    <row r="512" spans="1:3">
      <c r="A512" s="802" t="s">
        <v>13105</v>
      </c>
      <c r="B512" s="798" t="str">
        <f>IF(A512="","",IFERROR(VLOOKUP(A512,Kategorie!C:N,MATCH('General price list'!$W$17,Kategorie!$C$2:$N$2,0),FALSE),"× Chybí překlad ×"))</f>
        <v>Složený ohňostroj F3 – 1.3G</v>
      </c>
      <c r="C512" s="798" t="str">
        <f t="shared" si="7"/>
        <v xml:space="preserve">           Složený ohňostroj F3 – 1.3G</v>
      </c>
    </row>
    <row r="513" spans="1:3">
      <c r="A513" s="796" t="s">
        <v>20</v>
      </c>
      <c r="B513" s="798" t="str">
        <f>IF(A513="","",IFERROR(VLOOKUP(A513,Kategorie!C:N,MATCH('General price list'!$W$17,Kategorie!$C$2:$N$2,0),FALSE),"× Chybí překlad ×"))</f>
        <v/>
      </c>
      <c r="C513" s="798" t="str">
        <f t="shared" si="7"/>
        <v/>
      </c>
    </row>
    <row r="514" spans="1:3">
      <c r="A514" s="796" t="s">
        <v>20</v>
      </c>
      <c r="B514" s="798" t="str">
        <f>IF(A514="","",IFERROR(VLOOKUP(A514,Kategorie!C:N,MATCH('General price list'!$W$17,Kategorie!$C$2:$N$2,0),FALSE),"× Chybí překlad ×"))</f>
        <v/>
      </c>
      <c r="C514" s="798" t="str">
        <f t="shared" si="7"/>
        <v/>
      </c>
    </row>
    <row r="515" spans="1:3">
      <c r="A515" s="802" t="s">
        <v>20</v>
      </c>
      <c r="B515" s="798" t="str">
        <f>IF(A515="","",IFERROR(VLOOKUP(A515,Kategorie!C:N,MATCH('General price list'!$W$17,Kategorie!$C$2:$N$2,0),FALSE),"× Chybí překlad ×"))</f>
        <v/>
      </c>
      <c r="C515" s="798" t="str">
        <f t="shared" si="7"/>
        <v/>
      </c>
    </row>
    <row r="516" spans="1:3">
      <c r="A516" s="796" t="s">
        <v>20</v>
      </c>
      <c r="B516" s="798" t="str">
        <f>IF(A516="","",IFERROR(VLOOKUP(A516,Kategorie!C:N,MATCH('General price list'!$W$17,Kategorie!$C$2:$N$2,0),FALSE),"× Chybí překlad ×"))</f>
        <v/>
      </c>
      <c r="C516" s="798" t="str">
        <f t="shared" si="7"/>
        <v/>
      </c>
    </row>
    <row r="517" spans="1:3">
      <c r="A517" s="802" t="s">
        <v>20</v>
      </c>
      <c r="B517" s="798" t="str">
        <f>IF(A517="","",IFERROR(VLOOKUP(A517,Kategorie!C:N,MATCH('General price list'!$W$17,Kategorie!$C$2:$N$2,0),FALSE),"× Chybí překlad ×"))</f>
        <v/>
      </c>
      <c r="C517" s="798" t="str">
        <f t="shared" ref="C517:C580" si="8">IF(A517="","",IF(A517="x","×",$B$1&amp;B517))</f>
        <v/>
      </c>
    </row>
    <row r="518" spans="1:3">
      <c r="A518" s="796" t="s">
        <v>20</v>
      </c>
      <c r="B518" s="798" t="str">
        <f>IF(A518="","",IFERROR(VLOOKUP(A518,Kategorie!C:N,MATCH('General price list'!$W$17,Kategorie!$C$2:$N$2,0),FALSE),"× Chybí překlad ×"))</f>
        <v/>
      </c>
      <c r="C518" s="798" t="str">
        <f t="shared" si="8"/>
        <v/>
      </c>
    </row>
    <row r="519" spans="1:3">
      <c r="A519" s="796" t="s">
        <v>20</v>
      </c>
      <c r="B519" s="798" t="str">
        <f>IF(A519="","",IFERROR(VLOOKUP(A519,Kategorie!C:N,MATCH('General price list'!$W$17,Kategorie!$C$2:$N$2,0),FALSE),"× Chybí překlad ×"))</f>
        <v/>
      </c>
      <c r="C519" s="798" t="str">
        <f t="shared" si="8"/>
        <v/>
      </c>
    </row>
    <row r="520" spans="1:3">
      <c r="A520" s="796" t="s">
        <v>13106</v>
      </c>
      <c r="B520" s="798" t="str">
        <f>IF(A520="","",IFERROR(VLOOKUP(A520,Kategorie!C:N,MATCH('General price list'!$W$17,Kategorie!$C$2:$N$2,0),FALSE),"× Chybí překlad ×"))</f>
        <v>Baterie 16 ran, 25 mm moždíř – 1.3G</v>
      </c>
      <c r="C520" s="798" t="str">
        <f t="shared" si="8"/>
        <v xml:space="preserve">           Baterie 16 ran, 25 mm moždíř – 1.3G</v>
      </c>
    </row>
    <row r="521" spans="1:3">
      <c r="A521" s="796" t="s">
        <v>20</v>
      </c>
      <c r="B521" s="798" t="str">
        <f>IF(A521="","",IFERROR(VLOOKUP(A521,Kategorie!C:N,MATCH('General price list'!$W$17,Kategorie!$C$2:$N$2,0),FALSE),"× Chybí překlad ×"))</f>
        <v/>
      </c>
      <c r="C521" s="798" t="str">
        <f t="shared" si="8"/>
        <v/>
      </c>
    </row>
    <row r="522" spans="1:3">
      <c r="A522" s="796" t="s">
        <v>20</v>
      </c>
      <c r="B522" s="798" t="str">
        <f>IF(A522="","",IFERROR(VLOOKUP(A522,Kategorie!C:N,MATCH('General price list'!$W$17,Kategorie!$C$2:$N$2,0),FALSE),"× Chybí překlad ×"))</f>
        <v/>
      </c>
      <c r="C522" s="798" t="str">
        <f t="shared" si="8"/>
        <v/>
      </c>
    </row>
    <row r="523" spans="1:3">
      <c r="A523" s="802" t="s">
        <v>20</v>
      </c>
      <c r="B523" s="798" t="str">
        <f>IF(A523="","",IFERROR(VLOOKUP(A523,Kategorie!C:N,MATCH('General price list'!$W$17,Kategorie!$C$2:$N$2,0),FALSE),"× Chybí překlad ×"))</f>
        <v/>
      </c>
      <c r="C523" s="798" t="str">
        <f t="shared" si="8"/>
        <v/>
      </c>
    </row>
    <row r="524" spans="1:3">
      <c r="A524" s="796" t="s">
        <v>20</v>
      </c>
      <c r="B524" s="798" t="str">
        <f>IF(A524="","",IFERROR(VLOOKUP(A524,Kategorie!C:N,MATCH('General price list'!$W$17,Kategorie!$C$2:$N$2,0),FALSE),"× Chybí překlad ×"))</f>
        <v/>
      </c>
      <c r="C524" s="798" t="str">
        <f t="shared" si="8"/>
        <v/>
      </c>
    </row>
    <row r="525" spans="1:3">
      <c r="A525" s="796" t="s">
        <v>13107</v>
      </c>
      <c r="B525" s="798" t="str">
        <f>IF(A525="","",IFERROR(VLOOKUP(A525,Kategorie!C:N,MATCH('General price list'!$W$17,Kategorie!$C$2:$N$2,0),FALSE),"× Chybí překlad ×"))</f>
        <v>Baterie 16 ran, 25 mm moždíř – 1.4G</v>
      </c>
      <c r="C525" s="798" t="str">
        <f t="shared" si="8"/>
        <v xml:space="preserve">           Baterie 16 ran, 25 mm moždíř – 1.4G</v>
      </c>
    </row>
    <row r="526" spans="1:3">
      <c r="A526" s="802" t="s">
        <v>20</v>
      </c>
      <c r="B526" s="798" t="str">
        <f>IF(A526="","",IFERROR(VLOOKUP(A526,Kategorie!C:N,MATCH('General price list'!$W$17,Kategorie!$C$2:$N$2,0),FALSE),"× Chybí překlad ×"))</f>
        <v/>
      </c>
      <c r="C526" s="798" t="str">
        <f t="shared" si="8"/>
        <v/>
      </c>
    </row>
    <row r="527" spans="1:3">
      <c r="A527" s="796" t="s">
        <v>20</v>
      </c>
      <c r="B527" s="798" t="str">
        <f>IF(A527="","",IFERROR(VLOOKUP(A527,Kategorie!C:N,MATCH('General price list'!$W$17,Kategorie!$C$2:$N$2,0),FALSE),"× Chybí překlad ×"))</f>
        <v/>
      </c>
      <c r="C527" s="798" t="str">
        <f t="shared" si="8"/>
        <v/>
      </c>
    </row>
    <row r="528" spans="1:3">
      <c r="A528" s="796" t="s">
        <v>20</v>
      </c>
      <c r="B528" s="798" t="str">
        <f>IF(A528="","",IFERROR(VLOOKUP(A528,Kategorie!C:N,MATCH('General price list'!$W$17,Kategorie!$C$2:$N$2,0),FALSE),"× Chybí překlad ×"))</f>
        <v/>
      </c>
      <c r="C528" s="798" t="str">
        <f t="shared" si="8"/>
        <v/>
      </c>
    </row>
    <row r="529" spans="1:3">
      <c r="A529" s="796" t="s">
        <v>13108</v>
      </c>
      <c r="B529" s="798" t="str">
        <f>IF(A529="","",IFERROR(VLOOKUP(A529,Kategorie!C:N,MATCH('General price list'!$W$17,Kategorie!$C$2:$N$2,0),FALSE),"× Chybí překlad ×"))</f>
        <v>Baterie 25 ran, 25 mm moždíř – 1.3G</v>
      </c>
      <c r="C529" s="798" t="str">
        <f t="shared" si="8"/>
        <v xml:space="preserve">           Baterie 25 ran, 25 mm moždíř – 1.3G</v>
      </c>
    </row>
    <row r="530" spans="1:3">
      <c r="A530" s="802" t="s">
        <v>20</v>
      </c>
      <c r="B530" s="798" t="str">
        <f>IF(A530="","",IFERROR(VLOOKUP(A530,Kategorie!C:N,MATCH('General price list'!$W$17,Kategorie!$C$2:$N$2,0),FALSE),"× Chybí překlad ×"))</f>
        <v/>
      </c>
      <c r="C530" s="798" t="str">
        <f t="shared" si="8"/>
        <v/>
      </c>
    </row>
    <row r="531" spans="1:3">
      <c r="A531" s="796" t="s">
        <v>20</v>
      </c>
      <c r="B531" s="798" t="str">
        <f>IF(A531="","",IFERROR(VLOOKUP(A531,Kategorie!C:N,MATCH('General price list'!$W$17,Kategorie!$C$2:$N$2,0),FALSE),"× Chybí překlad ×"))</f>
        <v/>
      </c>
      <c r="C531" s="798" t="str">
        <f t="shared" si="8"/>
        <v/>
      </c>
    </row>
    <row r="532" spans="1:3">
      <c r="A532" s="796" t="s">
        <v>20</v>
      </c>
      <c r="B532" s="798" t="str">
        <f>IF(A532="","",IFERROR(VLOOKUP(A532,Kategorie!C:N,MATCH('General price list'!$W$17,Kategorie!$C$2:$N$2,0),FALSE),"× Chybí překlad ×"))</f>
        <v/>
      </c>
      <c r="C532" s="798" t="str">
        <f t="shared" si="8"/>
        <v/>
      </c>
    </row>
    <row r="533" spans="1:3">
      <c r="A533" s="796" t="s">
        <v>20</v>
      </c>
      <c r="B533" s="798" t="str">
        <f>IF(A533="","",IFERROR(VLOOKUP(A533,Kategorie!C:N,MATCH('General price list'!$W$17,Kategorie!$C$2:$N$2,0),FALSE),"× Chybí překlad ×"))</f>
        <v/>
      </c>
      <c r="C533" s="798" t="str">
        <f t="shared" si="8"/>
        <v/>
      </c>
    </row>
    <row r="534" spans="1:3">
      <c r="A534" s="796" t="s">
        <v>20</v>
      </c>
      <c r="B534" s="798" t="str">
        <f>IF(A534="","",IFERROR(VLOOKUP(A534,Kategorie!C:N,MATCH('General price list'!$W$17,Kategorie!$C$2:$N$2,0),FALSE),"× Chybí překlad ×"))</f>
        <v/>
      </c>
      <c r="C534" s="798" t="str">
        <f t="shared" si="8"/>
        <v/>
      </c>
    </row>
    <row r="535" spans="1:3">
      <c r="A535" s="802" t="s">
        <v>13109</v>
      </c>
      <c r="B535" s="798" t="str">
        <f>IF(A535="","",IFERROR(VLOOKUP(A535,Kategorie!C:N,MATCH('General price list'!$W$17,Kategorie!$C$2:$N$2,0),FALSE),"× Chybí překlad ×"))</f>
        <v>Baterie 25 ran, 25 mm moždíř – 1.4G</v>
      </c>
      <c r="C535" s="798" t="str">
        <f t="shared" si="8"/>
        <v xml:space="preserve">           Baterie 25 ran, 25 mm moždíř – 1.4G</v>
      </c>
    </row>
    <row r="536" spans="1:3">
      <c r="A536" s="796" t="s">
        <v>20</v>
      </c>
      <c r="B536" s="798" t="str">
        <f>IF(A536="","",IFERROR(VLOOKUP(A536,Kategorie!C:N,MATCH('General price list'!$W$17,Kategorie!$C$2:$N$2,0),FALSE),"× Chybí překlad ×"))</f>
        <v/>
      </c>
      <c r="C536" s="798" t="str">
        <f t="shared" si="8"/>
        <v/>
      </c>
    </row>
    <row r="537" spans="1:3">
      <c r="A537" s="796" t="s">
        <v>13110</v>
      </c>
      <c r="B537" s="798" t="str">
        <f>IF(A537="","",IFERROR(VLOOKUP(A537,Kategorie!C:N,MATCH('General price list'!$W$17,Kategorie!$C$2:$N$2,0),FALSE),"× Chybí překlad ×"))</f>
        <v>Baterie 25 ran, 25 mm šikmý moždíř – 1.3G</v>
      </c>
      <c r="C537" s="798" t="str">
        <f t="shared" si="8"/>
        <v xml:space="preserve">           Baterie 25 ran, 25 mm šikmý moždíř – 1.3G</v>
      </c>
    </row>
    <row r="538" spans="1:3">
      <c r="A538" s="796" t="s">
        <v>10511</v>
      </c>
      <c r="B538" s="798" t="str">
        <f>IF(A538="","",IFERROR(VLOOKUP(A538,Kategorie!C:N,MATCH('General price list'!$W$17,Kategorie!$C$2:$N$2,0),FALSE),"× Chybí překlad ×"))</f>
        <v>× Chybí překlad ×</v>
      </c>
      <c r="C538" s="798" t="str">
        <f t="shared" si="8"/>
        <v>×</v>
      </c>
    </row>
    <row r="539" spans="1:3">
      <c r="A539" s="796" t="s">
        <v>20</v>
      </c>
      <c r="B539" s="798" t="str">
        <f>IF(A539="","",IFERROR(VLOOKUP(A539,Kategorie!C:N,MATCH('General price list'!$W$17,Kategorie!$C$2:$N$2,0),FALSE),"× Chybí překlad ×"))</f>
        <v/>
      </c>
      <c r="C539" s="798" t="str">
        <f t="shared" si="8"/>
        <v/>
      </c>
    </row>
    <row r="540" spans="1:3">
      <c r="A540" s="802" t="s">
        <v>20</v>
      </c>
      <c r="B540" s="798" t="str">
        <f>IF(A540="","",IFERROR(VLOOKUP(A540,Kategorie!C:N,MATCH('General price list'!$W$17,Kategorie!$C$2:$N$2,0),FALSE),"× Chybí překlad ×"))</f>
        <v/>
      </c>
      <c r="C540" s="798" t="str">
        <f t="shared" si="8"/>
        <v/>
      </c>
    </row>
    <row r="541" spans="1:3">
      <c r="A541" s="796" t="s">
        <v>13111</v>
      </c>
      <c r="B541" s="798" t="str">
        <f>IF(A541="","",IFERROR(VLOOKUP(A541,Kategorie!C:N,MATCH('General price list'!$W$17,Kategorie!$C$2:$N$2,0),FALSE),"× Chybí překlad ×"))</f>
        <v>Baterie 36 ran, 25 mm moždíř – F2 – 1.3G</v>
      </c>
      <c r="C541" s="798" t="str">
        <f t="shared" si="8"/>
        <v xml:space="preserve">           Baterie 36 ran, 25 mm moždíř – F2 – 1.3G</v>
      </c>
    </row>
    <row r="542" spans="1:3">
      <c r="A542" s="796" t="s">
        <v>20</v>
      </c>
      <c r="B542" s="798" t="str">
        <f>IF(A542="","",IFERROR(VLOOKUP(A542,Kategorie!C:N,MATCH('General price list'!$W$17,Kategorie!$C$2:$N$2,0),FALSE),"× Chybí překlad ×"))</f>
        <v/>
      </c>
      <c r="C542" s="798" t="str">
        <f t="shared" si="8"/>
        <v/>
      </c>
    </row>
    <row r="543" spans="1:3">
      <c r="A543" s="796" t="s">
        <v>13112</v>
      </c>
      <c r="B543" s="798" t="str">
        <f>IF(A543="","",IFERROR(VLOOKUP(A543,Kategorie!C:N,MATCH('General price list'!$W$17,Kategorie!$C$2:$N$2,0),FALSE),"× Chybí překlad ×"))</f>
        <v>Baterie 36 ran, 25 mm moždíř – F2 – 1.4G</v>
      </c>
      <c r="C543" s="798" t="str">
        <f t="shared" si="8"/>
        <v xml:space="preserve">           Baterie 36 ran, 25 mm moždíř – F2 – 1.4G</v>
      </c>
    </row>
    <row r="544" spans="1:3">
      <c r="A544" s="796" t="s">
        <v>20</v>
      </c>
      <c r="B544" s="798" t="str">
        <f>IF(A544="","",IFERROR(VLOOKUP(A544,Kategorie!C:N,MATCH('General price list'!$W$17,Kategorie!$C$2:$N$2,0),FALSE),"× Chybí překlad ×"))</f>
        <v/>
      </c>
      <c r="C544" s="798" t="str">
        <f t="shared" si="8"/>
        <v/>
      </c>
    </row>
    <row r="545" spans="1:3">
      <c r="A545" s="802" t="s">
        <v>13113</v>
      </c>
      <c r="B545" s="798" t="str">
        <f>IF(A545="","",IFERROR(VLOOKUP(A545,Kategorie!C:N,MATCH('General price list'!$W$17,Kategorie!$C$2:$N$2,0),FALSE),"× Chybí překlad ×"))</f>
        <v>Baterie 48 ran, 25 mm rovný + šikmý moždíř – 1.3G</v>
      </c>
      <c r="C545" s="798" t="str">
        <f t="shared" si="8"/>
        <v xml:space="preserve">           Baterie 48 ran, 25 mm rovný + šikmý moždíř – 1.3G</v>
      </c>
    </row>
    <row r="546" spans="1:3">
      <c r="A546" s="796" t="s">
        <v>20</v>
      </c>
      <c r="B546" s="798" t="str">
        <f>IF(A546="","",IFERROR(VLOOKUP(A546,Kategorie!C:N,MATCH('General price list'!$W$17,Kategorie!$C$2:$N$2,0),FALSE),"× Chybí překlad ×"))</f>
        <v/>
      </c>
      <c r="C546" s="798" t="str">
        <f t="shared" si="8"/>
        <v/>
      </c>
    </row>
    <row r="547" spans="1:3">
      <c r="A547" s="796" t="s">
        <v>13114</v>
      </c>
      <c r="B547" s="798" t="str">
        <f>IF(A547="","",IFERROR(VLOOKUP(A547,Kategorie!C:N,MATCH('General price list'!$W$17,Kategorie!$C$2:$N$2,0),FALSE),"× Chybí překlad ×"))</f>
        <v>Baterie 49 ran, 25 mm moždíř – F2 – 1.3G</v>
      </c>
      <c r="C547" s="798" t="str">
        <f t="shared" si="8"/>
        <v xml:space="preserve">           Baterie 49 ran, 25 mm moždíř – F2 – 1.3G</v>
      </c>
    </row>
    <row r="548" spans="1:3">
      <c r="A548" s="796" t="s">
        <v>20</v>
      </c>
      <c r="B548" s="798" t="str">
        <f>IF(A548="","",IFERROR(VLOOKUP(A548,Kategorie!C:N,MATCH('General price list'!$W$17,Kategorie!$C$2:$N$2,0),FALSE),"× Chybí překlad ×"))</f>
        <v/>
      </c>
      <c r="C548" s="798" t="str">
        <f t="shared" si="8"/>
        <v/>
      </c>
    </row>
    <row r="549" spans="1:3">
      <c r="A549" s="802" t="s">
        <v>20</v>
      </c>
      <c r="B549" s="798" t="str">
        <f>IF(A549="","",IFERROR(VLOOKUP(A549,Kategorie!C:N,MATCH('General price list'!$W$17,Kategorie!$C$2:$N$2,0),FALSE),"× Chybí překlad ×"))</f>
        <v/>
      </c>
      <c r="C549" s="798" t="str">
        <f t="shared" si="8"/>
        <v/>
      </c>
    </row>
    <row r="550" spans="1:3">
      <c r="A550" s="796" t="s">
        <v>20</v>
      </c>
      <c r="B550" s="798" t="str">
        <f>IF(A550="","",IFERROR(VLOOKUP(A550,Kategorie!C:N,MATCH('General price list'!$W$17,Kategorie!$C$2:$N$2,0),FALSE),"× Chybí překlad ×"))</f>
        <v/>
      </c>
      <c r="C550" s="798" t="str">
        <f t="shared" si="8"/>
        <v/>
      </c>
    </row>
    <row r="551" spans="1:3">
      <c r="A551" s="796" t="s">
        <v>13115</v>
      </c>
      <c r="B551" s="798" t="str">
        <f>IF(A551="","",IFERROR(VLOOKUP(A551,Kategorie!C:N,MATCH('General price list'!$W$17,Kategorie!$C$2:$N$2,0),FALSE),"× Chybí překlad ×"))</f>
        <v>Baterie 49 ran, 25 mm moždíř – F2 – 1.4G</v>
      </c>
      <c r="C551" s="798" t="str">
        <f t="shared" si="8"/>
        <v xml:space="preserve">           Baterie 49 ran, 25 mm moždíř – F2 – 1.4G</v>
      </c>
    </row>
    <row r="552" spans="1:3">
      <c r="A552" s="802" t="s">
        <v>20</v>
      </c>
      <c r="B552" s="798" t="str">
        <f>IF(A552="","",IFERROR(VLOOKUP(A552,Kategorie!C:N,MATCH('General price list'!$W$17,Kategorie!$C$2:$N$2,0),FALSE),"× Chybí překlad ×"))</f>
        <v/>
      </c>
      <c r="C552" s="798" t="str">
        <f t="shared" si="8"/>
        <v/>
      </c>
    </row>
    <row r="553" spans="1:3">
      <c r="A553" s="802" t="s">
        <v>20</v>
      </c>
      <c r="B553" s="798" t="str">
        <f>IF(A553="","",IFERROR(VLOOKUP(A553,Kategorie!C:N,MATCH('General price list'!$W$17,Kategorie!$C$2:$N$2,0),FALSE),"× Chybí překlad ×"))</f>
        <v/>
      </c>
      <c r="C553" s="798" t="str">
        <f t="shared" si="8"/>
        <v/>
      </c>
    </row>
    <row r="554" spans="1:3">
      <c r="A554" s="796" t="s">
        <v>20</v>
      </c>
      <c r="B554" s="798" t="str">
        <f>IF(A554="","",IFERROR(VLOOKUP(A554,Kategorie!C:N,MATCH('General price list'!$W$17,Kategorie!$C$2:$N$2,0),FALSE),"× Chybí překlad ×"))</f>
        <v/>
      </c>
      <c r="C554" s="798" t="str">
        <f t="shared" si="8"/>
        <v/>
      </c>
    </row>
    <row r="555" spans="1:3">
      <c r="A555" s="796" t="s">
        <v>20</v>
      </c>
      <c r="B555" s="798" t="str">
        <f>IF(A555="","",IFERROR(VLOOKUP(A555,Kategorie!C:N,MATCH('General price list'!$W$17,Kategorie!$C$2:$N$2,0),FALSE),"× Chybí překlad ×"))</f>
        <v/>
      </c>
      <c r="C555" s="798" t="str">
        <f t="shared" si="8"/>
        <v/>
      </c>
    </row>
    <row r="556" spans="1:3">
      <c r="A556" s="796" t="s">
        <v>13116</v>
      </c>
      <c r="B556" s="798" t="str">
        <f>IF(A556="","",IFERROR(VLOOKUP(A556,Kategorie!C:N,MATCH('General price list'!$W$17,Kategorie!$C$2:$N$2,0),FALSE),"× Chybí překlad ×"))</f>
        <v>Baterie 49 ran, 25 mm moždíř – F3 – 1.3G</v>
      </c>
      <c r="C556" s="798" t="str">
        <f t="shared" si="8"/>
        <v xml:space="preserve">           Baterie 49 ran, 25 mm moždíř – F3 – 1.3G</v>
      </c>
    </row>
    <row r="557" spans="1:3">
      <c r="A557" s="796" t="s">
        <v>20</v>
      </c>
      <c r="B557" s="798" t="str">
        <f>IF(A557="","",IFERROR(VLOOKUP(A557,Kategorie!C:N,MATCH('General price list'!$W$17,Kategorie!$C$2:$N$2,0),FALSE),"× Chybí překlad ×"))</f>
        <v/>
      </c>
      <c r="C557" s="798" t="str">
        <f t="shared" si="8"/>
        <v/>
      </c>
    </row>
    <row r="558" spans="1:3">
      <c r="A558" s="796" t="s">
        <v>20</v>
      </c>
      <c r="B558" s="798" t="str">
        <f>IF(A558="","",IFERROR(VLOOKUP(A558,Kategorie!C:N,MATCH('General price list'!$W$17,Kategorie!$C$2:$N$2,0),FALSE),"× Chybí překlad ×"))</f>
        <v/>
      </c>
      <c r="C558" s="798" t="str">
        <f t="shared" si="8"/>
        <v/>
      </c>
    </row>
    <row r="559" spans="1:3">
      <c r="A559" s="802" t="s">
        <v>13117</v>
      </c>
      <c r="B559" s="798" t="str">
        <f>IF(A559="","",IFERROR(VLOOKUP(A559,Kategorie!C:N,MATCH('General price list'!$W$17,Kategorie!$C$2:$N$2,0),FALSE),"× Chybí překlad ×"))</f>
        <v>Baterie 49 ran, 25 mm šikmý moždíř – 1.4G</v>
      </c>
      <c r="C559" s="798" t="str">
        <f t="shared" si="8"/>
        <v xml:space="preserve">           Baterie 49 ran, 25 mm šikmý moždíř – 1.4G</v>
      </c>
    </row>
    <row r="560" spans="1:3">
      <c r="A560" s="796" t="s">
        <v>20</v>
      </c>
      <c r="B560" s="798" t="str">
        <f>IF(A560="","",IFERROR(VLOOKUP(A560,Kategorie!C:N,MATCH('General price list'!$W$17,Kategorie!$C$2:$N$2,0),FALSE),"× Chybí překlad ×"))</f>
        <v/>
      </c>
      <c r="C560" s="798" t="str">
        <f t="shared" si="8"/>
        <v/>
      </c>
    </row>
    <row r="561" spans="1:3">
      <c r="A561" s="796" t="s">
        <v>20</v>
      </c>
      <c r="B561" s="798" t="str">
        <f>IF(A561="","",IFERROR(VLOOKUP(A561,Kategorie!C:N,MATCH('General price list'!$W$17,Kategorie!$C$2:$N$2,0),FALSE),"× Chybí překlad ×"))</f>
        <v/>
      </c>
      <c r="C561" s="798" t="str">
        <f t="shared" si="8"/>
        <v/>
      </c>
    </row>
    <row r="562" spans="1:3">
      <c r="A562" s="802" t="s">
        <v>13118</v>
      </c>
      <c r="B562" s="798" t="str">
        <f>IF(A562="","",IFERROR(VLOOKUP(A562,Kategorie!C:N,MATCH('General price list'!$W$17,Kategorie!$C$2:$N$2,0),FALSE),"× Chybí překlad ×"))</f>
        <v>Baterie 49 ran, 25 mm šikmý moždíř – 1.3G</v>
      </c>
      <c r="C562" s="798" t="str">
        <f t="shared" si="8"/>
        <v xml:space="preserve">           Baterie 49 ran, 25 mm šikmý moždíř – 1.3G</v>
      </c>
    </row>
    <row r="563" spans="1:3">
      <c r="A563" s="796" t="s">
        <v>10511</v>
      </c>
      <c r="B563" s="798" t="str">
        <f>IF(A563="","",IFERROR(VLOOKUP(A563,Kategorie!C:N,MATCH('General price list'!$W$17,Kategorie!$C$2:$N$2,0),FALSE),"× Chybí překlad ×"))</f>
        <v>× Chybí překlad ×</v>
      </c>
      <c r="C563" s="798" t="str">
        <f t="shared" si="8"/>
        <v>×</v>
      </c>
    </row>
    <row r="564" spans="1:3">
      <c r="A564" s="802" t="s">
        <v>20</v>
      </c>
      <c r="B564" s="798" t="str">
        <f>IF(A564="","",IFERROR(VLOOKUP(A564,Kategorie!C:N,MATCH('General price list'!$W$17,Kategorie!$C$2:$N$2,0),FALSE),"× Chybí překlad ×"))</f>
        <v/>
      </c>
      <c r="C564" s="798" t="str">
        <f t="shared" si="8"/>
        <v/>
      </c>
    </row>
    <row r="565" spans="1:3">
      <c r="A565" s="796" t="s">
        <v>10511</v>
      </c>
      <c r="B565" s="798" t="str">
        <f>IF(A565="","",IFERROR(VLOOKUP(A565,Kategorie!C:N,MATCH('General price list'!$W$17,Kategorie!$C$2:$N$2,0),FALSE),"× Chybí překlad ×"))</f>
        <v>× Chybí překlad ×</v>
      </c>
      <c r="C565" s="798" t="str">
        <f t="shared" si="8"/>
        <v>×</v>
      </c>
    </row>
    <row r="566" spans="1:3">
      <c r="A566" s="796" t="s">
        <v>13119</v>
      </c>
      <c r="B566" s="798" t="str">
        <f>IF(A566="","",IFERROR(VLOOKUP(A566,Kategorie!C:N,MATCH('General price list'!$W$17,Kategorie!$C$2:$N$2,0),FALSE),"× Chybí překlad ×"))</f>
        <v>Baterie 64 ran, 25 mm moždíř (všechny směry) – 1.3G</v>
      </c>
      <c r="C566" s="798" t="str">
        <f t="shared" si="8"/>
        <v xml:space="preserve">           Baterie 64 ran, 25 mm moždíř (všechny směry) – 1.3G</v>
      </c>
    </row>
    <row r="567" spans="1:3">
      <c r="A567" s="796" t="s">
        <v>20</v>
      </c>
      <c r="B567" s="798" t="str">
        <f>IF(A567="","",IFERROR(VLOOKUP(A567,Kategorie!C:N,MATCH('General price list'!$W$17,Kategorie!$C$2:$N$2,0),FALSE),"× Chybí překlad ×"))</f>
        <v/>
      </c>
      <c r="C567" s="798" t="str">
        <f t="shared" si="8"/>
        <v/>
      </c>
    </row>
    <row r="568" spans="1:3">
      <c r="A568" s="802" t="s">
        <v>13120</v>
      </c>
      <c r="B568" s="798" t="str">
        <f>IF(A568="","",IFERROR(VLOOKUP(A568,Kategorie!C:N,MATCH('General price list'!$W$17,Kategorie!$C$2:$N$2,0),FALSE),"× Chybí překlad ×"))</f>
        <v>Baterie 88 ran, 25 mm moždíř – 1.3G</v>
      </c>
      <c r="C568" s="798" t="str">
        <f t="shared" si="8"/>
        <v xml:space="preserve">           Baterie 88 ran, 25 mm moždíř – 1.3G</v>
      </c>
    </row>
    <row r="569" spans="1:3">
      <c r="A569" s="796" t="s">
        <v>20</v>
      </c>
      <c r="B569" s="798" t="str">
        <f>IF(A569="","",IFERROR(VLOOKUP(A569,Kategorie!C:N,MATCH('General price list'!$W$17,Kategorie!$C$2:$N$2,0),FALSE),"× Chybí překlad ×"))</f>
        <v/>
      </c>
      <c r="C569" s="798" t="str">
        <f t="shared" si="8"/>
        <v/>
      </c>
    </row>
    <row r="570" spans="1:3">
      <c r="A570" s="796" t="s">
        <v>20</v>
      </c>
      <c r="B570" s="798" t="str">
        <f>IF(A570="","",IFERROR(VLOOKUP(A570,Kategorie!C:N,MATCH('General price list'!$W$17,Kategorie!$C$2:$N$2,0),FALSE),"× Chybí překlad ×"))</f>
        <v/>
      </c>
      <c r="C570" s="798" t="str">
        <f t="shared" si="8"/>
        <v/>
      </c>
    </row>
    <row r="571" spans="1:3">
      <c r="A571" s="796" t="s">
        <v>20</v>
      </c>
      <c r="B571" s="798" t="str">
        <f>IF(A571="","",IFERROR(VLOOKUP(A571,Kategorie!C:N,MATCH('General price list'!$W$17,Kategorie!$C$2:$N$2,0),FALSE),"× Chybí překlad ×"))</f>
        <v/>
      </c>
      <c r="C571" s="798" t="str">
        <f t="shared" si="8"/>
        <v/>
      </c>
    </row>
    <row r="572" spans="1:3">
      <c r="A572" s="802" t="s">
        <v>13121</v>
      </c>
      <c r="B572" s="798" t="str">
        <f>IF(A572="","",IFERROR(VLOOKUP(A572,Kategorie!C:N,MATCH('General price list'!$W$17,Kategorie!$C$2:$N$2,0),FALSE),"× Chybí překlad ×"))</f>
        <v>Baterie 100 ran, 25 mm moždíř – 1.3G</v>
      </c>
      <c r="C572" s="798" t="str">
        <f t="shared" si="8"/>
        <v xml:space="preserve">           Baterie 100 ran, 25 mm moždíř – 1.3G</v>
      </c>
    </row>
    <row r="573" spans="1:3">
      <c r="A573" s="796" t="s">
        <v>20</v>
      </c>
      <c r="B573" s="798" t="str">
        <f>IF(A573="","",IFERROR(VLOOKUP(A573,Kategorie!C:N,MATCH('General price list'!$W$17,Kategorie!$C$2:$N$2,0),FALSE),"× Chybí překlad ×"))</f>
        <v/>
      </c>
      <c r="C573" s="798" t="str">
        <f t="shared" si="8"/>
        <v/>
      </c>
    </row>
    <row r="574" spans="1:3">
      <c r="A574" s="796" t="s">
        <v>20</v>
      </c>
      <c r="B574" s="798" t="str">
        <f>IF(A574="","",IFERROR(VLOOKUP(A574,Kategorie!C:N,MATCH('General price list'!$W$17,Kategorie!$C$2:$N$2,0),FALSE),"× Chybí překlad ×"))</f>
        <v/>
      </c>
      <c r="C574" s="798" t="str">
        <f t="shared" si="8"/>
        <v/>
      </c>
    </row>
    <row r="575" spans="1:3">
      <c r="A575" s="796" t="s">
        <v>20</v>
      </c>
      <c r="B575" s="798" t="str">
        <f>IF(A575="","",IFERROR(VLOOKUP(A575,Kategorie!C:N,MATCH('General price list'!$W$17,Kategorie!$C$2:$N$2,0),FALSE),"× Chybí překlad ×"))</f>
        <v/>
      </c>
      <c r="C575" s="798" t="str">
        <f t="shared" si="8"/>
        <v/>
      </c>
    </row>
    <row r="576" spans="1:3">
      <c r="A576" s="796" t="s">
        <v>13122</v>
      </c>
      <c r="B576" s="798" t="str">
        <f>IF(A576="","",IFERROR(VLOOKUP(A576,Kategorie!C:N,MATCH('General price list'!$W$17,Kategorie!$C$2:$N$2,0),FALSE),"× Chybí překlad ×"))</f>
        <v>Složený ohňostroj 25 mm – F2 – 1.4G</v>
      </c>
      <c r="C576" s="798" t="str">
        <f t="shared" si="8"/>
        <v xml:space="preserve">           Složený ohňostroj 25 mm – F2 – 1.4G</v>
      </c>
    </row>
    <row r="577" spans="1:3">
      <c r="A577" s="796" t="s">
        <v>20</v>
      </c>
      <c r="B577" s="798" t="str">
        <f>IF(A577="","",IFERROR(VLOOKUP(A577,Kategorie!C:N,MATCH('General price list'!$W$17,Kategorie!$C$2:$N$2,0),FALSE),"× Chybí překlad ×"))</f>
        <v/>
      </c>
      <c r="C577" s="798" t="str">
        <f t="shared" si="8"/>
        <v/>
      </c>
    </row>
    <row r="578" spans="1:3">
      <c r="A578" s="796" t="s">
        <v>20</v>
      </c>
      <c r="B578" s="798" t="str">
        <f>IF(A578="","",IFERROR(VLOOKUP(A578,Kategorie!C:N,MATCH('General price list'!$W$17,Kategorie!$C$2:$N$2,0),FALSE),"× Chybí překlad ×"))</f>
        <v/>
      </c>
      <c r="C578" s="798" t="str">
        <f t="shared" si="8"/>
        <v/>
      </c>
    </row>
    <row r="579" spans="1:3">
      <c r="A579" s="796" t="s">
        <v>20</v>
      </c>
      <c r="B579" s="798" t="str">
        <f>IF(A579="","",IFERROR(VLOOKUP(A579,Kategorie!C:N,MATCH('General price list'!$W$17,Kategorie!$C$2:$N$2,0),FALSE),"× Chybí překlad ×"))</f>
        <v/>
      </c>
      <c r="C579" s="798" t="str">
        <f t="shared" si="8"/>
        <v/>
      </c>
    </row>
    <row r="580" spans="1:3">
      <c r="A580" s="796" t="s">
        <v>20</v>
      </c>
      <c r="B580" s="798" t="str">
        <f>IF(A580="","",IFERROR(VLOOKUP(A580,Kategorie!C:N,MATCH('General price list'!$W$17,Kategorie!$C$2:$N$2,0),FALSE),"× Chybí překlad ×"))</f>
        <v/>
      </c>
      <c r="C580" s="798" t="str">
        <f t="shared" si="8"/>
        <v/>
      </c>
    </row>
    <row r="581" spans="1:3">
      <c r="A581" s="796" t="s">
        <v>20</v>
      </c>
      <c r="B581" s="798" t="str">
        <f>IF(A581="","",IFERROR(VLOOKUP(A581,Kategorie!C:N,MATCH('General price list'!$W$17,Kategorie!$C$2:$N$2,0),FALSE),"× Chybí překlad ×"))</f>
        <v/>
      </c>
      <c r="C581" s="798" t="str">
        <f t="shared" ref="C581:C644" si="9">IF(A581="","",IF(A581="x","×",$B$1&amp;B581))</f>
        <v/>
      </c>
    </row>
    <row r="582" spans="1:3">
      <c r="A582" s="802" t="s">
        <v>20</v>
      </c>
      <c r="B582" s="798" t="str">
        <f>IF(A582="","",IFERROR(VLOOKUP(A582,Kategorie!C:N,MATCH('General price list'!$W$17,Kategorie!$C$2:$N$2,0),FALSE),"× Chybí překlad ×"))</f>
        <v/>
      </c>
      <c r="C582" s="798" t="str">
        <f t="shared" si="9"/>
        <v/>
      </c>
    </row>
    <row r="583" spans="1:3">
      <c r="A583" s="796" t="s">
        <v>20</v>
      </c>
      <c r="B583" s="798" t="str">
        <f>IF(A583="","",IFERROR(VLOOKUP(A583,Kategorie!C:N,MATCH('General price list'!$W$17,Kategorie!$C$2:$N$2,0),FALSE),"× Chybí překlad ×"))</f>
        <v/>
      </c>
      <c r="C583" s="798" t="str">
        <f t="shared" si="9"/>
        <v/>
      </c>
    </row>
    <row r="584" spans="1:3">
      <c r="A584" s="796" t="s">
        <v>20</v>
      </c>
      <c r="B584" s="798" t="str">
        <f>IF(A584="","",IFERROR(VLOOKUP(A584,Kategorie!C:N,MATCH('General price list'!$W$17,Kategorie!$C$2:$N$2,0),FALSE),"× Chybí překlad ×"))</f>
        <v/>
      </c>
      <c r="C584" s="798" t="str">
        <f t="shared" si="9"/>
        <v/>
      </c>
    </row>
    <row r="585" spans="1:3">
      <c r="A585" s="796" t="s">
        <v>20</v>
      </c>
      <c r="B585" s="798" t="str">
        <f>IF(A585="","",IFERROR(VLOOKUP(A585,Kategorie!C:N,MATCH('General price list'!$W$17,Kategorie!$C$2:$N$2,0),FALSE),"× Chybí překlad ×"))</f>
        <v/>
      </c>
      <c r="C585" s="798" t="str">
        <f t="shared" si="9"/>
        <v/>
      </c>
    </row>
    <row r="586" spans="1:3">
      <c r="A586" s="796" t="s">
        <v>13123</v>
      </c>
      <c r="B586" s="798" t="str">
        <f>IF(A586="","",IFERROR(VLOOKUP(A586,Kategorie!C:N,MATCH('General price list'!$W$17,Kategorie!$C$2:$N$2,0),FALSE),"× Chybí překlad ×"))</f>
        <v>Složený ohňostroj 25 mm – F2 – 1.3G</v>
      </c>
      <c r="C586" s="798" t="str">
        <f t="shared" si="9"/>
        <v xml:space="preserve">           Složený ohňostroj 25 mm – F2 – 1.3G</v>
      </c>
    </row>
    <row r="587" spans="1:3">
      <c r="A587" s="796" t="s">
        <v>10511</v>
      </c>
      <c r="B587" s="798" t="str">
        <f>IF(A587="","",IFERROR(VLOOKUP(A587,Kategorie!C:N,MATCH('General price list'!$W$17,Kategorie!$C$2:$N$2,0),FALSE),"× Chybí překlad ×"))</f>
        <v>× Chybí překlad ×</v>
      </c>
      <c r="C587" s="798" t="str">
        <f t="shared" si="9"/>
        <v>×</v>
      </c>
    </row>
    <row r="588" spans="1:3">
      <c r="A588" s="796" t="s">
        <v>20</v>
      </c>
      <c r="B588" s="798" t="str">
        <f>IF(A588="","",IFERROR(VLOOKUP(A588,Kategorie!C:N,MATCH('General price list'!$W$17,Kategorie!$C$2:$N$2,0),FALSE),"× Chybí překlad ×"))</f>
        <v/>
      </c>
      <c r="C588" s="798" t="str">
        <f t="shared" si="9"/>
        <v/>
      </c>
    </row>
    <row r="589" spans="1:3">
      <c r="A589" s="796" t="s">
        <v>10511</v>
      </c>
      <c r="B589" s="798" t="str">
        <f>IF(A589="","",IFERROR(VLOOKUP(A589,Kategorie!C:N,MATCH('General price list'!$W$17,Kategorie!$C$2:$N$2,0),FALSE),"× Chybí překlad ×"))</f>
        <v>× Chybí překlad ×</v>
      </c>
      <c r="C589" s="798" t="str">
        <f t="shared" si="9"/>
        <v>×</v>
      </c>
    </row>
    <row r="590" spans="1:3">
      <c r="A590" s="796" t="s">
        <v>10511</v>
      </c>
      <c r="B590" s="798" t="str">
        <f>IF(A590="","",IFERROR(VLOOKUP(A590,Kategorie!C:N,MATCH('General price list'!$W$17,Kategorie!$C$2:$N$2,0),FALSE),"× Chybí překlad ×"))</f>
        <v>× Chybí překlad ×</v>
      </c>
      <c r="C590" s="798" t="str">
        <f t="shared" si="9"/>
        <v>×</v>
      </c>
    </row>
    <row r="591" spans="1:3">
      <c r="A591" s="796" t="s">
        <v>20</v>
      </c>
      <c r="B591" s="798" t="str">
        <f>IF(A591="","",IFERROR(VLOOKUP(A591,Kategorie!C:N,MATCH('General price list'!$W$17,Kategorie!$C$2:$N$2,0),FALSE),"× Chybí překlad ×"))</f>
        <v/>
      </c>
      <c r="C591" s="798" t="str">
        <f t="shared" si="9"/>
        <v/>
      </c>
    </row>
    <row r="592" spans="1:3">
      <c r="A592" s="796" t="s">
        <v>13124</v>
      </c>
      <c r="B592" s="798" t="str">
        <f>IF(A592="","",IFERROR(VLOOKUP(A592,Kategorie!C:N,MATCH('General price list'!$W$17,Kategorie!$C$2:$N$2,0),FALSE),"× Chybí překlad ×"))</f>
        <v>Složený ohňostroj 25 mm – F3 – 1.3G</v>
      </c>
      <c r="C592" s="798" t="str">
        <f t="shared" si="9"/>
        <v xml:space="preserve">           Složený ohňostroj 25 mm – F3 – 1.3G</v>
      </c>
    </row>
    <row r="593" spans="1:3">
      <c r="A593" s="796" t="s">
        <v>10511</v>
      </c>
      <c r="B593" s="798" t="str">
        <f>IF(A593="","",IFERROR(VLOOKUP(A593,Kategorie!C:N,MATCH('General price list'!$W$17,Kategorie!$C$2:$N$2,0),FALSE),"× Chybí překlad ×"))</f>
        <v>× Chybí překlad ×</v>
      </c>
      <c r="C593" s="798" t="str">
        <f t="shared" si="9"/>
        <v>×</v>
      </c>
    </row>
    <row r="594" spans="1:3">
      <c r="A594" s="796" t="s">
        <v>10511</v>
      </c>
      <c r="B594" s="798" t="str">
        <f>IF(A594="","",IFERROR(VLOOKUP(A594,Kategorie!C:N,MATCH('General price list'!$W$17,Kategorie!$C$2:$N$2,0),FALSE),"× Chybí překlad ×"))</f>
        <v>× Chybí překlad ×</v>
      </c>
      <c r="C594" s="798" t="str">
        <f t="shared" si="9"/>
        <v>×</v>
      </c>
    </row>
    <row r="595" spans="1:3">
      <c r="A595" s="796" t="s">
        <v>20</v>
      </c>
      <c r="B595" s="798" t="str">
        <f>IF(A595="","",IFERROR(VLOOKUP(A595,Kategorie!C:N,MATCH('General price list'!$W$17,Kategorie!$C$2:$N$2,0),FALSE),"× Chybí překlad ×"))</f>
        <v/>
      </c>
      <c r="C595" s="798" t="str">
        <f t="shared" si="9"/>
        <v/>
      </c>
    </row>
    <row r="596" spans="1:3">
      <c r="A596" s="802" t="s">
        <v>10511</v>
      </c>
      <c r="B596" s="798" t="str">
        <f>IF(A596="","",IFERROR(VLOOKUP(A596,Kategorie!C:N,MATCH('General price list'!$W$17,Kategorie!$C$2:$N$2,0),FALSE),"× Chybí překlad ×"))</f>
        <v>× Chybí překlad ×</v>
      </c>
      <c r="C596" s="798" t="str">
        <f t="shared" si="9"/>
        <v>×</v>
      </c>
    </row>
    <row r="597" spans="1:3">
      <c r="A597" s="796" t="s">
        <v>13125</v>
      </c>
      <c r="B597" s="798" t="str">
        <f>IF(A597="","",IFERROR(VLOOKUP(A597,Kategorie!C:N,MATCH('General price list'!$W$17,Kategorie!$C$2:$N$2,0),FALSE),"× Chybí překlad ×"))</f>
        <v>Baterie 16 ran, 30 mm moždíř – 1.3G</v>
      </c>
      <c r="C597" s="798" t="str">
        <f t="shared" si="9"/>
        <v xml:space="preserve">           Baterie 16 ran, 30 mm moždíř – 1.3G</v>
      </c>
    </row>
    <row r="598" spans="1:3">
      <c r="A598" s="796" t="s">
        <v>20</v>
      </c>
      <c r="B598" s="798" t="str">
        <f>IF(A598="","",IFERROR(VLOOKUP(A598,Kategorie!C:N,MATCH('General price list'!$W$17,Kategorie!$C$2:$N$2,0),FALSE),"× Chybí překlad ×"))</f>
        <v/>
      </c>
      <c r="C598" s="798" t="str">
        <f t="shared" si="9"/>
        <v/>
      </c>
    </row>
    <row r="599" spans="1:3">
      <c r="A599" s="796" t="s">
        <v>20</v>
      </c>
      <c r="B599" s="798" t="str">
        <f>IF(A599="","",IFERROR(VLOOKUP(A599,Kategorie!C:N,MATCH('General price list'!$W$17,Kategorie!$C$2:$N$2,0),FALSE),"× Chybí překlad ×"))</f>
        <v/>
      </c>
      <c r="C599" s="798" t="str">
        <f t="shared" si="9"/>
        <v/>
      </c>
    </row>
    <row r="600" spans="1:3">
      <c r="A600" s="796" t="s">
        <v>10511</v>
      </c>
      <c r="B600" s="798" t="str">
        <f>IF(A600="","",IFERROR(VLOOKUP(A600,Kategorie!C:N,MATCH('General price list'!$W$17,Kategorie!$C$2:$N$2,0),FALSE),"× Chybí překlad ×"))</f>
        <v>× Chybí překlad ×</v>
      </c>
      <c r="C600" s="798" t="str">
        <f t="shared" si="9"/>
        <v>×</v>
      </c>
    </row>
    <row r="601" spans="1:3">
      <c r="A601" s="796" t="s">
        <v>20</v>
      </c>
      <c r="B601" s="798" t="str">
        <f>IF(A601="","",IFERROR(VLOOKUP(A601,Kategorie!C:N,MATCH('General price list'!$W$17,Kategorie!$C$2:$N$2,0),FALSE),"× Chybí překlad ×"))</f>
        <v/>
      </c>
      <c r="C601" s="798" t="str">
        <f t="shared" si="9"/>
        <v/>
      </c>
    </row>
    <row r="602" spans="1:3">
      <c r="A602" s="802" t="s">
        <v>20</v>
      </c>
      <c r="B602" s="798" t="str">
        <f>IF(A602="","",IFERROR(VLOOKUP(A602,Kategorie!C:N,MATCH('General price list'!$W$17,Kategorie!$C$2:$N$2,0),FALSE),"× Chybí překlad ×"))</f>
        <v/>
      </c>
      <c r="C602" s="798" t="str">
        <f t="shared" si="9"/>
        <v/>
      </c>
    </row>
    <row r="603" spans="1:3">
      <c r="A603" s="796" t="s">
        <v>20</v>
      </c>
      <c r="B603" s="798" t="str">
        <f>IF(A603="","",IFERROR(VLOOKUP(A603,Kategorie!C:N,MATCH('General price list'!$W$17,Kategorie!$C$2:$N$2,0),FALSE),"× Chybí překlad ×"))</f>
        <v/>
      </c>
      <c r="C603" s="798" t="str">
        <f t="shared" si="9"/>
        <v/>
      </c>
    </row>
    <row r="604" spans="1:3">
      <c r="A604" s="796" t="s">
        <v>20</v>
      </c>
      <c r="B604" s="798" t="str">
        <f>IF(A604="","",IFERROR(VLOOKUP(A604,Kategorie!C:N,MATCH('General price list'!$W$17,Kategorie!$C$2:$N$2,0),FALSE),"× Chybí překlad ×"))</f>
        <v/>
      </c>
      <c r="C604" s="798" t="str">
        <f t="shared" si="9"/>
        <v/>
      </c>
    </row>
    <row r="605" spans="1:3">
      <c r="A605" s="796" t="s">
        <v>13126</v>
      </c>
      <c r="B605" s="798" t="str">
        <f>IF(A605="","",IFERROR(VLOOKUP(A605,Kategorie!C:N,MATCH('General price list'!$W$17,Kategorie!$C$2:$N$2,0),FALSE),"× Chybí překlad ×"))</f>
        <v>Baterie 16 ran, 30 mm moždíř – 1.4G</v>
      </c>
      <c r="C605" s="798" t="str">
        <f t="shared" si="9"/>
        <v xml:space="preserve">           Baterie 16 ran, 30 mm moždíř – 1.4G</v>
      </c>
    </row>
    <row r="606" spans="1:3">
      <c r="A606" s="796" t="s">
        <v>20</v>
      </c>
      <c r="B606" s="798" t="str">
        <f>IF(A606="","",IFERROR(VLOOKUP(A606,Kategorie!C:N,MATCH('General price list'!$W$17,Kategorie!$C$2:$N$2,0),FALSE),"× Chybí překlad ×"))</f>
        <v/>
      </c>
      <c r="C606" s="798" t="str">
        <f t="shared" si="9"/>
        <v/>
      </c>
    </row>
    <row r="607" spans="1:3">
      <c r="A607" s="796" t="s">
        <v>13127</v>
      </c>
      <c r="B607" s="798" t="str">
        <f>IF(A607="","",IFERROR(VLOOKUP(A607,Kategorie!C:N,MATCH('General price list'!$W$17,Kategorie!$C$2:$N$2,0),FALSE),"× Chybí překlad ×"))</f>
        <v>Baterie 19 ran, 30 mm moždíř – 1.3G</v>
      </c>
      <c r="C607" s="798" t="str">
        <f t="shared" si="9"/>
        <v xml:space="preserve">           Baterie 19 ran, 30 mm moždíř – 1.3G</v>
      </c>
    </row>
    <row r="608" spans="1:3">
      <c r="A608" s="796" t="s">
        <v>20</v>
      </c>
      <c r="B608" s="798" t="str">
        <f>IF(A608="","",IFERROR(VLOOKUP(A608,Kategorie!C:N,MATCH('General price list'!$W$17,Kategorie!$C$2:$N$2,0),FALSE),"× Chybí překlad ×"))</f>
        <v/>
      </c>
      <c r="C608" s="798" t="str">
        <f t="shared" si="9"/>
        <v/>
      </c>
    </row>
    <row r="609" spans="1:3">
      <c r="A609" s="796" t="s">
        <v>20</v>
      </c>
      <c r="B609" s="798" t="str">
        <f>IF(A609="","",IFERROR(VLOOKUP(A609,Kategorie!C:N,MATCH('General price list'!$W$17,Kategorie!$C$2:$N$2,0),FALSE),"× Chybí překlad ×"))</f>
        <v/>
      </c>
      <c r="C609" s="798" t="str">
        <f t="shared" si="9"/>
        <v/>
      </c>
    </row>
    <row r="610" spans="1:3">
      <c r="A610" s="796" t="s">
        <v>20</v>
      </c>
      <c r="B610" s="798" t="str">
        <f>IF(A610="","",IFERROR(VLOOKUP(A610,Kategorie!C:N,MATCH('General price list'!$W$17,Kategorie!$C$2:$N$2,0),FALSE),"× Chybí překlad ×"))</f>
        <v/>
      </c>
      <c r="C610" s="798" t="str">
        <f t="shared" si="9"/>
        <v/>
      </c>
    </row>
    <row r="611" spans="1:3">
      <c r="A611" s="796" t="s">
        <v>20</v>
      </c>
      <c r="B611" s="798" t="str">
        <f>IF(A611="","",IFERROR(VLOOKUP(A611,Kategorie!C:N,MATCH('General price list'!$W$17,Kategorie!$C$2:$N$2,0),FALSE),"× Chybí překlad ×"))</f>
        <v/>
      </c>
      <c r="C611" s="798" t="str">
        <f t="shared" si="9"/>
        <v/>
      </c>
    </row>
    <row r="612" spans="1:3">
      <c r="A612" s="796" t="s">
        <v>20</v>
      </c>
      <c r="B612" s="798" t="str">
        <f>IF(A612="","",IFERROR(VLOOKUP(A612,Kategorie!C:N,MATCH('General price list'!$W$17,Kategorie!$C$2:$N$2,0),FALSE),"× Chybí překlad ×"))</f>
        <v/>
      </c>
      <c r="C612" s="798" t="str">
        <f t="shared" si="9"/>
        <v/>
      </c>
    </row>
    <row r="613" spans="1:3">
      <c r="A613" s="802" t="s">
        <v>13128</v>
      </c>
      <c r="B613" s="798" t="str">
        <f>IF(A613="","",IFERROR(VLOOKUP(A613,Kategorie!C:N,MATCH('General price list'!$W$17,Kategorie!$C$2:$N$2,0),FALSE),"× Chybí překlad ×"))</f>
        <v>Baterie 25 ran, 30 mm moždíř F3 – 1.3G</v>
      </c>
      <c r="C613" s="798" t="str">
        <f t="shared" si="9"/>
        <v xml:space="preserve">           Baterie 25 ran, 30 mm moždíř F3 – 1.3G</v>
      </c>
    </row>
    <row r="614" spans="1:3">
      <c r="A614" s="796" t="s">
        <v>20</v>
      </c>
      <c r="B614" s="798" t="str">
        <f>IF(A614="","",IFERROR(VLOOKUP(A614,Kategorie!C:N,MATCH('General price list'!$W$17,Kategorie!$C$2:$N$2,0),FALSE),"× Chybí překlad ×"))</f>
        <v/>
      </c>
      <c r="C614" s="798" t="str">
        <f t="shared" si="9"/>
        <v/>
      </c>
    </row>
    <row r="615" spans="1:3">
      <c r="A615" s="796" t="s">
        <v>20</v>
      </c>
      <c r="B615" s="798" t="str">
        <f>IF(A615="","",IFERROR(VLOOKUP(A615,Kategorie!C:N,MATCH('General price list'!$W$17,Kategorie!$C$2:$N$2,0),FALSE),"× Chybí překlad ×"))</f>
        <v/>
      </c>
      <c r="C615" s="798" t="str">
        <f t="shared" si="9"/>
        <v/>
      </c>
    </row>
    <row r="616" spans="1:3">
      <c r="A616" s="796" t="s">
        <v>10511</v>
      </c>
      <c r="B616" s="798" t="str">
        <f>IF(A616="","",IFERROR(VLOOKUP(A616,Kategorie!C:N,MATCH('General price list'!$W$17,Kategorie!$C$2:$N$2,0),FALSE),"× Chybí překlad ×"))</f>
        <v>× Chybí překlad ×</v>
      </c>
      <c r="C616" s="798" t="str">
        <f t="shared" si="9"/>
        <v>×</v>
      </c>
    </row>
    <row r="617" spans="1:3">
      <c r="A617" s="796" t="s">
        <v>20</v>
      </c>
      <c r="B617" s="798" t="str">
        <f>IF(A617="","",IFERROR(VLOOKUP(A617,Kategorie!C:N,MATCH('General price list'!$W$17,Kategorie!$C$2:$N$2,0),FALSE),"× Chybí překlad ×"))</f>
        <v/>
      </c>
      <c r="C617" s="798" t="str">
        <f t="shared" si="9"/>
        <v/>
      </c>
    </row>
    <row r="618" spans="1:3">
      <c r="A618" s="796" t="s">
        <v>20</v>
      </c>
      <c r="B618" s="798" t="str">
        <f>IF(A618="","",IFERROR(VLOOKUP(A618,Kategorie!C:N,MATCH('General price list'!$W$17,Kategorie!$C$2:$N$2,0),FALSE),"× Chybí překlad ×"))</f>
        <v/>
      </c>
      <c r="C618" s="798" t="str">
        <f t="shared" si="9"/>
        <v/>
      </c>
    </row>
    <row r="619" spans="1:3">
      <c r="A619" s="796" t="s">
        <v>13129</v>
      </c>
      <c r="B619" s="798" t="str">
        <f>IF(A619="","",IFERROR(VLOOKUP(A619,Kategorie!C:N,MATCH('General price list'!$W$17,Kategorie!$C$2:$N$2,0),FALSE),"× Chybí překlad ×"))</f>
        <v>Baterie 25 ran, 30 mm moždíř F2 – 1.4G</v>
      </c>
      <c r="C619" s="798" t="str">
        <f t="shared" si="9"/>
        <v xml:space="preserve">           Baterie 25 ran, 30 mm moždíř F2 – 1.4G</v>
      </c>
    </row>
    <row r="620" spans="1:3">
      <c r="A620" s="802" t="s">
        <v>20</v>
      </c>
      <c r="B620" s="798" t="str">
        <f>IF(A620="","",IFERROR(VLOOKUP(A620,Kategorie!C:N,MATCH('General price list'!$W$17,Kategorie!$C$2:$N$2,0),FALSE),"× Chybí překlad ×"))</f>
        <v/>
      </c>
      <c r="C620" s="798" t="str">
        <f t="shared" si="9"/>
        <v/>
      </c>
    </row>
    <row r="621" spans="1:3">
      <c r="A621" s="796" t="s">
        <v>20</v>
      </c>
      <c r="B621" s="798" t="str">
        <f>IF(A621="","",IFERROR(VLOOKUP(A621,Kategorie!C:N,MATCH('General price list'!$W$17,Kategorie!$C$2:$N$2,0),FALSE),"× Chybí překlad ×"))</f>
        <v/>
      </c>
      <c r="C621" s="798" t="str">
        <f t="shared" si="9"/>
        <v/>
      </c>
    </row>
    <row r="622" spans="1:3">
      <c r="A622" s="796" t="s">
        <v>20</v>
      </c>
      <c r="B622" s="798" t="str">
        <f>IF(A622="","",IFERROR(VLOOKUP(A622,Kategorie!C:N,MATCH('General price list'!$W$17,Kategorie!$C$2:$N$2,0),FALSE),"× Chybí překlad ×"))</f>
        <v/>
      </c>
      <c r="C622" s="798" t="str">
        <f t="shared" si="9"/>
        <v/>
      </c>
    </row>
    <row r="623" spans="1:3">
      <c r="A623" s="796" t="s">
        <v>20</v>
      </c>
      <c r="B623" s="798" t="str">
        <f>IF(A623="","",IFERROR(VLOOKUP(A623,Kategorie!C:N,MATCH('General price list'!$W$17,Kategorie!$C$2:$N$2,0),FALSE),"× Chybí překlad ×"))</f>
        <v/>
      </c>
      <c r="C623" s="798" t="str">
        <f t="shared" si="9"/>
        <v/>
      </c>
    </row>
    <row r="624" spans="1:3">
      <c r="A624" s="796" t="s">
        <v>20</v>
      </c>
      <c r="B624" s="798" t="str">
        <f>IF(A624="","",IFERROR(VLOOKUP(A624,Kategorie!C:N,MATCH('General price list'!$W$17,Kategorie!$C$2:$N$2,0),FALSE),"× Chybí překlad ×"))</f>
        <v/>
      </c>
      <c r="C624" s="798" t="str">
        <f t="shared" si="9"/>
        <v/>
      </c>
    </row>
    <row r="625" spans="1:3">
      <c r="A625" s="802" t="s">
        <v>13130</v>
      </c>
      <c r="B625" s="798" t="str">
        <f>IF(A625="","",IFERROR(VLOOKUP(A625,Kategorie!C:N,MATCH('General price list'!$W$17,Kategorie!$C$2:$N$2,0),FALSE),"× Chybí překlad ×"))</f>
        <v>Baterie 25 ran, 30 mm moždíř – 1.4G</v>
      </c>
      <c r="C625" s="798" t="str">
        <f t="shared" si="9"/>
        <v xml:space="preserve">           Baterie 25 ran, 30 mm moždíř – 1.4G</v>
      </c>
    </row>
    <row r="626" spans="1:3">
      <c r="A626" s="796" t="s">
        <v>20</v>
      </c>
      <c r="B626" s="798" t="str">
        <f>IF(A626="","",IFERROR(VLOOKUP(A626,Kategorie!C:N,MATCH('General price list'!$W$17,Kategorie!$C$2:$N$2,0),FALSE),"× Chybí překlad ×"))</f>
        <v/>
      </c>
      <c r="C626" s="798" t="str">
        <f t="shared" si="9"/>
        <v/>
      </c>
    </row>
    <row r="627" spans="1:3">
      <c r="A627" s="796" t="s">
        <v>13131</v>
      </c>
      <c r="B627" s="798" t="str">
        <f>IF(A627="","",IFERROR(VLOOKUP(A627,Kategorie!C:N,MATCH('General price list'!$W$17,Kategorie!$C$2:$N$2,0),FALSE),"× Chybí překlad ×"))</f>
        <v>Baterie 25 ran, 30 mm šikmý moždíř – 1.4G</v>
      </c>
      <c r="C627" s="798" t="str">
        <f t="shared" si="9"/>
        <v xml:space="preserve">           Baterie 25 ran, 30 mm šikmý moždíř – 1.4G</v>
      </c>
    </row>
    <row r="628" spans="1:3">
      <c r="A628" s="796" t="s">
        <v>10511</v>
      </c>
      <c r="B628" s="798" t="str">
        <f>IF(A628="","",IFERROR(VLOOKUP(A628,Kategorie!C:N,MATCH('General price list'!$W$17,Kategorie!$C$2:$N$2,0),FALSE),"× Chybí překlad ×"))</f>
        <v>× Chybí překlad ×</v>
      </c>
      <c r="C628" s="798" t="str">
        <f t="shared" si="9"/>
        <v>×</v>
      </c>
    </row>
    <row r="629" spans="1:3">
      <c r="A629" s="802" t="s">
        <v>20</v>
      </c>
      <c r="B629" s="798" t="str">
        <f>IF(A629="","",IFERROR(VLOOKUP(A629,Kategorie!C:N,MATCH('General price list'!$W$17,Kategorie!$C$2:$N$2,0),FALSE),"× Chybí překlad ×"))</f>
        <v/>
      </c>
      <c r="C629" s="798" t="str">
        <f t="shared" si="9"/>
        <v/>
      </c>
    </row>
    <row r="630" spans="1:3">
      <c r="A630" s="796" t="s">
        <v>20</v>
      </c>
      <c r="B630" s="798" t="str">
        <f>IF(A630="","",IFERROR(VLOOKUP(A630,Kategorie!C:N,MATCH('General price list'!$W$17,Kategorie!$C$2:$N$2,0),FALSE),"× Chybí překlad ×"))</f>
        <v/>
      </c>
      <c r="C630" s="798" t="str">
        <f t="shared" si="9"/>
        <v/>
      </c>
    </row>
    <row r="631" spans="1:3">
      <c r="A631" s="796" t="s">
        <v>13132</v>
      </c>
      <c r="B631" s="798" t="str">
        <f>IF(A631="","",IFERROR(VLOOKUP(A631,Kategorie!C:N,MATCH('General price list'!$W$17,Kategorie!$C$2:$N$2,0),FALSE),"× Chybí překlad ×"))</f>
        <v>Baterie 36 ran, 30 mm moždíř – 1.3G</v>
      </c>
      <c r="C631" s="798" t="str">
        <f t="shared" si="9"/>
        <v xml:space="preserve">           Baterie 36 ran, 30 mm moždíř – 1.3G</v>
      </c>
    </row>
    <row r="632" spans="1:3">
      <c r="A632" s="796" t="s">
        <v>20</v>
      </c>
      <c r="B632" s="798" t="str">
        <f>IF(A632="","",IFERROR(VLOOKUP(A632,Kategorie!C:N,MATCH('General price list'!$W$17,Kategorie!$C$2:$N$2,0),FALSE),"× Chybí překlad ×"))</f>
        <v/>
      </c>
      <c r="C632" s="798" t="str">
        <f t="shared" si="9"/>
        <v/>
      </c>
    </row>
    <row r="633" spans="1:3">
      <c r="A633" s="796" t="s">
        <v>20</v>
      </c>
      <c r="B633" s="798" t="str">
        <f>IF(A633="","",IFERROR(VLOOKUP(A633,Kategorie!C:N,MATCH('General price list'!$W$17,Kategorie!$C$2:$N$2,0),FALSE),"× Chybí překlad ×"))</f>
        <v/>
      </c>
      <c r="C633" s="798" t="str">
        <f t="shared" si="9"/>
        <v/>
      </c>
    </row>
    <row r="634" spans="1:3">
      <c r="A634" s="796" t="s">
        <v>20</v>
      </c>
      <c r="B634" s="798" t="str">
        <f>IF(A634="","",IFERROR(VLOOKUP(A634,Kategorie!C:N,MATCH('General price list'!$W$17,Kategorie!$C$2:$N$2,0),FALSE),"× Chybí překlad ×"))</f>
        <v/>
      </c>
      <c r="C634" s="798" t="str">
        <f t="shared" si="9"/>
        <v/>
      </c>
    </row>
    <row r="635" spans="1:3">
      <c r="A635" s="796" t="s">
        <v>13133</v>
      </c>
      <c r="B635" s="798" t="str">
        <f>IF(A635="","",IFERROR(VLOOKUP(A635,Kategorie!C:N,MATCH('General price list'!$W$17,Kategorie!$C$2:$N$2,0),FALSE),"× Chybí překlad ×"))</f>
        <v>Baterie 36 ran, 30 mm šikmý moždíř – 1.3G</v>
      </c>
      <c r="C635" s="798" t="str">
        <f t="shared" si="9"/>
        <v xml:space="preserve">           Baterie 36 ran, 30 mm šikmý moždíř – 1.3G</v>
      </c>
    </row>
    <row r="636" spans="1:3">
      <c r="A636" s="796" t="s">
        <v>20</v>
      </c>
      <c r="B636" s="798" t="str">
        <f>IF(A636="","",IFERROR(VLOOKUP(A636,Kategorie!C:N,MATCH('General price list'!$W$17,Kategorie!$C$2:$N$2,0),FALSE),"× Chybí překlad ×"))</f>
        <v/>
      </c>
      <c r="C636" s="798" t="str">
        <f t="shared" si="9"/>
        <v/>
      </c>
    </row>
    <row r="637" spans="1:3">
      <c r="A637" s="802" t="s">
        <v>13134</v>
      </c>
      <c r="B637" s="798" t="str">
        <f>IF(A637="","",IFERROR(VLOOKUP(A637,Kategorie!C:N,MATCH('General price list'!$W$17,Kategorie!$C$2:$N$2,0),FALSE),"× Chybí překlad ×"))</f>
        <v>Baterie 49 ran, 30 mm moždíř – 1.3G</v>
      </c>
      <c r="C637" s="798" t="str">
        <f t="shared" si="9"/>
        <v xml:space="preserve">           Baterie 49 ran, 30 mm moždíř – 1.3G</v>
      </c>
    </row>
    <row r="638" spans="1:3">
      <c r="A638" s="796" t="s">
        <v>20</v>
      </c>
      <c r="B638" s="798" t="str">
        <f>IF(A638="","",IFERROR(VLOOKUP(A638,Kategorie!C:N,MATCH('General price list'!$W$17,Kategorie!$C$2:$N$2,0),FALSE),"× Chybí překlad ×"))</f>
        <v/>
      </c>
      <c r="C638" s="798" t="str">
        <f t="shared" si="9"/>
        <v/>
      </c>
    </row>
    <row r="639" spans="1:3">
      <c r="A639" s="796" t="s">
        <v>10511</v>
      </c>
      <c r="B639" s="798" t="str">
        <f>IF(A639="","",IFERROR(VLOOKUP(A639,Kategorie!C:N,MATCH('General price list'!$W$17,Kategorie!$C$2:$N$2,0),FALSE),"× Chybí překlad ×"))</f>
        <v>× Chybí překlad ×</v>
      </c>
      <c r="C639" s="798" t="str">
        <f t="shared" si="9"/>
        <v>×</v>
      </c>
    </row>
    <row r="640" spans="1:3">
      <c r="A640" s="796" t="s">
        <v>20</v>
      </c>
      <c r="B640" s="798" t="str">
        <f>IF(A640="","",IFERROR(VLOOKUP(A640,Kategorie!C:N,MATCH('General price list'!$W$17,Kategorie!$C$2:$N$2,0),FALSE),"× Chybí překlad ×"))</f>
        <v/>
      </c>
      <c r="C640" s="798" t="str">
        <f t="shared" si="9"/>
        <v/>
      </c>
    </row>
    <row r="641" spans="1:3">
      <c r="A641" s="796" t="s">
        <v>20</v>
      </c>
      <c r="B641" s="798" t="str">
        <f>IF(A641="","",IFERROR(VLOOKUP(A641,Kategorie!C:N,MATCH('General price list'!$W$17,Kategorie!$C$2:$N$2,0),FALSE),"× Chybí překlad ×"))</f>
        <v/>
      </c>
      <c r="C641" s="798" t="str">
        <f t="shared" si="9"/>
        <v/>
      </c>
    </row>
    <row r="642" spans="1:3">
      <c r="A642" s="796" t="s">
        <v>20</v>
      </c>
      <c r="B642" s="798" t="str">
        <f>IF(A642="","",IFERROR(VLOOKUP(A642,Kategorie!C:N,MATCH('General price list'!$W$17,Kategorie!$C$2:$N$2,0),FALSE),"× Chybí překlad ×"))</f>
        <v/>
      </c>
      <c r="C642" s="798" t="str">
        <f t="shared" si="9"/>
        <v/>
      </c>
    </row>
    <row r="643" spans="1:3">
      <c r="A643" s="802" t="s">
        <v>20</v>
      </c>
      <c r="B643" s="798" t="str">
        <f>IF(A643="","",IFERROR(VLOOKUP(A643,Kategorie!C:N,MATCH('General price list'!$W$17,Kategorie!$C$2:$N$2,0),FALSE),"× Chybí překlad ×"))</f>
        <v/>
      </c>
      <c r="C643" s="798" t="str">
        <f t="shared" si="9"/>
        <v/>
      </c>
    </row>
    <row r="644" spans="1:3">
      <c r="A644" s="796" t="s">
        <v>20</v>
      </c>
      <c r="B644" s="798" t="str">
        <f>IF(A644="","",IFERROR(VLOOKUP(A644,Kategorie!C:N,MATCH('General price list'!$W$17,Kategorie!$C$2:$N$2,0),FALSE),"× Chybí překlad ×"))</f>
        <v/>
      </c>
      <c r="C644" s="798" t="str">
        <f t="shared" si="9"/>
        <v/>
      </c>
    </row>
    <row r="645" spans="1:3">
      <c r="A645" s="796" t="s">
        <v>20</v>
      </c>
      <c r="B645" s="798" t="str">
        <f>IF(A645="","",IFERROR(VLOOKUP(A645,Kategorie!C:N,MATCH('General price list'!$W$17,Kategorie!$C$2:$N$2,0),FALSE),"× Chybí překlad ×"))</f>
        <v/>
      </c>
      <c r="C645" s="798" t="str">
        <f t="shared" ref="C645:C708" si="10">IF(A645="","",IF(A645="x","×",$B$1&amp;B645))</f>
        <v/>
      </c>
    </row>
    <row r="646" spans="1:3">
      <c r="A646" s="796" t="s">
        <v>20</v>
      </c>
      <c r="B646" s="798" t="str">
        <f>IF(A646="","",IFERROR(VLOOKUP(A646,Kategorie!C:N,MATCH('General price list'!$W$17,Kategorie!$C$2:$N$2,0),FALSE),"× Chybí překlad ×"))</f>
        <v/>
      </c>
      <c r="C646" s="798" t="str">
        <f t="shared" si="10"/>
        <v/>
      </c>
    </row>
    <row r="647" spans="1:3">
      <c r="A647" s="802" t="s">
        <v>20</v>
      </c>
      <c r="B647" s="798" t="str">
        <f>IF(A647="","",IFERROR(VLOOKUP(A647,Kategorie!C:N,MATCH('General price list'!$W$17,Kategorie!$C$2:$N$2,0),FALSE),"× Chybí překlad ×"))</f>
        <v/>
      </c>
      <c r="C647" s="798" t="str">
        <f t="shared" si="10"/>
        <v/>
      </c>
    </row>
    <row r="648" spans="1:3">
      <c r="A648" s="796" t="s">
        <v>13135</v>
      </c>
      <c r="B648" s="798" t="str">
        <f>IF(A648="","",IFERROR(VLOOKUP(A648,Kategorie!C:N,MATCH('General price list'!$W$17,Kategorie!$C$2:$N$2,0),FALSE),"× Chybí překlad ×"))</f>
        <v>Baterie 49 ran, 30 mm šikmý moždíř – 1.3G</v>
      </c>
      <c r="C648" s="798" t="str">
        <f t="shared" si="10"/>
        <v xml:space="preserve">           Baterie 49 ran, 30 mm šikmý moždíř – 1.3G</v>
      </c>
    </row>
    <row r="649" spans="1:3">
      <c r="A649" s="802" t="s">
        <v>20</v>
      </c>
      <c r="B649" s="798" t="str">
        <f>IF(A649="","",IFERROR(VLOOKUP(A649,Kategorie!C:N,MATCH('General price list'!$W$17,Kategorie!$C$2:$N$2,0),FALSE),"× Chybí překlad ×"))</f>
        <v/>
      </c>
      <c r="C649" s="798" t="str">
        <f t="shared" si="10"/>
        <v/>
      </c>
    </row>
    <row r="650" spans="1:3">
      <c r="A650" s="796" t="s">
        <v>10511</v>
      </c>
      <c r="B650" s="798" t="str">
        <f>IF(A650="","",IFERROR(VLOOKUP(A650,Kategorie!C:N,MATCH('General price list'!$W$17,Kategorie!$C$2:$N$2,0),FALSE),"× Chybí překlad ×"))</f>
        <v>× Chybí překlad ×</v>
      </c>
      <c r="C650" s="798" t="str">
        <f t="shared" si="10"/>
        <v>×</v>
      </c>
    </row>
    <row r="651" spans="1:3">
      <c r="A651" s="796" t="s">
        <v>10511</v>
      </c>
      <c r="B651" s="798" t="str">
        <f>IF(A651="","",IFERROR(VLOOKUP(A651,Kategorie!C:N,MATCH('General price list'!$W$17,Kategorie!$C$2:$N$2,0),FALSE),"× Chybí překlad ×"))</f>
        <v>× Chybí překlad ×</v>
      </c>
      <c r="C651" s="798" t="str">
        <f t="shared" si="10"/>
        <v>×</v>
      </c>
    </row>
    <row r="652" spans="1:3">
      <c r="A652" s="802" t="s">
        <v>20</v>
      </c>
      <c r="B652" s="798" t="str">
        <f>IF(A652="","",IFERROR(VLOOKUP(A652,Kategorie!C:N,MATCH('General price list'!$W$17,Kategorie!$C$2:$N$2,0),FALSE),"× Chybí překlad ×"))</f>
        <v/>
      </c>
      <c r="C652" s="798" t="str">
        <f t="shared" si="10"/>
        <v/>
      </c>
    </row>
    <row r="653" spans="1:3">
      <c r="A653" s="796" t="s">
        <v>13136</v>
      </c>
      <c r="B653" s="798" t="str">
        <f>IF(A653="","",IFERROR(VLOOKUP(A653,Kategorie!C:N,MATCH('General price list'!$W$17,Kategorie!$C$2:$N$2,0),FALSE),"× Chybí překlad ×"))</f>
        <v>Baterie 50 ran, 30 mm moždíř – 1.3G</v>
      </c>
      <c r="C653" s="798" t="str">
        <f t="shared" si="10"/>
        <v xml:space="preserve">           Baterie 50 ran, 30 mm moždíř – 1.3G</v>
      </c>
    </row>
    <row r="654" spans="1:3">
      <c r="A654" s="796" t="s">
        <v>20</v>
      </c>
      <c r="B654" s="798" t="str">
        <f>IF(A654="","",IFERROR(VLOOKUP(A654,Kategorie!C:N,MATCH('General price list'!$W$17,Kategorie!$C$2:$N$2,0),FALSE),"× Chybí překlad ×"))</f>
        <v/>
      </c>
      <c r="C654" s="798" t="str">
        <f t="shared" si="10"/>
        <v/>
      </c>
    </row>
    <row r="655" spans="1:3">
      <c r="A655" s="796" t="s">
        <v>20</v>
      </c>
      <c r="B655" s="798" t="str">
        <f>IF(A655="","",IFERROR(VLOOKUP(A655,Kategorie!C:N,MATCH('General price list'!$W$17,Kategorie!$C$2:$N$2,0),FALSE),"× Chybí překlad ×"))</f>
        <v/>
      </c>
      <c r="C655" s="798" t="str">
        <f t="shared" si="10"/>
        <v/>
      </c>
    </row>
    <row r="656" spans="1:3">
      <c r="A656" s="802" t="s">
        <v>20</v>
      </c>
      <c r="B656" s="798" t="str">
        <f>IF(A656="","",IFERROR(VLOOKUP(A656,Kategorie!C:N,MATCH('General price list'!$W$17,Kategorie!$C$2:$N$2,0),FALSE),"× Chybí překlad ×"))</f>
        <v/>
      </c>
      <c r="C656" s="798" t="str">
        <f t="shared" si="10"/>
        <v/>
      </c>
    </row>
    <row r="657" spans="1:3">
      <c r="A657" s="796" t="s">
        <v>20</v>
      </c>
      <c r="B657" s="798" t="str">
        <f>IF(A657="","",IFERROR(VLOOKUP(A657,Kategorie!C:N,MATCH('General price list'!$W$17,Kategorie!$C$2:$N$2,0),FALSE),"× Chybí překlad ×"))</f>
        <v/>
      </c>
      <c r="C657" s="798" t="str">
        <f t="shared" si="10"/>
        <v/>
      </c>
    </row>
    <row r="658" spans="1:3">
      <c r="A658" s="796" t="s">
        <v>13137</v>
      </c>
      <c r="B658" s="798" t="str">
        <f>IF(A658="","",IFERROR(VLOOKUP(A658,Kategorie!C:N,MATCH('General price list'!$W$17,Kategorie!$C$2:$N$2,0),FALSE),"× Chybí překlad ×"))</f>
        <v>Baterie 64 ran, 30 mm moždíř – 1.3G</v>
      </c>
      <c r="C658" s="798" t="str">
        <f t="shared" si="10"/>
        <v xml:space="preserve">           Baterie 64 ran, 30 mm moždíř – 1.3G</v>
      </c>
    </row>
    <row r="659" spans="1:3">
      <c r="A659" s="796" t="s">
        <v>20</v>
      </c>
      <c r="B659" s="798" t="str">
        <f>IF(A659="","",IFERROR(VLOOKUP(A659,Kategorie!C:N,MATCH('General price list'!$W$17,Kategorie!$C$2:$N$2,0),FALSE),"× Chybí překlad ×"))</f>
        <v/>
      </c>
      <c r="C659" s="798" t="str">
        <f t="shared" si="10"/>
        <v/>
      </c>
    </row>
    <row r="660" spans="1:3">
      <c r="A660" s="802" t="s">
        <v>20</v>
      </c>
      <c r="B660" s="798" t="str">
        <f>IF(A660="","",IFERROR(VLOOKUP(A660,Kategorie!C:N,MATCH('General price list'!$W$17,Kategorie!$C$2:$N$2,0),FALSE),"× Chybí překlad ×"))</f>
        <v/>
      </c>
      <c r="C660" s="798" t="str">
        <f t="shared" si="10"/>
        <v/>
      </c>
    </row>
    <row r="661" spans="1:3">
      <c r="A661" s="796" t="s">
        <v>13138</v>
      </c>
      <c r="B661" s="798" t="str">
        <f>IF(A661="","",IFERROR(VLOOKUP(A661,Kategorie!C:N,MATCH('General price list'!$W$17,Kategorie!$C$2:$N$2,0),FALSE),"× Chybí překlad ×"))</f>
        <v>Baterie 64 ran, 30 mm šikmý moždíř – 1.3G</v>
      </c>
      <c r="C661" s="798" t="str">
        <f t="shared" si="10"/>
        <v xml:space="preserve">           Baterie 64 ran, 30 mm šikmý moždíř – 1.3G</v>
      </c>
    </row>
    <row r="662" spans="1:3">
      <c r="A662" s="796" t="s">
        <v>20</v>
      </c>
      <c r="B662" s="798" t="str">
        <f>IF(A662="","",IFERROR(VLOOKUP(A662,Kategorie!C:N,MATCH('General price list'!$W$17,Kategorie!$C$2:$N$2,0),FALSE),"× Chybí překlad ×"))</f>
        <v/>
      </c>
      <c r="C662" s="798" t="str">
        <f t="shared" si="10"/>
        <v/>
      </c>
    </row>
    <row r="663" spans="1:3">
      <c r="A663" s="796" t="s">
        <v>20</v>
      </c>
      <c r="B663" s="798" t="str">
        <f>IF(A663="","",IFERROR(VLOOKUP(A663,Kategorie!C:N,MATCH('General price list'!$W$17,Kategorie!$C$2:$N$2,0),FALSE),"× Chybí překlad ×"))</f>
        <v/>
      </c>
      <c r="C663" s="798" t="str">
        <f t="shared" si="10"/>
        <v/>
      </c>
    </row>
    <row r="664" spans="1:3">
      <c r="A664" s="796" t="s">
        <v>13139</v>
      </c>
      <c r="B664" s="798" t="str">
        <f>IF(A664="","",IFERROR(VLOOKUP(A664,Kategorie!C:N,MATCH('General price list'!$W$17,Kategorie!$C$2:$N$2,0),FALSE),"× Chybí překlad ×"))</f>
        <v>Baterie 64 ran, 30 mm rovný + šikmý + V + W moždíř – 1.3G</v>
      </c>
      <c r="C664" s="798" t="str">
        <f t="shared" si="10"/>
        <v xml:space="preserve">           Baterie 64 ran, 30 mm rovný + šikmý + V + W moždíř – 1.3G</v>
      </c>
    </row>
    <row r="665" spans="1:3">
      <c r="A665" s="802" t="s">
        <v>10511</v>
      </c>
      <c r="B665" s="798" t="str">
        <f>IF(A665="","",IFERROR(VLOOKUP(A665,Kategorie!C:N,MATCH('General price list'!$W$17,Kategorie!$C$2:$N$2,0),FALSE),"× Chybí překlad ×"))</f>
        <v>× Chybí překlad ×</v>
      </c>
      <c r="C665" s="798" t="str">
        <f t="shared" si="10"/>
        <v>×</v>
      </c>
    </row>
    <row r="666" spans="1:3">
      <c r="A666" s="796" t="s">
        <v>20</v>
      </c>
      <c r="B666" s="798" t="str">
        <f>IF(A666="","",IFERROR(VLOOKUP(A666,Kategorie!C:N,MATCH('General price list'!$W$17,Kategorie!$C$2:$N$2,0),FALSE),"× Chybí překlad ×"))</f>
        <v/>
      </c>
      <c r="C666" s="798" t="str">
        <f t="shared" si="10"/>
        <v/>
      </c>
    </row>
    <row r="667" spans="1:3">
      <c r="A667" t="s">
        <v>14362</v>
      </c>
      <c r="B667" s="798" t="str">
        <f>IF(A667="","",IFERROR(VLOOKUP(A667,Kategorie!C:N,MATCH('General price list'!$W$17,Kategorie!$C$2:$N$2,0),FALSE),"× Chybí překlad ×"))</f>
        <v>Složený ohňostroj 30 mm – F2</v>
      </c>
      <c r="C667" s="798" t="str">
        <f t="shared" si="10"/>
        <v xml:space="preserve">           Složený ohňostroj 30 mm – F2</v>
      </c>
    </row>
    <row r="668" spans="1:3">
      <c r="A668" s="796" t="s">
        <v>20</v>
      </c>
      <c r="B668" s="798" t="str">
        <f>IF(A668="","",IFERROR(VLOOKUP(A668,Kategorie!C:N,MATCH('General price list'!$W$17,Kategorie!$C$2:$N$2,0),FALSE),"× Chybí překlad ×"))</f>
        <v/>
      </c>
      <c r="C668" s="798" t="str">
        <f t="shared" si="10"/>
        <v/>
      </c>
    </row>
    <row r="669" spans="1:3">
      <c r="A669" s="802" t="s">
        <v>10511</v>
      </c>
      <c r="B669" s="798" t="str">
        <f>IF(A669="","",IFERROR(VLOOKUP(A669,Kategorie!C:N,MATCH('General price list'!$W$17,Kategorie!$C$2:$N$2,0),FALSE),"× Chybí překlad ×"))</f>
        <v>× Chybí překlad ×</v>
      </c>
      <c r="C669" s="798" t="str">
        <f t="shared" si="10"/>
        <v>×</v>
      </c>
    </row>
    <row r="670" spans="1:3">
      <c r="A670" s="796" t="s">
        <v>20</v>
      </c>
      <c r="B670" s="798" t="str">
        <f>IF(A670="","",IFERROR(VLOOKUP(A670,Kategorie!C:N,MATCH('General price list'!$W$17,Kategorie!$C$2:$N$2,0),FALSE),"× Chybí překlad ×"))</f>
        <v/>
      </c>
      <c r="C670" s="798" t="str">
        <f t="shared" si="10"/>
        <v/>
      </c>
    </row>
    <row r="671" spans="1:3">
      <c r="A671" s="802" t="s">
        <v>20</v>
      </c>
      <c r="B671" s="798" t="str">
        <f>IF(A671="","",IFERROR(VLOOKUP(A671,Kategorie!C:N,MATCH('General price list'!$W$17,Kategorie!$C$2:$N$2,0),FALSE),"× Chybí překlad ×"))</f>
        <v/>
      </c>
      <c r="C671" s="798" t="str">
        <f t="shared" si="10"/>
        <v/>
      </c>
    </row>
    <row r="672" spans="1:3">
      <c r="A672" s="796" t="s">
        <v>20</v>
      </c>
      <c r="B672" s="798" t="str">
        <f>IF(A672="","",IFERROR(VLOOKUP(A672,Kategorie!C:N,MATCH('General price list'!$W$17,Kategorie!$C$2:$N$2,0),FALSE),"× Chybí překlad ×"))</f>
        <v/>
      </c>
      <c r="C672" s="798" t="str">
        <f t="shared" si="10"/>
        <v/>
      </c>
    </row>
    <row r="673" spans="1:3">
      <c r="A673" s="796" t="s">
        <v>20</v>
      </c>
      <c r="B673" s="798" t="str">
        <f>IF(A673="","",IFERROR(VLOOKUP(A673,Kategorie!C:N,MATCH('General price list'!$W$17,Kategorie!$C$2:$N$2,0),FALSE),"× Chybí překlad ×"))</f>
        <v/>
      </c>
      <c r="C673" s="798" t="str">
        <f t="shared" si="10"/>
        <v/>
      </c>
    </row>
    <row r="674" spans="1:3">
      <c r="A674" s="796" t="s">
        <v>20</v>
      </c>
      <c r="B674" s="798" t="str">
        <f>IF(A674="","",IFERROR(VLOOKUP(A674,Kategorie!C:N,MATCH('General price list'!$W$17,Kategorie!$C$2:$N$2,0),FALSE),"× Chybí překlad ×"))</f>
        <v/>
      </c>
      <c r="C674" s="798" t="str">
        <f t="shared" si="10"/>
        <v/>
      </c>
    </row>
    <row r="675" spans="1:3">
      <c r="A675" s="796" t="s">
        <v>20</v>
      </c>
      <c r="B675" s="798" t="str">
        <f>IF(A675="","",IFERROR(VLOOKUP(A675,Kategorie!C:N,MATCH('General price list'!$W$17,Kategorie!$C$2:$N$2,0),FALSE),"× Chybí překlad ×"))</f>
        <v/>
      </c>
      <c r="C675" s="798" t="str">
        <f t="shared" si="10"/>
        <v/>
      </c>
    </row>
    <row r="676" spans="1:3">
      <c r="A676" s="802" t="s">
        <v>20</v>
      </c>
      <c r="B676" s="798" t="str">
        <f>IF(A676="","",IFERROR(VLOOKUP(A676,Kategorie!C:N,MATCH('General price list'!$W$17,Kategorie!$C$2:$N$2,0),FALSE),"× Chybí překlad ×"))</f>
        <v/>
      </c>
      <c r="C676" s="798" t="str">
        <f t="shared" si="10"/>
        <v/>
      </c>
    </row>
    <row r="677" spans="1:3">
      <c r="A677" s="796" t="s">
        <v>20</v>
      </c>
      <c r="B677" s="798" t="str">
        <f>IF(A677="","",IFERROR(VLOOKUP(A677,Kategorie!C:N,MATCH('General price list'!$W$17,Kategorie!$C$2:$N$2,0),FALSE),"× Chybí překlad ×"))</f>
        <v/>
      </c>
      <c r="C677" s="798" t="str">
        <f t="shared" si="10"/>
        <v/>
      </c>
    </row>
    <row r="678" spans="1:3">
      <c r="A678" s="796" t="s">
        <v>20</v>
      </c>
      <c r="B678" s="798" t="str">
        <f>IF(A678="","",IFERROR(VLOOKUP(A678,Kategorie!C:N,MATCH('General price list'!$W$17,Kategorie!$C$2:$N$2,0),FALSE),"× Chybí překlad ×"))</f>
        <v/>
      </c>
      <c r="C678" s="798" t="str">
        <f t="shared" si="10"/>
        <v/>
      </c>
    </row>
    <row r="679" spans="1:3">
      <c r="A679" s="796" t="s">
        <v>13140</v>
      </c>
      <c r="B679" s="798" t="str">
        <f>IF(A679="","",IFERROR(VLOOKUP(A679,Kategorie!C:N,MATCH('General price list'!$W$17,Kategorie!$C$2:$N$2,0),FALSE),"× Chybí překlad ×"))</f>
        <v>Dvojitý složený ohňostroj, 30 mm F2 – 1.4G</v>
      </c>
      <c r="C679" s="798" t="str">
        <f t="shared" si="10"/>
        <v xml:space="preserve">           Dvojitý složený ohňostroj, 30 mm F2 – 1.4G</v>
      </c>
    </row>
    <row r="680" spans="1:3">
      <c r="A680" s="802" t="s">
        <v>20</v>
      </c>
      <c r="B680" s="798" t="str">
        <f>IF(A680="","",IFERROR(VLOOKUP(A680,Kategorie!C:N,MATCH('General price list'!$W$17,Kategorie!$C$2:$N$2,0),FALSE),"× Chybí překlad ×"))</f>
        <v/>
      </c>
      <c r="C680" s="798" t="str">
        <f t="shared" si="10"/>
        <v/>
      </c>
    </row>
    <row r="681" spans="1:3">
      <c r="A681" s="796" t="s">
        <v>20</v>
      </c>
      <c r="B681" s="798" t="str">
        <f>IF(A681="","",IFERROR(VLOOKUP(A681,Kategorie!C:N,MATCH('General price list'!$W$17,Kategorie!$C$2:$N$2,0),FALSE),"× Chybí překlad ×"))</f>
        <v/>
      </c>
      <c r="C681" s="798" t="str">
        <f t="shared" si="10"/>
        <v/>
      </c>
    </row>
    <row r="682" spans="1:3">
      <c r="A682" s="796" t="s">
        <v>13141</v>
      </c>
      <c r="B682" s="798" t="str">
        <f>IF(A682="","",IFERROR(VLOOKUP(A682,Kategorie!C:N,MATCH('General price list'!$W$17,Kategorie!$C$2:$N$2,0),FALSE),"× Chybí překlad ×"))</f>
        <v>Složený ohňostroj 30 mm – F3 – 1.3G</v>
      </c>
      <c r="C682" s="798" t="str">
        <f t="shared" si="10"/>
        <v xml:space="preserve">           Složený ohňostroj 30 mm – F3 – 1.3G</v>
      </c>
    </row>
    <row r="683" spans="1:3">
      <c r="A683" s="796" t="s">
        <v>10511</v>
      </c>
      <c r="B683" s="798" t="str">
        <f>IF(A683="","",IFERROR(VLOOKUP(A683,Kategorie!C:N,MATCH('General price list'!$W$17,Kategorie!$C$2:$N$2,0),FALSE),"× Chybí překlad ×"))</f>
        <v>× Chybí překlad ×</v>
      </c>
      <c r="C683" s="798" t="str">
        <f t="shared" si="10"/>
        <v>×</v>
      </c>
    </row>
    <row r="684" spans="1:3">
      <c r="A684" s="796" t="s">
        <v>20</v>
      </c>
      <c r="B684" s="798" t="str">
        <f>IF(A684="","",IFERROR(VLOOKUP(A684,Kategorie!C:N,MATCH('General price list'!$W$17,Kategorie!$C$2:$N$2,0),FALSE),"× Chybí překlad ×"))</f>
        <v/>
      </c>
      <c r="C684" s="798" t="str">
        <f t="shared" si="10"/>
        <v/>
      </c>
    </row>
    <row r="685" spans="1:3">
      <c r="A685" s="796" t="s">
        <v>10511</v>
      </c>
      <c r="B685" s="798" t="str">
        <f>IF(A685="","",IFERROR(VLOOKUP(A685,Kategorie!C:N,MATCH('General price list'!$W$17,Kategorie!$C$2:$N$2,0),FALSE),"× Chybí překlad ×"))</f>
        <v>× Chybí překlad ×</v>
      </c>
      <c r="C685" s="798" t="str">
        <f t="shared" si="10"/>
        <v>×</v>
      </c>
    </row>
    <row r="686" spans="1:3">
      <c r="A686" s="796" t="s">
        <v>20</v>
      </c>
      <c r="B686" s="798" t="str">
        <f>IF(A686="","",IFERROR(VLOOKUP(A686,Kategorie!C:N,MATCH('General price list'!$W$17,Kategorie!$C$2:$N$2,0),FALSE),"× Chybí překlad ×"))</f>
        <v/>
      </c>
      <c r="C686" s="798" t="str">
        <f t="shared" si="10"/>
        <v/>
      </c>
    </row>
    <row r="687" spans="1:3">
      <c r="A687" s="802" t="s">
        <v>20</v>
      </c>
      <c r="B687" s="798" t="str">
        <f>IF(A687="","",IFERROR(VLOOKUP(A687,Kategorie!C:N,MATCH('General price list'!$W$17,Kategorie!$C$2:$N$2,0),FALSE),"× Chybí překlad ×"))</f>
        <v/>
      </c>
      <c r="C687" s="798" t="str">
        <f t="shared" si="10"/>
        <v/>
      </c>
    </row>
    <row r="688" spans="1:3">
      <c r="A688" s="796" t="s">
        <v>10511</v>
      </c>
      <c r="B688" s="798" t="str">
        <f>IF(A688="","",IFERROR(VLOOKUP(A688,Kategorie!C:N,MATCH('General price list'!$W$17,Kategorie!$C$2:$N$2,0),FALSE),"× Chybí překlad ×"))</f>
        <v>× Chybí překlad ×</v>
      </c>
      <c r="C688" s="798" t="str">
        <f t="shared" si="10"/>
        <v>×</v>
      </c>
    </row>
    <row r="689" spans="1:3">
      <c r="A689" s="796" t="s">
        <v>20</v>
      </c>
      <c r="B689" s="798" t="str">
        <f>IF(A689="","",IFERROR(VLOOKUP(A689,Kategorie!C:N,MATCH('General price list'!$W$17,Kategorie!$C$2:$N$2,0),FALSE),"× Chybí překlad ×"))</f>
        <v/>
      </c>
      <c r="C689" s="798" t="str">
        <f t="shared" si="10"/>
        <v/>
      </c>
    </row>
    <row r="690" spans="1:3">
      <c r="A690" s="796" t="s">
        <v>20</v>
      </c>
      <c r="B690" s="798" t="str">
        <f>IF(A690="","",IFERROR(VLOOKUP(A690,Kategorie!C:N,MATCH('General price list'!$W$17,Kategorie!$C$2:$N$2,0),FALSE),"× Chybí překlad ×"))</f>
        <v/>
      </c>
      <c r="C690" s="798" t="str">
        <f t="shared" si="10"/>
        <v/>
      </c>
    </row>
    <row r="691" spans="1:3">
      <c r="A691" s="796" t="s">
        <v>20</v>
      </c>
      <c r="B691" s="798" t="str">
        <f>IF(A691="","",IFERROR(VLOOKUP(A691,Kategorie!C:N,MATCH('General price list'!$W$17,Kategorie!$C$2:$N$2,0),FALSE),"× Chybí překlad ×"))</f>
        <v/>
      </c>
      <c r="C691" s="798" t="str">
        <f t="shared" si="10"/>
        <v/>
      </c>
    </row>
    <row r="692" spans="1:3">
      <c r="A692" s="796" t="s">
        <v>20</v>
      </c>
      <c r="B692" s="798" t="str">
        <f>IF(A692="","",IFERROR(VLOOKUP(A692,Kategorie!C:N,MATCH('General price list'!$W$17,Kategorie!$C$2:$N$2,0),FALSE),"× Chybí překlad ×"))</f>
        <v/>
      </c>
      <c r="C692" s="798" t="str">
        <f t="shared" si="10"/>
        <v/>
      </c>
    </row>
    <row r="693" spans="1:3">
      <c r="A693" s="796" t="s">
        <v>20</v>
      </c>
      <c r="B693" s="798" t="str">
        <f>IF(A693="","",IFERROR(VLOOKUP(A693,Kategorie!C:N,MATCH('General price list'!$W$17,Kategorie!$C$2:$N$2,0),FALSE),"× Chybí překlad ×"))</f>
        <v/>
      </c>
      <c r="C693" s="798" t="str">
        <f t="shared" si="10"/>
        <v/>
      </c>
    </row>
    <row r="694" spans="1:3">
      <c r="A694" s="796" t="s">
        <v>20</v>
      </c>
      <c r="B694" s="798" t="str">
        <f>IF(A694="","",IFERROR(VLOOKUP(A694,Kategorie!C:N,MATCH('General price list'!$W$17,Kategorie!$C$2:$N$2,0),FALSE),"× Chybí překlad ×"))</f>
        <v/>
      </c>
      <c r="C694" s="798" t="str">
        <f t="shared" si="10"/>
        <v/>
      </c>
    </row>
    <row r="695" spans="1:3">
      <c r="A695" s="802" t="s">
        <v>10511</v>
      </c>
      <c r="B695" s="798" t="str">
        <f>IF(A695="","",IFERROR(VLOOKUP(A695,Kategorie!C:N,MATCH('General price list'!$W$17,Kategorie!$C$2:$N$2,0),FALSE),"× Chybí překlad ×"))</f>
        <v>× Chybí překlad ×</v>
      </c>
      <c r="C695" s="798" t="str">
        <f t="shared" si="10"/>
        <v>×</v>
      </c>
    </row>
    <row r="696" spans="1:3">
      <c r="A696" s="796" t="s">
        <v>20</v>
      </c>
      <c r="B696" s="798" t="str">
        <f>IF(A696="","",IFERROR(VLOOKUP(A696,Kategorie!C:N,MATCH('General price list'!$W$17,Kategorie!$C$2:$N$2,0),FALSE),"× Chybí překlad ×"))</f>
        <v/>
      </c>
      <c r="C696" s="798" t="str">
        <f t="shared" si="10"/>
        <v/>
      </c>
    </row>
    <row r="697" spans="1:3">
      <c r="A697" s="796" t="s">
        <v>20</v>
      </c>
      <c r="B697" s="798" t="str">
        <f>IF(A697="","",IFERROR(VLOOKUP(A697,Kategorie!C:N,MATCH('General price list'!$W$17,Kategorie!$C$2:$N$2,0),FALSE),"× Chybí překlad ×"))</f>
        <v/>
      </c>
      <c r="C697" s="798" t="str">
        <f t="shared" si="10"/>
        <v/>
      </c>
    </row>
    <row r="698" spans="1:3">
      <c r="A698" s="796" t="s">
        <v>20</v>
      </c>
      <c r="B698" s="798" t="str">
        <f>IF(A698="","",IFERROR(VLOOKUP(A698,Kategorie!C:N,MATCH('General price list'!$W$17,Kategorie!$C$2:$N$2,0),FALSE),"× Chybí překlad ×"))</f>
        <v/>
      </c>
      <c r="C698" s="798" t="str">
        <f t="shared" si="10"/>
        <v/>
      </c>
    </row>
    <row r="699" spans="1:3">
      <c r="A699" s="796" t="s">
        <v>15044</v>
      </c>
      <c r="B699" s="798" t="str">
        <f>IF(A699="","",IFERROR(VLOOKUP(A699,Kategorie!C:N,MATCH('General price list'!$W$17,Kategorie!$C$2:$N$2,0),FALSE),"× Chybí překlad ×"))</f>
        <v>Baterie min 16 ran, 50 mm moždíř – 1.4G</v>
      </c>
      <c r="C699" s="798" t="str">
        <f t="shared" si="10"/>
        <v xml:space="preserve">           Baterie min 16 ran, 50 mm moždíř – 1.4G</v>
      </c>
    </row>
    <row r="700" spans="1:3">
      <c r="A700" s="802" t="s">
        <v>20</v>
      </c>
      <c r="B700" s="798" t="str">
        <f>IF(A700="","",IFERROR(VLOOKUP(A700,Kategorie!C:N,MATCH('General price list'!$W$17,Kategorie!$C$2:$N$2,0),FALSE),"× Chybí překlad ×"))</f>
        <v/>
      </c>
      <c r="C700" s="798" t="str">
        <f t="shared" si="10"/>
        <v/>
      </c>
    </row>
    <row r="701" spans="1:3">
      <c r="A701" s="796" t="s">
        <v>20</v>
      </c>
      <c r="B701" s="798" t="str">
        <f>IF(A701="","",IFERROR(VLOOKUP(A701,Kategorie!C:N,MATCH('General price list'!$W$17,Kategorie!$C$2:$N$2,0),FALSE),"× Chybí překlad ×"))</f>
        <v/>
      </c>
      <c r="C701" s="798" t="str">
        <f t="shared" si="10"/>
        <v/>
      </c>
    </row>
    <row r="702" spans="1:3">
      <c r="A702" s="796" t="s">
        <v>13142</v>
      </c>
      <c r="B702" s="798" t="str">
        <f>IF(A702="","",IFERROR(VLOOKUP(A702,Kategorie!C:N,MATCH('General price list'!$W$17,Kategorie!$C$2:$N$2,0),FALSE),"× Chybí překlad ×"))</f>
        <v>Baterie 16 ran, 50 mm moždíř – 1.3G</v>
      </c>
      <c r="C702" s="798" t="str">
        <f t="shared" si="10"/>
        <v xml:space="preserve">           Baterie 16 ran, 50 mm moždíř – 1.3G</v>
      </c>
    </row>
    <row r="703" spans="1:3">
      <c r="A703" s="796" t="s">
        <v>20</v>
      </c>
      <c r="B703" s="798" t="str">
        <f>IF(A703="","",IFERROR(VLOOKUP(A703,Kategorie!C:N,MATCH('General price list'!$W$17,Kategorie!$C$2:$N$2,0),FALSE),"× Chybí překlad ×"))</f>
        <v/>
      </c>
      <c r="C703" s="798" t="str">
        <f t="shared" si="10"/>
        <v/>
      </c>
    </row>
    <row r="704" spans="1:3">
      <c r="A704" s="796" t="s">
        <v>20</v>
      </c>
      <c r="B704" s="798" t="str">
        <f>IF(A704="","",IFERROR(VLOOKUP(A704,Kategorie!C:N,MATCH('General price list'!$W$17,Kategorie!$C$2:$N$2,0),FALSE),"× Chybí překlad ×"))</f>
        <v/>
      </c>
      <c r="C704" s="798" t="str">
        <f t="shared" si="10"/>
        <v/>
      </c>
    </row>
    <row r="705" spans="1:3">
      <c r="A705" s="802" t="s">
        <v>13143</v>
      </c>
      <c r="B705" s="798" t="str">
        <f>IF(A705="","",IFERROR(VLOOKUP(A705,Kategorie!C:N,MATCH('General price list'!$W$17,Kategorie!$C$2:$N$2,0),FALSE),"× Chybí překlad ×"))</f>
        <v>Baterie 25 ran, 45 mm moždíř – 1.3G</v>
      </c>
      <c r="C705" s="798" t="str">
        <f t="shared" si="10"/>
        <v xml:space="preserve">           Baterie 25 ran, 45 mm moždíř – 1.3G</v>
      </c>
    </row>
    <row r="706" spans="1:3">
      <c r="A706" s="796" t="s">
        <v>20</v>
      </c>
      <c r="B706" s="798" t="str">
        <f>IF(A706="","",IFERROR(VLOOKUP(A706,Kategorie!C:N,MATCH('General price list'!$W$17,Kategorie!$C$2:$N$2,0),FALSE),"× Chybí překlad ×"))</f>
        <v/>
      </c>
      <c r="C706" s="798" t="str">
        <f t="shared" si="10"/>
        <v/>
      </c>
    </row>
    <row r="707" spans="1:3">
      <c r="A707" s="796" t="s">
        <v>20</v>
      </c>
      <c r="B707" s="798" t="str">
        <f>IF(A707="","",IFERROR(VLOOKUP(A707,Kategorie!C:N,MATCH('General price list'!$W$17,Kategorie!$C$2:$N$2,0),FALSE),"× Chybí překlad ×"))</f>
        <v/>
      </c>
      <c r="C707" s="798" t="str">
        <f t="shared" si="10"/>
        <v/>
      </c>
    </row>
    <row r="708" spans="1:3">
      <c r="A708" s="802" t="s">
        <v>13144</v>
      </c>
      <c r="B708" s="798" t="str">
        <f>IF(A708="","",IFERROR(VLOOKUP(A708,Kategorie!C:N,MATCH('General price list'!$W$17,Kategorie!$C$2:$N$2,0),FALSE),"× Chybí překlad ×"))</f>
        <v>Baterie 25 ran, 50 mm moždíř – 1.3G</v>
      </c>
      <c r="C708" s="798" t="str">
        <f t="shared" si="10"/>
        <v xml:space="preserve">           Baterie 25 ran, 50 mm moždíř – 1.3G</v>
      </c>
    </row>
    <row r="709" spans="1:3">
      <c r="A709" s="796" t="s">
        <v>20</v>
      </c>
      <c r="B709" s="798" t="str">
        <f>IF(A709="","",IFERROR(VLOOKUP(A709,Kategorie!C:N,MATCH('General price list'!$W$17,Kategorie!$C$2:$N$2,0),FALSE),"× Chybí překlad ×"))</f>
        <v/>
      </c>
      <c r="C709" s="798" t="str">
        <f t="shared" ref="C709:C772" si="11">IF(A709="","",IF(A709="x","×",$B$1&amp;B709))</f>
        <v/>
      </c>
    </row>
    <row r="710" spans="1:3">
      <c r="A710" s="796" t="s">
        <v>13145</v>
      </c>
      <c r="B710" s="798" t="str">
        <f>IF(A710="","",IFERROR(VLOOKUP(A710,Kategorie!C:N,MATCH('General price list'!$W$17,Kategorie!$C$2:$N$2,0),FALSE),"× Chybí překlad ×"))</f>
        <v>Baterie 35 ran, 45 mm moždíř – 1.3G</v>
      </c>
      <c r="C710" s="798" t="str">
        <f t="shared" si="11"/>
        <v xml:space="preserve">           Baterie 35 ran, 45 mm moždíř – 1.3G</v>
      </c>
    </row>
    <row r="711" spans="1:3">
      <c r="A711" s="796" t="s">
        <v>20</v>
      </c>
      <c r="B711" s="798" t="str">
        <f>IF(A711="","",IFERROR(VLOOKUP(A711,Kategorie!C:N,MATCH('General price list'!$W$17,Kategorie!$C$2:$N$2,0),FALSE),"× Chybí překlad ×"))</f>
        <v/>
      </c>
      <c r="C711" s="798" t="str">
        <f t="shared" si="11"/>
        <v/>
      </c>
    </row>
    <row r="712" spans="1:3">
      <c r="A712" s="796" t="s">
        <v>20</v>
      </c>
      <c r="B712" s="798" t="str">
        <f>IF(A712="","",IFERROR(VLOOKUP(A712,Kategorie!C:N,MATCH('General price list'!$W$17,Kategorie!$C$2:$N$2,0),FALSE),"× Chybí překlad ×"))</f>
        <v/>
      </c>
      <c r="C712" s="798" t="str">
        <f t="shared" si="11"/>
        <v/>
      </c>
    </row>
    <row r="713" spans="1:3">
      <c r="A713" s="796" t="s">
        <v>13146</v>
      </c>
      <c r="B713" s="798" t="str">
        <f>IF(A713="","",IFERROR(VLOOKUP(A713,Kategorie!C:N,MATCH('General price list'!$W$17,Kategorie!$C$2:$N$2,0),FALSE),"× Chybí překlad ×"))</f>
        <v>Baterie 36 ran, 45 mm moždíř – 1.3G</v>
      </c>
      <c r="C713" s="798" t="str">
        <f t="shared" si="11"/>
        <v xml:space="preserve">           Baterie 36 ran, 45 mm moždíř – 1.3G</v>
      </c>
    </row>
    <row r="714" spans="1:3">
      <c r="A714" s="796" t="s">
        <v>20</v>
      </c>
      <c r="B714" s="798" t="str">
        <f>IF(A714="","",IFERROR(VLOOKUP(A714,Kategorie!C:N,MATCH('General price list'!$W$17,Kategorie!$C$2:$N$2,0),FALSE),"× Chybí překlad ×"))</f>
        <v/>
      </c>
      <c r="C714" s="798" t="str">
        <f t="shared" si="11"/>
        <v/>
      </c>
    </row>
    <row r="715" spans="1:3">
      <c r="A715" s="796" t="s">
        <v>20</v>
      </c>
      <c r="B715" s="798" t="str">
        <f>IF(A715="","",IFERROR(VLOOKUP(A715,Kategorie!C:N,MATCH('General price list'!$W$17,Kategorie!$C$2:$N$2,0),FALSE),"× Chybí překlad ×"))</f>
        <v/>
      </c>
      <c r="C715" s="798" t="str">
        <f t="shared" si="11"/>
        <v/>
      </c>
    </row>
    <row r="716" spans="1:3">
      <c r="A716" s="796" t="s">
        <v>13147</v>
      </c>
      <c r="B716" s="798" t="str">
        <f>IF(A716="","",IFERROR(VLOOKUP(A716,Kategorie!C:N,MATCH('General price list'!$W$17,Kategorie!$C$2:$N$2,0),FALSE),"× Chybí překlad ×"))</f>
        <v>Baterie 36 ran, 50 mm moždíř – 1.3G</v>
      </c>
      <c r="C716" s="798" t="str">
        <f t="shared" si="11"/>
        <v xml:space="preserve">           Baterie 36 ran, 50 mm moždíř – 1.3G</v>
      </c>
    </row>
    <row r="717" spans="1:3">
      <c r="A717" s="796" t="s">
        <v>20</v>
      </c>
      <c r="B717" s="798" t="str">
        <f>IF(A717="","",IFERROR(VLOOKUP(A717,Kategorie!C:N,MATCH('General price list'!$W$17,Kategorie!$C$2:$N$2,0),FALSE),"× Chybí překlad ×"))</f>
        <v/>
      </c>
      <c r="C717" s="798" t="str">
        <f t="shared" si="11"/>
        <v/>
      </c>
    </row>
    <row r="718" spans="1:3">
      <c r="A718" s="796" t="s">
        <v>13148</v>
      </c>
      <c r="B718" s="798" t="str">
        <f>IF(A718="","",IFERROR(VLOOKUP(A718,Kategorie!C:N,MATCH('General price list'!$W$17,Kategorie!$C$2:$N$2,0),FALSE),"× Chybí překlad ×"))</f>
        <v>Složený ohňostroj 45 + 50 mm – 1.3G</v>
      </c>
      <c r="C718" s="798" t="str">
        <f t="shared" si="11"/>
        <v xml:space="preserve">           Složený ohňostroj 45 + 50 mm – 1.3G</v>
      </c>
    </row>
    <row r="719" spans="1:3">
      <c r="A719" s="796" t="s">
        <v>20</v>
      </c>
      <c r="B719" s="798" t="str">
        <f>IF(A719="","",IFERROR(VLOOKUP(A719,Kategorie!C:N,MATCH('General price list'!$W$17,Kategorie!$C$2:$N$2,0),FALSE),"× Chybí překlad ×"))</f>
        <v/>
      </c>
      <c r="C719" s="798" t="str">
        <f t="shared" si="11"/>
        <v/>
      </c>
    </row>
    <row r="720" spans="1:3">
      <c r="A720" s="796" t="s">
        <v>20</v>
      </c>
      <c r="B720" s="798" t="str">
        <f>IF(A720="","",IFERROR(VLOOKUP(A720,Kategorie!C:N,MATCH('General price list'!$W$17,Kategorie!$C$2:$N$2,0),FALSE),"× Chybí překlad ×"))</f>
        <v/>
      </c>
      <c r="C720" s="798" t="str">
        <f t="shared" si="11"/>
        <v/>
      </c>
    </row>
    <row r="721" spans="1:3">
      <c r="A721" s="796" t="s">
        <v>20</v>
      </c>
      <c r="B721" s="798" t="str">
        <f>IF(A721="","",IFERROR(VLOOKUP(A721,Kategorie!C:N,MATCH('General price list'!$W$17,Kategorie!$C$2:$N$2,0),FALSE),"× Chybí překlad ×"))</f>
        <v/>
      </c>
      <c r="C721" s="798" t="str">
        <f t="shared" si="11"/>
        <v/>
      </c>
    </row>
    <row r="722" spans="1:3">
      <c r="A722" s="796" t="s">
        <v>20</v>
      </c>
      <c r="B722" s="798" t="str">
        <f>IF(A722="","",IFERROR(VLOOKUP(A722,Kategorie!C:N,MATCH('General price list'!$W$17,Kategorie!$C$2:$N$2,0),FALSE),"× Chybí překlad ×"))</f>
        <v/>
      </c>
      <c r="C722" s="798" t="str">
        <f t="shared" si="11"/>
        <v/>
      </c>
    </row>
    <row r="723" spans="1:3">
      <c r="A723" s="796" t="s">
        <v>13149</v>
      </c>
      <c r="B723" s="798" t="str">
        <f>IF(A723="","",IFERROR(VLOOKUP(A723,Kategorie!C:N,MATCH('General price list'!$W$17,Kategorie!$C$2:$N$2,0),FALSE),"× Chybí překlad ×"))</f>
        <v>Baterie min 250 ran, 50 mm moždíř – 1.3G</v>
      </c>
      <c r="C723" s="798" t="str">
        <f t="shared" si="11"/>
        <v xml:space="preserve">           Baterie min 250 ran, 50 mm moždíř – 1.3G</v>
      </c>
    </row>
    <row r="724" spans="1:3">
      <c r="A724" s="796" t="s">
        <v>20</v>
      </c>
      <c r="B724" s="798" t="str">
        <f>IF(A724="","",IFERROR(VLOOKUP(A724,Kategorie!C:N,MATCH('General price list'!$W$17,Kategorie!$C$2:$N$2,0),FALSE),"× Chybí překlad ×"))</f>
        <v/>
      </c>
      <c r="C724" s="798" t="str">
        <f t="shared" si="11"/>
        <v/>
      </c>
    </row>
    <row r="725" spans="1:3">
      <c r="A725" s="796" t="s">
        <v>13150</v>
      </c>
      <c r="B725" s="798" t="str">
        <f>IF(A725="","",IFERROR(VLOOKUP(A725,Kategorie!C:N,MATCH('General price list'!$W$17,Kategorie!$C$2:$N$2,0),FALSE),"× Chybí překlad ×"))</f>
        <v>Baterie 24 ran, 63 mm moždíř – 1.3G</v>
      </c>
      <c r="C725" s="798" t="str">
        <f t="shared" si="11"/>
        <v xml:space="preserve">           Baterie 24 ran, 63 mm moždíř – 1.3G</v>
      </c>
    </row>
    <row r="726" spans="1:3">
      <c r="A726" s="796" t="s">
        <v>20</v>
      </c>
      <c r="B726" s="798" t="str">
        <f>IF(A726="","",IFERROR(VLOOKUP(A726,Kategorie!C:N,MATCH('General price list'!$W$17,Kategorie!$C$2:$N$2,0),FALSE),"× Chybí překlad ×"))</f>
        <v/>
      </c>
      <c r="C726" s="798" t="str">
        <f t="shared" si="11"/>
        <v/>
      </c>
    </row>
    <row r="727" spans="1:3">
      <c r="A727" s="796" t="s">
        <v>13151</v>
      </c>
      <c r="B727" s="798" t="str">
        <f>IF(A727="","",IFERROR(VLOOKUP(A727,Kategorie!C:N,MATCH('General price list'!$W$17,Kategorie!$C$2:$N$2,0),FALSE),"× Chybí překlad ×"))</f>
        <v>Baterie 25 ran, 75 mm moždíř – 1.3G</v>
      </c>
      <c r="C727" s="798" t="str">
        <f t="shared" si="11"/>
        <v xml:space="preserve">           Baterie 25 ran, 75 mm moždíř – 1.3G</v>
      </c>
    </row>
    <row r="728" spans="1:3">
      <c r="A728" s="802" t="s">
        <v>20</v>
      </c>
      <c r="B728" s="798" t="str">
        <f>IF(A728="","",IFERROR(VLOOKUP(A728,Kategorie!C:N,MATCH('General price list'!$W$17,Kategorie!$C$2:$N$2,0),FALSE),"× Chybí překlad ×"))</f>
        <v/>
      </c>
      <c r="C728" s="798" t="str">
        <f t="shared" si="11"/>
        <v/>
      </c>
    </row>
    <row r="729" spans="1:3">
      <c r="A729" s="796" t="s">
        <v>13152</v>
      </c>
      <c r="B729" s="798" t="str">
        <f>IF(A729="","",IFERROR(VLOOKUP(A729,Kategorie!C:N,MATCH('General price list'!$W$17,Kategorie!$C$2:$N$2,0),FALSE),"× Chybí překlad ×"))</f>
        <v>Multikaliberní kompakty do 30 mm – Kat. F2</v>
      </c>
      <c r="C729" s="798" t="str">
        <f t="shared" si="11"/>
        <v xml:space="preserve">           Multikaliberní kompakty do 30 mm – Kat. F2</v>
      </c>
    </row>
    <row r="730" spans="1:3">
      <c r="A730" s="796" t="s">
        <v>13153</v>
      </c>
      <c r="B730" s="798" t="str">
        <f>IF(A730="","",IFERROR(VLOOKUP(A730,Kategorie!C:N,MATCH('General price list'!$W$17,Kategorie!$C$2:$N$2,0),FALSE),"× Chybí překlad ×"))</f>
        <v>Baterie 39 ran, 20 + 25 + 30 mm šikmý + V + W moždíř – 1.3G</v>
      </c>
      <c r="C730" s="798" t="str">
        <f t="shared" si="11"/>
        <v xml:space="preserve">           Baterie 39 ran, 20 + 25 + 30 mm šikmý + V + W moždíř – 1.3G</v>
      </c>
    </row>
    <row r="731" spans="1:3">
      <c r="A731" s="796" t="s">
        <v>20</v>
      </c>
      <c r="B731" s="798" t="str">
        <f>IF(A731="","",IFERROR(VLOOKUP(A731,Kategorie!C:N,MATCH('General price list'!$W$17,Kategorie!$C$2:$N$2,0),FALSE),"× Chybí překlad ×"))</f>
        <v/>
      </c>
      <c r="C731" s="798" t="str">
        <f t="shared" si="11"/>
        <v/>
      </c>
    </row>
    <row r="732" spans="1:3">
      <c r="A732" s="796" t="s">
        <v>13154</v>
      </c>
      <c r="B732" s="798" t="str">
        <f>IF(A732="","",IFERROR(VLOOKUP(A732,Kategorie!C:N,MATCH('General price list'!$W$17,Kategorie!$C$2:$N$2,0),FALSE),"× Chybí překlad ×"))</f>
        <v>Baterie 46 ran, 20 mm (26 ran), 25 mm (20 ran)</v>
      </c>
      <c r="C732" s="798" t="str">
        <f t="shared" si="11"/>
        <v xml:space="preserve">           Baterie 46 ran, 20 mm (26 ran), 25 mm (20 ran)</v>
      </c>
    </row>
    <row r="733" spans="1:3">
      <c r="A733" s="796" t="s">
        <v>20</v>
      </c>
      <c r="B733" s="798" t="str">
        <f>IF(A733="","",IFERROR(VLOOKUP(A733,Kategorie!C:N,MATCH('General price list'!$W$17,Kategorie!$C$2:$N$2,0),FALSE),"× Chybí překlad ×"))</f>
        <v/>
      </c>
      <c r="C733" s="798" t="str">
        <f t="shared" si="11"/>
        <v/>
      </c>
    </row>
    <row r="734" spans="1:3">
      <c r="A734" s="796" t="s">
        <v>13155</v>
      </c>
      <c r="B734" s="798" t="str">
        <f>IF(A734="","",IFERROR(VLOOKUP(A734,Kategorie!C:N,MATCH('General price list'!$W$17,Kategorie!$C$2:$N$2,0),FALSE),"× Chybí překlad ×"))</f>
        <v>Baterie 48 ran, 25 mm (40 ran), 30 mm (4 ran), 50 mm (4 ran)</v>
      </c>
      <c r="C734" s="798" t="str">
        <f t="shared" si="11"/>
        <v xml:space="preserve">           Baterie 48 ran, 25 mm (40 ran), 30 mm (4 ran), 50 mm (4 ran)</v>
      </c>
    </row>
    <row r="735" spans="1:3">
      <c r="A735" s="796" t="s">
        <v>20</v>
      </c>
      <c r="B735" s="798" t="str">
        <f>IF(A735="","",IFERROR(VLOOKUP(A735,Kategorie!C:N,MATCH('General price list'!$W$17,Kategorie!$C$2:$N$2,0),FALSE),"× Chybí překlad ×"))</f>
        <v/>
      </c>
      <c r="C735" s="798" t="str">
        <f t="shared" si="11"/>
        <v/>
      </c>
    </row>
    <row r="736" spans="1:3">
      <c r="A736" s="802" t="s">
        <v>13156</v>
      </c>
      <c r="B736" s="798" t="str">
        <f>IF(A736="","",IFERROR(VLOOKUP(A736,Kategorie!C:N,MATCH('General price list'!$W$17,Kategorie!$C$2:$N$2,0),FALSE),"× Chybí překlad ×"))</f>
        <v>Baterie 50 ran, 20 + 25 + 30 mm rovný + šikmý + S moždíř – 1.3G</v>
      </c>
      <c r="C736" s="798" t="str">
        <f t="shared" si="11"/>
        <v xml:space="preserve">           Baterie 50 ran, 20 + 25 + 30 mm rovný + šikmý + S moždíř – 1.3G</v>
      </c>
    </row>
    <row r="737" spans="1:3">
      <c r="A737" s="796" t="s">
        <v>20</v>
      </c>
      <c r="B737" s="798" t="str">
        <f>IF(A737="","",IFERROR(VLOOKUP(A737,Kategorie!C:N,MATCH('General price list'!$W$17,Kategorie!$C$2:$N$2,0),FALSE),"× Chybí překlad ×"))</f>
        <v/>
      </c>
      <c r="C737" s="798" t="str">
        <f t="shared" si="11"/>
        <v/>
      </c>
    </row>
    <row r="738" spans="1:3">
      <c r="A738" s="796" t="s">
        <v>20</v>
      </c>
      <c r="B738" s="798" t="str">
        <f>IF(A738="","",IFERROR(VLOOKUP(A738,Kategorie!C:N,MATCH('General price list'!$W$17,Kategorie!$C$2:$N$2,0),FALSE),"× Chybí překlad ×"))</f>
        <v/>
      </c>
      <c r="C738" s="798" t="str">
        <f t="shared" si="11"/>
        <v/>
      </c>
    </row>
    <row r="739" spans="1:3">
      <c r="A739" s="796" t="s">
        <v>13157</v>
      </c>
      <c r="B739" s="798" t="str">
        <f>IF(A739="","",IFERROR(VLOOKUP(A739,Kategorie!C:N,MATCH('General price list'!$W$17,Kategorie!$C$2:$N$2,0),FALSE),"× Chybí překlad ×"))</f>
        <v>Baterie 64 ran, 20 + 25 mm moždíř – 1.3G</v>
      </c>
      <c r="C739" s="798" t="str">
        <f t="shared" si="11"/>
        <v xml:space="preserve">           Baterie 64 ran, 20 + 25 mm moždíř – 1.3G</v>
      </c>
    </row>
    <row r="740" spans="1:3">
      <c r="A740" s="796" t="s">
        <v>20</v>
      </c>
      <c r="B740" s="798" t="str">
        <f>IF(A740="","",IFERROR(VLOOKUP(A740,Kategorie!C:N,MATCH('General price list'!$W$17,Kategorie!$C$2:$N$2,0),FALSE),"× Chybí překlad ×"))</f>
        <v/>
      </c>
      <c r="C740" s="798" t="str">
        <f t="shared" si="11"/>
        <v/>
      </c>
    </row>
    <row r="741" spans="1:3">
      <c r="A741" s="802" t="s">
        <v>20</v>
      </c>
      <c r="B741" s="798" t="str">
        <f>IF(A741="","",IFERROR(VLOOKUP(A741,Kategorie!C:N,MATCH('General price list'!$W$17,Kategorie!$C$2:$N$2,0),FALSE),"× Chybí překlad ×"))</f>
        <v/>
      </c>
      <c r="C741" s="798" t="str">
        <f t="shared" si="11"/>
        <v/>
      </c>
    </row>
    <row r="742" spans="1:3">
      <c r="A742" s="796" t="s">
        <v>13158</v>
      </c>
      <c r="B742" s="798" t="str">
        <f>IF(A742="","",IFERROR(VLOOKUP(A742,Kategorie!C:N,MATCH('General price list'!$W$17,Kategorie!$C$2:$N$2,0),FALSE),"× Chybí překlad ×"))</f>
        <v>Baterie 68 ran, 20 + 25 + 30 mm moždíř (všechny směry) – 1.3G</v>
      </c>
      <c r="C742" s="798" t="str">
        <f t="shared" si="11"/>
        <v xml:space="preserve">           Baterie 68 ran, 20 + 25 + 30 mm moždíř (všechny směry) – 1.3G</v>
      </c>
    </row>
    <row r="743" spans="1:3">
      <c r="A743" s="796" t="s">
        <v>10511</v>
      </c>
      <c r="B743" s="798" t="str">
        <f>IF(A743="","",IFERROR(VLOOKUP(A743,Kategorie!C:N,MATCH('General price list'!$W$17,Kategorie!$C$2:$N$2,0),FALSE),"× Chybí překlad ×"))</f>
        <v>× Chybí překlad ×</v>
      </c>
      <c r="C743" s="798" t="str">
        <f t="shared" si="11"/>
        <v>×</v>
      </c>
    </row>
    <row r="744" spans="1:3">
      <c r="A744" s="796" t="s">
        <v>13159</v>
      </c>
      <c r="B744" s="798" t="str">
        <f>IF(A744="","",IFERROR(VLOOKUP(A744,Kategorie!C:N,MATCH('General price list'!$W$17,Kategorie!$C$2:$N$2,0),FALSE),"× Chybí překlad ×"))</f>
        <v>Baterie 68 ran, 20 + 25 + 30 mm moždíř (všechny směry) – 1.4G</v>
      </c>
      <c r="C744" s="798" t="str">
        <f t="shared" si="11"/>
        <v xml:space="preserve">           Baterie 68 ran, 20 + 25 + 30 mm moždíř (všechny směry) – 1.4G</v>
      </c>
    </row>
    <row r="745" spans="1:3">
      <c r="A745" s="796" t="s">
        <v>20</v>
      </c>
      <c r="B745" s="798" t="str">
        <f>IF(A745="","",IFERROR(VLOOKUP(A745,Kategorie!C:N,MATCH('General price list'!$W$17,Kategorie!$C$2:$N$2,0),FALSE),"× Chybí překlad ×"))</f>
        <v/>
      </c>
      <c r="C745" s="798" t="str">
        <f t="shared" si="11"/>
        <v/>
      </c>
    </row>
    <row r="746" spans="1:3">
      <c r="A746" s="796" t="s">
        <v>13160</v>
      </c>
      <c r="B746" s="798" t="str">
        <f>IF(A746="","",IFERROR(VLOOKUP(A746,Kategorie!C:N,MATCH('General price list'!$W$17,Kategorie!$C$2:$N$2,0),FALSE),"× Chybí překlad ×"))</f>
        <v>Baterie 77 ran, 20 mm (48 ran), 25 mm (24 ran), 30 mm (5 ran)</v>
      </c>
      <c r="C746" s="798" t="str">
        <f t="shared" si="11"/>
        <v xml:space="preserve">           Baterie 77 ran, 20 mm (48 ran), 25 mm (24 ran), 30 mm (5 ran)</v>
      </c>
    </row>
    <row r="747" spans="1:3">
      <c r="A747" s="802" t="s">
        <v>20</v>
      </c>
      <c r="B747" s="798" t="str">
        <f>IF(A747="","",IFERROR(VLOOKUP(A747,Kategorie!C:N,MATCH('General price list'!$W$17,Kategorie!$C$2:$N$2,0),FALSE),"× Chybí překlad ×"))</f>
        <v/>
      </c>
      <c r="C747" s="798" t="str">
        <f t="shared" si="11"/>
        <v/>
      </c>
    </row>
    <row r="748" spans="1:3">
      <c r="A748" s="796" t="s">
        <v>13161</v>
      </c>
      <c r="B748" s="798" t="str">
        <f>IF(A748="","",IFERROR(VLOOKUP(A748,Kategorie!C:N,MATCH('General price list'!$W$17,Kategorie!$C$2:$N$2,0),FALSE),"× Chybí překlad ×"))</f>
        <v>Baterie 100 ran, 16 mm (82 ran), 20 mm (18 ran)</v>
      </c>
      <c r="C748" s="798" t="str">
        <f t="shared" si="11"/>
        <v xml:space="preserve">           Baterie 100 ran, 16 mm (82 ran), 20 mm (18 ran)</v>
      </c>
    </row>
    <row r="749" spans="1:3">
      <c r="A749" s="796" t="s">
        <v>20</v>
      </c>
      <c r="B749" s="798" t="str">
        <f>IF(A749="","",IFERROR(VLOOKUP(A749,Kategorie!C:N,MATCH('General price list'!$W$17,Kategorie!$C$2:$N$2,0),FALSE),"× Chybí překlad ×"))</f>
        <v/>
      </c>
      <c r="C749" s="798" t="str">
        <f t="shared" si="11"/>
        <v/>
      </c>
    </row>
    <row r="750" spans="1:3">
      <c r="A750" s="802" t="s">
        <v>13162</v>
      </c>
      <c r="B750" s="798" t="str">
        <f>IF(A750="","",IFERROR(VLOOKUP(A750,Kategorie!C:N,MATCH('General price list'!$W$17,Kategorie!$C$2:$N$2,0),FALSE),"× Chybí překlad ×"))</f>
        <v>Baterie 148 ran, 16 mm (115 ran), 18 mm (26 ran), 20 mm (7 ran)</v>
      </c>
      <c r="C750" s="798" t="str">
        <f t="shared" si="11"/>
        <v xml:space="preserve">           Baterie 148 ran, 16 mm (115 ran), 18 mm (26 ran), 20 mm (7 ran)</v>
      </c>
    </row>
    <row r="751" spans="1:3">
      <c r="A751" s="796" t="s">
        <v>20</v>
      </c>
      <c r="B751" s="798" t="str">
        <f>IF(A751="","",IFERROR(VLOOKUP(A751,Kategorie!C:N,MATCH('General price list'!$W$17,Kategorie!$C$2:$N$2,0),FALSE),"× Chybí překlad ×"))</f>
        <v/>
      </c>
      <c r="C751" s="798" t="str">
        <f t="shared" si="11"/>
        <v/>
      </c>
    </row>
    <row r="752" spans="1:3">
      <c r="A752" s="796" t="s">
        <v>13163</v>
      </c>
      <c r="B752" s="798" t="str">
        <f>IF(A752="","",IFERROR(VLOOKUP(A752,Kategorie!C:N,MATCH('General price list'!$W$17,Kategorie!$C$2:$N$2,0),FALSE),"× Chybí překlad ×"))</f>
        <v>Baterie 165 ran, 16 mm (125 ran), 20 mm (40 ran)</v>
      </c>
      <c r="C752" s="798" t="str">
        <f t="shared" si="11"/>
        <v xml:space="preserve">           Baterie 165 ran, 16 mm (125 ran), 20 mm (40 ran)</v>
      </c>
    </row>
    <row r="753" spans="1:3">
      <c r="A753" s="796" t="s">
        <v>20</v>
      </c>
      <c r="B753" s="798" t="str">
        <f>IF(A753="","",IFERROR(VLOOKUP(A753,Kategorie!C:N,MATCH('General price list'!$W$17,Kategorie!$C$2:$N$2,0),FALSE),"× Chybí překlad ×"))</f>
        <v/>
      </c>
      <c r="C753" s="798" t="str">
        <f t="shared" si="11"/>
        <v/>
      </c>
    </row>
    <row r="754" spans="1:3">
      <c r="A754" s="796" t="s">
        <v>13164</v>
      </c>
      <c r="B754" s="798" t="str">
        <f>IF(A754="","",IFERROR(VLOOKUP(A754,Kategorie!C:N,MATCH('General price list'!$W$17,Kategorie!$C$2:$N$2,0),FALSE),"× Chybí překlad ×"))</f>
        <v>Baterie 170 ran, 16 mm (125 ran), 20 mm (40 ran)</v>
      </c>
      <c r="C754" s="798" t="str">
        <f t="shared" si="11"/>
        <v xml:space="preserve">           Baterie 170 ran, 16 mm (125 ran), 20 mm (40 ran)</v>
      </c>
    </row>
    <row r="755" spans="1:3">
      <c r="A755" s="796" t="s">
        <v>20</v>
      </c>
      <c r="B755" s="798" t="str">
        <f>IF(A755="","",IFERROR(VLOOKUP(A755,Kategorie!C:N,MATCH('General price list'!$W$17,Kategorie!$C$2:$N$2,0),FALSE),"× Chybí překlad ×"))</f>
        <v/>
      </c>
      <c r="C755" s="798" t="str">
        <f t="shared" si="11"/>
        <v/>
      </c>
    </row>
    <row r="756" spans="1:3">
      <c r="A756" s="802" t="s">
        <v>13165</v>
      </c>
      <c r="B756" s="798" t="str">
        <f>IF(A756="","",IFERROR(VLOOKUP(A756,Kategorie!C:N,MATCH('General price list'!$W$17,Kategorie!$C$2:$N$2,0),FALSE),"× Chybí překlad ×"))</f>
        <v>Multikaliberní kompakty do 30 mm – Kat. F3</v>
      </c>
      <c r="C756" s="798" t="str">
        <f t="shared" si="11"/>
        <v xml:space="preserve">           Multikaliberní kompakty do 30 mm – Kat. F3</v>
      </c>
    </row>
    <row r="757" spans="1:3">
      <c r="A757" s="796" t="s">
        <v>13166</v>
      </c>
      <c r="B757" s="798" t="str">
        <f>IF(A757="","",IFERROR(VLOOKUP(A757,Kategorie!C:N,MATCH('General price list'!$W$17,Kategorie!$C$2:$N$2,0),FALSE),"× Chybí překlad ×"))</f>
        <v>Baterie + fontána 40 ran, 20 + 25 + 30 mm moždíř – 1.3G</v>
      </c>
      <c r="C757" s="798" t="str">
        <f t="shared" si="11"/>
        <v xml:space="preserve">           Baterie + fontána 40 ran, 20 + 25 + 30 mm moždíř – 1.3G</v>
      </c>
    </row>
    <row r="758" spans="1:3">
      <c r="A758" s="802" t="s">
        <v>20</v>
      </c>
      <c r="B758" s="798" t="str">
        <f>IF(A758="","",IFERROR(VLOOKUP(A758,Kategorie!C:N,MATCH('General price list'!$W$17,Kategorie!$C$2:$N$2,0),FALSE),"× Chybí překlad ×"))</f>
        <v/>
      </c>
      <c r="C758" s="798" t="str">
        <f t="shared" si="11"/>
        <v/>
      </c>
    </row>
    <row r="759" spans="1:3">
      <c r="A759" s="796" t="s">
        <v>13167</v>
      </c>
      <c r="B759" s="798" t="str">
        <f>IF(A759="","",IFERROR(VLOOKUP(A759,Kategorie!C:N,MATCH('General price list'!$W$17,Kategorie!$C$2:$N$2,0),FALSE),"× Chybí překlad ×"))</f>
        <v>Baterie 100 ran, 20 + 25 + 30 mm rovný + šikmý + S moždíř – 1.3G</v>
      </c>
      <c r="C759" s="798" t="str">
        <f t="shared" si="11"/>
        <v xml:space="preserve">           Baterie 100 ran, 20 + 25 + 30 mm rovný + šikmý + S moždíř – 1.3G</v>
      </c>
    </row>
    <row r="760" spans="1:3">
      <c r="A760" s="796" t="s">
        <v>20</v>
      </c>
      <c r="B760" s="798" t="str">
        <f>IF(A760="","",IFERROR(VLOOKUP(A760,Kategorie!C:N,MATCH('General price list'!$W$17,Kategorie!$C$2:$N$2,0),FALSE),"× Chybí překlad ×"))</f>
        <v/>
      </c>
      <c r="C760" s="798" t="str">
        <f t="shared" si="11"/>
        <v/>
      </c>
    </row>
    <row r="761" spans="1:3">
      <c r="A761" s="796" t="s">
        <v>20</v>
      </c>
      <c r="B761" s="798" t="str">
        <f>IF(A761="","",IFERROR(VLOOKUP(A761,Kategorie!C:N,MATCH('General price list'!$W$17,Kategorie!$C$2:$N$2,0),FALSE),"× Chybí překlad ×"))</f>
        <v/>
      </c>
      <c r="C761" s="798" t="str">
        <f t="shared" si="11"/>
        <v/>
      </c>
    </row>
    <row r="762" spans="1:3">
      <c r="A762" s="802" t="s">
        <v>13168</v>
      </c>
      <c r="B762" s="798" t="str">
        <f>IF(A762="","",IFERROR(VLOOKUP(A762,Kategorie!C:N,MATCH('General price list'!$W$17,Kategorie!$C$2:$N$2,0),FALSE),"× Chybí překlad ×"))</f>
        <v>Baterie 106 ran, 20 + 25 + 30 mm rovný + šikmý + S moždíř – 1.3G</v>
      </c>
      <c r="C762" s="798" t="str">
        <f t="shared" si="11"/>
        <v xml:space="preserve">           Baterie 106 ran, 20 + 25 + 30 mm rovný + šikmý + S moždíř – 1.3G</v>
      </c>
    </row>
    <row r="763" spans="1:3">
      <c r="A763" s="796" t="s">
        <v>20</v>
      </c>
      <c r="B763" s="798" t="str">
        <f>IF(A763="","",IFERROR(VLOOKUP(A763,Kategorie!C:N,MATCH('General price list'!$W$17,Kategorie!$C$2:$N$2,0),FALSE),"× Chybí překlad ×"))</f>
        <v/>
      </c>
      <c r="C763" s="798" t="str">
        <f t="shared" si="11"/>
        <v/>
      </c>
    </row>
    <row r="764" spans="1:3">
      <c r="A764" s="796" t="s">
        <v>20</v>
      </c>
      <c r="B764" s="798" t="str">
        <f>IF(A764="","",IFERROR(VLOOKUP(A764,Kategorie!C:N,MATCH('General price list'!$W$17,Kategorie!$C$2:$N$2,0),FALSE),"× Chybí překlad ×"))</f>
        <v/>
      </c>
      <c r="C764" s="798" t="str">
        <f t="shared" si="11"/>
        <v/>
      </c>
    </row>
    <row r="765" spans="1:3">
      <c r="A765" s="802" t="s">
        <v>13169</v>
      </c>
      <c r="B765" s="798" t="str">
        <f>IF(A765="","",IFERROR(VLOOKUP(A765,Kategorie!C:N,MATCH('General price list'!$W$17,Kategorie!$C$2:$N$2,0),FALSE),"× Chybí překlad ×"))</f>
        <v>Baterie 109 ran, 20 + 25 + 30 mm moždíř – 1.3G</v>
      </c>
      <c r="C765" s="798" t="str">
        <f t="shared" si="11"/>
        <v xml:space="preserve">           Baterie 109 ran, 20 + 25 + 30 mm moždíř – 1.3G</v>
      </c>
    </row>
    <row r="766" spans="1:3">
      <c r="A766" s="796" t="s">
        <v>20</v>
      </c>
      <c r="B766" s="798" t="str">
        <f>IF(A766="","",IFERROR(VLOOKUP(A766,Kategorie!C:N,MATCH('General price list'!$W$17,Kategorie!$C$2:$N$2,0),FALSE),"× Chybí překlad ×"))</f>
        <v/>
      </c>
      <c r="C766" s="798" t="str">
        <f t="shared" si="11"/>
        <v/>
      </c>
    </row>
    <row r="767" spans="1:3">
      <c r="A767" s="796" t="s">
        <v>20</v>
      </c>
      <c r="B767" s="798" t="str">
        <f>IF(A767="","",IFERROR(VLOOKUP(A767,Kategorie!C:N,MATCH('General price list'!$W$17,Kategorie!$C$2:$N$2,0),FALSE),"× Chybí překlad ×"))</f>
        <v/>
      </c>
      <c r="C767" s="798" t="str">
        <f t="shared" si="11"/>
        <v/>
      </c>
    </row>
    <row r="768" spans="1:3">
      <c r="A768" s="796" t="s">
        <v>13170</v>
      </c>
      <c r="B768" s="798" t="str">
        <f>IF(A768="","",IFERROR(VLOOKUP(A768,Kategorie!C:N,MATCH('General price list'!$W$17,Kategorie!$C$2:$N$2,0),FALSE),"× Chybí překlad ×"))</f>
        <v>Složený ohňostroj multikaliber F2 – 1.4G – maximum 1000 g NEC</v>
      </c>
      <c r="C768" s="798" t="str">
        <f t="shared" si="11"/>
        <v xml:space="preserve">           Složený ohňostroj multikaliber F2 – 1.4G – maximum 1000 g NEC</v>
      </c>
    </row>
    <row r="769" spans="1:3">
      <c r="A769" s="802" t="s">
        <v>10511</v>
      </c>
      <c r="B769" s="798" t="str">
        <f>IF(A769="","",IFERROR(VLOOKUP(A769,Kategorie!C:N,MATCH('General price list'!$W$17,Kategorie!$C$2:$N$2,0),FALSE),"× Chybí překlad ×"))</f>
        <v>× Chybí překlad ×</v>
      </c>
      <c r="C769" s="798" t="str">
        <f t="shared" si="11"/>
        <v>×</v>
      </c>
    </row>
    <row r="770" spans="1:3">
      <c r="A770" s="796" t="s">
        <v>20</v>
      </c>
      <c r="B770" s="798" t="str">
        <f>IF(A770="","",IFERROR(VLOOKUP(A770,Kategorie!C:N,MATCH('General price list'!$W$17,Kategorie!$C$2:$N$2,0),FALSE),"× Chybí překlad ×"))</f>
        <v/>
      </c>
      <c r="C770" s="798" t="str">
        <f t="shared" si="11"/>
        <v/>
      </c>
    </row>
    <row r="771" spans="1:3">
      <c r="A771" s="796" t="s">
        <v>20</v>
      </c>
      <c r="B771" s="798" t="str">
        <f>IF(A771="","",IFERROR(VLOOKUP(A771,Kategorie!C:N,MATCH('General price list'!$W$17,Kategorie!$C$2:$N$2,0),FALSE),"× Chybí překlad ×"))</f>
        <v/>
      </c>
      <c r="C771" s="798" t="str">
        <f t="shared" si="11"/>
        <v/>
      </c>
    </row>
    <row r="772" spans="1:3">
      <c r="A772" s="796" t="s">
        <v>20</v>
      </c>
      <c r="B772" s="798" t="str">
        <f>IF(A772="","",IFERROR(VLOOKUP(A772,Kategorie!C:N,MATCH('General price list'!$W$17,Kategorie!$C$2:$N$2,0),FALSE),"× Chybí překlad ×"))</f>
        <v/>
      </c>
      <c r="C772" s="798" t="str">
        <f t="shared" si="11"/>
        <v/>
      </c>
    </row>
    <row r="773" spans="1:3">
      <c r="A773" s="796" t="s">
        <v>10511</v>
      </c>
      <c r="B773" s="798" t="str">
        <f>IF(A773="","",IFERROR(VLOOKUP(A773,Kategorie!C:N,MATCH('General price list'!$W$17,Kategorie!$C$2:$N$2,0),FALSE),"× Chybí překlad ×"))</f>
        <v>× Chybí překlad ×</v>
      </c>
      <c r="C773" s="798" t="str">
        <f t="shared" ref="C773:C835" si="12">IF(A773="","",IF(A773="x","×",$B$1&amp;B773))</f>
        <v>×</v>
      </c>
    </row>
    <row r="774" spans="1:3">
      <c r="A774" s="796" t="s">
        <v>20</v>
      </c>
      <c r="B774" s="798" t="str">
        <f>IF(A774="","",IFERROR(VLOOKUP(A774,Kategorie!C:N,MATCH('General price list'!$W$17,Kategorie!$C$2:$N$2,0),FALSE),"× Chybí překlad ×"))</f>
        <v/>
      </c>
      <c r="C774" s="798" t="str">
        <f t="shared" si="12"/>
        <v/>
      </c>
    </row>
    <row r="775" spans="1:3">
      <c r="A775" s="796" t="s">
        <v>20</v>
      </c>
      <c r="B775" s="798" t="str">
        <f>IF(A775="","",IFERROR(VLOOKUP(A775,Kategorie!C:N,MATCH('General price list'!$W$17,Kategorie!$C$2:$N$2,0),FALSE),"× Chybí překlad ×"))</f>
        <v/>
      </c>
      <c r="C775" s="798" t="str">
        <f t="shared" si="12"/>
        <v/>
      </c>
    </row>
    <row r="776" spans="1:3">
      <c r="A776" s="796" t="s">
        <v>20</v>
      </c>
      <c r="B776" s="798" t="str">
        <f>IF(A776="","",IFERROR(VLOOKUP(A776,Kategorie!C:N,MATCH('General price list'!$W$17,Kategorie!$C$2:$N$2,0),FALSE),"× Chybí překlad ×"))</f>
        <v/>
      </c>
      <c r="C776" s="798" t="str">
        <f t="shared" si="12"/>
        <v/>
      </c>
    </row>
    <row r="777" spans="1:3">
      <c r="A777" s="796" t="s">
        <v>20</v>
      </c>
      <c r="B777" s="798" t="str">
        <f>IF(A777="","",IFERROR(VLOOKUP(A777,Kategorie!C:N,MATCH('General price list'!$W$17,Kategorie!$C$2:$N$2,0),FALSE),"× Chybí překlad ×"))</f>
        <v/>
      </c>
      <c r="C777" s="798" t="str">
        <f t="shared" si="12"/>
        <v/>
      </c>
    </row>
    <row r="778" spans="1:3">
      <c r="A778" s="796" t="s">
        <v>20</v>
      </c>
      <c r="B778" s="798" t="str">
        <f>IF(A778="","",IFERROR(VLOOKUP(A778,Kategorie!C:N,MATCH('General price list'!$W$17,Kategorie!$C$2:$N$2,0),FALSE),"× Chybí překlad ×"))</f>
        <v/>
      </c>
      <c r="C778" s="798" t="str">
        <f t="shared" si="12"/>
        <v/>
      </c>
    </row>
    <row r="779" spans="1:3">
      <c r="A779" s="796" t="s">
        <v>20</v>
      </c>
      <c r="B779" s="798" t="str">
        <f>IF(A779="","",IFERROR(VLOOKUP(A779,Kategorie!C:N,MATCH('General price list'!$W$17,Kategorie!$C$2:$N$2,0),FALSE),"× Chybí překlad ×"))</f>
        <v/>
      </c>
      <c r="C779" s="798" t="str">
        <f t="shared" si="12"/>
        <v/>
      </c>
    </row>
    <row r="780" spans="1:3">
      <c r="A780" s="796" t="s">
        <v>13171</v>
      </c>
      <c r="B780" s="798" t="str">
        <f>IF(A780="","",IFERROR(VLOOKUP(A780,Kategorie!C:N,MATCH('General price list'!$W$17,Kategorie!$C$2:$N$2,0),FALSE),"× Chybí překlad ×"))</f>
        <v>Složený ohňostroj multikaliber F2 – 1.4G – maximum 2000 g NEC</v>
      </c>
      <c r="C780" s="798" t="str">
        <f t="shared" si="12"/>
        <v xml:space="preserve">           Složený ohňostroj multikaliber F2 – 1.4G – maximum 2000 g NEC</v>
      </c>
    </row>
    <row r="781" spans="1:3">
      <c r="A781" s="802" t="s">
        <v>20</v>
      </c>
      <c r="B781" s="798" t="str">
        <f>IF(A781="","",IFERROR(VLOOKUP(A781,Kategorie!C:N,MATCH('General price list'!$W$17,Kategorie!$C$2:$N$2,0),FALSE),"× Chybí překlad ×"))</f>
        <v/>
      </c>
      <c r="C781" s="798" t="str">
        <f t="shared" si="12"/>
        <v/>
      </c>
    </row>
    <row r="782" spans="1:3">
      <c r="A782" s="796" t="s">
        <v>20</v>
      </c>
      <c r="B782" s="798" t="str">
        <f>IF(A782="","",IFERROR(VLOOKUP(A782,Kategorie!C:N,MATCH('General price list'!$W$17,Kategorie!$C$2:$N$2,0),FALSE),"× Chybí překlad ×"))</f>
        <v/>
      </c>
      <c r="C782" s="798" t="str">
        <f t="shared" si="12"/>
        <v/>
      </c>
    </row>
    <row r="783" spans="1:3">
      <c r="A783" s="802" t="s">
        <v>20</v>
      </c>
      <c r="B783" s="798" t="str">
        <f>IF(A783="","",IFERROR(VLOOKUP(A783,Kategorie!C:N,MATCH('General price list'!$W$17,Kategorie!$C$2:$N$2,0),FALSE),"× Chybí překlad ×"))</f>
        <v/>
      </c>
      <c r="C783" s="798" t="str">
        <f t="shared" si="12"/>
        <v/>
      </c>
    </row>
    <row r="784" spans="1:3">
      <c r="A784" s="796" t="s">
        <v>20</v>
      </c>
      <c r="B784" s="798" t="str">
        <f>IF(A784="","",IFERROR(VLOOKUP(A784,Kategorie!C:N,MATCH('General price list'!$W$17,Kategorie!$C$2:$N$2,0),FALSE),"× Chybí překlad ×"))</f>
        <v/>
      </c>
      <c r="C784" s="798" t="str">
        <f t="shared" si="12"/>
        <v/>
      </c>
    </row>
    <row r="785" spans="1:3">
      <c r="A785" s="796" t="s">
        <v>20</v>
      </c>
      <c r="B785" s="798" t="str">
        <f>IF(A785="","",IFERROR(VLOOKUP(A785,Kategorie!C:N,MATCH('General price list'!$W$17,Kategorie!$C$2:$N$2,0),FALSE),"× Chybí překlad ×"))</f>
        <v/>
      </c>
      <c r="C785" s="798" t="str">
        <f t="shared" si="12"/>
        <v/>
      </c>
    </row>
    <row r="786" spans="1:3">
      <c r="A786" s="796" t="s">
        <v>20</v>
      </c>
      <c r="B786" s="798" t="str">
        <f>IF(A786="","",IFERROR(VLOOKUP(A786,Kategorie!C:N,MATCH('General price list'!$W$17,Kategorie!$C$2:$N$2,0),FALSE),"× Chybí překlad ×"))</f>
        <v/>
      </c>
      <c r="C786" s="798" t="str">
        <f t="shared" si="12"/>
        <v/>
      </c>
    </row>
    <row r="787" spans="1:3">
      <c r="A787" s="796" t="s">
        <v>13172</v>
      </c>
      <c r="B787" s="798" t="str">
        <f>IF(A787="","",IFERROR(VLOOKUP(A787,Kategorie!C:N,MATCH('General price list'!$W$17,Kategorie!$C$2:$N$2,0),FALSE),"× Chybí překlad ×"))</f>
        <v>Složený ohňostroj, multikaliber F2 – 1.3G</v>
      </c>
      <c r="C787" s="798" t="str">
        <f t="shared" si="12"/>
        <v xml:space="preserve">           Složený ohňostroj, multikaliber F2 – 1.3G</v>
      </c>
    </row>
    <row r="788" spans="1:3">
      <c r="A788" s="802" t="s">
        <v>20</v>
      </c>
      <c r="B788" s="798" t="str">
        <f>IF(A788="","",IFERROR(VLOOKUP(A788,Kategorie!C:N,MATCH('General price list'!$W$17,Kategorie!$C$2:$N$2,0),FALSE),"× Chybí překlad ×"))</f>
        <v/>
      </c>
      <c r="C788" s="798" t="str">
        <f t="shared" si="12"/>
        <v/>
      </c>
    </row>
    <row r="789" spans="1:3">
      <c r="A789" s="796" t="s">
        <v>20</v>
      </c>
      <c r="B789" s="798" t="str">
        <f>IF(A789="","",IFERROR(VLOOKUP(A789,Kategorie!C:N,MATCH('General price list'!$W$17,Kategorie!$C$2:$N$2,0),FALSE),"× Chybí překlad ×"))</f>
        <v/>
      </c>
      <c r="C789" s="798" t="str">
        <f t="shared" si="12"/>
        <v/>
      </c>
    </row>
    <row r="790" spans="1:3">
      <c r="A790" s="802" t="s">
        <v>10511</v>
      </c>
      <c r="B790" s="798" t="str">
        <f>IF(A790="","",IFERROR(VLOOKUP(A790,Kategorie!C:N,MATCH('General price list'!$W$17,Kategorie!$C$2:$N$2,0),FALSE),"× Chybí překlad ×"))</f>
        <v>× Chybí překlad ×</v>
      </c>
      <c r="C790" s="798" t="str">
        <f t="shared" si="12"/>
        <v>×</v>
      </c>
    </row>
    <row r="791" spans="1:3">
      <c r="A791" s="796" t="s">
        <v>20</v>
      </c>
      <c r="B791" s="798" t="str">
        <f>IF(A791="","",IFERROR(VLOOKUP(A791,Kategorie!C:N,MATCH('General price list'!$W$17,Kategorie!$C$2:$N$2,0),FALSE),"× Chybí překlad ×"))</f>
        <v/>
      </c>
      <c r="C791" s="798" t="str">
        <f t="shared" si="12"/>
        <v/>
      </c>
    </row>
    <row r="792" spans="1:3">
      <c r="A792" s="796" t="s">
        <v>10511</v>
      </c>
      <c r="B792" s="798" t="str">
        <f>IF(A792="","",IFERROR(VLOOKUP(A792,Kategorie!C:N,MATCH('General price list'!$W$17,Kategorie!$C$2:$N$2,0),FALSE),"× Chybí překlad ×"))</f>
        <v>× Chybí překlad ×</v>
      </c>
      <c r="C792" s="798" t="str">
        <f t="shared" si="12"/>
        <v>×</v>
      </c>
    </row>
    <row r="793" spans="1:3">
      <c r="A793" s="796" t="s">
        <v>10511</v>
      </c>
      <c r="B793" s="798" t="str">
        <f>IF(A793="","",IFERROR(VLOOKUP(A793,Kategorie!C:N,MATCH('General price list'!$W$17,Kategorie!$C$2:$N$2,0),FALSE),"× Chybí překlad ×"))</f>
        <v>× Chybí překlad ×</v>
      </c>
      <c r="C793" s="798" t="str">
        <f t="shared" si="12"/>
        <v>×</v>
      </c>
    </row>
    <row r="794" spans="1:3">
      <c r="A794" s="802" t="s">
        <v>20</v>
      </c>
      <c r="B794" s="798" t="str">
        <f>IF(A794="","",IFERROR(VLOOKUP(A794,Kategorie!C:N,MATCH('General price list'!$W$17,Kategorie!$C$2:$N$2,0),FALSE),"× Chybí překlad ×"))</f>
        <v/>
      </c>
      <c r="C794" s="798" t="str">
        <f t="shared" si="12"/>
        <v/>
      </c>
    </row>
    <row r="795" spans="1:3">
      <c r="A795" s="802" t="s">
        <v>20</v>
      </c>
      <c r="B795" s="798" t="str">
        <f>IF(A795="","",IFERROR(VLOOKUP(A795,Kategorie!C:N,MATCH('General price list'!$W$17,Kategorie!$C$2:$N$2,0),FALSE),"× Chybí překlad ×"))</f>
        <v/>
      </c>
      <c r="C795" s="798" t="str">
        <f t="shared" si="12"/>
        <v/>
      </c>
    </row>
    <row r="796" spans="1:3">
      <c r="A796" s="796" t="s">
        <v>20</v>
      </c>
      <c r="B796" s="798" t="str">
        <f>IF(A796="","",IFERROR(VLOOKUP(A796,Kategorie!C:N,MATCH('General price list'!$W$17,Kategorie!$C$2:$N$2,0),FALSE),"× Chybí překlad ×"))</f>
        <v/>
      </c>
      <c r="C796" s="798" t="str">
        <f t="shared" si="12"/>
        <v/>
      </c>
    </row>
    <row r="797" spans="1:3">
      <c r="A797" s="796" t="s">
        <v>20</v>
      </c>
      <c r="B797" s="798" t="str">
        <f>IF(A797="","",IFERROR(VLOOKUP(A797,Kategorie!C:N,MATCH('General price list'!$W$17,Kategorie!$C$2:$N$2,0),FALSE),"× Chybí překlad ×"))</f>
        <v/>
      </c>
      <c r="C797" s="798" t="str">
        <f t="shared" si="12"/>
        <v/>
      </c>
    </row>
    <row r="798" spans="1:3">
      <c r="A798" s="802" t="s">
        <v>20</v>
      </c>
      <c r="B798" s="798" t="str">
        <f>IF(A798="","",IFERROR(VLOOKUP(A798,Kategorie!C:N,MATCH('General price list'!$W$17,Kategorie!$C$2:$N$2,0),FALSE),"× Chybí překlad ×"))</f>
        <v/>
      </c>
      <c r="C798" s="798" t="str">
        <f t="shared" si="12"/>
        <v/>
      </c>
    </row>
    <row r="799" spans="1:3">
      <c r="A799" s="796" t="s">
        <v>20</v>
      </c>
      <c r="B799" s="798" t="str">
        <f>IF(A799="","",IFERROR(VLOOKUP(A799,Kategorie!C:N,MATCH('General price list'!$W$17,Kategorie!$C$2:$N$2,0),FALSE),"× Chybí překlad ×"))</f>
        <v/>
      </c>
      <c r="C799" s="798" t="str">
        <f t="shared" si="12"/>
        <v/>
      </c>
    </row>
    <row r="800" spans="1:3">
      <c r="A800" s="796" t="s">
        <v>13173</v>
      </c>
      <c r="B800" s="798" t="str">
        <f>IF(A800="","",IFERROR(VLOOKUP(A800,Kategorie!C:N,MATCH('General price list'!$W$17,Kategorie!$C$2:$N$2,0),FALSE),"× Chybí překlad ×"))</f>
        <v>Dvojitý složený ohňostroj, multikaliber F2 – 1.4G</v>
      </c>
      <c r="C800" s="798" t="str">
        <f t="shared" si="12"/>
        <v xml:space="preserve">           Dvojitý složený ohňostroj, multikaliber F2 – 1.4G</v>
      </c>
    </row>
    <row r="801" spans="1:3">
      <c r="A801" s="796" t="s">
        <v>20</v>
      </c>
      <c r="B801" s="798" t="str">
        <f>IF(A801="","",IFERROR(VLOOKUP(A801,Kategorie!C:N,MATCH('General price list'!$W$17,Kategorie!$C$2:$N$2,0),FALSE),"× Chybí překlad ×"))</f>
        <v/>
      </c>
      <c r="C801" s="798" t="str">
        <f t="shared" si="12"/>
        <v/>
      </c>
    </row>
    <row r="802" spans="1:3">
      <c r="A802" s="796" t="s">
        <v>20</v>
      </c>
      <c r="B802" s="798" t="str">
        <f>IF(A802="","",IFERROR(VLOOKUP(A802,Kategorie!C:N,MATCH('General price list'!$W$17,Kategorie!$C$2:$N$2,0),FALSE),"× Chybí překlad ×"))</f>
        <v/>
      </c>
      <c r="C802" s="798" t="str">
        <f t="shared" si="12"/>
        <v/>
      </c>
    </row>
    <row r="803" spans="1:3">
      <c r="A803" s="802" t="s">
        <v>20</v>
      </c>
      <c r="B803" s="798" t="str">
        <f>IF(A803="","",IFERROR(VLOOKUP(A803,Kategorie!C:N,MATCH('General price list'!$W$17,Kategorie!$C$2:$N$2,0),FALSE),"× Chybí překlad ×"))</f>
        <v/>
      </c>
      <c r="C803" s="798" t="str">
        <f t="shared" si="12"/>
        <v/>
      </c>
    </row>
    <row r="804" spans="1:3">
      <c r="A804" s="796" t="s">
        <v>20</v>
      </c>
      <c r="B804" s="798" t="str">
        <f>IF(A804="","",IFERROR(VLOOKUP(A804,Kategorie!C:N,MATCH('General price list'!$W$17,Kategorie!$C$2:$N$2,0),FALSE),"× Chybí překlad ×"))</f>
        <v/>
      </c>
      <c r="C804" s="798" t="str">
        <f t="shared" si="12"/>
        <v/>
      </c>
    </row>
    <row r="805" spans="1:3">
      <c r="A805" s="796" t="s">
        <v>13174</v>
      </c>
      <c r="B805" s="798" t="str">
        <f>IF(A805="","",IFERROR(VLOOKUP(A805,Kategorie!C:N,MATCH('General price list'!$W$17,Kategorie!$C$2:$N$2,0),FALSE),"× Chybí překlad ×"))</f>
        <v>Složený ohňostroj, multikaliber (20–30 mm) F3 – 1.3G</v>
      </c>
      <c r="C805" s="798" t="str">
        <f t="shared" si="12"/>
        <v xml:space="preserve">           Složený ohňostroj, multikaliber (20–30 mm) F3 – 1.3G</v>
      </c>
    </row>
    <row r="806" spans="1:3">
      <c r="A806" s="796" t="s">
        <v>20</v>
      </c>
      <c r="B806" s="798" t="str">
        <f>IF(A806="","",IFERROR(VLOOKUP(A806,Kategorie!C:N,MATCH('General price list'!$W$17,Kategorie!$C$2:$N$2,0),FALSE),"× Chybí překlad ×"))</f>
        <v/>
      </c>
      <c r="C806" s="798" t="str">
        <f t="shared" si="12"/>
        <v/>
      </c>
    </row>
    <row r="807" spans="1:3">
      <c r="A807" s="796" t="s">
        <v>20</v>
      </c>
      <c r="B807" s="798" t="str">
        <f>IF(A807="","",IFERROR(VLOOKUP(A807,Kategorie!C:N,MATCH('General price list'!$W$17,Kategorie!$C$2:$N$2,0),FALSE),"× Chybí překlad ×"))</f>
        <v/>
      </c>
      <c r="C807" s="798" t="str">
        <f t="shared" si="12"/>
        <v/>
      </c>
    </row>
    <row r="808" spans="1:3">
      <c r="A808" s="802" t="s">
        <v>20</v>
      </c>
      <c r="B808" s="798" t="str">
        <f>IF(A808="","",IFERROR(VLOOKUP(A808,Kategorie!C:N,MATCH('General price list'!$W$17,Kategorie!$C$2:$N$2,0),FALSE),"× Chybí překlad ×"))</f>
        <v/>
      </c>
      <c r="C808" s="798" t="str">
        <f t="shared" si="12"/>
        <v/>
      </c>
    </row>
    <row r="809" spans="1:3">
      <c r="A809" s="796" t="s">
        <v>20</v>
      </c>
      <c r="B809" s="798" t="str">
        <f>IF(A809="","",IFERROR(VLOOKUP(A809,Kategorie!C:N,MATCH('General price list'!$W$17,Kategorie!$C$2:$N$2,0),FALSE),"× Chybí překlad ×"))</f>
        <v/>
      </c>
      <c r="C809" s="798" t="str">
        <f t="shared" si="12"/>
        <v/>
      </c>
    </row>
    <row r="810" spans="1:3">
      <c r="A810" s="796" t="s">
        <v>13175</v>
      </c>
      <c r="B810" s="798" t="str">
        <f>IF(A810="","",IFERROR(VLOOKUP(A810,Kategorie!C:N,MATCH('General price list'!$W$17,Kategorie!$C$2:$N$2,0),FALSE),"× Chybí překlad ×"))</f>
        <v>Multikaliberní kompakty nad 30 mm</v>
      </c>
      <c r="C810" s="798" t="str">
        <f t="shared" si="12"/>
        <v xml:space="preserve">           Multikaliberní kompakty nad 30 mm</v>
      </c>
    </row>
    <row r="811" spans="1:3">
      <c r="A811" s="802" t="s">
        <v>13176</v>
      </c>
      <c r="B811" s="798" t="str">
        <f>IF(A811="","",IFERROR(VLOOKUP(A811,Kategorie!C:N,MATCH('General price list'!$W$17,Kategorie!$C$2:$N$2,0),FALSE),"× Chybí překlad ×"))</f>
        <v>Baterie 23 ran, 30 + 50 mm moždíř – 1.3G</v>
      </c>
      <c r="C811" s="798" t="str">
        <f t="shared" si="12"/>
        <v xml:space="preserve">           Baterie 23 ran, 30 + 50 mm moždíř – 1.3G</v>
      </c>
    </row>
    <row r="812" spans="1:3">
      <c r="A812" s="796" t="s">
        <v>20</v>
      </c>
      <c r="B812" s="798" t="str">
        <f>IF(A812="","",IFERROR(VLOOKUP(A812,Kategorie!C:N,MATCH('General price list'!$W$17,Kategorie!$C$2:$N$2,0),FALSE),"× Chybí překlad ×"))</f>
        <v/>
      </c>
      <c r="C812" s="798" t="str">
        <f t="shared" si="12"/>
        <v/>
      </c>
    </row>
    <row r="813" spans="1:3">
      <c r="A813" s="796" t="s">
        <v>13177</v>
      </c>
      <c r="B813" s="798" t="str">
        <f>IF(A813="","",IFERROR(VLOOKUP(A813,Kategorie!C:N,MATCH('General price list'!$W$17,Kategorie!$C$2:$N$2,0),FALSE),"× Chybí překlad ×"))</f>
        <v>Baterie 24 ran, 20 + 24 + 30 + 40 mm moždíř – 1.3G</v>
      </c>
      <c r="C813" s="798" t="str">
        <f t="shared" si="12"/>
        <v xml:space="preserve">           Baterie 24 ran, 20 + 24 + 30 + 40 mm moždíř – 1.3G</v>
      </c>
    </row>
    <row r="814" spans="1:3">
      <c r="A814" s="796" t="s">
        <v>20</v>
      </c>
      <c r="B814" s="798" t="str">
        <f>IF(A814="","",IFERROR(VLOOKUP(A814,Kategorie!C:N,MATCH('General price list'!$W$17,Kategorie!$C$2:$N$2,0),FALSE),"× Chybí překlad ×"))</f>
        <v/>
      </c>
      <c r="C814" s="798" t="str">
        <f t="shared" si="12"/>
        <v/>
      </c>
    </row>
    <row r="815" spans="1:3">
      <c r="A815" s="796" t="s">
        <v>13178</v>
      </c>
      <c r="B815" s="798" t="str">
        <f>IF(A815="","",IFERROR(VLOOKUP(A815,Kategorie!C:N,MATCH('General price list'!$W$17,Kategorie!$C$2:$N$2,0),FALSE),"× Chybí překlad ×"))</f>
        <v>Baterie 36 ran, 36 + 50 mm moždíř – 1.3G</v>
      </c>
      <c r="C815" s="798" t="str">
        <f t="shared" si="12"/>
        <v xml:space="preserve">           Baterie 36 ran, 36 + 50 mm moždíř – 1.3G</v>
      </c>
    </row>
    <row r="816" spans="1:3">
      <c r="A816" s="796" t="s">
        <v>20</v>
      </c>
      <c r="B816" s="798" t="str">
        <f>IF(A816="","",IFERROR(VLOOKUP(A816,Kategorie!C:N,MATCH('General price list'!$W$17,Kategorie!$C$2:$N$2,0),FALSE),"× Chybí překlad ×"))</f>
        <v/>
      </c>
      <c r="C816" s="798" t="str">
        <f t="shared" si="12"/>
        <v/>
      </c>
    </row>
    <row r="817" spans="1:3">
      <c r="A817" s="796" t="s">
        <v>13179</v>
      </c>
      <c r="B817" s="798" t="str">
        <f>IF(A817="","",IFERROR(VLOOKUP(A817,Kategorie!C:N,MATCH('General price list'!$W$17,Kategorie!$C$2:$N$2,0),FALSE),"× Chybí překlad ×"))</f>
        <v>Baterie 42 ran, 25 + 40 mm rovný + šikmý moždíř – 1.3G</v>
      </c>
      <c r="C817" s="798" t="str">
        <f t="shared" si="12"/>
        <v xml:space="preserve">           Baterie 42 ran, 25 + 40 mm rovný + šikmý moždíř – 1.3G</v>
      </c>
    </row>
    <row r="818" spans="1:3">
      <c r="A818" s="796" t="s">
        <v>20</v>
      </c>
      <c r="B818" s="798" t="str">
        <f>IF(A818="","",IFERROR(VLOOKUP(A818,Kategorie!C:N,MATCH('General price list'!$W$17,Kategorie!$C$2:$N$2,0),FALSE),"× Chybí překlad ×"))</f>
        <v/>
      </c>
      <c r="C818" s="798" t="str">
        <f t="shared" si="12"/>
        <v/>
      </c>
    </row>
    <row r="819" spans="1:3">
      <c r="A819" s="802" t="s">
        <v>13180</v>
      </c>
      <c r="B819" s="798" t="str">
        <f>IF(A819="","",IFERROR(VLOOKUP(A819,Kategorie!C:N,MATCH('General price list'!$W$17,Kategorie!$C$2:$N$2,0),FALSE),"× Chybí překlad ×"))</f>
        <v>Baterie 47 ran, 30 + 50 mm rovný + šikmý moždíř – 1.3G</v>
      </c>
      <c r="C819" s="798" t="str">
        <f t="shared" si="12"/>
        <v xml:space="preserve">           Baterie 47 ran, 30 + 50 mm rovný + šikmý moždíř – 1.3G</v>
      </c>
    </row>
    <row r="820" spans="1:3">
      <c r="A820" s="796" t="s">
        <v>20</v>
      </c>
      <c r="B820" s="798" t="str">
        <f>IF(A820="","",IFERROR(VLOOKUP(A820,Kategorie!C:N,MATCH('General price list'!$W$17,Kategorie!$C$2:$N$2,0),FALSE),"× Chybí překlad ×"))</f>
        <v/>
      </c>
      <c r="C820" s="798" t="str">
        <f t="shared" si="12"/>
        <v/>
      </c>
    </row>
    <row r="821" spans="1:3">
      <c r="A821" s="796" t="s">
        <v>20</v>
      </c>
      <c r="B821" s="798" t="str">
        <f>IF(A821="","",IFERROR(VLOOKUP(A821,Kategorie!C:N,MATCH('General price list'!$W$17,Kategorie!$C$2:$N$2,0),FALSE),"× Chybí překlad ×"))</f>
        <v/>
      </c>
      <c r="C821" s="798" t="str">
        <f t="shared" si="12"/>
        <v/>
      </c>
    </row>
    <row r="822" spans="1:3">
      <c r="A822" s="796" t="s">
        <v>13181</v>
      </c>
      <c r="B822" s="798" t="str">
        <f>IF(A822="","",IFERROR(VLOOKUP(A822,Kategorie!C:N,MATCH('General price list'!$W$17,Kategorie!$C$2:$N$2,0),FALSE),"× Chybí překlad ×"))</f>
        <v>Baterie 63 ran, 25 + 45 mm rovný + šikmý moždíř – 1.3G</v>
      </c>
      <c r="C822" s="798" t="str">
        <f t="shared" si="12"/>
        <v xml:space="preserve">           Baterie 63 ran, 25 + 45 mm rovný + šikmý moždíř – 1.3G</v>
      </c>
    </row>
    <row r="823" spans="1:3">
      <c r="A823" s="796" t="s">
        <v>20</v>
      </c>
      <c r="B823" s="798" t="str">
        <f>IF(A823="","",IFERROR(VLOOKUP(A823,Kategorie!C:N,MATCH('General price list'!$W$17,Kategorie!$C$2:$N$2,0),FALSE),"× Chybí překlad ×"))</f>
        <v/>
      </c>
      <c r="C823" s="798" t="str">
        <f t="shared" si="12"/>
        <v/>
      </c>
    </row>
    <row r="824" spans="1:3">
      <c r="A824" s="796" t="s">
        <v>13182</v>
      </c>
      <c r="B824" s="798" t="str">
        <f>IF(A824="","",IFERROR(VLOOKUP(A824,Kategorie!C:N,MATCH('General price list'!$W$17,Kategorie!$C$2:$N$2,0),FALSE),"× Chybí překlad ×"))</f>
        <v>Baterie 66 ran, 20 + 25 + 30 + 48 mm moždíř – 1.3G</v>
      </c>
      <c r="C824" s="798" t="str">
        <f t="shared" si="12"/>
        <v xml:space="preserve">           Baterie 66 ran, 20 + 25 + 30 + 48 mm moždíř – 1.3G</v>
      </c>
    </row>
    <row r="825" spans="1:3">
      <c r="A825" s="796" t="s">
        <v>20</v>
      </c>
      <c r="B825" s="798" t="str">
        <f>IF(A825="","",IFERROR(VLOOKUP(A825,Kategorie!C:N,MATCH('General price list'!$W$17,Kategorie!$C$2:$N$2,0),FALSE),"× Chybí překlad ×"))</f>
        <v/>
      </c>
      <c r="C825" s="798" t="str">
        <f t="shared" si="12"/>
        <v/>
      </c>
    </row>
    <row r="826" spans="1:3">
      <c r="A826" s="802" t="s">
        <v>13183</v>
      </c>
      <c r="B826" s="798" t="str">
        <f>IF(A826="","",IFERROR(VLOOKUP(A826,Kategorie!C:N,MATCH('General price list'!$W$17,Kategorie!$C$2:$N$2,0),FALSE),"× Chybí překlad ×"))</f>
        <v>Složený ohňostroj, multikaliber (30–50 mm) F3 – 1.3G</v>
      </c>
      <c r="C826" s="798" t="str">
        <f t="shared" si="12"/>
        <v xml:space="preserve">           Složený ohňostroj, multikaliber (30–50 mm) F3 – 1.3G</v>
      </c>
    </row>
    <row r="827" spans="1:3">
      <c r="A827" s="796" t="s">
        <v>20</v>
      </c>
      <c r="B827" s="798" t="str">
        <f>IF(A827="","",IFERROR(VLOOKUP(A827,Kategorie!C:N,MATCH('General price list'!$W$17,Kategorie!$C$2:$N$2,0),FALSE),"× Chybí překlad ×"))</f>
        <v/>
      </c>
      <c r="C827" s="798" t="str">
        <f t="shared" si="12"/>
        <v/>
      </c>
    </row>
    <row r="828" spans="1:3">
      <c r="A828" s="796" t="s">
        <v>20</v>
      </c>
      <c r="B828" s="798" t="str">
        <f>IF(A828="","",IFERROR(VLOOKUP(A828,Kategorie!C:N,MATCH('General price list'!$W$17,Kategorie!$C$2:$N$2,0),FALSE),"× Chybí překlad ×"))</f>
        <v/>
      </c>
      <c r="C828" s="798" t="str">
        <f t="shared" si="12"/>
        <v/>
      </c>
    </row>
    <row r="829" spans="1:3">
      <c r="A829" s="796" t="s">
        <v>20</v>
      </c>
      <c r="B829" s="798" t="str">
        <f>IF(A829="","",IFERROR(VLOOKUP(A829,Kategorie!C:N,MATCH('General price list'!$W$17,Kategorie!$C$2:$N$2,0),FALSE),"× Chybí překlad ×"))</f>
        <v/>
      </c>
      <c r="C829" s="798" t="str">
        <f t="shared" si="12"/>
        <v/>
      </c>
    </row>
    <row r="830" spans="1:3">
      <c r="A830" s="796" t="s">
        <v>10511</v>
      </c>
      <c r="B830" s="798" t="str">
        <f>IF(A830="","",IFERROR(VLOOKUP(A830,Kategorie!C:N,MATCH('General price list'!$W$17,Kategorie!$C$2:$N$2,0),FALSE),"× Chybí překlad ×"))</f>
        <v>× Chybí překlad ×</v>
      </c>
      <c r="C830" s="798" t="str">
        <f t="shared" si="12"/>
        <v>×</v>
      </c>
    </row>
    <row r="831" spans="1:3">
      <c r="A831" s="802" t="s">
        <v>20</v>
      </c>
      <c r="B831" s="798" t="str">
        <f>IF(A831="","",IFERROR(VLOOKUP(A831,Kategorie!C:N,MATCH('General price list'!$W$17,Kategorie!$C$2:$N$2,0),FALSE),"× Chybí překlad ×"))</f>
        <v/>
      </c>
      <c r="C831" s="798" t="str">
        <f t="shared" si="12"/>
        <v/>
      </c>
    </row>
    <row r="832" spans="1:3">
      <c r="A832" s="796" t="s">
        <v>13184</v>
      </c>
      <c r="B832" s="798" t="str">
        <f>IF(A832="","",IFERROR(VLOOKUP(A832,Kategorie!C:N,MATCH('General price list'!$W$17,Kategorie!$C$2:$N$2,0),FALSE),"× Chybí překlad ×"))</f>
        <v>Baterie multikaliberní (více průměrů moždířů + různé úhly moždířů) F4 – 1.3G</v>
      </c>
      <c r="C832" s="798" t="str">
        <f t="shared" si="12"/>
        <v xml:space="preserve">           Baterie multikaliberní (více průměrů moždířů + různé úhly moždířů) F4 – 1.3G</v>
      </c>
    </row>
    <row r="833" spans="1:3">
      <c r="A833" s="802" t="s">
        <v>20</v>
      </c>
      <c r="B833" s="798" t="str">
        <f>IF(A833="","",IFERROR(VLOOKUP(A833,Kategorie!C:N,MATCH('General price list'!$W$17,Kategorie!$C$2:$N$2,0),FALSE),"× Chybí překlad ×"))</f>
        <v/>
      </c>
      <c r="C833" s="798" t="str">
        <f t="shared" si="12"/>
        <v/>
      </c>
    </row>
    <row r="834" spans="1:3">
      <c r="A834" s="796" t="s">
        <v>10511</v>
      </c>
      <c r="B834" s="798" t="str">
        <f>IF(A834="","",IFERROR(VLOOKUP(A834,Kategorie!C:N,MATCH('General price list'!$W$17,Kategorie!$C$2:$N$2,0),FALSE),"× Chybí překlad ×"))</f>
        <v>× Chybí překlad ×</v>
      </c>
      <c r="C834" s="798" t="str">
        <f t="shared" si="12"/>
        <v>×</v>
      </c>
    </row>
    <row r="835" spans="1:3">
      <c r="A835" s="796" t="s">
        <v>11228</v>
      </c>
      <c r="B835" s="798" t="str">
        <f>IF(A835="","",IFERROR(VLOOKUP(A835,Kategorie!C:N,MATCH('General price list'!$W$17,Kategorie!$C$2:$N$2,0),FALSE),"× Chybí překlad ×"))</f>
        <v>Riakeo baterie</v>
      </c>
      <c r="C835" s="798" t="str">
        <f t="shared" si="12"/>
        <v xml:space="preserve">           Riakeo baterie</v>
      </c>
    </row>
    <row r="836" spans="1:3">
      <c r="A836" s="796" t="s">
        <v>20</v>
      </c>
      <c r="B836" s="798" t="str">
        <f>IF(A836="","",IFERROR(VLOOKUP(A836,Kategorie!C:N,MATCH('General price list'!$W$17,Kategorie!$C$2:$N$2,0),FALSE),"× Chybí překlad ×"))</f>
        <v/>
      </c>
      <c r="C836" s="798" t="str">
        <f t="shared" ref="C836:C899" si="13">IF(A836="","",IF(A836="x","×",$B$1&amp;B836))</f>
        <v/>
      </c>
    </row>
    <row r="837" spans="1:3">
      <c r="A837" s="796" t="s">
        <v>20</v>
      </c>
      <c r="B837" s="798" t="str">
        <f>IF(A837="","",IFERROR(VLOOKUP(A837,Kategorie!C:N,MATCH('General price list'!$W$17,Kategorie!$C$2:$N$2,0),FALSE),"× Chybí překlad ×"))</f>
        <v/>
      </c>
      <c r="C837" s="798" t="str">
        <f t="shared" si="13"/>
        <v/>
      </c>
    </row>
    <row r="838" spans="1:3">
      <c r="A838" s="796" t="s">
        <v>20</v>
      </c>
      <c r="B838" s="798" t="str">
        <f>IF(A838="","",IFERROR(VLOOKUP(A838,Kategorie!C:N,MATCH('General price list'!$W$17,Kategorie!$C$2:$N$2,0),FALSE),"× Chybí překlad ×"))</f>
        <v/>
      </c>
      <c r="C838" s="798" t="str">
        <f t="shared" si="13"/>
        <v/>
      </c>
    </row>
    <row r="839" spans="1:3">
      <c r="A839" s="796" t="s">
        <v>20</v>
      </c>
      <c r="B839" s="798" t="str">
        <f>IF(A839="","",IFERROR(VLOOKUP(A839,Kategorie!C:N,MATCH('General price list'!$W$17,Kategorie!$C$2:$N$2,0),FALSE),"× Chybí překlad ×"))</f>
        <v/>
      </c>
      <c r="C839" s="798" t="str">
        <f t="shared" si="13"/>
        <v/>
      </c>
    </row>
    <row r="840" spans="1:3">
      <c r="A840" s="796" t="s">
        <v>20</v>
      </c>
      <c r="B840" s="798" t="str">
        <f>IF(A840="","",IFERROR(VLOOKUP(A840,Kategorie!C:N,MATCH('General price list'!$W$17,Kategorie!$C$2:$N$2,0),FALSE),"× Chybí překlad ×"))</f>
        <v/>
      </c>
      <c r="C840" s="798" t="str">
        <f t="shared" si="13"/>
        <v/>
      </c>
    </row>
    <row r="841" spans="1:3">
      <c r="A841" s="802" t="s">
        <v>20</v>
      </c>
      <c r="B841" s="798" t="str">
        <f>IF(A841="","",IFERROR(VLOOKUP(A841,Kategorie!C:N,MATCH('General price list'!$W$17,Kategorie!$C$2:$N$2,0),FALSE),"× Chybí překlad ×"))</f>
        <v/>
      </c>
      <c r="C841" s="798" t="str">
        <f t="shared" si="13"/>
        <v/>
      </c>
    </row>
    <row r="842" spans="1:3">
      <c r="A842" s="796" t="s">
        <v>20</v>
      </c>
      <c r="B842" s="798" t="str">
        <f>IF(A842="","",IFERROR(VLOOKUP(A842,Kategorie!C:N,MATCH('General price list'!$W$17,Kategorie!$C$2:$N$2,0),FALSE),"× Chybí překlad ×"))</f>
        <v/>
      </c>
      <c r="C842" s="798" t="str">
        <f t="shared" si="13"/>
        <v/>
      </c>
    </row>
    <row r="843" spans="1:3">
      <c r="A843" s="796" t="s">
        <v>20</v>
      </c>
      <c r="B843" s="798" t="str">
        <f>IF(A843="","",IFERROR(VLOOKUP(A843,Kategorie!C:N,MATCH('General price list'!$W$17,Kategorie!$C$2:$N$2,0),FALSE),"× Chybí překlad ×"))</f>
        <v/>
      </c>
      <c r="C843" s="798" t="str">
        <f t="shared" si="13"/>
        <v/>
      </c>
    </row>
    <row r="844" spans="1:3">
      <c r="A844" s="796" t="s">
        <v>20</v>
      </c>
      <c r="B844" s="798" t="str">
        <f>IF(A844="","",IFERROR(VLOOKUP(A844,Kategorie!C:N,MATCH('General price list'!$W$17,Kategorie!$C$2:$N$2,0),FALSE),"× Chybí překlad ×"))</f>
        <v/>
      </c>
      <c r="C844" s="798" t="str">
        <f t="shared" si="13"/>
        <v/>
      </c>
    </row>
    <row r="845" spans="1:3">
      <c r="A845" s="796" t="s">
        <v>12158</v>
      </c>
      <c r="B845" s="798" t="str">
        <f>IF(A845="","",IFERROR(VLOOKUP(A845,Kategorie!C:N,MATCH('General price list'!$W$17,Kategorie!$C$2:$N$2,0),FALSE),"× Chybí překlad ×"))</f>
        <v>Riakeo složené ohňostroje</v>
      </c>
      <c r="C845" s="798" t="str">
        <f t="shared" si="13"/>
        <v xml:space="preserve">           Riakeo složené ohňostroje</v>
      </c>
    </row>
    <row r="846" spans="1:3">
      <c r="A846" s="796" t="s">
        <v>20</v>
      </c>
      <c r="B846" s="798" t="str">
        <f>IF(A846="","",IFERROR(VLOOKUP(A846,Kategorie!C:N,MATCH('General price list'!$W$17,Kategorie!$C$2:$N$2,0),FALSE),"× Chybí překlad ×"))</f>
        <v/>
      </c>
      <c r="C846" s="798" t="str">
        <f t="shared" si="13"/>
        <v/>
      </c>
    </row>
    <row r="847" spans="1:3">
      <c r="A847" s="802" t="s">
        <v>20</v>
      </c>
      <c r="B847" s="798" t="str">
        <f>IF(A847="","",IFERROR(VLOOKUP(A847,Kategorie!C:N,MATCH('General price list'!$W$17,Kategorie!$C$2:$N$2,0),FALSE),"× Chybí překlad ×"))</f>
        <v/>
      </c>
      <c r="C847" s="798" t="str">
        <f t="shared" si="13"/>
        <v/>
      </c>
    </row>
    <row r="848" spans="1:3">
      <c r="A848" s="796" t="s">
        <v>20</v>
      </c>
      <c r="B848" s="798" t="str">
        <f>IF(A848="","",IFERROR(VLOOKUP(A848,Kategorie!C:N,MATCH('General price list'!$W$17,Kategorie!$C$2:$N$2,0),FALSE),"× Chybí překlad ×"))</f>
        <v/>
      </c>
      <c r="C848" s="798" t="str">
        <f t="shared" si="13"/>
        <v/>
      </c>
    </row>
    <row r="849" spans="1:3">
      <c r="A849" s="796" t="s">
        <v>20</v>
      </c>
      <c r="B849" s="798" t="str">
        <f>IF(A849="","",IFERROR(VLOOKUP(A849,Kategorie!C:N,MATCH('General price list'!$W$17,Kategorie!$C$2:$N$2,0),FALSE),"× Chybí překlad ×"))</f>
        <v/>
      </c>
      <c r="C849" s="798" t="str">
        <f t="shared" si="13"/>
        <v/>
      </c>
    </row>
    <row r="850" spans="1:3">
      <c r="A850" s="796" t="s">
        <v>20</v>
      </c>
      <c r="B850" s="798" t="str">
        <f>IF(A850="","",IFERROR(VLOOKUP(A850,Kategorie!C:N,MATCH('General price list'!$W$17,Kategorie!$C$2:$N$2,0),FALSE),"× Chybí překlad ×"))</f>
        <v/>
      </c>
      <c r="C850" s="798" t="str">
        <f t="shared" si="13"/>
        <v/>
      </c>
    </row>
    <row r="851" spans="1:3">
      <c r="A851" s="802" t="s">
        <v>20</v>
      </c>
      <c r="B851" s="798" t="str">
        <f>IF(A851="","",IFERROR(VLOOKUP(A851,Kategorie!C:N,MATCH('General price list'!$W$17,Kategorie!$C$2:$N$2,0),FALSE),"× Chybí překlad ×"))</f>
        <v/>
      </c>
      <c r="C851" s="798" t="str">
        <f t="shared" si="13"/>
        <v/>
      </c>
    </row>
    <row r="852" spans="1:3">
      <c r="A852" s="796" t="s">
        <v>20</v>
      </c>
      <c r="B852" s="798" t="str">
        <f>IF(A852="","",IFERROR(VLOOKUP(A852,Kategorie!C:N,MATCH('General price list'!$W$17,Kategorie!$C$2:$N$2,0),FALSE),"× Chybí překlad ×"))</f>
        <v/>
      </c>
      <c r="C852" s="798" t="str">
        <f t="shared" si="13"/>
        <v/>
      </c>
    </row>
    <row r="853" spans="1:3">
      <c r="A853" s="802" t="s">
        <v>20</v>
      </c>
      <c r="B853" s="798" t="str">
        <f>IF(A853="","",IFERROR(VLOOKUP(A853,Kategorie!C:N,MATCH('General price list'!$W$17,Kategorie!$C$2:$N$2,0),FALSE),"× Chybí překlad ×"))</f>
        <v/>
      </c>
      <c r="C853" s="798" t="str">
        <f t="shared" si="13"/>
        <v/>
      </c>
    </row>
    <row r="854" spans="1:3">
      <c r="A854" s="796" t="s">
        <v>20</v>
      </c>
      <c r="B854" s="798" t="str">
        <f>IF(A854="","",IFERROR(VLOOKUP(A854,Kategorie!C:N,MATCH('General price list'!$W$17,Kategorie!$C$2:$N$2,0),FALSE),"× Chybí překlad ×"))</f>
        <v/>
      </c>
      <c r="C854" s="798" t="str">
        <f t="shared" si="13"/>
        <v/>
      </c>
    </row>
    <row r="855" spans="1:3">
      <c r="A855" s="796" t="s">
        <v>20</v>
      </c>
      <c r="B855" s="798" t="str">
        <f>IF(A855="","",IFERROR(VLOOKUP(A855,Kategorie!C:N,MATCH('General price list'!$W$17,Kategorie!$C$2:$N$2,0),FALSE),"× Chybí překlad ×"))</f>
        <v/>
      </c>
      <c r="C855" s="798" t="str">
        <f t="shared" si="13"/>
        <v/>
      </c>
    </row>
    <row r="856" spans="1:3">
      <c r="A856" s="802" t="s">
        <v>20</v>
      </c>
      <c r="B856" s="798" t="str">
        <f>IF(A856="","",IFERROR(VLOOKUP(A856,Kategorie!C:N,MATCH('General price list'!$W$17,Kategorie!$C$2:$N$2,0),FALSE),"× Chybí překlad ×"))</f>
        <v/>
      </c>
      <c r="C856" s="798" t="str">
        <f t="shared" si="13"/>
        <v/>
      </c>
    </row>
    <row r="857" spans="1:3">
      <c r="A857" s="796" t="s">
        <v>20</v>
      </c>
      <c r="B857" s="798" t="str">
        <f>IF(A857="","",IFERROR(VLOOKUP(A857,Kategorie!C:N,MATCH('General price list'!$W$17,Kategorie!$C$2:$N$2,0),FALSE),"× Chybí překlad ×"))</f>
        <v/>
      </c>
      <c r="C857" s="798" t="str">
        <f t="shared" si="13"/>
        <v/>
      </c>
    </row>
    <row r="858" spans="1:3">
      <c r="A858" s="796" t="s">
        <v>20</v>
      </c>
      <c r="B858" s="798" t="str">
        <f>IF(A858="","",IFERROR(VLOOKUP(A858,Kategorie!C:N,MATCH('General price list'!$W$17,Kategorie!$C$2:$N$2,0),FALSE),"× Chybí překlad ×"))</f>
        <v/>
      </c>
      <c r="C858" s="798" t="str">
        <f t="shared" si="13"/>
        <v/>
      </c>
    </row>
    <row r="859" spans="1:3">
      <c r="A859" s="796" t="s">
        <v>20</v>
      </c>
      <c r="B859" s="798" t="str">
        <f>IF(A859="","",IFERROR(VLOOKUP(A859,Kategorie!C:N,MATCH('General price list'!$W$17,Kategorie!$C$2:$N$2,0),FALSE),"× Chybí překlad ×"))</f>
        <v/>
      </c>
      <c r="C859" s="798" t="str">
        <f t="shared" si="13"/>
        <v/>
      </c>
    </row>
    <row r="860" spans="1:3">
      <c r="A860" s="796" t="s">
        <v>20</v>
      </c>
      <c r="B860" s="798" t="str">
        <f>IF(A860="","",IFERROR(VLOOKUP(A860,Kategorie!C:N,MATCH('General price list'!$W$17,Kategorie!$C$2:$N$2,0),FALSE),"× Chybí překlad ×"))</f>
        <v/>
      </c>
      <c r="C860" s="798" t="str">
        <f t="shared" si="13"/>
        <v/>
      </c>
    </row>
    <row r="861" spans="1:3">
      <c r="A861" s="796" t="s">
        <v>20</v>
      </c>
      <c r="B861" s="798" t="str">
        <f>IF(A861="","",IFERROR(VLOOKUP(A861,Kategorie!C:N,MATCH('General price list'!$W$17,Kategorie!$C$2:$N$2,0),FALSE),"× Chybí překlad ×"))</f>
        <v/>
      </c>
      <c r="C861" s="798" t="str">
        <f t="shared" si="13"/>
        <v/>
      </c>
    </row>
    <row r="862" spans="1:3">
      <c r="A862" s="796" t="s">
        <v>20</v>
      </c>
      <c r="B862" s="798" t="str">
        <f>IF(A862="","",IFERROR(VLOOKUP(A862,Kategorie!C:N,MATCH('General price list'!$W$17,Kategorie!$C$2:$N$2,0),FALSE),"× Chybí překlad ×"))</f>
        <v/>
      </c>
      <c r="C862" s="798" t="str">
        <f t="shared" si="13"/>
        <v/>
      </c>
    </row>
    <row r="863" spans="1:3">
      <c r="A863" s="796" t="s">
        <v>20</v>
      </c>
      <c r="B863" s="798" t="str">
        <f>IF(A863="","",IFERROR(VLOOKUP(A863,Kategorie!C:N,MATCH('General price list'!$W$17,Kategorie!$C$2:$N$2,0),FALSE),"× Chybí překlad ×"))</f>
        <v/>
      </c>
      <c r="C863" s="798" t="str">
        <f t="shared" si="13"/>
        <v/>
      </c>
    </row>
    <row r="864" spans="1:3">
      <c r="A864" s="796" t="s">
        <v>20</v>
      </c>
      <c r="B864" s="798" t="str">
        <f>IF(A864="","",IFERROR(VLOOKUP(A864,Kategorie!C:N,MATCH('General price list'!$W$17,Kategorie!$C$2:$N$2,0),FALSE),"× Chybí překlad ×"))</f>
        <v/>
      </c>
      <c r="C864" s="798" t="str">
        <f t="shared" si="13"/>
        <v/>
      </c>
    </row>
    <row r="865" spans="1:3">
      <c r="A865" s="796" t="s">
        <v>11229</v>
      </c>
      <c r="B865" s="798" t="str">
        <f>IF(A865="","",IFERROR(VLOOKUP(A865,Kategorie!C:N,MATCH('General price list'!$W$17,Kategorie!$C$2:$N$2,0),FALSE),"× Chybí překlad ×"))</f>
        <v>Riakeo dvojité složené ohňostroje</v>
      </c>
      <c r="C865" s="798" t="str">
        <f t="shared" si="13"/>
        <v xml:space="preserve">           Riakeo dvojité složené ohňostroje</v>
      </c>
    </row>
    <row r="866" spans="1:3">
      <c r="A866" s="796" t="s">
        <v>20</v>
      </c>
      <c r="B866" s="798" t="str">
        <f>IF(A866="","",IFERROR(VLOOKUP(A866,Kategorie!C:N,MATCH('General price list'!$W$17,Kategorie!$C$2:$N$2,0),FALSE),"× Chybí překlad ×"))</f>
        <v/>
      </c>
      <c r="C866" s="798" t="str">
        <f t="shared" si="13"/>
        <v/>
      </c>
    </row>
    <row r="867" spans="1:3">
      <c r="A867" s="796" t="s">
        <v>20</v>
      </c>
      <c r="B867" s="798" t="str">
        <f>IF(A867="","",IFERROR(VLOOKUP(A867,Kategorie!C:N,MATCH('General price list'!$W$17,Kategorie!$C$2:$N$2,0),FALSE),"× Chybí překlad ×"))</f>
        <v/>
      </c>
      <c r="C867" s="798" t="str">
        <f t="shared" si="13"/>
        <v/>
      </c>
    </row>
    <row r="868" spans="1:3">
      <c r="A868" s="796" t="s">
        <v>20</v>
      </c>
      <c r="B868" s="798" t="str">
        <f>IF(A868="","",IFERROR(VLOOKUP(A868,Kategorie!C:N,MATCH('General price list'!$W$17,Kategorie!$C$2:$N$2,0),FALSE),"× Chybí překlad ×"))</f>
        <v/>
      </c>
      <c r="C868" s="798" t="str">
        <f t="shared" si="13"/>
        <v/>
      </c>
    </row>
    <row r="869" spans="1:3">
      <c r="A869" s="796" t="s">
        <v>20</v>
      </c>
      <c r="B869" s="798" t="str">
        <f>IF(A869="","",IFERROR(VLOOKUP(A869,Kategorie!C:N,MATCH('General price list'!$W$17,Kategorie!$C$2:$N$2,0),FALSE),"× Chybí překlad ×"))</f>
        <v/>
      </c>
      <c r="C869" s="798" t="str">
        <f t="shared" si="13"/>
        <v/>
      </c>
    </row>
    <row r="870" spans="1:3">
      <c r="A870" s="796" t="s">
        <v>20</v>
      </c>
      <c r="B870" s="798" t="str">
        <f>IF(A870="","",IFERROR(VLOOKUP(A870,Kategorie!C:N,MATCH('General price list'!$W$17,Kategorie!$C$2:$N$2,0),FALSE),"× Chybí překlad ×"))</f>
        <v/>
      </c>
      <c r="C870" s="798" t="str">
        <f t="shared" si="13"/>
        <v/>
      </c>
    </row>
    <row r="871" spans="1:3">
      <c r="A871" s="796" t="s">
        <v>20</v>
      </c>
      <c r="B871" s="798" t="str">
        <f>IF(A871="","",IFERROR(VLOOKUP(A871,Kategorie!C:N,MATCH('General price list'!$W$17,Kategorie!$C$2:$N$2,0),FALSE),"× Chybí překlad ×"))</f>
        <v/>
      </c>
      <c r="C871" s="798" t="str">
        <f t="shared" si="13"/>
        <v/>
      </c>
    </row>
    <row r="872" spans="1:3">
      <c r="A872" s="796" t="s">
        <v>20</v>
      </c>
      <c r="B872" s="798" t="str">
        <f>IF(A872="","",IFERROR(VLOOKUP(A872,Kategorie!C:N,MATCH('General price list'!$W$17,Kategorie!$C$2:$N$2,0),FALSE),"× Chybí překlad ×"))</f>
        <v/>
      </c>
      <c r="C872" s="798" t="str">
        <f t="shared" si="13"/>
        <v/>
      </c>
    </row>
    <row r="873" spans="1:3">
      <c r="A873" s="802" t="s">
        <v>20</v>
      </c>
      <c r="B873" s="798" t="str">
        <f>IF(A873="","",IFERROR(VLOOKUP(A873,Kategorie!C:N,MATCH('General price list'!$W$17,Kategorie!$C$2:$N$2,0),FALSE),"× Chybí překlad ×"))</f>
        <v/>
      </c>
      <c r="C873" s="798" t="str">
        <f t="shared" si="13"/>
        <v/>
      </c>
    </row>
    <row r="874" spans="1:3">
      <c r="A874" s="796" t="s">
        <v>20</v>
      </c>
      <c r="B874" s="798" t="str">
        <f>IF(A874="","",IFERROR(VLOOKUP(A874,Kategorie!C:N,MATCH('General price list'!$W$17,Kategorie!$C$2:$N$2,0),FALSE),"× Chybí překlad ×"))</f>
        <v/>
      </c>
      <c r="C874" s="798" t="str">
        <f t="shared" si="13"/>
        <v/>
      </c>
    </row>
    <row r="875" spans="1:3">
      <c r="A875" s="796" t="s">
        <v>13185</v>
      </c>
      <c r="B875" s="798" t="str">
        <f>IF(A875="","",IFERROR(VLOOKUP(A875,Kategorie!C:N,MATCH('General price list'!$W$17,Kategorie!$C$2:$N$2,0),FALSE),"× Chybí překlad ×"))</f>
        <v>Baterie 135 ran, 20 mm šikmý moždíř</v>
      </c>
      <c r="C875" s="798" t="str">
        <f t="shared" si="13"/>
        <v xml:space="preserve">           Baterie 135 ran, 20 mm šikmý moždíř</v>
      </c>
    </row>
    <row r="876" spans="1:3">
      <c r="A876" s="796" t="s">
        <v>20</v>
      </c>
      <c r="B876" s="798" t="str">
        <f>IF(A876="","",IFERROR(VLOOKUP(A876,Kategorie!C:N,MATCH('General price list'!$W$17,Kategorie!$C$2:$N$2,0),FALSE),"× Chybí překlad ×"))</f>
        <v/>
      </c>
      <c r="C876" s="798" t="str">
        <f t="shared" si="13"/>
        <v/>
      </c>
    </row>
    <row r="877" spans="1:3">
      <c r="A877" s="796" t="s">
        <v>20</v>
      </c>
      <c r="B877" s="798" t="str">
        <f>IF(A877="","",IFERROR(VLOOKUP(A877,Kategorie!C:N,MATCH('General price list'!$W$17,Kategorie!$C$2:$N$2,0),FALSE),"× Chybí překlad ×"))</f>
        <v/>
      </c>
      <c r="C877" s="798" t="str">
        <f t="shared" si="13"/>
        <v/>
      </c>
    </row>
    <row r="878" spans="1:3">
      <c r="A878" s="796" t="s">
        <v>20</v>
      </c>
      <c r="B878" s="798" t="str">
        <f>IF(A878="","",IFERROR(VLOOKUP(A878,Kategorie!C:N,MATCH('General price list'!$W$17,Kategorie!$C$2:$N$2,0),FALSE),"× Chybí překlad ×"))</f>
        <v/>
      </c>
      <c r="C878" s="798" t="str">
        <f t="shared" si="13"/>
        <v/>
      </c>
    </row>
    <row r="879" spans="1:3">
      <c r="A879" s="796" t="s">
        <v>20</v>
      </c>
      <c r="B879" s="798" t="str">
        <f>IF(A879="","",IFERROR(VLOOKUP(A879,Kategorie!C:N,MATCH('General price list'!$W$17,Kategorie!$C$2:$N$2,0),FALSE),"× Chybí překlad ×"))</f>
        <v/>
      </c>
      <c r="C879" s="798" t="str">
        <f t="shared" si="13"/>
        <v/>
      </c>
    </row>
    <row r="880" spans="1:3">
      <c r="A880" s="796" t="s">
        <v>20</v>
      </c>
      <c r="B880" s="798" t="str">
        <f>IF(A880="","",IFERROR(VLOOKUP(A880,Kategorie!C:N,MATCH('General price list'!$W$17,Kategorie!$C$2:$N$2,0),FALSE),"× Chybí překlad ×"))</f>
        <v/>
      </c>
      <c r="C880" s="798" t="str">
        <f t="shared" si="13"/>
        <v/>
      </c>
    </row>
    <row r="881" spans="1:3">
      <c r="A881" s="796" t="s">
        <v>20</v>
      </c>
      <c r="B881" s="798" t="str">
        <f>IF(A881="","",IFERROR(VLOOKUP(A881,Kategorie!C:N,MATCH('General price list'!$W$17,Kategorie!$C$2:$N$2,0),FALSE),"× Chybí překlad ×"))</f>
        <v/>
      </c>
      <c r="C881" s="798" t="str">
        <f t="shared" si="13"/>
        <v/>
      </c>
    </row>
    <row r="882" spans="1:3">
      <c r="A882" s="802" t="s">
        <v>13186</v>
      </c>
      <c r="B882" s="798" t="str">
        <f>IF(A882="","",IFERROR(VLOOKUP(A882,Kategorie!C:N,MATCH('General price list'!$W$17,Kategorie!$C$2:$N$2,0),FALSE),"× Chybí překlad ×"))</f>
        <v>Baterie 25 ran, 30 mm moždíř</v>
      </c>
      <c r="C882" s="798" t="str">
        <f t="shared" si="13"/>
        <v xml:space="preserve">           Baterie 25 ran, 30 mm moždíř</v>
      </c>
    </row>
    <row r="883" spans="1:3">
      <c r="A883" s="796" t="s">
        <v>20</v>
      </c>
      <c r="B883" s="798" t="str">
        <f>IF(A883="","",IFERROR(VLOOKUP(A883,Kategorie!C:N,MATCH('General price list'!$W$17,Kategorie!$C$2:$N$2,0),FALSE),"× Chybí překlad ×"))</f>
        <v/>
      </c>
      <c r="C883" s="798" t="str">
        <f t="shared" si="13"/>
        <v/>
      </c>
    </row>
    <row r="884" spans="1:3">
      <c r="A884" s="796" t="s">
        <v>20</v>
      </c>
      <c r="B884" s="798" t="str">
        <f>IF(A884="","",IFERROR(VLOOKUP(A884,Kategorie!C:N,MATCH('General price list'!$W$17,Kategorie!$C$2:$N$2,0),FALSE),"× Chybí překlad ×"))</f>
        <v/>
      </c>
      <c r="C884" s="798" t="str">
        <f t="shared" si="13"/>
        <v/>
      </c>
    </row>
    <row r="885" spans="1:3">
      <c r="A885" s="796" t="s">
        <v>13187</v>
      </c>
      <c r="B885" s="798" t="str">
        <f>IF(A885="","",IFERROR(VLOOKUP(A885,Kategorie!C:N,MATCH('General price list'!$W$17,Kategorie!$C$2:$N$2,0),FALSE),"× Chybí překlad ×"))</f>
        <v>Baterie 50 ran, 30 mm šikmý moždíř</v>
      </c>
      <c r="C885" s="798" t="str">
        <f t="shared" si="13"/>
        <v xml:space="preserve">           Baterie 50 ran, 30 mm šikmý moždíř</v>
      </c>
    </row>
    <row r="886" spans="1:3">
      <c r="A886" s="796" t="s">
        <v>20</v>
      </c>
      <c r="B886" s="798" t="str">
        <f>IF(A886="","",IFERROR(VLOOKUP(A886,Kategorie!C:N,MATCH('General price list'!$W$17,Kategorie!$C$2:$N$2,0),FALSE),"× Chybí překlad ×"))</f>
        <v/>
      </c>
      <c r="C886" s="798" t="str">
        <f t="shared" si="13"/>
        <v/>
      </c>
    </row>
    <row r="887" spans="1:3">
      <c r="A887" s="796" t="s">
        <v>20</v>
      </c>
      <c r="B887" s="798" t="str">
        <f>IF(A887="","",IFERROR(VLOOKUP(A887,Kategorie!C:N,MATCH('General price list'!$W$17,Kategorie!$C$2:$N$2,0),FALSE),"× Chybí překlad ×"))</f>
        <v/>
      </c>
      <c r="C887" s="798" t="str">
        <f t="shared" si="13"/>
        <v/>
      </c>
    </row>
    <row r="888" spans="1:3">
      <c r="A888" s="796" t="s">
        <v>20</v>
      </c>
      <c r="B888" s="798" t="str">
        <f>IF(A888="","",IFERROR(VLOOKUP(A888,Kategorie!C:N,MATCH('General price list'!$W$17,Kategorie!$C$2:$N$2,0),FALSE),"× Chybí překlad ×"))</f>
        <v/>
      </c>
      <c r="C888" s="798" t="str">
        <f t="shared" si="13"/>
        <v/>
      </c>
    </row>
    <row r="889" spans="1:3">
      <c r="A889" s="796" t="s">
        <v>20</v>
      </c>
      <c r="B889" s="798" t="str">
        <f>IF(A889="","",IFERROR(VLOOKUP(A889,Kategorie!C:N,MATCH('General price list'!$W$17,Kategorie!$C$2:$N$2,0),FALSE),"× Chybí překlad ×"))</f>
        <v/>
      </c>
      <c r="C889" s="798" t="str">
        <f t="shared" si="13"/>
        <v/>
      </c>
    </row>
    <row r="890" spans="1:3">
      <c r="A890" s="796" t="s">
        <v>20</v>
      </c>
      <c r="B890" s="798" t="str">
        <f>IF(A890="","",IFERROR(VLOOKUP(A890,Kategorie!C:N,MATCH('General price list'!$W$17,Kategorie!$C$2:$N$2,0),FALSE),"× Chybí překlad ×"))</f>
        <v/>
      </c>
      <c r="C890" s="798" t="str">
        <f t="shared" si="13"/>
        <v/>
      </c>
    </row>
    <row r="891" spans="1:3">
      <c r="A891" s="796" t="s">
        <v>20</v>
      </c>
      <c r="B891" s="798" t="str">
        <f>IF(A891="","",IFERROR(VLOOKUP(A891,Kategorie!C:N,MATCH('General price list'!$W$17,Kategorie!$C$2:$N$2,0),FALSE),"× Chybí překlad ×"))</f>
        <v/>
      </c>
      <c r="C891" s="798" t="str">
        <f t="shared" si="13"/>
        <v/>
      </c>
    </row>
    <row r="892" spans="1:3">
      <c r="A892" s="796" t="s">
        <v>20</v>
      </c>
      <c r="B892" s="798" t="str">
        <f>IF(A892="","",IFERROR(VLOOKUP(A892,Kategorie!C:N,MATCH('General price list'!$W$17,Kategorie!$C$2:$N$2,0),FALSE),"× Chybí překlad ×"))</f>
        <v/>
      </c>
      <c r="C892" s="798" t="str">
        <f t="shared" si="13"/>
        <v/>
      </c>
    </row>
    <row r="893" spans="1:3">
      <c r="A893" s="796" t="s">
        <v>20</v>
      </c>
      <c r="B893" s="798" t="str">
        <f>IF(A893="","",IFERROR(VLOOKUP(A893,Kategorie!C:N,MATCH('General price list'!$W$17,Kategorie!$C$2:$N$2,0),FALSE),"× Chybí překlad ×"))</f>
        <v/>
      </c>
      <c r="C893" s="798" t="str">
        <f t="shared" si="13"/>
        <v/>
      </c>
    </row>
    <row r="894" spans="1:3">
      <c r="A894" s="796" t="s">
        <v>10511</v>
      </c>
      <c r="B894" s="798" t="str">
        <f>IF(A894="","",IFERROR(VLOOKUP(A894,Kategorie!C:N,MATCH('General price list'!$W$17,Kategorie!$C$2:$N$2,0),FALSE),"× Chybí překlad ×"))</f>
        <v>× Chybí překlad ×</v>
      </c>
      <c r="C894" s="798" t="str">
        <f t="shared" si="13"/>
        <v>×</v>
      </c>
    </row>
    <row r="895" spans="1:3">
      <c r="A895" s="796" t="s">
        <v>10511</v>
      </c>
      <c r="B895" s="798" t="str">
        <f>IF(A895="","",IFERROR(VLOOKUP(A895,Kategorie!C:N,MATCH('General price list'!$W$17,Kategorie!$C$2:$N$2,0),FALSE),"× Chybí překlad ×"))</f>
        <v>× Chybí překlad ×</v>
      </c>
      <c r="C895" s="798" t="str">
        <f t="shared" si="13"/>
        <v>×</v>
      </c>
    </row>
    <row r="896" spans="1:3">
      <c r="A896" s="796" t="s">
        <v>20</v>
      </c>
      <c r="B896" s="798" t="str">
        <f>IF(A896="","",IFERROR(VLOOKUP(A896,Kategorie!C:N,MATCH('General price list'!$W$17,Kategorie!$C$2:$N$2,0),FALSE),"× Chybí překlad ×"))</f>
        <v/>
      </c>
      <c r="C896" s="798" t="str">
        <f t="shared" si="13"/>
        <v/>
      </c>
    </row>
    <row r="897" spans="1:3">
      <c r="A897" s="796" t="s">
        <v>20</v>
      </c>
      <c r="B897" s="798" t="str">
        <f>IF(A897="","",IFERROR(VLOOKUP(A897,Kategorie!C:N,MATCH('General price list'!$W$17,Kategorie!$C$2:$N$2,0),FALSE),"× Chybí překlad ×"))</f>
        <v/>
      </c>
      <c r="C897" s="798" t="str">
        <f t="shared" si="13"/>
        <v/>
      </c>
    </row>
    <row r="898" spans="1:3">
      <c r="A898" s="796" t="s">
        <v>13188</v>
      </c>
      <c r="B898" s="798" t="str">
        <f>IF(A898="","",IFERROR(VLOOKUP(A898,Kategorie!C:N,MATCH('General price list'!$W$17,Kategorie!$C$2:$N$2,0),FALSE),"× Chybí překlad ×"))</f>
        <v>Baterie 50 ran, 30 mm S moždíř</v>
      </c>
      <c r="C898" s="798" t="str">
        <f t="shared" si="13"/>
        <v xml:space="preserve">           Baterie 50 ran, 30 mm S moždíř</v>
      </c>
    </row>
    <row r="899" spans="1:3">
      <c r="A899" s="796" t="s">
        <v>20</v>
      </c>
      <c r="B899" s="798" t="str">
        <f>IF(A899="","",IFERROR(VLOOKUP(A899,Kategorie!C:N,MATCH('General price list'!$W$17,Kategorie!$C$2:$N$2,0),FALSE),"× Chybí překlad ×"))</f>
        <v/>
      </c>
      <c r="C899" s="798" t="str">
        <f t="shared" si="13"/>
        <v/>
      </c>
    </row>
    <row r="900" spans="1:3">
      <c r="A900" s="796" t="s">
        <v>20</v>
      </c>
      <c r="B900" s="798" t="str">
        <f>IF(A900="","",IFERROR(VLOOKUP(A900,Kategorie!C:N,MATCH('General price list'!$W$17,Kategorie!$C$2:$N$2,0),FALSE),"× Chybí překlad ×"))</f>
        <v/>
      </c>
      <c r="C900" s="798" t="str">
        <f t="shared" ref="C900:C963" si="14">IF(A900="","",IF(A900="x","×",$B$1&amp;B900))</f>
        <v/>
      </c>
    </row>
    <row r="901" spans="1:3">
      <c r="A901" s="796" t="s">
        <v>20</v>
      </c>
      <c r="B901" s="798" t="str">
        <f>IF(A901="","",IFERROR(VLOOKUP(A901,Kategorie!C:N,MATCH('General price list'!$W$17,Kategorie!$C$2:$N$2,0),FALSE),"× Chybí překlad ×"))</f>
        <v/>
      </c>
      <c r="C901" s="798" t="str">
        <f t="shared" si="14"/>
        <v/>
      </c>
    </row>
    <row r="902" spans="1:3">
      <c r="A902" s="796" t="s">
        <v>20</v>
      </c>
      <c r="B902" s="798" t="str">
        <f>IF(A902="","",IFERROR(VLOOKUP(A902,Kategorie!C:N,MATCH('General price list'!$W$17,Kategorie!$C$2:$N$2,0),FALSE),"× Chybí překlad ×"))</f>
        <v/>
      </c>
      <c r="C902" s="798" t="str">
        <f t="shared" si="14"/>
        <v/>
      </c>
    </row>
    <row r="903" spans="1:3">
      <c r="A903" s="802" t="s">
        <v>20</v>
      </c>
      <c r="B903" s="798" t="str">
        <f>IF(A903="","",IFERROR(VLOOKUP(A903,Kategorie!C:N,MATCH('General price list'!$W$17,Kategorie!$C$2:$N$2,0),FALSE),"× Chybí překlad ×"))</f>
        <v/>
      </c>
      <c r="C903" s="798" t="str">
        <f t="shared" si="14"/>
        <v/>
      </c>
    </row>
    <row r="904" spans="1:3">
      <c r="A904" s="796" t="s">
        <v>10511</v>
      </c>
      <c r="B904" s="798" t="str">
        <f>IF(A904="","",IFERROR(VLOOKUP(A904,Kategorie!C:N,MATCH('General price list'!$W$17,Kategorie!$C$2:$N$2,0),FALSE),"× Chybí překlad ×"))</f>
        <v>× Chybí překlad ×</v>
      </c>
      <c r="C904" s="798" t="str">
        <f t="shared" si="14"/>
        <v>×</v>
      </c>
    </row>
    <row r="905" spans="1:3">
      <c r="A905" s="796" t="s">
        <v>10511</v>
      </c>
      <c r="B905" s="798" t="str">
        <f>IF(A905="","",IFERROR(VLOOKUP(A905,Kategorie!C:N,MATCH('General price list'!$W$17,Kategorie!$C$2:$N$2,0),FALSE),"× Chybí překlad ×"))</f>
        <v>× Chybí překlad ×</v>
      </c>
      <c r="C905" s="798" t="str">
        <f t="shared" si="14"/>
        <v>×</v>
      </c>
    </row>
    <row r="906" spans="1:3">
      <c r="A906" s="796" t="s">
        <v>20</v>
      </c>
      <c r="B906" s="798" t="str">
        <f>IF(A906="","",IFERROR(VLOOKUP(A906,Kategorie!C:N,MATCH('General price list'!$W$17,Kategorie!$C$2:$N$2,0),FALSE),"× Chybí překlad ×"))</f>
        <v/>
      </c>
      <c r="C906" s="798" t="str">
        <f t="shared" si="14"/>
        <v/>
      </c>
    </row>
    <row r="907" spans="1:3">
      <c r="A907" s="796" t="s">
        <v>20</v>
      </c>
      <c r="B907" s="798" t="str">
        <f>IF(A907="","",IFERROR(VLOOKUP(A907,Kategorie!C:N,MATCH('General price list'!$W$17,Kategorie!$C$2:$N$2,0),FALSE),"× Chybí překlad ×"))</f>
        <v/>
      </c>
      <c r="C907" s="798" t="str">
        <f t="shared" si="14"/>
        <v/>
      </c>
    </row>
    <row r="908" spans="1:3">
      <c r="A908" s="796" t="s">
        <v>13189</v>
      </c>
      <c r="B908" s="798" t="str">
        <f>IF(A908="","",IFERROR(VLOOKUP(A908,Kategorie!C:N,MATCH('General price list'!$W$17,Kategorie!$C$2:$N$2,0),FALSE),"× Chybí překlad ×"))</f>
        <v>Kulové pumy 50 mm</v>
      </c>
      <c r="C908" s="798" t="str">
        <f t="shared" si="14"/>
        <v xml:space="preserve">           Kulové pumy 50 mm</v>
      </c>
    </row>
    <row r="909" spans="1:3">
      <c r="A909" s="796" t="s">
        <v>20</v>
      </c>
      <c r="B909" s="798" t="str">
        <f>IF(A909="","",IFERROR(VLOOKUP(A909,Kategorie!C:N,MATCH('General price list'!$W$17,Kategorie!$C$2:$N$2,0),FALSE),"× Chybí překlad ×"))</f>
        <v/>
      </c>
      <c r="C909" s="798" t="str">
        <f t="shared" si="14"/>
        <v/>
      </c>
    </row>
    <row r="910" spans="1:3">
      <c r="A910" s="796" t="s">
        <v>13190</v>
      </c>
      <c r="B910" s="798" t="str">
        <f>IF(A910="","",IFERROR(VLOOKUP(A910,Kategorie!C:N,MATCH('General price list'!$W$17,Kategorie!$C$2:$N$2,0),FALSE),"× Chybí překlad ×"))</f>
        <v>Kulové pumy 75 mm, prémiová kvalita</v>
      </c>
      <c r="C910" s="798" t="str">
        <f t="shared" si="14"/>
        <v xml:space="preserve">           Kulové pumy 75 mm, prémiová kvalita</v>
      </c>
    </row>
    <row r="911" spans="1:3">
      <c r="A911" s="796" t="s">
        <v>20</v>
      </c>
      <c r="B911" s="798" t="str">
        <f>IF(A911="","",IFERROR(VLOOKUP(A911,Kategorie!C:N,MATCH('General price list'!$W$17,Kategorie!$C$2:$N$2,0),FALSE),"× Chybí překlad ×"))</f>
        <v/>
      </c>
      <c r="C911" s="798" t="str">
        <f t="shared" si="14"/>
        <v/>
      </c>
    </row>
    <row r="912" spans="1:3">
      <c r="A912" s="796" t="s">
        <v>20</v>
      </c>
      <c r="B912" s="798" t="str">
        <f>IF(A912="","",IFERROR(VLOOKUP(A912,Kategorie!C:N,MATCH('General price list'!$W$17,Kategorie!$C$2:$N$2,0),FALSE),"× Chybí překlad ×"))</f>
        <v/>
      </c>
      <c r="C912" s="798" t="str">
        <f t="shared" si="14"/>
        <v/>
      </c>
    </row>
    <row r="913" spans="1:3">
      <c r="A913" s="796" t="s">
        <v>20</v>
      </c>
      <c r="B913" s="798" t="str">
        <f>IF(A913="","",IFERROR(VLOOKUP(A913,Kategorie!C:N,MATCH('General price list'!$W$17,Kategorie!$C$2:$N$2,0),FALSE),"× Chybí překlad ×"))</f>
        <v/>
      </c>
      <c r="C913" s="798" t="str">
        <f t="shared" si="14"/>
        <v/>
      </c>
    </row>
    <row r="914" spans="1:3">
      <c r="A914" s="796" t="s">
        <v>20</v>
      </c>
      <c r="B914" s="798" t="str">
        <f>IF(A914="","",IFERROR(VLOOKUP(A914,Kategorie!C:N,MATCH('General price list'!$W$17,Kategorie!$C$2:$N$2,0),FALSE),"× Chybí překlad ×"))</f>
        <v/>
      </c>
      <c r="C914" s="798" t="str">
        <f t="shared" si="14"/>
        <v/>
      </c>
    </row>
    <row r="915" spans="1:3">
      <c r="A915" s="796" t="s">
        <v>20</v>
      </c>
      <c r="B915" s="798" t="str">
        <f>IF(A915="","",IFERROR(VLOOKUP(A915,Kategorie!C:N,MATCH('General price list'!$W$17,Kategorie!$C$2:$N$2,0),FALSE),"× Chybí překlad ×"))</f>
        <v/>
      </c>
      <c r="C915" s="798" t="str">
        <f t="shared" si="14"/>
        <v/>
      </c>
    </row>
    <row r="916" spans="1:3">
      <c r="A916" s="796" t="s">
        <v>20</v>
      </c>
      <c r="B916" s="798" t="str">
        <f>IF(A916="","",IFERROR(VLOOKUP(A916,Kategorie!C:N,MATCH('General price list'!$W$17,Kategorie!$C$2:$N$2,0),FALSE),"× Chybí překlad ×"))</f>
        <v/>
      </c>
      <c r="C916" s="798" t="str">
        <f t="shared" si="14"/>
        <v/>
      </c>
    </row>
    <row r="917" spans="1:3">
      <c r="A917" s="796" t="s">
        <v>13191</v>
      </c>
      <c r="B917" s="798" t="str">
        <f>IF(A917="","",IFERROR(VLOOKUP(A917,Kategorie!C:N,MATCH('General price list'!$W$17,Kategorie!$C$2:$N$2,0),FALSE),"× Chybí překlad ×"))</f>
        <v>Kulové pumy 100 mm</v>
      </c>
      <c r="C917" s="798" t="str">
        <f t="shared" si="14"/>
        <v xml:space="preserve">           Kulové pumy 100 mm</v>
      </c>
    </row>
    <row r="918" spans="1:3">
      <c r="A918" s="802" t="s">
        <v>20</v>
      </c>
      <c r="B918" s="798" t="str">
        <f>IF(A918="","",IFERROR(VLOOKUP(A918,Kategorie!C:N,MATCH('General price list'!$W$17,Kategorie!$C$2:$N$2,0),FALSE),"× Chybí překlad ×"))</f>
        <v/>
      </c>
      <c r="C918" s="798" t="str">
        <f t="shared" si="14"/>
        <v/>
      </c>
    </row>
    <row r="919" spans="1:3">
      <c r="A919" s="796" t="s">
        <v>13192</v>
      </c>
      <c r="B919" s="798" t="str">
        <f>IF(A919="","",IFERROR(VLOOKUP(A919,Kategorie!C:N,MATCH('General price list'!$W$17,Kategorie!$C$2:$N$2,0),FALSE),"× Chybí překlad ×"))</f>
        <v>Kulové pumy 100 mm, prémiová kvalita</v>
      </c>
      <c r="C919" s="798" t="str">
        <f t="shared" si="14"/>
        <v xml:space="preserve">           Kulové pumy 100 mm, prémiová kvalita</v>
      </c>
    </row>
    <row r="920" spans="1:3">
      <c r="A920" s="802" t="s">
        <v>20</v>
      </c>
      <c r="B920" s="798" t="str">
        <f>IF(A920="","",IFERROR(VLOOKUP(A920,Kategorie!C:N,MATCH('General price list'!$W$17,Kategorie!$C$2:$N$2,0),FALSE),"× Chybí překlad ×"))</f>
        <v/>
      </c>
      <c r="C920" s="798" t="str">
        <f t="shared" si="14"/>
        <v/>
      </c>
    </row>
    <row r="921" spans="1:3">
      <c r="A921" s="796" t="s">
        <v>20</v>
      </c>
      <c r="B921" s="798" t="str">
        <f>IF(A921="","",IFERROR(VLOOKUP(A921,Kategorie!C:N,MATCH('General price list'!$W$17,Kategorie!$C$2:$N$2,0),FALSE),"× Chybí překlad ×"))</f>
        <v/>
      </c>
      <c r="C921" s="798" t="str">
        <f t="shared" si="14"/>
        <v/>
      </c>
    </row>
    <row r="922" spans="1:3">
      <c r="A922" s="796" t="s">
        <v>20</v>
      </c>
      <c r="B922" s="798" t="str">
        <f>IF(A922="","",IFERROR(VLOOKUP(A922,Kategorie!C:N,MATCH('General price list'!$W$17,Kategorie!$C$2:$N$2,0),FALSE),"× Chybí překlad ×"))</f>
        <v/>
      </c>
      <c r="C922" s="798" t="str">
        <f t="shared" si="14"/>
        <v/>
      </c>
    </row>
    <row r="923" spans="1:3">
      <c r="A923" s="796" t="s">
        <v>20</v>
      </c>
      <c r="B923" s="798" t="str">
        <f>IF(A923="","",IFERROR(VLOOKUP(A923,Kategorie!C:N,MATCH('General price list'!$W$17,Kategorie!$C$2:$N$2,0),FALSE),"× Chybí překlad ×"))</f>
        <v/>
      </c>
      <c r="C923" s="798" t="str">
        <f t="shared" si="14"/>
        <v/>
      </c>
    </row>
    <row r="924" spans="1:3">
      <c r="A924" s="802" t="s">
        <v>20</v>
      </c>
      <c r="B924" s="798" t="str">
        <f>IF(A924="","",IFERROR(VLOOKUP(A924,Kategorie!C:N,MATCH('General price list'!$W$17,Kategorie!$C$2:$N$2,0),FALSE),"× Chybí překlad ×"))</f>
        <v/>
      </c>
      <c r="C924" s="798" t="str">
        <f t="shared" si="14"/>
        <v/>
      </c>
    </row>
    <row r="925" spans="1:3">
      <c r="A925" s="796" t="s">
        <v>20</v>
      </c>
      <c r="B925" s="798" t="str">
        <f>IF(A925="","",IFERROR(VLOOKUP(A925,Kategorie!C:N,MATCH('General price list'!$W$17,Kategorie!$C$2:$N$2,0),FALSE),"× Chybí překlad ×"))</f>
        <v/>
      </c>
      <c r="C925" s="798" t="str">
        <f t="shared" si="14"/>
        <v/>
      </c>
    </row>
    <row r="926" spans="1:3">
      <c r="A926" s="802" t="s">
        <v>20</v>
      </c>
      <c r="B926" s="798" t="str">
        <f>IF(A926="","",IFERROR(VLOOKUP(A926,Kategorie!C:N,MATCH('General price list'!$W$17,Kategorie!$C$2:$N$2,0),FALSE),"× Chybí překlad ×"))</f>
        <v/>
      </c>
      <c r="C926" s="798" t="str">
        <f t="shared" si="14"/>
        <v/>
      </c>
    </row>
    <row r="927" spans="1:3">
      <c r="A927" s="796" t="s">
        <v>20</v>
      </c>
      <c r="B927" s="798" t="str">
        <f>IF(A927="","",IFERROR(VLOOKUP(A927,Kategorie!C:N,MATCH('General price list'!$W$17,Kategorie!$C$2:$N$2,0),FALSE),"× Chybí překlad ×"))</f>
        <v/>
      </c>
      <c r="C927" s="798" t="str">
        <f t="shared" si="14"/>
        <v/>
      </c>
    </row>
    <row r="928" spans="1:3">
      <c r="A928" s="796" t="s">
        <v>20</v>
      </c>
      <c r="B928" s="798" t="str">
        <f>IF(A928="","",IFERROR(VLOOKUP(A928,Kategorie!C:N,MATCH('General price list'!$W$17,Kategorie!$C$2:$N$2,0),FALSE),"× Chybí překlad ×"))</f>
        <v/>
      </c>
      <c r="C928" s="798" t="str">
        <f t="shared" si="14"/>
        <v/>
      </c>
    </row>
    <row r="929" spans="1:3">
      <c r="A929" s="802" t="s">
        <v>20</v>
      </c>
      <c r="B929" s="798" t="str">
        <f>IF(A929="","",IFERROR(VLOOKUP(A929,Kategorie!C:N,MATCH('General price list'!$W$17,Kategorie!$C$2:$N$2,0),FALSE),"× Chybí překlad ×"))</f>
        <v/>
      </c>
      <c r="C929" s="798" t="str">
        <f t="shared" si="14"/>
        <v/>
      </c>
    </row>
    <row r="930" spans="1:3">
      <c r="A930" s="796" t="s">
        <v>20</v>
      </c>
      <c r="B930" s="798" t="str">
        <f>IF(A930="","",IFERROR(VLOOKUP(A930,Kategorie!C:N,MATCH('General price list'!$W$17,Kategorie!$C$2:$N$2,0),FALSE),"× Chybí překlad ×"))</f>
        <v/>
      </c>
      <c r="C930" s="798" t="str">
        <f t="shared" si="14"/>
        <v/>
      </c>
    </row>
    <row r="931" spans="1:3">
      <c r="A931" s="796" t="s">
        <v>20</v>
      </c>
      <c r="B931" s="798" t="str">
        <f>IF(A931="","",IFERROR(VLOOKUP(A931,Kategorie!C:N,MATCH('General price list'!$W$17,Kategorie!$C$2:$N$2,0),FALSE),"× Chybí překlad ×"))</f>
        <v/>
      </c>
      <c r="C931" s="798" t="str">
        <f t="shared" si="14"/>
        <v/>
      </c>
    </row>
    <row r="932" spans="1:3">
      <c r="A932" s="796" t="s">
        <v>20</v>
      </c>
      <c r="B932" s="798" t="str">
        <f>IF(A932="","",IFERROR(VLOOKUP(A932,Kategorie!C:N,MATCH('General price list'!$W$17,Kategorie!$C$2:$N$2,0),FALSE),"× Chybí překlad ×"))</f>
        <v/>
      </c>
      <c r="C932" s="798" t="str">
        <f t="shared" si="14"/>
        <v/>
      </c>
    </row>
    <row r="933" spans="1:3">
      <c r="A933" s="802" t="s">
        <v>20</v>
      </c>
      <c r="B933" s="798" t="str">
        <f>IF(A933="","",IFERROR(VLOOKUP(A933,Kategorie!C:N,MATCH('General price list'!$W$17,Kategorie!$C$2:$N$2,0),FALSE),"× Chybí překlad ×"))</f>
        <v/>
      </c>
      <c r="C933" s="798" t="str">
        <f t="shared" si="14"/>
        <v/>
      </c>
    </row>
    <row r="934" spans="1:3">
      <c r="A934" s="796" t="s">
        <v>20</v>
      </c>
      <c r="B934" s="798" t="str">
        <f>IF(A934="","",IFERROR(VLOOKUP(A934,Kategorie!C:N,MATCH('General price list'!$W$17,Kategorie!$C$2:$N$2,0),FALSE),"× Chybí překlad ×"))</f>
        <v/>
      </c>
      <c r="C934" s="798" t="str">
        <f t="shared" si="14"/>
        <v/>
      </c>
    </row>
    <row r="935" spans="1:3">
      <c r="A935" s="796" t="s">
        <v>13193</v>
      </c>
      <c r="B935" s="798" t="str">
        <f>IF(A935="","",IFERROR(VLOOKUP(A935,Kategorie!C:N,MATCH('General price list'!$W$17,Kategorie!$C$2:$N$2,0),FALSE),"× Chybí překlad ×"))</f>
        <v>Kulové pumy 125 mm, prémiová kvalita</v>
      </c>
      <c r="C935" s="798" t="str">
        <f t="shared" si="14"/>
        <v xml:space="preserve">           Kulové pumy 125 mm, prémiová kvalita</v>
      </c>
    </row>
    <row r="936" spans="1:3">
      <c r="A936" s="796" t="s">
        <v>20</v>
      </c>
      <c r="B936" s="798" t="str">
        <f>IF(A936="","",IFERROR(VLOOKUP(A936,Kategorie!C:N,MATCH('General price list'!$W$17,Kategorie!$C$2:$N$2,0),FALSE),"× Chybí překlad ×"))</f>
        <v/>
      </c>
      <c r="C936" s="798" t="str">
        <f t="shared" si="14"/>
        <v/>
      </c>
    </row>
    <row r="937" spans="1:3">
      <c r="A937" s="796" t="s">
        <v>20</v>
      </c>
      <c r="B937" s="798" t="str">
        <f>IF(A937="","",IFERROR(VLOOKUP(A937,Kategorie!C:N,MATCH('General price list'!$W$17,Kategorie!$C$2:$N$2,0),FALSE),"× Chybí překlad ×"))</f>
        <v/>
      </c>
      <c r="C937" s="798" t="str">
        <f t="shared" si="14"/>
        <v/>
      </c>
    </row>
    <row r="938" spans="1:3">
      <c r="A938" s="796" t="s">
        <v>20</v>
      </c>
      <c r="B938" s="798" t="str">
        <f>IF(A938="","",IFERROR(VLOOKUP(A938,Kategorie!C:N,MATCH('General price list'!$W$17,Kategorie!$C$2:$N$2,0),FALSE),"× Chybí překlad ×"))</f>
        <v/>
      </c>
      <c r="C938" s="798" t="str">
        <f t="shared" si="14"/>
        <v/>
      </c>
    </row>
    <row r="939" spans="1:3">
      <c r="A939" s="802" t="s">
        <v>20</v>
      </c>
      <c r="B939" s="798" t="str">
        <f>IF(A939="","",IFERROR(VLOOKUP(A939,Kategorie!C:N,MATCH('General price list'!$W$17,Kategorie!$C$2:$N$2,0),FALSE),"× Chybí překlad ×"))</f>
        <v/>
      </c>
      <c r="C939" s="798" t="str">
        <f t="shared" si="14"/>
        <v/>
      </c>
    </row>
    <row r="940" spans="1:3">
      <c r="A940" s="796" t="s">
        <v>13194</v>
      </c>
      <c r="B940" s="798" t="str">
        <f>IF(A940="","",IFERROR(VLOOKUP(A940,Kategorie!C:N,MATCH('General price list'!$W$17,Kategorie!$C$2:$N$2,0),FALSE),"× Chybí překlad ×"))</f>
        <v>Kulové pumy 150 mm</v>
      </c>
      <c r="C940" s="798" t="str">
        <f t="shared" si="14"/>
        <v xml:space="preserve">           Kulové pumy 150 mm</v>
      </c>
    </row>
    <row r="941" spans="1:3">
      <c r="A941" s="796" t="s">
        <v>20</v>
      </c>
      <c r="B941" s="798" t="str">
        <f>IF(A941="","",IFERROR(VLOOKUP(A941,Kategorie!C:N,MATCH('General price list'!$W$17,Kategorie!$C$2:$N$2,0),FALSE),"× Chybí překlad ×"))</f>
        <v/>
      </c>
      <c r="C941" s="798" t="str">
        <f t="shared" si="14"/>
        <v/>
      </c>
    </row>
    <row r="942" spans="1:3">
      <c r="A942" s="802" t="s">
        <v>13195</v>
      </c>
      <c r="B942" s="798" t="str">
        <f>IF(A942="","",IFERROR(VLOOKUP(A942,Kategorie!C:N,MATCH('General price list'!$W$17,Kategorie!$C$2:$N$2,0),FALSE),"× Chybí překlad ×"))</f>
        <v>Kulové pumy 150 mm, prémiová kvalita</v>
      </c>
      <c r="C942" s="798" t="str">
        <f t="shared" si="14"/>
        <v xml:space="preserve">           Kulové pumy 150 mm, prémiová kvalita</v>
      </c>
    </row>
    <row r="943" spans="1:3">
      <c r="A943" s="796" t="s">
        <v>20</v>
      </c>
      <c r="B943" s="798" t="str">
        <f>IF(A943="","",IFERROR(VLOOKUP(A943,Kategorie!C:N,MATCH('General price list'!$W$17,Kategorie!$C$2:$N$2,0),FALSE),"× Chybí překlad ×"))</f>
        <v/>
      </c>
      <c r="C943" s="798" t="str">
        <f t="shared" si="14"/>
        <v/>
      </c>
    </row>
    <row r="944" spans="1:3">
      <c r="A944" s="796" t="s">
        <v>20</v>
      </c>
      <c r="B944" s="798" t="str">
        <f>IF(A944="","",IFERROR(VLOOKUP(A944,Kategorie!C:N,MATCH('General price list'!$W$17,Kategorie!$C$2:$N$2,0),FALSE),"× Chybí překlad ×"))</f>
        <v/>
      </c>
      <c r="C944" s="798" t="str">
        <f t="shared" si="14"/>
        <v/>
      </c>
    </row>
    <row r="945" spans="1:3">
      <c r="A945" s="796" t="s">
        <v>20</v>
      </c>
      <c r="B945" s="798" t="str">
        <f>IF(A945="","",IFERROR(VLOOKUP(A945,Kategorie!C:N,MATCH('General price list'!$W$17,Kategorie!$C$2:$N$2,0),FALSE),"× Chybí překlad ×"))</f>
        <v/>
      </c>
      <c r="C945" s="798" t="str">
        <f t="shared" si="14"/>
        <v/>
      </c>
    </row>
    <row r="946" spans="1:3">
      <c r="A946" s="796" t="s">
        <v>20</v>
      </c>
      <c r="B946" s="798" t="str">
        <f>IF(A946="","",IFERROR(VLOOKUP(A946,Kategorie!C:N,MATCH('General price list'!$W$17,Kategorie!$C$2:$N$2,0),FALSE),"× Chybí překlad ×"))</f>
        <v/>
      </c>
      <c r="C946" s="798" t="str">
        <f t="shared" si="14"/>
        <v/>
      </c>
    </row>
    <row r="947" spans="1:3">
      <c r="A947" s="802" t="s">
        <v>11686</v>
      </c>
      <c r="B947" s="798" t="str">
        <f>IF(A947="","",IFERROR(VLOOKUP(A947,Kategorie!C:N,MATCH('General price list'!$W$17,Kategorie!$C$2:$N$2,0),FALSE),"× Chybí překlad ×"))</f>
        <v>Riakeo kulové pumy</v>
      </c>
      <c r="C947" s="798" t="str">
        <f t="shared" si="14"/>
        <v xml:space="preserve">           Riakeo kulové pumy</v>
      </c>
    </row>
    <row r="948" spans="1:3">
      <c r="A948" s="796" t="s">
        <v>20</v>
      </c>
      <c r="B948" s="798" t="str">
        <f>IF(A948="","",IFERROR(VLOOKUP(A948,Kategorie!C:N,MATCH('General price list'!$W$17,Kategorie!$C$2:$N$2,0),FALSE),"× Chybí překlad ×"))</f>
        <v/>
      </c>
      <c r="C948" s="798" t="str">
        <f t="shared" si="14"/>
        <v/>
      </c>
    </row>
    <row r="949" spans="1:3">
      <c r="A949" s="796" t="s">
        <v>20</v>
      </c>
      <c r="B949" s="798" t="str">
        <f>IF(A949="","",IFERROR(VLOOKUP(A949,Kategorie!C:N,MATCH('General price list'!$W$17,Kategorie!$C$2:$N$2,0),FALSE),"× Chybí překlad ×"))</f>
        <v/>
      </c>
      <c r="C949" s="798" t="str">
        <f t="shared" si="14"/>
        <v/>
      </c>
    </row>
    <row r="950" spans="1:3">
      <c r="A950" s="796" t="s">
        <v>20</v>
      </c>
      <c r="B950" s="798" t="str">
        <f>IF(A950="","",IFERROR(VLOOKUP(A950,Kategorie!C:N,MATCH('General price list'!$W$17,Kategorie!$C$2:$N$2,0),FALSE),"× Chybí překlad ×"))</f>
        <v/>
      </c>
      <c r="C950" s="798" t="str">
        <f t="shared" si="14"/>
        <v/>
      </c>
    </row>
    <row r="951" spans="1:3">
      <c r="A951" s="796" t="s">
        <v>20</v>
      </c>
      <c r="B951" s="798" t="str">
        <f>IF(A951="","",IFERROR(VLOOKUP(A951,Kategorie!C:N,MATCH('General price list'!$W$17,Kategorie!$C$2:$N$2,0),FALSE),"× Chybí překlad ×"))</f>
        <v/>
      </c>
      <c r="C951" s="798" t="str">
        <f t="shared" si="14"/>
        <v/>
      </c>
    </row>
    <row r="952" spans="1:3">
      <c r="A952" s="802" t="s">
        <v>20</v>
      </c>
      <c r="B952" s="798" t="str">
        <f>IF(A952="","",IFERROR(VLOOKUP(A952,Kategorie!C:N,MATCH('General price list'!$W$17,Kategorie!$C$2:$N$2,0),FALSE),"× Chybí překlad ×"))</f>
        <v/>
      </c>
      <c r="C952" s="798" t="str">
        <f t="shared" si="14"/>
        <v/>
      </c>
    </row>
    <row r="953" spans="1:3">
      <c r="A953" s="796" t="s">
        <v>20</v>
      </c>
      <c r="B953" s="798" t="str">
        <f>IF(A953="","",IFERROR(VLOOKUP(A953,Kategorie!C:N,MATCH('General price list'!$W$17,Kategorie!$C$2:$N$2,0),FALSE),"× Chybí překlad ×"))</f>
        <v/>
      </c>
      <c r="C953" s="798" t="str">
        <f t="shared" si="14"/>
        <v/>
      </c>
    </row>
    <row r="954" spans="1:3">
      <c r="A954" s="802" t="s">
        <v>20</v>
      </c>
      <c r="B954" s="798" t="str">
        <f>IF(A954="","",IFERROR(VLOOKUP(A954,Kategorie!C:N,MATCH('General price list'!$W$17,Kategorie!$C$2:$N$2,0),FALSE),"× Chybí překlad ×"))</f>
        <v/>
      </c>
      <c r="C954" s="798" t="str">
        <f t="shared" si="14"/>
        <v/>
      </c>
    </row>
    <row r="955" spans="1:3">
      <c r="A955" s="796" t="s">
        <v>20</v>
      </c>
      <c r="B955" s="798" t="str">
        <f>IF(A955="","",IFERROR(VLOOKUP(A955,Kategorie!C:N,MATCH('General price list'!$W$17,Kategorie!$C$2:$N$2,0),FALSE),"× Chybí překlad ×"))</f>
        <v/>
      </c>
      <c r="C955" s="798" t="str">
        <f t="shared" si="14"/>
        <v/>
      </c>
    </row>
    <row r="956" spans="1:3">
      <c r="A956" s="796" t="s">
        <v>20</v>
      </c>
      <c r="B956" s="798" t="str">
        <f>IF(A956="","",IFERROR(VLOOKUP(A956,Kategorie!C:N,MATCH('General price list'!$W$17,Kategorie!$C$2:$N$2,0),FALSE),"× Chybí překlad ×"))</f>
        <v/>
      </c>
      <c r="C956" s="798" t="str">
        <f t="shared" si="14"/>
        <v/>
      </c>
    </row>
    <row r="957" spans="1:3">
      <c r="A957" s="802" t="s">
        <v>20</v>
      </c>
      <c r="B957" s="798" t="str">
        <f>IF(A957="","",IFERROR(VLOOKUP(A957,Kategorie!C:N,MATCH('General price list'!$W$17,Kategorie!$C$2:$N$2,0),FALSE),"× Chybí překlad ×"))</f>
        <v/>
      </c>
      <c r="C957" s="798" t="str">
        <f t="shared" si="14"/>
        <v/>
      </c>
    </row>
    <row r="958" spans="1:3">
      <c r="A958" s="796" t="s">
        <v>20</v>
      </c>
      <c r="B958" s="798" t="str">
        <f>IF(A958="","",IFERROR(VLOOKUP(A958,Kategorie!C:N,MATCH('General price list'!$W$17,Kategorie!$C$2:$N$2,0),FALSE),"× Chybí překlad ×"))</f>
        <v/>
      </c>
      <c r="C958" s="798" t="str">
        <f t="shared" si="14"/>
        <v/>
      </c>
    </row>
    <row r="959" spans="1:3">
      <c r="A959" s="802" t="s">
        <v>20</v>
      </c>
      <c r="B959" s="798" t="str">
        <f>IF(A959="","",IFERROR(VLOOKUP(A959,Kategorie!C:N,MATCH('General price list'!$W$17,Kategorie!$C$2:$N$2,0),FALSE),"× Chybí překlad ×"))</f>
        <v/>
      </c>
      <c r="C959" s="798" t="str">
        <f t="shared" si="14"/>
        <v/>
      </c>
    </row>
    <row r="960" spans="1:3">
      <c r="A960" s="796" t="s">
        <v>20</v>
      </c>
      <c r="B960" s="798" t="str">
        <f>IF(A960="","",IFERROR(VLOOKUP(A960,Kategorie!C:N,MATCH('General price list'!$W$17,Kategorie!$C$2:$N$2,0),FALSE),"× Chybí překlad ×"))</f>
        <v/>
      </c>
      <c r="C960" s="798" t="str">
        <f t="shared" si="14"/>
        <v/>
      </c>
    </row>
    <row r="961" spans="1:3">
      <c r="A961" s="802" t="s">
        <v>20</v>
      </c>
      <c r="B961" s="798" t="str">
        <f>IF(A961="","",IFERROR(VLOOKUP(A961,Kategorie!C:N,MATCH('General price list'!$W$17,Kategorie!$C$2:$N$2,0),FALSE),"× Chybí překlad ×"))</f>
        <v/>
      </c>
      <c r="C961" s="798" t="str">
        <f t="shared" si="14"/>
        <v/>
      </c>
    </row>
    <row r="962" spans="1:3">
      <c r="A962" s="796" t="s">
        <v>20</v>
      </c>
      <c r="B962" s="798" t="str">
        <f>IF(A962="","",IFERROR(VLOOKUP(A962,Kategorie!C:N,MATCH('General price list'!$W$17,Kategorie!$C$2:$N$2,0),FALSE),"× Chybí překlad ×"))</f>
        <v/>
      </c>
      <c r="C962" s="798" t="str">
        <f t="shared" si="14"/>
        <v/>
      </c>
    </row>
    <row r="963" spans="1:3">
      <c r="A963" s="802" t="s">
        <v>20</v>
      </c>
      <c r="B963" s="798" t="str">
        <f>IF(A963="","",IFERROR(VLOOKUP(A963,Kategorie!C:N,MATCH('General price list'!$W$17,Kategorie!$C$2:$N$2,0),FALSE),"× Chybí překlad ×"))</f>
        <v/>
      </c>
      <c r="C963" s="798" t="str">
        <f t="shared" si="14"/>
        <v/>
      </c>
    </row>
    <row r="964" spans="1:3">
      <c r="A964" s="796" t="s">
        <v>20</v>
      </c>
      <c r="B964" s="798" t="str">
        <f>IF(A964="","",IFERROR(VLOOKUP(A964,Kategorie!C:N,MATCH('General price list'!$W$17,Kategorie!$C$2:$N$2,0),FALSE),"× Chybí překlad ×"))</f>
        <v/>
      </c>
      <c r="C964" s="798" t="str">
        <f t="shared" ref="C964:C983" si="15">IF(A964="","",IF(A964="x","×",$B$1&amp;B964))</f>
        <v/>
      </c>
    </row>
    <row r="965" spans="1:3">
      <c r="A965" s="796" t="s">
        <v>20</v>
      </c>
      <c r="B965" s="798" t="str">
        <f>IF(A965="","",IFERROR(VLOOKUP(A965,Kategorie!C:N,MATCH('General price list'!$W$17,Kategorie!$C$2:$N$2,0),FALSE),"× Chybí překlad ×"))</f>
        <v/>
      </c>
      <c r="C965" s="798" t="str">
        <f t="shared" si="15"/>
        <v/>
      </c>
    </row>
    <row r="966" spans="1:3">
      <c r="A966" s="802" t="s">
        <v>20</v>
      </c>
      <c r="B966" s="798" t="str">
        <f>IF(A966="","",IFERROR(VLOOKUP(A966,Kategorie!C:N,MATCH('General price list'!$W$17,Kategorie!$C$2:$N$2,0),FALSE),"× Chybí překlad ×"))</f>
        <v/>
      </c>
      <c r="C966" s="798" t="str">
        <f t="shared" si="15"/>
        <v/>
      </c>
    </row>
    <row r="967" spans="1:3">
      <c r="A967" s="796" t="s">
        <v>6457</v>
      </c>
      <c r="B967" s="798" t="str">
        <f>IF(A967="","",IFERROR(VLOOKUP(A967,Kategorie!C:N,MATCH('General price list'!$W$17,Kategorie!$C$2:$N$2,0),FALSE),"× Chybí překlad ×"))</f>
        <v>Nezničitelné moždíře</v>
      </c>
      <c r="C967" s="798" t="str">
        <f t="shared" si="15"/>
        <v xml:space="preserve">           Nezničitelné moždíře</v>
      </c>
    </row>
    <row r="968" spans="1:3">
      <c r="A968" s="802" t="s">
        <v>20</v>
      </c>
      <c r="B968" s="798" t="str">
        <f>IF(A968="","",IFERROR(VLOOKUP(A968,Kategorie!C:N,MATCH('General price list'!$W$17,Kategorie!$C$2:$N$2,0),FALSE),"× Chybí překlad ×"))</f>
        <v/>
      </c>
      <c r="C968" s="798" t="str">
        <f t="shared" si="15"/>
        <v/>
      </c>
    </row>
    <row r="969" spans="1:3">
      <c r="A969" s="796" t="s">
        <v>20</v>
      </c>
      <c r="B969" s="798" t="str">
        <f>IF(A969="","",IFERROR(VLOOKUP(A969,Kategorie!C:N,MATCH('General price list'!$W$17,Kategorie!$C$2:$N$2,0),FALSE),"× Chybí překlad ×"))</f>
        <v/>
      </c>
      <c r="C969" s="798" t="str">
        <f t="shared" si="15"/>
        <v/>
      </c>
    </row>
    <row r="970" spans="1:3">
      <c r="A970" s="802" t="s">
        <v>20</v>
      </c>
      <c r="B970" s="798" t="str">
        <f>IF(A970="","",IFERROR(VLOOKUP(A970,Kategorie!C:N,MATCH('General price list'!$W$17,Kategorie!$C$2:$N$2,0),FALSE),"× Chybí překlad ×"))</f>
        <v/>
      </c>
      <c r="C970" s="798" t="str">
        <f t="shared" si="15"/>
        <v/>
      </c>
    </row>
    <row r="971" spans="1:3">
      <c r="A971" s="796" t="s">
        <v>20</v>
      </c>
      <c r="B971" s="798" t="str">
        <f>IF(A971="","",IFERROR(VLOOKUP(A971,Kategorie!C:N,MATCH('General price list'!$W$17,Kategorie!$C$2:$N$2,0),FALSE),"× Chybí překlad ×"))</f>
        <v/>
      </c>
      <c r="C971" s="798" t="str">
        <f t="shared" si="15"/>
        <v/>
      </c>
    </row>
    <row r="972" spans="1:3">
      <c r="A972" s="802" t="s">
        <v>20</v>
      </c>
      <c r="B972" s="798" t="str">
        <f>IF(A972="","",IFERROR(VLOOKUP(A972,Kategorie!C:N,MATCH('General price list'!$W$17,Kategorie!$C$2:$N$2,0),FALSE),"× Chybí překlad ×"))</f>
        <v/>
      </c>
      <c r="C972" s="798" t="str">
        <f t="shared" si="15"/>
        <v/>
      </c>
    </row>
    <row r="973" spans="1:3">
      <c r="A973" s="796" t="s">
        <v>6459</v>
      </c>
      <c r="B973" s="798" t="str">
        <f>IF(A973="","",IFERROR(VLOOKUP(A973,Kategorie!C:N,MATCH('General price list'!$W$17,Kategorie!$C$2:$N$2,0),FALSE),"× Chybí překlad ×"))</f>
        <v>Interiérové fontány, výstřiky, vodopády</v>
      </c>
      <c r="C973" s="798" t="str">
        <f t="shared" si="15"/>
        <v xml:space="preserve">           Interiérové fontány, výstřiky, vodopády</v>
      </c>
    </row>
    <row r="974" spans="1:3">
      <c r="A974" s="802" t="s">
        <v>20</v>
      </c>
      <c r="B974" s="798" t="str">
        <f>IF(A974="","",IFERROR(VLOOKUP(A974,Kategorie!C:N,MATCH('General price list'!$W$17,Kategorie!$C$2:$N$2,0),FALSE),"× Chybí překlad ×"))</f>
        <v/>
      </c>
      <c r="C974" s="798" t="str">
        <f t="shared" si="15"/>
        <v/>
      </c>
    </row>
    <row r="975" spans="1:3">
      <c r="A975" s="796" t="s">
        <v>20</v>
      </c>
      <c r="B975" s="798" t="str">
        <f>IF(A975="","",IFERROR(VLOOKUP(A975,Kategorie!C:N,MATCH('General price list'!$W$17,Kategorie!$C$2:$N$2,0),FALSE),"× Chybí překlad ×"))</f>
        <v/>
      </c>
      <c r="C975" s="798" t="str">
        <f t="shared" si="15"/>
        <v/>
      </c>
    </row>
    <row r="976" spans="1:3">
      <c r="A976" s="802" t="s">
        <v>20</v>
      </c>
      <c r="B976" s="798" t="str">
        <f>IF(A976="","",IFERROR(VLOOKUP(A976,Kategorie!C:N,MATCH('General price list'!$W$17,Kategorie!$C$2:$N$2,0),FALSE),"× Chybí překlad ×"))</f>
        <v/>
      </c>
      <c r="C976" s="798" t="str">
        <f t="shared" si="15"/>
        <v/>
      </c>
    </row>
    <row r="977" spans="1:3">
      <c r="A977" s="796" t="s">
        <v>6453</v>
      </c>
      <c r="B977" s="798" t="str">
        <f>IF(A977="","",IFERROR(VLOOKUP(A977,Kategorie!C:N,MATCH('General price list'!$W$17,Kategorie!$C$2:$N$2,0),FALSE),"× Chybí překlad ×"))</f>
        <v>Ostatní</v>
      </c>
      <c r="C977" s="798" t="str">
        <f t="shared" si="15"/>
        <v xml:space="preserve">           Ostatní</v>
      </c>
    </row>
    <row r="978" spans="1:3">
      <c r="A978" s="796" t="s">
        <v>20</v>
      </c>
      <c r="B978" s="798" t="str">
        <f>IF(A978="","",IFERROR(VLOOKUP(A978,Kategorie!C:N,MATCH('General price list'!$W$17,Kategorie!$C$2:$N$2,0),FALSE),"× Chybí překlad ×"))</f>
        <v/>
      </c>
      <c r="C978" s="798" t="str">
        <f t="shared" si="15"/>
        <v/>
      </c>
    </row>
    <row r="979" spans="1:3">
      <c r="A979" s="796" t="s">
        <v>20</v>
      </c>
      <c r="B979" s="798" t="str">
        <f>IF(A979="","",IFERROR(VLOOKUP(A979,Kategorie!C:N,MATCH('General price list'!$W$17,Kategorie!$C$2:$N$2,0),FALSE),"× Chybí překlad ×"))</f>
        <v/>
      </c>
      <c r="C979" s="798" t="str">
        <f t="shared" si="15"/>
        <v/>
      </c>
    </row>
    <row r="980" spans="1:3">
      <c r="A980" s="802" t="s">
        <v>20</v>
      </c>
      <c r="B980" s="798" t="str">
        <f>IF(A980="","",IFERROR(VLOOKUP(A980,Kategorie!C:N,MATCH('General price list'!$W$17,Kategorie!$C$2:$N$2,0),FALSE),"× Chybí překlad ×"))</f>
        <v/>
      </c>
      <c r="C980" s="798" t="str">
        <f t="shared" si="15"/>
        <v/>
      </c>
    </row>
    <row r="981" spans="1:3">
      <c r="A981" s="796" t="s">
        <v>20</v>
      </c>
      <c r="B981" s="798" t="str">
        <f>IF(A981="","",IFERROR(VLOOKUP(A981,Kategorie!C:N,MATCH('General price list'!$W$17,Kategorie!$C$2:$N$2,0),FALSE),"× Chybí překlad ×"))</f>
        <v/>
      </c>
      <c r="C981" s="798" t="str">
        <f t="shared" si="15"/>
        <v/>
      </c>
    </row>
    <row r="982" spans="1:3">
      <c r="A982" s="796" t="s">
        <v>10511</v>
      </c>
      <c r="B982" s="798" t="str">
        <f>IF(A982="","",IFERROR(VLOOKUP(A982,Kategorie!C:N,MATCH('General price list'!$W$17,Kategorie!$C$2:$N$2,0),FALSE),"× Chybí překlad ×"))</f>
        <v>× Chybí překlad ×</v>
      </c>
      <c r="C982" s="798" t="str">
        <f t="shared" si="15"/>
        <v>×</v>
      </c>
    </row>
    <row r="983" spans="1:3">
      <c r="A983" s="796"/>
      <c r="B983" s="798" t="str">
        <f>IF(A983="","",IFERROR(VLOOKUP(A983,Kategorie!C:N,MATCH('General price list'!$W$17,Kategorie!$C$2:$N$2,0),FALSE),"× Chybí překlad ×"))</f>
        <v/>
      </c>
      <c r="C983" s="798" t="str">
        <f t="shared" si="15"/>
        <v/>
      </c>
    </row>
  </sheetData>
  <autoFilter ref="A1:C991" xr:uid="{99A0D66E-032F-4C64-8519-DFE0D1F8C358}"/>
  <dataConsolidate/>
  <pageMargins left="0.7" right="0.7" top="0.78740157499999996" bottom="0.78740157499999996"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17</vt:i4>
      </vt:variant>
      <vt:variant>
        <vt:lpstr>Pojmenované oblasti</vt:lpstr>
      </vt:variant>
      <vt:variant>
        <vt:i4>13</vt:i4>
      </vt:variant>
    </vt:vector>
  </HeadingPairs>
  <TitlesOfParts>
    <vt:vector size="30" baseType="lpstr">
      <vt:lpstr>General price list</vt:lpstr>
      <vt:lpstr>Část (1)</vt:lpstr>
      <vt:lpstr>Část (2)</vt:lpstr>
      <vt:lpstr>Část (3)</vt:lpstr>
      <vt:lpstr>Část (4)</vt:lpstr>
      <vt:lpstr>Část (5)</vt:lpstr>
      <vt:lpstr>HLAVIČKA</vt:lpstr>
      <vt:lpstr>info_all</vt:lpstr>
      <vt:lpstr>Kat.</vt:lpstr>
      <vt:lpstr>Terms and Conditions</vt:lpstr>
      <vt:lpstr>Lowest price guarantee</vt:lpstr>
      <vt:lpstr>Kategorie</vt:lpstr>
      <vt:lpstr>Jazyky_ceník</vt:lpstr>
      <vt:lpstr>Popisy</vt:lpstr>
      <vt:lpstr>Výpočet času</vt:lpstr>
      <vt:lpstr>Act_Kurs</vt:lpstr>
      <vt:lpstr>Act_Kurs_libry</vt:lpstr>
      <vt:lpstr>cbmPAL</vt:lpstr>
      <vt:lpstr>Act_Kurs!detail_kurzu?curr_eur</vt:lpstr>
      <vt:lpstr>Act_Kurs_libry!detail_kurzu?curr_eur</vt:lpstr>
      <vt:lpstr>nextPAL</vt:lpstr>
      <vt:lpstr>nextVK</vt:lpstr>
      <vt:lpstr>odhPAL</vt:lpstr>
      <vt:lpstr>PALzKoje</vt:lpstr>
      <vt:lpstr>prvniPAL</vt:lpstr>
      <vt:lpstr>prvniVK</vt:lpstr>
      <vt:lpstr>tvorbaPAL</vt:lpstr>
      <vt:lpstr>VK</vt:lpstr>
      <vt:lpstr>vystKONTROLA</vt:lpstr>
      <vt:lpstr>zacatek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Bilík, Klásek pyrotechnics</dc:creator>
  <cp:lastModifiedBy>Jan Bilík</cp:lastModifiedBy>
  <cp:lastPrinted>2022-08-18T06:34:11Z</cp:lastPrinted>
  <dcterms:created xsi:type="dcterms:W3CDTF">2019-07-29T07:38:07Z</dcterms:created>
  <dcterms:modified xsi:type="dcterms:W3CDTF">2026-03-26T11:17:42Z</dcterms:modified>
</cp:coreProperties>
</file>